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NR0AnbrwdmdVMkFviA5zZH480qA=="/>
    </ext>
  </extLst>
</workbook>
</file>

<file path=xl/sharedStrings.xml><?xml version="1.0" encoding="utf-8"?>
<sst xmlns="http://schemas.openxmlformats.org/spreadsheetml/2006/main" count="72028" uniqueCount="40943">
  <si>
    <t>tweet</t>
  </si>
  <si>
    <t>replies_count</t>
  </si>
  <si>
    <t>retweets_count</t>
  </si>
  <si>
    <t>likes_count</t>
  </si>
  <si>
    <t>clean_tweet</t>
  </si>
  <si>
    <t>Subjectivity</t>
  </si>
  <si>
    <t>Polarity</t>
  </si>
  <si>
    <t>Sentiment</t>
  </si>
  <si>
    <t>clean_tweet_word</t>
  </si>
  <si>
    <t>clean_tweet_word_sum</t>
  </si>
  <si>
    <t>clean_tweet_en</t>
  </si>
  <si>
    <t>Laga Final Piala Dunia, Bupati Zaki Jagokan Argentina  https://t.co/48K595vlSF</t>
  </si>
  <si>
    <t>laga final piala dunia bupati zaki jagokan argentina</t>
  </si>
  <si>
    <t>Neutral</t>
  </si>
  <si>
    <t>['laga', 'final', 'piala', 'dunia', 'bupati', 'zaki', 'jagokan', 'argentina']</t>
  </si>
  <si>
    <t>&lt;FreqDist with 8 samples and 8 outcomes&gt;</t>
  </si>
  <si>
    <t>asam lambung naek gara¬≤ nonton final piala dunia anjer, bangun¬≤ sakit perut</t>
  </si>
  <si>
    <t>asam lambung naek gara nonton final piala dunia anjer bangun sakit perut</t>
  </si>
  <si>
    <t>['asam', 'lambung', 'naik', 'gara', 'nonton', 'final', 'piala', 'dunia', 'anjer', 'bangun', 'sakit', 'perut']</t>
  </si>
  <si>
    <t>&lt;FreqDist with 12 samples and 12 outcomes&gt;</t>
  </si>
  <si>
    <t>Biasanya grup yang tahun ini menang piala dunia tahun depannya ga masuk perempat final sama sekali, Prancis hebat karena sanggup ke final meskipun Runner-Up 1. Gapapa üòÇüëçüèªüíï</t>
  </si>
  <si>
    <t>biasanya grup yang tahun ini menang piala dunia tahun depannya masuk perempat final sama sekali prancis hebat karena sanggup final meskipun runner gapapa</t>
  </si>
  <si>
    <t>['biasanya', 'grup', 'tahun', 'menang', 'piala', 'dunia', 'tahun', 'depannya', 'masuk', 'perempat', 'final', 'sama', 'sekali', 'prancis', 'hebat', 'sanggup', 'final', 'meskipun', 'runner', 'gapapa']</t>
  </si>
  <si>
    <t>&lt;FreqDist with 18 samples and 20 outcomes&gt;</t>
  </si>
  <si>
    <t>@MardaniAliSera Logikanya..... Kalau seadanya tak mungkin lah lolos ke piala dunia bahkan sampai semi final. Sok tau !!! Pemainnya banyak yg bermain di liga Eropa...sekelas PSG.  Itu bukan pemain2 seadanya. ü§Æ</t>
  </si>
  <si>
    <t>logikanya kalau seadanya tak mungkin lah lolos piala dunia bahkan sampai semi final sok tau pemainnya banyak bermain liga eropa sekelas psg itu bukan pemain seadanya</t>
  </si>
  <si>
    <t>['logikanya', 'kalau', 'seadanya', 'tak', 'mungkin', 'lah', 'lolos', 'piala', 'dunia', 'bahkan', 'semi', 'final', 'sok', 'pemainnya', 'banyak', 'bermain', 'liga', 'eropa', 'sekelas', 'psg', 'bukan', 'pemain', 'seadanya']</t>
  </si>
  <si>
    <t>&lt;FreqDist with 22 samples and 23 outcomes&gt;</t>
  </si>
  <si>
    <t>gila üî•üî•üî•üî• final piala dunia terbaik</t>
  </si>
  <si>
    <t>gila final piala dunia terbaik</t>
  </si>
  <si>
    <t>['gila', 'final', 'piala', 'dunia', 'terbaik']</t>
  </si>
  <si>
    <t>&lt;FreqDist with 5 samples and 5 outcomes&gt;</t>
  </si>
  <si>
    <t>@Robbi_07 @idextratime Generasi emasnya aja cuma mampu nembus final Euro 2004 ama semi final Piala Dunia 2006.</t>
  </si>
  <si>
    <t>generasi emasnya aja cuma mampu nembus final euro ama semi final piala dunia</t>
  </si>
  <si>
    <t>['generasi', 'emasnya', 'cuma', 'mampu', 'nembus', 'final', 'euro', 'ama', 'semi', 'final', 'piala', 'dunia']</t>
  </si>
  <si>
    <t>&lt;FreqDist with 11 samples and 12 outcomes&gt;</t>
  </si>
  <si>
    <t>Pemain Brighton and Hove Albion bermain di final Piala Dunia, mencatatkan assist, dan memenangkannya. üá¶üá∑  https://t.co/pqIZYXAX8p</t>
  </si>
  <si>
    <t>pemain brighton and hove albion bermain final piala dunia mencatatkan assist dan memenangkannya</t>
  </si>
  <si>
    <t>['pemain', 'brighton', 'and', 'hove', 'albion', 'bermain', 'final', 'piala', 'dunia', 'mencatatkan', 'assist', 'memenangkannya']</t>
  </si>
  <si>
    <t>semoga uang kalian hasil judi final piala dunia tidak berkah</t>
  </si>
  <si>
    <t>['semoga', 'uang', 'kalian', 'hasil', 'judi', 'final', 'piala', 'dunia', 'berkah']</t>
  </si>
  <si>
    <t>&lt;FreqDist with 9 samples and 9 outcomes&gt;</t>
  </si>
  <si>
    <t>cristiano ronaldo dapet euro 2016 itu udah bener2 obat buat dia waktu 2004 pas masih muda di final kalah yunani.  dan leo messi dapet piala dunia 2022 ini udah bener2 obat buat sakit hati argentina tahun 2014 yg dibuat sm gotze.</t>
  </si>
  <si>
    <t>cristiano ronaldo dapet euro itu udah bener obat buat dia waktu pas masih muda final kalah yunani dan leo messi dapet piala dunia ini udah bener obat buat sakit hati argentina tahun dibuat gotze</t>
  </si>
  <si>
    <t>['cristiano', 'ronaldo', 'dapat', 'euro', 'udah', 'benar', 'obat', 'buat', 'waktu', 'pas', 'muda', 'final', 'kalah', 'yunani', 'leo', 'messi', 'dapat', 'piala', 'dunia', 'udah', 'benar', 'obat', 'buat', 'sakit', 'hati', 'argentina', 'tahun', 'dibuat', 'gotze']</t>
  </si>
  <si>
    <t>&lt;FreqDist with 24 samples and 29 outcomes&gt;</t>
  </si>
  <si>
    <t>Selama piala dunia ini sampe pertandingan final kemaren, tebakanku selalu salah hahaha</t>
  </si>
  <si>
    <t>selama piala dunia ini sampe pertandingan final kemaren tebakanku selalu salah hahaha</t>
  </si>
  <si>
    <t>Positive</t>
  </si>
  <si>
    <t>['selama', 'piala', 'dunia', 'sampai', 'pertandingan', 'final', 'kemarin', 'tebakanku', 'selalu', 'salah', 'hahaha']</t>
  </si>
  <si>
    <t>&lt;FreqDist with 11 samples and 11 outcomes&gt;</t>
  </si>
  <si>
    <t>senin telat. nobar final piala dunia, bu.</t>
  </si>
  <si>
    <t>senin telat nobar final piala dunia</t>
  </si>
  <si>
    <t>['senin', 'telat', 'nonton bareng', 'final', 'piala', 'dunia']</t>
  </si>
  <si>
    <t>&lt;FreqDist with 6 samples and 6 outcomes&gt;</t>
  </si>
  <si>
    <t>Dunia ini perlumbaan. Mlm tadi berdebar final Piala Dunia. Hari ini parlimen undi percaya PMX..ü§î</t>
  </si>
  <si>
    <t>dunia ini perlumbaan mlm tadi berdebar final piala dunia hari ini parlimen undi percaya pmx</t>
  </si>
  <si>
    <t>['dunia', 'perlombaan', 'malam', 'tadi', 'berdebar', 'final', 'piala', 'dunia', 'hari', 'parlimen', 'undi', 'percaya', 'pmx']</t>
  </si>
  <si>
    <t>&lt;FreqDist with 12 samples and 13 outcomes&gt;</t>
  </si>
  <si>
    <t>Deretan Rekor Lionel Messi di Final Piala Dunia 2022, Tutup Karier dengan Trofi  https://t.co/XyutZZIxaC via @kabarbintang.id  #LionelMessiìÉµ  #ArgentinaVsFrance</t>
  </si>
  <si>
    <t>deretan rekor lionel messi final piala dunia tutup karier dengan trofi via</t>
  </si>
  <si>
    <t>['deretan', 'rekor', 'lionel', 'messi', 'final', 'piala', 'dunia', 'tutup', 'karier', 'trofi', 'via']</t>
  </si>
  <si>
    <t>Final Piala Dunia 2022: Kylian Mbappe Tak Kuasa Menahan Tangis Ditenangkan Presiden Prancis  https://t.co/VYUESvIykH  https://t.co/tvtpMnRitx</t>
  </si>
  <si>
    <t>final piala dunia kylian mbappe tak kuasa menahan tangis ditenangkan presiden prancis</t>
  </si>
  <si>
    <t>['final', 'piala', 'dunia', 'kylian', 'mbappe', 'tak', 'kuasa', 'menahan', 'tangis', 'ditenangkan', 'presiden', 'prancis']</t>
  </si>
  <si>
    <t>Pengamanan Antisipasi Konvoi Final Piala Dunia 2022 #Polripresisi #PolrestaAmbon #KapolrestaAmbon #Humaspolrestaambon #PolsekLeihitu #BasudaraManise  https://t.co/FmSx9CclpS</t>
  </si>
  <si>
    <t>pengamanan antisipasi konvoi final piala dunia</t>
  </si>
  <si>
    <t>['pengamanan', 'antisipasi', 'konvoi', 'final', 'piala', 'dunia']</t>
  </si>
  <si>
    <t>Hasil Final Piala Dunia 2022 Tadi Malam, Argentina vs Prancis, Tim Tango Juara, Lionel Messi Terbaik  https://t.co/v38PjPU4kK  https://t.co/OaVQlxeKMH</t>
  </si>
  <si>
    <t>hasil final piala dunia tadi malam argentina prancis tim tango juara lionel messi terbaik</t>
  </si>
  <si>
    <t>['hasil', 'final', 'piala', 'dunia', 'tadi', 'malam', 'argentina', 'prancis', 'tim', 'tango', 'juara', 'lionel', 'messi', 'terbaik']</t>
  </si>
  <si>
    <t>&lt;FreqDist with 14 samples and 14 outcomes&gt;</t>
  </si>
  <si>
    <t>NOBAR FINAL PIALA DUNIA..  ARGENTINA WINNER.. üá¶üá∑üá¶üá∑üèÜüèÜ  Full senyum.. @ Senayan Spark  https://t.co/BT13h0ajJm</t>
  </si>
  <si>
    <t>nobar final piala dunia argentina winner full senyum senayan spark</t>
  </si>
  <si>
    <t>['nonton bareng', 'final', 'piala', 'dunia', 'argentina', 'winner', 'full', 'senyum', 'senayan', 'spark']</t>
  </si>
  <si>
    <t>&lt;FreqDist with 10 samples and 10 outcomes&gt;</t>
  </si>
  <si>
    <t>-11fess kapan ya Indonesia bisa juara piala dunia, tapi tersadar ikut jalur kualifiasi saja belum pernah lolos ke putaran final</t>
  </si>
  <si>
    <t>fess kapan indonesia bisa juara piala dunia tapi tersadar ikut jalur kualifiasi saja belum pernah lolos putaran final</t>
  </si>
  <si>
    <t>['fess', 'kapan', 'indonesia', 'juara', 'piala', 'dunia', 'tersadar', 'ikut', 'jalur', 'kualifiasi', 'pernah', 'lolos', 'putaran', 'final']</t>
  </si>
  <si>
    <t>PAM Euforia Final Piala Dunia 2022 di Kota Ambon #WorldCupFinal #FIFAWorldCup #ArgentinaVsFrance #Qatar2022 #MessiìÉµ #WorldCup #polrestaambon #polripresisi  https://t.co/34lwmRUiC7</t>
  </si>
  <si>
    <t>pam euforia final piala dunia kota ambon</t>
  </si>
  <si>
    <t>['pam', 'euforia', 'final', 'piala', 'dunia', 'kota', 'ambon']</t>
  </si>
  <si>
    <t>&lt;FreqDist with 7 samples and 7 outcomes&gt;</t>
  </si>
  <si>
    <t>Kamu nonton final piala dunia 2022 tadi malam gak? Kamu dukung siapa semalam teman pro 2? Kasih tau dong siapa pemain favorit kamu dan part favorit kamu di piala dunia tahun ini! Jawab sambil Request lagu ygy!! Fai tunggu sampai jam 9üëå#Pro2Activity</t>
  </si>
  <si>
    <t>kamu nonton final piala dunia tadi malam gak kamu dukung siapa semalam teman pro kasih tau dong siapa pemain favorit kamu dan part favorit kamu piala dunia tahun ini jawab sambil request lagu ygy fai tunggu sampai jam</t>
  </si>
  <si>
    <t>['kamu', 'nonton', 'final', 'piala', 'dunia', 'tadi', 'malam', 'kamu', 'dukung', 'siapa', 'semalam', 'teman', 'pro', 'kasih', 'dong', 'siapa', 'pemain', 'favorit', 'kamu', 'part', 'favorit', 'kamu', 'piala', 'dunia', 'tahun', 'jawab', 'request', 'lagu', 'ygy', 'fai', 'tunggu', 'jam']</t>
  </si>
  <si>
    <t>&lt;FreqDist with 25 samples and 32 outcomes&gt;</t>
  </si>
  <si>
    <t>Gareth Southgate akan tetap menjabat pelatih tim nasional Inggris meskipun gagal membawa Three Lions melewati babak perempat final Piala Dunia 2022.  https://t.co/8e2I46ZOYA</t>
  </si>
  <si>
    <t>gareth southgate akan tetap menjabat pelatih tim nasional inggris meskipun gagal membawa three lions melewati babak perempat final piala dunia</t>
  </si>
  <si>
    <t>['gareth', 'southgate', 'tetap', 'menjabat', 'pelatih', 'tim', 'nasional', 'inggris', 'meskipun', 'gagal', 'membawa', 'three', 'lions', 'melewati', 'babak', 'perempat', 'final', 'piala', 'dunia']</t>
  </si>
  <si>
    <t>&lt;FreqDist with 19 samples and 19 outcomes&gt;</t>
  </si>
  <si>
    <t>nonton final piala dunia argentina vs france bikin senam jantung yaa, udah pede ngeliat di babak awal argentina unggulin scor,eh si mbape bisa bisa nya dia hat trick cetak gol sampe 3 kali,bikin scor seri malah akhirnya berakhir pinalty.</t>
  </si>
  <si>
    <t>nonton final piala dunia argentina france bikin senam jantung yaa udah pede ngeliat babak awal argentina unggulin scor mbape bisa bisa nya dia hat trick cetak gol sampe kali bikin scor seri malah akhirnya berakhir pinalty</t>
  </si>
  <si>
    <t>['nonton', 'final', 'piala', 'dunia', 'argentina', 'france', 'senam', 'jantung', 'ya', 'udah', 'percaya diri', 'ngeliat', 'babak', 'awal', 'argentina', 'unggulin', 'scor', 'mbape', 'hat', 'trick', 'cetak', 'gol', 'sampai', 'kali', 'scor', 'seri', 'malah', 'akhirnya', 'berakhir', 'pinalty']</t>
  </si>
  <si>
    <t>&lt;FreqDist with 28 samples and 30 outcomes&gt;</t>
  </si>
  <si>
    <t>7 Fakta Penting Final Piala Dunia 2022, Trofi Ketiga Argentina!  https://t.co/XQFZZHvFkV</t>
  </si>
  <si>
    <t>fakta penting final piala dunia trofi ketiga argentina</t>
  </si>
  <si>
    <t>['fakta', 'penting', 'final', 'piala', 'dunia', 'trofi', 'ketiga', 'argentina']</t>
  </si>
  <si>
    <t>Piala dunia 4 tahun sekali, giliran final malah ketiduran</t>
  </si>
  <si>
    <t>piala dunia tahun sekali giliran final malah ketiduran</t>
  </si>
  <si>
    <t>['piala', 'dunia', 'tahun', 'sekali', 'giliran', 'final', 'malah', 'ketiduran']</t>
  </si>
  <si>
    <t>@ansfath_ @idextratime Mbappe cetak hattrick di final piala dunia udah punya gelar jurdun di edisi 2018  udah cetak 12 gol di ajang piala dunia yg diikuti, juara liga tinggal euro,liga champions, ballond'or yg belum dapat</t>
  </si>
  <si>
    <t>mbappe cetak hattrick final piala dunia udah punya gelar jurdun edisi udah cetak gol ajang piala dunia diikuti juara liga tinggal euro liga champions ballond belum dapat</t>
  </si>
  <si>
    <t>['mbappe', 'cetak', 'hattrick', 'final', 'piala', 'dunia', 'udah', 'punya', 'gelar', 'jurdun', 'edisi', 'udah', 'cetak', 'gol', 'ajang', 'piala', 'dunia', 'diikuti', 'juara', 'liga', 'tinggal', 'euro', 'liga', 'champions', 'ballond']</t>
  </si>
  <si>
    <t>&lt;FreqDist with 20 samples and 25 outcomes&gt;</t>
  </si>
  <si>
    <t>Perdebatan siapa yg terbaik antara Messi dan CR7 sudah berhenti selepas final piala dunia tadi malam. üòÖüòÖüòÖ</t>
  </si>
  <si>
    <t>perdebatan siapa terbaik antara messi dan sudah berhenti selepas final piala dunia tadi malam</t>
  </si>
  <si>
    <t>['perdebatan', 'siapa', 'terbaik', 'messi', 'berhenti', 'selepas', 'final', 'piala', 'dunia', 'tadi', 'malam']</t>
  </si>
  <si>
    <t>maaf guys kali ini adminnya gak bisa berpartisipasi ngetwit lucu soal final piala duniaüôè</t>
  </si>
  <si>
    <t>maaf guys kali ini adminnya gak bisa berpartisipasi ngetwit lucu soal final piala dunia</t>
  </si>
  <si>
    <t>['maaf', 'guys', 'kali', 'adminnya', 'berpartisipasi', 'ngetwit', 'lucu', 'soal', 'final', 'piala', 'dunia']</t>
  </si>
  <si>
    <t>Final Piala Dunia edisi 2022 kali ini menyuguhkan permainan yang sangat menarik dari kedua tim hingga harus diakhiri oleh drama adu penalti. Terdapat beberapa fakta dari pertandingan final antara Argentina vs Perancis #FIFAWorldCup #FIFAWorldCup2022 #ArgentinaVsFrance</t>
  </si>
  <si>
    <t>final piala dunia edisi kali ini menyuguhkan permainan yang sangat menarik dari kedua tim hingga harus diakhiri oleh drama adu penalti terdapat beberapa fakta dari pertandingan final antara argentina perancis</t>
  </si>
  <si>
    <t>['final', 'piala', 'dunia', 'edisi', 'kali', 'menyuguhkan', 'permainan', 'sangat', 'menarik', 'kedua', 'tim', 'hingga', 'diakhiri', 'drama', 'adu', 'penalti', 'terdapat', 'beberapa', 'fakta', 'pertandingan', 'final', 'argentina', 'perancis']</t>
  </si>
  <si>
    <t>Viral Suporter Perempuan Argentina Telanjang Dada di Final Piala Dunia 2022, Dihukum FIFA?  https://t.co/VtpvsYxfwI</t>
  </si>
  <si>
    <t>viral suporter perempuan argentina telanjang dada final piala dunia dihukum fifa</t>
  </si>
  <si>
    <t>['viral', 'suporter', 'perempuan', 'argentina', 'telanjang', 'dada', 'final', 'piala', 'dunia', 'dihukum', 'fifa']</t>
  </si>
  <si>
    <t>Argentina Juara dan Ada Tiga Hal Menarik dari Hasil Final Piala Dunia 2022  https://t.co/frM3qPJ56Z</t>
  </si>
  <si>
    <t>argentina juara dan ada tiga hal menarik dari hasil final piala dunia</t>
  </si>
  <si>
    <t>['argentina', 'juara', 'tiga', 'menarik', 'hasil', 'final', 'piala', 'dunia']</t>
  </si>
  <si>
    <t>Momen-momen Menarik Argentina vs Prancis di Final Piala Dunia 2022: Triple Nutmeg Di Maria, Messi Kecup Trofi Pildun  https://t.co/ZF8I7kolVj</t>
  </si>
  <si>
    <t>momen momen menarik argentina prancis final piala dunia triple nutmeg maria messi kecup trofi pildun</t>
  </si>
  <si>
    <t>['momen', 'momen', 'menarik', 'argentina', 'prancis', 'final', 'piala', 'dunia', 'triple', 'nutmeg', 'maria', 'messi', 'kecup', 'trofi', 'piala dunia']</t>
  </si>
  <si>
    <t>&lt;FreqDist with 14 samples and 15 outcomes&gt;</t>
  </si>
  <si>
    <t>@SiaranBolaLive mbape dh pernah juara dunia tgl ucl ma piala eropa sih. usia muda 2x final pildun di era modern sgt wow bgt.</t>
  </si>
  <si>
    <t>mbape pernah juara dunia tgl ucl piala eropa sih usia muda final pildun era modern sgt wow bgt</t>
  </si>
  <si>
    <t>['mbape', 'pernah', 'juara', 'dunia', 'tgl', 'ucl', 'piala', 'eropa', 'usia', 'muda', 'final', 'piala dunia', 'era', 'modern', 'sangat', 'wow', 'banget']</t>
  </si>
  <si>
    <t>&lt;FreqDist with 17 samples and 17 outcomes&gt;</t>
  </si>
  <si>
    <t>Adu penalti di final piala dunia terakhir kali pada saat final pildun 2006 Prancis vs Italia, Italia yang menang hahahahaha  Bravo bravo Argentina, selamat Messi</t>
  </si>
  <si>
    <t>adu penalti final piala dunia terakhir kali pada saat final pildun prancis italia italia yang menang hahahahaha bravo bravo argentina selamat messi</t>
  </si>
  <si>
    <t>['adu', 'penalti', 'final', 'piala', 'dunia', 'terakhir', 'kali', 'final', 'piala dunia', 'prancis', 'italia', 'italia', 'menang', 'hahahahaha', 'bravo', 'bravo', 'argentina', 'selamat', 'messi']</t>
  </si>
  <si>
    <t>&lt;FreqDist with 16 samples and 19 outcomes&gt;</t>
  </si>
  <si>
    <t>GUE NYESEL KETIDURAN SEMALEM MAMA GUE INI CERITA KNP KAKAK TIDUR SEMALEM PADAHAL SERU BGT SEMALEM PIALA DUNIA FINAL YA GUSTIIIIIIIIIIIIIII GUE TEPAR ABIS SEHARIAN NGEDRAKOR</t>
  </si>
  <si>
    <t>gue nyesel ketiduran semalem mama gue ini cerita knp kakak tidur semalem padahal seru bgt semalem piala dunia final gustiiiiiiiiiiiiiii gue tepar abis seharian ngedrakor</t>
  </si>
  <si>
    <t>['gue', 'nyesel', 'ketiduran', 'semalam', 'mama', 'gue', 'cerita', 'kenapa', 'kakak', 'tidur', 'semalam', 'padahal', 'seru', 'banget', 'semalam', 'piala', 'dunia', 'final', 'gustiiiiiiiiiiiiiii', 'gue', 'tepar', 'abis', 'seharian', 'ngedrakor']</t>
  </si>
  <si>
    <t>&lt;FreqDist with 20 samples and 24 outcomes&gt;</t>
  </si>
  <si>
    <t>yang berhasil mengalahkan Jerman, pildun 2002 final antara negara Benua Amerika dan Eropa. Sama kaya piala dunia 2022 sekarang, final antara negara Benua Eropa &amp;amp; Benua Amerika tuan rumahnya juga sama negara Asia ‚ÄúQatar"</t>
  </si>
  <si>
    <t>yang berhasil mengalahkan jerman pildun final antara negara benua amerika dan eropa sama kaya piala dunia sekarang final antara negara benua eropa benua amerika tuan rumahnya juga sama negara asia qatar</t>
  </si>
  <si>
    <t>['berhasil', 'mengalahkan', 'jerman', 'piala dunia', 'final', 'negara', 'benua', 'amerika', 'eropa', 'sama', 'kaya', 'piala', 'dunia', 'sekarang', 'final', 'negara', 'benua', 'eropa', 'benua', 'amerika', 'tuan', 'rumahnya', 'sama', 'negara', 'asia', 'qatar']</t>
  </si>
  <si>
    <t>&lt;FreqDist with 18 samples and 26 outcomes&gt;</t>
  </si>
  <si>
    <t>Adu Mekanik Dua Penyerang PSG Warnai Final Piala Dunia, Rio Ferdinand: Sangat Indah! #EMTEKWORLDCUP2022 #BOLANETWORLDCUP2022 #PialaDunia #PialaDunia2022  https://t.co/q6iBOO0bCK</t>
  </si>
  <si>
    <t>adu mekanik dua penyerang psg warnai final piala dunia rio ferdinand sangat indah</t>
  </si>
  <si>
    <t>['adu', 'mekanik', 'penyerang', 'psg', 'warnai', 'final', 'piala', 'dunia', 'rio', 'ferdinand', 'sangat', 'indah']</t>
  </si>
  <si>
    <t>Ibnu Jamil Nonton Langsung Final Piala Dunia 2022: Bakal jadi Saksi 80.000 Orang yang Beruntung  #CelebritiesDotID #InfoCelebTerkini  https://t.co/RFnQ8d1k4h</t>
  </si>
  <si>
    <t>ibnu jamil nonton langsung final piala dunia bakal jadi saksi orang yang beruntung</t>
  </si>
  <si>
    <t>['ibnu', 'jamil', 'nonton', 'langsung', 'final', 'piala', 'dunia', 'bakal', 'jadi', 'saksi', 'orang', 'beruntung']</t>
  </si>
  <si>
    <t>@SCTV dan @vidio membuat sulit nonton final piala dunia. Anehnya, sblm  pertandingan dimulai, siaran baik2 saja, setelah kick off malah hilang sinyal. Memang lebih baik langganan @beINSPORTS</t>
  </si>
  <si>
    <t>dan membuat sulit nonton final piala dunia anehnya sblm pertandingan dimulai siaran baik saja setelah kick off malah hilang sinyal memang lebih baik langganan</t>
  </si>
  <si>
    <t>['membuat', 'sulit', 'nonton', 'final', 'piala', 'dunia', 'anehnya', 'sebelum', 'pertandingan', 'dimulai', 'siaran', 'baik', 'kick', 'off', 'malah', 'hilang', 'sinyal', 'memang', 'lebih', 'baik', 'langganan']</t>
  </si>
  <si>
    <t>&lt;FreqDist with 20 samples and 21 outcomes&gt;</t>
  </si>
  <si>
    <t>Jujur gue mah baru nonton piala dunia pas final doang udah</t>
  </si>
  <si>
    <t>jujur gue mah baru nonton piala dunia pas final doang udah</t>
  </si>
  <si>
    <t>['jujur', 'gue', 'mah', 'baru', 'nonton', 'piala', 'dunia', 'pas', 'final', 'doang', 'udah']</t>
  </si>
  <si>
    <t>@panditfootball Asliii...gokillll..Final terbaik sejak 2010 menyaksikan piala dunia</t>
  </si>
  <si>
    <t>asliii gokillll final terbaik sejak menyaksikan piala dunia</t>
  </si>
  <si>
    <t>['asliii', 'gokillll', 'final', 'terbaik', 'sejak', 'menyaksikan', 'piala', 'dunia']</t>
  </si>
  <si>
    <t>Cuma laki gw ini kayanya yg ga bikin status final piala dunia wkwkwkwkw soalnya jagoannya kalah üòÇ</t>
  </si>
  <si>
    <t>cuma laki ini kayanya bikin status final piala dunia wkwkwkwkw soalnya jagoannya kalah</t>
  </si>
  <si>
    <t>['cuma', 'laki', 'kayanya', 'status', 'final', 'piala', 'dunia', 'wkwkwkwkw', 'soalnya', 'jagoannya', 'kalah']</t>
  </si>
  <si>
    <t>Prancis Ditumbangkan Argentina di Final Piala Dunia 2022, Hugo Lloris Bilang Begini #LengkapCepatBeritanya #Bola #SepakBola #SepakbolaDunia #BolaDunia .  https://t.co/wpNphMZU2C</t>
  </si>
  <si>
    <t>prancis ditumbangkan argentina final piala dunia hugo lloris bilang begini</t>
  </si>
  <si>
    <t>['prancis', 'ditumbangkan', 'argentina', 'final', 'piala', 'dunia', 'hugo', 'lloris', 'begini']</t>
  </si>
  <si>
    <t>saya tidak peduli dengan rating dari thread saya, yang jelas piala dunia tahun ini sangat tidak benar, final terasa diatur, final baru terasa ketika goal kedua Prancis tercipta, wasit bermain aman agar tak terkena hujatan orang-orang di seluruh dunia.</t>
  </si>
  <si>
    <t>saya tidak peduli dengan rating dari thread saya yang jelas piala dunia tahun ini sangat tidak benar final terasa diatur final baru terasa ketika goal kedua prancis tercipta wasit bermain aman agar tak terkena hujatan orang orang seluruh dunia</t>
  </si>
  <si>
    <t>['peduli', 'rating', 'thread', 'jelas', 'piala', 'dunia', 'tahun', 'sangat', 'benar', 'final', 'terasa', 'diatur', 'final', 'baru', 'terasa', 'goal', 'kedua', 'prancis', 'tercipta', 'wasit', 'bermain', 'aman', 'tak', 'terkena', 'hujatan', 'orang', 'orang', 'seluruh', 'dunia']</t>
  </si>
  <si>
    <t>&lt;FreqDist with 25 samples and 29 outcomes&gt;</t>
  </si>
  <si>
    <t>Pertandingan final piala dunia Qatar ini luar biasa kereeeeennnn</t>
  </si>
  <si>
    <t>pertandingan final piala dunia qatar ini luar biasa kereeeeennnn</t>
  </si>
  <si>
    <t>['pertandingan', 'final', 'piala', 'dunia', 'qatar', 'luar', 'biasa', 'kereeeeennnn']</t>
  </si>
  <si>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</si>
  <si>
    <t>argentina perancis masuk putaran final world cup qatar pertandingan akan berlangsung stadion lusail iconic tentu hal ini mengundang banyak spekulasi masmen bumn meyakini berharap dominasi piala dunia harus merata jgn melulu eropa</t>
  </si>
  <si>
    <t>['argentina', 'perancis', 'masuk', 'putaran', 'final', 'world', 'cup', 'qatar', 'pertandingan', 'berlangsung', 'stadion', 'lusail', 'iconic', 'mengundang', 'banyak', 'spekulasi', 'masmen', 'bumn', 'meyakini', 'berharap', 'dominasi', 'piala', 'dunia', 'merata', 'melulu', 'eropa']</t>
  </si>
  <si>
    <t>&lt;FreqDist with 26 samples and 26 outcomes&gt;</t>
  </si>
  <si>
    <t>@idextratime Back to back final piala dunia di umur 23, hattrick di final piala dunia üëç</t>
  </si>
  <si>
    <t>back back final piala dunia umur hattrick final piala dunia</t>
  </si>
  <si>
    <t>['back', 'back', 'final', 'piala', 'dunia', 'umur', 'hattrick', 'final', 'piala', 'dunia']</t>
  </si>
  <si>
    <t>&lt;FreqDist with 6 samples and 10 outcomes&gt;</t>
  </si>
  <si>
    <t>Jokowi dengan tegas meminta negara-negara Uni Eropa tidak mendikte negara-negara ASEAN.  #FIFAWorldCup #Qatar2022 WHAT A FINAL WHAT A GAME Emi Martinez Piala Dunia Juara Dunia Maradona Di Maria Ronaldo Prancis Lautaro Menang Dybala Kalah  https://t.co/w9iK8MShYm</t>
  </si>
  <si>
    <t>jokowi dengan tegas meminta negara negara uni eropa tidak mendikte negara negara asean what final what game emi martinez piala dunia juara dunia maradona maria ronaldo prancis lautaro menang dybala kalah</t>
  </si>
  <si>
    <t>Negative</t>
  </si>
  <si>
    <t>['jokowi', 'tegas', 'meminta', 'negara', 'negara', 'uni', 'eropa', 'mendikte', 'negara', 'negara', 'asean', 'what', 'final', 'what', 'game', 'emi', 'martinez', 'piala', 'dunia', 'juara', 'dunia', 'maradona', 'maria', 'ronaldo', 'prancis', 'lautaro', 'menang', 'dybala', 'kalah']</t>
  </si>
  <si>
    <t>Yang tertinggal sholat shubuh gara gara nobar final piala dunia, kurang syukur gimana pagi ini kalian masih diberi kesempatan masih bisa bangun dari tidur.</t>
  </si>
  <si>
    <t>yang tertinggal sholat shubuh gara gara nobar final piala dunia kurang syukur gimana pagi ini kalian masih diberi kesempatan masih bisa bangun dari tidur</t>
  </si>
  <si>
    <t>['tertinggal', 'salat', 'subuh', 'gara', 'gara', 'nonton bareng', 'final', 'piala', 'dunia', 'kurang', 'syukur', 'gimana', 'pagi', 'kalian', 'diberi', 'kesempatan', 'bangun', 'tidur']</t>
  </si>
  <si>
    <t>&lt;FreqDist with 17 samples and 18 outcomes&gt;</t>
  </si>
  <si>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</si>
  <si>
    <t>jokowi dan biden menjalin kemitraan perubahan iklim dengan pendanaan mencapai hingga usd juta setara miliar what final what game emi martinez piala dunia juara dunia maradona maria ronaldo prancis lautaro menang dybala kalah</t>
  </si>
  <si>
    <t>['jokowi', 'biden', 'menjalin', 'kemitraan', 'perubahan', 'iklim', 'pendanaan', 'mencapai', 'hingga', 'usd', 'juta', 'setara', 'miliar', 'what', 'final', 'what', 'game', 'emi', 'martinez', 'piala', 'dunia', 'juara', 'dunia', 'maradona', 'maria', 'ronaldo', 'prancis', 'lautaro', 'menang', 'dybala', 'kalah']</t>
  </si>
  <si>
    <t>&lt;FreqDist with 29 samples and 31 outcomes&gt;</t>
  </si>
  <si>
    <t>Bawaslu RI menggelar Konsolnas dalam rangka memantapkan kinerja dan soliditas jajaran pengawas pemilu.  #FIFAWorldCup #Qatar2022 WHAT A FINAL WHAT A GAME Emi Martinez Piala Dunia Juara Dunia Maradona Di Maria Ronaldo Prancis Lautaro Menang Dybala Kalah  https://t.co/0delUEFxc6</t>
  </si>
  <si>
    <t>bawaslu menggelar konsolnas dalam rangka memantapkan kinerja dan soliditas jajaran pengawas pemilu what final what game emi martinez piala dunia juara dunia maradona maria ronaldo prancis lautaro menang dybala kalah</t>
  </si>
  <si>
    <t>['bawaslu', 'menggelar', 'konsolnas', 'rangka', 'memantapkan', 'kinerja', 'soliditas', 'jajaran', 'pengawas', 'pemilu', 'what', 'final', 'what', 'game', 'emi', 'martinez', 'piala', 'dunia', 'juara', 'dunia', 'maradona', 'maria', 'ronaldo', 'prancis', 'lautaro', 'menang', 'dybala', 'kalah']</t>
  </si>
  <si>
    <t>&lt;FreqDist with 26 samples and 28 outcomes&gt;</t>
  </si>
  <si>
    <t>Isi ig story pagi ini final piala dunia semua wkwkk met menang argentina</t>
  </si>
  <si>
    <t>isi story pagi ini final piala dunia semua wkwkk met menang argentina</t>
  </si>
  <si>
    <t>['isi', 'story', 'pagi', 'final', 'piala', 'dunia', 'semua', 'wkwkk', 'selamat', 'menang', 'argentina']</t>
  </si>
  <si>
    <t>Selamat hari senin, messi juara piala dunia, yang ga nonton final semalem rugi beratt.</t>
  </si>
  <si>
    <t>selamat hari senin messi juara piala dunia yang nonton final semalem rugi beratt</t>
  </si>
  <si>
    <t>['selamat', 'hari', 'senin', 'messi', 'juara', 'piala', 'dunia', 'nonton', 'final', 'semalam', 'rugi', 'beratt']</t>
  </si>
  <si>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</si>
  <si>
    <t>jokowi beri arahan pada sejumlah pihak termasuk badan pengawas pemilihan umum atau bawaslu terkait pemilu what final what game emi martinez piala dunia juara dunia maradona maria ronaldo prancis lautaro menang dybala kalah</t>
  </si>
  <si>
    <t>['jokowi', 'beri', 'arahan', 'sejumlah', 'pihak', 'termasuk', 'badan', 'pengawas', 'pemilihan', 'umum', 'bawaslu', 'terkait', 'pemilu', 'what', 'final', 'what', 'game', 'emi', 'martinez', 'piala', 'dunia', 'juara', 'dunia', 'maradona', 'maria', 'ronaldo', 'prancis', 'lautaro', 'menang', 'dybala', 'kalah']</t>
  </si>
  <si>
    <t>Mbappe carry berat prancis, disaat hampir kalah, ni orang bisa hattrick di final piala dunia. masa messi vs c.ronaldo sudah tamat, saatnya masuk ke masa mbappe vs halland</t>
  </si>
  <si>
    <t>mbappe carry berat prancis disaat hampir kalah orang bisa hattrick final piala dunia masa messi ronaldo sudah tamat saatnya masuk masa mbappe halland</t>
  </si>
  <si>
    <t>['mbappe', 'carry', 'berat', 'prancis', 'disaat', 'hampir', 'kalah', 'orang', 'hattrick', 'final', 'piala', 'dunia', 'masa', 'messi', 'ronaldo', 'tamat', 'saatnya', 'masuk', 'masa', 'mbappe', 'halland']</t>
  </si>
  <si>
    <t>&lt;FreqDist with 19 samples and 21 outcomes&gt;</t>
  </si>
  <si>
    <t>Prancis Kalah Adu Penalti dari Argentina di Final Piala Dunia 2022, Didier Deschamps Sindir La Albiceleste #LengkapCepatBeritanya #Bola #SepakBola #SepakbolaDunia #BolaDunia .  https://t.co/o4GEypJJOL</t>
  </si>
  <si>
    <t>prancis kalah adu penalti dari argentina final piala dunia didier deschamps sindir albiceleste</t>
  </si>
  <si>
    <t>['prancis', 'kalah', 'adu', 'penalti', 'argentina', 'final', 'piala', 'dunia', 'didier', 'deschamps', 'sindir', 'albiceleste']</t>
  </si>
  <si>
    <t>Melalui pertandingan yang sengit dan diakhiri dengan adu tendangan Penalti, Argentina sukses menjadi Juara Piala Dunia 2022 setelah di partai final mengalahkan Perancis 7-5 (3-3). #Olahraga #AdadiKompas   https://t.co/Mulvu2eyUR</t>
  </si>
  <si>
    <t>melalui pertandingan yang sengit dan diakhiri dengan adu tendangan penalti argentina sukses menjadi juara piala dunia setelah partai final mengalahkan perancis</t>
  </si>
  <si>
    <t>['melalui', 'pertandingan', 'sengit', 'diakhiri', 'adu', 'tendangan', 'penalti', 'argentina', 'sukses', 'menjadi', 'juara', 'piala', 'dunia', 'partai', 'final', 'mengalahkan', 'perancis']</t>
  </si>
  <si>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</si>
  <si>
    <t>selamat pagi sahabat kompas kemenangan argentina atas perancis dalam final piala dunia qatar jadi sorotan kami gelar itu membawa messi berada puncak dunia dan abadi sebagai salah satu pesepak bola terbaik dalam sejarah</t>
  </si>
  <si>
    <t>['selamat', 'pagi', 'sahabat', 'kompas', 'kemenangan', 'argentina', 'atas', 'perancis', 'final', 'piala', 'dunia', 'qatar', 'jadi', 'sorotan', 'gelar', 'membawa', 'messi', 'berada', 'puncak', 'dunia', 'abadi', 'salah', 'satu', 'pesepak', 'bola', 'terbaik', 'sejarah']</t>
  </si>
  <si>
    <t>&lt;FreqDist with 26 samples and 27 outcomes&gt;</t>
  </si>
  <si>
    <t>Tweet dari seorang fans Argentina pada 2015. ü§Ø  Peramal? Time traveler? Bukan.  Hanya bermula dari optimisme dan informasi tanggal final Piala Dunia 2022 via Wikipedia.  https://t.co/ys8Lfh6RwM</t>
  </si>
  <si>
    <t>tweet dari seorang fans argentina pada peramal time traveler bukan hanya bermula dari optimisme dan informasi tanggal final piala dunia via wikipedia</t>
  </si>
  <si>
    <t>['tweet', 'seorang', 'fans', 'argentina', 'peramal', 'time', 'traveler', 'bukan', 'bermula', 'optimisme', 'informasi', 'tanggal', 'final', 'piala', 'dunia', 'via', 'wikipedia']</t>
  </si>
  <si>
    <t>Prediksi Final Piala Dunia 2022 | Argentina vs Prancis, Messi vs Mbape  https://t.co/zNkQ1MIadZ - - - #prediksimixparlay #mixparlay #prediksibolahariini #prediksibolamalamini #rumusoverunder #bocoranparlaymalamini #prediksiparlaymalamini #mixparlay</t>
  </si>
  <si>
    <t>prediksi final piala dunia argentina prancis messi mbape</t>
  </si>
  <si>
    <t>['prediksi', 'final', 'piala', 'dunia', 'argentina', 'prancis', 'messi', 'mbape']</t>
  </si>
  <si>
    <t>Menurut saya final piala dunia 2022 sangat epik.....</t>
  </si>
  <si>
    <t>menurut saya final piala dunia sangat epik</t>
  </si>
  <si>
    <t>['final', 'piala', 'dunia', 'sangat', 'epik']</t>
  </si>
  <si>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</si>
  <si>
    <t>final piala dunia susunan pemain argentina prancis messi dan mbappe starter timnas argentina bakal melawan prancis dalam pertandingan pamungkas final piala dunia lusail stadium minggu malam tak hanya pertarungan sepak bola</t>
  </si>
  <si>
    <t>['final', 'piala', 'dunia', 'susunan', 'pemain', 'argentina', 'prancis', 'messi', 'mbappe', 'starter', 'timnas', 'argentina', 'bakal', 'melawan', 'prancis', 'pertandingan', 'pamungkas', 'final', 'piala', 'dunia', 'lusail', 'stadium', 'minggu', 'malam', 'tak', 'pertarungan', 'sepak', 'bola']</t>
  </si>
  <si>
    <t>&lt;FreqDist with 23 samples and 28 outcomes&gt;</t>
  </si>
  <si>
    <t>Tiba tiba seluruh twitter rame ngomongin bola, dari yg awalnya tidak tertarik bola sampe yg amg fans sepak bola, pada rame semua, sasuga emang final piala dunia, penyatu seluruh dunia</t>
  </si>
  <si>
    <t>tiba tiba seluruh twitter rame ngomongin bola dari awalnya tidak tertarik bola sampe amg fans sepak bola pada rame semua sasuga emang final piala dunia penyatu seluruh dunia</t>
  </si>
  <si>
    <t>['tiba', 'tiba', 'seluruh', 'twitter', 'ramai', 'ngomongin', 'bola', 'awalnya', 'tertarik', 'bola', 'sampai', 'amg', 'fans', 'sepak', 'bola', 'ramai', 'semua', 'sasuga', 'emang', 'final', 'piala', 'dunia', 'penyatu', 'seluruh', 'dunia']</t>
  </si>
  <si>
    <t>&lt;FreqDist with 19 samples and 25 outcomes&gt;</t>
  </si>
  <si>
    <t>Disebut final terbaik, final Piala Dunia 2022 Qatar ciptakan rekor menarik #FIFAWorldCup  #Qatar2022    https://t.co/hZc3UGfkxX</t>
  </si>
  <si>
    <t>disebut final terbaik final piala dunia qatar ciptakan rekor menarik</t>
  </si>
  <si>
    <t>['disebut', 'final', 'terbaik', 'final', 'piala', 'dunia', 'qatar', 'ciptakan', 'rekor', 'menarik']</t>
  </si>
  <si>
    <t>&lt;FreqDist with 9 samples and 10 outcomes&gt;</t>
  </si>
  <si>
    <t>Timnas Argentina berhasil mengalahkan juara bertahan Prancis pada final Piala Dunia 2022 di Qatar setelah melalui drama kejar-kejaran gol.  https://t.co/P12NGGQ9Rg</t>
  </si>
  <si>
    <t>timnas argentina berhasil mengalahkan juara bertahan prancis pada final piala dunia qatar setelah melalui drama kejar kejaran gol</t>
  </si>
  <si>
    <t>['timnas', 'argentina', 'berhasil', 'mengalahkan', 'juara', 'bertahan', 'prancis', 'final', 'piala', 'dunia', 'qatar', 'melalui', 'drama', 'kejar', 'kejaran', 'gol']</t>
  </si>
  <si>
    <t>&lt;FreqDist with 16 samples and 16 outcomes&gt;</t>
  </si>
  <si>
    <t>Hasil Pertandingan Final Piala Dunia 2022 Argentina vs Prancis, Pertandingan Puncak Penuh Drama  #ArgentinaVsFrance #FIFAWorldCup #PialaDunia2022  @Argentina @FIFAWorldCup  https://t.co/4Kr9tRTnWA</t>
  </si>
  <si>
    <t>hasil pertandingan final piala dunia argentina prancis pertandingan puncak penuh drama</t>
  </si>
  <si>
    <t>['hasil', 'pertandingan', 'final', 'piala', 'dunia', 'argentina', 'prancis', 'pertandingan', 'puncak', 'penuh', 'drama']</t>
  </si>
  <si>
    <t>&lt;FreqDist with 10 samples and 11 outcomes&gt;</t>
  </si>
  <si>
    <t>salah satu alasan buat bersyukur krn masih bisa hidup yaitu bisa nonton final piala dunia 2022</t>
  </si>
  <si>
    <t>salah satu alasan buat bersyukur krn masih bisa hidup yaitu bisa nonton final piala dunia</t>
  </si>
  <si>
    <t>['salah', 'satu', 'alasan', 'buat', 'bersyukur', 'hidup', 'nonton', 'final', 'piala', 'dunia']</t>
  </si>
  <si>
    <t>Ini kok bisa ada yang debat siapa cocok jadi juara siapa engga. Kalian tuh lagi nonton final piala dunia, bukan final produce 101, jadi tolong jangan berantem</t>
  </si>
  <si>
    <t>ini kok bisa ada yang debat siapa cocok jadi juara siapa engga kalian tuh lagi nonton final piala dunia bukan final produce jadi tolong jangan berantem</t>
  </si>
  <si>
    <t>['kok', 'debat', 'siapa', 'cocok', 'jadi', 'juara', 'siapa', 'tidak', 'kalian', 'nonton', 'final', 'piala', 'dunia', 'bukan', 'final', 'produce', 'jadi', 'jangan', 'berantem']</t>
  </si>
  <si>
    <t>Timnas Argentina berhasil mengalahkan juara bertahan Prancis pada final Piala Dunia 2022 di Qatar setelah melalui drama kejar-kejaran gol.  https://t.co/P12NGH8j5o</t>
  </si>
  <si>
    <t>Drama Kejar-kejaran Gol Hiasi Final Piala Dunia 2022, Argentina Raih Kemenangan Lewat Adu Penalti  https://t.co/MEEPtOV4AK</t>
  </si>
  <si>
    <t>drama kejar kejaran gol hiasi final piala dunia argentina raih kemenangan lewat adu penalti</t>
  </si>
  <si>
    <t>['drama', 'kejar', 'kejaran', 'gol', 'hiasi', 'final', 'piala', 'dunia', 'argentina', 'raih', 'kemenangan', 'lewat', 'adu', 'penalti']</t>
  </si>
  <si>
    <t>Rame sih final piala dunia, tapi masih ramean tenggelamnya kapal van der wijck</t>
  </si>
  <si>
    <t>rame sih final piala dunia tapi masih ramean tenggelamnya kapal van der wijck</t>
  </si>
  <si>
    <t>['ramai', 'final', 'piala', 'dunia', 'ramean', 'tenggelamnya', 'kapal', 'van', 'der', 'wijck']</t>
  </si>
  <si>
    <t>Kylian Mbappe Pencetak Hattrick Pertama di Final Piala Dunia 2022 Setelah Geoff Hurst 1966  https://t.co/RWhu042M9N</t>
  </si>
  <si>
    <t>kylian mbappe pencetak hattrick pertama final piala dunia setelah geoff hurst</t>
  </si>
  <si>
    <t>['kylian', 'mbappe', 'pencetak', 'hattrick', 'pertama', 'final', 'piala', 'dunia', 'geoff', 'hurst']</t>
  </si>
  <si>
    <t>final piala dunia terseru gokil</t>
  </si>
  <si>
    <t>['final', 'piala', 'dunia', 'terseru', 'gila']</t>
  </si>
  <si>
    <t>Congrats Argentina menjadi juara pada Piala Dunia Qatar 2022üéâüéâüéâ  Kapten Lionel Messi ini mampu membawa Argentina menang atas Prancis pada laga puncak final Piala Dunia di Stadion Lusail di Qatar, Senin (19/12) dini hari WIB .  https://t.co/7q9RIcJIBz</t>
  </si>
  <si>
    <t>congrats argentina menjadi juara pada piala dunia qatar kapten lionel messi ini mampu membawa argentina menang atas prancis pada laga puncak final piala dunia stadion lusail qatar senin dini hari wib</t>
  </si>
  <si>
    <t>['congrats', 'argentina', 'menjadi', 'juara', 'piala', 'dunia', 'qatar', 'kapten', 'lionel', 'messi', 'mampu', 'membawa', 'argentina', 'menang', 'atas', 'prancis', 'laga', 'puncak', 'final', 'piala', 'dunia', 'stadion', 'lusail', 'qatar', 'senin', 'dini', 'hari', 'wib']</t>
  </si>
  <si>
    <t>&lt;FreqDist with 24 samples and 28 outcomes&gt;</t>
  </si>
  <si>
    <t>piala dunia 4 tahun pisan, menang pas final yo sombong lah  https://t.co/NTCZR6yVlW</t>
  </si>
  <si>
    <t>piala dunia tahun pisan menang pas final sombong lah</t>
  </si>
  <si>
    <t>['piala', 'dunia', 'tahun', 'pisan', 'menang', 'pas', 'final', 'sombong', 'lah']</t>
  </si>
  <si>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</si>
  <si>
    <t>prediksi erick thohir tepat timnas sepakbola argentina berhasil menjadi juara piala dunia setelah mengalahkan prancis dalam partai final lusail iconic stadium qatar lewat adu penalti argentina berhasil menekuk prancis dengan skor</t>
  </si>
  <si>
    <t>['prediksi', 'erick', 'thohir', 'tepat', 'timnas', 'sepakbola', 'argentina', 'berhasil', 'menjadi', 'juara', 'piala', 'dunia', 'mengalahkan', 'prancis', 'partai', 'final', 'lusail', 'iconic', 'stadium', 'qatar', 'lewat', 'adu', 'penalti', 'argentina', 'berhasil', 'menekuk', 'prancis', 'skor']</t>
  </si>
  <si>
    <t>&lt;FreqDist with 25 samples and 28 outcomes&gt;</t>
  </si>
  <si>
    <t>Pertandingan Final Luar Biasa, Messi Bawa Argentina Juara Piala Dunia 2022 #FIFAWorldCup  #Qatar2022    https://t.co/I0ibZmAErq</t>
  </si>
  <si>
    <t>pertandingan final luar biasa messi bawa argentina juara piala dunia</t>
  </si>
  <si>
    <t>['pertandingan', 'final', 'luar', 'biasa', 'messi', 'bawa', 'argentina', 'juara', 'piala', 'dunia']</t>
  </si>
  <si>
    <t>Jadi final piala dunia terbaik yg pernah saya tonton. Selain match yg seru banget, tentunya kali ini nonton barengan full skuad üòçüòçüòç  https://t.co/oWcOXXdaJX</t>
  </si>
  <si>
    <t>jadi final piala dunia terbaik pernah saya tonton selain match seru banget tentunya kali ini nonton barengan full skuad</t>
  </si>
  <si>
    <t>['jadi', 'final', 'piala', 'dunia', 'terbaik', 'pernah', 'tonton', 'match', 'seru', 'banget', 'tentunya', 'kali', 'nonton', 'barengan', 'full', 'skuad']</t>
  </si>
  <si>
    <t>sakit kepala efek sok ikutan begadang nonton final piala dunia ü•≤üò¥</t>
  </si>
  <si>
    <t>sakit kepala efek sok ikutan begadang nonton final piala dunia</t>
  </si>
  <si>
    <t>['sakit', 'kepala', 'efek', 'sok', 'ikutan', 'begadang', 'nonton', 'final', 'piala', 'dunia']</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</si>
  <si>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</si>
  <si>
    <t>pencetak gol prancis final piala dunia adalah zinedine zidane goal emmanuel petit goal nonton bola paling mantap pake jaringan nya lancar membuat nonton jadi semakin seru</t>
  </si>
  <si>
    <t>['pencetak', 'gol', 'prancis', 'final', 'piala', 'dunia', 'zinedine', 'zidane', 'goal', 'emmanuel', 'petit', 'goal', 'nonton', 'bola', 'paling', 'mantap', 'pake', 'jaringan', 'lancar', 'membuat', 'nonton', 'jadi', 'semakin', 'seru']</t>
  </si>
  <si>
    <t>&lt;FreqDist with 22 samples and 24 outcomes&gt;</t>
  </si>
  <si>
    <t>Top 3 Sports: Argentina Juara Piala Dunia, Mbappe Menggila di Final  https://t.co/cZzHb2bsGG</t>
  </si>
  <si>
    <t>top sports argentina juara piala dunia mbappe menggila final</t>
  </si>
  <si>
    <t>['top', 'sports', 'argentina', 'juara', 'piala', 'dunia', 'mbappe', 'menggila', 'final']</t>
  </si>
  <si>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</si>
  <si>
    <t>prancis argentina final piala dunia messi berada akhir era dan mbappe pada usia emasnya mbappe bisa menyamai pele dan jauh lebih baik dari messi dan ronaldo tinggal attitudenya aja rapihin kalau mau dapat simpati suporter bakal jadi idola baru</t>
  </si>
  <si>
    <t>['prancis', 'argentina', 'final', 'piala', 'dunia', 'messi', 'berada', 'akhir', 'era', 'mbappe', 'usia', 'emasnya', 'mbappe', 'menyamai', 'pele', 'jauh', 'lebih', 'baik', 'messi', 'ronaldo', 'tinggal', 'attitudenya', 'rapihin', 'kalau', 'mau', 'simpati', 'suporter', 'bakal', 'jadi', 'idola', 'baru']</t>
  </si>
  <si>
    <t>Final piala dunia tergila. Btw mbappe gokil parah.</t>
  </si>
  <si>
    <t>final piala dunia tergila btw mbappe gokil parah</t>
  </si>
  <si>
    <t>['final', 'piala', 'dunia', 'tergila', 'by the way', 'mbappe', 'gila', 'parah']</t>
  </si>
  <si>
    <t>7 Foto Istri Griezmann, WAGs Prancis Curi Atensi Jelang Final Piala Dunia  https://t.co/g55qeBio9P  #AntoineGriezmann</t>
  </si>
  <si>
    <t>foto istri griezmann wags prancis curi atensi jelang final piala dunia</t>
  </si>
  <si>
    <t>['foto', 'istri', 'griezmann', 'wags', 'prancis', 'curi', 'atensi', 'jelang', 'final', 'piala', 'dunia']</t>
  </si>
  <si>
    <t>Harusnya libur nasional khusus final piala dunia nih krn gue yakin sekantor nguap semua nanti</t>
  </si>
  <si>
    <t>harusnya libur nasional khusus final piala dunia nih krn gue yakin sekantor nguap semua nanti</t>
  </si>
  <si>
    <t>['harusnya', 'libur', 'nasional', 'khusus', 'final', 'piala', 'dunia', 'gue', 'yakin', 'sekantor', 'nguap', 'semua']</t>
  </si>
  <si>
    <t>Gile, dibuat takjub dan belum bisa move on dari pertandingan final Piala Dunia semalem. Argentina Keren, Perancis juga Keren.</t>
  </si>
  <si>
    <t>gile dibuat takjub dan belum bisa move dari pertandingan final piala dunia semalem argentina keren perancis juga keren</t>
  </si>
  <si>
    <t>['gile', 'dibuat', 'takjub', 'move', 'pertandingan', 'final', 'piala', 'dunia', 'semalam', 'argentina', 'keren', 'perancis', 'keren']</t>
  </si>
  <si>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</si>
  <si>
    <t>piala dunia qatar argentina champion winner argentina berhasil menjadi juara dunia usai menumbangkan perancis lewat adu penalti pada pertandingan babak final piala dunia</t>
  </si>
  <si>
    <t>['piala', 'dunia', 'qatar', 'argentina', 'champion', 'winner', 'argentina', 'berhasil', 'menjadi', 'juara', 'dunia', 'usai', 'menumbangkan', 'perancis', 'lewat', 'adu', 'penalti', 'pertandingan', 'babak', 'final', 'piala', 'dunia']</t>
  </si>
  <si>
    <t>&lt;FreqDist with 18 samples and 22 outcomes&gt;</t>
  </si>
  <si>
    <t>Top 3 Sports: Argentina Juara Piala Dunia, Mbappe Menggila di Final  https://t.co/znxdWCbYQ9</t>
  </si>
  <si>
    <t>Nah ini prediksi saya bahwa #Arg sebelum Final Piala Dunia karena Dunia ingin menjadikan Messi sang Legend....... selamat Argentina....</t>
  </si>
  <si>
    <t>nah ini prediksi saya bahwa sebelum final piala dunia karena dunia ingin menjadikan messi sang legend selamat argentina</t>
  </si>
  <si>
    <t>['nah', 'prediksi', 'final', 'piala', 'dunia', 'dunia', 'menjadikan', 'messi', 'sang', 'legend', 'selamat', 'argentina']</t>
  </si>
  <si>
    <t>Final Piala Dunia 2022 jadi yang terbaik yang pernah digelar!  #EmtekWorldCup2022 #BolacomWorldCup2022 #PialaDunia2022 #PialaDunia   https://t.co/pliYdlIooh</t>
  </si>
  <si>
    <t>final piala dunia jadi yang terbaik yang pernah digelar</t>
  </si>
  <si>
    <t>['final', 'piala', 'dunia', 'jadi', 'terbaik', 'pernah', 'digelar']</t>
  </si>
  <si>
    <t>Rapor Pemain Argentina di Final Piala Dunia 2022: Lionel Messi The Real GOAT, Memang Layak Juara!  https://t.co/9Gji8AkhLb</t>
  </si>
  <si>
    <t>rapor pemain argentina final piala dunia lionel messi the real goat memang layak juara</t>
  </si>
  <si>
    <t>['rapor', 'pemain', 'argentina', 'final', 'piala', 'dunia', 'lionel', 'messi', 'the', 'real', 'goat', 'memang', 'layak', 'juara']</t>
  </si>
  <si>
    <t>Momen-momen penting final Piala Dunia 2022  https://t.co/H5YC532mpr</t>
  </si>
  <si>
    <t>momen momen penting final piala dunia</t>
  </si>
  <si>
    <t>['momen', 'momen', 'penting', 'final', 'piala', 'dunia']</t>
  </si>
  <si>
    <t>&lt;FreqDist with 5 samples and 6 outcomes&gt;</t>
  </si>
  <si>
    <t>Breaking News! Kylian Mbappe samakan skor menjadi 2-2 dalam final piala Dunia 2022 antara Argentina Vs Prancis - Lombok Insider  https://t.co/sO4yMvfbOe</t>
  </si>
  <si>
    <t>breaking news kylian mbappe samakan skor menjadi dalam final piala dunia antara argentina prancis lombok insider</t>
  </si>
  <si>
    <t>['breaking', 'news', 'kylian', 'mbappe', 'samakan', 'skor', 'menjadi', 'final', 'piala', 'dunia', 'argentina', 'prancis', 'lombok', 'insider']</t>
  </si>
  <si>
    <t>Drama adu pinalti di final piala dunia qatar 2022 dimenangkan oleh Argentina üá¶üá∑</t>
  </si>
  <si>
    <t>drama adu pinalti final piala dunia qatar dimenangkan oleh argentina</t>
  </si>
  <si>
    <t>['drama', 'adu', 'penalti', 'final', 'piala', 'dunia', 'qatar', 'dimenangkan', 'argentina']</t>
  </si>
  <si>
    <t>Paulo Dybala Bawa Pulang Jaring Gawang Final Piala Dunia 2022  https://t.co/rLE9YeS4fb</t>
  </si>
  <si>
    <t>paulo dybala bawa pulang jaring gawang final piala dunia</t>
  </si>
  <si>
    <t>['paulo', 'dybala', 'bawa', 'pulang', 'jaring', 'gawang', 'final', 'piala', 'dunia']</t>
  </si>
  <si>
    <t>Frustasi! Mbappe tendang bola keluar lapangan di final Piala Dunia, Argentina VS Prancis, Leo Messi bersinar - Lombok Insider  https://t.co/Uwh76AKdlx</t>
  </si>
  <si>
    <t>frustasi mbappe tendang bola keluar lapangan final piala dunia argentina prancis leo messi bersinar lombok insider</t>
  </si>
  <si>
    <t>['frustasi', 'mbappe', 'tendang', 'bola', 'keluar', 'lapangan', 'final', 'piala', 'dunia', 'argentina', 'prancis', 'leo', 'messi', 'bersinar', 'lombok', 'insider']</t>
  </si>
  <si>
    <t>Penebusan Di Maria Setelah "Final yang Hilang" pada Piala Dunia 2014  https://t.co/z2LodAPRZm</t>
  </si>
  <si>
    <t>penebusan maria setelah final yang hilang pada piala dunia</t>
  </si>
  <si>
    <t>['penebusan', 'maria', 'final', 'hilang', 'piala', 'dunia']</t>
  </si>
  <si>
    <t>Nonton piala dunia dari 2002 dan ini final yang paling seru ,congrats argentina</t>
  </si>
  <si>
    <t>nonton piala dunia dari dan ini final yang paling seru congrats argentina</t>
  </si>
  <si>
    <t>['nonton', 'piala', 'dunia', 'final', 'paling', 'seru', 'congrats', 'argentina']</t>
  </si>
  <si>
    <t>Melalui pertandingan yang sengit dan diakhiri dengan adu tendangan Penalti, Argentina sukses menjadi Juara Piala Dunia 2022 setelah di partai final mengalahkan Perancis 7-5 (3-3). #Olahraga #AdadiKompas  https://t.co/011JbxeTqO</t>
  </si>
  <si>
    <t>Selamat pagi buat kalian yang baru bangun dan gak nonton final Piala Dunia.  Semangat bekerja di hari Senin ya ‚òÄÔ∏èüåÑ  #MondayMotivation</t>
  </si>
  <si>
    <t>selamat pagi buat kalian yang baru bangun dan gak nonton final piala dunia semangat bekerja hari senin</t>
  </si>
  <si>
    <t>['selamat', 'pagi', 'buat', 'kalian', 'baru', 'bangun', 'nonton', 'final', 'piala', 'dunia', 'semangat', 'bekerja', 'hari', 'senin']</t>
  </si>
  <si>
    <t>semalem udh gbs tidur karna banyak distraksi, pas bgt mau lelap kyknya final piala dunia beres trs pada tereakk rame bener</t>
  </si>
  <si>
    <t>semalem udh gbs tidur karna banyak distraksi pas bgt mau lelap kyknya final piala dunia beres trs pada tereakk rame bener</t>
  </si>
  <si>
    <t>['semalam', 'sudah', 'tidak bisa', 'tidur', 'karna', 'banyak', 'distraksi', 'pas', 'banget', 'mau', 'lelap', 'sepertinya', 'final', 'piala', 'dunia', 'beres', 'terus', 'tereakk', 'ramai', 'benar']</t>
  </si>
  <si>
    <t>&lt;FreqDist with 20 samples and 20 outcomes&gt;</t>
  </si>
  <si>
    <t>Hasil Final Piala Dunia 2022: Argentina Akhirnya Juara Setelah ‚ÄòPuasa‚Äô 36 Tahun  https://t.co/hpTA8BIXll</t>
  </si>
  <si>
    <t>hasil final piala dunia argentina akhirnya juara setelah puasa tahun</t>
  </si>
  <si>
    <t>['hasil', 'final', 'piala', 'dunia', 'argentina', 'akhirnya', 'juara', 'puasa', 'tahun']</t>
  </si>
  <si>
    <t>Nobar Final Piala Dunia World Cup 2022  https://t.co/MXNlOB4boG</t>
  </si>
  <si>
    <t>nobar final piala dunia world cup</t>
  </si>
  <si>
    <t>['nonton bareng', 'final', 'piala', 'dunia', 'world', 'cup']</t>
  </si>
  <si>
    <t>Ngkuk bengi final piala dunia -rek  Aku dukung prancis soale aku ngefans berat karo giroud, awakmu dukung sopo?  https://t.co/yyB3QyUoLO</t>
  </si>
  <si>
    <t>ngkuk bengi final piala dunia rek aku dukung prancis soale aku ngefans berat karo giroud awakmu dukung sopo</t>
  </si>
  <si>
    <t>['ngkuk', 'bengi', 'final', 'piala', 'dunia', 'rek', 'aku', 'dukung', 'prancis', 'soale', 'aku', 'ngefans', 'berat', 'karo', 'giroud', 'awakmu', 'dukung', 'sopo']</t>
  </si>
  <si>
    <t>&lt;FreqDist with 16 samples and 18 outcomes&gt;</t>
  </si>
  <si>
    <t>Kenapa final piala dunia gk malam minggu aja, biar besoknya bisa langsung hibernasi, masih ngantuk cukk</t>
  </si>
  <si>
    <t>kenapa final piala dunia malam minggu aja biar besoknya bisa langsung hibernasi masih ngantuk cukk</t>
  </si>
  <si>
    <t>['final', 'piala', 'dunia', 'malam', 'minggu', 'besoknya', 'langsung', 'hibernasi', 'ngantuk', 'cukk']</t>
  </si>
  <si>
    <t>Mbappe, cemerlang di babak final tapi sayang tidak juara.  #EmtekWorldCup2022 #BolacomWorldCup2022 #PialaDunia2022 #PialaDunia   https://t.co/dUOv0TcxIU</t>
  </si>
  <si>
    <t>mbappe cemerlang babak final tapi sayang tidak juara</t>
  </si>
  <si>
    <t>['mbappe', 'cemerlang', 'babak', 'final', 'sayang', 'juara']</t>
  </si>
  <si>
    <t>Cocok sehabis nonton Final Piala Dunia üèÜ‚öΩ   https://t.co/a3q1ClBbj1  https://t.co/MWjWFZu2U3</t>
  </si>
  <si>
    <t>cocok sehabis nonton final piala dunia</t>
  </si>
  <si>
    <t>['cocok', 'sehabis', 'nonton', 'final', 'piala', 'dunia']</t>
  </si>
  <si>
    <t>Piala dunia ketolong comeback di final dari mbape dan finalti.</t>
  </si>
  <si>
    <t>piala dunia ketolong comeback final dari mbape dan finalti</t>
  </si>
  <si>
    <t>['piala', 'dunia', 'ketolong', 'comeback', 'final', 'mbape', 'finalti']</t>
  </si>
  <si>
    <t>Siapapun yg juara di final tadi malam adalah tim yg memang layak untuk juara dari segala aspek, menjadi final paling ideal dan paling kompetitif diantara 5 pagelaran terakhir final piala dunia . Selamat untuk Argentina, dan Prancis bermain sangat luar biasa.</t>
  </si>
  <si>
    <t>siapapun juara final tadi malam adalah tim memang layak untuk juara dari segala aspek menjadi final paling ideal dan paling kompetitif diantara pagelaran terakhir final piala dunia selamat untuk argentina dan prancis bermain sangat luar biasa</t>
  </si>
  <si>
    <t>['siapapun', 'juara', 'final', 'tadi', 'malam', 'tim', 'memang', 'layak', 'juara', 'segala', 'aspek', 'menjadi', 'final', 'paling', 'ideal', 'paling', 'kompetitif', 'diantara', 'pagelaran', 'terakhir', 'final', 'piala', 'dunia', 'selamat', 'argentina', 'prancis', 'bermain', 'sangat', 'luar', 'biasa']</t>
  </si>
  <si>
    <t>&lt;FreqDist with 26 samples and 30 outcomes&gt;</t>
  </si>
  <si>
    <t>Njir puas banget tadi malam tidur, dan terjadi kembali final piala dunia ketiduran lagi üòÖ</t>
  </si>
  <si>
    <t>njir puas banget tadi malam tidur dan terjadi kembali final piala dunia ketiduran lagi</t>
  </si>
  <si>
    <t>['njir', 'puas', 'banget', 'tadi', 'malam', 'tidur', 'terjadi', 'final', 'piala', 'dunia', 'ketiduran']</t>
  </si>
  <si>
    <t>WKWKWK ALIG SERU BANGET LIAT TWITTER SETALAH FINAL PIALA DUNIA</t>
  </si>
  <si>
    <t>wkwkwk alig seru banget liat twitter setalah final piala dunia</t>
  </si>
  <si>
    <t>['wkwkwk', 'gila', 'seru', 'banget', 'lihat', 'twitter', 'setalah', 'final', 'piala', 'dunia']</t>
  </si>
  <si>
    <t>Balik ke tahun 2016 jika benar-benar Lionel Messi memutuskan pensiun dari team Argentina saat itu,  Mungkin final piala dunia 2022, tak akan pernah menjadi final terbaik sepanjang masa</t>
  </si>
  <si>
    <t>balik tahun jika benar benar lionel messi memutuskan pensiun dari team argentina saat itu mungkin final piala dunia tak akan pernah menjadi final terbaik sepanjang masa</t>
  </si>
  <si>
    <t>['balik', 'tahun', 'benar', 'benar', 'lionel', 'messi', 'memutuskan', 'pensiun', 'team', 'argentina', 'mungkin', 'final', 'piala', 'dunia', 'tak', 'pernah', 'menjadi', 'final', 'terbaik', 'sepanjang', 'masa']</t>
  </si>
  <si>
    <t>Ada yg lebih menegangkan dari adu penalti final piala dunia semalen,pagi ini presentasi dan gw belum siap :v</t>
  </si>
  <si>
    <t>ada lebih menegangkan dari adu penalti final piala dunia semalen pagi ini presentasi dan belum siap</t>
  </si>
  <si>
    <t>['lebih', 'menegangkan', 'adu', 'penalti', 'final', 'piala', 'dunia', 'semalen', 'pagi', 'presentasi', 'siap']</t>
  </si>
  <si>
    <t>Bos Prancis Merasa Perlu Berdiskusi Tentang Keputusan Wasit di Final Piala Dunia 2022  https://t.co/24E8MISkF3</t>
  </si>
  <si>
    <t>bos prancis merasa perlu berdiskusi tentang keputusan wasit final piala dunia</t>
  </si>
  <si>
    <t>['bos', 'prancis', 'merasa', 'perlu', 'berdiskusi', 'keputusan', 'wasit', 'final', 'piala', 'dunia']</t>
  </si>
  <si>
    <t>Pagi,gue tadi tidur cuma 2 jam setelah nonton final piala dunia 2022  https://t.co/RAnNm1VXg8</t>
  </si>
  <si>
    <t>pagi gue tadi tidur cuma jam setelah nonton final piala dunia</t>
  </si>
  <si>
    <t>['pagi', 'gue', 'tadi', 'tidur', 'cuma', 'jam', 'nonton', 'final', 'piala', 'dunia']</t>
  </si>
  <si>
    <t>Speechless si sama final terseru semalem. Sekali lagi selamat buat Argentina yg bawa pulang trofi piala dunia 2022 dan selamat juga buat Mbappe gacor si lu jadi top Soccer. Keknya the next goat deh lu dan calon pildun 4 tahun kedepan</t>
  </si>
  <si>
    <t>speechless sama final terseru semalem sekali lagi selamat buat argentina bawa pulang trofi piala dunia dan selamat juga buat mbappe gacor jadi top soccer keknya the next goat deh dan calon pildun tahun kedepan</t>
  </si>
  <si>
    <t>['speechless', 'sama', 'final', 'terseru', 'semalam', 'sekali', 'selamat', 'buat', 'argentina', 'bawa', 'pulang', 'trofi', 'piala', 'dunia', 'selamat', 'buat', 'mbappe', 'gacor', 'jadi', 'top', 'soccer', 'sepertinya', 'the', 'next', 'goat', 'deh', 'calon', 'piala dunia', 'tahun', 'kedepan']</t>
  </si>
  <si>
    <t>Final piala dunia sudah selesai dengan adu pinalti.. mari selanjutnya menyaksikan sidang S4M60..  sama sama menegangkan...</t>
  </si>
  <si>
    <t>final piala dunia sudah selesai dengan adu pinalti mari selanjutnya menyaksikan sidang sama sama menegangkan</t>
  </si>
  <si>
    <t>['final', 'piala', 'dunia', 'selesai', 'adu', 'penalti', 'selanjutnya', 'menyaksikan', 'sidang', 'sama', 'sama', 'menegangkan']</t>
  </si>
  <si>
    <t>Final Piala Dunia 2022 bikin deg-degan banget lah.  #EmtekWorldCup2022 #BolacomWorldCup2022 #PialaDunia2022 #PialaDunia   https://t.co/c9ltzzrd92</t>
  </si>
  <si>
    <t>final piala dunia bikin deg degan banget lah</t>
  </si>
  <si>
    <t>['final', 'piala', 'dunia', 'deg', 'degan', 'banget', 'lah']</t>
  </si>
  <si>
    <t>Penyerang Prancis, Olivier Giroud, menunjukkan rasa frustrasinya usai diganti di final Piala Dunia 2022. #kumparanBOLA  https://t.co/nuHOaXVFq6</t>
  </si>
  <si>
    <t>penyerang prancis olivier giroud menunjukkan rasa frustrasinya usai diganti final piala dunia</t>
  </si>
  <si>
    <t>['penyerang', 'prancis', 'olivier', 'giroud', 'menunjukkan', 'rasa', 'frustrasinya', 'usai', 'diganti', 'final', 'piala', 'dunia']</t>
  </si>
  <si>
    <t>Final Piala Dunia Terbaik, Kemenangan Argentina Penuh Drama  #FIFAWorldCup2022 #FIFAWorldCupFinal #FIFA #FIFA„ÉØ„Éº„É´„Éâ„Ç´„ÉÉ„Éó #MessiìÉµ #MessiìÉµday #Messi #Argentina #ArgentinaVsFrance    https://t.co/tNsRfDPDZm</t>
  </si>
  <si>
    <t>final piala dunia terbaik kemenangan argentina penuh drama day</t>
  </si>
  <si>
    <t>['final', 'piala', 'dunia', 'terbaik', 'kemenangan', 'argentina', 'penuh', 'drama', 'day']</t>
  </si>
  <si>
    <t>SERU! Hasil Akhir Argentina vs Prancis Final Piala Dunia, Drama Adu Penalti Antarkan Sang Juara  #ArgentinaVsFrance #Argentina #FIFAWorldCup2022  @Argentina @FIFAWorldCup  https://t.co/hQWtCg4z79</t>
  </si>
  <si>
    <t>seru hasil akhir argentina prancis final piala dunia drama adu penalti antarkan sang juara</t>
  </si>
  <si>
    <t>['seru', 'hasil', 'akhir', 'argentina', 'prancis', 'final', 'piala', 'dunia', 'drama', 'adu', 'penalti', 'antarkan', 'sang', 'juara']</t>
  </si>
  <si>
    <t>Hahahahahahaaa... penghibur final piala dunia jatuh kepada @YonoBakrie  Liatin story &amp;amp; feeds IG Yono Gerrrrrrr polllll ü§£ü§£ü§£</t>
  </si>
  <si>
    <t>hahahahahahaaa penghibur final piala dunia jatuh kepada liatin story feeds yono gerrrrrrr polllll</t>
  </si>
  <si>
    <t>['hahahahahahaaa', 'penghibur', 'final', 'piala', 'dunia', 'jatuh', 'liatin', 'story', 'feeds', 'yono', 'gerrrrrrr', 'polllll']</t>
  </si>
  <si>
    <t>The best final piala duniaüá¶üá∑vsüá´üá∑</t>
  </si>
  <si>
    <t>the best final piala dunia</t>
  </si>
  <si>
    <t>['the', 'best', 'final', 'piala', 'dunia']</t>
  </si>
  <si>
    <t>Euphoria Final Piala Dunia.. jago yang menang pokok e haha @ Ndaengan Gedongkiwo  https://t.co/tnRzvZMqi5</t>
  </si>
  <si>
    <t>euphoria final piala dunia jago yang menang pokok haha ndaengan gedongkiwo</t>
  </si>
  <si>
    <t>['euphoria', 'final', 'piala', 'dunia', 'jago', 'menang', 'pokok', 'haha', 'ndaengan', 'gedongkiwo']</t>
  </si>
  <si>
    <t>selamat pagi buat orang2 yg kmrn tidur dan ga nonton final piala dunia, tak kei info wae nek argentina menang.</t>
  </si>
  <si>
    <t>selamat pagi buat orang kmrn tidur dan nonton final piala dunia tak kei info wae nek argentina menang</t>
  </si>
  <si>
    <t>['selamat', 'pagi', 'buat', 'orang', 'kmrn', 'tidur', 'nonton', 'final', 'piala', 'dunia', 'tak', 'kei', 'info', 'wae', 'nek', 'argentina', 'menang']</t>
  </si>
  <si>
    <t>Rapat ini itu dengan fifa percuma kalau jadwal  Liga 1 Indonesia masih dikendalikan Indosiar Masih ada jadwal pertandingan jam 8 malam, terus kemarin sengaja cuma 1 pertandingan jam 4 sore doang karena abis magrib closingan final piala dunia</t>
  </si>
  <si>
    <t>rapat ini itu dengan fifa percuma kalau jadwal liga indonesia masih dikendalikan indosiar masih ada jadwal pertandingan jam malam terus kemarin sengaja cuma pertandingan jam sore doang karena abis magrib closingan final piala dunia</t>
  </si>
  <si>
    <t>['rapat', 'fifa', 'percuma', 'kalau', 'jadwal', 'liga', 'indonesia', 'dikendalikan', 'indosiar', 'jadwal', 'pertandingan', 'jam', 'malam', 'terus', 'kemarin', 'sengaja', 'cuma', 'pertandingan', 'jam', 'sore', 'doang', 'abis', 'magrib', 'closingan', 'final', 'piala', 'dunia']</t>
  </si>
  <si>
    <t>&lt;FreqDist with 24 samples and 27 outcomes&gt;</t>
  </si>
  <si>
    <t>Hasil Final Piala Dunia 2022 Argentina vs Prancis: 3-3 (4-2p), Messi Resmi GOAT Sejati #FIFAWorldCup2022 #FIFAWorldCupFinal #FIFA #FIFA„ÉØ„Éº„É´„Éâ„Ç´„ÉÉ„Éó #MessiìÉµ #MessiìÉµday #Messi #Argentina #ArgentinaVsFrance   https://t.co/fMZA6ZOm8O</t>
  </si>
  <si>
    <t>hasil final piala dunia argentina prancis messi resmi goat sejati day</t>
  </si>
  <si>
    <t>['hasil', 'final', 'piala', 'dunia', 'argentina', 'prancis', 'messi', 'resmi', 'goat', 'sejati', 'day']</t>
  </si>
  <si>
    <t>Belanda kalah di final Piala Dunia kedua berturut-turut, dua kali dari tuan rumah, setelah kalah dari Jerman Barat pada¬†1974¬†.</t>
  </si>
  <si>
    <t>belanda kalah final piala dunia kedua berturut turut dua kali dari tuan rumah setelah kalah dari jerman barat pada</t>
  </si>
  <si>
    <t>['belanda', 'kalah', 'final', 'piala', 'dunia', 'kedua', 'berturut', 'turut', 'kali', 'tuan', 'rumah', 'kalah', 'jerman', 'barat']</t>
  </si>
  <si>
    <t>&lt;FreqDist with 13 samples and 14 outcomes&gt;</t>
  </si>
  <si>
    <t>Apa cuma gw yg dari awal sampe final semalem gapernah nonton piala duniaüòÇ tau tau liat Messi cium piala juara baeüòÖ</t>
  </si>
  <si>
    <t>apa cuma dari awal sampe final semalem gapernah nonton piala dunia tau tau liat messi cium piala juara bae</t>
  </si>
  <si>
    <t>['apa', 'cuma', 'awal', 'sampai', 'final', 'semalam', 'gapernah', 'nonton', 'piala', 'dunia', 'lihat', 'messi', 'cium', 'piala', 'juara', 'bae']</t>
  </si>
  <si>
    <t>&lt;FreqDist with 15 samples and 16 outcomes&gt;</t>
  </si>
  <si>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</si>
  <si>
    <t>final piala dunia fifa adalah pertandingan sepak bola yang dimainkan untuk menentukan pemenang piala dunia fifa pertandingan tersebut diperebutkan oleh tuan rumah argentina dan belanda stadion terbesar yang digunakan dalam turnamen tersebut dan argentina</t>
  </si>
  <si>
    <t>['final', 'piala', 'dunia', 'fifa', 'pertandingan', 'sepak', 'bola', 'dimainkan', 'menentukan', 'pemenang', 'piala', 'dunia', 'fifa', 'pertandingan', 'tersebut', 'diperebutkan', 'tuan', 'rumah', 'argentina', 'belanda', 'stadion', 'terbesar', 'digunakan', 'turnamen', 'tersebut', 'argentina']</t>
  </si>
  <si>
    <t>&lt;FreqDist with 20 samples and 26 outcomes&gt;</t>
  </si>
  <si>
    <t>@The_RedsIndo era Messi - Ronaldo sudah selesai. Kini siapa yg bisa saingi Mbape, usia 23 tahun sudah dapat piala dunia, dua kali final Piala Dunia, TopSkor Piala dunia, hattrick final piala dunia, di klub cuma belom dapat UCL aja.</t>
  </si>
  <si>
    <t>redsindo era messi ronaldo sudah selesai kini siapa bisa saingi mbape usia tahun sudah dapat piala dunia dua kali final piala dunia topskor piala dunia hattrick final piala dunia klub cuma belom dapat ucl aja</t>
  </si>
  <si>
    <t>['redsindo', 'era', 'messi', 'ronaldo', 'selesai', 'kini', 'siapa', 'saingi', 'mbape', 'usia', 'tahun', 'piala', 'dunia', 'kali', 'final', 'piala', 'dunia', 'topskor', 'piala', 'dunia', 'hattrick', 'final', 'piala', 'dunia', 'klub', 'cuma', 'belom', 'ucl']</t>
  </si>
  <si>
    <t>&lt;FreqDist with 21 samples and 28 outcomes&gt;</t>
  </si>
  <si>
    <t>Emiliano Martinez bisa dibilang salah satu pahlawan keberhasilan Timnas Argentina menjuarai Piala Dunia Qatar 2022. Hal itu tak lepas dari performa apiknya di babak adu penalti pada partai final melawan Prancis.  https://t.co/szsNpICin2</t>
  </si>
  <si>
    <t>emiliano martinez bisa dibilang salah satu pahlawan keberhasilan timnas argentina menjuarai piala dunia qatar hal itu tak lepas dari performa apiknya babak adu penalti pada partai final melawan prancis</t>
  </si>
  <si>
    <t>['emiliano', 'martinez', 'dibilang', 'salah', 'satu', 'pahlawan', 'keberhasilan', 'timnas', 'argentina', 'menjuarai', 'piala', 'dunia', 'qatar', 'tak', 'lepas', 'performa', 'apiknya', 'babak', 'adu', 'penalti', 'partai', 'final', 'melawan', 'prancis']</t>
  </si>
  <si>
    <t>&lt;FreqDist with 24 samples and 24 outcomes&gt;</t>
  </si>
  <si>
    <t>Argentina Tumbangkan Prancis di Final Piala Dunia Lewat Adu Penalti  https://t.co/g3dwokgJ8R</t>
  </si>
  <si>
    <t>argentina tumbangkan prancis final piala dunia lewat adu penalti</t>
  </si>
  <si>
    <t>['argentina', 'tumbangkan', 'prancis', 'final', 'piala', 'dunia', 'lewat', 'adu', 'penalti']</t>
  </si>
  <si>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</si>
  <si>
    <t>breaking kantor kepresidenan ukraina mengecam fifa karena menolak permintaan presiden zelensky untuk memutar video menit detik berisi pesan perdamaian layar besar saat final piala dunia fifa menganggap pesan dari video tersebut terlalu politis sumber</t>
  </si>
  <si>
    <t>['breaking', 'kantor', 'kepresidenan', 'ukraina', 'mengecam', 'fifa', 'menolak', 'permintaan', 'presiden', 'zelensky', 'memutar', 'video', 'menit', 'detik', 'berisi', 'pesan', 'perdamaian', 'layar', 'besar', 'final', 'piala', 'dunia', 'fifa', 'menganggap', 'pesan', 'video', 'tersebut', 'terlalu', 'politis', 'sumber']</t>
  </si>
  <si>
    <t>&lt;FreqDist with 27 samples and 30 outcomes&gt;</t>
  </si>
  <si>
    <t>@theflankerID Jagoin perancis, tapi puas nonton nya laga final terbagus selama piala dunia</t>
  </si>
  <si>
    <t>jagoin perancis tapi puas nonton nya laga final terbagus selama piala dunia</t>
  </si>
  <si>
    <t>['jagoin', 'perancis', 'puas', 'nonton', 'laga', 'final', 'terbagus', 'selama', 'piala', 'dunia']</t>
  </si>
  <si>
    <t>@IndonesiaGaruda sy penerbangan Cgk-Tte (19/12), penerbangan Pukul 01.00, karena final piala dunia sejak Pulul 20.00 (18/12) sy sudah di Bandara check in dan nonton piala dunia. Sesampai di Tte sy dikonfirmasi barang sy terlambat naik pesawat. Kok bisa? S</t>
  </si>
  <si>
    <t>penerbangan cgk tte penerbangan pukul karena final piala dunia sejak pulul sudah bandara check dan nonton piala dunia sesampai tte dikonfirmasi barang terlambat naik pesawat kok bisa</t>
  </si>
  <si>
    <t>['penerbangan', 'cgk', 'tte', 'penerbangan', 'pukul', 'final', 'piala', 'dunia', 'sejak', 'pulul', 'bandara', 'check', 'nonton', 'piala', 'dunia', 'sesampai', 'tte', 'dikonfirmasi', 'barang', 'terlambat', 'naik', 'pesawat', 'kok']</t>
  </si>
  <si>
    <t>&lt;FreqDist with 19 samples and 23 outcomes&gt;</t>
  </si>
  <si>
    <t>Drama-drama mulai dari babak grup sampai babak final juga seru-seru banget. Bisa diperdebatkan banget sih kalo ini edisi Piala Dunia terbaik!  https://t.co/I5Hdjrf62K</t>
  </si>
  <si>
    <t>drama drama mulai dari babak grup sampai babak final juga seru seru banget bisa diperdebatkan banget sih kalo ini edisi piala dunia terbaik</t>
  </si>
  <si>
    <t>['drama', 'drama', 'mulai', 'babak', 'grup', 'babak', 'final', 'seru', 'seru', 'banget', 'diperdebatkan', 'banget', 'edisi', 'piala', 'dunia', 'terbaik']</t>
  </si>
  <si>
    <t>&lt;FreqDist with 12 samples and 16 outcomes&gt;</t>
  </si>
  <si>
    <t>Apakah cm aku yg turu gasik ga nntn final piala dunia</t>
  </si>
  <si>
    <t>apakah aku turu gasik nntn final piala dunia</t>
  </si>
  <si>
    <t>['aku', 'tidur', 'gasik', 'nonton', 'final', 'piala', 'dunia']</t>
  </si>
  <si>
    <t>Pencetak goal final piala dunia tahun 1998 antara Prancis vs Brazil yakni Zinedine Zidane dengan 2 goal dan Emmanuel petit 1 goal. Skor berakhir 3 - 0 untuk kemenangan Prancis.  @indosat @idextratime  #PilDunBarengIOH Meluooo @agakretak @kinderboy_ @yannnnwoiiii</t>
  </si>
  <si>
    <t>pencetak goal final piala dunia tahun antara prancis brazil yakni zinedine zidane dengan goal dan emmanuel petit goal skor berakhir untuk kemenangan prancis meluooo</t>
  </si>
  <si>
    <t>['pencetak', 'goal', 'final', 'piala', 'dunia', 'tahun', 'prancis', 'brazil', 'zinedine', 'zidane', 'goal', 'emmanuel', 'petit', 'goal', 'skor', 'berakhir', 'kemenangan', 'prancis', 'meluooo']</t>
  </si>
  <si>
    <t>Kalian buang-buang waktu nonton final piala dunia? üòÑ</t>
  </si>
  <si>
    <t>kalian buang buang waktu nonton final piala dunia</t>
  </si>
  <si>
    <t>['kalian', 'buang', 'buang', 'waktu', 'nonton', 'final', 'piala', 'dunia']</t>
  </si>
  <si>
    <t>&lt;FreqDist with 7 samples and 8 outcomes&gt;</t>
  </si>
  <si>
    <t>Yang gak bagikan moment final piala dunia disosmed, fix kalian aneh.</t>
  </si>
  <si>
    <t>yang gak bagikan moment final piala dunia disosmed fix kalian aneh</t>
  </si>
  <si>
    <t>['bagikan', 'moment', 'final', 'piala', 'dunia', 'disosmed', 'fix', 'kalian', 'aneh']</t>
  </si>
  <si>
    <t>Atasan-atasan yang ngasih kelonggaran jam kerja ke karyawannya karena semalem final piala dunia adalah calon-calon ahli surga.</t>
  </si>
  <si>
    <t>atasan atasan yang ngasih kelonggaran jam kerja karyawannya karena semalem final piala dunia adalah calon calon ahli surga</t>
  </si>
  <si>
    <t>['atasan', 'atasan', 'ngasih', 'kelonggaran', 'jam', 'kerja', 'karyawannya', 'semalam', 'final', 'piala', 'dunia', 'calon', 'calon', 'ahli', 'surga']</t>
  </si>
  <si>
    <t>&lt;FreqDist with 13 samples and 15 outcomes&gt;</t>
  </si>
  <si>
    <t>mantap.. bertahan dari awal piala dunia sampai final nggak nonton pertandingan sekalipun...</t>
  </si>
  <si>
    <t>mantap bertahan dari awal piala dunia sampai final nggak nonton pertandingan sekalipun</t>
  </si>
  <si>
    <t>['mantap', 'bertahan', 'awal', 'piala', 'dunia', 'final', 'nonton', 'pertandingan', 'sekalipun']</t>
  </si>
  <si>
    <t>Menurut gue ini final piala dunia yg terseru bener bener gila bgt selama 120 menit sampe akhirnya adu penalty, gokil!!!</t>
  </si>
  <si>
    <t>menurut gue ini final piala dunia terseru bener bener gila bgt selama menit sampe akhirnya adu penalty gokil</t>
  </si>
  <si>
    <t>['gue', 'final', 'piala', 'dunia', 'terseru', 'benar', 'benar', 'gila', 'banget', 'selama', 'menit', 'sampai', 'akhirnya', 'adu', 'penalty', 'gila']</t>
  </si>
  <si>
    <t>&lt;FreqDist with 14 samples and 16 outcomes&gt;</t>
  </si>
  <si>
    <t>Wartawan Al Jazair Khadija Ben Qena dan presenter TV Al-Jazeera mengibarkan bendera Palestina selama pertandingan Argentina - Prancis di Final Piala Dunia Qatar (18/13/2022). üáµüá∏üáµüá∏üáµüá∏üáµüá∏  https://t.co/o13W3RQMMI</t>
  </si>
  <si>
    <t>wartawan jazair khadija ben qena dan presenter jazeera mengibarkan bendera palestina selama pertandingan argentina prancis final piala dunia qatar</t>
  </si>
  <si>
    <t>['wartawan', 'jazair', 'khadija', 'ben', 'qena', 'presenter', 'jazeera', 'mengibarkan', 'bendera', 'palestina', 'selama', 'pertandingan', 'argentina', 'prancis', 'final', 'piala', 'dunia', 'qatar']</t>
  </si>
  <si>
    <t>&lt;FreqDist with 18 samples and 18 outcomes&gt;</t>
  </si>
  <si>
    <t>Selama 56 tahun, Hurst sendirian menyandang predikat pemain yang mencetak tiga gol di final Piala Dunia saat Inggris menang 4-2 lewat perpanjangan waktu atas Jerman Barat pada 1966.   https://t.co/05pHnPQGGA</t>
  </si>
  <si>
    <t>selama tahun hurst sendirian menyandang predikat pemain yang mencetak tiga gol final piala dunia saat inggris menang lewat perpanjangan waktu atas jerman barat pada</t>
  </si>
  <si>
    <t>['selama', 'tahun', 'hurst', 'sendirian', 'menyandang', 'predikat', 'pemain', 'mencetak', 'tiga', 'gol', 'final', 'piala', 'dunia', 'inggris', 'menang', 'lewat', 'perpanjangan', 'waktu', 'atas', 'jerman', 'barat']</t>
  </si>
  <si>
    <t>&lt;FreqDist with 21 samples and 21 outcomes&gt;</t>
  </si>
  <si>
    <t>Pat bela-belain ke singapore buat nobar final piala dunia sama Pran, mereka berdua sama2 fans messi. Pas adu penalti Pat udah nangis aja di pukpuk sama Pran karena masih di cafe, balik ke kondo baru deh lebih dari pukpuk üòÉ    https://t.co/ssFCrVxB0W</t>
  </si>
  <si>
    <t>pat bela belain singapore buat nobar final piala dunia sama pran mereka berdua sama fans messi pas adu penalti pat udah nangis aja pukpuk sama pran karena masih cafe balik kondo baru deh lebih dari pukpuk</t>
  </si>
  <si>
    <t>['pat', 'bela', 'belain', 'singapore', 'buat', 'nonton bareng', 'final', 'piala', 'dunia', 'sama', 'pran', 'berdua', 'sama', 'fans', 'messi', 'pas', 'adu', 'penalti', 'pat', 'udah', 'nangis', 'pukpuk', 'sama', 'pran', 'cafe', 'balik', 'kondo', 'baru', 'deh', 'lebih', 'pukpuk']</t>
  </si>
  <si>
    <t>&lt;FreqDist with 26 samples and 31 outcomes&gt;</t>
  </si>
  <si>
    <t>Apa cuma gw yg ga nonton final piala dunia ??   #FIFAWorldCup</t>
  </si>
  <si>
    <t>apa cuma nonton final piala dunia</t>
  </si>
  <si>
    <t>['apa', 'cuma', 'nonton', 'final', 'piala', 'dunia']</t>
  </si>
  <si>
    <t>Berhasil Cetak 4 Gol di Final Piala Dunia Qatar 2022, Kylian Mbappe Gagal Bawa Prancis Juara  https://t.co/2sEFGjUaHe</t>
  </si>
  <si>
    <t>berhasil cetak gol final piala dunia qatar kylian mbappe gagal bawa prancis juara</t>
  </si>
  <si>
    <t>['berhasil', 'cetak', 'gol', 'final', 'piala', 'dunia', 'qatar', 'kylian', 'mbappe', 'gagal', 'bawa', 'prancis', 'juara']</t>
  </si>
  <si>
    <t>&lt;FreqDist with 13 samples and 13 outcomes&gt;</t>
  </si>
  <si>
    <t>yang paling wow dari final Piala Dunia adalah: ini orang2 cepet banget bikin poster photoshop Argentina juara edaaaaan.</t>
  </si>
  <si>
    <t>yang paling wow dari final piala dunia adalah ini orang cepet banget bikin poster photoshop argentina juara edaaaaan</t>
  </si>
  <si>
    <t>['paling', 'wow', 'final', 'piala', 'dunia', 'orang', 'cepet', 'banget', 'poster', 'photoshop', 'argentina', 'juara', 'edaaaaan']</t>
  </si>
  <si>
    <t>Sek ta, piala dunia iki wes final to?üòÖ</t>
  </si>
  <si>
    <t>sek piala dunia iki wes final</t>
  </si>
  <si>
    <t>['sek', 'piala', 'dunia', 'iki', 'wes', 'final']</t>
  </si>
  <si>
    <t>semalem ga ikut nonton final piala dunia, tp emng suda feeling Argentina yg menang. Vamosüá¶üá∑!  beres piala dunia lanjut piala AFF üòé</t>
  </si>
  <si>
    <t>semalem ikut nonton final piala dunia emng suda feeling argentina menang vamos beres piala dunia lanjut piala aff</t>
  </si>
  <si>
    <t>['semalam', 'ikut', 'nonton', 'final', 'piala', 'dunia', 'memang', 'suda', 'feeling', 'argentina', 'menang', 'vamos', 'beres', 'piala', 'dunia', 'lanjut', 'piala', 'aff']</t>
  </si>
  <si>
    <t>&lt;FreqDist with 15 samples and 18 outcomes&gt;</t>
  </si>
  <si>
    <t>Ada orang minta ditemenin nonton final piala dunia, tapi susah banget pas dibangunin</t>
  </si>
  <si>
    <t>ada orang minta ditemenin nonton final piala dunia tapi susah banget pas dibangunin</t>
  </si>
  <si>
    <t>['orang', 'minta', 'ditemenin', 'nonton', 'final', 'piala', 'dunia', 'susah', 'banget', 'pas', 'dibangunin']</t>
  </si>
  <si>
    <t>Ga bisa di pungkiri, ini final paling berkesan selama piala dunia</t>
  </si>
  <si>
    <t>bisa pungkiri ini final paling berkesan selama piala dunia</t>
  </si>
  <si>
    <t>['pungkiri', 'final', 'paling', 'berkesan', 'selama', 'piala', 'dunia']</t>
  </si>
  <si>
    <t>Argentina vs Prancis Final Piala Dunia Terbaik, Messi dan Mbappe Gila, Hari Ini Pemenangnya Sepak Bola!  https://t.co/S2UHckNkps</t>
  </si>
  <si>
    <t>argentina prancis final piala dunia terbaik messi dan mbappe gila hari ini pemenangnya sepak bola</t>
  </si>
  <si>
    <t>['argentina', 'prancis', 'final', 'piala', 'dunia', 'terbaik', 'messi', 'mbappe', 'gila', 'hari', 'pemenangnya', 'sepak', 'bola']</t>
  </si>
  <si>
    <t>7 Pelajaran Final Piala Dunia 2022 Argentina vs Prancis: Partai Puncak yang Luar Biasa, Messi Sah GOAT!  https://t.co/F80yGjgYj3</t>
  </si>
  <si>
    <t>pelajaran final piala dunia argentina prancis partai puncak yang luar biasa messi sah goat</t>
  </si>
  <si>
    <t>['pelajaran', 'final', 'piala', 'dunia', 'argentina', 'prancis', 'partai', 'puncak', 'luar', 'biasa', 'messi', 'sah', 'goat']</t>
  </si>
  <si>
    <t>Pastikan Pelanggan Nikmati Final Piala Dunia 2022 dengan Nyaman, PLN Jamin Pasokan Listrik Cukup  https://t.co/I3KGzZMiFq #PialaDunia #PialaDunia #PialaDunia2022 #PialaDuniaTahun2022</t>
  </si>
  <si>
    <t>pastikan pelanggan nikmati final piala dunia dengan nyaman pln jamin pasokan listrik cukup</t>
  </si>
  <si>
    <t>['pastikan', 'pelanggan', 'nikmati', 'final', 'piala', 'dunia', 'nyaman', 'pln', 'jamin', 'pasokan', 'listrik', 'cukup']</t>
  </si>
  <si>
    <t>Kaya ga punya harga diri banget ketiduran final piala dunia.</t>
  </si>
  <si>
    <t>kaya punya harga diri banget ketiduran final piala dunia</t>
  </si>
  <si>
    <t>['kaya', 'punya', 'harga', 'diri', 'banget', 'ketiduran', 'final', 'piala', 'dunia']</t>
  </si>
  <si>
    <t>Persahabatan Kylian Mbappe-Lionel Messi dan Sepotong Momen di Final Piala Dunia 2022   #Sindonews #BukanBeritaBiasa . https://t.co/qTDJge9mE6</t>
  </si>
  <si>
    <t>persahabatan kylian mbappe lionel messi dan sepotong momen final piala dunia</t>
  </si>
  <si>
    <t>['persahabatan', 'kylian', 'mbappe', 'lionel', 'messi', 'sepotong', 'momen', 'final', 'piala', 'dunia']</t>
  </si>
  <si>
    <t>selama nonton final piala dunia tidak bisa tidak mikirin raul lemos pas liat mbappe</t>
  </si>
  <si>
    <t>['selama', 'nonton', 'final', 'piala', 'dunia', 'mikirin', 'raul', 'lemos', 'pas', 'lihat', 'mbappe']</t>
  </si>
  <si>
    <t>Ukraina Langsung Kecam FIFA Usai Tidak Boleh Pidato Sebelum Pertandingan Final Piala Dunia Qatar  https://t.co/MVvDaMEVRK</t>
  </si>
  <si>
    <t>ukraina langsung kecam fifa usai tidak boleh pidato sebelum pertandingan final piala dunia qatar</t>
  </si>
  <si>
    <t>['ukraina', 'langsung', 'kecam', 'fifa', 'usai', 'pidato', 'pertandingan', 'final', 'piala', 'dunia', 'qatar']</t>
  </si>
  <si>
    <t>Kylian Mbappe Cetak Hattrick di Final, Samai Rekor Geoff Hurst dari Inggris pada Piala Dunia 1966  https://t.co/QivXLUnWez</t>
  </si>
  <si>
    <t>kylian mbappe cetak hattrick final samai rekor geoff hurst dari inggris pada piala dunia</t>
  </si>
  <si>
    <t>['kylian', 'mbappe', 'cetak', 'hattrick', 'final', 'samai', 'rekor', 'geoff', 'hurst', 'inggris', 'piala', 'dunia']</t>
  </si>
  <si>
    <t>Lionel Messi dan Para Pemain Terbaik Argentina pada Final Piala Dunia 2022 Kontra Prancis  https://t.co/AZxYqM8vs9  https://t.co/ndbo2MaaGO</t>
  </si>
  <si>
    <t>lionel messi dan para pemain terbaik argentina pada final piala dunia kontra prancis</t>
  </si>
  <si>
    <t>['lionel', 'messi', 'pemain', 'terbaik', 'argentina', 'final', 'piala', 'dunia', 'kontra', 'prancis']</t>
  </si>
  <si>
    <t>Sebelum Final Piala Dunia, Macron dan Presiden Argentina Sempat Perang Cuitan  https://t.co/Bi0yUMp7Fk #EmmanuelMacron #AlbertoFernandez #PresidenPrancis</t>
  </si>
  <si>
    <t>sebelum final piala dunia macron dan presiden argentina sempat perang cuitan</t>
  </si>
  <si>
    <t>['final', 'piala', 'dunia', 'macron', 'presiden', 'argentina', 'sempat', 'perang', 'cuitan']</t>
  </si>
  <si>
    <t>Cetak Hattrick di Final Piala Dunia 2022, Presiden Prancis: Kylian Mbappe Sangat Hebat!  https://t.co/MaKNzKy3xN  https://t.co/yU0erI6eeB</t>
  </si>
  <si>
    <t>cetak hattrick final piala dunia presiden prancis kylian mbappe sangat hebat</t>
  </si>
  <si>
    <t>['cetak', 'hattrick', 'final', 'piala', 'dunia', 'presiden', 'prancis', 'kylian', 'mbappe', 'sangat', 'hebat']</t>
  </si>
  <si>
    <t>Timnas Prancis Kalah Adu Penalti dari Argentina di Final Piala Dunia 2022, Apa Kata Didier Deschamps?  https://t.co/7yI8OLfy7I #TempoSport</t>
  </si>
  <si>
    <t>timnas prancis kalah adu penalti dari argentina final piala dunia apa kata didier deschamps</t>
  </si>
  <si>
    <t>['timnas', 'prancis', 'kalah', 'adu', 'penalti', 'argentina', 'final', 'piala', 'dunia', 'apa', 'kata', 'didier', 'deschamps']</t>
  </si>
  <si>
    <t>Man of the Match Final Piala Dunia 2022 Argentina vs Prancis: Lionel Messi  https://t.co/vINdpMvGfi</t>
  </si>
  <si>
    <t>man the match final piala dunia argentina prancis lionel messi</t>
  </si>
  <si>
    <t>['man', 'the', 'match', 'final', 'piala', 'dunia', 'argentina', 'prancis', 'lionel', 'messi']</t>
  </si>
  <si>
    <t>Final piala dunia 2014 sedih banget padahal lagi puasa. Akhirnya terbalaskan 8 tahun kemudianüò≠  https://t.co/UtsQJD5j6p</t>
  </si>
  <si>
    <t>final piala dunia sedih banget padahal lagi puasa akhirnya terbalaskan tahun kemudian</t>
  </si>
  <si>
    <t>['final', 'piala', 'dunia', 'sedih', 'banget', 'padahal', 'puasa', 'akhirnya', 'terbalaskan', 'tahun', 'kemudian']</t>
  </si>
  <si>
    <t>Full Time  Gol dari Pertandingan di Final Piala Dunia Qatar 2022 Menang Argentina (5) 3-3 (1) Kalah Prancis Di Lusail Iconic Stadium Lusail Qatar Tanggal Minggu 18 Desember 2022 kemarin...  Gue juara trofi sangat Lionel Messi dkk... Argentina juara ‚öΩüèüüá¶üá∑üá´üá∑</t>
  </si>
  <si>
    <t>full time gol dari pertandingan final piala dunia qatar menang argentina kalah prancis lusail iconic stadium lusail qatar tanggal minggu desember kemarin gue juara trofi sangat lionel messi dkk argentina juara</t>
  </si>
  <si>
    <t>['full', 'time', 'gol', 'pertandingan', 'final', 'piala', 'dunia', 'qatar', 'menang', 'argentina', 'kalah', 'prancis', 'lusail', 'iconic', 'stadium', 'lusail', 'qatar', 'tanggal', 'minggu', 'desember', 'kemarin', 'gue', 'juara', 'trofi', 'sangat', 'lionel', 'messi', 'dkk', 'argentina', 'juara']</t>
  </si>
  <si>
    <t>Final ter_epic piala dunia yang pernah aku tonton Dag_dig_dug_der üò± Selamat untuk timnas @ArgentinaüéñüèÜ ü•≥  @10_LioneIMessi mungkin kamu adalah the real goat üêê Selamat kau layak mendapatkanya üî• #WorldCupFinal #WorldCup2022 #WorldcupQatar2022</t>
  </si>
  <si>
    <t>final ter epic piala dunia yang pernah aku tonton dag dig dug der selamat untuk timnas lioneimessi mungkin kamu adalah the real goat selamat kau layak mendapatkanya</t>
  </si>
  <si>
    <t>['final', 'ter', 'epic', 'piala', 'dunia', 'pernah', 'aku', 'tonton', 'dag', 'dig', 'dug', 'der', 'selamat', 'timnas', 'lioneimessi', 'mungkin', 'kamu', 'the', 'real', 'goat', 'selamat', 'kau', 'layak', 'mendapatkanya']</t>
  </si>
  <si>
    <t>&lt;FreqDist with 23 samples and 24 outcomes&gt;</t>
  </si>
  <si>
    <t>Match final piala dunia terpedih üíî</t>
  </si>
  <si>
    <t>match final piala dunia terpedih</t>
  </si>
  <si>
    <t>['match', 'final', 'piala', 'dunia', 'terpedih']</t>
  </si>
  <si>
    <t>Piala dunia 2022 Qatar menjadi lonceng pergantian era, Messi "menutup" era ini dengan keluar sebagai juara dunia, Ronaldo lebih cepat saat pulang pada semi final.  Keduanya punya jalan kepahlawanannya masing2 di era yang sama, luar biasa!  Tapi untuk pensiun masih lama sih.</t>
  </si>
  <si>
    <t>piala dunia qatar menjadi lonceng pergantian era messi menutup era ini dengan keluar sebagai juara dunia ronaldo lebih cepat saat pulang pada semi final keduanya punya jalan kepahlawanannya masing era yang sama luar biasa tapi untuk pensiun masih lama sih</t>
  </si>
  <si>
    <t>['piala', 'dunia', 'qatar', 'menjadi', 'lonceng', 'pergantian', 'era', 'messi', 'menutup', 'era', 'keluar', 'juara', 'dunia', 'ronaldo', 'lebih', 'cepat', 'pulang', 'semi', 'final', 'keduanya', 'punya', 'jalan', 'kepahlawanannya', 'masing', 'era', 'sama', 'luar', 'biasa', 'pensiun', 'lama']</t>
  </si>
  <si>
    <t>D belain ga tdur semalem demi nonton final piala Dunia..... Klo dsuruh pilih tentu saja pro ke Argentina krn d sana ada Messi..!   Namun Sy sangat salut dan kagum sm Mbappe... Teenager ajaib yg sblmnya mengangkat piala utk prancis. Semuda itu, masih 19 tahun pd masa itu.</t>
  </si>
  <si>
    <t>belain tdur semalem demi nonton final piala dunia klo dsuruh pilih tentu saja pro argentina krn sana ada messi namun sangat salut dan kagum mbappe teenager ajaib sblmnya mengangkat piala utk prancis semuda itu masih tahun masa itu</t>
  </si>
  <si>
    <t>['belain', 'tdur', 'semalam', 'nonton', 'final', 'piala', 'dunia', 'dsuruh', 'pilih', 'pro', 'argentina', 'sana', 'messi', 'sangat', 'salut', 'kagum', 'mbappe', 'teenager', 'ajaib', 'sblmnya', 'mengangkat', 'piala', 'prancis', 'semuda', 'tahun', 'masa']</t>
  </si>
  <si>
    <t>&lt;FreqDist with 25 samples and 26 outcomes&gt;</t>
  </si>
  <si>
    <t>ga salah all in argentina pake pendekatan konspirasi elit global yg ga mungkin ga ngasih piala dunia buat messi di final terakhirnya. seninku mangan enakk üòã</t>
  </si>
  <si>
    <t>salah all argentina pake pendekatan konspirasi elit global mungkin ngasih piala dunia buat messi final terakhirnya seninku mangan enakk</t>
  </si>
  <si>
    <t>['salah', 'all', 'argentina', 'pake', 'pendekatan', 'konspirasi', 'elit', 'global', 'mungkin', 'ngasih', 'piala', 'dunia', 'buat', 'messi', 'final', 'terakhirnya', 'seninku', 'mangan', 'enakk']</t>
  </si>
  <si>
    <t>Besok besok pas perencanaan cuti, masukkan tanggal setelah final piala dunia kalau jatuh di hari minggu malem</t>
  </si>
  <si>
    <t>besok besok pas perencanaan cuti masukkan tanggal setelah final piala dunia kalau jatuh hari minggu malem</t>
  </si>
  <si>
    <t>['besok', 'besok', 'pas', 'perencanaan', 'cuti', 'masukkan', 'tanggal', 'final', 'piala', 'dunia', 'kalau', 'jatuh', 'hari', 'minggu', 'malem']</t>
  </si>
  <si>
    <t>Saya pecinta bola, meski bukan penggila bola.  Tapi Alhamdulillah saya tadi malam berhasil memprioritaskan kegiatan lain yang lebih penting: istirahat dan tidur...  Dan itu berlangsung sejak awal Piala Dunia hingga final.  Saya berhasil memprioritaskan tidur.  Hidup tidur!!!ü§£</t>
  </si>
  <si>
    <t>saya pecinta bola meski bukan penggila bola tapi alhamdulillah saya tadi malam berhasil memprioritaskan kegiatan lain yang lebih penting istirahat dan tidur dan itu berlangsung sejak awal piala dunia hingga final saya berhasil memprioritaskan tidur hidup tidur</t>
  </si>
  <si>
    <t>['pecinta', 'bola', 'meski', 'bukan', 'penggila', 'bola', 'alhamdulillah', 'tadi', 'malam', 'berhasil', 'memprioritaskan', 'kegiatan', 'lebih', 'penting', 'istirahat', 'tidur', 'berlangsung', 'sejak', 'awal', 'piala', 'dunia', 'hingga', 'final', 'berhasil', 'memprioritaskan', 'tidur', 'hidup', 'tidur']</t>
  </si>
  <si>
    <t>Selamat pagi dari saya yang gak nonton final piala dunia  üòä</t>
  </si>
  <si>
    <t>selamat pagi dari saya yang gak nonton final piala dunia</t>
  </si>
  <si>
    <t>['selamat', 'pagi', 'nonton', 'final', 'piala', 'dunia']</t>
  </si>
  <si>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</si>
  <si>
    <t>totogel situs togel online live casino sport slot online terbaik terpercaya terbesar indonesia hasil pertandingan piala dunia qatar final match timnas argentina dengan timnas prancis berakhir dengan skor dan kemenangan berpihak kepada timnas argentina</t>
  </si>
  <si>
    <t>['totogel', 'situs', 'togel', 'online', 'live', 'casino', 'sport', 'slot', 'online', 'terbaik', 'terpercaya', 'terbesar', 'indonesia', 'hasil', 'pertandingan', 'piala', 'dunia', 'qatar', 'final', 'match', 'timnas', 'argentina', 'timnas', 'prancis', 'berakhir', 'skor', 'kemenangan', 'berpihak', 'timnas', 'argentina']</t>
  </si>
  <si>
    <t>Timnas Argentina berhasil menyelesaikan kiprah mereka di gelaran Piala Dunia Qatar 2022 dengan sempurna. Ya, Timnas Argentina berhasil keluar sebagai juara usai mengalahkan Prancis di partai final.  https://t.co/phCNqovjyI</t>
  </si>
  <si>
    <t>timnas argentina berhasil menyelesaikan kiprah mereka gelaran piala dunia qatar dengan sempurna timnas argentina berhasil keluar sebagai juara usai mengalahkan prancis partai final</t>
  </si>
  <si>
    <t>['timnas', 'argentina', 'berhasil', 'menyelesaikan', 'kiprah', 'gelaran', 'piala', 'dunia', 'qatar', 'sempurna', 'timnas', 'argentina', 'berhasil', 'keluar', 'juara', 'usai', 'mengalahkan', 'prancis', 'partai', 'final']</t>
  </si>
  <si>
    <t>&lt;FreqDist with 17 samples and 20 outcomes&gt;</t>
  </si>
  <si>
    <t>Aku fomo gara2 keturon gak ndelok final piala dunia..</t>
  </si>
  <si>
    <t>aku fomo gara keturon gak ndelok final piala dunia</t>
  </si>
  <si>
    <t>['aku', 'fomo', 'gara', 'keturon', 'ndelok', 'final', 'piala', 'dunia']</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</si>
  <si>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</si>
  <si>
    <t>negara yang pernah masuk final piala dunia berturut turut italia juara juara brazil juara juara juara runner argentina juara runner prancis juara runner</t>
  </si>
  <si>
    <t>['negara', 'pernah', 'masuk', 'final', 'piala', 'dunia', 'berturut', 'turut', 'italia', 'juara', 'juara', 'brazil', 'juara', 'juara', 'juara', 'runner', 'argentina', 'juara', 'runner', 'prancis', 'juara', 'runner']</t>
  </si>
  <si>
    <t>&lt;FreqDist with 14 samples and 22 outcomes&gt;</t>
  </si>
  <si>
    <t>Gak dukung Russia atau Ukraina, tapi kalo mau nge share pesan politik jangan di final Piala Dunia tapi di Sidang Majelis Umum PBB. Elu salah tempat dan salah momen ngab.</t>
  </si>
  <si>
    <t>gak dukung russia atau ukraina tapi kalo mau nge share pesan politik jangan final piala dunia tapi sidang majelis umum pbb elu salah tempat dan salah momen ngab</t>
  </si>
  <si>
    <t>['dukung', 'russia', 'ukraina', 'mau', 'nge', 'share', 'pesan', 'politik', 'jangan', 'final', 'piala', 'dunia', 'sidang', 'majelis', 'umum', 'pbb', 'elu', 'salah', 'tempat', 'salah', 'momen', 'ngab']</t>
  </si>
  <si>
    <t>&lt;FreqDist with 21 samples and 22 outcomes&gt;</t>
  </si>
  <si>
    <t>Akan lebih sempurna lagi kalo dia bisa angkat trofi piala dunia. Dari dulu gua pgn liat dia juara dunia. Final malem ini, setiap Argentina ngegoalin, gua terharu pen nangis. Bayangin aja, idola lo yg udh lo idam2kan dari dulu bisa cetak 2 gol di final.</t>
  </si>
  <si>
    <t>akan lebih sempurna lagi kalo dia bisa angkat trofi piala dunia dari dulu gua pgn liat dia juara dunia final malem ini setiap argentina ngegoalin gua terharu pen nangis bayangin aja idola udh idam kan dari dulu bisa cetak gol final</t>
  </si>
  <si>
    <t>['lebih', 'sempurna', 'angkat', 'trofi', 'piala', 'dunia', 'dulu', 'gua', 'ingin', 'lihat', 'juara', 'dunia', 'final', 'malem', 'argentina', 'ngegoalin', 'gua', 'terharu', 'nangis', 'bayangin', 'idola', 'sudah', 'idam', 'kan', 'dulu', 'cetak', 'gol', 'final']</t>
  </si>
  <si>
    <t>lega hati rasanya, padahal semalem deg degan nungguin grand final piala dunia hahaha</t>
  </si>
  <si>
    <t>lega hati rasanya padahal semalem deg degan nungguin grand final piala dunia hahaha</t>
  </si>
  <si>
    <t>['lega', 'hati', 'rasanya', 'padahal', 'semalam', 'deg', 'degan', 'nungguin', 'grand', 'final', 'piala', 'dunia', 'hahaha']</t>
  </si>
  <si>
    <t xml:space="preserve">@ngantuakz @The_RedsIndo Mbappe bukan mustahil, dia udh menang pildun di usia 19th, tinggl gelar liga champions sama ballon d'or aja. Hattrick di final piala dunia aja udh hal yang gila. He's have a bright future. Kayanya yg nerusin tahta nya messi ya si </t>
  </si>
  <si>
    <t>redsindo mbappe bukan mustahil dia udh menang pildun usia tinggl gelar liga champions sama ballon aja hattrick final piala dunia aja udh hal yang gila have bright future kayanya nerusin tahta nya messi</t>
  </si>
  <si>
    <t>['redsindo', 'mbappe', 'bukan', 'mustahil', 'sudah', 'menang', 'piala dunia', 'usia', 'tinggl', 'gelar', 'liga', 'champions', 'sama', 'ballon', 'hattrick', 'final', 'piala', 'dunia', 'sudah', 'gila', 'have', 'bright', 'future', 'kayanya', 'nerusin', 'tahta', 'messi']</t>
  </si>
  <si>
    <t>semalem bela belain begang demi nonton grand final piala dunia</t>
  </si>
  <si>
    <t>['semalam', 'bela', 'belain', 'begang', 'nonton', 'grand', 'final', 'piala', 'dunia']</t>
  </si>
  <si>
    <t>Tetep rispek parah sama Mbappe, setelah liat siaran ulangnya emang gile banget sih Mbappe. Well-played guys final piala dunia kali ini seru parahh</t>
  </si>
  <si>
    <t>tetep rispek parah sama mbappe setelah liat siaran ulangnya emang gile banget sih mbappe well played guys final piala dunia kali ini seru parahh</t>
  </si>
  <si>
    <t>['tetep', 'rispek', 'parah', 'sama', 'mbappe', 'lihat', 'siaran', 'ulangnya', 'emang', 'gile', 'banget', 'mbappe', 'well', 'played', 'guys', 'final', 'piala', 'dunia', 'kali', 'seru', 'parahh']</t>
  </si>
  <si>
    <t>Momen-momen penting final Piala Dunia 2022  https://t.co/Vc0ASHekOJ</t>
  </si>
  <si>
    <t>Ini baru final.. seru nya pake bgt .. pengen kenalan sm bandar nya üôÑ kok bisa banget mempermainkan perasaan üòÇü§£ btw, selamat messi menutup karier dengan juara piala dunia ü•∞  https://t.co/OyKoIIERkG</t>
  </si>
  <si>
    <t>ini baru final seru nya pake bgt pengen kenalan bandar nya kok bisa banget mempermainkan perasaan btw selamat messi menutup karier dengan juara piala dunia</t>
  </si>
  <si>
    <t>['baru', 'final', 'seru', 'pake', 'banget', 'pengen', 'kenalan', 'bandar', 'kok', 'banget', 'mempermainkan', 'perasaan', 'by the way', 'selamat', 'messi', 'menutup', 'karier', 'juara', 'piala', 'dunia']</t>
  </si>
  <si>
    <t>&lt;FreqDist with 19 samples and 20 outcomes&gt;</t>
  </si>
  <si>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</si>
  <si>
    <t>pangdam jaya mayjen tni untung budiharto hadiri acara pemberian hadiah lomba dalam rangka hut polda metro jaya pangdam jaya bersama kapolda metro jaya melanjutkan acara nonton bareng nobar grand final piala dunia bertempat gedung presisi mapolda metro jaya</t>
  </si>
  <si>
    <t>['pangdam', 'jaya', 'mayjen', 'tni', 'untung', 'budiharto', 'hadiri', 'acara', 'pemberian', 'hadiah', 'lomba', 'rangka', 'hut', 'polda', 'metro', 'jaya', 'pangdam', 'jaya', 'bersama', 'kapolda', 'metro', 'jaya', 'melanjutkan', 'acara', 'nonton', 'bareng', 'nonton bareng', 'grand', 'final', 'piala', 'dunia', 'bertempat', 'gedung', 'presisi', 'mapolda', 'metro', 'jaya']</t>
  </si>
  <si>
    <t>&lt;FreqDist with 29 samples and 37 outcomes&gt;</t>
  </si>
  <si>
    <t>Rekor-rekor Baru di Final Piala Dunia 2022  https://t.co/tXnG5NLuWn</t>
  </si>
  <si>
    <t>rekor rekor baru final piala dunia</t>
  </si>
  <si>
    <t>['rekor', 'rekor', 'baru', 'final', 'piala', 'dunia']</t>
  </si>
  <si>
    <t>Final piala dunia terseru</t>
  </si>
  <si>
    <t>final piala dunia terseru</t>
  </si>
  <si>
    <t>['final', 'piala', 'dunia', 'terseru']</t>
  </si>
  <si>
    <t>&lt;FreqDist with 4 samples and 4 outcomes&gt;</t>
  </si>
  <si>
    <t>Siapapun pmnangnya di Final FIFA World CUP Qatar 2022, enth itu Prancis maupun Argentina klian layak jadi juaranya dengan prmainan yg sngt apik &amp;amp; dramatis td malem. Akhrnya kejuaraan Piala Dunia 2018 dr Prancis di estafet kan ke Argentina di Piala Dunia 2022.</t>
  </si>
  <si>
    <t>siapapun pmnangnya final fifa world cup qatar enth itu prancis maupun argentina klian layak jadi juaranya dengan prmainan sngt apik dramatis malem akhrnya kejuaraan piala dunia prancis estafet kan argentina piala dunia</t>
  </si>
  <si>
    <t>['siapapun', 'pmnangnya', 'final', 'fifa', 'world', 'cup', 'qatar', 'enth', 'prancis', 'maupun', 'argentina', 'klian', 'layak', 'jadi', 'juaranya', 'prmainan', 'sngt', 'apik', 'dramatis', 'malem', 'akhrnya', 'kejuaraan', 'piala', 'dunia', 'prancis', 'estafet', 'kan', 'argentina', 'piala', 'dunia']</t>
  </si>
  <si>
    <t>Piala Dunia Qatar: Mac Allister akui Messi adalah sebab Argentina memenangi aksi final | Stadium Astro  https://t.co/RWrLsHjInr</t>
  </si>
  <si>
    <t>piala dunia qatar mac allister akui messi adalah sebab argentina memenangi aksi final stadium astro</t>
  </si>
  <si>
    <t>['piala', 'dunia', 'qatar', 'mac', 'allister', 'akui', 'messi', 'argentina', 'memenangi', 'aksi', 'final', 'stadium', 'astro']</t>
  </si>
  <si>
    <t>Apa cuma saya yg sama sekali ga nonton piala dunia, termasuk final semalam?</t>
  </si>
  <si>
    <t>apa cuma saya sama sekali nonton piala dunia termasuk final semalam</t>
  </si>
  <si>
    <t>['apa', 'cuma', 'sama', 'sekali', 'nonton', 'piala', 'dunia', 'termasuk', 'final', 'semalam']</t>
  </si>
  <si>
    <t>Selamat buat Argentina Perancis tetap super Piala dunia dan laga final yang luar biasa seru n keren üö∂Kembali ke Liga</t>
  </si>
  <si>
    <t>selamat buat argentina perancis tetap super piala dunia dan laga final yang luar biasa seru keren kembali liga</t>
  </si>
  <si>
    <t>['selamat', 'buat', 'argentina', 'perancis', 'tetap', 'super', 'piala', 'dunia', 'laga', 'final', 'luar', 'biasa', 'seru', 'keren', 'liga']</t>
  </si>
  <si>
    <t>&lt;FreqDist with 15 samples and 15 outcomes&gt;</t>
  </si>
  <si>
    <t>Teko kabeh tweet seng mbahas final piala dunia, tanggapane emak memberi sudut pandang lain kekalahan perancis di laga semalam.</t>
  </si>
  <si>
    <t>teko kabeh tweet seng mbahas final piala dunia tanggapane emak memberi sudut pandang lain kekalahan perancis laga semalam</t>
  </si>
  <si>
    <t>['teko', 'kabeh', 'tweet', 'seng', 'mbahas', 'final', 'piala', 'dunia', 'tanggapane', 'emak', 'memberi', 'sudut', 'pandang', 'kekalahan', 'perancis', 'laga', 'semalam']</t>
  </si>
  <si>
    <t>Semalem final piala dunia?! üò≥</t>
  </si>
  <si>
    <t>semalem final piala dunia</t>
  </si>
  <si>
    <t>['semalam', 'final', 'piala', 'dunia']</t>
  </si>
  <si>
    <t>Final piala dunia terbaik</t>
  </si>
  <si>
    <t>final piala dunia terbaik</t>
  </si>
  <si>
    <t>['final', 'piala', 'dunia', 'terbaik']</t>
  </si>
  <si>
    <t>Emiliano Martinez tampil gemilang dalam laga Argentina vs Perancis di final Piala Dunia 2022. Ia pun dinobatkan sebagai kiper terbaik turnamen.  https://t.co/d4S4uqWf1R</t>
  </si>
  <si>
    <t>emiliano martinez tampil gemilang dalam laga argentina perancis final piala dunia pun dinobatkan sebagai kiper terbaik turnamen</t>
  </si>
  <si>
    <t>['emiliano', 'martinez', 'tampil', 'gemilang', 'laga', 'argentina', 'perancis', 'final', 'piala', 'dunia', 'dinobatkan', 'kiper', 'terbaik', 'turnamen']</t>
  </si>
  <si>
    <t>Emiliano Martinez tampil gemilang dalam laga Argentina vs Perancis di final Piala Dunia 2022. Ia pun dinobatkan sebagai kiper terbaik turnamen.   https://t.co/vs4frJ5i2j</t>
  </si>
  <si>
    <t>Emiliano Martinez tampil gemilang dalam laga Argentina vs Perancis di final Piala Dunia 2022. Ia pun dinobatkan sebagai kiper terbaik turnamen.   https://t.co/vs4frIN8Ob</t>
  </si>
  <si>
    <t>Final piala dunia yang paling bikin sakit kepala sejak piala dunia 2006 yang pertama saya tonton saking serunya, apalagi kena angin malam, tepi sungai, musim dingin, nyampe rumah auto nyut2an. But it's all worth it.  https://t.co/Npuu51XPw1</t>
  </si>
  <si>
    <t>final piala dunia yang paling bikin sakit kepala sejak piala dunia yang pertama saya tonton saking serunya apalagi kena angin malam tepi sungai musim dingin nyampe rumah auto nyut but all worth</t>
  </si>
  <si>
    <t>['final', 'piala', 'dunia', 'paling', 'sakit', 'kepala', 'sejak', 'piala', 'dunia', 'pertama', 'tonton', 'saking', 'serunya', 'kena', 'angin', 'malam', 'tepi', 'sungai', 'musim', 'dingin', 'sampai', 'rumah', 'auto', 'nyut', 'but', 'all', 'worth']</t>
  </si>
  <si>
    <t>&lt;FreqDist with 25 samples and 27 outcomes&gt;</t>
  </si>
  <si>
    <t>Hasil Final Piala Dunia 2022 - Argentina Taklukkan Prancis Lewat Adu Penalti, Lionel Messi Sah Jadi GOAT dengan Paripurna  https://t.co/khutt9LdDx  Download aplikasi  https://t.co/Qix4BJN1Yy untuk akses berita lebih mudah dan cepat: Android:  https://t.co/MzspRlFuSI</t>
  </si>
  <si>
    <t>hasil final piala dunia argentina taklukkan prancis lewat adu penalti lionel messi sah jadi goat dengan paripurna download aplikasi untuk akses berita lebih mudah dan cepat android</t>
  </si>
  <si>
    <t>['hasil', 'final', 'piala', 'dunia', 'argentina', 'taklukkan', 'prancis', 'lewat', 'adu', 'penalti', 'lionel', 'messi', 'sah', 'jadi', 'goat', 'paripurna', 'download', 'aplikasi', 'akses', 'berita', 'lebih', 'mudah', 'cepat', 'android']</t>
  </si>
  <si>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</si>
  <si>
    <t>final messi menangis sedih karena meski menjadi pemain terbaik piala dunia tapi dia gagal membawa argentina menjadi juara tapi kini dia menangis bahagia karena sukses mewujudkan mimpinya meraih trophy piala dunia dan membawa albiceleste meraih trofi ketiganya</t>
  </si>
  <si>
    <t>['final', 'messi', 'menangis', 'sedih', 'meski', 'menjadi', 'pemain', 'terbaik', 'piala', 'dunia', 'gagal', 'membawa', 'argentina', 'menjadi', 'juara', 'kini', 'menangis', 'bahagia', 'sukses', 'mewujudkan', 'mimpinya', 'meraih', 'trophy', 'piala', 'dunia', 'membawa', 'albiceleste', 'meraih', 'trofi', 'ketiganya']</t>
  </si>
  <si>
    <t>&lt;FreqDist with 24 samples and 30 outcomes&gt;</t>
  </si>
  <si>
    <t>Tetep kirik mbappe 23 tahun 2x final piala dunia üôè Rungkat rapopo penting gayeng best final fifa world cup ‚ù§Ô∏è‚Äçüî•  https://t.co/smkiU0ayak</t>
  </si>
  <si>
    <t>tetep kirik mbappe tahun final piala dunia rungkat rapopo penting gayeng best final fifa world cup</t>
  </si>
  <si>
    <t>['tetep', 'kirik', 'mbappe', 'tahun', 'final', 'piala', 'dunia', 'rungkat', 'rapopo', 'penting', 'gayeng', 'best', 'final', 'fifa', 'world', 'cup']</t>
  </si>
  <si>
    <t>FOTO: Pesohor di Final Piala Dunia 2022, Elon Musk hingga Djokovic.  https://t.co/Nkooop3OVy</t>
  </si>
  <si>
    <t>foto pesohor final piala dunia elon musk hingga djokovic</t>
  </si>
  <si>
    <t>['foto', 'pesohor', 'final', 'piala', 'dunia', 'elon', 'musk', 'hingga', 'djokovic']</t>
  </si>
  <si>
    <t>Pertandingan final malam ini mencetak sejarah baru gol terbanyak di piala dunia sejak 1954, 12 gol #FIFAWorldCup‚ÄØ‚ÄØ‚ÄØ‚ÄØ‚ÄØ #Qatar2022</t>
  </si>
  <si>
    <t>pertandingan final malam ini mencetak sejarah baru gol terbanyak piala dunia sejak gol</t>
  </si>
  <si>
    <t>['pertandingan', 'final', 'malam', 'mencetak', 'sejarah', 'baru', 'gol', 'terbanyak', 'piala', 'dunia', 'sejak', 'gol']</t>
  </si>
  <si>
    <t>@haniekaz @ninjab3393syo @The_RedsIndo Chapter berlanjut, bila Haaland membawa tim negaranya kembali ke putaran final piala dunia, sekaligus menuju grand final. Untuk mencapai kesetaraan dengan Mbappe.</t>
  </si>
  <si>
    <t>redsindo chapter berlanjut bila haaland membawa tim negaranya kembali putaran final piala dunia sekaligus menuju grand final untuk mencapai kesetaraan dengan mbappe</t>
  </si>
  <si>
    <t>['redsindo', 'chapter', 'berlanjut', 'bila', 'haaland', 'membawa', 'tim', 'negaranya', 'putaran', 'final', 'piala', 'dunia', 'sekaligus', 'menuju', 'grand', 'final', 'mencapai', 'kesetaraan', 'mbappe']</t>
  </si>
  <si>
    <t>&lt;FreqDist with 18 samples and 19 outcomes&gt;</t>
  </si>
  <si>
    <t>Final piala dunia  ini, hasilnya  bagaikan Argentina vs Belanda. Argentina unggul 2-0 terlebih dulu dan disusul menjadi 2-2, akhirnya Argentina menang pinalti.</t>
  </si>
  <si>
    <t>final piala dunia ini hasilnya bagaikan argentina belanda argentina unggul terlebih dulu dan disusul menjadi akhirnya argentina menang pinalti</t>
  </si>
  <si>
    <t>['final', 'piala', 'dunia', 'hasilnya', 'bagaikan', 'argentina', 'belanda', 'argentina', 'unggul', 'terlebih', 'dulu', 'disusul', 'menjadi', 'akhirnya', 'argentina', 'menang', 'penalti']</t>
  </si>
  <si>
    <t>&lt;FreqDist with 15 samples and 17 outcomes&gt;</t>
  </si>
  <si>
    <t>Ga kerasa piala dunia udah habis aja, sedih campur bahagia. Sedih karena harus berakhir, bahagia karena semua match seru dan penuh dengan kejutan. Final terbaik piala dunia sepanjang masa! Sampai jumpa di piala Dunia 2025!</t>
  </si>
  <si>
    <t>kerasa piala dunia udah habis aja sedih campur bahagia sedih karena harus berakhir bahagia karena semua match seru dan penuh dengan kejutan final terbaik piala dunia sepanjang masa sampai jumpa piala dunia</t>
  </si>
  <si>
    <t>['kerasa', 'piala', 'dunia', 'udah', 'habis', 'sedih', 'campur', 'bahagia', 'sedih', 'berakhir', 'bahagia', 'semua', 'match', 'seru', 'penuh', 'kejutan', 'final', 'terbaik', 'piala', 'dunia', 'sepanjang', 'masa', 'jumpa', 'piala', 'dunia']</t>
  </si>
  <si>
    <t>Final piala dunia paling keren!! Selamat buat Argentina!!</t>
  </si>
  <si>
    <t>final piala dunia paling keren selamat buat argentina</t>
  </si>
  <si>
    <t>['final', 'piala', 'dunia', 'paling', 'keren', 'selamat', 'buat', 'argentina']</t>
  </si>
  <si>
    <t>Darimana dapat tanggalnya main final piala dunia ü§îü§îü§î  Kualifikasinya aja baru mulai tahun 2020  https://t.co/t17sAQ2vAB   Jadwal dirilis tahun 2020  https://t.co/wawUEPveqA   Time traveler atau indigo üßêüßêüßê</t>
  </si>
  <si>
    <t>darimana dapat tanggalnya main final piala dunia kualifikasinya aja baru mulai tahun jadwal dirilis tahun time traveler atau indigo</t>
  </si>
  <si>
    <t>['darimana', 'tanggalnya', 'main', 'final', 'piala', 'dunia', 'kualifikasinya', 'baru', 'mulai', 'tahun', 'jadwal', 'dirilis', 'tahun', 'time', 'traveler', 'indigo']</t>
  </si>
  <si>
    <t>demi ini final piala dunia yang b tidak mengerti sama sekali ni bisa tidak tidur sampe pagi tu‚ò∫Ô∏è</t>
  </si>
  <si>
    <t>demi ini final piala dunia yang tidak mengerti sama sekali bisa tidak tidur sampe pagi</t>
  </si>
  <si>
    <t>['final', 'piala', 'dunia', 'mengerti', 'sama', 'sekali', 'tidur', 'sampai', 'pagi']</t>
  </si>
  <si>
    <t>Sebelum laga final, Argentina punya rekor 5-1 jika melakoni babak adu penalti. Kini, rekor adu penalti La Albiceleste di Piala Dunia menjadi 6-1.   https://t.co/faLtE1VVdJ</t>
  </si>
  <si>
    <t>sebelum laga final argentina punya rekor jika melakoni babak adu penalti kini rekor adu penalti albiceleste piala dunia menjadi</t>
  </si>
  <si>
    <t>['laga', 'final', 'argentina', 'punya', 'rekor', 'melakoni', 'babak', 'adu', 'penalti', 'kini', 'rekor', 'adu', 'penalti', 'albiceleste', 'piala', 'dunia', 'menjadi']</t>
  </si>
  <si>
    <t>&lt;FreqDist with 14 samples and 17 outcomes&gt;</t>
  </si>
  <si>
    <t>SERU !!!!! Final piala dunia 2022 Qatar  Argentina vs Prancis</t>
  </si>
  <si>
    <t>seru final piala dunia qatar argentina prancis</t>
  </si>
  <si>
    <t>['seru', 'final', 'piala', 'dunia', 'qatar', 'argentina', 'prancis']</t>
  </si>
  <si>
    <t>sejak nonton final copa amerika yakin Argentina punya peluang juara dunia. Main solid, Messi + Di Maria saat itu kelas banget.   tapi berjalan piala dunia, koyok piye ya. WKWK. seru jare. tapi pilih turu bar prit pinalti argentina.</t>
  </si>
  <si>
    <t>sejak nonton final copa amerika yakin argentina punya peluang juara dunia main solid messi maria saat itu kelas banget tapi berjalan piala dunia koyok piye wkwk seru jare tapi pilih turu bar prit pinalti argentina</t>
  </si>
  <si>
    <t>['sejak', 'nonton', 'final', 'copa', 'amerika', 'yakin', 'argentina', 'punya', 'peluang', 'juara', 'dunia', 'main', 'solid', 'messi', 'maria', 'kelas', 'banget', 'berjalan', 'piala', 'dunia', 'koyok', 'piye', 'seru', 'jare', 'pilih', 'tidur', 'bar', 'prit', 'penalti', 'argentina']</t>
  </si>
  <si>
    <t>@idextratime final emang gilaa sih piala dunia kali inii, tapi apa iyaa klean nonton cuma pakai sandal ?? ü§≠ü§≠ tenang sob nih aku kasi rekomendasi sepatu casual paling okee lang sung cek cuyy!  https://t.co/vjJdk4fUPM  https://t.co/bV4G8IDVBi</t>
  </si>
  <si>
    <t>final emang gilaa sih piala dunia kali inii tapi apa iyaa klean nonton cuma pakai sandal tenang sob nih aku kasi rekomendasi sepatu casual paling okee lang sung cek cuyy</t>
  </si>
  <si>
    <t>['final', 'emang', 'gilaa', 'piala', 'dunia', 'kali', 'inii', 'apa', 'iyaa', 'klean', 'nonton', 'cuma', 'pakai', 'sandal', 'tenang', 'sob', 'aku', 'kasi', 'rekomendasi', 'sepatu', 'casual', 'paling', 'okee', 'lang', 'sung', 'cek', 'cuyy']</t>
  </si>
  <si>
    <t>&lt;FreqDist with 27 samples and 27 outcomes&gt;</t>
  </si>
  <si>
    <t>Sebelum laga final, Argentina punya rekor 5-1 jika melakoni babak adu penalti. Kini, rekor adu penalti La Albiceleste di Piala Dunia menjadi 6-1.   https://t.co/faLtE1DLZB</t>
  </si>
  <si>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</si>
  <si>
    <t>momen adalah satu momen bakal gue inget dimana waktu itu messi ggal bawa argentina juara piala dunia final kalah lawan jerman dmn messi waktu itu cuma bisa nangis dan pandangan kosong natap throphy world cup ttpi hari ini argentina bisa juara world cup</t>
  </si>
  <si>
    <t>['momen', 'satu', 'momen', 'bakal', 'gue', 'inget', 'waktu', 'messi', 'ggal', 'bawa', 'argentina', 'juara', 'piala', 'dunia', 'final', 'kalah', 'lawan', 'jerman', 'dmn', 'messi', 'waktu', 'cuma', 'nangis', 'pandangan', 'kosong', 'natap', 'throphy', 'world', 'cup', 'ttpi', 'hari', 'argentina', 'juara', 'world', 'cup']</t>
  </si>
  <si>
    <t>&lt;FreqDist with 28 samples and 35 outcomes&gt;</t>
  </si>
  <si>
    <t>Bola Sepak: Bola Sepak-Magical Messi mengangkat Piala Dunia selepas final untuk berzaman -  https://t.co/sLZWPRuagi                  &amp;lt;!-- Content data --&amp;gt; LUSAIL, Qatar (Reuters) ‚Äì</t>
  </si>
  <si>
    <t>bola sepak bola sepak magical messi mengangkat piala dunia selepas final untuk berzaman content data lusail qatar reuters</t>
  </si>
  <si>
    <t>['bola', 'sepak', 'bola', 'sepak', 'magical', 'messi', 'mengangkat', 'piala', 'dunia', 'selepas', 'final', 'berzaman', 'content', 'data', 'lusail', 'qatar', 'reuters']</t>
  </si>
  <si>
    <t>Apa cuma w yg ga nonton final piala dunia ?</t>
  </si>
  <si>
    <t>selamat buat sebelah ga pernah kalah di final piala dunia üëèüèº</t>
  </si>
  <si>
    <t>selamat buat sebelah pernah kalah final piala dunia</t>
  </si>
  <si>
    <t>['selamat', 'buat', 'sebelah', 'pernah', 'kalah', 'final', 'piala', 'dunia']</t>
  </si>
  <si>
    <t>@The_RedsIndo FINAL PIALA DUNIA TERBAIK YG PERNAH SAYA NONTON!!!</t>
  </si>
  <si>
    <t>redsindo final piala dunia terbaik pernah saya nonton</t>
  </si>
  <si>
    <t>['redsindo', 'final', 'piala', 'dunia', 'terbaik', 'pernah', 'nonton']</t>
  </si>
  <si>
    <t>Mau dikata setingan bandar, ini final piala dunia terseru pokoknya titik ora pake koma. Anjim!</t>
  </si>
  <si>
    <t>mau dikata setingan bandar ini final piala dunia terseru pokoknya titik ora pake koma anjim</t>
  </si>
  <si>
    <t>['mau', 'dikata', 'settingan', 'bandar', 'final', 'piala', 'dunia', 'terseru', 'pokoknya', 'titik', 'ora', 'pake', 'koma', 'anjim']</t>
  </si>
  <si>
    <t>Piala Dunia tahun penuh kejutan tapi final nya emang betul panas dingin best word cup #Qatar2022 #WorldcupQatar2022 #Mbappe #MessiìÉµ #Francia #Argentina  #ArgentinaVsFrance</t>
  </si>
  <si>
    <t>piala dunia tahun penuh kejutan tapi final nya emang betul panas dingin best word cup</t>
  </si>
  <si>
    <t>['piala', 'dunia', 'tahun', 'penuh', 'kejutan', 'final', 'emang', 'betul', 'panas', 'dingin', 'best', 'word', 'cup']</t>
  </si>
  <si>
    <t>#BolanetHighlights Final Piala Dunia Terbaik! Saksikan Drama Kemenangan Argentina atas Prancis Lewat Adu Penalti  https://t.co/GeNpMSNmH7</t>
  </si>
  <si>
    <t>final piala dunia terbaik saksikan drama kemenangan argentina atas prancis lewat adu penalti</t>
  </si>
  <si>
    <t>['final', 'piala', 'dunia', 'terbaik', 'saksikan', 'drama', 'kemenangan', 'argentina', 'atas', 'prancis', 'lewat', 'adu', 'penalti']</t>
  </si>
  <si>
    <t>Profil Biodata Marcos Acuna, Pemain Argentina yang Gantikan Di Maria di Babak Kedua Final Piala Dunia 2022 - Portal Purwokerto  https://t.co/ut0ckAWNAo  #MarcosAcu√±a</t>
  </si>
  <si>
    <t>profil biodata marcos acuna pemain argentina yang gantikan maria babak kedua final piala dunia portal purwokerto</t>
  </si>
  <si>
    <t>['profil', 'biodata', 'marcos', 'acuna', 'pemain', 'argentina', 'gantikan', 'maria', 'babak', 'kedua', 'final', 'piala', 'dunia', 'portal', 'purwokerto']</t>
  </si>
  <si>
    <t>Final Piala Dunia 2022 : Argentina Menang Adu Pinalti atas Prancis   https://t.co/5KTOncmD8f</t>
  </si>
  <si>
    <t>final piala dunia argentina menang adu pinalti atas prancis</t>
  </si>
  <si>
    <t>['final', 'piala', 'dunia', 'argentina', 'menang', 'adu', 'penalti', 'atas', 'prancis']</t>
  </si>
  <si>
    <t>4 tahun sekali yang Klimaks! Salah satu final Piala Dunia terbaik, Lionel Messi &amp;amp; Argentina pantas angkat Piala, Good game well played. #FIFAWorldCup</t>
  </si>
  <si>
    <t>tahun sekali yang klimaks salah satu final piala dunia terbaik lionel messi argentina pantas angkat piala good game well played</t>
  </si>
  <si>
    <t>['tahun', 'sekali', 'klimaks', 'salah', 'satu', 'final', 'piala', 'dunia', 'terbaik', 'lionel', 'messi', 'argentina', 'pantas', 'angkat', 'piala', 'good', 'game', 'well', 'played']</t>
  </si>
  <si>
    <t>Hasil Pertandingan Final Piala Dunia 2022 Argentina vs Prancis: Sejarah Terukir di Lusail Stadium!  https://t.co/sWKiWjDMlE</t>
  </si>
  <si>
    <t>hasil pertandingan final piala dunia argentina prancis sejarah terukir lusail stadium</t>
  </si>
  <si>
    <t>['hasil', 'pertandingan', 'final', 'piala', 'dunia', 'argentina', 'prancis', 'sejarah', 'terukir', 'lusail', 'stadium']</t>
  </si>
  <si>
    <t>Sepakat final piala dunia kali ini adl final paling seru dan menarik. Tapi seseru-serunya sepak bola, tetap saja adl sebuah permainan dan sebatas hiburan. Jgn sampai hal itu memalingkan kita pd sesuatu yg layak utk dijadikan sbg ‚Äòtujuan‚Äô.</t>
  </si>
  <si>
    <t>sepakat final piala dunia kali ini adl final paling seru dan menarik tapi seseru serunya sepak bola tetap saja adl sebuah permainan dan sebatas hiburan jgn sampai hal itu memalingkan kita sesuatu layak utk dijadikan sbg tujuan</t>
  </si>
  <si>
    <t>['sepakat', 'final', 'piala', 'dunia', 'kali', 'adl', 'final', 'paling', 'seru', 'menarik', 'seseru', 'serunya', 'sepak', 'bola', 'tetap', 'adl', 'sebuah', 'permainan', 'sebatas', 'hiburan', 'memalingkan', 'layak', 'dijadikan', 'sbg', 'tujuan']</t>
  </si>
  <si>
    <t>&lt;FreqDist with 23 samples and 25 outcomes&gt;</t>
  </si>
  <si>
    <t>Meski Gagal Membawa Three Lions Lewati Perempat Final Piala Dunia 2022, Southgate Resmi Bertahan Bersama Timnas Inggris  https://t.co/akYCdqJdG0</t>
  </si>
  <si>
    <t>meski gagal membawa three lions lewati perempat final piala dunia southgate resmi bertahan bersama timnas inggris</t>
  </si>
  <si>
    <t>['meski', 'gagal', 'membawa', 'three', 'lions', 'lewati', 'perempat', 'final', 'piala', 'dunia', 'southgate', 'resmi', 'bertahan', 'bersama', 'timnas', 'inggris']</t>
  </si>
  <si>
    <t>Final piala dunia terseru üî•</t>
  </si>
  <si>
    <t>Kita jadi saksi salah satu final terbaik dalam sejarah Piala Dunia..Tahniah Argentina #FinalWorldCup2022 @FIFAWorldCup @WorldCup2022Fan @qatar2022  https://t.co/aOiR2JHJzF</t>
  </si>
  <si>
    <t>kita jadi saksi salah satu final terbaik dalam sejarah piala dunia tahniah argentina</t>
  </si>
  <si>
    <t>['jadi', 'saksi', 'salah', 'satu', 'final', 'terbaik', 'sejarah', 'piala', 'dunia', 'tahniah', 'argentina']</t>
  </si>
  <si>
    <t>Mbappe menjadi orang kedua yang mencetak hattrick di laga final Piala Dunia setelah Geoff Hurst pada 1966 untuk unggul satu gol dari Lionel Messi.   https://t.co/qmXlpqrt7t</t>
  </si>
  <si>
    <t>mbappe menjadi orang kedua yang mencetak hattrick laga final piala dunia setelah geoff hurst pada untuk unggul satu gol dari lionel messi</t>
  </si>
  <si>
    <t>['mbappe', 'menjadi', 'orang', 'kedua', 'mencetak', 'hattrick', 'laga', 'final', 'piala', 'dunia', 'geoff', 'hurst', 'unggul', 'satu', 'gol', 'lionel', 'messi']</t>
  </si>
  <si>
    <t>Salah satu final Piala Dunia terbaik sepanjang masa. Cuma bisa nonton sampai menit 76' karna nguli day, padahal drama baru saja dimulai. üò©   Selamat Argentina üá¶üá∑</t>
  </si>
  <si>
    <t>salah satu final piala dunia terbaik sepanjang masa cuma bisa nonton sampai menit karna nguli day padahal drama baru saja dimulai selamat argentina</t>
  </si>
  <si>
    <t>['salah', 'satu', 'final', 'piala', 'dunia', 'terbaik', 'sepanjang', 'masa', 'cuma', 'nonton', 'menit', 'karna', 'nguli', 'day', 'padahal', 'drama', 'baru', 'dimulai', 'selamat', 'argentina']</t>
  </si>
  <si>
    <t>Kerja üí™keras &amp;amp; dedikasi modal untuk mencapai kesuksesan.  Lionel Messi bermimpi memenangkan final Piala Dunia untuk negaranya &amp;amp; akhirnya mewujudkannya.   #BravoMesi #BravoTimnasArgentina  https://t.co/WVDS3zwZ93</t>
  </si>
  <si>
    <t>kerja keras dedikasi modal untuk mencapai kesuksesan lionel messi bermimpi memenangkan final piala dunia untuk negaranya akhirnya mewujudkannya</t>
  </si>
  <si>
    <t>['kerja', 'keras', 'dedikasi', 'modal', 'mencapai', 'kesuksesan', 'lionel', 'messi', 'bermimpi', 'memenangkan', 'final', 'piala', 'dunia', 'negaranya', 'akhirnya', 'mewujudkannya']</t>
  </si>
  <si>
    <t>Malam yg sangat istimewa, final piala dunia terbaik, sejarah baru, gokil</t>
  </si>
  <si>
    <t>malam sangat istimewa final piala dunia terbaik sejarah baru gokil</t>
  </si>
  <si>
    <t>['malam', 'sangat', 'istimewa', 'final', 'piala', 'dunia', 'terbaik', 'sejarah', 'baru', 'gila']</t>
  </si>
  <si>
    <t>@FaktaSepakbola Mungkin gue punya tanggapan berbeda. Piala dunia ini dari awal kurang hype dan difase Perempat Final - Semifinal pertandingan seperti berasa friendly match ... Mental buat comeback ga ada. Justru Final ini adalah World Cup sesungguhnya, si</t>
  </si>
  <si>
    <t>mungkin gue punya tanggapan berbeda piala dunia ini dari awal kurang hype dan difase perempat final semifinal pertandingan seperti berasa friendly match mental buat comeback ada justru final ini adalah world cup sesungguhnya</t>
  </si>
  <si>
    <t>['mungkin', 'gue', 'punya', 'tanggapan', 'berbeda', 'piala', 'dunia', 'awal', 'kurang', 'hype', 'difase', 'perempat', 'final', 'semifinal', 'pertandingan', 'berasa', 'friendly', 'match', 'mental', 'buat', 'comeback', 'justru', 'final', 'world', 'cup', 'sesungguhnya']</t>
  </si>
  <si>
    <t>Piala Dunia terbaik sepanjang sejarah, Final Piala Dunia terbaik sepanjang sejarah, Dimenangkan oleh pesebakbola terbaik sepanjang sejarah, Lionel Anders Messi ìÉµ  The Greatest of All Time   https://t.co/wfkp6i6Ege</t>
  </si>
  <si>
    <t>piala dunia terbaik sepanjang sejarah final piala dunia terbaik sepanjang sejarah dimenangkan oleh pesebakbola terbaik sepanjang sejarah lionel anders messi the greatest all time</t>
  </si>
  <si>
    <t>['piala', 'dunia', 'terbaik', 'sepanjang', 'sejarah', 'final', 'piala', 'dunia', 'terbaik', 'sepanjang', 'sejarah', 'dimenangkan', 'pesebakbola', 'terbaik', 'sepanjang', 'sejarah', 'lionel', 'anders', 'messi', 'the', 'greatest', 'all', 'time']</t>
  </si>
  <si>
    <t>&lt;FreqDist with 15 samples and 23 outcomes&gt;</t>
  </si>
  <si>
    <t>Messi mencetak dua gol di laga final sehingga membuat total golnya di Piala Dunia 2022 menjadi tujuh gol. La Pulga juga mencetak gol saat adu penalti di babak final.   https://t.co/ukkiAkUssG</t>
  </si>
  <si>
    <t>messi mencetak dua gol laga final sehingga membuat total golnya piala dunia menjadi tujuh gol pulga juga mencetak gol saat adu penalti babak final</t>
  </si>
  <si>
    <t>['messi', 'mencetak', 'gol', 'laga', 'final', 'membuat', 'total', 'golnya', 'piala', 'dunia', 'menjadi', 'tujuh', 'gol', 'pulga', 'mencetak', 'gol', 'adu', 'penalti', 'babak', 'final']</t>
  </si>
  <si>
    <t>&lt;FreqDist with 16 samples and 20 outcomes&gt;</t>
  </si>
  <si>
    <t>Nonton Siaran Ulang Streaming Final Piala Dunia 2022   https://t.co/4HIDOdU7EO  https://t.co/4HIDOdU7EO  Argentina Vs France #ARGFRA #FIFAWorldCup  Messi Mbappe Giroud Griezmann Di Maria  https://t.co/8mryA9XeJh</t>
  </si>
  <si>
    <t>nonton siaran ulang streaming final piala dunia argentina france messi mbappe giroud griezmann maria</t>
  </si>
  <si>
    <t>['nonton', 'siaran', 'ulang', 'streaming', 'final', 'piala', 'dunia', 'argentina', 'france', 'messi', 'mbappe', 'giroud', 'griezmann', 'maria']</t>
  </si>
  <si>
    <t>5 Penyebab Prancis Kalah dari Argentina di Final Piala Dunia 2022</t>
  </si>
  <si>
    <t>penyebab prancis kalah dari argentina final piala dunia</t>
  </si>
  <si>
    <t>['penyebab', 'prancis', 'kalah', 'argentina', 'final', 'piala', 'dunia']</t>
  </si>
  <si>
    <t>Final Piala Dunia 2022: Mbappe Top Skor, Messi Pemain Terbaik  https://t.co/koSWvkzEIj  https://t.co/QvgAuXpNX7</t>
  </si>
  <si>
    <t>final piala dunia mbappe top skor messi pemain terbaik</t>
  </si>
  <si>
    <t>['final', 'piala', 'dunia', 'mbappe', 'top', 'skor', 'messi', 'pemain', 'terbaik']</t>
  </si>
  <si>
    <t>Nobar Final Piala Dunia bersama TPFx Makassar di @maxonemks   #france #argentina #vamosargentina #congratulationargentina #argentinawins #fifaworldcup2022qatarfinal #tpfxbestbroker @ MaxOne Hotel Makassar  https://t.co/iQ37p7MVmn</t>
  </si>
  <si>
    <t>nobar final piala dunia bersama tpfx makassar maxone hotel makassar</t>
  </si>
  <si>
    <t>['nonton bareng', 'final', 'piala', 'dunia', 'bersama', 'tpfx', 'makassar', 'maxone', 'hotel', 'makassar']</t>
  </si>
  <si>
    <t>final piala dunia terseru dan tergokil sih ini asli üá¶üá∑üá¶üá∑ü´°</t>
  </si>
  <si>
    <t>final piala dunia terseru dan tergokil sih ini asli</t>
  </si>
  <si>
    <t>['final', 'piala', 'dunia', 'terseru', 'tergokil', 'asli']</t>
  </si>
  <si>
    <t>Mbappe akan pulang ke negara asalnya dan menceritakan ke orang orang terdekatnya bagaimana dia mencetak Hattrick di final piala dunia 2022 namun tidak cukup membuatnya menjadi juara karena berjumpa Messi di final.  #MessiìÉµ</t>
  </si>
  <si>
    <t>mbappe akan pulang negara asalnya dan menceritakan orang orang terdekatnya bagaimana dia mencetak hattrick final piala dunia namun tidak cukup membuatnya menjadi juara karena berjumpa messi final</t>
  </si>
  <si>
    <t>['mbappe', 'pulang', 'negara', 'asalnya', 'menceritakan', 'orang', 'orang', 'terdekatnya', 'bagaimana', 'mencetak', 'hattrick', 'final', 'piala', 'dunia', 'cukup', 'membuatnya', 'menjadi', 'juara', 'berjumpa', 'messi', 'final']</t>
  </si>
  <si>
    <t>Gila gila gilaaaa!!! Final terbaik piala dunia yang pernah aing tonton ini ü•π  + emosi dg team dekor ü§åüèª</t>
  </si>
  <si>
    <t>gila gila gilaaaa final terbaik piala dunia yang pernah aing tonton ini emosi team dekor</t>
  </si>
  <si>
    <t>['gila', 'gila', 'gilaaaa', 'final', 'terbaik', 'piala', 'dunia', 'pernah', 'aing', 'tonton', 'emosi', 'team', 'dekor']</t>
  </si>
  <si>
    <t>Dari piala dunia kali ini kita bisa lihat main bagus ga penting penting amat selama dapet banyak penalti, nyampe final, juara. Oh iya sama faktor luck.</t>
  </si>
  <si>
    <t>dari piala dunia kali ini kita bisa lihat main bagus penting penting amat selama dapet banyak penalti nyampe final juara iya sama faktor luck</t>
  </si>
  <si>
    <t>['piala', 'dunia', 'kali', 'lihat', 'main', 'bagus', 'penting', 'penting', 'selama', 'dapat', 'banyak', 'penalti', 'sampai', 'final', 'juara', 'iya', 'sama', 'faktor', 'luck']</t>
  </si>
  <si>
    <t>Terima kasih untuk semua pemain Argentina yang sudah berusaha keras dari awal mulai pertandingan sampai saat ini di final piala dunia kalian semua luar biasa. üî•üíôüá¶üá∑ Dan akhirnya keinginan kalian tercapai menjadi juara piala dunia 2022 üèÜü•á Vamoss Argetina !!</t>
  </si>
  <si>
    <t>terima kasih untuk semua pemain argentina yang sudah berusaha keras dari awal mulai pertandingan sampai saat ini final piala dunia kalian semua luar biasa dan akhirnya keinginan kalian tercapai menjadi juara piala dunia vamoss argetina</t>
  </si>
  <si>
    <t>['terima', 'kasih', 'semua', 'pemain', 'argentina', 'berusaha', 'keras', 'awal', 'mulai', 'pertandingan', 'final', 'piala', 'dunia', 'kalian', 'semua', 'luar', 'biasa', 'akhirnya', 'keinginan', 'kalian', 'tercapai', 'menjadi', 'juara', 'piala', 'dunia', 'vamoss', 'argetina']</t>
  </si>
  <si>
    <t>&lt;FreqDist with 23 samples and 27 outcomes&gt;</t>
  </si>
  <si>
    <t>Akhirnya setelah penantian panjang, kini Messi mampu membawa Argentina juara Piala Dunia. Laga final yang cukup menegangkan!üî•üî• LINK :  https://t.co/D6egN1sxeZ #pildun22 #world #boladunia #sbobet #jadwalbola #prediksibola #pialadunia22 #pildun22 #fifaworldcup22 #epl #nft  https://t.co/nkPG10mTQJ</t>
  </si>
  <si>
    <t>akhirnya setelah penantian panjang kini messi mampu membawa argentina juara piala dunia laga final yang cukup menegangkan link</t>
  </si>
  <si>
    <t>['akhirnya', 'penantian', 'panjang', 'kini', 'messi', 'mampu', 'membawa', 'argentina', 'juara', 'piala', 'dunia', 'laga', 'final', 'cukup', 'menegangkan', 'link']</t>
  </si>
  <si>
    <t>Saya tahun 1998 hingga saat ini tidak pernah gagal taruhan walau ditingkat desa Final Piala Dunia, tahun ini meramal tidak sederhana lagi, dramatis, kejutan. Argentina VS Prancis 3-3 hingga extra time, akhirnya adu pinalti waktu Indonesia juga bergulir ke 19 Des  https://t.co/rJpO7NSpZG</t>
  </si>
  <si>
    <t>saya tahun hingga saat ini tidak pernah gagal taruhan walau ditingkat desa final piala dunia tahun ini meramal tidak sederhana lagi dramatis kejutan argentina prancis hingga extra time akhirnya adu pinalti waktu indonesia juga bergulir des</t>
  </si>
  <si>
    <t>['tahun', 'hingga', 'pernah', 'gagal', 'taruhan', 'ditingkat', 'desa', 'final', 'piala', 'dunia', 'tahun', 'meramal', 'sederhana', 'dramatis', 'kejutan', 'argentina', 'prancis', 'hingga', 'extra', 'time', 'akhirnya', 'adu', 'penalti', 'waktu', 'indonesia', 'bergulir', 'des']</t>
  </si>
  <si>
    <t>Final Piala Dunia Jadi Hiburan Para Pengungsi Gempa Bumi di Cianjur  https://t.co/h0RGFUET0a  https://t.co/ZNFSVrOnpo</t>
  </si>
  <si>
    <t>final piala dunia jadi hiburan para pengungsi gempa bumi cianjur</t>
  </si>
  <si>
    <t>['final', 'piala', 'dunia', 'jadi', 'hiburan', 'pengungsi', 'gempa', 'bumi', 'cianjur']</t>
  </si>
  <si>
    <t>Bayangkan kamu 1v1 dengan kiper dan berhasil mencetak gol di menit terakhir pertandingan final piala dunia. Tapi cukup bayangkan saja üòâ  https://t.co/8lxYJKB1CP</t>
  </si>
  <si>
    <t>bayangkan kamu dengan kiper dan berhasil mencetak gol menit terakhir pertandingan final piala dunia tapi cukup bayangkan saja</t>
  </si>
  <si>
    <t>['bayangkan', 'kamu', 'kiper', 'berhasil', 'mencetak', 'gol', 'menit', 'terakhir', 'pertandingan', 'final', 'piala', 'dunia', 'cukup', 'bayangkan']</t>
  </si>
  <si>
    <t>DRAMA FINAL TERBAIK PIALA DUNIA CUMA 2022 ges eweh deui !!</t>
  </si>
  <si>
    <t>drama final terbaik piala dunia cuma ges eweh deui</t>
  </si>
  <si>
    <t>['drama', 'final', 'terbaik', 'piala', 'dunia', 'cuma', 'guys', 'eweh', 'deui']</t>
  </si>
  <si>
    <t>Salut bgt sama final piala dunia 2022‚öΩÔ∏è Deg-degkan parah!</t>
  </si>
  <si>
    <t>salut bgt sama final piala dunia deg degkan parah</t>
  </si>
  <si>
    <t>['salut', 'banget', 'sama', 'final', 'piala', 'dunia', 'deg', 'degkan', 'parah']</t>
  </si>
  <si>
    <t>Final terbaiiaaak Piala Dunia selama aku uripüî•</t>
  </si>
  <si>
    <t>final terbaiiaaak piala dunia selama aku urip</t>
  </si>
  <si>
    <t>['final', 'terbaiiaaak', 'piala', 'dunia', 'selama', 'aku', 'urip']</t>
  </si>
  <si>
    <t>sedih sekaligus seneng. sedih karna tim jagoan kalah di final, tapi seneng juga karna liat messi akhirnya bisa angkat piala dunia</t>
  </si>
  <si>
    <t>sedih sekaligus seneng sedih karna tim jagoan kalah final tapi seneng juga karna liat messi akhirnya bisa angkat piala dunia</t>
  </si>
  <si>
    <t>['sedih', 'sekaligus', 'seneng', 'sedih', 'karna', 'tim', 'jagoan', 'kalah', 'final', 'seneng', 'karna', 'lihat', 'messi', 'akhirnya', 'angkat', 'piala', 'dunia']</t>
  </si>
  <si>
    <t>Lionel Messi Pecahkan Banyak Rekor di Final Piala Dunia 2022  https://t.co/vc4UFe1RDX</t>
  </si>
  <si>
    <t>lionel messi pecahkan banyak rekor final piala dunia</t>
  </si>
  <si>
    <t>['lionel', 'messi', 'pecahkan', 'banyak', 'rekor', 'final', 'piala', 'dunia']</t>
  </si>
  <si>
    <t>Apa cuma saya yang ga nonton satu pun pertandingan Piala Dunia, bahkan sampai final barusan.</t>
  </si>
  <si>
    <t>apa cuma saya yang nonton satu pun pertandingan piala dunia bahkan sampai final barusan</t>
  </si>
  <si>
    <t>['apa', 'cuma', 'nonton', 'satu', 'pertandingan', 'piala', 'dunia', 'bahkan', 'final', 'barusan']</t>
  </si>
  <si>
    <t>FINAL PIALA DUNIA BAHKAN TURNAMEN APAPUN INI FINAL TERBAIK YANG PERNAH GW TONTON ! #WORLDCUPQATAR2022 #WHATAFINAL #ARG #FRA</t>
  </si>
  <si>
    <t>final piala dunia bahkan turnamen apapun ini final terbaik yang pernah tonton</t>
  </si>
  <si>
    <t>['final', 'piala', 'dunia', 'bahkan', 'turnamen', 'apapun', 'final', 'terbaik', 'pernah', 'tonton']</t>
  </si>
  <si>
    <t>Tahun ini Kroasia memang gagal mengulangi prestasi empat tahun silam mencapai final Piala Dunia, tapi mereka sukses mengulangi pencapaian 1998 dengan menempati peringkat ketiga Piala Dun...  https://t.co/gKkQGj0awu</t>
  </si>
  <si>
    <t>tahun ini kroasia memang gagal mengulangi prestasi empat tahun silam mencapai final piala dunia tapi mereka sukses mengulangi pencapaian dengan menempati peringkat ketiga piala dun</t>
  </si>
  <si>
    <t>['tahun', 'kroasia', 'memang', 'gagal', 'mengulangi', 'prestasi', 'empat', 'tahun', 'silam', 'mencapai', 'final', 'piala', 'dunia', 'sukses', 'mengulangi', 'pencapaian', 'menempati', 'peringkat', 'ketiga', 'piala', 'dun']</t>
  </si>
  <si>
    <t>&lt;FreqDist with 18 samples and 21 outcomes&gt;</t>
  </si>
  <si>
    <t>Pulau Bungin, 18 Desember 2022. Nobar Final Piala Dunia Qatar 2022. Argentina 3 (4) vs Francis 3 (2)  https://t.co/1aY6hRsKLk</t>
  </si>
  <si>
    <t>pulau bungin desember nobar final piala dunia qatar argentina francis</t>
  </si>
  <si>
    <t>['pulau', 'bungin', 'desember', 'nonton bareng', 'final', 'piala', 'dunia', 'qatar', 'argentina', 'francis']</t>
  </si>
  <si>
    <t>Pererat Silaturahmi, Kapolres Metro Tangerang Kota Gelar Nobar Final Piala Dunia Bareng Para Ketua RW Dan Wartawan -  https://t.co/hFQvqoGYMv  https://t.co/Vxy4LpZvL5</t>
  </si>
  <si>
    <t>pererat silaturahmi kapolres metro tangerang kota gelar nobar final piala dunia bareng para ketua dan wartawan</t>
  </si>
  <si>
    <t>['pererat', 'silaturahmi', 'kapolres', 'metro', 'tangerang', 'kota', 'gelar', 'nonton bareng', 'final', 'piala', 'dunia', 'bareng', 'ketua', 'wartawan']</t>
  </si>
  <si>
    <t>best world cup final I've ever seen, disamping galau total prancis gua gagal back to back. piala dunia kali ini bakal gua inget, karna gua yakin momen¬≤ yang gua rasain di pildun 2022 ga akan keulang di 2026. thank you qatar, see you di benua amerikaüëãüèª</t>
  </si>
  <si>
    <t>best world cup final ever seen disamping galau total prancis gua gagal back back piala dunia kali ini bakal gua inget karna gua yakin momen yang gua rasain pildun akan keulang thank you qatar see you benua amerika</t>
  </si>
  <si>
    <t>['best', 'world', 'cup', 'final', 'ever', 'seen', 'disamping', 'galau', 'total', 'prancis', 'gua', 'gagal', 'back', 'back', 'piala', 'dunia', 'kali', 'bakal', 'gua', 'inget', 'karna', 'gua', 'yakin', 'momen', 'gua', 'rasain', 'piala dunia', 'keulang', 'thank', 'you', 'qatar', 'see', 'you', 'benua', 'amerika']</t>
  </si>
  <si>
    <t>&lt;FreqDist with 30 samples and 35 outcomes&gt;</t>
  </si>
  <si>
    <t>Menerima segala bentuk , macam , maupun rupa gadaian korban final piala dunia ü§™</t>
  </si>
  <si>
    <t>menerima segala bentuk macam maupun rupa gadaian korban final piala dunia</t>
  </si>
  <si>
    <t>['menerima', 'segala', 'bentuk', 'macam', 'maupun', 'rupa', 'gadaian', 'korban', 'final', 'piala', 'dunia']</t>
  </si>
  <si>
    <t>Siapakah pemain terbaik malam ini di partai final Piala Dunia Qatar 2022  ?? Messi atau Mbappe   ??? #Mbappe #messi #BRILIANFest2022 #ArgentinaVsFrance</t>
  </si>
  <si>
    <t>siapakah pemain terbaik malam ini partai final piala dunia qatar messi atau mbappe</t>
  </si>
  <si>
    <t>['siapakah', 'pemain', 'terbaik', 'malam', 'partai', 'final', 'piala', 'dunia', 'qatar', 'messi', 'mbappe']</t>
  </si>
  <si>
    <t>3x nonton prancis final piala dunia, kalah 2x adu pinalty. 2006, 2022.</t>
  </si>
  <si>
    <t>nonton prancis final piala dunia kalah adu pinalty</t>
  </si>
  <si>
    <t>['nonton', 'prancis', 'final', 'piala', 'dunia', 'kalah', 'adu', 'pinalty']</t>
  </si>
  <si>
    <t>Yang dianggap gak ngerti bola hari ini ngomongin bola ya ben tooo.. Wong ini final piala dunia, bukan final lomba kicau mania di area gedangan.</t>
  </si>
  <si>
    <t>yang dianggap gak ngerti bola hari ini ngomongin bola ben tooo wong ini final piala dunia bukan final lomba kicau mania area gedangan</t>
  </si>
  <si>
    <t>['dianggap', 'ngerti', 'bola', 'hari', 'ngomongin', 'bola', 'ben', 'tooo', 'wong', 'final', 'piala', 'dunia', 'bukan', 'final', 'lomba', 'kicau', 'mania', 'area', 'gedangan']</t>
  </si>
  <si>
    <t>&lt;FreqDist with 17 samples and 19 outcomes&gt;</t>
  </si>
  <si>
    <t>Bayangin lo hattick di final piala dunia saat tim lo tertinggal, ambil penalti pertama dan masuk.  Tapi gak juara‚Ä¶</t>
  </si>
  <si>
    <t>bayangin hattick final piala dunia saat tim tertinggal ambil penalti pertama dan masuk tapi gak juara</t>
  </si>
  <si>
    <t>['bayangin', 'hattick', 'final', 'piala', 'dunia', 'tim', 'tertinggal', 'ambil', 'penalti', 'pertama', 'masuk', 'juara']</t>
  </si>
  <si>
    <t>@Askrlfess nt mas mbappe, lu bikin final piala dunia tahun ini jadi paling seru yang pernah gua tonton. standing apllauseüëèüëèüëè</t>
  </si>
  <si>
    <t>mas mbappe bikin final piala dunia tahun ini jadi paling seru yang pernah gua tonton standing apllause</t>
  </si>
  <si>
    <t>['mas', 'mbappe', 'final', 'piala', 'dunia', 'tahun', 'jadi', 'paling', 'seru', 'pernah', 'gua', 'tonton', 'standing', 'apllause']</t>
  </si>
  <si>
    <t>Final paling seru dlm sejarah Piala Dunia. Setuju teman2?  https://t.co/zXwXo31TA1</t>
  </si>
  <si>
    <t>final paling seru dlm sejarah piala dunia setuju teman</t>
  </si>
  <si>
    <t>['final', 'paling', 'seru', 'dlm', 'sejarah', 'piala', 'dunia', 'setuju', 'teman']</t>
  </si>
  <si>
    <t>Karim Benzema Dilapor Tolak Pelawaan Presiden Perancis, Tak Mahu Hadir Di Final Piala Dunia #KampungMamak  https://t.co/GUCjDCJftn</t>
  </si>
  <si>
    <t>karim benzema dilapor tolak pelawaan presiden perancis tak mahu hadir final piala dunia</t>
  </si>
  <si>
    <t>['karim', 'benzema', 'dilapor', 'tolak', 'pelawaan', 'presiden', 'perancis', 'tak', 'mahu', 'hadir', 'final', 'piala', 'dunia']</t>
  </si>
  <si>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</si>
  <si>
    <t>terlalu banyak teori liar tentang piala dunia analisis itu hanya pandangan harus akui final kali ini adalah terbaik messi dan mbappe adalah pemeran utamanya congratulation messi lengkap sudah trophymu liga spain paris champion copa america piala dunia thebest</t>
  </si>
  <si>
    <t>['terlalu', 'banyak', 'teori', 'liar', 'piala', 'dunia', 'analisis', 'pandangan', 'akui', 'final', 'kali', 'terbaik', 'messi', 'mbappe', 'pemeran', 'utamanya', 'congratulation', 'messi', 'lengkap', 'trophymu', 'liga', 'spain', 'paris', 'champion', 'copa', 'america', 'piala', 'dunia', 'thebest']</t>
  </si>
  <si>
    <t>&lt;FreqDist with 26 samples and 29 outcomes&gt;</t>
  </si>
  <si>
    <t>Walau kalah dari Argentina di Final Piala Dunia 2022, striker Prancis Kylian Mbappe berhasil merebut gelar top skor dengan 8 gol. Perolehan Mbappe diikuti oleh Lionel Messi di posisi kedua dengan 7 gol.  https://t.co/HC96f1lNtc</t>
  </si>
  <si>
    <t>walau kalah dari argentina final piala dunia striker prancis kylian mbappe berhasil merebut gelar top skor dengan gol perolehan mbappe diikuti oleh lionel messi posisi kedua dengan gol</t>
  </si>
  <si>
    <t>['kalah', 'argentina', 'final', 'piala', 'dunia', 'striker', 'prancis', 'kylian', 'mbappe', 'berhasil', 'merebut', 'gelar', 'top', 'skor', 'gol', 'perolehan', 'mbappe', 'diikuti', 'lionel', 'messi', 'posisi', 'kedua', 'gol']</t>
  </si>
  <si>
    <t>&lt;FreqDist with 21 samples and 23 outcomes&gt;</t>
  </si>
  <si>
    <t>@The_RedsIndo Final Piala Dunia paling seru dan menegangkan</t>
  </si>
  <si>
    <t>redsindo final piala dunia paling seru dan menegangkan</t>
  </si>
  <si>
    <t>['redsindo', 'final', 'piala', 'dunia', 'paling', 'seru', 'menegangkan']</t>
  </si>
  <si>
    <t>PERANG TAKTIK DAN SUBTITUSI Analisis final piala dunia 2022  BABAK 1 Argentina masi pake formasi 442/433 dari lawan kroasia dan Prancis yang bikin gw bingung malah make cdm ga kaya pas lawan Morocco, menurut gw Tchouameni untuk sekarang itu masih b2b gabisa jadi pure CDM</t>
  </si>
  <si>
    <t>perang taktik dan subtitusi analisis final piala dunia babak argentina masi pake formasi dari lawan kroasia dan prancis yang bikin bingung malah make cdm kaya pas lawan morocco menurut tchouameni untuk sekarang itu masih gabisa jadi pure cdm</t>
  </si>
  <si>
    <t>['perang', 'taktik', 'subtitusi', 'analisis', 'final', 'piala', 'dunia', 'babak', 'argentina', 'masi', 'pake', 'formasi', 'lawan', 'kroasia', 'prancis', 'bingung', 'malah', 'make', 'cdm', 'kaya', 'pas', 'lawan', 'morocco', 'tchouameni', 'sekarang', 'gabisa', 'jadi', 'pure', 'cdm']</t>
  </si>
  <si>
    <t>&lt;FreqDist with 27 samples and 29 outcomes&gt;</t>
  </si>
  <si>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</si>
  <si>
    <t>sangat memilukan pengalaman pertamaku menonton piala dunia berakhir sangat cepat argentina dan batistuta harus angkat koper lebih cepat babak grup meski begitu saya tetap nonton sampai final saya masih ingat betapa indahnya gol ronaldinho gawang inggris</t>
  </si>
  <si>
    <t>['sangat', 'memilukan', 'pengalaman', 'pertamaku', 'menonton', 'piala', 'dunia', 'berakhir', 'sangat', 'cepat', 'argentina', 'batistuta', 'angkat', 'koper', 'lebih', 'cepat', 'babak', 'grup', 'meski', 'tetap', 'nonton', 'final', 'ingat', 'betapa', 'indahnya', 'gol', 'ronaldinho', 'gawang', 'inggris']</t>
  </si>
  <si>
    <t>Final piala dunia terbaik yang pernah saya tonton üëèüèª</t>
  </si>
  <si>
    <t>final piala dunia terbaik yang pernah saya tonton</t>
  </si>
  <si>
    <t>['final', 'piala', 'dunia', 'terbaik', 'pernah', 'tonton']</t>
  </si>
  <si>
    <t>Argentina Vs Prancis 4-2 (3-3) Highlights Final Piala Dunia 2022  https://t.co/r8y9vH6vya</t>
  </si>
  <si>
    <t>argentina prancis highlights final piala dunia</t>
  </si>
  <si>
    <t>['argentina', 'prancis', 'highlights', 'final', 'piala', 'dunia']</t>
  </si>
  <si>
    <t>Kalahkan Prancis di Final, Argentina Juara Piala Dunia 2022 Qatar  https://t.co/EZqND17gxC</t>
  </si>
  <si>
    <t>kalahkan prancis final argentina juara piala dunia qatar</t>
  </si>
  <si>
    <t>['kalahkan', 'prancis', 'final', 'argentina', 'juara', 'piala', 'dunia', 'qatar']</t>
  </si>
  <si>
    <t>Argentina (7 - 5) Prancis. Selusin Goal tersaji di lapangan dan disaksikan seluruh penjuru dunia. Grand Final terbaik sepanjang sejarah piala dunia atau bisa jadi pertandingan terbaik di sepanjang sejarah dunia sepakbola telah terjadi. 18-19-12-22, Lusail Stadium, Qatar.</t>
  </si>
  <si>
    <t>argentina prancis selusin goal tersaji lapangan dan disaksikan seluruh penjuru dunia grand final terbaik sepanjang sejarah piala dunia atau bisa jadi pertandingan terbaik sepanjang sejarah dunia sepakbola telah terjadi lusail stadium qatar</t>
  </si>
  <si>
    <t>['argentina', 'prancis', 'selusin', 'goal', 'tersaji', 'lapangan', 'disaksikan', 'seluruh', 'penjuru', 'dunia', 'grand', 'final', 'terbaik', 'sepanjang', 'sejarah', 'piala', 'dunia', 'jadi', 'pertandingan', 'terbaik', 'sepanjang', 'sejarah', 'dunia', 'sepakbola', 'terjadi', 'lusail', 'stadium', 'qatar']</t>
  </si>
  <si>
    <t>Final Piala Dunia Terbaik Tahun 2022üèÜ Nonton kaya jantung mau copotü•∫tapi emang seru abisüí™üëèüëèüëèüá¶üá∑üá´üá∑ü•∞  #attahalilintar #aurelhermansyah #attaaurel #nobar #pialadunia2022 #qatar @ Jakarta, Indonesia  https://t.co/nduiyXdXSk</t>
  </si>
  <si>
    <t>final piala dunia terbaik tahun nonton kaya jantung mau copot tapi emang seru abis jakarta indonesia</t>
  </si>
  <si>
    <t>['final', 'piala', 'dunia', 'terbaik', 'tahun', 'nonton', 'kaya', 'jantung', 'mau', 'copot', 'emang', 'seru', 'abis', 'jakarta', 'indonesia']</t>
  </si>
  <si>
    <t>Percaya atau tidak. Final piala dunia Argentina vs Perancis adalah yang "Terbaik" sepanjang sejarah.</t>
  </si>
  <si>
    <t>percaya atau tidak final piala dunia argentina perancis adalah yang terbaik sepanjang sejarah</t>
  </si>
  <si>
    <t>['percaya', 'final', 'piala', 'dunia', 'argentina', 'perancis', 'terbaik', 'sepanjang', 'sejarah']</t>
  </si>
  <si>
    <t>@erickthohir @KMbappe Argentina menang krn kbtulan bukan menang mutlak menang adu pinalty bukan jdi kebnggaan argentina&amp;amp; prancis juara brthan dunia krn apes aja klah krn prancis jarang klah msuk final.piala dunia biasanya rupanya prancis thn 2022 wlau</t>
  </si>
  <si>
    <t>argentina menang krn kbtulan bukan menang mutlak menang adu pinalty bukan jdi kebnggaan argentina prancis juara brthan dunia krn apes aja klah krn prancis jarang klah msuk final piala dunia biasanya rupanya prancis thn wlau</t>
  </si>
  <si>
    <t>['argentina', 'menang', 'kbtulan', 'bukan', 'menang', 'mutlak', 'menang', 'adu', 'pinalty', 'bukan', 'jdi', 'kebnggaan', 'argentina', 'prancis', 'juara', 'brthan', 'dunia', 'apes', 'klah', 'prancis', 'jarang', 'klah', 'msuk', 'final', 'piala', 'dunia', 'biasanya', 'rupanya', 'prancis', 'thn', 'wlau']</t>
  </si>
  <si>
    <t>&lt;FreqDist with 23 samples and 31 outcomes&gt;</t>
  </si>
  <si>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</si>
  <si>
    <t>legenda baru bagi argentina messi ahirnya mengangkat trofi juara dunia gol cetak untuk negaranya saat berlaga piala dunia sangat pantas gelar pemain terbaik piala dunia qatar untuknya piala dunia kali ini benar menampilkan grand final keren samapai adu penalti</t>
  </si>
  <si>
    <t>['legenda', 'baru', 'argentina', 'messi', 'ahirnya', 'mengangkat', 'trofi', 'juara', 'dunia', 'gol', 'cetak', 'negaranya', 'berlaga', 'piala', 'dunia', 'sangat', 'pantas', 'gelar', 'pemain', 'terbaik', 'piala', 'dunia', 'qatar', 'untuknya', 'piala', 'dunia', 'kali', 'benar', 'menampilkan', 'grand', 'final', 'keren', 'samapai', 'adu', 'penalti']</t>
  </si>
  <si>
    <t>Final Piala Dunia yang nyesel kalo gak nobar. The love of the game! Terbaik, Messi terbaik! üá¶üá∑  https://t.co/ARMNWaZhMW</t>
  </si>
  <si>
    <t>final piala dunia yang nyesel kalo gak nobar the love the game terbaik messi terbaik</t>
  </si>
  <si>
    <t>['final', 'piala', 'dunia', 'nyesel', 'nonton bareng', 'the', 'love', 'the', 'game', 'terbaik', 'messi', 'terbaik']</t>
  </si>
  <si>
    <t>&lt;FreqDist with 10 samples and 12 outcomes&gt;</t>
  </si>
  <si>
    <t>Nyari penyakit sesegukkan menjelang subuh. Yaitulah Tian. Dah blm move on dari Final Piala Dunia trs mlhan berselancar di tik tok. Scroll". Makin" aja dah nih. Dahlah. HUAAA...</t>
  </si>
  <si>
    <t>nyari penyakit sesegukkan menjelang subuh yaitulah tian dah blm move dari final piala dunia trs mlhan berselancar tik tok scroll makin aja dah nih dahlah huaaa</t>
  </si>
  <si>
    <t>['nyari', 'penyakit', 'sesegukkan', 'menjelang', 'subuh', 'yaitulah', 'tian', 'dah', 'blm', 'move', 'final', 'piala', 'dunia', 'terus', 'mlhan', 'berselancar', 'tik', 'tok', 'scroll', 'makin', 'dah', 'dahlah', 'huaaa']</t>
  </si>
  <si>
    <t>Mbappe Dapat Ucapan Selamat dari Sir Geoff Hurst Pencetak Hattrick Pertama di Final Piala Dunia   https://t.co/C7DVOqVoyU</t>
  </si>
  <si>
    <t>mbappe dapat ucapan selamat dari sir geoff hurst pencetak hattrick pertama final piala dunia</t>
  </si>
  <si>
    <t>['mbappe', 'ucapan', 'selamat', 'sir', 'geoff', 'hurst', 'pencetak', 'hattrick', 'pertama', 'final', 'piala', 'dunia']</t>
  </si>
  <si>
    <t>@FIFAWorldCup Final piala dunia kali ini adalah final piala dunia paling seru sengit dan mendebarkan</t>
  </si>
  <si>
    <t>final piala dunia kali ini adalah final piala dunia paling seru sengit dan mendebarkan</t>
  </si>
  <si>
    <t>['final', 'piala', 'dunia', 'kali', 'final', 'piala', 'dunia', 'paling', 'seru', 'sengit', 'mendebarkan']</t>
  </si>
  <si>
    <t>&lt;FreqDist with 8 samples and 11 outcomes&gt;</t>
  </si>
  <si>
    <t>Final piala dunia paling seru sih ini, di tempat nobar full teriak¬≤an, gokil pokonya.</t>
  </si>
  <si>
    <t>final piala dunia paling seru sih ini tempat nobar full teriak gokil pokonya</t>
  </si>
  <si>
    <t>['final', 'piala', 'dunia', 'paling', 'seru', 'tempat', 'nonton bareng', 'full', 'teriak', 'gila', 'pokonya']</t>
  </si>
  <si>
    <t>Menpora dan Erick Thohir Temui Presiden FIFA Jelang Final Piala Dunia  https://t.co/UApH1tmKPn  #GianniInfantino</t>
  </si>
  <si>
    <t>menpora dan erick thohir temui presiden fifa jelang final piala dunia</t>
  </si>
  <si>
    <t>['menpora', 'erick', 'thohir', 'temui', 'presiden', 'fifa', 'jelang', 'final', 'piala', 'dunia']</t>
  </si>
  <si>
    <t>What  A Game, final piala dunia paling seru sejauh ini yg kutonton #FIFAWorldCup</t>
  </si>
  <si>
    <t>what game final piala dunia paling seru sejauh ini kutonton</t>
  </si>
  <si>
    <t>['what', 'game', 'final', 'piala', 'dunia', 'paling', 'seru', 'sejauh', 'kutonton']</t>
  </si>
  <si>
    <t>sedikit cerita karna aku fans portugal , dan ga masalah siapa yang menang , cuman pertandingann final piala dunia tahun ini sangat seru , dari mesi yang mensupport team nya dan dari mbape yang menggendong team nya  https://t.co/NYV1802bIK</t>
  </si>
  <si>
    <t>sedikit cerita karna aku fans portugal dan masalah siapa yang menang cuman pertandingann final piala dunia tahun ini sangat seru dari mesi yang mensupport team nya dan dari mbape yang menggendong team nya</t>
  </si>
  <si>
    <t>['sedikit', 'cerita', 'karna', 'aku', 'fans', 'portugal', 'masalah', 'siapa', 'menang', 'cuman', 'pertandingann', 'final', 'piala', 'dunia', 'tahun', 'sangat', 'seru', 'mesi', 'mensupport', 'team', 'mbape', 'menggendong', 'team']</t>
  </si>
  <si>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</si>
  <si>
    <t>final piala dunia kali rancak walaupun berakhir dengan sepakan penalti argentina perancis dua dua ada skuad yang seimbang minit pertama perlawanan argentina cepat settle down jadi pasukan yang dominan dalam penguasaan bola perancis lambat untuk bertindak balas</t>
  </si>
  <si>
    <t>['final', 'piala', 'dunia', 'kali', 'rancak', 'walaupun', 'berakhir', 'sepakan', 'penalti', 'argentina', 'perancis', 'skuad', 'seimbang', 'minit', 'pertama', 'perlawanan', 'argentina', 'cepat', 'settle', 'down', 'jadi', 'pasukan', 'dominan', 'penguasaan', 'bola', 'perancis', 'lambat', 'bertindak', 'balas']</t>
  </si>
  <si>
    <t>Live Update Final Piala Dunia: Siapa Jadi¬†Juara?  https://t.co/yhucAxK5fA</t>
  </si>
  <si>
    <t>live update final piala dunia siapa jadi juara</t>
  </si>
  <si>
    <t>['live', 'update', 'final', 'piala', 'dunia', 'siapa', 'jadi', 'juara']</t>
  </si>
  <si>
    <t>Final piala dunia 2022  terseru yang pernah saya lihat seumur hidup, debat antara pemain terbaik mungkin berakhir dengan messi menjuarai piala dunia dan di tandai dengan berakhir juga persaingan alien dan robot dan juga titik awal lahirnya calon goat yang baru. Tuan Muda Mbappe.</t>
  </si>
  <si>
    <t>final piala dunia terseru yang pernah saya lihat seumur hidup debat antara pemain terbaik mungkin berakhir dengan messi menjuarai piala dunia dan tandai dengan berakhir juga persaingan alien dan robot dan juga titik awal lahirnya calon goat yang baru tuan muda mbappe</t>
  </si>
  <si>
    <t>['final', 'piala', 'dunia', 'terseru', 'pernah', 'lihat', 'seumur', 'hidup', 'debat', 'pemain', 'terbaik', 'mungkin', 'berakhir', 'messi', 'menjuarai', 'piala', 'dunia', 'tandai', 'berakhir', 'persaingan', 'alien', 'robot', 'titik', 'awal', 'lahirnya', 'calon', 'goat', 'baru', 'tuan', 'muda', 'mbappe']</t>
  </si>
  <si>
    <t>&lt;FreqDist with 28 samples and 31 outcomes&gt;</t>
  </si>
  <si>
    <t>Pertandingan final piala Dunia terbaik bagiku ada di Qatar</t>
  </si>
  <si>
    <t>pertandingan final piala dunia terbaik bagiku ada qatar</t>
  </si>
  <si>
    <t>['pertandingan', 'final', 'piala', 'dunia', 'terbaik', 'bagiku', 'qatar']</t>
  </si>
  <si>
    <t>Silaturahmi dengan Warga, Polda Metro Jaya Gelar Nobar Final Piala Dunia di 13 Polres   #Sindonews #BukanBeritaBiasa . https://t.co/crKqHIuphE</t>
  </si>
  <si>
    <t>silaturahmi dengan warga polda metro jaya gelar nobar final piala dunia polres</t>
  </si>
  <si>
    <t>['silaturahmi', 'warga', 'polda', 'metro', 'jaya', 'gelar', 'nonton bareng', 'final', 'piala', 'dunia', 'polres']</t>
  </si>
  <si>
    <t>final Argentina-Prancis diwarnai banyak drama, Piala Dunia Qatar ditutup dengan klimaks</t>
  </si>
  <si>
    <t>final argentina prancis diwarnai banyak drama piala dunia qatar ditutup dengan klimaks</t>
  </si>
  <si>
    <t>['final', 'argentina', 'prancis', 'diwarnai', 'banyak', 'drama', 'piala', 'dunia', 'qatar', 'ditutup', 'klimaks']</t>
  </si>
  <si>
    <t>Jujur! Match terseru Piala Dunia Qatar pas Final Tadi. Sempat jumawa, sempat cemas, dan akhirnya Bahagia Selamanya ü§£ü§£ü§£</t>
  </si>
  <si>
    <t>jujur match terseru piala dunia qatar pas final tadi sempat jumawa sempat cemas dan akhirnya bahagia selamanya</t>
  </si>
  <si>
    <t>['jujur', 'match', 'terseru', 'piala', 'dunia', 'qatar', 'pas', 'final', 'tadi', 'sempat', 'jumawa', 'sempat', 'cemas', 'akhirnya', 'bahagia', 'selamanya']</t>
  </si>
  <si>
    <t>@idextratime dulu banyak drama terjadi saat final piala dunia 2006 prancis v italia (yg paling ikonik , zidane menanduk materazzi karena terprovokasi), final 2022 ini juga cukup berkesan.</t>
  </si>
  <si>
    <t>dulu banyak drama terjadi saat final piala dunia prancis italia paling ikonik zidane menanduk materazzi karena terprovokasi final ini juga cukup berkesan</t>
  </si>
  <si>
    <t>['dulu', 'banyak', 'drama', 'terjadi', 'final', 'piala', 'dunia', 'prancis', 'italia', 'paling', 'ikonik', 'zidane', 'menanduk', 'materazzi', 'terprovokasi', 'final', 'cukup', 'berkesan']</t>
  </si>
  <si>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</si>
  <si>
    <t>head tchouameni dan camavinga uda tampil baik final cuman penalty aja gagal walaupun tetep masih goblok perlu dilatih lets balik realita menjadi fans madrid lagi mari menangkan piala dunia antar club dan selalu menjadi klub terbaik dunia hala madrid</t>
  </si>
  <si>
    <t>['head', 'tchouameni', 'camavinga', 'uda', 'tampil', 'baik', 'final', 'cuman', 'penalty', 'gagal', 'walaupun', 'tetep', 'goblok', 'perlu', 'dilatih', 'lets', 'balik', 'realita', 'menjadi', 'fans', 'madrid', 'menangkan', 'piala', 'dunia', 'antar', 'club', 'selalu', 'menjadi', 'klub', 'terbaik', 'dunia', 'hala', 'madrid']</t>
  </si>
  <si>
    <t>&lt;FreqDist with 30 samples and 33 outcomes&gt;</t>
  </si>
  <si>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</si>
  <si>
    <t>argentina menjadi juara piala dunia usai mengalahkan prancis melalui drama adu pinalti babak final yang digelar stadion lusail pada minggu desember mulai pukul wib prestasi tersebut menjadi hadiah yang berharga untuk lionel messi</t>
  </si>
  <si>
    <t>['argentina', 'menjadi', 'juara', 'piala', 'dunia', 'usai', 'mengalahkan', 'prancis', 'melalui', 'drama', 'adu', 'penalti', 'babak', 'final', 'digelar', 'stadion', 'lusail', 'minggu', 'desember', 'mulai', 'pukul', 'wib', 'prestasi', 'tersebut', 'menjadi', 'hadiah', 'berharga', 'lionel', 'messi']</t>
  </si>
  <si>
    <t>&lt;FreqDist with 28 samples and 29 outcomes&gt;</t>
  </si>
  <si>
    <t>Suasana terkini nobar final Piala Dunia Qatar 2022 antara Argentina vs Perancis di Summarecon Mall Serpong, Kelapa Dua, Kabupaten Tangerang üî•  Kedua area panggung yang menayangkan pertandingan dipadati para fans kedua tim, sampai akses jalan juga sulit.  https://t.co/nKtQ6DRnOs</t>
  </si>
  <si>
    <t>suasana terkini nobar final piala dunia qatar antara argentina perancis summarecon mall serpong kelapa dua kabupaten tangerang kedua area panggung yang menayangkan pertandingan dipadati para fans kedua tim sampai akses jalan juga sulit</t>
  </si>
  <si>
    <t>['suasana', 'terkini', 'nonton bareng', 'final', 'piala', 'dunia', 'qatar', 'argentina', 'perancis', 'summarecon', 'mall', 'serpong', 'kelapa', 'kabupaten', 'tangerang', 'kedua', 'area', 'panggung', 'menayangkan', 'pertandingan', 'dipadati', 'fans', 'kedua', 'tim', 'akses', 'jalan', 'sulit']</t>
  </si>
  <si>
    <t>Final piala dunia, menang siapa?</t>
  </si>
  <si>
    <t>final piala dunia menang siapa</t>
  </si>
  <si>
    <t>['final', 'piala', 'dunia', 'menang', 'siapa']</t>
  </si>
  <si>
    <t>Juara! Argentina Akhirnya Bisa Hapus Julukan Negara Paling Sering Kalah di Final Piala Dunia   https://t.co/xbOAgrqNI2  Messi #Messi Juara Dunia Dybala Madrid Maradona Kolo Muani Lloris Dembele Mbappe #WorldCup2022</t>
  </si>
  <si>
    <t>juara argentina akhirnya bisa hapus julukan negara paling sering kalah final piala dunia messi juara dunia dybala madrid maradona kolo muani lloris dembele mbappe</t>
  </si>
  <si>
    <t>['juara', 'argentina', 'akhirnya', 'hapus', 'julukan', 'negara', 'paling', 'sering', 'kalah', 'final', 'piala', 'dunia', 'messi', 'juara', 'dunia', 'dybala', 'madrid', 'maradona', 'kolo', 'muani', 'lloris', 'dembele', 'mbappe']</t>
  </si>
  <si>
    <t>Salah satu final terbaik piala dunia. üëèüëè</t>
  </si>
  <si>
    <t>salah satu final terbaik piala dunia</t>
  </si>
  <si>
    <t>['salah', 'satu', 'final', 'terbaik', 'piala', 'dunia']</t>
  </si>
  <si>
    <t>Ulasan Lengkap Argentina Vs Prancis di Final Piala Dunia 2022: Beringas Laga Bertabur Kartu Kuning   https://t.co/Fa9uuiNPDv  Messi #Messi Juara Dunia Dybala Madrid Maradona Kolo Muani Lloris Dembele Mbappe</t>
  </si>
  <si>
    <t>ulasan lengkap argentina prancis final piala dunia beringas laga bertabur kartu kuning messi juara dunia dybala madrid maradona kolo muani lloris dembele mbappe</t>
  </si>
  <si>
    <t>['ulasan', 'lengkap', 'argentina', 'prancis', 'final', 'piala', 'dunia', 'beringas', 'laga', 'bertabur', 'kartu', 'kuning', 'messi', 'juara', 'dunia', 'dybala', 'madrid', 'maradona', 'kolo', 'muani', 'lloris', 'dembele', 'mbappe']</t>
  </si>
  <si>
    <t>Dalam laga final Piala Dunia 2022 ¬†yang berlangsung di Stadion Lusail, Lusail, Qatar, Tim Tango kalahkan Tim Ayam Jago dengan skor 3-3 (adu penalti 4-2), Minggu (18/12/2022) malam waktu Tanah Air.  https://t.co/gyiWvpP1eP</t>
  </si>
  <si>
    <t>dalam laga final piala dunia yang berlangsung stadion lusail lusail qatar tim tango kalahkan tim ayam jago dengan skor adu penalti minggu malam waktu tanah air</t>
  </si>
  <si>
    <t>['laga', 'final', 'piala', 'dunia', 'berlangsung', 'stadion', 'lusail', 'lusail', 'qatar', 'tim', 'tango', 'kalahkan', 'tim', 'ayam', 'jago', 'skor', 'adu', 'penalti', 'minggu', 'malam', 'waktu', 'tanah', 'air']</t>
  </si>
  <si>
    <t>Gol Kylian Mbappe di Final Pecahkan Rekor Cuitan di Twitter soal Piala Dunia  https://t.co/WvrmFT5Dlj</t>
  </si>
  <si>
    <t>gol kylian mbappe final pecahkan rekor cuitan twitter soal piala dunia</t>
  </si>
  <si>
    <t>['gol', 'kylian', 'mbappe', 'final', 'pecahkan', 'rekor', 'cuitan', 'twitter', 'soal', 'piala', 'dunia']</t>
  </si>
  <si>
    <t>Coba wasit final piala dunia orang indonesia, kalah headline berita sm argentina. "Firasat XX Saat Menjadi Wasit Final Piala Dunia" "Walikota XX Bangga Terhadap Prestasi Wasit XX di Final Piala Dunia" "Prestasi XX Hingga Menjadi Wasit Piala Dunia"  Ya berdoa aja biar jd nyata yes</t>
  </si>
  <si>
    <t>coba wasit final piala dunia orang indonesia kalah headline berita argentina firasat saat menjadi wasit final piala dunia walikota bangga terhadap prestasi wasit final piala dunia prestasi hingga menjadi wasit piala dunia berdoa aja biar nyata yes</t>
  </si>
  <si>
    <t>['coba', 'wasit', 'final', 'piala', 'dunia', 'orang', 'indonesia', 'kalah', 'headline', 'berita', 'argentina', 'firasat', 'menjadi', 'wasit', 'final', 'piala', 'dunia', 'walikota', 'bangga', 'prestasi', 'wasit', 'final', 'piala', 'dunia', 'prestasi', 'hingga', 'menjadi', 'wasit', 'piala', 'dunia', 'berdoa', 'nyata', 'yes']</t>
  </si>
  <si>
    <t>&lt;FreqDist with 20 samples and 33 outcomes&gt;</t>
  </si>
  <si>
    <t>Apa itu final piala dunia? Aku lagi fokus nonton band post punk Malang yang lagi tur, They're Closure. Malam tadi 18/12 mereka singgah di Hibilonia Galaxy, Bekasi.  https://t.co/G7y1OxjuHv</t>
  </si>
  <si>
    <t>apa itu final piala dunia aku lagi fokus nonton band post punk malang yang lagi tur they closure malam tadi mereka singgah hibilonia galaxy bekasi</t>
  </si>
  <si>
    <t>['apa', 'final', 'piala', 'dunia', 'aku', 'fokus', 'nonton', 'band', 'post', 'punk', 'malang', 'tur', 'they', 'closure', 'malam', 'tadi', 'singgah', 'hibilonia', 'galaxy', 'bekasi']</t>
  </si>
  <si>
    <t>yang dirasakan barista di final piala dunia, jadi pulang pagi banget boskuuu hihihi  https://t.co/zQgZfJJm0x</t>
  </si>
  <si>
    <t>yang dirasakan barista final piala dunia jadi pulang pagi banget boskuuu hihihi</t>
  </si>
  <si>
    <t>['dirasakan', 'barista', 'final', 'piala', 'dunia', 'jadi', 'pulang', 'pagi', 'banget', 'boskuuu', 'hihihi']</t>
  </si>
  <si>
    <t>Hasil Rating Pemain ‚Äì Final Piala Dunia¬†2022  https://t.co/hWuyavcX9T</t>
  </si>
  <si>
    <t>hasil rating pemain final piala dunia</t>
  </si>
  <si>
    <t>['hasil', 'rating', 'pemain', 'final', 'piala', 'dunia']</t>
  </si>
  <si>
    <t>Final Terbaik sejak 2006 awal nonton Piala Dunia. Pemenang tahun ini tetep dari Prancis, ya...  https://t.co/oa3j8YOsw8</t>
  </si>
  <si>
    <t>final terbaik sejak awal nonton piala dunia pemenang tahun ini tetep dari prancis</t>
  </si>
  <si>
    <t>['final', 'terbaik', 'sejak', 'awal', 'nonton', 'piala', 'dunia', 'pemenang', 'tahun', 'tetep', 'prancis']</t>
  </si>
  <si>
    <t>Ora galau mergo final piala dunia,eh malah kepikiran meneh ü´†</t>
  </si>
  <si>
    <t>ora galau mergo final piala dunia malah kepikiran meneh</t>
  </si>
  <si>
    <t>['ora', 'galau', 'mergo', 'final', 'piala', 'dunia', 'malah', 'kepikiran', 'meneh']</t>
  </si>
  <si>
    <t>dan yang buat ini lebih spesial plus entertain adalah si ayam jago biru-putih-merah eropa! mbappe nunjukkin kelasnya, hattrick di final piala dunia and perhaps the new king in this post-messi-era. tinggal UCL yang belum dapet, we'll see</t>
  </si>
  <si>
    <t>dan yang buat ini lebih spesial plus entertain adalah ayam jago biru putih merah eropa mbappe nunjukkin kelasnya hattrick final piala dunia and perhaps the new king this post messi era tinggal ucl yang belum dapet see</t>
  </si>
  <si>
    <t>['buat', 'lebih', 'spesial', 'plus', 'entertain', 'ayam', 'jago', 'biru', 'putih', 'merah', 'eropa', 'mbappe', 'nunjukkin', 'kelasnya', 'hattrick', 'final', 'piala', 'dunia', 'and', 'perhaps', 'the', 'new', 'king', 'this', 'post', 'messi', 'era', 'tinggal', 'ucl', 'dapat', 'see']</t>
  </si>
  <si>
    <t>&lt;FreqDist with 31 samples and 31 outcomes&gt;</t>
  </si>
  <si>
    <t>@SamFerkyFers10 @SiaranBolaLive Terhitung sejak jadi tuan rumah 98, Perancis sudah masuk 4 kali final piala dunia. Catatan ; 2 menang, 2 Runner up. Disusul Jerman 2 kali, Argentina 2 kali, Spanyol, Brazil, Belanda dan Kroasia 1 kali.</t>
  </si>
  <si>
    <t>terhitung sejak jadi tuan rumah perancis sudah masuk kali final piala dunia catatan menang runner disusul jerman kali argentina kali spanyol brazil belanda dan kroasia kali</t>
  </si>
  <si>
    <t>['terhitung', 'sejak', 'jadi', 'tuan', 'rumah', 'perancis', 'masuk', 'kali', 'final', 'piala', 'dunia', 'catatan', 'menang', 'runner', 'disusul', 'jerman', 'kali', 'argentina', 'kali', 'spanyol', 'brazil', 'belanda', 'kroasia', 'kali']</t>
  </si>
  <si>
    <t>&lt;FreqDist with 21 samples and 24 outcomes&gt;</t>
  </si>
  <si>
    <t>@mabotbot kalah final piala dunia beginilah kegiatan antoine griezmann sekarang ;</t>
  </si>
  <si>
    <t>kalah final piala dunia beginilah kegiatan antoine griezmann sekarang</t>
  </si>
  <si>
    <t>['kalah', 'final', 'piala', 'dunia', 'beginilah', 'kegiatan', 'antoine', 'griezmann', 'sekarang']</t>
  </si>
  <si>
    <t>FINAL PIALA DUNIA TERKELAS SELAMA GUE HIDUP, BARU KALI INI YG DINAMAKAN SENAM JANTUNG! GOKIL üî•</t>
  </si>
  <si>
    <t>final piala dunia terkelas selama gue hidup baru kali ini dinamakan senam jantung gokil</t>
  </si>
  <si>
    <t>['final', 'piala', 'dunia', 'terkelas', 'selama', 'gue', 'hidup', 'baru', 'kali', 'dinamakan', 'senam', 'jantung', 'gila']</t>
  </si>
  <si>
    <t>Final piala dunia paling Real siih ini gila gilaaüá¶üá∑‚ú®</t>
  </si>
  <si>
    <t>final piala dunia paling real siih ini gila gilaa</t>
  </si>
  <si>
    <t>['final', 'piala', 'dunia', 'paling', 'real', 'siih', 'gila', 'gilaa']</t>
  </si>
  <si>
    <t>Melewatkan final piala dunia cuman nontn pinalty an aja, karna aku mabukkkk, bangsatttttt....</t>
  </si>
  <si>
    <t>melewatkan final piala dunia cuman nontn pinalty aja karna aku mabukkkk bangsatttttt</t>
  </si>
  <si>
    <t>['melewatkan', 'final', 'piala', 'dunia', 'cuman', 'nontn', 'pinalty', 'karna', 'aku', 'mabukkkk', 'bangsatttttt']</t>
  </si>
  <si>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</si>
  <si>
    <t>sejarah untuk messi menerima tropi final piala dunia setelah sekian lama tingal sang legendaris diego pertandingan yang penuh derama sengit antara dan ahir agentina yang membawa piala selamat argentina terimakasih francis</t>
  </si>
  <si>
    <t>['sejarah', 'messi', 'menerima', 'trofi', 'final', 'piala', 'dunia', 'sekian', 'lama', 'tingal', 'sang', 'legendaris', 'diego', 'pertandingan', 'penuh', 'derama', 'sengit', 'ahir', 'agentina', 'membawa', 'piala', 'selamat', 'argentina', 'terimakasih', 'francis']</t>
  </si>
  <si>
    <t>&lt;FreqDist with 24 samples and 25 outcomes&gt;</t>
  </si>
  <si>
    <t>Final copa Amerika, neymar dan Messi tampak saling respect, akrab dan berpelukan usai laga.  Final Piala Dunia, Messi dan Mbappe tampak kurang akrab.</t>
  </si>
  <si>
    <t>final copa amerika neymar dan messi tampak saling respect akrab dan berpelukan usai laga final piala dunia messi dan mbappe tampak kurang akrab</t>
  </si>
  <si>
    <t>['final', 'copa', 'amerika', 'neymar', 'messi', 'tampak', 'saling', 'respect', 'akrab', 'berpelukan', 'usai', 'laga', 'final', 'piala', 'dunia', 'messi', 'mbappe', 'tampak', 'kurang', 'akrab']</t>
  </si>
  <si>
    <t>Final piala dunia ter ter ter pokoknya,gabisa tenang sampe 120 menit, sekalipun dukungan aing üá´üá∑ harus keok tp Leonel Messi bisa mengakhiri karirnya dg indah,La pulga is real GOAT</t>
  </si>
  <si>
    <t>final piala dunia ter ter ter pokoknya gabisa tenang sampe menit sekalipun dukungan aing harus keok leonel messi bisa mengakhiri karirnya indah pulga real goat</t>
  </si>
  <si>
    <t>['final', 'piala', 'dunia', 'ter', 'ter', 'ter', 'pokoknya', 'gabisa', 'tenang', 'sampai', 'menit', 'sekalipun', 'dukungan', 'aing', 'keok', 'leonel', 'messi', 'mengakhiri', 'karirnya', 'indah', 'pulga', 'real', 'goat']</t>
  </si>
  <si>
    <t>Kok bisa ada orang ga nonton final piala dunia whyyyy</t>
  </si>
  <si>
    <t>kok bisa ada orang nonton final piala dunia whyyyy</t>
  </si>
  <si>
    <t>['kok', 'orang', 'nonton', 'final', 'piala', 'dunia', 'whyyyy']</t>
  </si>
  <si>
    <t>Man of The Match Timnas Argentina vs Prancis di Final Piala Dunia 2022</t>
  </si>
  <si>
    <t>man the match timnas argentina prancis final piala dunia</t>
  </si>
  <si>
    <t>['man', 'the', 'match', 'timnas', 'argentina', 'prancis', 'final', 'piala', 'dunia']</t>
  </si>
  <si>
    <t>Link live streaming alternatif, Final Piala Dunia 2022 Argentina vs Prancis, skor imbang 2-2  https://t.co/NcdnBQ1K0g</t>
  </si>
  <si>
    <t>link live streaming alternatif final piala dunia argentina prancis skor imbang</t>
  </si>
  <si>
    <t>['link', 'live', 'streaming', 'alternatif', 'final', 'piala', 'dunia', 'argentina', 'prancis', 'skor', 'imbang']</t>
  </si>
  <si>
    <t>Dramatis! Intip Serunya Nobar Final Piala Dunia 2022 di Medan  https://t.co/MwAVWLKYjm</t>
  </si>
  <si>
    <t>dramatis intip serunya nobar final piala dunia medan</t>
  </si>
  <si>
    <t>['dramatis', 'intip', 'serunya', 'nonton bareng', 'final', 'piala', 'dunia', 'medan']</t>
  </si>
  <si>
    <t>Final Piala Dunia Qatar 2022, Argentina Jadi Juara  https://t.co/OYDy4gXr6C  #pialadunia #WorldCup #WorldCupFinals #WorldCup2022 #finalpialadunia</t>
  </si>
  <si>
    <t>final piala dunia qatar argentina jadi juara</t>
  </si>
  <si>
    <t>['final', 'piala', 'dunia', 'qatar', 'argentina', 'jadi', 'juara']</t>
  </si>
  <si>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</si>
  <si>
    <t>selain final piala dunia juga salah satu terbaik zidane nanduk materrazi kartu merah kemudian langsung memutuskan pensiun italy juara lewat adu penalti fabio cannavaro bek dapet ballon sepanjang turnamen italy hanya kemasukan gol itupun penalti</t>
  </si>
  <si>
    <t>['final', 'piala', 'dunia', 'salah', 'satu', 'terbaik', 'zidane', 'nanduk', 'materrazi', 'kartu', 'merah', 'kemudian', 'langsung', 'memutuskan', 'pensiun', 'italy', 'juara', 'lewat', 'adu', 'penalti', 'fabio', 'cannavaro', 'bek', 'dapat', 'ballon', 'sepanjang', 'turnamen', 'italy', 'kemasukan', 'gol', 'itupun', 'penalti']</t>
  </si>
  <si>
    <t>&lt;FreqDist with 30 samples and 32 outcomes&gt;</t>
  </si>
  <si>
    <t>Turnitin HARGA PROMO + GARANSI FULL. Link ada di BIO ya  Pemain GREATEST OF ALL TIME Higuain Lukaku Enzo Fernandez Messi Camavinga WHAT A FINAL Dybala Piala Dunia Deschamps WHAT A MATCH Arab Saudi King Leo WC 2022 #ARGFRA Jantung Raul Lemos Penalti Acuna</t>
  </si>
  <si>
    <t>turnitin harga promo garansi full link ada bio pemain greatest all time higuain lukaku enzo fernandez messi camavinga what final dybala piala dunia deschamps what match arab saudi king leo jantung raul lemos penalti acuna</t>
  </si>
  <si>
    <t>['turnitin', 'harga', 'promo', 'garansi', 'full', 'link', 'bio', 'pemain', 'greatest', 'all', 'time', 'higuain', 'lukaku', 'enzo', 'fernandez', 'messi', 'camavinga', 'what', 'final', 'dybala', 'piala', 'dunia', 'deschamps', 'what', 'match', 'arab', 'saudi', 'king', 'leo', 'jantung', 'raul', 'lemos', 'penalti', 'acuna']</t>
  </si>
  <si>
    <t>&lt;FreqDist with 33 samples and 34 outcomes&gt;</t>
  </si>
  <si>
    <t>Kenapa final Piala Dunia harus malam senin sih üò´</t>
  </si>
  <si>
    <t>kenapa final piala dunia harus malam senin sih</t>
  </si>
  <si>
    <t>['final', 'piala', 'dunia', 'malam', 'senin']</t>
  </si>
  <si>
    <t>lu semua harus akuin, final piala dunia ini match terseru dari segala final.</t>
  </si>
  <si>
    <t>semua harus akuin final piala dunia ini match terseru dari segala final</t>
  </si>
  <si>
    <t>['semua', 'akuin', 'final', 'piala', 'dunia', 'match', 'terseru', 'segala', 'final']</t>
  </si>
  <si>
    <t>&lt;FreqDist with 8 samples and 9 outcomes&gt;</t>
  </si>
  <si>
    <t>Selamat ARGENTINA! Thx PRANCIS... Final yang menegangkan! Terima kasih QATAR sdh menjadi Tuan rumah Piala Dunia 2022 yg LUAR BIASA üôè  https://t.co/Laat3OKOXy</t>
  </si>
  <si>
    <t>selamat argentina thx prancis final yang menegangkan terima kasih qatar sdh menjadi tuan rumah piala dunia luar biasa</t>
  </si>
  <si>
    <t>['selamat', 'argentina', 'thank you', 'prancis', 'final', 'menegangkan', 'terima', 'kasih', 'qatar', 'menjadi', 'tuan', 'rumah', 'piala', 'dunia', 'luar', 'biasa']</t>
  </si>
  <si>
    <t>final piala dunia paling spektakuler #WorldCup #ArgentinaVsFrance  #Argentina  https://t.co/zmNEiDi1K2</t>
  </si>
  <si>
    <t>final piala dunia paling spektakuler</t>
  </si>
  <si>
    <t>['final', 'piala', 'dunia', 'paling', 'spektakuler']</t>
  </si>
  <si>
    <t>Pertandingan final terbaik malem ini sepanjang pergelaran piala dunia, congrats argentina !  Leo Messi is GOAT üêê</t>
  </si>
  <si>
    <t>pertandingan final terbaik malem ini sepanjang pergelaran piala dunia congrats argentina leo messi goat</t>
  </si>
  <si>
    <t>['pertandingan', 'final', 'terbaik', 'malem', 'sepanjang', 'pergelaran', 'piala', 'dunia', 'congrats', 'argentina', 'leo', 'messi', 'goat']</t>
  </si>
  <si>
    <t>Final piala dunia kali ini merinding bgt anjinggggg</t>
  </si>
  <si>
    <t>final piala dunia kali ini merinding bgt anjinggggg</t>
  </si>
  <si>
    <t>['final', 'piala', 'dunia', 'kali', 'merinding', 'banget', 'anjinggggg']</t>
  </si>
  <si>
    <t>Final ter-seru adu punggawa PSG. Tapi tetep paling oke Arab Saudi memiliki sejarah mengalahkan juara piala dunia 2022 dan membuat Messi menangis. wkwkwkwk</t>
  </si>
  <si>
    <t>final ter seru adu punggawa psg tapi tetep paling oke arab saudi memiliki sejarah mengalahkan juara piala dunia dan membuat messi menangis wkwkwkwk</t>
  </si>
  <si>
    <t>['final', 'ter', 'seru', 'adu', 'punggawa', 'psg', 'tetep', 'paling', 'oke', 'arab', 'saudi', 'memiliki', 'sejarah', 'mengalahkan', 'juara', 'piala', 'dunia', 'membuat', 'messi', 'menangis', 'wkwkwkwk']</t>
  </si>
  <si>
    <t>Argentina Juara dan Ada Tiga Hal Menarik dari Hasil Final Piala Dunia 2022  https://t.co/6oJEG3ToUH</t>
  </si>
  <si>
    <t>Jalin Keakraban, Kodim 0309/Solok Gelar Nobar Final Piala Dunia 2022 Bersama Masyarakat Kota Solok.  https://t.co/oe6FnGCDxX</t>
  </si>
  <si>
    <t>jalin keakraban kodim solok gelar nobar final piala dunia bersama masyarakat kota solok</t>
  </si>
  <si>
    <t>['jalin', 'keakraban', 'kodim', 'solok', 'gelar', 'nonton bareng', 'final', 'piala', 'dunia', 'bersama', 'masyarakat', 'kota', 'solok']</t>
  </si>
  <si>
    <t>Final piala dunia ter seru sepanjang masa</t>
  </si>
  <si>
    <t>final piala dunia ter seru sepanjang masa</t>
  </si>
  <si>
    <t>['final', 'piala', 'dunia', 'ter', 'seru', 'sepanjang', 'masa']</t>
  </si>
  <si>
    <t>Tak terase udah nonton 6 final piala dunia üòÇ</t>
  </si>
  <si>
    <t>tak terase udah nonton final piala dunia</t>
  </si>
  <si>
    <t>['tak', 'terase', 'udah', 'nonton', 'final', 'piala', 'dunia']</t>
  </si>
  <si>
    <t>ramenez coupe a la maison boleh gagal, tp ini best final sejak w nonton piala dunia dr 2010 + menyaksikan messi menamatkan sepakbolaüëèüëè</t>
  </si>
  <si>
    <t>ramenez coupe maison boleh gagal ini best final sejak nonton piala dunia menyaksikan messi menamatkan sepakbola</t>
  </si>
  <si>
    <t>['ramenez', 'coupe', 'maison', 'gagal', 'best', 'final', 'sejak', 'nonton', 'piala', 'dunia', 'menyaksikan', 'messi', 'menamatkan', 'sepakbola']</t>
  </si>
  <si>
    <t>Itulah yg boleh dirumuskan dgn final piala dunia sebentar tadi. Walau sekuat apa sekalipun Mbappe berusaha sehingga berjaya meledak hatrik, namun beliau masih tidak mampu membawa Perancis menjulang piala dunia, kerana takdir sudah mengatakan bahawa piala dunia milik Argentina.</t>
  </si>
  <si>
    <t>itulah boleh dirumuskan dgn final piala dunia sebentar tadi walau sekuat apa sekalipun mbappe berusaha sehingga berjaya meledak hatrik namun beliau masih tidak mampu membawa perancis menjulang piala dunia kerana takdir sudah mengatakan bahawa piala dunia milik argentina</t>
  </si>
  <si>
    <t>['dirumuskan', 'final', 'piala', 'dunia', 'sebentar', 'tadi', 'sekuat', 'apa', 'sekalipun', 'mbappe', 'berusaha', 'berjaya', 'meledak', 'hatrik', 'beliau', 'mampu', 'membawa', 'perancis', 'menjulang', 'piala', 'dunia', 'kerana', 'takdir', 'mengatakan', 'bahawa', 'piala', 'dunia', 'milik', 'argentina']</t>
  </si>
  <si>
    <t>Debate is over! Messi the best player in the world! G. O. A. T! Final piala Dunia terbaik dan sangat dramatis. Selamat untuk juara piala Dunia kita. ARGENTINA üî•üá¶üá∑  https://t.co/tefNnmcbPC</t>
  </si>
  <si>
    <t>debate over messi the best player the world final piala dunia terbaik dan sangat dramatis selamat untuk juara piala dunia kita argentina</t>
  </si>
  <si>
    <t>['debate', 'over', 'messi', 'the', 'best', 'player', 'the', 'world', 'final', 'piala', 'dunia', 'terbaik', 'sangat', 'dramatis', 'selamat', 'juara', 'piala', 'dunia', 'argentina']</t>
  </si>
  <si>
    <t>Berakhir sudah piala dunia kali ini dengan ditutupnya final yang meriah. Messi masa pensiunnya ditutup dengan senyuman manis &amp;amp; he‚Äôs the GOAT serta Mbappe tetap pemain yang epik untuk negaranya. Selamat tidur nyenyak kita semua!</t>
  </si>
  <si>
    <t>berakhir sudah piala dunia kali ini dengan ditutupnya final yang meriah messi masa pensiunnya ditutup dengan senyuman manis the goat serta mbappe tetap pemain yang epik untuk negaranya selamat tidur nyenyak kita semua</t>
  </si>
  <si>
    <t>['berakhir', 'piala', 'dunia', 'kali', 'ditutupnya', 'final', 'meriah', 'messi', 'masa', 'pensiunnya', 'ditutup', 'senyuman', 'manis', 'the', 'goat', 'mbappe', 'tetap', 'pemain', 'epik', 'negaranya', 'selamat', 'tidur', 'nyenyak', 'semua']</t>
  </si>
  <si>
    <t>Nonton Bareng Final Piala Dunia Qatar 2022 SPS Kepri Bersama Media dan W...  https://t.co/MuNODhLmdE lewat @YouTube</t>
  </si>
  <si>
    <t>nonton bareng final piala dunia qatar sps kepri bersama media dan lewat</t>
  </si>
  <si>
    <t>['nonton', 'bareng', 'final', 'piala', 'dunia', 'qatar', 'sps', 'kepri', 'bersama', 'media', 'lewat']</t>
  </si>
  <si>
    <t>Final piala dunia all indonesian final.... Sragentina vs Parangtritis</t>
  </si>
  <si>
    <t>final piala dunia all indonesian final sragentina parangtritis</t>
  </si>
  <si>
    <t>['final', 'piala', 'dunia', 'all', 'indonesian', 'final', 'sragentina', 'parangtritis']</t>
  </si>
  <si>
    <t>Final Piala Dunia 1998  FT: Brazil 0-3 Prancis  ‚öΩ  Zinedine Zidane   27', 45' - ‚öΩ  Emmanuel Petit     90'  @Indosat @IDExtraTime  #PilDunBarengIOH  yuk ikutan join. @niken_nih @ngatmurii @dheakunsi ~ 2.564</t>
  </si>
  <si>
    <t>final piala dunia brazil prancis zinedine zidane emmanuel petit yuk ikutan join nih</t>
  </si>
  <si>
    <t>['final', 'piala', 'dunia', 'brazil', 'prancis', 'zinedine', 'zidane', 'emmanuel', 'petit', 'yuk', 'ikutan', 'join']</t>
  </si>
  <si>
    <t>@idextratime akhirnya setelah penantian panjang, setelah terjatuh berkali kali kalah di final, mulai dari copa america 2007, final piala dunia 2014 copa america 2015, copa america 2016 akhirnya sekarang jadi juara üèÜ vamoss argentinaüá¶üá∑</t>
  </si>
  <si>
    <t>akhirnya setelah penantian panjang setelah terjatuh berkali kali kalah final mulai dari copa america final piala dunia copa america copa america akhirnya sekarang jadi juara vamoss argentina</t>
  </si>
  <si>
    <t>['akhirnya', 'penantian', 'panjang', 'terjatuh', 'berkali', 'kali', 'kalah', 'final', 'mulai', 'copa', 'america', 'final', 'piala', 'dunia', 'copa', 'america', 'copa', 'america', 'akhirnya', 'sekarang', 'jadi', 'juara', 'vamoss', 'argentina']</t>
  </si>
  <si>
    <t>&lt;FreqDist with 18 samples and 24 outcomes&gt;</t>
  </si>
  <si>
    <t>Kulewatlan final piala dunia wkwk</t>
  </si>
  <si>
    <t>kulewatlan final piala dunia wkwk</t>
  </si>
  <si>
    <t>['kulewatlan', 'final', 'piala', 'dunia']</t>
  </si>
  <si>
    <t>NONTON FINAL PIALA DUNIA ‚öΩÔ∏è RASANYA SAMA KAYAK WAKTU AWAL KALI KETEMU KAMU  BIKIN JANTUNG DAG DIG DUG‚ù§Ô∏è   Selamat untuk üá¶üá∑‚ú®üôåüèª</t>
  </si>
  <si>
    <t>nonton final piala dunia rasanya sama kayak waktu awal kali ketemu kamu bikin jantung dag dig dug selamat untuk</t>
  </si>
  <si>
    <t>['nonton', 'final', 'piala', 'dunia', 'rasanya', 'sama', 'seperti', 'waktu', 'awal', 'kali', 'ketemu', 'kamu', 'jantung', 'dag', 'dig', 'dug', 'selamat']</t>
  </si>
  <si>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</si>
  <si>
    <t>untuk argentina sebelum tmnt jadi pemain kedua dalam sejarah final piala dunia dengan gol tapi laa bab penalty memang cheeky kena pula keeper argentina emi martinez member memang proven kalau bab penalty shoots out matic jalan ampang</t>
  </si>
  <si>
    <t>['argentina', 'tmnt', 'jadi', 'pemain', 'kedua', 'sejarah', 'final', 'piala', 'dunia', 'gol', 'laa', 'bab', 'penalty', 'memang', 'cheeky', 'kena', 'keeper', 'argentina', 'emi', 'martinez', 'member', 'memang', 'proven', 'kalau', 'bab', 'penalty', 'shoots', 'out', 'matic', 'jalan', 'ampang']</t>
  </si>
  <si>
    <t>&lt;FreqDist with 27 samples and 31 outcomes&gt;</t>
  </si>
  <si>
    <t>@idextratime Berterima kasihlah ke Lautaro karena dia final piala dunia jd agak lebih panjang</t>
  </si>
  <si>
    <t>berterima kasihlah lautaro karena dia final piala dunia agak lebih panjang</t>
  </si>
  <si>
    <t>['berterima', 'kasihlah', 'lautaro', 'final', 'piala', 'dunia', 'lebih', 'panjang']</t>
  </si>
  <si>
    <t>ak lg mo nugas tiba2 diajak nobar final piala dunia  https://t.co/aZpSrA3aSF</t>
  </si>
  <si>
    <t>nugas tiba diajak nobar final piala dunia</t>
  </si>
  <si>
    <t>['nugas', 'tiba', 'diajak', 'nonton bareng', 'final', 'piala', 'dunia']</t>
  </si>
  <si>
    <t>Man of the Match Final Piala Dunia 2022 Argentina vs Prancis: Lionel Messi  https://t.co/rzyywNDqLY</t>
  </si>
  <si>
    <t>Orang-orang yang merugi. Yang tidak nonton final Piala Dunia tahun ini.</t>
  </si>
  <si>
    <t>orang orang yang merugi yang tidak nonton final piala dunia tahun ini</t>
  </si>
  <si>
    <t>['orang', 'orang', 'merugi', 'nonton', 'final', 'piala', 'dunia', 'tahun']</t>
  </si>
  <si>
    <t>„ÄêAET+Penalty„Äë Argentina vs. France | Final #FIFAWorldCup 2022  Argentina vs Francia Final Copa del Mundo 2022 France vs Argentine | R√©sum√© Coupe Monde Prancis Piala Juara Dunia, Penalti, Kolo Muani, GREATEST OF ALL TIME, Giroud, Lloris, Messi, Mbappe  https://t.co/d6C1giI2an</t>
  </si>
  <si>
    <t>aet penalty argentina france final argentina francia final copa del mundo france argentine sum coupe monde prancis piala juara dunia penalti kolo muani greatest all time giroud lloris messi mbappe</t>
  </si>
  <si>
    <t>['aet', 'penalty', 'argentina', 'france', 'final', 'argentina', 'francia', 'final', 'copa', 'del', 'mundo', 'france', 'argentine', 'sum', 'coupe', 'monde', 'prancis', 'piala', 'juara', 'dunia', 'penalti', 'kolo', 'muani', 'greatest', 'all', 'time', 'giroud', 'lloris', 'messi', 'mbappe']</t>
  </si>
  <si>
    <t>Salah satu pertandingan final terseru yang pernah saya tonton. Selamat Argentina untuk gelar Juara piala Dunia yang ke-3nya. Argentina Memang Pantas Juara. Greatest Of All Time.  #FIFAWorldCup2022Qatar</t>
  </si>
  <si>
    <t>salah satu pertandingan final terseru yang pernah saya tonton selamat argentina untuk gelar juara piala dunia yang nya argentina memang pantas juara greatest all time</t>
  </si>
  <si>
    <t>['salah', 'satu', 'pertandingan', 'final', 'terseru', 'pernah', 'tonton', 'selamat', 'argentina', 'gelar', 'juara', 'piala', 'dunia', 'argentina', 'memang', 'pantas', 'juara', 'greatest', 'all', 'time']</t>
  </si>
  <si>
    <t>akhirnya setelah penantian panjang, setelah terjatuh berkali kali kalah di final, mulai dari copa america 2007, final piala dunia 2014 copa america 2015, copa america 2016 akhirnya sekarang jadi juara üèÜ vamoss argentinaüá¶üá∑</t>
  </si>
  <si>
    <t>Pertandingan yang sangat pantas untuk sebuah final piala dunia, selamat kepada Argentina. Lengkap sudah trofi leonel messi. Akhir cerita alien Vs Robot.  https://t.co/HRAOVe9pvp</t>
  </si>
  <si>
    <t>pertandingan yang sangat pantas untuk sebuah final piala dunia selamat kepada argentina lengkap sudah trofi leonel messi akhir cerita alien robot</t>
  </si>
  <si>
    <t>['pertandingan', 'sangat', 'pantas', 'sebuah', 'final', 'piala', 'dunia', 'selamat', 'argentina', 'lengkap', 'trofi', 'leonel', 'messi', 'akhir', 'cerita', 'alien', 'robot']</t>
  </si>
  <si>
    <t>Perang taktik terbaik sepanjang final piala dunia...</t>
  </si>
  <si>
    <t>perang taktik terbaik sepanjang final piala dunia</t>
  </si>
  <si>
    <t>['perang', 'taktik', 'terbaik', 'sepanjang', 'final', 'piala', 'dunia']</t>
  </si>
  <si>
    <t>@budimandjatmiko Saksi sejarah petandingan Final Piala Dunia paling seru di tahun ini</t>
  </si>
  <si>
    <t>saksi sejarah petandingan final piala dunia paling seru tahun ini</t>
  </si>
  <si>
    <t>['saksi', 'sejarah', 'petandingan', 'final', 'piala', 'dunia', 'paling', 'seru', 'tahun']</t>
  </si>
  <si>
    <t>Keseruan nonton bareng final Argentina vs Perancis piala dunia 2022 bersama teman- teman kantor telkom roc regional 7 kti, dan tentunya streaming nya pakai Vidio menggunakan Internet IndiHome yah biar kualitas tetap stabil dan tampilan jernih guyss...  https://t.co/ZYB00rZpVz</t>
  </si>
  <si>
    <t>keseruan nonton bareng final argentina perancis piala dunia bersama teman teman kantor telkom roc regional kti dan tentunya streaming nya pakai vidio menggunakan internet indihome yah biar kualitas tetap stabil dan tampilan jernih guyss</t>
  </si>
  <si>
    <t>['keseruan', 'nonton', 'bareng', 'final', 'argentina', 'perancis', 'piala', 'dunia', 'bersama', 'teman', 'teman', 'kantor', 'telkom', 'roc', 'regional', 'kti', 'tentunya', 'streaming', 'pakai', 'vidio', 'menggunakan', 'internet', 'indihome', 'kualitas', 'tetap', 'stabil', 'tampilan', 'jernih', 'guyss']</t>
  </si>
  <si>
    <t>MBAPPEEEE GENDEENGG COKKK ASLII GA MASOKK AKALLL. HATRICK NENG FINAL PIALA DUNIA KII PIE CERITANE COKKK. SANGARR</t>
  </si>
  <si>
    <t>mbappeeee gendeengg cokkk aslii masokk akalll hatrick neng final piala dunia kii pie ceritane cokkk sangarr</t>
  </si>
  <si>
    <t>['mbappeeee', 'gendeengg', 'cokkk', 'aslii', 'masokk', 'akalll', 'hatrick', 'neng', 'final', 'piala', 'dunia', 'kii', 'pie', 'ceritane', 'cokkk', 'sangarr']</t>
  </si>
  <si>
    <t>Argentina menjadi kampiun Piala Dunia 2022 usai mengalahkan Prancis di final. #kumparanBOLA  https://t.co/LDNCOQV9aU</t>
  </si>
  <si>
    <t>argentina menjadi kampiun piala dunia usai mengalahkan prancis final</t>
  </si>
  <si>
    <t>['argentina', 'menjadi', 'kampiun', 'piala', 'dunia', 'usai', 'mengalahkan', 'prancis', 'final']</t>
  </si>
  <si>
    <t>ada banget naik turunnya nonton final piala dunia malam ini</t>
  </si>
  <si>
    <t>['banget', 'naik', 'turunnya', 'nonton', 'final', 'piala', 'dunia', 'malam']</t>
  </si>
  <si>
    <t>Kylian Mbappe memang gagal mengantarkan Prancis mempertahankan gelar juara Piala Dunia. Tapi, dia baru saja bikin rekor di final Piala Dunia  https://t.co/GnInXz6M7y</t>
  </si>
  <si>
    <t>kylian mbappe memang gagal mengantarkan prancis mempertahankan gelar juara piala dunia tapi dia baru saja bikin rekor final piala dunia</t>
  </si>
  <si>
    <t>['kylian', 'mbappe', 'memang', 'gagal', 'mengantarkan', 'prancis', 'mempertahankan', 'gelar', 'juara', 'piala', 'dunia', 'baru', 'rekor', 'final', 'piala', 'dunia']</t>
  </si>
  <si>
    <t>Match Of The Man Bagiku Di Pertandingan Final Piala Dunia Qatar 22 "Emiliano Mart√≠nez" U are the best ‚ù§Ô∏èüá¶üá∑üèÜüî• #PialaDunia2022 #ARGFRA  https://t.co/ekef5gyxoD</t>
  </si>
  <si>
    <t>match the man bagiku pertandingan final piala dunia qatar emiliano mart nez are the best</t>
  </si>
  <si>
    <t>['match', 'the', 'man', 'bagiku', 'pertandingan', 'final', 'piala', 'dunia', 'qatar', 'emiliano', 'mart', 'nez', 'are', 'the', 'best']</t>
  </si>
  <si>
    <t>Baru sy liat ini piala dunia disetting khusus untuk messi..tdk ada lg namanya sepakbola murni bahkan bandarpun ganda 1 prancis pdhl ini partai final..ujung2nya mafia</t>
  </si>
  <si>
    <t>baru liat ini piala dunia disetting khusus untuk messi tdk ada namanya sepakbola murni bahkan bandarpun ganda prancis pdhl ini partai final ujung nya mafia</t>
  </si>
  <si>
    <t>['baru', 'lihat', 'piala', 'dunia', 'disetting', 'khusus', 'messi', 'namanya', 'sepakbola', 'murni', 'bahkan', 'bandarpun', 'ganda', 'prancis', 'pdhl', 'partai', 'final', 'ujung', 'mafia']</t>
  </si>
  <si>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</si>
  <si>
    <t>personil polsek denpasar barat melakukan pengamanan laga final piala dunia qatar antara argentina prancis beberapa titik wilhum polsek denbar argentina pun sukses merengkuh trofi piala dunia ketiga mereka sedangkan prancis gagal mempertahankan gelar</t>
  </si>
  <si>
    <t>['personil', 'polsek', 'denpasar', 'barat', 'melakukan', 'pengamanan', 'laga', 'final', 'piala', 'dunia', 'qatar', 'argentina', 'prancis', 'beberapa', 'titik', 'wilhum', 'polsek', 'denbar', 'argentina', 'sukses', 'merengkuh', 'trofi', 'piala', 'dunia', 'ketiga', 'prancis', 'gagal', 'mempertahankan', 'gelar']</t>
  </si>
  <si>
    <t>Final paling best sepanjang w nonton piala dunia. Ini final penuh drama, dan terkewreenn</t>
  </si>
  <si>
    <t>final paling best sepanjang nonton piala dunia ini final penuh drama dan terkewreenn</t>
  </si>
  <si>
    <t>['final', 'paling', 'best', 'sepanjang', 'nonton', 'piala', 'dunia', 'final', 'penuh', 'drama', 'terkewreenn']</t>
  </si>
  <si>
    <t>Pertandingan yang luar biasa...!!! üëèüëèüëè  Final piala dunia terbaik dari yang saya tonton sejak 1990.    VIVA ARGENTINA !!!  https://t.co/kNHe270v3w</t>
  </si>
  <si>
    <t>pertandingan yang luar biasa final piala dunia terbaik dari yang saya tonton sejak viva argentina</t>
  </si>
  <si>
    <t>['pertandingan', 'luar', 'biasa', 'final', 'piala', 'dunia', 'terbaik', 'tonton', 'sejak', 'viva', 'argentina']</t>
  </si>
  <si>
    <t>senam jantung nonton final piala dunia tahun ini</t>
  </si>
  <si>
    <t>['senam', 'jantung', 'nonton', 'final', 'piala', 'dunia', 'tahun']</t>
  </si>
  <si>
    <t>Gk begitu ngerti dan gk ngikutin bola tapi seru jg baca timeline basian final piala dunia ü§£</t>
  </si>
  <si>
    <t>begitu ngerti dan ngikutin bola tapi seru baca timeline basian final piala dunia</t>
  </si>
  <si>
    <t>['ngerti', 'ngikutin', 'bola', 'seru', 'baca', 'timeline', 'basian', 'final', 'piala', 'dunia']</t>
  </si>
  <si>
    <t>@FaktaSepakbola FINAL PIALA DUNIA TAHUN 2022, FINAL TERBAIK, TERSERU, AJG JANTUNGAN!!</t>
  </si>
  <si>
    <t>final piala dunia tahun final terbaik terseru ajg jantungan</t>
  </si>
  <si>
    <t>['final', 'piala', 'dunia', 'tahun', 'final', 'terbaik', 'terseru', 'ajg', 'jantungan']</t>
  </si>
  <si>
    <t>Final Piala Dunia 1998  FT: Brazil 0-3 Prancis  ‚öΩ  Zinedine Zidane   27', 45' - ‚öΩ  Emmanuel Petit     90'  @Indosat @IDExtraTime  #PilDunBarengIOH  yuk ikutan join. @niken_nih @ngatmurii @dheakunsi ~ 2.531</t>
  </si>
  <si>
    <t>Argentina 3 vs 3 Perancis - Highlight Final Piala Dunia FIFA 2022 | Moji  https://t.co/kYsr8JDN3N lewat @YouTube ü•≥</t>
  </si>
  <si>
    <t>argentina perancis highlight final piala dunia fifa moji lewat</t>
  </si>
  <si>
    <t>['argentina', 'perancis', 'highlight', 'final', 'piala', 'dunia', 'fifa', 'moji', 'lewat']</t>
  </si>
  <si>
    <t>Dari awal piala dunia dimulai blm pernah nonton satu pun pertandingan, karena lagi lumayan sibuk. ‚ÄúNonton final aja lah nanti di rumah‚Äù batinku. Ga taunya ngepasi sama acara keluarga, seru kali nobarnya ü´∂  https://t.co/LKDDJqVvzy</t>
  </si>
  <si>
    <t>dari awal piala dunia dimulai blm pernah nonton satu pun pertandingan karena lagi lumayan sibuk nonton final aja lah nanti rumah batinku taunya ngepasi sama acara keluarga seru kali nobarnya</t>
  </si>
  <si>
    <t>['awal', 'piala', 'dunia', 'dimulai', 'blm', 'pernah', 'nonton', 'satu', 'pertandingan', 'lumayan', 'sibuk', 'nonton', 'final', 'lah', 'rumah', 'batinku', 'taunya', 'ngepasi', 'sama', 'acara', 'keluarga', 'seru', 'kali', 'nobarnya']</t>
  </si>
  <si>
    <t>Daaaan final piala dunia terseru yang pernah gua tonton setelah Perancis vs Italia 2006.</t>
  </si>
  <si>
    <t>daaaan final piala dunia terseru yang pernah gua tonton setelah perancis italia</t>
  </si>
  <si>
    <t>['daaaan', 'final', 'piala', 'dunia', 'terseru', 'pernah', 'gua', 'tonton', 'perancis', 'italia']</t>
  </si>
  <si>
    <t>2014 : - jerman juara piala dunia ngalahin argentina messi di final, Neuer kiper terbaik lagiii - Neuer masuk nominasi 3 besar ballon dor ( susah buat kiper masuk 3 besar )   2017 : - Neuer cedera parah, bapuk sampe 2019  2020 : - Sukses rehab, konsisten lagi - Juara ucl lagii</t>
  </si>
  <si>
    <t>jerman juara piala dunia ngalahin argentina messi final neuer kiper terbaik lagiii neuer masuk nominasi besar ballon dor susah buat kiper masuk besar neuer cedera parah bapuk sampe sukses rehab konsisten lagi juara ucl lagii</t>
  </si>
  <si>
    <t>['jerman', 'juara', 'piala', 'dunia', 'ngalahin', 'argentina', 'messi', 'final', 'neuer', 'kiper', 'terbaik', 'lagiii', 'neuer', 'masuk', 'nominasi', 'besar', 'ballon', 'dor', 'susah', 'buat', 'kiper', 'masuk', 'besar', 'neuer', 'cedera', 'parah', 'bapuk', 'sampai', 'sukses', 'rehab', 'konsisten', 'juara', 'ucl', 'lagii']</t>
  </si>
  <si>
    <t>&lt;FreqDist with 28 samples and 34 outcomes&gt;</t>
  </si>
  <si>
    <t>bakal cerita ke anak sendiri kalo final piala dunia 2022 harus di tonton</t>
  </si>
  <si>
    <t>bakal cerita anak sendiri kalo final piala dunia harus tonton</t>
  </si>
  <si>
    <t>['bakal', 'cerita', 'anak', 'sendiri', 'final', 'piala', 'dunia', 'tonton']</t>
  </si>
  <si>
    <t>final tergokil selama nonton piala dunia #Qatar2022</t>
  </si>
  <si>
    <t>final tergokil selama nonton piala dunia</t>
  </si>
  <si>
    <t>['final', 'tergokil', 'selama', 'nonton', 'piala', 'dunia']</t>
  </si>
  <si>
    <t>Final piala dunia paling seru üôåüôå  Argentina Messi Dybala De Paul Mbappe Prancis  https://t.co/fu7eCRmU5i</t>
  </si>
  <si>
    <t>final piala dunia paling seru argentina messi dybala paul mbappe prancis</t>
  </si>
  <si>
    <t>['final', 'piala', 'dunia', 'paling', 'seru', 'argentina', 'messi', 'dybala', 'paul', 'mbappe', 'prancis']</t>
  </si>
  <si>
    <t>@iIhamzada Save terbaik sepanjang sejarah final piala dunia  https://t.co/ogabFaFZpT</t>
  </si>
  <si>
    <t>save terbaik sepanjang sejarah final piala dunia</t>
  </si>
  <si>
    <t>['save', 'terbaik', 'sepanjang', 'sejarah', 'final', 'piala', 'dunia']</t>
  </si>
  <si>
    <t>atmosfer final piala dunia kali ini emg lit parah sih üî•. bener2 the real final pildun tuh kek gini, tegangnya dapet, deg-degannya juga dapet, euforianya apalagi. seru, gokil abis untuk final match kali ini.</t>
  </si>
  <si>
    <t>atmosfer final piala dunia kali ini emg lit parah sih bener the real final pildun tuh kek gini tegangnya dapet deg degannya juga dapet euforianya apalagi seru gokil abis untuk final match kali ini</t>
  </si>
  <si>
    <t>['atmosfer', 'final', 'piala', 'dunia', 'kali', 'memang', 'lit', 'parah', 'benar', 'the', 'real', 'final', 'piala dunia', 'kek', 'gini', 'tegangnya', 'dapat', 'deg', 'degannya', 'dapat', 'euforianya', 'seru', 'gila', 'abis', 'final', 'match', 'kali']</t>
  </si>
  <si>
    <t>Final FIFA World Cup 2022 Qatar  Argentina vs France  Final piala dunia paling seru!!  Kejar kejaran gol, ada beberapa drama, ada penalti, lanjut extra time, dan di selesaikan lewat adu penalti.   Argentina menang. Selamat.   Puas banget nontonya.   #FIFAWorldCupFinal</t>
  </si>
  <si>
    <t>final fifa world cup qatar argentina france final piala dunia paling seru kejar kejaran gol ada beberapa drama ada penalti lanjut extra time dan selesaikan lewat adu penalti argentina menang selamat puas banget nontonya</t>
  </si>
  <si>
    <t>['final', 'fifa', 'world', 'cup', 'qatar', 'argentina', 'france', 'final', 'piala', 'dunia', 'paling', 'seru', 'kejar', 'kejaran', 'gol', 'beberapa', 'drama', 'penalti', 'lanjut', 'extra', 'time', 'selesaikan', 'lewat', 'adu', 'penalti', 'argentina', 'menang', 'selamat', 'puas', 'banget', 'nontonya']</t>
  </si>
  <si>
    <t>apalagi yang ikut nobar piala dunia, yang di mana matchnya sendiri itu match bersejarah.  -messi akhirnya juara piala dunia dan sekaligus namatin sepak bola -mbappe jadi pemain kedua yang hat-trick di final piala dunia sekaligus dapetin golden boot</t>
  </si>
  <si>
    <t>apalagi yang ikut nobar piala dunia yang mana matchnya sendiri itu match bersejarah messi akhirnya juara piala dunia dan sekaligus namatin sepak bola mbappe jadi pemain kedua yang hat trick final piala dunia sekaligus dapetin golden boot</t>
  </si>
  <si>
    <t>['ikut', 'nonton bareng', 'piala', 'dunia', 'mana', 'matchnya', 'sendiri', 'match', 'bersejarah', 'messi', 'akhirnya', 'juara', 'piala', 'dunia', 'sekaligus', 'namatin', 'sepak', 'bola', 'mbappe', 'jadi', 'pemain', 'kedua', 'hat', 'trick', 'final', 'piala', 'dunia', 'sekaligus', 'dapetin', 'golden', 'boot']</t>
  </si>
  <si>
    <t>@idextratime alasan ronaldo ga nonton final piala dunia ternyata ini  https://t.co/ET6dF9EqPr</t>
  </si>
  <si>
    <t>alasan ronaldo nonton final piala dunia ternyata ini</t>
  </si>
  <si>
    <t>['alasan', 'ronaldo', 'nonton', 'final', 'piala', 'dunia', 'ternyata']</t>
  </si>
  <si>
    <t>Berkah final piala dunia banyak banget, keseruan apalagi, tp paling nggak pemain bola abis ni udah merata. Bukan tentang persaingan 2 org lagi (semoga)</t>
  </si>
  <si>
    <t>berkah final piala dunia banyak banget keseruan apalagi paling nggak pemain bola abis udah merata bukan tentang persaingan org lagi semoga</t>
  </si>
  <si>
    <t>['berkah', 'final', 'piala', 'dunia', 'banyak', 'banget', 'keseruan', 'paling', 'pemain', 'bola', 'abis', 'udah', 'merata', 'bukan', 'persaingan', 'org', 'semoga']</t>
  </si>
  <si>
    <t>tau ga aku hampir gelud ma suami aku gara gara nih final piala dunia huahuahua</t>
  </si>
  <si>
    <t>tau aku hampir gelud suami aku gara gara nih final piala dunia huahuahua</t>
  </si>
  <si>
    <t>['aku', 'hampir', 'gelud', 'suami', 'aku', 'gara', 'gara', 'final', 'piala', 'dunia', 'huahuahua']</t>
  </si>
  <si>
    <t>&lt;FreqDist with 9 samples and 11 outcomes&gt;</t>
  </si>
  <si>
    <t>Final piala dunia terbaik. Udah kayak anime.</t>
  </si>
  <si>
    <t>final piala dunia terbaik udah kayak anime</t>
  </si>
  <si>
    <t>['final', 'piala', 'dunia', 'terbaik', 'udah', 'seperti', 'anime']</t>
  </si>
  <si>
    <t>7 Foto Istri Griezmann, WAGs Prancis Curi Atensi Jelang Final Piala Dunia  https://t.co/cCu1q2k0DH  #Griezmann</t>
  </si>
  <si>
    <t>Apapun yg terjadi, Aice adalah sponsor paling beruntung, kedua icon mereka, Mbappe dan Messi berhasil tampil di final piala Dunia. Goks  https://t.co/RSzkBRcAV8</t>
  </si>
  <si>
    <t>apapun terjadi aice adalah sponsor paling beruntung kedua icon mereka mbappe dan messi berhasil tampil final piala dunia goks</t>
  </si>
  <si>
    <t>['apapun', 'terjadi', 'aice', 'sponsor', 'paling', 'beruntung', 'kedua', 'icon', 'mbappe', 'messi', 'berhasil', 'tampil', 'final', 'piala', 'dunia', 'goks']</t>
  </si>
  <si>
    <t>Final Piala Dunia 1998  FT: Brazil 0-3 Prancis  ‚öΩ  Zinedine Zidane   27', 45' - ‚öΩ  Emmanuel Petit     90'  @Indosat @IDExtraTime  #PilDunBarengIOH  yuk ikutan join. @niken_nih @ngatmurii @dheakunsi ~ 2.497</t>
  </si>
  <si>
    <t>Belum pernah kalah dan salah tebakan di final turnament sepakbola seperti liga champion, piala eropa, dan piala dunia heheheh</t>
  </si>
  <si>
    <t>belum pernah kalah dan salah tebakan final turnament sepakbola seperti liga champion piala eropa dan piala dunia heheheh</t>
  </si>
  <si>
    <t>['pernah', 'kalah', 'salah', 'tebakan', 'final', 'turnament', 'sepakbola', 'liga', 'champion', 'piala', 'eropa', 'piala', 'dunia', 'heheheh']</t>
  </si>
  <si>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</si>
  <si>
    <t>congratz argentina congratz messi kali ini you nail messi the real goat messi final piala dunia terseru pernah kutonton sepanjang sejarah hidupku sejak usa sangat terhibur argentina france argentina france adu penalty</t>
  </si>
  <si>
    <t>['congratz', 'argentina', 'congratz', 'messi', 'kali', 'you', 'nail', 'messi', 'the', 'real', 'goat', 'messi', 'final', 'piala', 'dunia', 'terseru', 'pernah', 'kutonton', 'sepanjang', 'sejarah', 'hidupku', 'sejak', 'usa', 'sangat', 'terhibur', 'argentina', 'france', 'argentina', 'france', 'adu', 'penalty']</t>
  </si>
  <si>
    <t>&lt;FreqDist with 25 samples and 31 outcomes&gt;</t>
  </si>
  <si>
    <t>Final piala dunia iki marai darah tinggi.  https://t.co/w4O8fVcmCV</t>
  </si>
  <si>
    <t>final piala dunia iki marai darah tinggi</t>
  </si>
  <si>
    <t>['final', 'piala', 'dunia', 'iki', 'marai', 'darah', 'tinggi']</t>
  </si>
  <si>
    <t>Nonton semua pertandingan final Piala Dunia dari tahun 1998, harus diakui emang final kali ini yang paling seru. Thank you, @Argentina @equipedefrance üëè</t>
  </si>
  <si>
    <t>nonton semua pertandingan final piala dunia dari tahun harus diakui emang final kali ini yang paling seru thank you</t>
  </si>
  <si>
    <t>['nonton', 'semua', 'pertandingan', 'final', 'piala', 'dunia', 'tahun', 'diakui', 'emang', 'final', 'kali', 'paling', 'seru', 'thank', 'you']</t>
  </si>
  <si>
    <t>Puan Dukung Argentina Juara di Final Piala Dunia 2022  https://t.co/8N6wuipVoM</t>
  </si>
  <si>
    <t>puan dukung argentina juara final piala dunia</t>
  </si>
  <si>
    <t>['puan', 'dukung', 'argentina', 'juara', 'final', 'piala', 'dunia']</t>
  </si>
  <si>
    <t>WHAT A GAMEüî•üî•!!!... Messi menyempurnakan gelarnya, Liga Champions, Balkon D'Or, Copa America, dan Final nya PIALA DUNIA üá¶üá∑üî• CONGRATULATIONS La Pulga!!! #MessiìÉµday #ARGFRA #ArgentinaVsFrance #La_Pulga #Qatar2022  https://t.co/FPxtcMLPxg</t>
  </si>
  <si>
    <t>what game messi menyempurnakan gelarnya liga champions balkon copa america dan final nya piala dunia congratulations pulga day pulga</t>
  </si>
  <si>
    <t>['what', 'game', 'messi', 'menyempurnakan', 'gelarnya', 'liga', 'champions', 'balkon', 'copa', 'america', 'final', 'piala', 'dunia', 'congratulations', 'pulga', 'day', 'pulga']</t>
  </si>
  <si>
    <t>&lt;FreqDist with 16 samples and 17 outcomes&gt;</t>
  </si>
  <si>
    <t>Btw tadi adalah final piala dunia terbaik yg pernah kita nikmati</t>
  </si>
  <si>
    <t>btw tadi adalah final piala dunia terbaik pernah kita nikmati</t>
  </si>
  <si>
    <t>['by the way', 'tadi', 'final', 'piala', 'dunia', 'terbaik', 'pernah', 'nikmati']</t>
  </si>
  <si>
    <t>Nonton piala dunia dari 2002, jamannya oliver kahn jago banget di jerman tapi kalah di final.  Dari 2002 nyempetin nobar sama temen-temen sampai pada akhirnya nonton final 2022 sendirian di rumah.   Temen-temen yang dulu nobar UCL &amp;amp; piala dunia pada kemana yaq?</t>
  </si>
  <si>
    <t>nonton piala dunia dari jamannya oliver kahn jago banget jerman tapi kalah final dari nyempetin nobar sama temen temen sampai pada akhirnya nonton final sendirian rumah temen temen yang dulu nobar ucl piala dunia pada kemana yaq</t>
  </si>
  <si>
    <t>['nonton', 'piala', 'dunia', 'jamannya', 'oliver', 'kahn', 'jago', 'banget', 'jerman', 'kalah', 'final', 'nyempetin', 'nonton bareng', 'sama', 'temen', 'temen', 'akhirnya', 'nonton', 'final', 'sendirian', 'rumah', 'temen', 'temen', 'dulu', 'nonton bareng', 'ucl', 'piala', 'dunia', 'yaq']</t>
  </si>
  <si>
    <t>&lt;FreqDist with 21 samples and 29 outcomes&gt;</t>
  </si>
  <si>
    <t>@FaktaSepakbola H-7 Sountrack PD belum hapal H-1 Piala dunia kali ini gak seru, gak hype, bla...bla..bla H+1 Keren nih H+7 PD kali ini gak bisa ditebak Final = Anjirr ini piala dunia terbaik!!!  Plot twist QATAR üá∂üá¶</t>
  </si>
  <si>
    <t>sountrack belum hapal piala dunia kali ini gak seru gak hype bla bla bla keren nih kali ini gak bisa ditebak final anjirr ini piala dunia terbaik plot twist qatar</t>
  </si>
  <si>
    <t>['sountrack', 'hapal', 'piala', 'dunia', 'kali', 'seru', 'hype', 'bla', 'bla', 'bla', 'keren', 'kali', 'ditebak', 'final', 'anjirr', 'piala', 'dunia', 'terbaik', 'plot', 'twist', 'qatar']</t>
  </si>
  <si>
    <t>&lt;FreqDist with 16 samples and 21 outcomes&gt;</t>
  </si>
  <si>
    <t>Final Piala Dunia terbaik sejak tahun 2002!</t>
  </si>
  <si>
    <t>final piala dunia terbaik sejak tahun</t>
  </si>
  <si>
    <t>['final', 'piala', 'dunia', 'terbaik', 'sejak', 'tahun']</t>
  </si>
  <si>
    <t>Final piala dunia 2022 ini menjadi peralihan generasi yang monumental. Messi sebagai GOAT right now yang akan berakhir era kejayaannya dan era baru akan segera dimulai dengan the new GOAT Kylian Mbappe.  https://t.co/sSHJQSYISk</t>
  </si>
  <si>
    <t>final piala dunia ini menjadi peralihan generasi yang monumental messi sebagai goat right now yang akan berakhir era kejayaannya dan era baru akan segera dimulai dengan the new goat kylian mbappe</t>
  </si>
  <si>
    <t>['final', 'piala', 'dunia', 'menjadi', 'peralihan', 'generasi', 'monumental', 'messi', 'goat', 'right', 'now', 'berakhir', 'era', 'kejayaannya', 'era', 'baru', 'segera', 'dimulai', 'the', 'new', 'goat', 'kylian', 'mbappe']</t>
  </si>
  <si>
    <t>Messi juara dunia di pertandingan final piala dunia terbaik dalam sejarah.</t>
  </si>
  <si>
    <t>messi juara dunia pertandingan final piala dunia terbaik dalam sejarah</t>
  </si>
  <si>
    <t>['messi', 'juara', 'dunia', 'pertandingan', 'final', 'piala', 'dunia', 'terbaik', 'sejarah']</t>
  </si>
  <si>
    <t>@Robbi_07 @timelinism @igbbsadewa @crushedpan @The_RedsIndo Yg disebut liga petani itu sering mroduksi pemain2 hebat seperti Platini, Zidane, Tcouameni, Camavinga, Benzema yg membuat klub2 di liga non-petani kesengsem membelinya. Yg disebut liga petani it</t>
  </si>
  <si>
    <t>redsindo disebut liga petani itu sering mroduksi pemain hebat seperti platini zidane tcouameni camavinga benzema membuat klub liga non petani kesengsem membelinya disebut liga petani</t>
  </si>
  <si>
    <t>['redsindo', 'disebut', 'liga', 'petani', 'sering', 'mroduksi', 'pemain', 'hebat', 'platini', 'zidane', 'tcouameni', 'camavinga', 'benzema', 'membuat', 'klub', 'liga', 'non', 'petani', 'kesengsem', 'membelinya', 'disebut', 'liga', 'petani']</t>
  </si>
  <si>
    <t>&lt;FreqDist with 18 samples and 23 outcomes&gt;</t>
  </si>
  <si>
    <t>Final Piala Dunia 1998  FT: Brazil 0-3 Prancis  ‚öΩ  Zinedine Zidane   27', 45' - ‚öΩ  Emmanuel Petit     90'  @Indosat @IDExtraTime  #PilDunBarengIOH  yuk ikutan join. @niken_nih @ngatmurii @dheakunsi ~ 2.478</t>
  </si>
  <si>
    <t>Jika Selesai Final piala dunia orang orang pada makan pecel lele/nasi goreng percayalah mereka adalah fans argentia #MessiìÉµ #messi #Argentina #PialaDunia2022</t>
  </si>
  <si>
    <t>jika selesai final piala dunia orang orang pada makan pecel lele nasi goreng percayalah mereka adalah fans argentia</t>
  </si>
  <si>
    <t>['selesai', 'final', 'piala', 'dunia', 'orang', 'orang', 'makan', 'pecel', 'lele', 'nasi', 'goreng', 'percayalah', 'fans', 'argentia']</t>
  </si>
  <si>
    <t>keren bgt final piala dunia, hati dan mental dibuat ga kondusif lololol</t>
  </si>
  <si>
    <t>keren bgt final piala dunia hati dan mental dibuat kondusif lololol</t>
  </si>
  <si>
    <t>['keren', 'banget', 'final', 'piala', 'dunia', 'hati', 'mental', 'dibuat', 'kondusif', 'lololol']</t>
  </si>
  <si>
    <t>Final piala dunia terbaik sih Respek Messi, perdebatan siapa terbaik dengan CR udah selesai, Messi udah dapet semua World cup selanjutnya bakal di sikat sama Mbappe semua kayanya Tapi kayanya world cup 2026 mau dukung norwegia aja üòÇ</t>
  </si>
  <si>
    <t>final piala dunia terbaik sih respek messi perdebatan siapa terbaik dengan udah selesai messi udah dapet semua world cup selanjutnya bakal sikat sama mbappe semua kayanya tapi kayanya world cup mau dukung norwegia aja</t>
  </si>
  <si>
    <t>['final', 'piala', 'dunia', 'terbaik', 'respek', 'messi', 'perdebatan', 'siapa', 'terbaik', 'udah', 'selesai', 'messi', 'udah', 'dapat', 'semua', 'world', 'cup', 'selanjutnya', 'bakal', 'sikat', 'sama', 'mbappe', 'semua', 'kayanya', 'kayanya', 'world', 'cup', 'mau', 'dukung', 'norwegia']</t>
  </si>
  <si>
    <t>&lt;FreqDist with 23 samples and 30 outcomes&gt;</t>
  </si>
  <si>
    <t>Yah, hari ini ada final piala dunia. Biasanya ada yang teriak2 heboh nihh di rumah... Sekarang gaada.. Eh jadinya si bontot nobar bareng temennya karena gaada temen nonton di rumah hiks T.T</t>
  </si>
  <si>
    <t>yah hari ini ada final piala dunia biasanya ada yang teriak heboh nihh rumah sekarang gaada jadinya bontot nobar bareng temennya karena gaada temen nonton rumah hiks</t>
  </si>
  <si>
    <t>['hari', 'final', 'piala', 'dunia', 'biasanya', 'teriak', 'heboh', 'nihh', 'rumah', 'sekarang', 'gaada', 'jadinya', 'bontot', 'nonton bareng', 'bareng', 'temennya', 'gaada', 'temen', 'nonton', 'rumah', 'hiks']</t>
  </si>
  <si>
    <t>Final piala Dunia yang layak untuk disebut Grand Final</t>
  </si>
  <si>
    <t>final piala dunia yang layak untuk disebut grand final</t>
  </si>
  <si>
    <t>['final', 'piala', 'dunia', 'layak', 'disebut', 'grand', 'final']</t>
  </si>
  <si>
    <t>&lt;FreqDist with 6 samples and 7 outcomes&gt;</t>
  </si>
  <si>
    <t>Valiiid anjiir, ini final paling gilaa asliiüò≠üò≠ deg"an nyaa mengingatkan gue sama final piala dunia 2006 antara italy vs perancis, karna dsitu italy sama perancis sama" nurunin pemain senior merekaüò≠üò≠üò≠</t>
  </si>
  <si>
    <t>valiiid anjiir ini final paling gilaa aslii deg nyaa mengingatkan gue sama final piala dunia antara italy perancis karna dsitu italy sama perancis sama nurunin pemain senior mereka</t>
  </si>
  <si>
    <t>['valiiid', 'anjiir', 'final', 'paling', 'gilaa', 'aslii', 'deg', 'nyaa', 'mengingatkan', 'gue', 'sama', 'final', 'piala', 'dunia', 'italy', 'perancis', 'karna', 'dsitu', 'italy', 'sama', 'perancis', 'sama', 'nurunin', 'pemain', 'senior']</t>
  </si>
  <si>
    <t>Untuk sementara final terbaik menurutku, selamat qatar bisa membuat piala dunia semeriah ini</t>
  </si>
  <si>
    <t>untuk sementara final terbaik menurutku selamat qatar bisa membuat piala dunia semeriah ini</t>
  </si>
  <si>
    <t>['final', 'terbaik', 'menurutku', 'selamat', 'qatar', 'membuat', 'piala', 'dunia', 'semeriah']</t>
  </si>
  <si>
    <t>4 milyar orang nonton final piala dunia  artinya 1 dari 2 orang nonton, satunya lagi g nonton krn ketiduran</t>
  </si>
  <si>
    <t>milyar orang nonton final piala dunia artinya dari orang nonton satunya lagi nonton krn ketiduran</t>
  </si>
  <si>
    <t>['milyar', 'orang', 'nonton', 'final', 'piala', 'dunia', 'artinya', 'orang', 'nonton', 'satunya', 'nonton', 'ketiduran']</t>
  </si>
  <si>
    <t>&lt;FreqDist with 9 samples and 12 outcomes&gt;</t>
  </si>
  <si>
    <t>Ini list match final paling seru Selama aku nonton final piala dunia mulai 2010  1. 2022 2. 2014 3. 2010 2018 itu final gk seimbang gk ada seru serunya</t>
  </si>
  <si>
    <t>ini list match final paling seru selama aku nonton final piala dunia mulai itu final seimbang ada seru serunya</t>
  </si>
  <si>
    <t>['list', 'match', 'final', 'paling', 'seru', 'selama', 'aku', 'nonton', 'final', 'piala', 'dunia', 'mulai', 'final', 'seimbang', 'seru', 'serunya']</t>
  </si>
  <si>
    <t>&lt;FreqDist with 13 samples and 16 outcomes&gt;</t>
  </si>
  <si>
    <t>final piala dunia pertama tanpa bokap kenapa harus argen sih yg menang ü•≤</t>
  </si>
  <si>
    <t>final piala dunia pertama tanpa bokap kenapa harus argen sih menang</t>
  </si>
  <si>
    <t>['final', 'piala', 'dunia', 'pertama', 'bokap', 'argen', 'menang']</t>
  </si>
  <si>
    <t>Gokil sii final piala dunia, ga kuat gua nontonnya dag dig dug ser</t>
  </si>
  <si>
    <t>gokil sii final piala dunia kuat gua nontonnya dag dig dug ser</t>
  </si>
  <si>
    <t>['gila', 'sii', 'final', 'piala', 'dunia', 'kuat', 'gua', 'nontonnya', 'dag', 'dig', 'dug', 'ser']</t>
  </si>
  <si>
    <t>2010 memang Piala Dunia Terbaik, tapi 2022 adalah Final Piala Dunia Terbaik sepanjang Massa üî•üî•üî•</t>
  </si>
  <si>
    <t>memang piala dunia terbaik tapi adalah final piala dunia terbaik sepanjang massa</t>
  </si>
  <si>
    <t>['memang', 'piala', 'dunia', 'terbaik', 'final', 'piala', 'dunia', 'terbaik', 'sepanjang', 'massa']</t>
  </si>
  <si>
    <t>&lt;FreqDist with 7 samples and 10 outcomes&gt;</t>
  </si>
  <si>
    <t>temenku mau cepet2 lengser presidium cuma gagara mau nonton final piala duniaüò≠üëç</t>
  </si>
  <si>
    <t>temenku mau cepet lengser presidium cuma gagara mau nonton final piala dunia</t>
  </si>
  <si>
    <t>['temenku', 'mau', 'cepet', 'lengser', 'presidium', 'cuma', 'gagara', 'mau', 'nonton', 'final', 'piala', 'dunia']</t>
  </si>
  <si>
    <t>Terima kasih untuk penampilan nya di final. Membuat final yang sempat boring di babak pertama jadi salah satu final paling dramatis di Piala Dunia. Dengan Hat-trick nya dan penampilan mengesankan di final, saya kira fans Madrid bakal jatuh cinta &amp;amp; membuka lg pintu untuknya</t>
  </si>
  <si>
    <t>terima kasih untuk penampilan nya final membuat final yang sempat boring babak pertama jadi salah satu final paling dramatis piala dunia dengan hat trick nya dan penampilan mengesankan final saya kira fans madrid bakal jatuh cinta membuka pintu untuknya</t>
  </si>
  <si>
    <t>['terima', 'kasih', 'penampilan', 'final', 'membuat', 'final', 'sempat', 'boring', 'babak', 'pertama', 'jadi', 'salah', 'satu', 'final', 'paling', 'dramatis', 'piala', 'dunia', 'hat', 'trick', 'penampilan', 'mengesankan', 'final', 'kira', 'fans', 'madrid', 'bakal', 'jatuh', 'cinta', 'membuka', 'pintu', 'untuknya']</t>
  </si>
  <si>
    <t>&lt;FreqDist with 28 samples and 32 outcomes&gt;</t>
  </si>
  <si>
    <t>Jadi saksi final piala dunia terbaik! üòç</t>
  </si>
  <si>
    <t>jadi saksi final piala dunia terbaik</t>
  </si>
  <si>
    <t>['jadi', 'saksi', 'final', 'piala', 'dunia', 'terbaik']</t>
  </si>
  <si>
    <t>„ÄêFULL MATCH„Äë Argentina vs. France | Final #FIFAWorldCup 2022  Argentina vs Francia Final Copa del Mundo 2022 France vs Argentine | R√©sum√©  Coupe Monde Prancis Piala Dunia, Penalti, Kolo Muani, GREATEST OF ALL TIME, Giroud, Drake, Camavinga, Messi, Mbappe  https://t.co/yvRWqleOMH</t>
  </si>
  <si>
    <t>full match argentina france final argentina francia final copa del mundo france argentine sum coupe monde prancis piala dunia penalti kolo muani greatest all time giroud drake camavinga messi mbappe</t>
  </si>
  <si>
    <t>['full', 'match', 'argentina', 'france', 'final', 'argentina', 'francia', 'final', 'copa', 'del', 'mundo', 'france', 'argentine', 'sum', 'coupe', 'monde', 'prancis', 'piala', 'dunia', 'penalti', 'kolo', 'muani', 'greatest', 'all', 'time', 'giroud', 'drake', 'camavinga', 'messi', 'mbappe']</t>
  </si>
  <si>
    <t>Laga final piala dunia yg keren bgttt, full dramatis, nice dinamika. Gal rugi bgtt dan sesuai filing pasti pinaltian. Nice game ‚ú®  https://t.co/TQ05cIz5iV</t>
  </si>
  <si>
    <t>laga final piala dunia keren bgttt full dramatis nice dinamika gal rugi bgtt dan sesuai filing pasti pinaltian nice game</t>
  </si>
  <si>
    <t>['laga', 'final', 'piala', 'dunia', 'keren', 'bgttt', 'full', 'dramatis', 'nice', 'dinamika', 'gal', 'rugi', 'bgtt', 'sesuai', 'filing', 'pinaltian', 'nice', 'game']</t>
  </si>
  <si>
    <t>Dari mulai pertama kali nonton piala dunia dari 2002, tahun ini sama tahun 2006 adalah final terbaik yang pernah gua tonton</t>
  </si>
  <si>
    <t>dari mulai pertama kali nonton piala dunia dari tahun ini sama tahun adalah final terbaik yang pernah gua tonton</t>
  </si>
  <si>
    <t>['mulai', 'pertama', 'kali', 'nonton', 'piala', 'dunia', 'tahun', 'sama', 'tahun', 'final', 'terbaik', 'pernah', 'gua', 'tonton']</t>
  </si>
  <si>
    <t>final piala dunia kali ini seru amat dah. tapi kasian mbappe</t>
  </si>
  <si>
    <t>final piala dunia kali ini seru amat dah tapi kasian mbappe</t>
  </si>
  <si>
    <t>['final', 'piala', 'dunia', 'kali', 'seru', 'dah', 'kasian', 'mbappe']</t>
  </si>
  <si>
    <t>Seruw bgt liatin storry" orang ttg piala dunia, tpi sad juga karena w ga nntn dari awal sampai final pildun tahun iniüôÅ</t>
  </si>
  <si>
    <t>seruw bgt liatin storry orang ttg piala dunia tpi sad juga karena nntn dari awal sampai final pildun tahun ini</t>
  </si>
  <si>
    <t>['seruw', 'banget', 'liatin', 'storry', 'orang', 'ttg', 'piala', 'dunia', 'tpi', 'sad', 'nonton', 'awal', 'final', 'piala dunia', 'tahun']</t>
  </si>
  <si>
    <t>@convomfs Ini piala dunia final yg hipe bgt sih</t>
  </si>
  <si>
    <t>ini piala dunia final hipe bgt sih</t>
  </si>
  <si>
    <t>['piala', 'dunia', 'final', 'hipe', 'banget']</t>
  </si>
  <si>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</si>
  <si>
    <t>laga final piala dunia berjalan dramatis pertandingan terpaksa dilanjutkan babak tambahan karena imbang waktu normal kedua kubu sama sama mencetak satu gol sehingga babak tambahan pemenang laga ditentukan lewat adu penalti</t>
  </si>
  <si>
    <t>['laga', 'final', 'piala', 'dunia', 'berjalan', 'dramatis', 'pertandingan', 'terpaksa', 'dilanjutkan', 'babak', 'tambahan', 'imbang', 'waktu', 'normal', 'kedua', 'kubu', 'sama', 'sama', 'mencetak', 'satu', 'gol', 'babak', 'tambahan', 'pemenang', 'laga', 'ditentukan', 'lewat', 'adu', 'penalti']</t>
  </si>
  <si>
    <t>Qatar 2022 Messi Rusia 2018 Mbappe Brazil 2014 Mario Gotze South Africa 2010 Iniesta German 2006 Materazzi  Nama nama di atas, berhasil jadi pencetak gol terakhir buat negara nya di final piala dunia dan jadi jawara.   Kebanyakan dari mereka punya unsur inisial M. M = bawa hoki!</t>
  </si>
  <si>
    <t>qatar messi rusia mbappe brazil mario gotze south africa iniesta german materazzi nama nama atas berhasil jadi pencetak gol terakhir buat negara nya final piala dunia dan jadi jawara kebanyakan dari mereka punya unsur inisial bawa hoki</t>
  </si>
  <si>
    <t>['qatar', 'messi', 'rusia', 'mbappe', 'brazil', 'mario', 'gotze', 'south', 'africa', 'iniesta', 'german', 'materazzi', 'nama', 'nama', 'atas', 'berhasil', 'jadi', 'pencetak', 'gol', 'terakhir', 'buat', 'negara', 'final', 'piala', 'dunia', 'jadi', 'jawara', 'kebanyakan', 'punya', 'unsur', 'inisial', 'bawa', 'hoki']</t>
  </si>
  <si>
    <t>&lt;FreqDist with 31 samples and 33 outcomes&gt;</t>
  </si>
  <si>
    <t>Akhirnya üò≠üá¶üá∑üèÜ Final piala dunia terbaik yang pernah ada.   Idola sejak SMP, dari SMP mikir kapan Argentina bisa menang, akhirnya terwujud bisa lihat Argentina juara üò≠üá¶üá∑üá¶üá∑  https://t.co/uWDRkMOmje</t>
  </si>
  <si>
    <t>akhirnya final piala dunia terbaik yang pernah ada idola sejak smp dari smp mikir kapan argentina bisa menang akhirnya terwujud bisa lihat argentina juara</t>
  </si>
  <si>
    <t>['akhirnya', 'final', 'piala', 'dunia', 'terbaik', 'pernah', 'idola', 'sejak', 'smp', 'smp', 'mikir', 'kapan', 'argentina', 'menang', 'akhirnya', 'terwujud', 'lihat', 'argentina', 'juara']</t>
  </si>
  <si>
    <t>Terlepas dri orang bilang settingan‚Ä¶. Tpi ini Final Piala Dunia paling gila, gila dan gila‚Ä¶. Sangat seru skali !!!!!</t>
  </si>
  <si>
    <t>terlepas dri orang bilang settingan tpi ini final piala dunia paling gila gila dan gila sangat seru skali</t>
  </si>
  <si>
    <t>['terlepas', 'dri', 'orang', 'settingan', 'tpi', 'final', 'piala', 'dunia', 'paling', 'gila', 'gila', 'gila', 'sangat', 'seru', 'skali']</t>
  </si>
  <si>
    <t>Beruntunglah, kita jadi saksi sejarah final Piala Dunia terbaik sepanjang masa (sejauh ini). Tumbuh dan bisa melihat 2 pemain sepakbola hebat, Messi dan Ronaldo. Congrats Argen! Messi udah lawan kupa, tamat! Mbappe Gacor sih Respect. Sampe bertemu 4 tahun lagi, see you World Cup.</t>
  </si>
  <si>
    <t>beruntunglah kita jadi saksi sejarah final piala dunia terbaik sepanjang masa sejauh ini tumbuh dan bisa melihat pemain sepakbola hebat messi dan ronaldo congrats argen messi udah lawan kupa tamat mbappe gacor sih respect sampe bertemu tahun lagi see you world cup</t>
  </si>
  <si>
    <t>['beruntunglah', 'jadi', 'saksi', 'sejarah', 'final', 'piala', 'dunia', 'terbaik', 'sepanjang', 'masa', 'sejauh', 'tumbuh', 'melihat', 'pemain', 'sepakbola', 'hebat', 'messi', 'ronaldo', 'congrats', 'argen', 'messi', 'udah', 'lawan', 'kupa', 'tamat', 'mbappe', 'gacor', 'respect', 'sampai', 'bertemu', 'tahun', 'see', 'you', 'world', 'cup']</t>
  </si>
  <si>
    <t>&lt;FreqDist with 34 samples and 35 outcomes&gt;</t>
  </si>
  <si>
    <t>Ntar giliran gempa lagi pada ngomong dah, dosa apee yang bikin tuhan marah lagi ama kita, uhuyy siuuuuuuuu, salam perdamaian final piala dunia‚úåÔ∏èüôÉüôÉüôÉ</t>
  </si>
  <si>
    <t>ntar giliran gempa lagi pada ngomong dah dosa apee yang bikin tuhan marah lagi ama kita uhuyy siuuuuuuuu salam perdamaian final piala dunia</t>
  </si>
  <si>
    <t>['ntar', 'giliran', 'gempa', 'ngomong', 'dah', 'dosa', 'apee', 'tuhan', 'marah', 'ama', 'uhuyy', 'siuuuuuuuu', 'salam', 'perdamaian', 'final', 'piala', 'dunia']</t>
  </si>
  <si>
    <t>Final terbaik Piala Dunia üî• Drama sampai menit akhir, sebagai penonton kita seperti olahraga jantung.</t>
  </si>
  <si>
    <t>final terbaik piala dunia drama sampai menit akhir sebagai penonton kita seperti olahraga jantung</t>
  </si>
  <si>
    <t>['final', 'terbaik', 'piala', 'dunia', 'drama', 'menit', 'akhir', 'penonton', 'olahraga', 'jantung']</t>
  </si>
  <si>
    <t>FT AET: Argentina 3-3 Perancis Adu penalti: Argentina 4-2 Perancis  What a final match! Seru! Dramatis! Hujan gol! Menegangkan!  Selamat Argentina! Selamat Messi dkk. Koleksi trofi Piala Dunia ketiga bagi Argentina. üèÜüèÜüèÜ  Vamos Argentina! #WorldCup #PialaDunia #Qatar2022</t>
  </si>
  <si>
    <t>aet argentina perancis adu penalti argentina perancis what final match seru dramatis hujan gol menegangkan selamat argentina selamat messi dkk koleksi trofi piala dunia ketiga bagi argentina vamos argentina</t>
  </si>
  <si>
    <t>['aet', 'argentina', 'perancis', 'adu', 'penalti', 'argentina', 'perancis', 'what', 'final', 'match', 'seru', 'dramatis', 'hujan', 'gol', 'menegangkan', 'selamat', 'argentina', 'selamat', 'messi', 'dkk', 'koleksi', 'trofi', 'piala', 'dunia', 'ketiga', 'argentina', 'vamos', 'argentina']</t>
  </si>
  <si>
    <t>&lt;FreqDist with 22 samples and 28 outcomes&gt;</t>
  </si>
  <si>
    <t>Apresiasi setinggi tingginya untuk orang ini. Membawa negara di punggungnya pada umur 23 tahun. Terimakasih mbappe telah menciptakan final piala dunia terbaik!  https://t.co/DvSgUKqFBZ</t>
  </si>
  <si>
    <t>apresiasi setinggi tingginya untuk orang ini membawa negara punggungnya pada umur tahun terimakasih mbappe telah menciptakan final piala dunia terbaik</t>
  </si>
  <si>
    <t>['apresiasi', 'setinggi', 'tingginya', 'orang', 'membawa', 'negara', 'punggungnya', 'umur', 'tahun', 'terimakasih', 'mbappe', 'menciptakan', 'final', 'piala', 'dunia', 'terbaik']</t>
  </si>
  <si>
    <t>@panditfootball Setuju.. Final Piala Dunia terbaik, di Piala Dunia terbaik sejauh ini.</t>
  </si>
  <si>
    <t>setuju final piala dunia terbaik piala dunia terbaik sejauh ini</t>
  </si>
  <si>
    <t>['setuju', 'final', 'piala', 'dunia', 'terbaik', 'piala', 'dunia', 'terbaik', 'sejauh']</t>
  </si>
  <si>
    <t>&lt;FreqDist with 6 samples and 9 outcomes&gt;</t>
  </si>
  <si>
    <t>Piala dunia pertama yg ku ikutin tu edisi 2006, dan final edisi 06,10,14,18 dan yg barusan 22 itu final PD terseru yg pernah w tonton</t>
  </si>
  <si>
    <t>piala dunia pertama ikutin edisi dan final edisi dan barusan itu final terseru pernah tonton</t>
  </si>
  <si>
    <t>['piala', 'dunia', 'pertama', 'ikutin', 'edisi', 'final', 'edisi', 'barusan', 'final', 'terseru', 'pernah', 'tonton']</t>
  </si>
  <si>
    <t>Masih teringat dengan jelas final piala dunia 2014, mempertemukan argentina dgn jerman, di babak extra time argentina harus kebobolan akhir yg sangat sedih melihat idola saya messi menangis ketika tidak bisa membawa negara nya memenangkan piala dunia.</t>
  </si>
  <si>
    <t>masih teringat dengan jelas final piala dunia mempertemukan argentina dgn jerman babak extra time argentina harus kebobolan akhir sangat sedih melihat idola saya messi menangis ketika tidak bisa membawa negara nya memenangkan piala dunia</t>
  </si>
  <si>
    <t>['teringat', 'jelas', 'final', 'piala', 'dunia', 'mempertemukan', 'argentina', 'jerman', 'babak', 'extra', 'time', 'argentina', 'kebobolan', 'akhir', 'sangat', 'sedih', 'melihat', 'idola', 'messi', 'menangis', 'membawa', 'negara', 'memenangkan', 'piala', 'dunia']</t>
  </si>
  <si>
    <t>&lt;FreqDist with 22 samples and 25 outcomes&gt;</t>
  </si>
  <si>
    <t>Belum sempet nntn piala dunia satu pertandingan pun eh udh final ternyata argentina menang üòÇ</t>
  </si>
  <si>
    <t>belum sempet nntn piala dunia satu pertandingan pun udh final ternyata argentina menang</t>
  </si>
  <si>
    <t>['sempet', 'nonton', 'piala', 'dunia', 'satu', 'pertandingan', 'sudah', 'final', 'ternyata', 'argentina', 'menang']</t>
  </si>
  <si>
    <t>Disaat orang lain pada seru nonton final piala Dunia sambil pada ngetweet urg malah tidur dengan tibra. Emang gabisa disuruh begadang dikit tuh</t>
  </si>
  <si>
    <t>disaat orang lain pada seru nonton final piala dunia sambil pada ngetweet urg malah tidur dengan tibra emang gabisa disuruh begadang dikit tuh</t>
  </si>
  <si>
    <t>['disaat', 'orang', 'seru', 'nonton', 'final', 'piala', 'dunia', 'ngetweet', 'urg', 'malah', 'tidur', 'tibra', 'emang', 'gabisa', 'disuruh', 'begadang', 'dikit']</t>
  </si>
  <si>
    <t>Laga final Piala Dunia Qatar 2022 antara Timnas Argentina melawan Prancis yang digelar di Lusail Iconic Stadium, Minggu (18/12/2022) malam WIB berjalan sangat sengit. Bahkan pemenang pertandingan ini harus ditentukan melalui babak adu penalti.  https://t.co/Xyl2Lu7mEh</t>
  </si>
  <si>
    <t>laga final piala dunia qatar antara timnas argentina melawan prancis yang digelar lusail iconic stadium minggu malam wib berjalan sangat sengit bahkan pemenang pertandingan ini harus ditentukan melalui babak adu penalti</t>
  </si>
  <si>
    <t>['laga', 'final', 'piala', 'dunia', 'qatar', 'timnas', 'argentina', 'melawan', 'prancis', 'digelar', 'lusail', 'iconic', 'stadium', 'minggu', 'malam', 'wib', 'berjalan', 'sangat', 'sengit', 'bahkan', 'pemenang', 'pertandingan', 'ditentukan', 'melalui', 'babak', 'adu', 'penalti']</t>
  </si>
  <si>
    <t>Susunan Pemain Final Piala Dunia 2022 Argentina vs Prancis: Angel Di Maria Starter  https://t.co/cigdlsQSQE</t>
  </si>
  <si>
    <t>susunan pemain final piala dunia argentina prancis angel maria starter</t>
  </si>
  <si>
    <t>['susunan', 'pemain', 'final', 'piala', 'dunia', 'argentina', 'prancis', 'angel', 'maria', 'starter']</t>
  </si>
  <si>
    <t>awal skeptis piala dunia kali ini gabakal seheboh yg dulu, tapi dengan mulai banyak negara besar yg gugur dan banyak game yg unoredict jadi mulai menarik, sampe ada keinginan liat final portugal vs argen. walaupun gak kesampean tapi overall pildun kalo ini full roller coaster.</t>
  </si>
  <si>
    <t>awal skeptis piala dunia kali ini gabakal seheboh dulu tapi dengan mulai banyak negara besar gugur dan banyak game unoredict jadi mulai menarik sampe ada keinginan liat final portugal argen walaupun gak kesampean tapi overall pildun kalo ini full roller coaster</t>
  </si>
  <si>
    <t>['awal', 'skeptis', 'piala', 'dunia', 'kali', 'gabakal', 'seheboh', 'dulu', 'mulai', 'banyak', 'negara', 'besar', 'gugur', 'banyak', 'game', 'unoredict', 'jadi', 'mulai', 'menarik', 'sampai', 'keinginan', 'lihat', 'final', 'portugal', 'argen', 'walaupun', 'kesampean', 'overall', 'piala dunia', 'full', 'roller', 'coaster']</t>
  </si>
  <si>
    <t>Piala Dunia, Dari 16 besar sampai semi Final selalu nonton, Giliran Final malah ketiduran ü•π Nangis banget cok!</t>
  </si>
  <si>
    <t>piala dunia dari besar sampai semi final selalu nonton giliran final malah ketiduran nangis banget cok</t>
  </si>
  <si>
    <t>['piala', 'dunia', 'besar', 'semi', 'final', 'selalu', 'nonton', 'giliran', 'final', 'malah', 'ketiduran', 'nangis', 'banget', 'cok']</t>
  </si>
  <si>
    <t>Ridwan Kamil mengatakan prediksinya jika Argentinya akan menang tepat. Prediksi itu sempat diunggah sebelum pertandingan final Piala Dunia 2022 mulai.  https://t.co/jncCsZHbaS</t>
  </si>
  <si>
    <t>ridwan kamil mengatakan prediksinya jika argentinya akan menang tepat prediksi itu sempat diunggah sebelum pertandingan final piala dunia mulai</t>
  </si>
  <si>
    <t>['ridwan', 'kamil', 'mengatakan', 'prediksinya', 'argentinya', 'menang', 'tepat', 'prediksi', 'sempat', 'diunggah', 'pertandingan', 'final', 'piala', 'dunia', 'mulai']</t>
  </si>
  <si>
    <t>Mau tidur setelah nonton final Piala Dunia Qatar 2022, eh ada filmnya bang @VinoGBastian__ üòÜ Jadi terhibur nonton film Serigala Terakhir karena France kalah ü§£  https://t.co/Ko3IietcMP</t>
  </si>
  <si>
    <t>mau tidur setelah nonton final piala dunia qatar ada filmnya bang jadi terhibur nonton film serigala terakhir karena france kalah</t>
  </si>
  <si>
    <t>['mau', 'tidur', 'nonton', 'final', 'piala', 'dunia', 'qatar', 'filmnya', 'bang', 'jadi', 'terhibur', 'nonton', 'film', 'serigala', 'terakhir', 'france', 'kalah']</t>
  </si>
  <si>
    <t>Final piala dunia terbaik yang pernah ditonton ü•≤</t>
  </si>
  <si>
    <t>final piala dunia terbaik yang pernah ditonton</t>
  </si>
  <si>
    <t>['final', 'piala', 'dunia', 'terbaik', 'pernah', 'ditonton']</t>
  </si>
  <si>
    <t>Pertandingan final piala dunia terbaik yang pernah saya tonton: FIFA WORLD CUP 2022.  Argentina keluar sebagai juara. Indah betul bekal pensiunnya Lionel Messi.</t>
  </si>
  <si>
    <t>pertandingan final piala dunia terbaik yang pernah saya tonton fifa world cup argentina keluar sebagai juara indah betul bekal pensiunnya lionel messi</t>
  </si>
  <si>
    <t>['pertandingan', 'final', 'piala', 'dunia', 'terbaik', 'pernah', 'tonton', 'fifa', 'world', 'cup', 'argentina', 'keluar', 'juara', 'indah', 'betul', 'bekal', 'pensiunnya', 'lionel', 'messi']</t>
  </si>
  <si>
    <t>serunya nobar siaran langsung piala dunia final Argentina vs Francis  https://t.co/0gLUwkByNi</t>
  </si>
  <si>
    <t>serunya nobar siaran langsung piala dunia final argentina francis</t>
  </si>
  <si>
    <t>['serunya', 'nonton bareng', 'siaran', 'langsung', 'piala', 'dunia', 'final', 'argentina', 'francis']</t>
  </si>
  <si>
    <t>Jadi, pas jalan pulang dari nobar ke rumah tadi nyetel radio (kayaknya RRI Radio). Terus, banyak penelpon emak-emak dan wanita nelpon satu-satu ngebahas final pildun tadi. Dan yg mengejutkan, pengetahuan mereka tentang sepak bola dan seputar piala dunia sangat dalam. Keren!ü´∂</t>
  </si>
  <si>
    <t>jadi pas jalan pulang dari nobar rumah tadi nyetel radio kayaknya rri radio terus banyak penelpon emak emak dan wanita nelpon satu satu ngebahas final pildun tadi dan mengejutkan pengetahuan mereka tentang sepak bola dan seputar piala dunia sangat dalam keren</t>
  </si>
  <si>
    <t>['jadi', 'pas', 'jalan', 'pulang', 'nonton bareng', 'rumah', 'tadi', 'nyetel', 'radio', 'kayaknya', 'rri', 'radio', 'terus', 'banyak', 'penelpon', 'emak', 'emak', 'wanita', 'nelpon', 'satu', 'satu', 'ngebahas', 'final', 'piala dunia', 'tadi', 'mengejutkan', 'pengetahuan', 'sepak', 'bola', 'seputar', 'piala', 'dunia', 'sangat', 'keren']</t>
  </si>
  <si>
    <t>&lt;FreqDist with 30 samples and 34 outcomes&gt;</t>
  </si>
  <si>
    <t>Jadi skor resmi final piala dunia berapa? 3-3  permainan 90 menit 4-2 hasil pinalti 4-3 hasil 90 menit + 1 perhitungan pinalti atau 3-3 (4-2)  ???  https://t.co/Xe2VCBoxZS</t>
  </si>
  <si>
    <t>jadi skor resmi final piala dunia berapa permainan menit hasil pinalti hasil menit perhitungan pinalti atau</t>
  </si>
  <si>
    <t>['jadi', 'skor', 'resmi', 'final', 'piala', 'dunia', 'berapa', 'permainan', 'menit', 'hasil', 'penalti', 'hasil', 'menit', 'perhitungan', 'penalti']</t>
  </si>
  <si>
    <t>&lt;FreqDist with 12 samples and 15 outcomes&gt;</t>
  </si>
  <si>
    <t>Vamos Argentina, Messi Antar Argentina Juara di Piala Dunia 2022 #argentina #messi #france #mbappe #worldcup #qatar #final #fyp #fyp„Ç∑ #indopos  https://t.co/S0aURw1mBA</t>
  </si>
  <si>
    <t>vamos argentina messi antar argentina juara piala dunia</t>
  </si>
  <si>
    <t>['vamos', 'argentina', 'messi', 'antar', 'argentina', 'juara', 'piala', 'dunia']</t>
  </si>
  <si>
    <t>6 goal di Final Piala Dunia 2022 dicetak oleh 3 pemain yang berbeda semuanya bermain di PSG</t>
  </si>
  <si>
    <t>goal final piala dunia dicetak oleh pemain yang berbeda semuanya bermain psg</t>
  </si>
  <si>
    <t>['goal', 'final', 'piala', 'dunia', 'dicetak', 'pemain', 'berbeda', 'semuanya', 'bermain', 'psg']</t>
  </si>
  <si>
    <t>Argentina Juara Piala Dunia 2022, Setelah 36 Tahun  Lionel Messi menjadi aktor kemengan Argentina pada Final Piala Dunia 2022  #FIFAWorldCup  #FIFAWorldCupFinal #FIFAWorldCup2022 #ArgentinaVsFrance #Qatar2022  https://t.co/BjRp4R9vQx</t>
  </si>
  <si>
    <t>argentina juara piala dunia setelah tahun lionel messi menjadi aktor kemengan argentina pada final piala dunia</t>
  </si>
  <si>
    <t>['argentina', 'juara', 'piala', 'dunia', 'tahun', 'lionel', 'messi', 'menjadi', 'aktor', 'kemengan', 'argentina', 'final', 'piala', 'dunia']</t>
  </si>
  <si>
    <t>&lt;FreqDist with 11 samples and 14 outcomes&gt;</t>
  </si>
  <si>
    <t>5 Penyebab Prancis Kalah dari Argentina di Final Piala Dunia 2022, Nomor 1 Lionel Messi! : Okezone Bola  https://t.co/GGbui5tEpf</t>
  </si>
  <si>
    <t>penyebab prancis kalah dari argentina final piala dunia nomor lionel messi okezone bola</t>
  </si>
  <si>
    <t>['penyebab', 'prancis', 'kalah', 'argentina', 'final', 'piala', 'dunia', 'nomor', 'lionel', 'messi', 'okezone', 'bola']</t>
  </si>
  <si>
    <t>5 Penyebab Prancis Kalah dari Argentina di Final Piala Dunia 2022, Nomor 1 Lionel Messi! #LengkapCepatBeritanya #Bola #SepakBola #SepakbolaDunia #BolaDunia .  https://t.co/pp1R9iQ7pF</t>
  </si>
  <si>
    <t>penyebab prancis kalah dari argentina final piala dunia nomor lionel messi</t>
  </si>
  <si>
    <t>['penyebab', 'prancis', 'kalah', 'argentina', 'final', 'piala', 'dunia', 'nomor', 'lionel', 'messi']</t>
  </si>
  <si>
    <t>Messi emang sudah tamat. Mungkin emang final ini adu mekanik antara messi dan mbappe.  Tapi, respect ambek kiper iki, 2x adu pinalti dan dia membantu messi untuk meraih piala dunia.  Save iki guendeng se, respek martinez!</t>
  </si>
  <si>
    <t>messi emang sudah tamat mungkin emang final ini adu mekanik antara messi dan mbappe tapi respect ambek kiper iki adu pinalti dan dia membantu messi untuk meraih piala dunia save iki guendeng respek martinez</t>
  </si>
  <si>
    <t>['messi', 'emang', 'tamat', 'mungkin', 'emang', 'final', 'adu', 'mekanik', 'messi', 'mbappe', 'respect', 'ambek', 'kiper', 'iki', 'adu', 'penalti', 'membantu', 'messi', 'meraih', 'piala', 'dunia', 'save', 'iki', 'guendeng', 'respek', 'martinez']</t>
  </si>
  <si>
    <t>&lt;FreqDist with 21 samples and 26 outcomes&gt;</t>
  </si>
  <si>
    <t>18 Desember 2022, nobar final piala dunia bareng temen temen kuliah let's see final piala dunia 2026 nobar sama siapa, apa udah sama istri ? wkwkkk  thx piala dunia kali ini penuh kenangan üôåüèªüôåüèª  https://t.co/pvVRjZzwuD</t>
  </si>
  <si>
    <t>desember nobar final piala dunia bareng temen temen kuliah let see final piala dunia nobar sama siapa apa udah sama istri wkwkkk thx piala dunia kali ini penuh kenangan</t>
  </si>
  <si>
    <t>['desember', 'nonton bareng', 'final', 'piala', 'dunia', 'bareng', 'temen', 'temen', 'kuliah', 'let', 'see', 'final', 'piala', 'dunia', 'nonton bareng', 'sama', 'siapa', 'apa', 'udah', 'sama', 'istri', 'wkwkkk', 'thank you', 'piala', 'dunia', 'kali', 'penuh', 'kenangan']</t>
  </si>
  <si>
    <t>&lt;FreqDist with 20 samples and 28 outcomes&gt;</t>
  </si>
  <si>
    <t>umur 23 hattrick di final piala dunia, mbappeüôåüëè</t>
  </si>
  <si>
    <t>umur hattrick final piala dunia mbappe</t>
  </si>
  <si>
    <t>['umur', 'hattrick', 'final', 'piala', 'dunia', 'mbappe']</t>
  </si>
  <si>
    <t>Gatau udah berapa kali gua Doa Bapa Kami selama pertandingan final Piala Dunia supaya Argentina menang, dan Tuhan memang baik. What a sweet sweet accomplishment, congratulations Argentina &amp;amp; Messiü•πü•πüôèüèªüôèüèªüôåüèªüëèüèª  https://t.co/RbWFAaikNz</t>
  </si>
  <si>
    <t>gatau udah berapa kali gua doa bapa kami selama pertandingan final piala dunia supaya argentina menang dan tuhan memang baik what sweet sweet accomplishment congratulations argentina messi</t>
  </si>
  <si>
    <t>['gatau', 'udah', 'berapa', 'kali', 'gua', 'doa', 'bapa', 'selama', 'pertandingan', 'final', 'piala', 'dunia', 'argentina', 'menang', 'tuhan', 'memang', 'baik', 'what', 'sweet', 'sweet', 'accomplishment', 'congratulations', 'argentina', 'messi']</t>
  </si>
  <si>
    <t>Ngikutin piala dunia dari awal..  Asli, piala dunia 2022 banyak banget momennya üî•  Plus Argentina juaranya!!   BEST FINAL EVER!  BEST WORLD CUP EVER!</t>
  </si>
  <si>
    <t>ngikutin piala dunia dari awal asli piala dunia banyak banget momennya plus argentina juaranya best final ever best world cup ever</t>
  </si>
  <si>
    <t>['ngikutin', 'piala', 'dunia', 'awal', 'asli', 'piala', 'dunia', 'banyak', 'banget', 'momennya', 'plus', 'argentina', 'juaranya', 'best', 'final', 'ever', 'best', 'world', 'cup', 'ever']</t>
  </si>
  <si>
    <t>Congratz Mbappeüëç Hebat Dan Luar Biasa Hatrick Final &amp;amp; Top Score Piala Dunia 2022.  https://t.co/BhSxrs39PF</t>
  </si>
  <si>
    <t>congratz mbappe hebat dan luar biasa hatrick final top score piala dunia</t>
  </si>
  <si>
    <t>['congratz', 'mbappe', 'hebat', 'luar', 'biasa', 'hatrick', 'final', 'top', 'score', 'piala', 'dunia']</t>
  </si>
  <si>
    <t>Udah pada suudzhan Lautaro bakal bawa apes kayak Higuain di final 2014. Eh malah berkontribusi di gol ketiga Argentina dan angkat piala dunia. Hehe</t>
  </si>
  <si>
    <t>udah pada suudzhan lautaro bakal bawa apes kayak higuain final malah berkontribusi gol ketiga argentina dan angkat piala dunia hehe</t>
  </si>
  <si>
    <t>['udah', 'suudzhan', 'lautaro', 'bakal', 'bawa', 'apes', 'seperti', 'higuain', 'final', 'malah', 'berkontribusi', 'gol', 'ketiga', 'argentina', 'angkat', 'piala', 'dunia']</t>
  </si>
  <si>
    <t>Timnas Argentina resmi menjadi juara Piala Dunia 2022 di Qatar setelah mengalahkan Prancis pada final di Stadion Lusail, Minggu (18/12/2022). Kedua tim bermain 3-3 hingga babak perpanjangan waktu dan Argentina menang adu penalti 4-2.   https://t.co/ACWqkUZjBM  https://t.co/5qD382zgHu</t>
  </si>
  <si>
    <t>timnas argentina resmi menjadi juara piala dunia qatar setelah mengalahkan prancis pada final stadion lusail minggu kedua tim bermain hingga babak perpanjangan waktu dan argentina menang adu penalti</t>
  </si>
  <si>
    <t>['timnas', 'argentina', 'resmi', 'menjadi', 'juara', 'piala', 'dunia', 'qatar', 'mengalahkan', 'prancis', 'final', 'stadion', 'lusail', 'minggu', 'kedua', 'tim', 'bermain', 'hingga', 'babak', 'perpanjangan', 'waktu', 'argentina', 'menang', 'adu', 'penalti']</t>
  </si>
  <si>
    <t>KATA SIAPA PIALA DUNIA QATAR GAK SERU? Dari fase grup sampe final kejutan semua. FIFA WORLD CUP QATAR 2022 adalah kejuaraan sepakbola terbaik sepanjang masa. What a game!!!!!!!!! Congrats Argentina! Congrats Leo Messi!</t>
  </si>
  <si>
    <t>kata siapa piala dunia qatar gak seru dari fase grup sampe final kejutan semua fifa world cup qatar adalah kejuaraan sepakbola terbaik sepanjang masa what game congrats argentina congrats leo messi</t>
  </si>
  <si>
    <t>['kata', 'siapa', 'piala', 'dunia', 'qatar', 'seru', 'fase', 'grup', 'sampai', 'final', 'kejutan', 'semua', 'fifa', 'world', 'cup', 'qatar', 'kejuaraan', 'sepakbola', 'terbaik', 'sepanjang', 'masa', 'what', 'game', 'congrats', 'argentina', 'congrats', 'leo', 'messi']</t>
  </si>
  <si>
    <t>Piala Dunia Qatar 2022 resmi berakhir. Argentina keluar sebagai pemenang setelah mengalahkan Prancis dengan skor adu penalti 4-2 (3-3) di Stadion Lusail, Minggu (18/12) pada partai final yang disaksikan langsung 88 ribu penonton itu.   https://t.co/T9N7giEyhu  https://t.co/SdB51A4nI1</t>
  </si>
  <si>
    <t>piala dunia qatar resmi berakhir argentina keluar sebagai pemenang setelah mengalahkan prancis dengan skor adu penalti stadion lusail minggu pada partai final yang disaksikan langsung ribu penonton itu</t>
  </si>
  <si>
    <t>['piala', 'dunia', 'qatar', 'resmi', 'berakhir', 'argentina', 'keluar', 'pemenang', 'mengalahkan', 'prancis', 'skor', 'adu', 'penalti', 'stadion', 'lusail', 'minggu', 'partai', 'final', 'disaksikan', 'langsung', 'ribu', 'penonton']</t>
  </si>
  <si>
    <t>&lt;FreqDist with 22 samples and 22 outcomes&gt;</t>
  </si>
  <si>
    <t>flashback 2014 argentina menang lawan belanda di semi final lewat adu penalti emang kalau adu pinalti argentina juaranya  Adu penalti pun tidak sembarangan orang bisa apa lagi dipertingan piala dunia   kiper argentina juga gak ada obat thanks emi martinez kiper terbaik 2022</t>
  </si>
  <si>
    <t>flashback argentina menang lawan belanda semi final lewat adu penalti emang kalau adu pinalti argentina juaranya adu penalti pun tidak sembarangan orang bisa apa lagi dipertingan piala dunia kiper argentina juga gak ada obat thanks emi martinez kiper terbaik</t>
  </si>
  <si>
    <t>['flashback', 'argentina', 'menang', 'lawan', 'belanda', 'semi', 'final', 'lewat', 'adu', 'penalti', 'emang', 'kalau', 'adu', 'penalti', 'argentina', 'juaranya', 'adu', 'penalti', 'sembarangan', 'orang', 'apa', 'dipertingan', 'piala', 'dunia', 'kiper', 'argentina', 'obat', 'thanks', 'emi', 'martinez', 'kiper', 'terbaik']</t>
  </si>
  <si>
    <t>üíö ARGENTINA MENANG PIALA DUNIA! WHAT A GAME! WHAT A FINAL!  https://t.co/6ojeeBqgYv</t>
  </si>
  <si>
    <t>argentina menang piala dunia what game what final</t>
  </si>
  <si>
    <t>['argentina', 'menang', 'piala', 'dunia', 'what', 'game', 'what', 'final']</t>
  </si>
  <si>
    <t>TW // disgusting   Final piala dunia kali ini memanglah epik, tapi ada yang ga kalah epiknya kalo nazar mas Anton ini bener2 kesampean hahaha üíö  https://t.co/GeUwNKgqgo</t>
  </si>
  <si>
    <t>disgusting final piala dunia kali ini memanglah epik tapi ada yang kalah epiknya kalo nazar mas anton ini bener kesampean hahaha</t>
  </si>
  <si>
    <t>['disgusting', 'final', 'piala', 'dunia', 'kali', 'memanglah', 'epik', 'kalah', 'epiknya', 'nazar', 'mas', 'anton', 'benar', 'kesampean', 'hahaha']</t>
  </si>
  <si>
    <t>capek malem ini gilak triak2 sampe ganggu tetangga ahahahah final piala dunia terseru sampe titik darah penghabisan wkwkkw... beli jersey argentina bintang tiga next kwkw tulisannya G.O.A.T</t>
  </si>
  <si>
    <t>capek malem ini gilak triak sampe ganggu tetangga ahahahah final piala dunia terseru sampe titik darah penghabisan wkwkkw beli jersey argentina bintang tiga next kwkw tulisannya</t>
  </si>
  <si>
    <t>['lelah', 'malem', 'gilak', 'triak', 'sampai', 'ganggu', 'tetangga', 'ahahahah', 'final', 'piala', 'dunia', 'terseru', 'sampai', 'titik', 'darah', 'penghabisan', 'wkwkkw', 'beli', 'jersey', 'argentina', 'bintang', 'tiga', 'next', 'kwkw', 'tulisannya']</t>
  </si>
  <si>
    <t>Salah satu final terbaik piala dunia sepanjang sejarah.</t>
  </si>
  <si>
    <t>salah satu final terbaik piala dunia sepanjang sejarah</t>
  </si>
  <si>
    <t>['salah', 'satu', 'final', 'terbaik', 'piala', 'dunia', 'sepanjang', 'sejarah']</t>
  </si>
  <si>
    <t>final piala dunia paling gila, dramatis, kanjut bikin totos pepej, senegal eleh, maroko eleh, prancis eleh, apakah aku harus modar aja yatuhan</t>
  </si>
  <si>
    <t>final piala dunia paling gila dramatis kanjut bikin totos pepej senegal eleh maroko eleh prancis eleh apakah aku harus modar aja yatuhan</t>
  </si>
  <si>
    <t>['final', 'piala', 'dunia', 'paling', 'gila', 'dramatis', 'kanjut', 'totos', 'pepej', 'senegal', 'eleh', 'maroko', 'eleh', 'prancis', 'eleh', 'aku', 'modar', 'yatuhan']</t>
  </si>
  <si>
    <t>Tahukah kamu bahwa ada #Funfact dari gelaran #pialadunia 2022 ini?  Kalau kamu ingin tahu siapa pemenang suatu pertandingan, cek saja cuitan dari DS dan lihat kebalikannya. Valid!1!1!  Di final, ia memihak Prancis mengalahkan Argentina. Tapi hasil akhir malah sebaliknya. ü§£üòÜ</t>
  </si>
  <si>
    <t>tahukah kamu bahwa ada dari gelaran ini kalau kamu ingin tahu siapa pemenang suatu pertandingan cek saja cuitan dari dan lihat kebalikannya valid final memihak prancis mengalahkan argentina tapi hasil akhir malah sebaliknya</t>
  </si>
  <si>
    <t>['tahukah', 'kamu', 'gelaran', 'kalau', 'kamu', 'tahu', 'siapa', 'pemenang', 'suatu', 'pertandingan', 'cek', 'cuitan', 'lihat', 'kebalikannya', 'valid', 'final', 'memihak', 'prancis', 'mengalahkan', 'argentina', 'hasil', 'akhir', 'malah', 'sebaliknya']</t>
  </si>
  <si>
    <t>dari awal gue nonton piala dunia 2010 berlanjut sampe sekarang 2023 belom pernah kelewat nobar final.</t>
  </si>
  <si>
    <t>dari awal gue nonton piala dunia berlanjut sampe sekarang belom pernah kelewat nobar final</t>
  </si>
  <si>
    <t>['awal', 'gue', 'nonton', 'piala', 'dunia', 'berlanjut', 'sampai', 'sekarang', 'belom', 'pernah', 'kelewat', 'nonton bareng', 'final']</t>
  </si>
  <si>
    <t>final piala dunia terbaik seumur hidup, ampe lemesüò≠üò≠</t>
  </si>
  <si>
    <t>final piala dunia terbaik seumur hidup ampe lemes</t>
  </si>
  <si>
    <t>['final', 'piala', 'dunia', 'terbaik', 'seumur', 'hidup', 'sampai', 'lemes']</t>
  </si>
  <si>
    <t>NOBAR FINAL PIALA DUNIA 2022üî•üî•  https://t.co/jEJBHOXAZE</t>
  </si>
  <si>
    <t>nobar final piala dunia</t>
  </si>
  <si>
    <t>['nonton bareng', 'final', 'piala', 'dunia']</t>
  </si>
  <si>
    <t>Nonton final piala Dunia üèÜ Sambil Ngew* ternyata seru juga ya Next piala Dunia 2026...</t>
  </si>
  <si>
    <t>nonton final piala dunia sambil ngew ternyata seru juga next piala dunia</t>
  </si>
  <si>
    <t>['nonton', 'final', 'piala', 'dunia', 'ngew', 'ternyata', 'seru', 'next', 'piala', 'dunia']</t>
  </si>
  <si>
    <t>&lt;FreqDist with 8 samples and 10 outcomes&gt;</t>
  </si>
  <si>
    <t>Piala dunia terbaik, semua match dari group stage sampai final penuh kejutan, dan di tutup dengan manis oleh argentina yang sebagai juara   WHAT A WORLD CUP</t>
  </si>
  <si>
    <t>piala dunia terbaik semua match dari group stage sampai final penuh kejutan dan tutup dengan manis oleh argentina yang sebagai juara what world cup</t>
  </si>
  <si>
    <t>['piala', 'dunia', 'terbaik', 'semua', 'match', 'group', 'stage', 'final', 'penuh', 'kejutan', 'tutup', 'manis', 'argentina', 'juara', 'what', 'world', 'cup']</t>
  </si>
  <si>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</si>
  <si>
    <t>sebenernya dukung prancis buat juara dunia tapi liat messi angkat piala deserves permainan mbappe emang gokil hatrick final world cup its something what game for final this perfect ending for messi the end era lets start with new generation</t>
  </si>
  <si>
    <t>['sebenernya', 'dukung', 'prancis', 'buat', 'juara', 'dunia', 'lihat', 'messi', 'angkat', 'piala', 'deserves', 'permainan', 'mbappe', 'emang', 'gila', 'hatrick', 'final', 'world', 'cup', 'its', 'something', 'what', 'game', 'for', 'final', 'this', 'perfect', 'ending', 'for', 'messi', 'the', 'end', 'era', 'lets', 'start', 'with', 'new', 'generation']</t>
  </si>
  <si>
    <t>&lt;FreqDist with 35 samples and 38 outcomes&gt;</t>
  </si>
  <si>
    <t>@havihsan 4 kali Messi kalah di final. 3 Copa America dan 1 Piala dunia versus Jerman. Gimana gak frustasi? Namun berkat bujukan Pablo Aimar, akhirnya Messi mau kembali membela Argentina. Dan hasilnya, Copa America dan Piala dunia. Btw, Messi hari ini tid</t>
  </si>
  <si>
    <t>kali messi kalah final copa america dan piala dunia versus jerman gimana gak frustasi namun berkat bujukan pablo aimar akhirnya messi mau kembali membela argentina dan hasilnya copa america dan piala dunia btw messi hari ini tid</t>
  </si>
  <si>
    <t>['kali', 'messi', 'kalah', 'final', 'copa', 'america', 'piala', 'dunia', 'versus', 'jerman', 'gimana', 'frustasi', 'berkat', 'bujukan', 'pablo', 'aimar', 'akhirnya', 'messi', 'mau', 'membela', 'argentina', 'hasilnya', 'copa', 'america', 'piala', 'dunia', 'by the way', 'messi', 'hari', 'tid']</t>
  </si>
  <si>
    <t>18yo me: nanges nonton messi gagal di final piala dunia 2014 26yo me: nanges nonton messi angkat trofi piala dunia 2022</t>
  </si>
  <si>
    <t>nanges nonton messi gagal final piala dunia nanges nonton messi angkat trofi piala dunia</t>
  </si>
  <si>
    <t>['nanges', 'nonton', 'messi', 'gagal', 'final', 'piala', 'dunia', 'nanges', 'nonton', 'messi', 'angkat', 'trofi', 'piala', 'dunia']</t>
  </si>
  <si>
    <t>&lt;FreqDist with 9 samples and 14 outcomes&gt;</t>
  </si>
  <si>
    <t>Speechlessüò≤ Final Piala Dunia terseruh yang pernah kunonton Congratulation untuk adek Thiago, Mateo dan Ciro bapaknya menangü•≥ü•≥ GREATEST OF ALL THE TIME üêê  #MessiìÉµ  #FIFAWorldCup  #Argentina  https://t.co/3YZDyU4BGz</t>
  </si>
  <si>
    <t>speechless final piala dunia terseruh yang pernah kunonton congratulation untuk adek thiago mateo dan ciro bapaknya menang greatest all the time</t>
  </si>
  <si>
    <t>['speechless', 'final', 'piala', 'dunia', 'terseruh', 'pernah', 'kunonton', 'congratulation', 'adek', 'thiago', 'mateo', 'ciro', 'bapaknya', 'menang', 'greatest', 'all', 'the', 'time']</t>
  </si>
  <si>
    <t>Final Piala Dunia Terbaik &amp;amp; Terseru</t>
  </si>
  <si>
    <t>final piala dunia terbaik terseru</t>
  </si>
  <si>
    <t>['final', 'piala', 'dunia', 'terbaik', 'terseru']</t>
  </si>
  <si>
    <t>#Argentina  #Juara #PialaDunia2022 Argentina berhasil merebut trofi juara Piala Dunia 2022. Argentina mengalahkan Prancis di final melalui adu penalti 4-2, usai bermain seri 3-3 sampai extra time.   https://t.co/sIxs6S2NAj</t>
  </si>
  <si>
    <t>argentina berhasil merebut trofi juara piala dunia argentina mengalahkan prancis final melalui adu penalti usai bermain seri sampai extra time</t>
  </si>
  <si>
    <t>['argentina', 'berhasil', 'merebut', 'trofi', 'juara', 'piala', 'dunia', 'argentina', 'mengalahkan', 'prancis', 'final', 'melalui', 'adu', 'penalti', 'usai', 'bermain', 'seri', 'extra', 'time']</t>
  </si>
  <si>
    <t>dan bener aja. Final ini jadi Final Piala Dunia paling seru sepanjang gua ngikutin Piala Dunia. Spanyol 2010, Jerman 2014, Prancis 2018, dan Argentina 2022. 2-0 terus jadi 2-2 balik lagi 3-2 langsung 3-3. apa ngga kelewat gila seru nya?!?!?!</t>
  </si>
  <si>
    <t>dan bener aja final ini jadi final piala dunia paling seru sepanjang gua ngikutin piala dunia spanyol jerman prancis dan argentina terus jadi balik lagi langsung apa ngga kelewat gila seru nya</t>
  </si>
  <si>
    <t>['benar', 'final', 'jadi', 'final', 'piala', 'dunia', 'paling', 'seru', 'sepanjang', 'gua', 'ngikutin', 'piala', 'dunia', 'spanyol', 'jerman', 'prancis', 'argentina', 'terus', 'jadi', 'balik', 'langsung', 'apa', 'ngga', 'kelewat', 'gila', 'seru']</t>
  </si>
  <si>
    <t>KEBANGUN N GA BISA TIDUR LAGI..  1. GA LIAT HARUTO JEONGWOO LIVE 2. GA LIAT FINAL WORLD CUP  SIAL ! GW NYESEL BGT..TRTM YG FINAL PIALA DUNIA  https://t.co/wqUiw1yGpP</t>
  </si>
  <si>
    <t>kebangun bisa tidur lagi liat haruto jeongwoo live liat final world cup sial nyesel bgt trtm final piala dunia</t>
  </si>
  <si>
    <t>['kebangun', 'tidur', 'lihat', 'haruto', 'jeongwoo', 'live', 'lihat', 'final', 'world', 'cup', 'sial', 'nyesel', 'banget', 'trtm', 'final', 'piala', 'dunia']</t>
  </si>
  <si>
    <t>@madmoron33 @ardynshufi engga, kuning sudah tepat. Kartu merah kalau misal pelanggarannya di luar kotak penalti. Contoh yang kartu kuning itu Mbapp√© pas lawan Argentina di Piala Dunia 2018 dan Kroasia lawan Denmark di Piala Dunia 2018. Contoh kartu merah</t>
  </si>
  <si>
    <t>engga kuning sudah tepat kartu merah kalau misal pelanggarannya luar kotak penalti contoh yang kartu kuning itu mbapp pas lawan argentina piala dunia dan kroasia lawan denmark piala dunia contoh kartu merah</t>
  </si>
  <si>
    <t>['tidak', 'kuning', 'tepat', 'kartu', 'merah', 'kalau', 'misal', 'pelanggarannya', 'luar', 'kotak', 'penalti', 'contoh', 'kartu', 'kuning', 'mbapp', 'pas', 'lawan', 'argentina', 'piala', 'dunia', 'kroasia', 'lawan', 'denmark', 'piala', 'dunia', 'contoh', 'kartu', 'merah']</t>
  </si>
  <si>
    <t>SUMPH EMANNG FINAL PIALA DUNIA KALI INI SERU BANGETTT</t>
  </si>
  <si>
    <t>sumph emanng final piala dunia kali ini seru bangettt</t>
  </si>
  <si>
    <t>['sumph', 'emanng', 'final', 'piala', 'dunia', 'kali', 'seru', 'bangettt']</t>
  </si>
  <si>
    <t>Aku adalah @JeromePolin pas nonton final piala dunia  https://t.co/lBSdU3hkTg</t>
  </si>
  <si>
    <t>aku adalah pas nonton final piala dunia</t>
  </si>
  <si>
    <t>['aku', 'pas', 'nonton', 'final', 'piala', 'dunia']</t>
  </si>
  <si>
    <t>Final Piala Dunia paling seru &amp;amp; mendebarkan yg pernah gw tonton, Argentina &amp;amp; Prancis sama2 keluarin 100% kemampuan mereka.  Selamat utk Argentina Juara Piala Dunia 2022.   #FIFAWorldCup #FIFAWorldCupQatar2022 #ArgentinaVsFrance  https://t.co/EVMWg85EJA</t>
  </si>
  <si>
    <t>final piala dunia paling seru mendebarkan pernah tonton argentina prancis sama keluarin kemampuan mereka selamat utk argentina juara piala dunia</t>
  </si>
  <si>
    <t>['final', 'piala', 'dunia', 'paling', 'seru', 'mendebarkan', 'pernah', 'tonton', 'argentina', 'prancis', 'sama', 'keluarin', 'kemampuan', 'selamat', 'argentina', 'juara', 'piala', 'dunia']</t>
  </si>
  <si>
    <t>Tapi Mbappe kewl anet sih...  Seru bat piala dunia thn iniiiiii...aaakk... Abis segala semua prediksi underdog yg maju terus tetep tim lama yg masuk final !!  I wish u can see this mas @RemyAdil bakal rusuh kita b2 üòÜ Rest in peace brader üòö</t>
  </si>
  <si>
    <t>tapi mbappe kewl anet sih seru bat piala dunia thn iniiiiii aaakk abis segala semua prediksi underdog maju terus tetep tim lama masuk final wish can see this mas bakal rusuh kita rest peace brader</t>
  </si>
  <si>
    <t>['mbappe', 'kewl', 'anet', 'seru', 'bat', 'piala', 'dunia', 'thn', 'iniiiiii', 'aaakk', 'abis', 'segala', 'semua', 'prediksi', 'underdog', 'maju', 'terus', 'tetep', 'tim', 'lama', 'masuk', 'final', 'wish', 'can', 'see', 'this', 'mas', 'bakal', 'rusuh', 'rest', 'peace', 'brader']</t>
  </si>
  <si>
    <t>&lt;FreqDist with 32 samples and 32 outcomes&gt;</t>
  </si>
  <si>
    <t>hemmm... ternyata Wasit yg mimpin final Piala Dunia antara Argentina vs Perancis dibayar tho...  https://t.co/ByVxxdoZ3z</t>
  </si>
  <si>
    <t>hemmm ternyata wasit mimpin final piala dunia antara argentina perancis dibayar tho</t>
  </si>
  <si>
    <t>['hemmm', 'ternyata', 'wasit', 'mimpin', 'final', 'piala', 'dunia', 'argentina', 'perancis', 'dibayar', 'tho']</t>
  </si>
  <si>
    <t>Aksi Lionel Messi Bintang Asal Argentina di Final Piala Dunia 2022  https://t.co/TeH4eNAZRZ #TempoFoto</t>
  </si>
  <si>
    <t>aksi lionel messi bintang asal argentina final piala dunia</t>
  </si>
  <si>
    <t>['aksi', 'lionel', 'messi', 'bintang', 'asal', 'argentina', 'final', 'piala', 'dunia']</t>
  </si>
  <si>
    <t>Gilaaa! ini sih bakal jadi final piala dunia terbaik sepanjang masa</t>
  </si>
  <si>
    <t>gilaaa ini sih bakal jadi final piala dunia terbaik sepanjang masa</t>
  </si>
  <si>
    <t>['gilaaa', 'bakal', 'jadi', 'final', 'piala', 'dunia', 'terbaik', 'sepanjang', 'masa']</t>
  </si>
  <si>
    <t>Nga pernah nglewatin seri final piala dunia sejak 94 sampai 2022 kecuali 2018..  Entah 2026</t>
  </si>
  <si>
    <t>nga pernah nglewatin seri final piala dunia sejak sampai kecuali entah</t>
  </si>
  <si>
    <t>['tidak', 'pernah', 'nglewatin', 'seri', 'final', 'piala', 'dunia', 'sejak', 'entah']</t>
  </si>
  <si>
    <t>Final piala dunia terseru. Sampai jumpa lagi di tahun 2026, semoga masih ada umur. Aminnü§ûüèª</t>
  </si>
  <si>
    <t>final piala dunia terseru sampai jumpa lagi tahun semoga masih ada umur aminn</t>
  </si>
  <si>
    <t>['final', 'piala', 'dunia', 'terseru', 'jumpa', 'tahun', 'semoga', 'umur', 'aminn']</t>
  </si>
  <si>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</si>
  <si>
    <t>selama piala dunia bergulir tidak ada gairah sama sekali untuk nobar beli jersey dll berhubung finalnya ideal mempertemukan argentina prancis tidak ada alasan untuk tidak nobar dan benar saja secara pribadi ini final terbaik selamat argentina terkhusus messi famous</t>
  </si>
  <si>
    <t>['selama', 'piala', 'dunia', 'bergulir', 'gairah', 'sama', 'sekali', 'nonton bareng', 'beli', 'jersey', 'berhubung', 'finalnya', 'ideal', 'mempertemukan', 'argentina', 'prancis', 'alasan', 'nonton bareng', 'benar', 'pribadi', 'final', 'terbaik', 'selamat', 'argentina', 'terkhusus', 'messi', 'famous']</t>
  </si>
  <si>
    <t>Final piala dunia paling seru dan stadionnya amjink bagus bet</t>
  </si>
  <si>
    <t>final piala dunia paling seru dan stadionnya amjink bagus bet</t>
  </si>
  <si>
    <t>['final', 'piala', 'dunia', 'paling', 'seru', 'stadionnya', 'amjink', 'bagus', 'bet']</t>
  </si>
  <si>
    <t>Final piala dunia terseru dan menghibur. Congrats Argentina üá¶üá∑ #FIFAWorldCup</t>
  </si>
  <si>
    <t>final piala dunia terseru dan menghibur congrats argentina</t>
  </si>
  <si>
    <t>['final', 'piala', 'dunia', 'terseru', 'menghibur', 'congrats', 'argentina']</t>
  </si>
  <si>
    <t>iki final piala dunia paling uwapuik!</t>
  </si>
  <si>
    <t>iki final piala dunia paling uwapuik</t>
  </si>
  <si>
    <t>['iki', 'final', 'piala', 'dunia', 'paling', 'uwapuik']</t>
  </si>
  <si>
    <t>hari ini jadi final yang sangat seru karna akan ada 2 sejarah yang akan terjadi. pertama Messi bakalan ngelengkapin karirnya dengan Gelar Piala Dunia, atau Prancis yang bakalan jadi back to back champions</t>
  </si>
  <si>
    <t>hari ini jadi final yang sangat seru karna akan ada sejarah yang akan terjadi pertama messi bakalan ngelengkapin karirnya dengan gelar piala dunia atau prancis yang bakalan jadi back back champions</t>
  </si>
  <si>
    <t>['hari', 'jadi', 'final', 'sangat', 'seru', 'karna', 'sejarah', 'terjadi', 'pertama', 'messi', 'bakalan', 'ngelengkapin', 'karirnya', 'gelar', 'piala', 'dunia', 'prancis', 'bakalan', 'jadi', 'back', 'back', 'champions']</t>
  </si>
  <si>
    <t>&lt;FreqDist with 19 samples and 22 outcomes&gt;</t>
  </si>
  <si>
    <t>Final Piala Dunia: Argentina Menang Lewat Adu¬†Pinalti  https://t.co/pg3DvsexHp</t>
  </si>
  <si>
    <t>final piala dunia argentina menang lewat adu pinalti</t>
  </si>
  <si>
    <t>['final', 'piala', 'dunia', 'argentina', 'menang', 'lewat', 'adu', 'penalti']</t>
  </si>
  <si>
    <t>Final piala dunia üá¶üá∑vsüá®üáµ seruu kali, pgnnya duaduanya bisa menang, krna dua2 mau menang</t>
  </si>
  <si>
    <t>final piala dunia seruu kali pgnnya duaduanya bisa menang krna dua mau menang</t>
  </si>
  <si>
    <t>['final', 'piala', 'dunia', 'seruu', 'kali', 'pgnnya', 'duaduanya', 'menang', 'krna', 'mau', 'menang']</t>
  </si>
  <si>
    <t>Final piala dunia pertama yg kulihat dari closing sampai ending :" #MessiìÉµ</t>
  </si>
  <si>
    <t>final piala dunia pertama kulihat dari closing sampai ending</t>
  </si>
  <si>
    <t>['final', 'piala', 'dunia', 'pertama', 'kulihat', 'closing', 'ending']</t>
  </si>
  <si>
    <t>Setuju, Final piala dunia kali ini paling seru apalagi banyak gol sampe pinalti terlebih Argentina juara üá¶üá∑üî•</t>
  </si>
  <si>
    <t>setuju final piala dunia kali ini paling seru apalagi banyak gol sampe pinalti terlebih argentina juara</t>
  </si>
  <si>
    <t>['setuju', 'final', 'piala', 'dunia', 'kali', 'paling', 'seru', 'banyak', 'gol', 'sampai', 'penalti', 'terlebih', 'argentina', 'juara']</t>
  </si>
  <si>
    <t>ARGENTINA! walau diri ini adalah kaum antibarca tapi menyenangkan sekali liat final piala dunia kali ini. sangat layak keduanya di final, piala yang layak juga diangkat argentina. respect messi, dan terkhusus juga mariadiüôåüëè</t>
  </si>
  <si>
    <t>argentina walau diri ini adalah kaum antibarca tapi menyenangkan sekali liat final piala dunia kali ini sangat layak keduanya final piala yang layak juga diangkat argentina respect messi dan terkhusus juga mariadi</t>
  </si>
  <si>
    <t>['argentina', 'diri', 'kaum', 'antibarca', 'menyenangkan', 'sekali', 'lihat', 'final', 'piala', 'dunia', 'kali', 'sangat', 'layak', 'keduanya', 'final', 'piala', 'layak', 'diangkat', 'argentina', 'respect', 'messi', 'terkhusus', 'mariadi']</t>
  </si>
  <si>
    <t>final piala dunia paling ngeri</t>
  </si>
  <si>
    <t>['final', 'piala', 'dunia', 'paling', 'ngeri']</t>
  </si>
  <si>
    <t>Benar sekali, saya juga merasakan hal yang demikian. Tidak terlalu berlebihan kalau saya mengklaim Argentina vs France adalah final piala dunia paling seru.</t>
  </si>
  <si>
    <t>benar sekali saya juga merasakan hal yang demikian tidak terlalu berlebihan kalau saya mengklaim argentina france adalah final piala dunia paling seru</t>
  </si>
  <si>
    <t>['benar', 'sekali', 'merasakan', 'terlalu', 'berlebihan', 'kalau', 'mengklaim', 'argentina', 'france', 'final', 'piala', 'dunia', 'paling', 'seru']</t>
  </si>
  <si>
    <t>@FaktaSepakbola Betul. Nonton dari WC 1998, ini by far, Piala Dunia yg paling seru, banyak kejutan, hampir semua match seru,dan perebutan tempat ke 3 juga seru bgt, dan ini final Piala Dunia yg paling seru.</t>
  </si>
  <si>
    <t>betul nonton dari ini far piala dunia paling seru banyak kejutan hampir semua match seru dan perebutan tempat juga seru bgt dan ini final piala dunia paling seru</t>
  </si>
  <si>
    <t>['betul', 'nonton', 'far', 'piala', 'dunia', 'paling', 'seru', 'banyak', 'kejutan', 'hampir', 'semua', 'match', 'seru', 'perebutan', 'tempat', 'seru', 'banget', 'final', 'piala', 'dunia', 'paling', 'seru']</t>
  </si>
  <si>
    <t>&lt;FreqDist with 16 samples and 22 outcomes&gt;</t>
  </si>
  <si>
    <t>@5kaliyangwajib Dan soundtrack ini jelas mewakili perjuangan Argentina. Mereka pemimpi yang percaya dengan mimpi-mimpinya. Khususnya buat Messi. Dia merasakan 6 kali partai final buat Argentina. 3 kali gagal di Copa, 1 kali di piala dunia, dan sempat putu</t>
  </si>
  <si>
    <t>dan soundtrack ini jelas mewakili perjuangan argentina mereka pemimpi yang percaya dengan mimpi mimpinya khususnya buat messi dia merasakan kali partai final buat argentina kali gagal copa kali piala dunia dan sempat putu</t>
  </si>
  <si>
    <t>['soundtrack', 'jelas', 'mewakili', 'perjuangan', 'argentina', 'pemimpi', 'percaya', 'mimpi', 'mimpinya', 'khususnya', 'buat', 'messi', 'merasakan', 'kali', 'partai', 'final', 'buat', 'argentina', 'kali', 'gagal', 'copa', 'kali', 'piala', 'dunia', 'sempat', 'putu']</t>
  </si>
  <si>
    <t>&lt;FreqDist with 22 samples and 26 outcomes&gt;</t>
  </si>
  <si>
    <t>Gila sih final piala dunia tahun ini</t>
  </si>
  <si>
    <t>gila sih final piala dunia tahun ini</t>
  </si>
  <si>
    <t>['gila', 'final', 'piala', 'dunia', 'tahun']</t>
  </si>
  <si>
    <t>Saud 25 Tahun, masih dikasih rejeki dari Tuhan bisa nonton Final terbaik di Piala Dunia. Thanks God.</t>
  </si>
  <si>
    <t>saud tahun masih dikasih rejeki dari tuhan bisa nonton final terbaik piala dunia thanks god</t>
  </si>
  <si>
    <t>['saud', 'tahun', 'dikasih', 'rejeki', 'tuhan', 'nonton', 'final', 'terbaik', 'piala', 'dunia', 'thanks', 'god']</t>
  </si>
  <si>
    <t>Ini adalah salah satu final piala dunia paling seru sepanjang sejarah. No Debat  Setuju gak?  #FIFAWorldCup  https://t.co/HDZSlcaYpk</t>
  </si>
  <si>
    <t>ini adalah salah satu final piala dunia paling seru sepanjang sejarah debat setuju gak</t>
  </si>
  <si>
    <t>['salah', 'satu', 'final', 'piala', 'dunia', 'paling', 'seru', 'sepanjang', 'sejarah', 'debat', 'setuju']</t>
  </si>
  <si>
    <t>Bukan hanya pertandingan final piala Dunia  Tapi ini adalah pertandingan sepakbola terbaik sepanjang sejarah  Selamat untuk Argentina Juara Piala Dunia üèÜ</t>
  </si>
  <si>
    <t>bukan hanya pertandingan final piala dunia tapi ini adalah pertandingan sepakbola terbaik sepanjang sejarah selamat untuk argentina juara piala dunia</t>
  </si>
  <si>
    <t>['bukan', 'pertandingan', 'final', 'piala', 'dunia', 'pertandingan', 'sepakbola', 'terbaik', 'sepanjang', 'sejarah', 'selamat', 'argentina', 'juara', 'piala', 'dunia']</t>
  </si>
  <si>
    <t>Dari 5 final piala dunia yang saya tonton (sejak 2006), Qatar 2022 adalah final terbaik.  Terburuk masih tetap Rusia 2018.</t>
  </si>
  <si>
    <t>dari final piala dunia yang saya tonton sejak qatar adalah final terbaik terburuk masih tetap rusia</t>
  </si>
  <si>
    <t>['final', 'piala', 'dunia', 'tonton', 'sejak', 'qatar', 'final', 'terbaik', 'terburuk', 'tetap', 'rusia']</t>
  </si>
  <si>
    <t>Piala Dunia PALING AMAN,PERTANDINGAN2 PENUH KEJUTAN,TUAN RUMAH YANG RAMAH,FINAL YANG LUAR BIASAüëçüëçüëçüëç  Apa LAGI?üòä</t>
  </si>
  <si>
    <t>piala dunia paling aman pertandingan penuh kejutan tuan rumah yang ramah final yang luar biasa apa lagi</t>
  </si>
  <si>
    <t>['piala', 'dunia', 'paling', 'aman', 'pertandingan', 'penuh', 'kejutan', 'tuan', 'rumah', 'ramah', 'final', 'luar', 'biasa', 'apa']</t>
  </si>
  <si>
    <t>Nonton konser dari jam 13.00 sampe 22.30, dan perjalanan pulang ke gubeng sekitar 40 menit. terus lanjut nobar final dan berujung dengan akhir yang bahagia, Argentina juara piala dunia. Terharu banget liat messi dkkü•π</t>
  </si>
  <si>
    <t>nonton konser dari jam sampe dan perjalanan pulang gubeng sekitar menit terus lanjut nobar final dan berujung dengan akhir yang bahagia argentina juara piala dunia terharu banget liat messi dkk</t>
  </si>
  <si>
    <t>['nonton', 'konser', 'jam', 'sampai', 'perjalanan', 'pulang', 'gubeng', 'menit', 'terus', 'lanjut', 'nonton bareng', 'final', 'berujung', 'akhir', 'bahagia', 'argentina', 'juara', 'piala', 'dunia', 'terharu', 'banget', 'lihat', 'messi', 'dkk']</t>
  </si>
  <si>
    <t>Dulu 2014 Final Piala Dunia Argentina Kalah Dengan German, Aku dan Alm Bapak Sedih Terus dia ngajak Makan‚Äù Buat Ngehibur. Cuman mau kasih tau buat bapakku Argentina Menang Pak ü•π mudahan bapak tau dan senang di sana ü•πüòîüá¶üá∑  https://t.co/3Uhd3zqAfr</t>
  </si>
  <si>
    <t>dulu final piala dunia argentina kalah dengan german aku dan alm bapak sedih terus dia ngajak makan buat ngehibur cuman mau kasih tau buat bapakku argentina menang pak mudahan bapak tau dan senang sana</t>
  </si>
  <si>
    <t>['dulu', 'final', 'piala', 'dunia', 'argentina', 'kalah', 'german', 'aku', 'alm', 'bapak', 'sedih', 'terus', 'ngajak', 'makan', 'buat', 'ngehibur', 'cuman', 'mau', 'kasih', 'buat', 'bapakku', 'argentina', 'menang', 'pak', 'mudahan', 'bapak', 'senang', 'sana']</t>
  </si>
  <si>
    <t>Orang orang pada hype nonton final piala dunia tp apalah daya gua malah ketiduran karena kecapean ü§£</t>
  </si>
  <si>
    <t>orang orang pada hype nonton final piala dunia apalah daya gua malah ketiduran karena kecapean</t>
  </si>
  <si>
    <t>['orang', 'orang', 'hype', 'nonton', 'final', 'piala', 'dunia', 'apalah', 'daya', 'gua', 'malah', 'ketiduran', 'kecapean']</t>
  </si>
  <si>
    <t>FINAL PIALA DUNIA 2022 ‚Äì Argentina Juara Dunia, Lionel Messi Hanya Butuh 23 Menit untuk Jadi Manusia Tertajam sejak 1966 ‚Äì Semua Halaman ‚Äì Bolasport ‚Äì  https://t.co/ndgaTKklGv ‚Äì #Arenanews #Kamidi #Opsiminfo- https://t.co/4RoyHVh7dN</t>
  </si>
  <si>
    <t>final piala dunia argentina juara dunia lionel messi hanya butuh menit untuk jadi manusia tertajam sejak semua halaman bolasport</t>
  </si>
  <si>
    <t>['final', 'piala', 'dunia', 'argentina', 'juara', 'dunia', 'lionel', 'messi', 'butuh', 'menit', 'jadi', 'manusia', 'tertajam', 'sejak', 'semua', 'halaman', 'bolasport']</t>
  </si>
  <si>
    <t>Netizen Sebut Final Piala Dunia 2022 Terbaik! Thank You Argentina dan Prancis, Bikin Kami Jantungan Sampai Akhir ‚Äì bolacom ‚Äì  https://t.co/5YZjUzDwfX ‚Äì #Arenanews #Kamidi #Opsiminfo- https://t.co/f5h35RsP8j</t>
  </si>
  <si>
    <t>netizen sebut final piala dunia terbaik thank you argentina dan prancis bikin kami jantungan sampai akhir bolacom</t>
  </si>
  <si>
    <t>['netizen', 'sebut', 'final', 'piala', 'dunia', 'terbaik', 'thank', 'you', 'argentina', 'prancis', 'jantungan', 'akhir', 'bolacom']</t>
  </si>
  <si>
    <t>Final piala Dunia hari ini tetep bakalan seru walaupun diliat berulang-ulang kali...</t>
  </si>
  <si>
    <t>final piala dunia hari ini tetep bakalan seru walaupun diliat berulang ulang kali</t>
  </si>
  <si>
    <t>['final', 'piala', 'dunia', 'hari', 'tetep', 'bakalan', 'seru', 'walaupun', 'diliat', 'berulang', 'ulang', 'kali']</t>
  </si>
  <si>
    <t>@idextratime masih mencari keberadaan fans ronaldo yang selalu ngomong final doang gak juara, piala dunia settingan, dll  https://t.co/tv6GLPK9WV</t>
  </si>
  <si>
    <t>masih mencari keberadaan fans ronaldo yang selalu ngomong final doang gak juara piala dunia settingan dll</t>
  </si>
  <si>
    <t>['mencari', 'keberadaan', 'fans', 'ronaldo', 'selalu', 'ngomong', 'final', 'doang', 'juara', 'piala', 'dunia', 'settingan']</t>
  </si>
  <si>
    <t>Asliii sihh bener2 ikutt bangga dan seneng bisa liat dan ngerasain euforia final piala dunia 2022 yg gokill parah ini, kalo kata orang2 mah ini final tergokill sepanjang sejarah piala dunia üëèüëè</t>
  </si>
  <si>
    <t>asliii sihh bener ikutt bangga dan seneng bisa liat dan ngerasain euforia final piala dunia gokill parah ini kalo kata orang mah ini final tergokill sepanjang sejarah piala dunia</t>
  </si>
  <si>
    <t>['asliii', 'sihh', 'benar', 'ikutt', 'bangga', 'seneng', 'lihat', 'ngerasain', 'euforia', 'final', 'piala', 'dunia', 'gokill', 'parah', 'kata', 'orang', 'mah', 'final', 'tergokill', 'sepanjang', 'sejarah', 'piala', 'dunia']</t>
  </si>
  <si>
    <t>&lt;FreqDist with 20 samples and 23 outcomes&gt;</t>
  </si>
  <si>
    <t>@Askrlfess Gpp masih muda udah 2x final. 2026 besok udah ga ada CR7 &amp;amp; LM10 di piala dunia, jangan banyak tingkah, petakilan, pecicilan masih bisa kok minimal 1-3x final lagi, yok bisa yok, apalagi kalo beneran jadi isu piala dunia mau diadakan 2th sek</t>
  </si>
  <si>
    <t>gpp masih muda udah final besok udah ada piala dunia jangan banyak tingkah petakilan pecicilan masih bisa kok minimal final lagi yok bisa yok apalagi kalo beneran jadi isu piala dunia mau diadakan sek</t>
  </si>
  <si>
    <t>['gapapa', 'muda', 'udah', 'final', 'besok', 'udah', 'piala', 'dunia', 'jangan', 'banyak', 'tingkah', 'petakilan', 'pecicilan', 'kok', 'minimal', 'final', 'yok', 'yok', 'beneran', 'jadi', 'isu', 'piala', 'dunia', 'mau', 'diadakan', 'sek']</t>
  </si>
  <si>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</si>
  <si>
    <t>tentang pengharapan tentang tujuan tentang cinta tanah air tentang kebanggaan tentang keajaiban final piala dunia kali ini sangat menarik banyak hikmah dan pembelajaran banyak kejutan tuhan membuktikan bahwa mimpi pasti tercapai dan selalu datang waktu yang tepat</t>
  </si>
  <si>
    <t>['pengharapan', 'tujuan', 'cinta', 'tanah', 'air', 'kebanggaan', 'keajaiban', 'final', 'piala', 'dunia', 'kali', 'sangat', 'menarik', 'banyak', 'hikmah', 'pembelajaran', 'banyak', 'kejutan', 'tuhan', 'membuktikan', 'mimpi', 'tercapai', 'selalu', 'datang', 'waktu', 'tepat']</t>
  </si>
  <si>
    <t>Abis NOBAR Final Piala Dunia nggak bisa tidur....... ada yg belum tidur juga</t>
  </si>
  <si>
    <t>abis nobar final piala dunia nggak bisa tidur ada belum tidur juga</t>
  </si>
  <si>
    <t>['abis', 'nonton bareng', 'final', 'piala', 'dunia', 'tidur', 'tidur']</t>
  </si>
  <si>
    <t>Serba serbi final piala dunia ü§£ü§£ü§£  https://t.co/4xSihZHtTF</t>
  </si>
  <si>
    <t>serba serbi final piala dunia</t>
  </si>
  <si>
    <t>['serba', 'serbi', 'final', 'piala', 'dunia']</t>
  </si>
  <si>
    <t>Hasil Babak I Skor 2-0 Argentina Vs Prancis Final, Maria Gol Selangkah Lagi Juara Piala Dunia 2022  https://t.co/04Sgj1CpeI</t>
  </si>
  <si>
    <t>hasil babak skor argentina prancis final maria gol selangkah lagi juara piala dunia</t>
  </si>
  <si>
    <t>['hasil', 'babak', 'skor', 'argentina', 'prancis', 'final', 'maria', 'gol', 'selangkah', 'juara', 'piala', 'dunia']</t>
  </si>
  <si>
    <t>Mbapp√© jadi sosok kunci Les Blues di lini depan laga final kontra Argentina. Dengan tiga gol ini, Mbappe sukses menjadi top skor dalam Piala Dunia 2022.  https://t.co/nyW60xWsRd #GempitaBolaDunia2022 #CNNIndonesia  https://t.co/00ELcSwvrY</t>
  </si>
  <si>
    <t>mbapp jadi sosok kunci les blues lini depan laga final kontra argentina dengan tiga gol ini mbappe sukses menjadi top skor dalam piala dunia</t>
  </si>
  <si>
    <t>['mbapp', 'jadi', 'sosok', 'kunci', 'les', 'blues', 'lini', 'depan', 'laga', 'final', 'kontra', 'argentina', 'tiga', 'gol', 'mbappe', 'sukses', 'menjadi', 'top', 'skor', 'piala', 'dunia']</t>
  </si>
  <si>
    <t>epic comeback. 2x kalah di final copa, 1x di final piala dunia, dihujat bertahun - tahun sampai sempat pensiun  https://t.co/3ExzLcc9nA</t>
  </si>
  <si>
    <t>epic comeback kalah final copa final piala dunia dihujat bertahun tahun sampai sempat pensiun</t>
  </si>
  <si>
    <t>['epic', 'comeback', 'kalah', 'final', 'copa', 'final', 'piala', 'dunia', 'dihujat', 'bertahun', 'tahun', 'sempat', 'pensiun']</t>
  </si>
  <si>
    <t>final piala dunia terbaik sepanjang masa</t>
  </si>
  <si>
    <t>['final', 'piala', 'dunia', 'terbaik', 'sepanjang', 'masa']</t>
  </si>
  <si>
    <t>Final Piala dunia terbaik yg pernah ku tonton haha</t>
  </si>
  <si>
    <t>final piala dunia terbaik pernah tonton haha</t>
  </si>
  <si>
    <t>['final', 'piala', 'dunia', 'terbaik', 'pernah', 'tonton', 'haha']</t>
  </si>
  <si>
    <t>Yak, selesai sudah Piala Dunia 2022 Qatar. kek baru kemaren pertama kali subs vidio buat nonton full match Argentina vs Arab, eh dah kelar aja. terlalu banyak drama Piala Dunia kali ini. mulai dari kekalahan Jerman dan Argentina di laga perdananya, sampe final yang seru bgt.</t>
  </si>
  <si>
    <t>yak selesai sudah piala dunia qatar kek baru kemaren pertama kali subs vidio buat nonton full match argentina arab dah kelar aja terlalu banyak drama piala dunia kali ini mulai dari kekalahan jerman dan argentina laga perdananya sampe final yang seru bgt</t>
  </si>
  <si>
    <t>['yak', 'selesai', 'piala', 'dunia', 'qatar', 'kek', 'baru', 'kemarin', 'pertama', 'kali', 'subs', 'vidio', 'buat', 'nonton', 'full', 'match', 'argentina', 'arab', 'dah', 'kelar', 'terlalu', 'banyak', 'drama', 'piala', 'dunia', 'kali', 'mulai', 'kekalahan', 'jerman', 'argentina', 'laga', 'perdananya', 'sampai', 'final', 'seru', 'banget']</t>
  </si>
  <si>
    <t>&lt;FreqDist with 32 samples and 36 outcomes&gt;</t>
  </si>
  <si>
    <t>Final piala dunia tergila si inimahü•¥</t>
  </si>
  <si>
    <t>final piala dunia tergila inimah</t>
  </si>
  <si>
    <t>['final', 'piala', 'dunia', 'tergila', 'inimah']</t>
  </si>
  <si>
    <t>@ridwankamil Final terbaik sepanjang sejarah piala dunia. Makan tempe dicampur nasi, Walaupun gol diborong mBape juaranya tetap Messi.</t>
  </si>
  <si>
    <t>final terbaik sepanjang sejarah piala dunia makan tempe dicampur nasi walaupun gol diborong mbape juaranya tetap messi</t>
  </si>
  <si>
    <t>['final', 'terbaik', 'sepanjang', 'sejarah', 'piala', 'dunia', 'makan', 'tempe', 'dicampur', 'nasi', 'walaupun', 'gol', 'diborong', 'mbape', 'juaranya', 'tetap', 'messi']</t>
  </si>
  <si>
    <t>Final Piala Dunia terbaik....  https://t.co/mMvz6Z2u0C</t>
  </si>
  <si>
    <t>Final piala dunia seru cok</t>
  </si>
  <si>
    <t>final piala dunia seru cok</t>
  </si>
  <si>
    <t>['final', 'piala', 'dunia', 'seru', 'cok']</t>
  </si>
  <si>
    <t>Drama adu penalti tersaji di final Piala Dunia 2022, setelah skor imbang 3-3 bertahan hingga babak perpanjangan waktu. Akhirnya Argentina keluar sebagai juara. Sesuai dengan harapan sahabat ngga nih? üòÑ  #BerbagiCeritaTyler  #pialadunia¬†#prancis¬†#argentina¬†#lionelmessi #martinez</t>
  </si>
  <si>
    <t>drama adu penalti tersaji final piala dunia setelah skor imbang bertahan hingga babak perpanjangan waktu akhirnya argentina keluar sebagai juara sesuai dengan harapan sahabat ngga nih</t>
  </si>
  <si>
    <t>['drama', 'adu', 'penalti', 'tersaji', 'final', 'piala', 'dunia', 'skor', 'imbang', 'bertahan', 'hingga', 'babak', 'perpanjangan', 'waktu', 'akhirnya', 'argentina', 'keluar', 'juara', 'sesuai', 'harapan', 'sahabat', 'ngga']</t>
  </si>
  <si>
    <t>Mau nonton reborn rich tapi masih kebawa euforia final piala dunia. Belum siap sedih ditinggal meninggal opung Jin Yang Choel</t>
  </si>
  <si>
    <t>mau nonton reborn rich tapi masih kebawa euforia final piala dunia belum siap sedih ditinggal meninggal opung jin yang choel</t>
  </si>
  <si>
    <t>['mau', 'nonton', 'reborn', 'rich', 'kebawa', 'euforia', 'final', 'piala', 'dunia', 'siap', 'sedih', 'ditinggal', 'meninggal', 'opung', 'jin', 'choel']</t>
  </si>
  <si>
    <t>Nobar Final Piala Dunia  Kapolres Metro Bekasi Kombes Pol Gidion Arif Setyawan Bersama Dandim 0509 Letkol Inf. M. Horison Ramadhan dan Warga Ikut Nonton Bareng (Nobar) di Halaman Desa Segarajaya, Tarumajaya, Kabupaten Bekasi. Minggu (18/12/2022)  https://t.co/kMJ7DFELfp</t>
  </si>
  <si>
    <t>nobar final piala dunia kapolres metro bekasi kombes pol gidion arif setyawan bersama dandim letkol inf horison ramadhan dan warga ikut nonton bareng nobar halaman desa segarajaya tarumajaya kabupaten bekasi minggu</t>
  </si>
  <si>
    <t>['nonton bareng', 'final', 'piala', 'dunia', 'kapolres', 'metro', 'bekasi', 'kombes', 'pol', 'gidion', 'arif', 'setyawan', 'bersama', 'dandim', 'letkol', 'inf', 'horison', 'ramadhan', 'warga', 'ikut', 'nonton', 'bareng', 'nonton bareng', 'halaman', 'desa', 'segarajaya', 'tarumajaya', 'kabupaten', 'bekasi', 'minggu']</t>
  </si>
  <si>
    <t>Mbappe will be bigger than his idol IMO. What a player. Hattrick di Final World Cup. 12 gol cuma dalam 2 edisi. Dan masih bisa main 2-3 piala dunia lagi. Damn</t>
  </si>
  <si>
    <t>mbappe will bigger than his idol imo what player hattrick final world cup gol cuma dalam edisi dan masih bisa main piala dunia lagi damn</t>
  </si>
  <si>
    <t>['mbappe', 'will', 'bigger', 'than', 'his', 'idol', 'imo', 'what', 'player', 'hattrick', 'final', 'world', 'cup', 'gol', 'cuma', 'edisi', 'main', 'piala', 'dunia', 'damn']</t>
  </si>
  <si>
    <t>18 Desember 2022, Malam ini akan dikenang sebagai malam dimana salah satu final piala dunia terbaik berlangsung dan juga malam dimana gw keteteran ngerjain Jurnal Amlat</t>
  </si>
  <si>
    <t>desember malam ini akan dikenang sebagai malam dimana salah satu final piala dunia terbaik berlangsung dan juga malam dimana keteteran ngerjain jurnal amlat</t>
  </si>
  <si>
    <t>['desember', 'malam', 'dikenang', 'malam', 'salah', 'satu', 'final', 'piala', 'dunia', 'terbaik', 'berlangsung', 'malam', 'keteteran', 'ngerjain', 'jurnal', 'amlat']</t>
  </si>
  <si>
    <t>Hattrick di Final Piala Dunia 2022, Kylian Mbappe Cetak Rekor dan Jadi Top Skor  https://t.co/FoCNRcaSQh #TempoBola</t>
  </si>
  <si>
    <t>hattrick final piala dunia kylian mbappe cetak rekor dan jadi top skor</t>
  </si>
  <si>
    <t>['hattrick', 'final', 'piala', 'dunia', 'kylian', 'mbappe', 'cetak', 'rekor', 'jadi', 'top', 'skor']</t>
  </si>
  <si>
    <t>Malam Final Piala Dunia FIFA World Cup 2022 Qatar di Lhokseumawe, Aceh...  https://t.co/Gv4zmtSL3S</t>
  </si>
  <si>
    <t>malam final piala dunia fifa world cup qatar lhokseumawe aceh</t>
  </si>
  <si>
    <t>['malam', 'final', 'piala', 'dunia', 'fifa', 'world', 'cup', 'qatar', 'lhokseumawe', 'aceh']</t>
  </si>
  <si>
    <t>final piala dunia terbaik menurut gue</t>
  </si>
  <si>
    <t>['final', 'piala', 'dunia', 'terbaik', 'gue']</t>
  </si>
  <si>
    <t>@The_RedsIndo Penyelamatan terbaik sepanjang sejarah final piala dunia üòÇ</t>
  </si>
  <si>
    <t>redsindo penyelamatan terbaik sepanjang sejarah final piala dunia</t>
  </si>
  <si>
    <t>['redsindo', 'penyelamatan', 'terbaik', 'sepanjang', 'sejarah', 'final', 'piala', 'dunia']</t>
  </si>
  <si>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</si>
  <si>
    <t>stunning thrilling proudly bisa menyaksikan sejarah final piala dunia terbaik perdebatan panjang pun berakhir tentang siapa yang terbaik respectku untuk ronaldo but you know what messi telah menamatkan sepakbola dia pemain terbaik sepanjang masa goat</t>
  </si>
  <si>
    <t>['stunning', 'thrilling', 'proudly', 'menyaksikan', 'sejarah', 'final', 'piala', 'dunia', 'terbaik', 'perdebatan', 'panjang', 'berakhir', 'siapa', 'terbaik', 'respectku', 'ronaldo', 'but', 'you', 'know', 'what', 'messi', 'menamatkan', 'sepakbola', 'pemain', 'terbaik', 'sepanjang', 'masa', 'goat']</t>
  </si>
  <si>
    <t>Pelajaran yg dipetik pas final piala dunia malam ini, jadi makin sadar mana aja temen temen yg munafik. Intinya messi juara!</t>
  </si>
  <si>
    <t>pelajaran dipetik pas final piala dunia malam ini jadi makin sadar mana aja temen temen munafik intinya messi juara</t>
  </si>
  <si>
    <t>['pelajaran', 'dipetik', 'pas', 'final', 'piala', 'dunia', 'malam', 'jadi', 'makin', 'sadar', 'mana', 'temen', 'temen', 'munafik', 'intinya', 'messi', 'juara']</t>
  </si>
  <si>
    <t>Final Piala Dunia 2022 Terkeren! :  - Pengambilan gambar &amp;amp; detail teknologi oke banget - FT nodrama (lenjeh-lenjeh) - Permainan seimbang layak final - Semua pemain finalis fit semua - konsep klosing seremoni keren banget (lighting, visual, panggung)</t>
  </si>
  <si>
    <t>final piala dunia terkeren pengambilan gambar detail teknologi oke banget nodrama lenjeh lenjeh permainan seimbang layak final semua pemain finalis fit semua konsep klosing seremoni keren banget lighting visual panggung</t>
  </si>
  <si>
    <t>['final', 'piala', 'dunia', 'terkeren', 'pengambilan', 'gambar', 'detail', 'teknologi', 'oke', 'banget', 'nodrama', 'lenjeh', 'lenjeh', 'permainan', 'seimbang', 'layak', 'final', 'semua', 'pemain', 'finalis', 'fit', 'semua', 'konsep', 'klosing', 'seremoni', 'keren', 'banget', 'lighting', 'visual', 'panggung']</t>
  </si>
  <si>
    <t>CONGRATS ARGEN, CONGRATS MESSI!!! THE REAL GOAT!!! üêê. FINAL PIALA DUNIA TER EPIC SEPANJANG MASA üá¶üá∑üá®üáµ  https://t.co/NX4emX8TPP</t>
  </si>
  <si>
    <t>congrats argen congrats messi the real goat final piala dunia ter epic sepanjang masa</t>
  </si>
  <si>
    <t>['congrats', 'argen', 'congrats', 'messi', 'the', 'real', 'goat', 'final', 'piala', 'dunia', 'ter', 'epic', 'sepanjang', 'masa']</t>
  </si>
  <si>
    <t>Final piala dunia terbaik sepanjang masa</t>
  </si>
  <si>
    <t>Final piala dunia ter ter ter terrrr!!</t>
  </si>
  <si>
    <t>final piala dunia ter ter ter terrrr</t>
  </si>
  <si>
    <t>['final', 'piala', 'dunia', 'ter', 'ter', 'ter', 'terrrr']</t>
  </si>
  <si>
    <t>&lt;FreqDist with 5 samples and 7 outcomes&gt;</t>
  </si>
  <si>
    <t>Saksikan pertandingan final piala dunia di 88cepat dan pasang taruhan mu sesuai feeling jagoan team negara pilihan kalian yaa!! Google : 88cepat  https://t.co/dFE8KnSAp2  https://t.co/dcKPYmqJ66</t>
  </si>
  <si>
    <t>saksikan pertandingan final piala dunia cepat dan pasang taruhan sesuai feeling jagoan team negara pilihan kalian yaa google cepat</t>
  </si>
  <si>
    <t>['saksikan', 'pertandingan', 'final', 'piala', 'dunia', 'cepat', 'pasang', 'taruhan', 'sesuai', 'feeling', 'jagoan', 'team', 'negara', 'pilihan', 'kalian', 'ya', 'google', 'cepat']</t>
  </si>
  <si>
    <t>Piala Dunia Terbaik, Pertandingan Final Terbaik, Pemain Terbaik Dunia, Qatar 2022  https://t.co/UevVcTTRTG</t>
  </si>
  <si>
    <t>piala dunia terbaik pertandingan final terbaik pemain terbaik dunia qatar</t>
  </si>
  <si>
    <t>['piala', 'dunia', 'terbaik', 'pertandingan', 'final', 'terbaik', 'pemain', 'terbaik', 'dunia', 'qatar']</t>
  </si>
  <si>
    <t>Final Piala Dunia Terbaik yang Pernah Gue Tonton... Lionel Messi : The Greatest Of All Time üëèüëèüëè Messi &amp;gt; Maradona Messi &amp;gt; Cristiano Ronaldo  https://t.co/qyb3UkGL61</t>
  </si>
  <si>
    <t>final piala dunia terbaik yang pernah gue tonton lionel messi the greatest all time messi maradona messi cristiano ronaldo</t>
  </si>
  <si>
    <t>['final', 'piala', 'dunia', 'terbaik', 'pernah', 'gue', 'tonton', 'lionel', 'messi', 'the', 'greatest', 'all', 'time', 'messi', 'maradona', 'messi', 'cristiano', 'ronaldo']</t>
  </si>
  <si>
    <t>Inggris menjadi Tim bermain paling adil selama turnamen berlangsung.  #fifa #worldcup #qatar #2022 #final #fairplay #england #inggris #bestteam #bermainadil #award #football #result #hasil #sepakbola #pialadunia  https://t.co/8VOPqWUhKk</t>
  </si>
  <si>
    <t>inggris menjadi tim bermain paling adil selama turnamen berlangsung</t>
  </si>
  <si>
    <t>['inggris', 'menjadi', 'tim', 'bermain', 'paling', 'adil', 'selama', 'turnamen', 'berlangsung']</t>
  </si>
  <si>
    <t>@salshabilavania Aduh gue ngebayangin lu sama kakek nonton pertandingan final Piala Dunia, dua manusia beda generasi menonton sepakbola modern, gimana ya, sebuah statement yg wah gila kebayang banget betapa menikmatinya pertandingan tsb, degdegan 120 meni</t>
  </si>
  <si>
    <t>aduh gue ngebayangin sama kakek nonton pertandingan final piala dunia dua manusia beda generasi menonton sepakbola modern gimana sebuah statement wah gila kebayang banget betapa menikmatinya pertandingan tsb degdegan meni</t>
  </si>
  <si>
    <t>['aduh', 'gue', 'ngebayangin', 'sama', 'kakek', 'nonton', 'pertandingan', 'final', 'piala', 'dunia', 'manusia', 'beda', 'generasi', 'menonton', 'sepakbola', 'modern', 'gimana', 'sebuah', 'statement', 'wah', 'gila', 'kebayang', 'banget', 'betapa', 'menikmatinya', 'pertandingan', 'tsb', 'degdegan', 'meni']</t>
  </si>
  <si>
    <t>Man of the Match Final Piala Dunia 2022 Argentina vs Prancis: Lionel Messi  https://t.co/kqS3XgauUZ  https://t.co/h5xyCr7P3c</t>
  </si>
  <si>
    <t>belajar banyak dari piala dunia kali ini, khususnya babak final. kesetiaan dan perjuangan itu kayanya mahal bgt  soalnya dari tadi ga sedikit org yg murtad dr argen ke prancis trs ke argen lg terus murtad lagi wkwkwk</t>
  </si>
  <si>
    <t>belajar banyak dari piala dunia kali ini khususnya babak final kesetiaan dan perjuangan itu kayanya mahal bgt soalnya dari tadi sedikit org murtad argen prancis trs argen terus murtad lagi wkwkwk</t>
  </si>
  <si>
    <t>['belajar', 'banyak', 'piala', 'dunia', 'kali', 'khususnya', 'babak', 'final', 'kesetiaan', 'perjuangan', 'kayanya', 'mahal', 'banget', 'soalnya', 'tadi', 'sedikit', 'org', 'murtad', 'argen', 'prancis', 'terus', 'argen', 'terus', 'murtad', 'wkwkwk']</t>
  </si>
  <si>
    <t>Final Piala Dunia Terbaik! Saksikan Drama Kemenangan Argentina atas Prancis Lewat Adu Penalti  https://t.co/MxGI9EzWwW  https://t.co/y32nfxJhfD</t>
  </si>
  <si>
    <t>Hasil Final Piala Dunia 2022 Argentina vs Prancis: Skor 3-3 (Pen. 4-2)  https://t.co/YhXihO1dtm  https://t.co/Huhp2aqiEl</t>
  </si>
  <si>
    <t>hasil final piala dunia argentina prancis skor pen</t>
  </si>
  <si>
    <t>['hasil', 'final', 'piala', 'dunia', 'argentina', 'prancis', 'skor']</t>
  </si>
  <si>
    <t>Kylian Mbappe memang gagal mengantarkan Prancis mempertahankan gelar juara Piala Dunia. Tapi, dia baru saja bikin rekor di final Piala Dunia  https://t.co/U7meKH4q9V</t>
  </si>
  <si>
    <t>Piala dunia terbaik sejauh ini, di fase grup ada 2 negara asia yang lolos fase grup salah satunya jepang jadi juara grup, ada maroko negara afrika pertama masuk semifinal, ada duel panas argentina vs belanda, final senam jantung selama 120 menit lanjut adu penalti</t>
  </si>
  <si>
    <t>piala dunia terbaik sejauh ini fase grup ada negara asia yang lolos fase grup salah satunya jepang jadi juara grup ada maroko negara afrika pertama masuk semifinal ada duel panas argentina belanda final senam jantung selama menit lanjut adu penalti</t>
  </si>
  <si>
    <t>['piala', 'dunia', 'terbaik', 'sejauh', 'fase', 'grup', 'negara', 'asia', 'lolos', 'fase', 'grup', 'salah', 'satunya', 'jepang', 'jadi', 'juara', 'grup', 'maroko', 'negara', 'afrika', 'pertama', 'masuk', 'semifinal', 'duel', 'panas', 'argentina', 'belanda', 'final', 'senam', 'jantung', 'selama', 'menit', 'lanjut', 'adu', 'penalti']</t>
  </si>
  <si>
    <t>&lt;FreqDist with 31 samples and 35 outcomes&gt;</t>
  </si>
  <si>
    <t>hidup ini ibaratkan mengendarai mobil, klo ga ada remnya bisa celaka. kata bapak tua yg duduk disebelah pas nobar final piala dunia</t>
  </si>
  <si>
    <t>hidup ini ibaratkan mengendarai mobil klo ada remnya bisa celaka kata bapak tua duduk disebelah pas nobar final piala dunia</t>
  </si>
  <si>
    <t>['hidup', 'ibaratkan', 'mengendarai', 'mobil', 'remnya', 'celaka', 'kata', 'bapak', 'tua', 'duduk', 'disebelah', 'pas', 'nonton bareng', 'final', 'piala', 'dunia']</t>
  </si>
  <si>
    <t>Argentina vs Prancis: Final Piala Dunia 2022, Argentina Berhasil Menjadi Juara Lewat Drama Adu Penalti  https://t.co/UGsKDwqwfm</t>
  </si>
  <si>
    <t>argentina prancis final piala dunia argentina berhasil menjadi juara lewat drama adu penalti</t>
  </si>
  <si>
    <t>['argentina', 'prancis', 'final', 'piala', 'dunia', 'argentina', 'berhasil', 'menjadi', 'juara', 'lewat', 'drama', 'adu', 'penalti']</t>
  </si>
  <si>
    <t>BEST WORLD CUP EVER!  Dari fase grup, babak penyisihan, sampe final semunya SERU!  Maju lo yang bilang Piala Dunia 2010 terbaik üòù</t>
  </si>
  <si>
    <t>best world cup ever dari fase grup babak penyisihan sampe final semunya seru maju yang bilang piala dunia terbaik</t>
  </si>
  <si>
    <t>['best', 'world', 'cup', 'ever', 'fase', 'grup', 'babak', 'penyisihan', 'sampai', 'final', 'semunya', 'seru', 'maju', 'piala', 'dunia', 'terbaik']</t>
  </si>
  <si>
    <t>final piala dunia terbaiküçª</t>
  </si>
  <si>
    <t>Piala Dunia Qatar 2022  Pengesahan Messi sebagai GOAT ‚úÖ Mbappe hattrick di Final ‚úÖ Pencapaian Maroko ‚úÖ Kejutan Jepang ‚úÖ Panggung kiper2 hebat : Emi, Lloris, Livakovic, Bounou, Szczesny ‚úÖ Munculnya gelandang2 hebat ‚úÖ Finalis pernah kalah lawan tim dari Arab ‚úÖ</t>
  </si>
  <si>
    <t>piala dunia qatar pengesahan messi sebagai goat mbappe hattrick final pencapaian maroko kejutan jepang panggung kiper hebat emi lloris livakovic bounou szczesny munculnya gelandang hebat finalis pernah kalah lawan tim dari arab</t>
  </si>
  <si>
    <t>['piala', 'dunia', 'qatar', 'pengesahan', 'messi', 'goat', 'mbappe', 'hattrick', 'final', 'pencapaian', 'maroko', 'kejutan', 'jepang', 'panggung', 'kiper', 'hebat', 'emi', 'lloris', 'livakovic', 'bounou', 'szczesny', 'munculnya', 'gelandang', 'hebat', 'finalis', 'pernah', 'kalah', 'lawan', 'tim', 'arab']</t>
  </si>
  <si>
    <t>&lt;FreqDist with 29 samples and 30 outcomes&gt;</t>
  </si>
  <si>
    <t>Argentina keluar sebagai juara Piala Dunia 2022 setelah mengalahkan prancis di final adu penalti 4-2. Sebelumnya pertandingan berjalan sengit dengan skor seri 3-3 sampai extra time.  https://t.co/gOBEMqt48P</t>
  </si>
  <si>
    <t>argentina keluar sebagai juara piala dunia setelah mengalahkan prancis final adu penalti sebelumnya pertandingan berjalan sengit dengan skor seri sampai extra time</t>
  </si>
  <si>
    <t>['argentina', 'keluar', 'juara', 'piala', 'dunia', 'mengalahkan', 'prancis', 'final', 'adu', 'penalti', 'sebelumnya', 'pertandingan', 'berjalan', 'sengit', 'skor', 'seri', 'extra', 'time']</t>
  </si>
  <si>
    <t>@coachtimo The best final ever coach!! Selama ntn final piala dunia ini paling menegangkan..</t>
  </si>
  <si>
    <t>the best final ever coach selama ntn final piala dunia ini paling menegangkan</t>
  </si>
  <si>
    <t>['the', 'best', 'final', 'ever', 'coach', 'selama', 'ntn', 'final', 'piala', 'dunia', 'paling', 'menegangkan']</t>
  </si>
  <si>
    <t>Kylian Mbappe memang gagal mengantarkan Prancis mempertahankan gelar juara Piala Dunia. Tapi, dia baru saja bikin rekor di final Piala Dunia  https://t.co/U7meKHmzo3</t>
  </si>
  <si>
    <t>ngga lihat langsung final piala dunia, tapi liat lewat tweet orang-orang</t>
  </si>
  <si>
    <t>ngga lihat langsung final piala dunia tapi liat lewat tweet orang orang</t>
  </si>
  <si>
    <t>['ngga', 'lihat', 'langsung', 'final', 'piala', 'dunia', 'lihat', 'lewat', 'tweet', 'orang', 'orang']</t>
  </si>
  <si>
    <t>Yang nonton bola pas final piala dunia doang jangan sok paling ngerti bola lu anjeng</t>
  </si>
  <si>
    <t>yang nonton bola pas final piala dunia doang jangan sok paling ngerti bola anjeng</t>
  </si>
  <si>
    <t>['nonton', 'bola', 'pas', 'final', 'piala', 'dunia', 'doang', 'jangan', 'sok', 'paling', 'ngerti', 'bola', 'anjeng']</t>
  </si>
  <si>
    <t>Terimakasih argentina &amp;amp; perancis, final piala dunia terbaik yang pernah saya lihat üî•  mission completed, akhir yang manis untuk messi. Selamat boss ‚Ä¶</t>
  </si>
  <si>
    <t>terimakasih argentina perancis final piala dunia terbaik yang pernah saya lihat mission completed akhir yang manis untuk messi selamat boss</t>
  </si>
  <si>
    <t>['terimakasih', 'argentina', 'perancis', 'final', 'piala', 'dunia', 'terbaik', 'pernah', 'lihat', 'mission', 'completed', 'akhir', 'manis', 'messi', 'selamat', 'boss']</t>
  </si>
  <si>
    <t>Final terbaik piala dunia sepanjang masaaa</t>
  </si>
  <si>
    <t>final terbaik piala dunia sepanjang masaaa</t>
  </si>
  <si>
    <t>['final', 'terbaik', 'piala', 'dunia', 'sepanjang', 'masaaa']</t>
  </si>
  <si>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</si>
  <si>
    <t>selesai nonton bola langsung gas cari cuan lagi niagabet nih guys game game barunya gacor abis dijamin cuan tags messi dybala goat drake kolo muani mbappe higuain jantung raul lemos maradona aguero what final maria lloris pildun cristiano</t>
  </si>
  <si>
    <t>['selesai', 'nonton', 'bola', 'langsung', 'gas', 'cari', 'cuan', 'niagabet', 'guys', 'game', 'game', 'barunya', 'gacor', 'abis', 'dijamin', 'cuan', 'tags', 'messi', 'dybala', 'goat', 'drake', 'kolo', 'muani', 'mbappe', 'higuain', 'jantung', 'raul', 'lemos', 'maradona', 'aguero', 'what', 'final', 'maria', 'lloris', 'piala dunia', 'cristiano']</t>
  </si>
  <si>
    <t>&lt;FreqDist with 34 samples and 36 outcomes&gt;</t>
  </si>
  <si>
    <t>Dalam sejarah piala dunia, yang tadi ada final terbaikkküò≠üëèüèª</t>
  </si>
  <si>
    <t>dalam sejarah piala dunia yang tadi ada final terbaikkk</t>
  </si>
  <si>
    <t>['sejarah', 'piala', 'dunia', 'tadi', 'final', 'terbaikkk']</t>
  </si>
  <si>
    <t>Bagai hujan sehari dapat menghapus kemarau setahun. Final ini merupakan match paling seru sepanjang Piala Dunia 2022. Save the best match for last üòÄ Now it's Leo Messi's #LastDance DANCE with the #WorldCup2022</t>
  </si>
  <si>
    <t>bagai hujan sehari dapat menghapus kemarau setahun final ini merupakan match paling seru sepanjang piala dunia save the best match for last now leo messi dance with the</t>
  </si>
  <si>
    <t>['bagai', 'hujan', 'sehari', 'menghapus', 'kemarau', 'setahun', 'final', 'merupakan', 'match', 'paling', 'seru', 'sepanjang', 'piala', 'dunia', 'save', 'the', 'best', 'match', 'for', 'last', 'now', 'leo', 'messi', 'dance', 'with', 'the']</t>
  </si>
  <si>
    <t>&lt;FreqDist with 24 samples and 26 outcomes&gt;</t>
  </si>
  <si>
    <t>Saat orang lain sibuk sama final Piala Dunia, this certain Turkish World Champion enjoying himself on a tree.</t>
  </si>
  <si>
    <t>saat orang lain sibuk sama final piala dunia this certain turkish world champion enjoying himself tree</t>
  </si>
  <si>
    <t>['orang', 'sibuk', 'sama', 'final', 'piala', 'dunia', 'this', 'certain', 'turkish', 'world', 'champion', 'enjoying', 'himself', 'tree']</t>
  </si>
  <si>
    <t>Mungkin akan nyoba dapetin tiket final Piala Dunia U20 ü§î Will be good if Israel goes to final ü§£</t>
  </si>
  <si>
    <t>mungkin akan nyoba dapetin tiket final piala dunia will good israel goes final</t>
  </si>
  <si>
    <t>['mungkin', 'nyoba', 'dapetin', 'tiket', 'final', 'piala', 'dunia', 'will', 'good', 'israel', 'goes', 'final']</t>
  </si>
  <si>
    <t>Bersyukur hidup di era final terbaik piala dunia</t>
  </si>
  <si>
    <t>bersyukur hidup era final terbaik piala dunia</t>
  </si>
  <si>
    <t>['bersyukur', 'hidup', 'era', 'final', 'terbaik', 'piala', 'dunia']</t>
  </si>
  <si>
    <t>Pencetak gol Prancis di final Piala Dunia 1998 adalah  Zinedine Zidane 27', 45' Emmanuel Petit 90'  @indosat @idextratime  #PilDunBarengIOH   Ikutan yuk @pinginbigwinsih @iraha_win @Rizquuna</t>
  </si>
  <si>
    <t>pencetak gol prancis final piala dunia adalah zinedine zidane emmanuel petit ikutan yuk win</t>
  </si>
  <si>
    <t>['pencetak', 'gol', 'prancis', 'final', 'piala', 'dunia', 'zinedine', 'zidane', 'emmanuel', 'petit', 'ikutan', 'yuk', 'win']</t>
  </si>
  <si>
    <t>usai sudah gelaran piala dunia tahun ini. dengan segala kontroversinya, patut diucapkan terima kasih qatar atas kesediaannya untuk drama final yg begitu epic. sejarah akan mencatatnya bersamaan dengan tinta emas yg menulis nama lionel messi sebagai sang superstar bola abad ini.</t>
  </si>
  <si>
    <t>usai sudah gelaran piala dunia tahun ini dengan segala kontroversinya patut diucapkan terima kasih qatar atas kesediaannya untuk drama final begitu epic sejarah akan mencatatnya bersamaan dengan tinta emas menulis nama lionel messi sebagai sang superstar bola abad ini</t>
  </si>
  <si>
    <t>['usai', 'gelaran', 'piala', 'dunia', 'tahun', 'segala', 'kontroversinya', 'patut', 'diucapkan', 'terima', 'kasih', 'qatar', 'atas', 'kesediaannya', 'drama', 'final', 'epic', 'sejarah', 'mencatatnya', 'bersamaan', 'tinta', 'emas', 'menulis', 'nama', 'lionel', 'messi', 'sang', 'superstar', 'bola', 'abad']</t>
  </si>
  <si>
    <t>&lt;FreqDist with 30 samples and 30 outcomes&gt;</t>
  </si>
  <si>
    <t>Piala dunia qatar Sistem grup ‚ùé Kualifikasi sampai semi final ‚ùé Final ‚úÖüî•üî•üî• . . . #PialaDunia2022 #FIFAWorldCup2022</t>
  </si>
  <si>
    <t>piala dunia qatar sistem grup kualifikasi sampai semi final final</t>
  </si>
  <si>
    <t>['piala', 'dunia', 'qatar', 'sistem', 'grup', 'kualifikasi', 'semi', 'final', 'final']</t>
  </si>
  <si>
    <t>Pertandingan yang sangat seru final piala dunia 2022. Proficiat Argentina dan Terima Kasih Perancis telah menyajikan pertandingan yang sangat menarik.</t>
  </si>
  <si>
    <t>pertandingan yang sangat seru final piala dunia proficiat argentina dan terima kasih perancis telah menyajikan pertandingan yang sangat menarik</t>
  </si>
  <si>
    <t>['pertandingan', 'sangat', 'seru', 'final', 'piala', 'dunia', 'proficiat', 'argentina', 'terima', 'kasih', 'perancis', 'menyajikan', 'pertandingan', 'sangat', 'menarik']</t>
  </si>
  <si>
    <t>Kylian Mbappe memang gagal mengantarkan Prancis mempertahankan gelar juara Piala Dunia. Tapi, dia baru saja bikin rekor di final Piala Dunia  https://t.co/duYDraFgtj</t>
  </si>
  <si>
    <t>Timnas Argentina juara Piala Dunia 2022! La Albiceleste memenangi final Piala Dunia 2022 atas Timnas Prancis lewat babak adu penalti 4-2 di Stadion Lusail, Senin (19/1/2022) dini hari WIB. Duel berlangsung ketat 2-2 di waktu normal dan 3-3 di extra time.  https://t.co/8jpTuVdID6</t>
  </si>
  <si>
    <t>timnas argentina juara piala dunia albiceleste memenangi final piala dunia atas timnas prancis lewat babak adu penalti stadion lusail senin dini hari wib duel berlangsung ketat waktu normal dan extra time</t>
  </si>
  <si>
    <t>['timnas', 'argentina', 'juara', 'piala', 'dunia', 'albiceleste', 'memenangi', 'final', 'piala', 'dunia', 'atas', 'timnas', 'prancis', 'lewat', 'babak', 'adu', 'penalti', 'stadion', 'lusail', 'senin', 'dini', 'hari', 'wib', 'duel', 'berlangsung', 'ketat', 'waktu', 'normal', 'extra', 'time']</t>
  </si>
  <si>
    <t>benar-benar final terbaik piala dunia Qatar 2022</t>
  </si>
  <si>
    <t>benar benar final terbaik piala dunia qatar</t>
  </si>
  <si>
    <t>['benar', 'benar', 'final', 'terbaik', 'piala', 'dunia', 'qatar']</t>
  </si>
  <si>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</si>
  <si>
    <t>dihatiku ttp mbappe pemenangnya bawa sepatu emasnya the first player score world cup final hat trick since turut bahagia buat king messi dipenghujung karirnya mbwa argentina juara piala dunia</t>
  </si>
  <si>
    <t>['dihatiku', 'ttp', 'mbappe', 'pemenangnya', 'bawa', 'sepatu', 'emasnya', 'the', 'first', 'player', 'score', 'world', 'cup', 'final', 'hat', 'trick', 'since', 'turut', 'bahagia', 'buat', 'king', 'messi', 'dipenghujung', 'karirnya', 'mbwa', 'argentina', 'juara', 'piala', 'dunia']</t>
  </si>
  <si>
    <t>&lt;FreqDist with 29 samples and 29 outcomes&gt;</t>
  </si>
  <si>
    <t>Salah satu piala dunia terbaik yg pernah ku tonton.. Dan pertandingan final yg josss...   Siapa yg bilang Piala Dunia Qatar 2022 gak seru???? #FIFAWorldCup #WorldCup  #Qatar2022</t>
  </si>
  <si>
    <t>salah satu piala dunia terbaik pernah tonton dan pertandingan final josss siapa bilang piala dunia qatar gak seru</t>
  </si>
  <si>
    <t>['salah', 'satu', 'piala', 'dunia', 'terbaik', 'pernah', 'tonton', 'pertandingan', 'final', 'josss', 'siapa', 'piala', 'dunia', 'qatar', 'seru']</t>
  </si>
  <si>
    <t>5 kali nyaksiin final piala dunia dari kecil.. kali ini final terbaikk sihhhh</t>
  </si>
  <si>
    <t>kali nyaksiin final piala dunia dari kecil kali ini final terbaikk sihhhh</t>
  </si>
  <si>
    <t>['kali', 'nyaksiin', 'final', 'piala', 'dunia', 'kecil', 'kali', 'final', 'terbaikk', 'sihhhh']</t>
  </si>
  <si>
    <t>Gak nyesel Final Piala Dunia ini Roller Coaster-nya dapet banget sampe ke tahap Babak Adu Pinalti  Walaupun masih jadi pertanyaan gol pertama oleh Messi karena pelanggaran, recapnya kok gak diliatin detail dari pas kenapa jatuhnya atau ngajuin VAR ü§î</t>
  </si>
  <si>
    <t>gak nyesel final piala dunia ini roller coaster nya dapet banget sampe tahap babak adu pinalti walaupun masih jadi pertanyaan gol pertama oleh messi karena pelanggaran recapnya kok gak diliatin detail dari pas kenapa jatuhnya atau ngajuin var</t>
  </si>
  <si>
    <t>['nyesel', 'final', 'piala', 'dunia', 'roller', 'coaster', 'dapat', 'banget', 'sampai', 'tahap', 'babak', 'adu', 'penalti', 'walaupun', 'jadi', 'pertanyaan', 'gol', 'pertama', 'messi', 'pelanggaran', 'recapnya', 'kok', 'diliatin', 'detail', 'pas', 'jatuhnya', 'ngajuin', 'var']</t>
  </si>
  <si>
    <t>&lt;FreqDist with 28 samples and 28 outcomes&gt;</t>
  </si>
  <si>
    <t>Kapan lagi rasain keseruan nobar final piala dunia? gilasihh seru kali.</t>
  </si>
  <si>
    <t>kapan lagi rasain keseruan nobar final piala dunia gilasihh seru kali</t>
  </si>
  <si>
    <t>['kapan', 'rasain', 'keseruan', 'nonton bareng', 'final', 'piala', 'dunia', 'gilasihh', 'seru', 'kali']</t>
  </si>
  <si>
    <t>Dybala hanya bermain sekitar 18 menit selama gelaran Piala Dunia 2022 dihelat.   Dengan rincian, 15 menit dlm babak semifinal versus Kroasia. Lalu sekitar 3 menit dalam ekstratime babak final. Namun Dybala, menjadi algojo pinalti kedua setelah Messi versus Prancis.  #Romanisti üê∫</t>
  </si>
  <si>
    <t>dybala hanya bermain sekitar menit selama gelaran piala dunia dihelat dengan rincian menit dlm babak semifinal versus kroasia lalu sekitar menit dalam ekstratime babak final namun dybala menjadi algojo pinalti kedua setelah messi versus prancis</t>
  </si>
  <si>
    <t>['dybala', 'bermain', 'menit', 'selama', 'gelaran', 'piala', 'dunia', 'dihelat', 'rincian', 'menit', 'dlm', 'babak', 'semifinal', 'versus', 'kroasia', 'lalu', 'menit', 'ekstratime', 'babak', 'final', 'dybala', 'menjadi', 'algojo', 'penalti', 'kedua', 'messi', 'versus', 'prancis']</t>
  </si>
  <si>
    <t>Argentina berhasil merebut trofi juara Piala Dunia 2022. Argentina mengalahkan Prancis di final melalui adu penalti 3-2, usai bermain seri 3-3 di extra time.  https://t.co/PV4x5wyGJG</t>
  </si>
  <si>
    <t>argentina berhasil merebut trofi juara piala dunia argentina mengalahkan prancis final melalui adu penalti usai bermain seri extra time</t>
  </si>
  <si>
    <t>2006 nonton final piala dunia france vs italy, kalah adul pinalti  2022 final france vs argentina juga kalah adu pinalti  Sakit</t>
  </si>
  <si>
    <t>nonton final piala dunia france italy kalah adul pinalti final france argentina juga kalah adu pinalti sakit</t>
  </si>
  <si>
    <t>['nonton', 'final', 'piala', 'dunia', 'france', 'italy', 'kalah', 'adul', 'penalti', 'final', 'france', 'argentina', 'kalah', 'adu', 'penalti', 'sakit']</t>
  </si>
  <si>
    <t>Piala Dunia kali ini terasa hambar di awal, dari promo yang kurang nendang sampai kontroversi soal pelangi.   Tapi kemudian ditutup sama partai Final tergila sepanjang sejarah Piala Dunia.  Vamos Messi! Vamos Argentina! üá¶üá∑  #FIFAWorldCup #bestever #WorldCupFinal #ARGFRA</t>
  </si>
  <si>
    <t>piala dunia kali ini terasa hambar awal dari promo yang kurang nendang sampai kontroversi soal pelangi tapi kemudian ditutup sama partai final tergila sepanjang sejarah piala dunia vamos messi vamos argentina</t>
  </si>
  <si>
    <t>['piala', 'dunia', 'kali', 'terasa', 'hambar', 'awal', 'promo', 'kurang', 'nendang', 'kontroversi', 'soal', 'pelangi', 'kemudian', 'ditutup', 'sama', 'partai', 'final', 'tergila', 'sepanjang', 'sejarah', 'piala', 'dunia', 'vamos', 'messi', 'vamos', 'argentina']</t>
  </si>
  <si>
    <t>&lt;FreqDist with 23 samples and 26 outcomes&gt;</t>
  </si>
  <si>
    <t>Anjir ngebayangin kai gimana ya nonton final piala dunia, apakah dia sama seperti kita yang sesak napas gara2 tarik napas mulu? Jantung ga dibiarin aman apalagi pas menit2 akhir. Hmmmm</t>
  </si>
  <si>
    <t>anjir ngebayangin kai gimana nonton final piala dunia apakah dia sama seperti kita yang sesak napas gara tarik napas mulu jantung dibiarin aman apalagi pas menit akhir hmmmm</t>
  </si>
  <si>
    <t>['anjir', 'ngebayangin', 'kai', 'gimana', 'nonton', 'final', 'piala', 'dunia', 'sama', 'sesak', 'napas', 'gara', 'tarik', 'napas', 'mulu', 'jantung', 'dibiarin', 'aman', 'pas', 'menit', 'akhir', 'hmmmm']</t>
  </si>
  <si>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</si>
  <si>
    <t>final piala dunia qatar adalah final terbaik sampai saat ini suka tidak suka pertandingan tadi sarat emosional dan seru kedua tim memainkan laga sepakbola dengan baik terimakasih selamat untuk argentina dan france good game messi mbappe anjir gayeng oyak topscore</t>
  </si>
  <si>
    <t>['final', 'piala', 'dunia', 'qatar', 'final', 'terbaik', 'suka', 'suka', 'pertandingan', 'tadi', 'sarat', 'emosional', 'seru', 'kedua', 'tim', 'memainkan', 'laga', 'sepakbola', 'baik', 'terimakasih', 'selamat', 'argentina', 'france', 'good', 'game', 'messi', 'mbappe', 'anjir', 'gayeng', 'oyak', 'topscore']</t>
  </si>
  <si>
    <t>beruntung pisan masih bisa nonton final piala dunia terbaik yang pernah ada, makasih messi dan mbappeüôèüèΩüôåüèºüôåüèºüôåüèº</t>
  </si>
  <si>
    <t>beruntung pisan masih bisa nonton final piala dunia terbaik yang pernah ada makasih messi dan mbappe</t>
  </si>
  <si>
    <t>['beruntung', 'pisan', 'nonton', 'final', 'piala', 'dunia', 'terbaik', 'pernah', 'makasih', 'messi', 'mbappe']</t>
  </si>
  <si>
    <t>@CoachJustinL  kardus of the match ya elo, yang percaya sama namanya piala dunia setingan,sama kek bocah, final kek gitu masi dibilang setingan?duss dussü§£ü§£</t>
  </si>
  <si>
    <t>kardus the match elo yang percaya sama namanya piala dunia setingan sama kek bocah final kek gitu masi dibilang setingan duss duss</t>
  </si>
  <si>
    <t>['kardus', 'the', 'match', 'elo', 'percaya', 'sama', 'namanya', 'piala', 'dunia', 'settingan', 'sama', 'kek', 'bocah', 'final', 'kek', 'gitu', 'masi', 'dibilang', 'settingan', 'duss', 'duss']</t>
  </si>
  <si>
    <t>&lt;FreqDist with 17 samples and 21 outcomes&gt;</t>
  </si>
  <si>
    <t>Drama adu penalti tersaji di final Piala Dunia 2022, setelah skor imbang 3-3 bertahan hingga babak perpanjangan waktu. Akhirnya Argentina keluar sebagai juara. Sesuai dengan harapan sahabat ngga nih? üòÑ  #pialadunia¬†#pialadunia2022¬† #prancis¬†#argentina¬†#lionelmessi¬†#martinez</t>
  </si>
  <si>
    <t>Ketika kakekmu ngomong "sepanjang hidup saya, ini final piala dunia yang paling seru"  You know shit is real</t>
  </si>
  <si>
    <t>ketika kakekmu ngomong sepanjang hidup saya ini final piala dunia yang paling seru you know shit real</t>
  </si>
  <si>
    <t>['kakekmu', 'ngomong', 'sepanjang', 'hidup', 'final', 'piala', 'dunia', 'paling', 'seru', 'you', 'know', 'shit', 'real']</t>
  </si>
  <si>
    <t>@idextratime Walaupun vibe awal piala dunia agak kurang, tpi pertandingannya sampe final sangat menghibur</t>
  </si>
  <si>
    <t>walaupun vibe awal piala dunia agak kurang tpi pertandingannya sampe final sangat menghibur</t>
  </si>
  <si>
    <t>['walaupun', 'vibe', 'awal', 'piala', 'dunia', 'kurang', 'tpi', 'pertandingannya', 'sampai', 'final', 'sangat', 'menghibur']</t>
  </si>
  <si>
    <t>Congratulations Team Argentinaüá¶üá∑  Argentina Melaju Final Piala Dunia Setelah Mengandaskan Aduh Finalti Prancis Dengan Skor 4-2.Selamat Untuk Fans Argentina Dan Lionel Messi!  https://t.co/gGQ6xX3pI9</t>
  </si>
  <si>
    <t>congratulations team argentina argentina melaju final piala dunia setelah mengandaskan aduh finalti prancis dengan skor selamat untuk fans argentina dan lionel messi</t>
  </si>
  <si>
    <t>['congratulations', 'team', 'argentina', 'argentina', 'melaju', 'final', 'piala', 'dunia', 'mengandaskan', 'aduh', 'finalti', 'prancis', 'skor', 'selamat', 'fans', 'argentina', 'lionel', 'messi']</t>
  </si>
  <si>
    <t>@convomf Dia udh jdi GOAT, umur 19 udh pernah angkat trofi piala dunia, hari ini hattrick di final dan total 8 gol selama turnamen, memang masih butuh waktu untuk membuktikan kelayakannya, tpi itu pasti akan terjadi nanti</t>
  </si>
  <si>
    <t>dia udh jdi goat umur udh pernah angkat trofi piala dunia hari ini hattrick final dan total gol selama turnamen memang masih butuh waktu untuk membuktikan kelayakannya tpi itu pasti akan terjadi nanti</t>
  </si>
  <si>
    <t>['sudah', 'jdi', 'goat', 'umur', 'sudah', 'pernah', 'angkat', 'trofi', 'piala', 'dunia', 'hari', 'hattrick', 'final', 'total', 'gol', 'selama', 'turnamen', 'memang', 'butuh', 'waktu', 'membuktikan', 'kelayakannya', 'tpi', 'terjadi']</t>
  </si>
  <si>
    <t>Haha nyepam di status WA gara-gara nonton final piala Dunia terseru, terbaik sepanjang masa. Menjadi saksi kehebatan argentina dan lionel messi yang akan dikenang sepanjang masa. Wow, seru, menegangkan, mendebarkan. What a Final!  Congratulations Argentina.  https://t.co/rRGpFOYB2w</t>
  </si>
  <si>
    <t>haha nyepam status gara gara nonton final piala dunia terseru terbaik sepanjang masa menjadi saksi kehebatan argentina dan lionel messi yang akan dikenang sepanjang masa wow seru menegangkan mendebarkan what final congratulations argentina</t>
  </si>
  <si>
    <t>['haha', 'nyepam', 'status', 'gara', 'gara', 'nonton', 'final', 'piala', 'dunia', 'terseru', 'terbaik', 'sepanjang', 'masa', 'menjadi', 'saksi', 'kehebatan', 'argentina', 'lionel', 'messi', 'dikenang', 'sepanjang', 'masa', 'wow', 'seru', 'menegangkan', 'mendebarkan', 'what', 'final', 'congratulations', 'argentina']</t>
  </si>
  <si>
    <t>&lt;FreqDist with 25 samples and 30 outcomes&gt;</t>
  </si>
  <si>
    <t>Masih gak ngerti gimana caranya orang ini prediksi, tanggal bulan dg tahun piala dunia, padahal piala dunia 2022 udah dimundurin dari biasanya, darimana dia bisa tau kalo final di tgl 18 desember üôàüôàüôà</t>
  </si>
  <si>
    <t>masih gak ngerti gimana caranya orang ini prediksi tanggal bulan tahun piala dunia padahal piala dunia udah dimundurin dari biasanya darimana dia bisa tau kalo final tgl desember</t>
  </si>
  <si>
    <t>['ngerti', 'gimana', 'caranya', 'orang', 'prediksi', 'tanggal', 'bulan', 'tahun', 'piala', 'dunia', 'padahal', 'piala', 'dunia', 'udah', 'dimundurin', 'biasanya', 'darimana', 'final', 'tgl', 'desember']</t>
  </si>
  <si>
    <t>Selain mbappe, bakalan susah nemuin pemain yg bisa hattrick di final piala dunia, nice try tuan muda.</t>
  </si>
  <si>
    <t>selain mbappe bakalan susah nemuin pemain bisa hattrick final piala dunia nice try tuan muda</t>
  </si>
  <si>
    <t>['mbappe', 'bakalan', 'susah', 'nemuin', 'pemain', 'hattrick', 'final', 'piala', 'dunia', 'nice', 'try', 'tuan', 'muda']</t>
  </si>
  <si>
    <t>Malam ini jadi banyak orang yg gak ngerti bola jadi sok ngerti, bahkan cewe juga wkwk emang euforia final piala dunia tuh gila</t>
  </si>
  <si>
    <t>malam ini jadi banyak orang gak ngerti bola jadi sok ngerti bahkan cewe juga wkwk emang euforia final piala dunia tuh gila</t>
  </si>
  <si>
    <t>['malam', 'jadi', 'banyak', 'orang', 'ngerti', 'bola', 'jadi', 'sok', 'ngerti', 'bahkan', 'cewe', 'emang', 'euforia', 'final', 'piala', 'dunia', 'gila']</t>
  </si>
  <si>
    <t>@idextratime Percaya gak percaya, terima gak terima,gol Mbappe di final lebih banyak dari gol bang do di edisi piala dunia tahun ini</t>
  </si>
  <si>
    <t>percaya gak percaya terima gak terima gol mbappe final lebih banyak dari gol bang edisi piala dunia tahun ini</t>
  </si>
  <si>
    <t>['percaya', 'percaya', 'terima', 'terima', 'gol', 'mbappe', 'final', 'lebih', 'banyak', 'gol', 'bang', 'edisi', 'piala', 'dunia', 'tahun']</t>
  </si>
  <si>
    <t>Man of The Match Timnas Argentina vs Prancis di Final Piala Dunia 2022: Lionel Messi #LengkapCepatBeritanya #Bola #SepakBola #SepakbolaDunia #BolaDunia .  https://t.co/tcVsEX8cEY</t>
  </si>
  <si>
    <t>man the match timnas argentina prancis final piala dunia lionel messi</t>
  </si>
  <si>
    <t>['man', 'the', 'match', 'timnas', 'argentina', 'prancis', 'final', 'piala', 'dunia', 'lionel', 'messi']</t>
  </si>
  <si>
    <t>Final piala dunia ter dagdigdugserrr</t>
  </si>
  <si>
    <t>final piala dunia ter dagdigdugserrr</t>
  </si>
  <si>
    <t>['final', 'piala', 'dunia', 'ter', 'dagdigdugserrr']</t>
  </si>
  <si>
    <t>Tahun 2022 adalah tahun terberat saya saat menjadi fans sepak bola 1. Liverpool gagal juara liga inggris beda 1 poin sama Manchester City 2. Liverpool kalah di final lawan Real Madrid  3. Ronaldo (Portugal) kalah di 8 besar dan gagal juara piala dunia</t>
  </si>
  <si>
    <t>tahun adalah tahun terberat saya saat menjadi fans sepak bola liverpool gagal juara liga inggris beda poin sama manchester city liverpool kalah final lawan real madrid ronaldo portugal kalah besar dan gagal juara piala dunia</t>
  </si>
  <si>
    <t>['tahun', 'tahun', 'terberat', 'menjadi', 'fans', 'sepak', 'bola', 'liverpool', 'gagal', 'juara', 'liga', 'inggris', 'beda', 'poin', 'sama', 'manchester', 'city', 'liverpool', 'kalah', 'final', 'lawan', 'real', 'madrid', 'ronaldo', 'portugal', 'kalah', 'besar', 'gagal', 'juara', 'piala', 'dunia']</t>
  </si>
  <si>
    <t>Terlalu keren final piala dunia kali  ü§Øü§ß</t>
  </si>
  <si>
    <t>terlalu keren final piala dunia kali</t>
  </si>
  <si>
    <t>['terlalu', 'keren', 'final', 'piala', 'dunia', 'kali']</t>
  </si>
  <si>
    <t>IMPIAN Argentina untuk kembali menjadi juara Piala Dunia setelah terakhir melakukannya pada 1986, terwujud di Piala Dunia 2022 Qatar usai meraih kemenangan atas Prancis di babak final, Senin (19/12) dini hari.   https://t.co/8HhEQ2c7mv</t>
  </si>
  <si>
    <t>impian argentina untuk kembali menjadi juara piala dunia setelah terakhir melakukannya pada terwujud piala dunia qatar usai meraih kemenangan atas prancis babak final senin dini hari</t>
  </si>
  <si>
    <t>['impian', 'argentina', 'menjadi', 'juara', 'piala', 'dunia', 'terakhir', 'melakukannya', 'terwujud', 'piala', 'dunia', 'qatar', 'usai', 'meraih', 'kemenangan', 'atas', 'prancis', 'babak', 'final', 'senin', 'dini', 'hari']</t>
  </si>
  <si>
    <t>&lt;FreqDist with 20 samples and 22 outcomes&gt;</t>
  </si>
  <si>
    <t>Final WC 2014: Tahun terakhir bersama bapak nonton final piala dunia, nangis sejadinya di samping bapak sambil diejekin wkwk  Final WC 2022: Tahun kedua nonton final tanpa bapak.  Pak, ini pemain fav adek juara dunia loh dan final kedua ini adek nangis juga tapi bahagiaü•∫üò≠</t>
  </si>
  <si>
    <t>final tahun terakhir bersama bapak nonton final piala dunia nangis sejadinya samping bapak sambil diejekin wkwk final tahun kedua nonton final tanpa bapak pak ini pemain fav adek juara dunia loh dan final kedua ini adek nangis juga tapi bahagia</t>
  </si>
  <si>
    <t>['final', 'tahun', 'terakhir', 'bersama', 'bapak', 'nonton', 'final', 'piala', 'dunia', 'nangis', 'sejadinya', 'samping', 'bapak', 'diejekin', 'final', 'tahun', 'kedua', 'nonton', 'final', 'bapak', 'pak', 'pemain', 'fav', 'adek', 'juara', 'dunia', 'final', 'kedua', 'adek', 'nangis', 'bahagia']</t>
  </si>
  <si>
    <t>&lt;FreqDist with 19 samples and 31 outcomes&gt;</t>
  </si>
  <si>
    <t>Tuan rumah terbaik Ost Piala dunia terbaik Opening ceremony terbaik Drama pertandingan terbaik Final Piala dunia Terbaik #ThanksQatar2022# #FIFAWorldCup</t>
  </si>
  <si>
    <t>tuan rumah terbaik ost piala dunia terbaik opening ceremony terbaik drama pertandingan terbaik final piala dunia terbaik</t>
  </si>
  <si>
    <t>['tuan', 'rumah', 'terbaik', 'ost', 'piala', 'dunia', 'terbaik', 'opening', 'ceremony', 'terbaik', 'drama', 'pertandingan', 'terbaik', 'final', 'piala', 'dunia', 'terbaik']</t>
  </si>
  <si>
    <t>&lt;FreqDist with 11 samples and 17 outcomes&gt;</t>
  </si>
  <si>
    <t>oke kali ini saya akuin Argentina layak menang. Tapi Final Piala Dunia paling seru dan menegangkan adalah tahun ini. dari babak pertama sebenernya udah ga yakin prancis juara, namun di menit 70 an prancis menunjuk kan kualitasnya.</t>
  </si>
  <si>
    <t>oke kali ini saya akuin argentina layak menang tapi final piala dunia paling seru dan menegangkan adalah tahun ini dari babak pertama sebenernya udah yakin prancis juara namun menit prancis menunjuk kan kualitasnya</t>
  </si>
  <si>
    <t>['oke', 'kali', 'akuin', 'argentina', 'layak', 'menang', 'final', 'piala', 'dunia', 'paling', 'seru', 'menegangkan', 'tahun', 'babak', 'pertama', 'sebenernya', 'udah', 'yakin', 'prancis', 'juara', 'menit', 'prancis', 'menunjuk', 'kan', 'kualitasnya']</t>
  </si>
  <si>
    <t>Efek final piala dunia, beranda twitter rame banget. Yang udah gak aktif berbulan2 dan bertahun-tahun pada nongol semua dan pada ngtweeg jg üòÇ</t>
  </si>
  <si>
    <t>efek final piala dunia beranda twitter rame banget yang udah gak aktif berbulan dan bertahun tahun pada nongol semua dan pada ngtweeg</t>
  </si>
  <si>
    <t>['efek', 'final', 'piala', 'dunia', 'beranda', 'twitter', 'ramai', 'banget', 'udah', 'aktif', 'berbulan', 'bertahun', 'tahun', 'nongol', 'semua', 'ngtweeg']</t>
  </si>
  <si>
    <t>Selamat, Argentina juara Piala Dunia 2022! üá¶üá∑  Pertandingan final antara Argentina melawan Perancis pada Minggu (18/12/2022) malam berlangsung sengit.  Pertandingan panjang pun berakhir lewat adu penalti, dengan kemenangan diraih oleh Argentina.  https://t.co/TPad5Df1Gs</t>
  </si>
  <si>
    <t>selamat argentina juara piala dunia pertandingan final antara argentina melawan perancis pada minggu malam berlangsung sengit pertandingan panjang pun berakhir lewat adu penalti dengan kemenangan diraih oleh argentina</t>
  </si>
  <si>
    <t>['selamat', 'argentina', 'juara', 'piala', 'dunia', 'pertandingan', 'final', 'argentina', 'melawan', 'perancis', 'minggu', 'malam', 'berlangsung', 'sengit', 'pertandingan', 'panjang', 'berakhir', 'lewat', 'adu', 'penalti', 'kemenangan', 'diraih', 'argentina']</t>
  </si>
  <si>
    <t>FINAL PIALA DUNIA 2022 GOKILLLLLLL</t>
  </si>
  <si>
    <t>final piala dunia gokilllllll</t>
  </si>
  <si>
    <t>['final', 'piala', 'dunia', 'gokilllllll']</t>
  </si>
  <si>
    <t>tapi tetap mereka plot twist terbesar di piala dunia tahun ini karna berhasil ngalahin Belgia, Canada, Spain, sama Portugal trus masuk semi final #FIFAWorldCup  #MAR  https://t.co/1JrtpEjnsU</t>
  </si>
  <si>
    <t>tapi tetap mereka plot twist terbesar piala dunia tahun ini karna berhasil ngalahin belgia canada spain sama portugal trus masuk semi final</t>
  </si>
  <si>
    <t>['tetap', 'plot', 'twist', 'terbesar', 'piala', 'dunia', 'tahun', 'karna', 'berhasil', 'ngalahin', 'belgia', 'canada', 'spain', 'sama', 'portugal', 'trus', 'masuk', 'semi', 'final']</t>
  </si>
  <si>
    <t>Ayah ngiranya final tuh jam 02.00. Bayangin klo gw gak ngasih tau klo final jam 22.00 wkwkwk.   Bangun2 pas liat tv  "lah koook????"  "Piala dunia mana nih??" üò≠üò≠üò≠üò≠üò≠üò≠</t>
  </si>
  <si>
    <t>ayah ngiranya final tuh jam bayangin klo gak ngasih tau klo final jam wkwkwk bangun pas liat lah koook piala dunia mana nih</t>
  </si>
  <si>
    <t>['ayah', 'ngiranya', 'final', 'jam', 'bayangin', 'ngasih', 'final', 'jam', 'wkwkwk', 'bangun', 'pas', 'lihat', 'lah', 'koook', 'piala', 'dunia', 'mana']</t>
  </si>
  <si>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</si>
  <si>
    <t>prediksi awak prancis brasil final dan prancis juara ternyata cuma prancis masuk final aja yang benar harapan orang agar prancis kalah karena prancis juara bertahan jika mereka kalah maka piala dunia akan tetap</t>
  </si>
  <si>
    <t>['prediksi', 'awak', 'prancis', 'brasil', 'final', 'prancis', 'juara', 'ternyata', 'cuma', 'prancis', 'masuk', 'final', 'benar', 'harapan', 'orang', 'prancis', 'kalah', 'prancis', 'juara', 'bertahan', 'kalah', 'piala', 'dunia', 'tetap']</t>
  </si>
  <si>
    <t>&lt;FreqDist with 17 samples and 24 outcomes&gt;</t>
  </si>
  <si>
    <t>Tadi tuh emang pertandingan, final, piala dunia terbaik lah pokonya!</t>
  </si>
  <si>
    <t>tadi tuh emang pertandingan final piala dunia terbaik lah pokonya</t>
  </si>
  <si>
    <t>['tadi', 'emang', 'pertandingan', 'final', 'piala', 'dunia', 'terbaik', 'lah', 'pokonya']</t>
  </si>
  <si>
    <t>PIALA DUNIA | Argentina menamatkan penantian 36 tahun untuk menjulang Piala Dunia buat kali ketiga apabila menewaskan Perancis 4-2 menerusi penentuan sepakan penalti selepas aksi final yang penuh dramatik di Stadium Lusail berkesudahan 3-3, sebentar tadi   https://t.co/zBYD4H2z8h</t>
  </si>
  <si>
    <t>piala dunia argentina menamatkan penantian tahun untuk menjulang piala dunia buat kali ketiga apabila menewaskan perancis menerusi penentuan sepakan penalti selepas aksi final yang penuh dramatik stadium lusail berkesudahan sebentar tadi</t>
  </si>
  <si>
    <t>['piala', 'dunia', 'argentina', 'menamatkan', 'penantian', 'tahun', 'menjulang', 'piala', 'dunia', 'buat', 'kali', 'ketiga', 'apabila', 'menewaskan', 'perancis', 'menerusi', 'penentuan', 'sepakan', 'penalti', 'selepas', 'aksi', 'final', 'penuh', 'dramatik', 'stadium', 'lusail', 'berkesudahan', 'sebentar', 'tadi']</t>
  </si>
  <si>
    <t>Final terseru dan terbaik dalam sejarah piala dunia‚ú®</t>
  </si>
  <si>
    <t>final terseru dan terbaik dalam sejarah piala dunia</t>
  </si>
  <si>
    <t>['final', 'terseru', 'terbaik', 'sejarah', 'piala', 'dunia']</t>
  </si>
  <si>
    <t>@kalahyakalahaja @idextratime Bruhhh üíÄüíÄ  Di era Didier Deschamps, Prancis masuk 3 final besar: EURO 16, World Cup 18 &amp;amp; 22.  Turnamen besar sebagai pelatih Deschamps dan gagal masuk di final adalah ketika Karim Benzema masuk skuad: Piala Dunia 14</t>
  </si>
  <si>
    <t>bruhhh era didier deschamps prancis masuk final besar euro world cup turnamen besar sebagai pelatih deschamps dan gagal masuk final adalah ketika karim benzema masuk skuad piala dunia</t>
  </si>
  <si>
    <t>['bruhhh', 'era', 'didier', 'deschamps', 'prancis', 'masuk', 'final', 'besar', 'euro', 'world', 'cup', 'turnamen', 'besar', 'pelatih', 'deschamps', 'gagal', 'masuk', 'final', 'karim', 'benzema', 'masuk', 'skuad', 'piala', 'dunia']</t>
  </si>
  <si>
    <t>&lt;FreqDist with 19 samples and 24 outcomes&gt;</t>
  </si>
  <si>
    <t>Salah satu final piala dunia terbaik üî•</t>
  </si>
  <si>
    <t>salah satu final piala dunia terbaik</t>
  </si>
  <si>
    <t>['salah', 'satu', 'final', 'piala', 'dunia', 'terbaik']</t>
  </si>
  <si>
    <t>pasti banyak yg bilang setingan  pasti banyak yg bilang uefa nations league lebih releven drpd world cup  buat lu yg ngomong gtu  makan taik cr sono brg lalapan rumput final piala dunia  idola lu gapernah main di final piala dunia</t>
  </si>
  <si>
    <t>pasti banyak bilang setingan pasti banyak bilang uefa nations league lebih releven drpd world cup buat ngomong gtu makan taik sono brg lalapan rumput final piala dunia idola gapernah main final piala dunia</t>
  </si>
  <si>
    <t>['banyak', 'settingan', 'banyak', 'uefa', 'nations', 'league', 'lebih', 'releven', 'drpd', 'world', 'cup', 'buat', 'ngomong', 'gtu', 'makan', 'taik', 'sono', 'brg', 'lalapan', 'rumput', 'final', 'piala', 'dunia', 'idola', 'gapernah', 'main', 'final', 'piala', 'dunia']</t>
  </si>
  <si>
    <t>Hari inj kita menyaksikan sejarah. Argentina juara piala dunia 2022. Messi menjadi pemain terbaik dalam sejarah sepakbola dunia dan ini adalah pertandingan final piala dunia terbaik.</t>
  </si>
  <si>
    <t>hari inj kita menyaksikan sejarah argentina juara piala dunia messi menjadi pemain terbaik dalam sejarah sepakbola dunia dan ini adalah pertandingan final piala dunia terbaik</t>
  </si>
  <si>
    <t>['hari', 'inj', 'menyaksikan', 'sejarah', 'argentina', 'juara', 'piala', 'dunia', 'messi', 'menjadi', 'pemain', 'terbaik', 'sejarah', 'sepakbola', 'dunia', 'pertandingan', 'final', 'piala', 'dunia', 'terbaik']</t>
  </si>
  <si>
    <t>&lt;FreqDist with 15 samples and 20 outcomes&gt;</t>
  </si>
  <si>
    <t>Ini final Piala Dunia terbaik yang pernah gw tonton: Mbappe, Masa Depan Piala Dunia, saling kejar mengejar gol, adu penalti dan aktor utama, Messi, sang Raja!</t>
  </si>
  <si>
    <t>ini final piala dunia terbaik yang pernah tonton mbappe masa depan piala dunia saling kejar mengejar gol adu penalti dan aktor utama messi sang raja</t>
  </si>
  <si>
    <t>['final', 'piala', 'dunia', 'terbaik', 'pernah', 'tonton', 'mbappe', 'masa', 'depan', 'piala', 'dunia', 'saling', 'kejar', 'mengejar', 'gol', 'adu', 'penalti', 'aktor', 'utama', 'messi', 'sang', 'raja']</t>
  </si>
  <si>
    <t>pengalaman terbaik nonton final piala dunia! seru bgt ajg!!!!</t>
  </si>
  <si>
    <t>pengalaman terbaik nonton final piala dunia seru bgt ajg</t>
  </si>
  <si>
    <t>['pengalaman', 'terbaik', 'nonton', 'final', 'piala', 'dunia', 'seru', 'banget', 'ajg']</t>
  </si>
  <si>
    <t>Pertandingan final Piala Dunia Qatar 2022 antara Timnas Argentina melawan Prancis yang digelar di Lusail Iconic Stadium, Minggu (18/12/2022) malam WIB berjalan sangat sengit. Bahkan pemenang pertandingan ini harus ditentukan melalui babak adu penalti.  https://t.co/Rm6wlt87kT</t>
  </si>
  <si>
    <t>pertandingan final piala dunia qatar antara timnas argentina melawan prancis yang digelar lusail iconic stadium minggu malam wib berjalan sangat sengit bahkan pemenang pertandingan ini harus ditentukan melalui babak adu penalti</t>
  </si>
  <si>
    <t>['pertandingan', 'final', 'piala', 'dunia', 'qatar', 'timnas', 'argentina', 'melawan', 'prancis', 'digelar', 'lusail', 'iconic', 'stadium', 'minggu', 'malam', 'wib', 'berjalan', 'sangat', 'sengit', 'bahkan', 'pemenang', 'pertandingan', 'ditentukan', 'melalui', 'babak', 'adu', 'penalti']</t>
  </si>
  <si>
    <t>Final Piala Dunia 2022 sungguh seruuu</t>
  </si>
  <si>
    <t>final piala dunia sungguh seruuu</t>
  </si>
  <si>
    <t>['final', 'piala', 'dunia', 'sungguh', 'seruuu']</t>
  </si>
  <si>
    <t>Laga final Piala Dunia terbaik yang pernah gw tonton. Perasaan diombang-ambing liat keduanya berbalas gol. Terakhir, lengkap sudah karir Messi.</t>
  </si>
  <si>
    <t>laga final piala dunia terbaik yang pernah tonton perasaan diombang ambing liat keduanya berbalas gol terakhir lengkap sudah karir messi</t>
  </si>
  <si>
    <t>['laga', 'final', 'piala', 'dunia', 'terbaik', 'pernah', 'tonton', 'perasaan', 'diombang', 'ambing', 'lihat', 'keduanya', 'berbalas', 'gol', 'terakhir', 'lengkap', 'karir', 'messi']</t>
  </si>
  <si>
    <t>Final Piala Dunia di tengah Perang Dunia II. Swedia juara tapi tak diakui FIFA.  https://t.co/gPPgxfPgce</t>
  </si>
  <si>
    <t>final piala dunia tengah perang dunia swedia juara tapi tak diakui fifa</t>
  </si>
  <si>
    <t>['final', 'piala', 'dunia', 'tengah', 'perang', 'dunia', 'swedia', 'juara', 'tak', 'diakui', 'fifa']</t>
  </si>
  <si>
    <t>final piala dunia terbaik !!!! terima kasih Argentina dan Prancis sepanjang pertandingan selalu deg2an, apalagi saat Di Maria digantikan Acuna. Mbappe selalu dpat bola dan mencetak hat-trick. What a Final !!! Well done  puassss nontonnya, see ya World Cap 2026  https://t.co/yj8hTLi3Eb</t>
  </si>
  <si>
    <t>final piala dunia terbaik terima kasih argentina dan prancis sepanjang pertandingan selalu deg apalagi saat maria digantikan acuna mbappe selalu dpat bola dan mencetak hat trick what final well done puassss nontonnya see world cap</t>
  </si>
  <si>
    <t>['final', 'piala', 'dunia', 'terbaik', 'terima', 'kasih', 'argentina', 'prancis', 'sepanjang', 'pertandingan', 'selalu', 'deg', 'maria', 'digantikan', 'acuna', 'mbappe', 'selalu', 'dpat', 'bola', 'mencetak', 'hat', 'trick', 'what', 'final', 'well', 'done', 'puassss', 'nontonnya', 'see', 'world', 'cap']</t>
  </si>
  <si>
    <t>Final piala dunia terkeren terwow terseru terbaikk sih ini ü•∞ congrats for üá¶üá∑ applause for @KMbappe üëèüèªüéâü•≥</t>
  </si>
  <si>
    <t>final piala dunia terkeren terwow terseru terbaikk sih ini congrats for applause for</t>
  </si>
  <si>
    <t>['final', 'piala', 'dunia', 'terkeren', 'terwow', 'terseru', 'terbaikk', 'congrats', 'for', 'applause', 'for']</t>
  </si>
  <si>
    <t>bener bener final piala dunia terbaik coo mbappe hattrick messi juaraüò≠</t>
  </si>
  <si>
    <t>bener bener final piala dunia terbaik coo mbappe hattrick messi juara</t>
  </si>
  <si>
    <t>['benar', 'benar', 'final', 'piala', 'dunia', 'terbaik', 'coo', 'mbappe', 'hattrick', 'messi', 'juara']</t>
  </si>
  <si>
    <t>Angel Di Maria menutup karirnya di Timnas Argentina dengan: - Main di laga finalüî• - Mencetak gol di laga finalü¶∂ - Jadi juara Piala Dunia bersama ArgentinaüèÜ  Idamanü•∫ TE AMO FIDEOü§çüíô  https://t.co/2Ga5EglxXb</t>
  </si>
  <si>
    <t>angel maria menutup karirnya timnas argentina dengan main laga final mencetak gol laga final jadi juara piala dunia bersama argentina idaman amo fideo</t>
  </si>
  <si>
    <t>['angel', 'maria', 'menutup', 'karirnya', 'timnas', 'argentina', 'main', 'laga', 'final', 'mencetak', 'gol', 'laga', 'final', 'jadi', 'juara', 'piala', 'dunia', 'bersama', 'argentina', 'idaman', 'amo', 'fideo']</t>
  </si>
  <si>
    <t>Iseng nonton final piala dunia dari live youtube di kamar</t>
  </si>
  <si>
    <t>iseng nonton final piala dunia dari live youtube kamar</t>
  </si>
  <si>
    <t>['iseng', 'nonton', 'final', 'piala', 'dunia', 'live', 'youtube', 'kamar']</t>
  </si>
  <si>
    <t>Final piala dunia terbaik sepanjang sejarah</t>
  </si>
  <si>
    <t>final piala dunia terbaik sepanjang sejarah</t>
  </si>
  <si>
    <t>['final', 'piala', 'dunia', 'terbaik', 'sepanjang', 'sejarah']</t>
  </si>
  <si>
    <t>Final Piala Dunia terbaik.. Argentina layak juara, Perancis berjuang sampai akhir. Terima kasih Piala Dunia Qatar 2022.</t>
  </si>
  <si>
    <t>final piala dunia terbaik argentina layak juara perancis berjuang sampai akhir terima kasih piala dunia qatar</t>
  </si>
  <si>
    <t>['final', 'piala', 'dunia', 'terbaik', 'argentina', 'layak', 'juara', 'perancis', 'berjuang', 'akhir', 'terima', 'kasih', 'piala', 'dunia', 'qatar']</t>
  </si>
  <si>
    <t>Final piala dunia paling seru dan penuh emosional karena kalah taruhan</t>
  </si>
  <si>
    <t>final piala dunia paling seru dan penuh emosional karena kalah taruhan</t>
  </si>
  <si>
    <t>['final', 'piala', 'dunia', 'paling', 'seru', 'penuh', 'emosional', 'kalah', 'taruhan']</t>
  </si>
  <si>
    <t>Final terbaik piala dunia üëç</t>
  </si>
  <si>
    <t>final terbaik piala dunia</t>
  </si>
  <si>
    <t>['final', 'terbaik', 'piala', 'dunia']</t>
  </si>
  <si>
    <t>Kylian Mbappe Paksa Argentina Ke Babak Perpanjangan Waktu di Partai Final Piala Dunia 2022  https://t.co/OHzKz6JA1M</t>
  </si>
  <si>
    <t>kylian mbappe paksa argentina babak perpanjangan waktu partai final piala dunia</t>
  </si>
  <si>
    <t>['kylian', 'mbappe', 'paksa', 'argentina', 'babak', 'perpanjangan', 'waktu', 'partai', 'final', 'piala', 'dunia']</t>
  </si>
  <si>
    <t>Nobar Final Piala Dunia Qatar 2022, Ribuan Orang Padati Jalan Merdeka Meulaboh Aceh Barat  https://t.co/umaQ0GBJR0</t>
  </si>
  <si>
    <t>nobar final piala dunia qatar ribuan orang padati jalan merdeka meulaboh aceh barat</t>
  </si>
  <si>
    <t>['nonton bareng', 'final', 'piala', 'dunia', 'qatar', 'ribuan', 'orang', 'padati', 'jalan', 'merdeka', 'meulaboh', 'aceh', 'barat']</t>
  </si>
  <si>
    <t>pertandingan final piala dunia 2022 yg paling terbaik, kedua tim bener2 on fire,  bikin deg2 an poll, gelisah terus setiap nonton nya ajgggggg</t>
  </si>
  <si>
    <t>pertandingan final piala dunia paling terbaik kedua tim bener fire bikin deg poll gelisah terus setiap nonton nya ajgggggg</t>
  </si>
  <si>
    <t>['pertandingan', 'final', 'piala', 'dunia', 'paling', 'terbaik', 'kedua', 'tim', 'benar', 'fire', 'deg', 'poll', 'gelisah', 'terus', 'nonton', 'ajgggggg']</t>
  </si>
  <si>
    <t>Hasil Pertandingan Final Piala Dunia 2022 Argentina Vs Prancis: La Albiceleste Juara Usai Kalahkan Prancis 4-2 Lewat Adu Penalti  #PialaDunia2022 #ArgentinaVsPrancis #Argentina #Prancis #HasilPialaDunia #LigaPetani   https://t.co/ZlgVjGHMmv</t>
  </si>
  <si>
    <t>hasil pertandingan final piala dunia argentina prancis albiceleste juara usai kalahkan prancis lewat adu penalti</t>
  </si>
  <si>
    <t>['hasil', 'pertandingan', 'final', 'piala', 'dunia', 'argentina', 'prancis', 'albiceleste', 'juara', 'usai', 'kalahkan', 'prancis', 'lewat', 'adu', 'penalti']</t>
  </si>
  <si>
    <t>@infoAzzurri Harus diakui ini Final piala dunia terseru</t>
  </si>
  <si>
    <t>harus diakui ini final piala dunia terseru</t>
  </si>
  <si>
    <t>['diakui', 'final', 'piala', 'dunia', 'terseru']</t>
  </si>
  <si>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</si>
  <si>
    <t>terimakasih kpd pemirsah telah menyaksikan siaran langsung final piala dunia melalui aplikasi vidio narasi hostnya kaga ada maap nya pemirsa pelanggan baik story status medsos live ttg erornya terlalu angkuh sombong mrk buat mrk sgt hina</t>
  </si>
  <si>
    <t>['terimakasih', 'kpd', 'pemirsah', 'menyaksikan', 'siaran', 'langsung', 'final', 'piala', 'dunia', 'melalui', 'aplikasi', 'vidio', 'narasi', 'hostnya', 'kaga', 'maap', 'pemirsa', 'pelanggan', 'baik', 'story', 'status', 'medsos', 'live', 'ttg', 'erornya', 'terlalu', 'angkuh', 'sombong', 'mrk', 'buat', 'mrk', 'sangat', 'hina']</t>
  </si>
  <si>
    <t>&lt;FreqDist with 32 samples and 33 outcomes&gt;</t>
  </si>
  <si>
    <t>Ridwan Kamil mengatakan prediksinya jika Argentinya akan menang tepat. Prediksi itu sempat diunggah sebelum pertandingan final Piala Dunia 2022 mulai.  https://t.co/fLQYM1r9HD</t>
  </si>
  <si>
    <t>Tapi hetrik di final piala dunia teh nt pisan  https://t.co/MEhLXiVVpo</t>
  </si>
  <si>
    <t>tapi hetrik final piala dunia teh pisan</t>
  </si>
  <si>
    <t>['hetrik', 'final', 'piala', 'dunia', 'teh', 'pisan']</t>
  </si>
  <si>
    <t>Hasil Perpanjangan Waktu Timnas Argentina vs Prancis di Final Piala Dunia 2022</t>
  </si>
  <si>
    <t>hasil perpanjangan waktu timnas argentina prancis final piala dunia</t>
  </si>
  <si>
    <t>['hasil', 'perpanjangan', 'waktu', 'timnas', 'argentina', 'prancis', 'final', 'piala', 'dunia']</t>
  </si>
  <si>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</si>
  <si>
    <t>piala dunia paling banyak kejutan dan final piala dunia terseru sejauh ini pernah tonton messi emng pantas dpt juara mbappe gila orng bakal gantiin era messi ronaldo terlepas itu semua venue qatar salah satu terbaik sih top</t>
  </si>
  <si>
    <t>['piala', 'dunia', 'paling', 'banyak', 'kejutan', 'final', 'piala', 'dunia', 'terseru', 'sejauh', 'pernah', 'tonton', 'messi', 'memang', 'pantas', 'dpt', 'juara', 'mbappe', 'gila', 'orng', 'bakal', 'gantiin', 'era', 'messi', 'ronaldo', 'terlepas', 'semua', 'venue', 'qatar', 'salah', 'satu', 'terbaik', 'top']</t>
  </si>
  <si>
    <t>Final terbaik dalam sejarah piala dunia</t>
  </si>
  <si>
    <t>final terbaik dalam sejarah piala dunia</t>
  </si>
  <si>
    <t>['final', 'terbaik', 'sejarah', 'piala', 'dunia']</t>
  </si>
  <si>
    <t>Ridwan Kamil mengatakan prediksinya jika Argentinya akan menang tepat. Prediksi itu sempat diunggah sebelum pertandingan final Piala Dunia 2022 mulai.  https://t.co/fLQYM1IcJD</t>
  </si>
  <si>
    <t>Salah satu final piala dunia terbaik. Congrats Argentina üá¶üá∑</t>
  </si>
  <si>
    <t>salah satu final piala dunia terbaik congrats argentina</t>
  </si>
  <si>
    <t>['salah', 'satu', 'final', 'piala', 'dunia', 'terbaik', 'congrats', 'argentina']</t>
  </si>
  <si>
    <t>FINAL PIALA DUNIA TER EPIC üî•üî•üî•üî• WOOOOWWWWW</t>
  </si>
  <si>
    <t>final piala dunia ter epic woooowwwww</t>
  </si>
  <si>
    <t>['final', 'piala', 'dunia', 'ter', 'epic', 'woooowwwww']</t>
  </si>
  <si>
    <t>Siapa yang sangka final piala dunia bisa 3-3 terus adu pinalti... gg sih. Sampe bertemu dengab tweet bola AFF indo yang akan isinya ngomel ngomel nih  https://t.co/YOP9muUTEa</t>
  </si>
  <si>
    <t>siapa yang sangka final piala dunia bisa terus adu pinalti sih sampe bertemu dengab tweet bola aff indo yang akan isinya ngomel ngomel nih</t>
  </si>
  <si>
    <t>['siapa', 'sangka', 'final', 'piala', 'dunia', 'terus', 'adu', 'penalti', 'sampai', 'bertemu', 'dengab', 'tweet', 'bola', 'aff', 'indo', 'isinya', 'ngomel', 'ngomel']</t>
  </si>
  <si>
    <t>Final piala dunia terbaik, kalo masih ada yang bilang ada pengaturan dari pihak FIFA mending belajar nerima kenyataan aja. _ Oh iya, kayaknya bang dodo gak bisa di compare sama Messi lagi deh, udah ketinggalan jauh.</t>
  </si>
  <si>
    <t>final piala dunia terbaik kalo masih ada yang bilang ada pengaturan dari pihak fifa mending belajar nerima kenyataan aja iya kayaknya bang dodo gak bisa compare sama messi lagi deh udah ketinggalan jauh</t>
  </si>
  <si>
    <t>['final', 'piala', 'dunia', 'terbaik', 'pengaturan', 'pihak', 'fifa', 'mending', 'belajar', 'nerima', 'kenyataan', 'iya', 'kayaknya', 'bang', 'dodo', 'compare', 'sama', 'messi', 'deh', 'udah', 'ketinggalan', 'jauh']</t>
  </si>
  <si>
    <t>* final piala dunia</t>
  </si>
  <si>
    <t>final piala dunia</t>
  </si>
  <si>
    <t>['final', 'piala', 'dunia']</t>
  </si>
  <si>
    <t>&lt;FreqDist with 3 samples and 3 outcomes&gt;</t>
  </si>
  <si>
    <t>Kayaknya final piala dunia terbaik yang pernah gue tonton. Permainan terbuka, 6 Gol, mbappe hatrick, dan Messi &amp;gt; Ronaldo.</t>
  </si>
  <si>
    <t>kayaknya final piala dunia terbaik yang pernah gue tonton permainan terbuka gol mbappe hatrick dan messi ronaldo</t>
  </si>
  <si>
    <t>['kayaknya', 'final', 'piala', 'dunia', 'terbaik', 'pernah', 'gue', 'tonton', 'permainan', 'terbuka', 'gol', 'mbappe', 'hatrick', 'messi', 'ronaldo']</t>
  </si>
  <si>
    <t>Salah satu final terbaik piala dunia üî•</t>
  </si>
  <si>
    <t>Selamat untuk Argentina!!! Kita juga sudah menjadi saksi sejarah salah satu final terbaik piala dunia. Dari 2 - 0 menjadi 2 - 2, memasuki extra time menjadi 3 - 3 hingga adu penalti yang sangat menegangkan.</t>
  </si>
  <si>
    <t>selamat untuk argentina kita juga sudah menjadi saksi sejarah salah satu final terbaik piala dunia dari menjadi memasuki extra time menjadi hingga adu penalti yang sangat menegangkan</t>
  </si>
  <si>
    <t>['selamat', 'argentina', 'menjadi', 'saksi', 'sejarah', 'salah', 'satu', 'final', 'terbaik', 'piala', 'dunia', 'menjadi', 'memasuki', 'extra', 'time', 'menjadi', 'hingga', 'adu', 'penalti', 'sangat', 'menegangkan']</t>
  </si>
  <si>
    <t>@idextratime doi umur 23 tahun, final piala Dunia hattrick, gokil üëè</t>
  </si>
  <si>
    <t>doi umur tahun final piala dunia hattrick gokil</t>
  </si>
  <si>
    <t>['doi', 'umur', 'tahun', 'final', 'piala', 'dunia', 'hattrick', 'gila']</t>
  </si>
  <si>
    <t>I Swear, ini final piala dunia terbaik, terpanas, terkeren, teriak sekeras2nya üòÅ Congratulations @Argentina Thankyou @qatar @FIFAWorldCup The best world Cup in history. Prmainan sudah panas sejak mulai fase group. I'll really miss this moment üò≠#FIFAWorldCup #ArgentinaVsFrance</t>
  </si>
  <si>
    <t>swear ini final piala dunia terbaik terpanas terkeren teriak sekeras nya congratulations thankyou the best world cup history prmainan sudah panas sejak mulai fase group really miss this moment</t>
  </si>
  <si>
    <t>['swear', 'final', 'piala', 'dunia', 'terbaik', 'terpanas', 'terkeren', 'teriak', 'sekeras', 'congratulations', 'thankyou', 'the', 'best', 'world', 'cup', 'history', 'prmainan', 'panas', 'sejak', 'mulai', 'fase', 'group', 'really', 'miss', 'this', 'moment']</t>
  </si>
  <si>
    <t>Final piala dunia terkeren dan terseru yg sejauh ini pernah saya saksikan, ngalahin edisi 2010. Congrats Argentina üá¶üá∑ dan Lionel "The Legend" Messi üèÜü•á #FIFAWorldCup2022</t>
  </si>
  <si>
    <t>final piala dunia terkeren dan terseru sejauh ini pernah saya saksikan ngalahin edisi congrats argentina dan lionel the legend messi</t>
  </si>
  <si>
    <t>['final', 'piala', 'dunia', 'terkeren', 'terseru', 'sejauh', 'pernah', 'saksikan', 'ngalahin', 'edisi', 'congrats', 'argentina', 'lionel', 'the', 'legend', 'messi']</t>
  </si>
  <si>
    <t>Final piala dunia paling seru sepanjang sejarah I guess?</t>
  </si>
  <si>
    <t>final piala dunia paling seru sepanjang sejarah guess</t>
  </si>
  <si>
    <t>['final', 'piala', 'dunia', 'paling', 'seru', 'sepanjang', 'sejarah', 'guess']</t>
  </si>
  <si>
    <t>kalo nobar final piala dunia bareng kai seru kali ya wkwkwk pasti isinya kai teriak2 geregatan soalnya messi jagoannya diaüòÇ</t>
  </si>
  <si>
    <t>kalo nobar final piala dunia bareng kai seru kali wkwkwk pasti isinya kai teriak geregatan soalnya messi jagoannya dia</t>
  </si>
  <si>
    <t>['nonton bareng', 'final', 'piala', 'dunia', 'bareng', 'kai', 'seru', 'kali', 'wkwkwk', 'isinya', 'kai', 'teriak', 'geregatan', 'soalnya', 'messi', 'jagoannya']</t>
  </si>
  <si>
    <t>@labiebsadat udah hari H final piala dunia, msh ga ngangkat trofi jg</t>
  </si>
  <si>
    <t>udah hari final piala dunia msh ngangkat trofi</t>
  </si>
  <si>
    <t>['udah', 'hari', 'final', 'piala', 'dunia', 'msh', 'ngangkat', 'trofi']</t>
  </si>
  <si>
    <t>@idextratime Piala dunia terbaik yang pernah gue tonton - Awalnya ga terlalu ber ekspetasi - Mulai berasa hype pas abis podcast bang do - Penyisihan grup seru parah - Fase knockout - semifinal sulit ditebak -  Final terbaik Sepanjang Sejarah  Roller coast</t>
  </si>
  <si>
    <t>piala dunia terbaik yang pernah gue tonton awalnya terlalu ber ekspetasi mulai berasa hype pas abis podcast bang penyisihan grup seru parah fase knockout semifinal sulit ditebak final terbaik sepanjang sejarah roller coast</t>
  </si>
  <si>
    <t>['piala', 'dunia', 'terbaik', 'pernah', 'gue', 'tonton', 'awalnya', 'terlalu', 'ber', 'ekspetasi', 'mulai', 'berasa', 'hype', 'pas', 'abis', 'podcast', 'bang', 'penyisihan', 'grup', 'seru', 'parah', 'fase', 'knockout', 'semifinal', 'sulit', 'ditebak', 'final', 'terbaik', 'sepanjang', 'sejarah', 'roller', 'coast']</t>
  </si>
  <si>
    <t>&lt;FreqDist with 31 samples and 32 outcomes&gt;</t>
  </si>
  <si>
    <t>Dybala ikut piala dunia hanya untuk masuk dan menendang penalti di Final  Dan juara dunia</t>
  </si>
  <si>
    <t>dybala ikut piala dunia hanya untuk masuk dan menendang penalti final dan juara dunia</t>
  </si>
  <si>
    <t>['dybala', 'ikut', 'piala', 'dunia', 'masuk', 'menendang', 'penalti', 'final', 'juara', 'dunia']</t>
  </si>
  <si>
    <t>Final piala dunia terbaik dan terseruüëèüèª</t>
  </si>
  <si>
    <t>final piala dunia terbaik dan terseru</t>
  </si>
  <si>
    <t>20 tahun ngikutin piala dunia dan final 2022 ini probably jadi final terbaik yang pernah aing tonton sih üò≠</t>
  </si>
  <si>
    <t>tahun ngikutin piala dunia dan final ini probably jadi final terbaik yang pernah aing tonton sih</t>
  </si>
  <si>
    <t>['tahun', 'ngikutin', 'piala', 'dunia', 'final', 'probably', 'jadi', 'final', 'terbaik', 'pernah', 'aing', 'tonton']</t>
  </si>
  <si>
    <t>terharu ngeliat salah satu piala dunia terbaik dalam sejarah - dua pemain terbaik dalam sejarah sepakbola messi dan cr di piala dunia terakhirnya - banyak pertandingan yg unpredictable - final yg sangat memuaskan - end of era perdebatan üêê - messi menamatkan sepakbola</t>
  </si>
  <si>
    <t>terharu ngeliat salah satu piala dunia terbaik dalam sejarah dua pemain terbaik dalam sejarah sepakbola messi dan piala dunia terakhirnya banyak pertandingan unpredictable final sangat memuaskan end era perdebatan messi menamatkan sepakbola</t>
  </si>
  <si>
    <t>['terharu', 'ngeliat', 'salah', 'satu', 'piala', 'dunia', 'terbaik', 'sejarah', 'pemain', 'terbaik', 'sejarah', 'sepakbola', 'messi', 'piala', 'dunia', 'terakhirnya', 'banyak', 'pertandingan', 'unpredictable', 'final', 'sangat', 'memuaskan', 'end', 'era', 'perdebatan', 'messi', 'menamatkan', 'sepakbola']</t>
  </si>
  <si>
    <t>Terimakasih atas piala dunia yang sangat sulit ditebak dan final luar biasa dengan segala dinamikanya.</t>
  </si>
  <si>
    <t>terimakasih atas piala dunia yang sangat sulit ditebak dan final luar biasa dengan segala dinamikanya</t>
  </si>
  <si>
    <t>['terimakasih', 'atas', 'piala', 'dunia', 'sangat', 'sulit', 'ditebak', 'final', 'luar', 'biasa', 'segala', 'dinamikanya']</t>
  </si>
  <si>
    <t>yokk yg ga sempet nonton final liat langsung reaksi nomin yg dibungkus dalam balada final piala dunia 2022 bara naren üòç</t>
  </si>
  <si>
    <t>yokk sempet nonton final liat langsung reaksi nomin dibungkus dalam balada final piala dunia bara naren</t>
  </si>
  <si>
    <t>['yokk', 'sempet', 'nonton', 'final', 'lihat', 'langsung', 'reaksi', 'nomin', 'dibungkus', 'balada', 'final', 'piala', 'dunia', 'bara', 'naren']</t>
  </si>
  <si>
    <t>Meski Kylian Mbappe gagal membawa Prancis menjadi juara Piala Dunia 2022, ia tetap pulang dengan membawa gelar top skor turnamen berkat hat-tricknya di final.  https://t.co/uJL2Ed1wuR</t>
  </si>
  <si>
    <t>meski kylian mbappe gagal membawa prancis menjadi juara piala dunia tetap pulang dengan membawa gelar top skor turnamen berkat hat tricknya final</t>
  </si>
  <si>
    <t>['meski', 'kylian', 'mbappe', 'gagal', 'membawa', 'prancis', 'menjadi', 'juara', 'piala', 'dunia', 'tetap', 'pulang', 'membawa', 'gelar', 'top', 'skor', 'turnamen', 'berkat', 'hat', 'tricknya', 'final']</t>
  </si>
  <si>
    <t>Piala Dunia yg luar biasa, ditutup dengan final yang luar biasa dan disempurnakan dengan pencapaian karir sempurna seseorang yang luar biasa @TeamMessi .  Congrats Argentina, Congrats Leo Messi  https://t.co/s69CYdRLRD</t>
  </si>
  <si>
    <t>piala dunia luar biasa ditutup dengan final yang luar biasa dan disempurnakan dengan pencapaian karir sempurna seseorang yang luar biasa congrats argentina congrats leo messi</t>
  </si>
  <si>
    <t>['piala', 'dunia', 'luar', 'biasa', 'ditutup', 'final', 'luar', 'biasa', 'disempurnakan', 'pencapaian', 'karir', 'sempurna', 'seseorang', 'luar', 'biasa', 'congrats', 'argentina', 'congrats', 'leo', 'messi']</t>
  </si>
  <si>
    <t>Argentina sukses menjadi juara dunia usai menumbangkan Prancis lewat adu penalti 3-3 (4-2) dalam partai final Piala Dunia 2022 yang digelar di Lusail Stadium, Minggu (18/12/2022) malam WIB.  https://t.co/zzneGgpUVg</t>
  </si>
  <si>
    <t>argentina sukses menjadi juara dunia usai menumbangkan prancis lewat adu penalti dalam partai final piala dunia yang digelar lusail stadium minggu malam wib</t>
  </si>
  <si>
    <t>['argentina', 'sukses', 'menjadi', 'juara', 'dunia', 'usai', 'menumbangkan', 'prancis', 'lewat', 'adu', 'penalti', 'partai', 'final', 'piala', 'dunia', 'digelar', 'lusail', 'stadium', 'minggu', 'malam', 'wib']</t>
  </si>
  <si>
    <t>beritahu aku mana final piala dunia terseru selain final 2022</t>
  </si>
  <si>
    <t>beritahu aku mana final piala dunia terseru selain final</t>
  </si>
  <si>
    <t>['beritahu', 'aku', 'mana', 'final', 'piala', 'dunia', 'terseru', 'final']</t>
  </si>
  <si>
    <t>Final piala dunia terbaik yang pernah aku tonton.</t>
  </si>
  <si>
    <t>final piala dunia terbaik yang pernah aku tonton</t>
  </si>
  <si>
    <t>['final', 'piala', 'dunia', 'terbaik', 'pernah', 'aku', 'tonton']</t>
  </si>
  <si>
    <t>aganya doi doi ini juga tegang mnnton final piala dunia</t>
  </si>
  <si>
    <t>['aganya', 'doi', 'doi', 'tegang', 'mnnton', 'final', 'piala', 'dunia']</t>
  </si>
  <si>
    <t>@idextratime Beneran.. Ini final piala dunia yg keren, penuh  ketegangan. Gak sia2 aku begadang jagoanku menangüòÜü•≥</t>
  </si>
  <si>
    <t>beneran ini final piala dunia keren penuh ketegangan gak sia aku begadang jagoanku menang</t>
  </si>
  <si>
    <t>['beneran', 'final', 'piala', 'dunia', 'keren', 'penuh', 'ketegangan', 'sia', 'aku', 'begadang', 'jagoanku', 'menang']</t>
  </si>
  <si>
    <t>Nonton final piala dunia barusan bikin jantung deg-degan seperti gendrang mau perang</t>
  </si>
  <si>
    <t>nonton final piala dunia barusan bikin jantung deg degan seperti gendrang mau perang</t>
  </si>
  <si>
    <t>['nonton', 'final', 'piala', 'dunia', 'barusan', 'jantung', 'deg', 'degan', 'gendrang', 'mau', 'perang']</t>
  </si>
  <si>
    <t>Piala Dunia 2022 ini nonton final doang, pertandingan lainnya mantengin live score dan klasemen aja. Mungkin karena nggak barengan sama puasa ya, jadinya males nonton. Terus TV di rumah juga belum ada stb-nya jadi masih buremü§£</t>
  </si>
  <si>
    <t>piala dunia ini nonton final doang pertandingan lainnya mantengin live score dan klasemen aja mungkin karena nggak barengan sama puasa jadinya males nonton terus rumah juga belum ada stb nya jadi masih burem</t>
  </si>
  <si>
    <t>['piala', 'dunia', 'nonton', 'final', 'doang', 'pertandingan', 'lainnya', 'mantengin', 'live', 'score', 'klasemen', 'mungkin', 'barengan', 'sama', 'puasa', 'jadinya', 'males', 'nonton', 'terus', 'rumah', 'stb', 'jadi', 'burem']</t>
  </si>
  <si>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</si>
  <si>
    <t>piala dunia kali ini seneng banget walau kyky menang bisa liat dia menang golden boots dan liat dia hat trick final bikin bahagia bgt apalagi liat messi angkat piala rasanya kaya seneng bgt jaman dulu liatin messi trs msh barca hero masa kecilku angkat piala</t>
  </si>
  <si>
    <t>['piala', 'dunia', 'kali', 'seneng', 'banget', 'kyky', 'menang', 'lihat', 'menang', 'golden', 'boots', 'lihat', 'hat', 'trick', 'final', 'bahagia', 'banget', 'lihat', 'messi', 'angkat', 'piala', 'rasanya', 'kaya', 'seneng', 'banget', 'jaman', 'dulu', 'liatin', 'messi', 'terus', 'msh', 'barca', 'hero', 'masa', 'kecilku', 'angkat', 'piala']</t>
  </si>
  <si>
    <t>&lt;FreqDist with 27 samples and 37 outcomes&gt;</t>
  </si>
  <si>
    <t>Yang nonton final piala dunia Qatar! Selamat kalian telah menyaksikan salah satu pertandingan sepakbola terbaik di Dunia... #FIFAWorldCup  #ArgentinaVsFrance</t>
  </si>
  <si>
    <t>yang nonton final piala dunia qatar selamat kalian telah menyaksikan salah satu pertandingan sepakbola terbaik dunia</t>
  </si>
  <si>
    <t>['nonton', 'final', 'piala', 'dunia', 'qatar', 'selamat', 'kalian', 'menyaksikan', 'salah', 'satu', 'pertandingan', 'sepakbola', 'terbaik', 'dunia']</t>
  </si>
  <si>
    <t>Piala dunia terbaik. Final terbaik. Pemain terbaik #ARG  #argentina</t>
  </si>
  <si>
    <t>piala dunia terbaik final terbaik pemain terbaik</t>
  </si>
  <si>
    <t>['piala', 'dunia', 'terbaik', 'final', 'terbaik', 'pemain', 'terbaik']</t>
  </si>
  <si>
    <t>seumur hidup cuma 2 kali nonton match bola yang berkesan sampe terngiang-ngiang. 1. comeback Barcelona VS PSG (6-1) 2. final piala dunia 2022.  dan semua match nya ada Messi. Definitely GOAT üêê</t>
  </si>
  <si>
    <t>seumur hidup cuma kali nonton match bola yang berkesan sampe terngiang ngiang comeback barcelona psg final piala dunia dan semua match nya ada messi definitely goat</t>
  </si>
  <si>
    <t>['seumur', 'hidup', 'cuma', 'kali', 'nonton', 'match', 'bola', 'berkesan', 'sampai', 'terngiang', 'ngiang', 'comeback', 'barcelona', 'psg', 'final', 'piala', 'dunia', 'semua', 'match', 'messi', 'definitely', 'goat']</t>
  </si>
  <si>
    <t>terimakasih piala dunia 2022 udh nemenin dari awal nobar di angkringan ndeso sampai final nobar di banjar sambil siapin bazzar duduk. full memoriesüò≠ seruuuu!!!!</t>
  </si>
  <si>
    <t>terimakasih piala dunia udh nemenin dari awal nobar angkringan ndeso sampai final nobar banjar sambil siapin bazzar duduk full memories seruuuu</t>
  </si>
  <si>
    <t>['terimakasih', 'piala', 'dunia', 'sudah', 'nemenin', 'awal', 'nonton bareng', 'angkringan', 'ndeso', 'final', 'nonton bareng', 'banjar', 'siapin', 'bazzar', 'duduk', 'full', 'memories', 'seruuuu']</t>
  </si>
  <si>
    <t>Kylian Mbappe Jadi Pemain Kedua yang Cetak Hattrick di Final Piala¬†Dunia  https://t.co/egSyzIxjKW</t>
  </si>
  <si>
    <t>kylian mbappe jadi pemain kedua yang cetak hattrick final piala dunia</t>
  </si>
  <si>
    <t>['kylian', 'mbappe', 'jadi', 'pemain', 'kedua', 'cetak', 'hattrick', 'final', 'piala', 'dunia']</t>
  </si>
  <si>
    <t>Final piala dunia paling dag Dig dug</t>
  </si>
  <si>
    <t>final piala dunia paling dag dig dug</t>
  </si>
  <si>
    <t>['final', 'piala', 'dunia', 'paling', 'dag', 'dig', 'dug']</t>
  </si>
  <si>
    <t>Messi akhirnya mendapatkan piala dunia bersama dengan tim Argentina di pertandingan final terbaik dalam sejarah piala dunia  https://t.co/BJDqUFnqr4</t>
  </si>
  <si>
    <t>messi akhirnya mendapatkan piala dunia bersama dengan tim argentina pertandingan final terbaik dalam sejarah piala dunia</t>
  </si>
  <si>
    <t>['messi', 'akhirnya', 'mendapatkan', 'piala', 'dunia', 'bersama', 'tim', 'argentina', 'pertandingan', 'final', 'terbaik', 'sejarah', 'piala', 'dunia']</t>
  </si>
  <si>
    <t>&lt;FreqDist with 12 samples and 14 outcomes&gt;</t>
  </si>
  <si>
    <t>Final Piala Dunia Qatar 2022 Argentina vs Prancis seru abis dan adu tegang kedua pendukung tim, tapi yg tambah seru nontonnya streaming di  https://t.co/ByDmYFgvP6 dengan koneksi lancar dan stabil dari IndiHome  https://t.co/fjk6IJnecb</t>
  </si>
  <si>
    <t>final piala dunia qatar argentina prancis seru abis dan adu tegang kedua pendukung tim tapi tambah seru nontonnya streaming dengan koneksi lancar dan stabil dari indihome</t>
  </si>
  <si>
    <t>['final', 'piala', 'dunia', 'qatar', 'argentina', 'prancis', 'seru', 'abis', 'adu', 'tegang', 'kedua', 'pendukung', 'tim', 'tambah', 'seru', 'nontonnya', 'streaming', 'koneksi', 'lancar', 'stabil', 'indihome']</t>
  </si>
  <si>
    <t>Final Piala Dunia 2022 yang Luar Biasa, Argentina Bungkam Prancis Lewat Adu Penalti  https://t.co/JijDhK6rPL</t>
  </si>
  <si>
    <t>final piala dunia yang luar biasa argentina bungkam prancis lewat adu penalti</t>
  </si>
  <si>
    <t>['final', 'piala', 'dunia', 'luar', 'biasa', 'argentina', 'bungkam', 'prancis', 'lewat', 'adu', 'penalti']</t>
  </si>
  <si>
    <t>Gimana ya, banyak penalti di piala dunia kali ini, dan juga banyak keputusan2 wasit yang ngawur padahal ada VAR. Tapi partai final kali ini bener2 luar biasa. Bakalan sulit buat dilupakan. üëèüèºüëèüèºüëèüèº</t>
  </si>
  <si>
    <t>gimana banyak penalti piala dunia kali ini dan juga banyak keputusan wasit yang ngawur padahal ada var tapi partai final kali ini bener luar biasa bakalan sulit buat dilupakan</t>
  </si>
  <si>
    <t>['gimana', 'banyak', 'penalti', 'piala', 'dunia', 'kali', 'banyak', 'keputusan', 'wasit', 'ngawur', 'padahal', 'var', 'partai', 'final', 'kali', 'benar', 'luar', 'biasa', 'bakalan', 'sulit', 'buat', 'dilupakan']</t>
  </si>
  <si>
    <t>argentina-juara-piala-dunia-2022  https://t.co/2IrDsfuOYf  Argentina berhasil merebut trofi juara Piala Dunia 2022. Argentina mengalahkan Prancis di final lewat adu penalti 4-2, usai bermain seri 3-3 sampai extra time.</t>
  </si>
  <si>
    <t>argentina juara piala dunia argentina berhasil merebut trofi juara piala dunia argentina mengalahkan prancis final lewat adu penalti usai bermain seri sampai extra time</t>
  </si>
  <si>
    <t>['argentina', 'juara', 'piala', 'dunia', 'argentina', 'berhasil', 'merebut', 'trofi', 'juara', 'piala', 'dunia', 'argentina', 'mengalahkan', 'prancis', 'final', 'lewat', 'adu', 'penalti', 'usai', 'bermain', 'seri', 'extra', 'time']</t>
  </si>
  <si>
    <t>Beruntung bgt bisa liat hattrick di final piala dunia. Thanks Mbappe!</t>
  </si>
  <si>
    <t>beruntung bgt bisa liat hattrick final piala dunia thanks mbappe</t>
  </si>
  <si>
    <t>['beruntung', 'banget', 'lihat', 'hattrick', 'final', 'piala', 'dunia', 'thanks', 'mbappe']</t>
  </si>
  <si>
    <t>Dua bek utama Manchester United ada di final Piala Dunia, membela negara masing2, semoga pas balik ke klub permainannya semakin solid ye üòÅ</t>
  </si>
  <si>
    <t>dua bek utama manchester united ada final piala dunia membela negara masing semoga pas balik klub permainannya semakin solid</t>
  </si>
  <si>
    <t>['bek', 'utama', 'manchester', 'united', 'final', 'piala', 'dunia', 'membela', 'negara', 'masing', 'semoga', 'pas', 'balik', 'klub', 'permainannya', 'semakin', 'solid']</t>
  </si>
  <si>
    <t>Kalian yang gak nonton moment ini di Final Piala Dunia 2022, belum lolos uji jantung.  https://t.co/P1AtYgUxJ3</t>
  </si>
  <si>
    <t>kalian yang gak nonton moment ini final piala dunia belum lolos uji jantung</t>
  </si>
  <si>
    <t>['kalian', 'nonton', 'moment', 'final', 'piala', 'dunia', 'lolos', 'uji', 'jantung']</t>
  </si>
  <si>
    <t>pertandingan final #FIFAWorldCup yang sungguh sangat menarik dan menegangkan serta menghibur, terima kasih dan sampai jumpa di piala dunia 2026!</t>
  </si>
  <si>
    <t>pertandingan final yang sungguh sangat menarik dan menegangkan serta menghibur terima kasih dan sampai jumpa piala dunia</t>
  </si>
  <si>
    <t>['pertandingan', 'final', 'sungguh', 'sangat', 'menarik', 'menegangkan', 'menghibur', 'terima', 'kasih', 'jumpa', 'piala', 'dunia']</t>
  </si>
  <si>
    <t>Gila final piala dunia paling seruüî•</t>
  </si>
  <si>
    <t>gila final piala dunia paling seru</t>
  </si>
  <si>
    <t>['gila', 'final', 'piala', 'dunia', 'paling', 'seru']</t>
  </si>
  <si>
    <t>Ya edyan sih final piala dunia kali ini emang dramatis banget. Kejar kejaran skor.</t>
  </si>
  <si>
    <t>edyan sih final piala dunia kali ini emang dramatis banget kejar kejaran skor</t>
  </si>
  <si>
    <t>['edyan', 'final', 'piala', 'dunia', 'kali', 'emang', 'dramatis', 'banget', 'kejar', 'kejaran', 'skor']</t>
  </si>
  <si>
    <t>final piala dunia paling seru</t>
  </si>
  <si>
    <t>['final', 'piala', 'dunia', 'paling', 'seru']</t>
  </si>
  <si>
    <t>Argentina tampil sebagai juara Piala Dunia 2022 setelah menumpas Prancis melalui adu penalti di final. Argentina mengakhiri penantian juara usai 36 tahun.  https://t.co/gr42AsCBgt</t>
  </si>
  <si>
    <t>argentina tampil sebagai juara piala dunia setelah menumpas prancis melalui adu penalti final argentina mengakhiri penantian juara usai tahun</t>
  </si>
  <si>
    <t>['argentina', 'tampil', 'juara', 'piala', 'dunia', 'menumpas', 'prancis', 'melalui', 'adu', 'penalti', 'final', 'argentina', 'mengakhiri', 'penantian', 'juara', 'usai', 'tahun']</t>
  </si>
  <si>
    <t>NERVOUS Tiga kali saya sangat nervous nonton final piala dunia: 1986, 2014 dan 2022   Nonton dg hati ‚ù§Ô∏è‚ù§Ô∏è</t>
  </si>
  <si>
    <t>nervous tiga kali saya sangat nervous nonton final piala dunia dan nonton hati</t>
  </si>
  <si>
    <t>['nervous', 'tiga', 'kali', 'sangat', 'nervous', 'nonton', 'final', 'piala', 'dunia', 'nonton', 'hati']</t>
  </si>
  <si>
    <t>@FaktaSepakbola Jujur, bukan maniak bola.  Sejak awal, terkesima dengan pembukaan dan persiapan piala dunia. Berakhir sampai menonton di pertandingan akhir final.   What a great World Cup!</t>
  </si>
  <si>
    <t>jujur bukan maniak bola sejak awal terkesima dengan pembukaan dan persiapan piala dunia berakhir sampai menonton pertandingan akhir final what great world cup</t>
  </si>
  <si>
    <t>['jujur', 'bukan', 'maniak', 'bola', 'sejak', 'awal', 'terkesima', 'pembukaan', 'persiapan', 'piala', 'dunia', 'berakhir', 'menonton', 'pertandingan', 'akhir', 'final', 'what', 'great', 'world', 'cup']</t>
  </si>
  <si>
    <t>final piala dunia tahun iki seru</t>
  </si>
  <si>
    <t>['final', 'piala', 'dunia', 'tahun', 'iki', 'seru']</t>
  </si>
  <si>
    <t>What a Game! What a Final! What a FIFA World Cup! "Piala Dunia yang Apa!" Fix Final World Cup Terbaik Sepanjang Sejarah Sepakbola!  Hatur nuhun Qatar. Hatur nuhun FIFA. Hatur nuhun 2022. Sugema ‚òï</t>
  </si>
  <si>
    <t>what game what final what fifa world cup piala dunia yang apa fix final world cup terbaik sepanjang sejarah sepakbola hatur nuhun qatar hatur nuhun fifa hatur nuhun sugema</t>
  </si>
  <si>
    <t>['what', 'game', 'what', 'final', 'what', 'fifa', 'world', 'cup', 'piala', 'dunia', 'apa', 'fix', 'final', 'world', 'cup', 'terbaik', 'sepanjang', 'sejarah', 'sepakbola', 'hatur', 'nuhun', 'qatar', 'hatur', 'nuhun', 'fifa', 'hatur', 'nuhun', 'sugema']</t>
  </si>
  <si>
    <t>&lt;FreqDist with 18 samples and 28 outcomes&gt;</t>
  </si>
  <si>
    <t>Siapapun pemenangnya, final Piala Dunia tahun ini bisa dibilang yang paling gila sepanjang sejarah.   Selamat, Argentina!</t>
  </si>
  <si>
    <t>siapapun pemenangnya final piala dunia tahun ini bisa dibilang yang paling gila sepanjang sejarah selamat argentina</t>
  </si>
  <si>
    <t>['siapapun', 'pemenangnya', 'final', 'piala', 'dunia', 'tahun', 'dibilang', 'paling', 'gila', 'sepanjang', 'sejarah', 'selamat', 'argentina']</t>
  </si>
  <si>
    <t>FINAL TERBAIK ATAU PIALA DUNIA TERBAIK. I HAVE NO IDEA. YG JELAS MOMEN PERHELATAN INI PATUT UNTUK DIKENANG. THANKS QATAR üî•üî•üî•</t>
  </si>
  <si>
    <t>final terbaik atau piala dunia terbaik have idea jelas momen perhelatan ini patut untuk dikenang thanks qatar</t>
  </si>
  <si>
    <t>['final', 'terbaik', 'piala', 'dunia', 'terbaik', 'have', 'idea', 'jelas', 'momen', 'perhelatan', 'patut', 'dikenang', 'thanks', 'qatar']</t>
  </si>
  <si>
    <t>Final piala dunia terbaik  https://t.co/EjXKhG4F1p</t>
  </si>
  <si>
    <t>2014, 2015, 2016 Argentina kalah di final ikut nyesek sampe kok bisa tim dukungan gue kalah mulu di final  2021, 2022 langsung juara copa America, super cup, dan Piala Dunia   Yeahh the waiting is over Vamos La Albiceleste</t>
  </si>
  <si>
    <t>argentina kalah final ikut nyesek sampe kok bisa tim dukungan gue kalah mulu final langsung juara copa america super cup dan piala dunia yeahh the waiting over vamos albiceleste</t>
  </si>
  <si>
    <t>['argentina', 'kalah', 'final', 'ikut', 'nyesek', 'sampai', 'kok', 'tim', 'dukungan', 'gue', 'kalah', 'mulu', 'final', 'langsung', 'juara', 'copa', 'america', 'super', 'cup', 'piala', 'dunia', 'yeahh', 'the', 'waiting', 'over', 'vamos', 'albiceleste']</t>
  </si>
  <si>
    <t>lu dah keren mbap! diumur segitu dah ngerasain 2x final piala dunia, semangat!</t>
  </si>
  <si>
    <t>dah keren mbap diumur segitu dah ngerasain final piala dunia semangat</t>
  </si>
  <si>
    <t>['dah', 'keren', 'mbap', 'diumur', 'segitu', 'dah', 'ngerasain', 'final', 'piala', 'dunia', 'semangat']</t>
  </si>
  <si>
    <t>cuyyyy kita semua jadi saksi hidup dari pertandingan final piala dunia terbaik yang pernah adaaüò≠.  The Championsüá¶üá∑üèÜ  https://t.co/qn6PEH7LIs</t>
  </si>
  <si>
    <t>cuyyyy kita semua jadi saksi hidup dari pertandingan final piala dunia terbaik yang pernah adaa the champions</t>
  </si>
  <si>
    <t>['cuyyyy', 'semua', 'jadi', 'saksi', 'hidup', 'pertandingan', 'final', 'piala', 'dunia', 'terbaik', 'pernah', 'adaa', 'the', 'champions']</t>
  </si>
  <si>
    <t>@idextratime final terbaik yg pernah wa tonton dan salah satu piala dunia tebaik yg pernah ada</t>
  </si>
  <si>
    <t>final terbaik pernah tonton dan salah satu piala dunia tebaik pernah ada</t>
  </si>
  <si>
    <t>['final', 'terbaik', 'pernah', 'tonton', 'salah', 'satu', 'piala', 'dunia', 'tebaik', 'pernah']</t>
  </si>
  <si>
    <t>Final Piala Dunia yg hebat sampe tuntass.. Jantung hrs kuat lihat final.kali ini</t>
  </si>
  <si>
    <t>final piala dunia hebat sampe tuntass jantung hrs kuat lihat final kali ini</t>
  </si>
  <si>
    <t>['final', 'piala', 'dunia', 'hebat', 'sampai', 'tuntass', 'jantung', 'hrs', 'kuat', 'lihat', 'final', 'kali']</t>
  </si>
  <si>
    <t>ini final piala dunia terbaik yg pernah saya tonton</t>
  </si>
  <si>
    <t>ini final piala dunia terbaik pernah saya tonton</t>
  </si>
  <si>
    <t>Final Terbaik Piala Dunia Qatar Host Country The Best Congratsü•≥üéâ for Argentina üá¶üá∑ #FIFAWorldCup  https://t.co/84qLKtM4C7</t>
  </si>
  <si>
    <t>final terbaik piala dunia qatar host country the best congrats for argentina</t>
  </si>
  <si>
    <t>['final', 'terbaik', 'piala', 'dunia', 'qatar', 'host', 'country', 'the', 'best', 'congrats', 'for', 'argentina']</t>
  </si>
  <si>
    <t>kurang memahami sepakbola sejak terakhir 2014, waktu jaman sering ngeyoutube nonton konser2, tpi setiap piala dunia wajib ikuti apalagi final, karna kita jadi saksi salah satu sejarah dunia yg takkan mati. the best final piala dunia sih ini</t>
  </si>
  <si>
    <t>kurang memahami sepakbola sejak terakhir waktu jaman sering ngeyoutube nonton konser tpi setiap piala dunia wajib ikuti apalagi final karna kita jadi saksi salah satu sejarah dunia takkan mati the best final piala dunia sih ini</t>
  </si>
  <si>
    <t>['kurang', 'memahami', 'sepakbola', 'sejak', 'terakhir', 'waktu', 'jaman', 'sering', 'ngeyoutube', 'nonton', 'konser', 'tpi', 'piala', 'dunia', 'wajib', 'ikuti', 'final', 'karna', 'jadi', 'saksi', 'salah', 'satu', 'sejarah', 'dunia', 'takkan', 'mati', 'the', 'best', 'final', 'piala', 'dunia']</t>
  </si>
  <si>
    <t>@idextratime Proses untuk menjadi sukses dan happy ending  tidaklah gampang gagal gagal gagal dari beberapa final baik Copa maupun piala dunia sempat menyerah dan balik lagi bounce back dan pada 2021 dapat gelar pertama dan selanjutnya finalissima , troph</t>
  </si>
  <si>
    <t>proses untuk menjadi sukses dan happy ending tidaklah gampang gagal gagal gagal dari beberapa final baik copa maupun piala dunia sempat menyerah dan balik lagi bounce back dan pada dapat gelar pertama dan selanjutnya finalissima troph</t>
  </si>
  <si>
    <t>['proses', 'menjadi', 'sukses', 'happy', 'ending', 'tidaklah', 'gampang', 'gagal', 'gagal', 'gagal', 'beberapa', 'final', 'baik', 'copa', 'maupun', 'piala', 'dunia', 'sempat', 'menyerah', 'balik', 'bounce', 'back', 'gelar', 'pertama', 'selanjutnya', 'finalissima', 'troph']</t>
  </si>
  <si>
    <t>Gue abis nonton final piala dunia: kasian bgt mbappe gendong prancisü•≤</t>
  </si>
  <si>
    <t>gue abis nonton final piala dunia kasian bgt mbappe gendong prancis</t>
  </si>
  <si>
    <t>['gue', 'abis', 'nonton', 'final', 'piala', 'dunia', 'kasian', 'banget', 'mbappe', 'gendong', 'prancis']</t>
  </si>
  <si>
    <t>jadi salah satu final piala dunia yang akan selalu diperbincangkan di masa depan.</t>
  </si>
  <si>
    <t>jadi salah satu final piala dunia yang akan selalu diperbincangkan masa depan</t>
  </si>
  <si>
    <t>['jadi', 'salah', 'satu', 'final', 'piala', 'dunia', 'selalu', 'diperbincangkan', 'masa', 'depan']</t>
  </si>
  <si>
    <t>Gokilll sihh ini baru final piala dunia, kelas üëç</t>
  </si>
  <si>
    <t>gokilll sihh ini baru final piala dunia kelas</t>
  </si>
  <si>
    <t>['gokilll', 'sihh', 'baru', 'final', 'piala', 'dunia', 'kelas']</t>
  </si>
  <si>
    <t>@aowkaowkw123 @idextratime kapan ronaldo jadi pemain terbaik 2√ó piala dunia kapan bisa bawa Portugal sampai final pildun ???ü§£</t>
  </si>
  <si>
    <t>kapan ronaldo jadi pemain terbaik piala dunia kapan bisa bawa portugal sampai final pildun</t>
  </si>
  <si>
    <t>['kapan', 'ronaldo', 'jadi', 'pemain', 'terbaik', 'piala', 'dunia', 'kapan', 'bawa', 'portugal', 'final', 'piala dunia']</t>
  </si>
  <si>
    <t>Selama nonton Final Piala Dunia dari tahun 1990 ini adalah Partai Final terbaik,,,,mantap Congrats Argentina üëçüëçüèÜ‚öΩÔ∏èüéÑ</t>
  </si>
  <si>
    <t>selama nonton final piala dunia dari tahun ini adalah partai final terbaik mantap congrats argentina</t>
  </si>
  <si>
    <t>['selama', 'nonton', 'final', 'piala', 'dunia', 'tahun', 'partai', 'final', 'terbaik', 'mantap', 'congrats', 'argentina']</t>
  </si>
  <si>
    <t>Erick Thohir Jagokan Argentina di Final Piala Dunia 2022. Kenapa banyak pejabat kita dukung Argentina Ya? Ada yg bs jawab. Spt nya 2024 nyambung ni...Congrat Argentina. @erickthohir @RCyberProjo  https://t.co/Vr7HvgdQRt</t>
  </si>
  <si>
    <t>erick thohir jagokan argentina final piala dunia kenapa banyak pejabat kita dukung argentina ada jawab spt nya nyambung congrat argentina</t>
  </si>
  <si>
    <t>['erick', 'thohir', 'jagokan', 'argentina', 'final', 'piala', 'dunia', 'banyak', 'pejabat', 'dukung', 'argentina', 'jawab', 'spt', 'nyambung', 'congrat', 'argentina']</t>
  </si>
  <si>
    <t>Kylian Mbappe menjadi pemain ke-2 dalam sejarah final Piala Dunia yang berhasil mencetak hattrick. #kumparanBOLA  https://t.co/tlHf106DKc</t>
  </si>
  <si>
    <t>kylian mbappe menjadi pemain dalam sejarah final piala dunia yang berhasil mencetak hattrick</t>
  </si>
  <si>
    <t>['kylian', 'mbappe', 'menjadi', 'pemain', 'sejarah', 'final', 'piala', 'dunia', 'berhasil', 'mencetak', 'hattrick']</t>
  </si>
  <si>
    <t>Final piala dunia tahun ini didominasi pemain PSG</t>
  </si>
  <si>
    <t>final piala dunia tahun ini didominasi pemain psg</t>
  </si>
  <si>
    <t>['final', 'piala', 'dunia', 'tahun', 'didominasi', 'pemain', 'psg']</t>
  </si>
  <si>
    <t>salah satu final piala dunia yang terbaik selama ngikutin nih ajang, apalagi Lisandro Martinez juara haha</t>
  </si>
  <si>
    <t>salah satu final piala dunia yang terbaik selama ngikutin nih ajang apalagi lisandro martinez juara haha</t>
  </si>
  <si>
    <t>['salah', 'satu', 'final', 'piala', 'dunia', 'terbaik', 'selama', 'ngikutin', 'ajang', 'lisandro', 'martinez', 'juara', 'haha']</t>
  </si>
  <si>
    <t>3Ô∏è‚É£ gol di final, 8Ô∏è‚É£ gol di sepanjang turnamen. @KMbappe dinobatkan sebagai topskor Piala Dunia 2022! üëè‚ù§Ô∏èüíô  üèÜ #FromParisToQatar  https://t.co/y9wXsD1wNU</t>
  </si>
  <si>
    <t>gol final gol sepanjang turnamen dinobatkan sebagai topskor piala dunia</t>
  </si>
  <si>
    <t>['gol', 'final', 'gol', 'sepanjang', 'turnamen', 'dinobatkan', 'topskor', 'piala', 'dunia']</t>
  </si>
  <si>
    <t>Final piala dunia paling sensasional, selamat Argentina..</t>
  </si>
  <si>
    <t>final piala dunia paling sensasional selamat argentina</t>
  </si>
  <si>
    <t>['final', 'piala', 'dunia', 'paling', 'sensasional', 'selamat', 'argentina']</t>
  </si>
  <si>
    <t>Terima kasih Piala Dunia Qatar!! Terutama Final Argentina vs France Seru parahh gokill Gokkks Gokksüî•</t>
  </si>
  <si>
    <t>terima kasih piala dunia qatar terutama final argentina france seru parahh gokill gokkks gokks</t>
  </si>
  <si>
    <t>['terima', 'kasih', 'piala', 'dunia', 'qatar', 'terutama', 'final', 'argentina', 'france', 'seru', 'parahh', 'gokill', 'gokkks', 'gokks']</t>
  </si>
  <si>
    <t>@SerieA_Lawas Kalah di final 2 kali coppa america, kalah 1 kali final piala dunia,hampir pensiun dan semua nya terbayar sudah dengan memenangkan coppa dan piala dunia, the real GOAT</t>
  </si>
  <si>
    <t>lawas kalah final kali coppa america kalah kali final piala dunia hampir pensiun dan semua nya terbayar sudah dengan memenangkan coppa dan piala dunia the real goat</t>
  </si>
  <si>
    <t>['lawas', 'kalah', 'final', 'kali', 'coppa', 'america', 'kalah', 'kali', 'final', 'piala', 'dunia', 'hampir', 'pensiun', 'semua', 'terbayar', 'memenangkan', 'coppa', 'piala', 'dunia', 'the', 'real', 'goat']</t>
  </si>
  <si>
    <t>final piala dunia terseru sepanjang karir saya bernafas sebagai manusia.. #FIFAWorldCup #ArgentinaVsFrance</t>
  </si>
  <si>
    <t>final piala dunia terseru sepanjang karir saya bernafas sebagai manusia</t>
  </si>
  <si>
    <t>['final', 'piala', 'dunia', 'terseru', 'sepanjang', 'karir', 'bernafas', 'manusia']</t>
  </si>
  <si>
    <t>Ngerti bola dari tahun 2003an. Udah 5 edisi final piala dunia yg gw tonton. #FIFAWorldCup2022 jadi final paling seru. Menyusul ; - Piala Dunia Afsel 2010 - Piala Dunia Jerman 2006 - Piala Dunia Brazil 2014 Dan yang ngga seru, Final piala Dunia 2018. No Debat!</t>
  </si>
  <si>
    <t>ngerti bola dari tahun udah edisi final piala dunia tonton jadi final paling seru menyusul piala dunia afsel piala dunia jerman piala dunia brazil dan yang ngga seru final piala dunia debat</t>
  </si>
  <si>
    <t>['ngerti', 'bola', 'tahun', 'udah', 'edisi', 'final', 'piala', 'dunia', 'tonton', 'jadi', 'final', 'paling', 'seru', 'menyusul', 'piala', 'dunia', 'afsel', 'piala', 'dunia', 'jerman', 'piala', 'dunia', 'brazil', 'ngga', 'seru', 'final', 'piala', 'dunia', 'debat']</t>
  </si>
  <si>
    <t>&lt;FreqDist with 18 samples and 29 outcomes&gt;</t>
  </si>
  <si>
    <t>The best world cup ever. Hattrick di laga final. Adrenalin jantung terus di pacu, bukan fans Argentina tp ingin Leo menang piala dunia. Akhirnya Messi memenangkan trofi yg gakan pernah diraih @Cristiano :)</t>
  </si>
  <si>
    <t>the best world cup ever hattrick laga final adrenalin jantung terus pacu bukan fans argentina ingin leo menang piala dunia akhirnya messi memenangkan trofi gakan pernah diraih</t>
  </si>
  <si>
    <t>['the', 'best', 'world', 'cup', 'ever', 'hattrick', 'laga', 'final', 'adrenalin', 'jantung', 'terus', 'pacu', 'bukan', 'fans', 'argentina', 'leo', 'menang', 'piala', 'dunia', 'akhirnya', 'messi', 'memenangkan', 'trofi', 'gakan', 'pernah', 'diraih']</t>
  </si>
  <si>
    <t>Laga final terbaik di kejuaraan piala dunia. Luar biasa. üî•üî•üî•</t>
  </si>
  <si>
    <t>laga final terbaik kejuaraan piala dunia luar biasa</t>
  </si>
  <si>
    <t>['laga', 'final', 'terbaik', 'kejuaraan', 'piala', 'dunia', 'luar', 'biasa']</t>
  </si>
  <si>
    <t>Final Piala Dunia 2022 adalah final terbaik yang pernah aku tonton so far.</t>
  </si>
  <si>
    <t>final piala dunia adalah final terbaik yang pernah aku tonton far</t>
  </si>
  <si>
    <t>['final', 'piala', 'dunia', 'final', 'terbaik', 'pernah', 'aku', 'tonton', 'far']</t>
  </si>
  <si>
    <t>Mbappe tetap gaada obat sih, 24 tahun cetak Hattrick di Final Piala Dunia hampir buat Messi tetap di dalam mimpi panjangnya üòÖüî•</t>
  </si>
  <si>
    <t>mbappe tetap gaada obat sih tahun cetak hattrick final piala dunia hampir buat messi tetap dalam mimpi panjangnya</t>
  </si>
  <si>
    <t>['mbappe', 'tetap', 'gaada', 'obat', 'tahun', 'cetak', 'hattrick', 'final', 'piala', 'dunia', 'hampir', 'buat', 'messi', 'tetap', 'mimpi', 'panjangnya']</t>
  </si>
  <si>
    <t>Final piala dunia terkeren sepanjang sejarah selamat buat argentina</t>
  </si>
  <si>
    <t>final piala dunia terkeren sepanjang sejarah selamat buat argentina</t>
  </si>
  <si>
    <t>['final', 'piala', 'dunia', 'terkeren', 'sepanjang', 'sejarah', 'selamat', 'buat', 'argentina']</t>
  </si>
  <si>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</si>
  <si>
    <t>timnas argentina keluar sebagai juara piala dunia itu setelah albiceleste menaklukkan timnas prancis pada final piala dunia dengan skor lewat adu penalti setelah imbang selama menit</t>
  </si>
  <si>
    <t>['timnas', 'argentina', 'keluar', 'juara', 'piala', 'dunia', 'albiceleste', 'menaklukkan', 'timnas', 'prancis', 'final', 'piala', 'dunia', 'skor', 'lewat', 'adu', 'penalti', 'imbang', 'selama', 'menit']</t>
  </si>
  <si>
    <t>Sumpah piala dunia tahun ini dari grup sampe final seru semua banyak plot twist bersyukur bgt</t>
  </si>
  <si>
    <t>sumpah piala dunia tahun ini dari grup sampe final seru semua banyak plot twist bersyukur bgt</t>
  </si>
  <si>
    <t>['sumpah', 'piala', 'dunia', 'tahun', 'grup', 'sampai', 'final', 'seru', 'semua', 'banyak', 'plot', 'twist', 'bersyukur', 'banget']</t>
  </si>
  <si>
    <t>Miliaran orang di dunia hari ini menyaksikan Final Piala Dunia 2022 dan selamat untuk Argentina yang berhasil menjadi juara setelah kalahkan Prancis lewat babak adu pinalty.</t>
  </si>
  <si>
    <t>miliaran orang dunia hari ini menyaksikan final piala dunia dan selamat untuk argentina yang berhasil menjadi juara setelah kalahkan prancis lewat babak adu pinalty</t>
  </si>
  <si>
    <t>['miliaran', 'orang', 'dunia', 'hari', 'menyaksikan', 'final', 'piala', 'dunia', 'selamat', 'argentina', 'berhasil', 'menjadi', 'juara', 'kalahkan', 'prancis', 'lewat', 'babak', 'adu', 'pinalty']</t>
  </si>
  <si>
    <t>final piala dunia terbaik yg pernah saya tonton dr 2002.. world class!!!! #FIFAWorldCup</t>
  </si>
  <si>
    <t>final piala dunia terbaik pernah saya tonton world class</t>
  </si>
  <si>
    <t>['final', 'piala', 'dunia', 'terbaik', 'pernah', 'tonton', 'world', 'class']</t>
  </si>
  <si>
    <t>Setelah nonton full time final piala dunia,jadi ngefans sama Di Maria, what a final</t>
  </si>
  <si>
    <t>setelah nonton full time final piala dunia jadi ngefans sama maria what final</t>
  </si>
  <si>
    <t>['nonton', 'full', 'time', 'final', 'piala', 'dunia', 'jadi', 'ngefans', 'sama', 'maria', 'what', 'final']</t>
  </si>
  <si>
    <t>Babak Pertama Final Piala Dunia 2022, Argentina Unggul 2-0 atas Prancis: RONGGO ‚Äì Argentina berhasil unggul 2-0 atas Prancis di babak‚Ä¶</t>
  </si>
  <si>
    <t>babak pertama final piala dunia argentina unggul atas prancis ronggo argentina berhasil unggul atas prancis babak</t>
  </si>
  <si>
    <t>['babak', 'pertama', 'final', 'piala', 'dunia', 'argentina', 'unggul', 'atas', 'prancis', 'ronggo', 'argentina', 'berhasil', 'unggul', 'atas', 'prancis', 'babak']</t>
  </si>
  <si>
    <t>&lt;FreqDist with 11 samples and 16 outcomes&gt;</t>
  </si>
  <si>
    <t>Final Piala Dunia terbaik menurutku selama aku hidup‚òùÔ∏è</t>
  </si>
  <si>
    <t>final piala dunia terbaik menurutku selama aku hidup</t>
  </si>
  <si>
    <t>['final', 'piala', 'dunia', 'terbaik', 'menurutku', 'selama', 'aku', 'hidup']</t>
  </si>
  <si>
    <t>Turut berduka sama orng yang gak nonton final piala dunia 2022</t>
  </si>
  <si>
    <t>turut berduka sama orng yang gak nonton final piala dunia</t>
  </si>
  <si>
    <t>['turut', 'berduka', 'sama', 'orng', 'nonton', 'final', 'piala', 'dunia']</t>
  </si>
  <si>
    <t>@AnOdeToShua iyyaa selama gue nonton final piala dunia benerann ini drama banget mana sesinya ampe 2 jam anjir gue yang keringet dingin</t>
  </si>
  <si>
    <t>iyyaa selama gue nonton final piala dunia benerann ini drama banget mana sesinya ampe jam anjir gue yang keringet dingin</t>
  </si>
  <si>
    <t>['iyyaa', 'selama', 'gue', 'nonton', 'final', 'piala', 'dunia', 'benerann', 'drama', 'banget', 'mana', 'sesinya', 'sampai', 'jam', 'anjir', 'gue', 'keringet', 'dingin']</t>
  </si>
  <si>
    <t>@convomfs 10/10  Disamping bnyak momen lucu di Qatar, ini final piala dunia paling seru.. seseru ituüò≠üò≠üò≠</t>
  </si>
  <si>
    <t>disamping bnyak momen lucu qatar ini final piala dunia paling seru seseru itu</t>
  </si>
  <si>
    <t>['disamping', 'bnyak', 'momen', 'lucu', 'qatar', 'final', 'piala', 'dunia', 'paling', 'seru', 'seseru']</t>
  </si>
  <si>
    <t>Bintang Prancis Kylian Mbappe sukses merebut gelar top skor Piala Dunia 2022. Mbappe mencetak hattrick dalam final FIFA World Cup 2022.  https://t.co/XxOR8MMg3T</t>
  </si>
  <si>
    <t>bintang prancis kylian mbappe sukses merebut gelar top skor piala dunia mbappe mencetak hattrick dalam final fifa world cup</t>
  </si>
  <si>
    <t>['bintang', 'prancis', 'kylian', 'mbappe', 'sukses', 'merebut', 'gelar', 'top', 'skor', 'piala', 'dunia', 'mbappe', 'mencetak', 'hattrick', 'final', 'fifa', 'world', 'cup']</t>
  </si>
  <si>
    <t>Diantara semua final piala Dunia yg ku nonton, inimi final terseru dan full senam jantungü•≥</t>
  </si>
  <si>
    <t>diantara semua final piala dunia nonton inimi final terseru dan full senam jantung</t>
  </si>
  <si>
    <t>['diantara', 'semua', 'final', 'piala', 'dunia', 'nonton', 'inimi', 'final', 'terseru', 'full', 'senam', 'jantung']</t>
  </si>
  <si>
    <t>Mengikuti perjalanan Argentina yang kalah lawan Jerman di final 2014.   Messi sempat mau pensiun di 2016 tapi balik lagi.  Menjelang pensiun akhirnya Messi bisa ngangkat trofi piala dunia, pasti banyak orang yang ikut senang dan lega, koleksi gelar Messi akhirnya komplit  Legend!</t>
  </si>
  <si>
    <t>mengikuti perjalanan argentina yang kalah lawan jerman final messi sempat mau pensiun tapi balik lagi menjelang pensiun akhirnya messi bisa ngangkat trofi piala dunia pasti banyak orang yang ikut senang dan lega koleksi gelar messi akhirnya komplit legend</t>
  </si>
  <si>
    <t>['mengikuti', 'perjalanan', 'argentina', 'kalah', 'lawan', 'jerman', 'final', 'messi', 'sempat', 'mau', 'pensiun', 'balik', 'menjelang', 'pensiun', 'akhirnya', 'messi', 'ngangkat', 'trofi', 'piala', 'dunia', 'banyak', 'orang', 'ikut', 'senang', 'lega', 'koleksi', 'gelar', 'messi', 'akhirnya', 'komplit', 'legend']</t>
  </si>
  <si>
    <t>Final Piala Dunia terbaik üî•</t>
  </si>
  <si>
    <t>Final Piala Dunia yg sangat memuaskan.</t>
  </si>
  <si>
    <t>final piala dunia sangat memuaskan</t>
  </si>
  <si>
    <t>['final', 'piala', 'dunia', 'sangat', 'memuaskan']</t>
  </si>
  <si>
    <t>@convomfs 10000/10 walaupun france kalah tapi piala Dunia kali ini nyiptain final yg seru</t>
  </si>
  <si>
    <t>walaupun france kalah tapi piala dunia kali ini nyiptain final seru</t>
  </si>
  <si>
    <t>['walaupun', 'france', 'kalah', 'piala', 'dunia', 'kali', 'nyiptain', 'final', 'seru']</t>
  </si>
  <si>
    <t>Ini dia goal yang mengawali keseruan kita di laga Final Piala Dunia 2022.  #SCMWorldCup2022 #SCTVWorldCup2022 #FIFAWorldCup  https://t.co/VbSiRFlrki</t>
  </si>
  <si>
    <t>ini dia goal yang mengawali keseruan kita laga final piala dunia</t>
  </si>
  <si>
    <t>['goal', 'mengawali', 'keseruan', 'laga', 'final', 'piala', 'dunia']</t>
  </si>
  <si>
    <t>What a great Era.... seneng bgt bs ngeliat messi &amp;amp; ronaldo bs maen, ditambah final piala dunia yang seru bgt..... waaah</t>
  </si>
  <si>
    <t>what great era seneng bgt ngeliat messi ronaldo maen ditambah final piala dunia yang seru bgt waaah</t>
  </si>
  <si>
    <t>['what', 'great', 'era', 'seneng', 'banget', 'ngeliat', 'messi', 'ronaldo', 'maen', 'ditambah', 'final', 'piala', 'dunia', 'seru', 'banget', 'waaah']</t>
  </si>
  <si>
    <t>Hari ini kita jadi saksi sejarah Salah Satu Piala Dunia terbaik ‚úÖ Salah Satu Final Piala Dunia terbaik ‚úÖ Salah Satu Pemain Terbaik Sepanjang Masa ‚úÖ #FIFAWorldCup  https://t.co/OxDydKpAPU</t>
  </si>
  <si>
    <t>hari ini kita jadi saksi sejarah salah satu piala dunia terbaik salah satu final piala dunia terbaik salah satu pemain terbaik sepanjang masa</t>
  </si>
  <si>
    <t>['hari', 'jadi', 'saksi', 'sejarah', 'salah', 'satu', 'piala', 'dunia', 'terbaik', 'salah', 'satu', 'final', 'piala', 'dunia', 'terbaik', 'salah', 'satu', 'pemain', 'terbaik', 'sepanjang', 'masa']</t>
  </si>
  <si>
    <t>&lt;FreqDist with 13 samples and 21 outcomes&gt;</t>
  </si>
  <si>
    <t>yang bilang final Piala Dunia 2022 sebagai yang terbaik berarti dia belum pernah nonton final Piala Dunia 1958.  Final Piala Dunia 2022 adalah yang terbaik.</t>
  </si>
  <si>
    <t>yang bilang final piala dunia sebagai yang terbaik berarti dia belum pernah nonton final piala dunia final piala dunia adalah yang terbaik</t>
  </si>
  <si>
    <t>['final', 'piala', 'dunia', 'terbaik', 'berarti', 'pernah', 'nonton', 'final', 'piala', 'dunia', 'final', 'piala', 'dunia', 'terbaik']</t>
  </si>
  <si>
    <t>&lt;FreqDist with 7 samples and 14 outcomes&gt;</t>
  </si>
  <si>
    <t>Partai final yang sangat seru kali ini  Selamat untuk @argentina terimah kasih untuk tuan rumah @Qatar telah sukses menyelenggarakan piala dunia 2022</t>
  </si>
  <si>
    <t>partai final yang sangat seru kali ini selamat untuk terimah kasih untuk tuan rumah telah sukses menyelenggarakan piala dunia</t>
  </si>
  <si>
    <t>['partai', 'final', 'sangat', 'seru', 'kali', 'selamat', 'terimah', 'kasih', 'tuan', 'rumah', 'sukses', 'menyelenggarakan', 'piala', 'dunia']</t>
  </si>
  <si>
    <t>Terima kasih Emiliano Martinez, terima kasih Kylian Mbappe, berhasil validasi Lionel Messi sebagai the GOAT dan tutup karir timnas Argentina dengan juara final piala dunia Qatar 2022.  https://t.co/eLHuzDMUcl</t>
  </si>
  <si>
    <t>terima kasih emiliano martinez terima kasih kylian mbappe berhasil validasi lionel messi sebagai the goat dan tutup karir timnas argentina dengan juara final piala dunia qatar</t>
  </si>
  <si>
    <t>['terima', 'kasih', 'emiliano', 'martinez', 'terima', 'kasih', 'kylian', 'mbappe', 'berhasil', 'validasi', 'lionel', 'messi', 'the', 'goat', 'tutup', 'karir', 'timnas', 'argentina', 'juara', 'final', 'piala', 'dunia', 'qatar']</t>
  </si>
  <si>
    <t>Hasil Final Piala Dunia 2022! Argentina Juara Dunia, Lionel Messi Setara dengan Diego Maradona  https://t.co/i3fY4zEAVl  https://t.co/bMDIp4y9Fs</t>
  </si>
  <si>
    <t>hasil final piala dunia argentina juara dunia lionel messi setara dengan diego maradona</t>
  </si>
  <si>
    <t>['hasil', 'final', 'piala', 'dunia', 'argentina', 'juara', 'dunia', 'lionel', 'messi', 'setara', 'diego', 'maradona']</t>
  </si>
  <si>
    <t>2022 full NT, drama messi vs ronaldo resmi tamatü•∫, sampai ketemu piala dunia 2026, semoga bisa nonton final langsung ke venue, @aryaningrat1 @fakingsyitt_  -1 sobat prancis saya @sekalengavian  https://t.co/7nqKhZ1g6K</t>
  </si>
  <si>
    <t>full drama messi ronaldo resmi tamat sampai ketemu piala dunia semoga bisa nonton final langsung venue sobat prancis saya</t>
  </si>
  <si>
    <t>['full', 'drama', 'messi', 'ronaldo', 'resmi', 'tamat', 'ketemu', 'piala', 'dunia', 'semoga', 'nonton', 'final', 'langsung', 'venue', 'sobat', 'prancis']</t>
  </si>
  <si>
    <t>Final Piala Dunia 2022 emang keren dan sangat seru (‚ùÅ¬¥‚ó°`‚ùÅ)</t>
  </si>
  <si>
    <t>final piala dunia emang keren dan sangat seru</t>
  </si>
  <si>
    <t>['final', 'piala', 'dunia', 'emang', 'keren', 'sangat', 'seru']</t>
  </si>
  <si>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</si>
  <si>
    <t>walaupun prancis kalah dari argentina tapi mbappe sudah mengukir sejarah mencetak hattrick saat final piala dunia dan menjadi top score dengan gol baru liat seorang pemain mampu mencetak gol kali dalam pertandingan final saat pertandingan satu adu penalti</t>
  </si>
  <si>
    <t>['walaupun', 'prancis', 'kalah', 'argentina', 'mbappe', 'mengukir', 'sejarah', 'mencetak', 'hattrick', 'final', 'piala', 'dunia', 'menjadi', 'top', 'score', 'gol', 'baru', 'lihat', 'seorang', 'pemain', 'mampu', 'mencetak', 'gol', 'kali', 'pertandingan', 'final', 'pertandingan', 'satu', 'adu', 'penalti']</t>
  </si>
  <si>
    <t>Beruntung bisa nonton final piala dunia yang kayaknya paling seru sepanjang yang gw pernah tonton #WorldCupFinal</t>
  </si>
  <si>
    <t>beruntung bisa nonton final piala dunia yang kayaknya paling seru sepanjang yang pernah tonton</t>
  </si>
  <si>
    <t>['beruntung', 'nonton', 'final', 'piala', 'dunia', 'kayaknya', 'paling', 'seru', 'sepanjang', 'pernah', 'tonton']</t>
  </si>
  <si>
    <t>Memang kecoh penyokong Argentina tadi di The Paddock, Petaling Jaya!! Tahniah Argentina JUARA!!!! üá¶üá∑üá¶üá∑üá¶üá∑  Viewing Party SINAR, Piala Dunia 2022 Final  #LiveUpdateSINAR  #FIFAWorldCup  #Qatar2022 #AstroWorldCup2022  https://t.co/33ZWAsW7ik</t>
  </si>
  <si>
    <t>memang kecoh penyokong argentina tadi the paddock petaling jaya tahniah argentina juara viewing party sinar piala dunia final</t>
  </si>
  <si>
    <t>['memang', 'kecoh', 'penyokong', 'argentina', 'tadi', 'the', 'paddock', 'petaling', 'jaya', 'tahniah', 'argentina', 'juara', 'viewing', 'party', 'sinar', 'piala', 'dunia', 'final']</t>
  </si>
  <si>
    <t>final piala dunia hanya pengalihan isu kalau sekarang udah hari senin.</t>
  </si>
  <si>
    <t>final piala dunia hanya pengalihan isu kalau sekarang udah hari senin</t>
  </si>
  <si>
    <t>['final', 'piala', 'dunia', 'pengalihan', 'isu', 'kalau', 'sekarang', 'udah', 'hari', 'senin']</t>
  </si>
  <si>
    <t>Final Piala Dunia 2022 merupakan Final Piala Dunia terbaik yg kulihat..</t>
  </si>
  <si>
    <t>final piala dunia merupakan final piala dunia terbaik kulihat</t>
  </si>
  <si>
    <t>['final', 'piala', 'dunia', 'merupakan', 'final', 'piala', 'dunia', 'terbaik', 'kulihat']</t>
  </si>
  <si>
    <t>Final Piala Dunia Paling seru dan penuh DRAMA. Sesuai Prediksi saya GOAT Messi Angkat Piala..Walaupun Jagoin France rasanya kurang seru klo yg menang France..Beda dengan thn 1998 timnas Modern France lebih Dominan diisi Oleh Pemain berdarah AFRIKA..</t>
  </si>
  <si>
    <t>final piala dunia paling seru dan penuh drama sesuai prediksi saya goat messi angkat piala walaupun jagoin france rasanya kurang seru klo menang france beda dengan thn timnas modern france lebih dominan diisi oleh pemain berdarah afrika</t>
  </si>
  <si>
    <t>['final', 'piala', 'dunia', 'paling', 'seru', 'penuh', 'drama', 'sesuai', 'prediksi', 'goat', 'messi', 'angkat', 'piala', 'walaupun', 'jagoin', 'france', 'rasanya', 'kurang', 'seru', 'menang', 'france', 'beda', 'thn', 'timnas', 'modern', 'france', 'lebih', 'dominan', 'diisi', 'pemain', 'berdarah', 'afrika']</t>
  </si>
  <si>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</si>
  <si>
    <t>perjuangannya keren abis mulai ngefans messi meskipun gatau dunia perbolaan pokoknya beliau keren gitu argentina runner gak lolos final dan sekarang doi angkat piala emang rejekinya akhir taun menyenangkan selamat bangga banget pokonya</t>
  </si>
  <si>
    <t>['perjuangannya', 'keren', 'abis', 'mulai', 'ngefans', 'messi', 'meskipun', 'gatau', 'dunia', 'perbolaan', 'pokoknya', 'beliau', 'keren', 'gitu', 'argentina', 'runner', 'lolos', 'final', 'sekarang', 'doi', 'angkat', 'piala', 'emang', 'rejekinya', 'akhir', 'taun', 'menyenangkan', 'selamat', 'bangga', 'banget', 'pokonya']</t>
  </si>
  <si>
    <t>&lt;FreqDist with 30 samples and 31 outcomes&gt;</t>
  </si>
  <si>
    <t>Ultah nanon tahun ini rameee banget yaa. Pas sm FM OHMNON, final piala dunia. Wkwkwk kayakk pass bangett</t>
  </si>
  <si>
    <t>ultah nanon tahun ini rameee banget yaa pas ohmnon final piala dunia wkwkwk kayakk pass bangett</t>
  </si>
  <si>
    <t>['ultah', 'nanon', 'tahun', 'rameee', 'banget', 'ya', 'pas', 'ohmnon', 'final', 'piala', 'dunia', 'wkwkwk', 'kayakk', 'pass', 'bangett']</t>
  </si>
  <si>
    <t>Salama lalajo piala dunia dan lalajo final piala dunia ti taun 98, nu bieu nu paling edan ramena!  Hujan goal, tembus pipinaltian. Nuhun hiburan ~</t>
  </si>
  <si>
    <t>salama lalajo piala dunia dan lalajo final piala dunia taun bieu paling edan ramena hujan goal tembus pipinaltian nuhun hiburan</t>
  </si>
  <si>
    <t>['salama', 'lalajo', 'piala', 'dunia', 'lalajo', 'final', 'piala', 'dunia', 'taun', 'bieu', 'paling', 'edan', 'ramena', 'hujan', 'goal', 'tembus', 'pipinaltian', 'nuhun', 'hiburan']</t>
  </si>
  <si>
    <t>Final Piala Dunia yang sangat seru dan menegangkan. Argentina juara.</t>
  </si>
  <si>
    <t>final piala dunia yang sangat seru dan menegangkan argentina juara</t>
  </si>
  <si>
    <t>['final', 'piala', 'dunia', 'sangat', 'seru', 'menegangkan', 'argentina', 'juara']</t>
  </si>
  <si>
    <t>Piala Dunia yang paling seru menurut gua sih ditutup dengan Final yang kerasa final. Ga sia sia ditonton. Messi dan Mbappeü§ùüåüüåüüåü</t>
  </si>
  <si>
    <t>piala dunia yang paling seru menurut gua sih ditutup dengan final yang kerasa final sia sia ditonton messi dan mbappe</t>
  </si>
  <si>
    <t>['piala', 'dunia', 'paling', 'seru', 'gua', 'ditutup', 'final', 'kerasa', 'final', 'sia', 'sia', 'ditonton', 'messi', 'mbappe']</t>
  </si>
  <si>
    <t>@idextratime PERTAMA KALI NONTON FINAL PIALA DUNIA NOBAR DI LAYER TANCEP DISUGUHIN MATCH KAYAK GINI, BERUNTUNGNYA GUE</t>
  </si>
  <si>
    <t>pertama kali nonton final piala dunia nobar layer tancep disuguhin match kayak gini beruntungnya gue</t>
  </si>
  <si>
    <t>['pertama', 'kali', 'nonton', 'final', 'piala', 'dunia', 'nonton bareng', 'layer', 'tancep', 'disuguhin', 'match', 'seperti', 'gini', 'beruntungnya', 'gue']</t>
  </si>
  <si>
    <t>Andai #Maradona bisa melihat final piala dunia 2022 ???</t>
  </si>
  <si>
    <t>andai bisa melihat final piala dunia</t>
  </si>
  <si>
    <t>['andai', 'melihat', 'final', 'piala', 'dunia']</t>
  </si>
  <si>
    <t>Qatar dengan segala kontroversinya, berhasil menyajikan final piala dunia yg paling seru untuk disaksikan sejauh ini.</t>
  </si>
  <si>
    <t>qatar dengan segala kontroversinya berhasil menyajikan final piala dunia paling seru untuk disaksikan sejauh ini</t>
  </si>
  <si>
    <t>['qatar', 'segala', 'kontroversinya', 'berhasil', 'menyajikan', 'final', 'piala', 'dunia', 'paling', 'seru', 'disaksikan', 'sejauh']</t>
  </si>
  <si>
    <t>Final Piala Dunia paling seru!! Selamat Argentinaüëèüëè</t>
  </si>
  <si>
    <t>final piala dunia paling seru selamat argentina</t>
  </si>
  <si>
    <t>['final', 'piala', 'dunia', 'paling', 'seru', 'selamat', 'argentina']</t>
  </si>
  <si>
    <t>@idextratime Emang udah lebih besar, soalnya dia udah nyampe final piala Dunia 2x dan juara 1x üòÇ</t>
  </si>
  <si>
    <t>emang udah lebih besar soalnya dia udah nyampe final piala dunia dan juara</t>
  </si>
  <si>
    <t>['emang', 'udah', 'lebih', 'besar', 'soalnya', 'udah', 'sampai', 'final', 'piala', 'dunia', 'juara']</t>
  </si>
  <si>
    <t>Final piala dunia kali ini seperti final suci x. Argentina ibarat Yono Bakrie. Blank di awal, juara di akhir. Congrats. Selamat #FIFAWorldCup #standupcomedy</t>
  </si>
  <si>
    <t>final piala dunia kali ini seperti final suci argentina ibarat yono bakrie blank awal juara akhir congrats selamat</t>
  </si>
  <si>
    <t>['final', 'piala', 'dunia', 'kali', 'final', 'suci', 'argentina', 'ibarat', 'yono', 'bakrie', 'blank', 'awal', 'juara', 'akhir', 'congrats', 'selamat']</t>
  </si>
  <si>
    <t>Kita uasnya mulai selasa tuh karena malem ini final piala dunia kan ya?</t>
  </si>
  <si>
    <t>kita uasnya mulai selasa tuh karena malem ini final piala dunia kan</t>
  </si>
  <si>
    <t>['uasnya', 'mulai', 'selasa', 'malem', 'final', 'piala', 'dunia', 'kan']</t>
  </si>
  <si>
    <t>Mbappe patut diberi standing ovation. Hattrick di final piala Dunia. Tuan muda memang calon goat</t>
  </si>
  <si>
    <t>mbappe patut diberi standing ovation hattrick final piala dunia tuan muda memang calon goat</t>
  </si>
  <si>
    <t>['mbappe', 'patut', 'diberi', 'standing', 'ovation', 'hattrick', 'final', 'piala', 'dunia', 'tuan', 'muda', 'memang', 'calon', 'goat']</t>
  </si>
  <si>
    <t>Mbappe gokil, emi martinez keren. Partai final piala dunia terbaikü§ùüëè</t>
  </si>
  <si>
    <t>mbappe gokil emi martinez keren partai final piala dunia terbaik</t>
  </si>
  <si>
    <t>['mbappe', 'gila', 'emi', 'martinez', 'keren', 'partai', 'final', 'piala', 'dunia', 'terbaik']</t>
  </si>
  <si>
    <t>Apakah Messi akan "diusir" dari Perancis karena mengalahkan Perancis di Final?  Persis kaya Piala Dunia 1990. Argentina nya maradona mengalahkan Itali tepat di Napoli di semifinal, meskipun gak juara di final.  Kayanya enggak ya.</t>
  </si>
  <si>
    <t>apakah messi akan diusir dari perancis karena mengalahkan perancis final persis kaya piala dunia argentina nya maradona mengalahkan itali tepat napoli semifinal meskipun gak juara final kayanya enggak</t>
  </si>
  <si>
    <t>['messi', 'diusir', 'perancis', 'mengalahkan', 'perancis', 'final', 'persis', 'kaya', 'piala', 'dunia', 'argentina', 'maradona', 'mengalahkan', 'itali', 'tepat', 'napoli', 'semifinal', 'meskipun', 'juara', 'final', 'kayanya', 'enggak']</t>
  </si>
  <si>
    <t>bayangin umur 23 tahun udah cetak hattrick di final terbaik piala dunia lawan pemain terbaik di dunia  legend in the making! hats off üé©  https://t.co/yxDBzRs8xi</t>
  </si>
  <si>
    <t>bayangin umur tahun udah cetak hattrick final terbaik piala dunia lawan pemain terbaik dunia legend the making hats off</t>
  </si>
  <si>
    <t>['bayangin', 'umur', 'tahun', 'udah', 'cetak', 'hattrick', 'final', 'terbaik', 'piala', 'dunia', 'lawan', 'pemain', 'terbaik', 'dunia', 'legend', 'the', 'making', 'hats', 'off']</t>
  </si>
  <si>
    <t>final piala dunia 2022 tontonan paling indah setelah senyumanmu</t>
  </si>
  <si>
    <t>final piala dunia tontonan paling indah setelah senyumanmu</t>
  </si>
  <si>
    <t>['final', 'piala', 'dunia', 'tontonan', 'paling', 'indah', 'senyumanmu']</t>
  </si>
  <si>
    <t>Senang sekali bisa menyaksikan final piala dunia karena jam nontonnya masih wajar üòÑ</t>
  </si>
  <si>
    <t>senang sekali bisa menyaksikan final piala dunia karena jam nontonnya masih wajar</t>
  </si>
  <si>
    <t>['senang', 'sekali', 'menyaksikan', 'final', 'piala', 'dunia', 'jam', 'nontonnya', 'wajar']</t>
  </si>
  <si>
    <t>Sungguh, ini Final Piala Dunia yang mendebarkan. Jilak. Selamat untuk Argentina üëç</t>
  </si>
  <si>
    <t>sungguh ini final piala dunia yang mendebarkan jilak selamat untuk argentina</t>
  </si>
  <si>
    <t>['sungguh', 'final', 'piala', 'dunia', 'mendebarkan', 'jilak', 'selamat', 'argentina']</t>
  </si>
  <si>
    <t>terakhir nonton final piala dunia keknya dulu pas 2014 puasa2 nonton ampe jam 6 pagi sama bapak wkwkwk</t>
  </si>
  <si>
    <t>terakhir nonton final piala dunia keknya dulu pas puasa nonton ampe jam pagi sama bapak wkwkwk</t>
  </si>
  <si>
    <t>['terakhir', 'nonton', 'final', 'piala', 'dunia', 'sepertinya', 'dulu', 'pas', 'puasa', 'nonton', 'sampai', 'jam', 'pagi', 'sama', 'bapak', 'wkwkwk']</t>
  </si>
  <si>
    <t>@garagarabola_ Pertama lihat final piala Dunia thn 1998 dan sampe sekarang, paling seru ya ini luar biasa</t>
  </si>
  <si>
    <t>pertama lihat final piala dunia thn dan sampe sekarang paling seru ini luar biasa</t>
  </si>
  <si>
    <t>['pertama', 'lihat', 'final', 'piala', 'dunia', 'thn', 'sampai', 'sekarang', 'paling', 'seru', 'luar', 'biasa']</t>
  </si>
  <si>
    <t>Kylian Mbappe Cetak Hat-trick di Final Piala Dunia 2022, Samai Rekor Geoff Hurst   #Sindonews #BukanBeritaBiasa . https://t.co/fafRKYRhre</t>
  </si>
  <si>
    <t>kylian mbappe cetak hat trick final piala dunia samai rekor geoff hurst</t>
  </si>
  <si>
    <t>['kylian', 'mbappe', 'cetak', 'hat', 'trick', 'final', 'piala', 'dunia', 'samai', 'rekor', 'geoff', 'hurst']</t>
  </si>
  <si>
    <t>Pemuda Perindo Jakarta Gelar Nobar Final Piala Dunia, Masyarakat Antusias  https://t.co/2zRBPa2iyh</t>
  </si>
  <si>
    <t>pemuda perindo jakarta gelar nobar final piala dunia masyarakat antusias</t>
  </si>
  <si>
    <t>['pemuda', 'perindo', 'jakarta', 'gelar', 'nonton bareng', 'final', 'piala', 'dunia', 'masyarakat', 'antusias']</t>
  </si>
  <si>
    <t>LIVE REPORT: Argentina vs Prancis di Final Piala Dunia 2022 ‚Äì CNN Indonesia ‚Äì Google Berita Olahraga ‚Äì  https://t.co/RMfqVjTatm ‚Äì #Arenanews #Kamidi #Opsiminfo- https://t.co/xpwIjZxq6J</t>
  </si>
  <si>
    <t>live report argentina prancis final piala dunia cnn indonesia google berita olahraga</t>
  </si>
  <si>
    <t>['live', 'report', 'argentina', 'prancis', 'final', 'piala', 'dunia', 'cnn', 'indonesia', 'google', 'berita', 'olahraga']</t>
  </si>
  <si>
    <t>@SerieA_Lawas Final piala dunia terseru setelah final 2006, betul TDK was...</t>
  </si>
  <si>
    <t>lawas final piala dunia terseru setelah final betul tdk was</t>
  </si>
  <si>
    <t>['lawas', 'final', 'piala', 'dunia', 'terseru', 'final', 'betul', 'was']</t>
  </si>
  <si>
    <t>What a game!! Beruntung banget bisa jadi saksi final piala dunia terbaikk!! Drama 90menit+Drama ET+Ditutup dengan Drama adu Penaltyüòçüòçüî•üî•  Congrats Argentina!!üá¶üá∑</t>
  </si>
  <si>
    <t>what game beruntung banget bisa jadi saksi final piala dunia terbaikk drama menit drama ditutup dengan drama adu penalty congrats argentina</t>
  </si>
  <si>
    <t>['what', 'game', 'beruntung', 'banget', 'jadi', 'saksi', 'final', 'piala', 'dunia', 'terbaikk', 'drama', 'menit', 'drama', 'ditutup', 'drama', 'adu', 'penalty', 'congrats', 'argentina']</t>
  </si>
  <si>
    <t>Mbape tiga hari kemudian dikabarkan nyabu setelah final piala dunia spertinya seluruh dunia masih bisa memaafkan</t>
  </si>
  <si>
    <t>mbape tiga hari kemudian dikabarkan nyabu setelah final piala dunia spertinya seluruh dunia masih bisa memaafkan</t>
  </si>
  <si>
    <t>['mbape', 'tiga', 'hari', 'kemudian', 'dikabarkan', 'nyabu', 'final', 'piala', 'dunia', 'spertinya', 'seluruh', 'dunia', 'memaafkan']</t>
  </si>
  <si>
    <t>Final terbaik piala dunia sih ini mah , selamat Argentina , tp nunggu semburan potongan kertas pas angkat piala eee ga ada ü§£</t>
  </si>
  <si>
    <t>final terbaik piala dunia sih ini mah selamat argentina nunggu semburan potongan kertas pas angkat piala eee ada</t>
  </si>
  <si>
    <t>['final', 'terbaik', 'piala', 'dunia', 'mah', 'selamat', 'argentina', 'nunggu', 'semburan', 'potongan', 'kertas', 'pas', 'angkat', 'piala', 'eee']</t>
  </si>
  <si>
    <t>Alhamdulillah mmg Piala Dunia terbaik yg aku pernah saksikan setakat ini , tambahan pula final terbaik juga setakat ini.  Yg menang mmg menang, yg kalah tidak la kalah sepenuhnya (Mbappe) #Qatar2022 #FIFAWorldCup</t>
  </si>
  <si>
    <t>alhamdulillah mmg piala dunia terbaik aku pernah saksikan setakat ini tambahan pula final terbaik juga setakat ini menang mmg menang kalah tidak kalah sepenuhnya mbappe</t>
  </si>
  <si>
    <t>['alhamdulillah', 'mmg', 'piala', 'dunia', 'terbaik', 'aku', 'pernah', 'saksikan', 'setakat', 'tambahan', 'final', 'terbaik', 'setakat', 'menang', 'mmg', 'menang', 'kalah', 'kalah', 'sepenuhnya', 'mbappe']</t>
  </si>
  <si>
    <t>Final Piala Dunia terbaik Argentina 3 (4) vs (2) 3 Perancis Congratulations for Argentina and Lionel Messi  https://t.co/gMh9ey5bNU</t>
  </si>
  <si>
    <t>final piala dunia terbaik argentina perancis congratulations for argentina and lionel messi</t>
  </si>
  <si>
    <t>['final', 'piala', 'dunia', 'terbaik', 'argentina', 'perancis', 'congratulations', 'for', 'argentina', 'and', 'lionel', 'messi']</t>
  </si>
  <si>
    <t>Final Piala Dunia 2022: Mbappe Top Skor, Messi Pemain Terbaik  https://t.co/KEFporYnHv</t>
  </si>
  <si>
    <t>tapi kudos juga mbappe umur segini hattrick di final piala dunia</t>
  </si>
  <si>
    <t>tapi kudos juga mbappe umur segini hattrick final piala dunia</t>
  </si>
  <si>
    <t>['kudos', 'mbappe', 'umur', 'segini', 'hattrick', 'final', 'piala', 'dunia']</t>
  </si>
  <si>
    <t>Apresiasi untuk Kylian Mbappe... Hattrick di Final Piala Dunia.  Hampir tenggelam di 70 menit pertama. Menciptakan keajaiban, namun belum cukup menggagalkan semesta bersama  LM10. BEST FINAL EVER...  https://t.co/W9Uhq3qv8s</t>
  </si>
  <si>
    <t>apresiasi untuk kylian mbappe hattrick final piala dunia hampir tenggelam menit pertama menciptakan keajaiban namun belum cukup menggagalkan semesta bersama best final ever</t>
  </si>
  <si>
    <t>['apresiasi', 'kylian', 'mbappe', 'hattrick', 'final', 'piala', 'dunia', 'hampir', 'tenggelam', 'menit', 'pertama', 'menciptakan', 'keajaiban', 'cukup', 'menggagalkan', 'semesta', 'bersama', 'best', 'final', 'ever']</t>
  </si>
  <si>
    <t>Beruntung bisa melihat final terbaik piala dunia dan menjadi saksi seorang pemain terbaik sepak bola mengangkat piala</t>
  </si>
  <si>
    <t>beruntung bisa melihat final terbaik piala dunia dan menjadi saksi seorang pemain terbaik sepak bola mengangkat piala</t>
  </si>
  <si>
    <t>['beruntung', 'melihat', 'final', 'terbaik', 'piala', 'dunia', 'menjadi', 'saksi', 'seorang', 'pemain', 'terbaik', 'sepak', 'bola', 'mengangkat', 'piala']</t>
  </si>
  <si>
    <t>ga nyesel walaupun prancis kalah, ini final piala dunia terseru</t>
  </si>
  <si>
    <t>nyesel walaupun prancis kalah ini final piala dunia terseru</t>
  </si>
  <si>
    <t>['nyesel', 'walaupun', 'prancis', 'kalah', 'final', 'piala', 'dunia', 'terseru']</t>
  </si>
  <si>
    <t>Mbappe Cetak Gol Terbanyak dalam Sejarah Final Piala Dunia   https://t.co/5zrQBGs6FP</t>
  </si>
  <si>
    <t>mbappe cetak gol terbanyak dalam sejarah final piala dunia</t>
  </si>
  <si>
    <t>['mbappe', 'cetak', 'gol', 'terbanyak', 'sejarah', 'final', 'piala', 'dunia']</t>
  </si>
  <si>
    <t>Mbappe√© diumur  23 tahun mampu membawa perancis back to back final piala dunia itu capaian yang luar biasa. Rispek</t>
  </si>
  <si>
    <t>mbappe diumur tahun mampu membawa perancis back back final piala dunia itu capaian yang luar biasa rispek</t>
  </si>
  <si>
    <t>['mbappe', 'diumur', 'tahun', 'mampu', 'membawa', 'perancis', 'back', 'back', 'final', 'piala', 'dunia', 'capaian', 'luar', 'biasa', 'rispek']</t>
  </si>
  <si>
    <t>Yang bilang piala dunia Qatar tahun ini kureng lah ga seru lah bacottt lu liat aja final nya seseru iniiii ü§∏ü§∏</t>
  </si>
  <si>
    <t>yang bilang piala dunia qatar tahun ini kureng lah seru lah bacottt liat aja final nya seseru iniiii</t>
  </si>
  <si>
    <t>['piala', 'dunia', 'qatar', 'tahun', 'kureng', 'lah', 'seru', 'lah', 'bacottt', 'lihat', 'final', 'seseru', 'iniiii']</t>
  </si>
  <si>
    <t>HASIL FINAL PIALA DUNIA 2022, ARGENTINA VS PERANCIS  https://t.co/y2vfmQI3yv lewat @YouTube</t>
  </si>
  <si>
    <t>hasil final piala dunia argentina perancis lewat</t>
  </si>
  <si>
    <t>['hasil', 'final', 'piala', 'dunia', 'argentina', 'perancis', 'lewat']</t>
  </si>
  <si>
    <t>Dari 1994 ini kyknya final terseru piala dunia.. #kyknontonsj üòÖ</t>
  </si>
  <si>
    <t>dari ini kyknya final terseru piala dunia</t>
  </si>
  <si>
    <t>['sepertinya', 'final', 'terseru', 'piala', 'dunia']</t>
  </si>
  <si>
    <t>Piala Dunia Tahun Ini adalah yang terbaik, tapi sekaligus juga terburuk bagi para penonton indonesia. Kenapa? Karena Broadcaster buruk yg bikin pengalaman nonton final bukannya degdegan malah bikin kesel. Gara gara @vidio tolol</t>
  </si>
  <si>
    <t>piala dunia tahun ini adalah yang terbaik tapi sekaligus juga terburuk bagi para penonton indonesia kenapa karena broadcaster buruk bikin pengalaman nonton final bukannya degdegan malah bikin kesel gara gara tolol</t>
  </si>
  <si>
    <t>['piala', 'dunia', 'tahun', 'terbaik', 'sekaligus', 'terburuk', 'penonton', 'indonesia', 'broadcaster', 'buruk', 'pengalaman', 'nonton', 'final', 'bukannya', 'degdegan', 'malah', 'kesel', 'gara', 'gara', 'tolol']</t>
  </si>
  <si>
    <t>Tamat sudah perdebatan the real goat sesungguhnya, selamat menikmati hari tuamu la pulga #MessiìÉµ   Dan ini menjadi piala dunia dengan drama terbaik di final setelah piala dunia afrika selatan 2010, epic moment #Qatar2022</t>
  </si>
  <si>
    <t>tamat sudah perdebatan the real goat sesungguhnya selamat menikmati hari tuamu pulga dan ini menjadi piala dunia dengan drama terbaik final setelah piala dunia afrika selatan epic moment</t>
  </si>
  <si>
    <t>['tamat', 'perdebatan', 'the', 'real', 'goat', 'sesungguhnya', 'selamat', 'menikmati', 'hari', 'tuamu', 'pulga', 'menjadi', 'piala', 'dunia', 'drama', 'terbaik', 'final', 'piala', 'dunia', 'afrika', 'selatan', 'epic', 'moment']</t>
  </si>
  <si>
    <t>Ini final piala dunia terbaik sejak gue pertama kali nonton 20 tahun lalu. ü•∞</t>
  </si>
  <si>
    <t>ini final piala dunia terbaik sejak gue pertama kali nonton tahun lalu</t>
  </si>
  <si>
    <t>['final', 'piala', 'dunia', 'terbaik', 'sejak', 'gue', 'pertama', 'kali', 'nonton', 'tahun', 'lalu']</t>
  </si>
  <si>
    <t>Final piala dunia tergila sepanjang masa</t>
  </si>
  <si>
    <t>final piala dunia tergila sepanjang masa</t>
  </si>
  <si>
    <t>['final', 'piala', 'dunia', 'tergila', 'sepanjang', 'masa']</t>
  </si>
  <si>
    <t>Sepakbola pemersatu bangsa, partai final terbaik yang pernah saya lihat dan 4 tahun kedepan saya menonton piala dunia bersama istri di rumah üòÅü§ó</t>
  </si>
  <si>
    <t>sepakbola pemersatu bangsa partai final terbaik yang pernah saya lihat dan tahun kedepan saya menonton piala dunia bersama istri rumah</t>
  </si>
  <si>
    <t>['sepakbola', 'pemersatu', 'bangsa', 'partai', 'final', 'terbaik', 'pernah', 'lihat', 'tahun', 'kedepan', 'menonton', 'piala', 'dunia', 'bersama', 'istri', 'rumah']</t>
  </si>
  <si>
    <t>Lah kok udah final aja. Baru jg mau nonton piala dunia...</t>
  </si>
  <si>
    <t>lah kok udah final aja baru mau nonton piala dunia</t>
  </si>
  <si>
    <t>['lah', 'kok', 'udah', 'final', 'baru', 'mau', 'nonton', 'piala', 'dunia']</t>
  </si>
  <si>
    <t>Final piala dunia terseru, nice try France, congrats Argentina üëè</t>
  </si>
  <si>
    <t>final piala dunia terseru nice try france congrats argentina</t>
  </si>
  <si>
    <t>['final', 'piala', 'dunia', 'terseru', 'nice', 'try', 'france', 'congrats', 'argentina']</t>
  </si>
  <si>
    <t>@idextratime Fix sih, ini final Piala Dunia yg sangat seru</t>
  </si>
  <si>
    <t>fix sih ini final piala dunia sangat seru</t>
  </si>
  <si>
    <t>['fix', 'final', 'piala', 'dunia', 'sangat', 'seru']</t>
  </si>
  <si>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</si>
  <si>
    <t>messi final world cup messi final world cup impian messi menjadi nyata setelah final world cup terakhir tahun lalu kalah final lawan german piala dunia dia ikuti sejak dan akhirnya angkat trofi juga greatest footballer all time</t>
  </si>
  <si>
    <t>['messi', 'final', 'world', 'cup', 'messi', 'final', 'world', 'cup', 'impian', 'messi', 'menjadi', 'nyata', 'final', 'world', 'cup', 'terakhir', 'tahun', 'lalu', 'kalah', 'final', 'lawan', 'german', 'piala', 'dunia', 'ikuti', 'sejak', 'akhirnya', 'angkat', 'trofi', 'greatest', 'footballer', 'all', 'time']</t>
  </si>
  <si>
    <t>&lt;FreqDist with 24 samples and 33 outcomes&gt;</t>
  </si>
  <si>
    <t>Selesai sudah penyelenggaran World Cup 2022. Terimakasih Qatar sudah memberikan panggung untuk semua pertandingan di piala dunia tahun ini. Final nya epic banget. Sekali lagi congratulations for Argentina! and see you in USA, Canada, Mexico 2026.</t>
  </si>
  <si>
    <t>selesai sudah penyelenggaran world cup terimakasih qatar sudah memberikan panggung untuk semua pertandingan piala dunia tahun ini final nya epic banget sekali lagi congratulations for argentina and see you usa canada mexico</t>
  </si>
  <si>
    <t>['selesai', 'penyelenggaran', 'world', 'cup', 'terimakasih', 'qatar', 'memberikan', 'panggung', 'semua', 'pertandingan', 'piala', 'dunia', 'tahun', 'final', 'epic', 'banget', 'sekali', 'congratulations', 'for', 'argentina', 'and', 'see', 'you', 'usa', 'canada', 'mexico']</t>
  </si>
  <si>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</si>
  <si>
    <t>fifa world cup final argentina prancis gol lionel messi angel maria kylian mbappe kylian mbappe argentina raih gelar juara piala dunia</t>
  </si>
  <si>
    <t>['fifa', 'world', 'cup', 'final', 'argentina', 'prancis', 'gol', 'lionel', 'messi', 'angel', 'maria', 'kylian', 'mbappe', 'kylian', 'mbappe', 'argentina', 'raih', 'gelar', 'juara', 'piala', 'dunia']</t>
  </si>
  <si>
    <t>Baru tau trnyta piala dunia final ya, pantesan rame amat</t>
  </si>
  <si>
    <t>baru tau trnyta piala dunia final pantesan rame amat</t>
  </si>
  <si>
    <t>['baru', 'trnyta', 'piala', 'dunia', 'final', 'pantesan', 'ramai']</t>
  </si>
  <si>
    <t>Ga ngerti2 amat sepak bola tapi ini kali pertama kalimya nonton final piala dunia sampe jantung mau copot. Selamat Argentinaa üî• keren banget Perancis üíØ  Messi &amp;amp; Mbappe aku padamu...</t>
  </si>
  <si>
    <t>ngerti amat sepak bola tapi ini kali pertama kalimya nonton final piala dunia sampe jantung mau copot selamat argentinaa keren banget perancis messi mbappe aku padamu</t>
  </si>
  <si>
    <t>['ngerti', 'sepak', 'bola', 'kali', 'pertama', 'kalimya', 'nonton', 'final', 'piala', 'dunia', 'sampai', 'jantung', 'mau', 'copot', 'selamat', 'argentinaa', 'keren', 'banget', 'perancis', 'messi', 'mbappe', 'aku', 'padamu']</t>
  </si>
  <si>
    <t>&lt;FreqDist with 23 samples and 23 outcomes&gt;</t>
  </si>
  <si>
    <t>Kylian Mbappe 'Top Skor Piala Dunia 2022'. Cetak 8 gol untuk Timnas #Prancis #FIFAWorldCup WHAT A GAME WHAT A FINAL   https://t.co/fhE6AQcFBh</t>
  </si>
  <si>
    <t>kylian mbappe top skor piala dunia cetak gol untuk timnas what game what final</t>
  </si>
  <si>
    <t>['kylian', 'mbappe', 'top', 'skor', 'piala', 'dunia', 'cetak', 'gol', 'timnas', 'what', 'game', 'what', 'final']</t>
  </si>
  <si>
    <t>terima kasih @vidio karena menayangkan Piala Dunia yang luar biasa. meski di final agak bapuk, tapi semoga ke depannya diperbaiki.  sampai ketemu di Piala Dunia U20 2023 di Indonesia.  jangan lupa bidding EURO 2024.</t>
  </si>
  <si>
    <t>terima kasih karena menayangkan piala dunia yang luar biasa meski final agak bapuk tapi semoga depannya diperbaiki sampai ketemu piala dunia indonesia jangan lupa bidding euro</t>
  </si>
  <si>
    <t>['terima', 'kasih', 'menayangkan', 'piala', 'dunia', 'luar', 'biasa', 'meski', 'final', 'bapuk', 'semoga', 'depannya', 'diperbaiki', 'ketemu', 'piala', 'dunia', 'indonesia', 'jangan', 'lupa', 'bidding', 'euro']</t>
  </si>
  <si>
    <t>Meski Kylian Mbappe gagal membawa Prancis menjadi juara Piala Dunia 2022, ia tetap pulang dengan membawa gelar top skor turnamen berkat hat-tricknya di final.  https://t.co/qpz4nZbuyj</t>
  </si>
  <si>
    <t>23 tahun. Hattrick di final. Masih bisa setidaknya 3 piala dunia! üê¢</t>
  </si>
  <si>
    <t>tahun hattrick final masih bisa setidaknya piala dunia</t>
  </si>
  <si>
    <t>['tahun', 'hattrick', 'final', 'piala', 'dunia']</t>
  </si>
  <si>
    <t>Final piala dunia terbaik yang pernah ada, gg Argentina nt Prancis</t>
  </si>
  <si>
    <t>final piala dunia terbaik yang pernah ada argentina prancis</t>
  </si>
  <si>
    <t>['final', 'piala', 'dunia', 'terbaik', 'pernah', 'argentina', 'prancis']</t>
  </si>
  <si>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</si>
  <si>
    <t>dibalik kekalahanmu hari ini ada suatu momen paling bersejarah dimana salah satu pemain dalam klub anda mencetak gol dalam final piala dunia dan ini adalah sejarah bagi dunia sepak bola selamat anda telah berjuang dengan segala apa yang anda miliki</t>
  </si>
  <si>
    <t>['dibalik', 'kekalahanmu', 'hari', 'suatu', 'momen', 'paling', 'bersejarah', 'salah', 'satu', 'pemain', 'klub', 'mencetak', 'gol', 'final', 'piala', 'dunia', 'sejarah', 'dunia', 'sepak', 'bola', 'selamat', 'berjuang', 'segala', 'apa', 'miliki']</t>
  </si>
  <si>
    <t>Bisa melihat final sang idola diterakir piala dunia dengan memegang pialaüá¶üá∑üá¶üá∑</t>
  </si>
  <si>
    <t>bisa melihat final sang idola diterakir piala dunia dengan memegang piala</t>
  </si>
  <si>
    <t>['melihat', 'final', 'sang', 'idola', 'diterakir', 'piala', 'dunia', 'memegang', 'piala']</t>
  </si>
  <si>
    <t>üëè Apresiasi buat Kylian Mbappe   üî• mencetak hat-trick di Final Piala Dunia 2022 üî• top skor Piala Dunia 2022 üî• 12 gol Piala Dunia dalam dua edisi  https://t.co/egZW2Nns3T</t>
  </si>
  <si>
    <t>apresiasi buat kylian mbappe mencetak hat trick final piala dunia top skor piala dunia gol piala dunia dalam dua edisi</t>
  </si>
  <si>
    <t>['apresiasi', 'buat', 'kylian', 'mbappe', 'mencetak', 'hat', 'trick', 'final', 'piala', 'dunia', 'top', 'skor', 'piala', 'dunia', 'gol', 'piala', 'dunia', 'edisi']</t>
  </si>
  <si>
    <t>&lt;FreqDist with 14 samples and 18 outcomes&gt;</t>
  </si>
  <si>
    <t>akhirnya GOAT angkat piala dunia! Congratulations Argentina üá¶üá∑  best final wc ever!.  #ARGFRA #FIFAWorldCup</t>
  </si>
  <si>
    <t>akhirnya goat angkat piala dunia congratulations argentina best final ever</t>
  </si>
  <si>
    <t>['akhirnya', 'goat', 'angkat', 'piala', 'dunia', 'congratulations', 'argentina', 'best', 'final', 'ever']</t>
  </si>
  <si>
    <t>36 tahun penantian.... hatrick pertama final piala dunia...</t>
  </si>
  <si>
    <t>tahun penantian hatrick pertama final piala dunia</t>
  </si>
  <si>
    <t>['tahun', 'penantian', 'hatrick', 'pertama', 'final', 'piala', 'dunia']</t>
  </si>
  <si>
    <t>Golden Ball untuk Lionel Messi sedangkan Golden Bootnya untuk Kylian Mbapp√©,,,salah satu final terbaik sepanjang perhelatan Piala Dunia, penuh drama dan diakhiri dengan Adu Penalti yang dimenangkan oleh Argentina</t>
  </si>
  <si>
    <t>golden ball untuk lionel messi sedangkan golden bootnya untuk kylian mbapp salah satu final terbaik sepanjang perhelatan piala dunia penuh drama dan diakhiri dengan adu penalti yang dimenangkan oleh argentina</t>
  </si>
  <si>
    <t>['golden', 'ball', 'lionel', 'messi', 'golden', 'bootnya', 'kylian', 'mbapp', 'salah', 'satu', 'final', 'terbaik', 'sepanjang', 'perhelatan', 'piala', 'dunia', 'penuh', 'drama', 'diakhiri', 'adu', 'penalti', 'dimenangkan', 'argentina']</t>
  </si>
  <si>
    <t>Argentina Juara Piala Dunia 2022, Final Rasa Messi vs Mbappe  https://t.co/E7eJbuBHXK</t>
  </si>
  <si>
    <t>argentina juara piala dunia final rasa messi mbappe</t>
  </si>
  <si>
    <t>['argentina', 'juara', 'piala', 'dunia', 'final', 'rasa', 'messi', 'mbappe']</t>
  </si>
  <si>
    <t>Final paling seru tahun ini dari awal nonton piala dunia 1998</t>
  </si>
  <si>
    <t>final paling seru tahun ini dari awal nonton piala dunia</t>
  </si>
  <si>
    <t>['final', 'paling', 'seru', 'tahun', 'awal', 'nonton', 'piala', 'dunia']</t>
  </si>
  <si>
    <t>nobar final piala dunia + free snack, enjoy with @loveydivey ü§ôüèª thx @CommuterLine  https://t.co/BybvMxTrjp</t>
  </si>
  <si>
    <t>nobar final piala dunia free snack enjoy with thx</t>
  </si>
  <si>
    <t>['nonton bareng', 'final', 'piala', 'dunia', 'free', 'snack', 'enjoy', 'with', 'thank you']</t>
  </si>
  <si>
    <t>Final piala Dunia terbaik sepanjang hidup gua. Dan terlihat jelas pemain terbaik sepanjang gua hidup Leonel Messi Gila lu gila lu gila lu. Ketika bakat dan kerja keras di satukan hasil ny mengerikan.  https://t.co/bfbpC0Ppp2</t>
  </si>
  <si>
    <t>final piala dunia terbaik sepanjang hidup gua dan terlihat jelas pemain terbaik sepanjang gua hidup leonel messi gila gila gila ketika bakat dan kerja keras satukan hasil mengerikan</t>
  </si>
  <si>
    <t>['final', 'piala', 'dunia', 'terbaik', 'sepanjang', 'hidup', 'gua', 'terlihat', 'jelas', 'pemain', 'terbaik', 'sepanjang', 'gua', 'hidup', 'leonel', 'messi', 'gila', 'gila', 'gila', 'bakat', 'kerja', 'keras', 'satukan', 'hasil', 'mengerikan']</t>
  </si>
  <si>
    <t>Final piala dunia jan gayeng tenan,yo ngene iki kurup</t>
  </si>
  <si>
    <t>final piala dunia jan gayeng tenan ngene iki kurup</t>
  </si>
  <si>
    <t>['final', 'piala', 'dunia', 'jan', 'gayeng', 'tenan', 'ngene', 'iki', 'kurup']</t>
  </si>
  <si>
    <t>LIVE SKOR Final Piala Dunia: Argentina vs Prancis, Babak Kedua Dimulai, Argentina Unggul 2-0  https://t.co/voiFRSiYDm</t>
  </si>
  <si>
    <t>live skor final piala dunia argentina prancis babak kedua dimulai argentina unggul</t>
  </si>
  <si>
    <t>['live', 'skor', 'final', 'piala', 'dunia', 'argentina', 'prancis', 'babak', 'kedua', 'dimulai', 'argentina', 'unggul']</t>
  </si>
  <si>
    <t>Wasit yang memimpin pertandingan final piala Dunia 2022  https://t.co/eqhkyk0o6v</t>
  </si>
  <si>
    <t>wasit yang memimpin pertandingan final piala dunia</t>
  </si>
  <si>
    <t>['wasit', 'memimpin', 'pertandingan', 'final', 'piala', 'dunia']</t>
  </si>
  <si>
    <t>Piala Dunia 2024 ada 2 kiper yg layak mendapatkan golden glove, Yassin Bounou dan Emiliano Martinez. Namun tetap yg terbaik hanya satu karena Emiliano Martinez lolos sampe Final dan menjuarai piala dunia kali ini. Yassin Bounou tetap juara di hatiü•πü•≥</t>
  </si>
  <si>
    <t>piala dunia ada kiper layak mendapatkan golden glove yassin bounou dan emiliano martinez namun tetap terbaik hanya satu karena emiliano martinez lolos sampe final dan menjuarai piala dunia kali ini yassin bounou tetap juara hati</t>
  </si>
  <si>
    <t>['piala', 'dunia', 'kiper', 'layak', 'mendapatkan', 'golden', 'glove', 'yassin', 'bounou', 'emiliano', 'martinez', 'tetap', 'terbaik', 'satu', 'emiliano', 'martinez', 'lolos', 'sampai', 'final', 'menjuarai', 'piala', 'dunia', 'kali', 'yassin', 'bounou', 'tetap', 'juara', 'hati']</t>
  </si>
  <si>
    <t>Good game Argentina, final yg sengit dan jadi laga terakhir messi di piala dunia. Thank's Capt Lionel Messi. VAMOUSS !!</t>
  </si>
  <si>
    <t>good game argentina final sengit dan jadi laga terakhir messi piala dunia thank capt lionel messi vamouss</t>
  </si>
  <si>
    <t>['good', 'game', 'argentina', 'final', 'sengit', 'jadi', 'laga', 'terakhir', 'messi', 'piala', 'dunia', 'thank', 'capt', 'lionel', 'messi', 'vamouss']</t>
  </si>
  <si>
    <t>cerita piala dunia 2022ü´∂ nonton final sama camerü§≠üòÖ</t>
  </si>
  <si>
    <t>cerita piala dunia nonton final sama camer</t>
  </si>
  <si>
    <t>['cerita', 'piala', 'dunia', 'nonton', 'final', 'sama', 'camer']</t>
  </si>
  <si>
    <t>Pak Presiden Prancis, tahun ini dah 2x lho aku dibikin "mbrebes" sama negaramu.  Waktu final motoGP sama final piala dunia tadiü•∫  üá®üáµüá®üáµüá®üáµüôå</t>
  </si>
  <si>
    <t>pak presiden prancis tahun ini dah lho aku dibikin mbrebes sama negaramu waktu final motogp sama final piala dunia tadi</t>
  </si>
  <si>
    <t>['pak', 'presiden', 'prancis', 'tahun', 'dah', 'lho', 'aku', 'dibikin', 'mbrebes', 'sama', 'negaramu', 'waktu', 'final', 'motogp', 'sama', 'final', 'piala', 'dunia', 'tadi']</t>
  </si>
  <si>
    <t>final piala dunia terbaik dan tergreget</t>
  </si>
  <si>
    <t>['final', 'piala', 'dunia', 'terbaik', 'tergreget']</t>
  </si>
  <si>
    <t>Salah satu gol berkelas dari @KMbappe di final piala dunia 2022 Qatar  #pojokmakassar  https://t.co/C7CXq6u1TZ</t>
  </si>
  <si>
    <t>salah satu gol berkelas dari final piala dunia qatar</t>
  </si>
  <si>
    <t>['salah', 'satu', 'gol', 'berkelas', 'final', 'piala', 'dunia', 'qatar']</t>
  </si>
  <si>
    <t>20 Desember besok Mbappe 24 tahun. 2 Piala dunia, 2 final piala dunia, 1 juara dunia, 12 Gol Piala dunia.</t>
  </si>
  <si>
    <t>desember besok mbappe tahun piala dunia final piala dunia juara dunia gol piala dunia</t>
  </si>
  <si>
    <t>['desember', 'besok', 'mbappe', 'tahun', 'piala', 'dunia', 'final', 'piala', 'dunia', 'juara', 'dunia', 'gol', 'piala', 'dunia']</t>
  </si>
  <si>
    <t>Final piala dunia yang seru ini hanya pengalihan issue kebijakan Twitter yang baru.  https://t.co/Jm5DRtoP5f</t>
  </si>
  <si>
    <t>final piala dunia yang seru ini hanya pengalihan issue kebijakan twitter yang baru</t>
  </si>
  <si>
    <t>['final', 'piala', 'dunia', 'seru', 'pengalihan', 'issue', 'kebijakan', 'twitter', 'baru']</t>
  </si>
  <si>
    <t>bisakah final piala dunia setiap hari??</t>
  </si>
  <si>
    <t>bisakah final piala dunia setiap hari</t>
  </si>
  <si>
    <t>['bisakah', 'final', 'piala', 'dunia', 'hari']</t>
  </si>
  <si>
    <t>Fun fact nonton final piala dunia bareng ibu :  1. Semua pemain bola dimiripin sama tetangga 2. Hah heh hoh kalo ada tendangan sudut atau pelanggaran 3. Sama-sama frustasi pas Argentina kebobolan 4. Happy ending, karna menang wkwk</t>
  </si>
  <si>
    <t>fun fact nonton final piala dunia bareng ibu semua pemain bola dimiripin sama tetangga hah heh hoh kalo ada tendangan sudut atau pelanggaran sama sama frustasi pas argentina kebobolan happy ending karna menang wkwk</t>
  </si>
  <si>
    <t>['fun', 'fact', 'nonton', 'final', 'piala', 'dunia', 'bareng', 'ibu', 'semua', 'pemain', 'bola', 'dimiripin', 'sama', 'tetangga', 'hah', 'heh', 'hoh', 'tendangan', 'sudut', 'pelanggaran', 'sama', 'sama', 'frustasi', 'pas', 'argentina', 'kebobolan', 'happy', 'ending', 'karna', 'menang']</t>
  </si>
  <si>
    <t>Ngene iki Ronaldo yo delok final ora yo Delok Messi ngangkat Piala Dunia</t>
  </si>
  <si>
    <t>ngene iki ronaldo delok final ora delok messi ngangkat piala dunia</t>
  </si>
  <si>
    <t>['ngene', 'iki', 'ronaldo', 'delok', 'final', 'ora', 'delok', 'messi', 'ngangkat', 'piala', 'dunia']</t>
  </si>
  <si>
    <t>Simpen disini. Saya salah satu dari milliar penonton yang menyaksikan  Final Sepak Bola Piala Dunia yang paling Spektakuler  https://t.co/IQ3oEg7KlG</t>
  </si>
  <si>
    <t>simpen disini saya salah satu dari milliar penonton yang menyaksikan final sepak bola piala dunia yang paling spektakuler</t>
  </si>
  <si>
    <t>['simpen', 'disini', 'salah', 'satu', 'milliar', 'penonton', 'menyaksikan', 'final', 'sepak', 'bola', 'piala', 'dunia', 'paling', 'spektakuler']</t>
  </si>
  <si>
    <t>FInal ini disetting supaya ane terharu liat messi angkat trophy piala duniaüò≠üò≠üò≠</t>
  </si>
  <si>
    <t>final ini disetting supaya ane terharu liat messi angkat trophy piala dunia</t>
  </si>
  <si>
    <t>['final', 'disetting', 'ane', 'terharu', 'lihat', 'messi', 'angkat', 'trophy', 'piala', 'dunia']</t>
  </si>
  <si>
    <t>Megah banget penutupan final Piala Dunia 2022.</t>
  </si>
  <si>
    <t>megah banget penutupan final piala dunia</t>
  </si>
  <si>
    <t>['megah', 'banget', 'penutupan', 'final', 'piala', 'dunia']</t>
  </si>
  <si>
    <t>#SonoraUpdate - Argentina menjadi juara Piala Dunia 2022 usai mengalahkan Perancis pada laga final Piala Dunia 2022 di Stadion Lusail, Minggu (18/12/2022) malam WIB.   https://t.co/zDZmGidsbp</t>
  </si>
  <si>
    <t>argentina menjadi juara piala dunia usai mengalahkan perancis pada laga final piala dunia stadion lusail minggu malam wib</t>
  </si>
  <si>
    <t>['argentina', 'menjadi', 'juara', 'piala', 'dunia', 'usai', 'mengalahkan', 'perancis', 'laga', 'final', 'piala', 'dunia', 'stadion', 'lusail', 'minggu', 'malam', 'wib']</t>
  </si>
  <si>
    <t>Meme kocak babak pertama Final Piala Dunia 2022. Lah babak kedua kok kena terkam Mbappe.  #EmtekWorldCup2022 #BolacomWorldCup2022 #PialaDunia2022 #PialaDunia   https://t.co/wc5aSnkV9V</t>
  </si>
  <si>
    <t>meme kocak babak pertama final piala dunia lah babak kedua kok kena terkam mbappe</t>
  </si>
  <si>
    <t>['meme', 'kocak', 'babak', 'pertama', 'final', 'piala', 'dunia', 'lah', 'babak', 'kedua', 'kok', 'kena', 'terkam', 'mbappe']</t>
  </si>
  <si>
    <t>Siap siap nonton final piala dunia</t>
  </si>
  <si>
    <t>siap siap nonton final piala dunia</t>
  </si>
  <si>
    <t>['siap', 'siap', 'nonton', 'final', 'piala', 'dunia']</t>
  </si>
  <si>
    <t>Timnas Argentina mengakhiri penantian 36 tahun dengan menjuarai Piala Dunia 2022 usai mengalahkan Prancis di final lewat adu penalti.  https://t.co/XlswtvSlhk</t>
  </si>
  <si>
    <t>timnas argentina mengakhiri penantian tahun dengan menjuarai piala dunia usai mengalahkan prancis final lewat adu penalti</t>
  </si>
  <si>
    <t>['timnas', 'argentina', 'mengakhiri', 'penantian', 'tahun', 'menjuarai', 'piala', 'dunia', 'usai', 'mengalahkan', 'prancis', 'final', 'lewat', 'adu', 'penalti']</t>
  </si>
  <si>
    <t>Italia masuk final Piala Dunia, diwakili sama Gianni Infantino ü§£</t>
  </si>
  <si>
    <t>italia masuk final piala dunia diwakili sama gianni infantino</t>
  </si>
  <si>
    <t>['italia', 'masuk', 'final', 'piala', 'dunia', 'diwakili', 'sama', 'gianni', 'infantino']</t>
  </si>
  <si>
    <t>Prancis 2x piala dunia lagi masih bisa tembus final ini.. Prospek pemain mudanya ngeri ngeri.. Argentina senior ampe kewalahan adepin prancis muda muda wkwkwkw</t>
  </si>
  <si>
    <t>prancis piala dunia lagi masih bisa tembus final ini prospek pemain mudanya ngeri ngeri argentina senior ampe kewalahan adepin prancis muda muda wkwkwkw</t>
  </si>
  <si>
    <t>['prancis', 'piala', 'dunia', 'tembus', 'final', 'prospek', 'pemain', 'mudanya', 'ngeri', 'ngeri', 'argentina', 'senior', 'sampai', 'kewalahan', 'adepin', 'prancis', 'muda', 'muda', 'wkwkwkw']</t>
  </si>
  <si>
    <t>Partai Final Terbaik Sepanjang Sejarah Piala Dunia Argentina vs Prancis Piala Dunia Qatar 2022  https://t.co/N6I2XDcYTo</t>
  </si>
  <si>
    <t>partai final terbaik sepanjang sejarah piala dunia argentina prancis piala dunia qatar</t>
  </si>
  <si>
    <t>['partai', 'final', 'terbaik', 'sepanjang', 'sejarah', 'piala', 'dunia', 'argentina', 'prancis', 'piala', 'dunia', 'qatar']</t>
  </si>
  <si>
    <t>Keseruan Nobar Final Piala Dunia Argentina Vs Francis,  Qatar 2022 Bersama Panglima Divisi Infanteri 3 Kostrad...  tniadmengabdidanmembangunbersamarakyat #divisi3kostrad #infocakraofficial   @puspentni  @tni_angkatan_darat @penkostrad  @divif3kostrad  https://t.co/RecuutGIRU</t>
  </si>
  <si>
    <t>keseruan nobar final piala dunia argentina francis qatar bersama panglima divisi infanteri kostrad tniadmengabdidanmembangunbersamarakyat angkatan darat</t>
  </si>
  <si>
    <t>['keseruan', 'nonton bareng', 'final', 'piala', 'dunia', 'argentina', 'francis', 'qatar', 'bersama', 'panglima', 'divisi', 'infanteri', 'kostrad', 'tniadmengabdidanmembangunbersamarakyat', 'angkatan', 'darat']</t>
  </si>
  <si>
    <t>Mbapp√© keren sih, asli bener bener keren! Gendong prancis sendirian, sayangnya temen¬≤nya kek gitu.  Final Piala dunia yang seru</t>
  </si>
  <si>
    <t>mbapp keren sih asli bener bener keren gendong prancis sendirian sayangnya temen nya kek gitu final piala dunia yang seru</t>
  </si>
  <si>
    <t>['mbapp', 'keren', 'asli', 'benar', 'benar', 'keren', 'gendong', 'prancis', 'sendirian', 'sayangnya', 'temen', 'kek', 'gitu', 'final', 'piala', 'dunia', 'seru']</t>
  </si>
  <si>
    <t>It's oke, gapapa France kalah, tp Mbapp√© keren bgt anjrit, wkwk Babak pertama sempet pesimis, terus babak kedua langsung optimis campur deg¬≤an karna 2 gol dari Mbapp√©. Ternyata pas penalti kalah, wkwk gapapa. Btw final piala dunia ter-engghhh!!! üëèüá´üá∑</t>
  </si>
  <si>
    <t>oke gapapa france kalah mbapp keren bgt anjrit wkwk babak pertama sempet pesimis terus babak kedua langsung optimis campur deg karna gol dari mbapp ternyata pas penalti kalah wkwk gapapa btw final piala dunia ter engghhh</t>
  </si>
  <si>
    <t>['oke', 'gapapa', 'france', 'kalah', 'mbapp', 'keren', 'banget', 'anjrit', 'babak', 'pertama', 'sempet', 'pesimis', 'terus', 'babak', 'kedua', 'langsung', 'optimis', 'campur', 'deg', 'karna', 'gol', 'mbapp', 'ternyata', 'pas', 'penalti', 'kalah', 'gapapa', 'by the way', 'final', 'piala', 'dunia', 'ter', 'engghhh']</t>
  </si>
  <si>
    <t>&lt;FreqDist with 29 samples and 33 outcomes&gt;</t>
  </si>
  <si>
    <t>„ÄêHIGHLIGHTS„Äë Argentina vs. France | Final #FIFAWorldCup 2022  Argentina vs Francia Final Copa del Mundo 2022 France vs Argentine | R√©sum√©  Coupe du Monde Prancis Piala Dunia, Penalti, Kolo Muani, GREATEST OF ALL TIME, WHAT A FINAL, Drake,  Messi,  Mbappe  https://t.co/ADNf7NXTEc</t>
  </si>
  <si>
    <t>highlights argentina france final argentina francia final copa del mundo france argentine sum coupe monde prancis piala dunia penalti kolo muani greatest all time what final drake messi mbappe</t>
  </si>
  <si>
    <t>['highlights', 'argentina', 'france', 'final', 'argentina', 'francia', 'final', 'copa', 'del', 'mundo', 'france', 'argentine', 'sum', 'coupe', 'monde', 'prancis', 'piala', 'dunia', 'penalti', 'kolo', 'muani', 'greatest', 'all', 'time', 'what', 'final', 'drake', 'messi', 'mbappe']</t>
  </si>
  <si>
    <t>Kita jadi saksi partai final terbaik sepanjang sejarah Piala Duniaüëçüåèüí™  Selamat Argentina üá¶üá∑ Terima kasih Prancis üá´üá∑  #ArgentinaVsFrance #FIFAWorldCup #WorldCup #Qatar2022 #Mbappe #MessiìÉµ  https://t.co/PgE7fKcU20</t>
  </si>
  <si>
    <t>kita jadi saksi partai final terbaik sepanjang sejarah piala dunia selamat argentina terima kasih prancis</t>
  </si>
  <si>
    <t>['jadi', 'saksi', 'partai', 'final', 'terbaik', 'sepanjang', 'sejarah', 'piala', 'dunia', 'selamat', 'argentina', 'terima', 'kasih', 'prancis']</t>
  </si>
  <si>
    <t>Final Piala Dunia terbaik üî•üî•.. Keduanya layak Juara.  Selamat Argentina üèÜü•á</t>
  </si>
  <si>
    <t>final piala dunia terbaik keduanya layak juara selamat argentina</t>
  </si>
  <si>
    <t>['final', 'piala', 'dunia', 'terbaik', 'keduanya', 'layak', 'juara', 'selamat', 'argentina']</t>
  </si>
  <si>
    <t>Coba absen kalian fans siapa di final piala dunia 2022 tadi,gue sih Perancis</t>
  </si>
  <si>
    <t>coba absen kalian fans siapa final piala dunia tadi gue sih perancis</t>
  </si>
  <si>
    <t>['coba', 'absen', 'kalian', 'fans', 'siapa', 'final', 'piala', 'dunia', 'tadi', 'gue', 'perancis']</t>
  </si>
  <si>
    <t>Piala Dunia kok kurang berasa kemeriahannya? Piala Dunia kok sepi? Yeee... Karena kemaren-kemaren memang belum dimulai aja bangsat... Nihh begitu digelar seru juga kan, menghadirkan salah satu pertandingan final terbaik Piala Dunia yang pernah ada sepanjang masa.</t>
  </si>
  <si>
    <t>piala dunia kok kurang berasa kemeriahannya piala dunia kok sepi yeee karena kemaren kemaren memang belum dimulai aja bangsat nihh begitu digelar seru juga kan menghadirkan salah satu pertandingan final terbaik piala dunia yang pernah ada sepanjang masa</t>
  </si>
  <si>
    <t>['piala', 'dunia', 'kok', 'kurang', 'berasa', 'kemeriahannya', 'piala', 'dunia', 'kok', 'sepi', 'yeee', 'kemarin', 'kemarin', 'memang', 'dimulai', 'bangsat', 'nihh', 'digelar', 'seru', 'kan', 'menghadirkan', 'salah', 'satu', 'pertandingan', 'final', 'terbaik', 'piala', 'dunia', 'pernah', 'sepanjang', 'masa']</t>
  </si>
  <si>
    <t>seru bgt final piala dunia tahun ini gila</t>
  </si>
  <si>
    <t>['seru', 'banget', 'final', 'piala', 'dunia', 'tahun', 'gila']</t>
  </si>
  <si>
    <t>Hasil Final Piala Dunia 2022 Argentina vs Prancis: 3-3 (4-2p), Messi Resmi GOAT Sejati  https://t.co/fMZA6ZOm8O #MessiìÉµ #Messi #GOATìÉµ Di Maria, Emi Martinez, Piala Dunia, GREATEST ALL OF TIME</t>
  </si>
  <si>
    <t>hasil final piala dunia argentina prancis messi resmi goat sejati maria emi martinez piala dunia greatest all time</t>
  </si>
  <si>
    <t>['hasil', 'final', 'piala', 'dunia', 'argentina', 'prancis', 'messi', 'resmi', 'goat', 'sejati', 'maria', 'emi', 'martinez', 'piala', 'dunia', 'greatest', 'all', 'time']</t>
  </si>
  <si>
    <t>Messi luar biasa, Mbappe dasyat. Terima kasih untuk final terbaik dalam sejarah piala dunia, selamat Argentina üî•üëå</t>
  </si>
  <si>
    <t>messi luar biasa mbappe dasyat terima kasih untuk final terbaik dalam sejarah piala dunia selamat argentina</t>
  </si>
  <si>
    <t>['messi', 'luar', 'biasa', 'mbappe', 'dasyat', 'terima', 'kasih', 'final', 'terbaik', 'sejarah', 'piala', 'dunia', 'selamat', 'argentina']</t>
  </si>
  <si>
    <t>Skor tadi malem berapa ya? aku ketiduran mau nonton final piala dunia, malah nonton ini aku    https://t.co/FgfIy4yr1F  https://t.co/xSG1YBw1C5  https://t.co/hEpp5lBzcR  https://t.co/7lxjYfoqzh  https://t.co/NQ0NgO65mG  Seru juga  #MessiìÉµday #Argentina #FrancevsArgentina #WorldCup  https://t.co/vlVKwBQrhb</t>
  </si>
  <si>
    <t>skor tadi malem berapa aku ketiduran mau nonton final piala dunia malah nonton ini aku seru juga day</t>
  </si>
  <si>
    <t>['skor', 'tadi', 'malem', 'berapa', 'aku', 'ketiduran', 'mau', 'nonton', 'final', 'piala', 'dunia', 'malah', 'nonton', 'aku', 'seru', 'day']</t>
  </si>
  <si>
    <t>Kylian Mbappe Cetak Hat-trick di Final Piala Dunia 2022, Samai Rekor Geoff Hurst  https://t.co/hNBXlxqvhR</t>
  </si>
  <si>
    <t>sumpah seru banget final piala dunia hari ini. untung nonton ü•πü´∂üèª</t>
  </si>
  <si>
    <t>sumpah seru banget final piala dunia hari ini untung nonton</t>
  </si>
  <si>
    <t>['sumpah', 'seru', 'banget', 'final', 'piala', 'dunia', 'hari', 'untung', 'nonton']</t>
  </si>
  <si>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</si>
  <si>
    <t>mbappe menang anugerah kasut emas selepas jaringkan gol pada edisi kali ini termasuk jaringan hatrik aksi final dia setakat ini berjaya jaringkan gol piala dunia hanya menerusi penampilan</t>
  </si>
  <si>
    <t>['mbappe', 'menang', 'anugerah', 'kasut', 'emas', 'selepas', 'jaringkan', 'gol', 'edisi', 'kali', 'termasuk', 'jaringan', 'hatrik', 'aksi', 'final', 'setakat', 'berjaya', 'jaringkan', 'gol', 'piala', 'dunia', 'menerusi', 'penampilan']</t>
  </si>
  <si>
    <t>Selamat untuk Argentina jadi juaranya, pertandingan yg seru dan sangat menghibur, Terimakasih juga Prancis udah keren pokonyamah, tim yg lain juga keren tanpa mereka gak akan ada pertandingan final piala dunia Argentina vs Prancis. Jayalah semuanya!</t>
  </si>
  <si>
    <t>selamat untuk argentina jadi juaranya pertandingan seru dan sangat menghibur terimakasih juga prancis udah keren pokonyamah tim lain juga keren tanpa mereka gak akan ada pertandingan final piala dunia argentina prancis jayalah semuanya</t>
  </si>
  <si>
    <t>['selamat', 'argentina', 'jadi', 'juaranya', 'pertandingan', 'seru', 'sangat', 'menghibur', 'terimakasih', 'prancis', 'udah', 'keren', 'pokonyamah', 'tim', 'keren', 'pertandingan', 'final', 'piala', 'dunia', 'argentina', 'prancis', 'jayalah', 'semuanya']</t>
  </si>
  <si>
    <t>Final Piala Dunia Terbaik. Setelah drama 6 gol, akhirnya Argentina berhasil membawa pulang gelar Juara Dunia #FIFAWorldCup #FIFAWorldCupFinal #MessiìÉµ #ARGFRA    https://t.co/5VuFK5tj9R</t>
  </si>
  <si>
    <t>final piala dunia terbaik setelah drama gol akhirnya argentina berhasil membawa pulang gelar juara dunia</t>
  </si>
  <si>
    <t>['final', 'piala', 'dunia', 'terbaik', 'drama', 'gol', 'akhirnya', 'argentina', 'berhasil', 'membawa', 'pulang', 'gelar', 'juara', 'dunia']</t>
  </si>
  <si>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</si>
  <si>
    <t>persetan dengan argentina atau portugal persetan ronaldo atau messi perdebatan selsai siapa yang goat sesungguh nya tapi dimana ada pemain madrid disitu gua akan dukung menang atau kalah head kalian sudah terbaik sampe final piala dunia</t>
  </si>
  <si>
    <t>['persetan', 'argentina', 'portugal', 'persetan', 'ronaldo', 'messi', 'perdebatan', 'selsai', 'siapa', 'goat', 'sesungguh', 'pemain', 'madrid', 'disitu', 'gua', 'dukung', 'menang', 'kalah', 'head', 'kalian', 'terbaik', 'sampai', 'final', 'piala', 'dunia']</t>
  </si>
  <si>
    <t>Salah satu final world cup terbaik sepanjang sejarah. Dibuat senam jantung dari awal sampe akhir laga. Selamat argentina dan messi yg akhirnya bisa juara piala dunia. Respect buat prancis yg bisa comeback 2 kali sampe adu penalti walaupun akhirnya kalah.</t>
  </si>
  <si>
    <t>salah satu final world cup terbaik sepanjang sejarah dibuat senam jantung dari awal sampe akhir laga selamat argentina dan messi akhirnya bisa juara piala dunia respect buat prancis bisa comeback kali sampe adu penalti walaupun akhirnya kalah</t>
  </si>
  <si>
    <t>['salah', 'satu', 'final', 'world', 'cup', 'terbaik', 'sepanjang', 'sejarah', 'dibuat', 'senam', 'jantung', 'awal', 'sampai', 'akhir', 'laga', 'selamat', 'argentina', 'messi', 'akhirnya', 'juara', 'piala', 'dunia', 'respect', 'buat', 'prancis', 'comeback', 'kali', 'sampai', 'adu', 'penalti', 'walaupun', 'akhirnya', 'kalah']</t>
  </si>
  <si>
    <t>Final piala dunia seru BGTTTT</t>
  </si>
  <si>
    <t>final piala dunia seru bgtttt</t>
  </si>
  <si>
    <t>['final', 'piala', 'dunia', 'seru', 'bgtttt']</t>
  </si>
  <si>
    <t>Walau sempat dipandang sebelah mata, dipojokkan media, Piala Dunia Qatar menjelma menjadi Piala Dunia terbaik!  Mulai dari opening yg emosional, kejutan-kejutan di fase grup, hospitality tuan rumah yg top, lalu ditutup pertandingan Final yg epic. #Qatar2022 #WorldCup2022</t>
  </si>
  <si>
    <t>walau sempat dipandang sebelah mata dipojokkan media piala dunia qatar menjelma menjadi piala dunia terbaik mulai dari opening emosional kejutan kejutan fase grup hospitality tuan rumah top lalu ditutup pertandingan final epic</t>
  </si>
  <si>
    <t>['sempat', 'dipandang', 'sebelah', 'mata', 'dipojokkan', 'media', 'piala', 'dunia', 'qatar', 'menjelma', 'menjadi', 'piala', 'dunia', 'terbaik', 'mulai', 'opening', 'emosional', 'kejutan', 'kejutan', 'fase', 'grup', 'hospitality', 'tuan', 'rumah', 'top', 'lalu', 'ditutup', 'pertandingan', 'final', 'epic']</t>
  </si>
  <si>
    <t>@idextratime Mainnya ampas, tp  1. Di penyisihan Pildun garang dan tak tergantikan 2. Di Final Pildun sebagai pemain pengganti yg menciptakan peluang gol ketiga.  3. Mengangkat trofi piala üèÜ dunia.</t>
  </si>
  <si>
    <t>mainnya ampas penyisihan pildun garang dan tak tergantikan final pildun sebagai pemain pengganti menciptakan peluang gol ketiga mengangkat trofi piala dunia</t>
  </si>
  <si>
    <t>['mainnya', 'ampas', 'penyisihan', 'piala dunia', 'garang', 'tak', 'tergantikan', 'final', 'piala dunia', 'pemain', 'pengganti', 'menciptakan', 'peluang', 'gol', 'ketiga', 'mengangkat', 'trofi', 'piala', 'dunia']</t>
  </si>
  <si>
    <t>Suara gw ampe serak gara gara final piala dunia</t>
  </si>
  <si>
    <t>suara ampe serak gara gara final piala dunia</t>
  </si>
  <si>
    <t>['suara', 'sampai', 'serak', 'gara', 'gara', 'final', 'piala', 'dunia']</t>
  </si>
  <si>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</si>
  <si>
    <t>arc sudah akhir cerita plot cerita yang sangat epic konflik cerita antara pemain terbaik mencapai klimaks piala dunia qatar dengan kemenangan argentina final mencatatkan dia sebagai goat sepak bola dan ronaldo menjadi figur panutan atlet muda</t>
  </si>
  <si>
    <t>['arc', 'akhir', 'cerita', 'plot', 'cerita', 'sangat', 'epic', 'konflik', 'cerita', 'pemain', 'terbaik', 'mencapai', 'klimaks', 'piala', 'dunia', 'qatar', 'kemenangan', 'argentina', 'final', 'mencatatkan', 'goat', 'sepak', 'bola', 'ronaldo', 'menjadi', 'figur', 'panutan', 'atlet', 'muda']</t>
  </si>
  <si>
    <t>di atas drama korea masih ada final piala dunia 2022.  dramatic bgt</t>
  </si>
  <si>
    <t>atas drama korea masih ada final piala dunia dramatic bgt</t>
  </si>
  <si>
    <t>['atas', 'drama', 'korea', 'final', 'piala', 'dunia', 'dramatic', 'banget']</t>
  </si>
  <si>
    <t>Di Piala Dunia 2022 ini, yang menang bukan cuma Argentina. Tetapi para penggemar sepak bola di seluruh dunia  Kita telah disuguhkan dengan pertandingan¬≤ yang seru untuk ditonton dari awal hingga ditutup dengan final yang terepik sepanjang sejarah.</t>
  </si>
  <si>
    <t>piala dunia ini yang menang bukan cuma argentina tetapi para penggemar sepak bola seluruh dunia kita telah disuguhkan dengan pertandingan yang seru untuk ditonton dari awal hingga ditutup dengan final yang terepik sepanjang sejarah</t>
  </si>
  <si>
    <t>['piala', 'dunia', 'menang', 'bukan', 'cuma', 'argentina', 'penggemar', 'sepak', 'bola', 'seluruh', 'dunia', 'disuguhkan', 'pertandingan', 'seru', 'ditonton', 'awal', 'hingga', 'ditutup', 'final', 'terepik', 'sepanjang', 'sejarah']</t>
  </si>
  <si>
    <t>Jalanan sepi bgt yak,semua pada nonton final piala dunia sih...</t>
  </si>
  <si>
    <t>jalanan sepi bgt yak semua pada nonton final piala dunia sih</t>
  </si>
  <si>
    <t>['jalanan', 'sepi', 'banget', 'yak', 'semua', 'nonton', 'final', 'piala', 'dunia']</t>
  </si>
  <si>
    <t>LIVE SKOR Final Piala Dunia: Argentina vs Prancis, Hingga Menit 55 Argentina Masih Unggul 2-0  https://t.co/tmuhm34nR1</t>
  </si>
  <si>
    <t>live skor final piala dunia argentina prancis hingga menit argentina masih unggul</t>
  </si>
  <si>
    <t>['live', 'skor', 'final', 'piala', 'dunia', 'argentina', 'prancis', 'hingga', 'menit', 'argentina', 'unggul']</t>
  </si>
  <si>
    <t>Hasil Final Piala Dunia 2022: Argentina Menang Lawan Prancis, Mbape Hattrick, Messi Man of the Match untuk Tim Tango  https://t.co/8wS0xaJLMQ lewat @Mambruks.com</t>
  </si>
  <si>
    <t>hasil final piala dunia argentina menang lawan prancis mbape hattrick messi man the match untuk tim tango lewat com</t>
  </si>
  <si>
    <t>['hasil', 'final', 'piala', 'dunia', 'argentina', 'menang', 'lawan', 'prancis', 'mbape', 'hattrick', 'messi', 'man', 'the', 'match', 'tim', 'tango', 'lewat', 'com']</t>
  </si>
  <si>
    <t>Final piala dunia terbaik.</t>
  </si>
  <si>
    <t>Kylian Mbappe resmi jadi top skor Piala Dunia 2022 mengalahkan Lionel Messi setelah menciptakan hattrick di final Argentina vs Prancis  https://t.co/wQo1uT7KN4</t>
  </si>
  <si>
    <t>kylian mbappe resmi jadi top skor piala dunia mengalahkan lionel messi setelah menciptakan hattrick final argentina prancis</t>
  </si>
  <si>
    <t>['kylian', 'mbappe', 'resmi', 'jadi', 'top', 'skor', 'piala', 'dunia', 'mengalahkan', 'lionel', 'messi', 'menciptakan', 'hattrick', 'final', 'argentina', 'prancis']</t>
  </si>
  <si>
    <t>Seru bgt final piala dunia.</t>
  </si>
  <si>
    <t>seru bgt final piala dunia</t>
  </si>
  <si>
    <t>['seru', 'banget', 'final', 'piala', 'dunia']</t>
  </si>
  <si>
    <t>Messi sama Mbappe sama sama ngerasain 2 final piala dunia, menang dan kalah üëèüèº</t>
  </si>
  <si>
    <t>messi sama mbappe sama sama ngerasain final piala dunia menang dan kalah</t>
  </si>
  <si>
    <t>['messi', 'sama', 'mbappe', 'sama', 'sama', 'ngerasain', 'final', 'piala', 'dunia', 'menang', 'kalah']</t>
  </si>
  <si>
    <t>@gultooooom Msh 23 tahun tp udah hatrick di final piala dunia. Gw umur segitu ngoprek motor</t>
  </si>
  <si>
    <t>msh tahun udah hatrick final piala dunia umur segitu ngoprek motor</t>
  </si>
  <si>
    <t>['msh', 'tahun', 'udah', 'hatrick', 'final', 'piala', 'dunia', 'umur', 'segitu', 'ngoprek', 'motor']</t>
  </si>
  <si>
    <t>@erickthohir @KMbappe The real final dan bisa jadi ini final piala dunia terbaik</t>
  </si>
  <si>
    <t>the real final dan bisa jadi ini final piala dunia terbaik</t>
  </si>
  <si>
    <t>['the', 'real', 'final', 'jadi', 'final', 'piala', 'dunia', 'terbaik']</t>
  </si>
  <si>
    <t>Terima kasih Leo Messi sudah mau membayari penyakit asma saya yang kambuh abis final Piala Dunia 2014</t>
  </si>
  <si>
    <t>terima kasih leo messi sudah mau membayari penyakit asma saya yang kambuh abis final piala dunia</t>
  </si>
  <si>
    <t>['terima', 'kasih', 'leo', 'messi', 'mau', 'membayari', 'penyakit', 'asma', 'kambuh', 'abis', 'final', 'piala', 'dunia']</t>
  </si>
  <si>
    <t>Si paling niat nonton Final Piala Duniaü§£  https://t.co/xm95Zc5Vm0</t>
  </si>
  <si>
    <t>paling niat nonton final piala dunia</t>
  </si>
  <si>
    <t>['paling', 'niat', 'nonton', 'final', 'piala', 'dunia']</t>
  </si>
  <si>
    <t>Pertandingan final yang sangat pantas untuk mengakhiri piala dunia kali ini, epic sekali, seru sampai menit terakhir</t>
  </si>
  <si>
    <t>pertandingan final yang sangat pantas untuk mengakhiri piala dunia kali ini epic sekali seru sampai menit terakhir</t>
  </si>
  <si>
    <t>['pertandingan', 'final', 'sangat', 'pantas', 'mengakhiri', 'piala', 'dunia', 'kali', 'epic', 'sekali', 'seru', 'menit', 'terakhir']</t>
  </si>
  <si>
    <t>18 taun idup dengan melewati 6x piala dunia, 2022 menjadi final terbaik piala dunia</t>
  </si>
  <si>
    <t>taun idup dengan melewati piala dunia menjadi final terbaik piala dunia</t>
  </si>
  <si>
    <t>['taun', 'idup', 'melewati', 'piala', 'dunia', 'menjadi', 'final', 'terbaik', 'piala', 'dunia']</t>
  </si>
  <si>
    <t>Me waiting for ada yg nge-upload di Youtube komen-komennya Keisuke Honda di final Piala Dunia ini ü§£</t>
  </si>
  <si>
    <t>waiting for ada nge upload youtube komen komennya keisuke honda final piala dunia ini</t>
  </si>
  <si>
    <t>['waiting', 'for', 'nge', 'upload', 'youtube', 'komen', 'komennya', 'keisuke', 'honda', 'final', 'piala', 'dunia']</t>
  </si>
  <si>
    <t>Luar biasa antusias warga mesir nobar final piala dunia 2022 Qatar üòÇüòÇüëèüèº   . . #PialaDunia2022 #PialaDuniaQatar2022 #wordcup2022 #mesir #indonesia  https://t.co/cpE05jyCYw</t>
  </si>
  <si>
    <t>luar biasa antusias warga mesir nobar final piala dunia qatar</t>
  </si>
  <si>
    <t>['luar', 'biasa', 'antusias', 'warga', 'mesir', 'nonton bareng', 'final', 'piala', 'dunia', 'qatar']</t>
  </si>
  <si>
    <t>Argentina berhasil merebut trofi juara Piala Dunia 2022. Argentina mengalahkan Prancis di final lewat adu penalti 4-2, usai bermain seri 3-3 sampai extra time.  https://t.co/ZqYFrXS3cQ</t>
  </si>
  <si>
    <t>argentina berhasil merebut trofi juara piala dunia argentina mengalahkan prancis final lewat adu penalti usai bermain seri sampai extra time</t>
  </si>
  <si>
    <t>['argentina', 'berhasil', 'merebut', 'trofi', 'juara', 'piala', 'dunia', 'argentina', 'mengalahkan', 'prancis', 'final', 'lewat', 'adu', 'penalti', 'usai', 'bermain', 'seri', 'extra', 'time']</t>
  </si>
  <si>
    <t>@desmannico terpantau terharu usai menonton final piala dunia 2022</t>
  </si>
  <si>
    <t>terpantau terharu usai menonton final piala dunia</t>
  </si>
  <si>
    <t>['terpantau', 'terharu', 'usai', 'menonton', 'final', 'piala', 'dunia']</t>
  </si>
  <si>
    <t>Desas-Desus Karim Benzema, Jelang Final Piala Dunia 2022 Qatar  #FIFAWorldCup #WorldCup #Qatar2022 #BRILIANFest2022   https://t.co/RVTRhni2gU</t>
  </si>
  <si>
    <t>desas desus karim benzema jelang final piala dunia qatar</t>
  </si>
  <si>
    <t>['desas', 'desus', 'karim', 'benzema', 'jelang', 'final', 'piala', 'dunia', 'qatar']</t>
  </si>
  <si>
    <t>Mungkin bukan piala dunia terbaik tapi jelas, ini final piala dunia terbaik yang pernah kutonton.  ARGENTINA CAMPIONE DEL MUNDO! üèÜ</t>
  </si>
  <si>
    <t>mungkin bukan piala dunia terbaik tapi jelas ini final piala dunia terbaik yang pernah kutonton argentina campione del mundo</t>
  </si>
  <si>
    <t>['mungkin', 'bukan', 'piala', 'dunia', 'terbaik', 'jelas', 'final', 'piala', 'dunia', 'terbaik', 'pernah', 'kutonton', 'argentina', 'campione', 'del', 'mundo']</t>
  </si>
  <si>
    <t>Nonton bola klo pas piala dunia aja Dan pas final aja....langsung jagoin Argentina krn ada Messi...eh menang....aku terhuraa....üò≠üò≠üò≠ Messi aku padamuuu #FinalWorldCup2022 #ArgentinaVsFrance</t>
  </si>
  <si>
    <t>nonton bola klo pas piala dunia aja dan pas final aja langsung jagoin argentina krn ada messi menang aku terhuraa messi aku padamuuu</t>
  </si>
  <si>
    <t>['nonton', 'bola', 'pas', 'piala', 'dunia', 'pas', 'final', 'langsung', 'jagoin', 'argentina', 'messi', 'menang', 'aku', 'terhuraa', 'messi', 'aku', 'padamuuu']</t>
  </si>
  <si>
    <t>Partai final paling seru piala Dunia menurut gue gk bisa nebak keren</t>
  </si>
  <si>
    <t>partai final paling seru piala dunia menurut gue bisa nebak keren</t>
  </si>
  <si>
    <t>['partai', 'final', 'paling', 'seru', 'piala', 'dunia', 'gue', 'nebak', 'keren']</t>
  </si>
  <si>
    <t>Selamat buat argentina, dan perjuangan prancis terbaik tapi kandas di pinalti, final piala dunia terbaik  https://t.co/Uy6Ec21sdm</t>
  </si>
  <si>
    <t>selamat buat argentina dan perjuangan prancis terbaik tapi kandas pinalti final piala dunia terbaik</t>
  </si>
  <si>
    <t>['selamat', 'buat', 'argentina', 'perjuangan', 'prancis', 'terbaik', 'kandas', 'penalti', 'final', 'piala', 'dunia', 'terbaik']</t>
  </si>
  <si>
    <t>Dengan tambahan 6 gol di final, Total gol selama piala dunia qatar 2022 sebanyak 173 gol, tersubur melampaui piala dunia prancis 1998 dan piala dunia brazil 2014 sebanyak 172</t>
  </si>
  <si>
    <t>dengan tambahan gol final total gol selama piala dunia qatar sebanyak gol tersubur melampaui piala dunia prancis dan piala dunia brazil sebanyak</t>
  </si>
  <si>
    <t>['tambahan', 'gol', 'final', 'total', 'gol', 'selama', 'piala', 'dunia', 'qatar', 'sebanyak', 'gol', 'tersubur', 'melampaui', 'piala', 'dunia', 'prancis', 'piala', 'dunia', 'brazil', 'sebanyak']</t>
  </si>
  <si>
    <t>&lt;FreqDist with 13 samples and 20 outcomes&gt;</t>
  </si>
  <si>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</si>
  <si>
    <t>terimakasih bisa melihat final terbaik piala dunia yang pernah ada fatihah buat kakakku menetes air mataku argentina akhirnya juara lagi kak rudy pertama kali kita nonton piala dunia mexico bersama tvri tahun dulu maradona sekarang messi</t>
  </si>
  <si>
    <t>['terimakasih', 'melihat', 'final', 'terbaik', 'piala', 'dunia', 'pernah', 'fatihah', 'buat', 'kakakku', 'menetes', 'air', 'mataku', 'argentina', 'akhirnya', 'juara', 'kak', 'rudy', 'pertama', 'kali', 'nonton', 'piala', 'dunia', 'mexico', 'bersama', 'tvri', 'tahun', 'dulu', 'maradona', 'sekarang', 'messi']</t>
  </si>
  <si>
    <t>Final piala dunia Argentina Vs Ghana ini mah</t>
  </si>
  <si>
    <t>final piala dunia argentina ghana ini mah</t>
  </si>
  <si>
    <t>['final', 'piala', 'dunia', 'argentina', 'ghana', 'mah']</t>
  </si>
  <si>
    <t>Piala Dunia Qatar: Argentina ketepi Perancis dalam final dramatik sepanjang zaman  https://t.co/QE0gqdJ5rA</t>
  </si>
  <si>
    <t>piala dunia qatar argentina ketepi perancis dalam final dramatik sepanjang zaman</t>
  </si>
  <si>
    <t>['piala', 'dunia', 'qatar', 'argentina', 'ketepi', 'perancis', 'final', 'dramatik', 'sepanjang', 'zaman']</t>
  </si>
  <si>
    <t>Qatar jadi tuan rumah piala dunia yang bakal dikenang sepanjang sejarah. Pertandingan final yang penuh drama dan menegangkan tadi sudah jelas membahagiakan bagi semua pencinta sepak bola di dunia.  The best world cup final!</t>
  </si>
  <si>
    <t>qatar jadi tuan rumah piala dunia yang bakal dikenang sepanjang sejarah pertandingan final yang penuh drama dan menegangkan tadi sudah jelas membahagiakan bagi semua pencinta sepak bola dunia the best world cup final</t>
  </si>
  <si>
    <t>['qatar', 'jadi', 'tuan', 'rumah', 'piala', 'dunia', 'bakal', 'dikenang', 'sepanjang', 'sejarah', 'pertandingan', 'final', 'penuh', 'drama', 'menegangkan', 'tadi', 'jelas', 'membahagiakan', 'semua', 'pencinta', 'sepak', 'bola', 'dunia', 'the', 'best', 'world', 'cup', 'final']</t>
  </si>
  <si>
    <t>Yang bilang final piala dunia di qatar setingan yang menang bakalan argentina, cangkemu elek. Opo yo tumon waton jeplak wae lho.</t>
  </si>
  <si>
    <t>yang bilang final piala dunia qatar setingan yang menang bakalan argentina cangkemu elek opo tumon waton jeplak wae lho</t>
  </si>
  <si>
    <t>['final', 'piala', 'dunia', 'qatar', 'settingan', 'menang', 'bakalan', 'argentina', 'cangkemu', 'elek', 'opo', 'tumon', 'waton', 'jeplak', 'wae', 'lho']</t>
  </si>
  <si>
    <t>Tapi final piala dunia terseru tetap Italia vs Prancis 2006.</t>
  </si>
  <si>
    <t>tapi final piala dunia terseru tetap italia prancis</t>
  </si>
  <si>
    <t>['final', 'piala', 'dunia', 'terseru', 'tetap', 'italia', 'prancis']</t>
  </si>
  <si>
    <t>Senyum #Messi bawa Argentina Juara Piala Dunia 2022. Sang Kapten cetak 7 gol. #FIFAWorldCup WHAT A FINAL WHAT A GAME   https://t.co/f6db68ROBc</t>
  </si>
  <si>
    <t>senyum bawa argentina juara piala dunia sang kapten cetak gol what final what game</t>
  </si>
  <si>
    <t>['senyum', 'bawa', 'argentina', 'juara', 'piala', 'dunia', 'sang', 'kapten', 'cetak', 'gol', 'what', 'final', 'what', 'game']</t>
  </si>
  <si>
    <t>Dipilir pikir mbappe kayaknya terpukul banget secara menurut aku mbappe lah man of the match pertamdingan final tapi ya tapi nggak apa2 mbappe 19 thn udah pegang piala dunia, perjalanan masih panjang</t>
  </si>
  <si>
    <t>dipilir pikir mbappe kayaknya terpukul banget secara menurut aku mbappe lah man the match pertamdingan final tapi tapi nggak apa mbappe thn udah pegang piala dunia perjalanan masih panjang</t>
  </si>
  <si>
    <t>['dipilir', 'pikir', 'mbappe', 'kayaknya', 'terpukul', 'banget', 'aku', 'mbappe', 'lah', 'man', 'the', 'match', 'pertamdingan', 'final', 'apa', 'mbappe', 'thn', 'udah', 'pegang', 'piala', 'dunia', 'perjalanan', 'panjang']</t>
  </si>
  <si>
    <t>Final piala dunia tegangnya ngalahin drama korea</t>
  </si>
  <si>
    <t>final piala dunia tegangnya ngalahin drama korea</t>
  </si>
  <si>
    <t>['final', 'piala', 'dunia', 'tegangnya', 'ngalahin', 'drama', 'korea']</t>
  </si>
  <si>
    <t>Final terkeren selamanya menurut gw Piala Dunia tahun ini, epic banget gila!!!  Congrats Argentina, good job Prancis Seru banget!!!!!</t>
  </si>
  <si>
    <t>final terkeren selamanya menurut piala dunia tahun ini epic banget gila congrats argentina good job prancis seru banget</t>
  </si>
  <si>
    <t>['final', 'terkeren', 'selamanya', 'piala', 'dunia', 'tahun', 'epic', 'banget', 'gila', 'congrats', 'argentina', 'good', 'job', 'prancis', 'seru', 'banget']</t>
  </si>
  <si>
    <t>LIVE SKOR Final Piala Dunia: Argentina vs Prancis, Hingga Menit 70 Argentina Masih Unggul 2-0  https://t.co/UGFLb7tKTC</t>
  </si>
  <si>
    <t>dari France 98 nonton piala dunia,, tahun inilah final Qatar 2022 adalah yang terbaik menurut sayaüëå #WorldCup2022  #ArgentinaVsFrance</t>
  </si>
  <si>
    <t>dari france nonton piala dunia tahun inilah final qatar adalah yang terbaik menurut saya</t>
  </si>
  <si>
    <t>['france', 'nonton', 'piala', 'dunia', 'tahun', 'inilah', 'final', 'qatar', 'terbaik']</t>
  </si>
  <si>
    <t>Mbappe usia 23 tahun cetak hatrick di final piala dunia. Km usia 23 tahun udah ngapain aja gaes?</t>
  </si>
  <si>
    <t>mbappe usia tahun cetak hatrick final piala dunia usia tahun udah ngapain aja gaes</t>
  </si>
  <si>
    <t>['mbappe', 'usia', 'tahun', 'cetak', 'hatrick', 'final', 'piala', 'dunia', 'usia', 'tahun', 'udah', 'ngapain', 'guys']</t>
  </si>
  <si>
    <t>&lt;FreqDist with 11 samples and 13 outcomes&gt;</t>
  </si>
  <si>
    <t>Lama bgt ga nonton piala dunia. Terakhir nonton pas kuliah tahun 2014. Pertama kali nonton lagi di final tadi, dan terbaik. Sengit, greget. Dari awal udh dukung Argentina, congrats buat Messi. Tapi liat Mbappe main dan setelah tau umurnya, wah Mbappe keren banget sih.</t>
  </si>
  <si>
    <t>lama bgt nonton piala dunia terakhir nonton pas kuliah tahun pertama kali nonton lagi final tadi dan terbaik sengit greget dari awal udh dukung argentina congrats buat messi tapi liat mbappe main dan setelah tau umurnya wah mbappe keren banget sih</t>
  </si>
  <si>
    <t>['lama', 'banget', 'nonton', 'piala', 'dunia', 'terakhir', 'nonton', 'pas', 'kuliah', 'tahun', 'pertama', 'kali', 'nonton', 'final', 'tadi', 'terbaik', 'sengit', 'greget', 'awal', 'sudah', 'dukung', 'argentina', 'congrats', 'buat', 'messi', 'lihat', 'mbappe', 'main', 'umurnya', 'wah', 'mbappe', 'keren', 'banget']</t>
  </si>
  <si>
    <t>Halo #SahabatNaraTika  Muara Sabak - Petugas Lapas Narkotika Kelas IIB Muara Sabak nonton bareng Final Piala Dunia Qatar 2022.  https://t.co/DfzcTWS3Hn</t>
  </si>
  <si>
    <t>halo muara sabak petugas lapas narkotika kelas iib muara sabak nonton bareng final piala dunia qatar</t>
  </si>
  <si>
    <t>['halo', 'muara', 'sabak', 'petugas', 'lapas', 'narkotika', 'kelas', 'iib', 'muara', 'sabak', 'nonton', 'bareng', 'final', 'piala', 'dunia', 'qatar']</t>
  </si>
  <si>
    <t>Ini wifi tiba2 lemot ada korelasinya sama final piala dunia ga sih</t>
  </si>
  <si>
    <t>ini wifi tiba lemot ada korelasinya sama final piala dunia sih</t>
  </si>
  <si>
    <t>['wifi', 'tiba', 'lemot', 'korelasinya', 'sama', 'final', 'piala', 'dunia']</t>
  </si>
  <si>
    <t>Salah satu pertandingan terbaik dalam Piala Dunia yang pernah saya tonton. Final World Cup Qatar 2022 . ARGENTINA 3 - 3 FRANCE . Messi,Di Maria, Mbappe. Juara Argentina melalui Adu Penalti 4-1</t>
  </si>
  <si>
    <t>salah satu pertandingan terbaik dalam piala dunia yang pernah saya tonton final world cup qatar argentina france messi maria mbappe juara argentina melalui adu penalti</t>
  </si>
  <si>
    <t>['salah', 'satu', 'pertandingan', 'terbaik', 'piala', 'dunia', 'pernah', 'tonton', 'final', 'world', 'cup', 'qatar', 'argentina', 'france', 'messi', 'maria', 'mbappe', 'juara', 'argentina', 'melalui', 'adu', 'penalti']</t>
  </si>
  <si>
    <t>@el_millard Final piala dunia terseru selama Gw ntn dr thn 98 ini..</t>
  </si>
  <si>
    <t>millard final piala dunia terseru selama ntn thn ini</t>
  </si>
  <si>
    <t>['millard', 'final', 'piala', 'dunia', 'terseru', 'selama', 'ntn', 'thn']</t>
  </si>
  <si>
    <t>Final piala dunia terbaik yg pernah ada</t>
  </si>
  <si>
    <t>final piala dunia terbaik pernah ada</t>
  </si>
  <si>
    <t>['final', 'piala', 'dunia', 'terbaik', 'pernah']</t>
  </si>
  <si>
    <t>Kita jadi saksi betapa serunya final piala dunia kali iniü•≥</t>
  </si>
  <si>
    <t>kita jadi saksi betapa serunya final piala dunia kali ini</t>
  </si>
  <si>
    <t>['jadi', 'saksi', 'betapa', 'serunya', 'final', 'piala', 'dunia', 'kali']</t>
  </si>
  <si>
    <t>FINAL PIALA DUNIA TERBAIK SIH INI</t>
  </si>
  <si>
    <t>final piala dunia terbaik sih ini</t>
  </si>
  <si>
    <t>üáµüá∏ Wartawan Aljazair üá©üáø Khadija Ben Qana ... mengibarkan bendera üáµüá∏ Palestina di final Piala Dunia üá∂üá¶ Qatar. ‚ù§  #FreePalestine ‚ù§üáµüá∏  https://t.co/0F4gDd4ijw</t>
  </si>
  <si>
    <t>wartawan aljazair khadija ben qana mengibarkan bendera palestina final piala dunia qatar</t>
  </si>
  <si>
    <t>['wartawan', 'aljazair', 'khadija', 'ben', 'qana', 'mengibarkan', 'bendera', 'palestina', 'final', 'piala', 'dunia', 'qatar']</t>
  </si>
  <si>
    <t>Bintangnya Bersinar di Final Piala Dunia Qatar 2022, Kylian Mbappe Cetak 2 Gol dalam 1 Menit  https://t.co/QSfSOgE2kA</t>
  </si>
  <si>
    <t>bintangnya bersinar final piala dunia qatar kylian mbappe cetak gol dalam menit</t>
  </si>
  <si>
    <t>['bintangnya', 'bersinar', 'final', 'piala', 'dunia', 'qatar', 'kylian', 'mbappe', 'cetak', 'gol', 'menit']</t>
  </si>
  <si>
    <t>Setelah heboh dengan meriahnya final piala dunia sebentar lagi akan heboh dengan war tiketnya @articmonkeys kita lihat apakah duit haram keuntungan judi bola bisa di pake buat war tiket</t>
  </si>
  <si>
    <t>setelah heboh dengan meriahnya final piala dunia sebentar lagi akan heboh dengan war tiketnya kita lihat apakah duit haram keuntungan judi bola bisa pake buat war tiket</t>
  </si>
  <si>
    <t>['heboh', 'meriahnya', 'final', 'piala', 'dunia', 'sebentar', 'heboh', 'war', 'tiketnya', 'lihat', 'duit', 'haram', 'keuntungan', 'judi', 'bola', 'pake', 'buat', 'war', 'tiket']</t>
  </si>
  <si>
    <t>Final piala Dunia kali ini benar benar menyadarkan kita kalo baru tanda tanda jangan suka cepat ngambil kesimpulan. Kita gatau plot twist nya ditaroh sebelah mana :v</t>
  </si>
  <si>
    <t>final piala dunia kali ini benar benar menyadarkan kita kalo baru tanda tanda jangan suka cepat ngambil kesimpulan kita gatau plot twist nya ditaroh sebelah mana</t>
  </si>
  <si>
    <t>['final', 'piala', 'dunia', 'kali', 'benar', 'benar', 'menyadarkan', 'baru', 'tanda', 'tanda', 'jangan', 'suka', 'cepat', 'ngambil', 'kesimpulan', 'gatau', 'plot', 'twist', 'ditaroh', 'sebelah', 'mana']</t>
  </si>
  <si>
    <t>memang argentina yang juara, tapi ada orang yang hattrick di final piala dunia itu udah gamasuk akal üò∂</t>
  </si>
  <si>
    <t>memang argentina yang juara tapi ada orang yang hattrick final piala dunia itu udah gamasuk akal</t>
  </si>
  <si>
    <t>['memang', 'argentina', 'juara', 'orang', 'hattrick', 'final', 'piala', 'dunia', 'udah', 'gamasuk', 'akal']</t>
  </si>
  <si>
    <t>@donumtheos Harus angkat topi sih untuk mbape sama descham. Final terseru sepanjang nonton final piala dunia</t>
  </si>
  <si>
    <t>harus angkat topi sih untuk mbape sama descham final terseru sepanjang nonton final piala dunia</t>
  </si>
  <si>
    <t>['angkat', 'topi', 'mbape', 'sama', 'descham', 'final', 'terseru', 'sepanjang', 'nonton', 'final', 'piala', 'dunia']</t>
  </si>
  <si>
    <t>@FaktaSepakbola Dan ronaldo ga pernah main di final piala dunia</t>
  </si>
  <si>
    <t>dan ronaldo pernah main final piala dunia</t>
  </si>
  <si>
    <t>['ronaldo', 'pernah', 'main', 'final', 'piala', 'dunia']</t>
  </si>
  <si>
    <t>Dari final piala dunia paling bosan, kepada final piala dunia paling epik.</t>
  </si>
  <si>
    <t>dari final piala dunia paling bosan kepada final piala dunia paling epik</t>
  </si>
  <si>
    <t>['final', 'piala', 'dunia', 'paling', 'bosan', 'final', 'piala', 'dunia', 'paling', 'epik']</t>
  </si>
  <si>
    <t>Argentina berhasil keluar menjadi juara Piala Dunia setelah mengalahkan Prancis melaui adu pinalti di partai final. Ini menjadi gelar ketiga milik Argentina sekaligus menjadi gelar terbaik yang didapatkan oleh mega bintang sepak bola Lionel Messi.  https://t.co/1TJxe1uNno</t>
  </si>
  <si>
    <t>argentina berhasil keluar menjadi juara piala dunia setelah mengalahkan prancis melaui adu pinalti partai final ini menjadi gelar ketiga milik argentina sekaligus menjadi gelar terbaik yang didapatkan oleh mega bintang sepak bola lionel messi</t>
  </si>
  <si>
    <t>['argentina', 'berhasil', 'keluar', 'menjadi', 'juara', 'piala', 'dunia', 'mengalahkan', 'prancis', 'melaui', 'adu', 'penalti', 'partai', 'final', 'menjadi', 'gelar', 'ketiga', 'milik', 'argentina', 'sekaligus', 'menjadi', 'gelar', 'terbaik', 'didapatkan', 'mega', 'bintang', 'sepak', 'bola', 'lionel', 'messi']</t>
  </si>
  <si>
    <t>Dramatis! Hasil Final Piala Dunia 2022: Argentina vs Prancis #FIFAWorldCup   https://t.co/IaFPtdh66B</t>
  </si>
  <si>
    <t>dramatis hasil final piala dunia argentina prancis</t>
  </si>
  <si>
    <t>['dramatis', 'hasil', 'final', 'piala', 'dunia', 'argentina', 'prancis']</t>
  </si>
  <si>
    <t>Defenisi blue lock sesungguhnya, tim kalah tapi hattrick, tapi jujur sih, mbappe beneran angkat nih tim sendirian di final ini, bocil2 Prancis belum matang sama sekali untuk laga sekelas final piala dunia</t>
  </si>
  <si>
    <t>defenisi blue lock sesungguhnya tim kalah tapi hattrick tapi jujur sih mbappe beneran angkat nih tim sendirian final ini bocil prancis belum matang sama sekali untuk laga sekelas final piala dunia</t>
  </si>
  <si>
    <t>['defenisi', 'blue', 'lock', 'sesungguhnya', 'tim', 'kalah', 'hattrick', 'jujur', 'mbappe', 'beneran', 'angkat', 'tim', 'sendirian', 'final', 'bocil', 'prancis', 'matang', 'sama', 'sekali', 'laga', 'sekelas', 'final', 'piala', 'dunia']</t>
  </si>
  <si>
    <t>Pemuda Perindo Gelar Nobar Final Piala Dunia 2022, Jagokan Argentina Juara   #Sindonews #BukanBeritaBiasa . https://t.co/IV1C3jB0nq</t>
  </si>
  <si>
    <t>pemuda perindo gelar nobar final piala dunia jagokan argentina juara</t>
  </si>
  <si>
    <t>['pemuda', 'perindo', 'gelar', 'nonton bareng', 'final', 'piala', 'dunia', 'jagokan', 'argentina', 'juara']</t>
  </si>
  <si>
    <t>Gelar Nobar Final Piala Dunia di Tengah Permukiman, Sekjen DPP Pemuda Perindo: Bukti Kita Merakyat   #Sindonews #BukanBeritaBiasa . https://t.co/P5lGRawA5I</t>
  </si>
  <si>
    <t>gelar nobar final piala dunia tengah permukiman sekjen dpp pemuda perindo bukti kita merakyat</t>
  </si>
  <si>
    <t>['gelar', 'nonton bareng', 'final', 'piala', 'dunia', 'tengah', 'permukiman', 'sekjen', 'dpp', 'pemuda', 'perindo', 'bukti', 'merakyat']</t>
  </si>
  <si>
    <t>Bobo full senyum, ah bersyukur masih diberi kesempatan buat nonton sampai final, semoga 4th lagi masih bisa menikmati piala dunia ü´∂</t>
  </si>
  <si>
    <t>bobo full senyum bersyukur masih diberi kesempatan buat nonton sampai final semoga lagi masih bisa menikmati piala dunia</t>
  </si>
  <si>
    <t>['bobo', 'full', 'senyum', 'bersyukur', 'diberi', 'kesempatan', 'buat', 'nonton', 'final', 'semoga', 'menikmati', 'piala', 'dunia']</t>
  </si>
  <si>
    <t>Selamat kepada Argentina atas kemenangan di Piala Dunia Qatar 2022! ü•≥  Sumber foto: @FIFAWorldCup   #ULTIMAGZ #DeadlineHariIni #SekilasBerita #WorldCup #Final #Qatar2022 #Qatar #FIFAWorldCup #Messi #RaulLemos  https://t.co/FLQHzTiody</t>
  </si>
  <si>
    <t>selamat kepada argentina atas kemenangan piala dunia qatar sumber foto</t>
  </si>
  <si>
    <t>['selamat', 'argentina', 'atas', 'kemenangan', 'piala', 'dunia', 'qatar', 'sumber', 'foto']</t>
  </si>
  <si>
    <t>This duo 5 gol di final piala dunia malam ini  https://t.co/8TdPcGUsyF</t>
  </si>
  <si>
    <t>this duo gol final piala dunia malam ini</t>
  </si>
  <si>
    <t>['this', 'duo', 'gol', 'final', 'piala', 'dunia', 'malam']</t>
  </si>
  <si>
    <t>7 balon dor atau piala dunia...Messi milih piala dunia ..expressinya emang beda sih..  selalu dihantui mimpi kekalahan final  2014, akhirnya dapat juga..  sungguh rancangan yg mendatangkan sukacita</t>
  </si>
  <si>
    <t>balon dor atau piala dunia messi milih piala dunia expressinya emang beda sih selalu dihantui mimpi kekalahan final akhirnya dapat juga sungguh rancangan mendatangkan sukacita</t>
  </si>
  <si>
    <t>['balon', 'dor', 'piala', 'dunia', 'messi', 'milih', 'piala', 'dunia', 'expressinya', 'emang', 'beda', 'selalu', 'dihantui', 'mimpi', 'kekalahan', 'final', 'akhirnya', 'sungguh', 'rancangan', 'mendatangkan', 'sukacita']</t>
  </si>
  <si>
    <t>Seolah Rusak, "VAR" sebagai teknologi sepak bola paling mutakhir milik fifa kurang berperan. Terutama saat anggel d'maria di..... langgar.!! Momen final piala dunia harus mampu dibuktikan clear &amp;amp; clean. Apalagi ditengah badai issu bahwa ada kontestan yang disetting menang..</t>
  </si>
  <si>
    <t>seolah rusak var sebagai teknologi sepak bola paling mutakhir milik fifa kurang berperan terutama saat anggel maria langgar momen final piala dunia harus mampu dibuktikan clear clean apalagi ditengah badai issu bahwa ada kontestan yang disetting menang</t>
  </si>
  <si>
    <t>['rusak', 'var', 'teknologi', 'sepak', 'bola', 'paling', 'mutakhir', 'milik', 'fifa', 'kurang', 'berperan', 'terutama', 'anggel', 'maria', 'langgar', 'momen', 'final', 'piala', 'dunia', 'mampu', 'dibuktikan', 'clear', 'clean', 'ditengah', 'badai', 'issu', 'kontestan', 'disetting', 'menang']</t>
  </si>
  <si>
    <t>WHAT A FINAL, Selamat Argentina 'Juara Piala Dunia 2022 Qatar' #FIFAWorldCup #Messi #Argentina    https://t.co/eM44m7cC66</t>
  </si>
  <si>
    <t>what final selamat argentina juara piala dunia qatar</t>
  </si>
  <si>
    <t>['what', 'final', 'selamat', 'argentina', 'juara', 'piala', 'dunia', 'qatar']</t>
  </si>
  <si>
    <t>Dari awal gak ngikutin piala dunia, sekalinya nonton pas final. Dan entah knp dari awal udh feeling argentina bakal menang. Eh emang yaaa feeling ibu2 mah bener wae wkwk jgn lalaora makanya</t>
  </si>
  <si>
    <t>dari awal gak ngikutin piala dunia sekalinya nonton pas final dan entah knp dari awal udh feeling argentina bakal menang emang yaaa feeling ibu mah bener wae wkwk jgn lalaora makanya</t>
  </si>
  <si>
    <t>['awal', 'ngikutin', 'piala', 'dunia', 'sekalinya', 'nonton', 'pas', 'final', 'entah', 'kenapa', 'awal', 'sudah', 'feeling', 'argentina', 'bakal', 'menang', 'emang', 'yaaa', 'feeling', 'ibu', 'mah', 'benar', 'wae', 'lalaora', 'makanya']</t>
  </si>
  <si>
    <t>Yang bakal melebihi legenda yang telah ada?ü§î. Dan respek juga buat france bisa back to back final piala dunia. Senang masih bisa diberikan kesempatan untuk jadi saksi sejarah sepak bola saat iniüôè</t>
  </si>
  <si>
    <t>yang bakal melebihi legenda yang telah ada dan respek juga buat france bisa back back final piala dunia senang masih bisa diberikan kesempatan untuk jadi saksi sejarah sepak bola saat ini</t>
  </si>
  <si>
    <t>['bakal', 'melebihi', 'legenda', 'respek', 'buat', 'france', 'back', 'back', 'final', 'piala', 'dunia', 'senang', 'diberikan', 'kesempatan', 'jadi', 'saksi', 'sejarah', 'sepak', 'bola']</t>
  </si>
  <si>
    <t>Argentina tampil sebagai juara Piala Dunia 2022 setelah menumpas Prancis melalui adu penalti di final. Argentina mengakhiri penantian juara usai 36 tahun.  https://t.co/esdrLUmAi0</t>
  </si>
  <si>
    <t>Hasil Final Piala Dunia 2022 Argentina vs Prancis: Bantu Tim Tango Berjaya, Lionel Messi Cetak 2 Rekor Unik  https://t.co/hVvw6GWgf7</t>
  </si>
  <si>
    <t>hasil final piala dunia argentina prancis bantu tim tango berjaya lionel messi cetak rekor unik</t>
  </si>
  <si>
    <t>['hasil', 'final', 'piala', 'dunia', 'argentina', 'prancis', 'bantu', 'tim', 'tango', 'berjaya', 'lionel', 'messi', 'cetak', 'rekor', 'unik']</t>
  </si>
  <si>
    <t>Hasil Extra Time Final Piala Dunia 2022, Skor Argentina vs Prancis: 3-3  https://t.co/dRQwLPcCIn</t>
  </si>
  <si>
    <t>hasil extra time final piala dunia skor argentina prancis</t>
  </si>
  <si>
    <t>['hasil', 'extra', 'time', 'final', 'piala', 'dunia', 'skor', 'argentina', 'prancis']</t>
  </si>
  <si>
    <t>Hasil Final Piala Dunia 2022: Kylian Mbappe 2 Gol, Prancis Paksa Argentina Gelar Babak Tambahan Waktu  https://t.co/bDmU8pSYBz</t>
  </si>
  <si>
    <t>hasil final piala dunia kylian mbappe gol prancis paksa argentina gelar babak tambahan waktu</t>
  </si>
  <si>
    <t>['hasil', 'final', 'piala', 'dunia', 'kylian', 'mbappe', 'gol', 'prancis', 'paksa', 'argentina', 'gelar', 'babak', 'tambahan', 'waktu']</t>
  </si>
  <si>
    <t>Hasil Babak 1 Final Piala Dunia 2022 Argentina vs Prancis: Messi Cetak Gol, Tim Tango Unggul 2-0  https://t.co/iFNkLsi2LW</t>
  </si>
  <si>
    <t>hasil babak final piala dunia argentina prancis messi cetak gol tim tango unggul</t>
  </si>
  <si>
    <t>['hasil', 'babak', 'final', 'piala', 'dunia', 'argentina', 'prancis', 'messi', 'cetak', 'gol', 'tim', 'tango', 'unggul']</t>
  </si>
  <si>
    <t>Final Piala Dunia 2022 Argentina vs Prancis Sudah Mulai, Dapatkan Link Live Streaming Vidio  https://t.co/3Gtj3leHe8</t>
  </si>
  <si>
    <t>final piala dunia argentina prancis sudah mulai dapatkan link live streaming vidio</t>
  </si>
  <si>
    <t>['final', 'piala', 'dunia', 'argentina', 'prancis', 'mulai', 'dapatkan', 'link', 'live', 'streaming', 'vidio']</t>
  </si>
  <si>
    <t>Final ini paling seru sepanjang final piala dunia üíØüòá</t>
  </si>
  <si>
    <t>final ini paling seru sepanjang final piala dunia</t>
  </si>
  <si>
    <t>['final', 'paling', 'seru', 'sepanjang', 'final', 'piala', 'dunia']</t>
  </si>
  <si>
    <t>Final piala dunia 2022 guendeng polüî•</t>
  </si>
  <si>
    <t>final piala dunia guendeng pol</t>
  </si>
  <si>
    <t>['final', 'piala', 'dunia', 'guendeng', 'pol']</t>
  </si>
  <si>
    <t>Ini adalah final Piala Dunia terbaik sepaniang sejarah.</t>
  </si>
  <si>
    <t>ini adalah final piala dunia terbaik sepaniang sejarah</t>
  </si>
  <si>
    <t>['final', 'piala', 'dunia', 'terbaik', 'sepaniang', 'sejarah']</t>
  </si>
  <si>
    <t>Final terseru Messi the real GOAT Lengkap sudah piala messi Selamat @Argentina Terimakasih piala dunia</t>
  </si>
  <si>
    <t>final terseru messi the real goat lengkap sudah piala messi selamat terimakasih piala dunia</t>
  </si>
  <si>
    <t>['final', 'terseru', 'messi', 'the', 'real', 'goat', 'lengkap', 'piala', 'messi', 'selamat', 'terimakasih', 'piala', 'dunia']</t>
  </si>
  <si>
    <t>2014  Aguero, Tevez,  biglia, Zabaleta,Gago, Lavezzi,Higuain bersama Messi dan Di Maria. Hampir saja juara Piala Dunia. Sayang sekali. Lagi-lagi kalah melawan Jerman di Final. 1-0.</t>
  </si>
  <si>
    <t>aguero tevez biglia zabaleta gago lavezzi higuain bersama messi dan maria hampir saja juara piala dunia sayang sekali lagi lagi kalah melawan jerman final</t>
  </si>
  <si>
    <t>['aguero', 'tevez', 'biglia', 'zabaleta', 'gago', 'lavezzi', 'higuain', 'bersama', 'messi', 'maria', 'hampir', 'juara', 'piala', 'dunia', 'sayang', 'sekali', 'kalah', 'melawan', 'jerman', 'final']</t>
  </si>
  <si>
    <t>WHAT A FINAL #FIFAWorldCup MESSI for Argentina. Meme Argentina Vs Prancis final Piala Dunia 2022   https://t.co/0N6cq2pm0W</t>
  </si>
  <si>
    <t>what final messi for argentina meme argentina prancis final piala dunia</t>
  </si>
  <si>
    <t>['what', 'final', 'messi', 'for', 'argentina', 'meme', 'argentina', 'prancis', 'final', 'piala', 'dunia']</t>
  </si>
  <si>
    <t>Final terbaik Piala Dunia.. The best #FIFAWorldCup final ever.. Selamat untuk Argentina. Salut dengan perlawanan yang luar biasa dari Prancis!  https://t.co/YG0PJPjUBK</t>
  </si>
  <si>
    <t>final terbaik piala dunia the best final ever selamat untuk argentina salut dengan perlawanan yang luar biasa dari prancis</t>
  </si>
  <si>
    <t>['final', 'terbaik', 'piala', 'dunia', 'the', 'best', 'final', 'ever', 'selamat', 'argentina', 'salut', 'perlawanan', 'luar', 'biasa', 'prancis']</t>
  </si>
  <si>
    <t>Cetak hattrick di laga final piala dunia dan gajadi juara itu rasanya apa ya?</t>
  </si>
  <si>
    <t>cetak hattrick laga final piala dunia dan gajadi juara itu rasanya apa</t>
  </si>
  <si>
    <t>['cetak', 'hattrick', 'laga', 'final', 'piala', 'dunia', 'gajadi', 'juara', 'rasanya', 'apa']</t>
  </si>
  <si>
    <t>Top Skor Piala Dunia 2022: Cetak Hattrick di Final, Kylian Mbappe Ungguli Lionel Messi  https://t.co/PocB7BeZzH</t>
  </si>
  <si>
    <t>top skor piala dunia cetak hattrick final kylian mbappe ungguli lionel messi</t>
  </si>
  <si>
    <t>['top', 'skor', 'piala', 'dunia', 'cetak', 'hattrick', 'final', 'kylian', 'mbappe', 'ungguli', 'lionel', 'messi']</t>
  </si>
  <si>
    <t>Ga sia sia nonton final piala dunia terbaik sampe jam 3 pagi waktu jepang</t>
  </si>
  <si>
    <t>sia sia nonton final piala dunia terbaik sampe jam pagi waktu jepang</t>
  </si>
  <si>
    <t>['sia', 'sia', 'nonton', 'final', 'piala', 'dunia', 'terbaik', 'sampai', 'jam', 'pagi', 'waktu', 'jepang']</t>
  </si>
  <si>
    <t>Mbappe hattrick di final piala dunia diumur segitu, dan bawa prancis final pildun kedua, kurasa kalo menang tadi bisa2 macron turun dari presiden</t>
  </si>
  <si>
    <t>mbappe hattrick final piala dunia diumur segitu dan bawa prancis final pildun kedua kurasa kalo menang tadi bisa macron turun dari presiden</t>
  </si>
  <si>
    <t>['mbappe', 'hattrick', 'final', 'piala', 'dunia', 'diumur', 'segitu', 'bawa', 'prancis', 'final', 'piala dunia', 'kedua', 'kurasa', 'menang', 'tadi', 'macron', 'turun', 'presiden']</t>
  </si>
  <si>
    <t>This match set a new standard gimana final piala dunia seharusnya</t>
  </si>
  <si>
    <t>this match set new standard gimana final piala dunia seharusnya</t>
  </si>
  <si>
    <t>['this', 'match', 'set', 'new', 'standard', 'gimana', 'final', 'piala', 'dunia']</t>
  </si>
  <si>
    <t>Final piala dunia paling seru, untuk kali ini. #FinalWorldCup2022</t>
  </si>
  <si>
    <t>final piala dunia paling seru untuk kali ini</t>
  </si>
  <si>
    <t>['final', 'piala', 'dunia', 'paling', 'seru', 'kali']</t>
  </si>
  <si>
    <t>@brfootball Terbaik di tempat yang terbaik. Menjadi juara dunia dilaga final piala dunia yg terbaik dalam penyelanggaraan yg terbaik, semua yg terbaik.  MESSI YANG TERBAIK, MESSI SEMPURNA.</t>
  </si>
  <si>
    <t>terbaik tempat yang terbaik menjadi juara dunia dilaga final piala dunia terbaik dalam penyelanggaraan terbaik semua terbaik messi yang terbaik messi sempurna</t>
  </si>
  <si>
    <t>['terbaik', 'tempat', 'terbaik', 'menjadi', 'juara', 'dunia', 'dilaga', 'final', 'piala', 'dunia', 'terbaik', 'penyelanggaraan', 'terbaik', 'semua', 'terbaik', 'messi', 'terbaik', 'messi', 'sempurna']</t>
  </si>
  <si>
    <t>&lt;FreqDist with 12 samples and 19 outcomes&gt;</t>
  </si>
  <si>
    <t>FINAL PIALA DUNIA TERBAIK SEPANJANG MASA !!!</t>
  </si>
  <si>
    <t>Next eranya Mbappe. Umur 23 tahun aja udah jadi andalan Prancis di dua final Piala Dunia.</t>
  </si>
  <si>
    <t>next eranya mbappe umur tahun aja udah jadi andalan prancis dua final piala dunia</t>
  </si>
  <si>
    <t>['next', 'eranya', 'mbappe', 'umur', 'tahun', 'udah', 'jadi', 'andalan', 'prancis', 'final', 'piala', 'dunia']</t>
  </si>
  <si>
    <t>Yg boncos judi bisa cairin limit paylaternya jd uang tunai ya, mayan buat pegangan sampe akhir bulanüôè  Piala Dunia #ArgentinaVsFrance Argentina #WorldCup Dreamers Closing Ceremony Messi WHAT A FINAL #AQUADULU Penalti Di Maria All in France Benzema mbappe  https://t.co/roc1eeJ197</t>
  </si>
  <si>
    <t>boncos judi bisa cairin limit paylaternya uang tunai mayan buat pegangan sampe akhir bulan piala dunia argentina dreamers closing ceremony messi what final penalti maria all france benzema mbappe</t>
  </si>
  <si>
    <t>['boncos', 'judi', 'cairin', 'limit', 'paylaternya', 'uang', 'tunai', 'mayan', 'buat', 'pegangan', 'sampai', 'akhir', 'bulan', 'piala', 'dunia', 'argentina', 'dreamers', 'closing', 'ceremony', 'messi', 'what', 'final', 'penalti', 'maria', 'all', 'france', 'benzema', 'mbappe']</t>
  </si>
  <si>
    <t>Final piala dunia terbaik yang pernah adaüá¶üá∑üá≤üá´  Selamat argentina Lionel messi is GOAT</t>
  </si>
  <si>
    <t>final piala dunia terbaik yang pernah ada selamat argentina lionel messi goat</t>
  </si>
  <si>
    <t>['final', 'piala', 'dunia', 'terbaik', 'pernah', 'selamat', 'argentina', 'lionel', 'messi', 'goat']</t>
  </si>
  <si>
    <t>Argentina meraih kemenangan kontroversial di/4 final Piala Dunia 1986 melawan Inggris. Gol pertama yg dilesakkan Maradona ke gawang kawalan Peter Shilton menjadi polemik krn menyentuh tangan sang pemain. Meskipun wasit tdk mengetahuinya, byk orang menyaksikan aksi Maradona itu.</t>
  </si>
  <si>
    <t>argentina meraih kemenangan kontroversial final piala dunia melawan inggris gol pertama dilesakkan maradona gawang kawalan peter shilton menjadi polemik krn menyentuh tangan sang pemain meskipun wasit tdk mengetahuinya byk orang menyaksikan aksi maradona itu</t>
  </si>
  <si>
    <t>['argentina', 'meraih', 'kemenangan', 'kontroversial', 'final', 'piala', 'dunia', 'melawan', 'inggris', 'gol', 'pertama', 'dilesakkan', 'maradona', 'gawang', 'kawalan', 'peter', 'shilton', 'menjadi', 'polemik', 'menyentuh', 'tangan', 'sang', 'pemain', 'meskipun', 'wasit', 'mengetahuinya', 'byk', 'orang', 'menyaksikan', 'aksi', 'maradona']</t>
  </si>
  <si>
    <t>Final piala dunia terbaik yang pernah aku tonton sejak 2006. Congratss Leo Messi! #LeoMessi #FIFAWorldCup  https://t.co/n2ufIg8WRf</t>
  </si>
  <si>
    <t>final piala dunia terbaik yang pernah aku tonton sejak congratss leo messi</t>
  </si>
  <si>
    <t>['final', 'piala', 'dunia', 'terbaik', 'pernah', 'aku', 'tonton', 'sejak', 'congratss', 'leo', 'messi']</t>
  </si>
  <si>
    <t>Tidak berpihak pada salah satu finalis, tapi ini laga final Piala Dunia terseru yang pernah saya nonton. 2006 juga seru tapi kali ini lebih seru. Banyak gol.  https://t.co/dXZmSTM9nY</t>
  </si>
  <si>
    <t>tidak berpihak pada salah satu finalis tapi ini laga final piala dunia terseru yang pernah saya nonton juga seru tapi kali ini lebih seru banyak gol</t>
  </si>
  <si>
    <t>['berpihak', 'salah', 'satu', 'finalis', 'laga', 'final', 'piala', 'dunia', 'terseru', 'pernah', 'nonton', 'seru', 'kali', 'lebih', 'seru', 'banyak', 'gol']</t>
  </si>
  <si>
    <t>@gyujin713 terakhir update pas opening piala dunia, sekarang udah final pun blm muncul doi ü•≤</t>
  </si>
  <si>
    <t>terakhir update pas opening piala dunia sekarang udah final pun blm muncul doi</t>
  </si>
  <si>
    <t>['terakhir', 'update', 'pas', 'opening', 'piala', 'dunia', 'sekarang', 'udah', 'final', 'blm', 'muncul', 'doi']</t>
  </si>
  <si>
    <t>Lionel Messi the next legecy  Diego Maradona. Untuk Final Piala Dunia Qatar 2022.</t>
  </si>
  <si>
    <t>lionel messi the next legecy diego maradona untuk final piala dunia qatar</t>
  </si>
  <si>
    <t>['lionel', 'messi', 'the', 'next', 'legecy', 'diego', 'maradona', 'final', 'piala', 'dunia', 'qatar']</t>
  </si>
  <si>
    <t>Final sekaligus partai terseru dalam ajang Piala Dunia yang pernah saya tonton</t>
  </si>
  <si>
    <t>final sekaligus partai terseru dalam ajang piala dunia yang pernah saya tonton</t>
  </si>
  <si>
    <t>['final', 'sekaligus', 'partai', 'terseru', 'ajang', 'piala', 'dunia', 'pernah', 'tonton']</t>
  </si>
  <si>
    <t>Sudah menonton 4 seri piala dunia. Ini final yg paling seruüî•. Walopun jagoan ku kalah si tapi gpp yang matchnya seru parahh.</t>
  </si>
  <si>
    <t>sudah menonton seri piala dunia ini final paling seru walopun jagoan kalah tapi gpp yang matchnya seru parahh</t>
  </si>
  <si>
    <t>['menonton', 'seri', 'piala', 'dunia', 'final', 'paling', 'seru', 'walopun', 'jagoan', 'kalah', 'gapapa', 'matchnya', 'seru', 'parahh']</t>
  </si>
  <si>
    <t>Final terbaik Piala Dunia yang saya tonton sejak 1986. Argentina diselamatkan Emiliano Martinez,  dan Lionel Messi keliling lapangan dada dada ke penonton seolah dia pahlawannya.</t>
  </si>
  <si>
    <t>final terbaik piala dunia yang saya tonton sejak argentina diselamatkan emiliano martinez dan lionel messi keliling lapangan dada dada penonton seolah dia pahlawannya</t>
  </si>
  <si>
    <t>['final', 'terbaik', 'piala', 'dunia', 'tonton', 'sejak', 'argentina', 'diselamatkan', 'emiliano', 'martinez', 'lionel', 'messi', 'keliling', 'lapangan', 'dada', 'dada', 'penonton', 'pahlawannya']</t>
  </si>
  <si>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</si>
  <si>
    <t>penyerang perancis kylian mbappe berhak meraih penghargaan sepatu emas seusai menempati puncak top skor piala dunia kepastian itu didapat seusai kylian mbappe mencatatkan hattrick atau tiga gol saat melawan argentina final piala dunia</t>
  </si>
  <si>
    <t>['penyerang', 'perancis', 'kylian', 'mbappe', 'berhak', 'meraih', 'penghargaan', 'sepatu', 'emas', 'seusai', 'menempati', 'puncak', 'top', 'skor', 'piala', 'dunia', 'kepastian', 'didapat', 'seusai', 'kylian', 'mbappe', 'mencatatkan', 'hattrick', 'tiga', 'gol', 'melawan', 'argentina', 'final', 'piala', 'dunia']</t>
  </si>
  <si>
    <t>Final Piala Dunia yang memukau bagi penggemar bola. Tergambar: rengkuh-jatuh-rengkuh piala. Betapa perjuangan untuk jadi yang terbaik. Selamat, Argentina.</t>
  </si>
  <si>
    <t>final piala dunia yang memukau bagi penggemar bola tergambar rengkuh jatuh rengkuh piala betapa perjuangan untuk jadi yang terbaik selamat argentina</t>
  </si>
  <si>
    <t>['final', 'piala', 'dunia', 'memukau', 'penggemar', 'bola', 'tergambar', 'rengkuh', 'jatuh', 'rengkuh', 'piala', 'betapa', 'perjuangan', 'jadi', 'terbaik', 'selamat', 'argentina']</t>
  </si>
  <si>
    <t>LIVE SKOR Final Piala Dunia: Argentina vs Prancis, Menit 79 danamp; 81 Mbappe Goooollll, Skor 2-2  https://t.co/VchUuHtde1</t>
  </si>
  <si>
    <t>live skor final piala dunia argentina prancis menit danamp mbappe goooollll skor</t>
  </si>
  <si>
    <t>['live', 'skor', 'final', 'piala', 'dunia', 'argentina', 'prancis', 'menit', 'danamp', 'mbappe', 'goooollll', 'skor']</t>
  </si>
  <si>
    <t>Lalui Drama Adu Penalti, Argentina Juara Piala Dunia 2022   https://t.co/yuEX40plwG #FIFAWorldCup  WHAT A FINAL // Messi //</t>
  </si>
  <si>
    <t>lalui drama adu penalti argentina juara piala dunia what final messi</t>
  </si>
  <si>
    <t>['lalui', 'drama', 'adu', 'penalti', 'argentina', 'juara', 'piala', 'dunia', 'what', 'final', 'messi']</t>
  </si>
  <si>
    <t>Pencetak hattrick pertama di final piala dunia mbappe üëèüëèüëè Top skor üëèüëè</t>
  </si>
  <si>
    <t>pencetak hattrick pertama final piala dunia mbappe top skor</t>
  </si>
  <si>
    <t>['pencetak', 'hattrick', 'pertama', 'final', 'piala', 'dunia', 'mbappe', 'top', 'skor']</t>
  </si>
  <si>
    <t>jantung aman? hahahaha sumpahh ya ini baru final piala dunia gilaaaa deg2annya dapetüò≠ü§≠ terbaikk dahh messiüèÜüá¶üá∑ü•≥ü§åüíô  https://t.co/yeykhTrpVU</t>
  </si>
  <si>
    <t>jantung aman hahahaha sumpahh ini baru final piala dunia gilaaaa deg annya dapet terbaikk dahh messi</t>
  </si>
  <si>
    <t>['jantung', 'aman', 'hahahaha', 'sumpahh', 'baru', 'final', 'piala', 'dunia', 'gilaaaa', 'deg', 'annya', 'dapat', 'terbaikk', 'dahh', 'messi']</t>
  </si>
  <si>
    <t>Piala dunia terseru ~ Gianni invantino Piala dunia terbaik ~ Ricardo Kaka Final pildun paling seru ~ Fadlilah Ahmad P.</t>
  </si>
  <si>
    <t>piala dunia terseru gianni invantino piala dunia terbaik ricardo kaka final pildun paling seru fadlilah ahmad</t>
  </si>
  <si>
    <t>['piala', 'dunia', 'terseru', 'gianni', 'invantino', 'piala', 'dunia', 'terbaik', 'ricardo', 'kaka', 'final', 'piala dunia', 'paling', 'seru', 'fadlilah', 'ahmad']</t>
  </si>
  <si>
    <t>Final piala dunia ter epic</t>
  </si>
  <si>
    <t>final piala dunia ter epic</t>
  </si>
  <si>
    <t>['final', 'piala', 'dunia', 'ter', 'epic']</t>
  </si>
  <si>
    <t>Final yang mengesankan. Piala dunia 2022. Congrats to Argentina üá¶üá∑</t>
  </si>
  <si>
    <t>final yang mengesankan piala dunia congrats argentina</t>
  </si>
  <si>
    <t>['final', 'mengesankan', 'piala', 'dunia', 'congrats', 'argentina']</t>
  </si>
  <si>
    <t>Fix final piala dunia terseruuuu</t>
  </si>
  <si>
    <t>fix final piala dunia terseruuuu</t>
  </si>
  <si>
    <t>['fix', 'final', 'piala', 'dunia', 'terseruuuu']</t>
  </si>
  <si>
    <t>Saya jagokan France sbg Juara Piala Dunia. Namun lewat pertandingan final yg cukup dramatis (berakhir dgn adu finalti), ternyata Argentina yg keluar sbg kampiun. Selamat buat Argentina.</t>
  </si>
  <si>
    <t>saya jagokan france sbg juara piala dunia namun lewat pertandingan final cukup dramatis berakhir dgn adu finalti ternyata argentina keluar sbg kampiun selamat buat argentina</t>
  </si>
  <si>
    <t>['jagokan', 'france', 'sbg', 'juara', 'piala', 'dunia', 'lewat', 'pertandingan', 'final', 'cukup', 'dramatis', 'berakhir', 'adu', 'finalti', 'ternyata', 'argentina', 'keluar', 'sbg', 'kampiun', 'selamat', 'buat', 'argentina']</t>
  </si>
  <si>
    <t>bersyukurlah kalian yg bisa nonton final piala dunia 2022, moment yg gabisa diulang, pecah banget finalnyaüò≠üò≠</t>
  </si>
  <si>
    <t>bersyukurlah kalian bisa nonton final piala dunia moment gabisa diulang pecah banget finalnya</t>
  </si>
  <si>
    <t>['bersyukurlah', 'kalian', 'nonton', 'final', 'piala', 'dunia', 'moment', 'gabisa', 'diulang', 'pecah', 'banget', 'finalnya']</t>
  </si>
  <si>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</si>
  <si>
    <t>akhirnya setelah penantian panjang kini messi mampu membawa argentina juara piala dunia laga final yang cukup menegangkan</t>
  </si>
  <si>
    <t>['akhirnya', 'penantian', 'panjang', 'kini', 'messi', 'mampu', 'membawa', 'argentina', 'juara', 'piala', 'dunia', 'laga', 'final', 'cukup', 'menegangkan']</t>
  </si>
  <si>
    <t>@barcastuff_idn sebenernya gw gak dukung siapapun di final, tapi gw cuma pengen nonton messi pegang piala dunia, selain jadi piala dunia terakhir buat messi tapi sekalin buat ngelengkapin semua trofi di level club dan internasional udah tercapai semua.</t>
  </si>
  <si>
    <t>idn sebenernya gak dukung siapapun final tapi cuma pengen nonton messi pegang piala dunia selain jadi piala dunia terakhir buat messi tapi sekalin buat ngelengkapin semua trofi level club dan internasional udah tercapai semua</t>
  </si>
  <si>
    <t>['idn', 'sebenernya', 'dukung', 'siapapun', 'final', 'cuma', 'pengen', 'nonton', 'messi', 'pegang', 'piala', 'dunia', 'jadi', 'piala', 'dunia', 'terakhir', 'buat', 'messi', 'sekalin', 'buat', 'ngelengkapin', 'semua', 'trofi', 'level', 'club', 'internasional', 'udah', 'tercapai', 'semua']</t>
  </si>
  <si>
    <t>Final Piala Dunia 2022 sungguh berkelas. Permainan yang menawan dan menghibur. Menjadi penutup terbaik Tahun 2022 yang penuh dinamika. Selamat Messi dan Argentina. Terima masih Mbappe dan Prancis. üëè‚öΩÔ∏èüí™</t>
  </si>
  <si>
    <t>final piala dunia sungguh berkelas permainan yang menawan dan menghibur menjadi penutup terbaik tahun yang penuh dinamika selamat messi dan argentina terima masih mbappe dan prancis</t>
  </si>
  <si>
    <t>['final', 'piala', 'dunia', 'sungguh', 'berkelas', 'permainan', 'menawan', 'menghibur', 'menjadi', 'penutup', 'terbaik', 'tahun', 'penuh', 'dinamika', 'selamat', 'messi', 'argentina', 'terima', 'mbappe', 'prancis']</t>
  </si>
  <si>
    <t>satu kata buat final piala dunia malam ini braw!</t>
  </si>
  <si>
    <t>satu kata buat final piala dunia malam ini braw</t>
  </si>
  <si>
    <t>['satu', 'kata', 'buat', 'final', 'piala', 'dunia', 'malam', 'braw']</t>
  </si>
  <si>
    <t>Argentina menjadi juara Piala Dunia 2022 setelah mengalahkan Perancis melalui babak adu penalti.  Laga Argentina vs Perancis di final Piala Dunia 2022 berlangsung di Stadion Lusail, Qatar, Minggu (18/12/2022) malam WIB.  #SmartNews  https://t.co/GkLMxEZ34L</t>
  </si>
  <si>
    <t>argentina menjadi juara piala dunia setelah mengalahkan perancis melalui babak adu penalti laga argentina perancis final piala dunia berlangsung stadion lusail qatar minggu malam wib</t>
  </si>
  <si>
    <t>['argentina', 'menjadi', 'juara', 'piala', 'dunia', 'mengalahkan', 'perancis', 'melalui', 'babak', 'adu', 'penalti', 'laga', 'argentina', 'perancis', 'final', 'piala', 'dunia', 'berlangsung', 'stadion', 'lusail', 'qatar', 'minggu', 'malam', 'wib']</t>
  </si>
  <si>
    <t>Wkwkwk lo liat deh perjalanan gue nonton final piala dunia kali iniü§£ naik turun coyü§£  https://t.co/siXE8fCPFr</t>
  </si>
  <si>
    <t>wkwkwk liat deh perjalanan gue nonton final piala dunia kali ini naik turun coy</t>
  </si>
  <si>
    <t>['wkwkwk', 'lihat', 'deh', 'perjalanan', 'gue', 'nonton', 'final', 'piala', 'dunia', 'kali', 'naik', 'turun', 'coy']</t>
  </si>
  <si>
    <t>Final Piala Dunia paling 1998  : Antiklimaks 2002 : Mudah 2006 : Kontroversial 2010  : Biasa 2014  : Dramatis 2018  : Gak imbang 2022 : Terbaik</t>
  </si>
  <si>
    <t>final piala dunia paling antiklimaks mudah kontroversial biasa dramatis gak imbang terbaik</t>
  </si>
  <si>
    <t>['final', 'piala', 'dunia', 'paling', 'antiklimaks', 'mudah', 'kontroversial', 'biasa', 'dramatis', 'imbang', 'terbaik']</t>
  </si>
  <si>
    <t>Sejarah hadir pada final Piala Dunia 2022. Argentina merebut gelar ketiga sepanjang sejarah setelah menang adu penalti 4-2 (3-3) atas Prancis  https://t.co/AOKGNllteX</t>
  </si>
  <si>
    <t>sejarah hadir pada final piala dunia argentina merebut gelar ketiga sepanjang sejarah setelah menang adu penalti atas prancis</t>
  </si>
  <si>
    <t>['sejarah', 'hadir', 'final', 'piala', 'dunia', 'argentina', 'merebut', 'gelar', 'ketiga', 'sepanjang', 'sejarah', 'menang', 'adu', 'penalti', 'atas', 'prancis']</t>
  </si>
  <si>
    <t>Final piala dunia 2022 seru bgt kayak drama korea tarik ulur hati penonton tp yg ttp menang y emang yg bgs mainnnya</t>
  </si>
  <si>
    <t>final piala dunia seru bgt kayak drama korea tarik ulur hati penonton ttp menang emang bgs mainnnya</t>
  </si>
  <si>
    <t>['final', 'piala', 'dunia', 'seru', 'banget', 'seperti', 'drama', 'korea', 'tarik', 'ulur', 'hati', 'penonton', 'ttp', 'menang', 'emang', 'bgs', 'mainnnya']</t>
  </si>
  <si>
    <t>Habis ribut ribut final piala dunia, tetangga lanjut mutar dangdut koplo.... ya allah üò≠</t>
  </si>
  <si>
    <t>habis ribut ribut final piala dunia tetangga lanjut mutar dangdut koplo allah</t>
  </si>
  <si>
    <t>['habis', 'ribut', 'ribut', 'final', 'piala', 'dunia', 'tetangga', 'lanjut', 'mutar', 'dangdut', 'koplo', 'allah']</t>
  </si>
  <si>
    <t>Jadi keinget yang koar-koar anti piala dunia Qatar gara-gara anti LGBT. Mereka kira-kira nonton final tadi gak ya?</t>
  </si>
  <si>
    <t>jadi keinget yang koar koar anti piala dunia qatar gara gara anti lgbt mereka kira kira nonton final tadi gak</t>
  </si>
  <si>
    <t>['jadi', 'keinget', 'koar', 'koar', 'anti', 'piala', 'dunia', 'qatar', 'gara', 'gara', 'anti', 'lgbt', 'kira', 'kira', 'nonton', 'final', 'tadi']</t>
  </si>
  <si>
    <t>&lt;FreqDist with 13 samples and 17 outcomes&gt;</t>
  </si>
  <si>
    <t>Pertandingan Final Piala Dunia terbaik yg pernah saya tonton, Final Piala Dunia 2022. Argentina 3-3 Prancis lanjut Adu pinalti Argentina 4-2 Prancis. Permainan Prancis sangat menarik selama piala dunia 2022 berlangsung karena banyak pemain muda yg mengandalkan kecepatan, dan</t>
  </si>
  <si>
    <t>pertandingan final piala dunia terbaik pernah saya tonton final piala dunia argentina prancis lanjut adu pinalti argentina prancis permainan prancis sangat menarik selama piala dunia berlangsung karena banyak pemain muda mengandalkan kecepatan dan</t>
  </si>
  <si>
    <t>['pertandingan', 'final', 'piala', 'dunia', 'terbaik', 'pernah', 'tonton', 'final', 'piala', 'dunia', 'argentina', 'prancis', 'lanjut', 'adu', 'penalti', 'argentina', 'prancis', 'permainan', 'prancis', 'sangat', 'menarik', 'selama', 'piala', 'dunia', 'berlangsung', 'banyak', 'pemain', 'muda', 'mengandalkan', 'kecepatan']</t>
  </si>
  <si>
    <t>&lt;FreqDist with 22 samples and 30 outcomes&gt;</t>
  </si>
  <si>
    <t>Perancis di final Piala Dunia dan sejenisnya.  1998: Menang telak 2006: Kalah penalti 2018: Menang telak 2022: Kalah penalti.  Trennya seperti itu</t>
  </si>
  <si>
    <t>perancis final piala dunia dan sejenisnya menang telak kalah penalti menang telak kalah penalti trennya seperti itu</t>
  </si>
  <si>
    <t>['perancis', 'final', 'piala', 'dunia', 'sejenisnya', 'menang', 'telak', 'kalah', 'penalti', 'menang', 'telak', 'kalah', 'penalti', 'trennya']</t>
  </si>
  <si>
    <t>&lt;FreqDist with 10 samples and 14 outcomes&gt;</t>
  </si>
  <si>
    <t>Lalui Drama Adu Penalti, Argentina Juara Piala Dunia 2022   https://t.co/yuEX40plwG // WHAT A FINAL #FIFAWorldCup Messi // All In France</t>
  </si>
  <si>
    <t>lalui drama adu penalti argentina juara piala dunia what final messi all france</t>
  </si>
  <si>
    <t>['lalui', 'drama', 'adu', 'penalti', 'argentina', 'juara', 'piala', 'dunia', 'what', 'final', 'messi', 'all', 'france']</t>
  </si>
  <si>
    <t>Final Piala Dunia Terbaik</t>
  </si>
  <si>
    <t>Suguhan final piala dunia yg sangat luar biasa. Selamat untuk Argentina üëèüëèüëè</t>
  </si>
  <si>
    <t>suguhan final piala dunia sangat luar biasa selamat untuk argentina</t>
  </si>
  <si>
    <t>['suguhan', 'final', 'piala', 'dunia', 'sangat', 'luar', 'biasa', 'selamat', 'argentina']</t>
  </si>
  <si>
    <t>Heads up, Mbapp√©. You're Always a Winner!ü§óüíú  Perjuangan Mbapp√© dan tim Prancis untuk menjadi juara pertama Piala Dunia memang terhenti di babak Final FIFA World Cup Qatar 2022‚Ñ¢ setelah kalah dari tim Argentina melalui babak pinalti 4-2.  https://t.co/2q8gYavrEt</t>
  </si>
  <si>
    <t>heads mbapp you always winner perjuangan mbapp dan tim prancis untuk menjadi juara pertama piala dunia memang terhenti babak final fifa world cup qatar setelah kalah dari tim argentina melalui babak pinalti</t>
  </si>
  <si>
    <t>['heads', 'mbapp', 'you', 'always', 'winner', 'perjuangan', 'mbapp', 'tim', 'prancis', 'menjadi', 'juara', 'pertama', 'piala', 'dunia', 'memang', 'terhenti', 'babak', 'final', 'fifa', 'world', 'cup', 'qatar', 'kalah', 'tim', 'argentina', 'melalui', 'babak', 'penalti']</t>
  </si>
  <si>
    <t>argentina won!!!! finally messi angkat piala duniaüò≠üôåüèª ini final pildun terseruuuuuu  https://t.co/wpF79Uprpr</t>
  </si>
  <si>
    <t>argentina won finally messi angkat piala dunia ini final pildun terseruuuuuu</t>
  </si>
  <si>
    <t>['argentina', 'won', 'finally', 'messi', 'angkat', 'piala', 'dunia', 'final', 'piala dunia', 'terseruuuuuu']</t>
  </si>
  <si>
    <t>Dengan ini FIFA telah mengumumkan dua perlawanan hebat sepanjang zaman di dunia adalah :   Final Piala Dunia 2022 France vs Argentina Final Piala Malaysia 2018 Perak vs Terengganu</t>
  </si>
  <si>
    <t>dengan ini fifa telah mengumumkan dua perlawanan hebat sepanjang zaman dunia adalah final piala dunia france argentina final piala malaysia perak terengganu</t>
  </si>
  <si>
    <t>['fifa', 'mengumumkan', 'perlawanan', 'hebat', 'sepanjang', 'zaman', 'dunia', 'final', 'piala', 'dunia', 'france', 'argentina', 'final', 'piala', 'malaysia', 'perak', 'terengganu']</t>
  </si>
  <si>
    <t>final piala dunia  https://t.co/suNQw85rYP</t>
  </si>
  <si>
    <t>Bagaimana mungkin seorang pemain mencetak hattrick di final Piala Dunia dan tetap kalah</t>
  </si>
  <si>
    <t>bagaimana mungkin seorang pemain mencetak hattrick final piala dunia dan tetap kalah</t>
  </si>
  <si>
    <t>['bagaimana', 'mungkin', 'seorang', 'pemain', 'mencetak', 'hattrick', 'final', 'piala', 'dunia', 'tetap', 'kalah']</t>
  </si>
  <si>
    <t>Finally, nyicip juga setitique nontonin final Piala Dunia nya, literally emang cuma nonton seuprit aja, cuma babak tambahan dan adu pinalti.. Then, congrats Argentina, yang emang dijagoin menang dibanding Prancis..</t>
  </si>
  <si>
    <t>finally nyicip juga setitique nontonin final piala dunia nya literally emang cuma nonton seuprit aja cuma babak tambahan dan adu pinalti then congrats argentina yang emang dijagoin menang dibanding prancis</t>
  </si>
  <si>
    <t>['finally', 'nyicip', 'setitique', 'nontonin', 'final', 'piala', 'dunia', 'literally', 'emang', 'cuma', 'nonton', 'seuprit', 'cuma', 'babak', 'tambahan', 'adu', 'penalti', 'then', 'congrats', 'argentina', 'emang', 'dijagoin', 'menang', 'dibanding', 'prancis']</t>
  </si>
  <si>
    <t>Tapi menurut gua ini final piala dunia paling seru yang pernah gua tonton sih, dari awal sampe akhir match dapet banget roller coaster of emotions nyaüò§</t>
  </si>
  <si>
    <t>tapi menurut gua ini final piala dunia paling seru yang pernah gua tonton sih dari awal sampe akhir match dapet banget roller coaster emotions nya</t>
  </si>
  <si>
    <t>['gua', 'final', 'piala', 'dunia', 'paling', 'seru', 'pernah', 'gua', 'tonton', 'awal', 'sampai', 'akhir', 'match', 'dapat', 'banget', 'roller', 'coaster', 'emotions']</t>
  </si>
  <si>
    <t>Gini dong baru pertandingan final piala dunia üòÇ</t>
  </si>
  <si>
    <t>gini dong baru pertandingan final piala dunia</t>
  </si>
  <si>
    <t>['gini', 'dong', 'baru', 'pertandingan', 'final', 'piala', 'dunia']</t>
  </si>
  <si>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</si>
  <si>
    <t>sumpah ini final terseru pernah nonton degdeganny dpt bgt awal dukung prancis feeling argentina menang bener aja kan congrats argentina congrats messi maria atas kemenangan piala dunia terakhir good job ayang mbappe</t>
  </si>
  <si>
    <t>['sumpah', 'final', 'terseru', 'pernah', 'nonton', 'degdeganny', 'dpt', 'banget', 'awal', 'dukung', 'prancis', 'feeling', 'argentina', 'menang', 'benar', 'kan', 'congrats', 'argentina', 'congrats', 'messi', 'maria', 'atas', 'kemenangan', 'piala', 'dunia', 'terakhir', 'good', 'job', 'ayang', 'mbappe']</t>
  </si>
  <si>
    <t>Lalu datang masa-masanya sekitar 2006an ada  Aboanzieri, Burdiso,Hienze, Cambiasso, Mascherano, Messi, Saviola, Tevez.  Susah banget juara Coppa America, Final selalu kalah sama Brazilnya Ronaldo Cs. Apalagi Piala Dunia selalu kandas sama Jerman.</t>
  </si>
  <si>
    <t>lalu datang masa masanya sekitar ada aboanzieri burdiso hienze cambiasso mascherano messi saviola tevez susah banget juara coppa america final selalu kalah sama brazilnya ronaldo apalagi piala dunia selalu kandas sama jerman</t>
  </si>
  <si>
    <t>['lalu', 'datang', 'masa', 'masanya', 'aboanzieri', 'burdiso', 'hienze', 'cambiasso', 'mascherano', 'messi', 'saviola', 'tevez', 'susah', 'banget', 'juara', 'coppa', 'america', 'final', 'selalu', 'kalah', 'sama', 'brazilnya', 'ronaldo', 'piala', 'dunia', 'selalu', 'kandas', 'sama', 'jerman']</t>
  </si>
  <si>
    <t>Sebagai anak cowok, Piala Dunia itu momen sakral. Ditunggu tiap 4 tahun sekali. Dari kecil nan polos sampai sekarang sudah kumisan.  Dan final barusan adalah final impian semua pencinta bola. Susul menyusul gol sampai adu penalti.  Final yang sempurna.</t>
  </si>
  <si>
    <t>sebagai anak cowok piala dunia itu momen sakral ditunggu tiap tahun sekali dari kecil nan polos sampai sekarang sudah kumisan dan final barusan adalah final impian semua pencinta bola susul menyusul gol sampai adu penalti final yang sempurna</t>
  </si>
  <si>
    <t>['anak', 'cowok', 'piala', 'dunia', 'momen', 'sakral', 'ditunggu', 'tiap', 'tahun', 'sekali', 'kecil', 'polos', 'sekarang', 'kumisan', 'final', 'barusan', 'final', 'impian', 'semua', 'pencinta', 'bola', 'susul', 'menyusul', 'gol', 'adu', 'penalti', 'final', 'sempurna']</t>
  </si>
  <si>
    <t>Jadi, tetiba rang orang bilang this is the best final ever.. Padahal sebelum perhelatan dimulai, rang orang nanyain kemana demam piala dunia ko ga berasa..</t>
  </si>
  <si>
    <t>jadi tetiba rang orang bilang this the best final ever padahal sebelum perhelatan dimulai rang orang nanyain kemana demam piala dunia berasa</t>
  </si>
  <si>
    <t>['jadi', 'tetiba', 'rang', 'orang', 'this', 'the', 'best', 'final', 'ever', 'padahal', 'perhelatan', 'dimulai', 'rang', 'orang', 'nanyain', 'demam', 'piala', 'dunia', 'berasa']</t>
  </si>
  <si>
    <t>Latepost... seru pertandingan Final piala dunia Qatar 2022. saling jual beli serangan. Selamat untuk Timnas Argentina üá¶üá∑  https://t.co/5PbvNh5tQb</t>
  </si>
  <si>
    <t>latepost seru pertandingan final piala dunia qatar saling jual beli serangan selamat untuk timnas argentina</t>
  </si>
  <si>
    <t>['latepost', 'seru', 'pertandingan', 'final', 'piala', 'dunia', 'qatar', 'saling', 'jual', 'beli', 'serangan', 'selamat', 'timnas', 'argentina']</t>
  </si>
  <si>
    <t>@na_dirs Guus.. Teman saya ga sengaja nebak skor final Piala Dunia 2022. Foto diambil waktu acara Kopdarnas 6 @aisnusantara di Kajen Pati pada tanggal 3 Desember kemarin. üòÜüôèüèª  Namanya @burhanelrowy_ katanya masih jmbl. üòÖüôèüèª  https://t.co/</t>
  </si>
  <si>
    <t>dirs guus teman saya sengaja nebak skor final piala dunia foto diambil waktu acara kopdarnas kajen pati pada tanggal desember kemarin namanya katanya masih jmbl</t>
  </si>
  <si>
    <t>['dirs', 'guus', 'teman', 'sengaja', 'nebak', 'skor', 'final', 'piala', 'dunia', 'foto', 'diambil', 'waktu', 'acara', 'kopdarnas', 'kajen', 'pati', 'tanggal', 'desember', 'kemarin', 'namanya', 'katanya', 'jmbl']</t>
  </si>
  <si>
    <t>Salut buat deschamps dan scaloni bisa meracik taktik terbaik di final piala dunia kali ini.</t>
  </si>
  <si>
    <t>salut buat deschamps dan scaloni bisa meracik taktik terbaik final piala dunia kali ini</t>
  </si>
  <si>
    <t>['salut', 'buat', 'deschamps', 'scaloni', 'meracik', 'taktik', 'terbaik', 'final', 'piala', 'dunia', 'kali']</t>
  </si>
  <si>
    <t>Final piala dunia terbaik sejauh yang saya tonton.</t>
  </si>
  <si>
    <t>final piala dunia terbaik sejauh yang saya tonton</t>
  </si>
  <si>
    <t>['final', 'piala', 'dunia', 'terbaik', 'sejauh', 'tonton']</t>
  </si>
  <si>
    <t>Final piala dunia 2022 kali ini lebih mengerikan daripada 2016 prancis vs kroasia. Argentina yg tidak diunggulkan bermain luar biasa walaupun di menit akhir kendor, bisa mematahkan dan memotong umpan prancis yg bikin pemain prancis jadi kebigungan</t>
  </si>
  <si>
    <t>final piala dunia kali ini lebih mengerikan daripada prancis kroasia argentina tidak diunggulkan bermain luar biasa walaupun menit akhir kendor bisa mematahkan dan memotong umpan prancis bikin pemain prancis jadi kebigungan</t>
  </si>
  <si>
    <t>['final', 'piala', 'dunia', 'kali', 'lebih', 'mengerikan', 'prancis', 'kroasia', 'argentina', 'diunggulkan', 'bermain', 'luar', 'biasa', 'walaupun', 'menit', 'akhir', 'kendor', 'mematahkan', 'memotong', 'umpan', 'prancis', 'pemain', 'prancis', 'jadi', 'kebigungan']</t>
  </si>
  <si>
    <t>Piala dunia taun ini diawal agak dimaki maki, eh ternyata ada underdog maroko tp malah sampe perbutan juara 3, final serame iki. What a World Cup.</t>
  </si>
  <si>
    <t>piala dunia taun ini diawal agak dimaki maki ternyata ada underdog maroko malah sampe perbutan juara final serame iki what world cup</t>
  </si>
  <si>
    <t>['piala', 'dunia', 'taun', 'diawal', 'dimaki', 'maki', 'ternyata', 'underdog', 'maroko', 'malah', 'sampai', 'perbutan', 'juara', 'final', 'serame', 'iki', 'what', 'world', 'cup']</t>
  </si>
  <si>
    <t>2 tokoh penting di final piala Dunia 2022 Mbappe, yang 23 tahun sudah pernah ngantarin perancis juara World Cup, dan sekarang ngegolin 4 buat perancis walau akhirnya kalah. Messi yang penghujung karir, akhirnya bisa mengangkat trofi world cup untuk negaranya. Edan semuanya!!!</t>
  </si>
  <si>
    <t>tokoh penting final piala dunia mbappe yang tahun sudah pernah ngantarin perancis juara world cup dan sekarang ngegolin buat perancis walau akhirnya kalah messi yang penghujung karir akhirnya bisa mengangkat trofi world cup untuk negaranya edan semuanya</t>
  </si>
  <si>
    <t>['tokoh', 'penting', 'final', 'piala', 'dunia', 'mbappe', 'tahun', 'pernah', 'ngantarin', 'perancis', 'juara', 'world', 'cup', 'sekarang', 'ngegolin', 'buat', 'perancis', 'akhirnya', 'kalah', 'messi', 'penghujung', 'karir', 'akhirnya', 'mengangkat', 'trofi', 'world', 'cup', 'negaranya', 'edan', 'semuanya']</t>
  </si>
  <si>
    <t>Final piala dunia paling sedapppp</t>
  </si>
  <si>
    <t>final piala dunia paling sedapppp</t>
  </si>
  <si>
    <t>['final', 'piala', 'dunia', 'paling', 'sedapppp']</t>
  </si>
  <si>
    <t>Akhirnya Argentina menang piala dunia #FIFAWorldCup lagi setelah menang di era Maradona sekarang Messi bawa kemenangan juga buat Argentina, What a final!!!such a great final world cupüèÜüèÜüèÜ  https://t.co/1Jfll7emEe</t>
  </si>
  <si>
    <t>akhirnya argentina menang piala dunia lagi setelah menang era maradona sekarang messi bawa kemenangan juga buat argentina what final such great final world cup</t>
  </si>
  <si>
    <t>['akhirnya', 'argentina', 'menang', 'piala', 'dunia', 'menang', 'era', 'maradona', 'sekarang', 'messi', 'bawa', 'kemenangan', 'buat', 'argentina', 'what', 'final', 'such', 'great', 'final', 'world', 'cup']</t>
  </si>
  <si>
    <t>@convomf Hattrick di final piala dunia üî•üëèüèΩ</t>
  </si>
  <si>
    <t>hattrick final piala dunia</t>
  </si>
  <si>
    <t>['hattrick', 'final', 'piala', 'dunia']</t>
  </si>
  <si>
    <t>Ini baru final piala dunia. Mantap argentina!</t>
  </si>
  <si>
    <t>ini baru final piala dunia mantap argentina</t>
  </si>
  <si>
    <t>['baru', 'final', 'piala', 'dunia', 'mantap', 'argentina']</t>
  </si>
  <si>
    <t>Final paling gila lebih dari 2010 yang aku pikir ga akan ada lagi piala dunia yg lebih keren, tapi ternyata final kali ini the best!!!  Congrats argentina üá¶üá∑ Nice try france üá´üá∑   Let's go to 2026 morocco üá≤üá¶</t>
  </si>
  <si>
    <t>final paling gila lebih dari yang aku pikir akan ada lagi piala dunia lebih keren tapi ternyata final kali ini the best congrats argentina nice try france let morocco</t>
  </si>
  <si>
    <t>['final', 'paling', 'gila', 'lebih', 'aku', 'pikir', 'piala', 'dunia', 'lebih', 'keren', 'ternyata', 'final', 'kali', 'the', 'best', 'congrats', 'argentina', 'nice', 'try', 'france', 'let', 'morocco']</t>
  </si>
  <si>
    <t>Sempet di bilang piala dunia ga berasa piala dunia , tapi tiba¬≤ banyak pertandingan yang mengejutkan dari argen kalah sama arab sampe marocco masuk semi final , dan ahirnya di sajiin final berkelas bahkan bisa di bilang final piala dunia terbaik , Big Thanks world cup 2022</t>
  </si>
  <si>
    <t>sempet bilang piala dunia berasa piala dunia tapi tiba banyak pertandingan yang mengejutkan dari argen kalah sama arab sampe marocco masuk semi final dan ahirnya sajiin final berkelas bahkan bisa bilang final piala dunia terbaik big thanks world cup</t>
  </si>
  <si>
    <t>['sempet', 'piala', 'dunia', 'berasa', 'piala', 'dunia', 'tiba', 'banyak', 'pertandingan', 'mengejutkan', 'argen', 'kalah', 'sama', 'arab', 'sampai', 'marocco', 'masuk', 'semi', 'final', 'ahirnya', 'sajiin', 'final', 'berkelas', 'bahkan', 'final', 'piala', 'dunia', 'terbaik', 'big', 'thanks', 'world', 'cup']</t>
  </si>
  <si>
    <t>&lt;FreqDist with 26 samples and 32 outcomes&gt;</t>
  </si>
  <si>
    <t>@idextratime Usia 23 tahun. Udah dapat Piala Dunia empat tahun lalu.  Bikin hattrick di final. Meski akhirnya kalah, Mbappe tetaplah one of the best. What a player üî•  https://t.co/2QgHIdJlRe</t>
  </si>
  <si>
    <t>usia tahun udah dapat piala dunia empat tahun lalu bikin hattrick final meski akhirnya kalah mbappe tetaplah one the best what player</t>
  </si>
  <si>
    <t>['usia', 'tahun', 'udah', 'piala', 'dunia', 'empat', 'tahun', 'lalu', 'hattrick', 'final', 'meski', 'akhirnya', 'kalah', 'mbappe', 'tetaplah', 'one', 'the', 'best', 'what', 'player']</t>
  </si>
  <si>
    <t>LIVE SKOR Final Piala Dunia: Argentina vs Prancis, Messi vs Mbappe: 2-2, Lanjut Extra Time  https://t.co/H5dwR6nzcE</t>
  </si>
  <si>
    <t>live skor final piala dunia argentina prancis messi mbappe lanjut extra time</t>
  </si>
  <si>
    <t>['live', 'skor', 'final', 'piala', 'dunia', 'argentina', 'prancis', 'messi', 'mbappe', 'lanjut', 'extra', 'time']</t>
  </si>
  <si>
    <t>Ini baru namanya final piala dunia ü´°</t>
  </si>
  <si>
    <t>ini baru namanya final piala dunia</t>
  </si>
  <si>
    <t>['baru', 'namanya', 'final', 'piala', 'dunia']</t>
  </si>
  <si>
    <t>*Tweet penghormatan* 3 Gool di final, Top score worldcup 2 kali final piala dunia 1 Kylian Mbapee Next Goat!! #WorldCupFinal #FRA #FIFAWorldCup  https://t.co/qyFgetLLsr</t>
  </si>
  <si>
    <t>tweet penghormatan gool final top score worldcup kali final piala dunia kylian mbapee next goat</t>
  </si>
  <si>
    <t>['tweet', 'penghormatan', 'gool', 'final', 'top', 'score', 'worldcup', 'kali', 'final', 'piala', 'dunia', 'kylian', 'mbapee', 'next', 'goat']</t>
  </si>
  <si>
    <t>Final piala dunia terbaik. Penuh drama. Argentina worldcup 2022</t>
  </si>
  <si>
    <t>final piala dunia terbaik penuh drama argentina worldcup</t>
  </si>
  <si>
    <t>['final', 'piala', 'dunia', 'terbaik', 'penuh', 'drama', 'argentina', 'worldcup']</t>
  </si>
  <si>
    <t>@idextratime Sempat di Ejek di awal akan jadi piala dunia yang Buruk, tapi Plot Twis nya Malah Jadi BEST EVER piala dunia dengan BEST FINAL nya üêê</t>
  </si>
  <si>
    <t>sempat ejek awal akan jadi piala dunia yang buruk tapi plot twis nya malah jadi best ever piala dunia dengan best final nya</t>
  </si>
  <si>
    <t>['sempat', 'ejek', 'awal', 'jadi', 'piala', 'dunia', 'buruk', 'plot', 'twis', 'malah', 'jadi', 'best', 'ever', 'piala', 'dunia', 'best', 'final']</t>
  </si>
  <si>
    <t>Tangisan Angel Di Maria Pecah Paska Cetak Gol Kedua Final Piala Dunia 2022 Argentina vs Prancis  https://t.co/XQci9uBYsz</t>
  </si>
  <si>
    <t>tangisan angel maria pecah paska cetak gol kedua final piala dunia argentina prancis</t>
  </si>
  <si>
    <t>['tangisan', 'angel', 'maria', 'pecah', 'paska', 'cetak', 'gol', 'kedua', 'final', 'piala', 'dunia', 'argentina', 'prancis']</t>
  </si>
  <si>
    <t>Terima kasih mbapee telah membuat final piala dunia kali ini jadi seruuu</t>
  </si>
  <si>
    <t>terima kasih mbapee telah membuat final piala dunia kali ini jadi seruuu</t>
  </si>
  <si>
    <t>['terima', 'kasih', 'mbapee', 'membuat', 'final', 'piala', 'dunia', 'kali', 'jadi', 'seruuu']</t>
  </si>
  <si>
    <t>Dan untuk fans Ronaldo. Jangan bersedih. Bagi saya, meski Ronaldo tak pernah bisa mencapai final piala dunianya. Ia telah memberikan banyak sumbangsih yg besar untuk dunia sepak bola.</t>
  </si>
  <si>
    <t>dan untuk fans ronaldo jangan bersedih bagi saya meski ronaldo tak pernah bisa mencapai final piala dunianya telah memberikan banyak sumbangsih besar untuk dunia sepak bola</t>
  </si>
  <si>
    <t>['fans', 'ronaldo', 'jangan', 'bersedih', 'meski', 'ronaldo', 'tak', 'pernah', 'mencapai', 'final', 'piala', 'dunianya', 'memberikan', 'banyak', 'sumbangsih', 'besar', 'dunia', 'sepak', 'bola']</t>
  </si>
  <si>
    <t>Bagi saya, ini adalah final terbaik piala dunia. Saya penggemar Cristiano Ronaldo, tapi tak menampik bahwa Leo Messi memenangkan perburuan gelar G.O.A.T. Leo Messi menyelesaikan sepak bolanya, dengan lengkap. Selamat.</t>
  </si>
  <si>
    <t>bagi saya ini adalah final terbaik piala dunia saya penggemar cristiano ronaldo tapi tak menampik bahwa leo messi memenangkan perburuan gelar leo messi menyelesaikan sepak bolanya dengan lengkap selamat</t>
  </si>
  <si>
    <t>['final', 'terbaik', 'piala', 'dunia', 'penggemar', 'cristiano', 'ronaldo', 'tak', 'menampik', 'leo', 'messi', 'memenangkan', 'perburuan', 'gelar', 'leo', 'messi', 'menyelesaikan', 'sepak', 'bolanya', 'lengkap', 'selamat']</t>
  </si>
  <si>
    <t>Argentina berhasil merebut trofi juara Piala Dunia 2022. Argentina mengalahkan Prancis di final melalui adu penalti 3-2, usai bermain seri 3-3 di extra time.  https://t.co/OLlsNoXgZO</t>
  </si>
  <si>
    <t>Orang yang gk nonton final piala dunia tahun ini bener bener rugi serugi ruginya</t>
  </si>
  <si>
    <t>orang yang nonton final piala dunia tahun ini bener bener rugi serugi ruginya</t>
  </si>
  <si>
    <t>['orang', 'nonton', 'final', 'piala', 'dunia', 'tahun', 'benar', 'benar', 'rugi', 'serugi', 'ruginya']</t>
  </si>
  <si>
    <t>Nonton final piala dunia tahun ini  dag dig dug ser sihh, gilaa panas dingin nontonnya cuyy sampe lemes sebadan badan</t>
  </si>
  <si>
    <t>nonton final piala dunia tahun ini dag dig dug ser sihh gilaa panas dingin nontonnya cuyy sampe lemes sebadan badan</t>
  </si>
  <si>
    <t>['nonton', 'final', 'piala', 'dunia', 'tahun', 'dag', 'dig', 'dug', 'ser', 'sihh', 'gilaa', 'panas', 'dingin', 'nontonnya', 'cuyy', 'sampai', 'lemes', 'sebadan', 'badan']</t>
  </si>
  <si>
    <t>@idextratime big respect juga sih umur segitu udah 2x ke final piala dunia</t>
  </si>
  <si>
    <t>big respect juga sih umur segitu udah final piala dunia</t>
  </si>
  <si>
    <t>['big', 'respect', 'umur', 'segitu', 'udah', 'final', 'piala', 'dunia']</t>
  </si>
  <si>
    <t>Final piala dunia terseru parah!!!mantap!!!the real G.O.A.T leo messi,ü´°buat prancis apalagi mbappe gokil parah üöÄ calon pemain terbaik selanjutnya mbappe!!</t>
  </si>
  <si>
    <t>final piala dunia terseru parah mantap the real leo messi buat prancis apalagi mbappe gokil parah calon pemain terbaik selanjutnya mbappe</t>
  </si>
  <si>
    <t>['final', 'piala', 'dunia', 'terseru', 'parah', 'mantap', 'the', 'real', 'leo', 'messi', 'buat', 'prancis', 'mbappe', 'gila', 'parah', 'calon', 'pemain', 'terbaik', 'selanjutnya', 'mbappe']</t>
  </si>
  <si>
    <t>Diluar dari segala kontroversi yang ada, harus diakui Piala Dunia 2022 di Qatar ini berjalan sukses. Kejutan-kejutan yang dihadirkan hingga pertandingan Final terseru yang pernah gw tonton.  Good job Qatar! Thank you for the warm welcome !!</t>
  </si>
  <si>
    <t>diluar dari segala kontroversi yang ada harus diakui piala dunia qatar ini berjalan sukses kejutan kejutan yang dihadirkan hingga pertandingan final terseru yang pernah tonton good job qatar thank you for the warm welcome</t>
  </si>
  <si>
    <t>['diluar', 'segala', 'kontroversi', 'diakui', 'piala', 'dunia', 'qatar', 'berjalan', 'sukses', 'kejutan', 'kejutan', 'dihadirkan', 'hingga', 'pertandingan', 'final', 'terseru', 'pernah', 'tonton', 'good', 'job', 'qatar', 'thank', 'you', 'for', 'the', 'warm', 'welcome']</t>
  </si>
  <si>
    <t>salah satu final piala dunia terbaik, argentina, messi, bener bener gila.</t>
  </si>
  <si>
    <t>salah satu final piala dunia terbaik argentina messi bener bener gila</t>
  </si>
  <si>
    <t>['salah', 'satu', 'final', 'piala', 'dunia', 'terbaik', 'argentina', 'messi', 'benar', 'benar', 'gila']</t>
  </si>
  <si>
    <t>setelah messi, titel goat resmi akan dipegang mbappe karna udah ngegendong 10 orang tolol di final piala dunia</t>
  </si>
  <si>
    <t>setelah messi titel goat resmi akan dipegang mbappe karna udah ngegendong orang tolol final piala dunia</t>
  </si>
  <si>
    <t>['messi', 'titel', 'goat', 'resmi', 'dipegang', 'mbappe', 'karna', 'udah', 'ngegendong', 'orang', 'tolol', 'final', 'piala', 'dunia']</t>
  </si>
  <si>
    <t>Malem eh pagi abis nonton final piala dunia perancis lawan argentina  https://t.co/WN3aU7nlct</t>
  </si>
  <si>
    <t>malem pagi abis nonton final piala dunia perancis lawan argentina</t>
  </si>
  <si>
    <t>['malem', 'pagi', 'abis', 'nonton', 'final', 'piala', 'dunia', 'perancis', 'lawan', 'argentina']</t>
  </si>
  <si>
    <t>Nonton final piala dunia 2022, salah satu pertandingan terbaik seng pernah tak tonton. Buajigur, Mbappe gila keren banget, Messi ya semua udah tau lah ya. Gokilll, selamat Argentina!</t>
  </si>
  <si>
    <t>nonton final piala dunia salah satu pertandingan terbaik seng pernah tak tonton buajigur mbappe gila keren banget messi semua udah tau lah gokilll selamat argentina</t>
  </si>
  <si>
    <t>['nonton', 'final', 'piala', 'dunia', 'salah', 'satu', 'pertandingan', 'terbaik', 'seng', 'pernah', 'tak', 'tonton', 'buajigur', 'mbappe', 'gila', 'keren', 'banget', 'messi', 'semua', 'udah', 'lah', 'gokilll', 'selamat', 'argentina']</t>
  </si>
  <si>
    <t>bayangin anjir final piala dunia saling balas goal sampai 6 goal total anjir</t>
  </si>
  <si>
    <t>bayangin anjir final piala dunia saling balas goal sampai goal total anjir</t>
  </si>
  <si>
    <t>['bayangin', 'anjir', 'final', 'piala', 'dunia', 'saling', 'balas', 'goal', 'goal', 'total', 'anjir']</t>
  </si>
  <si>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</si>
  <si>
    <t>piala dunia termahal sepanjang sejarah piala dunia yang paling banyak gol sepanjang sejarah pertandingan final terbaik piala dunia sepanjang sejarah ditutup sama momen piala dunia pertama yang dimenangin lionel messi thank you qatar salah satu piala dunia terbaik</t>
  </si>
  <si>
    <t>['piala', 'dunia', 'termahal', 'sepanjang', 'sejarah', 'piala', 'dunia', 'paling', 'banyak', 'gol', 'sepanjang', 'sejarah', 'pertandingan', 'final', 'terbaik', 'piala', 'dunia', 'sepanjang', 'sejarah', 'ditutup', 'sama', 'momen', 'piala', 'dunia', 'pertama', 'dimenangin', 'lionel', 'messi', 'thank', 'you', 'qatar', 'salah', 'satu', 'piala', 'dunia', 'terbaik']</t>
  </si>
  <si>
    <t>&lt;FreqDist with 23 samples and 36 outcomes&gt;</t>
  </si>
  <si>
    <t>Piala dunia Qatar terbaik sepanjang sejarah. Fase grup sulit di tebak ‚úÖÔ∏è Tim kuda hitam baru: Maroco ‚úÖÔ∏è Final tim terbaik ‚úÖÔ∏è Pertandingan Final ciamik ‚úÖÔ∏è</t>
  </si>
  <si>
    <t>piala dunia qatar terbaik sepanjang sejarah fase grup sulit tebak tim kuda hitam baru maroco final tim terbaik pertandingan final ciamik</t>
  </si>
  <si>
    <t>['piala', 'dunia', 'qatar', 'terbaik', 'sepanjang', 'sejarah', 'fase', 'grup', 'sulit', 'tebak', 'tim', 'kuda', 'hitam', 'baru', 'maroco', 'final', 'tim', 'terbaik', 'pertandingan', 'final', 'ciamik']</t>
  </si>
  <si>
    <t>üò≠üò≠üò≠üò≠ seru bgt cokk final piala dunia tahun ini!! dlu gua inget bgt mau nonton ga dibolehin karna gabole tidur kemaleman</t>
  </si>
  <si>
    <t>seru bgt cokk final piala dunia tahun ini dlu gua inget bgt mau nonton dibolehin karna gabole tidur kemaleman</t>
  </si>
  <si>
    <t>['seru', 'banget', 'cokk', 'final', 'piala', 'dunia', 'tahun', 'dlu', 'gua', 'inget', 'banget', 'mau', 'nonton', 'dibolehin', 'karna', 'gabole', 'tidur', 'kemaleman']</t>
  </si>
  <si>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</si>
  <si>
    <t>vamos argentina final piala dunia terseru thanks mbappe bikin seru haha rangkaian pildun akhirnya selesaiiii dan mostly hari ntn pildun bersama apip gavi semoga one day bisa ntn jagoan masing langsungg selamat pensiun king goat messi</t>
  </si>
  <si>
    <t>['vamos', 'argentina', 'final', 'piala', 'dunia', 'terseru', 'thanks', 'mbappe', 'seru', 'haha', 'rangkaian', 'piala dunia', 'akhirnya', 'selesaiiii', 'mostly', 'hari', 'ntn', 'piala dunia', 'bersama', 'apip', 'gavi', 'semoga', 'one', 'day', 'ntn', 'jagoan', 'masing', 'langsungg', 'selamat', 'pensiun', 'king', 'goat', 'messi']</t>
  </si>
  <si>
    <t>Fakta bahwa Mbappe berhasil mencetak hattrick di final piala dunia, tidak diragukan lagi GOAT lainnya sedang dibuat. Masih jauh menuju karirnya dan bahkan belum di usia primaü§Ø #pialadunia #mpabbe #adupinalti  https://t.co/lYOsdudrBz</t>
  </si>
  <si>
    <t>fakta bahwa mbappe berhasil mencetak hattrick final piala dunia tidak diragukan lagi goat lainnya sedang dibuat masih jauh menuju karirnya dan bahkan belum usia prima</t>
  </si>
  <si>
    <t>['fakta', 'mbappe', 'berhasil', 'mencetak', 'hattrick', 'final', 'piala', 'dunia', 'diragukan', 'goat', 'lainnya', 'sedang', 'dibuat', 'jauh', 'menuju', 'karirnya', 'bahkan', 'usia', 'prima']</t>
  </si>
  <si>
    <t>Argentina 2-2 Prancis, Laga Final Piala Dunia 2022 Dilanjutkan ke Babak Tambahan  https://t.co/n1bw4S0mFp</t>
  </si>
  <si>
    <t>argentina prancis laga final piala dunia dilanjutkan babak tambahan</t>
  </si>
  <si>
    <t>['argentina', 'prancis', 'laga', 'final', 'piala', 'dunia', 'dilanjutkan', 'babak', 'tambahan']</t>
  </si>
  <si>
    <t>mentalku setelah nonton final piala dunia sedikit terguncang</t>
  </si>
  <si>
    <t>['mentalku', 'nonton', 'final', 'piala', 'dunia', 'sedikit', 'terguncang']</t>
  </si>
  <si>
    <t>Final World Cup terbaik. Congrats üá¶üá∑Messi. Mbappe üá´üá∑ layak mjd pemain terbaik selanjutnya. Terimakasih Qatar! piala dunia kali ini paling seru karena banyak kejutan yg tk terduga #WorldCup #WorldCupFinal #Messi #GOATìÉµ #ArgentinaVsFrance</t>
  </si>
  <si>
    <t>final world cup terbaik congrats messi mbappe layak mjd pemain terbaik selanjutnya terimakasih qatar piala dunia kali ini paling seru karena banyak kejutan terduga</t>
  </si>
  <si>
    <t>['final', 'world', 'cup', 'terbaik', 'congrats', 'messi', 'mbappe', 'layak', 'mjd', 'pemain', 'terbaik', 'selanjutnya', 'terimakasih', 'qatar', 'piala', 'dunia', 'kali', 'paling', 'seru', 'banyak', 'kejutan', 'terduga']</t>
  </si>
  <si>
    <t>Qatar, final match epic, rekor baru  Piala dunia terbaik yang pernah saya lihat ‚ù§Ô∏è</t>
  </si>
  <si>
    <t>qatar final match epic rekor baru piala dunia terbaik yang pernah saya lihat</t>
  </si>
  <si>
    <t>['qatar', 'final', 'match', 'epic', 'rekor', 'baru', 'piala', 'dunia', 'terbaik', 'pernah', 'lihat']</t>
  </si>
  <si>
    <t>Hattrick di Final piala dunia, anak muda yang gila luar biasa, angkat kepalamu dan masih banyak yang harus kau kejar  Mbappe üëçüëçüëç</t>
  </si>
  <si>
    <t>hattrick final piala dunia anak muda yang gila luar biasa angkat kepalamu dan masih banyak yang harus kau kejar mbappe</t>
  </si>
  <si>
    <t>['hattrick', 'final', 'piala', 'dunia', 'anak', 'muda', 'gila', 'luar', 'biasa', 'angkat', 'kepalamu', 'banyak', 'kau', 'kejar', 'mbappe']</t>
  </si>
  <si>
    <t>Final terbaik sih ini selama nonton Piala Dunia sejak 2002</t>
  </si>
  <si>
    <t>final terbaik sih ini selama nonton piala dunia sejak</t>
  </si>
  <si>
    <t>['final', 'terbaik', 'selama', 'nonton', 'piala', 'dunia', 'sejak']</t>
  </si>
  <si>
    <t>[askrl] siapa yang suaranya abis gara¬≤ teriak teruss nntn final piala dunia cungüò≠‚òùÔ∏è</t>
  </si>
  <si>
    <t>askrl siapa yang suaranya abis gara teriak teruss nntn final piala dunia cung</t>
  </si>
  <si>
    <t>['askrl', 'siapa', 'suaranya', 'abis', 'gara', 'teriak', 'teruss', 'nonton', 'final', 'piala', 'dunia', 'cung']</t>
  </si>
  <si>
    <t>KAPAN Terakhir Argentina Juara Piala Dunia? Argentina yang di Awal Piala Dunia Kalah, Namun Menang di Final  https://t.co/BIRVT7Ukei</t>
  </si>
  <si>
    <t>kapan terakhir argentina juara piala dunia argentina yang awal piala dunia kalah namun menang final</t>
  </si>
  <si>
    <t>['kapan', 'terakhir', 'argentina', 'juara', 'piala', 'dunia', 'argentina', 'awal', 'piala', 'dunia', 'kalah', 'menang', 'final']</t>
  </si>
  <si>
    <t>&lt;FreqDist with 10 samples and 13 outcomes&gt;</t>
  </si>
  <si>
    <t>Timnas terbaik sepanjang masa : Brazil Club terbaik sepanjang masa : Real Madrid Pemain terbaik sepanjang masa : Messi Tuan Rumah piala dunia terbaik sepanjang masa : qatar 2022 Final piala dunia terseru : 2022 argentina vs prancis</t>
  </si>
  <si>
    <t>timnas terbaik sepanjang masa brazil club terbaik sepanjang masa real madrid pemain terbaik sepanjang masa messi tuan rumah piala dunia terbaik sepanjang masa qatar final piala dunia terseru argentina prancis</t>
  </si>
  <si>
    <t>['timnas', 'terbaik', 'sepanjang', 'masa', 'brazil', 'club', 'terbaik', 'sepanjang', 'masa', 'real', 'madrid', 'pemain', 'terbaik', 'sepanjang', 'masa', 'messi', 'tuan', 'rumah', 'piala', 'dunia', 'terbaik', 'sepanjang', 'masa', 'qatar', 'final', 'piala', 'dunia', 'terseru', 'argentina', 'prancis']</t>
  </si>
  <si>
    <t>&lt;FreqDist with 19 samples and 30 outcomes&gt;</t>
  </si>
  <si>
    <t>Umur baru 23 tapi udal cetak 4 gol di final piala dunia :')</t>
  </si>
  <si>
    <t>umur baru tapi udal cetak gol final piala dunia</t>
  </si>
  <si>
    <t>['umur', 'baru', 'udal', 'cetak', 'gol', 'final', 'piala', 'dunia']</t>
  </si>
  <si>
    <t>dari nonton final piala dunia ke nonton Chelsea - Bournemouth üò≠</t>
  </si>
  <si>
    <t>dari nonton final piala dunia nonton chelsea bournemouth</t>
  </si>
  <si>
    <t>['nonton', 'final', 'piala', 'dunia', 'nonton', 'chelsea', 'bournemouth']</t>
  </si>
  <si>
    <t>weh bertepatan hari bahasa arab sedunia, final piala dunia juga di qatar wawww</t>
  </si>
  <si>
    <t>weh bertepatan hari bahasa arab sedunia final piala dunia juga qatar wawww</t>
  </si>
  <si>
    <t>['weh', 'bertepatan', 'hari', 'bahasa', 'arab', 'sedunia', 'final', 'piala', 'dunia', 'qatar', 'wawww']</t>
  </si>
  <si>
    <t>What a final sumpah walaupun Perancis kalah tapi permainan tetap keren apalagi #Mbappe smpe bikin hattricküëç  Selamat buat Argentina dan juga Messi yang berhasil menang piala dunia #FIFAWorldCup tahun ini  https://t.co/Lie2Q1d33m</t>
  </si>
  <si>
    <t>what final sumpah walaupun perancis kalah tapi permainan tetap keren apalagi smpe bikin hattrick selamat buat argentina dan juga messi yang berhasil menang piala dunia tahun ini</t>
  </si>
  <si>
    <t>['what', 'final', 'sumpah', 'walaupun', 'perancis', 'kalah', 'permainan', 'tetap', 'keren', 'smpe', 'hattrick', 'selamat', 'buat', 'argentina', 'messi', 'berhasil', 'menang', 'piala', 'dunia', 'tahun']</t>
  </si>
  <si>
    <t>Piala dunia terbaik Match final terbaik Persembahan terbaik Its over! Messi is The G.O.A.T üêê  https://t.co/vIBlEpWTkP</t>
  </si>
  <si>
    <t>piala dunia terbaik match final terbaik persembahan terbaik its over messi the</t>
  </si>
  <si>
    <t>['piala', 'dunia', 'terbaik', 'match', 'final', 'terbaik', 'persembahan', 'terbaik', 'its', 'over', 'messi', 'the']</t>
  </si>
  <si>
    <t>Kita beruntung baru saja melihat piala dunia terbaik sepanjang sejarah. Dan belum tentu ada final sebaik ini utk seribu tahun akan datang</t>
  </si>
  <si>
    <t>kita beruntung baru saja melihat piala dunia terbaik sepanjang sejarah dan belum tentu ada final sebaik ini utk seribu tahun akan datang</t>
  </si>
  <si>
    <t>['beruntung', 'baru', 'melihat', 'piala', 'dunia', 'terbaik', 'sepanjang', 'sejarah', 'final', 'sebaik', 'seribu', 'tahun', 'datang']</t>
  </si>
  <si>
    <t>Thanks final piala dunia malam senin yg seru</t>
  </si>
  <si>
    <t>thanks final piala dunia malam senin seru</t>
  </si>
  <si>
    <t>['thanks', 'final', 'piala', 'dunia', 'malam', 'senin', 'seru']</t>
  </si>
  <si>
    <t>Gw kan fomo bgt, jd gw nnton final piala dunia pdhal kmrin2 gk nnton wkwk gk nyesel sih nntonnya soalnya tegang bgt jadi seruuu ikut degdegkan gituuuh</t>
  </si>
  <si>
    <t>kan fomo bgt nnton final piala dunia pdhal kmrin nnton wkwk nyesel sih nntonnya soalnya tegang bgt jadi seruuu ikut degdegkan gituuuh</t>
  </si>
  <si>
    <t>['kan', 'fomo', 'banget', 'nnton', 'final', 'piala', 'dunia', 'pdhal', 'kmrin', 'nnton', 'nyesel', 'nntonnya', 'soalnya', 'tegang', 'banget', 'jadi', 'seruuu', 'ikut', 'degdegkan', 'gituuuh']</t>
  </si>
  <si>
    <t>Final piala dunia paling epic üëè</t>
  </si>
  <si>
    <t>final piala dunia paling epic</t>
  </si>
  <si>
    <t>['final', 'piala', 'dunia', 'paling', 'epic']</t>
  </si>
  <si>
    <t>Final piala dunia terbaik! üëèüèªüëèüèª</t>
  </si>
  <si>
    <t>mbape jeung messi asup final piala dunia. tapi angger moal juara champions.</t>
  </si>
  <si>
    <t>mbape jeung messi asup final piala dunia tapi angger moal juara champions</t>
  </si>
  <si>
    <t>['mbape', 'jeung', 'messi', 'asup', 'final', 'piala', 'dunia', 'angger', 'moal', 'juara', 'champions']</t>
  </si>
  <si>
    <t>harus di akui final piala dunia yang paling seru ini, meski tidak bkin nyenyak tdur Madafaka.  https://t.co/Txdfqgv0p8</t>
  </si>
  <si>
    <t>harus akui final piala dunia yang paling seru ini meski tidak bkin nyenyak tdur madafaka</t>
  </si>
  <si>
    <t>['akui', 'final', 'piala', 'dunia', 'paling', 'seru', 'meski', 'bkin', 'nyenyak', 'tdur', 'madafaka']</t>
  </si>
  <si>
    <t>WHAT A FINAL üî•üî•üî•  Final terbaik dan terseru sepanjang sejarah piala Dunia üî•  https://t.co/0j8OY4tN3L</t>
  </si>
  <si>
    <t>what final final terbaik dan terseru sepanjang sejarah piala dunia</t>
  </si>
  <si>
    <t>['what', 'final', 'final', 'terbaik', 'terseru', 'sepanjang', 'sejarah', 'piala', 'dunia']</t>
  </si>
  <si>
    <t>This man yang bikin final piala dunia ini rame banget. He prays for miracle, and miracle arrives.</t>
  </si>
  <si>
    <t>this man yang bikin final piala dunia ini rame banget prays for miracle and miracle arrives</t>
  </si>
  <si>
    <t>['this', 'man', 'final', 'piala', 'dunia', 'ramai', 'banget', 'prays', 'for', 'miracle', 'and', 'miracle', 'arrives']</t>
  </si>
  <si>
    <t>Piala dunia Qatar 2022; piala dunia termahal, piala dunia terakhir dengan 32 timnas, final piala dunia terbaik seejauh ini, dan diakhiri dengan Lionel Messi yang berhasil menjadi GOAT. Congrats!!  https://t.co/fkPNRsmDYg</t>
  </si>
  <si>
    <t>piala dunia qatar piala dunia termahal piala dunia terakhir dengan timnas final piala dunia terbaik seejauh ini dan diakhiri dengan lionel messi yang berhasil menjadi goat congrats</t>
  </si>
  <si>
    <t>['piala', 'dunia', 'qatar', 'piala', 'dunia', 'termahal', 'piala', 'dunia', 'terakhir', 'timnas', 'final', 'piala', 'dunia', 'terbaik', 'seejauh', 'diakhiri', 'lionel', 'messi', 'berhasil', 'menjadi', 'goat', 'congrats']</t>
  </si>
  <si>
    <t>Argentina Juara Piala Dunia 2022 Qatar Usai Kalahkan Prancis  https://t.co/AZI3KiHCKK  WHAT A FINAL Benzema Raul Lemos Argentina Messi Penalti All in France Dybala Drake Ronaldo Konate Madrid Maradona Giroud Lautaro Camavinga Di Maria Jantung #FIFAWorldCup</t>
  </si>
  <si>
    <t>argentina juara piala dunia qatar usai kalahkan prancis what final benzema raul lemos argentina messi penalti all france dybala drake ronaldo konate madrid maradona giroud lautaro camavinga maria jantung</t>
  </si>
  <si>
    <t>['argentina', 'juara', 'piala', 'dunia', 'qatar', 'usai', 'kalahkan', 'prancis', 'what', 'final', 'benzema', 'raul', 'lemos', 'argentina', 'messi', 'penalti', 'all', 'france', 'dybala', 'drake', 'ronaldo', 'konate', 'madrid', 'maradona', 'giroud', 'lautaro', 'camavinga', 'maria', 'jantung']</t>
  </si>
  <si>
    <t>Final terbaik piala dunia</t>
  </si>
  <si>
    <t>Malam Apresiasi Kapolda Cup dan Nobar Final Piala Dunia Tahun 2022. Kapolsek Pancoran Kompol Panji Ali Candra,SE,SH,SIK,MH beserta PJU Polsek dan tokoh Masyarakat Nobar Final Piala Dunia di ruang serba guna Polsek Pancoran.  https://t.co/LDwsOSyKno</t>
  </si>
  <si>
    <t>malam apresiasi kapolda cup dan nobar final piala dunia tahun kapolsek pancoran kompol panji ali candra sik beserta pju polsek dan tokoh masyarakat nobar final piala dunia ruang serba guna polsek pancoran</t>
  </si>
  <si>
    <t>['malam', 'apresiasi', 'kapolda', 'cup', 'nonton bareng', 'final', 'piala', 'dunia', 'tahun', 'kapolsek', 'pancoran', 'kompol', 'panji', 'ali', 'candra', 'sik', 'beserta', 'pju', 'polsek', 'tokoh', 'masyarakat', 'nonton bareng', 'final', 'piala', 'dunia', 'ruang', 'serba', 'polsek', 'pancoran']</t>
  </si>
  <si>
    <t>&lt;FreqDist with 23 samples and 29 outcomes&gt;</t>
  </si>
  <si>
    <t>piala dunia berikutnya itali juara lawan malta di final.</t>
  </si>
  <si>
    <t>piala dunia berikutnya itali juara lawan malta final</t>
  </si>
  <si>
    <t>['piala', 'dunia', 'berikutnya', 'itali', 'juara', 'lawan', 'malta', 'final']</t>
  </si>
  <si>
    <t>GILA GILA GILA! INI YANG BENERAN NAMANYA FINAL! GOKILLL!!! PIALA DUNIA TAHUN INI!</t>
  </si>
  <si>
    <t>gila gila gila ini yang beneran namanya final gokilll piala dunia tahun ini</t>
  </si>
  <si>
    <t>['gila', 'gila', 'gila', 'beneran', 'namanya', 'final', 'gokilll', 'piala', 'dunia', 'tahun']</t>
  </si>
  <si>
    <t>@idextratime Salut sih, salah satu final piala dunia seru ini üî•</t>
  </si>
  <si>
    <t>salut sih salah satu final piala dunia seru ini</t>
  </si>
  <si>
    <t>['salut', 'salah', 'satu', 'final', 'piala', 'dunia', 'seru']</t>
  </si>
  <si>
    <t>Terimakasih Argentina-Prancis sudah menyajikan Final Piala Dunia yang sangat menakjubkan. Harapan, Skill individu, Fighting spirit, kerjasama tim dan tak lupa senam jantungnya semua bercampur üòÅ  Terkecuali buat @vidio streamingmu sumpah koyok KEAT</t>
  </si>
  <si>
    <t>terimakasih argentina prancis sudah menyajikan final piala dunia yang sangat menakjubkan harapan skill individu fighting spirit kerjasama tim dan tak lupa senam jantungnya semua bercampur terkecuali buat streamingmu sumpah koyok keat</t>
  </si>
  <si>
    <t>['terimakasih', 'argentina', 'prancis', 'menyajikan', 'final', 'piala', 'dunia', 'sangat', 'menakjubkan', 'harapan', 'skill', 'individu', 'fighting', 'spirit', 'kerjasama', 'tim', 'tak', 'lupa', 'senam', 'jantungnya', 'semua', 'bercampur', 'terkecuali', 'buat', 'streamingmu', 'sumpah', 'koyok', 'keat']</t>
  </si>
  <si>
    <t>2014, piala dunia kedua yang saya tonton, tahun dimana Messi dan Argentina nyaris sabet gelar juara dunia, tapi sayang sejuta sayang, kalah di final, nyeseknya sampe sekarang sih kalo diceritain üòÇ</t>
  </si>
  <si>
    <t>piala dunia kedua yang saya tonton tahun dimana messi dan argentina nyaris sabet gelar juara dunia tapi sayang sejuta sayang kalah final nyeseknya sampe sekarang sih kalo diceritain</t>
  </si>
  <si>
    <t>['piala', 'dunia', 'kedua', 'tonton', 'tahun', 'messi', 'argentina', 'nyaris', 'sabet', 'gelar', 'juara', 'dunia', 'sayang', 'sejuta', 'sayang', 'kalah', 'final', 'nyeseknya', 'sampai', 'sekarang', 'diceritain']</t>
  </si>
  <si>
    <t>Mbappe hattrick, Messi, Final, Piala Dunia, GOAT waaahh gila sihh ini olahraga</t>
  </si>
  <si>
    <t>mbappe hattrick messi final piala dunia goat waaahh gila sihh ini olahraga</t>
  </si>
  <si>
    <t>['mbappe', 'hattrick', 'messi', 'final', 'piala', 'dunia', 'goat', 'waaahh', 'gila', 'sihh', 'olahraga']</t>
  </si>
  <si>
    <t>Siapapun yang menang atau kalah. Argentina üá¶üá∑ &amp;amp; France üá®üáµ sudah memberikan hiburan yang seru di final piala dunia 2022. Pertandingan final itu harusnya memang begini, sampai akhir 90++ bukan kaleng-kaleng üòÅ</t>
  </si>
  <si>
    <t>siapapun yang menang atau kalah argentina france sudah memberikan hiburan yang seru final piala dunia pertandingan final itu harusnya memang begini sampai akhir bukan kaleng kaleng</t>
  </si>
  <si>
    <t>['siapapun', 'menang', 'kalah', 'argentina', 'france', 'memberikan', 'hiburan', 'seru', 'final', 'piala', 'dunia', 'pertandingan', 'final', 'harusnya', 'memang', 'begini', 'akhir', 'bukan', 'kaleng', 'kaleng']</t>
  </si>
  <si>
    <t>Final piala dunia ter GG.. paling deg deg an</t>
  </si>
  <si>
    <t>final piala dunia ter paling deg deg</t>
  </si>
  <si>
    <t>['final', 'piala', 'dunia', 'ter', 'paling', 'deg', 'deg']</t>
  </si>
  <si>
    <t>Pemain yang cetak 5 gol dalam satu final Piala Dunia! Wow. üò±  https://t.co/tAAEsHSUy5</t>
  </si>
  <si>
    <t>pemain yang cetak gol dalam satu final piala dunia wow</t>
  </si>
  <si>
    <t>['pemain', 'cetak', 'gol', 'satu', 'final', 'piala', 'dunia', 'wow']</t>
  </si>
  <si>
    <t>Banyak yg bilang final piala dunia terbaik kaya yg nnton setiap final aja ajig wkwkwk paujii paujii</t>
  </si>
  <si>
    <t>banyak bilang final piala dunia terbaik kaya nnton setiap final aja ajig wkwkwk paujii paujii</t>
  </si>
  <si>
    <t>['banyak', 'final', 'piala', 'dunia', 'terbaik', 'kaya', 'nnton', 'final', 'ajig', 'wkwkwk', 'paujii', 'paujii']</t>
  </si>
  <si>
    <t>Drake mendapat 42.9 M karena menjagokan Argentina di final piala dunia.  https://t.co/hYe6dsYnXg</t>
  </si>
  <si>
    <t>drake mendapat karena menjagokan argentina final piala dunia</t>
  </si>
  <si>
    <t>['drake', 'mendapat', 'menjagokan', 'argentina', 'final', 'piala', 'dunia']</t>
  </si>
  <si>
    <t>LIVE SKOR Final Piala Dunia: 2-2, Di Babak Pertama Mbappe Tak Berkutik, Di Babak Kedua Menggila  https://t.co/nWHfUm35uT</t>
  </si>
  <si>
    <t>live skor final piala dunia babak pertama mbappe tak berkutik babak kedua menggila</t>
  </si>
  <si>
    <t>['live', 'skor', 'final', 'piala', 'dunia', 'babak', 'pertama', 'mbappe', 'tak', 'berkutik', 'babak', 'kedua', 'menggila']</t>
  </si>
  <si>
    <t>Piala Dunia Qatar ini awal-awal banyak yang ngeremehin, dibilang kurang rame kurang seru. Tp dr awal penyisihan trnyta dah bnyk kejutan.   Hingga sampelah di final. Dan ini final paling seru sih</t>
  </si>
  <si>
    <t>piala dunia qatar ini awal awal banyak yang ngeremehin dibilang kurang rame kurang seru awal penyisihan trnyta dah bnyk kejutan hingga sampelah final dan ini final paling seru sih</t>
  </si>
  <si>
    <t>['piala', 'dunia', 'qatar', 'awal', 'awal', 'banyak', 'ngeremehin', 'dibilang', 'kurang', 'ramai', 'kurang', 'seru', 'awal', 'penyisihan', 'trnyta', 'dah', 'bnyk', 'kejutan', 'hingga', 'sampelah', 'final', 'final', 'paling', 'seru']</t>
  </si>
  <si>
    <t>Final Piala dunia terbaik yang pernah saya lihat. Bersyukur bisa ada di masa ini melihat seorang legenda hidup.</t>
  </si>
  <si>
    <t>final piala dunia terbaik yang pernah saya lihat bersyukur bisa ada masa ini melihat seorang legenda hidup</t>
  </si>
  <si>
    <t>['final', 'piala', 'dunia', 'terbaik', 'pernah', 'lihat', 'bersyukur', 'masa', 'melihat', 'seorang', 'legenda', 'hidup']</t>
  </si>
  <si>
    <t>'98 lines, final hattrick, ngecarry negara nya sendiri. what a man!üëè  sayangnya pemain prancis ngga se militan pemain argentina buat buka jalan messi juara piala dunia.  see you next time, mbappe, find your new rival and claim your own thronesü§úüëë</t>
  </si>
  <si>
    <t>lines final hattrick ngecarry negara nya sendiri what man sayangnya pemain prancis ngga militan pemain argentina buat buka jalan messi juara piala dunia see you next time mbappe find your new rival and claim your own thrones</t>
  </si>
  <si>
    <t>['lines', 'final', 'hattrick', 'ngecarry', 'negara', 'sendiri', 'what', 'man', 'sayangnya', 'pemain', 'prancis', 'ngga', 'militan', 'pemain', 'argentina', 'buat', 'buka', 'jalan', 'messi', 'juara', 'piala', 'dunia', 'see', 'you', 'next', 'time', 'mbappe', 'find', 'your', 'new', 'rival', 'and', 'claim', 'your', 'own', 'thrones']</t>
  </si>
  <si>
    <t>Saya mengucapkan selamat yang tulus kepada Argentina dan Leonel Messi, yang menjadi Juara Piala Dunia FIFA 2022 setelah salah satu pertandingan final paling kontroversial dalam sejarah.  https://t.co/NGYy8XWa6B</t>
  </si>
  <si>
    <t>saya mengucapkan selamat yang tulus kepada argentina dan leonel messi yang menjadi juara piala dunia fifa setelah salah satu pertandingan final paling kontroversial dalam sejarah</t>
  </si>
  <si>
    <t>['mengucapkan', 'selamat', 'tulus', 'argentina', 'leonel', 'messi', 'menjadi', 'juara', 'piala', 'dunia', 'fifa', 'salah', 'satu', 'pertandingan', 'final', 'paling', 'kontroversial', 'sejarah']</t>
  </si>
  <si>
    <t>2010, pertama kali nonton piala dunia dan pertama kali nonton bola, entah kenapa ya nonton Argentina. bahkan GOAT nya papah sama saya berada di satu lapangan yang sama. Maradona &amp;amp; Messi.  sayang harus kalah di perempat final.</t>
  </si>
  <si>
    <t>pertama kali nonton piala dunia dan pertama kali nonton bola entah kenapa nonton argentina bahkan goat nya papah sama saya berada satu lapangan yang sama maradona messi sayang harus kalah perempat final</t>
  </si>
  <si>
    <t>['pertama', 'kali', 'nonton', 'piala', 'dunia', 'pertama', 'kali', 'nonton', 'bola', 'entah', 'nonton', 'argentina', 'bahkan', 'goat', 'papah', 'sama', 'berada', 'satu', 'lapangan', 'sama', 'maradona', 'messi', 'sayang', 'kalah', 'perempat', 'final']</t>
  </si>
  <si>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</si>
  <si>
    <t>messi pensiun timnas dgn happy ending mbappe goal final pildun martinez sipaling jago adu pinalti bakalan diingat dlm sejarah sepakbola dunia khususnya piala dunia qatar congrats argentina terima kasih piala dunia akhirnya balik lagi nonton emyu wkwk</t>
  </si>
  <si>
    <t>['messi', 'pensiun', 'timnas', 'happy', 'ending', 'mbappe', 'goal', 'final', 'piala dunia', 'martinez', 'sipaling', 'jago', 'adu', 'penalti', 'bakalan', 'diingat', 'dlm', 'sejarah', 'sepakbola', 'dunia', 'khususnya', 'piala', 'dunia', 'qatar', 'congrats', 'argentina', 'terima', 'kasih', 'piala', 'dunia', 'akhirnya', 'balik', 'nonton', 'emyu']</t>
  </si>
  <si>
    <t>&lt;FreqDist with 31 samples and 34 outcomes&gt;</t>
  </si>
  <si>
    <t>'Luar biasa, final Piala Dunia terbaik sepanjang masa.' Argentina dramatis tekuk Prancis melalui adu penalti.  https://t.co/Hfg9Ul6Yqb</t>
  </si>
  <si>
    <t>luar biasa final piala dunia terbaik sepanjang masa argentina dramatis tekuk prancis melalui adu penalti</t>
  </si>
  <si>
    <t>['luar', 'biasa', 'final', 'piala', 'dunia', 'terbaik', 'sepanjang', 'masa', 'argentina', 'dramatis', 'tekuk', 'prancis', 'melalui', 'adu', 'penalti']</t>
  </si>
  <si>
    <t>Ya gua tau sih abis final piala dunia tapi ga main bola dpn rumah tetangga jugaaa bgsd emg</t>
  </si>
  <si>
    <t>gua tau sih abis final piala dunia tapi main bola dpn rumah tetangga jugaaa bgsd emg</t>
  </si>
  <si>
    <t>['gua', 'abis', 'final', 'piala', 'dunia', 'main', 'bola', 'depan', 'rumah', 'tetangga', 'jugaaa', 'bgsd', 'memang']</t>
  </si>
  <si>
    <t>Afrika Selatan boleh jadi yang paling memoreable, tapi secara kualitas kompetisi, piala dunia Qatar serta final Argentina vs Prancis adalah salah satu games terbaik dalam sejarah sepak bola!</t>
  </si>
  <si>
    <t>afrika selatan boleh jadi yang paling memoreable tapi secara kualitas kompetisi piala dunia qatar serta final argentina prancis adalah salah satu games terbaik dalam sejarah sepak bola</t>
  </si>
  <si>
    <t>['afrika', 'selatan', 'jadi', 'paling', 'memoreable', 'kualitas', 'kompetisi', 'piala', 'dunia', 'qatar', 'final', 'argentina', 'prancis', 'salah', 'satu', 'games', 'terbaik', 'sejarah', 'sepak', 'bola']</t>
  </si>
  <si>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</si>
  <si>
    <t>sejak mengenal fifa dan pes anakku dengan mudahnya jatuh cinta pada messi haland dan city ini adalah pengalaman piala dunia pertama anakku pertandingan malam ini adalah salah satu final terbaik sepanjang masa dan messi jagoannya itu menang bagi anakku malam ini abadi</t>
  </si>
  <si>
    <t>['sejak', 'mengenal', 'fifa', 'pes', 'anakku', 'mudahnya', 'jatuh', 'cinta', 'messi', 'haland', 'city', 'pengalaman', 'piala', 'dunia', 'pertama', 'anakku', 'pertandingan', 'malam', 'salah', 'satu', 'final', 'terbaik', 'sepanjang', 'masa', 'messi', 'jagoannya', 'menang', 'anakku', 'malam', 'abadi']</t>
  </si>
  <si>
    <t>salah satu final tergokill di piala dunia!! GGWP üá¶üá∑üá≤üá´, and congrats! @Argentina üèÜ</t>
  </si>
  <si>
    <t>salah satu final tergokill piala dunia ggwp and congrats</t>
  </si>
  <si>
    <t>['salah', 'satu', 'final', 'tergokill', 'piala', 'dunia', 'ggwp', 'and', 'congrats']</t>
  </si>
  <si>
    <t>Final Piala dunia paling top! Fans messi full senyum üôÉ</t>
  </si>
  <si>
    <t>final piala dunia paling top fans messi full senyum</t>
  </si>
  <si>
    <t>['final', 'piala', 'dunia', 'paling', 'top', 'fans', 'messi', 'full', 'senyum']</t>
  </si>
  <si>
    <t>Final piala dunia terbaik yang pernah disaksikan. Dan menjadi saksi penyelenggaraan piala dunia terbaik, respect for @qatar</t>
  </si>
  <si>
    <t>final piala dunia terbaik yang pernah disaksikan dan menjadi saksi penyelenggaraan piala dunia terbaik respect for</t>
  </si>
  <si>
    <t>['final', 'piala', 'dunia', 'terbaik', 'pernah', 'disaksikan', 'menjadi', 'saksi', 'penyelenggaraan', 'piala', 'dunia', 'terbaik', 'respect', 'for']</t>
  </si>
  <si>
    <t>Final terseru selama nonton bola,kelasnya piala dunia deui..satu kata " GILA " üî•</t>
  </si>
  <si>
    <t>final terseru selama nonton bola kelasnya piala dunia deui satu kata gila</t>
  </si>
  <si>
    <t>['final', 'terseru', 'selama', 'nonton', 'bola', 'kelasnya', 'piala', 'dunia', 'deui', 'satu', 'kata', 'gila']</t>
  </si>
  <si>
    <t>@idextratime Cokkkk hatrick di final Piala Dunia gimana ceritanya di umur segitu üò≠üò≠üò≠üò≠üò≠</t>
  </si>
  <si>
    <t>cokkkk hatrick final piala dunia gimana ceritanya umur segitu</t>
  </si>
  <si>
    <t>['cokkkk', 'hatrick', 'final', 'piala', 'dunia', 'gimana', 'ceritanya', 'umur', 'segitu']</t>
  </si>
  <si>
    <t>Hasil Final Piala Dunia 2022 Argentina vs Prancis: Bantu Tim Tango Berjaya, Lionel Messi Cetak 2 Rekor Unik  https://t.co/Emk9dd6VVC</t>
  </si>
  <si>
    <t>@idextratime 2x final piala dunia 1x juara dunia Hattrick di final Topscore  . . 23 tahun kalian ngapain??....</t>
  </si>
  <si>
    <t>final piala dunia juara dunia hattrick final topscore tahun kalian ngapain</t>
  </si>
  <si>
    <t>['final', 'piala', 'dunia', 'juara', 'dunia', 'hattrick', 'final', 'topscore', 'tahun', 'kalian', 'ngapain']</t>
  </si>
  <si>
    <t>Final Piala Dunia Argentina vs Prancis berlanjut ke babak adu penalti - ANTARA News Bengkulu  https://t.co/709WWWrWBq</t>
  </si>
  <si>
    <t>final piala dunia argentina prancis berlanjut babak adu penalti antara news bengkulu</t>
  </si>
  <si>
    <t>['final', 'piala', 'dunia', 'argentina', 'prancis', 'berlanjut', 'babak', 'adu', 'penalti', 'news', 'bengkulu']</t>
  </si>
  <si>
    <t>@unnameduser7140 final piala dunia nyet</t>
  </si>
  <si>
    <t>final piala dunia nyet</t>
  </si>
  <si>
    <t>['final', 'piala', 'dunia', 'nyet']</t>
  </si>
  <si>
    <t>Piala dunia terbaik, final terbaik</t>
  </si>
  <si>
    <t>piala dunia terbaik final terbaik</t>
  </si>
  <si>
    <t>['piala', 'dunia', 'terbaik', 'final', 'terbaik']</t>
  </si>
  <si>
    <t>&lt;FreqDist with 4 samples and 5 outcomes&gt;</t>
  </si>
  <si>
    <t>Final piala dunia paling seru</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</si>
  <si>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</si>
  <si>
    <t>negara yang pernah masuk final piala dunia berturut turut italia juara juara brazil juara juara juara runner argentina juara runner prancis juara runner btw respect prancis</t>
  </si>
  <si>
    <t>['negara', 'pernah', 'masuk', 'final', 'piala', 'dunia', 'berturut', 'turut', 'italia', 'juara', 'juara', 'brazil', 'juara', 'juara', 'juara', 'runner', 'argentina', 'juara', 'runner', 'prancis', 'juara', 'runner', 'by the way', 'respect', 'prancis']</t>
  </si>
  <si>
    <t>&lt;FreqDist with 16 samples and 25 outcomes&gt;</t>
  </si>
  <si>
    <t>Final piala dunia terseru sepanjang yang aku tonton ü•≤</t>
  </si>
  <si>
    <t>final piala dunia terseru sepanjang yang aku tonton</t>
  </si>
  <si>
    <t>['final', 'piala', 'dunia', 'terseru', 'sepanjang', 'aku', 'tonton']</t>
  </si>
  <si>
    <t>Terima kasih istri dan anak sudah memberikan izin nonton final piala dunia terbaik seumur hidup.</t>
  </si>
  <si>
    <t>terima kasih istri dan anak sudah memberikan izin nonton final piala dunia terbaik seumur hidup</t>
  </si>
  <si>
    <t>['terima', 'kasih', 'istri', 'anak', 'memberikan', 'izin', 'nonton', 'final', 'piala', 'dunia', 'terbaik', 'seumur', 'hidup']</t>
  </si>
  <si>
    <t>Awalnya diragukan...tapi akhirnya Piala Dunia Qatar 2022 jadi Piala Dunia dan pertandingan Final paling seru sepanjang masa.  InshaAllah panjang umur sampe jumpa di Piala Dunia Canada,USA &amp;amp; Meksiko.  I ‚ô•Ô∏è Football.</t>
  </si>
  <si>
    <t>awalnya diragukan tapi akhirnya piala dunia qatar jadi piala dunia dan pertandingan final paling seru sepanjang masa inshaallah panjang umur sampe jumpa piala dunia canada usa meksiko football</t>
  </si>
  <si>
    <t>['awalnya', 'diragukan', 'akhirnya', 'piala', 'dunia', 'qatar', 'jadi', 'piala', 'dunia', 'pertandingan', 'final', 'paling', 'seru', 'sepanjang', 'masa', 'inshaallah', 'panjang', 'umur', 'sampai', 'jumpa', 'piala', 'dunia', 'canada', 'usa', 'meksiko', 'football']</t>
  </si>
  <si>
    <t>Hasil Final Piala Dunia 2022 ‚Äì Argentina Taklukkan Prancis Lewat Adu Penalti, Lionel Messi Sah Jadi GOAT dengan Paripurna ‚Äì Semua Halaman ‚Äì Bolasport ‚Äì  https://t.co/hT1Ps3MHVQ ‚Äì #Arenanews #Kamidi #Opsiminfo- https://t.co/2ubK7ZiaqA</t>
  </si>
  <si>
    <t>hasil final piala dunia argentina taklukkan prancis lewat adu penalti lionel messi sah jadi goat dengan paripurna semua halaman bolasport</t>
  </si>
  <si>
    <t>['hasil', 'final', 'piala', 'dunia', 'argentina', 'taklukkan', 'prancis', 'lewat', 'adu', 'penalti', 'lionel', 'messi', 'sah', 'jadi', 'goat', 'paripurna', 'semua', 'halaman', 'bolasport']</t>
  </si>
  <si>
    <t>LIVE REPORT: Argentina vs Prancis di Final Piala Dunia 2022 ‚Äì CNN Indonesia ‚Äì Google Berita Olahraga ‚Äì  https://t.co/bazajrVMV8 ‚Äì #Arenanews #Kamidi #Opsiminfo- https://t.co/dBaDbu9XJX</t>
  </si>
  <si>
    <t>Terima kasih FIFA. Inilah salah satu perhelatan Piala Dunia sepakbola terbaik. Dahsyat sampai babak final. Kami sbg rakyat Indonesia terima kasih juga karena gorengan seperti bala-bala, gehu, combro, &amp;amp; tempe goreng terjual berton-ton, banyak yang borong utk nonbar.#pialadunia</t>
  </si>
  <si>
    <t>terima kasih fifa inilah salah satu perhelatan piala dunia sepakbola terbaik dahsyat sampai babak final kami sbg rakyat indonesia terima kasih juga karena gorengan seperti bala bala gehu combro tempe goreng terjual berton ton banyak yang borong utk nonbar</t>
  </si>
  <si>
    <t>['terima', 'kasih', 'fifa', 'inilah', 'salah', 'satu', 'perhelatan', 'piala', 'dunia', 'sepakbola', 'terbaik', 'dahsyat', 'babak', 'final', 'sbg', 'rakyat', 'indonesia', 'terima', 'kasih', 'gorengan', 'bala', 'bala', 'gehu', 'combro', 'tempe', 'goreng', 'terjual', 'berton', 'ton', 'banyak', 'borong', 'nonbar']</t>
  </si>
  <si>
    <t>&lt;FreqDist with 29 samples and 32 outcomes&gt;</t>
  </si>
  <si>
    <t>selamat buat Argentina....buatku juaranya tetap Perancis donk ya...Mbappe keren banget, seluruh timnya hebat. tertinggal 2 gol gak bikin down, malah bisa bangkit. #Perancis juara di hati #final terbaik piala dunia</t>
  </si>
  <si>
    <t>selamat buat argentina buatku juaranya tetap perancis donk mbappe keren banget seluruh timnya hebat tertinggal gol gak bikin down malah bisa bangkit juara hati terbaik piala dunia</t>
  </si>
  <si>
    <t>['selamat', 'buat', 'argentina', 'buatku', 'juaranya', 'tetap', 'perancis', 'donk', 'mbappe', 'keren', 'banget', 'seluruh', 'timnya', 'hebat', 'tertinggal', 'gol', 'down', 'malah', 'bangkit', 'juara', 'hati', 'terbaik', 'piala', 'dunia']</t>
  </si>
  <si>
    <t>Gua salah satu saksi sejarah pertandingan final piala dunia yang paling menegangkan. Argentina dan Perancis sama-sama hebat!</t>
  </si>
  <si>
    <t>gua salah satu saksi sejarah pertandingan final piala dunia yang paling menegangkan argentina dan perancis sama sama hebat</t>
  </si>
  <si>
    <t>['gua', 'salah', 'satu', 'saksi', 'sejarah', 'pertandingan', 'final', 'piala', 'dunia', 'paling', 'menegangkan', 'argentina', 'perancis', 'sama', 'sama', 'hebat']</t>
  </si>
  <si>
    <t>memiliki satu persamaan yaitu terdapat sekumpulan orang yang sedang menonton pertandingan final Piala Dunia 2022.  Memang seru melihat pertandingan tersebut. Argentina dan Perancis saling "jual beli" serangan, dan akhirnya berakhir ke babak adu penalti dengan Argentina ~cons</t>
  </si>
  <si>
    <t>memiliki satu persamaan yaitu terdapat sekumpulan orang yang sedang menonton pertandingan final piala dunia memang seru melihat pertandingan tersebut argentina dan perancis saling jual beli serangan dan akhirnya berakhir babak adu penalti dengan argentina cons</t>
  </si>
  <si>
    <t>['memiliki', 'satu', 'persamaan', 'terdapat', 'sekumpulan', 'orang', 'sedang', 'menonton', 'pertandingan', 'final', 'piala', 'dunia', 'memang', 'seru', 'melihat', 'pertandingan', 'tersebut', 'argentina', 'perancis', 'saling', 'jual', 'beli', 'serangan', 'akhirnya', 'berakhir', 'babak', 'adu', 'penalti', 'argentina', 'cons']</t>
  </si>
  <si>
    <t>Timnas Saudi sepatutnya berbangga karena setidaknya mereka pernah mengalahkan juara piala dunia walaupun ngga pas finalü§£  Selamat Messi, Selamat Argentina üëèüèª  Semangat buat Mbappeüí™üèª</t>
  </si>
  <si>
    <t>timnas saudi sepatutnya berbangga karena setidaknya mereka pernah mengalahkan juara piala dunia walaupun ngga pas final selamat messi selamat argentina semangat buat mbappe</t>
  </si>
  <si>
    <t>['timnas', 'saudi', 'sepatutnya', 'berbangga', 'pernah', 'mengalahkan', 'juara', 'piala', 'dunia', 'walaupun', 'ngga', 'pas', 'final', 'selamat', 'messi', 'selamat', 'argentina', 'semangat', 'buat', 'mbappe']</t>
  </si>
  <si>
    <t>Salah satu final piala dunia terbaik yang pernah ada. ü§Øü•∂üî•üî•</t>
  </si>
  <si>
    <t>salah satu final piala dunia terbaik yang pernah ada</t>
  </si>
  <si>
    <t>['salah', 'satu', 'final', 'piala', 'dunia', 'terbaik', 'pernah']</t>
  </si>
  <si>
    <t>Final Piala Dunia Terbaik !</t>
  </si>
  <si>
    <t>Final piala dunia Qatar 2022, Argentina menang ya.. di trending topik banyak yang taruhan/judi .. kalau kalian bagaimana?</t>
  </si>
  <si>
    <t>final piala dunia qatar argentina menang trending topik banyak yang taruhan judi kalau kalian bagaimana</t>
  </si>
  <si>
    <t>['final', 'piala', 'dunia', 'qatar', 'argentina', 'menang', 'trending', 'topik', 'banyak', 'taruhan', 'judi', 'kalau', 'kalian', 'bagaimana']</t>
  </si>
  <si>
    <t>LIVE SKOR Final Piala Dunia: Argentina vs Prancis, Skor 2-2, Extra Time Dimulai  https://t.co/FQ0okdo7i9</t>
  </si>
  <si>
    <t>live skor final piala dunia argentina prancis skor extra time dimulai</t>
  </si>
  <si>
    <t>['live', 'skor', 'final', 'piala', 'dunia', 'argentina', 'prancis', 'skor', 'extra', 'time', 'dimulai']</t>
  </si>
  <si>
    <t>Final piala dunia paling menegangkan, terimakasih telah diberikan kesempatan untuk menyaksikan Messi mengangkat trophy piala dunia. Keep strong for Mbappe, try again to the next World Cup</t>
  </si>
  <si>
    <t>final piala dunia paling menegangkan terimakasih telah diberikan kesempatan untuk menyaksikan messi mengangkat trophy piala dunia keep strong for mbappe try again the next world cup</t>
  </si>
  <si>
    <t>['final', 'piala', 'dunia', 'paling', 'menegangkan', 'terimakasih', 'diberikan', 'kesempatan', 'menyaksikan', 'messi', 'mengangkat', 'trophy', 'piala', 'dunia', 'keep', 'strong', 'for', 'mbappe', 'try', 'again', 'the', 'next', 'world', 'cup']</t>
  </si>
  <si>
    <t>Piala dunia 2022 Qatar diragukan di awal malah dadi piala dunia paling SANGAR sampe Final!!! #WorldcupQatar2022</t>
  </si>
  <si>
    <t>piala dunia qatar diragukan awal malah dadi piala dunia paling sangar sampe final</t>
  </si>
  <si>
    <t>['piala', 'dunia', 'qatar', 'diragukan', 'awal', 'malah', 'dadi', 'piala', 'dunia', 'paling', 'sangar', 'sampai', 'final']</t>
  </si>
  <si>
    <t>Catat, 18 Desember 2022 Final piala dunia terbaik üá¶üá∑üá´üá∑.</t>
  </si>
  <si>
    <t>catat desember final piala dunia terbaik</t>
  </si>
  <si>
    <t>['catat', 'desember', 'final', 'piala', 'dunia', 'terbaik']</t>
  </si>
  <si>
    <t>Kebayang ga sih final piala dunia u-20 thn depan via vallen sm happy asmara muncul buat closing ceremony</t>
  </si>
  <si>
    <t>kebayang sih final piala dunia thn depan via vallen happy asmara muncul buat closing ceremony</t>
  </si>
  <si>
    <t>['kebayang', 'final', 'piala', 'dunia', 'thn', 'depan', 'via', 'vallen', 'happy', 'asmara', 'muncul', 'buat', 'closing', 'ceremony']</t>
  </si>
  <si>
    <t>Final piala dunia terbaik sepanjang masa! üá´üá∑üá¶üá∑</t>
  </si>
  <si>
    <t>Hasil final Piala Dunia, Argentina menang atas Prancis 4-2 lewat tendangan adu penalti, Messi angkat trofi!  https://t.co/4z14OhATwV</t>
  </si>
  <si>
    <t>hasil final piala dunia argentina menang atas prancis lewat tendangan adu penalti messi angkat trofi</t>
  </si>
  <si>
    <t>['hasil', 'final', 'piala', 'dunia', 'argentina', 'menang', 'atas', 'prancis', 'lewat', 'tendangan', 'adu', 'penalti', 'messi', 'angkat', 'trofi']</t>
  </si>
  <si>
    <t>final piala dunia paling seru, deg degan. congrats argentina, nt prancis  goat messi 10  #WorldCup #Argentina  https://t.co/O9Bu8LIoKJ</t>
  </si>
  <si>
    <t>final piala dunia paling seru deg degan congrats argentina prancis goat messi</t>
  </si>
  <si>
    <t>['final', 'piala', 'dunia', 'paling', 'seru', 'deg', 'degan', 'congrats', 'argentina', 'prancis', 'goat', 'messi']</t>
  </si>
  <si>
    <t>Final Piala Dunia paling Edyan, Deg Degan sak polle</t>
  </si>
  <si>
    <t>final piala dunia paling edyan deg degan sak polle</t>
  </si>
  <si>
    <t>['final', 'piala', 'dunia', 'paling', 'edyan', 'deg', 'degan', 'sak', 'polle']</t>
  </si>
  <si>
    <t>sebagai orang yg bisa dibilang kurang suka bola, nonton final piala dunia malam ini sangat gokil sekali. selamat argentina atas kemenangannya üá¶üá∑üôè</t>
  </si>
  <si>
    <t>sebagai orang bisa dibilang kurang suka bola nonton final piala dunia malam ini sangat gokil sekali selamat argentina atas kemenangannya</t>
  </si>
  <si>
    <t>['orang', 'dibilang', 'kurang', 'suka', 'bola', 'nonton', 'final', 'piala', 'dunia', 'malam', 'sangat', 'gila', 'sekali', 'selamat', 'argentina', 'atas', 'kemenangannya']</t>
  </si>
  <si>
    <t>La Albiceleste tango üá¶üá∑üá¶üá∑üá¶üá∑  üá¶üá∑Finalüá´üá∑  19 Des 2022 Piala Dunia Qatar 2022</t>
  </si>
  <si>
    <t>albiceleste tango final des piala dunia qatar</t>
  </si>
  <si>
    <t>['albiceleste', 'tango', 'final', 'des', 'piala', 'dunia', 'qatar']</t>
  </si>
  <si>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</si>
  <si>
    <t>jantungan nontonnya asli ini final piala dunia terbaik yang pernah ada sebelumnya argentina juara adu penalti mereka sudah menunggu tahun lamanya terhakhir juara tahun ketat pertarungan luar biasa dari argentina penantang juara bertahan prancis</t>
  </si>
  <si>
    <t>['jantungan', 'nontonnya', 'asli', 'final', 'piala', 'dunia', 'terbaik', 'pernah', 'sebelumnya', 'argentina', 'juara', 'adu', 'penalti', 'menunggu', 'tahun', 'lamanya', 'terhakhir', 'juara', 'tahun', 'ketat', 'pertarungan', 'luar', 'biasa', 'argentina', 'penantang', 'juara', 'bertahan', 'prancis']</t>
  </si>
  <si>
    <t>Sibuk itu cuma alasan. Sesibuk sibuk nya lu kalo lagi final piala dunia, presiden yang super sibuk aja nonton</t>
  </si>
  <si>
    <t>sibuk itu cuma alasan sesibuk sibuk nya kalo lagi final piala dunia presiden yang super sibuk aja nonton</t>
  </si>
  <si>
    <t>['sibuk', 'cuma', 'alasan', 'sesibuk', 'sibuk', 'final', 'piala', 'dunia', 'presiden', 'super', 'sibuk', 'nonton']</t>
  </si>
  <si>
    <t>The real final ampe titik darah penghabisan, akhirnya messi ngangkat piala dunia</t>
  </si>
  <si>
    <t>the real final ampe titik darah penghabisan akhirnya messi ngangkat piala dunia</t>
  </si>
  <si>
    <t>['the', 'real', 'final', 'sampai', 'titik', 'darah', 'penghabisan', 'akhirnya', 'messi', 'ngangkat', 'piala', 'dunia']</t>
  </si>
  <si>
    <t>@MafiaWasit Bayangin habis nonton final piala dunia disuruh nonton liga 1  üòÇüòÇüòÇüòÇ</t>
  </si>
  <si>
    <t>bayangin habis nonton final piala dunia disuruh nonton liga</t>
  </si>
  <si>
    <t>['bayangin', 'habis', 'nonton', 'final', 'piala', 'dunia', 'disuruh', 'nonton', 'liga']</t>
  </si>
  <si>
    <t>Info telat masuk kantor gara" nonton final piala dunia ‚úã</t>
  </si>
  <si>
    <t>info telat masuk kantor gara nonton final piala dunia</t>
  </si>
  <si>
    <t>['info', 'telat', 'masuk', 'kantor', 'gara', 'nonton', 'final', 'piala', 'dunia']</t>
  </si>
  <si>
    <t>Final Piala Dunia Qatar 2022, sampai menit 70 disuguhin sesuatu yg membosankan krn Prancis ga ngapa-ngapain, Argentina unggul 2-0</t>
  </si>
  <si>
    <t>final piala dunia qatar sampai menit disuguhin sesuatu membosankan krn prancis ngapa ngapain argentina unggul</t>
  </si>
  <si>
    <t>['final', 'piala', 'dunia', 'qatar', 'menit', 'disuguhin', 'membosankan', 'prancis', 'ngapa', 'ngapain', 'argentina', 'unggul']</t>
  </si>
  <si>
    <t>@idextratime Selamat Messi juara piala dunia yg sudah settingan FIFA dari wasit sampe wasit VAR sudah dibayar lunas dan final sudah jelas settingan yg juara ga kalah di final dan yg menang di final sudah pasti juara üòÑ</t>
  </si>
  <si>
    <t>selamat messi juara piala dunia sudah settingan fifa dari wasit sampe wasit var sudah dibayar lunas dan final sudah jelas settingan juara kalah final dan menang final sudah pasti juara</t>
  </si>
  <si>
    <t>['selamat', 'messi', 'juara', 'piala', 'dunia', 'settingan', 'fifa', 'wasit', 'sampai', 'wasit', 'var', 'dibayar', 'lunas', 'final', 'jelas', 'settingan', 'juara', 'kalah', 'final', 'menang', 'final', 'juara']</t>
  </si>
  <si>
    <t>qatar a/ piala dunia terseru dan termegah yang pernah saya ikuti. argentina keluar sebagai juara, tim afrika menciptakan sejarah lain. perdebatan goat berakhir di final piala dunia. messi lolos lalu memenangkan piala dunia pertamanya, sedangkan ronaldo tidak. football story.</t>
  </si>
  <si>
    <t>qatar piala dunia terseru dan termegah yang pernah saya ikuti argentina keluar sebagai juara tim afrika menciptakan sejarah lain perdebatan goat berakhir final piala dunia messi lolos lalu memenangkan piala dunia pertamanya sedangkan ronaldo tidak football story</t>
  </si>
  <si>
    <t>['qatar', 'piala', 'dunia', 'terseru', 'termegah', 'pernah', 'ikuti', 'argentina', 'keluar', 'juara', 'tim', 'afrika', 'menciptakan', 'sejarah', 'perdebatan', 'goat', 'berakhir', 'final', 'piala', 'dunia', 'messi', 'lolos', 'lalu', 'memenangkan', 'piala', 'dunia', 'pertamanya', 'ronaldo', 'football', 'story']</t>
  </si>
  <si>
    <t>buat anak-anak ugm_fess kalo ngerasa harinya berat, ingat Mbappe dah Hat-trick di final piala dunia dan masih kalah</t>
  </si>
  <si>
    <t>buat anak anak ugm fess kalo ngerasa harinya berat ingat mbappe dah hat trick final piala dunia dan masih kalah</t>
  </si>
  <si>
    <t>['buat', 'anak', 'anak', 'ugm', 'fess', 'ngerasa', 'harinya', 'berat', 'ingat', 'mbappe', 'dah', 'hat', 'trick', 'final', 'piala', 'dunia', 'kalah']</t>
  </si>
  <si>
    <t>Lagi asik nonton final piala dunia sambil main Twitter eh.. malah ke lock üòû</t>
  </si>
  <si>
    <t>lagi asik nonton final piala dunia sambil main twitter malah lock</t>
  </si>
  <si>
    <t>['asik', 'nonton', 'final', 'piala', 'dunia', 'main', 'twitter', 'malah', 'lock']</t>
  </si>
  <si>
    <t>Final tergila piala dunia yg pernah gue tonton, jantung sampe lemes nonton ini partai</t>
  </si>
  <si>
    <t>final tergila piala dunia pernah gue tonton jantung sampe lemes nonton ini partai</t>
  </si>
  <si>
    <t>['final', 'tergila', 'piala', 'dunia', 'pernah', 'gue', 'tonton', 'jantung', 'sampai', 'lemes', 'nonton', 'partai']</t>
  </si>
  <si>
    <t>Final piala dunia yg bikin tegang,seru, terharu ada di tahun ini</t>
  </si>
  <si>
    <t>final piala dunia bikin tegang seru terharu ada tahun ini</t>
  </si>
  <si>
    <t>['final', 'piala', 'dunia', 'tegang', 'seru', 'terharu', 'tahun']</t>
  </si>
  <si>
    <t>Seneng bisa jadi saksi final Piala Dunia terseru sepanjang gelaran ini ada. What a match!</t>
  </si>
  <si>
    <t>seneng bisa jadi saksi final piala dunia terseru sepanjang gelaran ini ada what match</t>
  </si>
  <si>
    <t>['seneng', 'jadi', 'saksi', 'final', 'piala', 'dunia', 'terseru', 'sepanjang', 'gelaran', 'what', 'match']</t>
  </si>
  <si>
    <t>GAK USAH BANDINGIN TROFI PIALA DUNIA KALO MAIN DI FINAL PIALA DUNIA AJA BELUM NGERASAIN.....  KALO CETAK GOL DI FASE KNOCK OUT PIALA DUNIA AJA MASIH TERUS MENCARI ü§≠ü§≠ü§≠ü§≠ü§≠</t>
  </si>
  <si>
    <t>gak usah bandingin trofi piala dunia kalo main final piala dunia aja belum ngerasain kalo cetak gol fase knock out piala dunia aja masih terus mencari</t>
  </si>
  <si>
    <t>['usah', 'bandingin', 'trofi', 'piala', 'dunia', 'main', 'final', 'piala', 'dunia', 'ngerasain', 'cetak', 'gol', 'fase', 'knock', 'out', 'piala', 'dunia', 'terus', 'mencari']</t>
  </si>
  <si>
    <t>&lt;FreqDist with 15 samples and 19 outcomes&gt;</t>
  </si>
  <si>
    <t>FINAL TERBAIK PIALA DUNIA DIPEGANG OLEH ARGENTINA VS FRANCE !!  KITA SAKSI HIDUPNYA COOOK üá¶üá∑üá¶üá∑üá¶üá∑üá¶üá∑üá¶üá∑</t>
  </si>
  <si>
    <t>final terbaik piala dunia dipegang oleh argentina france kita saksi hidupnya coook</t>
  </si>
  <si>
    <t>['final', 'terbaik', 'piala', 'dunia', 'dipegang', 'argentina', 'france', 'saksi', 'hidupnya', 'coook']</t>
  </si>
  <si>
    <t>Mbappe  umur 23 tahun mencetak 3 goal pada final piala dunia. Kamu mungkin di umur 23 tahun mencetak skripsi untuk ketiga kalinya karena revisi terus.</t>
  </si>
  <si>
    <t>mbappe umur tahun mencetak goal pada final piala dunia kamu mungkin umur tahun mencetak skripsi untuk ketiga kalinya karena revisi terus</t>
  </si>
  <si>
    <t>['mbappe', 'umur', 'tahun', 'mencetak', 'goal', 'final', 'piala', 'dunia', 'kamu', 'mungkin', 'umur', 'tahun', 'mencetak', 'skripsi', 'ketiga', 'kalinya', 'revisi', 'terus']</t>
  </si>
  <si>
    <t>Di luar segala kontroversi penyelenggara, ini adalah piala dunia yang seru, banyak kejutan dan final yang full klimaks</t>
  </si>
  <si>
    <t>luar segala kontroversi penyelenggara ini adalah piala dunia yang seru banyak kejutan dan final yang full klimaks</t>
  </si>
  <si>
    <t>['luar', 'segala', 'kontroversi', 'penyelenggara', 'piala', 'dunia', 'seru', 'banyak', 'kejutan', 'final', 'full', 'klimaks']</t>
  </si>
  <si>
    <t>Piala Dunia Terbaik! Dari mulai fase grup sampe final!</t>
  </si>
  <si>
    <t>piala dunia terbaik dari mulai fase grup sampe final</t>
  </si>
  <si>
    <t>['piala', 'dunia', 'terbaik', 'mulai', 'fase', 'grup', 'sampai', 'final']</t>
  </si>
  <si>
    <t>Sempat frustasi di Timnas karena berkali2 kalah di final. Pensiun. Balik lagi. Juara Copa America sama Piala Dunia. Lionel Messi. GOAT</t>
  </si>
  <si>
    <t>sempat frustasi timnas karena berkali kalah final pensiun balik lagi juara copa america sama piala dunia lionel messi goat</t>
  </si>
  <si>
    <t>['sempat', 'frustasi', 'timnas', 'berkali', 'kalah', 'final', 'pensiun', 'balik', 'juara', 'copa', 'america', 'sama', 'piala', 'dunia', 'lionel', 'messi', 'goat']</t>
  </si>
  <si>
    <t>What a Ironman &amp;amp; SLOBBER KNOCKER match buat Final Piala Dunia 2022  Bikin gua rada2 panas dingin liat matchnya.....  Congratulations ARGENTINA üá¶üá∑ dan buat TIMNAS PRANCIS meskipun Runner Up tapi Mbappe jadi Top Skorer dgn 8 Gol  #PialaDunia2022 #FIFAWorldCup</t>
  </si>
  <si>
    <t>what ironman slobber knocker match buat final piala dunia bikin gua rada panas dingin liat matchnya congratulations argentina dan buat timnas prancis meskipun runner tapi mbappe jadi top skorer dgn gol</t>
  </si>
  <si>
    <t>['what', 'ironman', 'slobber', 'knocker', 'match', 'buat', 'final', 'piala', 'dunia', 'gua', 'rada', 'panas', 'dingin', 'lihat', 'matchnya', 'congratulations', 'argentina', 'buat', 'timnas', 'prancis', 'meskipun', 'runner', 'mbappe', 'jadi', 'top', 'skorer', 'gol']</t>
  </si>
  <si>
    <t>FINAL PIALA DUNIA TERKEREN</t>
  </si>
  <si>
    <t>final piala dunia terkeren</t>
  </si>
  <si>
    <t>['final', 'piala', 'dunia', 'terkeren']</t>
  </si>
  <si>
    <t>mbappe umur 23 hattrick di final piala dunia, lah gua?</t>
  </si>
  <si>
    <t>mbappe umur hattrick final piala dunia lah gua</t>
  </si>
  <si>
    <t>['mbappe', 'umur', 'hattrick', 'final', 'piala', 'dunia', 'lah', 'gua']</t>
  </si>
  <si>
    <t>LIVE SKOR Final Piala Dunia: ARGENTINA JUARA, Messi Sempurna Messi Messi Messi Yes  https://t.co/dX7kUet5pT</t>
  </si>
  <si>
    <t>live skor final piala dunia argentina juara messi sempurna messi messi messi yes</t>
  </si>
  <si>
    <t>['live', 'skor', 'final', 'piala', 'dunia', 'argentina', 'juara', 'messi', 'sempurna', 'messi', 'messi', 'messi', 'yes']</t>
  </si>
  <si>
    <t>What a Final   Selamat, Argentina juara Piala Dunia 2022  Prancis luar biasa perlawanannya  Messi akhirnya melengkapi trofi</t>
  </si>
  <si>
    <t>what final selamat argentina juara piala dunia prancis luar biasa perlawanannya messi akhirnya melengkapi trofi</t>
  </si>
  <si>
    <t>['what', 'final', 'selamat', 'argentina', 'juara', 'piala', 'dunia', 'prancis', 'luar', 'biasa', 'perlawanannya', 'messi', 'akhirnya', 'melengkapi', 'trofi']</t>
  </si>
  <si>
    <t>@idextratime Draft buat video tiktok nanti  Messi: Piala dunia ini untuk Ronaldo juga, ia lebih pantas mendapatkannya.  Mbappe: Seharusnya Portugal dan Ronaldo yang melawan kami di Final. Kemenangan argentina sudah diatur sejak awal.</t>
  </si>
  <si>
    <t>draft buat video tiktok nanti messi piala dunia ini untuk ronaldo juga lebih pantas mendapatkannya mbappe seharusnya portugal dan ronaldo yang melawan kami final kemenangan argentina sudah diatur sejak awal</t>
  </si>
  <si>
    <t>['draft', 'buat', 'video', 'tiktok', 'messi', 'piala', 'dunia', 'ronaldo', 'lebih', 'pantas', 'mendapatkannya', 'mbappe', 'portugal', 'ronaldo', 'melawan', 'final', 'kemenangan', 'argentina', 'diatur', 'sejak', 'awal']</t>
  </si>
  <si>
    <t>Tapi sumpah ini final piala dunia terseru</t>
  </si>
  <si>
    <t>tapi sumpah ini final piala dunia terseru</t>
  </si>
  <si>
    <t>['sumpah', 'final', 'piala', 'dunia', 'terseru']</t>
  </si>
  <si>
    <t>Inilah Profil Emiliano Martinez, Kiper Terbaik Bawa Argentina Juara Piala Dunia 2022 Kalahkan Prancis  https://t.co/Vsjws9NDC7   Juara 1 l Argentina l Prancis #WorldCup final</t>
  </si>
  <si>
    <t>inilah profil emiliano martinez kiper terbaik bawa argentina juara piala dunia kalahkan prancis juara argentina prancis final</t>
  </si>
  <si>
    <t>['inilah', 'profil', 'emiliano', 'martinez', 'kiper', 'terbaik', 'bawa', 'argentina', 'juara', 'piala', 'dunia', 'kalahkan', 'prancis', 'juara', 'argentina', 'prancis', 'final']</t>
  </si>
  <si>
    <t>ASLI ini Final Piala Dunia ter-Epic... Sangar poll... ü•π</t>
  </si>
  <si>
    <t>asli ini final piala dunia ter epic sangar poll</t>
  </si>
  <si>
    <t>['asli', 'final', 'piala', 'dunia', 'ter', 'epic', 'sangar', 'poll']</t>
  </si>
  <si>
    <t>Lionel Messi kembali mengacak-acak buku sejarah, dengan menorehkan dua rekor baru saat membuka keunggulan Argentina di final Piala Dunia 2022  #ArgentinaVsFrance #ARG #FRA    https://t.co/OZizzm8UWu</t>
  </si>
  <si>
    <t>lionel messi kembali mengacak acak buku sejarah dengan menorehkan dua rekor baru saat membuka keunggulan argentina final piala dunia</t>
  </si>
  <si>
    <t>['lionel', 'messi', 'mengacak', 'acak', 'buku', 'sejarah', 'menorehkan', 'rekor', 'baru', 'membuka', 'keunggulan', 'argentina', 'final', 'piala', 'dunia']</t>
  </si>
  <si>
    <t>@utdfocusid Draft buat video tiktok nanti  Messi: Piala dunia ini untuk Ronaldo juga, ia lebih pantas mendapatkannya.  Mbappe: Seharusnya Portugal dan Ronaldo yang melawan kami di Final. Kemenangan argentina sudah diatur sejak awal.</t>
  </si>
  <si>
    <t>Malam ini salah satu final Piala Dunia terbaik üî•</t>
  </si>
  <si>
    <t>malam ini salah satu final piala dunia terbaik</t>
  </si>
  <si>
    <t>['malam', 'salah', 'satu', 'final', 'piala', 'dunia', 'terbaik']</t>
  </si>
  <si>
    <t>Final piala dunia Qatar 2022 #ArgentinaVsFrance 3-3 #Mbappe Hattrick #argentinajuara</t>
  </si>
  <si>
    <t>final piala dunia qatar hattrick</t>
  </si>
  <si>
    <t>['final', 'piala', 'dunia', 'qatar', 'hattrick']</t>
  </si>
  <si>
    <t>Senam jantung ala final piala dunia</t>
  </si>
  <si>
    <t>senam jantung ala final piala dunia</t>
  </si>
  <si>
    <t>['senam', 'jantung', 'ala', 'final', 'piala', 'dunia']</t>
  </si>
  <si>
    <t>Final Piala Dunia 1998 adalah yg saya saksikan pertama kali di tv. Pencetak gol untuk Prancis di final Piala Dunia 1998 adalah Zinedine Zidane 2 gol (27', 45') &amp;amp; Emmanuel Petit 1 gol (90').   @indosat @idextratime   #PilDunBarengIOH  Joint kuy @doanya__ibu @MujiatiSpdi @abu_azkar</t>
  </si>
  <si>
    <t>final piala dunia adalah saya saksikan pertama kali pencetak gol untuk prancis final piala dunia adalah zinedine zidane gol emmanuel petit gol joint kuy ibu azkar</t>
  </si>
  <si>
    <t>['final', 'piala', 'dunia', 'saksikan', 'pertama', 'kali', 'pencetak', 'gol', 'prancis', 'final', 'piala', 'dunia', 'zinedine', 'zidane', 'gol', 'emmanuel', 'petit', 'gol', 'joint', 'kuy', 'ibu', 'azkar']</t>
  </si>
  <si>
    <t>&lt;FreqDist with 17 samples and 22 outcomes&gt;</t>
  </si>
  <si>
    <t>LIVE SKOR Final Piala Dunia: Argentina vs Prancis Skor 3-3, Lanjut Adu Penalti  https://t.co/0yQ4jbxqBC</t>
  </si>
  <si>
    <t>live skor final piala dunia argentina prancis skor lanjut adu penalti</t>
  </si>
  <si>
    <t>['live', 'skor', 'final', 'piala', 'dunia', 'argentina', 'prancis', 'skor', 'lanjut', 'adu', 'penalti']</t>
  </si>
  <si>
    <t>Beruntung bos bisa nonton final piala dunia segini ngerinyaa, fakyuu. ü§£ü§£</t>
  </si>
  <si>
    <t>beruntung bos bisa nonton final piala dunia segini ngerinyaa fakyuu</t>
  </si>
  <si>
    <t>['beruntung', 'bos', 'nonton', 'final', 'piala', 'dunia', 'segini', 'ngerinyaa', 'fakyuu']</t>
  </si>
  <si>
    <t>Match final piala dunia ter gokil</t>
  </si>
  <si>
    <t>match final piala dunia ter gokil</t>
  </si>
  <si>
    <t>['match', 'final', 'piala', 'dunia', 'ter', 'gila']</t>
  </si>
  <si>
    <t>Beruntung bisa nonton final piala dunia qatar sampe selesai ini</t>
  </si>
  <si>
    <t>beruntung bisa nonton final piala dunia qatar sampe selesai ini</t>
  </si>
  <si>
    <t>['beruntung', 'nonton', 'final', 'piala', 'dunia', 'qatar', 'sampai', 'selesai']</t>
  </si>
  <si>
    <t>Final piala dunia paling seruü´°</t>
  </si>
  <si>
    <t>Seruuu, Messi Hebat, Selamat Argentina Juara Piala Dunia 2022, Hattrick Mbappe Tercatat Sejarah... Final Sangat Mempesona, Terseru dan Terhebat. FRANCE SELAMAT &amp;amp; ARGENTINA JUARA SEJATI  #FIFAWorldCup #WorldCup #Qatar2022 #WorldCupFinal  https://t.co/N3xk0cKDwP</t>
  </si>
  <si>
    <t>seruuu messi hebat selamat argentina juara piala dunia hattrick mbappe tercatat sejarah final sangat mempesona terseru dan terhebat france selamat argentina juara sejati</t>
  </si>
  <si>
    <t>['seruuu', 'messi', 'hebat', 'selamat', 'argentina', 'juara', 'piala', 'dunia', 'hattrick', 'mbappe', 'tercatat', 'sejarah', 'final', 'sangat', 'mempesona', 'terseru', 'terhebat', 'france', 'selamat', 'argentina', 'juara', 'sejati']</t>
  </si>
  <si>
    <t>@lycorisghoul final terbaik sih ini, mbappe hattrick, messi akhirnya angkat piala dunia üî•</t>
  </si>
  <si>
    <t>final terbaik sih ini mbappe hattrick messi akhirnya angkat piala dunia</t>
  </si>
  <si>
    <t>['final', 'terbaik', 'mbappe', 'hattrick', 'messi', 'akhirnya', 'angkat', 'piala', 'dunia']</t>
  </si>
  <si>
    <t>@westenthu Final piala dunia yg luar biasaüî•congrats Argentina</t>
  </si>
  <si>
    <t>final piala dunia luar biasa congrats argentina</t>
  </si>
  <si>
    <t>['final', 'piala', 'dunia', 'luar', 'biasa', 'congrats', 'argentina']</t>
  </si>
  <si>
    <t>Beruntunglah kita masih diberi umur menikmati final Piala Dunia terbaik sepanjang masa.</t>
  </si>
  <si>
    <t>beruntunglah kita masih diberi umur menikmati final piala dunia terbaik sepanjang masa</t>
  </si>
  <si>
    <t>['beruntunglah', 'diberi', 'umur', 'menikmati', 'final', 'piala', 'dunia', 'terbaik', 'sepanjang', 'masa']</t>
  </si>
  <si>
    <t>Yanan lagi online di jam laga final piala duniaüî•</t>
  </si>
  <si>
    <t>yanan lagi online jam laga final piala dunia</t>
  </si>
  <si>
    <t>['yanan', 'online', 'jam', 'laga', 'final', 'piala', 'dunia']</t>
  </si>
  <si>
    <t>Piye -rek hasil piala dunia Iki.. tim mu gugur Nang Endi.. Nang group opo Nang final üòÖ</t>
  </si>
  <si>
    <t>piye rek hasil piala dunia iki tim gugur nang endi nang group opo nang final</t>
  </si>
  <si>
    <t>['piye', 'rek', 'hasil', 'piala', 'dunia', 'iki', 'tim', 'gugur', 'nang', 'endi', 'nang', 'group', 'opo', 'nang', 'final']</t>
  </si>
  <si>
    <t>nyetak hattrick di final piala dunia ga menjamin lu bisa menang gitu aja. #FIFAWorldCupFinal</t>
  </si>
  <si>
    <t>nyetak hattrick final piala dunia menjamin bisa menang gitu aja</t>
  </si>
  <si>
    <t>['nyetak', 'hattrick', 'final', 'piala', 'dunia', 'menjamin', 'menang', 'gitu']</t>
  </si>
  <si>
    <t>Dah lah .. tidur lagi . Mudah2an masih bisa nonton Final Piala Dunia berikutnya .. tahun kapan ya ? Dimana .. ?   #FIFAWorldCup  #FIFAWorldCupFinal  #FIFAWorldCup2022</t>
  </si>
  <si>
    <t>dah lah tidur lagi mudah masih bisa nonton final piala dunia berikutnya tahun kapan dimana</t>
  </si>
  <si>
    <t>['dah', 'lah', 'tidur', 'mudah', 'nonton', 'final', 'piala', 'dunia', 'berikutnya', 'tahun', 'kapan']</t>
  </si>
  <si>
    <t>Puas nonton final piala dunia, gak peduli siapapun yg menang</t>
  </si>
  <si>
    <t>puas nonton final piala dunia gak peduli siapapun menang</t>
  </si>
  <si>
    <t>['puas', 'nonton', 'final', 'piala', 'dunia', 'peduli', 'siapapun', 'menang']</t>
  </si>
  <si>
    <t>Keseruan Final Piala Dunia tahun ini  https://t.co/e5FQIttdM8</t>
  </si>
  <si>
    <t>keseruan final piala dunia tahun ini</t>
  </si>
  <si>
    <t>['keseruan', 'final', 'piala', 'dunia', 'tahun']</t>
  </si>
  <si>
    <t>Bahang final Piala Dunia üèÜ  https://t.co/2olUb3miIk</t>
  </si>
  <si>
    <t>bahang final piala dunia</t>
  </si>
  <si>
    <t>['bahang', 'final', 'piala', 'dunia']</t>
  </si>
  <si>
    <t>Rating 3 Final piala dunia (2014-2022)  1. Qatar 2022 - JELAS SERU BANGETT DAN UNPREDICTABLE + MBAPPE NGECARRY SATU TIM 2. Russia 2018 - Ini Prancis menang secara predictable karena Kroasia udah ampas duluan 3. Brazil 2014 - Jerman menang karena skuadnya bagus + Argentina bapuk</t>
  </si>
  <si>
    <t>rating final piala dunia qatar jelas seru bangett dan unpredictable mbappe ngecarry satu tim russia ini prancis menang secara predictable karena kroasia udah ampas duluan brazil jerman menang karena skuadnya bagus argentina bapuk</t>
  </si>
  <si>
    <t>['rating', 'final', 'piala', 'dunia', 'qatar', 'jelas', 'seru', 'bangett', 'unpredictable', 'mbappe', 'ngecarry', 'satu', 'tim', 'russia', 'prancis', 'menang', 'predictable', 'kroasia', 'udah', 'ampas', 'duluan', 'brazil', 'jerman', 'menang', 'skuadnya', 'bagus', 'argentina', 'bapuk']</t>
  </si>
  <si>
    <t>&lt;FreqDist with 27 samples and 28 outcomes&gt;</t>
  </si>
  <si>
    <t>Final Piala Dunia paling keren 23 tahun, hattrick di final piala Dunia, Mbape Monster 35 tahun bisa melengkapi gelar sepak bola dengan luar biasa, Messi the best</t>
  </si>
  <si>
    <t>final piala dunia paling keren tahun hattrick final piala dunia mbape monster tahun bisa melengkapi gelar sepak bola dengan luar biasa messi the best</t>
  </si>
  <si>
    <t>['final', 'piala', 'dunia', 'paling', 'keren', 'tahun', 'hattrick', 'final', 'piala', 'dunia', 'mbape', 'monster', 'tahun', 'melengkapi', 'gelar', 'sepak', 'bola', 'luar', 'biasa', 'messi', 'the', 'best']</t>
  </si>
  <si>
    <t>walaupun akhirnya harus ditentukan lewat adu penalti, harus diakui final PD2022 ini salah satu yang sangat seru dalam sejarah perhelatan Piala Dunia.</t>
  </si>
  <si>
    <t>walaupun akhirnya harus ditentukan lewat adu penalti harus diakui final ini salah satu yang sangat seru dalam sejarah perhelatan piala dunia</t>
  </si>
  <si>
    <t>['walaupun', 'akhirnya', 'ditentukan', 'lewat', 'adu', 'penalti', 'diakui', 'final', 'salah', 'satu', 'sangat', 'seru', 'sejarah', 'perhelatan', 'piala', 'dunia']</t>
  </si>
  <si>
    <t>Pertama kali nonton final Piala Dunia pas Piala Dunia 2002. Selama 20 tahun sejak itu, ini final ter-edyaaan. Ngga marai jantungan, tapi marai meh kedip we ngko sek ngko sek</t>
  </si>
  <si>
    <t>pertama kali nonton final piala dunia pas piala dunia selama tahun sejak itu ini final ter edyaaan ngga marai jantungan tapi marai meh kedip ngko sek ngko sek</t>
  </si>
  <si>
    <t>['pertama', 'kali', 'nonton', 'final', 'piala', 'dunia', 'pas', 'piala', 'dunia', 'selama', 'tahun', 'sejak', 'final', 'ter', 'edyaaan', 'ngga', 'marai', 'jantungan', 'marai', 'meh', 'kedip', 'ngko', 'sek', 'ngko', 'sek']</t>
  </si>
  <si>
    <t>setiap gelaran piala dunia pasti ada negara yg jadi kuda hitam, tapi beruntung edisi tahun ini para kuda hitam itu tidak sampai lolos ke final. seharusnya memang seperti itu, kuda hitam cukup sampai semi final saja, demi terciptanya final yang betul-betul klimaks</t>
  </si>
  <si>
    <t>setiap gelaran piala dunia pasti ada negara jadi kuda hitam tapi beruntung edisi tahun ini para kuda hitam itu tidak sampai lolos final seharusnya memang seperti itu kuda hitam cukup sampai semi final saja demi terciptanya final yang betul betul klimaks</t>
  </si>
  <si>
    <t>['gelaran', 'piala', 'dunia', 'negara', 'jadi', 'kuda', 'hitam', 'beruntung', 'edisi', 'tahun', 'kuda', 'hitam', 'lolos', 'final', 'memang', 'kuda', 'hitam', 'cukup', 'semi', 'final', 'terciptanya', 'final', 'betul', 'betul', 'klimaks']</t>
  </si>
  <si>
    <t>&lt;FreqDist with 18 samples and 25 outcomes&gt;</t>
  </si>
  <si>
    <t>Final piala dunia terbaik dalam sejarah sepak bola</t>
  </si>
  <si>
    <t>final piala dunia terbaik dalam sejarah sepak bola</t>
  </si>
  <si>
    <t>['final', 'piala', 'dunia', 'terbaik', 'sejarah', 'sepak', 'bola']</t>
  </si>
  <si>
    <t>Salut untuk Mbappe 23 tahun tapi hattrick di final Piala Dunia üëèüëè #FIFAWorldCup</t>
  </si>
  <si>
    <t>salut untuk mbappe tahun tapi hattrick final piala dunia</t>
  </si>
  <si>
    <t>['salut', 'mbappe', 'tahun', 'hattrick', 'final', 'piala', 'dunia']</t>
  </si>
  <si>
    <t>Petjah final piala duniaüòÇ</t>
  </si>
  <si>
    <t>petjah final piala dunia</t>
  </si>
  <si>
    <t>['petjah', 'final', 'piala', 'dunia']</t>
  </si>
  <si>
    <t>Seneng bisa jd saksi final piala dunia terbaik sepanjang masa walaupun tim ku kalah üò≠</t>
  </si>
  <si>
    <t>seneng bisa saksi final piala dunia terbaik sepanjang masa walaupun tim kalah</t>
  </si>
  <si>
    <t>['seneng', 'saksi', 'final', 'piala', 'dunia', 'terbaik', 'sepanjang', 'masa', 'walaupun', 'tim', 'kalah']</t>
  </si>
  <si>
    <t>Sekelas final piala dunia aja fans yg menang ga masuk lapangan, yg kalah jg ga ngamuk masuk" lapangan, lempar". Beda SDM ü•≤</t>
  </si>
  <si>
    <t>sekelas final piala dunia aja fans menang masuk lapangan kalah ngamuk masuk lapangan lempar beda sdm</t>
  </si>
  <si>
    <t>['sekelas', 'final', 'piala', 'dunia', 'fans', 'menang', 'masuk', 'lapangan', 'kalah', 'ngamuk', 'masuk', 'lapangan', 'lempar', 'beda', 'sdm']</t>
  </si>
  <si>
    <t>Final Piala Dunia terseru yang pernah gua tonton. Selamat ya mas Messi</t>
  </si>
  <si>
    <t>final piala dunia terseru yang pernah gua tonton selamat mas messi</t>
  </si>
  <si>
    <t>['final', 'piala', 'dunia', 'terseru', 'pernah', 'gua', 'tonton', 'selamat', 'mas', 'messi']</t>
  </si>
  <si>
    <t>Final piala dunia terbaik üôÜüèΩ‚Äç‚ôÇÔ∏è</t>
  </si>
  <si>
    <t>Final terbaik piala dunia üëèüëè  https://t.co/MvFE4hPdmJ</t>
  </si>
  <si>
    <t>Final piala dunia terseru!</t>
  </si>
  <si>
    <t>FINAL PIALA DUNIA TERBAIK SEPANJANG SEJARAH UNTUK SAAT INI</t>
  </si>
  <si>
    <t>final piala dunia terbaik sepanjang sejarah untuk saat ini</t>
  </si>
  <si>
    <t>Salah satu final terbaik dalam sejarah piala dunia, selamat Argentina, selamat Messi.</t>
  </si>
  <si>
    <t>salah satu final terbaik dalam sejarah piala dunia selamat argentina selamat messi</t>
  </si>
  <si>
    <t>['salah', 'satu', 'final', 'terbaik', 'sejarah', 'piala', 'dunia', 'selamat', 'argentina', 'selamat', 'messi']</t>
  </si>
  <si>
    <t>final piala dunia terbaik dalam hidup gw</t>
  </si>
  <si>
    <t>final piala dunia terbaik dalam hidup</t>
  </si>
  <si>
    <t>['final', 'piala', 'dunia', 'terbaik', 'hidup']</t>
  </si>
  <si>
    <t>Euforia piala dunia Qatar ini membawaku nonton sepakbola final sampe selesai.. Awalnya jagoin Maroko tapi tidak masuk final..but Mbappe anda jago sekaliüò≠</t>
  </si>
  <si>
    <t>euforia piala dunia qatar ini membawaku nonton sepakbola final sampe selesai awalnya jagoin maroko tapi tidak masuk final but mbappe anda jago sekali</t>
  </si>
  <si>
    <t>['euforia', 'piala', 'dunia', 'qatar', 'membawaku', 'nonton', 'sepakbola', 'final', 'sampai', 'selesai', 'awalnya', 'jagoin', 'maroko', 'masuk', 'final', 'but', 'mbappe', 'jago', 'sekali']</t>
  </si>
  <si>
    <t>FINAL PIALA DUNIA TERSERU!!!  Selamat Argentina, salam dari pendukung Portugal.   Apa kabar Bang Dodo üò≠ü•πü•≤ #ArgentinaVsFrance #FIFAWorldCup #Qatar2022 #MessiìÉµ #WorldCupFinal #ARGFRA #FIFAWorldCupFinal</t>
  </si>
  <si>
    <t>final piala dunia terseru selamat argentina salam dari pendukung portugal apa kabar bang dodo</t>
  </si>
  <si>
    <t>['final', 'piala', 'dunia', 'terseru', 'selamat', 'argentina', 'salam', 'pendukung', 'portugal', 'apa', 'kabar', 'bang', 'dodo']</t>
  </si>
  <si>
    <t>gw bikin ahh tweet kyk gini, di tgl final piala dunia 2026. satu2 tweet sebutin negaranya, trus ntar hapus satu per satu tweet klo ada yg gugur ü§£</t>
  </si>
  <si>
    <t>bikin ahh tweet kyk gini tgl final piala dunia satu tweet sebutin negaranya trus ntar hapus satu per satu tweet klo ada gugur</t>
  </si>
  <si>
    <t>['ahh', 'tweet', 'seperti', 'gini', 'tgl', 'final', 'piala', 'dunia', 'satu', 'tweet', 'sebutin', 'negaranya', 'trus', 'ntar', 'hapus', 'satu', 'per', 'satu', 'tweet', 'gugur']</t>
  </si>
  <si>
    <t>Gila pertandingan final world cup ini asli terbaik sih! Selamat sekali lagi buat Argentina dan akhirnya Lionel Andres Messi dapet piala dunia juga. Cukup terharu juga sih gue jujur</t>
  </si>
  <si>
    <t>gila pertandingan final world cup ini asli terbaik sih selamat sekali lagi buat argentina dan akhirnya lionel andres messi dapet piala dunia juga cukup terharu juga sih gue jujur</t>
  </si>
  <si>
    <t>['gila', 'pertandingan', 'final', 'world', 'cup', 'asli', 'terbaik', 'selamat', 'sekali', 'buat', 'argentina', 'akhirnya', 'lionel', 'andres', 'messi', 'dapat', 'piala', 'dunia', 'cukup', 'terharu', 'gue', 'jujur']</t>
  </si>
  <si>
    <t>@mutiarawardanim nonton final piala dunia</t>
  </si>
  <si>
    <t>nonton final piala dunia</t>
  </si>
  <si>
    <t>['nonton', 'final', 'piala', 'dunia']</t>
  </si>
  <si>
    <t>WHATTT A GAME COK! GILA BANGET FINAL PIALA DUNIA TAHUN INI, MBAPPE VS EVERYBODY. AKHIRNYA BISA LIAT GOAT JUARA WORLD CUPüò≠üò≠üò≠</t>
  </si>
  <si>
    <t>whattt game cok gila banget final piala dunia tahun ini mbappe everybody akhirnya bisa liat goat juara world cup</t>
  </si>
  <si>
    <t>['whattt', 'game', 'cok', 'gila', 'banget', 'final', 'piala', 'dunia', 'tahun', 'mbappe', 'everybody', 'akhirnya', 'lihat', 'goat', 'juara', 'world', 'cup']</t>
  </si>
  <si>
    <t>mbappe umur 23 tahun dah gendong 10 pemain di final piala dunia ü´° big respect for him. gws yh punggung dan timnya.</t>
  </si>
  <si>
    <t>mbappe umur tahun dah gendong pemain final piala dunia big respect for him gws punggung dan timnya</t>
  </si>
  <si>
    <t>['mbappe', 'umur', 'tahun', 'dah', 'gendong', 'pemain', 'final', 'piala', 'dunia', 'big', 'respect', 'for', 'him', 'get well soon', 'punggung', 'timnya']</t>
  </si>
  <si>
    <t>Skenario Final Piala Dunia</t>
  </si>
  <si>
    <t>skenario final piala dunia</t>
  </si>
  <si>
    <t>['skenario', 'final', 'piala', 'dunia']</t>
  </si>
  <si>
    <t>Kylian Mbappe mencetak hat-trick di final Piala Dunia 2022. Ia mencetak gol lagi dari penalti untuk membuat skor Argentina vs Prancis menjadi imbang 3-3.  https://t.co/SMHJD2XMjv</t>
  </si>
  <si>
    <t>kylian mbappe mencetak hat trick final piala dunia mencetak gol lagi dari penalti untuk membuat skor argentina prancis menjadi imbang</t>
  </si>
  <si>
    <t>['kylian', 'mbappe', 'mencetak', 'hat', 'trick', 'final', 'piala', 'dunia', 'mencetak', 'gol', 'penalti', 'membuat', 'skor', 'argentina', 'prancis', 'menjadi', 'imbang']</t>
  </si>
  <si>
    <t>Piala dunia 2022 Qatar.. Laga final nya pasti gua tonton ulang bareng anak gua nanti nya. FINAL TERBAIK COK üî•üî•üëè</t>
  </si>
  <si>
    <t>piala dunia qatar laga final nya pasti gua tonton ulang bareng anak gua nanti nya final terbaik cok</t>
  </si>
  <si>
    <t>['piala', 'dunia', 'qatar', 'laga', 'final', 'gua', 'tonton', 'ulang', 'bareng', 'anak', 'gua', 'final', 'terbaik', 'cok']</t>
  </si>
  <si>
    <t>@TaliUdeng Kae low ndelok o Final Piala Dunia , isine mung jegal jegalan tok .. tapi gak manja blasss... Pemain kok endel... Manja...    Nonton ae nek gak kuat utekmu...   Koclok angel obatee jhonnn...üòÄüòÄ</t>
  </si>
  <si>
    <t>kae low ndelok final piala dunia isine mung jegal jegalan tok tapi gak manja blasss pemain kok endel manja nonton nek gak kuat utekmu koclok angel obatee jhonnn</t>
  </si>
  <si>
    <t>['kae', 'low', 'ndelok', 'final', 'piala', 'dunia', 'isine', 'mung', 'jegal', 'jegalan', 'tok', 'manja', 'blasss', 'pemain', 'kok', 'endel', 'manja', 'nonton', 'nek', 'kuat', 'utekmu', 'koclok', 'angel', 'obatee', 'jhonnn']</t>
  </si>
  <si>
    <t>Valid final terseru soalnya bokap gue yg nonton piala dunia dari tahun 70an bilang final terseru.  https://t.co/e1bCZLv7la</t>
  </si>
  <si>
    <t>valid final terseru soalnya bokap gue nonton piala dunia dari tahun bilang final terseru</t>
  </si>
  <si>
    <t>['valid', 'final', 'terseru', 'soalnya', 'bokap', 'gue', 'nonton', 'piala', 'dunia', 'tahun', 'final', 'terseru']</t>
  </si>
  <si>
    <t>menurut gua ini final piala dunia paling seru yang selama ini gua tonton setelah final piala dunia 2010</t>
  </si>
  <si>
    <t>menurut gua ini final piala dunia paling seru yang selama ini gua tonton setelah final piala dunia</t>
  </si>
  <si>
    <t>['gua', 'final', 'piala', 'dunia', 'paling', 'seru', 'selama', 'gua', 'tonton', 'final', 'piala', 'dunia']</t>
  </si>
  <si>
    <t>&lt;FreqDist with 8 samples and 12 outcomes&gt;</t>
  </si>
  <si>
    <t>Pencetak gol Prancis di final Piala Dunia 1998 :   Jawabannya: ‚öΩ Zinedine Zidane 27' 45+1' ‚öΩ Emmanuel Petit 90+3'  Ayo ikutan Bestie..  @JBonek1927 @ra_jauhari @amat_sapaat  Jangan lupa follow  üëâ @Indosat  üëâ @idextratime  #PilDunBarengIOH  https://t.co/tyXt76FJTH</t>
  </si>
  <si>
    <t>pencetak gol prancis final piala dunia jawabannya zinedine zidane emmanuel petit ayo ikutan bestie jauhari sapaat jangan lupa follow</t>
  </si>
  <si>
    <t>['pencetak', 'gol', 'prancis', 'final', 'piala', 'dunia', 'jawabannya', 'zinedine', 'zidane', 'emmanuel', 'petit', 'ayo', 'ikutan', 'bestie', 'jauhari', 'sapaat', 'jangan', 'lupa', 'follow']</t>
  </si>
  <si>
    <t>Makasih ya cing, udh nemenin nonton final piala dunia malam iniüòÅ #FIFAWorldCup  #WorldCup  #ARGFRA  #Argentina  #Qatar2022  #MessiìÉµday  https://t.co/tyqPryGK3J</t>
  </si>
  <si>
    <t>makasih cing udh nemenin nonton final piala dunia malam ini day</t>
  </si>
  <si>
    <t>['makasih', 'cing', 'sudah', 'nemenin', 'nonton', 'final', 'piala', 'dunia', 'malam', 'day']</t>
  </si>
  <si>
    <t>Piala dunia terseru, final terbaik, dan yang paling penting bukan timnas badut yang juara</t>
  </si>
  <si>
    <t>piala dunia terseru final terbaik dan yang paling penting bukan timnas badut yang juara</t>
  </si>
  <si>
    <t>['piala', 'dunia', 'terseru', 'final', 'terbaik', 'paling', 'penting', 'bukan', 'timnas', 'badut', 'juara']</t>
  </si>
  <si>
    <t>Final Piala Dunia 2022 bener2 Klimaks, ngotot dan penuh drama. Hasilnya Argentina Juara dan Mbappe dapat Top Score.</t>
  </si>
  <si>
    <t>final piala dunia bener klimaks ngotot dan penuh drama hasilnya argentina juara dan mbappe dapat top score</t>
  </si>
  <si>
    <t>['final', 'piala', 'dunia', 'benar', 'klimaks', 'ngotot', 'penuh', 'drama', 'hasilnya', 'argentina', 'juara', 'mbappe', 'top', 'score']</t>
  </si>
  <si>
    <t>SELAMAT! ARGENTINA JUARA PIALA DUNIA 2022  Argentina berhasil merebut trofi juara Piala dunia 2022. Messi cs mampu menaklukan Prancis di final melalui adu penalti, usai bermain seri 3-3 di extra time.  #juaraboladunia #Argentina #Prancis #Messi  https://t.co/tSBRfXTrju</t>
  </si>
  <si>
    <t>selamat argentina juara piala dunia argentina berhasil merebut trofi juara piala dunia messi mampu menaklukan prancis final melalui adu penalti usai bermain seri extra time</t>
  </si>
  <si>
    <t>['selamat', 'argentina', 'juara', 'piala', 'dunia', 'argentina', 'berhasil', 'merebut', 'trofi', 'juara', 'piala', 'dunia', 'messi', 'mampu', 'menaklukan', 'prancis', 'final', 'melalui', 'adu', 'penalti', 'usai', 'bermain', 'seri', 'extra', 'time']</t>
  </si>
  <si>
    <t>&lt;FreqDist with 21 samples and 25 outcomes&gt;</t>
  </si>
  <si>
    <t>Teringat final piala dunia 2006 berharap Zidane bisa mengangkat piala terakhirnya. Selamat buat mas messi üëè</t>
  </si>
  <si>
    <t>teringat final piala dunia berharap zidane bisa mengangkat piala terakhirnya selamat buat mas messi</t>
  </si>
  <si>
    <t>['teringat', 'final', 'piala', 'dunia', 'berharap', 'zidane', 'mengangkat', 'piala', 'terakhirnya', 'selamat', 'buat', 'mas', 'messi']</t>
  </si>
  <si>
    <t>ini dia yang bikin final piala dunia kali ini seru.</t>
  </si>
  <si>
    <t>ini dia yang bikin final piala dunia kali ini seru</t>
  </si>
  <si>
    <t>['final', 'piala', 'dunia', 'kali', 'seru']</t>
  </si>
  <si>
    <t>Bisa dibilang ini final piala dunia terbaik sih, seru, degdegan, timnya sama kuat, bener-bener sensasi nonton "final" nya berasa banget üëèüèªüëèüèªüëèüèª</t>
  </si>
  <si>
    <t>bisa dibilang ini final piala dunia terbaik sih seru degdegan timnya sama kuat bener bener sensasi nonton final nya berasa banget</t>
  </si>
  <si>
    <t>['dibilang', 'final', 'piala', 'dunia', 'terbaik', 'seru', 'degdegan', 'timnya', 'sama', 'kuat', 'benar', 'benar', 'sensasi', 'nonton', 'final', 'berasa', 'banget']</t>
  </si>
  <si>
    <t>Final Piala Dunia tergila</t>
  </si>
  <si>
    <t>final piala dunia tergila</t>
  </si>
  <si>
    <t>['final', 'piala', 'dunia', 'tergila']</t>
  </si>
  <si>
    <t>Final piala dunia terdebest ! Mbappe overpower , and the end of debate messi is the real GOAT !</t>
  </si>
  <si>
    <t>final piala dunia terdebest mbappe overpower and the end debate messi the real goat</t>
  </si>
  <si>
    <t>['final', 'piala', 'dunia', 'terdebest', 'mbappe', 'overpower', 'and', 'the', 'end', 'debate', 'messi', 'the', 'real', 'goat']</t>
  </si>
  <si>
    <t>Beruntung sekali bisa nonton final terbaik sepanjang masa üòç final piala dunia paling edan!!</t>
  </si>
  <si>
    <t>beruntung sekali bisa nonton final terbaik sepanjang masa final piala dunia paling edan</t>
  </si>
  <si>
    <t>['beruntung', 'sekali', 'nonton', 'final', 'terbaik', 'sepanjang', 'masa', 'final', 'piala', 'dunia', 'paling', 'edan']</t>
  </si>
  <si>
    <t>piala dunia 2022 bener2 gilaaa bgttttt, banyak yg tak terduga dan pastinya semifinal and final GG semuaaaa ancuurrrrrr!!!!!</t>
  </si>
  <si>
    <t>piala dunia bener gilaaa bgttttt banyak tak terduga dan pastinya semifinal and final semuaaaa ancuurrrrrr</t>
  </si>
  <si>
    <t>['piala', 'dunia', 'benar', 'gilaaa', 'bgttttt', 'banyak', 'tak', 'terduga', 'pastinya', 'semifinal', 'and', 'final', 'semuaaaa', 'ancuurrrrrr']</t>
  </si>
  <si>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</si>
  <si>
    <t>apa penutup terindah dari piala dunia berbalut kejutan final yang luar kebiasaan ketika pemain terbaik menancapkan kaki panggung terbesar bumi maka seluruh mata memandang dengan tatapan getir sampai tendangan terakhir selamat the messias has finally arrived</t>
  </si>
  <si>
    <t>['apa', 'penutup', 'terindah', 'piala', 'dunia', 'berbalut', 'kejutan', 'final', 'luar', 'kebiasaan', 'pemain', 'terbaik', 'menancapkan', 'kaki', 'panggung', 'terbesar', 'bumi', 'seluruh', 'mata', 'memandang', 'tatapan', 'getir', 'tendangan', 'terakhir', 'selamat', 'the', 'messias', 'has', 'finally', 'arrived']</t>
  </si>
  <si>
    <t>GW NANGIS üò≠üò≠üò≠ kalian tau ga sih ini dua bocah kalo fanmeet di luar ga pernah bareng, sekalinya pas bareng ga lepas tuh pas momen bersejarah, pas ultah nanon plus final piala dunia üò≠üò≠ #ohmnanon   https://t.co/T42RQsVOVi</t>
  </si>
  <si>
    <t>nangis kalian tau sih ini dua bocah kalo fanmeet luar pernah bareng sekalinya pas bareng lepas tuh pas momen bersejarah pas ultah nanon plus final piala dunia</t>
  </si>
  <si>
    <t>['nangis', 'kalian', 'bocah', 'fanmeet', 'luar', 'pernah', 'bareng', 'sekalinya', 'pas', 'bareng', 'lepas', 'pas', 'momen', 'bersejarah', 'pas', 'ultah', 'nanon', 'plus', 'final', 'piala', 'dunia']</t>
  </si>
  <si>
    <t>Selamat Baba Messi dan Argentina  #FIFAWorldCup Benzema Mbape dan Prancis Lembo Ade Mena #What A Final #Final Yg Sangat Luar Biasa #Piala_Dunia_Qatar_Keren  https://t.co/ohAkibJdRS</t>
  </si>
  <si>
    <t>selamat baba messi dan argentina benzema mbape dan prancis lembo ade mena final sangat luar biasa dunia qatar keren</t>
  </si>
  <si>
    <t>['selamat', 'baba', 'messi', 'argentina', 'benzema', 'mbape', 'prancis', 'lembo', 'ade', 'mena', 'final', 'sangat', 'luar', 'biasa', 'dunia', 'qatar', 'keren']</t>
  </si>
  <si>
    <t>Final Piala Dunia terbaik, dramatis, epic, entah apalagi sebutannya, sepakbola lah yang menjadi pemenang sesungguhnya, selamat Argentina, dan respect Perancis.</t>
  </si>
  <si>
    <t>final piala dunia terbaik dramatis epic entah apalagi sebutannya sepakbola lah yang menjadi pemenang sesungguhnya selamat argentina dan respect perancis</t>
  </si>
  <si>
    <t>['final', 'piala', 'dunia', 'terbaik', 'dramatis', 'epic', 'entah', 'sebutannya', 'sepakbola', 'lah', 'menjadi', 'pemenang', 'sesungguhnya', 'selamat', 'argentina', 'respect', 'perancis']</t>
  </si>
  <si>
    <t>aku merasa beruntung bisa menonton final piala dunia terbaik saat ini</t>
  </si>
  <si>
    <t>['aku', 'merasa', 'beruntung', 'menonton', 'final', 'piala', 'dunia', 'terbaik']</t>
  </si>
  <si>
    <t>Piala Dunia 2022 ditutup dengan Final yg manis dan berkelas.   Kelas Prancis udah berjuang, selamat Argentina, Selamat Lionel (Goat) Messi.   German heiiii.. Next harus Juara.</t>
  </si>
  <si>
    <t>piala dunia ditutup dengan final manis dan berkelas kelas prancis udah berjuang selamat argentina selamat lionel goat messi german heiiii next harus juara</t>
  </si>
  <si>
    <t>['piala', 'dunia', 'ditutup', 'final', 'manis', 'berkelas', 'kelas', 'prancis', 'udah', 'berjuang', 'selamat', 'argentina', 'selamat', 'lionel', 'goat', 'messi', 'german', 'heiiii', 'next', 'juara']</t>
  </si>
  <si>
    <t>jujur ini bukan piala dunia terbaik, tapi ini Final Piala Dunia terbaik dihidup saya sejak kenal Sepak Bola. üôèüèª</t>
  </si>
  <si>
    <t>jujur ini bukan piala dunia terbaik tapi ini final piala dunia terbaik dihidup saya sejak kenal sepak bola</t>
  </si>
  <si>
    <t>['jujur', 'bukan', 'piala', 'dunia', 'terbaik', 'final', 'piala', 'dunia', 'terbaik', 'dihidup', 'sejak', 'kenal', 'sepak', 'bola']</t>
  </si>
  <si>
    <t>Sebagai finalis 2018. Kroasia dan Prancis sungguh baik. Mereka seakan rela masuk ke semifinal dan final hanya untuk memberikan trofi Piala Dunia kepada Argentina. Negara yang mereka kalahkan di 2018</t>
  </si>
  <si>
    <t>sebagai finalis kroasia dan prancis sungguh baik mereka seakan rela masuk semifinal dan final hanya untuk memberikan trofi piala dunia kepada argentina negara yang mereka kalahkan</t>
  </si>
  <si>
    <t>['finalis', 'kroasia', 'prancis', 'sungguh', 'baik', 'seakan', 'rela', 'masuk', 'semifinal', 'final', 'memberikan', 'trofi', 'piala', 'dunia', 'argentina', 'negara', 'kalahkan']</t>
  </si>
  <si>
    <t>Argentina Vs Prancis Skor 3-3, Final Piala Dunia 2022 Masuk Babak Penalti  https://t.co/yAfcIdYq8f</t>
  </si>
  <si>
    <t>argentina prancis skor final piala dunia masuk babak penalti</t>
  </si>
  <si>
    <t>['argentina', 'prancis', 'skor', 'final', 'piala', 'dunia', 'masuk', 'babak', 'penalti']</t>
  </si>
  <si>
    <t>Ga rugi yang nonton. Salah satu pertandingan final Piala Dunia terbaik. Perdebatan GOAT selesai</t>
  </si>
  <si>
    <t>rugi yang nonton salah satu pertandingan final piala dunia terbaik perdebatan goat selesai</t>
  </si>
  <si>
    <t>['rugi', 'nonton', 'salah', 'satu', 'pertandingan', 'final', 'piala', 'dunia', 'terbaik', 'perdebatan', 'goat', 'selesai']</t>
  </si>
  <si>
    <t>@dpdepedp Mitos piala dunia, ada pemain inter di final buat kalah üòÇ</t>
  </si>
  <si>
    <t>mitos piala dunia ada pemain inter final buat kalah</t>
  </si>
  <si>
    <t>['mitos', 'piala', 'dunia', 'pemain', 'inter', 'final', 'buat', 'kalah']</t>
  </si>
  <si>
    <t>Diluar segi komersilnya, ini fix piala dunia termadness‚Ä¶ dari sesi grup sampe final, ancor ancoran‚Ä¶</t>
  </si>
  <si>
    <t>diluar segi komersilnya ini fix piala dunia termadness dari sesi grup sampe final ancor ancoran</t>
  </si>
  <si>
    <t>['diluar', 'segi', 'komersilnya', 'fix', 'piala', 'dunia', 'termadness', 'sesi', 'grup', 'sampai', 'final', 'ancor', 'ancoran']</t>
  </si>
  <si>
    <t>Piala Dunia dah habis Piala AFF jgn buat2 lupa lak tau jangan dah final korang baru nk bangkit dari tido.</t>
  </si>
  <si>
    <t>piala dunia dah habis piala aff jgn buat lupa lak tau jangan dah final korang baru bangkit dari tido</t>
  </si>
  <si>
    <t>['piala', 'dunia', 'dah', 'habis', 'piala', 'aff', 'buat', 'lupa', 'lak', 'jangan', 'dah', 'final', 'korang', 'baru', 'bangkit', 'tido']</t>
  </si>
  <si>
    <t>takkira argentina itu all about messi only.. ternyata terbukti di final babak 1, mereka menunjukkan skill permainan tim kelas dunia-nya.. lega dan selamat buat argentina.. selamat berpensiun dengan bahagia, messi.. ini baru namanya final piala dunia.. pertandingan penuh drama..</t>
  </si>
  <si>
    <t>takkira argentina itu all about messi only ternyata terbukti final babak mereka menunjukkan skill permainan tim kelas dunia nya lega dan selamat buat argentina selamat berpensiun dengan bahagia messi ini baru namanya final piala dunia pertandingan penuh drama</t>
  </si>
  <si>
    <t>['takkira', 'argentina', 'all', 'about', 'messi', 'only', 'ternyata', 'terbukti', 'final', 'babak', 'menunjukkan', 'skill', 'permainan', 'tim', 'kelas', 'dunia', 'lega', 'selamat', 'buat', 'argentina', 'selamat', 'berpensiun', 'bahagia', 'messi', 'baru', 'namanya', 'final', 'piala', 'dunia', 'pertandingan', 'penuh', 'drama']</t>
  </si>
  <si>
    <t>&lt;FreqDist with 27 samples and 32 outcomes&gt;</t>
  </si>
  <si>
    <t>Setidaknya emyu punya satu pemain yg juara piala dunia, walopun di final cuman jd cadangan üòÅ</t>
  </si>
  <si>
    <t>setidaknya emyu punya satu pemain juara piala dunia walopun final cuman cadangan</t>
  </si>
  <si>
    <t>['emyu', 'punya', 'satu', 'pemain', 'juara', 'piala', 'dunia', 'walopun', 'final', 'cuman', 'cadangan']</t>
  </si>
  <si>
    <t>Argentina Vs Prancis 4-2 (3-3) Highlights Final Piala Dunia 2022  https://t.co/gKn4euGskG</t>
  </si>
  <si>
    <t>@utdfocusid terlepas siapa Goal kita d hidangkan Final Piala Dunia Terbaik....</t>
  </si>
  <si>
    <t>terlepas siapa goal kita hidangkan final piala dunia terbaik</t>
  </si>
  <si>
    <t>['terlepas', 'siapa', 'goal', 'hidangkan', 'final', 'piala', 'dunia', 'terbaik']</t>
  </si>
  <si>
    <t>Asli sihh emang final piala dunia malem ini paling kerennn panasss bgt cuyy super deg2an ü•∫üëèüá¶üá∑üá´üá∑</t>
  </si>
  <si>
    <t>asli sihh emang final piala dunia malem ini paling kerennn panasss bgt cuyy super deg</t>
  </si>
  <si>
    <t>['asli', 'sihh', 'emang', 'final', 'piala', 'dunia', 'malem', 'paling', 'kerennn', 'panasss', 'banget', 'cuyy', 'super', 'deg']</t>
  </si>
  <si>
    <t>Final Piala Dunia 1998 tontonan final pertama saya. Pencetak gol untuk Prancis di final Piala Dunia 1998 adalah Zinedine Zidane 2 gol (27', 45') &amp;amp; Emmanuel Petit 1 gol (90').   @indosat @idextratime   #PilDunBarengIOH  Yuk ikutan guys @doanya__ibu @MujiatiSpdi @abu_azkar</t>
  </si>
  <si>
    <t>final piala dunia tontonan final pertama saya pencetak gol untuk prancis final piala dunia adalah zinedine zidane gol emmanuel petit gol yuk ikutan guys ibu azkar</t>
  </si>
  <si>
    <t>['final', 'piala', 'dunia', 'tontonan', 'final', 'pertama', 'pencetak', 'gol', 'prancis', 'final', 'piala', 'dunia', 'zinedine', 'zidane', 'gol', 'emmanuel', 'petit', 'gol', 'yuk', 'ikutan', 'guys', 'ibu', 'azkar']</t>
  </si>
  <si>
    <t>&lt;FreqDist with 17 samples and 23 outcomes&gt;</t>
  </si>
  <si>
    <t>GUE PAKU-IN INI ADALAH FINAL PIALA DUNIA TERBAIK SEPANJANG SEJARAH</t>
  </si>
  <si>
    <t>gue paku ini adalah final piala dunia terbaik sepanjang sejarah</t>
  </si>
  <si>
    <t>['gue', 'paku', 'final', 'piala', 'dunia', 'terbaik', 'sepanjang', 'sejarah']</t>
  </si>
  <si>
    <t>Hasil Akhir Argentina vs Prancis di Final Piala Dunia 2022: Messi Cs Juara Via Jalur Penalti    https://t.co/724XCCdL9V via @tribunnews</t>
  </si>
  <si>
    <t>hasil akhir argentina prancis final piala dunia messi juara via jalur penalti via</t>
  </si>
  <si>
    <t>['hasil', 'akhir', 'argentina', 'prancis', 'final', 'piala', 'dunia', 'messi', 'juara', 'via', 'jalur', 'penalti', 'via']</t>
  </si>
  <si>
    <t>Ah, ini final benernya cuma pertandingan perpisahan Messi aja dengan penganugerahan Piala Dunia.~~~  *cari perkara baru*</t>
  </si>
  <si>
    <t>ini final benernya cuma pertandingan perpisahan messi aja dengan penganugerahan piala dunia cari perkara baru</t>
  </si>
  <si>
    <t>['final', 'benernya', 'cuma', 'pertandingan', 'perpisahan', 'messi', 'penganugerahan', 'piala', 'dunia', 'cari', 'perkara', 'baru']</t>
  </si>
  <si>
    <t>Gokil sih menurut gua selama piala dunia baru kali ini final yang bener bener final bikin yang tarohan senam jantungü§£ü§£ü§£</t>
  </si>
  <si>
    <t>gokil sih menurut gua selama piala dunia baru kali ini final yang bener bener final bikin yang tarohan senam jantung</t>
  </si>
  <si>
    <t>['gila', 'gua', 'selama', 'piala', 'dunia', 'baru', 'kali', 'final', 'benar', 'benar', 'final', 'tarohan', 'senam', 'jantung']</t>
  </si>
  <si>
    <t>FINAL PIALA DUNIA PALING BANGSAT #FIFAWorldCup #VamosArgentina #Qatar2022</t>
  </si>
  <si>
    <t>final piala dunia paling bangsat</t>
  </si>
  <si>
    <t>['final', 'piala', 'dunia', 'paling', 'bangsat']</t>
  </si>
  <si>
    <t>Pertandingan Final Piala Dunia terbaik sepanjang masa. Selamat buat Argentinaü•±</t>
  </si>
  <si>
    <t>pertandingan final piala dunia terbaik sepanjang masa selamat buat argentina</t>
  </si>
  <si>
    <t>['pertandingan', 'final', 'piala', 'dunia', 'terbaik', 'sepanjang', 'masa', 'selamat', 'buat', 'argentina']</t>
  </si>
  <si>
    <t>jadi saksi final piala dunia paling seruuuu</t>
  </si>
  <si>
    <t>['jadi', 'saksi', 'final', 'piala', 'dunia', 'paling', 'seruuuu']</t>
  </si>
  <si>
    <t>Selamat Messi. Selamat Argentina! What a final! Pertandingan final piala dunia terbaik yg prnh gue tonton. Messi vs Mbappe. Gurih. #FIFAWorldCup üá¶üá∑üá®üáµ</t>
  </si>
  <si>
    <t>selamat messi selamat argentina what final pertandingan final piala dunia terbaik prnh gue tonton messi mbappe gurih</t>
  </si>
  <si>
    <t>['selamat', 'messi', 'selamat', 'argentina', 'what', 'final', 'pertandingan', 'final', 'piala', 'dunia', 'terbaik', 'prnh', 'gue', 'tonton', 'messi', 'mbappe', 'gurih']</t>
  </si>
  <si>
    <t>mari mengheningkan cipta kepada mereka yang tidak menonton final piala dunia 2022 üôèüèª #ARGFRA</t>
  </si>
  <si>
    <t>mari mengheningkan cipta kepada mereka yang tidak menonton final piala dunia</t>
  </si>
  <si>
    <t>['mengheningkan', 'cipta', 'menonton', 'final', 'piala', 'dunia']</t>
  </si>
  <si>
    <t>LIVE SKOR Final Piala Dunia: ARGENTINA JUARA, Messi Sempurna Messi Messi Messi Yes  https://t.co/0JyNXEfrhd</t>
  </si>
  <si>
    <t>Kita jadi saksi salah satu final terbaik dalam sejarah Piala Dunia üò≠</t>
  </si>
  <si>
    <t>kita jadi saksi salah satu final terbaik dalam sejarah piala dunia</t>
  </si>
  <si>
    <t>['jadi', 'saksi', 'salah', 'satu', 'final', 'terbaik', 'sejarah', 'piala', 'dunia']</t>
  </si>
  <si>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</si>
  <si>
    <t>final piala dunia kalahkan prancis melalui adu penalti argentina juarai piala dunia argentina berhasil keluar sebagai juara piala dunia setelah mengalahkan juara beratahan prancis partai final yang berlangsung lusail iconic stadium minggu</t>
  </si>
  <si>
    <t>['final', 'piala', 'dunia', 'kalahkan', 'prancis', 'melalui', 'adu', 'penalti', 'argentina', 'juarai', 'piala', 'dunia', 'argentina', 'berhasil', 'keluar', 'juara', 'piala', 'dunia', 'mengalahkan', 'juara', 'beratahan', 'prancis', 'partai', 'final', 'berlangsung', 'lusail', 'iconic', 'stadium', 'minggu']</t>
  </si>
  <si>
    <t>Jadwal Final Argentina vs Prancis Piala Dunia Qatar 2022 Mbappe    https://t.co/ePwFOWBRaR</t>
  </si>
  <si>
    <t>jadwal final argentina prancis piala dunia qatar mbappe</t>
  </si>
  <si>
    <t>['jadwal', 'final', 'argentina', 'prancis', 'piala', 'dunia', 'qatar', 'mbappe']</t>
  </si>
  <si>
    <t>@idextratime @indosatim3 @triindonesia @indosat Seperti yang sudah di prediksi akan ada 2 GOAT pada final piala dunia saat ini, dan itu pun terjadi yaitu MESSI dan MBAPP√â.</t>
  </si>
  <si>
    <t>seperti yang sudah prediksi akan ada goat pada final piala dunia saat ini dan itu pun terjadi yaitu messi dan mbapp</t>
  </si>
  <si>
    <t>['prediksi', 'goat', 'final', 'piala', 'dunia', 'terjadi', 'messi', 'mbapp']</t>
  </si>
  <si>
    <t>Final piala dunia teralig</t>
  </si>
  <si>
    <t>final piala dunia teralig</t>
  </si>
  <si>
    <t>['final', 'piala', 'dunia', 'teralig']</t>
  </si>
  <si>
    <t>Final piala dunia terbaik, sekaligus end of era cristianoXmessi. Eranya siapa lagi yah, mbappeXvini?ü§£</t>
  </si>
  <si>
    <t>final piala dunia terbaik sekaligus end era cristianoxmessi eranya siapa lagi yah mbappexvini</t>
  </si>
  <si>
    <t>['final', 'piala', 'dunia', 'terbaik', 'sekaligus', 'end', 'era', 'cristianoxmessi', 'eranya', 'siapa', 'mbappexvini']</t>
  </si>
  <si>
    <t>@convomfs Kyaknya ini final piala dunia prtama ku dan sekeren itu!! 100000/10.. smpai keringat dingin nntonnya</t>
  </si>
  <si>
    <t>kyaknya ini final piala dunia prtama dan sekeren itu smpai keringat dingin nntonnya</t>
  </si>
  <si>
    <t>['kyaknya', 'final', 'piala', 'dunia', 'prtama', 'sekeren', 'smpai', 'keringat', 'dingin', 'nntonnya']</t>
  </si>
  <si>
    <t>diliat liat panjang juga perjalanan piala dunia di hidupku. dari fase grup yang nyelesaiin dan revisi bab 1, 16 besar nyusun bab 2 dan bab 3, 8 besar pusing bab 3 gak kelar kelar, semi final bab 3 kelar, final dah kelar. enak langsung wisuda aja gak sihüóø</t>
  </si>
  <si>
    <t>diliat liat panjang juga perjalanan piala dunia hidupku dari fase grup yang nyelesaiin dan revisi bab besar nyusun bab dan bab besar pusing bab gak kelar kelar semi final bab kelar final dah kelar enak langsung wisuda aja gak sih</t>
  </si>
  <si>
    <t>['diliat', 'lihat', 'panjang', 'perjalanan', 'piala', 'dunia', 'hidupku', 'fase', 'grup', 'nyelesaiin', 'revisi', 'bab', 'besar', 'nyusun', 'bab', 'bab', 'besar', 'pusing', 'bab', 'kelar', 'kelar', 'semi', 'final', 'bab', 'kelar', 'final', 'dah', 'kelar', 'enak', 'langsung', 'wisuda']</t>
  </si>
  <si>
    <t>&lt;FreqDist with 22 samples and 31 outcomes&gt;</t>
  </si>
  <si>
    <t>Tidak sia-sia begadang nnton final piala dunia..seru sekali üëèüèªüëèüèªüëèüèª  #FIFAWorldCup</t>
  </si>
  <si>
    <t>tidak sia sia begadang nnton final piala dunia seru sekali</t>
  </si>
  <si>
    <t>['sia', 'sia', 'begadang', 'nnton', 'final', 'piala', 'dunia', 'seru', 'sekali']</t>
  </si>
  <si>
    <t>final piala dunia paling sengit ‚ù§Ô∏è‚Äçüî•</t>
  </si>
  <si>
    <t>final piala dunia paling sengit</t>
  </si>
  <si>
    <t>['final', 'piala', 'dunia', 'paling', 'sengit']</t>
  </si>
  <si>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</si>
  <si>
    <t>final piala dunia argentina prancis pen</t>
  </si>
  <si>
    <t>['final', 'piala', 'dunia', 'argentina', 'prancis']</t>
  </si>
  <si>
    <t>Alhamdulilah Argentina alhirnya Juara ogeüá¶üá∑ü•≥ü•≥ Pertandingan Final Piala Dunia paling Seruüòé</t>
  </si>
  <si>
    <t>alhamdulilah argentina alhirnya juara oge pertandingan final piala dunia paling seru</t>
  </si>
  <si>
    <t>['alhamdulilah', 'argentina', 'alhirnya', 'juara', 'oge', 'pertandingan', 'final', 'piala', 'dunia', 'paling', 'seru']</t>
  </si>
  <si>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</si>
  <si>
    <t>final piala dunia terbaik yang pernah saya lihat menjadi akhir perdebatan siapa pemain terbaik abad ini tapi mbappe siap meruntuhkan dominasi messi selamat untuk argentina sebagai juara dunia qatar yang menjadikan ajang piala dunia sebagai ladang dakwah islam</t>
  </si>
  <si>
    <t>['final', 'piala', 'dunia', 'terbaik', 'pernah', 'lihat', 'menjadi', 'akhir', 'perdebatan', 'siapa', 'pemain', 'terbaik', 'abad', 'mbappe', 'siap', 'meruntuhkan', 'dominasi', 'messi', 'selamat', 'argentina', 'juara', 'dunia', 'qatar', 'menjadikan', 'ajang', 'piala', 'dunia', 'ladang', 'dakwah', 'islam']</t>
  </si>
  <si>
    <t>Terima kasih prancis &amp;amp; argentina sudah menyajikan match final tergokil sepanjang aing nntn final piala duniaü§òüèª</t>
  </si>
  <si>
    <t>terima kasih prancis argentina sudah menyajikan match final tergokil sepanjang aing nntn final piala dunia</t>
  </si>
  <si>
    <t>['terima', 'kasih', 'prancis', 'argentina', 'menyajikan', 'match', 'final', 'tergokil', 'sepanjang', 'aing', 'nonton', 'final', 'piala', 'dunia']</t>
  </si>
  <si>
    <t>Sangat inspiratif. Tetap konsisten membantu masyarakat üá≤üá®üí™ü§≤  Congratulations Messi Argentina Piala Dunia Mbappe France Final #FIFAWorldCup #MessiìÉµ #WorldCup  https://t.co/aiMVmKJZjg</t>
  </si>
  <si>
    <t>sangat inspiratif tetap konsisten membantu masyarakat congratulations messi argentina piala dunia mbappe france final</t>
  </si>
  <si>
    <t>['sangat', 'inspiratif', 'tetap', 'konsisten', 'membantu', 'masyarakat', 'congratulations', 'messi', 'argentina', 'piala', 'dunia', 'mbappe', 'france', 'final']</t>
  </si>
  <si>
    <t>Menarik Piala Dunia, empat tahun yg lalu Perancis Juara dunia kalahkan Kroasia di Final, sekarang Perancis Rangking 2 turun dari 4 thn yg lalu, sementara Kroasia juga turun dari juara 2 empat thn lalu, menjadi juara 3. #FIFAWorldCup #WorldCup #Qatar2022 #WorldCupFinal2022</t>
  </si>
  <si>
    <t>menarik piala dunia empat tahun lalu perancis juara dunia kalahkan kroasia final sekarang perancis rangking turun dari thn lalu sementara kroasia juga turun dari juara empat thn lalu menjadi juara</t>
  </si>
  <si>
    <t>['menarik', 'piala', 'dunia', 'empat', 'tahun', 'lalu', 'perancis', 'juara', 'dunia', 'kalahkan', 'kroasia', 'final', 'sekarang', 'perancis', 'rangking', 'turun', 'thn', 'lalu', 'kroasia', 'turun', 'juara', 'empat', 'thn', 'lalu', 'menjadi', 'juara']</t>
  </si>
  <si>
    <t>&lt;FreqDist with 16 samples and 26 outcomes&gt;</t>
  </si>
  <si>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</si>
  <si>
    <t>untuk sampai kesini messi telah melalui kepedihan sangat teramat sangat kalah final piala dunia kalah final copa america pensiun lalu menyadari tugasnya sebenarnya belum selesai kembali juara copa america finalissima piala dunia</t>
  </si>
  <si>
    <t>['kesini', 'messi', 'melalui', 'kepedihan', 'sangat', 'teramat', 'sangat', 'kalah', 'final', 'piala', 'dunia', 'kalah', 'final', 'copa', 'america', 'pensiun', 'lalu', 'menyadari', 'tugasnya', 'sebenarnya', 'selesai', 'juara', 'copa', 'america', 'finalissima', 'piala', 'dunia']</t>
  </si>
  <si>
    <t>&lt;FreqDist with 20 samples and 27 outcomes&gt;</t>
  </si>
  <si>
    <t>MENJADI SAKSI FINAL PIALA DUNIA 2022 PALING SERUUU</t>
  </si>
  <si>
    <t>menjadi saksi final piala dunia paling seruuu</t>
  </si>
  <si>
    <t>['menjadi', 'saksi', 'final', 'piala', 'dunia', 'paling', 'seruuu']</t>
  </si>
  <si>
    <t>Setuju, final piala dunia paling memorable yg pernah ku tonton</t>
  </si>
  <si>
    <t>setuju final piala dunia paling memorable pernah tonton</t>
  </si>
  <si>
    <t>['setuju', 'final', 'piala', 'dunia', 'paling', 'memorable', 'pernah', 'tonton']</t>
  </si>
  <si>
    <t>Final piala dunia paling mendebarkan, full drama dan senam jantung.  Selamat Argentina, selamat messi ibarat video game sudah menamatkan.</t>
  </si>
  <si>
    <t>final piala dunia paling mendebarkan full drama dan senam jantung selamat argentina selamat messi ibarat video game sudah menamatkan</t>
  </si>
  <si>
    <t>['final', 'piala', 'dunia', 'paling', 'mendebarkan', 'full', 'drama', 'senam', 'jantung', 'selamat', 'argentina', 'selamat', 'messi', 'ibarat', 'video', 'game', 'menamatkan']</t>
  </si>
  <si>
    <t>Luar biasa salah satu final piala dunia terbaiküá´üá∑üá¶üá∑ Terimakasih Qatar dan Selamat buat argentinaüëè  https://t.co/C0dqsiKETv</t>
  </si>
  <si>
    <t>luar biasa salah satu final piala dunia terbaik terimakasih qatar dan selamat buat argentina</t>
  </si>
  <si>
    <t>['luar', 'biasa', 'salah', 'satu', 'final', 'piala', 'dunia', 'terbaik', 'terimakasih', 'qatar', 'selamat', 'buat', 'argentina']</t>
  </si>
  <si>
    <t>Dan apresiasi setinggi tingginya untuk permainan terbaik dari Kylian Mbapp√© Lottin , hattrick di partai final piala dunia 2022 dan menjadi top skor dengan 8 gol.  Fantastis!</t>
  </si>
  <si>
    <t>dan apresiasi setinggi tingginya untuk permainan terbaik dari kylian mbapp lottin hattrick partai final piala dunia dan menjadi top skor dengan gol fantastis</t>
  </si>
  <si>
    <t>['apresiasi', 'setinggi', 'tingginya', 'permainan', 'terbaik', 'kylian', 'mbapp', 'lottin', 'hattrick', 'partai', 'final', 'piala', 'dunia', 'menjadi', 'top', 'skor', 'gol', 'fantastis']</t>
  </si>
  <si>
    <t>@convomfs Seruuu banget, final terseru dari piala dunia yang ku liat</t>
  </si>
  <si>
    <t>seruuu banget final terseru dari piala dunia yang liat</t>
  </si>
  <si>
    <t>['seruuu', 'banget', 'final', 'terseru', 'piala', 'dunia', 'lihat']</t>
  </si>
  <si>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</si>
  <si>
    <t>dear pak manajer sehubungan dengan kondisi saya yang patah hati karena kekalahan perancis dalam laga final piala dunia yang mana mengakibatkan kerugian mental dan finansial untuk diri saya sendiri mohon kiranya saya diizinkan untuk tidak masuk kantor hari ini terima kasih</t>
  </si>
  <si>
    <t>['dear', 'pak', 'manajer', 'sehubungan', 'kondisi', 'patah', 'hati', 'kekalahan', 'perancis', 'laga', 'final', 'piala', 'dunia', 'mana', 'mengakibatkan', 'kerugian', 'mental', 'finansial', 'diri', 'sendiri', 'mohon', 'kiranya', 'diizinkan', 'masuk', 'kantor', 'hari', 'terima', 'kasih']</t>
  </si>
  <si>
    <t>Perdebatan GOAT selesai dengan Messi juara. Tapi Mbappe jg bisa bikin hatrick di final piala dunia.  Ini semacam penyerahan GOAT ke generasi baru.  Bhuajinguk.</t>
  </si>
  <si>
    <t>perdebatan goat selesai dengan messi juara tapi mbappe bisa bikin hatrick final piala dunia ini semacam penyerahan goat generasi baru bhuajinguk</t>
  </si>
  <si>
    <t>['perdebatan', 'goat', 'selesai', 'messi', 'juara', 'mbappe', 'hatrick', 'final', 'piala', 'dunia', 'semacam', 'penyerahan', 'goat', 'generasi', 'baru', 'bhuajinguk']</t>
  </si>
  <si>
    <t>Usul kalau sudah masuk final, dua-dua negara jadi pemenang saja. Biar ga ada yang sedih. #pialadunia #worldcup</t>
  </si>
  <si>
    <t>usul kalau sudah masuk final dua dua negara jadi pemenang saja biar ada yang sedih</t>
  </si>
  <si>
    <t>['usul', 'kalau', 'masuk', 'final', 'negara', 'jadi', 'pemenang', 'sedih']</t>
  </si>
  <si>
    <t>Final Piala Dunia paling seru yang pernah tak liat..  Dukung Prancis di final biar bisa back to back, ternyata rejekinya Messi..  Emi Martinez emang goks kalo adu penalti..  Pengennya ga sampe adu penalti kalo kipernya doi.. üòÇüòÇ</t>
  </si>
  <si>
    <t>final piala dunia paling seru yang pernah tak liat dukung prancis final biar bisa back back ternyata rejekinya messi emi martinez emang goks kalo adu penalti pengennya sampe adu penalti kalo kipernya doi</t>
  </si>
  <si>
    <t>['final', 'piala', 'dunia', 'paling', 'seru', 'pernah', 'tak', 'lihat', 'dukung', 'prancis', 'final', 'back', 'back', 'ternyata', 'rejekinya', 'messi', 'emi', 'martinez', 'emang', 'goks', 'adu', 'penalti', 'pengennya', 'sampai', 'adu', 'penalti', 'kipernya', 'doi']</t>
  </si>
  <si>
    <t>Final piala dunia terbaik sih ini selama nonton final</t>
  </si>
  <si>
    <t>final piala dunia terbaik sih ini selama nonton final</t>
  </si>
  <si>
    <t>['final', 'piala', 'dunia', 'terbaik', 'selama', 'nonton', 'final']</t>
  </si>
  <si>
    <t>Argentina menjadi juara Piala Dunia usai mengalahkan Prancis di final dengan skor 3 (4)-(2)3.  Argentina Are Fifa World Cup Champions üá¶üá∑  Sumber : @digoindo  Sumber üì∏ : @fifaworldcup  #sapabestie #ArgentinaVsFrance #PialaDunia2022  https://t.co/xIllBNAO2w</t>
  </si>
  <si>
    <t>argentina menjadi juara piala dunia usai mengalahkan prancis final dengan skor argentina are fifa world cup champions sumber sumber</t>
  </si>
  <si>
    <t>['argentina', 'menjadi', 'juara', 'piala', 'dunia', 'usai', 'mengalahkan', 'prancis', 'final', 'skor', 'argentina', 'are', 'fifa', 'world', 'cup', 'champions', 'sumber', 'sumber']</t>
  </si>
  <si>
    <t>Final Piala Dunia terbaik yang pernah Mimin tonton.  Iya gak sih, Taruwit?  #FIFAWorldCup</t>
  </si>
  <si>
    <t>final piala dunia terbaik yang pernah mimin tonton iya gak sih taruwit</t>
  </si>
  <si>
    <t>['final', 'piala', 'dunia', 'terbaik', 'pernah', 'mimin', 'tonton', 'iya', 'taruwit']</t>
  </si>
  <si>
    <t>Final piala dunia terbaik yg pernah ane tonton, badabessstt!</t>
  </si>
  <si>
    <t>final piala dunia terbaik pernah ane tonton badabessstt</t>
  </si>
  <si>
    <t>['final', 'piala', 'dunia', 'terbaik', 'pernah', 'ane', 'tonton', 'badabessstt']</t>
  </si>
  <si>
    <t>Final terbaik selama nonton Piala Dunia</t>
  </si>
  <si>
    <t>final terbaik selama nonton piala dunia</t>
  </si>
  <si>
    <t>['final', 'terbaik', 'selama', 'nonton', 'piala', 'dunia']</t>
  </si>
  <si>
    <t>Final Piala Dunia Terbaik sepanjang sejarah</t>
  </si>
  <si>
    <t>kok bisa final piala dunia argentina ngelawan agt-a?</t>
  </si>
  <si>
    <t>kok bisa final piala dunia argentina ngelawan agt</t>
  </si>
  <si>
    <t>['kok', 'final', 'piala', 'dunia', 'argentina', 'ngelawan', 'agt']</t>
  </si>
  <si>
    <t>Final piala dunia terbaik yang pernah gue tonton! Selamat Argentina!</t>
  </si>
  <si>
    <t>final piala dunia terbaik yang pernah gue tonton selamat argentina</t>
  </si>
  <si>
    <t>['final', 'piala', 'dunia', 'terbaik', 'pernah', 'gue', 'tonton', 'selamat', 'argentina']</t>
  </si>
  <si>
    <t>Final paling dramatis menegangkan selama nnton final piala dunia   Pas adu finalti Argentina lebih diatas Krn Kipernya Emil Martinez titis bgt jago nebak</t>
  </si>
  <si>
    <t>final paling dramatis menegangkan selama nnton final piala dunia pas adu finalti argentina lebih diatas krn kipernya emil martinez titis bgt jago nebak</t>
  </si>
  <si>
    <t>['final', 'paling', 'dramatis', 'menegangkan', 'selama', 'nnton', 'final', 'piala', 'dunia', 'pas', 'adu', 'finalti', 'argentina', 'lebih', 'diatas', 'kipernya', 'emil', 'martinez', 'titis', 'banget', 'jago', 'nebak']</t>
  </si>
  <si>
    <t>Final piala dunia kali ini benar-benar beda. Selamat untuk #Argentina</t>
  </si>
  <si>
    <t>final piala dunia kali ini benar benar beda selamat untuk</t>
  </si>
  <si>
    <t>['final', 'piala', 'dunia', 'kali', 'benar', 'benar', 'beda', 'selamat']</t>
  </si>
  <si>
    <t>Epic banget final piala dunia nya! Keren abisss specially buat messii ama mbapeee top si ni bintang bedua üëè</t>
  </si>
  <si>
    <t>epic banget final piala dunia nya keren abisss specially buat messii ama mbapeee top bintang bedua</t>
  </si>
  <si>
    <t>['epic', 'banget', 'final', 'piala', 'dunia', 'keren', 'abisss', 'specially', 'buat', 'messii', 'ama', 'mbapeee', 'top', 'bintang', 'bedua']</t>
  </si>
  <si>
    <t>Tulis satu kata buat final piala dunia tahun ini !!!#FIFAWorldCup #ArgentinaVsFrance #Qatar2022 #Messi #Mbappe  https://t.co/PiU6dffx1w</t>
  </si>
  <si>
    <t>tulis satu kata buat final piala dunia tahun ini</t>
  </si>
  <si>
    <t>['tulis', 'satu', 'kata', 'buat', 'final', 'piala', 'dunia', 'tahun']</t>
  </si>
  <si>
    <t>Hahaha Perancis 2 kali kalah adu penalti di Final Piala Dunia</t>
  </si>
  <si>
    <t>hahaha perancis kali kalah adu penalti final piala dunia</t>
  </si>
  <si>
    <t>['hahaha', 'perancis', 'kali', 'kalah', 'adu', 'penalti', 'final', 'piala', 'dunia']</t>
  </si>
  <si>
    <t>Final piala dunia terbaik sabab lalajona bareng pamajikan bari jeung babak 2 geus nundutan üòÖ</t>
  </si>
  <si>
    <t>final piala dunia terbaik sabab lalajona bareng pamajikan bari jeung babak geus nundutan</t>
  </si>
  <si>
    <t>['final', 'piala', 'dunia', 'terbaik', 'sabab', 'lalajona', 'bareng', 'pamajikan', 'bari', 'jeung', 'babak', 'geus', 'nundutan']</t>
  </si>
  <si>
    <t>WHAT A FINAL  Nonton Final Piala Dunia dari 2006,2010,2014,2018 dan 2022, ini Final terbaik yang pernah aing tonton üò≠üò≠üò≠  Seru, sangat menghibur</t>
  </si>
  <si>
    <t>what final nonton final piala dunia dari dan ini final terbaik yang pernah aing tonton seru sangat menghibur</t>
  </si>
  <si>
    <t>['what', 'final', 'nonton', 'final', 'piala', 'dunia', 'final', 'terbaik', 'pernah', 'aing', 'tonton', 'seru', 'sangat', 'menghibur']</t>
  </si>
  <si>
    <t>@idextratime @indosatim3 @triindonesia @indosat BEST EVER FINAL PIALA DUNIA SIH !! üëèüëèüëè</t>
  </si>
  <si>
    <t>best ever final piala dunia sih</t>
  </si>
  <si>
    <t>['best', 'ever', 'final', 'piala', 'dunia']</t>
  </si>
  <si>
    <t>PIALA DUNIA PALING SERU DARI FASE GRUP SAMPE FINAL! MBAPPE KACAU ASTAGA JAGO BANGETT!!!</t>
  </si>
  <si>
    <t>piala dunia paling seru dari fase grup sampe final mbappe kacau astaga jago bangett</t>
  </si>
  <si>
    <t>['piala', 'dunia', 'paling', 'seru', 'fase', 'grup', 'sampai', 'final', 'mbappe', 'kacau', 'astaga', 'jago', 'bangett']</t>
  </si>
  <si>
    <t>Final piala dunia terbaik yg pernah ku tonton üò≠üò≠</t>
  </si>
  <si>
    <t>final piala dunia terbaik pernah tonton</t>
  </si>
  <si>
    <t>DAN FINAL PIALA DUNIA TERBAIK JUGA, FIXXX</t>
  </si>
  <si>
    <t>dan final piala dunia terbaik juga fixxx</t>
  </si>
  <si>
    <t>['final', 'piala', 'dunia', 'terbaik', 'fixxx']</t>
  </si>
  <si>
    <t>@panditfootball Nonton final piala dunia dari taon 98, sepertinya ini memang yang terbaik üëç</t>
  </si>
  <si>
    <t>nonton final piala dunia dari taon sepertinya ini memang yang terbaik</t>
  </si>
  <si>
    <t>['nonton', 'final', 'piala', 'dunia', 'taon', 'sepertinya', 'memang', 'terbaik']</t>
  </si>
  <si>
    <t>Rezeki tuh emang ga akan kemana bro. Bayangin aja, pemain @OfficialBHAFC si mac allister bisa maen di final n dpt piala dunia. Padahal byk pemain ballon d'or yg ga pernah dapet.</t>
  </si>
  <si>
    <t>rezeki tuh emang akan kemana bro bayangin aja pemain mac allister bisa maen final dpt piala dunia padahal byk pemain ballon pernah dapet</t>
  </si>
  <si>
    <t>['rezeki', 'emang', 'bro', 'bayangin', 'pemain', 'mac', 'allister', 'maen', 'final', 'dpt', 'piala', 'dunia', 'padahal', 'byk', 'pemain', 'ballon', 'pernah', 'dapat']</t>
  </si>
  <si>
    <t>Nonton final piala dunia di detik terakhir pas kedudukan seri 2-2. Akhirnya memutuskan mendukung perancis. Then finally perancis ga bisa bawa pulang piala. 3 gol dari mbappe semua dan sad banget padahal besok mbappe ultah ü•≤. Jangan sedih mbappe... Next main lagi ya....</t>
  </si>
  <si>
    <t>nonton final piala dunia detik terakhir pas kedudukan seri akhirnya memutuskan mendukung perancis then finally perancis bisa bawa pulang piala gol dari mbappe semua dan sad banget padahal besok mbappe ultah jangan sedih mbappe next main lagi</t>
  </si>
  <si>
    <t>['nonton', 'final', 'piala', 'dunia', 'detik', 'terakhir', 'pas', 'kedudukan', 'seri', 'akhirnya', 'memutuskan', 'mendukung', 'perancis', 'then', 'finally', 'perancis', 'bawa', 'pulang', 'piala', 'gol', 'mbappe', 'semua', 'sad', 'banget', 'padahal', 'besok', 'mbappe', 'ultah', 'jangan', 'sedih', 'mbappe', 'next', 'main']</t>
  </si>
  <si>
    <t>Pertama kali saya menyadari bahwa sepakbola adalah olahraga yg asik ditonton adalah final piala dunia 86. Thanks maradona, thanks mexico, congrats argentina</t>
  </si>
  <si>
    <t>pertama kali saya menyadari bahwa sepakbola adalah olahraga asik ditonton adalah final piala dunia thanks maradona thanks mexico congrats argentina</t>
  </si>
  <si>
    <t>['pertama', 'kali', 'menyadari', 'sepakbola', 'olahraga', 'asik', 'ditonton', 'final', 'piala', 'dunia', 'thanks', 'maradona', 'thanks', 'mexico', 'congrats', 'argentina']</t>
  </si>
  <si>
    <t>Final Piala Dunia 2022 Argentina 3 v 3 Francis Argentina menang adu penalti 4-2 dari Francis Puas dan epic banget *Bener2 kualitas pertandingan dengan kualitas terbaik yg pernah gw tonton  #pialadunia2022 #worldcup2022 #qatar2022</t>
  </si>
  <si>
    <t>final piala dunia argentina francis argentina menang adu penalti dari francis puas dan epic banget bener kualitas pertandingan dengan kualitas terbaik pernah tonton</t>
  </si>
  <si>
    <t>['final', 'piala', 'dunia', 'argentina', 'francis', 'argentina', 'menang', 'adu', 'penalti', 'francis', 'puas', 'epic', 'banget', 'benar', 'kualitas', 'pertandingan', 'kualitas', 'terbaik', 'pernah', 'tonton']</t>
  </si>
  <si>
    <t>FINAL PIALA DUNIA TERBAIK SEPANJANG MASA PIALA DUNIA TERBAIK PERESMIAN MESSI SEBAGAI GOAT MBAPPE HATTRICK  GILA MEN GILA</t>
  </si>
  <si>
    <t>final piala dunia terbaik sepanjang masa piala dunia terbaik peresmian messi sebagai goat mbappe hattrick gila men gila</t>
  </si>
  <si>
    <t>['final', 'piala', 'dunia', 'terbaik', 'sepanjang', 'masa', 'piala', 'dunia', 'terbaik', 'peresmian', 'messi', 'goat', 'mbappe', 'hattrick', 'gila', 'men', 'gila']</t>
  </si>
  <si>
    <t>Secara drama, ini terbaik sih final piala dunia 2022 dengan skor yang banyak.  Tapi secara permainan yg enak ditonton dan penuh skill. Final 2006 yang terbaik.</t>
  </si>
  <si>
    <t>secara drama ini terbaik sih final piala dunia dengan skor yang banyak tapi secara permainan enak ditonton dan penuh skill final yang terbaik</t>
  </si>
  <si>
    <t>['drama', 'terbaik', 'final', 'piala', 'dunia', 'skor', 'banyak', 'permainan', 'enak', 'ditonton', 'penuh', 'skill', 'final', 'terbaik']</t>
  </si>
  <si>
    <t>biasa di bilang final piala dunia terbaik yg pernah h ada  #ArgentinaVsFrance</t>
  </si>
  <si>
    <t>biasa bilang final piala dunia terbaik pernah ada</t>
  </si>
  <si>
    <t>['biasa', 'final', 'piala', 'dunia', 'terbaik', 'pernah']</t>
  </si>
  <si>
    <t>ggwp argentina, nt france. final piala dunia pertama yang buat gue excited bgtüî•  https://t.co/0cx6j7zXUt</t>
  </si>
  <si>
    <t>ggwp argentina france final piala dunia pertama yang buat gue excited bgt</t>
  </si>
  <si>
    <t>['ggwp', 'argentina', 'france', 'final', 'piala', 'dunia', 'pertama', 'buat', 'gue', 'excited', 'banget']</t>
  </si>
  <si>
    <t>Thanks Perancis,üá®üáµ Ini final Piala Dunia paling dramatis dan sensasional yg pernah ditonton penduduk bumi.  Akan lama dikenang sebagai Final Terbaik. Kedua team memenangkan sepakbola. There's No Loser.  https://t.co/sKIz5lBQay</t>
  </si>
  <si>
    <t>thanks perancis ini final piala dunia paling dramatis dan sensasional pernah ditonton penduduk bumi akan lama dikenang sebagai final terbaik kedua team memenangkan sepakbola there loser</t>
  </si>
  <si>
    <t>['thanks', 'perancis', 'final', 'piala', 'dunia', 'paling', 'dramatis', 'sensasional', 'pernah', 'ditonton', 'penduduk', 'bumi', 'lama', 'dikenang', 'final', 'terbaik', 'kedua', 'team', 'memenangkan', 'sepakbola', 'there', 'loser']</t>
  </si>
  <si>
    <t>final piala dunia paling gila yang pernah saya tonton</t>
  </si>
  <si>
    <t>['final', 'piala', 'dunia', 'paling', 'gila', 'pernah', 'tonton']</t>
  </si>
  <si>
    <t>@SurgaSavero Iyaa, jadi top skor piala dunia tahun ini. Gila sih, tinggal beberapa menit padahal. Mentalitas tim perancis juga hebat. Final ter-epic</t>
  </si>
  <si>
    <t>iyaa jadi top skor piala dunia tahun ini gila sih tinggal beberapa menit padahal mentalitas tim perancis juga hebat final ter epic</t>
  </si>
  <si>
    <t>['iyaa', 'jadi', 'top', 'skor', 'piala', 'dunia', 'tahun', 'gila', 'tinggal', 'beberapa', 'menit', 'padahal', 'mentalitas', 'tim', 'perancis', 'hebat', 'final', 'ter', 'epic']</t>
  </si>
  <si>
    <t>@idextratime Banyak warga twitter yg rewel td final piala dunia terboring üòÇ</t>
  </si>
  <si>
    <t>banyak warga twitter rewel final piala dunia terboring</t>
  </si>
  <si>
    <t>['banyak', 'warga', 'twitter', 'rewel', 'final', 'piala', 'dunia', 'terboring']</t>
  </si>
  <si>
    <t>Final Piala Dunia paling keren sepanjang sejarah üî•</t>
  </si>
  <si>
    <t>final piala dunia paling keren sepanjang sejarah</t>
  </si>
  <si>
    <t>['final', 'piala', 'dunia', 'paling', 'keren', 'sepanjang', 'sejarah']</t>
  </si>
  <si>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</si>
  <si>
    <t>negara mengalami kekalahan game pembuka tapi tetap lolos partai final piala dunia jerman barat runner argentina italia spain juara kalah swiss argentina juara kalah arab saudi what turnover</t>
  </si>
  <si>
    <t>['negara', 'mengalami', 'kekalahan', 'game', 'pembuka', 'tetap', 'lolos', 'partai', 'final', 'piala', 'dunia', 'jerman', 'barat', 'runner', 'argentina', 'italia', 'spain', 'juara', 'kalah', 'swiss', 'argentina', 'juara', 'kalah', 'arab', 'saudi', 'what', 'turnover']</t>
  </si>
  <si>
    <t>Piala Dunia Qatar adalah Piala Dunia paling gokil, bahkan dari penyisihan sampe final pertandingannya seru semua dan banyak kejutannyaüòå</t>
  </si>
  <si>
    <t>piala dunia qatar adalah piala dunia paling gokil bahkan dari penyisihan sampe final pertandingannya seru semua dan banyak kejutannya</t>
  </si>
  <si>
    <t>['piala', 'dunia', 'qatar', 'piala', 'dunia', 'paling', 'gila', 'bahkan', 'penyisihan', 'sampai', 'final', 'pertandingannya', 'seru', 'semua', 'banyak', 'kejutannya']</t>
  </si>
  <si>
    <t>Selama ikut Nonton final Piala dunia dari 2002 Korea-jepang.  Final 2022 ini paling seru! All nite long</t>
  </si>
  <si>
    <t>selama ikut nonton final piala dunia dari korea jepang final ini paling seru all nite long</t>
  </si>
  <si>
    <t>['selama', 'ikut', 'nonton', 'final', 'piala', 'dunia', 'korea', 'jepang', 'final', 'paling', 'seru', 'all', 'nite', 'long']</t>
  </si>
  <si>
    <t>Kantun ngantosan meme final piala dunia qatar, abi leup heula nonton angkat piala mah ke we di kantor bari ngopi sakantenan skrollüá¶üá∑</t>
  </si>
  <si>
    <t>kantun ngantosan meme final piala dunia qatar abi leup heula nonton angkat piala mah kantor bari ngopi sakantenan skroll</t>
  </si>
  <si>
    <t>['kantun', 'ngantosan', 'meme', 'final', 'piala', 'dunia', 'qatar', 'abi', 'leup', 'heula', 'nonton', 'angkat', 'piala', 'mah', 'kantor', 'bari', 'ngopi', 'sakantenan', 'skroll']</t>
  </si>
  <si>
    <t>(GALERI FOTO) Ratusan Fans Padati Final Piala Dunia Argentina vs Prancis di Gelora La Dunya 2022  https://t.co/CLDs87UVrv</t>
  </si>
  <si>
    <t>galeri foto ratusan fans padati final piala dunia argentina prancis gelora dunya</t>
  </si>
  <si>
    <t>['galeri', 'foto', 'ratusan', 'fans', 'padati', 'final', 'piala', 'dunia', 'argentina', 'prancis', 'gelora', 'dunya']</t>
  </si>
  <si>
    <t>Seru banget final piala dunia Cok, kejar-kejaran angka. Terharu Messi juara üò≠üò≠üò≠</t>
  </si>
  <si>
    <t>seru banget final piala dunia cok kejar kejaran angka terharu messi juara</t>
  </si>
  <si>
    <t>['seru', 'banget', 'final', 'piala', 'dunia', 'cok', 'kejar', 'kejaran', 'angka', 'terharu', 'messi', 'juara']</t>
  </si>
  <si>
    <t>Mungkin Mbappe doank satu-satunya pemain yg cetak Hattrick di Final Piala Dunia tp ga juara. Masa depanmu masih panjang nak..</t>
  </si>
  <si>
    <t>mungkin mbappe doank satu satunya pemain cetak hattrick final piala dunia juara masa depanmu masih panjang nak</t>
  </si>
  <si>
    <t>['mungkin', 'mbappe', 'doank', 'satu', 'satunya', 'pemain', 'cetak', 'hattrick', 'final', 'piala', 'dunia', 'juara', 'masa', 'depanmu', 'panjang', 'nak']</t>
  </si>
  <si>
    <t>Asli ini final terbaik!!!! Ga akan di lupakan. Mbape karir mu masih panjang. Saat ini umur 23 umur 27 siap tempur lagi di piala dunia.</t>
  </si>
  <si>
    <t>asli ini final terbaik akan lupakan mbape karir masih panjang saat ini umur umur siap tempur lagi piala dunia</t>
  </si>
  <si>
    <t>['asli', 'final', 'terbaik', 'lupakan', 'mbape', 'karir', 'panjang', 'umur', 'umur', 'siap', 'tempur', 'piala', 'dunia']</t>
  </si>
  <si>
    <t>Siapa yang jadi saksi hidup final piala dunia terbaik sepanjang masa? SAYA BANGüò≠üò≠üò≠‚òùüèª‚òùüèª‚òùüèª‚òùüèª</t>
  </si>
  <si>
    <t>siapa yang jadi saksi hidup final piala dunia terbaik sepanjang masa saya bang</t>
  </si>
  <si>
    <t>['siapa', 'jadi', 'saksi', 'hidup', 'final', 'piala', 'dunia', 'terbaik', 'sepanjang', 'masa', 'bang']</t>
  </si>
  <si>
    <t>@convomfs 10. kita adalah saksi salah satu final piala dunia terbaik sepanjang masa.</t>
  </si>
  <si>
    <t>kita adalah saksi salah satu final piala dunia terbaik sepanjang masa</t>
  </si>
  <si>
    <t>['saksi', 'salah', 'satu', 'final', 'piala', 'dunia', 'terbaik', 'sepanjang', 'masa']</t>
  </si>
  <si>
    <t>Lewat laga final yang dramatis, Argentina¬†menjadi juara Piala Dunia untuk ketiga kalinya dengan keunggulan 4-2 (3-3) atas Perancis.  Baca ulasannya di harian Kompas dan #KompasID.   https://t.co/LVFARHTCVc  #AdadiKompas</t>
  </si>
  <si>
    <t>lewat laga final yang dramatis argentina menjadi juara piala dunia untuk ketiga kalinya dengan keunggulan atas perancis baca ulasannya harian kompas dan</t>
  </si>
  <si>
    <t>['lewat', 'laga', 'final', 'dramatis', 'argentina', 'menjadi', 'juara', 'piala', 'dunia', 'ketiga', 'kalinya', 'keunggulan', 'atas', 'perancis', 'baca', 'ulasannya', 'harian', 'kompas']</t>
  </si>
  <si>
    <t>Seru parah final piala dunia kali ini</t>
  </si>
  <si>
    <t>seru parah final piala dunia kali ini</t>
  </si>
  <si>
    <t>['seru', 'parah', 'final', 'piala', 'dunia', 'kali']</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</si>
  <si>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</si>
  <si>
    <t>argentina akhirnya mampu kalahkan prancis lewat drama adu penalti dan sukses menjadi juara piala diala dunia final yang sangat seru penuh drama dan banyak gol selamat untuk argentina</t>
  </si>
  <si>
    <t>['argentina', 'akhirnya', 'mampu', 'kalahkan', 'prancis', 'lewat', 'drama', 'adu', 'penalti', 'sukses', 'menjadi', 'juara', 'piala', 'diala', 'dunia', 'final', 'sangat', 'seru', 'penuh', 'drama', 'banyak', 'gol', 'selamat', 'argentina']</t>
  </si>
  <si>
    <t>Argentina berhasil memenangkan laga final Piala Dunia 2022 setelah adu penalti atas Prancis 4-2.  https://t.co/X39Znk0vlc #GempitaBolaDunia2022 #CNNIndonesia  https://t.co/Zghkg4Zfep</t>
  </si>
  <si>
    <t>argentina berhasil memenangkan laga final piala dunia setelah adu penalti atas prancis</t>
  </si>
  <si>
    <t>['argentina', 'berhasil', 'memenangkan', 'laga', 'final', 'piala', 'dunia', 'adu', 'penalti', 'atas', 'prancis']</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</si>
  <si>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</si>
  <si>
    <t>Final gila dan dramatis, akhirnya Messi berhasil meraih gelar Juara di Piala Dunia.</t>
  </si>
  <si>
    <t>final gila dan dramatis akhirnya messi berhasil meraih gelar juara piala dunia</t>
  </si>
  <si>
    <t>['final', 'gila', 'dramatis', 'akhirnya', 'messi', 'berhasil', 'meraih', 'gelar', 'juara', 'piala', 'dunia']</t>
  </si>
  <si>
    <t>SALAH SATU FINAL PIALA DUNIA TERSERU ü§Øü§Øü§Ø</t>
  </si>
  <si>
    <t>salah satu final piala dunia terseru</t>
  </si>
  <si>
    <t>['salah', 'satu', 'final', 'piala', 'dunia', 'terseru']</t>
  </si>
  <si>
    <t>gokill, kerasa banget final. selamat buat messi dkk, tapi mbappe gk kalah keren bisa hatrick di final piala dunia uhuyy</t>
  </si>
  <si>
    <t>gokill kerasa banget final selamat buat messi dkk tapi mbappe kalah keren bisa hatrick final piala dunia uhuyy</t>
  </si>
  <si>
    <t>['gokill', 'kerasa', 'banget', 'final', 'selamat', 'buat', 'messi', 'dkk', 'mbappe', 'kalah', 'keren', 'hatrick', 'final', 'piala', 'dunia', 'uhuyy']</t>
  </si>
  <si>
    <t>Momen Dendam Kylian Mbappe Sumbang Dua Gol, Prancis vs Argentina di Final Piala Dunia 2022  https://t.co/Xzdy0vfnjn</t>
  </si>
  <si>
    <t>momen dendam kylian mbappe sumbang dua gol prancis argentina final piala dunia</t>
  </si>
  <si>
    <t>['momen', 'dendam', 'kylian', 'mbappe', 'sumbang', 'gol', 'prancis', 'argentina', 'final', 'piala', 'dunia']</t>
  </si>
  <si>
    <t>Asli. Final Piala Dunia terseru. Historical!</t>
  </si>
  <si>
    <t>asli final piala dunia terseru historical</t>
  </si>
  <si>
    <t>['asli', 'final', 'piala', 'dunia', 'terseru', 'historical']</t>
  </si>
  <si>
    <t>@idextratime Messi terbaik dan menamatkan perjalanan nya . Tapi di final piala dunia tadi . Mbappe bintangnya ü•∞ü•∞ dia akan jadi next messi suatu saat nnti . Perjalanan mbappe masih panjang . Biarlah tahun ini jd tahun messi dan Argentina üòá  https:</t>
  </si>
  <si>
    <t>messi terbaik dan menamatkan perjalanan nya tapi final piala dunia tadi mbappe bintangnya dia akan jadi next messi suatu saat nnti perjalanan mbappe masih panjang biarlah tahun ini tahun messi dan argentina https</t>
  </si>
  <si>
    <t>['messi', 'terbaik', 'menamatkan', 'perjalanan', 'final', 'piala', 'dunia', 'tadi', 'mbappe', 'bintangnya', 'jadi', 'next', 'messi', 'suatu', 'nnti', 'perjalanan', 'mbappe', 'panjang', 'biarlah', 'tahun', 'tahun', 'messi', 'argentina', 'https']</t>
  </si>
  <si>
    <t>@jek___ pemain muda terbaik piala dunia 3 gol di final üëå</t>
  </si>
  <si>
    <t>pemain muda terbaik piala dunia gol final</t>
  </si>
  <si>
    <t>['pemain', 'muda', 'terbaik', 'piala', 'dunia', 'gol', 'final']</t>
  </si>
  <si>
    <t>Final terbaik dari Piala Dunia terbaik! Walau tanpa Italy, terima kasih.</t>
  </si>
  <si>
    <t>final terbaik dari piala dunia terbaik walau tanpa italy terima kasih</t>
  </si>
  <si>
    <t>['final', 'terbaik', 'piala', 'dunia', 'terbaik', 'italy', 'terima', 'kasih']</t>
  </si>
  <si>
    <t>Kenang-kenangan tagar yang sedang viral di Twitter terkait pertandingan final Piala Dunia Qatar 2022 antara Timnas Argentina vs Timnas Prancis.  #FIFAWorldCupFinal #FIFAWorldCup2022 #FIFAWorldCup #FIFAWorldCupQatar2022  https://t.co/Tcesy3uHGS</t>
  </si>
  <si>
    <t>kenang kenangan tagar yang sedang viral twitter terkait pertandingan final piala dunia qatar antara timnas argentina timnas prancis</t>
  </si>
  <si>
    <t>['kenang', 'kenangan', 'tagar', 'sedang', 'viral', 'twitter', 'terkait', 'pertandingan', 'final', 'piala', 'dunia', 'qatar', 'timnas', 'argentina', 'timnas', 'prancis']</t>
  </si>
  <si>
    <t>Final terseru tersaji di piala dunia yang KATANYA paling membosankanüòÅ</t>
  </si>
  <si>
    <t>final terseru tersaji piala dunia yang katanya paling membosankan</t>
  </si>
  <si>
    <t>['final', 'terseru', 'tersaji', 'piala', 'dunia', 'katanya', 'paling', 'membosankan']</t>
  </si>
  <si>
    <t>Piala Dunia paling best sepanjang zaman.. Dari grouping sampai ke final üî•</t>
  </si>
  <si>
    <t>piala dunia paling best sepanjang zaman dari grouping sampai final</t>
  </si>
  <si>
    <t>['piala', 'dunia', 'paling', 'best', 'sepanjang', 'zaman', 'grouping', 'final']</t>
  </si>
  <si>
    <t>SELAMAT LAUTARO MARTINEZ DAN ARGENTINA ATAS JUARA DUNIA. QATAR 2022.  FINAL YANG FANTASTIS !!  SAMPAI JUMPA DI PIALA DUNIA 4 TAHUN LAGI !!!</t>
  </si>
  <si>
    <t>selamat lautaro martinez dan argentina atas juara dunia qatar final yang fantastis sampai jumpa piala dunia tahun lagi</t>
  </si>
  <si>
    <t>['selamat', 'lautaro', 'martinez', 'argentina', 'atas', 'juara', 'dunia', 'qatar', 'final', 'fantastis', 'jumpa', 'piala', 'dunia', 'tahun']</t>
  </si>
  <si>
    <t>Bener2 final piala dunia terserem sih</t>
  </si>
  <si>
    <t>bener final piala dunia terserem sih</t>
  </si>
  <si>
    <t>['benar', 'final', 'piala', 'dunia', 'terserem']</t>
  </si>
  <si>
    <t>Kalah adu penalti dong ü•≤  Tapi gapapa, tetap seru final piala dunia kali ini ü§òüèª Thank you, France! üá´üá∑  #FIFAWorldCup</t>
  </si>
  <si>
    <t>kalah adu penalti dong tapi gapapa tetap seru final piala dunia kali ini thank you france</t>
  </si>
  <si>
    <t>['kalah', 'adu', 'penalti', 'dong', 'gapapa', 'tetap', 'seru', 'final', 'piala', 'dunia', 'kali', 'thank', 'you', 'france']</t>
  </si>
  <si>
    <t>Catat hari ini Senin, 19 Desember 2022  ID . Final Piala Dunia terpaling paling josss. Sejarah mencatat Messi the realll Goattt. Lebay ra urusan , menang og.</t>
  </si>
  <si>
    <t>catat hari ini senin desember final piala dunia terpaling paling josss sejarah mencatat messi the realll goattt lebay urusan menang</t>
  </si>
  <si>
    <t>['catat', 'hari', 'senin', 'desember', 'final', 'piala', 'dunia', 'terpaling', 'paling', 'josss', 'sejarah', 'mencatat', 'messi', 'the', 'realll', 'goattt', 'lebay', 'urusan', 'menang']</t>
  </si>
  <si>
    <t>Di gerbong penuh sama suara siaran final piala dunia anjrit wkwkw</t>
  </si>
  <si>
    <t>gerbong penuh sama suara siaran final piala dunia anjrit wkwkw</t>
  </si>
  <si>
    <t>['gerbong', 'penuh', 'sama', 'suara', 'siaran', 'final', 'piala', 'dunia', 'anjrit', 'wkwkw']</t>
  </si>
  <si>
    <t>Kylian Mbappe Peraih Sepatu Emas di Piala Dunia 2022 usai Bobol 3 Gol ke Gawang Argentina di Laga Final  WHAT A FINAL #ArgentinaVsFrance #FIFAWorldCup‚ÄØ‚ÄØ‚ÄØ  #WorldCup #MissFrance2023 #Mbappe #Qatar2022‚ÄØ‚ÄØ‚ÄØ #QatarWorldCup #MessiìÉµ  Penalti  https://t.co/ihwMnB09o6</t>
  </si>
  <si>
    <t>kylian mbappe peraih sepatu emas piala dunia usai bobol gol gawang argentina laga final what final penalti</t>
  </si>
  <si>
    <t>['kylian', 'mbappe', 'peraih', 'sepatu', 'emas', 'piala', 'dunia', 'usai', 'bobol', 'gol', 'gawang', 'argentina', 'laga', 'final', 'what', 'final', 'penalti']</t>
  </si>
  <si>
    <t>Ga nyesel bangun sampe jam 3 pagi waktu Jepang, ini final piala dunia terbaik seumur hidup yang pernah saya tonton, sekali lagi, final terbaik.  https://t.co/FxwEfYBz2k</t>
  </si>
  <si>
    <t>nyesel bangun sampe jam pagi waktu jepang ini final piala dunia terbaik seumur hidup yang pernah saya tonton sekali lagi final terbaik</t>
  </si>
  <si>
    <t>['nyesel', 'bangun', 'sampai', 'jam', 'pagi', 'waktu', 'jepang', 'final', 'piala', 'dunia', 'terbaik', 'seumur', 'hidup', 'pernah', 'tonton', 'sekali', 'final', 'terbaik']</t>
  </si>
  <si>
    <t>Dari dulu w ga ngikutin piala dunia sih kerna ga terlalu tertarik kecuali nonton Milan doang, yg ini ngikutin tapi ga seberapa. Cuma pas group stage lolos lolsan sama fase knock out ampe final.  Ga sia sia w ngikutin piala dunia kali ini emg gokil üòÇ</t>
  </si>
  <si>
    <t>dari dulu ngikutin piala dunia sih kerna terlalu tertarik kecuali nonton milan doang ini ngikutin tapi seberapa cuma pas group stage lolos lolsan sama fase knock out ampe final sia sia ngikutin piala dunia kali ini emg gokil</t>
  </si>
  <si>
    <t>['dulu', 'ngikutin', 'piala', 'dunia', 'kerna', 'terlalu', 'tertarik', 'nonton', 'milan', 'doang', 'ngikutin', 'seberapa', 'cuma', 'pas', 'group', 'stage', 'lolos', 'lolsan', 'sama', 'fase', 'knock', 'out', 'sampai', 'final', 'sia', 'sia', 'ngikutin', 'piala', 'dunia', 'kali', 'memang', 'gila']</t>
  </si>
  <si>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</si>
  <si>
    <t>lionel messi akhirnya meraih trofi pertamanya piala dunia setelah argentina berhasil keluar sebagai juara piala dunia setelah mengalahkan juara beratahan prancis partai final yang berlangsung lusail iconic stadium minggu melalui drama adu penalti</t>
  </si>
  <si>
    <t>['lionel', 'messi', 'akhirnya', 'meraih', 'trofi', 'pertamanya', 'piala', 'dunia', 'argentina', 'berhasil', 'keluar', 'juara', 'piala', 'dunia', 'mengalahkan', 'juara', 'beratahan', 'prancis', 'partai', 'final', 'berlangsung', 'lusail', 'iconic', 'stadium', 'minggu', 'melalui', 'drama', 'adu', 'penalti']</t>
  </si>
  <si>
    <t>Final piala dunia tergokil yang pernah ditonton</t>
  </si>
  <si>
    <t>final piala dunia tergokil yang pernah ditonton</t>
  </si>
  <si>
    <t>['final', 'piala', 'dunia', 'tergokil', 'pernah', 'ditonton']</t>
  </si>
  <si>
    <t>FINAL TERBAIK PIALA DUNIA!!!!!!!!! BAHKAN FINAL TERBAIK DARI SEMUA FINAL YANG PERNAH GW TONTON ANJIR</t>
  </si>
  <si>
    <t>final terbaik piala dunia bahkan final terbaik dari semua final yang pernah tonton anjir</t>
  </si>
  <si>
    <t>['final', 'terbaik', 'piala', 'dunia', 'bahkan', 'final', 'terbaik', 'semua', 'final', 'pernah', 'tonton', 'anjir']</t>
  </si>
  <si>
    <t>MINUTE PLAY RECORD  Laga final Piala Dunia 2022 yang berlangsung hingga 120 menit juga menjadikan Lionel Messi sebagai pemain dengan menit terbanyak bermain dalam sejarah Piala Dunia (2,269 menit). #FIFAWorldCup  https://t.co/QYLIzZ8X3H</t>
  </si>
  <si>
    <t>minute play record laga final piala dunia yang berlangsung hingga menit juga menjadikan lionel messi sebagai pemain dengan menit terbanyak bermain dalam sejarah piala dunia menit</t>
  </si>
  <si>
    <t>['minute', 'play', 'record', 'laga', 'final', 'piala', 'dunia', 'berlangsung', 'hingga', 'menit', 'menjadikan', 'lionel', 'messi', 'pemain', 'menit', 'terbanyak', 'bermain', 'sejarah', 'piala', 'dunia', 'menit']</t>
  </si>
  <si>
    <t>Nonton final piala dunia sampe jam segini, untung besok liboorr</t>
  </si>
  <si>
    <t>nonton final piala dunia sampe jam segini untung besok liboorr</t>
  </si>
  <si>
    <t>['nonton', 'final', 'piala', 'dunia', 'sampai', 'jam', 'segini', 'untung', 'besok', 'liboorr']</t>
  </si>
  <si>
    <t>@ID_Albiceleste Emosiona!. Jd fans Argentina sejak Piala Dunia '94 tau bgt rasanya kekecewaan kalah di turnamen besar termasuk Copa America, nyesek kalah di final Pildun 2014 dan 2x kalah di final Copa Amerika vs Chile. Baru 3 thn terakhir ini timnas Arge</t>
  </si>
  <si>
    <t>albiceleste emosiona fans argentina sejak piala dunia tau bgt rasanya kekecewaan kalah turnamen besar termasuk copa america nyesek kalah final pildun dan kalah final copa amerika chile baru thn terakhir ini timnas arge</t>
  </si>
  <si>
    <t>['albiceleste', 'emosiona', 'fans', 'argentina', 'sejak', 'piala', 'dunia', 'banget', 'rasanya', 'kekecewaan', 'kalah', 'turnamen', 'besar', 'termasuk', 'copa', 'america', 'nyesek', 'kalah', 'final', 'piala dunia', 'kalah', 'final', 'copa', 'amerika', 'chile', 'baru', 'thn', 'terakhir', 'timnas', 'arge']</t>
  </si>
  <si>
    <t>Final Piala Dunia terbaik yang pernah saya tonton sejauh ini, setelah final 2018 yang rasanya anti klimaks, akhirnya tahun ini disuguhkan dengan pertandingan yang penuh dengan kejutan dan tidak ramah jantung</t>
  </si>
  <si>
    <t>final piala dunia terbaik yang pernah saya tonton sejauh ini setelah final yang rasanya anti klimaks akhirnya tahun ini disuguhkan dengan pertandingan yang penuh dengan kejutan dan tidak ramah jantung</t>
  </si>
  <si>
    <t>['final', 'piala', 'dunia', 'terbaik', 'pernah', 'tonton', 'sejauh', 'final', 'rasanya', 'anti', 'klimaks', 'akhirnya', 'tahun', 'disuguhkan', 'pertandingan', 'penuh', 'kejutan', 'ramah', 'jantung']</t>
  </si>
  <si>
    <t>@mrserotonin1975 Usia 23 hatrik di final! Usia 19thn piala dunia dia raih. Kita debatkan 10 tahun lagi</t>
  </si>
  <si>
    <t>usia hatrik final usia thn piala dunia dia raih kita debatkan tahun lagi</t>
  </si>
  <si>
    <t>['usia', 'hatrik', 'final', 'usia', 'thn', 'piala', 'dunia', 'raih', 'debatkan', 'tahun']</t>
  </si>
  <si>
    <t>Sudah gak ada kata-kata, final Piala Dunia terseru.  Selamat sekali lagi buat Argentina yang keluar sebagai juara.  #SCMWorldCup2022 #SCTVWorldCup2022 #FIFAWorldCup  https://t.co/l8w5pUkrMi</t>
  </si>
  <si>
    <t>sudah gak ada kata kata final piala dunia terseru selamat sekali lagi buat argentina yang keluar sebagai juara</t>
  </si>
  <si>
    <t>['kata', 'kata', 'final', 'piala', 'dunia', 'terseru', 'selamat', 'sekali', 'buat', 'argentina', 'keluar', 'juara']</t>
  </si>
  <si>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</si>
  <si>
    <t>congratulations argentina sah juarai pertandingan piala dunia qatar dengan skor argentina france penalties the greatest ever just unbelievable what final</t>
  </si>
  <si>
    <t>['congratulations', 'argentina', 'sah', 'juarai', 'pertandingan', 'piala', 'dunia', 'qatar', 'skor', 'argentina', 'france', 'penalties', 'the', 'greatest', 'ever', 'just', 'unbelievable', 'what', 'final']</t>
  </si>
  <si>
    <t>Pasukan Amerika Latin ada rekod yang baik dalam edisi Piala Dunia luar Eropah. Hanya Piala Dunia 2010 dan 2014 negara Eropah berjaya menang dalam edisi luar Eropah. Hanya 2010 tak ada pasukan Amerika Selatan di final.</t>
  </si>
  <si>
    <t>pasukan amerika latin ada rekod yang baik dalam edisi piala dunia luar eropah hanya piala dunia dan negara eropah berjaya menang dalam edisi luar eropah hanya tak ada pasukan amerika selatan final</t>
  </si>
  <si>
    <t>['pasukan', 'amerika', 'latin', 'rekod', 'baik', 'edisi', 'piala', 'dunia', 'luar', 'eropah', 'piala', 'dunia', 'negara', 'eropah', 'berjaya', 'menang', 'edisi', 'luar', 'eropah', 'tak', 'pasukan', 'amerika', 'selatan', 'final']</t>
  </si>
  <si>
    <t>&lt;FreqDist with 16 samples and 24 outcomes&gt;</t>
  </si>
  <si>
    <t>Salah satu final paling seru selama Piala Dunia Kelazz  üá¶üá∑üá´üá∑</t>
  </si>
  <si>
    <t>salah satu final paling seru selama piala dunia kelazz</t>
  </si>
  <si>
    <t>['salah', 'satu', 'final', 'paling', 'seru', 'selama', 'piala', 'dunia', 'kelazz']</t>
  </si>
  <si>
    <t>Piala dunia terseru, banyak plot twist, mind blowing, pa keukeuh2, final pa bales2 goal ü§Øü§Øü§Ø</t>
  </si>
  <si>
    <t>piala dunia terseru banyak plot twist mind blowing keukeuh final bales goal</t>
  </si>
  <si>
    <t>['piala', 'dunia', 'terseru', 'banyak', 'plot', 'twist', 'mind', 'blowing', 'keukeuh', 'final', 'bales', 'goal']</t>
  </si>
  <si>
    <t>Gila ini final. Final piala dunia terbaik semenjak saya mulai liat piala dunia tahun 1998.</t>
  </si>
  <si>
    <t>gila ini final final piala dunia terbaik semenjak saya mulai liat piala dunia tahun</t>
  </si>
  <si>
    <t>['gila', 'final', 'final', 'piala', 'dunia', 'terbaik', 'semenjak', 'mulai', 'lihat', 'piala', 'dunia', 'tahun']</t>
  </si>
  <si>
    <t>final piala dunia 2022 seru banget emang Tp aku ttp suka final 2010 ü§£</t>
  </si>
  <si>
    <t>final piala dunia seru banget emang aku ttp suka final</t>
  </si>
  <si>
    <t>['final', 'piala', 'dunia', 'seru', 'banget', 'emang', 'aku', 'ttp', 'suka', 'final']</t>
  </si>
  <si>
    <t>final piala dunia terseru gilaaa</t>
  </si>
  <si>
    <t>['final', 'piala', 'dunia', 'terseru', 'gilaaa']</t>
  </si>
  <si>
    <t>Anjir seru bgt match final pildun kali ini , congrats pak messi üéâ #pialadunia</t>
  </si>
  <si>
    <t>anjir seru bgt match final pildun kali ini congrats pak messi</t>
  </si>
  <si>
    <t>['anjir', 'seru', 'banget', 'match', 'final', 'piala dunia', 'kali', 'congrats', 'pak', 'messi']</t>
  </si>
  <si>
    <t>Final world cup piala dunia 2022 jadi final yang terbaik  Gimana menurut kalian setuju gak?</t>
  </si>
  <si>
    <t>final world cup piala dunia jadi final yang terbaik gimana menurut kalian setuju gak</t>
  </si>
  <si>
    <t>['final', 'world', 'cup', 'piala', 'dunia', 'jadi', 'final', 'terbaik', 'gimana', 'kalian', 'setuju']</t>
  </si>
  <si>
    <t>Club andalan JOKOWI Akhirnya, menang Juara Piala Dunia Untuk Ketiga Kalinya !!  1978, 1986, 2022.  Messi pensiun dengan tenang  Penalties Messi #FIFAWorldCup WHAT A FINAL  https://t.co/n4ZFOw55Iq</t>
  </si>
  <si>
    <t>club andalan jokowi akhirnya menang juara piala dunia untuk ketiga kalinya messi pensiun dengan tenang penalties messi what final</t>
  </si>
  <si>
    <t>['club', 'andalan', 'jokowi', 'akhirnya', 'menang', 'juara', 'piala', 'dunia', 'ketiga', 'kalinya', 'messi', 'pensiun', 'tenang', 'penalties', 'messi', 'what', 'final']</t>
  </si>
  <si>
    <t>Asli sih ini final ter-debest meskipun di awal2 Qatar ini diragukan utk nyelenggarain piala dunia</t>
  </si>
  <si>
    <t>asli sih ini final ter debest meskipun awal qatar ini diragukan utk nyelenggarain piala dunia</t>
  </si>
  <si>
    <t>['asli', 'final', 'ter', 'debest', 'meskipun', 'awal', 'qatar', 'diragukan', 'nyelenggarain', 'piala', 'dunia']</t>
  </si>
  <si>
    <t>Final terbaik sak suwene aku nonton Piala Dunia sak uwise 2006. Selamat #Argentina selamat #MessiìÉµ</t>
  </si>
  <si>
    <t>final terbaik sak suwene aku nonton piala dunia sak uwise selamat selamat</t>
  </si>
  <si>
    <t>['final', 'terbaik', 'sak', 'suwene', 'aku', 'nonton', 'piala', 'dunia', 'sak', 'uwise', 'selamat', 'selamat']</t>
  </si>
  <si>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</si>
  <si>
    <t>drama adu penalti tersaji final piala dunia setelah skor imbang bertahan hingga babak perpanjangan waktu akhirnya argentina keluar sebagai juara congratulations messi</t>
  </si>
  <si>
    <t>['drama', 'adu', 'penalti', 'tersaji', 'final', 'piala', 'dunia', 'skor', 'imbang', 'bertahan', 'hingga', 'babak', 'perpanjangan', 'waktu', 'akhirnya', 'argentina', 'keluar', 'juara', 'congratulations', 'messi']</t>
  </si>
  <si>
    <t>Malam gue serba biru dan seru banget, dimulai nonton Avatar lanjut nonton Final Piala Dunia.  Dua-duanya ajaib!</t>
  </si>
  <si>
    <t>malam gue serba biru dan seru banget dimulai nonton avatar lanjut nonton final piala dunia dua duanya ajaib</t>
  </si>
  <si>
    <t>['malam', 'gue', 'serba', 'biru', 'seru', 'banget', 'dimulai', 'nonton', 'avatar', 'lanjut', 'nonton', 'final', 'piala', 'dunia', 'duanya', 'ajaib']</t>
  </si>
  <si>
    <t>gila nih piala Dunia final penuh drama</t>
  </si>
  <si>
    <t>gila nih piala dunia final penuh drama</t>
  </si>
  <si>
    <t>['gila', 'piala', 'dunia', 'final', 'penuh', 'drama']</t>
  </si>
  <si>
    <t>Penuh tanda tanya besar terhadap wasit final piala dunia #FIFAWorldCup</t>
  </si>
  <si>
    <t>penuh tanda tanya besar terhadap wasit final piala dunia</t>
  </si>
  <si>
    <t>['penuh', 'tanda', 'tanya', 'besar', 'wasit', 'final', 'piala', 'dunia']</t>
  </si>
  <si>
    <t>ngikutin messi dari jaman SMP sampe skrg, dari mulai dia gagal final piala dunia lawan jerman trs copa america jg trs nangis pas perpisahan sm barca trs skrg taun terakhir messi sblm pensiun dari timnas akhirnya bs juara piala duniaüò≠üíô</t>
  </si>
  <si>
    <t>ngikutin messi dari jaman smp sampe skrg dari mulai dia gagal final piala dunia lawan jerman trs copa america trs nangis pas perpisahan barca trs skrg taun terakhir messi sblm pensiun dari timnas akhirnya juara piala dunia</t>
  </si>
  <si>
    <t>['ngikutin', 'messi', 'jaman', 'smp', 'sampai', 'skrg', 'mulai', 'gagal', 'final', 'piala', 'dunia', 'lawan', 'jerman', 'terus', 'copa', 'america', 'terus', 'nangis', 'pas', 'perpisahan', 'barca', 'terus', 'skrg', 'taun', 'terakhir', 'messi', 'sebelum', 'pensiun', 'timnas', 'akhirnya', 'juara', 'piala', 'dunia']</t>
  </si>
  <si>
    <t>&lt;FreqDist with 27 samples and 33 outcomes&gt;</t>
  </si>
  <si>
    <t>Fuh dahsyat punya final.  Tahniah Argentina juara Piala Dunia 2022.  Messi memang lejen.  #argentina  #fifaworldcup2022  #qatarworldcup2022   Posted @withrepost ‚Ä¢ @fifaworldcup üá¶üá∑ ARGENTINA ARE #FIFAWORLDCUP CHAMPIONS  https://t.co/eBqzqngbgV</t>
  </si>
  <si>
    <t>fuh dahsyat punya final tahniah argentina juara piala dunia messi memang lejen posted argentina are champions</t>
  </si>
  <si>
    <t>['fuh', 'dahsyat', 'punya', 'final', 'tahniah', 'argentina', 'juara', 'piala', 'dunia', 'messi', 'memang', 'lejen', 'posted', 'argentina', 'are', 'champions']</t>
  </si>
  <si>
    <t>Mari berterima kasih kepada tuhan karena telah dikasih umur hari ini untuk menonton pertandingan final piala dunia tahun ini. What a show. Congrats Argentina, congrats Leo Messi.</t>
  </si>
  <si>
    <t>mari berterima kasih kepada tuhan karena telah dikasih umur hari ini untuk menonton pertandingan final piala dunia tahun ini what show congrats argentina congrats leo messi</t>
  </si>
  <si>
    <t>['berterima', 'kasih', 'tuhan', 'dikasih', 'umur', 'hari', 'menonton', 'pertandingan', 'final', 'piala', 'dunia', 'tahun', 'what', 'show', 'congrats', 'argentina', 'congrats', 'leo', 'messi']</t>
  </si>
  <si>
    <t>@berlianidris Pertandingan final berkelas selama nnton Piala Dunia dari 2002 sampe 2022 ini, permainan kedua negara...kelas üëèüëè Congratulations Argentina.</t>
  </si>
  <si>
    <t>pertandingan final berkelas selama nnton piala dunia dari sampe ini permainan kedua negara kelas congratulations argentina</t>
  </si>
  <si>
    <t>['pertandingan', 'final', 'berkelas', 'selama', 'nnton', 'piala', 'dunia', 'sampai', 'permainan', 'kedua', 'negara', 'kelas', 'congratulations', 'argentina']</t>
  </si>
  <si>
    <t>Anjing, gilaaaaa, final Piala dunia terbaik yang pernah gw tonton üò≠</t>
  </si>
  <si>
    <t>anjing gilaaaaa final piala dunia terbaik yang pernah tonton</t>
  </si>
  <si>
    <t>['anjing', 'gilaaaaa', 'final', 'piala', 'dunia', 'terbaik', 'pernah', 'tonton']</t>
  </si>
  <si>
    <t>Final Piala Dunia 2022 di Qatar antara Argentina vs Perancis berakhir 3-3 lanjut penalti 4-2 seru banget! kirain mudah gitu Argentina menyabet gelar juara, Perancis memberikan perlawanan sengit, final yang keren üëèüëè #FIFAWorldCup #ArgentinaVsFrance  https://t.co/CdQncqBNr0</t>
  </si>
  <si>
    <t>final piala dunia qatar antara argentina perancis berakhir lanjut penalti seru banget kirain mudah gitu argentina menyabet gelar juara perancis memberikan perlawanan sengit final yang keren</t>
  </si>
  <si>
    <t>['final', 'piala', 'dunia', 'qatar', 'argentina', 'perancis', 'berakhir', 'lanjut', 'penalti', 'seru', 'banget', 'kirain', 'mudah', 'gitu', 'argentina', 'menyabet', 'gelar', 'juara', 'perancis', 'memberikan', 'perlawanan', 'sengit', 'final', 'keren']</t>
  </si>
  <si>
    <t>Menikmati final Piala dunia Perancis Vs Argentina : 1. Pemainnya sportif, skill tinggi, mental &amp;amp; fisik tangguh; 2. Wasit, paham dan tegas penegakan aturan; 3. Penonton : tertib, meriah, supportive, indah. 4. Penyelenggara, profesional. Jd seneng nonton Bola. Tp jagoku, kalah.</t>
  </si>
  <si>
    <t>menikmati final piala dunia perancis argentina pemainnya sportif skill tinggi mental fisik tangguh wasit paham dan tegas penegakan aturan penonton tertib meriah supportive indah penyelenggara profesional seneng nonton bola jagoku kalah</t>
  </si>
  <si>
    <t>['menikmati', 'final', 'piala', 'dunia', 'perancis', 'argentina', 'pemainnya', 'sportif', 'skill', 'tinggi', 'mental', 'fisik', 'tangguh', 'wasit', 'paham', 'tegas', 'penegakan', 'aturan', 'penonton', 'tertib', 'meriah', 'supportive', 'indah', 'penyelenggara', 'profesional', 'seneng', 'nonton', 'bola', 'jagoku', 'kalah']</t>
  </si>
  <si>
    <t>Final piala dunia terbaiküëèüèº</t>
  </si>
  <si>
    <t>Salah satu final piala dunia terbaik. Congrats Messi üëç</t>
  </si>
  <si>
    <t>salah satu final piala dunia terbaik congrats messi</t>
  </si>
  <si>
    <t>['salah', 'satu', 'final', 'piala', 'dunia', 'terbaik', 'congrats', 'messi']</t>
  </si>
  <si>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</si>
  <si>
    <t>selamat argentina atas perjuangan dan kemenangannya final sekaligus mengulang kesuksesan juara piala dunia setelah terakhir kali tahun tetap semangat prancis meskipun tidak juara permainanmu malam ini sangat ciamik terutama mbappe kalian memang layak final gacor</t>
  </si>
  <si>
    <t>['selamat', 'argentina', 'atas', 'perjuangan', 'kemenangannya', 'final', 'sekaligus', 'mengulang', 'kesuksesan', 'juara', 'piala', 'dunia', 'terakhir', 'kali', 'tahun', 'tetap', 'semangat', 'prancis', 'meskipun', 'juara', 'permainanmu', 'malam', 'sangat', 'ciamik', 'terutama', 'mbappe', 'kalian', 'memang', 'layak', 'final', 'gacor']</t>
  </si>
  <si>
    <t>salah satu patah hati terbesar tahun ini... Prancis kalah di final Piala Duniaüò≠  congrats Argentina...  yok turu bsok ngantorüò≠</t>
  </si>
  <si>
    <t>salah satu patah hati terbesar tahun ini prancis kalah final piala dunia congrats argentina yok turu bsok ngantor</t>
  </si>
  <si>
    <t>['salah', 'satu', 'patah', 'hati', 'terbesar', 'tahun', 'prancis', 'kalah', 'final', 'piala', 'dunia', 'congrats', 'argentina', 'yok', 'tidur', 'bsok', 'ngantor']</t>
  </si>
  <si>
    <t>Argentina juara Piala Dunia 2022,HasilAhir pertandingan Argentina vs Prancis, Final Piala Dunia 2022  https://t.co/CGxhUUl20h</t>
  </si>
  <si>
    <t>argentina juara piala dunia hasilahir pertandingan argentina prancis final piala dunia</t>
  </si>
  <si>
    <t>['argentina', 'juara', 'piala', 'dunia', 'hasilahir', 'pertandingan', 'argentina', 'prancis', 'final', 'piala', 'dunia']</t>
  </si>
  <si>
    <t>Pengen gw keplak klo masih ada yg bilang ini piala dunia sepi ü§£üòÇ Benar2 ngerasain banget euforianya dari penyisihan grup sampai final.  Terakhir ngerasain euforia kayak gini waktu piala dunia 2010 üòÖ</t>
  </si>
  <si>
    <t>pengen keplak klo masih ada bilang ini piala dunia sepi benar ngerasain banget euforianya dari penyisihan grup sampai final terakhir ngerasain euforia kayak gini waktu piala dunia</t>
  </si>
  <si>
    <t>['pengen', 'keplak', 'piala', 'dunia', 'sepi', 'benar', 'ngerasain', 'banget', 'euforianya', 'penyisihan', 'grup', 'final', 'terakhir', 'ngerasain', 'euforia', 'seperti', 'gini', 'waktu', 'piala', 'dunia']</t>
  </si>
  <si>
    <t>BTW INI EMANG BENER2 GOKIL FINAL PIALA DUNIA 2022 (ARGENTINA VS PRANCIS), DEG2AN BANGET ANJRITTT LIATNYA üî•üî•  #FIFAWorldCup  #Qatar2022  #Arg #Fra</t>
  </si>
  <si>
    <t>btw ini emang bener gokil final piala dunia argentina prancis deg banget anjrittt liatnya</t>
  </si>
  <si>
    <t>['by the way', 'emang', 'benar', 'gila', 'final', 'piala', 'dunia', 'argentina', 'prancis', 'deg', 'banget', 'anjrittt', 'liatnya']</t>
  </si>
  <si>
    <t>Final Piala Dunia Terbaik !!! Selamat Argentina üá¶üá∑, Selamat Messi !! Akhir karir yang indah üëèüèΩ Piala Dunia di Asia masih milik Amerika Selatan    #FinalWorldCup2022  https://t.co/CeHXy8XjVT</t>
  </si>
  <si>
    <t>final piala dunia terbaik selamat argentina selamat messi akhir karir yang indah piala dunia asia masih milik amerika selatan</t>
  </si>
  <si>
    <t>['final', 'piala', 'dunia', 'terbaik', 'selamat', 'argentina', 'selamat', 'messi', 'akhir', 'karir', 'indah', 'piala', 'dunia', 'asia', 'milik', 'amerika', 'selatan']</t>
  </si>
  <si>
    <t>SELAMAT! ARGENTINA JUARA PIALA DUNIA 2022.‚Å£ ‚Å£ Pertandingan sengit tersaji di final piala dunia 2022. Tim tango mampu mencetak skor lewat 2 gol dari kaki Lionel Messi dan Di Maria.‚Å£  https://t.co/QhHmQ6pbr8</t>
  </si>
  <si>
    <t>selamat argentina juara piala dunia pertandingan sengit tersaji final piala dunia tim tango mampu mencetak skor lewat gol dari kaki lionel messi dan maria</t>
  </si>
  <si>
    <t>['selamat', 'argentina', 'juara', 'piala', 'dunia', 'pertandingan', 'sengit', 'tersaji', 'final', 'piala', 'dunia', 'tim', 'tango', 'mampu', 'mencetak', 'skor', 'lewat', 'gol', 'kaki', 'lionel', 'messi', 'maria']</t>
  </si>
  <si>
    <t>Suguhan final Piala dunia terbaik tersaji di Qatar..selama ane nonton..pasca Prancis vs Brazil (Zidane) Jerman vs Belanda (Klose) Brazil vs german (Ronaldo R9)</t>
  </si>
  <si>
    <t>suguhan final piala dunia terbaik tersaji qatar selama ane nonton pasca prancis brazil zidane jerman belanda klose brazil german ronaldo</t>
  </si>
  <si>
    <t>['suguhan', 'final', 'piala', 'dunia', 'terbaik', 'tersaji', 'qatar', 'selama', 'ane', 'nonton', 'pasca', 'prancis', 'brazil', 'zidane', 'jerman', 'belanda', 'klose', 'brazil', 'german', 'ronaldo']</t>
  </si>
  <si>
    <t>@jonathanend Final, piala dunia, 3 goal, diwaktu kritis, gokil sih</t>
  </si>
  <si>
    <t>final piala dunia goal diwaktu kritis gokil sih</t>
  </si>
  <si>
    <t>['final', 'piala', 'dunia', 'goal', 'diwaktu', 'kritis', 'gila']</t>
  </si>
  <si>
    <t>Beruntung sekali bisa nonton final piala dunia gokil kek gini. Messi, Mbappe, Martines pembeda malam ini.  Selamat untuk Argentina dan Argentina Mania. Gausa ricuh pulang nya ati ati, salam buat bapak ibuk di rumah</t>
  </si>
  <si>
    <t>beruntung sekali bisa nonton final piala dunia gokil kek gini messi mbappe martines pembeda malam ini selamat untuk argentina dan argentina mania gausa ricuh pulang nya ati ati salam buat bapak ibuk rumah</t>
  </si>
  <si>
    <t>['beruntung', 'sekali', 'nonton', 'final', 'piala', 'dunia', 'gila', 'kek', 'gini', 'messi', 'mbappe', 'martines', 'pembeda', 'malam', 'selamat', 'argentina', 'argentina', 'mania', 'gausa', 'ricuh', 'pulang', 'ati', 'ati', 'salam', 'buat', 'bapak', 'ibuk', 'rumah']</t>
  </si>
  <si>
    <t>Sungguh merugi org2 yang ga nonton final piala dunia kali ini</t>
  </si>
  <si>
    <t>sungguh merugi org yang nonton final piala dunia kali ini</t>
  </si>
  <si>
    <t>['sungguh', 'merugi', 'org', 'nonton', 'final', 'piala', 'dunia', 'kali']</t>
  </si>
  <si>
    <t>Nonton final piala dunia dr babak pertama sampe kedua tegang tp puas Argentina menjadi juara piala dunia 2022 melalui adu penaltiüòä</t>
  </si>
  <si>
    <t>nonton final piala dunia babak pertama sampe kedua tegang puas argentina menjadi juara piala dunia melalui adu penalti</t>
  </si>
  <si>
    <t>['nonton', 'final', 'piala', 'dunia', 'babak', 'pertama', 'sampai', 'kedua', 'tegang', 'puas', 'argentina', 'menjadi', 'juara', 'piala', 'dunia', 'melalui', 'adu', 'penalti']</t>
  </si>
  <si>
    <t>Final Piala Dunia bahkan final terhebat terseru sepanjang masa. Good Job Perancis, Congrats Argentina dan Messi. ThankYou Messi dan Ronaldo sudah menyajikan dan membawa euforia sepakbola begitu hebat. Piala dunia terakhir utk mereka. End of Era #Ronaldo #messivsmbappe</t>
  </si>
  <si>
    <t>final piala dunia bahkan final terhebat terseru sepanjang masa good job perancis congrats argentina dan messi thankyou messi dan ronaldo sudah menyajikan dan membawa euforia sepakbola begitu hebat piala dunia terakhir utk mereka end era</t>
  </si>
  <si>
    <t>['final', 'piala', 'dunia', 'bahkan', 'final', 'terhebat', 'terseru', 'sepanjang', 'masa', 'good', 'job', 'perancis', 'congrats', 'argentina', 'messi', 'thankyou', 'messi', 'ronaldo', 'menyajikan', 'membawa', 'euforia', 'sepakbola', 'hebat', 'piala', 'dunia', 'terakhir', 'end', 'era']</t>
  </si>
  <si>
    <t>Final piala dunia terbaik sepanjang masa, congrats argentina!!!!!</t>
  </si>
  <si>
    <t>final piala dunia terbaik sepanjang masa congrats argentina</t>
  </si>
  <si>
    <t>['final', 'piala', 'dunia', 'terbaik', 'sepanjang', 'masa', 'congrats', 'argentina']</t>
  </si>
  <si>
    <t>ARGENTINA VS PRANCIS 18-12-2022 Pertandingan final piala Dunia terbaik , Selamat Argentina, semangat prancis üá¶üá∑üá¶üá∑üá¶üá∑üá¶üá∑</t>
  </si>
  <si>
    <t>argentina prancis pertandingan final piala dunia terbaik selamat argentina semangat prancis</t>
  </si>
  <si>
    <t>['argentina', 'prancis', 'pertandingan', 'final', 'piala', 'dunia', 'terbaik', 'selamat', 'argentina', 'semangat', 'prancis']</t>
  </si>
  <si>
    <t>Perdebatan sp yg terbaik antara CR7 Vs Messi, brakhir malam ini. Messi melengkapi kesempurnannya. CR7 menandingi Giroud (2xfinal piala dunia) aja sdh gak bisa belum lagi menandingi Mbappe yg cetak hattrick goal di final. CR7 harus bermain di BRI Liga 1 supaya paripurna karirnya</t>
  </si>
  <si>
    <t>perdebatan terbaik antara messi brakhir malam ini messi melengkapi kesempurnannya menandingi giroud xfinal piala dunia aja sdh gak bisa belum lagi menandingi mbappe cetak hattrick goal final harus bermain bri liga supaya paripurna karirnya</t>
  </si>
  <si>
    <t>['perdebatan', 'terbaik', 'messi', 'brakhir', 'malam', 'messi', 'melengkapi', 'kesempurnannya', 'menandingi', 'giroud', 'xfinal', 'piala', 'dunia', 'menandingi', 'mbappe', 'cetak', 'hattrick', 'goal', 'final', 'bermain', 'bri', 'liga', 'paripurna', 'karirnya']</t>
  </si>
  <si>
    <t>Gilaa gilaa drama final piala dunia ini wkwkwk</t>
  </si>
  <si>
    <t>gilaa gilaa drama final piala dunia ini wkwkwk</t>
  </si>
  <si>
    <t>['gilaa', 'gilaa', 'drama', 'final', 'piala', 'dunia', 'wkwkwk']</t>
  </si>
  <si>
    <t>Berikut hasil final Piala Dunia 2022 Argentina vs Prancis yang berakhir lewat drama adu penalti setelah kedua tim bermain imbang 3-3 hingga babak tambahan.  https://t.co/KL3kBmNv5O  https://t.co/0ClZvyDydF</t>
  </si>
  <si>
    <t>berikut hasil final piala dunia argentina prancis yang berakhir lewat drama adu penalti setelah kedua tim bermain imbang hingga babak tambahan</t>
  </si>
  <si>
    <t>['berikut', 'hasil', 'final', 'piala', 'dunia', 'argentina', 'prancis', 'berakhir', 'lewat', 'drama', 'adu', 'penalti', 'kedua', 'tim', 'bermain', 'imbang', 'hingga', 'babak', 'tambahan']</t>
  </si>
  <si>
    <t>Gue setidaknya pernah ngalamin jantung melorot sampe tumit salah satunya karena final Piala Dunia 2022 ini üòÇüá¶üá∑üá¶üá∑üá¶üá∑üá¶üá∑üá¶üá∑‚ù§Ô∏è</t>
  </si>
  <si>
    <t>gue setidaknya pernah ngalamin jantung melorot sampe tumit salah satunya karena final piala dunia ini</t>
  </si>
  <si>
    <t>['gue', 'pernah', 'ngalamin', 'jantung', 'melorot', 'sampai', 'tumit', 'salah', 'satunya', 'final', 'piala', 'dunia']</t>
  </si>
  <si>
    <t>anjing anjing anjinggg GW PIJIR GW KENA GANGGU FARI SETAN SOALANYA GW DAH TDR TRS DENGER SUARA ORG2 TERIAK ANJGGGG TERYS GW BARU INGAT NIH HARI FINAL PIALA DUNIA COKKK. PASTI ARGEN YG MENANG YA MAKANYA PADA HISTERIS GINI</t>
  </si>
  <si>
    <t>anjing anjing anjinggg pijir kena ganggu fari setan soalanya dah tdr trs denger suara org teriak anjgggg terys baru ingat nih hari final piala dunia cokkk pasti argen menang makanya pada histeris gini</t>
  </si>
  <si>
    <t>['anjing', 'anjing', 'anjinggg', 'pijir', 'kena', 'ganggu', 'fari', 'setan', 'soalanya', 'dah', 'tdr', 'terus', 'denger', 'suara', 'org', 'teriak', 'anjgggg', 'terys', 'baru', 'ingat', 'hari', 'final', 'piala', 'dunia', 'cokkk', 'argen', 'menang', 'makanya', 'histeris', 'gini']</t>
  </si>
  <si>
    <t>Fak seru gini final piala dunia! ü§©</t>
  </si>
  <si>
    <t>fak seru gini final piala dunia</t>
  </si>
  <si>
    <t>['fak', 'seru', 'gini', 'final', 'piala', 'dunia']</t>
  </si>
  <si>
    <t>Terakhir merinding nonton bola pas Manchester city vs QPR yg berakhir juara. Dan sekarang keulang kembali Final terbaik piala dunia</t>
  </si>
  <si>
    <t>terakhir merinding nonton bola pas manchester city qpr berakhir juara dan sekarang keulang kembali final terbaik piala dunia</t>
  </si>
  <si>
    <t>['terakhir', 'merinding', 'nonton', 'bola', 'pas', 'manchester', 'city', 'qpr', 'berakhir', 'juara', 'sekarang', 'keulang', 'final', 'terbaik', 'piala', 'dunia']</t>
  </si>
  <si>
    <t>Sebenarnya liat final piala dunia ini kayak melihat Mbappe vs Argentina njir.Mbappe bebannya banyak banget.Dia gendong timnya banget.Liat aja semua gol itu dia yg golkan semua  https://t.co/RgPHSX1YYL</t>
  </si>
  <si>
    <t>sebenarnya liat final piala dunia ini kayak melihat mbappe argentina njir mbappe bebannya banyak banget dia gendong timnya banget liat aja semua gol itu dia golkan semua</t>
  </si>
  <si>
    <t>['sebenarnya', 'lihat', 'final', 'piala', 'dunia', 'seperti', 'melihat', 'mbappe', 'argentina', 'njir', 'mbappe', 'bebannya', 'banyak', 'banget', 'gendong', 'timnya', 'banget', 'lihat', 'semua', 'gol', 'golkan', 'semua']</t>
  </si>
  <si>
    <t>@abcdbacodd gimana ga seneng,ini idola gue sejak kecill,gua suka bola ya karna messi,messi udah 4 kali gagal juara di piala dunia dan salah satunya gagal di final,inipun gue lagi tidur kebangun,padahal besok harus kerja shift pagi,gue relainnn bangunnnnü</t>
  </si>
  <si>
    <t>gimana seneng ini idola gue sejak kecill gua suka bola karna messi messi udah kali gagal juara piala dunia dan salah satunya gagal final inipun gue lagi tidur kebangun padahal besok harus kerja shift pagi gue relainnn bangunnnn</t>
  </si>
  <si>
    <t>['gimana', 'seneng', 'idola', 'gue', 'sejak', 'kecill', 'gua', 'suka', 'bola', 'karna', 'messi', 'messi', 'udah', 'kali', 'gagal', 'juara', 'piala', 'dunia', 'salah', 'satunya', 'gagal', 'final', 'inipun', 'gue', 'tidur', 'kebangun', 'padahal', 'besok', 'kerja', 'shift', 'pagi', 'gue', 'relainnn', 'bangunnnn']</t>
  </si>
  <si>
    <t>Hattrick final piala dunia, gokil sih</t>
  </si>
  <si>
    <t>hattrick final piala dunia gokil sih</t>
  </si>
  <si>
    <t>['hattrick', 'final', 'piala', 'dunia', 'gila']</t>
  </si>
  <si>
    <t>PIALA DUNIA TERSERU FINAL TERGILA MESSI GOAT üêê</t>
  </si>
  <si>
    <t>piala dunia terseru final tergila messi goat</t>
  </si>
  <si>
    <t>['piala', 'dunia', 'terseru', 'final', 'tergila', 'messi', 'goat']</t>
  </si>
  <si>
    <t>@convomfs Sejarah baru, Hattrick di final Piala Dunia üî• Ditunggu Piala Dunia selanjutnya wahai anak-anak muda üî•</t>
  </si>
  <si>
    <t>sejarah baru hattrick final piala dunia ditunggu piala dunia selanjutnya wahai anak anak muda</t>
  </si>
  <si>
    <t>['sejarah', 'baru', 'hattrick', 'final', 'piala', 'dunia', 'ditunggu', 'piala', 'dunia', 'selanjutnya', 'wahai', 'anak', 'anak', 'muda']</t>
  </si>
  <si>
    <t>Dybala dinobatkan jadi orang paling berani malam ini nendang penalti final piala dunia ketengah, seperti penalti di pes yg analognya udh diarahin tapi tetep ketengah, rada soak tp teu nanaon lamun lawan terkecoh mah</t>
  </si>
  <si>
    <t>dybala dinobatkan jadi orang paling berani malam ini nendang penalti final piala dunia ketengah seperti penalti pes analognya udh diarahin tapi tetep ketengah rada soak teu nanaon lamun lawan terkecoh mah</t>
  </si>
  <si>
    <t>['dybala', 'dinobatkan', 'jadi', 'orang', 'paling', 'berani', 'malam', 'nendang', 'penalti', 'final', 'piala', 'dunia', 'ketengah', 'penalti', 'pes', 'analognya', 'sudah', 'diarahin', 'tetep', 'ketengah', 'rada', 'soak', 'teu', 'nanaon', 'lamun', 'lawan', 'terkecoh', 'mah']</t>
  </si>
  <si>
    <t>GGWP! Selamat untuk Argentina keluar sebagai Juara! Its okey, France. Untuk pendukung Argentina dan Messi, akhirnya bisa merayakan momen indah ini. Penutup yg manis banget buat karir Messi, juga penutupan piala dunia yg pecah dengan pertandingan final yg memukau.üëè</t>
  </si>
  <si>
    <t>ggwp selamat untuk argentina keluar sebagai juara its okey france untuk pendukung argentina dan messi akhirnya bisa merayakan momen indah ini penutup manis banget buat karir messi juga penutupan piala dunia pecah dengan pertandingan final memukau</t>
  </si>
  <si>
    <t>['ggwp', 'selamat', 'argentina', 'keluar', 'juara', 'its', 'okey', 'france', 'pendukung', 'argentina', 'messi', 'akhirnya', 'merayakan', 'momen', 'indah', 'penutup', 'manis', 'banget', 'buat', 'karir', 'messi', 'penutupan', 'piala', 'dunia', 'pecah', 'pertandingan', 'final', 'memukau']</t>
  </si>
  <si>
    <t>Padahal sdh niat nonton final piala dunia, eh bablas ketiduran ü•≤ anaknya yang dikasih bobo eh mamaknya juga ngikut üí§</t>
  </si>
  <si>
    <t>padahal sdh niat nonton final piala dunia bablas ketiduran anaknya yang dikasih bobo mamaknya juga ngikut</t>
  </si>
  <si>
    <t>['padahal', 'niat', 'nonton', 'final', 'piala', 'dunia', 'bablas', 'ketiduran', 'anaknya', 'dikasih', 'bobo', 'mamaknya', 'ngikut']</t>
  </si>
  <si>
    <t>GOAT? Gelar itu cocok disematkan untuk pertandingan Final Piala Dunia 2022.  Match Paling ga masuk akal üò≠üëç</t>
  </si>
  <si>
    <t>goat gelar itu cocok disematkan untuk pertandingan final piala dunia match paling masuk akal</t>
  </si>
  <si>
    <t>['goat', 'gelar', 'cocok', 'disematkan', 'pertandingan', 'final', 'piala', 'dunia', 'match', 'paling', 'masuk', 'akal']</t>
  </si>
  <si>
    <t>#Congratulations #Argentina  #Qatar2022 #MessiìÉµ piala dunia 2022 lengkap Mantap bet dah final #FIFAWorldCup</t>
  </si>
  <si>
    <t>piala dunia lengkap mantap bet dah final</t>
  </si>
  <si>
    <t>['piala', 'dunia', 'lengkap', 'mantap', 'bet', 'dah', 'final']</t>
  </si>
  <si>
    <t>Let's see apakah kedepannya Mbappe bisa ambil alih gelar kambing. Masih panjang karir dia, masih 23 tahun. Dua kali ikut piala dunia. Langsung final dua kali. Torehan golnya di pildun sendiri udah 12. Kalo masi top form bisa lewatin rekornya Klose</t>
  </si>
  <si>
    <t>let see apakah kedepannya mbappe bisa ambil alih gelar kambing masih panjang karir dia masih tahun dua kali ikut piala dunia langsung final dua kali torehan golnya pildun sendiri udah kalo masi top form bisa lewatin rekornya klose</t>
  </si>
  <si>
    <t>['let', 'see', 'kedepannya', 'mbappe', 'ambil', 'alih', 'gelar', 'kambing', 'panjang', 'karir', 'tahun', 'kali', 'ikut', 'piala', 'dunia', 'langsung', 'final', 'kali', 'torehan', 'golnya', 'piala dunia', 'sendiri', 'udah', 'masi', 'top', 'form', 'lewatin', 'rekornya', 'klose']</t>
  </si>
  <si>
    <t>Congratulations Argentina.. Final piala dunia ter the best, gilakk.. 2-0, 2-2, 3-2, 3-3 Pinalti nya 4-2 Mbapee next best player in the world #FIFAWorldCup #FIFAWorldCup2022  Akhir yg indah buat Leo Messi</t>
  </si>
  <si>
    <t>congratulations argentina final piala dunia ter the best gilakk pinalti nya mbapee next best player the world akhir indah buat leo messi</t>
  </si>
  <si>
    <t>['congratulations', 'argentina', 'final', 'piala', 'dunia', 'ter', 'the', 'best', 'gilakk', 'penalti', 'mbapee', 'next', 'best', 'player', 'the', 'world', 'akhir', 'indah', 'buat', 'leo', 'messi']</t>
  </si>
  <si>
    <t>Pahlawan Final Piala Dunia bagi Argentina ya Emiliano Martinez  FT: Argentina 3-3 (4-2) France #WorldCupFinal #WorldCup  https://t.co/CzVx1TLtah</t>
  </si>
  <si>
    <t>pahlawan final piala dunia bagi argentina emiliano martinez argentina france</t>
  </si>
  <si>
    <t>['pahlawan', 'final', 'piala', 'dunia', 'argentina', 'emiliano', 'martinez', 'argentina', 'france']</t>
  </si>
  <si>
    <t>Membayangkan Pak Jokowi nenangin Henhen saat kalah di final Piala Dunia.</t>
  </si>
  <si>
    <t>membayangkan pak jokowi nenangin henhen saat kalah final piala dunia</t>
  </si>
  <si>
    <t>['membayangkan', 'pak', 'jokowi', 'nenangin', 'henhen', 'kalah', 'final', 'piala', 'dunia']</t>
  </si>
  <si>
    <t>Argentina juga awalnya sempet kalah sama arab kan. Pada kaget dan pesimis. Eh malah kambek dan terbukti sampe final dan menang membawa pulang piala dunia 2022 sampai adu pinaltiüëèüëè</t>
  </si>
  <si>
    <t>argentina juga awalnya sempet kalah sama arab kan pada kaget dan pesimis malah kambek dan terbukti sampe final dan menang membawa pulang piala dunia sampai adu pinalti</t>
  </si>
  <si>
    <t>['argentina', 'awalnya', 'sempet', 'kalah', 'sama', 'arab', 'kan', 'kaget', 'pesimis', 'malah', 'kambek', 'terbukti', 'sampai', 'final', 'menang', 'membawa', 'pulang', 'piala', 'dunia', 'adu', 'penalti']</t>
  </si>
  <si>
    <t>WHAT A FINAL, selama piala dunia baru kali ini nonton sedramatis ini edaann, Selamat ye Argentina üá¶üá∑ Messi üêêüêê  https://t.co/ep9EnpIw5h</t>
  </si>
  <si>
    <t>what final selama piala dunia baru kali ini nonton sedramatis ini edaann selamat argentina messi</t>
  </si>
  <si>
    <t>['what', 'final', 'selama', 'piala', 'dunia', 'baru', 'kali', 'nonton', 'sedramatis', 'edaann', 'selamat', 'argentina', 'messi']</t>
  </si>
  <si>
    <t>Pertandingan final Piala Dunia 2022 antara Argentina vs Prancis berlanjut hingga babak tambahan 2 x 15 menit.   https://t.co/5rYI4Z8Xkj</t>
  </si>
  <si>
    <t>pertandingan final piala dunia antara argentina prancis berlanjut hingga babak tambahan menit</t>
  </si>
  <si>
    <t>['pertandingan', 'final', 'piala', 'dunia', 'argentina', 'prancis', 'berlanjut', 'hingga', 'babak', 'tambahan', 'menit']</t>
  </si>
  <si>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</si>
  <si>
    <t>berhubung ayang menang messi mau giveaway saldo emoney buat nonton final dukung argentina caranya dan reply pake foto bukti nonton final piala dunia streaming nobar serah penting nonton dan jagoin argentina besok siang umumin pemenangnya</t>
  </si>
  <si>
    <t>['berhubung', 'ayang', 'menang', 'messi', 'mau', 'giveaway', 'saldo', 'emoney', 'buat', 'nonton', 'final', 'dukung', 'argentina', 'caranya', 'reply', 'pake', 'foto', 'bukti', 'nonton', 'final', 'piala', 'dunia', 'streaming', 'nonton bareng', 'serah', 'penting', 'nonton', 'jagoin', 'argentina', 'besok', 'siang', 'umumin', 'pemenangnya']</t>
  </si>
  <si>
    <t>IMDB rating 9,9/10 untuk Final Piala Dunia kali ini</t>
  </si>
  <si>
    <t>imdb rating untuk final piala dunia kali ini</t>
  </si>
  <si>
    <t>['imdb', 'rating', 'final', 'piala', 'dunia', 'kali']</t>
  </si>
  <si>
    <t>Luar biasa ini final piala dunia lur bikin teganggg</t>
  </si>
  <si>
    <t>luar biasa ini final piala dunia lur bikin teganggg</t>
  </si>
  <si>
    <t>['luar', 'biasa', 'final', 'piala', 'dunia', 'lur', 'teganggg']</t>
  </si>
  <si>
    <t>Best World Cup final ever. The Last Dance of Messi.  Dari awal jagoin argentina,dibela2in nyari jerseynya Messi sebelum mulainya Piala Dunia. Ternyata beneran juara. ü•≤  *yok barangkali ada yg mau nawar 10 yuta,size 2XL nameset ori üòõ  cc: @Jerseyforum  https://t.co/rxQ4QnleLZ</t>
  </si>
  <si>
    <t>best world cup final ever the last dance messi dari awal jagoin argentina dibela nyari jerseynya messi sebelum mulainya piala dunia ternyata beneran juara yok barangkali ada mau nawar yuta size nameset ori</t>
  </si>
  <si>
    <t>['best', 'world', 'cup', 'final', 'ever', 'the', 'last', 'dance', 'messi', 'awal', 'jagoin', 'argentina', 'dibela', 'nyari', 'jerseynya', 'messi', 'mulainya', 'piala', 'dunia', 'ternyata', 'beneran', 'juara', 'yok', 'barangkali', 'mau', 'nawar', 'yuta', 'size', 'nameset', 'ori']</t>
  </si>
  <si>
    <t>Final Piala Dunia Paling Seru yg Pernah Saya Tonton...  Saling Balas serangan, penuh ketegangan, Vamos Argentina üá¶üá∑üá¶üá∑  https://t.co/2vr8Z6Gtuu</t>
  </si>
  <si>
    <t>final piala dunia paling seru pernah saya tonton saling balas serangan penuh ketegangan vamos argentina</t>
  </si>
  <si>
    <t>['final', 'piala', 'dunia', 'paling', 'seru', 'pernah', 'tonton', 'saling', 'balas', 'serangan', 'penuh', 'ketegangan', 'vamos', 'argentina']</t>
  </si>
  <si>
    <t>Final terbaik piala dunia yang pernah saya tonton</t>
  </si>
  <si>
    <t>final terbaik piala dunia yang pernah saya tonton</t>
  </si>
  <si>
    <t>['final', 'terbaik', 'piala', 'dunia', 'pernah', 'tonton']</t>
  </si>
  <si>
    <t>nobar final piala dunia bersama @zulfirdaus @qevashop @The_SnJc   ‚ÄºÔ∏èTOLONG DIKURANGIN VOLUMENYA SEBELUM NONTON‚ÄºÔ∏è  https://t.co/nkcx9ISrsa</t>
  </si>
  <si>
    <t>nobar final piala dunia bersama snjc tolong dikurangin volumenya sebelum nonton</t>
  </si>
  <si>
    <t>['nonton bareng', 'final', 'piala', 'dunia', 'bersama', 'snjc', 'dikurangin', 'volumenya', 'nonton']</t>
  </si>
  <si>
    <t>Final paling seru sepanjang gw nonton piala dunia ya emang ARG vs FRA 2022 ini sih. Salut dah üëèüëèüëèüëè</t>
  </si>
  <si>
    <t>final paling seru sepanjang nonton piala dunia emang arg fra ini sih salut dah</t>
  </si>
  <si>
    <t>['final', 'paling', 'seru', 'sepanjang', 'nonton', 'piala', 'dunia', 'emang', 'arg', 'fra', 'salut', 'dah']</t>
  </si>
  <si>
    <t>emyu punya 2 bek kelas final piala dunia, yang dipasang ttep nomer 5.  gimana besok mau juara... üòå</t>
  </si>
  <si>
    <t>emyu punya bek kelas final piala dunia yang dipasang ttep nomer gimana besok mau juara</t>
  </si>
  <si>
    <t>['emyu', 'punya', 'bek', 'kelas', 'final', 'piala', 'dunia', 'dipasang', 'ttep', 'nomer', 'gimana', 'besok', 'mau', 'juara']</t>
  </si>
  <si>
    <t>Piala dunia edisi tahun ini gila sih, di mulai banyak kejutan di laga awal fase grup, marocco yang bisa sampai semifinal,  puncaknya di pertandingan final üî• #FIFAWorldCup</t>
  </si>
  <si>
    <t>piala dunia edisi tahun ini gila sih mulai banyak kejutan laga awal fase grup marocco yang bisa sampai semifinal puncaknya pertandingan final</t>
  </si>
  <si>
    <t>['piala', 'dunia', 'edisi', 'tahun', 'gila', 'mulai', 'banyak', 'kejutan', 'laga', 'awal', 'fase', 'grup', 'marocco', 'semifinal', 'puncaknya', 'pertandingan', 'final']</t>
  </si>
  <si>
    <t>Final piala dunia kali ini me (Argentina) vs dad (France) seru bgt ganti2an berdiri depan tv pas lagi deg2anüòÇ</t>
  </si>
  <si>
    <t>final piala dunia kali ini argentina dad france seru bgt ganti berdiri depan pas lagi deg</t>
  </si>
  <si>
    <t>['final', 'piala', 'dunia', 'kali', 'argentina', 'dad', 'france', 'seru', 'banget', 'ganti', 'berdiri', 'depan', 'pas', 'deg']</t>
  </si>
  <si>
    <t>Final piala dunia yg paling seru</t>
  </si>
  <si>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</si>
  <si>
    <t>argentina juara piala dunia coeg menang lawan prancis adu penalty salah satu final terkeren sepanjang sejarah sepakbola</t>
  </si>
  <si>
    <t>['argentina', 'juara', 'piala', 'dunia', 'coeg', 'menang', 'lawan', 'prancis', 'adu', 'penalty', 'salah', 'satu', 'final', 'terkeren', 'sepanjang', 'sejarah', 'sepakbola']</t>
  </si>
  <si>
    <t>Final Piala Dunia terseru yg gue tonton dari 2002</t>
  </si>
  <si>
    <t>final piala dunia terseru gue tonton dari</t>
  </si>
  <si>
    <t>['final', 'piala', 'dunia', 'terseru', 'gue', 'tonton']</t>
  </si>
  <si>
    <t>ARGENTINA JUARA DUNIA üá¶üá∑üèÜ ... Final super menegangkan ini akhirnya dimenangkan oleh Argentina melalui babak adu penalti. Bintang ketiga Argentina dan penutup Piala Dunia yang manis untuk sang Legenda, Lionel Messi!!!!! üá¶üá∑üá¶üá∑  #ArgentinaVsFrance</t>
  </si>
  <si>
    <t>argentina juara dunia final super menegangkan ini akhirnya dimenangkan oleh argentina melalui babak adu penalti bintang ketiga argentina dan penutup piala dunia yang manis untuk sang legenda lionel messi</t>
  </si>
  <si>
    <t>['argentina', 'juara', 'dunia', 'final', 'super', 'menegangkan', 'akhirnya', 'dimenangkan', 'argentina', 'melalui', 'babak', 'adu', 'penalti', 'bintang', 'ketiga', 'argentina', 'penutup', 'piala', 'dunia', 'manis', 'sang', 'legenda', 'lionel', 'messi']</t>
  </si>
  <si>
    <t>Final Piala Dunia terbaik yang pernah ada !!!  WHAT A FINAL !!!</t>
  </si>
  <si>
    <t>final piala dunia terbaik yang pernah ada what final</t>
  </si>
  <si>
    <t>['final', 'piala', 'dunia', 'terbaik', 'pernah', 'what', 'final']</t>
  </si>
  <si>
    <t>Final piala dunia paling seru !</t>
  </si>
  <si>
    <t>Ini final pildun terseru sepanjang yg pernah kutonton dari edisi 2006. Dan, ditambah Messi dapat piala dunia di edisi terakhir. Benar2 The Last Dance. Dengan ini fix no debat lah ya siapa yang GOAT.</t>
  </si>
  <si>
    <t>ini final pildun terseru sepanjang pernah kutonton dari edisi dan ditambah messi dapat piala dunia edisi terakhir benar the last dance dengan ini fix debat lah siapa yang goat</t>
  </si>
  <si>
    <t>['final', 'piala dunia', 'terseru', 'sepanjang', 'pernah', 'kutonton', 'edisi', 'ditambah', 'messi', 'piala', 'dunia', 'edisi', 'terakhir', 'benar', 'the', 'last', 'dance', 'fix', 'debat', 'lah', 'siapa', 'goat']</t>
  </si>
  <si>
    <t>Siapa yg akan menyangka piala dunia yg bahkan seminggu sebelum dimulai ga keliatan menarik, trus dari pembukaan sampe final luarbiasa menakjubkan. Sopo sik ngiro wes wingi pertandingan pertama Argentina kalah soko arab tp saiki menang, trus maroko sik tekan semifinal.</t>
  </si>
  <si>
    <t>siapa akan menyangka piala dunia bahkan seminggu sebelum dimulai keliatan menarik trus dari pembukaan sampe final luarbiasa menakjubkan sopo sik ngiro wes wingi pertandingan pertama argentina kalah soko arab saiki menang trus maroko sik tekan semifinal</t>
  </si>
  <si>
    <t>['siapa', 'menyangka', 'piala', 'dunia', 'bahkan', 'seminggu', 'dimulai', 'keliatan', 'menarik', 'trus', 'pembukaan', 'sampai', 'final', 'luarbiasa', 'menakjubkan', 'sopo', 'sik', 'ngiro', 'wes', 'wingi', 'pertandingan', 'pertama', 'argentina', 'kalah', 'soko', 'arab', 'saiki', 'menang', 'trus', 'maroko', 'sik', 'tekan', 'semifinal']</t>
  </si>
  <si>
    <t>Final piala dunia terbaik‚Ä¶ üëè   Big applause untuk kedua tim.</t>
  </si>
  <si>
    <t>final piala dunia terbaik big applause untuk kedua tim</t>
  </si>
  <si>
    <t>['final', 'piala', 'dunia', 'terbaik', 'big', 'applause', 'kedua', 'tim']</t>
  </si>
  <si>
    <t>Argentina juara  Final paling seru dalam sejarah final piala dunia   #finalpialadunia</t>
  </si>
  <si>
    <t>argentina juara final paling seru dalam sejarah final piala dunia</t>
  </si>
  <si>
    <t>['argentina', 'juara', 'final', 'paling', 'seru', 'sejarah', 'final', 'piala', 'dunia']</t>
  </si>
  <si>
    <t>WC Qatar 2022 - Final terbaik piala dunia sepanjang hidupku nonton piala dunia - Piala dunia terbaik versi game, kalau versi atmosfer tetep piala dunia Afrika paling baik</t>
  </si>
  <si>
    <t>qatar final terbaik piala dunia sepanjang hidupku nonton piala dunia piala dunia terbaik versi game kalau versi atmosfer tetep piala dunia afrika paling baik</t>
  </si>
  <si>
    <t>['qatar', 'final', 'terbaik', 'piala', 'dunia', 'sepanjang', 'hidupku', 'nonton', 'piala', 'dunia', 'piala', 'dunia', 'terbaik', 'versi', 'game', 'kalau', 'versi', 'atmosfer', 'tetep', 'piala', 'dunia', 'afrika', 'paling', 'baik']</t>
  </si>
  <si>
    <t>Hasil Extra Time Final Piala Dunia 2022, Skor Argentina vs Prancis: 3-3  https://t.co/0AOhQ1kyVd</t>
  </si>
  <si>
    <t>sepanjang piala dunia aku cuma nonton 20 menit terakhir di sesi final selebihnya kurang perduli wkwk seruuu ternyataa</t>
  </si>
  <si>
    <t>sepanjang piala dunia aku cuma nonton menit terakhir sesi final selebihnya kurang perduli wkwk seruuu ternyataa</t>
  </si>
  <si>
    <t>['sepanjang', 'piala', 'dunia', 'aku', 'cuma', 'nonton', 'menit', 'terakhir', 'sesi', 'final', 'selebihnya', 'kurang', 'perduli', 'seruuu', 'ternyataa']</t>
  </si>
  <si>
    <t>@dichgoat asli! terakhir nonton bola pas piaka dunia waka waka e e aja yang piala dunia sekarang aja cuma nonton pas final ü§£</t>
  </si>
  <si>
    <t>asli terakhir nonton bola pas piaka dunia waka waka aja yang piala dunia sekarang aja cuma nonton pas final</t>
  </si>
  <si>
    <t>['asli', 'terakhir', 'nonton', 'bola', 'pas', 'piaka', 'dunia', 'waka', 'waka', 'piala', 'dunia', 'sekarang', 'cuma', 'nonton', 'pas', 'final']</t>
  </si>
  <si>
    <t>Salah satu final piala dunia terbaik, edun!</t>
  </si>
  <si>
    <t>salah satu final piala dunia terbaik edun</t>
  </si>
  <si>
    <t>['salah', 'satu', 'final', 'piala', 'dunia', 'terbaik', 'edun']</t>
  </si>
  <si>
    <t>Final Piala dunia paling anjim</t>
  </si>
  <si>
    <t>final piala dunia paling anjim</t>
  </si>
  <si>
    <t>['final', 'piala', 'dunia', 'paling', 'anjim']</t>
  </si>
  <si>
    <t>Final terbaik. Argentina harus ngelewatin 120 menit plus adu penalti buat menangin piala dunia.</t>
  </si>
  <si>
    <t>final terbaik argentina harus ngelewatin menit plus adu penalti buat menangin piala dunia</t>
  </si>
  <si>
    <t>['final', 'terbaik', 'argentina', 'ngelewatin', 'menit', 'plus', 'adu', 'penalti', 'buat', 'menangin', 'piala', 'dunia']</t>
  </si>
  <si>
    <t>Salah satu Final Piala Dunia terbaik yg pernah gw tonton, selamat Messi dkk. Argentina 3 - 3 France (4-2 Penalty) #FinalWorldCup2022 #WorldcupQatar2022 #FIFAWorldCup</t>
  </si>
  <si>
    <t>salah satu final piala dunia terbaik pernah tonton selamat messi dkk argentina france penalty</t>
  </si>
  <si>
    <t>['salah', 'satu', 'final', 'piala', 'dunia', 'terbaik', 'pernah', 'tonton', 'selamat', 'messi', 'dkk', 'argentina', 'france', 'penalty']</t>
  </si>
  <si>
    <t>bersyukur yah bisa jadi saksi final piala dunia yg bisa dikatakan ‚Äòterbaik‚Äô. GILA</t>
  </si>
  <si>
    <t>bersyukur yah bisa jadi saksi final piala dunia bisa dikatakan terbaik gila</t>
  </si>
  <si>
    <t>['bersyukur', 'jadi', 'saksi', 'final', 'piala', 'dunia', 'dikatakan', 'terbaik', 'gila']</t>
  </si>
  <si>
    <t>Puas tengok final kali ni.  Lagi puas tengok Messi the GOAT angkat piala terunggul sukan nombor 1 dunia untuk kejohanan terakhir Piala Dunia beliau. Memang handal dan amat layak.</t>
  </si>
  <si>
    <t>puas tengok final kali lagi puas tengok messi the goat angkat piala terunggul sukan nombor dunia untuk kejohanan terakhir piala dunia beliau memang handal dan amat layak</t>
  </si>
  <si>
    <t>['puas', 'tengok', 'final', 'kali', 'puas', 'tengok', 'messi', 'the', 'goat', 'angkat', 'piala', 'terunggul', 'sukan', 'nombor', 'dunia', 'kejohanan', 'terakhir', 'piala', 'dunia', 'beliau', 'memang', 'handal', 'layak']</t>
  </si>
  <si>
    <t>Final sangat istimewa Piala Dunia Qatar 2022. Selamat Argentina, 1978, 1986, 2022üèÜ. Messi sempurna üá¶üá∑‚≠êÔ∏è‚≠êÔ∏è‚≠êÔ∏è</t>
  </si>
  <si>
    <t>final sangat istimewa piala dunia qatar selamat argentina messi sempurna</t>
  </si>
  <si>
    <t>['final', 'sangat', 'istimewa', 'piala', 'dunia', 'qatar', 'selamat', 'argentina', 'messi', 'sempurna']</t>
  </si>
  <si>
    <t>Ini merupakan final piala dunia paling seru, dan Argentina akhirnya memenangi pertandingan setelah menang adu pinalti melawan Perancis (4-2).</t>
  </si>
  <si>
    <t>ini merupakan final piala dunia paling seru dan argentina akhirnya memenangi pertandingan setelah menang adu pinalti melawan perancis</t>
  </si>
  <si>
    <t>['merupakan', 'final', 'piala', 'dunia', 'paling', 'seru', 'argentina', 'akhirnya', 'memenangi', 'pertandingan', 'menang', 'adu', 'penalti', 'melawan', 'perancis']</t>
  </si>
  <si>
    <t>Final #FIFAWorldCup2022 terbaik selama hidup menonton Piala Dunia sejak 2002. Lagi-lagi Messi harus banyak berterima kasih pada Emiliano Martinez.   Maradona kini bisa beristirahat dengan tenang terlebih kini Messi telah melampuai capaiannya.</t>
  </si>
  <si>
    <t>final terbaik selama hidup menonton piala dunia sejak lagi lagi messi harus banyak berterima kasih pada emiliano martinez maradona kini bisa beristirahat dengan tenang terlebih kini messi telah melampuai capaiannya</t>
  </si>
  <si>
    <t>['final', 'terbaik', 'selama', 'hidup', 'menonton', 'piala', 'dunia', 'sejak', 'messi', 'banyak', 'berterima', 'kasih', 'emiliano', 'martinez', 'maradona', 'kini', 'beristirahat', 'tenang', 'terlebih', 'kini', 'messi', 'melampuai', 'capaiannya']</t>
  </si>
  <si>
    <t>19 Desember 2022. 01.07. Nonton final piala dunia bareng Bapak üá¶üá∑üá¶üá∑üá¶üá∑ Ditemenin kucingku momo yang ribet karena ngantuk. Wkwkwkw biasanya dah tidur nyenyak di kamar dia. Wkwkwkwkw</t>
  </si>
  <si>
    <t>desember nonton final piala dunia bareng bapak ditemenin kucingku momo yang ribet karena ngantuk wkwkwkw biasanya dah tidur nyenyak kamar dia wkwkwkwkw</t>
  </si>
  <si>
    <t>['desember', 'nonton', 'final', 'piala', 'dunia', 'bareng', 'bapak', 'ditemenin', 'kucingku', 'momo', 'ribet', 'ngantuk', 'wkwkwkw', 'biasanya', 'dah', 'tidur', 'nyenyak', 'kamar', 'wkwkwkwkw']</t>
  </si>
  <si>
    <t>Seru sih final piala dunia kali ini</t>
  </si>
  <si>
    <t>seru sih final piala dunia kali ini</t>
  </si>
  <si>
    <t>['seru', 'final', 'piala', 'dunia', 'kali']</t>
  </si>
  <si>
    <t>Mbappe baru mau 24 tahun tapi udah hat-trick di final piala dunia. Ini bocil gila.</t>
  </si>
  <si>
    <t>mbappe baru mau tahun tapi udah hat trick final piala dunia ini bocil gila</t>
  </si>
  <si>
    <t>['mbappe', 'baru', 'mau', 'tahun', 'udah', 'hat', 'trick', 'final', 'piala', 'dunia', 'bocil', 'gila']</t>
  </si>
  <si>
    <t>Messi, Mbappe, Martinez. Bintang Final Kali ini. Final Piala Dunia paling jos.</t>
  </si>
  <si>
    <t>messi mbappe martinez bintang final kali ini final piala dunia paling jos</t>
  </si>
  <si>
    <t>['messi', 'mbappe', 'martinez', 'bintang', 'final', 'kali', 'final', 'piala', 'dunia', 'paling', 'jos']</t>
  </si>
  <si>
    <t>Tolong grgr final piala dunia ini chat saya ga dibales balesüò≠üò°üò°</t>
  </si>
  <si>
    <t>tolong grgr final piala dunia ini chat saya dibales bales</t>
  </si>
  <si>
    <t>['grgr', 'final', 'piala', 'dunia', 'chat', 'dibales', 'bales']</t>
  </si>
  <si>
    <t>Selama aku nonton piala dunia (mulai tahun 2006) ini jadi pertandingan final terbaik yang pernah aku tonton! üò≠üî•  Congrats Argentina! Perancis keren bgt piala dunia sebelumnya menang, tahun ini masuk final menghapus "kutukan"  MBAPPE DAN MESSI G.O.A.T!!!!   #FIFAWorldCup</t>
  </si>
  <si>
    <t>selama aku nonton piala dunia mulai tahun ini jadi pertandingan final terbaik yang pernah aku tonton congrats argentina perancis keren bgt piala dunia sebelumnya menang tahun ini masuk final menghapus kutukan mbappe dan messi</t>
  </si>
  <si>
    <t>['selama', 'aku', 'nonton', 'piala', 'dunia', 'mulai', 'tahun', 'jadi', 'pertandingan', 'final', 'terbaik', 'pernah', 'aku', 'tonton', 'congrats', 'argentina', 'perancis', 'keren', 'banget', 'piala', 'dunia', 'sebelumnya', 'menang', 'tahun', 'masuk', 'final', 'menghapus', 'kutukan', 'mbappe', 'messi']</t>
  </si>
  <si>
    <t>Adaa banget degdegannya nontonin final piala dunia. Congrats Argentinaü•πüéâ</t>
  </si>
  <si>
    <t>adaa banget degdegannya nontonin final piala dunia congrats argentina</t>
  </si>
  <si>
    <t>['adaa', 'banget', 'degdegannya', 'nontonin', 'final', 'piala', 'dunia', 'congrats', 'argentina']</t>
  </si>
  <si>
    <t>final piala dunia terseru! full degdegan  https://t.co/eP3IDPYlL1</t>
  </si>
  <si>
    <t>final piala dunia terseru full degdegan</t>
  </si>
  <si>
    <t>['final', 'piala', 'dunia', 'terseru', 'full', 'degdegan']</t>
  </si>
  <si>
    <t>Final Piala Dunia terbaik. Respect gue.</t>
  </si>
  <si>
    <t>final piala dunia terbaik respect gue</t>
  </si>
  <si>
    <t>['final', 'piala', 'dunia', 'terbaik', 'respect', 'gue']</t>
  </si>
  <si>
    <t>MOST CAPS  Lionel Messi sudah membuat rekor baru saat laga final baru dimulai. Messi melewati Lothar Mattheus sebagai pemain dengan penampilan terbanyak di Piala Dunia dgn 26 laga. #FIFAWorldCup  https://t.co/8w4kvkjKCf</t>
  </si>
  <si>
    <t>most caps lionel messi sudah membuat rekor baru saat laga final baru dimulai messi melewati lothar mattheus sebagai pemain dengan penampilan terbanyak piala dunia dgn laga</t>
  </si>
  <si>
    <t>['most', 'caps', 'lionel', 'messi', 'membuat', 'rekor', 'baru', 'laga', 'final', 'baru', 'dimulai', 'messi', 'melewati', 'lothar', 'mattheus', 'pemain', 'penampilan', 'terbanyak', 'piala', 'dunia', 'laga']</t>
  </si>
  <si>
    <t>Bayangke koe hattrick ng Final Piala Dunia. Tapi kalah ü•∫</t>
  </si>
  <si>
    <t>bayangke koe hattrick final piala dunia tapi kalah</t>
  </si>
  <si>
    <t>['bayangke', 'koe', 'hattrick', 'final', 'piala', 'dunia', 'kalah']</t>
  </si>
  <si>
    <t>Yang katanya piala dunia sekarang ga seru tapi malah menyajikan laga final yang paling epik üëè</t>
  </si>
  <si>
    <t>yang katanya piala dunia sekarang seru tapi malah menyajikan laga final yang paling epik</t>
  </si>
  <si>
    <t>['katanya', 'piala', 'dunia', 'sekarang', 'seru', 'malah', 'menyajikan', 'laga', 'final', 'paling', 'epik']</t>
  </si>
  <si>
    <t>Final piala dunia kali ini emang bikin deg deg an meskipun diakhiri dengan adu pinalti. Selamat Argentina, Selamat Messi !</t>
  </si>
  <si>
    <t>final piala dunia kali ini emang bikin deg deg meskipun diakhiri dengan adu pinalti selamat argentina selamat messi</t>
  </si>
  <si>
    <t>['final', 'piala', 'dunia', 'kali', 'emang', 'deg', 'deg', 'meskipun', 'diakhiri', 'adu', 'penalti', 'selamat', 'argentina', 'selamat', 'messi']</t>
  </si>
  <si>
    <t>Akhirnya bisa juga gue nonton satu pertandingan full dari menit pertama sampe menit terakhir di Piala Dunia 2022 ini... Iya, Final ini doang ‚ò∫Ô∏è‚ò∫Ô∏è‚ò∫Ô∏è</t>
  </si>
  <si>
    <t>akhirnya bisa juga gue nonton satu pertandingan full dari menit pertama sampe menit terakhir piala dunia ini iya final ini doang</t>
  </si>
  <si>
    <t>['akhirnya', 'gue', 'nonton', 'satu', 'pertandingan', 'full', 'menit', 'pertama', 'sampai', 'menit', 'terakhir', 'piala', 'dunia', 'iya', 'final', 'doang']</t>
  </si>
  <si>
    <t>setuju kalo ini final piala dunia paling seru!!</t>
  </si>
  <si>
    <t>setuju kalo ini final piala dunia paling seru</t>
  </si>
  <si>
    <t>['setuju', 'final', 'piala', 'dunia', 'paling', 'seru']</t>
  </si>
  <si>
    <t>GIMANA RASANYA JADI WARGA ARGENTINA YANG RELA KE QATAR NONTON FINAL DAN AKHIRNYA MELIHAT LANGSUNG MESSI ANGKAT PIALA DUNIA üò≠üò≠üò≠üò≠üò≠ #FIFAWorldCup</t>
  </si>
  <si>
    <t>gimana rasanya jadi warga argentina yang rela qatar nonton final dan akhirnya melihat langsung messi angkat piala dunia</t>
  </si>
  <si>
    <t>['gimana', 'rasanya', 'jadi', 'warga', 'argentina', 'rela', 'qatar', 'nonton', 'final', 'akhirnya', 'melihat', 'langsung', 'messi', 'angkat', 'piala', 'dunia']</t>
  </si>
  <si>
    <t>Jadi ingat di awal piala dunia messi di bully krn argentina kalah lawan arab saudi. Pada akhirnya juara dunia dan messi nyetak 2 gol di final</t>
  </si>
  <si>
    <t>jadi ingat awal piala dunia messi bully krn argentina kalah lawan arab saudi pada akhirnya juara dunia dan messi nyetak gol final</t>
  </si>
  <si>
    <t>['jadi', 'ingat', 'awal', 'piala', 'dunia', 'messi', 'bully', 'argentina', 'kalah', 'lawan', 'arab', 'saudi', 'akhirnya', 'juara', 'dunia', 'messi', 'nyetak', 'gol', 'final']</t>
  </si>
  <si>
    <t>Final piala dunia gue ancur karena @vidio minta send verification code ngga terkirim¬≤ bangsaaaattt</t>
  </si>
  <si>
    <t>final piala dunia gue ancur karena minta send verification code ngga terkirim bangsaaaattt</t>
  </si>
  <si>
    <t>['final', 'piala', 'dunia', 'gue', 'ancur', 'minta', 'send', 'verification', 'code', 'ngga', 'terkirim', 'bangsaaaattt']</t>
  </si>
  <si>
    <t>@ZUL_Hasan @k Final piala dunia paling tegang sepanjang sejarah</t>
  </si>
  <si>
    <t>hasan final piala dunia paling tegang sepanjang sejarah</t>
  </si>
  <si>
    <t>['hasan', 'final', 'piala', 'dunia', 'paling', 'tegang', 'sepanjang', 'sejarah']</t>
  </si>
  <si>
    <t>Pemain terbaik menyelesaikan Piala Dunia terbaik lewat final terbaik. Well done, Leo!</t>
  </si>
  <si>
    <t>pemain terbaik menyelesaikan piala dunia terbaik lewat final terbaik well done leo</t>
  </si>
  <si>
    <t>['pemain', 'terbaik', 'menyelesaikan', 'piala', 'dunia', 'terbaik', 'lewat', 'final', 'terbaik', 'well', 'done', 'leo']</t>
  </si>
  <si>
    <t>Lionel Messi hampir menyerah dan Pensiun dari Timnas karena Frustasi selalu masuk Final lalu kalah...  Dan karena tidak putus asa jadi memenangkan apa yg dia harapkan   Copa America dan Piala Dunia sesuai impiannya...</t>
  </si>
  <si>
    <t>lionel messi hampir menyerah dan pensiun dari timnas karena frustasi selalu masuk final lalu kalah dan karena tidak putus asa jadi memenangkan apa dia harapkan copa america dan piala dunia sesuai impiannya</t>
  </si>
  <si>
    <t>['lionel', 'messi', 'hampir', 'menyerah', 'pensiun', 'timnas', 'frustasi', 'selalu', 'masuk', 'final', 'lalu', 'kalah', 'putus', 'asa', 'jadi', 'memenangkan', 'apa', 'harapkan', 'copa', 'america', 'piala', 'dunia', 'sesuai', 'impiannya']</t>
  </si>
  <si>
    <t>Ini final piala dunia paling goks yang pernah gw tonton...epic comeback prancis berakhir tragis di titik 12 pas. Campione...campione...ooo..ooo..Argentina. Gelar Messi paripurna sudah.</t>
  </si>
  <si>
    <t>ini final piala dunia paling goks yang pernah tonton epic comeback prancis berakhir tragis titik pas campione campione ooo ooo argentina gelar messi paripurna sudah</t>
  </si>
  <si>
    <t>['final', 'piala', 'dunia', 'paling', 'goks', 'pernah', 'tonton', 'epic', 'comeback', 'prancis', 'berakhir', 'tragis', 'titik', 'pas', 'campione', 'campione', 'ooo', 'ooo', 'argentina', 'gelar', 'messi', 'paripurna']</t>
  </si>
  <si>
    <t>Pertandingan final berkelas selama gw nnton Piala Dunia dari 2002 sampe 2022 ini, permainan kedua negara...kelas üëèüëè Congratulations Argentina.</t>
  </si>
  <si>
    <t>Waaah gokiill banget, salah satu final terseru piala dunia, Qatar 2022  #WorldCup #ArgentinaFrancia</t>
  </si>
  <si>
    <t>waaah gokiill banget salah satu final terseru piala dunia qatar</t>
  </si>
  <si>
    <t>['waaah', 'gokiill', 'banget', 'salah', 'satu', 'final', 'terseru', 'piala', 'dunia', 'qatar']</t>
  </si>
  <si>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</si>
  <si>
    <t>akan rindu masamasa nobar piala dunia qatar dengan prediksi final aku paksu hahaha tapi apalah daya pildun kali ini serba unpredictable hayya hayya</t>
  </si>
  <si>
    <t>['rindu', 'masamasa', 'nonton bareng', 'piala', 'dunia', 'qatar', 'prediksi', 'final', 'aku', 'paksu', 'hahaha', 'apalah', 'daya', 'piala dunia', 'kali', 'serba', 'unpredictable', 'hayya', 'hayya']</t>
  </si>
  <si>
    <t>Salah satu final terbaik Piala Dunia ! #FIFAWorldCup</t>
  </si>
  <si>
    <t>sumpah nonton final piala dunia taun ini jantung gue mau copot</t>
  </si>
  <si>
    <t>['sumpah', 'nonton', 'final', 'piala', 'dunia', 'taun', 'jantung', 'gue', 'mau', 'copot']</t>
  </si>
  <si>
    <t>Tidak berjaya untuk Mbappe menang 2 world cup berturut-turut. Tapi tetap mengakhiri piala dunia pada usia 23 tahun dengan Hatrick final dan kasut emas top scorer WC. Rekod yang tak pernah dicapai pemain lain di usia itu. Zaman Messi secara rasmi telah tamat. Era Mbappe bermula.</t>
  </si>
  <si>
    <t>tidak berjaya untuk mbappe menang world cup berturut turut tapi tetap mengakhiri piala dunia pada usia tahun dengan hatrick final dan kasut emas top scorer rekod yang tak pernah dicapai pemain lain usia itu zaman messi secara rasmi telah tamat era mbappe bermula</t>
  </si>
  <si>
    <t>['berjaya', 'mbappe', 'menang', 'world', 'cup', 'berturut', 'turut', 'tetap', 'mengakhiri', 'piala', 'dunia', 'usia', 'tahun', 'hatrick', 'final', 'kasut', 'emas', 'top', 'scorer', 'rekod', 'tak', 'pernah', 'dicapai', 'pemain', 'usia', 'zaman', 'messi', 'rasmi', 'tamat', 'era', 'mbappe', 'bermula']</t>
  </si>
  <si>
    <t>Apapun hasilnya ya. Tapi ini final piala dunia terseru yg pernah gw tonton üëçüëçüëç</t>
  </si>
  <si>
    <t>apapun hasilnya tapi ini final piala dunia terseru pernah tonton</t>
  </si>
  <si>
    <t>['apapun', 'hasilnya', 'final', 'piala', 'dunia', 'terseru', 'pernah', 'tonton']</t>
  </si>
  <si>
    <t>Paling gempak &amp;amp; sengit final piala dunia tahun ni‚Ä¶üî•üî•üî•</t>
  </si>
  <si>
    <t>paling gempak sengit final piala dunia tahun</t>
  </si>
  <si>
    <t>['paling', 'gempak', 'sengit', 'final', 'piala', 'dunia', 'tahun']</t>
  </si>
  <si>
    <t>Terima kasih sudah mengikuti live report final Piala Dunia 2022, Argentina vs Prancis.¬†Sampai jumpa pada live report berikutnya. üëã  https://t.co/X39Znk0vlc #GempitaBolaDunia2022 #CNNIndonesia  https://t.co/nhckSIVzlR</t>
  </si>
  <si>
    <t>terima kasih sudah mengikuti live report final piala dunia argentina prancis sampai jumpa pada live report berikutnya</t>
  </si>
  <si>
    <t>['terima', 'kasih', 'mengikuti', 'live', 'report', 'final', 'piala', 'dunia', 'argentina', 'prancis', 'jumpa', 'live', 'report', 'berikutnya']</t>
  </si>
  <si>
    <t>Final terbaik selama nonton piala dunia üî•  https://t.co/zhUTLLE8MO</t>
  </si>
  <si>
    <t>Final Piala Dunia 2022 adalah Final terbaik Piala Dunia sejauh ini, sejauh yang saya lihat selama ini sejak saya menontonnya dari tahun 1998 lalu...  #WorldCup2022 #Argentina #Qatar2022</t>
  </si>
  <si>
    <t>final piala dunia adalah final terbaik piala dunia sejauh ini sejauh yang saya lihat selama ini sejak saya menontonnya dari tahun lalu</t>
  </si>
  <si>
    <t>['final', 'piala', 'dunia', 'final', 'terbaik', 'piala', 'dunia', 'sejauh', 'sejauh', 'lihat', 'selama', 'sejak', 'menontonnya', 'tahun', 'lalu']</t>
  </si>
  <si>
    <t>&lt;FreqDist with 11 samples and 15 outcomes&gt;</t>
  </si>
  <si>
    <t>3 kali nntn edisi piala dunia, ini final ter epic</t>
  </si>
  <si>
    <t>kali nntn edisi piala dunia ini final ter epic</t>
  </si>
  <si>
    <t>['kali', 'nonton', 'edisi', 'piala', 'dunia', 'final', 'ter', 'epic']</t>
  </si>
  <si>
    <t>Hattrick pertama kali final piala dunia Respect Mbappe</t>
  </si>
  <si>
    <t>hattrick pertama kali final piala dunia respect mbappe</t>
  </si>
  <si>
    <t>['hattrick', 'pertama', 'kali', 'final', 'piala', 'dunia', 'respect', 'mbappe']</t>
  </si>
  <si>
    <t>LEO MESSI's GOAL  Lionel Messi sukses mencetak gol di semua fase Piala Dunia 2022:  ‚öΩÔ∏è Fase grup ‚öΩÔ∏è Babak 16 besar ‚öΩÔ∏è Babak 8 besar ‚öΩÔ∏è Semifinal ‚öΩÔ∏è Final  Hanya gawang Wojciech Szczƒôsny yg gagal ia tembus. #FIFAWorldCup  https://t.co/IIPjifDa2S</t>
  </si>
  <si>
    <t>leo messi goal lionel messi sukses mencetak gol semua fase piala dunia fase grup babak besar babak besar semifinal final hanya gawang wojciech szcz sny gagal tembus</t>
  </si>
  <si>
    <t>['leo', 'messi', 'goal', 'lionel', 'messi', 'sukses', 'mencetak', 'gol', 'semua', 'fase', 'piala', 'dunia', 'fase', 'grup', 'babak', 'besar', 'babak', 'besar', 'semifinal', 'final', 'gawang', 'wojciech', 'szcz', 'sny', 'gagal', 'tembus']</t>
  </si>
  <si>
    <t>Semangat @KMbappe gilaa sih 2 ajang piala dunia 2 kali final</t>
  </si>
  <si>
    <t>semangat gilaa sih ajang piala dunia kali final</t>
  </si>
  <si>
    <t>['semangat', 'gilaa', 'ajang', 'piala', 'dunia', 'kali', 'final']</t>
  </si>
  <si>
    <t>Final piala dunia terseru sejauh ini Congrattss argentina, sabar mas mbappe #FIFAWorldCup  #ARGFRA  #FIFAWorldCupFinal</t>
  </si>
  <si>
    <t>final piala dunia terseru sejauh ini congrattss argentina sabar mas mbappe</t>
  </si>
  <si>
    <t>['final', 'piala', 'dunia', 'terseru', 'sejauh', 'congrattss', 'argentina', 'sabar', 'mas', 'mbappe']</t>
  </si>
  <si>
    <t>Final Piala Dunia Argentina vs Prancis berlanjut ke babak adu penalti  https://t.co/b6h7kJ80ht</t>
  </si>
  <si>
    <t>final piala dunia argentina prancis berlanjut babak adu penalti</t>
  </si>
  <si>
    <t>['final', 'piala', 'dunia', 'argentina', 'prancis', 'berlanjut', 'babak', 'adu', 'penalti']</t>
  </si>
  <si>
    <t>Dari final yang paling membosankan, lalu dalam 30 menit terakhir menjadi final piala dunia terbaik sepanjang sejarah. Mbappe sensasional. Messi menutup karir dengan sempurna. #FIFAWorldCup #FinalWorldCup2022 #WorldCup  #Qatar2022  https://t.co/FxdA1TSJKZ</t>
  </si>
  <si>
    <t>dari final yang paling membosankan lalu dalam menit terakhir menjadi final piala dunia terbaik sepanjang sejarah mbappe sensasional messi menutup karir dengan sempurna</t>
  </si>
  <si>
    <t>['final', 'paling', 'membosankan', 'lalu', 'menit', 'terakhir', 'menjadi', 'final', 'piala', 'dunia', 'terbaik', 'sepanjang', 'sejarah', 'mbappe', 'sensasional', 'messi', 'menutup', 'karir', 'sempurna']</t>
  </si>
  <si>
    <t>Final Piala dunia teredan....  Terhibur #Argentina  #MessiìÉµ</t>
  </si>
  <si>
    <t>final piala dunia teredan terhibur</t>
  </si>
  <si>
    <t>['final', 'piala', 'dunia', 'teredan', 'terhibur']</t>
  </si>
  <si>
    <t>Final Piala Dunia terbaik yang pernah ada!</t>
  </si>
  <si>
    <t>final piala dunia terbaik yang pernah ada</t>
  </si>
  <si>
    <t>Gausah di debat, ini final piala dunia terbaik üôåüèº</t>
  </si>
  <si>
    <t>gausah debat ini final piala dunia terbaik</t>
  </si>
  <si>
    <t>['gausah', 'debat', 'final', 'piala', 'dunia', 'terbaik']</t>
  </si>
  <si>
    <t>Final Terbaik dalam sejarah piala dunia. Selamat Manusia Hormon Messi!! üòÖüòÖ</t>
  </si>
  <si>
    <t>final terbaik dalam sejarah piala dunia selamat manusia hormon messi</t>
  </si>
  <si>
    <t>['final', 'terbaik', 'sejarah', 'piala', 'dunia', 'selamat', 'manusia', 'hormon', 'messi']</t>
  </si>
  <si>
    <t>@Dennysiregar7 Jadi saksi sejarah final bola piala dunia terbaik Argentina vs prancis</t>
  </si>
  <si>
    <t>jadi saksi sejarah final bola piala dunia terbaik argentina prancis</t>
  </si>
  <si>
    <t>['jadi', 'saksi', 'sejarah', 'final', 'bola', 'piala', 'dunia', 'terbaik', 'argentina', 'prancis']</t>
  </si>
  <si>
    <t>@SurgaSavero Iya gak ngangkat piala cepet. Mbappe man of the match bisa membalikan keadaan. Final piala dunia paling keren,seru seumur hidup ku ,Ga</t>
  </si>
  <si>
    <t>iya gak ngangkat piala cepet mbappe man the match bisa membalikan keadaan final piala dunia paling keren seru seumur hidup</t>
  </si>
  <si>
    <t>['iya', 'ngangkat', 'piala', 'cepet', 'mbappe', 'man', 'the', 'match', 'membalikan', 'keadaan', 'final', 'piala', 'dunia', 'paling', 'keren', 'seru', 'seumur', 'hidup']</t>
  </si>
  <si>
    <t>Final tergilaaa selama piala dunia dan congratsss buat argen dan messi üèÜ  https://t.co/4bRmhPAYzS</t>
  </si>
  <si>
    <t>final tergilaaa selama piala dunia dan congratsss buat argen dan messi</t>
  </si>
  <si>
    <t>['final', 'tergilaaa', 'selama', 'piala', 'dunia', 'congratsss', 'buat', 'argen', 'messi']</t>
  </si>
  <si>
    <t>@idextratime Kita sudah underestimate di awal piala dunia dan di awal pertandingan final. Ternyata, di situlah letak sensasinya. Piala dunia terbaik dengan pertandingan final terbaik.</t>
  </si>
  <si>
    <t>kita sudah underestimate awal piala dunia dan awal pertandingan final ternyata situlah letak sensasinya piala dunia terbaik dengan pertandingan final terbaik</t>
  </si>
  <si>
    <t>['underestimate', 'awal', 'piala', 'dunia', 'awal', 'pertandingan', 'final', 'ternyata', 'situlah', 'letak', 'sensasinya', 'piala', 'dunia', 'terbaik', 'pertandingan', 'final', 'terbaik']</t>
  </si>
  <si>
    <t>Apa yg anda lakukan diumur 23? Kalah sama mbappe bro hattrick final piala dunia</t>
  </si>
  <si>
    <t>apa anda lakukan diumur kalah sama mbappe bro hattrick final piala dunia</t>
  </si>
  <si>
    <t>['apa', 'lakukan', 'diumur', 'kalah', 'sama', 'mbappe', 'bro', 'hattrick', 'final', 'piala', 'dunia']</t>
  </si>
  <si>
    <t>Mbappe 23th hattrick di final piala dunia. Aku 23th ngerebus indomie pas camping pinggir pantai .</t>
  </si>
  <si>
    <t>mbappe hattrick final piala dunia aku ngerebus indomie pas camping pinggir pantai</t>
  </si>
  <si>
    <t>['mbappe', 'hattrick', 'final', 'piala', 'dunia', 'aku', 'ngerebus', 'indomie', 'pas', 'camping', 'pinggir', 'pantai']</t>
  </si>
  <si>
    <t>Piala dunia terbaik yang pernah ada. Final terbaik yang pernah ada. Dan, sah, Messi menjadi pemain terbaik yang pernah ada. Terimakasih Prancis (re: Mbappe) atas perlawanan sengitnya. dan selamat Argentina atas gelarnya!</t>
  </si>
  <si>
    <t>piala dunia terbaik yang pernah ada final terbaik yang pernah ada dan sah messi menjadi pemain terbaik yang pernah ada terimakasih prancis mbappe atas perlawanan sengitnya dan selamat argentina atas gelarnya</t>
  </si>
  <si>
    <t>['piala', 'dunia', 'terbaik', 'pernah', 'final', 'terbaik', 'pernah', 'sah', 'messi', 'menjadi', 'pemain', 'terbaik', 'pernah', 'terimakasih', 'prancis', 'mbappe', 'atas', 'perlawanan', 'sengitnya', 'selamat', 'argentina', 'atas', 'gelarnya']</t>
  </si>
  <si>
    <t>Final Terbaik , Piala Dunia Terbaik .. Mbape Gokil Tapi Tetap Messi Messiah sang Juru Selamat Yang Terbaik .. Mantap Akhirnya Messi Juara Piala Dunia !!!</t>
  </si>
  <si>
    <t>final terbaik piala dunia terbaik mbape gokil tapi tetap messi messiah sang juru selamat yang terbaik mantap akhirnya messi juara piala dunia</t>
  </si>
  <si>
    <t>['final', 'terbaik', 'piala', 'dunia', 'terbaik', 'mbape', 'gila', 'tetap', 'messi', 'messiah', 'sang', 'juru', 'selamat', 'terbaik', 'mantap', 'akhirnya', 'messi', 'juara', 'piala', 'dunia']</t>
  </si>
  <si>
    <t>Kecewa Argentina juara piala dunia ‚ùå Kecewa order mcd via aplikasi dari Babak Pertama Final, baru sampai setelah setelah Adu Penalty selesai ‚úÖ Sampah banget MCD</t>
  </si>
  <si>
    <t>kecewa argentina juara piala dunia kecewa order mcd via aplikasi dari babak pertama final baru sampai setelah setelah adu penalty selesai sampah banget mcd</t>
  </si>
  <si>
    <t>['kecewa', 'argentina', 'juara', 'piala', 'dunia', 'kecewa', 'order', 'mcd', 'via', 'aplikasi', 'babak', 'pertama', 'final', 'baru', 'adu', 'penalty', 'selesai', 'sampah', 'banget', 'mcd']</t>
  </si>
  <si>
    <t>Ini piala dunia terbaik no debate!!!!! üò≠üò≠üò≠üò≠üò≠üò≠üò≠üò≠üò≠üò≠ 23 yo cetak hattrick! Di final!! 35 yo living legend angkat throphy WC. UNBELIEVABLE!!!!</t>
  </si>
  <si>
    <t>ini piala dunia terbaik debate cetak hattrick final living legend angkat throphy unbelievable</t>
  </si>
  <si>
    <t>['piala', 'dunia', 'terbaik', 'debate', 'cetak', 'hattrick', 'final', 'living', 'legend', 'angkat', 'throphy', 'unbelievable']</t>
  </si>
  <si>
    <t>Final piala dunia terseru sepanjang ngikutin dr tahun 2006</t>
  </si>
  <si>
    <t>final piala dunia terseru sepanjang ngikutin tahun</t>
  </si>
  <si>
    <t>['final', 'piala', 'dunia', 'terseru', 'sepanjang', 'ngikutin', 'tahun']</t>
  </si>
  <si>
    <t>@idextratime piala dunia terakhir format 32 negara, final piala dunia terakhir dalam sejarah.</t>
  </si>
  <si>
    <t>piala dunia terakhir format negara final piala dunia terakhir dalam sejarah</t>
  </si>
  <si>
    <t>['piala', 'dunia', 'terakhir', 'format', 'negara', 'final', 'piala', 'dunia', 'terakhir', 'sejarah']</t>
  </si>
  <si>
    <t>@idextratime Gilaaaaaaa .... Final terbaik selama piala dunia</t>
  </si>
  <si>
    <t>gilaaaaaaa final terbaik selama piala dunia</t>
  </si>
  <si>
    <t>['gilaaaaaaa', 'final', 'terbaik', 'selama', 'piala', 'dunia']</t>
  </si>
  <si>
    <t>@IndahHanaco Iyaya. Memang banyak motivator yang ahli memotivasi orang lain, bukan untuk dirinya sendiri. Btw, begadang, Mbak? Aku habis nonton final piala dunia. Seneng Argentina menang ‚ò∫</t>
  </si>
  <si>
    <t>iyaya memang banyak motivator yang ahli memotivasi orang lain bukan untuk dirinya sendiri btw begadang mbak aku habis nonton final piala dunia seneng argentina menang</t>
  </si>
  <si>
    <t>['iyaya', 'memang', 'banyak', 'motivator', 'ahli', 'memotivasi', 'orang', 'bukan', 'dirinya', 'sendiri', 'by the way', 'begadang', 'mbak', 'aku', 'habis', 'nonton', 'final', 'piala', 'dunia', 'seneng', 'argentina', 'menang']</t>
  </si>
  <si>
    <t>inilah yang dinamakan final piala dunia terseru sepanjang sejarah, salut!  Congrats Argentina! üôå</t>
  </si>
  <si>
    <t>inilah yang dinamakan final piala dunia terseru sepanjang sejarah salut congrats argentina</t>
  </si>
  <si>
    <t>['inilah', 'dinamakan', 'final', 'piala', 'dunia', 'terseru', 'sepanjang', 'sejarah', 'salut', 'congrats', 'argentina']</t>
  </si>
  <si>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</si>
  <si>
    <t>aldi tadi malem nanti nonton final piala dunia jam yok ntar bangunin aduduh tumben aku tertarik sama sekali ama olahraga tau mau olahraganya langsung atau nonton bener deh waktu final liga champion kamu bangun bener buat makan mie doang nah itu</t>
  </si>
  <si>
    <t>['aldi', 'tadi', 'malem', 'nonton', 'final', 'piala', 'dunia', 'jam', 'yok', 'ntar', 'bangunin', 'aduduh', 'tumben', 'aku', 'tertarik', 'sama', 'sekali', 'ama', 'olahraga', 'mau', 'olahraganya', 'langsung', 'nonton', 'benar', 'deh', 'waktu', 'final', 'liga', 'champion', 'kamu', 'bangun', 'benar', 'buat', 'makan', 'mie', 'doang', 'nah']</t>
  </si>
  <si>
    <t>&lt;FreqDist with 34 samples and 37 outcomes&gt;</t>
  </si>
  <si>
    <t>but respect, mbappe jadi pemain pertama yang bisa cetak hattrick di final piala dunia.</t>
  </si>
  <si>
    <t>but respect mbappe jadi pemain pertama yang bisa cetak hattrick final piala dunia</t>
  </si>
  <si>
    <t>['but', 'respect', 'mbappe', 'jadi', 'pemain', 'pertama', 'cetak', 'hattrick', 'final', 'piala', 'dunia']</t>
  </si>
  <si>
    <t>PERTAMA KALI NOBAR FINAL PIALA DUNIA DAN SERU BGT COIIIIIII</t>
  </si>
  <si>
    <t>pertama kali nobar final piala dunia dan seru bgt coiiiiiii</t>
  </si>
  <si>
    <t>['pertama', 'kali', 'nonton bareng', 'final', 'piala', 'dunia', 'seru', 'banget', 'coiiiiiii']</t>
  </si>
  <si>
    <t>Mbape, anak muda yang mencetak 3 goal + 1 goal di waktu pinalti Di final piala dunia Menghadapi G.O.A.T Semoga dia jadi the next G.O.A.T Jaga kaki dan tubuhmu anak muda Good Luck, Godspeed</t>
  </si>
  <si>
    <t>mbape anak muda yang mencetak goal goal waktu pinalti final piala dunia menghadapi semoga dia jadi the next jaga kaki dan tubuhmu anak muda good luck godspeed</t>
  </si>
  <si>
    <t>['mbape', 'anak', 'muda', 'mencetak', 'goal', 'goal', 'waktu', 'penalti', 'final', 'piala', 'dunia', 'menghadapi', 'semoga', 'jadi', 'the', 'next', 'jaga', 'kaki', 'tubuhmu', 'anak', 'muda', 'good', 'luck', 'godspeed']</t>
  </si>
  <si>
    <t>Nonton final piala dunia mulai dari tahun 1998, ini pertandingan final terbaik</t>
  </si>
  <si>
    <t>nonton final piala dunia mulai dari tahun ini pertandingan final terbaik</t>
  </si>
  <si>
    <t>['nonton', 'final', 'piala', 'dunia', 'mulai', 'tahun', 'pertandingan', 'final', 'terbaik']</t>
  </si>
  <si>
    <t>Final Piala Dunia terseru yg pernah gua tonton. Kedua tim sama2 layak menang, tapi akhirnya Argentina yg menang di Piala Dunia 2022. Selamat Argentina üèÜüèÜüèÜ</t>
  </si>
  <si>
    <t>final piala dunia terseru pernah gua tonton kedua tim sama layak menang tapi akhirnya argentina menang piala dunia selamat argentina</t>
  </si>
  <si>
    <t>['final', 'piala', 'dunia', 'terseru', 'pernah', 'gua', 'tonton', 'kedua', 'tim', 'sama', 'layak', 'menang', 'akhirnya', 'argentina', 'menang', 'piala', 'dunia', 'selamat', 'argentina']</t>
  </si>
  <si>
    <t>Pecah sih Piala Dunia 2022 ini. Diawal gelaran sepi banget, gak ada vibesnya.  Trus shocking moment mulai muncul ; 3 negara Asia masuk 16 besar, Maroko ngalahin Belgia, Spanyol, Portugal terus tembus semifinal, terus sekarang disuguhin pertandingan final Argentina vs Prancis</t>
  </si>
  <si>
    <t>pecah sih piala dunia ini diawal gelaran sepi banget gak ada vibesnya trus shocking moment mulai muncul negara asia masuk besar maroko ngalahin belgia spanyol portugal terus tembus semifinal terus sekarang disuguhin pertandingan final argentina prancis</t>
  </si>
  <si>
    <t>['pecah', 'piala', 'dunia', 'diawal', 'gelaran', 'sepi', 'banget', 'vibesnya', 'trus', 'shocking', 'moment', 'mulai', 'muncul', 'negara', 'asia', 'masuk', 'besar', 'maroko', 'ngalahin', 'belgia', 'spanyol', 'portugal', 'terus', 'tembus', 'semifinal', 'terus', 'sekarang', 'disuguhin', 'pertandingan', 'final', 'argentina', 'prancis']</t>
  </si>
  <si>
    <t>Sejak pertama kali nonton final piala dunia di tahun 1998, Final di Qatar ini paling dramatis.   congrats Argentina gelar Messi di level klub dan negara paling komplit  congrat Lautaro, bawa mental ini ke Inter</t>
  </si>
  <si>
    <t>sejak pertama kali nonton final piala dunia tahun final qatar ini paling dramatis congrats argentina gelar messi level klub dan negara paling komplit congrat lautaro bawa mental ini inter</t>
  </si>
  <si>
    <t>['sejak', 'pertama', 'kali', 'nonton', 'final', 'piala', 'dunia', 'tahun', 'final', 'qatar', 'paling', 'dramatis', 'congrats', 'argentina', 'gelar', 'messi', 'level', 'klub', 'negara', 'paling', 'komplit', 'congrat', 'lautaro', 'bawa', 'mental', 'inter']</t>
  </si>
  <si>
    <t>Final piala dunia terbaik ini emang. Congrats Messi! You deserved this. Untuk Mbappe good game, try next time dg squad yg lebih baik biar km ga gendong tim sendiri üòÇ</t>
  </si>
  <si>
    <t>final piala dunia terbaik ini emang congrats messi you deserved this untuk mbappe good game try next time squad lebih baik biar gendong tim sendiri</t>
  </si>
  <si>
    <t>['final', 'piala', 'dunia', 'terbaik', 'emang', 'congrats', 'messi', 'you', 'deserved', 'this', 'mbappe', 'good', 'game', 'try', 'next', 'time', 'squad', 'lebih', 'baik', 'gendong', 'tim', 'sendiri']</t>
  </si>
  <si>
    <t>Final piala dunia terseru sepanjang sepakbola modern</t>
  </si>
  <si>
    <t>final piala dunia terseru sepanjang sepakbola modern</t>
  </si>
  <si>
    <t>['final', 'piala', 'dunia', 'terseru', 'sepanjang', 'sepakbola', 'modern']</t>
  </si>
  <si>
    <t>Di piala dunia 2026, skuad Prancis lagi di usia mateng-matengnya. Insya Allah, final lagi sih.</t>
  </si>
  <si>
    <t>piala dunia skuad prancis lagi usia mateng matengnya insya allah final lagi sih</t>
  </si>
  <si>
    <t>['piala', 'dunia', 'skuad', 'prancis', 'usia', 'mateng', 'matengnya', 'insya', 'allah', 'final']</t>
  </si>
  <si>
    <t>Sekalinya liat Final Piala Dunia, bikin mules deg deg an wkwkwkwkwk seru sekaliiiiii</t>
  </si>
  <si>
    <t>sekalinya liat final piala dunia bikin mules deg deg wkwkwkwkwk seru sekaliiiiii</t>
  </si>
  <si>
    <t>['sekalinya', 'lihat', 'final', 'piala', 'dunia', 'mules', 'deg', 'deg', 'wkwkwkwkwk', 'seru', 'sekaliiiiii']</t>
  </si>
  <si>
    <t>Hasil Argentina vs Prancis di Final Piala Dunia 2022: Dramatis, Argentina Juara Piala Dunia 2022 Lewat Adu Penalti! #LengkapCepatBeritanya #Bola #SepakBola #SepakbolaDunia #BolaDunia .  https://t.co/KD7H6CIynt</t>
  </si>
  <si>
    <t>hasil argentina prancis final piala dunia dramatis argentina juara piala dunia lewat adu penalti</t>
  </si>
  <si>
    <t>['hasil', 'argentina', 'prancis', 'final', 'piala', 'dunia', 'dramatis', 'argentina', 'juara', 'piala', 'dunia', 'lewat', 'adu', 'penalti']</t>
  </si>
  <si>
    <t>FINAL yang luar biasa. Final piala dunia ter-the best. Mbappe sempurna. Messi juga. Tapi takdir memang sudah dicatatkan, qatar 2022 milik Argentina.  Selamat Lionel Messi, sempurna karirnya sebagai pesepakbola.   Salut buat prancis ngsh perlawanan sampai detik terakhir.</t>
  </si>
  <si>
    <t>final yang luar biasa final piala dunia ter the best mbappe sempurna messi juga tapi takdir memang sudah dicatatkan qatar milik argentina selamat lionel messi sempurna karirnya sebagai pesepakbola salut buat prancis ngsh perlawanan sampai detik terakhir</t>
  </si>
  <si>
    <t>['final', 'luar', 'biasa', 'final', 'piala', 'dunia', 'ter', 'the', 'best', 'mbappe', 'sempurna', 'messi', 'takdir', 'memang', 'dicatatkan', 'qatar', 'milik', 'argentina', 'selamat', 'lionel', 'messi', 'sempurna', 'karirnya', 'pesepakbola', 'salut', 'buat', 'prancis', 'ngsh', 'perlawanan', 'detik', 'terakhir']</t>
  </si>
  <si>
    <t>FINAL TERSERU SELAMA NONTON FINAL PIALA DUNIA</t>
  </si>
  <si>
    <t>final terseru selama nonton final piala dunia</t>
  </si>
  <si>
    <t>['final', 'terseru', 'selama', 'nonton', 'final', 'piala', 'dunia']</t>
  </si>
  <si>
    <t>Dari start piala dunia gak pernah menang, hanya portugal vs swiss dan final ini yang memberi kemenangan Terimakasih kembali modalüî•üî•  https://t.co/b4iNTJM7cF</t>
  </si>
  <si>
    <t>dari start piala dunia gak pernah menang hanya portugal swiss dan final ini yang memberi kemenangan terimakasih kembali modal</t>
  </si>
  <si>
    <t>['start', 'piala', 'dunia', 'pernah', 'menang', 'portugal', 'swiss', 'final', 'memberi', 'kemenangan', 'terimakasih', 'modal']</t>
  </si>
  <si>
    <t>Final piala dunia terbaik üëèüëèüëè</t>
  </si>
  <si>
    <t>Final piala dunia terbaik sih ieuüëèüèªüëèüèªüëèüèªüëèüèª</t>
  </si>
  <si>
    <t>final piala dunia terbaik sih ieu</t>
  </si>
  <si>
    <t>['final', 'piala', 'dunia', 'terbaik', 'ieu']</t>
  </si>
  <si>
    <t>ALHAMDULILLAH... ARGENTINA SUKSES MENGALAHKAN PERANCIS DI FINAL PIALA DUNIA 2022 LEWAT ADU PENALTY YANG MENDEBARKAN. DENGAN INI LENGKAP SUDAH GELAR LIONEL MESSI SEBAGAI PEMAIN TERBAIK DUNIA!  https://t.co/et1Z7VmOee</t>
  </si>
  <si>
    <t>alhamdulillah argentina sukses mengalahkan perancis final piala dunia lewat adu penalty yang mendebarkan dengan ini lengkap sudah gelar lionel messi sebagai pemain terbaik dunia</t>
  </si>
  <si>
    <t>['alhamdulillah', 'argentina', 'sukses', 'mengalahkan', 'perancis', 'final', 'piala', 'dunia', 'lewat', 'adu', 'penalty', 'mendebarkan', 'lengkap', 'gelar', 'lionel', 'messi', 'pemain', 'terbaik', 'dunia']</t>
  </si>
  <si>
    <t>Final piala dunia terseru njir</t>
  </si>
  <si>
    <t>final piala dunia terseru njir</t>
  </si>
  <si>
    <t>['final', 'piala', 'dunia', 'terseru', 'njir']</t>
  </si>
  <si>
    <t>Mereka berdua memberikan sebuah show pertandingan final piala dunia terbaik . Terimakasih messi! Lanjutkan mbappe!!!</t>
  </si>
  <si>
    <t>mereka berdua memberikan sebuah show pertandingan final piala dunia terbaik terimakasih messi lanjutkan mbappe</t>
  </si>
  <si>
    <t>['berdua', 'memberikan', 'sebuah', 'show', 'pertandingan', 'final', 'piala', 'dunia', 'terbaik', 'terimakasih', 'messi', 'lanjutkan', 'mbappe']</t>
  </si>
  <si>
    <t>What a final  Akhirnya argentina keluar sebagai juara piala dunia mengalahkan sang juara bertahan prancis lewat adu penalti. Selamat buat messi dan team üëçüòáüíØ  https://t.co/6dMR2w5Nl0</t>
  </si>
  <si>
    <t>what final akhirnya argentina keluar sebagai juara piala dunia mengalahkan sang juara bertahan prancis lewat adu penalti selamat buat messi dan team</t>
  </si>
  <si>
    <t>['what', 'final', 'akhirnya', 'argentina', 'keluar', 'juara', 'piala', 'dunia', 'mengalahkan', 'sang', 'juara', 'bertahan', 'prancis', 'lewat', 'adu', 'penalti', 'selamat', 'buat', 'messi', 'team']</t>
  </si>
  <si>
    <t>Final dan Piala Dunia terbaik ü§ù</t>
  </si>
  <si>
    <t>final dan piala dunia terbaik</t>
  </si>
  <si>
    <t>Final piala dunia terseru yg pernah w tonton. Messi akhirnya juara dunia juga. Tapi Mbappe stole the show, what a player. Congrats Argentina, YNWA Ibou Konate üî¥</t>
  </si>
  <si>
    <t>final piala dunia terseru pernah tonton messi akhirnya juara dunia juga tapi mbappe stole the show what player congrats argentina ynwa ibou konate</t>
  </si>
  <si>
    <t>['final', 'piala', 'dunia', 'terseru', 'pernah', 'tonton', 'messi', 'akhirnya', 'juara', 'dunia', 'mbappe', 'stole', 'the', 'show', 'what', 'player', 'congrats', 'argentina', 'ynwa', 'ibou', 'konate']</t>
  </si>
  <si>
    <t>Ini final paling gila anjir selama nonton piala dunia</t>
  </si>
  <si>
    <t>ini final paling gila anjir selama nonton piala dunia</t>
  </si>
  <si>
    <t>['final', 'paling', 'gila', 'anjir', 'selama', 'nonton', 'piala', 'dunia']</t>
  </si>
  <si>
    <t>Final piala dunia paling edyannn</t>
  </si>
  <si>
    <t>final piala dunia paling edyannn</t>
  </si>
  <si>
    <t>['final', 'piala', 'dunia', 'paling', 'edyannn']</t>
  </si>
  <si>
    <t>Salah satu final piala dunia terbaik sepanjang masa cuy, tegang, kejar kejaran gol, drama, klimaks pokonya, selamat argentinnya messi üî•üëè</t>
  </si>
  <si>
    <t>salah satu final piala dunia terbaik sepanjang masa cuy tegang kejar kejaran gol drama klimaks pokonya selamat argentinnya messi</t>
  </si>
  <si>
    <t>['salah', 'satu', 'final', 'piala', 'dunia', 'terbaik', 'sepanjang', 'masa', 'tegang', 'kejar', 'kejaran', 'gol', 'drama', 'klimaks', 'pokonya', 'selamat', 'argentinnya', 'messi']</t>
  </si>
  <si>
    <t>Tapi Prancis sampe ke final juga udah mematahkan mitos. Masih inget juara 1998. Eh pas piala dunia 2022 ampas. Padahal baru juara euro 2000.</t>
  </si>
  <si>
    <t>tapi prancis sampe final juga udah mematahkan mitos masih inget juara pas piala dunia ampas padahal baru juara euro</t>
  </si>
  <si>
    <t>['prancis', 'sampai', 'final', 'udah', 'mematahkan', 'mitos', 'inget', 'juara', 'pas', 'piala', 'dunia', 'ampas', 'padahal', 'baru', 'juara', 'euro']</t>
  </si>
  <si>
    <t>Benar-benar final Piala Dunia yang gila.</t>
  </si>
  <si>
    <t>benar benar final piala dunia yang gila</t>
  </si>
  <si>
    <t>['benar', 'benar', 'final', 'piala', 'dunia', 'gila']</t>
  </si>
  <si>
    <t>Final piala dunia terseruh</t>
  </si>
  <si>
    <t>final piala dunia terseruh</t>
  </si>
  <si>
    <t>['final', 'piala', 'dunia', 'terseruh']</t>
  </si>
  <si>
    <t>Final Piala Dunia 2022 salah satu pertandingan Sepak Bola terseru. Selamat buat Goat Lionel Messi layak dapat title Juara Dunia</t>
  </si>
  <si>
    <t>final piala dunia salah satu pertandingan sepak bola terseru selamat buat goat lionel messi layak dapat title juara dunia</t>
  </si>
  <si>
    <t>['final', 'piala', 'dunia', 'salah', 'satu', 'pertandingan', 'sepak', 'bola', 'terseru', 'selamat', 'buat', 'goat', 'lionel', 'messi', 'layak', 'title', 'juara', 'dunia']</t>
  </si>
  <si>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</si>
  <si>
    <t>mbappe tetap juara hattrick final piala dunia itu keren buat jantungan nnton wlwpun messi dan argentina menang perjalanan masih panjang biarlah messi menamatkan perjalanan world cup nya btw ini adalah the best world cup final ever all france keren</t>
  </si>
  <si>
    <t>['mbappe', 'tetap', 'juara', 'hattrick', 'final', 'piala', 'dunia', 'keren', 'buat', 'jantungan', 'nnton', 'wlwpun', 'messi', 'argentina', 'menang', 'perjalanan', 'panjang', 'biarlah', 'messi', 'menamatkan', 'perjalanan', 'world', 'cup', 'by the way', 'the', 'best', 'world', 'cup', 'final', 'ever', 'all', 'france', 'keren']</t>
  </si>
  <si>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</si>
  <si>
    <t>perbedaan umur penendang penalty prancis dan argentina final piala dunia mbappe tahun coman tahun tchouameni tahun kolo muani tahun messi tahun dybala tahun paredes tahun montiel tahun mental dan pengalaman berbicara</t>
  </si>
  <si>
    <t>['perbedaan', 'umur', 'penendang', 'penalty', 'prancis', 'argentina', 'final', 'piala', 'dunia', 'mbappe', 'tahun', 'coman', 'tahun', 'tchouameni', 'tahun', 'kolo', 'muani', 'tahun', 'messi', 'tahun', 'dybala', 'tahun', 'paredes', 'tahun', 'montiel', 'tahun', 'mental', 'pengalaman', 'berbicara']</t>
  </si>
  <si>
    <t>&lt;FreqDist with 22 samples and 29 outcomes&gt;</t>
  </si>
  <si>
    <t>Final terbaik piala dunia sejauh ini yang pernah gua tonton</t>
  </si>
  <si>
    <t>final terbaik piala dunia sejauh ini yang pernah gua tonton</t>
  </si>
  <si>
    <t>['final', 'terbaik', 'piala', 'dunia', 'sejauh', 'pernah', 'gua', 'tonton']</t>
  </si>
  <si>
    <t>7 kali nonton final piala dunia ini yg paling seru! Selamat argentina, selamat messi, prancis better luck next time. üëèüèª</t>
  </si>
  <si>
    <t>kali nonton final piala dunia ini paling seru selamat argentina selamat messi prancis better luck next time</t>
  </si>
  <si>
    <t>['kali', 'nonton', 'final', 'piala', 'dunia', 'paling', 'seru', 'selamat', 'argentina', 'selamat', 'messi', 'prancis', 'better', 'luck', 'next', 'time']</t>
  </si>
  <si>
    <t>Menanti Argentina juara sejak 98  akhirnya terwujud. Ini pertandingan final piala dunia terbaik yang pernah saya lihat üá¶üá∑üá¶üá∑üá¶üá∑</t>
  </si>
  <si>
    <t>menanti argentina juara sejak akhirnya terwujud ini pertandingan final piala dunia terbaik yang pernah saya lihat</t>
  </si>
  <si>
    <t>['menanti', 'argentina', 'juara', 'sejak', 'akhirnya', 'terwujud', 'pertandingan', 'final', 'piala', 'dunia', 'terbaik', 'pernah', 'lihat']</t>
  </si>
  <si>
    <t>salah satu final piala dunia terbaik. üëè</t>
  </si>
  <si>
    <t>@idextratime ini kenapa messi memunda untuk PENSIUN dari Timnas. FINAL tergokil semalam nonton Piala Dunia. Mbappe gak ada obat.</t>
  </si>
  <si>
    <t>ini kenapa messi memunda untuk pensiun dari timnas final tergokil semalam nonton piala dunia mbappe gak ada obat</t>
  </si>
  <si>
    <t>['messi', 'memunda', 'pensiun', 'timnas', 'final', 'tergokil', 'semalam', 'nonton', 'piala', 'dunia', 'mbappe', 'obat']</t>
  </si>
  <si>
    <t>plis deg degan rill bro nonton final piala dunia kali ini. Alhamdulillah argentina üëèüëèüëèüëçüëçüëçüëçüëç</t>
  </si>
  <si>
    <t>plis deg degan rill bro nonton final piala dunia kali ini alhamdulillah argentina</t>
  </si>
  <si>
    <t>['plis', 'deg', 'degan', 'rill', 'bro', 'nonton', 'final', 'piala', 'dunia', 'kali', 'alhamdulillah', 'argentina']</t>
  </si>
  <si>
    <t>Final terbaik selama nonton piala dunia üëçüëçüëç</t>
  </si>
  <si>
    <t>Selamat juga buat Mbappe bikin rekor baru di final piala dunia ini üëè</t>
  </si>
  <si>
    <t>selamat juga buat mbappe bikin rekor baru final piala dunia ini</t>
  </si>
  <si>
    <t>['selamat', 'buat', 'mbappe', 'rekor', 'baru', 'final', 'piala', 'dunia']</t>
  </si>
  <si>
    <t>Rispek juga buat Mbappe...Hattrick di Final Piala Dunia edan sih</t>
  </si>
  <si>
    <t>rispek juga buat mbappe hattrick final piala dunia edan sih</t>
  </si>
  <si>
    <t>['rispek', 'buat', 'mbappe', 'hattrick', 'final', 'piala', 'dunia', 'edan']</t>
  </si>
  <si>
    <t>Qatar dengan segala drama diluar lapangan buat jadi tuan rumah Piala Dunia malah jadi Turnamen dan ngasih Final Terbaik Piala Dunia..</t>
  </si>
  <si>
    <t>qatar dengan segala drama diluar lapangan buat jadi tuan rumah piala dunia malah jadi turnamen dan ngasih final terbaik piala dunia</t>
  </si>
  <si>
    <t>['qatar', 'segala', 'drama', 'diluar', 'lapangan', 'buat', 'jadi', 'tuan', 'rumah', 'piala', 'dunia', 'malah', 'jadi', 'turnamen', 'ngasih', 'final', 'terbaik', 'piala', 'dunia']</t>
  </si>
  <si>
    <t>Ini merupakan Final Piala Dunia terseru dan senam jantung.. Argentina unggul 2-0 kena comeback jadi 2-2.. Extra time Messi cetak goal skor berubah jadi 3-2, di menit2 akhir extra time Prancis penalti skor jadi 3-3.. Akhirnya adu penalti dan ARGENTINA JUARA PIALA DUNIA QATAR 2022</t>
  </si>
  <si>
    <t>ini merupakan final piala dunia terseru dan senam jantung argentina unggul kena comeback jadi extra time messi cetak goal skor berubah jadi menit akhir extra time prancis penalti skor jadi akhirnya adu penalti dan argentina juara piala dunia qatar</t>
  </si>
  <si>
    <t>['merupakan', 'final', 'piala', 'dunia', 'terseru', 'senam', 'jantung', 'argentina', 'unggul', 'kena', 'comeback', 'jadi', 'extra', 'time', 'messi', 'cetak', 'goal', 'skor', 'berubah', 'jadi', 'menit', 'akhir', 'extra', 'time', 'prancis', 'penalti', 'skor', 'jadi', 'akhirnya', 'adu', 'penalti', 'argentina', 'juara', 'piala', 'dunia', 'qatar']</t>
  </si>
  <si>
    <t>&lt;FreqDist with 27 samples and 36 outcomes&gt;</t>
  </si>
  <si>
    <t>Argentina Juara Piala Dunia 2022: Argentina sah menjadi juara Piala Dunia 2022. Mereka mengalahkan Prancis pada laga final di stadion Lusail Stadium, Minggu (18/12/2022). ...  https://t.co/Mps75Wpe4m #beritabaik #timesindonesia #ketahananinformasi</t>
  </si>
  <si>
    <t>argentina juara piala dunia argentina sah menjadi juara piala dunia mereka mengalahkan prancis pada laga final stadion lusail stadium minggu</t>
  </si>
  <si>
    <t>['argentina', 'juara', 'piala', 'dunia', 'argentina', 'sah', 'menjadi', 'juara', 'piala', 'dunia', 'mengalahkan', 'prancis', 'laga', 'final', 'stadion', 'lusail', 'stadium', 'minggu']</t>
  </si>
  <si>
    <t>@ChampionsLeague Luar Biasa Final yang mengseru.. Congratss Argentina üá¶üá∑Juara Piala Dunia 2022 #FIFAWorldCup2022 üëèüèºüëèüèºü§©üèÖüèÜ  ü•áArgentinaüá¶üá∑ ü•àFranceüá´üá∑ ü•âKroasiaüá≠üá∑ #4 Marokoüá≤üá¶</t>
  </si>
  <si>
    <t>luar biasa final yang mengseru congratss argentina juara piala dunia argentina france kroasia maroko</t>
  </si>
  <si>
    <t>['luar', 'biasa', 'final', 'mengseru', 'congratss', 'argentina', 'juara', 'piala', 'dunia', 'argentina', 'france', 'kroasia', 'maroko']</t>
  </si>
  <si>
    <t>Final Piala Dunia 2022: Hattrick Kylian Mbappe Paksa Duel Argentina Vs Prancis ke Adu Penalti  https://t.co/pzXUW86YvT</t>
  </si>
  <si>
    <t>final piala dunia hattrick kylian mbappe paksa duel argentina prancis adu penalti</t>
  </si>
  <si>
    <t>['final', 'piala', 'dunia', 'hattrick', 'kylian', 'mbappe', 'paksa', 'duel', 'argentina', 'prancis', 'adu', 'penalti']</t>
  </si>
  <si>
    <t>bukan penggemar bola  tapi final piala dunia ini luar biasa üëçüèªüëçüèªüëçüèª  menghibuuuuur</t>
  </si>
  <si>
    <t>bukan penggemar bola tapi final piala dunia ini luar biasa menghibuuuuur</t>
  </si>
  <si>
    <t>['bukan', 'penggemar', 'bola', 'final', 'piala', 'dunia', 'luar', 'biasa', 'menghibuuuuur']</t>
  </si>
  <si>
    <t>Argentina juara Piala Dunia 2022 setelah mengalahkan Prancis di partai final melalui babak adu penalti.  https://t.co/m3pDbqNg6E</t>
  </si>
  <si>
    <t>argentina juara piala dunia setelah mengalahkan prancis partai final melalui babak adu penalti</t>
  </si>
  <si>
    <t>['argentina', 'juara', 'piala', 'dunia', 'mengalahkan', 'prancis', 'partai', 'final', 'melalui', 'babak', 'adu', 'penalti']</t>
  </si>
  <si>
    <t>Tapi final piala dunia terseru sih ini</t>
  </si>
  <si>
    <t>tapi final piala dunia terseru sih ini</t>
  </si>
  <si>
    <t>final terbaik dalam sejarah piala dunia adalah di qatar</t>
  </si>
  <si>
    <t>final terbaik dalam sejarah piala dunia adalah qatar</t>
  </si>
  <si>
    <t>['final', 'terbaik', 'sejarah', 'piala', 'dunia', 'qatar']</t>
  </si>
  <si>
    <t>Final piala Dunia aja seru apalagi final Dota 2 The International  https://t.co/0adc2ohA7t</t>
  </si>
  <si>
    <t>final piala dunia aja seru apalagi final dota the international</t>
  </si>
  <si>
    <t>['final', 'piala', 'dunia', 'seru', 'final', 'dota', 'the', 'international']</t>
  </si>
  <si>
    <t>Final piala dunia paling seru!</t>
  </si>
  <si>
    <t>Mbappe keren sampe menit akhir ü§ó‚ù§ Mari berjuang lagi di piala dunia berikutnya!  Selamat untuk Argentina üòä  Final ini bener bener bikin senam jantung! Keren!!</t>
  </si>
  <si>
    <t>mbappe keren sampe menit akhir mari berjuang lagi piala dunia berikutnya selamat untuk argentina final ini bener bener bikin senam jantung keren</t>
  </si>
  <si>
    <t>['mbappe', 'keren', 'sampai', 'menit', 'akhir', 'berjuang', 'piala', 'dunia', 'berikutnya', 'selamat', 'argentina', 'final', 'benar', 'benar', 'senam', 'jantung', 'keren']</t>
  </si>
  <si>
    <t>Liat piala dunia pas final nya doang, itu juga gak mantengin dri awal pluit bunyi ‚öΩ  https://t.co/tB5zfdBAeY</t>
  </si>
  <si>
    <t>liat piala dunia pas final nya doang itu juga gak mantengin dri awal pluit bunyi</t>
  </si>
  <si>
    <t>['lihat', 'piala', 'dunia', 'pas', 'final', 'doang', 'mantengin', 'dri', 'awal', 'pluit', 'bunyi']</t>
  </si>
  <si>
    <t>Piala dunia qatar sempat diragukan ternyata menyuguhkan final yang eumejing</t>
  </si>
  <si>
    <t>piala dunia qatar sempat diragukan ternyata menyuguhkan final yang eumejing</t>
  </si>
  <si>
    <t>['piala', 'dunia', 'qatar', 'sempat', 'diragukan', 'ternyata', 'menyuguhkan', 'final', 'eumejing']</t>
  </si>
  <si>
    <t>Memang pantas ke final 2 tim ini #arg #fra . Final seru 3-3 sampai penalti Argentina menang.  Juga Piala Dunia terkeren yang pernah ada, #FIFAWorldCup Qatar 2022 üëç</t>
  </si>
  <si>
    <t>memang pantas final tim ini final seru sampai penalti argentina menang juga piala dunia terkeren yang pernah ada qatar</t>
  </si>
  <si>
    <t>['memang', 'pantas', 'final', 'tim', 'final', 'seru', 'penalti', 'argentina', 'menang', 'piala', 'dunia', 'terkeren', 'pernah', 'qatar']</t>
  </si>
  <si>
    <t>Cara yg indah utk "mengakhiri" sebuah era..lahirnya seorang RAJA BARU, dalam sebuah pertandingan FINAL PIALA DUNIA TERBAIK dalam sejarah! Sungguh sebuah...#AhSudahlah</t>
  </si>
  <si>
    <t>cara indah utk mengakhiri sebuah era lahirnya seorang raja baru dalam sebuah pertandingan final piala dunia terbaik dalam sejarah sungguh sebuah</t>
  </si>
  <si>
    <t>['cara', 'indah', 'mengakhiri', 'sebuah', 'era', 'lahirnya', 'seorang', 'raja', 'baru', 'sebuah', 'pertandingan', 'final', 'piala', 'dunia', 'terbaik', 'sejarah', 'sungguh', 'sebuah']</t>
  </si>
  <si>
    <t>Nonton Piala dunia sejak 1998, asli ini final Piala Dunia terbaik yang pernah gue tonton!  Prancis, kalian keren kok mainnya bisa bikin Argen ketar ketir di babak akhir well dan selamat Argentina!</t>
  </si>
  <si>
    <t>nonton piala dunia sejak asli ini final piala dunia terbaik yang pernah gue tonton prancis kalian keren kok mainnya bisa bikin argen ketar ketir babak akhir well dan selamat argentina</t>
  </si>
  <si>
    <t>['nonton', 'piala', 'dunia', 'sejak', 'asli', 'final', 'piala', 'dunia', 'terbaik', 'pernah', 'gue', 'tonton', 'prancis', 'kalian', 'keren', 'kok', 'mainnya', 'argen', 'ketar', 'ketir', 'babak', 'akhir', 'well', 'selamat', 'argentina']</t>
  </si>
  <si>
    <t>semoga piala dunia selanjutny masih bisa nobar final bareng keluarga üíñ</t>
  </si>
  <si>
    <t>semoga piala dunia selanjutny masih bisa nobar final bareng keluarga</t>
  </si>
  <si>
    <t>['semoga', 'piala', 'dunia', 'selanjutny', 'nonton bareng', 'final', 'bareng', 'keluarga']</t>
  </si>
  <si>
    <t>Salah satu final terbaik sepanjang sejarah piala dunia, mbappe sangat keren dan messi the real goat üêêüêêüêêüî•</t>
  </si>
  <si>
    <t>salah satu final terbaik sepanjang sejarah piala dunia mbappe sangat keren dan messi the real goat</t>
  </si>
  <si>
    <t>['salah', 'satu', 'final', 'terbaik', 'sepanjang', 'sejarah', 'piala', 'dunia', 'mbappe', 'sangat', 'keren', 'messi', 'the', 'real', 'goat']</t>
  </si>
  <si>
    <t>Best World Cup ever, literally semua orang ngomongin Piala Dunia di medsos Closed with this final. Masterclass</t>
  </si>
  <si>
    <t>best world cup ever literally semua orang ngomongin piala dunia medsos closed with this final masterclass</t>
  </si>
  <si>
    <t>['best', 'world', 'cup', 'ever', 'literally', 'semua', 'orang', 'ngomongin', 'piala', 'dunia', 'medsos', 'closed', 'with', 'this', 'final', 'masterclass']</t>
  </si>
  <si>
    <t>Seru iyeu Final piala dunia 2022... congrats Argen üá¶üá∑</t>
  </si>
  <si>
    <t>seru iyeu final piala dunia congrats argen</t>
  </si>
  <si>
    <t>['seru', 'iyeu', 'final', 'piala', 'dunia', 'congrats', 'argen']</t>
  </si>
  <si>
    <t>Final piala dunia seperti nge-prank Prancis doang. Kena php 2 kali. Btw selamat #Prancis  permainan kalian luar biasa</t>
  </si>
  <si>
    <t>final piala dunia seperti nge prank prancis doang kena php kali btw selamat permainan kalian luar biasa</t>
  </si>
  <si>
    <t>['final', 'piala', 'dunia', 'nge', 'prank', 'prancis', 'doang', 'kena', 'php', 'kali', 'by the way', 'selamat', 'permainan', 'kalian', 'luar', 'biasa']</t>
  </si>
  <si>
    <t>Mbappe moncer. Sayang temen seangkatannya belom mateng mental.. tep sangar! Hat-trick di final Piala Dunia.. plus satu pinalti tunai..</t>
  </si>
  <si>
    <t>mbappe moncer sayang temen seangkatannya belom mateng mental tep sangar hat trick final piala dunia plus satu pinalti tunai</t>
  </si>
  <si>
    <t>['mbappe', 'moncer', 'sayang', 'temen', 'seangkatannya', 'belom', 'mateng', 'mental', 'tep', 'sangar', 'hat', 'trick', 'final', 'piala', 'dunia', 'plus', 'satu', 'penalti', 'tunai']</t>
  </si>
  <si>
    <t>@idextratime Luar Biasa Final yang mengseru.. Congratss Argentina üá¶üá∑Juara Piala Dunia 2022 #FIFAWorldCup2022 üëèüèºüëèüèºü§©üèÖüèÜ  ü•áArgentinaüá¶üá∑ ü•àFranceüá´üá∑ ü•âKroasiaüá≠üá∑ #4 Marokoüá≤üá¶</t>
  </si>
  <si>
    <t>Edann..edan..edann!!! Final terbaik piala dunia yang pernah saya tonton ini üî•</t>
  </si>
  <si>
    <t>edann edan edann final terbaik piala dunia yang pernah saya tonton ini</t>
  </si>
  <si>
    <t>['edann', 'edan', 'edann', 'final', 'terbaik', 'piala', 'dunia', 'pernah', 'tonton']</t>
  </si>
  <si>
    <t>Final piala dunia terbaik. aliiig.</t>
  </si>
  <si>
    <t>final piala dunia terbaik aliiig</t>
  </si>
  <si>
    <t>['final', 'piala', 'dunia', 'terbaik', 'aliiig']</t>
  </si>
  <si>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</si>
  <si>
    <t>siapa yang nyangka piala dunia paling konfliktual banyak kontroversi justru bisa menghadirkan final piala dunia terbaik yang pernah ada ditutup dengan menasbihkan messi menjadi dalam sepak bola sebuah cerita sempurna tentang sepak bola dengan segala drama konfliknya</t>
  </si>
  <si>
    <t>['siapa', 'nyangka', 'piala', 'dunia', 'paling', 'konfliktual', 'banyak', 'kontroversi', 'justru', 'menghadirkan', 'final', 'piala', 'dunia', 'terbaik', 'pernah', 'ditutup', 'menasbihkan', 'messi', 'menjadi', 'sepak', 'bola', 'sebuah', 'cerita', 'sempurna', 'sepak', 'bola', 'segala', 'drama', 'konfliknya']</t>
  </si>
  <si>
    <t>Final Piala Dunia terbaik yang pernah ditonton.</t>
  </si>
  <si>
    <t>Final Piala Dunia Terbaik üî•</t>
  </si>
  <si>
    <t>Final Piala dunia terbaik</t>
  </si>
  <si>
    <t>Messi... udahlah emang takdirnya jadi yang terbaik. Tapi Mbappe, dalam tim nasional yang sedikit pincang karena banyak pemain inti absen, jelas sudah menampilkan permainan monster di final Piala Dunia kali ini.  One of the best performance!</t>
  </si>
  <si>
    <t>messi udahlah emang takdirnya jadi yang terbaik tapi mbappe dalam tim nasional yang sedikit pincang karena banyak pemain inti absen jelas sudah menampilkan permainan monster final piala dunia kali ini one the best performance</t>
  </si>
  <si>
    <t>['messi', 'udahlah', 'emang', 'takdirnya', 'jadi', 'terbaik', 'mbappe', 'tim', 'nasional', 'sedikit', 'pincang', 'banyak', 'pemain', 'inti', 'absen', 'jelas', 'menampilkan', 'permainan', 'monster', 'final', 'piala', 'dunia', 'kali', 'one', 'the', 'best', 'performance']</t>
  </si>
  <si>
    <t>What a final! Gila sih ini final paling dramatis di piala dunia. üò≤üòØüëè</t>
  </si>
  <si>
    <t>what final gila sih ini final paling dramatis piala dunia</t>
  </si>
  <si>
    <t>['what', 'final', 'gila', 'final', 'paling', 'dramatis', 'piala', 'dunia']</t>
  </si>
  <si>
    <t>Dag-dig-dug...  Perasaan yang sama saat nonton laga final Piala Dunia 1994 Brazil vs Italy  Akhirnya...  Lega...  Jago akhirnya Juara.</t>
  </si>
  <si>
    <t>dag dig dug perasaan yang sama saat nonton laga final piala dunia brazil italy akhirnya lega jago akhirnya juara</t>
  </si>
  <si>
    <t>['dag', 'dig', 'dug', 'perasaan', 'sama', 'nonton', 'laga', 'final', 'piala', 'dunia', 'brazil', 'italy', 'akhirnya', 'lega', 'jago', 'akhirnya', 'juara']</t>
  </si>
  <si>
    <t>Spot Jantung banget nonton final piala dunia malem ini Andalan gua terbaik banget  Congrats Argentina üá¶üá∑üá¶üá∑üá¶üá∑üá¶üá∑üá¶üá∑üá¶üá∑üá¶üá∑üá¶üá∑üá¶üá∑üá¶üá∑</t>
  </si>
  <si>
    <t>spot jantung banget nonton final piala dunia malem ini andalan gua terbaik banget congrats argentina</t>
  </si>
  <si>
    <t>['spot', 'jantung', 'banget', 'nonton', 'final', 'piala', 'dunia', 'malem', 'andalan', 'gua', 'terbaik', 'banget', 'congrats', 'argentina']</t>
  </si>
  <si>
    <t>Final Piala Dunia terbaik sepanjang masa. Hattrick bocah ajaib @KMbappe , Messi melengkapi gelar sepakbolanya . What A Game !!!!!  Sepakbola itu indah kawan , CONGRATS @Argentina üî•üî•üî•üòéüòé</t>
  </si>
  <si>
    <t>final piala dunia terbaik sepanjang masa hattrick bocah ajaib messi melengkapi gelar sepakbolanya what game sepakbola itu indah kawan congrats</t>
  </si>
  <si>
    <t>['final', 'piala', 'dunia', 'terbaik', 'sepanjang', 'masa', 'hattrick', 'bocah', 'ajaib', 'messi', 'melengkapi', 'gelar', 'sepakbolanya', 'what', 'game', 'sepakbola', 'indah', 'kawan', 'congrats']</t>
  </si>
  <si>
    <t>Partai Final Piala Dunia Qatar 2022 yg terbaik yg sy tonton..</t>
  </si>
  <si>
    <t>partai final piala dunia qatar terbaik tonton</t>
  </si>
  <si>
    <t>['partai', 'final', 'piala', 'dunia', 'qatar', 'terbaik', 'tonton']</t>
  </si>
  <si>
    <t>@eetdaaah Akhirnya selesai juga piala dunia yg di setting FIFA dari wasit hakim garis sampe wasit VAR sudah dibayar dan final sudah jelas settingan yg juara ga kalah dan yg kalah runner-up üëè</t>
  </si>
  <si>
    <t>akhirnya selesai juga piala dunia setting fifa dari wasit hakim garis sampe wasit var sudah dibayar dan final sudah jelas settingan juara kalah dan kalah runner</t>
  </si>
  <si>
    <t>['akhirnya', 'selesai', 'piala', 'dunia', 'setting', 'fifa', 'wasit', 'hakim', 'garis', 'sampai', 'wasit', 'var', 'dibayar', 'final', 'jelas', 'settingan', 'juara', 'kalah', 'kalah', 'runner']</t>
  </si>
  <si>
    <t>23 Tahun udah bisa hattrick di Final Piala Dunia. Gokil</t>
  </si>
  <si>
    <t>tahun udah bisa hattrick final piala dunia gokil</t>
  </si>
  <si>
    <t>['tahun', 'udah', 'hattrick', 'final', 'piala', 'dunia', 'gila']</t>
  </si>
  <si>
    <t>Rated untuk final piala dunia 2022? üí≠  https://t.co/IifCezvicD</t>
  </si>
  <si>
    <t>rated untuk final piala dunia</t>
  </si>
  <si>
    <t>['rated', 'final', 'piala', 'dunia']</t>
  </si>
  <si>
    <t>@idextratime Merinding gw, bersyukur banget dkasih kesempatan buat nonton dari awal sampe final terbaik di piala dunia terbaaaikkkkkk</t>
  </si>
  <si>
    <t>merinding bersyukur banget dkasih kesempatan buat nonton dari awal sampe final terbaik piala dunia terbaaaikkkkkk</t>
  </si>
  <si>
    <t>['merinding', 'bersyukur', 'banget', 'dkasih', 'kesempatan', 'buat', 'nonton', 'awal', 'sampai', 'final', 'terbaik', 'piala', 'dunia', 'terbaaaikkkkkk']</t>
  </si>
  <si>
    <t>Final piala dunia terbaik selama nonton bola</t>
  </si>
  <si>
    <t>final piala dunia terbaik selama nonton bola</t>
  </si>
  <si>
    <t>['final', 'piala', 'dunia', 'terbaik', 'selama', 'nonton', 'bola']</t>
  </si>
  <si>
    <t>final piala dunia terseru argentina vs prancis üî•</t>
  </si>
  <si>
    <t>final piala dunia terseru argentina prancis</t>
  </si>
  <si>
    <t>['final', 'piala', 'dunia', 'terseru', 'argentina', 'prancis']</t>
  </si>
  <si>
    <t>Argentina juara Piala Dunia 2022 setelah mengalahkan Prancis di partai final melalui babak adu penalti.  https://t.co/m3pDbqwd4E</t>
  </si>
  <si>
    <t>Sesuai prediksi, Argentina menang‚ù§ Proficiat. Ini final piala dunia yang seru. Perancis juga berjuang mati-matian.  https://t.co/YxaGKoLM9Z</t>
  </si>
  <si>
    <t>sesuai prediksi argentina menang proficiat ini final piala dunia yang seru perancis juga berjuang mati matian</t>
  </si>
  <si>
    <t>['sesuai', 'prediksi', 'argentina', 'menang', 'proficiat', 'final', 'piala', 'dunia', 'seru', 'perancis', 'berjuang', 'mati', 'matian']</t>
  </si>
  <si>
    <t>ARGENTINA JUARA PIALA DUNIA 2022! üéâ  Lionel Messi Cs berhasil kalahkan Prancis di adu penalti dalam laga final yang dilangsungkan di Lusail Iconic Stadium, Minggu (18/12/2022).</t>
  </si>
  <si>
    <t>argentina juara piala dunia lionel messi berhasil kalahkan prancis adu penalti dalam laga final yang dilangsungkan lusail iconic stadium minggu</t>
  </si>
  <si>
    <t>['argentina', 'juara', 'piala', 'dunia', 'lionel', 'messi', 'berhasil', 'kalahkan', 'prancis', 'adu', 'penalti', 'laga', 'final', 'dilangsungkan', 'lusail', 'iconic', 'stadium', 'minggu']</t>
  </si>
  <si>
    <t>Akhirnya Argentina juara, Messi juara.  Ngefans sama ini negara sejak pertama kali nonton Pildun 2010, karena adanya Messi juga sih jadi dukung Argentina waktu itu. Malam ini begitu indah, Piala Dunia yang menarik, final yang seru dan hasil akhir yang memuaskan.  #FIFAWorldCup</t>
  </si>
  <si>
    <t>akhirnya argentina juara messi juara ngefans sama ini negara sejak pertama kali nonton pildun karena adanya messi juga sih jadi dukung argentina waktu itu malam ini begitu indah piala dunia yang menarik final yang seru dan hasil akhir yang memuaskan</t>
  </si>
  <si>
    <t>['akhirnya', 'argentina', 'juara', 'messi', 'juara', 'ngefans', 'sama', 'negara', 'sejak', 'pertama', 'kali', 'nonton', 'piala dunia', 'adanya', 'messi', 'jadi', 'dukung', 'argentina', 'waktu', 'malam', 'indah', 'piala', 'dunia', 'menarik', 'final', 'seru', 'hasil', 'akhir', 'memuaskan']</t>
  </si>
  <si>
    <t>Gebyar Piala Dunia Catar 2022!!! KaLapas Kelas IIA Pematangsiantar Kanwil Kemkumham Sumut Saksikan Final FIFA World Cup Catar 2022, Argentina Vs France.   https://t.co/Fq5ym9tCTQ  #KumhamPasti #KemenkumhamSumut #Ombudsman #KemenpanRB #rbkunwas #LapatarBETAH #LapasSiantar  https://t.co/Aa10k45Vkx</t>
  </si>
  <si>
    <t>gebyar piala dunia catar kalapas kelas iia pematangsiantar kanwil kemkumham sumut saksikan final fifa world cup catar argentina france</t>
  </si>
  <si>
    <t>['gebyar', 'piala', 'dunia', 'catar', 'kalapas', 'kelas', 'iia', 'pematangsiantar', 'kanwil', 'kemkumham', 'sumut', 'saksikan', 'final', 'fifa', 'world', 'cup', 'catar', 'argentina', 'france']</t>
  </si>
  <si>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</si>
  <si>
    <t>dari drama wasit katanya timpang nebak argen malah prancis diving demi dicing dilakukan sampai suguhan messi mbappe top player ever gokil piala dunia ditutup dengan pertandingan final yang spectakuler sekali inilah sepakbola dunia great fwc</t>
  </si>
  <si>
    <t>['drama', 'wasit', 'katanya', 'timpang', 'nebak', 'argen', 'malah', 'prancis', 'diving', 'dicing', 'dilakukan', 'suguhan', 'messi', 'mbappe', 'top', 'player', 'ever', 'gila', 'piala', 'dunia', 'ditutup', 'pertandingan', 'final', 'spectakuler', 'sekali', 'inilah', 'sepakbola', 'dunia', 'great', 'fwc']</t>
  </si>
  <si>
    <t>Final paling epik dalam sejarah Piala Dunia... Puas hati sgt</t>
  </si>
  <si>
    <t>final paling epik dalam sejarah piala dunia puas hati sgt</t>
  </si>
  <si>
    <t>['final', 'paling', 'epik', 'sejarah', 'piala', 'dunia', 'puas', 'hati', 'sangat']</t>
  </si>
  <si>
    <t>Gak tau ya klo sepanjang masa. Tapi ini jelas final terbaik sepanjang saya nonton Piala Dunia (2002 - sekarang).</t>
  </si>
  <si>
    <t>gak tau klo sepanjang masa tapi ini jelas final terbaik sepanjang saya nonton piala dunia sekarang</t>
  </si>
  <si>
    <t>['sepanjang', 'masa', 'jelas', 'final', 'terbaik', 'sepanjang', 'nonton', 'piala', 'dunia', 'sekarang']</t>
  </si>
  <si>
    <t>Final piala dunia terbaik yg pernah saya tontonüî•</t>
  </si>
  <si>
    <t>final piala dunia terbaik pernah saya tonton</t>
  </si>
  <si>
    <t>@idextratime Pertandingan final berkelas selama gw nnton Piala Dunia dari 1998 sampe 2022 ini, permainan kedua negara...kelas üëèüëè Congratulations Argentina.</t>
  </si>
  <si>
    <t>Congrats Argentina. Final piala dunia terdegdegan aslii drama bangetüò≠üíñ</t>
  </si>
  <si>
    <t>congrats argentina final piala dunia terdegdegan aslii drama banget</t>
  </si>
  <si>
    <t>['congrats', 'argentina', 'final', 'piala', 'dunia', 'terdegdegan', 'aslii', 'drama', 'banget']</t>
  </si>
  <si>
    <t>Salah satu final piala dunia terbaik üëè</t>
  </si>
  <si>
    <t>@NogoSosroAsli @semiaji_w @Pekaklonto76  https://t.co/bIHjErmG17  Argentina berhasil merebut trofi juara Piala Dunia 2022. Argentina mengalahkan Prancis di final melalui adu penalti 4-1, usai bermain seri 3-3 di extra time.</t>
  </si>
  <si>
    <t>Terlepas dari Italia juara 2006, ini final terbaik piala dunia yang pernah gue tonton</t>
  </si>
  <si>
    <t>terlepas dari italia juara ini final terbaik piala dunia yang pernah gue tonton</t>
  </si>
  <si>
    <t>['terlepas', 'italia', 'juara', 'final', 'terbaik', 'piala', 'dunia', 'pernah', 'gue', 'tonton']</t>
  </si>
  <si>
    <t>Salah satu final terbaik sepanjang sejarah.  Final piala dunia 2022 Qatar</t>
  </si>
  <si>
    <t>salah satu final terbaik sepanjang sejarah final piala dunia qatar</t>
  </si>
  <si>
    <t>['salah', 'satu', 'final', 'terbaik', 'sepanjang', 'sejarah', 'final', 'piala', 'dunia', 'qatar']</t>
  </si>
  <si>
    <t>Gilaa bgttt gue jdi salah satu saksi final piala dunia terbaikkkkk teranjinggg terplottwist POKOKNYA WORLD CUP 2022 GA ADA OTAK!!!</t>
  </si>
  <si>
    <t>gilaa bgttt gue jdi salah satu saksi final piala dunia terbaikkkkk teranjinggg terplottwist pokoknya world cup ada otak</t>
  </si>
  <si>
    <t>['gilaa', 'bgttt', 'gue', 'jdi', 'salah', 'satu', 'saksi', 'final', 'piala', 'dunia', 'terbaikkkkk', 'teranjinggg', 'terplottwist', 'pokoknya', 'world', 'cup', 'otak']</t>
  </si>
  <si>
    <t>Mbappe menjadi pemain kedua yang pernah hattrick di final piala dunia</t>
  </si>
  <si>
    <t>mbappe menjadi pemain kedua yang pernah hattrick final piala dunia</t>
  </si>
  <si>
    <t>['mbappe', 'menjadi', 'pemain', 'kedua', 'pernah', 'hattrick', 'final', 'piala', 'dunia']</t>
  </si>
  <si>
    <t>WHAT A FINAL?!! Saya akui ini final terbaik yang pernah saya tonton di piala dunia, setuju???</t>
  </si>
  <si>
    <t>what final saya akui ini final terbaik yang pernah saya tonton piala dunia setuju</t>
  </si>
  <si>
    <t>['what', 'final', 'akui', 'final', 'terbaik', 'pernah', 'tonton', 'piala', 'dunia', 'setuju']</t>
  </si>
  <si>
    <t>gw jarang bgt ngehype bola, tapi kalo piala dunia beda weh, dari dulu selalu seneng pas final üò≠ kek hypenya tetep rame gitu, jadi kangen om yg udh nggak ada ü•≤ (jd campuraduk)</t>
  </si>
  <si>
    <t>jarang bgt ngehype bola tapi kalo piala dunia beda weh dari dulu selalu seneng pas final kek hypenya tetep rame gitu jadi kangen udh nggak ada campuraduk</t>
  </si>
  <si>
    <t>['jarang', 'banget', 'ngehype', 'bola', 'piala', 'dunia', 'beda', 'weh', 'dulu', 'selalu', 'seneng', 'pas', 'final', 'kek', 'hypenya', 'tetep', 'ramai', 'gitu', 'jadi', 'kangen', 'sudah', 'campuraduk']</t>
  </si>
  <si>
    <t>Udah feeling sih Argentina bakal juara berdasar pesan2 tersirat (halah! üòã). Dan Prancis emang punya riwayat sial kalah adu pinalti di final piala dunia (2006).</t>
  </si>
  <si>
    <t>udah feeling sih argentina bakal juara berdasar pesan tersirat halah dan prancis emang punya riwayat sial kalah adu pinalti final piala dunia</t>
  </si>
  <si>
    <t>['udah', 'feeling', 'argentina', 'bakal', 'juara', 'berdasar', 'pesan', 'tersirat', 'halah', 'prancis', 'emang', 'punya', 'riwayat', 'sial', 'kalah', 'adu', 'penalti', 'final', 'piala', 'dunia']</t>
  </si>
  <si>
    <t>Hasil Sementara Final Piala Dunia Qatar, Mbappe Buat Argentina dan Pendukungnya Loyo  https://t.co/VhvHPErepv</t>
  </si>
  <si>
    <t>hasil sementara final piala dunia qatar mbappe buat argentina dan pendukungnya loyo</t>
  </si>
  <si>
    <t>['hasil', 'final', 'piala', 'dunia', 'qatar', 'mbappe', 'buat', 'argentina', 'pendukungnya', 'loyo']</t>
  </si>
  <si>
    <t>walaupun saya dukung brazil, tapi ini final piala dunia yang sangat gilaaaa  selamat untuk argentina dan tetap semangat buat mbappe  https://t.co/LkNh8i9yol</t>
  </si>
  <si>
    <t>walaupun saya dukung brazil tapi ini final piala dunia yang sangat gilaaaa selamat untuk argentina dan tetap semangat buat mbappe</t>
  </si>
  <si>
    <t>['walaupun', 'dukung', 'brazil', 'final', 'piala', 'dunia', 'sangat', 'gilaaaa', 'selamat', 'argentina', 'tetap', 'semangat', 'buat', 'mbappe']</t>
  </si>
  <si>
    <t>Lionel Messi memecahkan sederet rekor baru usai tampil dan membawa Agentina menang atas Prancis di final Piala Dunia 2022. Berikut daftar lengkapnya.  https://t.co/rUnSsWh9Lv  https://t.co/wDFPO2xuT6</t>
  </si>
  <si>
    <t>lionel messi memecahkan sederet rekor baru usai tampil dan membawa agentina menang atas prancis final piala dunia berikut daftar lengkapnya</t>
  </si>
  <si>
    <t>['lionel', 'messi', 'memecahkan', 'sederet', 'rekor', 'baru', 'usai', 'tampil', 'membawa', 'agentina', 'menang', 'atas', 'prancis', 'final', 'piala', 'dunia', 'berikut', 'daftar', 'lengkapnya']</t>
  </si>
  <si>
    <t>Salah satu final terbaik dalam piala dunia. Dan Argentina menjadi juara WC 2022</t>
  </si>
  <si>
    <t>salah satu final terbaik dalam piala dunia dan argentina menjadi juara</t>
  </si>
  <si>
    <t>['salah', 'satu', 'final', 'terbaik', 'piala', 'dunia', 'argentina', 'menjadi', 'juara']</t>
  </si>
  <si>
    <t>jadi saksi sejarah what a moment banget anjir ini final piala dunia!!!</t>
  </si>
  <si>
    <t>jadi saksi sejarah what moment banget anjir ini final piala dunia</t>
  </si>
  <si>
    <t>['jadi', 'saksi', 'sejarah', 'what', 'moment', 'banget', 'anjir', 'final', 'piala', 'dunia']</t>
  </si>
  <si>
    <t>selama nonton final piala Dunia sebelum akhirnya Argentina yang juara bi lek:   ALIAS SELAMA NONTON GUE JANTUNGAN BANGET ANJIRTTT, BINGUNG NII JUARA DITANGAN SIAPEEE JADINYAAüò≠üò≠üò≠  https://t.co/VILVgwB7Ay</t>
  </si>
  <si>
    <t>selama nonton final piala dunia sebelum akhirnya argentina yang juara lek alias selama nonton gue jantungan banget anjirttt bingung nii juara ditangan siapeee jadinyaa</t>
  </si>
  <si>
    <t>['selama', 'nonton', 'final', 'piala', 'dunia', 'akhirnya', 'argentina', 'juara', 'lek', 'alias', 'selama', 'nonton', 'gue', 'jantungan', 'banget', 'anjirttt', 'bingung', 'nii', 'juara', 'ditangan', 'siapeee', 'jadinyaa']</t>
  </si>
  <si>
    <t>Berikut hasil final Piala Dunia 2022 Argentina vs Prancis yang berakhir lewat drama adu penalti setelah kedua tim bermain imbang 3-3 hingga babak tambahan.  https://t.co/OcdcAoxGuu  https://t.co/BRMKMHEkQG</t>
  </si>
  <si>
    <t>Hasil Final Piala Dunia 2022 Argentina vs Prancis: Adu Punalti Tim Tango 4 - 2 Les Blues  https://t.co/CGzkaAcEd8</t>
  </si>
  <si>
    <t>hasil final piala dunia argentina prancis adu punalti tim tango les blues</t>
  </si>
  <si>
    <t>['hasil', 'final', 'piala', 'dunia', 'argentina', 'prancis', 'adu', 'punalti', 'tim', 'tango', 'les', 'blues']</t>
  </si>
  <si>
    <t>salah satu final terbaik dalam sejarah Piala Dunia</t>
  </si>
  <si>
    <t>salah satu final terbaik dalam sejarah piala dunia</t>
  </si>
  <si>
    <t>['salah', 'satu', 'final', 'terbaik', 'sejarah', 'piala', 'dunia']</t>
  </si>
  <si>
    <t>Pak ustadz, apa boleh setelah nonton final piala dunia langsung tahajud? Karena kalo harus tidur dulu takutnya bablas sampe siang</t>
  </si>
  <si>
    <t>pak ustadz apa boleh setelah nonton final piala dunia langsung tahajud karena kalo harus tidur dulu takutnya bablas sampe siang</t>
  </si>
  <si>
    <t>['pak', 'ustadz', 'apa', 'nonton', 'final', 'piala', 'dunia', 'langsung', 'tahajud', 'tidur', 'dulu', 'takutnya', 'bablas', 'sampai', 'siang']</t>
  </si>
  <si>
    <t>Final piala dunia 2022 yang menegangkan ini dimenangkan oleh ARGENTINA!!!! ü•≥üëèüëèüá¶üá∑  Penalti 4-2</t>
  </si>
  <si>
    <t>final piala dunia yang menegangkan ini dimenangkan oleh argentina penalti</t>
  </si>
  <si>
    <t>['final', 'piala', 'dunia', 'menegangkan', 'dimenangkan', 'argentina', 'penalti']</t>
  </si>
  <si>
    <t>Yang indah dari pertandingan Final Piala Dunia kali ini yakni  pertandingan yang tersaji diantara Argentina dan Perancis. Dua tim yang menunjukkan kelasnya. Satu-satunya Final Piala Dunia yang paling bikin deg-degan dan menakjubkan. Congratulations untuk Argentina dan Messi!</t>
  </si>
  <si>
    <t>yang indah dari pertandingan final piala dunia kali ini yakni pertandingan yang tersaji diantara argentina dan perancis dua tim yang menunjukkan kelasnya satu satunya final piala dunia yang paling bikin deg degan dan menakjubkan congratulations untuk argentina dan messi</t>
  </si>
  <si>
    <t>['indah', 'pertandingan', 'final', 'piala', 'dunia', 'kali', 'pertandingan', 'tersaji', 'diantara', 'argentina', 'perancis', 'tim', 'menunjukkan', 'kelasnya', 'satu', 'satunya', 'final', 'piala', 'dunia', 'paling', 'deg', 'degan', 'menakjubkan', 'congratulations', 'argentina', 'messi']</t>
  </si>
  <si>
    <t>Final Piala Dunia paling seru sepanjang sejarah! üî• Selamat Argentina! üëè</t>
  </si>
  <si>
    <t>final piala dunia paling seru sepanjang sejarah selamat argentina</t>
  </si>
  <si>
    <t>['final', 'piala', 'dunia', 'paling', 'seru', 'sepanjang', 'sejarah', 'selamat', 'argentina']</t>
  </si>
  <si>
    <t>Final terbaik sejauh ini selama nonton piala dunia</t>
  </si>
  <si>
    <t>final terbaik sejauh ini selama nonton piala dunia</t>
  </si>
  <si>
    <t>['final', 'terbaik', 'sejauh', 'selama', 'nonton', 'piala', 'dunia']</t>
  </si>
  <si>
    <t>@FIFAWorldCup @adidasfootball Luar Biasa Final yang mengseru.. Congratss Argentina üá¶üá∑Juara Piala Dunia 2022 #FIFAWorldCup2022 üëèüèºüëèüèºü§©üèÖüèÜ  ü•áArgentinaüá¶üá∑ ü•àFranceüá´üá∑ ü•âKroasiaüá≠üá∑ #4 Marokoüá≤üá¶</t>
  </si>
  <si>
    <t>Layak menjadi pertandingan final terbaik di sepanjang perhelatan piala dunia sampai saat ini, yes final fifa world cup qatar 2022 argentina vs prancis. 18-12-2022</t>
  </si>
  <si>
    <t>layak menjadi pertandingan final terbaik sepanjang perhelatan piala dunia sampai saat ini yes final fifa world cup qatar argentina prancis</t>
  </si>
  <si>
    <t>['layak', 'menjadi', 'pertandingan', 'final', 'terbaik', 'sepanjang', 'perhelatan', 'piala', 'dunia', 'yes', 'final', 'fifa', 'world', 'cup', 'qatar', 'argentina', 'prancis']</t>
  </si>
  <si>
    <t>Piala dunia world cup 2022 di qatar saat ini sangat menarik, final argentina vs prancis berjalan dramatis, merupakan final terbaik,  menghasilkan juara terbaik melalui adu pinalti   Selamat argentina juara, dan salut buat kylian mbappe sebagai top Score  https://t.co/y1QxRJ8QM7</t>
  </si>
  <si>
    <t>piala dunia world cup qatar saat ini sangat menarik final argentina prancis berjalan dramatis merupakan final terbaik menghasilkan juara terbaik melalui adu pinalti selamat argentina juara dan salut buat kylian mbappe sebagai top score</t>
  </si>
  <si>
    <t>['piala', 'dunia', 'world', 'cup', 'qatar', 'sangat', 'menarik', 'final', 'argentina', 'prancis', 'berjalan', 'dramatis', 'merupakan', 'final', 'terbaik', 'menghasilkan', 'juara', 'terbaik', 'melalui', 'adu', 'penalti', 'selamat', 'argentina', 'juara', 'salut', 'buat', 'kylian', 'mbappe', 'top', 'score']</t>
  </si>
  <si>
    <t>Tumben nonton final piala dunia. Menegangkan dan luar biasa Kedua tim hebat üëç  Selamat buat tim Argentinaü•≥ü•≥ü•≥ü•≥</t>
  </si>
  <si>
    <t>tumben nonton final piala dunia menegangkan dan luar biasa kedua tim hebat selamat buat tim argentina</t>
  </si>
  <si>
    <t>['tumben', 'nonton', 'final', 'piala', 'dunia', 'menegangkan', 'luar', 'biasa', 'kedua', 'tim', 'hebat', 'selamat', 'buat', 'tim', 'argentina']</t>
  </si>
  <si>
    <t>Nonton Final Piala Dunia justru seru nonton status WA dan tweetnya orang-orang... Kadang sampe war status... Lucu...ü§£  Selamat Argentina, Messi pensiun full senyum... üá¶üá∑</t>
  </si>
  <si>
    <t>nonton final piala dunia justru seru nonton status dan tweetnya orang orang kadang sampe war status lucu selamat argentina messi pensiun full senyum</t>
  </si>
  <si>
    <t>['nonton', 'final', 'piala', 'dunia', 'justru', 'seru', 'nonton', 'status', 'tweetnya', 'orang', 'orang', 'kadang', 'sampai', 'war', 'status', 'lucu', 'selamat', 'argentina', 'messi', 'pensiun', 'full', 'senyum']</t>
  </si>
  <si>
    <t>Analisis partai final piala Dunia, Argentina kuat early game, makronya bagus. Kalau Perancis mekanik Mbappe luar biasa tapi kalah makro.</t>
  </si>
  <si>
    <t>analisis partai final piala dunia argentina kuat early game makronya bagus kalau perancis mekanik mbappe luar biasa tapi kalah makro</t>
  </si>
  <si>
    <t>['analisis', 'partai', 'final', 'piala', 'dunia', 'argentina', 'kuat', 'early', 'game', 'makronya', 'bagus', 'kalau', 'perancis', 'mekanik', 'mbappe', 'luar', 'biasa', 'kalah', 'makro']</t>
  </si>
  <si>
    <t>Desember yang sungguh melelahkan, bikin gak bisa nonton pertandingan Piala Dunia mulai dari babak penyisihan. Tapi ternyata Argentina maju sampe final dan bisa nonton. Meski Italia gak masuk, tapi Argentina juara udah senengü§£</t>
  </si>
  <si>
    <t>desember yang sungguh melelahkan bikin gak bisa nonton pertandingan piala dunia mulai dari babak penyisihan tapi ternyata argentina maju sampe final dan bisa nonton meski italia gak masuk tapi argentina juara udah seneng</t>
  </si>
  <si>
    <t>['desember', 'sungguh', 'melelahkan', 'nonton', 'pertandingan', 'piala', 'dunia', 'mulai', 'babak', 'penyisihan', 'ternyata', 'argentina', 'maju', 'sampai', 'final', 'nonton', 'meski', 'italia', 'masuk', 'argentina', 'juara', 'udah', 'seneng']</t>
  </si>
  <si>
    <t>Menutup akhir pekan dengan suguhan final piala dunia terbaik!! üî•üî•</t>
  </si>
  <si>
    <t>menutup akhir pekan dengan suguhan final piala dunia terbaik</t>
  </si>
  <si>
    <t>['menutup', 'akhir', 'pekan', 'suguhan', 'final', 'piala', 'dunia', 'terbaik']</t>
  </si>
  <si>
    <t>@BroadcastBola Final piala Dunia paling dramatis yg saya tonton...yang menang dan kalah sama2 menangis... Applause utk kedua tim üëèüëèüëè</t>
  </si>
  <si>
    <t>final piala dunia paling dramatis saya tonton yang menang dan kalah sama menangis applause utk kedua tim</t>
  </si>
  <si>
    <t>['final', 'piala', 'dunia', 'paling', 'dramatis', 'tonton', 'menang', 'kalah', 'sama', 'menangis', 'applause', 'kedua', 'tim']</t>
  </si>
  <si>
    <t>Final piala dunia yang sangat intens</t>
  </si>
  <si>
    <t>final piala dunia yang sangat intens</t>
  </si>
  <si>
    <t>['final', 'piala', 'dunia', 'sangat', 'intens']</t>
  </si>
  <si>
    <t>Final piala dunia KOBONGANN CAKK</t>
  </si>
  <si>
    <t>final piala dunia kobongann cakk</t>
  </si>
  <si>
    <t>['final', 'piala', 'dunia', 'kobongann', 'cakk']</t>
  </si>
  <si>
    <t>FINAL PIALA DUNIA PALING GILA SEPANJANG MASA</t>
  </si>
  <si>
    <t>final piala dunia paling gila sepanjang masa</t>
  </si>
  <si>
    <t>['final', 'piala', 'dunia', 'paling', 'gila', 'sepanjang', 'masa']</t>
  </si>
  <si>
    <t>FINAL PIALA DUNIA TERBAIK YANG TIDAK AKAN PERNAH TERLUPAKAN üî•</t>
  </si>
  <si>
    <t>final piala dunia terbaik yang tidak akan pernah terlupakan</t>
  </si>
  <si>
    <t>['final', 'piala', 'dunia', 'terbaik', 'pernah', 'terlupakan']</t>
  </si>
  <si>
    <t>Salah satu final piala dunia terbaik</t>
  </si>
  <si>
    <t>@SuporterFC Terakhir kali Final Piala Dunia adu penalti juga Perancis yg kalah (2006)</t>
  </si>
  <si>
    <t>terakhir kali final piala dunia adu penalti juga perancis kalah</t>
  </si>
  <si>
    <t>['terakhir', 'kali', 'final', 'piala', 'dunia', 'adu', 'penalti', 'perancis', 'kalah']</t>
  </si>
  <si>
    <t>Final piala dunia terbaik selama ini,spektakuler</t>
  </si>
  <si>
    <t>final piala dunia terbaik selama ini spektakuler</t>
  </si>
  <si>
    <t>['final', 'piala', 'dunia', 'terbaik', 'selama', 'spektakuler']</t>
  </si>
  <si>
    <t>What a final  Ini baru yg namanya final piala dunia  Panas dingin #ARGFRA  #Argentina  #FIFAWorldCup</t>
  </si>
  <si>
    <t>what final ini baru namanya final piala dunia panas dingin</t>
  </si>
  <si>
    <t>['what', 'final', 'baru', 'namanya', 'final', 'piala', 'dunia', 'panas', 'dingin']</t>
  </si>
  <si>
    <t>MATCH SERU FINAL PIALA DUNIA 2022 ü§Øü§Øüëèüëè</t>
  </si>
  <si>
    <t>match seru final piala dunia</t>
  </si>
  <si>
    <t>['match', 'seru', 'final', 'piala', 'dunia']</t>
  </si>
  <si>
    <t>Argentina juara Piala Dunia 2022 setelah mengalahkan Prancis di partai final melalui babak adu penalti.  https://t.co/Pjuiae10Qv</t>
  </si>
  <si>
    <t>haechan kamu bangga gak aku nonton final piala dunia sambil stream candy  https://t.co/592rMd0d2M</t>
  </si>
  <si>
    <t>haechan kamu bangga gak aku nonton final piala dunia sambil stream candy</t>
  </si>
  <si>
    <t>['haechan', 'kamu', 'bangga', 'aku', 'nonton', 'final', 'piala', 'dunia', 'stream', 'candy']</t>
  </si>
  <si>
    <t>bukan org yg suka bola tapi final piala dunia ini agak bikin senam jantung yaahhh. what a great game with all the dramas. congrats for argentinaüôåüèªüôåüèªüôåüèª messi bapack2 cakep menaaang‚ô°  prancis jg selamat juara 2üôåüèªüôåüèª</t>
  </si>
  <si>
    <t>bukan org suka bola tapi final piala dunia ini agak bikin senam jantung yaahhh what great game with all the dramas congrats for argentina messi bapack cakep menaaang prancis selamat juara</t>
  </si>
  <si>
    <t>['bukan', 'org', 'suka', 'bola', 'final', 'piala', 'dunia', 'senam', 'jantung', 'yaahhh', 'what', 'great', 'game', 'with', 'all', 'the', 'dramas', 'congrats', 'for', 'argentina', 'messi', 'bapack', 'cakep', 'menaaang', 'prancis', 'selamat', 'juara']</t>
  </si>
  <si>
    <t>Final piala dunia yang sempurna buat Messi. The real GOAT üêê</t>
  </si>
  <si>
    <t>final piala dunia yang sempurna buat messi the real goat</t>
  </si>
  <si>
    <t>['final', 'piala', 'dunia', 'sempurna', 'buat', 'messi', 'the', 'real', 'goat']</t>
  </si>
  <si>
    <t>Final piala dunia terbaik yang pernah saya tonton, selamat tinggal era ronaldo vs messi.  Terimakasih sudah menemani masa muda sampai tua üôè</t>
  </si>
  <si>
    <t>final piala dunia terbaik yang pernah saya tonton selamat tinggal era ronaldo messi terimakasih sudah menemani masa muda sampai tua</t>
  </si>
  <si>
    <t>['final', 'piala', 'dunia', 'terbaik', 'pernah', 'tonton', 'selamat', 'tinggal', 'era', 'ronaldo', 'messi', 'terimakasih', 'menemani', 'masa', 'muda', 'tua']</t>
  </si>
  <si>
    <t>Ini adalah final piala dunia terbaikkkk üò≠üò≠üò≠</t>
  </si>
  <si>
    <t>ini adalah final piala dunia terbaikkkk</t>
  </si>
  <si>
    <t>['final', 'piala', 'dunia', 'terbaikkkk']</t>
  </si>
  <si>
    <t>Babak 1 yang antiklimaks. Babak 2 yang tiba tiba imbang. Perpanjangan waktu yang tukar serangan. Pinalti yang tertebak.  Final Piala Dunia terbaik yang pernah saya tonton. ü§òüèª</t>
  </si>
  <si>
    <t>babak yang antiklimaks babak yang tiba tiba imbang perpanjangan waktu yang tukar serangan pinalti yang tertebak final piala dunia terbaik yang pernah saya tonton</t>
  </si>
  <si>
    <t>['babak', 'antiklimaks', 'babak', 'tiba', 'tiba', 'imbang', 'perpanjangan', 'waktu', 'tukar', 'serangan', 'penalti', 'tertebak', 'final', 'piala', 'dunia', 'terbaik', 'pernah', 'tonton']</t>
  </si>
  <si>
    <t>Terima kasih Argentina &amp;amp; France atas drama pertandingan Final Piala Dunja ini yang seru. Untuk France tetap semangat dan coba lagi dikesempatan berikutnya. Dan SELAMAT UNTUK ARGENTINA ATAS JUARA PIALA DUNIA 2022</t>
  </si>
  <si>
    <t>terima kasih argentina france atas drama pertandingan final piala dunja ini yang seru untuk france tetap semangat dan coba lagi dikesempatan berikutnya dan selamat untuk argentina atas juara piala dunia</t>
  </si>
  <si>
    <t>['terima', 'kasih', 'argentina', 'france', 'atas', 'drama', 'pertandingan', 'final', 'piala', 'dunja', 'seru', 'france', 'tetap', 'semangat', 'coba', 'dikesempatan', 'berikutnya', 'selamat', 'argentina', 'atas', 'juara', 'piala', 'dunia']</t>
  </si>
  <si>
    <t>final piala dunia ideal. sangat menghibur üëè</t>
  </si>
  <si>
    <t>final piala dunia ideal sangat menghibur</t>
  </si>
  <si>
    <t>['final', 'piala', 'dunia', 'ideal', 'sangat', 'menghibur']</t>
  </si>
  <si>
    <t>Final piala dunia terkeren yang pernah w tontonüëçüò≠</t>
  </si>
  <si>
    <t>final piala dunia terkeren yang pernah tonton</t>
  </si>
  <si>
    <t>['final', 'piala', 'dunia', 'terkeren', 'pernah', 'tonton']</t>
  </si>
  <si>
    <t>Prancis harus akui keunggulan Argentina pada Final Piala Dunia 2022 dengan skor 3-3 (2-4).  Pendapatmu?  #Lapangbolacom #LapangbolaStats #LapangbolaFacts #WorldCup #WorldCup2022 #PialaDunia #PialaDunia2022 #Argentina #Prancis  https://t.co/Mr81L9FCwU</t>
  </si>
  <si>
    <t>prancis harus akui keunggulan argentina pada final piala dunia dengan skor pendapatmu</t>
  </si>
  <si>
    <t>['prancis', 'akui', 'keunggulan', 'argentina', 'final', 'piala', 'dunia', 'skor', 'pendapatmu']</t>
  </si>
  <si>
    <t>final piala dunia terbaik yang pernah ada, karena messi yang jadi pemenangnya üëè</t>
  </si>
  <si>
    <t>final piala dunia terbaik yang pernah ada karena messi yang jadi pemenangnya</t>
  </si>
  <si>
    <t>['final', 'piala', 'dunia', 'terbaik', 'pernah', 'messi', 'jadi', 'pemenangnya']</t>
  </si>
  <si>
    <t>astaga serunya final piala dunia tahun ini</t>
  </si>
  <si>
    <t>['astaga', 'serunya', 'final', 'piala', 'dunia', 'tahun']</t>
  </si>
  <si>
    <t>Final Piala Dunia paling seru....</t>
  </si>
  <si>
    <t>Mbappe 23 tahun nyetak skor 4x di final piala dunia. Gue 23 tahun lagi ngapain yah‚Ä¶</t>
  </si>
  <si>
    <t>mbappe tahun nyetak skor final piala dunia gue tahun lagi ngapain yah</t>
  </si>
  <si>
    <t>['mbappe', 'tahun', 'nyetak', 'skor', 'final', 'piala', 'dunia', 'gue', 'tahun', 'ngapain']</t>
  </si>
  <si>
    <t>Final terbaik selama lihat piala dunia üëè</t>
  </si>
  <si>
    <t>final terbaik selama lihat piala dunia</t>
  </si>
  <si>
    <t>['final', 'terbaik', 'selama', 'lihat', 'piala', 'dunia']</t>
  </si>
  <si>
    <t>gagal menendang penalti di final piala dunia overthinking nya berapa lama</t>
  </si>
  <si>
    <t>gagal menendang penalti final piala dunia overthinking nya berapa lama</t>
  </si>
  <si>
    <t>['gagal', 'menendang', 'penalti', 'final', 'piala', 'dunia', 'overthinking', 'berapa', 'lama']</t>
  </si>
  <si>
    <t>Apresiasi buat Perancis, sudahlah mematahkan kutukan juara piala dunia, bisa sampai ke final tanpa Kante, Pogba, dan Benzema. Walaupun Final World Cup 2006 terulang kembali (kalah adu pinalti).</t>
  </si>
  <si>
    <t>apresiasi buat perancis sudahlah mematahkan kutukan juara piala dunia bisa sampai final tanpa kante pogba dan benzema walaupun final world cup terulang kembali kalah adu pinalti</t>
  </si>
  <si>
    <t>['apresiasi', 'buat', 'perancis', 'sudahlah', 'mematahkan', 'kutukan', 'juara', 'piala', 'dunia', 'final', 'kante', 'pogba', 'benzema', 'walaupun', 'final', 'world', 'cup', 'terulang', 'kalah', 'adu', 'penalti']</t>
  </si>
  <si>
    <t>Final sudah kebayar tuntas. Selamat jalan piala dunia selanjutnya. üëå</t>
  </si>
  <si>
    <t>final sudah kebayar tuntas selamat jalan piala dunia selanjutnya</t>
  </si>
  <si>
    <t>['final', 'kebayar', 'tuntas', 'selamat', 'jalan', 'piala', 'dunia', 'selanjutnya']</t>
  </si>
  <si>
    <t>Final terbaik selama piala dunia. RESPECTüòáüôè</t>
  </si>
  <si>
    <t>final terbaik selama piala dunia respect</t>
  </si>
  <si>
    <t>['final', 'terbaik', 'selama', 'piala', 'dunia', 'respect']</t>
  </si>
  <si>
    <t>Final piala dunia terbaik, selamat argentina !</t>
  </si>
  <si>
    <t>final piala dunia terbaik selamat argentina</t>
  </si>
  <si>
    <t>['final', 'piala', 'dunia', 'terbaik', 'selamat', 'argentina']</t>
  </si>
  <si>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</si>
  <si>
    <t>argentina akhirnya mampu kalahkan prancis lewat drama adu penalti dan sukses menjadi juara piala diala dunia final yang sangat seru penuh drama dan banyak gol selamat untuk argentina vamos</t>
  </si>
  <si>
    <t>['argentina', 'akhirnya', 'mampu', 'kalahkan', 'prancis', 'lewat', 'drama', 'adu', 'penalti', 'sukses', 'menjadi', 'juara', 'piala', 'diala', 'dunia', 'final', 'sangat', 'seru', 'penuh', 'drama', 'banyak', 'gol', 'selamat', 'argentina', 'vamos']</t>
  </si>
  <si>
    <t>Luar Biasa Final yang mengseru.. Congratss Argentina üá¶üá∑Juara Piala Dunia 2022 #FIFAWorldCup2022 üëèüèºüëèüèºü§©üèÖüèÜ  ü•áArgentinaüá¶üá∑ ü•àFranceüá´üá∑ ü•âKroasiaüá≠üá∑ #4 Marokoüá≤üá¶</t>
  </si>
  <si>
    <t>Beneran kayak cerita di anime. Kalah di final 2014, lanjut di piala dunia terakhir sampe final lawan musuh terakhir yg ga gampang dikalahin, terus akhirnya menang dan juara ü•≤</t>
  </si>
  <si>
    <t>beneran kayak cerita anime kalah final lanjut piala dunia terakhir sampe final lawan musuh terakhir gampang dikalahin terus akhirnya menang dan juara</t>
  </si>
  <si>
    <t>['beneran', 'seperti', 'cerita', 'anime', 'kalah', 'final', 'lanjut', 'piala', 'dunia', 'terakhir', 'sampai', 'final', 'lawan', 'musuh', 'terakhir', 'gampang', 'dikalahin', 'terus', 'akhirnya', 'menang', 'juara']</t>
  </si>
  <si>
    <t>Baru kali ini ngikutin final piala dunia, dan senang akhirnya menang juga  krn sama" milih argentinaüòÇ biar full senyumüòÅü´∂</t>
  </si>
  <si>
    <t>baru kali ini ngikutin final piala dunia dan senang akhirnya menang juga krn sama milih argentina biar full senyum</t>
  </si>
  <si>
    <t>['baru', 'kali', 'ngikutin', 'final', 'piala', 'dunia', 'senang', 'akhirnya', 'menang', 'sama', 'milih', 'argentina', 'full', 'senyum']</t>
  </si>
  <si>
    <t>Final piala dunia terbaik!  Gemeteran sepanjang nonton walaupun france ku gagal pertahankan gelar üò≠</t>
  </si>
  <si>
    <t>final piala dunia terbaik gemeteran sepanjang nonton walaupun france gagal pertahankan gelar</t>
  </si>
  <si>
    <t>['final', 'piala', 'dunia', 'terbaik', 'gemeteran', 'sepanjang', 'nonton', 'walaupun', 'france', 'gagal', 'pertahankan', 'gelar']</t>
  </si>
  <si>
    <t>Final diluar nalar, masih pada mau bilang piala dunia settingan?</t>
  </si>
  <si>
    <t>final diluar nalar masih pada mau bilang piala dunia settingan</t>
  </si>
  <si>
    <t>['final', 'diluar', 'nalar', 'mau', 'piala', 'dunia', 'settingan']</t>
  </si>
  <si>
    <t>Final piala dunia terseruuu!!! Sampe capek kejar2an trs engep yg nonton üò≠üò≠‚ù§Ô∏è‚ù§Ô∏è</t>
  </si>
  <si>
    <t>final piala dunia terseruuu sampe capek kejar trs engep nonton</t>
  </si>
  <si>
    <t>['final', 'piala', 'dunia', 'terseruuu', 'sampai', 'lelah', 'kejar', 'terus', 'engep', 'nonton']</t>
  </si>
  <si>
    <t>Sebagai fans sepakbola, ini final terbaik selama pernah nonton Piala Dunia setelah 1986 pertama kali nonton Piala Dunia, EPIC !!!!  #FIFAWorldCup   #Qatar2022</t>
  </si>
  <si>
    <t>sebagai fans sepakbola ini final terbaik selama pernah nonton piala dunia setelah pertama kali nonton piala dunia epic</t>
  </si>
  <si>
    <t>['fans', 'sepakbola', 'final', 'terbaik', 'selama', 'pernah', 'nonton', 'piala', 'dunia', 'pertama', 'kali', 'nonton', 'piala', 'dunia', 'epic']</t>
  </si>
  <si>
    <t>@idextratime Meski Qatar sbg tuan rumah dg kontroversinya tapi ngasi Final Piala Dunia terbaik</t>
  </si>
  <si>
    <t>meski qatar sbg tuan rumah kontroversinya tapi ngasi final piala dunia terbaik</t>
  </si>
  <si>
    <t>['meski', 'qatar', 'sbg', 'tuan', 'rumah', 'kontroversinya', 'ngasi', 'final', 'piala', 'dunia', 'terbaik']</t>
  </si>
  <si>
    <t>Dari awal piala dunia, berharap antara Messi dan Ronaldo juara,  Dan akhirnya bener, Messi dan Argentina juaraa,  Final Terkerennn</t>
  </si>
  <si>
    <t>dari awal piala dunia berharap antara messi dan ronaldo juara dan akhirnya bener messi dan argentina juaraa final terkerennn</t>
  </si>
  <si>
    <t>['awal', 'piala', 'dunia', 'berharap', 'messi', 'ronaldo', 'juara', 'akhirnya', 'benar', 'messi', 'argentina', 'juaraa', 'final', 'terkerennn']</t>
  </si>
  <si>
    <t>final terseru selama gua nnton piala dunia</t>
  </si>
  <si>
    <t>['final', 'terseru', 'selama', 'gua', 'nnton', 'piala', 'dunia']</t>
  </si>
  <si>
    <t>Final Paling Menegangkan! Argentina Juara Piala Dunia 2022, Lionel Messi Raih Impiannya!  https://t.co/5nrBNc8Qpv  https://t.co/0SyhBWJO23</t>
  </si>
  <si>
    <t>final paling menegangkan argentina juara piala dunia lionel messi raih impiannya</t>
  </si>
  <si>
    <t>['final', 'paling', 'menegangkan', 'argentina', 'juara', 'piala', 'dunia', 'lionel', 'messi', 'raih', 'impiannya']</t>
  </si>
  <si>
    <t>Final Piala Dunia Argentina vs Prancis berlanjut ke babak adu penalti  https://t.co/wJoSRbnKl5</t>
  </si>
  <si>
    <t>Gila grand final piala dunia terbaik sih ini</t>
  </si>
  <si>
    <t>gila grand final piala dunia terbaik sih ini</t>
  </si>
  <si>
    <t>['gila', 'grand', 'final', 'piala', 'dunia', 'terbaik']</t>
  </si>
  <si>
    <t>Final piala dunia terbaik sepanjang sejarah cuy</t>
  </si>
  <si>
    <t>final piala dunia terbaik sepanjang sejarah cuy</t>
  </si>
  <si>
    <t>Yup, match final piala dunia terbaik menurut gua  dan sekali lagi. the real üêê is Messi  https://t.co/2YUdts2e0U</t>
  </si>
  <si>
    <t>yup match final piala dunia terbaik menurut gua dan sekali lagi the real messi</t>
  </si>
  <si>
    <t>['yup', 'match', 'final', 'piala', 'dunia', 'terbaik', 'gua', 'sekali', 'the', 'real', 'messi']</t>
  </si>
  <si>
    <t>Final piala dunia tergila dalam sejarah!! What a Final!!</t>
  </si>
  <si>
    <t>final piala dunia tergila dalam sejarah what final</t>
  </si>
  <si>
    <t>['final', 'piala', 'dunia', 'tergila', 'sejarah', 'what', 'final']</t>
  </si>
  <si>
    <t>Final terbaik selama nonton piala dunia ya walaupun akhirnya messi juara</t>
  </si>
  <si>
    <t>final terbaik selama nonton piala dunia walaupun akhirnya messi juara</t>
  </si>
  <si>
    <t>['final', 'terbaik', 'selama', 'nonton', 'piala', 'dunia', 'walaupun', 'akhirnya', 'messi', 'juara']</t>
  </si>
  <si>
    <t>Lionel Messi  The Perfect End of Last Dance  Gol ke 98 nya Utk Argentina ialah gol paling penting untuk dirinya  13 gol di sepanjang penyertaannya di Piala Dunia  Satu satunya pemain yang skor di semua pusingan Piala Dunia, Peringkat Kumpulan, R16, QF, SF dan Final  #FifaWorldCup</t>
  </si>
  <si>
    <t>lionel messi the perfect end last dance gol nya utk argentina ialah gol paling penting untuk dirinya gol sepanjang penyertaannya piala dunia satu satunya pemain yang skor semua pusingan piala dunia peringkat kumpulan dan final</t>
  </si>
  <si>
    <t>['lionel', 'messi', 'the', 'perfect', 'end', 'last', 'dance', 'gol', 'argentina', 'ialah', 'gol', 'paling', 'penting', 'dirinya', 'gol', 'sepanjang', 'penyertaannya', 'piala', 'dunia', 'satu', 'satunya', 'pemain', 'skor', 'semua', 'pusingan', 'piala', 'dunia', 'peringkat', 'kumpulan', 'final']</t>
  </si>
  <si>
    <t>feeling gua kelas pagi besok byk yang absen dah gara2 pada nonton final piala dunia wkwkwkw</t>
  </si>
  <si>
    <t>feeling gua kelas pagi besok byk yang absen dah gara pada nonton final piala dunia wkwkwkw</t>
  </si>
  <si>
    <t>['feeling', 'gua', 'kelas', 'pagi', 'besok', 'byk', 'absen', 'dah', 'gara', 'nonton', 'final', 'piala', 'dunia', 'wkwkwkw']</t>
  </si>
  <si>
    <t>Final piala dunia terseruuuuu üî•üî•üî•</t>
  </si>
  <si>
    <t>final piala dunia terseruuuuu</t>
  </si>
  <si>
    <t>['final', 'piala', 'dunia', 'terseruuuuu']</t>
  </si>
  <si>
    <t>Final piala dunia paling keren sih ini</t>
  </si>
  <si>
    <t>final piala dunia paling keren sih ini</t>
  </si>
  <si>
    <t>['final', 'piala', 'dunia', 'paling', 'keren']</t>
  </si>
  <si>
    <t>Lewati Final Penuh Drama, Argentina Juara Piala Dunia 2022  https://t.co/vVSiRlAOoV</t>
  </si>
  <si>
    <t>lewati final penuh drama argentina juara piala dunia</t>
  </si>
  <si>
    <t>['lewati', 'final', 'penuh', 'drama', 'argentina', 'juara', 'piala', 'dunia']</t>
  </si>
  <si>
    <t>Final piala dunia terseru üò¨</t>
  </si>
  <si>
    <t>Mbappe juga gila ini orang hattrick di Final Piala Dunia. Umur masih 23 dan secara matematika masih bisa ikut tiga edisi Piala Dunia ke depan..</t>
  </si>
  <si>
    <t>mbappe juga gila ini orang hattrick final piala dunia umur masih dan secara matematika masih bisa ikut tiga edisi piala dunia depan</t>
  </si>
  <si>
    <t>['mbappe', 'gila', 'orang', 'hattrick', 'final', 'piala', 'dunia', 'umur', 'matematika', 'ikut', 'tiga', 'edisi', 'piala', 'dunia', 'depan']</t>
  </si>
  <si>
    <t>Piala Dunia Match 64 (dari 64) Final  AET: [3] Argentina üá¶üá∑ 3-3 üá´üá∑ Prancis [4] ‚öΩ 23' Lionel Messi (pen) ‚öΩ 36' √Ångel Di Mar√≠a ‚öΩ 109' Lionel Messi ========================= ‚öΩ 80' Kylian Mbapp√© (pen) ‚öΩ 81' Kylian Mbapp√© ‚öΩ 118' Kylian Mbapp√© (pen)  https://t.co/npAI0n914N</t>
  </si>
  <si>
    <t>piala dunia match dari final aet argentina prancis lionel messi pen ngel mar lionel messi kylian mbapp pen kylian mbapp kylian mbapp pen</t>
  </si>
  <si>
    <t>['piala', 'dunia', 'match', 'final', 'aet', 'argentina', 'prancis', 'lionel', 'messi', 'ngel', 'mar', 'lionel', 'messi', 'kylian', 'mbapp', 'kylian', 'mbapp', 'kylian', 'mbapp']</t>
  </si>
  <si>
    <t>&lt;FreqDist with 13 samples and 19 outcomes&gt;</t>
  </si>
  <si>
    <t>Keren pisan lah final piala dunia 2022</t>
  </si>
  <si>
    <t>keren pisan lah final piala dunia</t>
  </si>
  <si>
    <t>['keren', 'pisan', 'lah', 'final', 'piala', 'dunia']</t>
  </si>
  <si>
    <t>final terseru piala dunia iniiii ajggg</t>
  </si>
  <si>
    <t>['final', 'terseru', 'piala', 'dunia', 'iniiii', 'ajggg']</t>
  </si>
  <si>
    <t>saya bersaksi dalam rentan 2002-2022 ini adalah final piala dunia terbaik üëè</t>
  </si>
  <si>
    <t>saya bersaksi dalam rentan ini adalah final piala dunia terbaik</t>
  </si>
  <si>
    <t>['bersaksi', 'rentan', 'final', 'piala', 'dunia', 'terbaik']</t>
  </si>
  <si>
    <t>sangat layak sekali pertandingan pada laga final piala dunia barusan üëèüèª</t>
  </si>
  <si>
    <t>sangat layak sekali pertandingan pada laga final piala dunia barusan</t>
  </si>
  <si>
    <t>['sangat', 'layak', 'sekali', 'pertandingan', 'laga', 'final', 'piala', 'dunia', 'barusan']</t>
  </si>
  <si>
    <t>best match of all time. moots ada yg nonton final piala dunia ga seru bgt aku mulesüò≠üò≠üò≠</t>
  </si>
  <si>
    <t>best match all time moots ada nonton final piala dunia seru bgt aku mules</t>
  </si>
  <si>
    <t>['best', 'match', 'all', 'time', 'moots', 'nonton', 'final', 'piala', 'dunia', 'seru', 'banget', 'aku', 'mules']</t>
  </si>
  <si>
    <t>mbappe 24 tahun hattrick gol di final piala dunia. ente keren ngab üí´</t>
  </si>
  <si>
    <t>mbappe tahun hattrick gol final piala dunia ente keren ngab</t>
  </si>
  <si>
    <t>['mbappe', 'tahun', 'hattrick', 'gol', 'final', 'piala', 'dunia', 'ente', 'keren', 'ngab']</t>
  </si>
  <si>
    <t>Akhirnya Messi juara piala dunia dengan Argentina Copa America üëç Piala dunia üëç Real Goat Final piala dunia paling seru &amp;amp; dramatis üî•üî•  https://t.co/CBadS42CCg</t>
  </si>
  <si>
    <t>akhirnya messi juara piala dunia dengan argentina copa america piala dunia real goat final piala dunia paling seru dramatis</t>
  </si>
  <si>
    <t>['akhirnya', 'messi', 'juara', 'piala', 'dunia', 'argentina', 'copa', 'america', 'piala', 'dunia', 'real', 'goat', 'final', 'piala', 'dunia', 'paling', 'seru', 'dramatis']</t>
  </si>
  <si>
    <t>bersyukur bgt bisa suka sama sepakbola, bisa nyaksiin final terseru ini bisa liat messi juara piala dunia</t>
  </si>
  <si>
    <t>bersyukur bgt bisa suka sama sepakbola bisa nyaksiin final terseru ini bisa liat messi juara piala dunia</t>
  </si>
  <si>
    <t>['bersyukur', 'banget', 'suka', 'sama', 'sepakbola', 'nyaksiin', 'final', 'terseru', 'lihat', 'messi', 'juara', 'piala', 'dunia']</t>
  </si>
  <si>
    <t>Final Piala dunia 2022, seru banget, setuju kah?</t>
  </si>
  <si>
    <t>final piala dunia seru banget setuju kah</t>
  </si>
  <si>
    <t>['final', 'piala', 'dunia', 'seru', 'banget', 'setuju']</t>
  </si>
  <si>
    <t>Final piala dunia paling seru Selamat argentina juara Ngerii üî•</t>
  </si>
  <si>
    <t>final piala dunia paling seru selamat argentina juara ngerii</t>
  </si>
  <si>
    <t>['final', 'piala', 'dunia', 'paling', 'seru', 'selamat', 'argentina', 'juara', 'ngerii']</t>
  </si>
  <si>
    <t>Kalahkan Prancis di Final, Argentina Juara Piala Dunia 2022 Qatar  https://t.co/d3Tvz41paA</t>
  </si>
  <si>
    <t>Final Piala Dunia terbaik memang #FIFAWorldCup</t>
  </si>
  <si>
    <t>final piala dunia terbaik memang</t>
  </si>
  <si>
    <t>['final', 'piala', 'dunia', 'terbaik', 'memang']</t>
  </si>
  <si>
    <t>Final piala dunia terseru yang pernah ku tonton. Aslii</t>
  </si>
  <si>
    <t>final piala dunia terseru yang pernah tonton aslii</t>
  </si>
  <si>
    <t>['final', 'piala', 'dunia', 'terseru', 'pernah', 'tonton', 'aslii']</t>
  </si>
  <si>
    <t>Pertandingan terbik!  Final Piala Dunia Ter-Epic!  Qatar 2022, Piala Dunia Terbaik!  üëèüëèüëè</t>
  </si>
  <si>
    <t>pertandingan terbik final piala dunia ter epic qatar piala dunia terbaik</t>
  </si>
  <si>
    <t>['pertandingan', 'terbik', 'final', 'piala', 'dunia', 'ter', 'epic', 'qatar', 'piala', 'dunia', 'terbaik']</t>
  </si>
  <si>
    <t>Benar2 bahagia nonton final Piala Dunia tahun ini</t>
  </si>
  <si>
    <t>benar bahagia nonton final piala dunia tahun ini</t>
  </si>
  <si>
    <t>['benar', 'bahagia', 'nonton', 'final', 'piala', 'dunia', 'tahun']</t>
  </si>
  <si>
    <t>Pertandingan Final piala dunia terbaik sepanjang masa</t>
  </si>
  <si>
    <t>pertandingan final piala dunia terbaik sepanjang masa</t>
  </si>
  <si>
    <t>['pertandingan', 'final', 'piala', 'dunia', 'terbaik', 'sepanjang', 'masa']</t>
  </si>
  <si>
    <t>Drama Final Piala dunia Qatar 2022 #FIFAWorldCup #WorldCup #ShortsFIFAWorldCup #ArgentinaFrancia #ArgentinaDay #ArgentinavsFrance #MessiìÉµ #Mbappe #MessiìÉµday #messivsmbappe  https://t.co/EyznIcBJRZ</t>
  </si>
  <si>
    <t>drama final piala dunia qatar day</t>
  </si>
  <si>
    <t>['drama', 'final', 'piala', 'dunia', 'qatar', 'day']</t>
  </si>
  <si>
    <t>Final piala dunia paling seru selama gua hidup, Argentina bisa menang eh malah handsball bbrp detik waktu habis. Yang menangin penalty buat juara yg gak sengaja handsball, second chance.</t>
  </si>
  <si>
    <t>final piala dunia paling seru selama gua hidup argentina bisa menang malah handsball bbrp detik waktu habis yang menangin penalty buat juara gak sengaja handsball second chance</t>
  </si>
  <si>
    <t>['final', 'piala', 'dunia', 'paling', 'seru', 'selama', 'gua', 'hidup', 'argentina', 'menang', 'malah', 'handsball', 'bbrp', 'detik', 'waktu', 'habis', 'menangin', 'penalty', 'buat', 'juara', 'sengaja', 'handsball', 'second', 'chance']</t>
  </si>
  <si>
    <t>Argentina menjadi juara Piala Dunia usai mengalahkan Prancis di final. Imbang 3 (4)-(2)3 hingga perpanjangan waktu membuat adu penalti menentukan gelar Argentina juara Piala Dunia #FIFAWorldCup Messi  https://t.co/vWaOs84gOI</t>
  </si>
  <si>
    <t>argentina menjadi juara piala dunia usai mengalahkan prancis final imbang hingga perpanjangan waktu membuat adu penalti menentukan gelar argentina juara piala dunia messi</t>
  </si>
  <si>
    <t>['argentina', 'menjadi', 'juara', 'piala', 'dunia', 'usai', 'mengalahkan', 'prancis', 'final', 'imbang', 'hingga', 'perpanjangan', 'waktu', 'membuat', 'adu', 'penalti', 'menentukan', 'gelar', 'argentina', 'juara', 'piala', 'dunia', 'messi']</t>
  </si>
  <si>
    <t>Seru banget gilak final piala dunia.. Selamat buat Aregntina üá¶üá∑</t>
  </si>
  <si>
    <t>seru banget gilak final piala dunia selamat buat aregntina</t>
  </si>
  <si>
    <t>['seru', 'banget', 'gilak', 'final', 'piala', 'dunia', 'selamat', 'buat', 'aregntina']</t>
  </si>
  <si>
    <t>Hasil Final Piala Dunia 2022: Lionel Messi Cetak Gol Lagi, Argentina Unggul 3-2 atas Prancis! #LengkapCepatBeritanya #Bola #SepakBola #SepakbolaDunia #BolaDunia .  https://t.co/3rzJSzzoWa</t>
  </si>
  <si>
    <t>hasil final piala dunia lionel messi cetak gol lagi argentina unggul atas prancis</t>
  </si>
  <si>
    <t>['hasil', 'final', 'piala', 'dunia', 'lionel', 'messi', 'cetak', 'gol', 'argentina', 'unggul', 'atas', 'prancis']</t>
  </si>
  <si>
    <t>Kita jadi saksi salah satu final terbaik dalam sejarah Piala Dunia.. üá¶üá∑üá´üá∑‚òùÔ∏èüò≠üò≠üò≠  https://t.co/tc0NtYQNmH</t>
  </si>
  <si>
    <t>final piala dunia paling apik üî•üî•üî• selamat argentina, akhirnya messi punya piala komplit. GGWP</t>
  </si>
  <si>
    <t>final piala dunia paling apik selamat argentina akhirnya messi punya piala komplit ggwp</t>
  </si>
  <si>
    <t>['final', 'piala', 'dunia', 'paling', 'apik', 'selamat', 'argentina', 'akhirnya', 'messi', 'punya', 'piala', 'komplit', 'ggwp']</t>
  </si>
  <si>
    <t>final piala dunia kali ini jauh di atas ekspektasi. jantung beneran dibikin gak aman.   congrats Argentina üèÜüèÜüèÜ #WorldCup #FIFAWorldCup</t>
  </si>
  <si>
    <t>final piala dunia kali ini jauh atas ekspektasi jantung beneran dibikin gak aman congrats argentina</t>
  </si>
  <si>
    <t>['final', 'piala', 'dunia', 'kali', 'jauh', 'atas', 'ekspektasi', 'jantung', 'beneran', 'dibikin', 'aman', 'congrats', 'argentina']</t>
  </si>
  <si>
    <t>masih percaya piala dunia ini settingan???  final edan gini kok settingan ü§¶‚Äç‚ôÇÔ∏è</t>
  </si>
  <si>
    <t>masih percaya piala dunia ini settingan final edan gini kok settingan</t>
  </si>
  <si>
    <t>['percaya', 'piala', 'dunia', 'settingan', 'final', 'edan', 'gini', 'kok', 'settingan']</t>
  </si>
  <si>
    <t>FINAL PIALA DUNIA PALING SERU!</t>
  </si>
  <si>
    <t>#ARG 3-3 #FRA (PEN: 4-2)  Argentina juara Piala Dunia!  Penalti yg memisahkan dua2 team ni. Rezeki pada Argentina. France tak bernasib baik.   Messi lengkapkan cup sepanjang karier dia. Mbappe paling terbaik harini. Perfect.  Final yg paling epic! Akan dirindui ü•≤  #FIFAWorldCup</t>
  </si>
  <si>
    <t>pen argentina juara piala dunia penalti memisahkan dua team rezeki pada argentina france tak bernasib baik messi lengkapkan cup sepanjang karier dia mbappe paling terbaik harini perfect final paling epic akan dirindui</t>
  </si>
  <si>
    <t>['argentina', 'juara', 'piala', 'dunia', 'penalti', 'memisahkan', 'team', 'rezeki', 'argentina', 'france', 'tak', 'bernasib', 'baik', 'messi', 'lengkapkan', 'cup', 'sepanjang', 'karier', 'mbappe', 'paling', 'terbaik', 'harini', 'perfect', 'final', 'paling', 'epic', 'dirindui']</t>
  </si>
  <si>
    <t>Final piala Dunia terbaik yg pernah ada üî• congratulations Argentina üèÜ Messi kambing üêê</t>
  </si>
  <si>
    <t>final piala dunia terbaik pernah ada congratulations argentina messi kambing</t>
  </si>
  <si>
    <t>['final', 'piala', 'dunia', 'terbaik', 'pernah', 'congratulations', 'argentina', 'messi', 'kambing']</t>
  </si>
  <si>
    <t>Selama nonton final piala dunia, tahun ini yang bener" bikin gelisah dan gregetan...pengen pipis sampe di tahan" sangkin seru nyaa</t>
  </si>
  <si>
    <t>selama nonton final piala dunia tahun ini yang bener bikin gelisah dan gregetan pengen pipis sampe tahan sangkin seru nyaa</t>
  </si>
  <si>
    <t>['selama', 'nonton', 'final', 'piala', 'dunia', 'tahun', 'benar', 'gelisah', 'gregetan', 'pengen', 'pipis', 'sampai', 'tahan', 'sangkin', 'seru', 'nyaa']</t>
  </si>
  <si>
    <t>Final terseru sepanjang piala Dunia # terimakasih camavinga dkk engkau tetap juara di hati kami fans real madrid</t>
  </si>
  <si>
    <t>final terseru sepanjang piala dunia terimakasih camavinga dkk engkau tetap juara hati kami fans real madrid</t>
  </si>
  <si>
    <t>['final', 'terseru', 'sepanjang', 'piala', 'dunia', 'terimakasih', 'camavinga', 'dkk', 'engkau', 'tetap', 'juara', 'hati', 'fans', 'real', 'madrid']</t>
  </si>
  <si>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</si>
  <si>
    <t>selamat albiceleste argentina mengalahkan prancis dalam final piala dunia stadion lusail qatar minggu malam wib skor akhir waktu normal hingga extra time argentina lalu menang adu penalti</t>
  </si>
  <si>
    <t>['selamat', 'albiceleste', 'argentina', 'mengalahkan', 'prancis', 'final', 'piala', 'dunia', 'stadion', 'lusail', 'qatar', 'minggu', 'malam', 'wib', 'skor', 'akhir', 'waktu', 'normal', 'hingga', 'extra', 'time', 'argentina', 'lalu', 'menang', 'adu', 'penalti']</t>
  </si>
  <si>
    <t>Mbappe umurnya masih muda, masih panjang perjalanan. Dapet hattrick di final piala dunia aja udah keren bgt, mecahin rekornya Pele. Yakin dia bisa lebih hebat lg</t>
  </si>
  <si>
    <t>mbappe umurnya masih muda masih panjang perjalanan dapet hattrick final piala dunia aja udah keren bgt mecahin rekornya pele yakin dia bisa lebih hebat</t>
  </si>
  <si>
    <t>['mbappe', 'umurnya', 'muda', 'panjang', 'perjalanan', 'dapat', 'hattrick', 'final', 'piala', 'dunia', 'udah', 'keren', 'banget', 'mecahin', 'rekornya', 'pele', 'yakin', 'lebih', 'hebat']</t>
  </si>
  <si>
    <t>Hasil Final Piala Dunia 2022: Messi Bawa Argentina Juara, Mbappe Gagal Samai Rekor Pele  https://t.co/qh0oBSLxAk</t>
  </si>
  <si>
    <t>hasil final piala dunia messi bawa argentina juara mbappe gagal samai rekor pele</t>
  </si>
  <si>
    <t>['hasil', 'final', 'piala', 'dunia', 'messi', 'bawa', 'argentina', 'juara', 'mbappe', 'gagal', 'samai', 'rekor', 'pele']</t>
  </si>
  <si>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</si>
  <si>
    <t>walaupun diawali dgn kerudetan aplikasi pikasebeleun dgn error teu kudu hahahhaaha jujur ini pertandingan final piala dunia terbaik pernah saya tonton penuh dgn drama ketegangan kejutan akhirnya messi bisa menutup karir dgn mengangkat tropy piala dunia</t>
  </si>
  <si>
    <t>['walaupun', 'diawali', 'kerudetan', 'aplikasi', 'pikasebeleun', 'error', 'teu', 'kudu', 'hahahhaaha', 'jujur', 'pertandingan', 'final', 'piala', 'dunia', 'terbaik', 'pernah', 'tonton', 'penuh', 'drama', 'ketegangan', 'kejutan', 'akhirnya', 'messi', 'menutup', 'karir', 'mengangkat', 'tropy', 'piala', 'dunia']</t>
  </si>
  <si>
    <t>Final terseru buat piala dunia akhir2 ini, udh mah dari awal banyak bgt drama nya. Pokoknya kedua grup deserved final bgt üò≠</t>
  </si>
  <si>
    <t>final terseru buat piala dunia akhir ini udh mah dari awal banyak bgt drama nya pokoknya kedua grup deserved final bgt</t>
  </si>
  <si>
    <t>['final', 'terseru', 'buat', 'piala', 'dunia', 'akhir', 'sudah', 'mah', 'awal', 'banyak', 'banget', 'drama', 'pokoknya', 'kedua', 'grup', 'deserved', 'final', 'banget']</t>
  </si>
  <si>
    <t>FINAL PIALA DUNIA PECAH !!! SERUUU ü§å</t>
  </si>
  <si>
    <t>final piala dunia pecah seruuu</t>
  </si>
  <si>
    <t>['final', 'piala', 'dunia', 'pecah', 'seruuu']</t>
  </si>
  <si>
    <t>Final piala dunia paling seru üëè bahkan sampe akhir Extra Time, msh terjadi perebutan Top Skor. Selamat untuk Argentina üá¶üá∑. Lengkap sudah pencapaian Messi, sabar untuk fans Ronaldo, pencapaian 1 piala dunia sulit untuk didebat lg ttg siapa yg terbaik. üòÅ</t>
  </si>
  <si>
    <t>final piala dunia paling seru bahkan sampe akhir extra time msh terjadi perebutan top skor selamat untuk argentina lengkap sudah pencapaian messi sabar untuk fans ronaldo pencapaian piala dunia sulit untuk didebat ttg siapa terbaik</t>
  </si>
  <si>
    <t>['final', 'piala', 'dunia', 'paling', 'seru', 'bahkan', 'sampai', 'akhir', 'extra', 'time', 'msh', 'terjadi', 'perebutan', 'top', 'skor', 'selamat', 'argentina', 'lengkap', 'pencapaian', 'messi', 'sabar', 'fans', 'ronaldo', 'pencapaian', 'piala', 'dunia', 'sulit', 'didebat', 'ttg', 'siapa', 'terbaik']</t>
  </si>
  <si>
    <t>ARGENTINA JUARA PIALA DUNIA 2022! üéâ  Lionel Messi Cs berhasil kalahkan Prancis di adu penalti dalam laga final yang dilangsungkan di Lusail Iconic Stadium, Minggu (18/12/2022). Selamat ya, Albiceleste! üá¶üá∑  https://t.co/ZHV4a0QBBc</t>
  </si>
  <si>
    <t>argentina juara piala dunia lionel messi berhasil kalahkan prancis adu penalti dalam laga final yang dilangsungkan lusail iconic stadium minggu selamat albiceleste</t>
  </si>
  <si>
    <t>['argentina', 'juara', 'piala', 'dunia', 'lionel', 'messi', 'berhasil', 'kalahkan', 'prancis', 'adu', 'penalti', 'laga', 'final', 'dilangsungkan', 'lusail', 'iconic', 'stadium', 'minggu', 'selamat', 'albiceleste']</t>
  </si>
  <si>
    <t>Final Piala Dunia terbaik yg pernah gw liat, wow!! Messi=üêê</t>
  </si>
  <si>
    <t>final piala dunia terbaik pernah liat wow messi</t>
  </si>
  <si>
    <t>['final', 'piala', 'dunia', 'terbaik', 'pernah', 'lihat', 'wow', 'messi']</t>
  </si>
  <si>
    <t>What a final?  Menyajikan pertandingan paling seru selama final piala dunia... Congrats Argentina, congrats Messi...</t>
  </si>
  <si>
    <t>what final menyajikan pertandingan paling seru selama final piala dunia congrats argentina congrats messi</t>
  </si>
  <si>
    <t>['what', 'final', 'menyajikan', 'pertandingan', 'paling', 'seru', 'selama', 'final', 'piala', 'dunia', 'congrats', 'argentina', 'congrats', 'messi']</t>
  </si>
  <si>
    <t>Bravo Argentina #MessiìÉµ  #Argentina  #PialaDunia2022live   Final Piala Dunia Qatar 2022: Mbappe Nangis Bombay, Argentina Akhirnya Juara Dunia Usai Menang Adu Penalty  https://t.co/eT8I1H8f4w</t>
  </si>
  <si>
    <t>bravo argentina final piala dunia qatar mbappe nangis bombay argentina akhirnya juara dunia usai menang adu penalty</t>
  </si>
  <si>
    <t>['bravo', 'argentina', 'final', 'piala', 'dunia', 'qatar', 'mbappe', 'nangis', 'bombay', 'argentina', 'akhirnya', 'juara', 'dunia', 'usai', 'menang', 'adu', 'penalty']</t>
  </si>
  <si>
    <t>Terimakasih utk üá¶üá∑ dan üá´üá∑ final yg sangat seru.  Selamat buat argentina terkhusus buat messi yg menutup karir timnas dgn membawa trophy Piala Dunia. Lengkap sudah koleksi trophy mu.</t>
  </si>
  <si>
    <t>terimakasih utk dan final sangat seru selamat buat argentina terkhusus buat messi menutup karir timnas dgn membawa trophy piala dunia lengkap sudah koleksi trophy</t>
  </si>
  <si>
    <t>['terimakasih', 'final', 'sangat', 'seru', 'selamat', 'buat', 'argentina', 'terkhusus', 'buat', 'messi', 'menutup', 'karir', 'timnas', 'membawa', 'trophy', 'piala', 'dunia', 'lengkap', 'koleksi', 'trophy']</t>
  </si>
  <si>
    <t>Final paling rame salila lalajo Piala Dunia ti 2010</t>
  </si>
  <si>
    <t>final paling rame salila lalajo piala dunia</t>
  </si>
  <si>
    <t>['final', 'paling', 'ramai', 'salila', 'lalajo', 'piala', 'dunia']</t>
  </si>
  <si>
    <t>Sejak kenal dan nonton piala dunia pertama kali thn 98, ini final paling seru. Bedebahhh seru amattttt</t>
  </si>
  <si>
    <t>sejak kenal dan nonton piala dunia pertama kali thn ini final paling seru bedebahhh seru amattttt</t>
  </si>
  <si>
    <t>['sejak', 'kenal', 'nonton', 'piala', 'dunia', 'pertama', 'kali', 'thn', 'final', 'paling', 'seru', 'bedebahhh', 'seru', 'amattttt']</t>
  </si>
  <si>
    <t>Spanyol ü§ù Argentina  Tim yg gue benci, dua-duanya menang di final piala dunia adu penalty. Anjeeeeeng</t>
  </si>
  <si>
    <t>spanyol argentina tim gue benci dua duanya menang final piala dunia adu penalty anjeeeeeng</t>
  </si>
  <si>
    <t>['spanyol', 'argentina', 'tim', 'gue', 'benci', 'duanya', 'menang', 'final', 'piala', 'dunia', 'adu', 'penalty', 'anjeeeeeng']</t>
  </si>
  <si>
    <t>FINAL TERSERU SELAMA MENGIKUTI PIALA DUNIA.</t>
  </si>
  <si>
    <t>final terseru selama mengikuti piala dunia</t>
  </si>
  <si>
    <t>['final', 'terseru', 'selama', 'mengikuti', 'piala', 'dunia']</t>
  </si>
  <si>
    <t>Salah satu final terbaik piala dunia. Intens dari menit awal congrats argentina.</t>
  </si>
  <si>
    <t>salah satu final terbaik piala dunia intens dari menit awal congrats argentina</t>
  </si>
  <si>
    <t>['salah', 'satu', 'final', 'terbaik', 'piala', 'dunia', 'intens', 'menit', 'awal', 'congrats', 'argentina']</t>
  </si>
  <si>
    <t>@idextratime Masih ada yang bilang ini piala dunia settinganüò°üò°üò°,,ini final piala dunia terbaik yang pernah saya tonton dari 1998,, Perjuangan kalian luar biasa,,argentina,france</t>
  </si>
  <si>
    <t>masih ada yang bilang ini piala dunia settingan ini final piala dunia terbaik yang pernah saya tonton dari perjuangan kalian luar biasa argentina france</t>
  </si>
  <si>
    <t>['piala', 'dunia', 'settingan', 'final', 'piala', 'dunia', 'terbaik', 'pernah', 'tonton', 'perjuangan', 'kalian', 'luar', 'biasa', 'argentina', 'france']</t>
  </si>
  <si>
    <t>Piala dunia Qatar 2022. Terimakasih. Final paling emosional yang pernah saya tonton. Selamat buat Argentina. Selamat buat Messi. Selamat buat teman-teman kuh yang dukung Argentina. Respect ü•πü§ù</t>
  </si>
  <si>
    <t>piala dunia qatar terimakasih final paling emosional yang pernah saya tonton selamat buat argentina selamat buat messi selamat buat teman teman kuh yang dukung argentina respect</t>
  </si>
  <si>
    <t>['piala', 'dunia', 'qatar', 'terimakasih', 'final', 'paling', 'emosional', 'pernah', 'tonton', 'selamat', 'buat', 'argentina', 'selamat', 'buat', 'messi', 'selamat', 'buat', 'teman', 'teman', 'kuh', 'dukung', 'argentina', 'respect']</t>
  </si>
  <si>
    <t>Final Piala Dunia terrrrrgokil.. Selamat Argentina mendapat gelar juara Piala Dunia 2022 ü•≥ tapi Perancis juga joss banget melakukan perlawanan sampe detik terakhir.</t>
  </si>
  <si>
    <t>final piala dunia terrrrrgokil selamat argentina mendapat gelar juara piala dunia tapi perancis juga joss banget melakukan perlawanan sampe detik terakhir</t>
  </si>
  <si>
    <t>['final', 'piala', 'dunia', 'terrrrrgokil', 'selamat', 'argentina', 'mendapat', 'gelar', 'juara', 'piala', 'dunia', 'perancis', 'joss', 'banget', 'melakukan', 'perlawanan', 'sampai', 'detik', 'terakhir']</t>
  </si>
  <si>
    <t>Keyakinan sang "Messiah" pasca "Tangan Tuhan" telah nyata dalam dunia sepakbola-nya. Selamat tuk Argentina dan khususnya Messi. Final terbaik Piala Dunia. Selamat utk Qatar dan dunia arab/islam, kalian duta yang baik bagi kedamaian islam</t>
  </si>
  <si>
    <t>keyakinan sang messiah pasca tangan tuhan telah nyata dalam dunia sepakbola nya selamat tuk argentina dan khususnya messi final terbaik piala dunia selamat utk qatar dan dunia arab islam kalian duta yang baik bagi kedamaian islam</t>
  </si>
  <si>
    <t>['keyakinan', 'sang', 'messiah', 'pasca', 'tangan', 'tuhan', 'nyata', 'dunia', 'sepakbola', 'selamat', 'tuk', 'argentina', 'khususnya', 'messi', 'final', 'terbaik', 'piala', 'dunia', 'selamat', 'qatar', 'dunia', 'arab', 'islam', 'kalian', 'duta', 'baik', 'kedamaian', 'islam']</t>
  </si>
  <si>
    <t>SIAPAPUN YG JUARA, FINAL PIALA DUNIA KALI INI EDAN BANGET!</t>
  </si>
  <si>
    <t>siapapun juara final piala dunia kali ini edan banget</t>
  </si>
  <si>
    <t>['siapapun', 'juara', 'final', 'piala', 'dunia', 'kali', 'edan', 'banget']</t>
  </si>
  <si>
    <t>The best final piala dunia yg pernah saya tonton! Soalnya pas 1930 saya blm lahir</t>
  </si>
  <si>
    <t>the best final piala dunia pernah saya tonton soalnya pas saya blm lahir</t>
  </si>
  <si>
    <t>['the', 'best', 'final', 'piala', 'dunia', 'pernah', 'tonton', 'soalnya', 'pas', 'blm', 'lahir']</t>
  </si>
  <si>
    <t>Argentina berhasil merebut trofi juara Piala Dunia 2022. Argentina mengalahkan Prancis di final melalui adu penalti 4-1, usai bermain seri 3-3 di waktu normal.  https://t.co/B6ZVYszitQ</t>
  </si>
  <si>
    <t>argentina berhasil merebut trofi juara piala dunia argentina mengalahkan prancis final melalui adu penalti usai bermain seri waktu normal</t>
  </si>
  <si>
    <t>['argentina', 'berhasil', 'merebut', 'trofi', 'juara', 'piala', 'dunia', 'argentina', 'mengalahkan', 'prancis', 'final', 'melalui', 'adu', 'penalti', 'usai', 'bermain', 'seri', 'waktu', 'normal']</t>
  </si>
  <si>
    <t>ingettt bgttt piala dunia 2014 dari awal ngejago Argentina tapi kalah di final sm Jerman, and now kebayar bgt ngeliat Argentina menang pas lagi nggk ngejagoin siapa2</t>
  </si>
  <si>
    <t>ingettt bgttt piala dunia dari awal ngejago argentina tapi kalah final jerman and now kebayar bgt ngeliat argentina menang pas lagi nggk ngejagoin siapa</t>
  </si>
  <si>
    <t>['ingettt', 'bgttt', 'piala', 'dunia', 'awal', 'ngejago', 'argentina', 'kalah', 'final', 'jerman', 'and', 'now', 'kebayar', 'banget', 'ngeliat', 'argentina', 'menang', 'pas', 'nggk', 'ngejagoin', 'siapa']</t>
  </si>
  <si>
    <t>20 tahun akhirnya liat Argentina juara piala dunia! What a fucking final! üò≠</t>
  </si>
  <si>
    <t>tahun akhirnya liat argentina juara piala dunia what fucking final</t>
  </si>
  <si>
    <t>['tahun', 'akhirnya', 'lihat', 'argentina', 'juara', 'piala', 'dunia', 'what', 'fucking', 'final']</t>
  </si>
  <si>
    <t>Keren! Messi pensiun sebagai yang terbaik di jamannya. Mbappe, manusia kedua setelah Geoff Hurst yg mencetak hattrick di final piala dunia. Keren!</t>
  </si>
  <si>
    <t>keren messi pensiun sebagai yang terbaik jamannya mbappe manusia kedua setelah geoff hurst mencetak hattrick final piala dunia keren</t>
  </si>
  <si>
    <t>['keren', 'messi', 'pensiun', 'terbaik', 'jamannya', 'mbappe', 'manusia', 'kedua', 'geoff', 'hurst', 'mencetak', 'hattrick', 'final', 'piala', 'dunia', 'keren']</t>
  </si>
  <si>
    <t>Argentina kalahkan Perancis pada aksi final Piala Dunia 2022.  Argentina menang 4-2 menerusi penentuan sepakan penalti, setelah kedua-dua pasukan terikat 3 sama, tamat masa tambahan.  #FIFAWorldCup #WorldCup2022 #Qatar #FIFAWorldCupQatar2022 #argentina #Messi  https://t.co/lZ8OSAdoc2</t>
  </si>
  <si>
    <t>argentina kalahkan perancis pada aksi final piala dunia argentina menang menerusi penentuan sepakan penalti setelah kedua dua pasukan terikat sama tamat masa tambahan</t>
  </si>
  <si>
    <t>['argentina', 'kalahkan', 'perancis', 'aksi', 'final', 'piala', 'dunia', 'argentina', 'menang', 'menerusi', 'penentuan', 'sepakan', 'penalti', 'kedua', 'pasukan', 'terikat', 'sama', 'tamat', 'masa', 'tambahan']</t>
  </si>
  <si>
    <t>Final Piala Dunia paling sintingggg beneer...</t>
  </si>
  <si>
    <t>final piala dunia paling sintingggg beneer</t>
  </si>
  <si>
    <t>['final', 'piala', 'dunia', 'paling', 'sintingggg', 'beneer']</t>
  </si>
  <si>
    <t>@idextratime Kedepannya tiap nonton piala dunia pasti gak bakal bisa lupain final yang luar biasa ini. Amazing Qatar üá∂üá¶</t>
  </si>
  <si>
    <t>kedepannya tiap nonton piala dunia pasti gak bakal bisa lupain final yang luar biasa ini amazing qatar</t>
  </si>
  <si>
    <t>['kedepannya', 'tiap', 'nonton', 'piala', 'dunia', 'bakal', 'lupain', 'final', 'luar', 'biasa', 'amazing', 'qatar']</t>
  </si>
  <si>
    <t>Final Terbaik Piala Dunia sepanjang gua tonton terima kasih Argentina dan Prancis #FIFAWorldCup</t>
  </si>
  <si>
    <t>final terbaik piala dunia sepanjang gua tonton terima kasih argentina dan prancis</t>
  </si>
  <si>
    <t>['final', 'terbaik', 'piala', 'dunia', 'sepanjang', 'gua', 'tonton', 'terima', 'kasih', 'argentina', 'prancis']</t>
  </si>
  <si>
    <t>Malam ini nginap di sini gara-gara final piala dunia üòÖ  Congrats Messi. U deserve it!  https://t.co/Og3TspJ2AI</t>
  </si>
  <si>
    <t>malam ini nginap sini gara gara final piala dunia congrats messi deserve</t>
  </si>
  <si>
    <t>['malam', 'nginap', 'sini', 'gara', 'gara', 'final', 'piala', 'dunia', 'congrats', 'messi', 'deserve']</t>
  </si>
  <si>
    <t>FINAL PIALA DUNIA TERKEREN SEUMUR HIDUP GA BAKAL ADA LAGI!!!</t>
  </si>
  <si>
    <t>final piala dunia terkeren seumur hidup bakal ada lagi</t>
  </si>
  <si>
    <t>['final', 'piala', 'dunia', 'terkeren', 'seumur', 'hidup', 'bakal']</t>
  </si>
  <si>
    <t>Congratulationsssss Messi dan kawan-kawan! üá¶üá∑üéâüçæ  Are you happy guys final piala dunia kali ini? üò≠ü´∂üèª</t>
  </si>
  <si>
    <t>congratulationsssss messi dan kawan kawan are you happy guys final piala dunia kali ini</t>
  </si>
  <si>
    <t>['congratulationsssss', 'messi', 'kawan', 'kawan', 'are', 'you', 'happy', 'guys', 'final', 'piala', 'dunia', 'kali']</t>
  </si>
  <si>
    <t>Prancis 2√ó diakhiri bek sayap di adu penalti final piala dunia  Fabio Grosso ü§ù Gonzalo Montiel</t>
  </si>
  <si>
    <t>prancis diakhiri bek sayap adu penalti final piala dunia fabio grosso gonzalo montiel</t>
  </si>
  <si>
    <t>['prancis', 'diakhiri', 'bek', 'sayap', 'adu', 'penalti', 'final', 'piala', 'dunia', 'fabio', 'grosso', 'gonzalo', 'montiel']</t>
  </si>
  <si>
    <t>Final piala dunia terbaik yg pernah gua tonton, selamat Argentina!</t>
  </si>
  <si>
    <t>final piala dunia terbaik pernah gua tonton selamat argentina</t>
  </si>
  <si>
    <t>['final', 'piala', 'dunia', 'terbaik', 'pernah', 'gua', 'tonton', 'selamat', 'argentina']</t>
  </si>
  <si>
    <t>Anak muda di suruh nendang adu pk di ajang sebesar final piala dunia. Kuat-kuatan mental. Well played Tchouameni! Tegakkan kepalamu anak muda üëè</t>
  </si>
  <si>
    <t>anak muda suruh nendang adu ajang sebesar final piala dunia kuat kuatan mental well played tchouameni tegakkan kepalamu anak muda</t>
  </si>
  <si>
    <t>['anak', 'muda', 'suruh', 'nendang', 'adu', 'ajang', 'sebesar', 'final', 'piala', 'dunia', 'kuat', 'kuatan', 'mental', 'well', 'played', 'tchouameni', 'tegakkan', 'kepalamu', 'anak', 'muda']</t>
  </si>
  <si>
    <t>Piala dunia yang katanya hambar justru menyajikan final yang tak terlupakan. Messi resmi jadi G.O.A.T. Tapi Mbappe moal lila ngagusur Messi. Aing mendukung Mbappe anjenggg.</t>
  </si>
  <si>
    <t>piala dunia yang katanya hambar justru menyajikan final yang tak terlupakan messi resmi jadi tapi mbappe moal lila ngagusur messi aing mendukung mbappe anjenggg</t>
  </si>
  <si>
    <t>['piala', 'dunia', 'katanya', 'hambar', 'justru', 'menyajikan', 'final', 'tak', 'terlupakan', 'messi', 'resmi', 'jadi', 'mbappe', 'moal', 'lila', 'ngagusur', 'messi', 'aing', 'mendukung', 'mbappe', 'anjenggg']</t>
  </si>
  <si>
    <t>Hasil Perpanjangan Waktu Timnas Argentina vs Prancis di Final Piala Dunia 2022: La Albiceleste dan Les Bleus ke Babak Adu Penalti Usai Sama Kuat 3-3! #LengkapCepatBeritanya #Bola #SepakBola #SepakbolaDunia #BolaDunia .  https://t.co/7kC2AibTBQ</t>
  </si>
  <si>
    <t>hasil perpanjangan waktu timnas argentina prancis final piala dunia albiceleste dan les bleus babak adu penalti usai sama kuat</t>
  </si>
  <si>
    <t>['hasil', 'perpanjangan', 'waktu', 'timnas', 'argentina', 'prancis', 'final', 'piala', 'dunia', 'albiceleste', 'les', 'bleus', 'babak', 'adu', 'penalti', 'usai', 'sama', 'kuat']</t>
  </si>
  <si>
    <t>Hasil Final Piala Dunia 2022: Kylian Mbappe Hattrick, Argentina vs Prancis Sama Kuat 3-3! #LengkapCepatBeritanya #Bola #SepakBola #SepakbolaDunia #BolaDunia .  https://t.co/hU3Y2Vpf4n</t>
  </si>
  <si>
    <t>hasil final piala dunia kylian mbappe hattrick argentina prancis sama kuat</t>
  </si>
  <si>
    <t>['hasil', 'final', 'piala', 'dunia', 'kylian', 'mbappe', 'hattrick', 'argentina', 'prancis', 'sama', 'kuat']</t>
  </si>
  <si>
    <t>Final piala dunia paling seru yg selama ini saya tonton  Congrats for argentina World Cup 2022</t>
  </si>
  <si>
    <t>final piala dunia paling seru selama ini saya tonton congrats for argentina world cup</t>
  </si>
  <si>
    <t>['final', 'piala', 'dunia', 'paling', 'seru', 'selama', 'tonton', 'congrats', 'for', 'argentina', 'world', 'cup']</t>
  </si>
  <si>
    <t>Final piala dunia terbaik yang pernah saya tonton üôè</t>
  </si>
  <si>
    <t>Final terbaik piala dunia yang pernah saya tonton. Sejak 1994 Brazil-Italy, 1998 Prancis-Brazil, 2002 Brazil-Jerman, 2006 Italy-Prancis, 2010 Spanyol-Belanda, 2014 Jerman-Argentina, 2018 Prancis-Kroasia, ini yang terbaik!!!</t>
  </si>
  <si>
    <t>final terbaik piala dunia yang pernah saya tonton sejak brazil italy prancis brazil brazil jerman italy prancis spanyol belanda jerman argentina prancis kroasia ini yang terbaik</t>
  </si>
  <si>
    <t>['final', 'terbaik', 'piala', 'dunia', 'pernah', 'tonton', 'sejak', 'brazil', 'italy', 'prancis', 'brazil', 'brazil', 'jerman', 'italy', 'prancis', 'spanyol', 'belanda', 'jerman', 'argentina', 'prancis', 'kroasia', 'terbaik']</t>
  </si>
  <si>
    <t>&lt;FreqDist with 15 samples and 22 outcomes&gt;</t>
  </si>
  <si>
    <t>Final piala dunia Ter GG selama gw nonton #FIFAWorldCup</t>
  </si>
  <si>
    <t>final piala dunia ter selama nonton</t>
  </si>
  <si>
    <t>['final', 'piala', 'dunia', 'ter', 'selama', 'nonton']</t>
  </si>
  <si>
    <t>Begadang nonton final piala dunia ‚ùå Ya begadang krn baca AU lah ‚úÖ üò≠ü§£</t>
  </si>
  <si>
    <t>begadang nonton final piala dunia begadang krn baca lah</t>
  </si>
  <si>
    <t>['begadang', 'nonton', 'final', 'piala', 'dunia', 'begadang', 'baca', 'lah']</t>
  </si>
  <si>
    <t>@idextratime Ya Alloh bahagiaaa bngt Argen juara Messi pegang piala dunia üò≠üò≠, Pertandingan Final World Cup yg Luar biasa, applause untuk ke-2 tim üëèüèªüëèüèªüëèüèª</t>
  </si>
  <si>
    <t>alloh bahagiaaa bngt argen juara messi pegang piala dunia pertandingan final world cup luar biasa applause untuk tim</t>
  </si>
  <si>
    <t>['alloh', 'bahagiaaa', 'bngt', 'argen', 'juara', 'messi', 'pegang', 'piala', 'dunia', 'pertandingan', 'final', 'world', 'cup', 'luar', 'biasa', 'applause', 'tim']</t>
  </si>
  <si>
    <t>2006 - 2022 , 5 seri piala dunia dan ini final terbaik , terasa lebih baik karena messi pada akhirnya menang</t>
  </si>
  <si>
    <t>seri piala dunia dan ini final terbaik terasa lebih baik karena messi pada akhirnya menang</t>
  </si>
  <si>
    <t>['seri', 'piala', 'dunia', 'final', 'terbaik', 'terasa', 'lebih', 'baik', 'messi', 'akhirnya', 'menang']</t>
  </si>
  <si>
    <t>BREAKING NEWS: Setelah 2 jam lebih pertandingan final yang bikin jantungan, Argentina juara Piala Dunia FIFA 2022. üá¶üá∑</t>
  </si>
  <si>
    <t>breaking news setelah jam lebih pertandingan final yang bikin jantungan argentina juara piala dunia fifa</t>
  </si>
  <si>
    <t>['breaking', 'news', 'jam', 'lebih', 'pertandingan', 'final', 'jantungan', 'argentina', 'juara', 'piala', 'dunia', 'fifa']</t>
  </si>
  <si>
    <t>Laga final piala dunia terseru</t>
  </si>
  <si>
    <t>laga final piala dunia terseru</t>
  </si>
  <si>
    <t>['laga', 'final', 'piala', 'dunia', 'terseru']</t>
  </si>
  <si>
    <t>tak kiro layar nak sod iki gawe nyiarno final piala dunia  https://t.co/XUJztvVp7A</t>
  </si>
  <si>
    <t>tak kiro layar nak sod iki gawe nyiarno final piala dunia</t>
  </si>
  <si>
    <t>['tak', 'kiro', 'layar', 'nak', 'sod', 'iki', 'gawe', 'nyiarno', 'final', 'piala', 'dunia']</t>
  </si>
  <si>
    <t>Final piala dunia paling keren.</t>
  </si>
  <si>
    <t>final piala dunia paling keren</t>
  </si>
  <si>
    <t>Gile gileeeee,, Nonton sampe gemeteran, wkwkwkwk Selamat untuk ARGENTINA.. #WorldCupFinals  Final piala dunia paling seruuuuu,,,,</t>
  </si>
  <si>
    <t>gile gileeeee nonton sampe gemeteran wkwkwkwk selamat untuk argentina final piala dunia paling seruuuuu</t>
  </si>
  <si>
    <t>['gile', 'gileeeee', 'nonton', 'sampai', 'gemeteran', 'wkwkwkwk', 'selamat', 'argentina', 'final', 'piala', 'dunia', 'paling', 'seruuuuu']</t>
  </si>
  <si>
    <t>GIMANA CERITANYA LU UDAH HATTRICK DI FINAL PIALA DUNIA TAPI GAK JUARA??!!!</t>
  </si>
  <si>
    <t>gimana ceritanya udah hattrick final piala dunia tapi gak juara</t>
  </si>
  <si>
    <t>['gimana', 'ceritanya', 'udah', 'hattrick', 'final', 'piala', 'dunia', 'juara']</t>
  </si>
  <si>
    <t>...Pertandingan final piala dunia tergila sepanjang masa ini sih... (``,)</t>
  </si>
  <si>
    <t>pertandingan final piala dunia tergila sepanjang masa ini sih</t>
  </si>
  <si>
    <t>['pertandingan', 'final', 'piala', 'dunia', 'tergila', 'sepanjang', 'masa']</t>
  </si>
  <si>
    <t>Final piala dunia terbaik. Meskipun mbappe mampu hattrick dan menghidupkan suasana tapi mimpi Messi untuk menjadi juara piala dunia terwujud di masa masa hampir pensiun. Selamat buat Argentina. #WorldCup #FIFAWorldCup #messi #Mbappe #AgentinavsFrance</t>
  </si>
  <si>
    <t>final piala dunia terbaik meskipun mbappe mampu hattrick dan menghidupkan suasana tapi mimpi messi untuk menjadi juara piala dunia terwujud masa masa hampir pensiun selamat buat argentina</t>
  </si>
  <si>
    <t>['final', 'piala', 'dunia', 'terbaik', 'meskipun', 'mbappe', 'mampu', 'hattrick', 'menghidupkan', 'suasana', 'mimpi', 'messi', 'menjadi', 'juara', 'piala', 'dunia', 'terwujud', 'masa', 'masa', 'hampir', 'pensiun', 'selamat', 'buat', 'argentina']</t>
  </si>
  <si>
    <t>Final piala dunia dapet banget deg-degannyaüëèüèº</t>
  </si>
  <si>
    <t>final piala dunia dapet banget deg degannya</t>
  </si>
  <si>
    <t>['final', 'piala', 'dunia', 'dapat', 'banget', 'deg', 'degannya']</t>
  </si>
  <si>
    <t>Milyaran orang di dunia dibuat stress dan tegang gara" final piala dunia tahun ini. Siapa yg menyangka Argentina bisa juara, padahal di fase grup sempat kalah dari Arab Saudi dan jadi bahan bully</t>
  </si>
  <si>
    <t>milyaran orang dunia dibuat stress dan tegang gara final piala dunia tahun ini siapa menyangka argentina bisa juara padahal fase grup sempat kalah dari arab saudi dan jadi bahan bully</t>
  </si>
  <si>
    <t>['milyaran', 'orang', 'dunia', 'dibuat', 'stress', 'tegang', 'gara', 'final', 'piala', 'dunia', 'tahun', 'siapa', 'menyangka', 'argentina', 'juara', 'padahal', 'fase', 'grup', 'sempat', 'kalah', 'arab', 'saudi', 'jadi', 'bahan', 'bully']</t>
  </si>
  <si>
    <t>Gilak seru banget final piala dunia kali ini people</t>
  </si>
  <si>
    <t>gilak seru banget final piala dunia kali ini people</t>
  </si>
  <si>
    <t>['gilak', 'seru', 'banget', 'final', 'piala', 'dunia', 'kali', 'people']</t>
  </si>
  <si>
    <t>Baru kali ini nonton final piala dunia yg seru abis, nice game!</t>
  </si>
  <si>
    <t>baru kali ini nonton final piala dunia seru abis nice game</t>
  </si>
  <si>
    <t>['baru', 'kali', 'nonton', 'final', 'piala', 'dunia', 'seru', 'abis', 'nice', 'game']</t>
  </si>
  <si>
    <t>Argentina juara piala dunia 2022, Qatar. Melalui adu pinalti. Prancis selalu ketinggalan tapi bisa membalas dan akhirnya seri  3 - 3 waktu normal. Final yang seru dan paling menegangkan!  Selamat Argentina üî•</t>
  </si>
  <si>
    <t>argentina juara piala dunia qatar melalui adu pinalti prancis selalu ketinggalan tapi bisa membalas dan akhirnya seri waktu normal final yang seru dan paling menegangkan selamat argentina</t>
  </si>
  <si>
    <t>['argentina', 'juara', 'piala', 'dunia', 'qatar', 'melalui', 'adu', 'penalti', 'prancis', 'selalu', 'ketinggalan', 'membalas', 'akhirnya', 'seri', 'waktu', 'normal', 'final', 'seru', 'paling', 'menegangkan', 'selamat', 'argentina']</t>
  </si>
  <si>
    <t>Gak perlu nonton final, karena dari awal piala Dunia dimulai udah yakin Argentina bakal menang  Messi is better than Rnaldo üòéüòé  GOAT LEGENDARY BARCA NIH BOSSS üòé  https://t.co/xNBbzVMHma</t>
  </si>
  <si>
    <t>gak perlu nonton final karena dari awal piala dunia dimulai udah yakin argentina bakal menang messi better than rnaldo goat legendary barca nih bosss</t>
  </si>
  <si>
    <t>['perlu', 'nonton', 'final', 'awal', 'piala', 'dunia', 'dimulai', 'udah', 'yakin', 'argentina', 'bakal', 'menang', 'messi', 'better', 'than', 'rnaldo', 'goat', 'legendary', 'barca', 'bosss']</t>
  </si>
  <si>
    <t>Messi GG, Argentina bagus, emi Martinez anjing terlalu jago penalty.. tapi mbappe, hatrick di final piala dunia, keeper spesialis penalty tdk bs menangkap satu pun penalty mbappe, next goat</t>
  </si>
  <si>
    <t>messi argentina bagus emi martinez anjing terlalu jago penalty tapi mbappe hatrick final piala dunia keeper spesialis penalty tdk menangkap satu pun penalty mbappe next goat</t>
  </si>
  <si>
    <t>['messi', 'argentina', 'bagus', 'emi', 'martinez', 'anjing', 'terlalu', 'jago', 'penalty', 'mbappe', 'hatrick', 'final', 'piala', 'dunia', 'keeper', 'spesialis', 'penalty', 'menangkap', 'satu', 'penalty', 'mbappe', 'next', 'goat']</t>
  </si>
  <si>
    <t>Keren final piala dunia berkelas pisan, mbape emg edan tapi messi leuwih edan, congratulation Argentina juara</t>
  </si>
  <si>
    <t>keren final piala dunia berkelas pisan mbape emg edan tapi messi leuwih edan congratulation argentina juara</t>
  </si>
  <si>
    <t>['keren', 'final', 'piala', 'dunia', 'berkelas', 'pisan', 'mbape', 'memang', 'edan', 'messi', 'leuwih', 'edan', 'congratulation', 'argentina', 'juara']</t>
  </si>
  <si>
    <t>Final Piala Dunia Sepakbola terbaik 2022 Qatar. #MessiìÉµ #FIFAWorldCup</t>
  </si>
  <si>
    <t>final piala dunia sepakbola terbaik qatar</t>
  </si>
  <si>
    <t>['final', 'piala', 'dunia', 'sepakbola', 'terbaik', 'qatar']</t>
  </si>
  <si>
    <t>Piala dunia qatar. Dengan segala kontroversinya, tapi dengan final yang bakal dikenang sepanjang masa. Final yang paling menegangkan sampe pinaltian üëèüèºüëèüèºüëèüèº</t>
  </si>
  <si>
    <t>piala dunia qatar dengan segala kontroversinya tapi dengan final yang bakal dikenang sepanjang masa final yang paling menegangkan sampe pinaltian</t>
  </si>
  <si>
    <t>['piala', 'dunia', 'qatar', 'segala', 'kontroversinya', 'final', 'bakal', 'dikenang', 'sepanjang', 'masa', 'final', 'paling', 'menegangkan', 'sampai', 'pinaltian']</t>
  </si>
  <si>
    <t>FIFA World Cup 2022: Final  üá¶üá∑ Argentina 3 (4) - (2) 3 France üá´üá∑   Argentina Juara Piala Dunia 2022  #WorldCupFinal #Argentina #Champions #France #FIFAWorldCup #PialaDunia2022    https://t.co/FQQLL9zCZj</t>
  </si>
  <si>
    <t>fifa world cup final argentina france argentina juara piala dunia</t>
  </si>
  <si>
    <t>['fifa', 'world', 'cup', 'final', 'argentina', 'france', 'argentina', 'juara', 'piala', 'dunia']</t>
  </si>
  <si>
    <t>Rugi dah yg gk nonton Final Piala Dunia, SERU BANGET!!!! #FIFAWorldCup2022 #WorldCupFinal</t>
  </si>
  <si>
    <t>rugi dah nonton final piala dunia seru banget</t>
  </si>
  <si>
    <t>['rugi', 'dah', 'nonton', 'final', 'piala', 'dunia', 'seru', 'banget']</t>
  </si>
  <si>
    <t>Terlepas dari semua kontroversi yang ada, ini piala dunia terbaik yang pernah saya tonton. Group stage, knock out, final, semuanya layak ditonton. Thank you! #WorldCup2022</t>
  </si>
  <si>
    <t>terlepas dari semua kontroversi yang ada ini piala dunia terbaik yang pernah saya tonton group stage knock out final semuanya layak ditonton thank you</t>
  </si>
  <si>
    <t>['terlepas', 'semua', 'kontroversi', 'piala', 'dunia', 'terbaik', 'pernah', 'tonton', 'group', 'stage', 'knock', 'out', 'final', 'semuanya', 'layak', 'ditonton', 'thank', 'you']</t>
  </si>
  <si>
    <t>Final piala dunia terbaik sepanjang masa. Congrats arentina , congrats goat @TeamMessi  üêêüêêüêê</t>
  </si>
  <si>
    <t>final piala dunia terbaik sepanjang masa congrats arentina congrats goat</t>
  </si>
  <si>
    <t>['final', 'piala', 'dunia', 'terbaik', 'sepanjang', 'masa', 'congrats', 'arentina', 'congrats', 'goat']</t>
  </si>
  <si>
    <t>What a final game!   Akhirnya messi juara piala dunia</t>
  </si>
  <si>
    <t>what final game akhirnya messi juara piala dunia</t>
  </si>
  <si>
    <t>['what', 'final', 'game', 'akhirnya', 'messi', 'juara', 'piala', 'dunia']</t>
  </si>
  <si>
    <t>Final piala dunia paling seru Tapi lebih seru kalo ketemu kamu.</t>
  </si>
  <si>
    <t>final piala dunia paling seru tapi lebih seru kalo ketemu kamu</t>
  </si>
  <si>
    <t>['final', 'piala', 'dunia', 'paling', 'seru', 'lebih', 'seru', 'ketemu', 'kamu']</t>
  </si>
  <si>
    <t>@tanyarlfes final piala dunia kali ini benar benar bikin jadi kayak barongsai üëπüë∫  https://t.co/2UuToHl2Ev</t>
  </si>
  <si>
    <t>final piala dunia kali ini benar benar bikin jadi kayak barongsai</t>
  </si>
  <si>
    <t>['final', 'piala', 'dunia', 'kali', 'benar', 'benar', 'jadi', 'seperti', 'barongsai']</t>
  </si>
  <si>
    <t>final piala dunia terbaik sepanjang masa üî•üî•üî•üî•üá¶üá∑üá¶üá∑üá¶üá∑</t>
  </si>
  <si>
    <t>Anjggg... beruntung banget hidup di era CR7, Messi dan final piala dunia Qatar!!</t>
  </si>
  <si>
    <t>anjggg beruntung banget hidup era messi dan final piala dunia qatar</t>
  </si>
  <si>
    <t>['anjggg', 'beruntung', 'banget', 'hidup', 'era', 'messi', 'final', 'piala', 'dunia', 'qatar']</t>
  </si>
  <si>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</si>
  <si>
    <t>final piala dunia qatar keputusan penuh argentina perancis lionel messi pen angel maria kylian mbappe argentina menang penalti</t>
  </si>
  <si>
    <t>['final', 'piala', 'dunia', 'qatar', 'keputusan', 'penuh', 'argentina', 'perancis', 'lionel', 'messi', 'angel', 'maria', 'kylian', 'mbappe', 'argentina', 'menang', 'penalti']</t>
  </si>
  <si>
    <t>Paling seru sepanjang nonton final sejak Piala Dunia 2002</t>
  </si>
  <si>
    <t>paling seru sepanjang nonton final sejak piala dunia</t>
  </si>
  <si>
    <t>['paling', 'seru', 'sepanjang', 'nonton', 'final', 'sejak', 'piala', 'dunia']</t>
  </si>
  <si>
    <t>Final piala dunia terbaikk ini no debat!</t>
  </si>
  <si>
    <t>final piala dunia terbaikk ini debat</t>
  </si>
  <si>
    <t>['final', 'piala', 'dunia', 'terbaikk', 'debat']</t>
  </si>
  <si>
    <t>Final terseru, dunia tersenyum akhirmya messi angkat trofi piala dunia üéâ</t>
  </si>
  <si>
    <t>final terseru dunia tersenyum akhirmya messi angkat trofi piala dunia</t>
  </si>
  <si>
    <t>['final', 'terseru', 'dunia', 'tersenyum', 'akhirmya', 'messi', 'angkat', 'trofi', 'piala', 'dunia']</t>
  </si>
  <si>
    <t>seru parah final piala dunia</t>
  </si>
  <si>
    <t>['seru', 'parah', 'final', 'piala', 'dunia']</t>
  </si>
  <si>
    <t>final piala dunia terbaik sepanjang masa!! congrats argentina</t>
  </si>
  <si>
    <t>Nasib terbaik adlhtidak dilahirkan  Yg kedua, dilahirkan dan mati muda  Nasib tersial adalah masuk final Piala Dunia dan didukung @Dennysiregar7</t>
  </si>
  <si>
    <t>nasib terbaik adlhtidak dilahirkan kedua dilahirkan dan mati muda nasib tersial adalah masuk final piala dunia dan didukung</t>
  </si>
  <si>
    <t>['nasib', 'terbaik', 'adlhtidak', 'dilahirkan', 'kedua', 'dilahirkan', 'mati', 'muda', 'nasib', 'tersial', 'masuk', 'final', 'piala', 'dunia', 'didukung']</t>
  </si>
  <si>
    <t>Selamat Argentina.  Kemenangan yg tertunda dari babak pertama sampai adu pinalti.  Makasih Prancis  Final Piala Dunia nya jadi menarik, gol nya dibalas muluk sama Mbappe   #FIFAWorldCup2022</t>
  </si>
  <si>
    <t>selamat argentina kemenangan tertunda dari babak pertama sampai adu pinalti makasih prancis final piala dunia nya jadi menarik gol nya dibalas muluk sama mbappe</t>
  </si>
  <si>
    <t>['selamat', 'argentina', 'kemenangan', 'tertunda', 'babak', 'pertama', 'adu', 'penalti', 'makasih', 'prancis', 'final', 'piala', 'dunia', 'jadi', 'menarik', 'gol', 'dibalas', 'muluk', 'sama', 'mbappe']</t>
  </si>
  <si>
    <t>final piala dunia paling seruu!!</t>
  </si>
  <si>
    <t>final piala dunia paling seruu</t>
  </si>
  <si>
    <t>['final', 'piala', 'dunia', 'paling', 'seruu']</t>
  </si>
  <si>
    <t>The best final piala dunia..argentina vs france...#FIFAWorldCup</t>
  </si>
  <si>
    <t>the best final piala dunia argentina france</t>
  </si>
  <si>
    <t>['the', 'best', 'final', 'piala', 'dunia', 'argentina', 'france']</t>
  </si>
  <si>
    <t>GG gaming final piala dunia 2022 Argentina Prancis</t>
  </si>
  <si>
    <t>gaming final piala dunia argentina prancis</t>
  </si>
  <si>
    <t>['gaming', 'final', 'piala', 'dunia', 'argentina', 'prancis']</t>
  </si>
  <si>
    <t>Respect buat Mbappe Hat-trick di Final Piala Dunia. Perancis tetep potensial 2026 mereka bisa juara. Kedalaman sm regenerasi mereka gada lawan</t>
  </si>
  <si>
    <t>respect buat mbappe hat trick final piala dunia perancis tetep potensial mereka bisa juara kedalaman regenerasi mereka gada lawan</t>
  </si>
  <si>
    <t>['respect', 'buat', 'mbappe', 'hat', 'trick', 'final', 'piala', 'dunia', 'perancis', 'tetep', 'potensial', 'juara', 'kedalaman', 'regenerasi', 'gada', 'lawan']</t>
  </si>
  <si>
    <t>Emang match final piala dunia yang seru dan ditunggu tunggu si congrats argentina</t>
  </si>
  <si>
    <t>emang match final piala dunia yang seru dan ditunggu tunggu congrats argentina</t>
  </si>
  <si>
    <t>['emang', 'match', 'final', 'piala', 'dunia', 'seru', 'ditunggu', 'tunggu', 'congrats', 'argentina']</t>
  </si>
  <si>
    <t>Selamat Argentina utk juara dunia.   Selamat Messi utk pencapaian tertinggi sebagai pemain.   Selamat Perancis utk game final terbaik.   Selamat Mbappe utk hattrick final piala dunia.   Epic. Final yang selalu diingat.</t>
  </si>
  <si>
    <t>selamat argentina utk juara dunia selamat messi utk pencapaian tertinggi sebagai pemain selamat perancis utk game final terbaik selamat mbappe utk hattrick final piala dunia epic final yang selalu diingat</t>
  </si>
  <si>
    <t>['selamat', 'argentina', 'juara', 'dunia', 'selamat', 'messi', 'pencapaian', 'tertinggi', 'pemain', 'selamat', 'perancis', 'game', 'final', 'terbaik', 'selamat', 'mbappe', 'hattrick', 'final', 'piala', 'dunia', 'epic', 'final', 'selalu', 'diingat']</t>
  </si>
  <si>
    <t>Final Piala Dunia terseru sepanjang masa !!! Akan gue ceritain ke anak cucu gue.</t>
  </si>
  <si>
    <t>final piala dunia terseru sepanjang masa akan gue ceritain anak cucu gue</t>
  </si>
  <si>
    <t>['final', 'piala', 'dunia', 'terseru', 'sepanjang', 'masa', 'gue', 'ceritain', 'anak', 'cucu', 'gue']</t>
  </si>
  <si>
    <t>final piala dunia paling epik üëè #FIFAWorldCup</t>
  </si>
  <si>
    <t>final piala dunia paling epik</t>
  </si>
  <si>
    <t>['final', 'piala', 'dunia', 'paling', 'epik']</t>
  </si>
  <si>
    <t>final piala dunia terbaikkk selama kuhidup anjinkk</t>
  </si>
  <si>
    <t>['final', 'piala', 'dunia', 'terbaikkk', 'selama', 'kuhidup', 'anjinkk']</t>
  </si>
  <si>
    <t>Good Game, selamat Argentina, gg Messi!!!! Ini final piala dunia 2022 seru bgt asli ga boong. Nice Try Prancis!!!! nt Mbapee</t>
  </si>
  <si>
    <t>good game selamat argentina messi ini final piala dunia seru bgt asli boong nice try prancis mbapee</t>
  </si>
  <si>
    <t>['good', 'game', 'selamat', 'argentina', 'messi', 'final', 'piala', 'dunia', 'seru', 'banget', 'asli', 'boong', 'nice', 'try', 'prancis', 'mbapee']</t>
  </si>
  <si>
    <t>Jalanan banyak yg ditutup, gila euforia masyarakat di final piala dunia ü§£</t>
  </si>
  <si>
    <t>jalanan banyak ditutup gila euforia masyarakat final piala dunia</t>
  </si>
  <si>
    <t>['jalanan', 'banyak', 'ditutup', 'gila', 'euforia', 'masyarakat', 'final', 'piala', 'dunia']</t>
  </si>
  <si>
    <t>Gimana reaksi kalian gaes? Senang atau sedih?  Argentina menang melawan Prancis dengan skor adu penalti 4-2 dalam pertandingan babak final Piala Dunia FIFA Qatar 2022 di Stadion Lusail pada 18 Desember.  https://t.co/pN4IDkBBFD</t>
  </si>
  <si>
    <t>gimana reaksi kalian gaes senang atau sedih argentina menang melawan prancis dengan skor adu penalti dalam pertandingan babak final piala dunia fifa qatar stadion lusail pada desember</t>
  </si>
  <si>
    <t>['gimana', 'reaksi', 'kalian', 'guys', 'senang', 'sedih', 'argentina', 'menang', 'melawan', 'prancis', 'skor', 'adu', 'penalti', 'pertandingan', 'babak', 'final', 'piala', 'dunia', 'fifa', 'qatar', 'stadion', 'lusail', 'desember']</t>
  </si>
  <si>
    <t>What a final, Argentina is the champion of the world cup 2022...  Well deserve it. Congrats for Messi and team. #WorldCup #ArgentinavsFrance #PialaDunia #FIFAWorldCup #VamosArgentina  https://t.co/FoN7bp8q1u</t>
  </si>
  <si>
    <t>what final argentina the champion the world cup well deserve congrats for messi and team</t>
  </si>
  <si>
    <t>['what', 'final', 'argentina', 'the', 'champion', 'the', 'world', 'cup', 'well', 'deserve', 'congrats', 'for', 'messi', 'and', 'team']</t>
  </si>
  <si>
    <t>Ga perlu alkohol untuk buat fans sepak bola mabuk di final Piala Dunia 2022 ü´£  Ugal bat ini Prancis vs Argentina üòÇ</t>
  </si>
  <si>
    <t>perlu alkohol untuk buat fans sepak bola mabuk final piala dunia ugal bat ini prancis argentina</t>
  </si>
  <si>
    <t>['perlu', 'alkohol', 'buat', 'fans', 'sepak', 'bola', 'mabuk', 'final', 'piala', 'dunia', 'ugal', 'bat', 'prancis', 'argentina']</t>
  </si>
  <si>
    <t>Final piala Dunia terbaik!!!</t>
  </si>
  <si>
    <t>Gue respect bgt gila sama Mbappe!! Keren bgt anak muda ini. 2 hari lagi doi ulang tahun, semoga hattrick di Final Piala Dunia ini bisa jadi kado yg bersejarah buat dia üòÅü§ò</t>
  </si>
  <si>
    <t>gue respect bgt gila sama mbappe keren bgt anak muda ini hari lagi doi ulang tahun semoga hattrick final piala dunia ini bisa jadi kado bersejarah buat dia</t>
  </si>
  <si>
    <t>['gue', 'respect', 'banget', 'gila', 'sama', 'mbappe', 'keren', 'banget', 'anak', 'muda', 'hari', 'doi', 'ulang', 'tahun', 'semoga', 'hattrick', 'final', 'piala', 'dunia', 'jadi', 'kado', 'bersejarah', 'buat']</t>
  </si>
  <si>
    <t>Final Piala Dunia Argentina Bungkam  Perancis 2-0 Pada Babak Pertama  https://t.co/Twzj1RsyQg  #FIFAWorldCup #WorldCup #Argentina #Prancis</t>
  </si>
  <si>
    <t>final piala dunia argentina bungkam perancis pada babak pertama</t>
  </si>
  <si>
    <t>['final', 'piala', 'dunia', 'argentina', 'bungkam', 'perancis', 'babak', 'pertama']</t>
  </si>
  <si>
    <t>Ini kalau cerita messi jadi film, act 3 nya final piala dunia.</t>
  </si>
  <si>
    <t>ini kalau cerita messi jadi film act nya final piala dunia</t>
  </si>
  <si>
    <t>['kalau', 'cerita', 'messi', 'jadi', 'film', 'act', 'final', 'piala', 'dunia']</t>
  </si>
  <si>
    <t>Final Piala Dunia: Argentina vs Prancis, Laga Dramatis, Argentina Keluar Sebagai Juara Piala Dunia 2022  #FIFAWorldCup    https://t.co/jBFyEOXwu6</t>
  </si>
  <si>
    <t>final piala dunia argentina prancis laga dramatis argentina keluar sebagai juara piala dunia</t>
  </si>
  <si>
    <t>['final', 'piala', 'dunia', 'argentina', 'prancis', 'laga', 'dramatis', 'argentina', 'keluar', 'juara', 'piala', 'dunia']</t>
  </si>
  <si>
    <t>Kylian Mbape mengikuti jejak Geoff Hurst yang mencetak tiga gol dipertandingan Final Piala Dunia.</t>
  </si>
  <si>
    <t>kylian mbape mengikuti jejak geoff hurst yang mencetak tiga gol dipertandingan final piala dunia</t>
  </si>
  <si>
    <t>['kylian', 'mbape', 'mengikuti', 'jejak', 'geoff', 'hurst', 'mencetak', 'tiga', 'gol', 'dipertandingan', 'final', 'piala', 'dunia']</t>
  </si>
  <si>
    <t>@DraftAnakUnpad lg nonton bola sih kak wajar, sejarah ini, final piala dunia</t>
  </si>
  <si>
    <t>nonton bola sih kak wajar sejarah ini final piala dunia</t>
  </si>
  <si>
    <t>['nonton', 'bola', 'kak', 'wajar', 'sejarah', 'final', 'piala', 'dunia']</t>
  </si>
  <si>
    <t>ARGENTINA JUARA DUNIA. - GoAT messi pensiun bawa piala. - Bos kecil hattrick di final.  Sing pekok ya scaloni, alvarez main jelek dari awal final, awal2 babak 2 ga cepet2 diganti. Terbukti lautaro bikin perbedaan setelah masuk.</t>
  </si>
  <si>
    <t>argentina juara dunia goat messi pensiun bawa piala bos kecil hattrick final sing pekok scaloni alvarez main jelek dari awal final awal babak cepet diganti terbukti lautaro bikin perbedaan setelah masuk</t>
  </si>
  <si>
    <t>['argentina', 'juara', 'dunia', 'goat', 'messi', 'pensiun', 'bawa', 'piala', 'bos', 'kecil', 'hattrick', 'final', 'sing', 'pekok', 'scaloni', 'alvarez', 'main', 'jelek', 'awal', 'final', 'awal', 'babak', 'cepet', 'diganti', 'terbukti', 'lautaro', 'perbedaan', 'masuk']</t>
  </si>
  <si>
    <t>Final Piala dunia ter the best sih ini. selamat kepada Argentina dan goat sesungguhnya adalah Messi.</t>
  </si>
  <si>
    <t>final piala dunia ter the best sih ini selamat kepada argentina dan goat sesungguhnya adalah messi</t>
  </si>
  <si>
    <t>['final', 'piala', 'dunia', 'ter', 'the', 'best', 'selamat', 'argentina', 'goat', 'sesungguhnya', 'messi']</t>
  </si>
  <si>
    <t>pertama kalinya nonton final piala dunia since sd  wuuu congrats argenn üá¶üá∑üá¶üá∑</t>
  </si>
  <si>
    <t>pertama kalinya nonton final piala dunia since wuuu congrats argenn</t>
  </si>
  <si>
    <t>['pertama', 'kalinya', 'nonton', 'final', 'piala', 'dunia', 'since', 'wuuu', 'congrats', 'argenn']</t>
  </si>
  <si>
    <t>Selamat tim nasional Argentina dan Lionel Messi, juara Piala Dunia 2022 Qatar.  Dari yang awalnya sangat membosankan, berubah menjadi salah satu final Piala Dunia paling sengit. Ini yang dibutuhkan penikmat sepakbola.  üëè #FIFAWorldCup @afa</t>
  </si>
  <si>
    <t>selamat tim nasional argentina dan lionel messi juara piala dunia qatar dari yang awalnya sangat membosankan berubah menjadi salah satu final piala dunia paling sengit ini yang dibutuhkan penikmat sepakbola</t>
  </si>
  <si>
    <t>['selamat', 'tim', 'nasional', 'argentina', 'lionel', 'messi', 'juara', 'piala', 'dunia', 'qatar', 'awalnya', 'sangat', 'membosankan', 'berubah', 'menjadi', 'salah', 'satu', 'final', 'piala', 'dunia', 'paling', 'sengit', 'dibutuhkan', 'penikmat', 'sepakbola']</t>
  </si>
  <si>
    <t>Seru seru mungkin ini final piala dunia terseru walaupun hype nya kurang tapi pertandingan dan drama yang tersaji membuat ini jadi yang terbaik ‚öΩÔ∏è</t>
  </si>
  <si>
    <t>seru seru mungkin ini final piala dunia terseru walaupun hype nya kurang tapi pertandingan dan drama yang tersaji membuat ini jadi yang terbaik</t>
  </si>
  <si>
    <t>['seru', 'seru', 'mungkin', 'final', 'piala', 'dunia', 'terseru', 'walaupun', 'hype', 'kurang', 'pertandingan', 'drama', 'tersaji', 'membuat', 'jadi', 'terbaik']</t>
  </si>
  <si>
    <t>final paling seru sepanjang nonton piala dunia</t>
  </si>
  <si>
    <t>['final', 'paling', 'seru', 'sepanjang', 'nonton', 'piala', 'dunia']</t>
  </si>
  <si>
    <t>FINAL PIALA DUNIA PALING TERBAIK DAN TERSERU SEUMUR HIDUP SAYA !  VAMOS ARGENTINA üá¶üá∑üá¶üá∑üá¶üá∑üèÜüèÜüèÜ  https://t.co/QCUwuafypO</t>
  </si>
  <si>
    <t>final piala dunia paling terbaik dan terseru seumur hidup saya vamos argentina</t>
  </si>
  <si>
    <t>['final', 'piala', 'dunia', 'paling', 'terbaik', 'terseru', 'seumur', 'hidup', 'vamos', 'argentina']</t>
  </si>
  <si>
    <t>Final Piala Dunia terbaik sepanjang masa üò¨</t>
  </si>
  <si>
    <t>WHAT A SHOW WHAT A FINAL WHAT A GAME Piala dunia terbaik ditutup dengan cantik</t>
  </si>
  <si>
    <t>what show what final what game piala dunia terbaik ditutup dengan cantik</t>
  </si>
  <si>
    <t>['what', 'show', 'what', 'final', 'what', 'game', 'piala', 'dunia', 'terbaik', 'ditutup', 'cantik']</t>
  </si>
  <si>
    <t>Final piala dunia terbaik sejauh ini üî•üî•üî• #FIFAWorldCup</t>
  </si>
  <si>
    <t>final piala dunia terbaik sejauh ini</t>
  </si>
  <si>
    <t>['final', 'piala', 'dunia', 'terbaik', 'sejauh']</t>
  </si>
  <si>
    <t>Nonton piala dunia kayak lg nonton nudc final yg isinya semua powerhouse sama kampus baru yg mencuat bagus banget 6bln terakhirü§£ü§£ seru</t>
  </si>
  <si>
    <t>nonton piala dunia kayak nonton nudc final isinya semua powerhouse sama kampus baru mencuat bagus banget bln terakhir seru</t>
  </si>
  <si>
    <t>['nonton', 'piala', 'dunia', 'seperti', 'nonton', 'nudc', 'final', 'isinya', 'semua', 'powerhouse', 'sama', 'kampus', 'baru', 'mencuat', 'bagus', 'banget', 'bln', 'terakhir', 'seru']</t>
  </si>
  <si>
    <t>Final Piala Dunia terbaik yg pernah ditonton</t>
  </si>
  <si>
    <t>final piala dunia terbaik pernah ditonton</t>
  </si>
  <si>
    <t>Final yang penuh drama. Menegangkan. Dan akhirnya, Argentina merengkuh trofi Piala Dunia 2022. Usai dan tuntas perjuangan Lionel Messi.   Selamat, Argentina. Selamat, Messi!  https://t.co/zpefznyjSf</t>
  </si>
  <si>
    <t>final yang penuh drama menegangkan dan akhirnya argentina merengkuh trofi piala dunia usai dan tuntas perjuangan lionel messi selamat argentina selamat messi</t>
  </si>
  <si>
    <t>['final', 'penuh', 'drama', 'menegangkan', 'akhirnya', 'argentina', 'merengkuh', 'trofi', 'piala', 'dunia', 'usai', 'tuntas', 'perjuangan', 'lionel', 'messi', 'selamat', 'argentina', 'selamat', 'messi']</t>
  </si>
  <si>
    <t>Salah satu final piala dunia terseru sih ini. Sayang banget penendangnya Perancis udah ditarik semua sisa yang muda-muda doang. Padahal Mbappe udah hattrick loh.</t>
  </si>
  <si>
    <t>salah satu final piala dunia terseru sih ini sayang banget penendangnya perancis udah ditarik semua sisa yang muda muda doang padahal mbappe udah hattrick loh</t>
  </si>
  <si>
    <t>['salah', 'satu', 'final', 'piala', 'dunia', 'terseru', 'sayang', 'banget', 'penendangnya', 'perancis', 'udah', 'ditarik', 'semua', 'sisa', 'muda', 'muda', 'doang', 'padahal', 'mbappe', 'udah', 'hattrick']</t>
  </si>
  <si>
    <t>FINAL PIALA DUNIA TER GILA</t>
  </si>
  <si>
    <t>final piala dunia ter gila</t>
  </si>
  <si>
    <t>['final', 'piala', 'dunia', 'ter', 'gila']</t>
  </si>
  <si>
    <t>GOKIL PERTANDINGAN FINAL PIALA DUNIA KALI INI, SELAMAT @Argentina !!! üèÜüèÜ</t>
  </si>
  <si>
    <t>gokil pertandingan final piala dunia kali ini selamat</t>
  </si>
  <si>
    <t>['gila', 'pertandingan', 'final', 'piala', 'dunia', 'kali', 'selamat']</t>
  </si>
  <si>
    <t>Final Piala Dunia terbaik sejauh aing nonton</t>
  </si>
  <si>
    <t>final piala dunia terbaik sejauh aing nonton</t>
  </si>
  <si>
    <t>['final', 'piala', 'dunia', 'terbaik', 'sejauh', 'aing', 'nonton']</t>
  </si>
  <si>
    <t>@idextratime Lah coba itu Hattrick di Final Piala Dunia wkwkwk</t>
  </si>
  <si>
    <t>lah coba itu hattrick final piala dunia wkwkwk</t>
  </si>
  <si>
    <t>['lah', 'coba', 'hattrick', 'final', 'piala', 'dunia', 'wkwkwk']</t>
  </si>
  <si>
    <t>@L_MarshaJKT48 Final piala dunia terbaik</t>
  </si>
  <si>
    <t>marshajkt final piala dunia terbaik</t>
  </si>
  <si>
    <t>['marshajkt', 'final', 'piala', 'dunia', 'terbaik']</t>
  </si>
  <si>
    <t>Messi dapet Piala Dunia, Mbappe dapet sepatu emas.  Final Piala Dunia terbaik</t>
  </si>
  <si>
    <t>messi dapet piala dunia mbappe dapet sepatu emas final piala dunia terbaik</t>
  </si>
  <si>
    <t>['messi', 'dapat', 'piala', 'dunia', 'mbappe', 'dapat', 'sepatu', 'emas', 'final', 'piala', 'dunia', 'terbaik']</t>
  </si>
  <si>
    <t>Argentina Juara Piala Dunia 2022 Qatar.  Masa Penuh  Argentina 3 - 3 Perancis  Penalti  Argentina 4 - 2 Perancis  Epik Final</t>
  </si>
  <si>
    <t>argentina juara piala dunia qatar masa penuh argentina perancis penalti argentina perancis epik final</t>
  </si>
  <si>
    <t>['argentina', 'juara', 'piala', 'dunia', 'qatar', 'masa', 'penuh', 'argentina', 'perancis', 'penalti', 'argentina', 'perancis', 'epik', 'final']</t>
  </si>
  <si>
    <t>Kok bisa bisanya Final piala dunia trending raul Lemos wkwkwk  https://t.co/CVRZc2DAId</t>
  </si>
  <si>
    <t>kok bisa bisanya final piala dunia trending raul lemos wkwkwk</t>
  </si>
  <si>
    <t>['kok', 'bisanya', 'final', 'piala', 'dunia', 'trending', 'raul', 'lemos', 'wkwkwk']</t>
  </si>
  <si>
    <t>Final piala dunia terbaik yg pernah gue tonton! Congrats Argentina! #ArgentinaVsFrance #FIFAWorldCup #WorldCup  https://t.co/kB18JQyMjl</t>
  </si>
  <si>
    <t>final piala dunia terbaik pernah gue tonton congrats argentina</t>
  </si>
  <si>
    <t>['final', 'piala', 'dunia', 'terbaik', 'pernah', 'gue', 'tonton', 'congrats', 'argentina']</t>
  </si>
  <si>
    <t>Piala Dunia 2022: Dramatis, Argentina juara, tekuk juara bertahan Prancis melalui adu penalti - 'final terbaik' sepanjang masa.  #FIFAWorldCupFinal  #PialaDunia2022</t>
  </si>
  <si>
    <t>piala dunia dramatis argentina juara tekuk juara bertahan prancis melalui adu penalti final terbaik sepanjang masa</t>
  </si>
  <si>
    <t>['piala', 'dunia', 'dramatis', 'argentina', 'juara', 'tekuk', 'juara', 'bertahan', 'prancis', 'melalui', 'adu', 'penalti', 'final', 'terbaik', 'sepanjang', 'masa']</t>
  </si>
  <si>
    <t>selamat Argentina.. final terfinal piala dunia kali ini</t>
  </si>
  <si>
    <t>selamat argentina final terfinal piala dunia kali ini</t>
  </si>
  <si>
    <t>['selamat', 'argentina', 'final', 'terfinal', 'piala', 'dunia', 'kali']</t>
  </si>
  <si>
    <t>bayangin lo cetak hattrick di final piala dunia tapi KALAH</t>
  </si>
  <si>
    <t>bayangin cetak hattrick final piala dunia tapi kalah</t>
  </si>
  <si>
    <t>['bayangin', 'cetak', 'hattrick', 'final', 'piala', 'dunia', 'kalah']</t>
  </si>
  <si>
    <t>final piala dunia terepic ni. slamett!!  https://t.co/daZAxuWOdk</t>
  </si>
  <si>
    <t>final piala dunia terepic slamett</t>
  </si>
  <si>
    <t>['final', 'piala', 'dunia', 'terepic', 'slamett']</t>
  </si>
  <si>
    <t>FINAL TERBAIK YANG PERNAH AING TONTON!!!! PIALA DUNIA TERBAIK YANG PERNAH AING TONTON MESSI JUARA PIALA DUNIA HE IS THE GOAT!!!! THE ONLY ONE</t>
  </si>
  <si>
    <t>final terbaik yang pernah aing tonton piala dunia terbaik yang pernah aing tonton messi juara piala dunia the goat the only one</t>
  </si>
  <si>
    <t>['final', 'terbaik', 'pernah', 'aing', 'tonton', 'piala', 'dunia', 'terbaik', 'pernah', 'aing', 'tonton', 'messi', 'juara', 'piala', 'dunia', 'the', 'goat', 'the', 'only', 'one']</t>
  </si>
  <si>
    <t>Selamat buat Messi sudah menyempurnakan gelar sepakbolanya! Mbappe, ayo kejar 2026! Alias terima kasih untuk suguhan SEPAKBOLA di final Piala Dunia 2022 ini. MANTEP JOS POL-POLAN!!!!</t>
  </si>
  <si>
    <t>selamat buat messi sudah menyempurnakan gelar sepakbolanya mbappe ayo kejar alias terima kasih untuk suguhan sepakbola final piala dunia ini mantep jos pol polan</t>
  </si>
  <si>
    <t>['selamat', 'buat', 'messi', 'menyempurnakan', 'gelar', 'sepakbolanya', 'mbappe', 'ayo', 'kejar', 'alias', 'terima', 'kasih', 'suguhan', 'sepakbola', 'final', 'piala', 'dunia', 'mantap', 'jos', 'pol', 'polan']</t>
  </si>
  <si>
    <t>Rekor Argentina di Piala Dunia 1930 - Juara Kedua 1934 - Babak 1 1958 - Babak 1 1962 - Babak 1 1966 - Perempat final 1974 - Babak 2 1978 - JUARA 1982 - Babak 2 1986 - JUARA 1990 - Juara Kedua 1994 - 16 besar 1998 - Perempat final 2002 - Babak 1 2006 - Perempat final</t>
  </si>
  <si>
    <t>rekor argentina piala dunia juara kedua babak babak babak perempat final babak juara babak juara juara kedua besar perempat final babak perempat final</t>
  </si>
  <si>
    <t>['rekor', 'argentina', 'piala', 'dunia', 'juara', 'kedua', 'babak', 'babak', 'babak', 'perempat', 'final', 'babak', 'juara', 'babak', 'juara', 'juara', 'kedua', 'besar', 'perempat', 'final', 'babak', 'perempat', 'final']</t>
  </si>
  <si>
    <t>&lt;FreqDist with 10 samples and 23 outcomes&gt;</t>
  </si>
  <si>
    <t>Final Piala dunia terbaikk di abad ini. #FIFAWorldCup tahniah argentina</t>
  </si>
  <si>
    <t>final piala dunia terbaikk abad ini tahniah argentina</t>
  </si>
  <si>
    <t>['final', 'piala', 'dunia', 'terbaikk', 'abad', 'tahniah', 'argentina']</t>
  </si>
  <si>
    <t>Kyllian Mbappe, pemain kedua Sepanjang masa yang mencetak hattrick di Final Piala Dunia setelah Geoff Hurst (Inggris, 1966). #WorldCup2022 #FIFAWorldCup</t>
  </si>
  <si>
    <t>kyllian mbappe pemain kedua sepanjang masa yang mencetak hattrick final piala dunia setelah geoff hurst inggris</t>
  </si>
  <si>
    <t>['kyllian', 'mbappe', 'pemain', 'kedua', 'sepanjang', 'masa', 'mencetak', 'hattrick', 'final', 'piala', 'dunia', 'geoff', 'hurst', 'inggris']</t>
  </si>
  <si>
    <t>Final luar biasa untuk Piala Dunia yang luar biasa. Terima kasih Prancis. Respect</t>
  </si>
  <si>
    <t>final luar biasa untuk piala dunia yang luar biasa terima kasih prancis respect</t>
  </si>
  <si>
    <t>['final', 'luar', 'biasa', 'piala', 'dunia', 'luar', 'biasa', 'terima', 'kasih', 'prancis', 'respect']</t>
  </si>
  <si>
    <t>Final piala dunia paling drama anjeeng</t>
  </si>
  <si>
    <t>final piala dunia paling drama anjeeng</t>
  </si>
  <si>
    <t>['final', 'piala', 'dunia', 'paling', 'drama', 'anjeeng']</t>
  </si>
  <si>
    <t>HARUS DIAKUI FINAL PIALA DUNIA 2022 IS THE BEST FINALüêê</t>
  </si>
  <si>
    <t>harus diakui final piala dunia the best final</t>
  </si>
  <si>
    <t>['diakui', 'final', 'piala', 'dunia', 'the', 'best', 'final']</t>
  </si>
  <si>
    <t>Ini kerennn sumpahhhh final piala dunia terkeren üò≠üò≠üò≠üò≠ü´°ü´°ü´° Messi happy ending ü•≥ü•≥üòçüòçüòçüòç</t>
  </si>
  <si>
    <t>ini kerennn sumpahhhh final piala dunia terkeren messi happy ending</t>
  </si>
  <si>
    <t>['kerennn', 'sumpahhhh', 'final', 'piala', 'dunia', 'terkeren', 'messi', 'happy', 'ending']</t>
  </si>
  <si>
    <t>Final piala dunia paling seru  Congratz Argentina!!</t>
  </si>
  <si>
    <t>final piala dunia paling seru congratz argentina</t>
  </si>
  <si>
    <t>['final', 'piala', 'dunia', 'paling', 'seru', 'congratz', 'argentina']</t>
  </si>
  <si>
    <t>Final Piala Dunia terseru!</t>
  </si>
  <si>
    <t>Kuncinya adalah... Messi yang udah nothing to lose buat dapet piala dunia. Kelihatan pas Perancis selalu mampu membalas gol. Beda dengan Final dulu. Yg terbebani harus juara</t>
  </si>
  <si>
    <t>kuncinya adalah messi yang udah nothing lose buat dapet piala dunia kelihatan pas perancis selalu mampu membalas gol beda dengan final dulu terbebani harus juara</t>
  </si>
  <si>
    <t>['kuncinya', 'messi', 'udah', 'nothing', 'lose', 'buat', 'dapat', 'piala', 'dunia', 'kelihatan', 'pas', 'perancis', 'selalu', 'mampu', 'membalas', 'gol', 'beda', 'final', 'dulu', 'terbebani', 'juara']</t>
  </si>
  <si>
    <t>Sangat2 menghibur sekali final piala dunia kali ini. Dari menang 2 gol sampai bisa menyamakan kedudukan bahkan sampe adu penalti #FIFAWorldCup</t>
  </si>
  <si>
    <t>sangat menghibur sekali final piala dunia kali ini dari menang gol sampai bisa menyamakan kedudukan bahkan sampe adu penalti</t>
  </si>
  <si>
    <t>['sangat', 'menghibur', 'sekali', 'final', 'piala', 'dunia', 'kali', 'menang', 'gol', 'menyamakan', 'kedudukan', 'bahkan', 'sampai', 'adu', 'penalti']</t>
  </si>
  <si>
    <t>Pertandingan Final Piala Dunia Terbaik....</t>
  </si>
  <si>
    <t>pertandingan final piala dunia terbaik</t>
  </si>
  <si>
    <t>['pertandingan', 'final', 'piala', 'dunia', 'terbaik']</t>
  </si>
  <si>
    <t>Ini final piala dunia buat darah gw tekanan tinggi anjir</t>
  </si>
  <si>
    <t>ini final piala dunia buat darah tekanan tinggi anjir</t>
  </si>
  <si>
    <t>['final', 'piala', 'dunia', 'buat', 'darah', 'tekanan', 'tinggi', 'anjir']</t>
  </si>
  <si>
    <t>final piala dunia paling seru selama mengenal sepak bola</t>
  </si>
  <si>
    <t>['final', 'piala', 'dunia', 'paling', 'seru', 'selama', 'mengenal', 'sepak', 'bola']</t>
  </si>
  <si>
    <t>Nuhun pisan katampi pisan final piala dunia 2022</t>
  </si>
  <si>
    <t>nuhun pisan katampi pisan final piala dunia</t>
  </si>
  <si>
    <t>['nuhun', 'pisan', 'katampi', 'pisan', 'final', 'piala', 'dunia']</t>
  </si>
  <si>
    <t>final piala dunia paling seru gokil</t>
  </si>
  <si>
    <t>['final', 'piala', 'dunia', 'paling', 'seru', 'gila']</t>
  </si>
  <si>
    <t>Mbappe 24 tahun dah jaringkan 4 gol kat final Piala Dunia. Aku 24 tahun takde arah tuju kehidupan lagi.</t>
  </si>
  <si>
    <t>mbappe tahun dah jaringkan gol kat final piala dunia aku tahun takde arah tuju kehidupan lagi</t>
  </si>
  <si>
    <t>['mbappe', 'tahun', 'dah', 'jaringkan', 'gol', 'kat', 'final', 'piala', 'dunia', 'aku', 'tahun', 'takde', 'arah', 'tuju', 'kehidupan']</t>
  </si>
  <si>
    <t>Final Piala Dunia paling ndredek, Vamos Argentina!</t>
  </si>
  <si>
    <t>final piala dunia paling ndredek vamos argentina</t>
  </si>
  <si>
    <t>['final', 'piala', 'dunia', 'paling', 'ndredek', 'vamos', 'argentina']</t>
  </si>
  <si>
    <t>Congrats Argentina! Congrats Messi! Final Piala Dunia Terbaik!</t>
  </si>
  <si>
    <t>congrats argentina congrats messi final piala dunia terbaik</t>
  </si>
  <si>
    <t>['congrats', 'argentina', 'congrats', 'messi', 'final', 'piala', 'dunia', 'terbaik']</t>
  </si>
  <si>
    <t>terlepas siapapun juara nya..trimakasih udha ngasih final piala dunia yang susah buat dilupakan üò≠üò≠</t>
  </si>
  <si>
    <t>terlepas siapapun juara nya trimakasih udha ngasih final piala dunia yang susah buat dilupakan</t>
  </si>
  <si>
    <t>['terlepas', 'siapapun', 'juara', 'trimakasih', 'udha', 'ngasih', 'final', 'piala', 'dunia', 'susah', 'buat', 'dilupakan']</t>
  </si>
  <si>
    <t>Final Piala Dunia yang sangat menghibur. Terimakasih untuk kedua tim. Argentina pantas juara</t>
  </si>
  <si>
    <t>final piala dunia yang sangat menghibur terimakasih untuk kedua tim argentina pantas juara</t>
  </si>
  <si>
    <t>['final', 'piala', 'dunia', 'sangat', 'menghibur', 'terimakasih', 'kedua', 'tim', 'argentina', 'pantas', 'juara']</t>
  </si>
  <si>
    <t>Final piala dunia 2022 paling top markotop</t>
  </si>
  <si>
    <t>final piala dunia paling top markotop</t>
  </si>
  <si>
    <t>['final', 'piala', 'dunia', 'paling', 'top', 'markotop']</t>
  </si>
  <si>
    <t>Final piala dunia yang luar biasa. Selamat #Argentina üëç</t>
  </si>
  <si>
    <t>final piala dunia yang luar biasa selamat</t>
  </si>
  <si>
    <t>['final', 'piala', 'dunia', 'luar', 'biasa', 'selamat']</t>
  </si>
  <si>
    <t>Final piala dunia yang seru</t>
  </si>
  <si>
    <t>final piala dunia yang seru</t>
  </si>
  <si>
    <t>['final', 'piala', 'dunia', 'seru']</t>
  </si>
  <si>
    <t>@Askrlfess Ya, kamu doang jam segini nonton bola yang lain mah nonton final piala dunia</t>
  </si>
  <si>
    <t>kamu doang jam segini nonton bola yang lain mah nonton final piala dunia</t>
  </si>
  <si>
    <t>['kamu', 'doang', 'jam', 'segini', 'nonton', 'bola', 'mah', 'nonton', 'final', 'piala', 'dunia']</t>
  </si>
  <si>
    <t>Final piala dunia paling seru yg pernah gw tonton, nice try France, congrats Argen üëèüëèüëè</t>
  </si>
  <si>
    <t>final piala dunia paling seru pernah tonton nice try france congrats argen</t>
  </si>
  <si>
    <t>['final', 'piala', 'dunia', 'paling', 'seru', 'pernah', 'tonton', 'nice', 'try', 'france', 'congrats', 'argen']</t>
  </si>
  <si>
    <t>Final piala dunia paling kacau! Weman banget prancisüëè</t>
  </si>
  <si>
    <t>final piala dunia paling kacau weman banget prancis</t>
  </si>
  <si>
    <t>['final', 'piala', 'dunia', 'paling', 'kacau', 'weman', 'banget', 'prancis']</t>
  </si>
  <si>
    <t>2006    2022           ü§ù "Nontonin prancis kalah adu penalti di final piala dunia"   Wkwkwkkwwkk  Vamossss argentinaa NT France</t>
  </si>
  <si>
    <t>nontonin prancis kalah adu penalti final piala dunia wkwkwkkwwkk vamossss argentinaa france</t>
  </si>
  <si>
    <t>['nontonin', 'prancis', 'kalah', 'adu', 'penalti', 'final', 'piala', 'dunia', 'wkwkwkkwwkk', 'vamossss', 'argentinaa', 'france']</t>
  </si>
  <si>
    <t>Rispek Prancis, Final Piala Dunia terbaik.</t>
  </si>
  <si>
    <t>rispek prancis final piala dunia terbaik</t>
  </si>
  <si>
    <t>['rispek', 'prancis', 'final', 'piala', 'dunia', 'terbaik']</t>
  </si>
  <si>
    <t>WOAAAAAAAAHHHHHH ARGENTINAAAAAA CONGRATULATIONNN!!! GILAAAA THE BEST BANGET FINAL PIALA DUNIA 2022!!! üò≠üò≠üò≠ü•≥ü•≥ü•≥ü•≥ü•≥ü•≥ü•≥ü•≥ü•≥  MBAPPE LU KEREN ANJIR #FIFAWorldCup #PialaDunia2022  https://t.co/KVclnYpFxc</t>
  </si>
  <si>
    <t>woaaaaaaaahhhhhh argentinaaaaaa congratulationnn gilaaaa the best banget final piala dunia mbappe keren anjir</t>
  </si>
  <si>
    <t>['woaaaaaaaahhhhhh', 'argentinaaaaaa', 'congratulationnn', 'gilaaaa', 'the', 'best', 'banget', 'final', 'piala', 'dunia', 'mbappe', 'keren', 'anjir']</t>
  </si>
  <si>
    <t>Penyisihan grup? Penuh plot twist. Fase knock out? Penuh drama. Final? Tegang gila2an. Piala dunia format 32 terakhir. World Cup Qatar 2022 Terbaek...!! Messi..Messi..Messi!!!!!</t>
  </si>
  <si>
    <t>penyisihan grup penuh plot twist fase knock out penuh drama final tegang gila piala dunia format terakhir world cup qatar terbaek messi messi messi</t>
  </si>
  <si>
    <t>['penyisihan', 'grup', 'penuh', 'plot', 'twist', 'fase', 'knock', 'out', 'penuh', 'drama', 'final', 'tegang', 'gila', 'piala', 'dunia', 'format', 'terakhir', 'world', 'cup', 'qatar', 'terbaek', 'messi', 'messi', 'messi']</t>
  </si>
  <si>
    <t>Rekor Prancis di Piala Dunia 1930 - Babak 1 1934 - Babak 1 1938 - Perempat final 1954 - Babak 1 1958 - Urutan 3 1966 - Babak 1 1978 - Babak 1 1982 - Urutan 4 1986 - Urutan 3 1998 - JUARA 2002 - Babak 1 2006 - Juara Kedua 2010 - Babak 1 2014 - Perempat final 2018 - JUARA</t>
  </si>
  <si>
    <t>rekor prancis piala dunia babak babak perempat final babak urutan babak babak urutan urutan juara babak juara kedua babak perempat final juara</t>
  </si>
  <si>
    <t>['rekor', 'prancis', 'piala', 'dunia', 'babak', 'babak', 'perempat', 'final', 'babak', 'urutan', 'babak', 'babak', 'urutan', 'urutan', 'juara', 'babak', 'juara', 'kedua', 'babak', 'perempat', 'final', 'juara']</t>
  </si>
  <si>
    <t>&lt;FreqDist with 10 samples and 22 outcomes&gt;</t>
  </si>
  <si>
    <t>Final terbaik Piala Dunia bener-bener titik darah penghabisan. Vamos Argentina ü•πü•πüíô</t>
  </si>
  <si>
    <t>final terbaik piala dunia bener bener titik darah penghabisan vamos argentina</t>
  </si>
  <si>
    <t>['final', 'terbaik', 'piala', 'dunia', 'benar', 'benar', 'titik', 'darah', 'penghabisan', 'vamos', 'argentina']</t>
  </si>
  <si>
    <t>Final dan piala dunia terseru sepanjang ngerti nonton bola !!!! Since WC 2006</t>
  </si>
  <si>
    <t>final dan piala dunia terseru sepanjang ngerti nonton bola since</t>
  </si>
  <si>
    <t>['final', 'piala', 'dunia', 'terseru', 'sepanjang', 'ngerti', 'nonton', 'bola', 'since']</t>
  </si>
  <si>
    <t>PENALTI FINAL PIALA DUNIA 2022  üá´üá∑ üü¢üî¥üî¥üü¢ üá¶üá∑ üü¢üü¢üü¢üü¢  ARGENTINA IS THE WINNER #FIFAWorldCup 2022  https://t.co/i5NUj0E3k0</t>
  </si>
  <si>
    <t>penalti final piala dunia argentina the winner</t>
  </si>
  <si>
    <t>['penalti', 'final', 'piala', 'dunia', 'argentina', 'the', 'winner']</t>
  </si>
  <si>
    <t>221219 üêªüí≠  "Final world cup beneran buat degdegan deh" "Pikirin tentang hal itu deh, aku mau spoiler buat world cupnya" "Sekarang jam 2:2*" "Buat yang gak nontonn sihh...üòù" "Haechan si diem diem rebahan di bawah dan Jeno yang nontonin dia"  *Sepertinya spoiler skor piala dunia</t>
  </si>
  <si>
    <t>final world cup beneran buat degdegan deh pikirin tentang hal itu deh aku mau spoiler buat world cupnya sekarang jam buat yang gak nontonn sihh haechan diem diem rebahan bawah dan jeno yang nontonin dia sepertinya spoiler skor piala dunia</t>
  </si>
  <si>
    <t>['final', 'world', 'cup', 'beneran', 'buat', 'degdegan', 'deh', 'pikirin', 'deh', 'aku', 'mau', 'spoiler', 'buat', 'world', 'cupnya', 'sekarang', 'jam', 'buat', 'nontonn', 'sihh', 'haechan', 'diem', 'diem', 'rebahan', 'bawah', 'jeno', 'nontonin', 'sepertinya', 'spoiler', 'skor', 'piala', 'dunia']</t>
  </si>
  <si>
    <t>Argentina dan Messi sangat layak juara, coookk happy banget aku ambek final piala dunia iki üò≠</t>
  </si>
  <si>
    <t>argentina dan messi sangat layak juara coookk happy banget aku ambek final piala dunia iki</t>
  </si>
  <si>
    <t>['argentina', 'messi', 'sangat', 'layak', 'juara', 'coookk', 'happy', 'banget', 'aku', 'ambek', 'final', 'piala', 'dunia', 'iki']</t>
  </si>
  <si>
    <t>FINAL PIALA DUNIA TERBAIK SUDAH JELAS INI</t>
  </si>
  <si>
    <t>final piala dunia terbaik sudah jelas ini</t>
  </si>
  <si>
    <t>['final', 'piala', 'dunia', 'terbaik', 'jelas']</t>
  </si>
  <si>
    <t>Terima kasih semesta telah menyajikan final piala dunia terseru</t>
  </si>
  <si>
    <t>terima kasih semesta telah menyajikan final piala dunia terseru</t>
  </si>
  <si>
    <t>['terima', 'kasih', 'semesta', 'menyajikan', 'final', 'piala', 'dunia', 'terseru']</t>
  </si>
  <si>
    <t>Argentina Juara Piala Dunia 2022 Lawan Prancis di Final  Penalti Messi #FIFAWorldCup WHAT A FINAL  https://t.co/s2eqo7fxYd</t>
  </si>
  <si>
    <t>argentina juara piala dunia lawan prancis final penalti messi what final</t>
  </si>
  <si>
    <t>['argentina', 'juara', 'piala', 'dunia', 'lawan', 'prancis', 'final', 'penalti', 'messi', 'what', 'final']</t>
  </si>
  <si>
    <t>ini final piala dunia tergokil, gila banget dah.</t>
  </si>
  <si>
    <t>ini final piala dunia tergokil gila banget dah</t>
  </si>
  <si>
    <t>['final', 'piala', 'dunia', 'tergokil', 'gila', 'banget', 'dah']</t>
  </si>
  <si>
    <t>Final piala dunia terbaik yg pernah kutonton sih ini üëèüëèüëè</t>
  </si>
  <si>
    <t>final piala dunia terbaik pernah kutonton sih ini</t>
  </si>
  <si>
    <t>['final', 'piala', 'dunia', 'terbaik', 'pernah', 'kutonton']</t>
  </si>
  <si>
    <t>Final piala dunia paling kerennn #IMO</t>
  </si>
  <si>
    <t>final piala dunia paling kerennn</t>
  </si>
  <si>
    <t>['final', 'piala', 'dunia', 'paling', 'kerennn']</t>
  </si>
  <si>
    <t>piala dunia 2022 piala dunia tergokil, banyak plot twist, banyak drama, partai final terbaik</t>
  </si>
  <si>
    <t>piala dunia piala dunia tergokil banyak plot twist banyak drama partai final terbaik</t>
  </si>
  <si>
    <t>['piala', 'dunia', 'piala', 'dunia', 'tergokil', 'banyak', 'plot', 'twist', 'banyak', 'drama', 'partai', 'final', 'terbaik']</t>
  </si>
  <si>
    <t>Final terseru! Congrast Argentina, Congrast messi piala dunia terakhir akhirnya angkat trhopy juga!</t>
  </si>
  <si>
    <t>final terseru congrast argentina congrast messi piala dunia terakhir akhirnya angkat trhopy juga</t>
  </si>
  <si>
    <t>['final', 'terseru', 'congrast', 'argentina', 'congrast', 'messi', 'piala', 'dunia', 'terakhir', 'akhirnya', 'angkat', 'trhopy']</t>
  </si>
  <si>
    <t>Selama nonton piala dunia dari 2002, ini slaah satu final paling seru. Tahun 2002 dan 2022. Kalau adu penalti , Prancis yg menang pasti lebih perfect kwkwkw</t>
  </si>
  <si>
    <t>selama nonton piala dunia dari ini slaah satu final paling seru tahun dan kalau adu penalti prancis menang pasti lebih perfect kwkwkw</t>
  </si>
  <si>
    <t>['selama', 'nonton', 'piala', 'dunia', 'slaah', 'satu', 'final', 'paling', 'seru', 'tahun', 'kalau', 'adu', 'penalti', 'prancis', 'menang', 'lebih', 'perfect', 'kwkwkw']</t>
  </si>
  <si>
    <t>CONGRATS CONGRATS ARGENTINA CONGRATS MESSI üêê  RESPECT FRANCE SUPERCOOL MBAPPE  FINAL PIALA DUNIA PALING GILA!</t>
  </si>
  <si>
    <t>congrats congrats argentina congrats messi respect france supercool mbappe final piala dunia paling gila</t>
  </si>
  <si>
    <t>['congrats', 'congrats', 'argentina', 'congrats', 'messi', 'respect', 'france', 'supercool', 'mbappe', 'final', 'piala', 'dunia', 'paling', 'gila']</t>
  </si>
  <si>
    <t>ok argentina menang....ternyata gak bisa tidur gara2 final piala dunia....kampay....gawe pagi padahal</t>
  </si>
  <si>
    <t>argentina menang ternyata gak bisa tidur gara final piala dunia kampay gawe pagi padahal</t>
  </si>
  <si>
    <t>['argentina', 'menang', 'ternyata', 'tidur', 'gara', 'final', 'piala', 'dunia', 'kampay', 'gawe', 'pagi', 'padahal']</t>
  </si>
  <si>
    <t>Final piala dunia 2022 di camelia  https://t.co/dQrenpFUd6</t>
  </si>
  <si>
    <t>final piala dunia camelia</t>
  </si>
  <si>
    <t>['final', 'piala', 'dunia', 'camelia']</t>
  </si>
  <si>
    <t>Final piala dunia terseru. Goks</t>
  </si>
  <si>
    <t>final piala dunia terseru goks</t>
  </si>
  <si>
    <t>['final', 'piala', 'dunia', 'terseru', 'goks']</t>
  </si>
  <si>
    <t>FT: Argentina 3(4)-(2)3 France  Akhirnya Argentina menang Piala Dunia. Messi GOAT sepanjang zaman. The best world cup final ever dan the best performance from golden boy Mbappe Lottin</t>
  </si>
  <si>
    <t>argentina france akhirnya argentina menang piala dunia messi goat sepanjang zaman the best world cup final ever dan the best performance from golden boy mbappe lottin</t>
  </si>
  <si>
    <t>['argentina', 'france', 'akhirnya', 'argentina', 'menang', 'piala', 'dunia', 'messi', 'goat', 'sepanjang', 'zaman', 'the', 'best', 'world', 'cup', 'final', 'ever', 'the', 'best', 'performance', 'from', 'golden', 'boy', 'mbappe', 'lottin']</t>
  </si>
  <si>
    <t>Argentina... 3 kali Juara Dunia. Sah...  Messi GOAT sah...  Selamat Argentina.  Terima kasih Prancis.   Final Piala Dunia luar biasa yang pernah saya tonton.</t>
  </si>
  <si>
    <t>argentina kali juara dunia sah messi goat sah selamat argentina terima kasih prancis final piala dunia luar biasa yang pernah saya tonton</t>
  </si>
  <si>
    <t>['argentina', 'kali', 'juara', 'dunia', 'sah', 'messi', 'goat', 'sah', 'selamat', 'argentina', 'terima', 'kasih', 'prancis', 'final', 'piala', 'dunia', 'luar', 'biasa', 'pernah', 'tonton']</t>
  </si>
  <si>
    <t>Final piala dunia terbaik. Selamat Argentina üëçüëçüëç</t>
  </si>
  <si>
    <t>Asli ini final Piala Dunia terbaik sih</t>
  </si>
  <si>
    <t>asli ini final piala dunia terbaik sih</t>
  </si>
  <si>
    <t>['asli', 'final', 'piala', 'dunia', 'terbaik']</t>
  </si>
  <si>
    <t>Final Piala Dunia terdrama terseru</t>
  </si>
  <si>
    <t>final piala dunia terdrama terseru</t>
  </si>
  <si>
    <t>['final', 'piala', 'dunia', 'terdrama', 'terseru']</t>
  </si>
  <si>
    <t>kerennn..benaar¬≤ final piala dunia yg sangat berkesan..</t>
  </si>
  <si>
    <t>kerennn benaar final piala dunia sangat berkesan</t>
  </si>
  <si>
    <t>['kerennn', 'benaar', 'final', 'piala', 'dunia', 'sangat', 'berkesan']</t>
  </si>
  <si>
    <t>Woww keren final piala dunia, ini baru namanya pertandingan keren sampe adu royalti, angkara mesi angkara mbape boom boom bawww #ganonton #biarkykorg2aja</t>
  </si>
  <si>
    <t>woww keren final piala dunia ini baru namanya pertandingan keren sampe adu royalti angkara mesi angkara mbape boom boom bawww</t>
  </si>
  <si>
    <t>['woww', 'keren', 'final', 'piala', 'dunia', 'baru', 'namanya', 'pertandingan', 'keren', 'sampai', 'adu', 'royalti', 'angkara', 'mesi', 'angkara', 'mbape', 'boom', 'boom', 'bawww']</t>
  </si>
  <si>
    <t>Final terseru nih Mantap Messi akhirnya juara piala dunia</t>
  </si>
  <si>
    <t>final terseru nih mantap messi akhirnya juara piala dunia</t>
  </si>
  <si>
    <t>['final', 'terseru', 'mantap', 'messi', 'akhirnya', 'juara', 'piala', 'dunia']</t>
  </si>
  <si>
    <t>Selamat Argentia, Selamat Messi üëçüëç Final Piala Dunia paling keren üî•üî•</t>
  </si>
  <si>
    <t>selamat argentia selamat messi final piala dunia paling keren</t>
  </si>
  <si>
    <t>['selamat', 'argentia', 'selamat', 'messi', 'final', 'piala', 'dunia', 'paling', 'keren']</t>
  </si>
  <si>
    <t>ARGENTINA JUARA PIALA DUNIA  kalahkan Prancis di final!   VAMOSSS üá¶üá∑üá¶üá∑üá¶üá∑üá¶üá∑üá¶üá∑üá¶üá∑üá¶üá∑üá¶üá∑üá¶üá∑  https://t.co/ZMTWI4vyQD</t>
  </si>
  <si>
    <t>argentina juara piala dunia kalahkan prancis final vamosss</t>
  </si>
  <si>
    <t>['argentina', 'juara', 'piala', 'dunia', 'kalahkan', 'prancis', 'final', 'vamosss']</t>
  </si>
  <si>
    <t>FINAL PIALA DUNIA TERSERU ANJING</t>
  </si>
  <si>
    <t>final piala dunia terseru anjing</t>
  </si>
  <si>
    <t>['final', 'piala', 'dunia', 'terseru', 'anjing']</t>
  </si>
  <si>
    <t>Apa ada percirclean yang gak nonton piala dunia dari awal - final?</t>
  </si>
  <si>
    <t>apa ada percirclean yang gak nonton piala dunia dari awal final</t>
  </si>
  <si>
    <t>['apa', 'percirclean', 'nonton', 'piala', 'dunia', 'awal', 'final']</t>
  </si>
  <si>
    <t>Dramatis banget! Berikut ini laporan laga Argentina vs Prancis di final Piala Dunia 2022. #kumparanBOLA  https://t.co/f1GgPx0qHj</t>
  </si>
  <si>
    <t>dramatis banget berikut ini laporan laga argentina prancis final piala dunia</t>
  </si>
  <si>
    <t>['dramatis', 'banget', 'berikut', 'laporan', 'laga', 'argentina', 'prancis', 'final', 'piala', 'dunia']</t>
  </si>
  <si>
    <t>UPDATE! LIVE Skor Sementara Argentina vs Prancis 3-3 di Laga Final Piala Dunia Qatar 2022  https://t.co/nfS5b3KN4N</t>
  </si>
  <si>
    <t>update live skor sementara argentina prancis laga final piala dunia qatar</t>
  </si>
  <si>
    <t>['update', 'live', 'skor', 'argentina', 'prancis', 'laga', 'final', 'piala', 'dunia', 'qatar']</t>
  </si>
  <si>
    <t>Argentina Juara Piala Dunia 2022 Lawan Prancis di Final  Tag #FIFAWorldCup Messi  https://t.co/s2eqo7fxYd</t>
  </si>
  <si>
    <t>argentina juara piala dunia lawan prancis final tag messi</t>
  </si>
  <si>
    <t>['argentina', 'juara', 'piala', 'dunia', 'lawan', 'prancis', 'final', 'tag', 'messi']</t>
  </si>
  <si>
    <t>Argentina juara  Dengan ini, bangsa eropa kembali menjuarai piala dunia, menang melawan bangsa afrika di final  Alhamdulillah messi</t>
  </si>
  <si>
    <t>argentina juara dengan ini bangsa eropa kembali menjuarai piala dunia menang melawan bangsa afrika final alhamdulillah messi</t>
  </si>
  <si>
    <t>['argentina', 'juara', 'bangsa', 'eropa', 'menjuarai', 'piala', 'dunia', 'menang', 'melawan', 'bangsa', 'afrika', 'final', 'alhamdulillah', 'messi']</t>
  </si>
  <si>
    <t>Final piala dunia terbaik yang pernah gw tonton</t>
  </si>
  <si>
    <t>final piala dunia terbaik yang pernah tonton</t>
  </si>
  <si>
    <t>Malam ini Pak Plt Wali Kota Bekasi, @mastriadhianto menyaksikan final piala dunia di kediaman Abang Umar Kei. Keliatan seru campur deg-degan nih ya wajah-wajahnya üòÅ  #TriAdhiantoCenter  https://t.co/wMuqtJNh03</t>
  </si>
  <si>
    <t>malam ini pak plt wali kota bekasi menyaksikan final piala dunia kediaman abang umar kei keliatan seru campur deg degan nih wajah wajahnya</t>
  </si>
  <si>
    <t>['malam', 'pak', 'plt', 'wali', 'kota', 'bekasi', 'menyaksikan', 'final', 'piala', 'dunia', 'kediaman', 'abang', 'umar', 'kei', 'keliatan', 'seru', 'campur', 'deg', 'degan', 'wajah', 'wajahnya']</t>
  </si>
  <si>
    <t>lucu bgt liat orang orang pada misah misuh nonton final piala dunia argentina sama prancis. wkwk gokil</t>
  </si>
  <si>
    <t>lucu bgt liat orang orang pada misah misuh nonton final piala dunia argentina sama prancis wkwk gokil</t>
  </si>
  <si>
    <t>['lucu', 'banget', 'lihat', 'orang', 'orang', 'misah', 'misuh', 'nonton', 'final', 'piala', 'dunia', 'argentina', 'sama', 'prancis', 'gila']</t>
  </si>
  <si>
    <t>WHAT A GAME! FINAL #FIFAWorldCup TERGOKIL!üî•  Lewat drama kejar-kejaran gol sampai adu penalti, Piala Dunia 2022 resmi milik Argentina.  Messi pastikan miliki gelar piala dunia!  https://t.co/r84AgUqcmX</t>
  </si>
  <si>
    <t>what game final tergokil lewat drama kejar kejaran gol sampai adu penalti piala dunia resmi milik argentina messi pastikan miliki gelar piala dunia</t>
  </si>
  <si>
    <t>['what', 'game', 'final', 'tergokil', 'lewat', 'drama', 'kejar', 'kejaran', 'gol', 'adu', 'penalti', 'piala', 'dunia', 'resmi', 'milik', 'argentina', 'messi', 'pastikan', 'miliki', 'gelar', 'piala', 'dunia']</t>
  </si>
  <si>
    <t>Best final piala dunia, nt ygy</t>
  </si>
  <si>
    <t>best final piala dunia ygy</t>
  </si>
  <si>
    <t>['best', 'final', 'piala', 'dunia', 'ygy']</t>
  </si>
  <si>
    <t>@idextratime Akhirnya selesai juga piala dunia yg di setting FIFA dari wasit hakim garis sampe wasit VAR sudah dibayar dan final sudah jelas settingan yg juara ga kalah dan yg kalah runner-up üëè</t>
  </si>
  <si>
    <t>Penalty Shoot-out FINAL #Qatar2022 #FIFAWorldCup   Argentina: ‚úÖ‚úÖ‚úÖ‚úÖ France: ‚úÖ‚ùå‚ùå‚úÖ  ARGENTINA JUARA PIALA DUNIA!!</t>
  </si>
  <si>
    <t>penalty shoot out final argentina france argentina juara piala dunia</t>
  </si>
  <si>
    <t>['penalty', 'shoot', 'out', 'final', 'argentina', 'france', 'argentina', 'juara', 'piala', 'dunia']</t>
  </si>
  <si>
    <t>Argentina Juara Piala Dunia 2022 Lawan Prancis di Final   https://t.co/s2eqo7fxYd</t>
  </si>
  <si>
    <t>argentina juara piala dunia lawan prancis final</t>
  </si>
  <si>
    <t>['argentina', 'juara', 'piala', 'dunia', 'lawan', 'prancis', 'final']</t>
  </si>
  <si>
    <t>Selamat kepada Argentina, coba lagi untuk Prancis. Akhirnya Messi merengkuh piala yang didamba¬≤kan, dan Mbappe harus berusaha lebih keras lagi.  Final piala dunia paling seru dan tidak tertebak   #FIFAWorldCup  #finalPialaDunia2022  #ARGFRA</t>
  </si>
  <si>
    <t>selamat kepada argentina coba lagi untuk prancis akhirnya messi merengkuh piala yang didamba kan dan mbappe harus berusaha lebih keras lagi final piala dunia paling seru dan tidak tertebak</t>
  </si>
  <si>
    <t>['selamat', 'argentina', 'coba', 'prancis', 'akhirnya', 'messi', 'merengkuh', 'piala', 'didamba', 'kan', 'mbappe', 'berusaha', 'lebih', 'keras', 'final', 'piala', 'dunia', 'paling', 'seru', 'tertebak']</t>
  </si>
  <si>
    <t>FINAL PIALA DUNIA TERBAIK YANG PERNAH KUTONTON üèÜ</t>
  </si>
  <si>
    <t>final piala dunia terbaik yang pernah kutonton</t>
  </si>
  <si>
    <t>Final piala dunia sekarang sengit banget ancrit</t>
  </si>
  <si>
    <t>final piala dunia sekarang sengit banget ancrit</t>
  </si>
  <si>
    <t>['final', 'piala', 'dunia', 'sekarang', 'sengit', 'banget', 'ancrit']</t>
  </si>
  <si>
    <t>What a final what a game Messi GOAT Argentina juara Piala Dunia 2022 #WorldCup #FIFAWorldCup #Qatar2022  https://t.co/vCjkJj4WKn</t>
  </si>
  <si>
    <t>what final what game messi goat argentina juara piala dunia</t>
  </si>
  <si>
    <t>['what', 'final', 'what', 'game', 'messi', 'goat', 'argentina', 'juara', 'piala', 'dunia']</t>
  </si>
  <si>
    <t>Final piala dunia 2022 Argentina vs francis  #PialaDunia2022  #SCTVWorldCup2022  #dirumahaja  #desember  #jombangkotasantri  #pandanwangi #grandemerald1  https://t.co/QWy8KEHo33</t>
  </si>
  <si>
    <t>final piala dunia argentina francis</t>
  </si>
  <si>
    <t>['final', 'piala', 'dunia', 'argentina', 'francis']</t>
  </si>
  <si>
    <t>Salah satu final piala dunia paling bikin jantungan. #FIFAWorldCup #Qatar2022 #Mbappe #Messiday  https://t.co/f7kjOsxeqe</t>
  </si>
  <si>
    <t>salah satu final piala dunia paling bikin jantungan</t>
  </si>
  <si>
    <t>['salah', 'satu', 'final', 'piala', 'dunia', 'paling', 'jantungan']</t>
  </si>
  <si>
    <t>@bagikuy "Dikasih tontonan seru final piala dunia, admin malah garap silent" üòÖ Makasiih banyak min telah menyempatkan ditengah serunya final</t>
  </si>
  <si>
    <t>dikasih tontonan seru final piala dunia admin malah garap silent makasiih banyak min telah menyempatkan ditengah serunya final</t>
  </si>
  <si>
    <t>['dikasih', 'tontonan', 'seru', 'final', 'piala', 'dunia', 'admin', 'malah', 'garap', 'silent', 'makasiih', 'banyak', 'min', 'menyempatkan', 'ditengah', 'serunya', 'final']</t>
  </si>
  <si>
    <t>Hasil Babak Pertama Final Piala Dunia 2022 Argentina vs Prancis: Skor 2-0  https://t.co/H9OB1MFLmI  https://t.co/AZkdUPeI8G</t>
  </si>
  <si>
    <t>hasil babak pertama final piala dunia argentina prancis skor</t>
  </si>
  <si>
    <t>['hasil', 'babak', 'pertama', 'final', 'piala', 'dunia', 'argentina', 'prancis', 'skor']</t>
  </si>
  <si>
    <t>siapa bilang mental aku kuat, liat pinalti final Piala Dunia aja ga kuat.</t>
  </si>
  <si>
    <t>siapa bilang mental aku kuat liat pinalti final piala dunia aja kuat</t>
  </si>
  <si>
    <t>['siapa', 'mental', 'aku', 'kuat', 'lihat', 'penalti', 'final', 'piala', 'dunia', 'kuat']</t>
  </si>
  <si>
    <t>Final Piala Dunia paling seru üî•</t>
  </si>
  <si>
    <t>Siapapun yg menang pokoknya nih final piala dunia terseruuuuu gila argentina prancis kalian GOKILLLL!!! GILA AKU CUMA BISA BILANG GILA KALIAN TERBAIK DAHHH</t>
  </si>
  <si>
    <t>siapapun menang pokoknya nih final piala dunia terseruuuuu gila argentina prancis kalian gokillll gila aku cuma bisa bilang gila kalian terbaik dahhh</t>
  </si>
  <si>
    <t>['siapapun', 'menang', 'pokoknya', 'final', 'piala', 'dunia', 'terseruuuuu', 'gila', 'argentina', 'prancis', 'kalian', 'gokillll', 'gila', 'aku', 'cuma', 'gila', 'kalian', 'terbaik', 'dahhh']</t>
  </si>
  <si>
    <t>jangan nyuruh bocah nendang penalti di final piala dunia gera</t>
  </si>
  <si>
    <t>jangan nyuruh bocah nendang penalti final piala dunia gera</t>
  </si>
  <si>
    <t>['jangan', 'nyuruh', 'bocah', 'nendang', 'penalti', 'final', 'piala', 'dunia', 'gera']</t>
  </si>
  <si>
    <t>Kapolres Pasaman Gelar Nobar Final Piala Dunia Bersama, Perkokoh Persatuan dan Kebersamaan  #polripresisi #polisi #polisiindonesia #polrespasaman #humaspolrespasaman #poldasumbar #divisihumaspolri #polisikeren #polisihumanis #minang #sumbar #padang #pasaman #indonesia  https://t.co/pXbeuJDIgr</t>
  </si>
  <si>
    <t>kapolres pasaman gelar nobar final piala dunia bersama perkokoh persatuan dan kebersamaan</t>
  </si>
  <si>
    <t>['kapolres', 'pasaman', 'gelar', 'nonton bareng', 'final', 'piala', 'dunia', 'bersama', 'perkokoh', 'persatuan', 'kebersamaan']</t>
  </si>
  <si>
    <t>Suporter mengelukan nama Lionel Messi saat bintang asal Argentina tersebut tampil dalam laga final Piala Dunia 2022 melawan Argentina.   https://t.co/9wEJugGZlR</t>
  </si>
  <si>
    <t>suporter mengelukan nama lionel messi saat bintang asal argentina tersebut tampil dalam laga final piala dunia melawan argentina</t>
  </si>
  <si>
    <t>['suporter', 'mengelukan', 'nama', 'lionel', 'messi', 'bintang', 'asal', 'argentina', 'tersebut', 'tampil', 'laga', 'final', 'piala', 'dunia', 'melawan', 'argentina']</t>
  </si>
  <si>
    <t>Penalti Link Streaming Gratis Final Piala Dunia 2022 Argentina vs Prancis  https://t.co/EG7SAWEv1S  #Qatar2022</t>
  </si>
  <si>
    <t>penalti link streaming gratis final piala dunia argentina prancis</t>
  </si>
  <si>
    <t>['penalti', 'link', 'streaming', 'gratis', 'final', 'piala', 'dunia', 'argentina', 'prancis']</t>
  </si>
  <si>
    <t>Emang layak dua tim ini di final piala dunia</t>
  </si>
  <si>
    <t>emang layak dua tim ini final piala dunia</t>
  </si>
  <si>
    <t>['emang', 'layak', 'tim', 'final', 'piala', 'dunia']</t>
  </si>
  <si>
    <t>Keknya final piala dunia ini seru banget</t>
  </si>
  <si>
    <t>keknya final piala dunia ini seru banget</t>
  </si>
  <si>
    <t>['sepertinya', 'final', 'piala', 'dunia', 'seru', 'banget']</t>
  </si>
  <si>
    <t>Final piala dunia 2022 dalam sebuah foto.  https://t.co/0HWhL7aV88</t>
  </si>
  <si>
    <t>final piala dunia dalam sebuah foto</t>
  </si>
  <si>
    <t>['final', 'piala', 'dunia', 'sebuah', 'foto']</t>
  </si>
  <si>
    <t>Suporter mengelukan nama Lionel Messi saat bintang asal Argentina tersebut tampil dalam laga final Piala Dunia 2022 melawan Argentina.   https://t.co/9wEJugpWjR</t>
  </si>
  <si>
    <t>Argentina Vs Prancis: Live Streaming &amp;amp; TV, Prediksi, Susunan Pemain Dan Kabar Terkini Final Piala Dunia 2022 ‚Äì  https://t.co/aBNyMHCOWo ‚Äì Google Berita Olahraga ‚Äì  https://t.co/fzSGS8XRBq ‚Äì #Arenanews #Kamidi #Opsiminfo- https://t.co/Vk2Zhr7CUh</t>
  </si>
  <si>
    <t>argentina prancis live streaming prediksi susunan pemain dan kabar terkini final piala dunia google berita olahraga</t>
  </si>
  <si>
    <t>['argentina', 'prancis', 'live', 'streaming', 'prediksi', 'susunan', 'pemain', 'kabar', 'terkini', 'final', 'piala', 'dunia', 'google', 'berita', 'olahraga']</t>
  </si>
  <si>
    <t>final piala dunia dengan pinalti terbanyak.. uda 2 di waktu normal 1 di waktu tambahan.. ada lagi drama adu pinalti</t>
  </si>
  <si>
    <t>final piala dunia dengan pinalti terbanyak uda waktu normal waktu tambahan ada lagi drama adu pinalti</t>
  </si>
  <si>
    <t>['final', 'piala', 'dunia', 'penalti', 'terbanyak', 'uda', 'waktu', 'normal', 'waktu', 'tambahan', 'drama', 'adu', 'penalti']</t>
  </si>
  <si>
    <t>Sepanjang gelaran Piala Dunia 2022, kek nya di Final doang VAR kaga dipake ü§£</t>
  </si>
  <si>
    <t>sepanjang gelaran piala dunia kek nya final doang var kaga dipake</t>
  </si>
  <si>
    <t>['sepanjang', 'gelaran', 'piala', 'dunia', 'kek', 'final', 'doang', 'var', 'kaga', 'dipake']</t>
  </si>
  <si>
    <t>Ter epic sih final piala dunia 2022 sumpahhh</t>
  </si>
  <si>
    <t>ter epic sih final piala dunia sumpahhh</t>
  </si>
  <si>
    <t>['ter', 'epic', 'final', 'piala', 'dunia', 'sumpahhh']</t>
  </si>
  <si>
    <t>Sampe babak pertama tadi final piala dunia terbaik masih final 2006 Prancis vs Italia. Masuk babak kedua ya ini. Gila gila gila</t>
  </si>
  <si>
    <t>sampe babak pertama tadi final piala dunia terbaik masih final prancis italia masuk babak kedua ini gila gila gila</t>
  </si>
  <si>
    <t>['sampai', 'babak', 'pertama', 'tadi', 'final', 'piala', 'dunia', 'terbaik', 'final', 'prancis', 'italia', 'masuk', 'babak', 'kedua', 'gila', 'gila', 'gila']</t>
  </si>
  <si>
    <t>Kylian Mbappe Cetak&amp;amp;nbsp;Hattrick di Final Piala Dunia 2022 di Qatar  https://t.co/aNj3G6KNaB</t>
  </si>
  <si>
    <t>kylian mbappe cetak nbsp hattrick final piala dunia qatar</t>
  </si>
  <si>
    <t>['kylian', 'mbappe', 'cetak', 'nbsp', 'hattrick', 'final', 'piala', 'dunia', 'qatar']</t>
  </si>
  <si>
    <t>Emange sek oleh melu gayeng menikmati final piala dunia muk sek dong bal po !</t>
  </si>
  <si>
    <t>emange sek oleh melu gayeng menikmati final piala dunia muk sek dong bal</t>
  </si>
  <si>
    <t>['emange', 'sek', 'melu', 'gayeng', 'menikmati', 'final', 'piala', 'dunia', 'muk', 'sek', 'dong', 'bal']</t>
  </si>
  <si>
    <t>Gilak Final Pildun tahun ini... Menegangkan sekaliii woii üôèüôèüôè  Semoga Argentina Pegang Piala Dunia Tahun ini,aamiin ü§≤üôè</t>
  </si>
  <si>
    <t>gilak final pildun tahun ini menegangkan sekaliii woii semoga argentina pegang piala dunia tahun ini aamiin</t>
  </si>
  <si>
    <t>['gilak', 'final', 'piala dunia', 'tahun', 'menegangkan', 'sekaliii', 'woii', 'semoga', 'argentina', 'pegang', 'piala', 'dunia', 'tahun', 'aamiin']</t>
  </si>
  <si>
    <t>Nonton final piala dunia tuh sebenarnya gak baik buat jantung üò≠üò≠</t>
  </si>
  <si>
    <t>nonton final piala dunia tuh sebenarnya gak baik buat jantung</t>
  </si>
  <si>
    <t>['nonton', 'final', 'piala', 'dunia', 'sebenarnya', 'baik', 'buat', 'jantung']</t>
  </si>
  <si>
    <t>@detikcom Alhamdulillah Vidio di Bekasi lancar jaya. selama gw nonton piala dunia dari tahun 1998, mungkin inilah babak final paling spektakuler. Luar biasa, standing ovation buat semua pemain Argentina dan Perancis yg begitu antusias üëèüëèüëèüëèüëè</t>
  </si>
  <si>
    <t>alhamdulillah vidio bekasi lancar jaya selama nonton piala dunia dari tahun mungkin inilah babak final paling spektakuler luar biasa standing ovation buat semua pemain argentina dan perancis begitu antusias</t>
  </si>
  <si>
    <t>['alhamdulillah', 'vidio', 'bekasi', 'lancar', 'jaya', 'selama', 'nonton', 'piala', 'dunia', 'tahun', 'mungkin', 'inilah', 'babak', 'final', 'paling', 'spektakuler', 'luar', 'biasa', 'standing', 'ovation', 'buat', 'semua', 'pemain', 'argentina', 'perancis', 'antusias']</t>
  </si>
  <si>
    <t>mbappe mencetak 4 goal di final piala dunia 2022.</t>
  </si>
  <si>
    <t>mbappe mencetak goal final piala dunia</t>
  </si>
  <si>
    <t>['mbappe', 'mencetak', 'goal', 'final', 'piala', 'dunia']</t>
  </si>
  <si>
    <t>Anjrittt... Final piala dunia kali ini penuh drama üò±üò± #Qatar2022 #FIFAWorldCup #WorldCup2022</t>
  </si>
  <si>
    <t>anjrittt final piala dunia kali ini penuh drama</t>
  </si>
  <si>
    <t>['anjrittt', 'final', 'piala', 'dunia', 'kali', 'penuh', 'drama']</t>
  </si>
  <si>
    <t>Dimulai dengan kabar piala dunia paling sepi dan lagu yg tidak terlalu menggema, ditutup dengan kalimat final piala dunia terbaik dengan segala kejutan dan kontroversinya</t>
  </si>
  <si>
    <t>dimulai dengan kabar piala dunia paling sepi dan lagu tidak terlalu menggema ditutup dengan kalimat final piala dunia terbaik dengan segala kejutan dan kontroversinya</t>
  </si>
  <si>
    <t>['dimulai', 'kabar', 'piala', 'dunia', 'paling', 'sepi', 'lagu', 'terlalu', 'menggema', 'ditutup', 'kalimat', 'final', 'piala', 'dunia', 'terbaik', 'segala', 'kejutan', 'kontroversinya']</t>
  </si>
  <si>
    <t>Rekor Geoff Hurst sebagai satu2nya pencetak Hatrick di laga final #pialadunia akhirnya digagalkan oleh @KMbappe</t>
  </si>
  <si>
    <t>rekor geoff hurst sebagai satu nya pencetak hatrick laga final akhirnya digagalkan oleh</t>
  </si>
  <si>
    <t>['rekor', 'geoff', 'hurst', 'satu', 'pencetak', 'hatrick', 'laga', 'final', 'akhirnya', 'digagalkan']</t>
  </si>
  <si>
    <t>Adu Pinalti Argentina‚úÖ Perancis‚úÖ  Simak #ReportaseLangsung Final Piala Dunia 2022 Argentina VS Perancis melalui ‚û°Ô∏è  https://t.co/tfluAn7OqT  #PestaBolaQatar #AdadiKompas</t>
  </si>
  <si>
    <t>adu pinalti argentina perancis simak final piala dunia argentina perancis melalui</t>
  </si>
  <si>
    <t>['adu', 'penalti', 'argentina', 'perancis', 'simak', 'final', 'piala', 'dunia', 'argentina', 'perancis', 'melalui']</t>
  </si>
  <si>
    <t>Final ,Penalty, Messi vs mbappe Final terbaik piala dunia. Untuk Messi keknya sayang bgt kalo gak pernah juara piala dunia. Karena dia pantes buat dpt world cup. Tapi kalo Perancis yg juara berarti muncul legenda baru, Mbappe yg identik dgn Pele.</t>
  </si>
  <si>
    <t>final penalty messi mbappe final terbaik piala dunia untuk messi keknya sayang bgt kalo gak pernah juara piala dunia karena dia pantes buat dpt world cup tapi kalo perancis juara berarti muncul legenda baru mbappe identik dgn pele</t>
  </si>
  <si>
    <t>['final', 'penalty', 'messi', 'mbappe', 'final', 'terbaik', 'piala', 'dunia', 'messi', 'sepertinya', 'sayang', 'banget', 'pernah', 'juara', 'piala', 'dunia', 'pantes', 'buat', 'dpt', 'world', 'cup', 'perancis', 'juara', 'berarti', 'muncul', 'legenda', 'baru', 'mbappe', 'identik', 'pele']</t>
  </si>
  <si>
    <t>Final piala dunia terbaik yang pernah ada</t>
  </si>
  <si>
    <t>Kayaknya final piala dunia malam ini panas banget ya?? Sebenarnya aku juga penen nonton :') tapi apa boleh buat aku juga lagi beregelut sama skripsiüê£ #FIFAWorldCup</t>
  </si>
  <si>
    <t>kayaknya final piala dunia malam ini panas banget sebenarnya aku juga penen nonton tapi apa boleh buat aku juga lagi beregelut sama skripsi</t>
  </si>
  <si>
    <t>['kayaknya', 'final', 'piala', 'dunia', 'malam', 'panas', 'banget', 'sebenarnya', 'aku', 'penen', 'nonton', 'apa', 'buat', 'aku', 'beregelut', 'sama', 'skripsi']</t>
  </si>
  <si>
    <t>Drama Korea ‚ùåÔ∏è Drama final piala dunia ‚úÖÔ∏è</t>
  </si>
  <si>
    <t>drama korea drama final piala dunia</t>
  </si>
  <si>
    <t>['drama', 'korea', 'drama', 'final', 'piala', 'dunia']</t>
  </si>
  <si>
    <t>What A Final, The Best Final Piala Dunia terbaik selama gw nonton cuk heuheuheu</t>
  </si>
  <si>
    <t>what final the best final piala dunia terbaik selama nonton cuk heuheuheu</t>
  </si>
  <si>
    <t>['what', 'final', 'the', 'best', 'final', 'piala', 'dunia', 'terbaik', 'selama', 'nonton', 'cuk', 'heuheuheu']</t>
  </si>
  <si>
    <t>Piala dunia 2022 emang paling menarik, dari kontroversi, karma, drama, unggulan pada gugur. Dan final pun bener2 kerena sih kedua tim.</t>
  </si>
  <si>
    <t>piala dunia emang paling menarik dari kontroversi karma drama unggulan pada gugur dan final pun bener kerena sih kedua tim</t>
  </si>
  <si>
    <t>['piala', 'dunia', 'emang', 'paling', 'menarik', 'kontroversi', 'karma', 'drama', 'unggulan', 'gugur', 'final', 'benar', 'kerena', 'kedua', 'tim']</t>
  </si>
  <si>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</si>
  <si>
    <t>pertandingan final yang begitu hebat penuh dengan energi sementara hasil pertandingan argentina france masih ada penalty untuk menentukan kemenangan final piala dunia ini btw cek paketan internet kalian kalau habis bisa isi ulang mepay</t>
  </si>
  <si>
    <t>['pertandingan', 'final', 'hebat', 'penuh', 'energi', 'hasil', 'pertandingan', 'argentina', 'france', 'penalty', 'menentukan', 'kemenangan', 'final', 'piala', 'dunia', 'by the way', 'cek', 'paketan', 'internet', 'kalian', 'kalau', 'habis', 'isi', 'ulang', 'mepay']</t>
  </si>
  <si>
    <t>Adu Pinalti Argentina- Perancis‚úÖ  Simak #ReportaseLangsung Final Piala Dunia 2022 Argentina VS Perancis melalui ‚û°Ô∏è  https://t.co/tfluAn7OqT  #PestaBolaQatar #AdadiKompas</t>
  </si>
  <si>
    <t>Pak Bos dan Buk Bos, kalo ada karyawannya yg rada telat ngantor besok pagi harap dimaklumi yak!  Final Piala Dunia terbaik sedang tersaji di depan mata!</t>
  </si>
  <si>
    <t>pak bos dan buk bos kalo ada karyawannya rada telat ngantor besok pagi harap dimaklumi yak final piala dunia terbaik sedang tersaji depan mata</t>
  </si>
  <si>
    <t>['pak', 'bos', 'buk', 'bos', 'karyawannya', 'rada', 'telat', 'ngantor', 'besok', 'pagi', 'harap', 'dimaklumi', 'yak', 'final', 'piala', 'dunia', 'terbaik', 'sedang', 'tersaji', 'depan', 'mata']</t>
  </si>
  <si>
    <t>Buset dah Messi sama Mbappe emang ga ada obat, epic banget final piala dunia kali ini üî•</t>
  </si>
  <si>
    <t>buset dah messi sama mbappe emang ada obat epic banget final piala dunia kali ini</t>
  </si>
  <si>
    <t>['buset', 'dah', 'messi', 'sama', 'mbappe', 'emang', 'obat', 'epic', 'banget', 'final', 'piala', 'dunia', 'kali']</t>
  </si>
  <si>
    <t>Final Piala Dunia 2022 adalah Final Piala Dunia paling seru sepanjang Sejarah...  Gila Perpanjangan waktu Ampe 120 menit, skor seri..</t>
  </si>
  <si>
    <t>final piala dunia adalah final piala dunia paling seru sepanjang sejarah gila perpanjangan waktu ampe menit skor seri</t>
  </si>
  <si>
    <t>['final', 'piala', 'dunia', 'final', 'piala', 'dunia', 'paling', 'seru', 'sepanjang', 'sejarah', 'gila', 'perpanjangan', 'waktu', 'sampai', 'menit', 'skor', 'seri']</t>
  </si>
  <si>
    <t>Ngadu Pinalty Argentina vs France Final piala dunia 2022 Qatar</t>
  </si>
  <si>
    <t>ngadu pinalty argentina france final piala dunia qatar</t>
  </si>
  <si>
    <t>['ngadu', 'pinalty', 'argentina', 'france', 'final', 'piala', 'dunia', 'qatar']</t>
  </si>
  <si>
    <t>Penalty look easy with leoüòÖüòÇ padahal final piala dunia ajikk</t>
  </si>
  <si>
    <t>penalty look easy with leo padahal final piala dunia ajikk</t>
  </si>
  <si>
    <t>['penalty', 'look', 'easy', 'with', 'leo', 'padahal', 'final', 'piala', 'dunia', 'ajikk']</t>
  </si>
  <si>
    <t>dan piala dunia qatar ini emg paling seru siihhhh plot twistnya buanyak. final nya jg EDYAAAANNN SERU</t>
  </si>
  <si>
    <t>dan piala dunia qatar ini emg paling seru siihhhh plot twistnya buanyak final nya edyaaaannn seru</t>
  </si>
  <si>
    <t>['piala', 'dunia', 'qatar', 'memang', 'paling', 'seru', 'siihhhh', 'plot', 'twistnya', 'buanyak', 'final', 'edyaaaannn', 'seru']</t>
  </si>
  <si>
    <t>mbappe 3 kali ngambil pinalty di final piala dunia dan semuanya masuk‚Ä¶</t>
  </si>
  <si>
    <t>mbappe kali ngambil pinalty final piala dunia dan semuanya masuk</t>
  </si>
  <si>
    <t>['mbappe', 'kali', 'ngambil', 'pinalty', 'final', 'piala', 'dunia', 'semuanya', 'masuk']</t>
  </si>
  <si>
    <t>hal yang tak takuti dari match ini: penalty shootout üò≠ basically kiper arsenal (mantan) vs spurs di final piala dunia</t>
  </si>
  <si>
    <t>hal yang tak takuti dari match ini penalty shootout basically kiper arsenal mantan spurs final piala dunia</t>
  </si>
  <si>
    <t>['tak', 'takuti', 'match', 'penalty', 'shootout', 'basically', 'kiper', 'arsenal', 'mantan', 'spurs', 'final', 'piala', 'dunia']</t>
  </si>
  <si>
    <t>Selama nonton piala dunia‚Ä¶ final piala dunia 2022 di Qatar antar Argentina vs France adalah yg terbaik‚Ä¶ juara harus ditentukan melalui adu penalti setelah skor sama sama imbang 3-3 sampai perpanjangan waktu</t>
  </si>
  <si>
    <t>selama nonton piala dunia final piala dunia qatar antar argentina france adalah terbaik juara harus ditentukan melalui adu penalti setelah skor sama sama imbang sampai perpanjangan waktu</t>
  </si>
  <si>
    <t>['selama', 'nonton', 'piala', 'dunia', 'final', 'piala', 'dunia', 'qatar', 'antar', 'argentina', 'france', 'terbaik', 'juara', 'ditentukan', 'melalui', 'adu', 'penalti', 'skor', 'sama', 'sama', 'imbang', 'perpanjangan', 'waktu']</t>
  </si>
  <si>
    <t>4 gol, 3 dari penalti dlm final piala dunia #Mbappe</t>
  </si>
  <si>
    <t>gol dari penalti dlm final piala dunia</t>
  </si>
  <si>
    <t>['gol', 'penalti', 'dlm', 'final', 'piala', 'dunia']</t>
  </si>
  <si>
    <t>Ini yang membuat @KMbappe semangat sebelum laga final piala dunia 2022 üî• #PialaDunia2022 #WorldCupFinal  https://t.co/sl3BtZWWuY</t>
  </si>
  <si>
    <t>ini yang membuat semangat sebelum laga final piala dunia</t>
  </si>
  <si>
    <t>['membuat', 'semangat', 'laga', 'final', 'piala', 'dunia']</t>
  </si>
  <si>
    <t>Selamat datang sepakbola menyerang. Tercipta enam gol di dua piala dunia terakhir. 2018 (4-2), 2022 (3-3).   Tapi final piala dunia paling produktif masih dipegang final tahun 1958 dengan tujuh gol (5-2).</t>
  </si>
  <si>
    <t>selamat datang sepakbola menyerang tercipta enam gol dua piala dunia terakhir tapi final piala dunia paling produktif masih dipegang final tahun dengan tujuh gol</t>
  </si>
  <si>
    <t>['selamat', 'datang', 'sepakbola', 'menyerang', 'tercipta', 'enam', 'gol', 'piala', 'dunia', 'terakhir', 'final', 'piala', 'dunia', 'paling', 'produktif', 'dipegang', 'final', 'tahun', 'tujuh', 'gol']</t>
  </si>
  <si>
    <t>Film Avatar ajah 3 jam masa final piala dunia 90 menit doang üôÇ</t>
  </si>
  <si>
    <t>film avatar ajah jam masa final piala dunia menit doang</t>
  </si>
  <si>
    <t>['film', 'avatar', 'ajah', 'jam', 'masa', 'final', 'piala', 'dunia', 'menit', 'doang']</t>
  </si>
  <si>
    <t>Final piala dunia terbaik sepanjang masa 2022 arg-fra</t>
  </si>
  <si>
    <t>final piala dunia terbaik sepanjang masa arg fra</t>
  </si>
  <si>
    <t>['final', 'piala', 'dunia', 'terbaik', 'sepanjang', 'masa', 'arg', 'fra']</t>
  </si>
  <si>
    <t>Seru kan gaes final piala dunia 2022 üòÅüëç</t>
  </si>
  <si>
    <t>seru kan gaes final piala dunia</t>
  </si>
  <si>
    <t>['seru', 'kan', 'guys', 'final', 'piala', 'dunia']</t>
  </si>
  <si>
    <t>Mampus kau dikoyak-kayak Final Piala Dunia 2022</t>
  </si>
  <si>
    <t>mampus kau dikoyak kayak final piala dunia</t>
  </si>
  <si>
    <t>['mampus', 'kau', 'dikoyak', 'seperti', 'final', 'piala', 'dunia']</t>
  </si>
  <si>
    <t>gudluck guys siapapun yg akhirnya menang ini final piala dunia terseru yg pernah adaüòÇü§£üíØüíØ</t>
  </si>
  <si>
    <t>gudluck guys siapapun akhirnya menang ini final piala dunia terseru pernah ada</t>
  </si>
  <si>
    <t>['gudluck', 'guys', 'siapapun', 'akhirnya', 'menang', 'final', 'piala', 'dunia', 'terseru', 'pernah']</t>
  </si>
  <si>
    <t>Pertandingan final piala dunia yg luar biasa keren ‚ù§ Argentina dan Prancis keren dua2nya. Menikmati bgt nontonnya</t>
  </si>
  <si>
    <t>pertandingan final piala dunia luar biasa keren argentina dan prancis keren dua nya menikmati bgt nontonnya</t>
  </si>
  <si>
    <t>['pertandingan', 'final', 'piala', 'dunia', 'luar', 'biasa', 'keren', 'argentina', 'prancis', 'keren', 'menikmati', 'banget', 'nontonnya']</t>
  </si>
  <si>
    <t>edisi final piala dunia  https://t.co/GYcUtSTilX</t>
  </si>
  <si>
    <t>edisi final piala dunia</t>
  </si>
  <si>
    <t>['edisi', 'final', 'piala', 'dunia']</t>
  </si>
  <si>
    <t>Piala dunia terbaik gini, banyak tim yang tidak diunggulkan kalahkan tim besar. Final nya juga edan gini sampe menit akhir saling kejar, tapi kata filsuf Belanda world cup Qatar piala dunia tertidak rame? üòÜüòÜ</t>
  </si>
  <si>
    <t>piala dunia terbaik gini banyak tim yang tidak diunggulkan kalahkan tim besar final nya juga edan gini sampe menit akhir saling kejar tapi kata filsuf belanda world cup qatar piala dunia tertidak rame</t>
  </si>
  <si>
    <t>['piala', 'dunia', 'terbaik', 'gini', 'banyak', 'tim', 'diunggulkan', 'kalahkan', 'tim', 'besar', 'final', 'edan', 'gini', 'sampai', 'menit', 'akhir', 'saling', 'kejar', 'kata', 'filsuf', 'belanda', 'world', 'cup', 'qatar', 'piala', 'dunia', 'tertidak', 'ramai']</t>
  </si>
  <si>
    <t>Final Piala Dunia paling ngawur iki üôÄ</t>
  </si>
  <si>
    <t>final piala dunia paling ngawur iki</t>
  </si>
  <si>
    <t>['final', 'piala', 'dunia', 'paling', 'ngawur', 'iki']</t>
  </si>
  <si>
    <t>Pertama kali lihat final Piala Dunia tahun 1990. Tahun ini yang paling real final</t>
  </si>
  <si>
    <t>pertama kali lihat final piala dunia tahun tahun ini yang paling real final</t>
  </si>
  <si>
    <t>['pertama', 'kali', 'lihat', 'final', 'piala', 'dunia', 'tahun', 'tahun', 'paling', 'real', 'final']</t>
  </si>
  <si>
    <t>Wah gila ni final piala dunia wkwkw</t>
  </si>
  <si>
    <t>wah gila final piala dunia wkwkw</t>
  </si>
  <si>
    <t>['wah', 'gila', 'final', 'piala', 'dunia', 'wkwkw']</t>
  </si>
  <si>
    <t>cape bgt nonton final piala dunia, menguras emosiiii</t>
  </si>
  <si>
    <t>cape bgt nonton final piala dunia menguras emosiiii</t>
  </si>
  <si>
    <t>['lelah', 'banget', 'nonton', 'final', 'piala', 'dunia', 'menguras', 'emosiiii']</t>
  </si>
  <si>
    <t>Lo 23 tahun, terus bikin hatrick di final Piala Dunia.   Lo gak ngotak bener sih @KMbappe</t>
  </si>
  <si>
    <t>tahun terus bikin hatrick final piala dunia gak ngotak bener sih</t>
  </si>
  <si>
    <t>['tahun', 'terus', 'hatrick', 'final', 'piala', 'dunia', 'ngotak', 'benar']</t>
  </si>
  <si>
    <t>Gila Mbappe. 3/3 penaltinya masuk. Di final Piala Dunia! Mentalnya gk terbendung.</t>
  </si>
  <si>
    <t>gila mbappe penaltinya masuk final piala dunia mentalnya terbendung</t>
  </si>
  <si>
    <t>['gila', 'mbappe', 'penaltinya', 'masuk', 'final', 'piala', 'dunia', 'mentalnya', 'terbendung']</t>
  </si>
  <si>
    <t>Final ter WoW di piala dunia</t>
  </si>
  <si>
    <t>final ter wow piala dunia</t>
  </si>
  <si>
    <t>['final', 'ter', 'wow', 'piala', 'dunia']</t>
  </si>
  <si>
    <t>3 goal di Final Piala dunia lawan Messi tuh gokil parah sih</t>
  </si>
  <si>
    <t>goal final piala dunia lawan messi tuh gokil parah sih</t>
  </si>
  <si>
    <t>['goal', 'final', 'piala', 'dunia', 'lawan', 'messi', 'gila', 'parah']</t>
  </si>
  <si>
    <t>gila gila gilaaa final piala dunia kali ini super epic!!!!</t>
  </si>
  <si>
    <t>gila gila gilaaa final piala dunia kali ini super epic</t>
  </si>
  <si>
    <t>['gila', 'gila', 'gilaaa', 'final', 'piala', 'dunia', 'kali', 'super', 'epic']</t>
  </si>
  <si>
    <t>MBAPPE 23TAHUN BISA HATRICK FINAL PIALA DUNIA, GUA UMUR SEGITU MASIH PUSH RANK DI WARKOP</t>
  </si>
  <si>
    <t>mbappe tahun bisa hatrick final piala dunia gua umur segitu masih push rank warkop</t>
  </si>
  <si>
    <t>['mbappe', 'tahun', 'hatrick', 'final', 'piala', 'dunia', 'gua', 'umur', 'segitu', 'push', 'rank', 'warkop']</t>
  </si>
  <si>
    <t>final piala dunia 2022 seru pisannn</t>
  </si>
  <si>
    <t>final piala dunia seru pisannn</t>
  </si>
  <si>
    <t>['final', 'piala', 'dunia', 'seru', 'pisannn']</t>
  </si>
  <si>
    <t>Final Piala dunia apaan nih kek gini?</t>
  </si>
  <si>
    <t>final piala dunia apaan nih kek gini</t>
  </si>
  <si>
    <t>['final', 'piala', 'dunia', 'apaan', 'kek', 'gini']</t>
  </si>
  <si>
    <t>Gila, selama gue nonton final Piala Dunia sejak 1998, ini final terbaik yg pernah gue tonton. Siapa pun yg menang, memang mereka lah yg pantas jadi juaranya...  #FinalWorldCup2022 #FIFAWorldCup #ARGFRA</t>
  </si>
  <si>
    <t>gila selama gue nonton final piala dunia sejak ini final terbaik pernah gue tonton siapa pun menang memang mereka lah pantas jadi juaranya</t>
  </si>
  <si>
    <t>['gila', 'selama', 'gue', 'nonton', 'final', 'piala', 'dunia', 'sejak', 'final', 'terbaik', 'pernah', 'gue', 'tonton', 'siapa', 'menang', 'memang', 'lah', 'pantas', 'jadi', 'juaranya']</t>
  </si>
  <si>
    <t>Cuma nonton final piala dunia, tapi rasanya kayak habis lari 5kmüò≠üò≠</t>
  </si>
  <si>
    <t>cuma nonton final piala dunia tapi rasanya kayak habis lari</t>
  </si>
  <si>
    <t>['cuma', 'nonton', 'final', 'piala', 'dunia', 'rasanya', 'seperti', 'habis', 'lari']</t>
  </si>
  <si>
    <t>namanya juga final piala dunia ya, kudu legiiit  sama hebatnya ü´∂üèª</t>
  </si>
  <si>
    <t>namanya juga final piala dunia kudu legiiit sama hebatnya</t>
  </si>
  <si>
    <t>['namanya', 'final', 'piala', 'dunia', 'kudu', 'legiiit', 'sama', 'hebatnya']</t>
  </si>
  <si>
    <t>Ini mah siapapun juaranya layak, final piala dunia terbaik yang pernah ada üî•</t>
  </si>
  <si>
    <t>ini mah siapapun juaranya layak final piala dunia terbaik yang pernah ada</t>
  </si>
  <si>
    <t>['mah', 'siapapun', 'juaranya', 'layak', 'final', 'piala', 'dunia', 'terbaik', 'pernah']</t>
  </si>
  <si>
    <t>Apapun hasil adu penalti ini, final piala dunia 2022 ini adalah final terbaik sejak pertama kali nonton final piala dunia tahun 1998. Seru, full drama dari awal sampai akhir. Roller coaster emosi tersaji tanpa henti. #PialaDunia2022 #FIFAWorldCup</t>
  </si>
  <si>
    <t>apapun hasil adu penalti ini final piala dunia ini adalah final terbaik sejak pertama kali nonton final piala dunia tahun seru full drama dari awal sampai akhir roller coaster emosi tersaji tanpa henti</t>
  </si>
  <si>
    <t>['apapun', 'hasil', 'adu', 'penalti', 'final', 'piala', 'dunia', 'final', 'terbaik', 'sejak', 'pertama', 'kali', 'nonton', 'final', 'piala', 'dunia', 'tahun', 'seru', 'full', 'drama', 'awal', 'akhir', 'roller', 'coaster', 'emosi', 'tersaji', 'henti']</t>
  </si>
  <si>
    <t>Final piala dunia kali ini sih full senam jantung ‚öΩÔ∏è</t>
  </si>
  <si>
    <t>final piala dunia kali ini sih full senam jantung</t>
  </si>
  <si>
    <t>['final', 'piala', 'dunia', 'kali', 'full', 'senam', 'jantung']</t>
  </si>
  <si>
    <t>@A_ZeeJKT48 Udah final piala dunia banget vibesnya wkwkw</t>
  </si>
  <si>
    <t>zeejkt udah final piala dunia banget vibesnya wkwkw</t>
  </si>
  <si>
    <t>['zeejkt', 'udah', 'final', 'piala', 'dunia', 'banget', 'vibesnya', 'wkwkw']</t>
  </si>
  <si>
    <t>Wow....wow...Final Yang sangat seru, final terbaik sepanjang gua menyaksikan Piala Dunia, siapapun Juaranya Argentina Dan Perancis kalian terbaik</t>
  </si>
  <si>
    <t>wow wow final yang sangat seru final terbaik sepanjang gua menyaksikan piala dunia siapapun juaranya argentina dan perancis kalian terbaik</t>
  </si>
  <si>
    <t>['wow', 'wow', 'final', 'sangat', 'seru', 'final', 'terbaik', 'sepanjang', 'gua', 'menyaksikan', 'piala', 'dunia', 'siapapun', 'juaranya', 'argentina', 'perancis', 'kalian', 'terbaik']</t>
  </si>
  <si>
    <t>Siapapun pemenangnya,ini Final Piala Dunia terbaik yg adaüî•üî•üî• #finalPialaDunia2022</t>
  </si>
  <si>
    <t>siapapun pemenangnya ini final piala dunia terbaik ada</t>
  </si>
  <si>
    <t>['siapapun', 'pemenangnya', 'final', 'piala', 'dunia', 'terbaik']</t>
  </si>
  <si>
    <t>2022 Piala dunia yang dikenang sebagai final yang penuh dengan warna warni diatas padang... .. Good jobs untuk kedua2 team... .  Apa2 pun penalti jua penentu Juara Piala dunia worldcup 2022.. . Sesiapapun menang, kedua2 team ialah juara !</t>
  </si>
  <si>
    <t>piala dunia yang dikenang sebagai final yang penuh dengan warna warni diatas padang good jobs untuk kedua team apa pun penalti jua penentu juara piala dunia worldcup sesiapapun menang kedua team ialah juara</t>
  </si>
  <si>
    <t>['piala', 'dunia', 'dikenang', 'final', 'penuh', 'warna', 'warni', 'diatas', 'padang', 'good', 'jobs', 'kedua', 'team', 'apa', 'penalti', 'jua', 'penentu', 'juara', 'piala', 'dunia', 'worldcup', 'sesiapapun', 'menang', 'kedua', 'team', 'ialah', 'juara']</t>
  </si>
  <si>
    <t>&lt;FreqDist with 22 samples and 27 outcomes&gt;</t>
  </si>
  <si>
    <t>3:3 Adu penalti. Siapapun yang juara Argentina atau Prancis itu yang terbaik. RESPECT. Final Piala Dunia 2022 seru.</t>
  </si>
  <si>
    <t>adu penalti siapapun yang juara argentina atau prancis itu yang terbaik respect final piala dunia seru</t>
  </si>
  <si>
    <t>['adu', 'penalti', 'siapapun', 'juara', 'argentina', 'prancis', 'terbaik', 'respect', 'final', 'piala', 'dunia', 'seru']</t>
  </si>
  <si>
    <t>@idextratime terlepas siapa yg menang nanti, ini bakal tercatat sejarah si salah satu match final piala dunia yg memorable, respect!!üá®üáµüá¶üá∑</t>
  </si>
  <si>
    <t>terlepas siapa menang nanti ini bakal tercatat sejarah salah satu match final piala dunia memorable respect</t>
  </si>
  <si>
    <t>['terlepas', 'siapa', 'menang', 'bakal', 'tercatat', 'sejarah', 'salah', 'satu', 'match', 'final', 'piala', 'dunia', 'memorable', 'respect']</t>
  </si>
  <si>
    <t>Mbappe umur 23 hatrick di final piala dunia</t>
  </si>
  <si>
    <t>mbappe umur hatrick final piala dunia</t>
  </si>
  <si>
    <t>['mbappe', 'umur', 'hatrick', 'final', 'piala', 'dunia']</t>
  </si>
  <si>
    <t>Final Piala Dunia mengajarkan kita buat jangan takabbur Kadang keliatan akan menang belum tentu menang, dan yang keliatan akan kalah belum tentu kalah  Gokil Messi vs Mbappe !</t>
  </si>
  <si>
    <t>final piala dunia mengajarkan kita buat jangan takabbur kadang keliatan akan menang belum tentu menang dan yang keliatan akan kalah belum tentu kalah gokil messi mbappe</t>
  </si>
  <si>
    <t>['final', 'piala', 'dunia', 'mengajarkan', 'buat', 'jangan', 'takabbur', 'kadang', 'keliatan', 'menang', 'menang', 'keliatan', 'kalah', 'kalah', 'gila', 'messi', 'mbappe']</t>
  </si>
  <si>
    <t>Mbappe dan Messi mengukir final Piala Dunia dramatis dan menghibur ‚öΩÔ∏èüéâ  #FRA #ARG  https://t.co/SiAmxvf0dT</t>
  </si>
  <si>
    <t>mbappe dan messi mengukir final piala dunia dramatis dan menghibur</t>
  </si>
  <si>
    <t>['mbappe', 'messi', 'mengukir', 'final', 'piala', 'dunia', 'dramatis', 'menghibur']</t>
  </si>
  <si>
    <t>Final piala dunia tergokil</t>
  </si>
  <si>
    <t>final piala dunia tergokil</t>
  </si>
  <si>
    <t>['final', 'piala', 'dunia', 'tergokil']</t>
  </si>
  <si>
    <t>siapa pun yg juara, ini adalah final piala dunia terbaik</t>
  </si>
  <si>
    <t>siapa pun juara ini adalah final piala dunia terbaik</t>
  </si>
  <si>
    <t>['siapa', 'juara', 'final', 'piala', 'dunia', 'terbaik']</t>
  </si>
  <si>
    <t>Pertandingan Final Piala Dunia paling epiccc sih ini</t>
  </si>
  <si>
    <t>pertandingan final piala dunia paling epiccc sih ini</t>
  </si>
  <si>
    <t>['pertandingan', 'final', 'piala', 'dunia', 'paling', 'epiccc']</t>
  </si>
  <si>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</si>
  <si>
    <t>adilkan ramalan mutlak alias telak karena tidak mungkin tidak ada yang menang dan tidak mungkin tidak ada yang kalah dan menang dan kalah dari hasil adu pinalti itu adalah merupakan hasil dari sebuah pertandingan selamat pertandingan final piala dunia argentina prancis</t>
  </si>
  <si>
    <t>['adilkan', 'ramalan', 'mutlak', 'alias', 'telak', 'mungkin', 'menang', 'mungkin', 'kalah', 'menang', 'kalah', 'hasil', 'adu', 'penalti', 'merupakan', 'hasil', 'sebuah', 'pertandingan', 'selamat', 'pertandingan', 'final', 'piala', 'dunia', 'argentina', 'prancis']</t>
  </si>
  <si>
    <t>terlepas 3 gol dari Pinalti Ini termasuk Piala Dunia terseru 3-3 berlanjut adu Pinalti  tanpa mendukung tim Final karena Maroko dan Portugal telah gugur #ArgentinavsFrance #WorldCup2022</t>
  </si>
  <si>
    <t>terlepas gol dari pinalti ini termasuk piala dunia terseru berlanjut adu pinalti tanpa mendukung tim final karena maroko dan portugal telah gugur</t>
  </si>
  <si>
    <t>['terlepas', 'gol', 'penalti', 'termasuk', 'piala', 'dunia', 'terseru', 'berlanjut', 'adu', 'penalti', 'mendukung', 'tim', 'final', 'maroko', 'portugal', 'gugur']</t>
  </si>
  <si>
    <t>What a final game! Adu penalty, adu kiper. Final Piala Dunia Qatar 2022 seru cok</t>
  </si>
  <si>
    <t>what final game adu penalty adu kiper final piala dunia qatar seru cok</t>
  </si>
  <si>
    <t>['what', 'final', 'game', 'adu', 'penalty', 'adu', 'kiper', 'final', 'piala', 'dunia', 'qatar', 'seru', 'cok']</t>
  </si>
  <si>
    <t>Final Piala Dunia terseru Argentina VS Mbappe  Skor 3-3  Dilanjut dengan adu penalti üòÑ</t>
  </si>
  <si>
    <t>final piala dunia terseru argentina mbappe skor dilanjut dengan adu penalti</t>
  </si>
  <si>
    <t>['final', 'piala', 'dunia', 'terseru', 'argentina', 'mbappe', 'skor', 'dilanjut', 'adu', 'penalti']</t>
  </si>
  <si>
    <t>Final Piala Dunia paling gayeng ikih, spot jantung beneran üëèüëè</t>
  </si>
  <si>
    <t>final piala dunia paling gayeng ikih spot jantung beneran</t>
  </si>
  <si>
    <t>['final', 'piala', 'dunia', 'paling', 'gayeng', 'ikih', 'spot', 'jantung', 'beneran']</t>
  </si>
  <si>
    <t>Nonton di rumah final piala dunia qatar 2022, gegara ketiduran dari jam 7an malem. Bangun2 udah 2-0 argentina atas prancis. Skrg 3-3 mau adu penalti. #QatarWorldCup2022</t>
  </si>
  <si>
    <t>nonton rumah final piala dunia qatar gegara ketiduran dari jam malem bangun udah argentina atas prancis skrg mau adu penalti</t>
  </si>
  <si>
    <t>['nonton', 'rumah', 'final', 'piala', 'dunia', 'qatar', 'gegara', 'ketiduran', 'jam', 'malem', 'bangun', 'udah', 'argentina', 'atas', 'prancis', 'skrg', 'mau', 'adu', 'penalti']</t>
  </si>
  <si>
    <t>Final piala dunia terbaik sepanjang sejarah. #FIFAWorldCup</t>
  </si>
  <si>
    <t>Sepanjang gw nonton final piala dunia, ini kynya paling imbang keren paraaahhh... walopun pemenangnya diundi penalti, krn sama jago siapapun yg menang jg pantes</t>
  </si>
  <si>
    <t>sepanjang nonton final piala dunia ini kynya paling imbang keren paraaahhh walopun pemenangnya diundi penalti krn sama jago siapapun menang pantes</t>
  </si>
  <si>
    <t>['sepanjang', 'nonton', 'final', 'piala', 'dunia', 'kynya', 'paling', 'imbang', 'keren', 'paraaahhh', 'walopun', 'pemenangnya', 'diundi', 'penalti', 'sama', 'jago', 'siapapun', 'menang', 'pantes']</t>
  </si>
  <si>
    <t>Ini kayak definisi sejatinya final Piala Dunia. 2 timnas terbaik di dunia beradu kerjasama, skill dan mental. Sayang banget gue tadi di awal match sempet ketiduran, masih untung gue kebangun (dengan keadaan Vidio error ü§™)</t>
  </si>
  <si>
    <t>ini kayak definisi sejatinya final piala dunia timnas terbaik dunia beradu kerjasama skill dan mental sayang banget gue tadi awal match sempet ketiduran masih untung gue kebangun dengan keadaan vidio error</t>
  </si>
  <si>
    <t>['seperti', 'definisi', 'sejatinya', 'final', 'piala', 'dunia', 'timnas', 'terbaik', 'dunia', 'beradu', 'kerjasama', 'skill', 'mental', 'sayang', 'banget', 'gue', 'tadi', 'awal', 'match', 'sempet', 'ketiduran', 'untung', 'gue', 'kebangun', 'keadaan', 'vidio', 'error']</t>
  </si>
  <si>
    <t>Final piala dunia 2022 bener bener keren bangett</t>
  </si>
  <si>
    <t>final piala dunia bener bener keren bangett</t>
  </si>
  <si>
    <t>['final', 'piala', 'dunia', 'benar', 'benar', 'keren', 'bangett']</t>
  </si>
  <si>
    <t>What a final!! Final Piala Dunia terbaik sepanjang masa #FIFAWorldCup #WorldCup #ARGFRA #WorldCupFinal  #MessiìÉµ #Mbappe</t>
  </si>
  <si>
    <t>what final final piala dunia terbaik sepanjang masa</t>
  </si>
  <si>
    <t>['what', 'final', 'final', 'piala', 'dunia', 'terbaik', 'sepanjang', 'masa']</t>
  </si>
  <si>
    <t>ngeliat final piala dunia, Messi vs CR7 udah ga valid gaes</t>
  </si>
  <si>
    <t>ngeliat final piala dunia messi udah valid gaes</t>
  </si>
  <si>
    <t>['ngeliat', 'final', 'piala', 'dunia', 'messi', 'udah', 'valid', 'guys']</t>
  </si>
  <si>
    <t>Ini final piala dunia paling dramatis yg pernah gw tonton...</t>
  </si>
  <si>
    <t>ini final piala dunia paling dramatis pernah tonton</t>
  </si>
  <si>
    <t>['final', 'piala', 'dunia', 'paling', 'dramatis', 'pernah', 'tonton']</t>
  </si>
  <si>
    <t>Gila.. Final Piala Dunia terbaik yang pernah gw tonton..</t>
  </si>
  <si>
    <t>gila final piala dunia terbaik yang pernah tonton</t>
  </si>
  <si>
    <t>['gila', 'final', 'piala', 'dunia', 'terbaik', 'pernah', 'tonton']</t>
  </si>
  <si>
    <t>hattrick di final piala dunia kerasukan apa kamu mbappe haha</t>
  </si>
  <si>
    <t>hattrick final piala dunia kerasukan apa kamu mbappe haha</t>
  </si>
  <si>
    <t>['hattrick', 'final', 'piala', 'dunia', 'kerasukan', 'apa', 'kamu', 'mbappe', 'haha']</t>
  </si>
  <si>
    <t>Ada orang di luar sana yang memilih untuk tidur dibanding liat final piala dunia terbaik sepanjang masa</t>
  </si>
  <si>
    <t>ada orang luar sana yang memilih untuk tidur dibanding liat final piala dunia terbaik sepanjang masa</t>
  </si>
  <si>
    <t>['orang', 'luar', 'sana', 'memilih', 'tidur', 'dibanding', 'lihat', 'final', 'piala', 'dunia', 'terbaik', 'sepanjang', 'masa']</t>
  </si>
  <si>
    <t>Final piala dunia 2006 2010 2022 paling seru ajig menurut aing</t>
  </si>
  <si>
    <t>final piala dunia paling seru ajig menurut aing</t>
  </si>
  <si>
    <t>['final', 'piala', 'dunia', 'paling', 'seru', 'ajig', 'aing']</t>
  </si>
  <si>
    <t>the real final piala dunia</t>
  </si>
  <si>
    <t>['the', 'real', 'final', 'piala', 'dunia']</t>
  </si>
  <si>
    <t>Prancis mentalnya gak main main, keren sih ini tontonan final piala dunia terbaik sih.  Tinggal kiper mana ini yang jago nepis.</t>
  </si>
  <si>
    <t>prancis mentalnya gak main main keren sih ini tontonan final piala dunia terbaik sih tinggal kiper mana ini yang jago nepis</t>
  </si>
  <si>
    <t>['prancis', 'mentalnya', 'main', 'main', 'keren', 'tontonan', 'final', 'piala', 'dunia', 'terbaik', 'tinggal', 'kiper', 'mana', 'jago', 'nepis']</t>
  </si>
  <si>
    <t>Most memorable world cup. Final paling menghibur sepanjang sejarah Piala Dunia.. . #FIFAWorldCup #ArgentinaVsFrance  https://t.co/g5nE5tCehY</t>
  </si>
  <si>
    <t>most memorable world cup final paling menghibur sepanjang sejarah piala dunia</t>
  </si>
  <si>
    <t>['most', 'memorable', 'world', 'cup', 'final', 'paling', 'menghibur', 'sepanjang', 'sejarah', 'piala', 'dunia']</t>
  </si>
  <si>
    <t>final piala dunia terkeren nih</t>
  </si>
  <si>
    <t>Piala dunia hatrick 3 kali cuy di final</t>
  </si>
  <si>
    <t>piala dunia hatrick kali cuy final</t>
  </si>
  <si>
    <t>['piala', 'dunia', 'hatrick', 'kali', 'final']</t>
  </si>
  <si>
    <t>GA PERNAH LIAT FINAL PIALA DUNIA SE SERU INI</t>
  </si>
  <si>
    <t>pernah liat final piala dunia seru ini</t>
  </si>
  <si>
    <t>['pernah', 'lihat', 'final', 'piala', 'dunia', 'seru']</t>
  </si>
  <si>
    <t>Final piala dunia paling edanü´£</t>
  </si>
  <si>
    <t>final piala dunia paling edan</t>
  </si>
  <si>
    <t>['final', 'piala', 'dunia', 'paling', 'edan']</t>
  </si>
  <si>
    <t>Link Live Streaming Argentina vs Prancis di Final Piala Dunia 2022: Akankah Lionel Messi Angkat Trofi?  https://t.co/xNzr3OqaJ3 via @okezonenews</t>
  </si>
  <si>
    <t>link live streaming argentina prancis final piala dunia akankah lionel messi angkat trofi via</t>
  </si>
  <si>
    <t>['link', 'live', 'streaming', 'argentina', 'prancis', 'final', 'piala', 'dunia', 'akankah', 'lionel', 'messi', 'angkat', 'trofi', 'via']</t>
  </si>
  <si>
    <t>Fix match final piala dunia terbaik yang pernah ku nonton :)</t>
  </si>
  <si>
    <t>fix match final piala dunia terbaik yang pernah nonton</t>
  </si>
  <si>
    <t>['fix', 'match', 'final', 'piala', 'dunia', 'terbaik', 'pernah', 'nonton']</t>
  </si>
  <si>
    <t>Menurut gue final piala dunia dari gue tonton 2002 Ampe sekarang ini final yang paling seru dan dramatis.. itu menurut gue</t>
  </si>
  <si>
    <t>menurut gue final piala dunia dari gue tonton ampe sekarang ini final yang paling seru dan dramatis itu menurut gue</t>
  </si>
  <si>
    <t>['gue', 'final', 'piala', 'dunia', 'gue', 'tonton', 'sampai', 'sekarang', 'final', 'paling', 'seru', 'dramatis', 'gue']</t>
  </si>
  <si>
    <t>Final Piala Dunia 2022</t>
  </si>
  <si>
    <t>Dari pertama kali nonton final piala dunia pas 2002, ini fix yg paling seru sih.</t>
  </si>
  <si>
    <t>dari pertama kali nonton final piala dunia pas ini fix paling seru sih</t>
  </si>
  <si>
    <t>['pertama', 'kali', 'nonton', 'final', 'piala', 'dunia', 'pas', 'fix', 'paling', 'seru']</t>
  </si>
  <si>
    <t xml:space="preserve"> https://t.co/6csj3OYaT7  Kylian Mbappe mencetak hat-trick di final Piala Dunia 2022. Ia mencetak gol lagi dari penalti untuk membuat skor Argentina vs Prancis menjadi imbang 3-3.</t>
  </si>
  <si>
    <t>PENALTY Live Streaming Final Piala Dunia 2022 Argentina vs Prancis #FinalWorldCup2022   https://t.co/JShJAX2I6M</t>
  </si>
  <si>
    <t>penalty live streaming final piala dunia argentina prancis</t>
  </si>
  <si>
    <t>['penalty', 'live', 'streaming', 'final', 'piala', 'dunia', 'argentina', 'prancis']</t>
  </si>
  <si>
    <t>Final Piala Dunia Terbaik !!! üá´üá∑ üá¶üá∑</t>
  </si>
  <si>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</si>
  <si>
    <t>fix kylian mbappe peraih sepatu emas piala dunia usai bobol gol gawang argentina laga final messi</t>
  </si>
  <si>
    <t>['fix', 'kylian', 'mbappe', 'peraih', 'sepatu', 'emas', 'piala', 'dunia', 'usai', 'bobol', 'gol', 'gawang', 'argentina', 'laga', 'final', 'messi']</t>
  </si>
  <si>
    <t>Final piala dunia terbaik seumur hidup gw..... Gilaaaaaaa...... #FIFAWorldCup  https://t.co/waVFiWgXbB</t>
  </si>
  <si>
    <t>final piala dunia terbaik seumur hidup gilaaaaaaa</t>
  </si>
  <si>
    <t>['final', 'piala', 'dunia', 'terbaik', 'seumur', 'hidup', 'gilaaaaaaa']</t>
  </si>
  <si>
    <t>Kylian Mbappe mencetak hat-trick di final Piala Dunia 2022. Ia mencetak gol lagi dari penalti untuk membuat skor Argentina vs Prancis menjadi imbang 3-3.  https://t.co/QxJn2iXsMp</t>
  </si>
  <si>
    <t>Seru parah..final piala dunia paling gila...</t>
  </si>
  <si>
    <t>seru parah final piala dunia paling gila</t>
  </si>
  <si>
    <t>['seru', 'parah', 'final', 'piala', 'dunia', 'paling', 'gila']</t>
  </si>
  <si>
    <t>Kylian Mbappe bikin hattrick di final Piala Dunia. Terakhir adalah Geoff Hurst di 1966.  #FIFAWorldCup  https://t.co/uMFJLg3mlm</t>
  </si>
  <si>
    <t>kylian mbappe bikin hattrick final piala dunia terakhir adalah geoff hurst</t>
  </si>
  <si>
    <t>['kylian', 'mbappe', 'hattrick', 'final', 'piala', 'dunia', 'terakhir', 'geoff', 'hurst']</t>
  </si>
  <si>
    <t>Penalti final piala dunia akan sangat dramatis dan emosional. Teringat piala dunia 2006 ü•∫</t>
  </si>
  <si>
    <t>penalti final piala dunia akan sangat dramatis dan emosional teringat piala dunia</t>
  </si>
  <si>
    <t>['penalti', 'final', 'piala', 'dunia', 'sangat', 'dramatis', 'emosional', 'teringat', 'piala', 'dunia']</t>
  </si>
  <si>
    <t>Final piala dunia terseru sepanjang sejarah</t>
  </si>
  <si>
    <t>final piala dunia terseru sepanjang sejarah</t>
  </si>
  <si>
    <t>['final', 'piala', 'dunia', 'terseru', 'sepanjang', 'sejarah']</t>
  </si>
  <si>
    <t>Hattrick di final piala dunia? Bukan maen emang mbappe ni, harus besar pengakuan utk dia</t>
  </si>
  <si>
    <t>hattrick final piala dunia bukan maen emang mbappe harus besar pengakuan utk dia</t>
  </si>
  <si>
    <t>['hattrick', 'final', 'piala', 'dunia', 'bukan', 'maen', 'emang', 'mbappe', 'besar', 'pengakuan']</t>
  </si>
  <si>
    <t>Siapapun yang juara, emang ini Piala Dunia dan final terbaik yg pernah awk nonton üò©üò©üò©üò©</t>
  </si>
  <si>
    <t>siapapun yang juara emang ini piala dunia dan final terbaik pernah awk nonton</t>
  </si>
  <si>
    <t>['siapapun', 'juara', 'emang', 'piala', 'dunia', 'final', 'terbaik', 'pernah', 'awk', 'nonton']</t>
  </si>
  <si>
    <t>Edan usia 23 dah Hattrick di Final Piala Dunia</t>
  </si>
  <si>
    <t>edan usia dah hattrick final piala dunia</t>
  </si>
  <si>
    <t>['edan', 'usia', 'dah', 'hattrick', 'final', 'piala', 'dunia']</t>
  </si>
  <si>
    <t>Ga nyesel gue niat nonton final piala dunia. Seru bangett! Padahal ga pernah nonton dari fase grup üòÇ Hanya demi Messi.  Semoga Argentina juara!</t>
  </si>
  <si>
    <t>nyesel gue niat nonton final piala dunia seru bangett padahal pernah nonton dari fase grup hanya demi messi semoga argentina juara</t>
  </si>
  <si>
    <t>['nyesel', 'gue', 'niat', 'nonton', 'final', 'piala', 'dunia', 'seru', 'bangett', 'padahal', 'pernah', 'nonton', 'fase', 'grup', 'messi', 'semoga', 'argentina', 'juara']</t>
  </si>
  <si>
    <t>Seru parah ini final piala dunia</t>
  </si>
  <si>
    <t>seru parah ini final piala dunia</t>
  </si>
  <si>
    <t>Final piala dunia terseru yg pernah adaa..</t>
  </si>
  <si>
    <t>final piala dunia terseru pernah adaa</t>
  </si>
  <si>
    <t>['final', 'piala', 'dunia', 'terseru', 'pernah', 'adaa']</t>
  </si>
  <si>
    <t>si ayah ikut terjaga bukan utk nobar final piala dunia, tp ndrakor nyambi ngawasin suhu badan adeek</t>
  </si>
  <si>
    <t>ayah ikut terjaga bukan utk nobar final piala dunia ndrakor nyambi ngawasin suhu badan adeek</t>
  </si>
  <si>
    <t>['ayah', 'ikut', 'terjaga', 'bukan', 'nonton bareng', 'final', 'piala', 'dunia', 'ndrakor', 'nyambi', 'ngawasin', 'suhu', 'badan', 'adeek']</t>
  </si>
  <si>
    <t>Piala Dunia 2010 memang ikonik, tapi Piala Dunia 2022 terbaik, dari fase grup sampai final, banyak match seru.</t>
  </si>
  <si>
    <t>piala dunia memang ikonik tapi piala dunia terbaik dari fase grup sampai final banyak match seru</t>
  </si>
  <si>
    <t>['piala', 'dunia', 'memang', 'ikonik', 'piala', 'dunia', 'terbaik', 'fase', 'grup', 'final', 'banyak', 'match', 'seru']</t>
  </si>
  <si>
    <t>Ayo tetapa semangat Link Streaming Gratis Argentina vs Prancis Final Piala Dunia 2022   https://t.co/EG7SAWEv1S  #FIFAWorldCup</t>
  </si>
  <si>
    <t>ayo tetapa semangat link streaming gratis argentina prancis final piala dunia</t>
  </si>
  <si>
    <t>['ayo', 'tetapa', 'semangat', 'link', 'streaming', 'gratis', 'argentina', 'prancis', 'final', 'piala', 'dunia']</t>
  </si>
  <si>
    <t>Jenius amat final piala dunia, adu pinalti, malah internet kumat @FirstMediaCares :(</t>
  </si>
  <si>
    <t>jenius amat final piala dunia adu pinalti malah internet kumat</t>
  </si>
  <si>
    <t>['jenius', 'final', 'piala', 'dunia', 'adu', 'penalti', 'malah', 'internet', 'kumat']</t>
  </si>
  <si>
    <t>Seru bener ini final piala dunia 2022 üéâ</t>
  </si>
  <si>
    <t>seru bener ini final piala dunia</t>
  </si>
  <si>
    <t>['seru', 'benar', 'final', 'piala', 'dunia']</t>
  </si>
  <si>
    <t>Final paling seru selama piala dunia. Skornya 3-3 anjeeeeng üòÇ</t>
  </si>
  <si>
    <t>final paling seru selama piala dunia skornya anjeeeeng</t>
  </si>
  <si>
    <t>['final', 'paling', 'seru', 'selama', 'piala', 'dunia', 'skornya', 'anjeeeeng']</t>
  </si>
  <si>
    <t>Final piala dunia 2022 gokil seru abisüëç</t>
  </si>
  <si>
    <t>final piala dunia gokil seru abis</t>
  </si>
  <si>
    <t>['final', 'piala', 'dunia', 'gila', 'seru', 'abis']</t>
  </si>
  <si>
    <t>Final piala dunia terseru selama ku tonton sih ini</t>
  </si>
  <si>
    <t>final piala dunia terseru selama tonton sih ini</t>
  </si>
  <si>
    <t>['final', 'piala', 'dunia', 'terseru', 'selama', 'tonton']</t>
  </si>
  <si>
    <t>Final piala dunia terbaik sepanjang masa üò≠üò≠üò≠</t>
  </si>
  <si>
    <t>Final Paling seru dalam sejarah Piala Dunia</t>
  </si>
  <si>
    <t>final paling seru dalam sejarah piala dunia</t>
  </si>
  <si>
    <t>['final', 'paling', 'seru', 'sejarah', 'piala', 'dunia']</t>
  </si>
  <si>
    <t>FINAL PIALA DUNIA TERBAIK üëè</t>
  </si>
  <si>
    <t>Lhah belum selesai tah final piala dunia yg menang siapa wkwk kebangun trus inget bola meskipun kagak nonton ü§£</t>
  </si>
  <si>
    <t>lhah belum selesai tah final piala dunia menang siapa wkwk kebangun trus inget bola meskipun kagak nonton</t>
  </si>
  <si>
    <t>['lhah', 'selesai', 'tah', 'final', 'piala', 'dunia', 'menang', 'siapa', 'kebangun', 'trus', 'inget', 'bola', 'meskipun', 'kagak', 'nonton']</t>
  </si>
  <si>
    <t>nonton final piala dunia dari excited sampe pengen ngamuk aing</t>
  </si>
  <si>
    <t>['nonton', 'final', 'piala', 'dunia', 'excited', 'sampai', 'pengen', 'ngamuk', 'aing']</t>
  </si>
  <si>
    <t>Emang piala dunia kali ini tuh kalo belum penalty kureng ye wkwk yuyur ini final terseru ü§Øüî•üëè</t>
  </si>
  <si>
    <t>emang piala dunia kali ini tuh kalo belum penalty kureng wkwk yuyur ini final terseru</t>
  </si>
  <si>
    <t>['emang', 'piala', 'dunia', 'kali', 'penalty', 'kureng', 'yuyur', 'final', 'terseru']</t>
  </si>
  <si>
    <t>PENALTY Live Streaming Final Piala Dunia 2022 Argentina vs Prancis, Kylian Mbappe Samakan Skor 2-2   https://t.co/JShJAX2I6M</t>
  </si>
  <si>
    <t>penalty live streaming final piala dunia argentina prancis kylian mbappe samakan skor</t>
  </si>
  <si>
    <t>['penalty', 'live', 'streaming', 'final', 'piala', 'dunia', 'argentina', 'prancis', 'kylian', 'mbappe', 'samakan', 'skor']</t>
  </si>
  <si>
    <t>Final piala dunia paling gilaaaa &amp;amp; seruuuu  ini mahh #FIFAWorldCup #ARGFRA</t>
  </si>
  <si>
    <t>final piala dunia paling gilaaaa seruuuu ini mahh</t>
  </si>
  <si>
    <t>['final', 'piala', 'dunia', 'paling', 'gilaaaa', 'seruuuu', 'mahh']</t>
  </si>
  <si>
    <t>WHAT A FINAL! Yang ngatain Piala Dunia Qatar kureng, lebay banyak aturan pada ngumpet üò£</t>
  </si>
  <si>
    <t>what final yang ngatain piala dunia qatar kureng lebay banyak aturan pada ngumpet</t>
  </si>
  <si>
    <t>['what', 'final', 'ngatain', 'piala', 'dunia', 'qatar', 'kureng', 'lebay', 'banyak', 'aturan', 'ngumpet']</t>
  </si>
  <si>
    <t>Final Piala Dunia yang sangat menghibur!</t>
  </si>
  <si>
    <t>final piala dunia yang sangat menghibur</t>
  </si>
  <si>
    <t>['final', 'piala', 'dunia', 'sangat', 'menghibur']</t>
  </si>
  <si>
    <t>Final piala dunia tergokillll 3-3 lanjut adu penalti</t>
  </si>
  <si>
    <t>final piala dunia tergokillll lanjut adu penalti</t>
  </si>
  <si>
    <t>['final', 'piala', 'dunia', 'tergokillll', 'lanjut', 'adu', 'penalti']</t>
  </si>
  <si>
    <t>Seru final piala dunia kayak gini üî•üî•#FIFAWorldCup</t>
  </si>
  <si>
    <t>seru final piala dunia kayak gini</t>
  </si>
  <si>
    <t>['seru', 'final', 'piala', 'dunia', 'seperti', 'gini']</t>
  </si>
  <si>
    <t>Udah gk peduli siapa menang.. 3-3 Final Piala Dunia kali ini seru anjing</t>
  </si>
  <si>
    <t>udah peduli siapa menang final piala dunia kali ini seru anjing</t>
  </si>
  <si>
    <t>['udah', 'peduli', 'siapa', 'menang', 'final', 'piala', 'dunia', 'kali', 'seru', 'anjing']</t>
  </si>
  <si>
    <t>Final Piala Dunia terbaik yang pernah gw tonton sejak 2002. The heat, the drama, the twist. üëèüèªüëèüèªüëèüèª #ARG #FRA   #FIFAWorldCup #Qatar2022</t>
  </si>
  <si>
    <t>final piala dunia terbaik yang pernah tonton sejak the heat the drama the twist</t>
  </si>
  <si>
    <t>['final', 'piala', 'dunia', 'terbaik', 'pernah', 'tonton', 'sejak', 'the', 'heat', 'the', 'drama', 'the', 'twist']</t>
  </si>
  <si>
    <t>Perancis menang ya memutus tren buruk Juara bertahan di Piala Dunia sejak 98 (ini aja udah masuk final udah bagus yang juara sebelum2nya nggak sejauh ini)  Argentina Juara ya fokus semua ke Messi üòÜ udah dua kali masuk Final nih</t>
  </si>
  <si>
    <t>perancis menang memutus tren buruk juara bertahan piala dunia sejak ini aja udah masuk final udah bagus yang juara sebelum nya nggak sejauh ini argentina juara fokus semua messi udah dua kali masuk final nih</t>
  </si>
  <si>
    <t>['perancis', 'menang', 'memutus', 'tren', 'buruk', 'juara', 'bertahan', 'piala', 'dunia', 'sejak', 'udah', 'masuk', 'final', 'udah', 'bagus', 'juara', 'sejauh', 'argentina', 'juara', 'fokus', 'semua', 'messi', 'udah', 'kali', 'masuk', 'final']</t>
  </si>
  <si>
    <t>Ga pernah gua ngebayangin bisa liat final piala dunia yg ditentukan lewat adu penalti setelah skor imbang, bukan 0-0, tapi 3-3.  3 gol dibalas 3 gol di FINAL PIALA DUNIA itu selangka koruptor ngaku salah.</t>
  </si>
  <si>
    <t>pernah gua ngebayangin bisa liat final piala dunia ditentukan lewat adu penalti setelah skor imbang bukan tapi gol dibalas gol final piala dunia itu selangka koruptor ngaku salah</t>
  </si>
  <si>
    <t>['pernah', 'gua', 'ngebayangin', 'lihat', 'final', 'piala', 'dunia', 'ditentukan', 'lewat', 'adu', 'penalti', 'skor', 'imbang', 'bukan', 'gol', 'dibalas', 'gol', 'final', 'piala', 'dunia', 'selangka', 'koruptor', 'ngaku', 'salah']</t>
  </si>
  <si>
    <t>"I swear you'll never see anything like this ever again. So watch it, drink it in."  Final Piala Dunia rasa Santos kontra Flamengo 2011.  üëèüëèüëè</t>
  </si>
  <si>
    <t>swear you never see anything like this ever again watch drink final piala dunia rasa santos kontra flamengo</t>
  </si>
  <si>
    <t>['swear', 'you', 'never', 'see', 'anything', 'like', 'this', 'ever', 'again', 'watch', 'drink', 'final', 'piala', 'dunia', 'rasa', 'santos', 'kontra', 'flamengo']</t>
  </si>
  <si>
    <t>Emang piala Dunia kali kurang mantap kaya 2010 atau 2014, tapi ini jadi final terseru yang gua tonton</t>
  </si>
  <si>
    <t>emang piala dunia kali kurang mantap kaya atau tapi ini jadi final terseru yang gua tonton</t>
  </si>
  <si>
    <t>['emang', 'piala', 'dunia', 'kali', 'kurang', 'mantap', 'kaya', 'jadi', 'final', 'terseru', 'gua', 'tonton']</t>
  </si>
  <si>
    <t>Orang yang bilang ini the best Final Piala Dunia pasti ga pernah nonton Final Piala Dunia tahun XXXX, dimana waktu itu lebih berasa nonton nya rame-rame, lebih guyub, banyak gol, lebih seru.</t>
  </si>
  <si>
    <t>orang yang bilang ini the best final piala dunia pasti pernah nonton final piala dunia tahun xxxx dimana waktu itu lebih berasa nonton nya rame rame lebih guyub banyak gol lebih seru</t>
  </si>
  <si>
    <t>['orang', 'the', 'best', 'final', 'piala', 'dunia', 'pernah', 'nonton', 'final', 'piala', 'dunia', 'tahun', 'xxxx', 'waktu', 'lebih', 'berasa', 'nonton', 'ramai', 'ramai', 'lebih', 'guyub', 'banyak', 'gol', 'lebih', 'seru']</t>
  </si>
  <si>
    <t>Argentina g akan bisa tenang selagi mbappe masih main ya üòÖüòÖüòÖ gilakkk goat 3 sama dibuat mbappe . What A final . Piala dunia paling seru</t>
  </si>
  <si>
    <t>argentina akan bisa tenang selagi mbappe masih main gilakkk goat sama dibuat mbappe what final piala dunia paling seru</t>
  </si>
  <si>
    <t>['argentina', 'tenang', 'mbappe', 'main', 'gilakkk', 'goat', 'sama', 'dibuat', 'mbappe', 'what', 'final', 'piala', 'dunia', 'paling', 'seru']</t>
  </si>
  <si>
    <t>dari pertama kali gw nonton final piala dunia tahun 1998 sampe sekarang, kayaknya ini yang paling bikin pala gw pusing</t>
  </si>
  <si>
    <t>dari pertama kali nonton final piala dunia tahun sampe sekarang kayaknya ini yang paling bikin pala pusing</t>
  </si>
  <si>
    <t>['pertama', 'kali', 'nonton', 'final', 'piala', 'dunia', 'tahun', 'sampai', 'sekarang', 'kayaknya', 'paling', 'pala', 'pusing']</t>
  </si>
  <si>
    <t>Final Piala Dunia terbaik sepanjang masaüò≠</t>
  </si>
  <si>
    <t>Asli ini final piala dunia terbaik yg pernah ada üòé</t>
  </si>
  <si>
    <t>asli ini final piala dunia terbaik pernah ada</t>
  </si>
  <si>
    <t>['asli', 'final', 'piala', 'dunia', 'terbaik', 'pernah']</t>
  </si>
  <si>
    <t>Pertandingan Final terbaik dalam sejarah.  Piala Dunia terbaik dalam sejarah.  Qatar! Syukran katsira.</t>
  </si>
  <si>
    <t>pertandingan final terbaik dalam sejarah piala dunia terbaik dalam sejarah qatar syukran katsira</t>
  </si>
  <si>
    <t>['pertandingan', 'final', 'terbaik', 'sejarah', 'piala', 'dunia', 'terbaik', 'sejarah', 'qatar', 'syukran', 'katsira']</t>
  </si>
  <si>
    <t>Yang ga nonton final piala dunia, Nyesel.. seru banget bangsaaat!!!!</t>
  </si>
  <si>
    <t>yang nonton final piala dunia nyesel seru banget bangsaaat</t>
  </si>
  <si>
    <t>['nonton', 'final', 'piala', 'dunia', 'nyesel', 'seru', 'banget', 'bangsaaat']</t>
  </si>
  <si>
    <t>FINAL WORLD CUP 6 GOL HAT TRICK   GILA! GA NGERTI LAGI PIALA DUNIA TAHUN INI...</t>
  </si>
  <si>
    <t>final world cup gol hat trick gila ngerti lagi piala dunia tahun ini</t>
  </si>
  <si>
    <t>['final', 'world', 'cup', 'gol', 'hat', 'trick', 'gila', 'ngerti', 'piala', 'dunia', 'tahun']</t>
  </si>
  <si>
    <t>FINAL PIALA DUNIA TERSERU ANJERR</t>
  </si>
  <si>
    <t>final piala dunia terseru anjerr</t>
  </si>
  <si>
    <t>['final', 'piala', 'dunia', 'terseru', 'anjerr']</t>
  </si>
  <si>
    <t>FINAL TERBAIK PIALA DUNIAüî•</t>
  </si>
  <si>
    <t>Final Piala Dunia 2022 Antara Argentina  3 Prancis      3 Paling Gokil  menurut gw,sepanjang pertandingan.</t>
  </si>
  <si>
    <t>final piala dunia antara argentina prancis paling gokil menurut sepanjang pertandingan</t>
  </si>
  <si>
    <t>['final', 'piala', 'dunia', 'argentina', 'prancis', 'paling', 'gila', 'sepanjang', 'pertandingan']</t>
  </si>
  <si>
    <t>Pertama kali nonton final Piala dunia. Tapi gilaa siii ini pertandingan terbaik seng tau tak dilok</t>
  </si>
  <si>
    <t>pertama kali nonton final piala dunia tapi gilaa siii ini pertandingan terbaik seng tau tak dilok</t>
  </si>
  <si>
    <t>['pertama', 'kali', 'nonton', 'final', 'piala', 'dunia', 'gilaa', 'siii', 'pertandingan', 'terbaik', 'seng', 'tak', 'dilok']</t>
  </si>
  <si>
    <t>Alhamdulillah masih bisa nonton final piala dunia maybe terbaik sejauh iniüôåüôå</t>
  </si>
  <si>
    <t>alhamdulillah masih bisa nonton final piala dunia maybe terbaik sejauh ini</t>
  </si>
  <si>
    <t>['alhamdulillah', 'nonton', 'final', 'piala', 'dunia', 'maybe', 'terbaik', 'sejauh']</t>
  </si>
  <si>
    <t>Final terbaik Piala Duniaüî•</t>
  </si>
  <si>
    <t>Final terbaik sepanjang menonton final piala dunia</t>
  </si>
  <si>
    <t>final terbaik sepanjang menonton final piala dunia</t>
  </si>
  <si>
    <t>['final', 'terbaik', 'sepanjang', 'menonton', 'final', 'piala', 'dunia']</t>
  </si>
  <si>
    <t>AET: Prancis 3-3 Argentina Final piala dunia terseru, merinding üò± Lanjut adu penalti üòµ</t>
  </si>
  <si>
    <t>aet prancis argentina final piala dunia terseru merinding lanjut adu penalti</t>
  </si>
  <si>
    <t>['aet', 'prancis', 'argentina', 'final', 'piala', 'dunia', 'terseru', 'merinding', 'lanjut', 'adu', 'penalti']</t>
  </si>
  <si>
    <t>Kylian Mbappe menjadi pemain pertama yang mencetak hat-trick di final Piala Dunia sejak Sir Geoff Hurst pada tahun 1966 üò±üá´üá∑  #FIFAWorldCup2022  #Prancis #Mbappe  https://t.co/c3Dol7k2vQ</t>
  </si>
  <si>
    <t>kylian mbappe menjadi pemain pertama yang mencetak hat trick final piala dunia sejak sir geoff hurst pada tahun</t>
  </si>
  <si>
    <t>['kylian', 'mbappe', 'menjadi', 'pemain', 'pertama', 'mencetak', 'hat', 'trick', 'final', 'piala', 'dunia', 'sejak', 'sir', 'geoff', 'hurst', 'tahun']</t>
  </si>
  <si>
    <t>Final terbaik piala dunia 2022. Dramatis!</t>
  </si>
  <si>
    <t>final terbaik piala dunia dramatis</t>
  </si>
  <si>
    <t>['final', 'terbaik', 'piala', 'dunia', 'dramatis']</t>
  </si>
  <si>
    <t>Dari 2002 di ajarin nonton piala dunia, baru ini final yang paling seru di tonton, piala dunia qatar terbaik emang üëèüèº</t>
  </si>
  <si>
    <t>dari ajarin nonton piala dunia baru ini final yang paling seru tonton piala dunia qatar terbaik emang</t>
  </si>
  <si>
    <t>['ajarin', 'nonton', 'piala', 'dunia', 'baru', 'final', 'paling', 'seru', 'tonton', 'piala', 'dunia', 'qatar', 'terbaik', 'emang']</t>
  </si>
  <si>
    <t>Dramatis, Argentina vs Prancis 3-3, Berlanjut ke Adu Penalti 00:45 Setelah pertandingan yang berjalan dramatis pada dua babak tambahan, final Piala Dunia 2022 Argentina vs Prancis yang berakhir imbang 3-3. Laga berlanjut ke adu penalti.   https://t.co/OaQ0AsWjvm</t>
  </si>
  <si>
    <t>dramatis argentina prancis berlanjut adu penalti setelah pertandingan yang berjalan dramatis pada dua babak tambahan final piala dunia argentina prancis yang berakhir imbang laga berlanjut adu penalti</t>
  </si>
  <si>
    <t>['dramatis', 'argentina', 'prancis', 'berlanjut', 'adu', 'penalti', 'pertandingan', 'berjalan', 'dramatis', 'babak', 'tambahan', 'final', 'piala', 'dunia', 'argentina', 'prancis', 'berakhir', 'imbang', 'laga', 'berlanjut', 'adu', 'penalti']</t>
  </si>
  <si>
    <t>Ajang show pemain PSG ini mah, bukan final piala dunia</t>
  </si>
  <si>
    <t>ajang show pemain psg ini mah bukan final piala dunia</t>
  </si>
  <si>
    <t>['ajang', 'show', 'pemain', 'psg', 'mah', 'bukan', 'final', 'piala', 'dunia']</t>
  </si>
  <si>
    <t>Final piala dunia terbaik sepanjang masa ini mah huhh</t>
  </si>
  <si>
    <t>final piala dunia terbaik sepanjang masa ini mah huhh</t>
  </si>
  <si>
    <t>['final', 'piala', 'dunia', 'terbaik', 'sepanjang', 'masa', 'mah', 'huhh']</t>
  </si>
  <si>
    <t>Persetan dengan yg awal2 bilang piala dunia kali ini ga seru karena main di timur tengah, go f urself dude this is final!!!</t>
  </si>
  <si>
    <t>persetan dengan awal bilang piala dunia kali ini seru karena main timur tengah urself dude this final</t>
  </si>
  <si>
    <t>['persetan', 'awal', 'piala', 'dunia', 'kali', 'seru', 'main', 'timur', 'tengah', 'urself', 'dude', 'this', 'final']</t>
  </si>
  <si>
    <t>@forevoliem Perang bintang psg di final piala dunia üò≥</t>
  </si>
  <si>
    <t>perang bintang psg final piala dunia</t>
  </si>
  <si>
    <t>['perang', 'bintang', 'psg', 'final', 'piala', 'dunia']</t>
  </si>
  <si>
    <t>Final terbaik Piala Dunia, Piala Dunia terbaik.</t>
  </si>
  <si>
    <t>final terbaik piala dunia piala dunia terbaik</t>
  </si>
  <si>
    <t>['final', 'terbaik', 'piala', 'dunia', 'piala', 'dunia', 'terbaik']</t>
  </si>
  <si>
    <t>&lt;FreqDist with 4 samples and 7 outcomes&gt;</t>
  </si>
  <si>
    <t>Final piala Dunia terbaik ü§Ø Hands Down</t>
  </si>
  <si>
    <t>final piala dunia terbaik hands down</t>
  </si>
  <si>
    <t>['final', 'piala', 'dunia', 'terbaik', 'hands', 'down']</t>
  </si>
  <si>
    <t>Final Piala Dunia terbaik daei 2002 aka sing tak tonton</t>
  </si>
  <si>
    <t>final piala dunia terbaik daei aka sing tak tonton</t>
  </si>
  <si>
    <t>['final', 'piala', 'dunia', 'terbaik', 'daei', 'aka', 'sing', 'tak', 'tonton']</t>
  </si>
  <si>
    <t>Asli parah final piala dunia 2022  #Qatar2022</t>
  </si>
  <si>
    <t>asli parah final piala dunia</t>
  </si>
  <si>
    <t>['asli', 'parah', 'final', 'piala', 'dunia']</t>
  </si>
  <si>
    <t>Gila. Final paling seru sepanjang nonton Piala Dunia</t>
  </si>
  <si>
    <t>gila final paling seru sepanjang nonton piala dunia</t>
  </si>
  <si>
    <t>['gila', 'final', 'paling', 'seru', 'sepanjang', 'nonton', 'piala', 'dunia']</t>
  </si>
  <si>
    <t>final piala dunia terseruu, gokil argentina-pranciss!!!</t>
  </si>
  <si>
    <t>final piala dunia terseruu gokil argentina pranciss</t>
  </si>
  <si>
    <t>['final', 'piala', 'dunia', 'terseruu', 'gila', 'argentina', 'pranciss']</t>
  </si>
  <si>
    <t>WORLD CUP APA SIH INI FINAL PIALA DUNIA APA SIH INI SERU BANGET WOYYY JANTUNG GW WOYY MBAPPEE MESSIII 3-3  Sisa Penalty..  ü§Øü§Øü§Ø</t>
  </si>
  <si>
    <t>world cup apa sih ini final piala dunia apa sih ini seru banget woyyy jantung woyy mbappee messiii sisa penalty</t>
  </si>
  <si>
    <t>['world', 'cup', 'apa', 'final', 'piala', 'dunia', 'apa', 'seru', 'banget', 'woyyy', 'jantung', 'woyy', 'mbappee', 'messiii', 'sisa', 'penalty']</t>
  </si>
  <si>
    <t>Sepanjang nonton final piala dunia, ini yang TERBAIK üî•</t>
  </si>
  <si>
    <t>sepanjang nonton final piala dunia ini yang terbaik</t>
  </si>
  <si>
    <t>['sepanjang', 'nonton', 'final', 'piala', 'dunia', 'terbaik']</t>
  </si>
  <si>
    <t>Ini real final piala dunia ü§Ø #WorldCup</t>
  </si>
  <si>
    <t>ini real final piala dunia</t>
  </si>
  <si>
    <t>['real', 'final', 'piala', 'dunia']</t>
  </si>
  <si>
    <t>Bayangin, penendang adu penalti di final piala dunia. The pressure</t>
  </si>
  <si>
    <t>bayangin penendang adu penalti final piala dunia the pressure</t>
  </si>
  <si>
    <t>['bayangin', 'penendang', 'adu', 'penalti', 'final', 'piala', 'dunia', 'the', 'pressure']</t>
  </si>
  <si>
    <t>Anying ini baru final piala dunia</t>
  </si>
  <si>
    <t>anying ini baru final piala dunia</t>
  </si>
  <si>
    <t>['anying', 'baru', 'final', 'piala', 'dunia']</t>
  </si>
  <si>
    <t>Ini baru final piala dunia‚Ä¶ Mbape vs Messi</t>
  </si>
  <si>
    <t>ini baru final piala dunia mbape messi</t>
  </si>
  <si>
    <t>['baru', 'final', 'piala', 'dunia', 'mbape', 'messi']</t>
  </si>
  <si>
    <t>Setelah pertandingan yang berjalan dramatis pada dua babak tambahan, final Piala Dunia 2022 Argentina vs Prancis yang berakhir imbang 3-3. Laga berlanjut ke adu penalti.  https://t.co/Ut0aD71xF3 #GempitaBolaDunia2022 #CNNIndonesia  https://t.co/ViaFWvX2mw</t>
  </si>
  <si>
    <t>setelah pertandingan yang berjalan dramatis pada dua babak tambahan final piala dunia argentina prancis yang berakhir imbang laga berlanjut adu penalti</t>
  </si>
  <si>
    <t>['pertandingan', 'berjalan', 'dramatis', 'babak', 'tambahan', 'final', 'piala', 'dunia', 'argentina', 'prancis', 'berakhir', 'imbang', 'laga', 'berlanjut', 'adu', 'penalti']</t>
  </si>
  <si>
    <t>Ngikutin final piala dunia dr story dan twit‚Äù orang‚Äù plusss update an dr satu orang temen. Walaupun ngga paham bolaaa, tp seruuuuu bgtt nih dinamikanyaüòÇ</t>
  </si>
  <si>
    <t>ngikutin final piala dunia story dan twit orang plusss update satu orang temen walaupun ngga paham bolaaa seruuuuu bgtt nih dinamikanya</t>
  </si>
  <si>
    <t>['ngikutin', 'final', 'piala', 'dunia', 'story', 'twit', 'orang', 'plusss', 'update', 'satu', 'orang', 'temen', 'walaupun', 'ngga', 'paham', 'bolaaa', 'seruuuuu', 'bgtt', 'dinamikanya']</t>
  </si>
  <si>
    <t>Apapun hasilnya, ini final piala dunia terseru yang pernah gue tonton seumur hidup.. #FIFAWorldCup #ARGFRA</t>
  </si>
  <si>
    <t>apapun hasilnya ini final piala dunia terseru yang pernah gue tonton seumur hidup</t>
  </si>
  <si>
    <t>['apapun', 'hasilnya', 'final', 'piala', 'dunia', 'terseru', 'pernah', 'gue', 'tonton', 'seumur', 'hidup']</t>
  </si>
  <si>
    <t>Pertandingan terbaik piala dunia Qatar jatuh di laga final coach kyknya @CoachJustinL</t>
  </si>
  <si>
    <t>pertandingan terbaik piala dunia qatar jatuh laga final coach kyknya</t>
  </si>
  <si>
    <t>['pertandingan', 'terbaik', 'piala', 'dunia', 'qatar', 'jatuh', 'laga', 'final', 'coach', 'sepertinya']</t>
  </si>
  <si>
    <t>Salah satu final terbaik piala dunia.. What a Final !!!</t>
  </si>
  <si>
    <t>salah satu final terbaik piala dunia what final</t>
  </si>
  <si>
    <t>['salah', 'satu', 'final', 'terbaik', 'piala', 'dunia', 'what', 'final']</t>
  </si>
  <si>
    <t>Ini bisa jd salah satu final terbaik piala dunia sepanjang masa</t>
  </si>
  <si>
    <t>ini bisa salah satu final terbaik piala dunia sepanjang masa</t>
  </si>
  <si>
    <t>['salah', 'satu', 'final', 'terbaik', 'piala', 'dunia', 'sepanjang', 'masa']</t>
  </si>
  <si>
    <t>Sejak pertama nonton Piala Dunia 2002 biyen, pertandingan dino iki adalah pertandingan final Piala Dunia terbaik! üî•üî• #ARGFRA #FIFAWorldCup</t>
  </si>
  <si>
    <t>sejak pertama nonton piala dunia biyen pertandingan dino iki adalah pertandingan final piala dunia terbaik</t>
  </si>
  <si>
    <t>['sejak', 'pertama', 'nonton', 'piala', 'dunia', 'biyen', 'pertandingan', 'dino', 'iki', 'pertandingan', 'final', 'piala', 'dunia', 'terbaik']</t>
  </si>
  <si>
    <t>Hasil Final Piala Dunia Argentina Vs Prancis: 3-3, Mbappe Selamatkan Prancis!    https://t.co/BCwY3NJu17 via @TribunLombokcom</t>
  </si>
  <si>
    <t>hasil final piala dunia argentina prancis mbappe selamatkan prancis via</t>
  </si>
  <si>
    <t>['hasil', 'final', 'piala', 'dunia', 'argentina', 'prancis', 'mbappe', 'selamatkan', 'prancis', 'via']</t>
  </si>
  <si>
    <t>Argentina 3 - 3 Prancis Berlanjut ke babak Penalty!   Final Piala Dunia Terbaik?ü§Ø</t>
  </si>
  <si>
    <t>argentina prancis berlanjut babak penalty final piala dunia terbaik</t>
  </si>
  <si>
    <t>['argentina', 'prancis', 'berlanjut', 'babak', 'penalty', 'final', 'piala', 'dunia', 'terbaik']</t>
  </si>
  <si>
    <t>Woyy papa ku, nihh lagi final piala dunia tau. Nonton gak pahh WKWKWKKWKWK</t>
  </si>
  <si>
    <t>woyy papa nihh lagi final piala dunia tau nonton gak pahh wkwkwkkwkwk</t>
  </si>
  <si>
    <t>['woyy', 'papa', 'nihh', 'final', 'piala', 'dunia', 'nonton', 'pahh', 'wkwkwkkwkwk']</t>
  </si>
  <si>
    <t>Setujuuu, selama nonton final piala dunia ini terbaikkküî•üî•üî•</t>
  </si>
  <si>
    <t>setujuuu selama nonton final piala dunia ini terbaikkk</t>
  </si>
  <si>
    <t>['setujuuu', 'selama', 'nonton', 'final', 'piala', 'dunia', 'terbaikkk']</t>
  </si>
  <si>
    <t>salah satu yang bakal gw banggain ke anak cucu kelak (klo punya) : oh final piala dunia 2022 yang bersejarah itu? dulu nenek nonton itu..</t>
  </si>
  <si>
    <t>salah satu yang bakal banggain anak cucu kelak klo punya final piala dunia yang bersejarah itu dulu nenek nonton itu</t>
  </si>
  <si>
    <t>['salah', 'satu', 'bakal', 'banggain', 'anak', 'cucu', 'kelak', 'punya', 'final', 'piala', 'dunia', 'bersejarah', 'dulu', 'nenek', 'nonton']</t>
  </si>
  <si>
    <t>Final piala dunia terseru ini wkwk</t>
  </si>
  <si>
    <t>final piala dunia terseru ini wkwk</t>
  </si>
  <si>
    <t>gila final piala dunia kali ini</t>
  </si>
  <si>
    <t>['gila', 'final', 'piala', 'dunia', 'kali']</t>
  </si>
  <si>
    <t>PENALTY Nonton gratis final piala dunia 2022 Argentina vs Prancis   https://t.co/EG7SAWEv1S   #FIFAWorldCup</t>
  </si>
  <si>
    <t>penalty nonton gratis final piala dunia argentina prancis</t>
  </si>
  <si>
    <t>['penalty', 'nonton', 'gratis', 'final', 'piala', 'dunia', 'argentina', 'prancis']</t>
  </si>
  <si>
    <t>final piala dunia paling seru sejauh ini yang aku tonton</t>
  </si>
  <si>
    <t>['final', 'piala', 'dunia', 'paling', 'seru', 'sejauh', 'aku', 'tonton']</t>
  </si>
  <si>
    <t>Nggak nonton satu pertandingan pun sejak awal Piala Dunia tahun ini. Sekalinya nonton, final. Sekalinya nonton, finalnya kek gini~ üî•</t>
  </si>
  <si>
    <t>nggak nonton satu pertandingan pun sejak awal piala dunia tahun ini sekalinya nonton final sekalinya nonton finalnya kek gini</t>
  </si>
  <si>
    <t>['nonton', 'satu', 'pertandingan', 'sejak', 'awal', 'piala', 'dunia', 'tahun', 'sekalinya', 'nonton', 'final', 'sekalinya', 'nonton', 'finalnya', 'kek', 'gini']</t>
  </si>
  <si>
    <t>Gilaaa final piala Dunia paling seruuu üò≠üî•üî•üî•</t>
  </si>
  <si>
    <t>gilaaa final piala dunia paling seruuu</t>
  </si>
  <si>
    <t>['gilaaa', 'final', 'piala', 'dunia', 'paling', 'seruuu']</t>
  </si>
  <si>
    <t>edan mbappe ro messi, iki udu muk laga ucl lho. iki piala dunia, final piala dunia!</t>
  </si>
  <si>
    <t>edan mbappe messi iki udu muk laga ucl lho iki piala dunia final piala dunia</t>
  </si>
  <si>
    <t>['edan', 'mbappe', 'messi', 'iki', 'udu', 'muk', 'laga', 'ucl', 'lho', 'iki', 'piala', 'dunia', 'final', 'piala', 'dunia']</t>
  </si>
  <si>
    <t>Gak peduli lagi siapa yg menang adu penalti imi. Ini final piala dunia terbaik yang ditonton sejak ngikutin piala dunia 98 üò≠üò≠üò≠üò≠üò≠  #Arg 3-3 #Fra</t>
  </si>
  <si>
    <t>gak peduli lagi siapa menang adu penalti imi ini final piala dunia terbaik yang ditonton sejak ngikutin piala dunia</t>
  </si>
  <si>
    <t>['peduli', 'siapa', 'menang', 'adu', 'penalti', 'imi', 'final', 'piala', 'dunia', 'terbaik', 'ditonton', 'sejak', 'ngikutin', 'piala', 'dunia']</t>
  </si>
  <si>
    <t>Sopo ae sing menang iki tandingan final piala dunia paling gayeng Suwun bandar suwun</t>
  </si>
  <si>
    <t>sopo sing menang iki tandingan final piala dunia paling gayeng suwun bandar suwun</t>
  </si>
  <si>
    <t>['sopo', 'sing', 'menang', 'iki', 'tandingan', 'final', 'piala', 'dunia', 'paling', 'gayeng', 'suwun', 'bandar', 'suwun']</t>
  </si>
  <si>
    <t>Final piala dunia sengit banget astaga sampe ikutan keringat dingin nontonnya saking huru hara bala bala</t>
  </si>
  <si>
    <t>final piala dunia sengit banget astaga sampe ikutan keringat dingin nontonnya saking huru hara bala bala</t>
  </si>
  <si>
    <t>['final', 'piala', 'dunia', 'sengit', 'banget', 'astaga', 'sampai', 'ikutan', 'keringat', 'dingin', 'nontonnya', 'saking', 'huru', 'hara', 'bala', 'bala']</t>
  </si>
  <si>
    <t>Final Piala Dunia paling edan yg pernah sy tonton</t>
  </si>
  <si>
    <t>final piala dunia paling edan pernah tonton</t>
  </si>
  <si>
    <t>['final', 'piala', 'dunia', 'paling', 'edan', 'pernah', 'tonton']</t>
  </si>
  <si>
    <t>Final piala Dunia ter edan iki ü´£</t>
  </si>
  <si>
    <t>final piala dunia ter edan iki</t>
  </si>
  <si>
    <t>['final', 'piala', 'dunia', 'ter', 'edan', 'iki']</t>
  </si>
  <si>
    <t>ini baru final piala dunia !!</t>
  </si>
  <si>
    <t>ini baru final piala dunia</t>
  </si>
  <si>
    <t>['baru', 'final', 'piala', 'dunia']</t>
  </si>
  <si>
    <t>final piala dunia terbaik anjeengg ü§ü</t>
  </si>
  <si>
    <t>final piala dunia terbaik anjeengg</t>
  </si>
  <si>
    <t>['final', 'piala', 'dunia', 'terbaik', 'anjeengg']</t>
  </si>
  <si>
    <t>Gila gila gila, sejak nonton final piala dunia tahun 2002, final ini yg terbaik. Gokss!</t>
  </si>
  <si>
    <t>gila gila gila sejak nonton final piala dunia tahun final ini terbaik gokss</t>
  </si>
  <si>
    <t>['gila', 'gila', 'gila', 'sejak', 'nonton', 'final', 'piala', 'dunia', 'tahun', 'final', 'terbaik', 'gokss']</t>
  </si>
  <si>
    <t>Kondisi terkini Penonton final piala dunia :  https://t.co/G5qTkJ97Tr</t>
  </si>
  <si>
    <t>kondisi terkini penonton final piala dunia</t>
  </si>
  <si>
    <t>['kondisi', 'terkini', 'penonton', 'final', 'piala', 'dunia']</t>
  </si>
  <si>
    <t>Final piala dunia paling gokilll</t>
  </si>
  <si>
    <t>final piala dunia paling gokilll</t>
  </si>
  <si>
    <t>['final', 'piala', 'dunia', 'paling', 'gokilll']</t>
  </si>
  <si>
    <t>Final paling seru sepanjang sejarah piala dunia asli no debat  https://t.co/96XwCWftPk</t>
  </si>
  <si>
    <t>final paling seru sepanjang sejarah piala dunia asli debat</t>
  </si>
  <si>
    <t>['final', 'paling', 'seru', 'sepanjang', 'sejarah', 'piala', 'dunia', 'asli', 'debat']</t>
  </si>
  <si>
    <t>Sumpah epik final piala dunia kali niü§Ø</t>
  </si>
  <si>
    <t>sumpah epik final piala dunia kali</t>
  </si>
  <si>
    <t>['sumpah', 'epik', 'final', 'piala', 'dunia', 'kali']</t>
  </si>
  <si>
    <t>Final Piala Dunia terbaik, salah satu pertandingan final sepakbola terhebat sepanjang masa.</t>
  </si>
  <si>
    <t>final piala dunia terbaik salah satu pertandingan final sepakbola terhebat sepanjang masa</t>
  </si>
  <si>
    <t>['final', 'piala', 'dunia', 'terbaik', 'salah', 'satu', 'pertandingan', 'final', 'sepakbola', 'terhebat', 'sepanjang', 'masa']</t>
  </si>
  <si>
    <t>Final Piala Dunia 2022 Argentina 3 - 3 Mbappe (France). Dan diakhiri dengan Adu Penalty.</t>
  </si>
  <si>
    <t>final piala dunia argentina mbappe france dan diakhiri dengan adu penalty</t>
  </si>
  <si>
    <t>['final', 'piala', 'dunia', 'argentina', 'mbappe', 'france', 'diakhiri', 'adu', 'penalty']</t>
  </si>
  <si>
    <t>Dari nonton final piala dunia 2002 sampai 2022, tahun ini yg paling seru</t>
  </si>
  <si>
    <t>dari nonton final piala dunia sampai tahun ini paling seru</t>
  </si>
  <si>
    <t>['nonton', 'final', 'piala', 'dunia', 'tahun', 'paling', 'seru']</t>
  </si>
  <si>
    <t>Terakhir kali ada adu penalti di final Piala Dunia penyerang botak asal Prancis jadi satu-satunya yang gagal.</t>
  </si>
  <si>
    <t>terakhir kali ada adu penalti final piala dunia penyerang botak asal prancis jadi satu satunya yang gagal</t>
  </si>
  <si>
    <t>['terakhir', 'kali', 'adu', 'penalti', 'final', 'piala', 'dunia', 'penyerang', 'botak', 'asal', 'prancis', 'jadi', 'satu', 'satunya', 'gagal']</t>
  </si>
  <si>
    <t>FINAL PIALA DUNIA PALING SERU INI MAH WKWKWK</t>
  </si>
  <si>
    <t>final piala dunia paling seru ini mah wkwkwk</t>
  </si>
  <si>
    <t>['final', 'piala', 'dunia', 'paling', 'seru', 'mah', 'wkwkwk']</t>
  </si>
  <si>
    <t>BESOK SENIN COY MON MAAP TIDUR GAKSIE MALAH MANTENGIN FINAL PIALA DUNIA üò≠üôèüèª</t>
  </si>
  <si>
    <t>besok senin coy mon maap tidur gaksie malah mantengin final piala dunia</t>
  </si>
  <si>
    <t>['besok', 'senin', 'coy', 'mon', 'maap', 'tidur', 'gaksie', 'malah', 'mantengin', 'final', 'piala', 'dunia']</t>
  </si>
  <si>
    <t>120 menit berakhir imbang 3-3. Final Piala Dunia terbaik sepanjang masa? üî•  Perancis &amp;amp; Argentina sama kuat.  ADU PENALTY, SIAPKAN JANTUNG KLEAN  #FIFAWorldCup</t>
  </si>
  <si>
    <t>menit berakhir imbang final piala dunia terbaik sepanjang masa perancis argentina sama kuat adu penalty siapkan jantung klean</t>
  </si>
  <si>
    <t>['menit', 'berakhir', 'imbang', 'final', 'piala', 'dunia', 'terbaik', 'sepanjang', 'masa', 'perancis', 'argentina', 'sama', 'kuat', 'adu', 'penalty', 'siapkan', 'jantung', 'klean']</t>
  </si>
  <si>
    <t>Ini baru final piala dunia weh üò≠üò≠üò≠üò≠</t>
  </si>
  <si>
    <t>ini baru final piala dunia weh</t>
  </si>
  <si>
    <t>['baru', 'final', 'piala', 'dunia', 'weh']</t>
  </si>
  <si>
    <t>Final tersedap, sepanjang menonton Piala Dunia.</t>
  </si>
  <si>
    <t>final tersedap sepanjang menonton piala dunia</t>
  </si>
  <si>
    <t>['final', 'tersedap', 'sepanjang', 'menonton', 'piala', 'dunia']</t>
  </si>
  <si>
    <t>@registaco Karna ini piala dunia, bener!!!! Di bawah itu ada beberapa final &amp;amp; semifinal ucl</t>
  </si>
  <si>
    <t>karna ini piala dunia bener bawah itu ada beberapa final semifinal ucl</t>
  </si>
  <si>
    <t>['karna', 'piala', 'dunia', 'benar', 'bawah', 'beberapa', 'final', 'semifinal', 'ucl']</t>
  </si>
  <si>
    <t>tapi jujur saja rating yang paling tepat untuk final piala dunia ini adalah  terima kasih / 10</t>
  </si>
  <si>
    <t>tapi jujur saja rating yang paling tepat untuk final piala dunia ini adalah terima kasih</t>
  </si>
  <si>
    <t>['jujur', 'rating', 'paling', 'tepat', 'final', 'piala', 'dunia', 'terima', 'kasih']</t>
  </si>
  <si>
    <t>Final kedua terseru selama gue nonton piala dunia</t>
  </si>
  <si>
    <t>final kedua terseru selama gue nonton piala dunia</t>
  </si>
  <si>
    <t>['final', 'kedua', 'terseru', 'selama', 'gue', 'nonton', 'piala', 'dunia']</t>
  </si>
  <si>
    <t>Ini kelass dunia dan emg final piala dunia #FIFAWorldCup</t>
  </si>
  <si>
    <t>ini kelass dunia dan emg final piala dunia</t>
  </si>
  <si>
    <t>['kelass', 'dunia', 'memang', 'final', 'piala', 'dunia']</t>
  </si>
  <si>
    <t>FINAL PIALA DUNIA TERSERU SELAMA YANG PERNAH DILIHAT, EDYAANNNN</t>
  </si>
  <si>
    <t>final piala dunia terseru selama yang pernah dilihat edyaannnn</t>
  </si>
  <si>
    <t>['final', 'piala', 'dunia', 'terseru', 'selama', 'pernah', 'dilihat', 'edyaannnn']</t>
  </si>
  <si>
    <t>Drama final piala dunia nggarai jantungan cokkkk</t>
  </si>
  <si>
    <t>drama final piala dunia nggarai jantungan cokkkk</t>
  </si>
  <si>
    <t>['drama', 'final', 'piala', 'dunia', 'nggarai', 'jantungan', 'cokkkk']</t>
  </si>
  <si>
    <t>TAMAT 120 MINIT MASA PERMAINAN  6 JARINGAN YANG GILA¬≤ DI FINAL PIALA DUNIA 2022. AKU PENAT!!!  JOM KITA KE SEPAKAN PENALTI ‚öΩ‚öΩ‚öΩ‚öΩ‚öΩ‚öΩ</t>
  </si>
  <si>
    <t>tamat minit masa permainan jaringan yang gila final piala dunia aku penat jom kita sepakan penalti</t>
  </si>
  <si>
    <t>['tamat', 'minit', 'masa', 'permainan', 'jaringan', 'gila', 'final', 'piala', 'dunia', 'aku', 'penat', 'jom', 'sepakan', 'penalti']</t>
  </si>
  <si>
    <t>Final piala dunia terbaik....gila jantunganü•∂</t>
  </si>
  <si>
    <t>final piala dunia terbaik gila jantungan</t>
  </si>
  <si>
    <t>['final', 'piala', 'dunia', 'terbaik', 'gila', 'jantungan']</t>
  </si>
  <si>
    <t>Nonton cuma di HP PIALA DUNIA 2022 final ü•≤  https://t.co/viNN0lhjF4</t>
  </si>
  <si>
    <t>nonton cuma piala dunia final</t>
  </si>
  <si>
    <t>['nonton', 'cuma', 'piala', 'dunia', 'final']</t>
  </si>
  <si>
    <t>GILA FINAL PIALA DUNIA TERBAIK YG PERNAH GW TONTON!!! NOW GO TO PENALTY SHOOTOUT!!!</t>
  </si>
  <si>
    <t>gila final piala dunia terbaik pernah tonton now penalty shootout</t>
  </si>
  <si>
    <t>['gila', 'final', 'piala', 'dunia', 'terbaik', 'pernah', 'tonton', 'now', 'penalty', 'shootout']</t>
  </si>
  <si>
    <t>Final piala dunia terkereeennn!!!!! üòçüî•</t>
  </si>
  <si>
    <t>final piala dunia terkereeennn</t>
  </si>
  <si>
    <t>['final', 'piala', 'dunia', 'terkereeennn']</t>
  </si>
  <si>
    <t>Final piala Dunia terbaik semenjak nonton piala dunia 2002</t>
  </si>
  <si>
    <t>final piala dunia terbaik semenjak nonton piala dunia</t>
  </si>
  <si>
    <t>['final', 'piala', 'dunia', 'terbaik', 'semenjak', 'nonton', 'piala', 'dunia']</t>
  </si>
  <si>
    <t>&lt;FreqDist with 6 samples and 8 outcomes&gt;</t>
  </si>
  <si>
    <t>FINAL PIALA DUNIA PALING SERU YANG SELAMA INI W TONTON. NO DEBAT</t>
  </si>
  <si>
    <t>final piala dunia paling seru yang selama ini tonton debat</t>
  </si>
  <si>
    <t>['final', 'piala', 'dunia', 'paling', 'seru', 'selama', 'tonton', 'debat']</t>
  </si>
  <si>
    <t>Kylian Mbappe Cetak Tiga Gol di Final Piala Dunia 2022 di Qatar  https://t.co/mb1ewkFV79</t>
  </si>
  <si>
    <t>kylian mbappe cetak tiga gol final piala dunia qatar</t>
  </si>
  <si>
    <t>['kylian', 'mbappe', 'cetak', 'tiga', 'gol', 'final', 'piala', 'dunia', 'qatar']</t>
  </si>
  <si>
    <t>Ti 2002 pertama kali nonton final piala dunia, 2022 ieu paling menarik sih</t>
  </si>
  <si>
    <t>pertama kali nonton final piala dunia ieu paling menarik sih</t>
  </si>
  <si>
    <t>['pertama', 'kali', 'nonton', 'final', 'piala', 'dunia', 'ieu', 'paling', 'menarik']</t>
  </si>
  <si>
    <t>MULEEESSSSSSSS BGTTT ENGAPPP BGT EUY GILA FINAL PIALA DUNIA TERSERUUU</t>
  </si>
  <si>
    <t>muleeessssssss bgttt engappp bgt euy gila final piala dunia terseruuu</t>
  </si>
  <si>
    <t>['muleeessssssss', 'bgttt', 'engappp', 'banget', 'euy', 'gila', 'final', 'piala', 'dunia', 'terseruuu']</t>
  </si>
  <si>
    <t>Nonton final dari 1978, inilah final Piala Dunia terbaik sepanjang sejarah yang pernah saya nonton.. Siapapun juara lewat adu penalti tak merubah kualitas partai final ini.</t>
  </si>
  <si>
    <t>nonton final dari inilah final piala dunia terbaik sepanjang sejarah yang pernah saya nonton siapapun juara lewat adu penalti tak merubah kualitas partai final ini</t>
  </si>
  <si>
    <t>['nonton', 'final', 'inilah', 'final', 'piala', 'dunia', 'terbaik', 'sepanjang', 'sejarah', 'pernah', 'nonton', 'siapapun', 'juara', 'lewat', 'adu', 'penalti', 'tak', 'merubah', 'kualitas', 'partai', 'final']</t>
  </si>
  <si>
    <t>ini final piala dunia apa konser seventeen kok gakelar2</t>
  </si>
  <si>
    <t>ini final piala dunia apa konser seventeen kok gakelar</t>
  </si>
  <si>
    <t>['final', 'piala', 'dunia', 'apa', 'konser', 'seventeen', 'kok', 'gakelar']</t>
  </si>
  <si>
    <t>Adu penalti. Seperti final piala dunia 2006.</t>
  </si>
  <si>
    <t>adu penalti seperti final piala dunia</t>
  </si>
  <si>
    <t>['adu', 'penalti', 'final', 'piala', 'dunia']</t>
  </si>
  <si>
    <t>Gila seru banget final piala dunia thn ini</t>
  </si>
  <si>
    <t>gila seru banget final piala dunia thn ini</t>
  </si>
  <si>
    <t>['gila', 'seru', 'banget', 'final', 'piala', 'dunia', 'thn']</t>
  </si>
  <si>
    <t>Final Piala Dunia terbangkeeee</t>
  </si>
  <si>
    <t>final piala dunia terbangkeeee</t>
  </si>
  <si>
    <t>['final', 'piala', 'dunia', 'terbangkeeee']</t>
  </si>
  <si>
    <t>Salah satu final Piala Dunia paling seruuu</t>
  </si>
  <si>
    <t>salah satu final piala dunia paling seruuu</t>
  </si>
  <si>
    <t>['salah', 'satu', 'final', 'piala', 'dunia', 'paling', 'seruuu']</t>
  </si>
  <si>
    <t>Ibuk'e mbapee iku jan'e nyidam opo sih kok suangar ngene, umur 23 tahun hatrick ng final Piala Dunia 2022</t>
  </si>
  <si>
    <t>ibuk mbapee iku jan nyidam opo sih kok suangar ngene umur tahun hatrick final piala dunia</t>
  </si>
  <si>
    <t>['ibuk', 'mbapee', 'iku', 'jan', 'nyidam', 'opo', 'kok', 'suangar', 'ngene', 'umur', 'tahun', 'hatrick', 'final', 'piala', 'dunia']</t>
  </si>
  <si>
    <t>Kayaknya ini final piala dunia paling dramatis yang pernah aku tonton</t>
  </si>
  <si>
    <t>kayaknya ini final piala dunia paling dramatis yang pernah aku tonton</t>
  </si>
  <si>
    <t>['kayaknya', 'final', 'piala', 'dunia', 'paling', 'dramatis', 'pernah', 'aku', 'tonton']</t>
  </si>
  <si>
    <t>Final piala dunia 2022 pertemuan goat lama versu (calon) goat baruüî•üî•</t>
  </si>
  <si>
    <t>final piala dunia pertemuan goat lama versu calon goat baru</t>
  </si>
  <si>
    <t>['final', 'piala', 'dunia', 'pertemuan', 'goat', 'lama', 'versu', 'calon', 'goat', 'baru']</t>
  </si>
  <si>
    <t>@FaktaSepakbola Savenya Casillas final Piala Dunia 2010</t>
  </si>
  <si>
    <t>savenya casillas final piala dunia</t>
  </si>
  <si>
    <t>['savenya', 'casillas', 'final', 'piala', 'dunia']</t>
  </si>
  <si>
    <t>Siapapun yang menang, ini final piala dunia paling seru yg pernah gue tonton.</t>
  </si>
  <si>
    <t>siapapun yang menang ini final piala dunia paling seru pernah gue tonton</t>
  </si>
  <si>
    <t>['siapapun', 'menang', 'final', 'piala', 'dunia', 'paling', 'seru', 'pernah', 'gue', 'tonton']</t>
  </si>
  <si>
    <t>Dua2nya layak menang. Seimbang bener gila. Kapan ya final piala dunia terakhir se-setara ini?</t>
  </si>
  <si>
    <t>dua nya layak menang seimbang bener gila kapan final piala dunia terakhir setara ini</t>
  </si>
  <si>
    <t>['layak', 'menang', 'seimbang', 'benar', 'gila', 'kapan', 'final', 'piala', 'dunia', 'terakhir', 'setara']</t>
  </si>
  <si>
    <t>Final terbaik piala dunia menurutku üëè</t>
  </si>
  <si>
    <t>final terbaik piala dunia menurutku</t>
  </si>
  <si>
    <t>['final', 'terbaik', 'piala', 'dunia', 'menurutku']</t>
  </si>
  <si>
    <t>Final Piala Dunia paling anjay gurijay üî•üî•</t>
  </si>
  <si>
    <t>final piala dunia paling anjay gurijay</t>
  </si>
  <si>
    <t>['final', 'piala', 'dunia', 'paling', 'anjay', 'gurijay']</t>
  </si>
  <si>
    <t>Drama final piala dunia</t>
  </si>
  <si>
    <t>drama final piala dunia</t>
  </si>
  <si>
    <t>['drama', 'final', 'piala', 'dunia']</t>
  </si>
  <si>
    <t>Siapapun juaranya, ini final piala dunia seru parah!!</t>
  </si>
  <si>
    <t>siapapun juaranya ini final piala dunia seru parah</t>
  </si>
  <si>
    <t>['siapapun', 'juaranya', 'final', 'piala', 'dunia', 'seru', 'parah']</t>
  </si>
  <si>
    <t>Salah satu final Piala Dunia terbaik yg w tonton #FIFAWorldCup #ARGFRA</t>
  </si>
  <si>
    <t>salah satu final piala dunia terbaik tonton</t>
  </si>
  <si>
    <t>['salah', 'satu', 'final', 'piala', 'dunia', 'terbaik', 'tonton']</t>
  </si>
  <si>
    <t>Gilak final piala dunia kali ini</t>
  </si>
  <si>
    <t>gilak final piala dunia kali ini</t>
  </si>
  <si>
    <t>['gilak', 'final', 'piala', 'dunia', 'kali']</t>
  </si>
  <si>
    <t>Siapapun juaranya, ini final Piala Dunia Terbaik ü•≥ü•≥ü•≥</t>
  </si>
  <si>
    <t>siapapun juaranya ini final piala dunia terbaik</t>
  </si>
  <si>
    <t>['siapapun', 'juaranya', 'final', 'piala', 'dunia', 'terbaik']</t>
  </si>
  <si>
    <t>Final Piala Dunia paling seru selama iki..</t>
  </si>
  <si>
    <t>final piala dunia paling seru selama iki</t>
  </si>
  <si>
    <t>['final', 'piala', 'dunia', 'paling', 'seru', 'selama', 'iki']</t>
  </si>
  <si>
    <t>Gilaaaaa kereeeeen wauw final piala dunia terseru!!!!  https://t.co/QDE2nhZy3V</t>
  </si>
  <si>
    <t>gilaaaaa kereeeeen wauw final piala dunia terseru</t>
  </si>
  <si>
    <t>['gilaaaaa', 'kereeeeen', 'wauw', 'final', 'piala', 'dunia', 'terseru']</t>
  </si>
  <si>
    <t>GILAK FINAL PIALADUNIA 2022üèÜ</t>
  </si>
  <si>
    <t>gilak final pialadunia</t>
  </si>
  <si>
    <t>['gilak', 'final', 'pialadunia']</t>
  </si>
  <si>
    <t>Nonton final piala dunia 2022 rasane koyo nonton final NBA 2016.</t>
  </si>
  <si>
    <t>nonton final piala dunia rasane koyo nonton final nba</t>
  </si>
  <si>
    <t>['nonton', 'final', 'piala', 'dunia', 'rasane', 'koyo', 'nonton', 'final', 'nba']</t>
  </si>
  <si>
    <t>&lt;FreqDist with 7 samples and 9 outcomes&gt;</t>
  </si>
  <si>
    <t>Hanya dua orang dalam sejarah Piala Dunia yang mencetak hat-trick di final:  üè¥Û†ÅßÛ†Å¢Û†Å•Û†ÅÆÛ†ÅßÛ†Åø Sir Geoff Hurst (1966) üá´üá∑ Kylian Mbappe (2022)  https://t.co/UWSMD0BXRP</t>
  </si>
  <si>
    <t>hanya dua orang dalam sejarah piala dunia yang mencetak hat trick final sir geoff hurst kylian mbappe</t>
  </si>
  <si>
    <t>['orang', 'sejarah', 'piala', 'dunia', 'mencetak', 'hat', 'trick', 'final', 'sir', 'geoff', 'hurst', 'kylian', 'mbappe']</t>
  </si>
  <si>
    <t>jantung capek bgt nonton final piala dunia</t>
  </si>
  <si>
    <t>['jantung', 'lelah', 'banget', 'nonton', 'final', 'piala', 'dunia']</t>
  </si>
  <si>
    <t>Final piala dunia paling gokil</t>
  </si>
  <si>
    <t>final piala dunia paling gokil</t>
  </si>
  <si>
    <t>['final', 'piala', 'dunia', 'paling', 'gila']</t>
  </si>
  <si>
    <t>FINAL PIALA DUNIA TERBAIK SIH INI SUMPAAAH</t>
  </si>
  <si>
    <t>final piala dunia terbaik sih ini sumpaaah</t>
  </si>
  <si>
    <t>['final', 'piala', 'dunia', 'terbaik', 'sumpaaah']</t>
  </si>
  <si>
    <t>Gilakkk final piala dunia seru bangettt masio paketanku sekaratüò≠</t>
  </si>
  <si>
    <t>gilakkk final piala dunia seru bangettt masio paketanku sekarat</t>
  </si>
  <si>
    <t>['gilakkk', 'final', 'piala', 'dunia', 'seru', 'bangettt', 'masio', 'paketanku', 'sekarat']</t>
  </si>
  <si>
    <t>Piala dunia terburuk pasti. Final terbaik JELAS!!!</t>
  </si>
  <si>
    <t>piala dunia terburuk pasti final terbaik jelas</t>
  </si>
  <si>
    <t>['piala', 'dunia', 'terburuk', 'final', 'terbaik', 'jelas']</t>
  </si>
  <si>
    <t>Mbappe, 23 tahun bukan usia puncak nya maennya udah kaya gini di final piala dunia</t>
  </si>
  <si>
    <t>mbappe tahun bukan usia puncak nya maennya udah kaya gini final piala dunia</t>
  </si>
  <si>
    <t>['mbappe', 'tahun', 'bukan', 'usia', 'puncak', 'maennya', 'udah', 'kaya', 'gini', 'final', 'piala', 'dunia']</t>
  </si>
  <si>
    <t>Final piala dunia ter-emboh ü§£ü§£ü§£ü§£ü§£</t>
  </si>
  <si>
    <t>final piala dunia ter emboh</t>
  </si>
  <si>
    <t>['final', 'piala', 'dunia', 'ter', 'emboh']</t>
  </si>
  <si>
    <t>FINAL PIALA DUNIA TERSERUUUUUUUUUU</t>
  </si>
  <si>
    <t>final piala dunia terseruuuuuuuuuu</t>
  </si>
  <si>
    <t>['final', 'piala', 'dunia', 'terseruuuuuuuuuu']</t>
  </si>
  <si>
    <t>Komentatornya aja sampe bilang ABSOLUTELY MAGNIFICENT!!! Ini final piala dunia terkeren sih yg pernah aku tonton, dan pasti akan berbekas pengalaman ini  Milyaran orang di dunia sangat terhibur!!!</t>
  </si>
  <si>
    <t>komentatornya aja sampe bilang absolutely magnificent ini final piala dunia terkeren sih pernah aku tonton dan pasti akan berbekas pengalaman ini milyaran orang dunia sangat terhibur</t>
  </si>
  <si>
    <t>['komentatornya', 'sampai', 'absolutely', 'magnificent', 'final', 'piala', 'dunia', 'terkeren', 'pernah', 'aku', 'tonton', 'berbekas', 'pengalaman', 'milyaran', 'orang', 'dunia', 'sangat', 'terhibur']</t>
  </si>
  <si>
    <t>Adu penalti wkwk final piala dunia adu penalti üòÜ</t>
  </si>
  <si>
    <t>adu penalti wkwk final piala dunia adu penalti</t>
  </si>
  <si>
    <t>['adu', 'penalti', 'final', 'piala', 'dunia', 'adu', 'penalti']</t>
  </si>
  <si>
    <t>Gila seru parah final Piala Dunia kali ini ü§Øüî•</t>
  </si>
  <si>
    <t>gila seru parah final piala dunia kali ini</t>
  </si>
  <si>
    <t>['gila', 'seru', 'parah', 'final', 'piala', 'dunia', 'kali']</t>
  </si>
  <si>
    <t>Final terbaik Piala Dunia yg pernah aku tonton üëè</t>
  </si>
  <si>
    <t>final terbaik piala dunia pernah aku tonton</t>
  </si>
  <si>
    <t>['final', 'terbaik', 'piala', 'dunia', 'pernah', 'aku', 'tonton']</t>
  </si>
  <si>
    <t>Gilakk.. Final Piala Dunia terseru</t>
  </si>
  <si>
    <t>gilakk final piala dunia terseru</t>
  </si>
  <si>
    <t>['gilakk', 'final', 'piala', 'dunia', 'terseru']</t>
  </si>
  <si>
    <t>Kylian Mbappe mencetak hat-trick di final Piala Dunia 2022. Ia mencetak gol lagi dari penalti untuk membuat skor Argentina vs Prancis menjadi imbang 3-3.  https://t.co/IjLYqkMWhi</t>
  </si>
  <si>
    <t>Final Piala Dunia ter-epik!</t>
  </si>
  <si>
    <t>final piala dunia ter epik</t>
  </si>
  <si>
    <t>['final', 'piala', 'dunia', 'ter', 'epik']</t>
  </si>
  <si>
    <t>dua puluh sekian tahun gue hidup, baru kali ini nonton final piala dunia seperti ini, what a match üëèüèΩüëèüèΩüëèüèΩ</t>
  </si>
  <si>
    <t>dua puluh sekian tahun gue hidup baru kali ini nonton final piala dunia seperti ini what match</t>
  </si>
  <si>
    <t>['puluh', 'sekian', 'tahun', 'gue', 'hidup', 'baru', 'kali', 'nonton', 'final', 'piala', 'dunia', 'what', 'match']</t>
  </si>
  <si>
    <t>Barulah final piala dunia</t>
  </si>
  <si>
    <t>barulah final piala dunia</t>
  </si>
  <si>
    <t>['barulah', 'final', 'piala', 'dunia']</t>
  </si>
  <si>
    <t>Final Piala Dunia terbaik</t>
  </si>
  <si>
    <t>Final terbaik piala dunia ini fix no debat</t>
  </si>
  <si>
    <t>final terbaik piala dunia ini fix debat</t>
  </si>
  <si>
    <t>['final', 'terbaik', 'piala', 'dunia', 'fix', 'debat']</t>
  </si>
  <si>
    <t>Final piala dunia paling seru.</t>
  </si>
  <si>
    <t>Final Piala Dunia Terbaik ini mah</t>
  </si>
  <si>
    <t>final piala dunia terbaik ini mah</t>
  </si>
  <si>
    <t>['final', 'piala', 'dunia', 'terbaik', 'mah']</t>
  </si>
  <si>
    <t>Final Piala Dunia terbaik sepanjang masa</t>
  </si>
  <si>
    <t>Panitia piala dunia mbok ya kalo pertandingan final malem minggu aja kedepannya....</t>
  </si>
  <si>
    <t>panitia piala dunia mbok kalo pertandingan final malem minggu aja kedepannya</t>
  </si>
  <si>
    <t>['panitia', 'piala', 'dunia', 'mbok', 'pertandingan', 'final', 'malem', 'minggu', 'kedepannya']</t>
  </si>
  <si>
    <t>final piala dunia terEpic nih</t>
  </si>
  <si>
    <t>final piala dunia terepic nih</t>
  </si>
  <si>
    <t>['final', 'piala', 'dunia', 'terepic']</t>
  </si>
  <si>
    <t>serubangattt dah kayak final piala pildun dunia aj!</t>
  </si>
  <si>
    <t>serubangattt dah kayak final piala pildun dunia</t>
  </si>
  <si>
    <t>['serubangattt', 'dah', 'seperti', 'final', 'piala', 'piala dunia', 'dunia']</t>
  </si>
  <si>
    <t>Jadi inget nonton final piala dunia 2006 ujungnya penalti üò≠üò≠</t>
  </si>
  <si>
    <t>jadi inget nonton final piala dunia ujungnya penalti</t>
  </si>
  <si>
    <t>['jadi', 'inget', 'nonton', 'final', 'piala', 'dunia', 'ujungnya', 'penalti']</t>
  </si>
  <si>
    <t>seruu banget nih final piala dunia</t>
  </si>
  <si>
    <t>['seruu', 'banget', 'final', 'piala', 'dunia']</t>
  </si>
  <si>
    <t>Final Piala Dunia terbaik, terbaik, terbaik.</t>
  </si>
  <si>
    <t>final piala dunia terbaik terbaik terbaik</t>
  </si>
  <si>
    <t>['final', 'piala', 'dunia', 'terbaik', 'terbaik', 'terbaik']</t>
  </si>
  <si>
    <t>&lt;FreqDist with 4 samples and 6 outcomes&gt;</t>
  </si>
  <si>
    <t>FINAL PIALA DUNIA TER POKOKNYA DEH !!</t>
  </si>
  <si>
    <t>final piala dunia ter pokoknya deh</t>
  </si>
  <si>
    <t>['final', 'piala', 'dunia', 'ter', 'pokoknya', 'deh']</t>
  </si>
  <si>
    <t>@arzkrh Pertamakali ni final piala dunia ada yg hatrick. Juara gak ya adu pinalty</t>
  </si>
  <si>
    <t>pertamakali final piala dunia ada hatrick juara gak adu pinalty</t>
  </si>
  <si>
    <t>['pertamakali', 'final', 'piala', 'dunia', 'hatrick', 'juara', 'adu', 'pinalty']</t>
  </si>
  <si>
    <t>ini siapapun pemenangnya mau argentina atau prancis  mereka bener2 layak, final piala dunia terseru üò≠</t>
  </si>
  <si>
    <t>ini siapapun pemenangnya mau argentina atau prancis mereka bener layak final piala dunia terseru</t>
  </si>
  <si>
    <t>['siapapun', 'pemenangnya', 'mau', 'argentina', 'prancis', 'benar', 'layak', 'final', 'piala', 'dunia', 'terseru']</t>
  </si>
  <si>
    <t>terakhir pinalti di final piala dunia 2006</t>
  </si>
  <si>
    <t>terakhir pinalti final piala dunia</t>
  </si>
  <si>
    <t>['terakhir', 'penalti', 'final', 'piala', 'dunia']</t>
  </si>
  <si>
    <t>Final edisi piala dunia terbaik sih ini</t>
  </si>
  <si>
    <t>final edisi piala dunia terbaik sih ini</t>
  </si>
  <si>
    <t>['final', 'edisi', 'piala', 'dunia', 'terbaik']</t>
  </si>
  <si>
    <t>Sangking pusing mikirin idup smp enggan nonton final piala dunia. Meski takut fomo.</t>
  </si>
  <si>
    <t>sangking pusing mikirin idup smp enggan nonton final piala dunia meski takut fomo</t>
  </si>
  <si>
    <t>['sangking', 'pusing', 'mikirin', 'idup', 'smp', 'enggan', 'nonton', 'final', 'piala', 'dunia', 'meski', 'takut', 'fomo']</t>
  </si>
  <si>
    <t>yang judi bola piala dunia final:  https://t.co/PF2bTukJsh</t>
  </si>
  <si>
    <t>yang judi bola piala dunia final</t>
  </si>
  <si>
    <t>['judi', 'bola', 'piala', 'dunia', 'final']</t>
  </si>
  <si>
    <t>SPONSOR FINAL PIALA DUNIA  https://t.co/mPOgzYCaZC</t>
  </si>
  <si>
    <t>sponsor final piala dunia</t>
  </si>
  <si>
    <t>['sponsor', 'final', 'piala', 'dunia']</t>
  </si>
  <si>
    <t>cape anjing liat final piala dunia</t>
  </si>
  <si>
    <t>['lelah', 'anjing', 'lihat', 'final', 'piala', 'dunia']</t>
  </si>
  <si>
    <t>Final piala dunia ter dag dig dug</t>
  </si>
  <si>
    <t>final piala dunia ter dag dig dug</t>
  </si>
  <si>
    <t>['final', 'piala', 'dunia', 'ter', 'dag', 'dig', 'dug']</t>
  </si>
  <si>
    <t>Begetar liat final piala dunia Qatar cuyy</t>
  </si>
  <si>
    <t>begetar liat final piala dunia qatar cuyy</t>
  </si>
  <si>
    <t>['begetar', 'lihat', 'final', 'piala', 'dunia', 'qatar', 'cuyy']</t>
  </si>
  <si>
    <t>Gila gila gilaaaa!!! Final terbaik piala dunia yang pernah gua tonton ini üî•</t>
  </si>
  <si>
    <t>gila gila gilaaaa final terbaik piala dunia yang pernah gua tonton ini</t>
  </si>
  <si>
    <t>['gila', 'gila', 'gilaaaa', 'final', 'terbaik', 'piala', 'dunia', 'pernah', 'gua', 'tonton']</t>
  </si>
  <si>
    <t>Final piala dunia paling drama üòÇ Sampai akhir juaranya belum pasti</t>
  </si>
  <si>
    <t>final piala dunia paling drama sampai akhir juaranya belum pasti</t>
  </si>
  <si>
    <t>['final', 'piala', 'dunia', 'paling', 'drama', 'akhir', 'juaranya']</t>
  </si>
  <si>
    <t>final piala dunia sudah disetting sama merk esgrem -rek üò∂üò∂üò∂  https://t.co/3yh1a1DsvN</t>
  </si>
  <si>
    <t>final piala dunia sudah disetting sama merk esgrem rek</t>
  </si>
  <si>
    <t>['final', 'piala', 'dunia', 'disetting', 'sama', 'merk', 'esgrem', 'rek']</t>
  </si>
  <si>
    <t>Final piala dunia paling gayeng</t>
  </si>
  <si>
    <t>final piala dunia paling gayeng</t>
  </si>
  <si>
    <t>['final', 'piala', 'dunia', 'paling', 'gayeng']</t>
  </si>
  <si>
    <t>Hattrick terakhir di final Piala Dunia dicetak oleh pemain Inggris, Geoff Hurst, tahun 1966.  Inggris vs Jerman Barat  https://t.co/USwaQn1YSU</t>
  </si>
  <si>
    <t>hattrick terakhir final piala dunia dicetak oleh pemain inggris geoff hurst tahun inggris jerman barat</t>
  </si>
  <si>
    <t>['hattrick', 'terakhir', 'final', 'piala', 'dunia', 'dicetak', 'pemain', 'inggris', 'geoff', 'hurst', 'tahun', 'inggris', 'jerman', 'barat']</t>
  </si>
  <si>
    <t>Serunya udah kek final piala dunia aja</t>
  </si>
  <si>
    <t>serunya udah kek final piala dunia aja</t>
  </si>
  <si>
    <t>['serunya', 'udah', 'kek', 'final', 'piala', 'dunia']</t>
  </si>
  <si>
    <t>FINAL PIALA DUNIA PALING SERU INI MAH</t>
  </si>
  <si>
    <t>final piala dunia paling seru ini mah</t>
  </si>
  <si>
    <t>['final', 'piala', 'dunia', 'paling', 'seru', 'mah']</t>
  </si>
  <si>
    <t>WHAT A MATCHHHHH FINAL PIALA DUNIA PALING SERU ANJINKKKK</t>
  </si>
  <si>
    <t>what matchhhhh final piala dunia paling seru anjinkkkk</t>
  </si>
  <si>
    <t>['what', 'matchhhhh', 'final', 'piala', 'dunia', 'paling', 'seru', 'anjinkkkk']</t>
  </si>
  <si>
    <t>Anjing, ini final piala dunia paleng seru yang b nonton sampe saat ini üëçüëçüëçüî•üî•üî•üî•</t>
  </si>
  <si>
    <t>anjing ini final piala dunia paleng seru yang nonton sampe saat ini</t>
  </si>
  <si>
    <t>['anjing', 'final', 'piala', 'dunia', 'paleng', 'seru', 'nonton', 'sampai']</t>
  </si>
  <si>
    <t>Adu pinaltian.... Final Piala Dunia terbaik, EPIC !!!!!</t>
  </si>
  <si>
    <t>adu pinaltian final piala dunia terbaik epic</t>
  </si>
  <si>
    <t>['adu', 'pinaltian', 'final', 'piala', 'dunia', 'terbaik', 'epic']</t>
  </si>
  <si>
    <t>@idextratime Apapun hasilnya, menurut gw ini salah satu pertandingan Final Piala Dunia terbaik sepanjang masa</t>
  </si>
  <si>
    <t>apapun hasilnya menurut ini salah satu pertandingan final piala dunia terbaik sepanjang masa</t>
  </si>
  <si>
    <t>['apapun', 'hasilnya', 'salah', 'satu', 'pertandingan', 'final', 'piala', 'dunia', 'terbaik', 'sepanjang', 'masa']</t>
  </si>
  <si>
    <t>PENALTI, PENALTI  Argentina 3:3 Perancis  Link Live Streaming Argentina vs Prancis Malam Ini 22.00 WIB Final Piala Dunia 2022   https://t.co/Chp3ohc6Xp</t>
  </si>
  <si>
    <t>penalti penalti argentina perancis link live streaming argentina prancis malam ini wib final piala dunia</t>
  </si>
  <si>
    <t>['penalti', 'penalti', 'argentina', 'perancis', 'link', 'live', 'streaming', 'argentina', 'prancis', 'malam', 'wib', 'final', 'piala', 'dunia']</t>
  </si>
  <si>
    <t>Final piala dunia terbaik yang pernah saya tonton</t>
  </si>
  <si>
    <t>Yang lemah jantung, atau mnkin asma ngga usah nonton final piala dunia deh..</t>
  </si>
  <si>
    <t>yang lemah jantung atau mnkin asma ngga usah nonton final piala dunia deh</t>
  </si>
  <si>
    <t>['lemah', 'jantung', 'mnkin', 'asma', 'ngga', 'usah', 'nonton', 'final', 'piala', 'dunia', 'deh']</t>
  </si>
  <si>
    <t>Final Piala Dunia üî•üî•üî•üî•   Both team üî•üî•üî•üî•  Anjirlha Argentina Vs Perancis.. üòÇüî•üî•üî•</t>
  </si>
  <si>
    <t>final piala dunia both team anjirlha argentina perancis</t>
  </si>
  <si>
    <t>['final', 'piala', 'dunia', 'both', 'team', 'anjirlha', 'argentina', 'perancis']</t>
  </si>
  <si>
    <t>Aku akan menyesal jika tidak menonton final piala dunia ini, worth to watch, untung wis balik, shit</t>
  </si>
  <si>
    <t>aku akan menyesal jika tidak menonton final piala dunia ini worth watch untung wis balik shit</t>
  </si>
  <si>
    <t>['aku', 'menyesal', 'menonton', 'final', 'piala', 'dunia', 'worth', 'watch', 'untung', 'wis', 'balik', 'shit']</t>
  </si>
  <si>
    <t>Salting banget ini nonton final piala dunia~</t>
  </si>
  <si>
    <t>salting banget ini nonton final piala dunia</t>
  </si>
  <si>
    <t>['salting', 'banget', 'nonton', 'final', 'piala', 'dunia']</t>
  </si>
  <si>
    <t>Yang nonton aja capek banget. Apalagi yang main.  Final piala dunia terbaik ini.</t>
  </si>
  <si>
    <t>yang nonton aja capek banget apalagi yang main final piala dunia terbaik ini</t>
  </si>
  <si>
    <t>['nonton', 'lelah', 'banget', 'main', 'final', 'piala', 'dunia', 'terbaik']</t>
  </si>
  <si>
    <t>Piala Dunia 2022 Final Piala Dunia paling rame pokoknya ini üòéüòé</t>
  </si>
  <si>
    <t>piala dunia final piala dunia paling rame pokoknya ini</t>
  </si>
  <si>
    <t>['piala', 'dunia', 'final', 'piala', 'dunia', 'paling', 'ramai', 'pokoknya']</t>
  </si>
  <si>
    <t>final piala dunia yang worth it buat satu dunia</t>
  </si>
  <si>
    <t>final piala dunia yang worth buat satu dunia</t>
  </si>
  <si>
    <t>['final', 'piala', 'dunia', 'worth', 'buat', 'satu', 'dunia']</t>
  </si>
  <si>
    <t>Gila anjir final Piala Dunia terbaik sepanjang masa!!</t>
  </si>
  <si>
    <t>gila anjir final piala dunia terbaik sepanjang masa</t>
  </si>
  <si>
    <t>['gila', 'anjir', 'final', 'piala', 'dunia', 'terbaik', 'sepanjang', 'masa']</t>
  </si>
  <si>
    <t>final piala dunia paling gokss ‚úåüèª</t>
  </si>
  <si>
    <t>final piala dunia paling gokss</t>
  </si>
  <si>
    <t>['final', 'piala', 'dunia', 'paling', 'gokss']</t>
  </si>
  <si>
    <t>Pemuda Perindo Gelar Nobar Final Piala Dunia, Peserta: Ramai, Seru!   #Sindonews #BukanBeritaBiasa . https://t.co/aVAAoENNnv</t>
  </si>
  <si>
    <t>pemuda perindo gelar nobar final piala dunia peserta ramai seru</t>
  </si>
  <si>
    <t>['pemuda', 'perindo', 'gelar', 'nonton bareng', 'final', 'piala', 'dunia', 'peserta', 'ramai', 'seru']</t>
  </si>
  <si>
    <t>Bener bener pertandingan final piala dunia!</t>
  </si>
  <si>
    <t>bener bener pertandingan final piala dunia</t>
  </si>
  <si>
    <t>['benar', 'benar', 'pertandingan', 'final', 'piala', 'dunia']</t>
  </si>
  <si>
    <t>Final paling best dalam sejarah piala dunia! Siapa setuju? üî• #sharERA #FIFAWorldCup #Qatar2022</t>
  </si>
  <si>
    <t>final paling best dalam sejarah piala dunia siapa setuju</t>
  </si>
  <si>
    <t>['final', 'paling', 'best', 'sejarah', 'piala', 'dunia', 'siapa', 'setuju']</t>
  </si>
  <si>
    <t>Sengitt banget ini final piala dunia paling seru!!</t>
  </si>
  <si>
    <t>sengitt banget ini final piala dunia paling seru</t>
  </si>
  <si>
    <t>['sengitt', 'banget', 'final', 'piala', 'dunia', 'paling', 'seru']</t>
  </si>
  <si>
    <t>Sejak final piala dunia 2006-2022 semua pertandingan selalu masuk ke babak extra time.  Dua diantaranya berakhir lewat adu penalty, termasuk final piala dunia 2022. #FIFAWorldCup #WorldCup #ARGFRA  https://t.co/foSIj7smCy</t>
  </si>
  <si>
    <t>sejak final piala dunia semua pertandingan selalu masuk babak extra time dua diantaranya berakhir lewat adu penalty termasuk final piala dunia</t>
  </si>
  <si>
    <t>['sejak', 'final', 'piala', 'dunia', 'semua', 'pertandingan', 'selalu', 'masuk', 'babak', 'extra', 'time', 'diantaranya', 'berakhir', 'lewat', 'adu', 'penalty', 'termasuk', 'final', 'piala', 'dunia']</t>
  </si>
  <si>
    <t>Hat-trick di final piala dunia, bocah gendeng üëè</t>
  </si>
  <si>
    <t>hat trick final piala dunia bocah gendeng</t>
  </si>
  <si>
    <t>['hat', 'trick', 'final', 'piala', 'dunia', 'bocah', 'gendeng']</t>
  </si>
  <si>
    <t>Final Piala dunia paling seru !</t>
  </si>
  <si>
    <t>Final piala dunia terbaik dengan pemegang hak siar terburuk sepanjang masa @vidio</t>
  </si>
  <si>
    <t>final piala dunia terbaik dengan pemegang hak siar terburuk sepanjang masa</t>
  </si>
  <si>
    <t>['final', 'piala', 'dunia', 'terbaik', 'pemegang', 'hak', 'siar', 'terburuk', 'sepanjang', 'masa']</t>
  </si>
  <si>
    <t>Kalian yang menonton partai Final Piala Dunia 2022 ini adalah orang yang beruntung. Like jika itu satu dari kamu.</t>
  </si>
  <si>
    <t>kalian yang menonton partai final piala dunia ini adalah orang yang beruntung like jika itu satu dari kamu</t>
  </si>
  <si>
    <t>['kalian', 'menonton', 'partai', 'final', 'piala', 'dunia', 'orang', 'beruntung', 'like', 'satu', 'kamu']</t>
  </si>
  <si>
    <t>sepanjang nonton final piala dunia  https://t.co/cAJJBw5zgV</t>
  </si>
  <si>
    <t>sepanjang nonton final piala dunia</t>
  </si>
  <si>
    <t>['sepanjang', 'nonton', 'final', 'piala', 'dunia']</t>
  </si>
  <si>
    <t>final terseru selama piala dunia</t>
  </si>
  <si>
    <t>['final', 'terseru', 'selama', 'piala', 'dunia']</t>
  </si>
  <si>
    <t>Final piala Dunia ter seruuu on üî•üî•üî•</t>
  </si>
  <si>
    <t>final piala dunia ter seruuu</t>
  </si>
  <si>
    <t>['final', 'piala', 'dunia', 'ter', 'seruuu']</t>
  </si>
  <si>
    <t>FINAL PIALA DUNIA 2022 FINAL PALING SINTING üò≠üò≠</t>
  </si>
  <si>
    <t>final piala dunia final paling sinting</t>
  </si>
  <si>
    <t>['final', 'piala', 'dunia', 'final', 'paling', 'sinting']</t>
  </si>
  <si>
    <t>Final terbaik piala dunia!!!!</t>
  </si>
  <si>
    <t>Mbapee 23 tahun hattrick di final di piala dunia, saya 23 tahun ngapain?</t>
  </si>
  <si>
    <t>mbapee tahun hattrick final piala dunia saya tahun ngapain</t>
  </si>
  <si>
    <t>['mbapee', 'tahun', 'hattrick', 'final', 'piala', 'dunia', 'tahun', 'ngapain']</t>
  </si>
  <si>
    <t>Final piala dunia ini sumpah banyak banget plot twistnya. Seru banget! üòÇ  https://t.co/kJT5ST0Pm7</t>
  </si>
  <si>
    <t>final piala dunia ini sumpah banyak banget plot twistnya seru banget</t>
  </si>
  <si>
    <t>['final', 'piala', 'dunia', 'sumpah', 'banyak', 'banget', 'plot', 'twistnya', 'seru', 'banget']</t>
  </si>
  <si>
    <t>PENALTI YOK  Argentina 3:3 Perancis  Link Live Streaming Argentina vs Prancis Malam Ini 22.00 WIB Final Piala Dunia 2022   https://t.co/pCFidHZIyD</t>
  </si>
  <si>
    <t>penalti yok argentina perancis link live streaming argentina prancis malam ini wib final piala dunia</t>
  </si>
  <si>
    <t>['penalti', 'yok', 'argentina', 'perancis', 'link', 'live', 'streaming', 'argentina', 'prancis', 'malam', 'wib', 'final', 'piala', 'dunia']</t>
  </si>
  <si>
    <t>What A final üò≠üò≠ jantung ku mau copot liat kejutan mbappe sama messi üò≠üò≠ final piala dunia apa ini buat jantung mau copot . Skor 3-3 . All in france üôÇ ini pertandingan paling seru yg gue tonton üò≠üò≠  https://t.co/oh0pMAazCT</t>
  </si>
  <si>
    <t>what final jantung mau copot liat kejutan mbappe sama messi final piala dunia apa ini buat jantung mau copot skor all france ini pertandingan paling seru gue tonton</t>
  </si>
  <si>
    <t>['what', 'final', 'jantung', 'mau', 'copot', 'lihat', 'kejutan', 'mbappe', 'sama', 'messi', 'final', 'piala', 'dunia', 'apa', 'buat', 'jantung', 'mau', 'copot', 'skor', 'all', 'france', 'pertandingan', 'paling', 'seru', 'gue', 'tonton']</t>
  </si>
  <si>
    <t>Final Piala Dunia terbaik sihh ini</t>
  </si>
  <si>
    <t>final piala dunia terbaik sihh ini</t>
  </si>
  <si>
    <t>['final', 'piala', 'dunia', 'terbaik', 'sihh']</t>
  </si>
  <si>
    <t>Final Argentina vs Prancis, Skor dan Statistik Babak Kedua: Mbappe buat score 2-2, Final Piala Dunia Berjalan Imbang!  https://t.co/ceMaEYKBk7</t>
  </si>
  <si>
    <t>final argentina prancis skor dan statistik babak kedua mbappe buat score final piala dunia berjalan imbang</t>
  </si>
  <si>
    <t>['final', 'argentina', 'prancis', 'skor', 'statistik', 'babak', 'kedua', 'mbappe', 'buat', 'score', 'final', 'piala', 'dunia', 'berjalan', 'imbang']</t>
  </si>
  <si>
    <t>Gilaaa. Ini bener2 final piala dunia terbaik. Mbappe dan Messi sama2 nunjikin kalo mereka memang pemain2 bintang #FIFAWorldCup</t>
  </si>
  <si>
    <t>gilaaa ini bener final piala dunia terbaik mbappe dan messi sama nunjikin kalo mereka memang pemain bintang</t>
  </si>
  <si>
    <t>['gilaaa', 'benar', 'final', 'piala', 'dunia', 'terbaik', 'mbappe', 'messi', 'sama', 'nunjikin', 'memang', 'pemain', 'bintang']</t>
  </si>
  <si>
    <t>Nonton final Piala Dunia:</t>
  </si>
  <si>
    <t>Mbappe gilaaaa.... Final Piala Dunia 2022 tergila! SENGIT! Tahun ini bener-bener dah yeeee. My little kokoro just kennot üò≠</t>
  </si>
  <si>
    <t>mbappe gilaaaa final piala dunia tergila sengit tahun ini bener bener dah yeeee little kokoro just kennot</t>
  </si>
  <si>
    <t>['mbappe', 'gilaaaa', 'final', 'piala', 'dunia', 'tergila', 'sengit', 'tahun', 'benar', 'benar', 'dah', 'yeeee', 'little', 'kokoro', 'just', 'kennot']</t>
  </si>
  <si>
    <t>Kylian Mbappe mencetak hat-trick dalam laga Argentina vs Perancis di final Piala Dunia 2022. Skor kini imbang 3-3 memasuki menit ke-117 extra time!  https://t.co/LxViDxn2KI</t>
  </si>
  <si>
    <t>kylian mbappe mencetak hat trick dalam laga argentina perancis final piala dunia skor kini imbang memasuki menit extra time</t>
  </si>
  <si>
    <t>['kylian', 'mbappe', 'mencetak', 'hat', 'trick', 'laga', 'argentina', 'perancis', 'final', 'piala', 'dunia', 'skor', 'kini', 'imbang', 'memasuki', 'menit', 'extra', 'time']</t>
  </si>
  <si>
    <t>ampun,,deg deg gan gw sm nih final piala dunia,,üò©</t>
  </si>
  <si>
    <t>ampun deg deg gan nih final piala dunia</t>
  </si>
  <si>
    <t>['ampun', 'deg', 'deg', 'juragan', 'final', 'piala', 'dunia']</t>
  </si>
  <si>
    <t>Perancis berhasil menyamakan skor kontra Argentina pada laga final Piala Dunia 2022 melalui dua gol kilat Kylian Mbappe. Skor kini 2-2!  https://t.co/Lr8b3o6VAB</t>
  </si>
  <si>
    <t>perancis berhasil menyamakan skor kontra argentina pada laga final piala dunia melalui dua gol kilat kylian mbappe skor kini</t>
  </si>
  <si>
    <t>['perancis', 'berhasil', 'menyamakan', 'skor', 'kontra', 'argentina', 'laga', 'final', 'piala', 'dunia', 'melalui', 'gol', 'kilat', 'kylian', 'mbappe', 'skor', 'kini']</t>
  </si>
  <si>
    <t>siapa yang udah gak kuat nonton final piala dunia  https://t.co/PgO7Ay9Tqq</t>
  </si>
  <si>
    <t>siapa yang udah gak kuat nonton final piala dunia</t>
  </si>
  <si>
    <t>['siapa', 'udah', 'kuat', 'nonton', 'final', 'piala', 'dunia']</t>
  </si>
  <si>
    <t>PENALTI, PENALTI, PENALTI  Argentina 3:3 Perancis  Link Live Streaming Argentina vs Prancis Malam Ini 22.00 WIB Final Piala Dunia 2022   https://t.co/LJ9I01H4vv</t>
  </si>
  <si>
    <t>penalti penalti penalti argentina perancis link live streaming argentina prancis malam ini wib final piala dunia</t>
  </si>
  <si>
    <t>['penalti', 'penalti', 'penalti', 'argentina', 'perancis', 'link', 'live', 'streaming', 'argentina', 'prancis', 'malam', 'wib', 'final', 'piala', 'dunia']</t>
  </si>
  <si>
    <t>Final Piala Dunia paling menarik saat ini. #Mbappe #Messi</t>
  </si>
  <si>
    <t>final piala dunia paling menarik saat ini</t>
  </si>
  <si>
    <t>['final', 'piala', 'dunia', 'paling', 'menarik']</t>
  </si>
  <si>
    <t>@tvOneNews Wah hebat cari momen pas final piala dunia. Ada jin hilangkan barang bukti</t>
  </si>
  <si>
    <t>wah hebat cari momen pas final piala dunia ada jin hilangkan barang bukti</t>
  </si>
  <si>
    <t>['wah', 'hebat', 'cari', 'momen', 'pas', 'final', 'piala', 'dunia', 'jin', 'hilangkan', 'barang', 'bukti']</t>
  </si>
  <si>
    <t>Dramatis pertandingannya  Argentina vs Prancis dalam Final Piala Dunia 2022 Qatar  https://t.co/DPzXLtl8Fn</t>
  </si>
  <si>
    <t>dramatis pertandingannya argentina prancis dalam final piala dunia qatar</t>
  </si>
  <si>
    <t>['dramatis', 'pertandingannya', 'argentina', 'prancis', 'final', 'piala', 'dunia', 'qatar']</t>
  </si>
  <si>
    <t>final piala dunia ter epic üòÇ</t>
  </si>
  <si>
    <t>besok kalo kesiangan salahin yg bikin jadwal piala dunia pokonya, kenapa final nya malem senin :(</t>
  </si>
  <si>
    <t>besok kalo kesiangan salahin bikin jadwal piala dunia pokonya kenapa final nya malem senin</t>
  </si>
  <si>
    <t>['besok', 'kesiangan', 'salahin', 'jadwal', 'piala', 'dunia', 'pokonya', 'final', 'malem', 'senin']</t>
  </si>
  <si>
    <t>@idextratime Piala Dunia yang sempat diragukan diawal ternyata menyajikan pertandingan yang luar biasa dari awal sampai final</t>
  </si>
  <si>
    <t>piala dunia yang sempat diragukan diawal ternyata menyajikan pertandingan yang luar biasa dari awal sampai final</t>
  </si>
  <si>
    <t>['piala', 'dunia', 'sempat', 'diragukan', 'diawal', 'ternyata', 'menyajikan', 'pertandingan', 'luar', 'biasa', 'awal', 'final']</t>
  </si>
  <si>
    <t>Itu yg nobar final piala dunia rame banget tengah malam gini, ganggu orang istirahat. üôÑ Lebih riweh lagi klo di rumah ada bayi yg agak sensitif sama suara berisik ü§¶üèª‚Äç‚ôÄÔ∏è</t>
  </si>
  <si>
    <t>itu nobar final piala dunia rame banget tengah malam gini ganggu orang istirahat lebih riweh lagi klo rumah ada bayi agak sensitif sama suara berisik</t>
  </si>
  <si>
    <t>['nonton bareng', 'final', 'piala', 'dunia', 'ramai', 'banget', 'tengah', 'malam', 'gini', 'ganggu', 'orang', 'istirahat', 'lebih', 'riweh', 'rumah', 'bayi', 'sensitif', 'sama', 'suara', 'berisik']</t>
  </si>
  <si>
    <t>Ketat bener ini final piala dunia. Nonton nya degdegan ngalahin first kiss sm ayang wk</t>
  </si>
  <si>
    <t>ketat bener ini final piala dunia nonton nya degdegan ngalahin first kiss ayang</t>
  </si>
  <si>
    <t>['ketat', 'benar', 'final', 'piala', 'dunia', 'nonton', 'degdegan', 'ngalahin', 'first', 'kiss', 'ayang']</t>
  </si>
  <si>
    <t>pasti pada nonton final piala dunia</t>
  </si>
  <si>
    <t>Ngeriih... Salah satu final piala dunia terbaik</t>
  </si>
  <si>
    <t>ngeriih salah satu final piala dunia terbaik</t>
  </si>
  <si>
    <t>['ngeriih', 'salah', 'satu', 'final', 'piala', 'dunia', 'terbaik']</t>
  </si>
  <si>
    <t>Final Piala Dunia 2022 masuk ke babak extra time 2x15 menit. Dua gol Kylian Mbappe membuat skor 2-2 di akhir waktu normal.  https://t.co/XbFo05sKbv</t>
  </si>
  <si>
    <t>final piala dunia masuk babak extra time menit dua gol kylian mbappe membuat skor akhir waktu normal</t>
  </si>
  <si>
    <t>['final', 'piala', 'dunia', 'masuk', 'babak', 'extra', 'time', 'menit', 'gol', 'kylian', 'mbappe', 'membuat', 'skor', 'akhir', 'waktu', 'normal']</t>
  </si>
  <si>
    <t>Ini final piala dunia gabaik buat jantung .</t>
  </si>
  <si>
    <t>ini final piala dunia gabaik buat jantung</t>
  </si>
  <si>
    <t>['final', 'piala', 'dunia', 'gabaik', 'buat', 'jantung']</t>
  </si>
  <si>
    <t>Final Piala Dunia paling gayeng</t>
  </si>
  <si>
    <t>Bisa jadi mungkin ini Final Piala Dunia terbaik gila</t>
  </si>
  <si>
    <t>bisa jadi mungkin ini final piala dunia terbaik gila</t>
  </si>
  <si>
    <t>['jadi', 'mungkin', 'final', 'piala', 'dunia', 'terbaik', 'gila']</t>
  </si>
  <si>
    <t>Paling greget sih final piala dunia kali ini  #2022</t>
  </si>
  <si>
    <t>paling greget sih final piala dunia kali ini</t>
  </si>
  <si>
    <t>['paling', 'greget', 'final', 'piala', 'dunia', 'kali']</t>
  </si>
  <si>
    <t>Final piala dunia paling seru Argentina vs perancis #WorldCup2022</t>
  </si>
  <si>
    <t>final piala dunia paling seru argentina perancis</t>
  </si>
  <si>
    <t>['final', 'piala', 'dunia', 'paling', 'seru', 'argentina', 'perancis']</t>
  </si>
  <si>
    <t>Final Piala Dunia ‚ùå Final Pinalti Dunia ‚úÖ</t>
  </si>
  <si>
    <t>final piala dunia final pinalti dunia</t>
  </si>
  <si>
    <t>['final', 'piala', 'dunia', 'final', 'penalti', 'dunia']</t>
  </si>
  <si>
    <t>Enjing enjing aya toleransi kaberangan gawe te nyaa ? Maklum lalajo final piala dunia kitu wkwkwk</t>
  </si>
  <si>
    <t>enjing enjing aya toleransi kaberangan gawe nyaa maklum lalajo final piala dunia kitu wkwkwk</t>
  </si>
  <si>
    <t>['enjing', 'enjing', 'aya', 'toleransi', 'kaberangan', 'gawe', 'nyaa', 'maklum', 'lalajo', 'final', 'piala', 'dunia', 'kitu', 'wkwkwk']</t>
  </si>
  <si>
    <t>Partai Perindo Gelar Nobar Final Piala Dunia, Warga: Banyak Manfaatnya, Bisa Silaturahmi  https://t.co/MdW2KkKPsv</t>
  </si>
  <si>
    <t>partai perindo gelar nobar final piala dunia warga banyak manfaatnya bisa silaturahmi</t>
  </si>
  <si>
    <t>['partai', 'perindo', 'gelar', 'nonton bareng', 'final', 'piala', 'dunia', 'warga', 'banyak', 'manfaatnya', 'silaturahmi']</t>
  </si>
  <si>
    <t>ini final piala dunia lucu ya kejer2an goal üòÇ</t>
  </si>
  <si>
    <t>ini final piala dunia lucu kejer goal</t>
  </si>
  <si>
    <t>['final', 'piala', 'dunia', 'lucu', 'kejer', 'goal']</t>
  </si>
  <si>
    <t>Kylian Mbappe mencetak hat-trick di final Piala Dunia 2022. Ia mencetak gol lagi dari penalti untuk membuat skor Argentina vs Prancis menjadi imbang 3-3.  https://t.co/QxJn2iFjyh</t>
  </si>
  <si>
    <t>Final Piala Dunia terseru yg pernah saya tonton...</t>
  </si>
  <si>
    <t>final piala dunia terseru pernah saya tonton</t>
  </si>
  <si>
    <t>['final', 'piala', 'dunia', 'terseru', 'pernah', 'tonton']</t>
  </si>
  <si>
    <t>Siapa yang udah gak kuat nonton final piala dunia  https://t.co/XVkG8kMTj7</t>
  </si>
  <si>
    <t>Link Live Streaming Argentina vs Prancis di Final Piala Dunia 2022  https://t.co/rjMswgLCPE</t>
  </si>
  <si>
    <t>link live streaming argentina prancis final piala dunia</t>
  </si>
  <si>
    <t>['link', 'live', 'streaming', 'argentina', 'prancis', 'final', 'piala', 'dunia']</t>
  </si>
  <si>
    <t>ini baru final Piala Dunia yang paling dramatis #Mbappe #MessiìÉµ</t>
  </si>
  <si>
    <t>ini baru final piala dunia yang paling dramatis</t>
  </si>
  <si>
    <t>['baru', 'final', 'piala', 'dunia', 'paling', 'dramatis']</t>
  </si>
  <si>
    <t>Keren sih final piala dunia ini</t>
  </si>
  <si>
    <t>keren sih final piala dunia ini</t>
  </si>
  <si>
    <t>['keren', 'final', 'piala', 'dunia']</t>
  </si>
  <si>
    <t>Final piala dunia tergila sihh ini</t>
  </si>
  <si>
    <t>final piala dunia tergila sihh ini</t>
  </si>
  <si>
    <t>['final', 'piala', 'dunia', 'tergila', 'sihh']</t>
  </si>
  <si>
    <t>Sedang Berlangsung Live Streaming Argentina vs Prancis Final Piala Dunia 2022: Messi Angkat Trofi?    https://t.co/DMxgvvwBVT via @tribunnews</t>
  </si>
  <si>
    <t>sedang berlangsung live streaming argentina prancis final piala dunia messi angkat trofi via</t>
  </si>
  <si>
    <t>['sedang', 'berlangsung', 'live', 'streaming', 'argentina', 'prancis', 'final', 'piala', 'dunia', 'messi', 'angkat', 'trofi', 'via']</t>
  </si>
  <si>
    <t>Final Piala Dunia paling seru nih... Kejar¬≤an skor... üëèüëèüëè</t>
  </si>
  <si>
    <t>final piala dunia paling seru nih kejar skor</t>
  </si>
  <si>
    <t>['final', 'piala', 'dunia', 'paling', 'seru', 'kejar', 'skor']</t>
  </si>
  <si>
    <t>Say what you want about this World Cup 2022, tapi ini salah satu final terbaik selama piala dunia. What a match, what a final match.</t>
  </si>
  <si>
    <t>say what you want about this world cup tapi ini salah satu final terbaik selama piala dunia what match what final match</t>
  </si>
  <si>
    <t>['say', 'what', 'you', 'want', 'about', 'this', 'world', 'cup', 'salah', 'satu', 'final', 'terbaik', 'selama', 'piala', 'dunia', 'what', 'match', 'what', 'final', 'match']</t>
  </si>
  <si>
    <t>ini final piala dunia apa senam jantung sih?</t>
  </si>
  <si>
    <t>ini final piala dunia apa senam jantung sih</t>
  </si>
  <si>
    <t>['final', 'piala', 'dunia', 'apa', 'senam', 'jantung']</t>
  </si>
  <si>
    <t>Ini final piala dunia paling seru yang aku tonton. Jantungan woy plis üò≠üò≠üò≠üò≠üò≠</t>
  </si>
  <si>
    <t>ini final piala dunia paling seru yang aku tonton jantungan woy plis</t>
  </si>
  <si>
    <t>['final', 'piala', 'dunia', 'paling', 'seru', 'aku', 'tonton', 'jantungan', 'woy', 'plis']</t>
  </si>
  <si>
    <t>Seru bangeeeet weeyyyy final piala dunia kali ini weyyyy keren abisssss</t>
  </si>
  <si>
    <t>seru bangeeeet weeyyyy final piala dunia kali ini weyyyy keren abisssss</t>
  </si>
  <si>
    <t>['seru', 'bangeeeet', 'weeyyyy', 'final', 'piala', 'dunia', 'kali', 'weyyyy', 'keren', 'abisssss']</t>
  </si>
  <si>
    <t>Fix ini final piala dunia tergilaaaaa</t>
  </si>
  <si>
    <t>fix ini final piala dunia tergilaaaaa</t>
  </si>
  <si>
    <t>['fix', 'final', 'piala', 'dunia', 'tergilaaaaa']</t>
  </si>
  <si>
    <t>Kylian Mbappe, baru 23 tahun, cetak hattrick di final Piala Dunia.  Spesial.  https://t.co/gTrKJ0yy6n</t>
  </si>
  <si>
    <t>kylian mbappe baru tahun cetak hattrick final piala dunia spesial</t>
  </si>
  <si>
    <t>['kylian', 'mbappe', 'baru', 'tahun', 'cetak', 'hattrick', 'final', 'piala', 'dunia', 'spesial']</t>
  </si>
  <si>
    <t>KEREN BANGET DAH FINAL PIALA DUNIA TAHUN INI, ASLI!!!!</t>
  </si>
  <si>
    <t>keren banget dah final piala dunia tahun ini asli</t>
  </si>
  <si>
    <t>['keren', 'banget', 'dah', 'final', 'piala', 'dunia', 'tahun', 'asli']</t>
  </si>
  <si>
    <t>mental saya selemah gak kuat nonton pertandingan final piala dunia</t>
  </si>
  <si>
    <t>['mental', 'selemah', 'kuat', 'nonton', 'pertandingan', 'final', 'piala', 'dunia']</t>
  </si>
  <si>
    <t>Final Piala Dunia paling rame dari yg pernah gw tonton, anjjjj...</t>
  </si>
  <si>
    <t>final piala dunia paling rame dari pernah tonton anjjjj</t>
  </si>
  <si>
    <t>['final', 'piala', 'dunia', 'paling', 'ramai', 'pernah', 'tonton', 'anjjjj']</t>
  </si>
  <si>
    <t>final piala dunia kali ini seru banget anjir kek kisah cinta orang lain</t>
  </si>
  <si>
    <t>['final', 'piala', 'dunia', 'kali', 'seru', 'banget', 'anjir', 'kek', 'kisah', 'cinta', 'orang']</t>
  </si>
  <si>
    <t>gokil banget final piala dunia ini</t>
  </si>
  <si>
    <t>['gila', 'banget', 'final', 'piala', 'dunia']</t>
  </si>
  <si>
    <t>Udah ada belum sih yang hattrick gini di final Piala Dunia? Kalo belum, edan emang ini Mbappe.  Asal attitud-nya dibenerin, fixed dia bisa lebih dari Ronaldo-Messi</t>
  </si>
  <si>
    <t>udah ada belum sih yang hattrick gini final piala dunia kalo belum edan emang ini mbappe asal attitud nya dibenerin fixed dia bisa lebih dari ronaldo messi</t>
  </si>
  <si>
    <t>['udah', 'hattrick', 'gini', 'final', 'piala', 'dunia', 'edan', 'emang', 'mbappe', 'asal', 'attitud', 'dibenerin', 'fixed', 'lebih', 'ronaldo', 'messi']</t>
  </si>
  <si>
    <t>3 - 3 makin panas final piala Dunia ini.</t>
  </si>
  <si>
    <t>makin panas final piala dunia ini</t>
  </si>
  <si>
    <t>['makin', 'panas', 'final', 'piala', 'dunia']</t>
  </si>
  <si>
    <t>Gila gila ini final terbaik sepanjang piala dunia sih</t>
  </si>
  <si>
    <t>gila gila ini final terbaik sepanjang piala dunia sih</t>
  </si>
  <si>
    <t>['gila', 'gila', 'final', 'terbaik', 'sepanjang', 'piala', 'dunia']</t>
  </si>
  <si>
    <t>Hattrick di final piala dunia. Edan memang bos kecil Mbappe</t>
  </si>
  <si>
    <t>hattrick final piala dunia edan memang bos kecil mbappe</t>
  </si>
  <si>
    <t>['hattrick', 'final', 'piala', 'dunia', 'edan', 'memang', 'bos', 'kecil', 'mbappe']</t>
  </si>
  <si>
    <t>Final Piala Dunia 2022 Argentina vs Prancis 2-0 Babak Pertama  :  https://t.co/D8QnlPbGbs</t>
  </si>
  <si>
    <t>final piala dunia argentina prancis babak pertama</t>
  </si>
  <si>
    <t>['final', 'piala', 'dunia', 'argentina', 'prancis', 'babak', 'pertama']</t>
  </si>
  <si>
    <t>Terlepas dari semuanya, final piala dunia tahun ini SUPER DUPER VERY EPIC  #FIFAWorldCup</t>
  </si>
  <si>
    <t>terlepas dari semuanya final piala dunia tahun ini super duper very epic</t>
  </si>
  <si>
    <t>['terlepas', 'semuanya', 'final', 'piala', 'dunia', 'tahun', 'super', 'duper', 'very', 'epic']</t>
  </si>
  <si>
    <t>Final Piala Dunia terseru selama gue hidup! #FIFAWorldCup</t>
  </si>
  <si>
    <t>final piala dunia terseru selama gue hidup</t>
  </si>
  <si>
    <t>['final', 'piala', 'dunia', 'terseru', 'selama', 'gue', 'hidup']</t>
  </si>
  <si>
    <t>Sejak kali pertama nonton Piala Dunia 2002, ini kayaknya final tebaik.</t>
  </si>
  <si>
    <t>sejak kali pertama nonton piala dunia ini kayaknya final tebaik</t>
  </si>
  <si>
    <t>['sejak', 'kali', 'pertama', 'nonton', 'piala', 'dunia', 'kayaknya', 'final', 'tebaik']</t>
  </si>
  <si>
    <t>Final piala dunia paling gila</t>
  </si>
  <si>
    <t>final piala dunia paling gila</t>
  </si>
  <si>
    <t>Gokil sih ini final.. Keknya ini final piala dunia paling seru yang gw ikutin dah...</t>
  </si>
  <si>
    <t>gokil sih ini final keknya ini final piala dunia paling seru yang ikutin dah</t>
  </si>
  <si>
    <t>['gila', 'final', 'sepertinya', 'final', 'piala', 'dunia', 'paling', 'seru', 'ikutin', 'dah']</t>
  </si>
  <si>
    <t>Ini baru final piala Dunia ü•≥ü•≥ü•≥</t>
  </si>
  <si>
    <t>final piala dunia terepic ga si? gilaaaaa bgt</t>
  </si>
  <si>
    <t>final piala dunia terepic gilaaaaa bgt</t>
  </si>
  <si>
    <t>['final', 'piala', 'dunia', 'terepic', 'gilaaaaa', 'banget']</t>
  </si>
  <si>
    <t>Sepertinya ini akan jadi final piala dunia paling seru nih....</t>
  </si>
  <si>
    <t>sepertinya ini akan jadi final piala dunia paling seru nih</t>
  </si>
  <si>
    <t>['sepertinya', 'jadi', 'final', 'piala', 'dunia', 'paling', 'seru']</t>
  </si>
  <si>
    <t>TAMBAHAN WAKTU 3 MENIT MENUJU PENALTI  Argentina 3:3 Perancis  Link Live Streaming Argentina vs Prancis Malam Ini 22.00 WIB Final Piala Dunia 2022   https://t.co/D7d3e8Q5dI</t>
  </si>
  <si>
    <t>tambahan waktu menit menuju penalti argentina perancis link live streaming argentina prancis malam ini wib final piala dunia</t>
  </si>
  <si>
    <t>['tambahan', 'waktu', 'menit', 'menuju', 'penalti', 'argentina', 'perancis', 'link', 'live', 'streaming', 'argentina', 'prancis', 'malam', 'wib', 'final', 'piala', 'dunia']</t>
  </si>
  <si>
    <t>Beruntung bgt bs nonton final piala dunia macam ini.</t>
  </si>
  <si>
    <t>beruntung bgt nonton final piala dunia macam ini</t>
  </si>
  <si>
    <t>['beruntung', 'banget', 'nonton', 'final', 'piala', 'dunia', 'macam']</t>
  </si>
  <si>
    <t>FINAL PIALA DUNIA PALING SERUUU. 2010 LEWATTT üò≠</t>
  </si>
  <si>
    <t>final piala dunia paling seruuu lewattt</t>
  </si>
  <si>
    <t>['final', 'piala', 'dunia', 'paling', 'seruuu', 'lewattt']</t>
  </si>
  <si>
    <t>Final Piala Dunia paling ajaib</t>
  </si>
  <si>
    <t>final piala dunia paling ajaib</t>
  </si>
  <si>
    <t>['final', 'piala', 'dunia', 'paling', 'ajaib']</t>
  </si>
  <si>
    <t>FINAL PIALA DUNIA PALING GOKILL</t>
  </si>
  <si>
    <t>final piala dunia paling gokill</t>
  </si>
  <si>
    <t>['final', 'piala', 'dunia', 'paling', 'gokill']</t>
  </si>
  <si>
    <t>final piala dunia terbangsat yang pernah gw tonton</t>
  </si>
  <si>
    <t>final piala dunia terbangsat yang pernah tonton</t>
  </si>
  <si>
    <t>['final', 'piala', 'dunia', 'terbangsat', 'pernah', 'tonton']</t>
  </si>
  <si>
    <t>FINAL PIALA DUNIA GILAAAA!!! #FRA #ARG üî•üî•üî•</t>
  </si>
  <si>
    <t>final piala dunia gilaaaa</t>
  </si>
  <si>
    <t>['final', 'piala', 'dunia', 'gilaaaa']</t>
  </si>
  <si>
    <t>Inimi final piala dunia paling gilaaaaa</t>
  </si>
  <si>
    <t>inimi final piala dunia paling gilaaaaa</t>
  </si>
  <si>
    <t>['inimi', 'final', 'piala', 'dunia', 'paling', 'gilaaaaa']</t>
  </si>
  <si>
    <t>Hattrick loh di final piala dunia, makin bagus aja CV nya bos kecil</t>
  </si>
  <si>
    <t>hattrick loh final piala dunia makin bagus aja nya bos kecil</t>
  </si>
  <si>
    <t>['hattrick', 'final', 'piala', 'dunia', 'makin', 'bagus', 'bos', 'kecil']</t>
  </si>
  <si>
    <t>Pertandingan final Piala Dunia paling seru yang pernah ku tonton</t>
  </si>
  <si>
    <t>pertandingan final piala dunia paling seru yang pernah tonton</t>
  </si>
  <si>
    <t>['pertandingan', 'final', 'piala', 'dunia', 'paling', 'seru', 'pernah', 'tonton']</t>
  </si>
  <si>
    <t>Piala Dunia kali ini bener-benerrrrrr gilaaaaaa Dari grup sampe final gilaaaaaaa</t>
  </si>
  <si>
    <t>piala dunia kali ini bener benerrrrrr gilaaaaaa dari grup sampe final gilaaaaaaa</t>
  </si>
  <si>
    <t>['piala', 'dunia', 'kali', 'benar', 'benerrrrrr', 'gilaaaaaa', 'grup', 'sampai', 'final', 'gilaaaaaaa']</t>
  </si>
  <si>
    <t>mbappe bnr2 dah lo prnah ngapain sih di kehidupan lo sebelumnya sampe2 dpt anugerah bisa hattrick di final piala dunia</t>
  </si>
  <si>
    <t>mbappe bnr dah prnah ngapain sih kehidupan sebelumnya sampe dpt anugerah bisa hattrick final piala dunia</t>
  </si>
  <si>
    <t>['mbappe', 'bnr', 'dah', 'prnah', 'ngapain', 'kehidupan', 'sebelumnya', 'sampai', 'dpt', 'anugerah', 'hattrick', 'final', 'piala', 'dunia']</t>
  </si>
  <si>
    <t>Final Piala dunia gokil, awal anyep akhir panas</t>
  </si>
  <si>
    <t>final piala dunia gokil awal anyep akhir panas</t>
  </si>
  <si>
    <t>['final', 'piala', 'dunia', 'gila', 'awal', 'anyep', 'akhir', 'panas']</t>
  </si>
  <si>
    <t>Astaghfirullah stress kali nonton final piala dunia. Sisa 4 menit loh harusnya menang Argentina. Bisa-bisanya penalti Mbappe! Dramatis bener üî•üî•</t>
  </si>
  <si>
    <t>astaghfirullah stress kali nonton final piala dunia sisa menit loh harusnya menang argentina bisa bisanya penalti mbappe dramatis bener</t>
  </si>
  <si>
    <t>['astaghfirullah', 'stress', 'kali', 'nonton', 'final', 'piala', 'dunia', 'sisa', 'menit', 'harusnya', 'menang', 'argentina', 'bisanya', 'penalti', 'mbappe', 'dramatis', 'benar']</t>
  </si>
  <si>
    <t>Mbappe jaring hatrik pertama di final Piala Dunia sejak edisi 1966 yang diledak oleh penyerang England ketika itu, Geoffrey Hurst. #Qatar2022  https://t.co/aYJ02CtKuc</t>
  </si>
  <si>
    <t>mbappe jaring hatrik pertama final piala dunia sejak edisi yang diledak oleh penyerang england ketika itu geoffrey hurst</t>
  </si>
  <si>
    <t>['mbappe', 'jaring', 'hatrik', 'pertama', 'final', 'piala', 'dunia', 'sejak', 'edisi', 'diledak', 'penyerang', 'england', 'geoffrey', 'hurst']</t>
  </si>
  <si>
    <t>ga nonton piala dunia tapi ini final kenapa menegangkan bgt wkwkwk</t>
  </si>
  <si>
    <t>nonton piala dunia tapi ini final kenapa menegangkan bgt wkwkwk</t>
  </si>
  <si>
    <t>['nonton', 'piala', 'dunia', 'final', 'menegangkan', 'banget', 'wkwkwk']</t>
  </si>
  <si>
    <t>selama gue nonton final piala dunia cuma ditahun 2022 yang GRAZY ü§£</t>
  </si>
  <si>
    <t>selama gue nonton final piala dunia cuma ditahun yang grazy</t>
  </si>
  <si>
    <t>['selama', 'gue', 'nonton', 'final', 'piala', 'dunia', 'cuma', 'ditahun', 'grazy']</t>
  </si>
  <si>
    <t>Final piala dunia yang membagongkan!</t>
  </si>
  <si>
    <t>final piala dunia yang membagongkan</t>
  </si>
  <si>
    <t>['final', 'piala', 'dunia', 'membagongkan']</t>
  </si>
  <si>
    <t>Final piala dunia dengan 3 pinalti wkwkwk</t>
  </si>
  <si>
    <t>final piala dunia dengan pinalti wkwkwk</t>
  </si>
  <si>
    <t>['final', 'piala', 'dunia', 'penalti', 'wkwkwk']</t>
  </si>
  <si>
    <t>Bakalan aku ceritain ke anak cucuku pertandingan final piala dunia terbaik ini!</t>
  </si>
  <si>
    <t>bakalan aku ceritain anak cucuku pertandingan final piala dunia terbaik ini</t>
  </si>
  <si>
    <t>['bakalan', 'aku', 'ceritain', 'anak', 'cucuku', 'pertandingan', 'final', 'piala', 'dunia', 'terbaik']</t>
  </si>
  <si>
    <t>Siapapun yg juara, kita semua sepakat ini salah satu pertandingan sepak bola terbaik dan terseru yg pernah ada!  -Final Piala Dunia 2022-</t>
  </si>
  <si>
    <t>siapapun juara kita semua sepakat ini salah satu pertandingan sepak bola terbaik dan terseru pernah ada final piala dunia</t>
  </si>
  <si>
    <t>['siapapun', 'juara', 'semua', 'sepakat', 'salah', 'satu', 'pertandingan', 'sepak', 'bola', 'terbaik', 'terseru', 'pernah', 'final', 'piala', 'dunia']</t>
  </si>
  <si>
    <t>23 tahun, hattrick final Piala Dunia. Lu pada ngapaiiin umur segini???  https://t.co/vfn30auzOo</t>
  </si>
  <si>
    <t>tahun hattrick final piala dunia pada ngapaiiin umur segini</t>
  </si>
  <si>
    <t>['tahun', 'hattrick', 'final', 'piala', 'dunia', 'ngapaiiin', 'umur', 'segini']</t>
  </si>
  <si>
    <t>@gendyrsdy Gokil bawa pulang bola final piala dunia</t>
  </si>
  <si>
    <t>gokil bawa pulang bola final piala dunia</t>
  </si>
  <si>
    <t>['gila', 'bawa', 'pulang', 'bola', 'final', 'piala', 'dunia']</t>
  </si>
  <si>
    <t>Gilaaak!! Final Piala Dunia paling ngawur ini. Tinggal bertahan aja masih aja kebobolan.</t>
  </si>
  <si>
    <t>gilaaak final piala dunia paling ngawur ini tinggal bertahan aja masih aja kebobolan</t>
  </si>
  <si>
    <t>['gilaaak', 'final', 'piala', 'dunia', 'paling', 'ngawur', 'tinggal', 'bertahan', 'kebobolan']</t>
  </si>
  <si>
    <t>Final piala dunia terseru!!! #FinalWorldCup2022</t>
  </si>
  <si>
    <t>Anjirrr!! Degdegan nonton Final Piala Dunia kayak nonton drakor!!</t>
  </si>
  <si>
    <t>anjirrr degdegan nonton final piala dunia kayak nonton drakor</t>
  </si>
  <si>
    <t>['anjirrr', 'degdegan', 'nonton', 'final', 'piala', 'dunia', 'seperti', 'nonton', 'drakor']</t>
  </si>
  <si>
    <t>Final piala dunia paling edyaan üòÇ</t>
  </si>
  <si>
    <t>final piala dunia paling edyaan</t>
  </si>
  <si>
    <t>['final', 'piala', 'dunia', 'paling', 'edyaan']</t>
  </si>
  <si>
    <t>final piala dunia terbaik. #FIFAWorldCup</t>
  </si>
  <si>
    <t>bener bener ini piala dunia paling bajingan hahahahahaha seru bangeeeetttt dr awal penyisihan sampe final</t>
  </si>
  <si>
    <t>bener bener ini piala dunia paling bajingan hahahahahaha seru bangeeeetttt awal penyisihan sampe final</t>
  </si>
  <si>
    <t>['benar', 'benar', 'piala', 'dunia', 'paling', 'bajingan', 'hahahahahaha', 'seru', 'bangeeeetttt', 'awal', 'penyisihan', 'sampai', 'final']</t>
  </si>
  <si>
    <t>Final Piala Dunia biasanya anti-klimaks atau minim gol, ini luar biasa.  https://t.co/a00O9gZJMW</t>
  </si>
  <si>
    <t>final piala dunia biasanya anti klimaks atau minim gol ini luar biasa</t>
  </si>
  <si>
    <t>['final', 'piala', 'dunia', 'biasanya', 'anti', 'klimaks', 'minim', 'gol', 'luar', 'biasa']</t>
  </si>
  <si>
    <t>final piala dunia gokilzz</t>
  </si>
  <si>
    <t>['final', 'piala', 'dunia', 'gokilzz']</t>
  </si>
  <si>
    <t>FINAL PIALA DUNIA FINAL! üëèüëèüëè</t>
  </si>
  <si>
    <t>final piala dunia final</t>
  </si>
  <si>
    <t>['final', 'piala', 'dunia', 'final']</t>
  </si>
  <si>
    <t>&lt;FreqDist with 3 samples and 4 outcomes&gt;</t>
  </si>
  <si>
    <t>Bener Nobar yg meriah paling menarik lihat main bola final piala dunia, sangat bangga dg kylian mbappe meskipun main tanpa Pogba dan benzema,  Pinalti nya menyulut dan menggagalkan pesta argentina meriah  Finat paling meriah French 3 - 3 Argentina  https://t.co/U0dkchUwe2</t>
  </si>
  <si>
    <t>bener nobar meriah paling menarik lihat main bola final piala dunia sangat bangga kylian mbappe meskipun main tanpa pogba dan benzema pinalti nya menyulut dan menggagalkan pesta argentina meriah finat paling meriah french argentina</t>
  </si>
  <si>
    <t>['benar', 'nonton bareng', 'meriah', 'paling', 'menarik', 'lihat', 'main', 'bola', 'final', 'piala', 'dunia', 'sangat', 'bangga', 'kylian', 'mbappe', 'meskipun', 'main', 'pogba', 'benzema', 'penalti', 'menyulut', 'menggagalkan', 'pesta', 'argentina', 'meriah', 'finat', 'paling', 'meriah', 'french', 'argentina']</t>
  </si>
  <si>
    <t>final piala dunia. hatrick 23 tahun üí•</t>
  </si>
  <si>
    <t>final piala dunia hatrick tahun</t>
  </si>
  <si>
    <t>['final', 'piala', 'dunia', 'hatrick', 'tahun']</t>
  </si>
  <si>
    <t>Final Piala Dunia paling dramatis yang pernah ada ü§£ü§£ü§£  #PialaDunia2022</t>
  </si>
  <si>
    <t>final piala dunia paling dramatis yang pernah ada</t>
  </si>
  <si>
    <t>['final', 'piala', 'dunia', 'paling', 'dramatis', 'pernah']</t>
  </si>
  <si>
    <t>Gila sih hattrick pas final piala dunia, Mbappe #FIFAWorldCup</t>
  </si>
  <si>
    <t>gila sih hattrick pas final piala dunia mbappe</t>
  </si>
  <si>
    <t>['gila', 'hattrick', 'pas', 'final', 'piala', 'dunia', 'mbappe']</t>
  </si>
  <si>
    <t>Siapapun pemenangnya   Ini final piala dunia paling  SERU!</t>
  </si>
  <si>
    <t>siapapun pemenangnya ini final piala dunia paling seru</t>
  </si>
  <si>
    <t>['siapapun', 'pemenangnya', 'final', 'piala', 'dunia', 'paling', 'seru']</t>
  </si>
  <si>
    <t>makasih ya Allah masih dikasih kesempatan hidup buat nonton Final Piala Dunia 2022üôèüèª</t>
  </si>
  <si>
    <t>makasih allah masih dikasih kesempatan hidup buat nonton final piala dunia</t>
  </si>
  <si>
    <t>['makasih', 'allah', 'dikasih', 'kesempatan', 'hidup', 'buat', 'nonton', 'final', 'piala', 'dunia']</t>
  </si>
  <si>
    <t>GILA INI FINAL PIALA DUNIA SIH TERSERUUUUUUUUU</t>
  </si>
  <si>
    <t>gila ini final piala dunia sih terseruuuuuuuuu</t>
  </si>
  <si>
    <t>['gila', 'final', 'piala', 'dunia', 'terseruuuuuuuuu']</t>
  </si>
  <si>
    <t>FINAL PIALA DUNIA PALING SERU AJG üî•</t>
  </si>
  <si>
    <t>final piala dunia paling seru ajg</t>
  </si>
  <si>
    <t>['final', 'piala', 'dunia', 'paling', 'seru', 'ajg']</t>
  </si>
  <si>
    <t>Final piala dunia sangar 3 - 3</t>
  </si>
  <si>
    <t>final piala dunia sangar</t>
  </si>
  <si>
    <t>['final', 'piala', 'dunia', 'sangar']</t>
  </si>
  <si>
    <t>Final Piala Dunia terbaik sejauh ini!!üî•üî•</t>
  </si>
  <si>
    <t>Menghibur banget gila final piala dunia 2022 iniii</t>
  </si>
  <si>
    <t>menghibur banget gila final piala dunia iniii</t>
  </si>
  <si>
    <t>['menghibur', 'banget', 'gila', 'final', 'piala', 'dunia', 'iniii']</t>
  </si>
  <si>
    <t>Mbappe hattrick bukan sembarang hattrick,hattrick nya di final Piala dunia</t>
  </si>
  <si>
    <t>mbappe hattrick bukan sembarang hattrick hattrick nya final piala dunia</t>
  </si>
  <si>
    <t>['mbappe', 'hattrick', 'bukan', 'sembarang', 'hattrick', 'hattrick', 'final', 'piala', 'dunia']</t>
  </si>
  <si>
    <t>Nanti kita cerita ke anak cucu tentang final Piala Dunia Qatar</t>
  </si>
  <si>
    <t>nanti kita cerita anak cucu tentang final piala dunia qatar</t>
  </si>
  <si>
    <t>['cerita', 'anak', 'cucu', 'final', 'piala', 'dunia', 'qatar']</t>
  </si>
  <si>
    <t>hat trick di final piala duniaü§§</t>
  </si>
  <si>
    <t>hat trick final piala dunia</t>
  </si>
  <si>
    <t>['hat', 'trick', 'final', 'piala', 'dunia']</t>
  </si>
  <si>
    <t>Final Piala Dunia 2022: Argentina vs Prancis, Menit 117, Kedudukan 3-3  https://t.co/fE28Z7KZVx #TempoBola</t>
  </si>
  <si>
    <t>final piala dunia argentina prancis menit kedudukan</t>
  </si>
  <si>
    <t>['final', 'piala', 'dunia', 'argentina', 'prancis', 'menit', 'kedudukan']</t>
  </si>
  <si>
    <t>The Real Final Piala Dunia coook</t>
  </si>
  <si>
    <t>the real final piala dunia coook</t>
  </si>
  <si>
    <t>['the', 'real', 'final', 'piala', 'dunia', 'coook']</t>
  </si>
  <si>
    <t>cape banget nontonin final piala duniaüò≠</t>
  </si>
  <si>
    <t>cape banget nontonin final piala dunia</t>
  </si>
  <si>
    <t>['lelah', 'banget', 'nontonin', 'final', 'piala', 'dunia']</t>
  </si>
  <si>
    <t>Final piala dunia terngakak üò≠üò≠üò≠üò≠üò≠</t>
  </si>
  <si>
    <t>final piala dunia terngakak</t>
  </si>
  <si>
    <t>['final', 'piala', 'dunia', 'terngakak']</t>
  </si>
  <si>
    <t>Tidak kira siapa pun menang Argentina atau France, aku anggap ini adalah  final Piala Dunia paling dramatik! Paling banyak kejutan! Paling menarik ditonton dan paling banyak gol.  Gilaaaaaaaa</t>
  </si>
  <si>
    <t>tidak kira siapa pun menang argentina atau france aku anggap ini adalah final piala dunia paling dramatik paling banyak kejutan paling menarik ditonton dan paling banyak gol gilaaaaaaaa</t>
  </si>
  <si>
    <t>['kira', 'siapa', 'menang', 'argentina', 'france', 'aku', 'anggap', 'final', 'piala', 'dunia', 'paling', 'dramatik', 'paling', 'banyak', 'kejutan', 'paling', 'menarik', 'ditonton', 'paling', 'banyak', 'gol', 'gilaaaaaaaa']</t>
  </si>
  <si>
    <t>final piala dunia paling seru yg pernah gue tonton aslii</t>
  </si>
  <si>
    <t>final piala dunia paling seru pernah gue tonton aslii</t>
  </si>
  <si>
    <t>['final', 'piala', 'dunia', 'paling', 'seru', 'pernah', 'gue', 'tonton', 'aslii']</t>
  </si>
  <si>
    <t>ini final piala dunia atau avatar way of water</t>
  </si>
  <si>
    <t>ini final piala dunia atau avatar way water</t>
  </si>
  <si>
    <t>['final', 'piala', 'dunia', 'avatar', 'way', 'water']</t>
  </si>
  <si>
    <t xml:space="preserve"> https://t.co/IiIrrQqEn5  Lionel Messi mengantar Argentina unggul 3-2 atas Prancis di perpanjangan waktu final Piala Dunia 2022. Tim Tango selangkah kian dekat dengan trofi juara.</t>
  </si>
  <si>
    <t>lionel messi mengantar argentina unggul atas prancis perpanjangan waktu final piala dunia tim tango selangkah kian dekat dengan trofi juara</t>
  </si>
  <si>
    <t>['lionel', 'messi', 'mengantar', 'argentina', 'unggul', 'atas', 'prancis', 'perpanjangan', 'waktu', 'final', 'piala', 'dunia', 'tim', 'tango', 'selangkah', 'kian', 'dekat', 'trofi', 'juara']</t>
  </si>
  <si>
    <t>TEGANG BANGET YA WAK FINAL PIALA DUNIA NIH üòÇ</t>
  </si>
  <si>
    <t>tegang banget wak final piala dunia nih</t>
  </si>
  <si>
    <t>['tegang', 'banget', 'wak', 'final', 'piala', 'dunia']</t>
  </si>
  <si>
    <t>Pertama kali nonton Piala Dunia 2006, dan kayanya ini final paling drama sekaligus termenghibur yg gue tonton.</t>
  </si>
  <si>
    <t>pertama kali nonton piala dunia dan kayanya ini final paling drama sekaligus termenghibur gue tonton</t>
  </si>
  <si>
    <t>['pertama', 'kali', 'nonton', 'piala', 'dunia', 'kayanya', 'final', 'paling', 'drama', 'sekaligus', 'termenghibur', 'gue', 'tonton']</t>
  </si>
  <si>
    <t>Ternyata angka keramat itu 3 - 3 gaesss üòÇüòÇüòÇ final piala dunia paling alot</t>
  </si>
  <si>
    <t>ternyata angka keramat itu gaesss final piala dunia paling alot</t>
  </si>
  <si>
    <t>['ternyata', 'angka', 'keramat', 'gaesss', 'final', 'piala', 'dunia', 'paling', 'alot']</t>
  </si>
  <si>
    <t>FINAL PIALA DUNIA TERSERU, TERBAIK, TERGOKIL YANG PERNAH SAYA TONTON! LUAR BIASA!</t>
  </si>
  <si>
    <t>final piala dunia terseru terbaik tergokil yang pernah saya tonton luar biasa</t>
  </si>
  <si>
    <t>['final', 'piala', 'dunia', 'terseru', 'terbaik', 'tergokil', 'pernah', 'tonton', 'luar', 'biasa']</t>
  </si>
  <si>
    <t>Asli bakal jadi final terseru sepanjang piala dunia</t>
  </si>
  <si>
    <t>asli bakal jadi final terseru sepanjang piala dunia</t>
  </si>
  <si>
    <t>['asli', 'bakal', 'jadi', 'final', 'terseru', 'sepanjang', 'piala', 'dunia']</t>
  </si>
  <si>
    <t>HATTRICK, FINAL PIALA DUNIA, 22 TAHUN</t>
  </si>
  <si>
    <t>hattrick final piala dunia tahun</t>
  </si>
  <si>
    <t>['hattrick', 'final', 'piala', 'dunia', 'tahun']</t>
  </si>
  <si>
    <t>Gilllaaa Hat-trick di Final Piala Duniaü§Øü§Øü§Øü§Ø</t>
  </si>
  <si>
    <t>gilllaaa hat trick final piala dunia</t>
  </si>
  <si>
    <t>['gilllaaa', 'hat', 'trick', 'final', 'piala', 'dunia']</t>
  </si>
  <si>
    <t>FINAL PIALA DUNIA TERDRAMA SEPANJANG MASAüî•üî•üî•ü´∂üèªü´∂üèª</t>
  </si>
  <si>
    <t>final piala dunia terdrama sepanjang masa</t>
  </si>
  <si>
    <t>['final', 'piala', 'dunia', 'terdrama', 'sepanjang', 'masa']</t>
  </si>
  <si>
    <t>Final piala dunia 2022 terseru sih menurut gue</t>
  </si>
  <si>
    <t>final piala dunia terseru sih menurut gue</t>
  </si>
  <si>
    <t>['final', 'piala', 'dunia', 'terseru', 'gue']</t>
  </si>
  <si>
    <t>Raul Lemos hattrick pertama dalam sejarah final piala dunia</t>
  </si>
  <si>
    <t>raul lemos hattrick pertama dalam sejarah final piala dunia</t>
  </si>
  <si>
    <t>['raul', 'lemos', 'hattrick', 'pertama', 'sejarah', 'final', 'piala', 'dunia']</t>
  </si>
  <si>
    <t>wah gila si ini final piala dunia</t>
  </si>
  <si>
    <t>wah gila ini final piala dunia</t>
  </si>
  <si>
    <t>['wah', 'gila', 'final', 'piala', 'dunia']</t>
  </si>
  <si>
    <t>Mbappe kambing, hattrick di final piala dunia!</t>
  </si>
  <si>
    <t>mbappe kambing hattrick final piala dunia</t>
  </si>
  <si>
    <t>['mbappe', 'kambing', 'hattrick', 'final', 'piala', 'dunia']</t>
  </si>
  <si>
    <t>Cookk gendeng!! Nonton final piala dunia seru bgt!</t>
  </si>
  <si>
    <t>cookk gendeng nonton final piala dunia seru bgt</t>
  </si>
  <si>
    <t>['cookk', 'gendeng', 'nonton', 'final', 'piala', 'dunia', 'seru', 'banget']</t>
  </si>
  <si>
    <t>Final Piala Dunia paling seru menurutku. tensinya gila pollll üî•üî•üî•üî•  https://t.co/mgHVM0ZG5U</t>
  </si>
  <si>
    <t>final piala dunia paling seru menurutku tensinya gila pollll</t>
  </si>
  <si>
    <t>['final', 'piala', 'dunia', 'paling', 'seru', 'menurutku', 'tensinya', 'gila', 'pollll']</t>
  </si>
  <si>
    <t>Hattrick di final Piala Dunia? Lo gila peeeeee ü•∂</t>
  </si>
  <si>
    <t>hattrick final piala dunia gila peeeeee</t>
  </si>
  <si>
    <t>['hattrick', 'final', 'piala', 'dunia', 'gila', 'peeeeee']</t>
  </si>
  <si>
    <t>Mbappe 23 tahun, hattrick di final piala dunia, best player in the world cup</t>
  </si>
  <si>
    <t>mbappe tahun hattrick final piala dunia best player the world cup</t>
  </si>
  <si>
    <t>['mbappe', 'tahun', 'hattrick', 'final', 'piala', 'dunia', 'best', 'player', 'the', 'world', 'cup']</t>
  </si>
  <si>
    <t>final piala dunia genrenya makjang</t>
  </si>
  <si>
    <t>['final', 'piala', 'dunia', 'genrenya', 'makjang']</t>
  </si>
  <si>
    <t>final piala dunia paling seruu gika üî•</t>
  </si>
  <si>
    <t>final piala dunia paling seruu gika</t>
  </si>
  <si>
    <t>['final', 'piala', 'dunia', 'paling', 'seruu', 'gika']</t>
  </si>
  <si>
    <t>Hattrick di final piala dunia üëè</t>
  </si>
  <si>
    <t>Ini final piala dunia macam apa njir</t>
  </si>
  <si>
    <t>ini final piala dunia macam apa njir</t>
  </si>
  <si>
    <t>['final', 'piala', 'dunia', 'macam', 'apa', 'njir']</t>
  </si>
  <si>
    <t>Sumpah cape bgt nonton final piala dunia yg sekarang üòÇ</t>
  </si>
  <si>
    <t>sumpah cape bgt nonton final piala dunia sekarang</t>
  </si>
  <si>
    <t>['sumpah', 'lelah', 'banget', 'nonton', 'final', 'piala', 'dunia', 'sekarang']</t>
  </si>
  <si>
    <t>Final piala dunia paling gila sih ini ü§Øü§Øü§Ø</t>
  </si>
  <si>
    <t>final piala dunia paling gila sih ini</t>
  </si>
  <si>
    <t>Nobar final piala dunia via twitter</t>
  </si>
  <si>
    <t>nobar final piala dunia via twitter</t>
  </si>
  <si>
    <t>['nonton bareng', 'final', 'piala', 'dunia', 'via', 'twitter']</t>
  </si>
  <si>
    <t>Final Piala Dunia 2022, Ya Allah Ya Allah</t>
  </si>
  <si>
    <t>final piala dunia allah allah</t>
  </si>
  <si>
    <t>['final', 'piala', 'dunia', 'allah', 'allah']</t>
  </si>
  <si>
    <t>WHAT THE FAKKKK MBAPPE HATTRICK DI FINAL PIALA DUNIA VS ARGENTINA GILAAA</t>
  </si>
  <si>
    <t>what the fakkkk mbappe hattrick final piala dunia argentina gilaaa</t>
  </si>
  <si>
    <t>['what', 'the', 'fakkkk', 'mbappe', 'hattrick', 'final', 'piala', 'dunia', 'argentina', 'gilaaa']</t>
  </si>
  <si>
    <t>Jacil hattrick di final piala dunia, gararelo pisan.</t>
  </si>
  <si>
    <t>jacil hattrick final piala dunia gararelo pisan</t>
  </si>
  <si>
    <t>['jacil', 'hattrick', 'final', 'piala', 'dunia', 'gararelo', 'pisan']</t>
  </si>
  <si>
    <t>ada ngga sih yang hat-trick di final piala dunia sebelumnya??</t>
  </si>
  <si>
    <t>ada ngga sih yang hat trick final piala dunia sebelumnya</t>
  </si>
  <si>
    <t>['ngga', 'hat', 'trick', 'final', 'piala', 'dunia', 'sebelumnya']</t>
  </si>
  <si>
    <t>ANJJJJ HATTRICK DI FINAL PIALA DUNIA TUH GIMANA CERITANYAAA MBAPPEEE!!!</t>
  </si>
  <si>
    <t>anjjjj hattrick final piala dunia tuh gimana ceritanyaaa mbappeee</t>
  </si>
  <si>
    <t>['anjjjj', 'hattrick', 'final', 'piala', 'dunia', 'gimana', 'ceritanyaaa', 'mbappeee']</t>
  </si>
  <si>
    <t>PSG makin meroket dah wkwkwkwk di final Piala Dunia 2 pemain utamanya jadi aktor gini wkwkwk</t>
  </si>
  <si>
    <t>psg makin meroket dah wkwkwkwk final piala dunia pemain utamanya jadi aktor gini wkwkwk</t>
  </si>
  <si>
    <t>['psg', 'makin', 'meroket', 'dah', 'wkwkwkwk', 'final', 'piala', 'dunia', 'pemain', 'utamanya', 'jadi', 'aktor', 'gini', 'wkwkwk']</t>
  </si>
  <si>
    <t>ini final piala dunia terseru yang pernah gue tonton sih</t>
  </si>
  <si>
    <t>['final', 'piala', 'dunia', 'terseru', 'pernah', 'gue', 'tonton']</t>
  </si>
  <si>
    <t>Bener-bener gila Final Piala Dunia kali ini. üî•üî•üî•</t>
  </si>
  <si>
    <t>bener bener gila final piala dunia kali ini</t>
  </si>
  <si>
    <t>['benar', 'benar', 'gila', 'final', 'piala', 'dunia', 'kali']</t>
  </si>
  <si>
    <t>HATTRICK DI FINAL PIALA DUNIA.  Tolong maafkan Mbappe yang membuat kita sejenak melupakan kalau besok hari Senin, dan harus masuk pagi.</t>
  </si>
  <si>
    <t>hattrick final piala dunia tolong maafkan mbappe yang membuat kita sejenak melupakan kalau besok hari senin dan harus masuk pagi</t>
  </si>
  <si>
    <t>['hattrick', 'final', 'piala', 'dunia', 'maafkan', 'mbappe', 'membuat', 'sejenak', 'melupakan', 'kalau', 'besok', 'hari', 'senin', 'masuk', 'pagi']</t>
  </si>
  <si>
    <t>Hat-trick di final Piala Dunia weh. Mbappeüî•</t>
  </si>
  <si>
    <t>hat trick final piala dunia weh mbappe</t>
  </si>
  <si>
    <t>['hat', 'trick', 'final', 'piala', 'dunia', 'weh', 'mbappe']</t>
  </si>
  <si>
    <t>Gokil ini final piala dunia bikin deg degannya ga maen maen</t>
  </si>
  <si>
    <t>gokil ini final piala dunia bikin deg degannya maen maen</t>
  </si>
  <si>
    <t>['gila', 'final', 'piala', 'dunia', 'deg', 'degannya', 'maen', 'maen']</t>
  </si>
  <si>
    <t>anak 23 tahun golin 3 di final piala dunia, unbelievableüò≥</t>
  </si>
  <si>
    <t>anak tahun golin final piala dunia unbelievable</t>
  </si>
  <si>
    <t>['anak', 'tahun', 'golin', 'final', 'piala', 'dunia', 'unbelievable']</t>
  </si>
  <si>
    <t>Final Piala Dunia sengaja bikin orang orang kesiangan gawe</t>
  </si>
  <si>
    <t>final piala dunia sengaja bikin orang orang kesiangan gawe</t>
  </si>
  <si>
    <t>['final', 'piala', 'dunia', 'sengaja', 'orang', 'orang', 'kesiangan', 'gawe']</t>
  </si>
  <si>
    <t>Piala Dunia kali ini final gilaaaaa serang balik terus</t>
  </si>
  <si>
    <t>piala dunia kali ini final gilaaaaa serang balik terus</t>
  </si>
  <si>
    <t>['piala', 'dunia', 'kali', 'final', 'gilaaaaa', 'serang', 'balik', 'terus']</t>
  </si>
  <si>
    <t>YA ALLAH BENER BENER MENGURAS EMOSI FINAL PIALA DUNIA WOYYüò≠üò≠üò≠üò≠</t>
  </si>
  <si>
    <t>allah bener bener menguras emosi final piala dunia woyy</t>
  </si>
  <si>
    <t>['allah', 'benar', 'benar', 'menguras', 'emosi', 'final', 'piala', 'dunia', 'woyy']</t>
  </si>
  <si>
    <t>Final Piala Dunia paling gila!</t>
  </si>
  <si>
    <t>Memang panas bener ini final piala dunia.</t>
  </si>
  <si>
    <t>memang panas bener ini final piala dunia</t>
  </si>
  <si>
    <t>['memang', 'panas', 'benar', 'final', 'piala', 'dunia']</t>
  </si>
  <si>
    <t>GILA MBAPPE HATTRICK DI FINAL PIALA DUNIA... GOKIIILLLL</t>
  </si>
  <si>
    <t>gila mbappe hattrick final piala dunia gokiiillll</t>
  </si>
  <si>
    <t>['gila', 'mbappe', 'hattrick', 'final', 'piala', 'dunia', 'gokiiillll']</t>
  </si>
  <si>
    <t>Hattrick di final piala dunia ajegilee #Mbappe</t>
  </si>
  <si>
    <t>hattrick final piala dunia ajegilee</t>
  </si>
  <si>
    <t>['hattrick', 'final', 'piala', 'dunia', 'ajegilee']</t>
  </si>
  <si>
    <t>FINAL PIALA DUNIA KALI INI BENERAN KELAZZZZ</t>
  </si>
  <si>
    <t>final piala dunia kali ini beneran kelazzzz</t>
  </si>
  <si>
    <t>['final', 'piala', 'dunia', 'kali', 'beneran', 'kelazzzz']</t>
  </si>
  <si>
    <t>Mbappe hattrick di final piala dunia pada usia 23 tahun. Usia muda mental baja. Pertandingan yang seru.</t>
  </si>
  <si>
    <t>mbappe hattrick final piala dunia pada usia tahun usia muda mental baja pertandingan yang seru</t>
  </si>
  <si>
    <t>['mbappe', 'hattrick', 'final', 'piala', 'dunia', 'usia', 'tahun', 'usia', 'muda', 'mental', 'baja', 'pertandingan', 'seru']</t>
  </si>
  <si>
    <t>umur 23 hattrick di final piala dunia, waduk bangetü§£ü§£</t>
  </si>
  <si>
    <t>umur hattrick final piala dunia waduk banget</t>
  </si>
  <si>
    <t>['umur', 'hattrick', 'final', 'piala', 'dunia', 'waduk', 'banget']</t>
  </si>
  <si>
    <t>HATTRICK DI FINAL PIALA DUNIA. MBAPPE.</t>
  </si>
  <si>
    <t>hattrick final piala dunia mbappe</t>
  </si>
  <si>
    <t>['hattrick', 'final', 'piala', 'dunia', 'mbappe']</t>
  </si>
  <si>
    <t>HATTRICK! Saddiiisss final Piala Dunia 2022 seruuu</t>
  </si>
  <si>
    <t>hattrick saddiiisss final piala dunia seruuu</t>
  </si>
  <si>
    <t>['hattrick', 'saddiiisss', 'final', 'piala', 'dunia', 'seruuu']</t>
  </si>
  <si>
    <t>3-3. What a match Mbappe Hattrick di FINAL! Gokil, final piala dunia terbaik sepanjang masa!</t>
  </si>
  <si>
    <t>what match mbappe hattrick final gokil final piala dunia terbaik sepanjang masa</t>
  </si>
  <si>
    <t>['what', 'match', 'mbappe', 'hattrick', 'final', 'gila', 'final', 'piala', 'dunia', 'terbaik', 'sepanjang', 'masa']</t>
  </si>
  <si>
    <t>Hattrick di final piala dunia, The Real GOAT @KMbappe üî•üî•üî•</t>
  </si>
  <si>
    <t>hattrick final piala dunia the real goat</t>
  </si>
  <si>
    <t>['hattrick', 'final', 'piala', 'dunia', 'the', 'real', 'goat']</t>
  </si>
  <si>
    <t>GIlak kalo gw blh blg ini GILA!!! final piala dunia paling edyan sih ini!!</t>
  </si>
  <si>
    <t>gilak kalo blh blg ini gila final piala dunia paling edyan sih ini</t>
  </si>
  <si>
    <t>['gilak', 'blh', 'blg', 'gila', 'final', 'piala', 'dunia', 'paling', 'edyan']</t>
  </si>
  <si>
    <t>Final piala dunia</t>
  </si>
  <si>
    <t>FINAL PIALA DUNIA 2022 FINAL PALING SINTING üò≠üò≠üò≠</t>
  </si>
  <si>
    <t>Ampuun dah ini final piala dunia...</t>
  </si>
  <si>
    <t>ampuun dah ini final piala dunia</t>
  </si>
  <si>
    <t>['ampuun', 'dah', 'final', 'piala', 'dunia']</t>
  </si>
  <si>
    <t>Final Piala Dunia ya memang harus seru begini lah... Jangan seperti babak pertama tadi yang seperti pertandingan persahabatan.  #finalpialadunia2022 Menit 118: Arg-Fra 3-3</t>
  </si>
  <si>
    <t>final piala dunia memang harus seru begini lah jangan seperti babak pertama tadi yang seperti pertandingan persahabatan menit arg fra</t>
  </si>
  <si>
    <t>['final', 'piala', 'dunia', 'memang', 'seru', 'begini', 'lah', 'jangan', 'babak', 'pertama', 'tadi', 'pertandingan', 'persahabatan', 'menit', 'arg', 'fra']</t>
  </si>
  <si>
    <t>Kali terakhir pemain menjaringkan 2 gol dalam final Piala Dunia, Ronaldo 2002.   Mbappe? Hatrik!</t>
  </si>
  <si>
    <t>kali terakhir pemain menjaringkan gol dalam final piala dunia ronaldo mbappe hatrik</t>
  </si>
  <si>
    <t>['kali', 'terakhir', 'pemain', 'menjaringkan', 'gol', 'final', 'piala', 'dunia', 'ronaldo', 'mbappe', 'hatrik']</t>
  </si>
  <si>
    <t>ANJING FINAL PIALA DUNIA TERBAIKK. EPICC</t>
  </si>
  <si>
    <t>anjing final piala dunia terbaikk epicc</t>
  </si>
  <si>
    <t>['anjing', 'final', 'piala', 'dunia', 'terbaikk', 'epicc']</t>
  </si>
  <si>
    <t>Final piala dunia terseru coooggg...</t>
  </si>
  <si>
    <t>final piala dunia terseru coooggg</t>
  </si>
  <si>
    <t>['final', 'piala', 'dunia', 'terseru', 'coooggg']</t>
  </si>
  <si>
    <t>edaaaannn... Mbappe hattrick di final piala dunia..</t>
  </si>
  <si>
    <t>edaaaannn mbappe hattrick final piala dunia</t>
  </si>
  <si>
    <t>['edaaaannn', 'mbappe', 'hattrick', 'final', 'piala', 'dunia']</t>
  </si>
  <si>
    <t>hat trick di final piala dunia ü§Ø</t>
  </si>
  <si>
    <t>Hahaha drama bgt ini final piala dunia, seruu</t>
  </si>
  <si>
    <t>hahaha drama bgt ini final piala dunia seruu</t>
  </si>
  <si>
    <t>['hahaha', 'drama', 'banget', 'final', 'piala', 'dunia', 'seruu']</t>
  </si>
  <si>
    <t>NGENTOTTTT ITU KURA KURA HATTRICK DI FINAL PIALA DUNIA. FINAL PIALA DUNIA. FINAL PIALA DUNIA.</t>
  </si>
  <si>
    <t>ngentotttt itu kura kura hattrick final piala dunia final piala dunia final piala dunia</t>
  </si>
  <si>
    <t>['ngentotttt', 'kura', 'kura', 'hattrick', 'final', 'piala', 'dunia', 'final', 'piala', 'dunia', 'final', 'piala', 'dunia']</t>
  </si>
  <si>
    <t>&lt;FreqDist with 6 samples and 13 outcomes&gt;</t>
  </si>
  <si>
    <t>Final piala dunia paling epic!!!</t>
  </si>
  <si>
    <t>Asli dah, final piala dunia terseru</t>
  </si>
  <si>
    <t>asli dah final piala dunia terseru</t>
  </si>
  <si>
    <t>['asli', 'dah', 'final', 'piala', 'dunia', 'terseru']</t>
  </si>
  <si>
    <t>umur 23 tahun gua masih jadi beban keluarga, mbappe umur 23 hattrick final piala dunia</t>
  </si>
  <si>
    <t>umur tahun gua masih jadi beban keluarga mbappe umur hattrick final piala dunia</t>
  </si>
  <si>
    <t>['umur', 'tahun', 'gua', 'jadi', 'beban', 'keluarga', 'mbappe', 'umur', 'hattrick', 'final', 'piala', 'dunia']</t>
  </si>
  <si>
    <t>Final Piala Dunia terseru yang pernah gw liat sih ini</t>
  </si>
  <si>
    <t>final piala dunia terseru yang pernah liat sih ini</t>
  </si>
  <si>
    <t>['final', 'piala', 'dunia', 'terseru', 'pernah', 'lihat']</t>
  </si>
  <si>
    <t>Final Piala Dunia terseru ini mah</t>
  </si>
  <si>
    <t>final piala dunia terseru ini mah</t>
  </si>
  <si>
    <t>['final', 'piala', 'dunia', 'terseru', 'mah']</t>
  </si>
  <si>
    <t>Untung lagi final piala dunia jadi masih rame</t>
  </si>
  <si>
    <t>untung lagi final piala dunia jadi masih rame</t>
  </si>
  <si>
    <t>['untung', 'final', 'piala', 'dunia', 'jadi', 'ramai']</t>
  </si>
  <si>
    <t>Siapa pun yang juara, ini pertandingan Final Piala Dunia Terbaik.</t>
  </si>
  <si>
    <t>siapa pun yang juara ini pertandingan final piala dunia terbaik</t>
  </si>
  <si>
    <t>['siapa', 'juara', 'pertandingan', 'final', 'piala', 'dunia', 'terbaik']</t>
  </si>
  <si>
    <t>Hattrick gol final Piala Dunia Kylian Mbappe</t>
  </si>
  <si>
    <t>hattrick gol final piala dunia kylian mbappe</t>
  </si>
  <si>
    <t>['hattrick', 'gol', 'final', 'piala', 'dunia', 'kylian', 'mbappe']</t>
  </si>
  <si>
    <t>Hattrick di final piala dunia, what a player</t>
  </si>
  <si>
    <t>hattrick final piala dunia what player</t>
  </si>
  <si>
    <t>['hattrick', 'final', 'piala', 'dunia', 'what', 'player']</t>
  </si>
  <si>
    <t>Hattrick di final piala dunia, goks mbappe</t>
  </si>
  <si>
    <t>hattrick final piala dunia goks mbappe</t>
  </si>
  <si>
    <t>['hattrick', 'final', 'piala', 'dunia', 'goks', 'mbappe']</t>
  </si>
  <si>
    <t>FINAL PIALA DUNIA TERKEREN SIH!</t>
  </si>
  <si>
    <t>final piala dunia terkeren sih</t>
  </si>
  <si>
    <t>Final piala dunia paling gila ini</t>
  </si>
  <si>
    <t>final piala dunia paling gila ini</t>
  </si>
  <si>
    <t>FINAL PIALA DUNIA PALING GILAAA!</t>
  </si>
  <si>
    <t>final piala dunia paling gilaaa</t>
  </si>
  <si>
    <t>['final', 'piala', 'dunia', 'paling', 'gilaaa']</t>
  </si>
  <si>
    <t>Hattrik pertama di final Piala Dunia sejak 1966. Kylian Mbappe üëèüëèüëè</t>
  </si>
  <si>
    <t>hattrik pertama final piala dunia sejak kylian mbappe</t>
  </si>
  <si>
    <t>['hattrik', 'pertama', 'final', 'piala', 'dunia', 'sejak', 'kylian', 'mbappe']</t>
  </si>
  <si>
    <t>Cocote Mbappe hattrick di final piala dunia. Ra ngotak.</t>
  </si>
  <si>
    <t>cocote mbappe hattrick final piala dunia ngotak</t>
  </si>
  <si>
    <t>['cocote', 'mbappe', 'hattrick', 'final', 'piala', 'dunia', 'ngotak']</t>
  </si>
  <si>
    <t>apa rasanya hattrick di final piala dunia, pe?</t>
  </si>
  <si>
    <t>apa rasanya hattrick final piala dunia</t>
  </si>
  <si>
    <t>['apa', 'rasanya', 'hattrick', 'final', 'piala', 'dunia']</t>
  </si>
  <si>
    <t>DEMI APAPUN INI FINAL PIALA DUNIA PALING NGEHEEEEEE!!!</t>
  </si>
  <si>
    <t>demi apapun ini final piala dunia paling ngeheeeeee</t>
  </si>
  <si>
    <t>['apapun', 'final', 'piala', 'dunia', 'paling', 'ngeheeeeee']</t>
  </si>
  <si>
    <t>Raul Lemos hattrick di final Piala Dunia. Disayang mimi KD</t>
  </si>
  <si>
    <t>raul lemos hattrick final piala dunia disayang mimi</t>
  </si>
  <si>
    <t>['raul', 'lemos', 'hattrick', 'final', 'piala', 'dunia', 'disayang', 'mimi']</t>
  </si>
  <si>
    <t>gila ini final piala dunia</t>
  </si>
  <si>
    <t>['gila', 'final', 'piala', 'dunia']</t>
  </si>
  <si>
    <t>GOL! Penalty Kylian Mbappe. Hat-trick! 117' Argentina vs Prancis 3-3 (Messi 2 vs 3 Mbappe) Final Piala Dunia #FIFAWorldCup #Qatar2022</t>
  </si>
  <si>
    <t>gol penalty kylian mbappe hat trick argentina prancis messi mbappe final piala dunia</t>
  </si>
  <si>
    <t>['gol', 'penalty', 'kylian', 'mbappe', 'hat', 'trick', 'argentina', 'prancis', 'messi', 'mbappe', 'final', 'piala', 'dunia']</t>
  </si>
  <si>
    <t>FINAL PIALA DUNIA PALING SERU YANG PERNAH SAYA TONTON!</t>
  </si>
  <si>
    <t>final piala dunia paling seru yang pernah saya tonton</t>
  </si>
  <si>
    <t>['final', 'piala', 'dunia', 'paling', 'seru', 'pernah', 'tonton']</t>
  </si>
  <si>
    <t>@ACM_Indo Final terbaik selama piala dunia!  No debat.</t>
  </si>
  <si>
    <t>indo final terbaik selama piala dunia debat</t>
  </si>
  <si>
    <t>['indo', 'final', 'terbaik', 'selama', 'piala', 'dunia', 'debat']</t>
  </si>
  <si>
    <t>cok mbappe hattrick final piala dunia cok</t>
  </si>
  <si>
    <t>['cok', 'mbappe', 'hattrick', 'final', 'piala', 'dunia', 'cok']</t>
  </si>
  <si>
    <t>Gila!!final paling seru selama piala dunia !! #FIFAWorldCup #ArgentinaFrancia</t>
  </si>
  <si>
    <t>gila final paling seru selama piala dunia</t>
  </si>
  <si>
    <t>['gila', 'final', 'paling', 'seru', 'selama', 'piala', 'dunia']</t>
  </si>
  <si>
    <t>Final terseru sejauh nonton piala dunia sejak 1998</t>
  </si>
  <si>
    <t>final terseru sejauh nonton piala dunia sejak</t>
  </si>
  <si>
    <t>['final', 'terseru', 'sejauh', 'nonton', 'piala', 'dunia', 'sejak']</t>
  </si>
  <si>
    <t>@caurmendei ada final piala dunia rien</t>
  </si>
  <si>
    <t>ada final piala dunia rien</t>
  </si>
  <si>
    <t>['final', 'piala', 'dunia', 'rien']</t>
  </si>
  <si>
    <t>Lionel Messi mengantar Argentina unggul 3-2 atas Prancis di perpanjangan waktu final Piala Dunia 2022. Tim Tango selangkah kian dekat dengan trofi juara.  https://t.co/XAh0Yn7MoQ</t>
  </si>
  <si>
    <t>Final piala dunia terbaik sih ini , setiap menit selalu dibuat deg degan</t>
  </si>
  <si>
    <t>final piala dunia terbaik sih ini setiap menit selalu dibuat deg degan</t>
  </si>
  <si>
    <t>['final', 'piala', 'dunia', 'terbaik', 'menit', 'selalu', 'dibuat', 'deg', 'degan']</t>
  </si>
  <si>
    <t>Final Piala Dunia paling nano nano yg pernah aku liat! Kelas Argentina - Perancis!</t>
  </si>
  <si>
    <t>final piala dunia paling nano nano pernah aku liat kelas argentina perancis</t>
  </si>
  <si>
    <t>['final', 'piala', 'dunia', 'paling', 'nano', 'nano', 'pernah', 'aku', 'lihat', 'kelas', 'argentina', 'perancis']</t>
  </si>
  <si>
    <t>Wowowowo berisik bgt final piala Dunia 2022 üßêüòíüôÑ</t>
  </si>
  <si>
    <t>wowowowo berisik bgt final piala dunia</t>
  </si>
  <si>
    <t>['wowowowo', 'berisik', 'banget', 'final', 'piala', 'dunia']</t>
  </si>
  <si>
    <t>final piala dunia tergokil yang pernah gue tonton</t>
  </si>
  <si>
    <t>['final', 'piala', 'dunia', 'tergokil', 'pernah', 'gue', 'tonton']</t>
  </si>
  <si>
    <t>Kayaknya Mbappe deh Goat nya. Tapi ngga tau sih pusing. Anjing seru banget ini Final Piala Dunia</t>
  </si>
  <si>
    <t>kayaknya mbappe deh goat nya tapi ngga tau sih pusing anjing seru banget ini final piala dunia</t>
  </si>
  <si>
    <t>['kayaknya', 'mbappe', 'deh', 'goat', 'ngga', 'pusing', 'anjing', 'seru', 'banget', 'final', 'piala', 'dunia']</t>
  </si>
  <si>
    <t>Cuk final piala dunia apa ini</t>
  </si>
  <si>
    <t>cuk final piala dunia apa ini</t>
  </si>
  <si>
    <t>['cuk', 'final', 'piala', 'dunia', 'apa']</t>
  </si>
  <si>
    <t>@barcastuff_idn Bisa2nya hattrick final piala dunia</t>
  </si>
  <si>
    <t>idn bisa nya hattrick final piala dunia</t>
  </si>
  <si>
    <t>['idn', 'hattrick', 'final', 'piala', 'dunia']</t>
  </si>
  <si>
    <t>Hatrick di final piala dunia ü§Ø</t>
  </si>
  <si>
    <t>hatrick final piala dunia</t>
  </si>
  <si>
    <t>['hatrick', 'final', 'piala', 'dunia']</t>
  </si>
  <si>
    <t>gelo bocah 24 tahun hetrik neng final piala dunia!</t>
  </si>
  <si>
    <t>gelo bocah tahun hetrik neng final piala dunia</t>
  </si>
  <si>
    <t>['gelo', 'bocah', 'tahun', 'hetrik', 'neng', 'final', 'piala', 'dunia']</t>
  </si>
  <si>
    <t>Orang2 nonton final piala dunia pada pengen tim argentina yg menang, tim prancis yg menang, gw cuma pengen adu penalti sampe penendang ke-12 bjir wkwkwk</t>
  </si>
  <si>
    <t>orang nonton final piala dunia pada pengen tim argentina menang tim prancis menang cuma pengen adu penalti sampe penendang bjir wkwkwk</t>
  </si>
  <si>
    <t>['orang', 'nonton', 'final', 'piala', 'dunia', 'pengen', 'tim', 'argentina', 'menang', 'tim', 'prancis', 'menang', 'cuma', 'pengen', 'adu', 'penalti', 'sampai', 'penendang', 'bjir', 'wkwkwk']</t>
  </si>
  <si>
    <t>masih game on!!!! beneran final piala dunia ini!!! mana mbappe hattrick lagi!!!</t>
  </si>
  <si>
    <t>masih game beneran final piala dunia ini mana mbappe hattrick lagi</t>
  </si>
  <si>
    <t>['game', 'beneran', 'final', 'piala', 'dunia', 'mana', 'mbappe', 'hattrick']</t>
  </si>
  <si>
    <t>GOOOOLLL GGOOL, KYLIAN MBAPPE  Argentina 3:3 Perancis  Link Live Streaming Argentina vs Prancis Malam Ini 22.00 WIB Final Piala Dunia 2022   https://t.co/7L1xULcLZO</t>
  </si>
  <si>
    <t>goooolll ggool kylian mbappe argentina perancis link live streaming argentina prancis malam ini wib final piala dunia</t>
  </si>
  <si>
    <t>['goooolll', 'ggool', 'kylian', 'mbappe', 'argentina', 'perancis', 'link', 'live', 'streaming', 'argentina', 'prancis', 'malam', 'wib', 'final', 'piala', 'dunia']</t>
  </si>
  <si>
    <t>INI BARU FINAL PIALA DUNIA.</t>
  </si>
  <si>
    <t>Njjir salah satu final piala dunia terbaik dalam sejarah ini.</t>
  </si>
  <si>
    <t>njjir salah satu final piala dunia terbaik dalam sejarah ini</t>
  </si>
  <si>
    <t>['njjir', 'salah', 'satu', 'final', 'piala', 'dunia', 'terbaik', 'sejarah']</t>
  </si>
  <si>
    <t>Final Piala Dunia terbaik sepanjang masa?  https://t.co/v7wAronbUq</t>
  </si>
  <si>
    <t>Fakkkk!!! Final piala dunia paling 'gila' sih iki üî•üî•üî•</t>
  </si>
  <si>
    <t>fakkkk final piala dunia paling gila sih iki</t>
  </si>
  <si>
    <t>['fakkkk', 'final', 'piala', 'dunia', 'paling', 'gila', 'iki']</t>
  </si>
  <si>
    <t>mbappe the real GOAT! hattrick di final piala duniaüò≠</t>
  </si>
  <si>
    <t>mbappe the real goat hattrick final piala dunia</t>
  </si>
  <si>
    <t>['mbappe', 'the', 'real', 'goat', 'hattrick', 'final', 'piala', 'dunia']</t>
  </si>
  <si>
    <t>Gilakkk final piala dunia terseruuuu</t>
  </si>
  <si>
    <t>gilakkk final piala dunia terseruuuu</t>
  </si>
  <si>
    <t>['gilakkk', 'final', 'piala', 'dunia', 'terseruuuu']</t>
  </si>
  <si>
    <t>final piala dunia tergila anjir</t>
  </si>
  <si>
    <t>['final', 'piala', 'dunia', 'tergila', 'anjir']</t>
  </si>
  <si>
    <t>SERUU BANGETT ANJIRR FINAL PIALA DUNIA</t>
  </si>
  <si>
    <t>seruu bangett anjirr final piala dunia</t>
  </si>
  <si>
    <t>['seruu', 'bangett', 'anjirr', 'final', 'piala', 'dunia']</t>
  </si>
  <si>
    <t>Ini skenario film sempurna bener Final Piala Dunia 2022! 3-3 di extended time</t>
  </si>
  <si>
    <t>ini skenario film sempurna bener final piala dunia extended time</t>
  </si>
  <si>
    <t>['skenario', 'film', 'sempurna', 'benar', 'final', 'piala', 'dunia', 'extended', 'time']</t>
  </si>
  <si>
    <t>Final Piala Dunia tu kaya gini.</t>
  </si>
  <si>
    <t>final piala dunia kaya gini</t>
  </si>
  <si>
    <t>['final', 'piala', 'dunia', 'kaya', 'gini']</t>
  </si>
  <si>
    <t>FINAL PIALA DUNIA PALING ANJ</t>
  </si>
  <si>
    <t>final piala dunia paling anj</t>
  </si>
  <si>
    <t>['final', 'piala', 'dunia', 'paling', 'anj']</t>
  </si>
  <si>
    <t>Hattrick di final piala dunia gilakkkkkk</t>
  </si>
  <si>
    <t>hattrick final piala dunia gilakkkkkk</t>
  </si>
  <si>
    <t>['hattrick', 'final', 'piala', 'dunia', 'gilakkkkkk']</t>
  </si>
  <si>
    <t>Ajg haattrick final piala dunia ngehe</t>
  </si>
  <si>
    <t>ajg haattrick final piala dunia ngehe</t>
  </si>
  <si>
    <t>['ajg', 'haattrick', 'final', 'piala', 'dunia', 'ngehe']</t>
  </si>
  <si>
    <t>HATTRICK MBAPPE!!!  HATTRICK PERTAMA DI FINAL PIALA DUNIA SEJAK GEOFF HURST 56 TAHUN LALU!!!!</t>
  </si>
  <si>
    <t>hattrick mbappe hattrick pertama final piala dunia sejak geoff hurst tahun lalu</t>
  </si>
  <si>
    <t>['hattrick', 'mbappe', 'hattrick', 'pertama', 'final', 'piala', 'dunia', 'sejak', 'geoff', 'hurst', 'tahun', 'lalu']</t>
  </si>
  <si>
    <t>Hatrik final Piala Dunia untuk Mbappe.</t>
  </si>
  <si>
    <t>hatrik final piala dunia untuk mbappe</t>
  </si>
  <si>
    <t>['hatrik', 'final', 'piala', 'dunia', 'mbappe']</t>
  </si>
  <si>
    <t>Final piala dunia paling aneh. üòÖüòÖüòÖ</t>
  </si>
  <si>
    <t>final piala dunia paling aneh</t>
  </si>
  <si>
    <t>['final', 'piala', 'dunia', 'paling', 'aneh']</t>
  </si>
  <si>
    <t>buset mbappe hattrick final piala dunia coy</t>
  </si>
  <si>
    <t>['buset', 'mbappe', 'hattrick', 'final', 'piala', 'dunia', 'coy']</t>
  </si>
  <si>
    <t>final piala dunia bener2 full plot twist</t>
  </si>
  <si>
    <t>final piala dunia bener full plot twist</t>
  </si>
  <si>
    <t>['final', 'piala', 'dunia', 'benar', 'full', 'plot', 'twist']</t>
  </si>
  <si>
    <t>FINAL PIALA DUNIA PALING SERU!!</t>
  </si>
  <si>
    <t>Alhamdulillah iso ndelok final piala dunia terbaik</t>
  </si>
  <si>
    <t>alhamdulillah iso ndelok final piala dunia terbaik</t>
  </si>
  <si>
    <t>['alhamdulillah', 'iso', 'ndelok', 'final', 'piala', 'dunia', 'terbaik']</t>
  </si>
  <si>
    <t>FINAL PIALA DUNIA PALING GILAAAA!!! MBAPPE HATRICK</t>
  </si>
  <si>
    <t>final piala dunia paling gilaaaa mbappe hatrick</t>
  </si>
  <si>
    <t>['final', 'piala', 'dunia', 'paling', 'gilaaaa', 'mbappe', 'hatrick']</t>
  </si>
  <si>
    <t>Mbappe Hattrick di Final Piala Dunia, edan</t>
  </si>
  <si>
    <t>mbappe hattrick final piala dunia edan</t>
  </si>
  <si>
    <t>['mbappe', 'hattrick', 'final', 'piala', 'dunia', 'edan']</t>
  </si>
  <si>
    <t>LHO HEH LHO HEH PINALTI HAHHAHAHA.. final piala dunia paling sintingggggg</t>
  </si>
  <si>
    <t>lho heh lho heh pinalti hahhahaha final piala dunia paling sintingggggg</t>
  </si>
  <si>
    <t>['lho', 'heh', 'lho', 'heh', 'penalti', 'hahhahaha', 'final', 'piala', 'dunia', 'paling', 'sintingggggg']</t>
  </si>
  <si>
    <t>FINAL PIALA DUNIA TER DRAMA BANGKEE WKWK</t>
  </si>
  <si>
    <t>final piala dunia ter drama bangkee wkwk</t>
  </si>
  <si>
    <t>['final', 'piala', 'dunia', 'ter', 'drama', 'bangkee']</t>
  </si>
  <si>
    <t>Hattrick, di final, piala dunia</t>
  </si>
  <si>
    <t>FINAL PIALA DUNIA TERSERU AJIGGGG</t>
  </si>
  <si>
    <t>final piala dunia terseru ajigggg</t>
  </si>
  <si>
    <t>['final', 'piala', 'dunia', 'terseru', 'ajigggg']</t>
  </si>
  <si>
    <t>GOOOOLLLLL GOOOOLLLLL, KYLIAN MBAPPE  Argentina 3:3 Perancis  Link Live Streaming Argentina vs Prancis Malam Ini 22.00 WIB Final Piala Dunia 2022   https://t.co/ksXxe9SKCJ</t>
  </si>
  <si>
    <t>goooolllll goooolllll kylian mbappe argentina perancis link live streaming argentina prancis malam ini wib final piala dunia</t>
  </si>
  <si>
    <t>['goooolllll', 'goooolllll', 'kylian', 'mbappe', 'argentina', 'perancis', 'link', 'live', 'streaming', 'argentina', 'prancis', 'malam', 'wib', 'final', 'piala', 'dunia']</t>
  </si>
  <si>
    <t>BOCAH. 23. TAHUN. HATTRICK. DI. FINAL. PIALA. DUNIA. BGST!!!!!!!!!</t>
  </si>
  <si>
    <t>bocah tahun hattrick final piala dunia bgst</t>
  </si>
  <si>
    <t>['bocah', 'tahun', 'hattrick', 'final', 'piala', 'dunia', 'bgst']</t>
  </si>
  <si>
    <t>final piala dunia terdeg2an sih ini</t>
  </si>
  <si>
    <t>final piala dunia terdeg sih ini</t>
  </si>
  <si>
    <t>['final', 'piala', 'dunia', 'terdeg']</t>
  </si>
  <si>
    <t>Ini final piala dunia atau maen apa sih wkwkwk</t>
  </si>
  <si>
    <t>ini final piala dunia atau maen apa sih wkwkwk</t>
  </si>
  <si>
    <t>['final', 'piala', 'dunia', 'maen', 'apa', 'wkwkwk']</t>
  </si>
  <si>
    <t>Hat trick di final piala dunia, udeh alig itu bocah</t>
  </si>
  <si>
    <t>hat trick final piala dunia udeh alig itu bocah</t>
  </si>
  <si>
    <t>['hat', 'trick', 'final', 'piala', 'dunia', 'udeh', 'gila', 'bocah']</t>
  </si>
  <si>
    <t>Hattrick Final Piala Dunia anjjjjjj The Real Goatttt</t>
  </si>
  <si>
    <t>hattrick final piala dunia anjjjjjj the real goatttt</t>
  </si>
  <si>
    <t>['hattrick', 'final', 'piala', 'dunia', 'anjjjjjj', 'the', 'real', 'goatttt']</t>
  </si>
  <si>
    <t>Gila, piala dunia kali ini gilaaaaaaaaaaaaaaaa. Final Prancis vs Argentina gilaaaaaaaa</t>
  </si>
  <si>
    <t>gila piala dunia kali ini gilaaaaaaaaaaaaaaaa final prancis argentina gilaaaaaaaa</t>
  </si>
  <si>
    <t>['gila', 'piala', 'dunia', 'kali', 'gilaaaaaaaaaaaaaaaa', 'final', 'prancis', 'argentina', 'gilaaaaaaaa']</t>
  </si>
  <si>
    <t>GOKIL HATTRICK DI FINAL PIALA DUNIA. GOAT LU @KMbappe</t>
  </si>
  <si>
    <t>gokil hattrick final piala dunia goat</t>
  </si>
  <si>
    <t>['gila', 'hattrick', 'final', 'piala', 'dunia', 'goat']</t>
  </si>
  <si>
    <t>Final piala dunia ter dramatis üò≠üò≠üò≠üò≠üò≠üò≠üò≠</t>
  </si>
  <si>
    <t>final piala dunia ter dramatis</t>
  </si>
  <si>
    <t>['final', 'piala', 'dunia', 'ter', 'dramatis']</t>
  </si>
  <si>
    <t>Gapapa orang hype final piala dunia Kalo w hype in janguk üòö  https://t.co/EpUYMZZUzd</t>
  </si>
  <si>
    <t>gapapa orang hype final piala dunia kalo hype janguk</t>
  </si>
  <si>
    <t>['gapapa', 'orang', 'hype', 'final', 'piala', 'dunia', 'hype', 'janguk']</t>
  </si>
  <si>
    <t>FINAL PIALA DUNIA PALING EPIK #FIFAWorldCup</t>
  </si>
  <si>
    <t>Lionel Messi mengantar Argentina unggul 3-2 atas Prancis di perpanjangan waktu final Piala Dunia 2022. Tim Tango selangkah kian dekat dengan trofi juara.  https://t.co/XAh0YmQJmQ</t>
  </si>
  <si>
    <t>Hattrick di final piala dunia ni bos. Senggol dong</t>
  </si>
  <si>
    <t>hattrick final piala dunia bos senggol dong</t>
  </si>
  <si>
    <t>['hattrick', 'final', 'piala', 'dunia', 'bos', 'senggol', 'dong']</t>
  </si>
  <si>
    <t>Lionel Messi mengantar Argentina unggul 3-2 atas Prancis di perpanjangan waktu final Piala Dunia 2022. Tim Tango selangkah kian dekat dengan trofi juara.  https://t.co/9q1sUyT3Z2</t>
  </si>
  <si>
    <t>Lionel Messi mengantar Argentina unggul 3-2 atas Prancis di perpanjangan waktu final Piala Dunia 2022. Tim Tango selangkah kian dekat dengan trofi juara.  https://t.co/fXM1LD18hM</t>
  </si>
  <si>
    <t>Final Piala Dunia Terbaik 2022</t>
  </si>
  <si>
    <t>Piala Dunia 2022 - Messi Bawa Argentina Unggul 3 - 2 Atas Prancis Pada Laga Final #pojokmakassar #PialaDunia2022    https://t.co/QD8KlkE94n</t>
  </si>
  <si>
    <t>piala dunia messi bawa argentina unggul atas prancis pada laga final</t>
  </si>
  <si>
    <t>['piala', 'dunia', 'messi', 'bawa', 'argentina', 'unggul', 'atas', 'prancis', 'laga', 'final']</t>
  </si>
  <si>
    <t>Piala dunia dan final piala dunia terbaik yang pernah saya tonton!! Fuck</t>
  </si>
  <si>
    <t>piala dunia dan final piala dunia terbaik yang pernah saya tonton fuck</t>
  </si>
  <si>
    <t>['piala', 'dunia', 'final', 'piala', 'dunia', 'terbaik', 'pernah', 'tonton', 'fuck']</t>
  </si>
  <si>
    <t>116' Penalty for France. Handsball. Final Piala Dunia #FIFAWorldCup #Qatar2022</t>
  </si>
  <si>
    <t>penalty for france handsball final piala dunia</t>
  </si>
  <si>
    <t>['penalty', 'for', 'france', 'handsball', 'final', 'piala', 'dunia']</t>
  </si>
  <si>
    <t>harus di akuin ini final piala dunia paling seru</t>
  </si>
  <si>
    <t>harus akuin ini final piala dunia paling seru</t>
  </si>
  <si>
    <t>['akuin', 'final', 'piala', 'dunia', 'paling', 'seru']</t>
  </si>
  <si>
    <t>Final piala dunia terbaik !!!</t>
  </si>
  <si>
    <t>MENIT 116, PRANCIS PENALTI LAGI  Argentina 3:2 Perancis  Link Live Streaming Argentina vs Prancis Malam Ini 22.00 WIB Final Piala Dunia 2022   https://t.co/pCFidHZIyD</t>
  </si>
  <si>
    <t>menit prancis penalti lagi argentina perancis link live streaming argentina prancis malam ini wib final piala dunia</t>
  </si>
  <si>
    <t>['menit', 'prancis', 'penalti', 'argentina', 'perancis', 'link', 'live', 'streaming', 'argentina', 'prancis', 'malam', 'wib', 'final', 'piala', 'dunia']</t>
  </si>
  <si>
    <t>Nonton Final #FIFAWorldCup dgn Bapak, mudahan piala dunia berikutnya terus dengannya..</t>
  </si>
  <si>
    <t>nonton final dgn bapak mudahan piala dunia berikutnya terus dengannya</t>
  </si>
  <si>
    <t>['nonton', 'final', 'bapak', 'mudahan', 'piala', 'dunia', 'berikutnya', 'terus', 'dengannya']</t>
  </si>
  <si>
    <t>FINAL PIALA DUNIA QATAR YANG PALING QATAR  GOAL NYA DARI PEMAIN PSG DAN EX PSG SEMUA, DAN PSG SENDIRI YANG PUNYA QATAR</t>
  </si>
  <si>
    <t>final piala dunia qatar yang paling qatar goal nya dari pemain psg dan psg semua dan psg sendiri yang punya qatar</t>
  </si>
  <si>
    <t>['final', 'piala', 'dunia', 'qatar', 'paling', 'qatar', 'goal', 'pemain', 'psg', 'psg', 'semua', 'psg', 'sendiri', 'punya', 'qatar']</t>
  </si>
  <si>
    <t>Aku yang lagi nonton final piala dunia dari timeline twitter :  https://t.co/h3Rt6UFRmd</t>
  </si>
  <si>
    <t>aku yang lagi nonton final piala dunia dari timeline twitter</t>
  </si>
  <si>
    <t>['aku', 'nonton', 'final', 'piala', 'dunia', 'timeline', 'twitter']</t>
  </si>
  <si>
    <t>Gelar Nobar Final Piala Dunia di Tengah Permukiman, Sekjen DPP Pemuda Perindo: Bukti Kita¬†Merakyat  https://t.co/MUgt6rJ2V0</t>
  </si>
  <si>
    <t>Seru sampai akhir. Final Piala Dunia paling menegangkan</t>
  </si>
  <si>
    <t>seru sampai akhir final piala dunia paling menegangkan</t>
  </si>
  <si>
    <t>['seru', 'akhir', 'final', 'piala', 'dunia', 'paling', 'menegangkan']</t>
  </si>
  <si>
    <t>Gelar Nobar Final Piala Dunia di Tengah Permukiman, Sekjen DPP Pemuda Perindo: Bukti Kita¬†Merakyat  https://t.co/Inzt2gtK1p</t>
  </si>
  <si>
    <t>Laga¬†Argentina¬†kontra¬†Prancis¬†pada Babak Final¬†Piala Dunia¬†2022 di Qatar sudah di depan mata. La Albiceleste akan mengerahkan seluruh kekuatannya untuk mengalahkan¬†Prancis¬†dan meraih gelar juara¬†Piala Dunia¬†2022.   https://t.co/zkzjo8XT36</t>
  </si>
  <si>
    <t>laga argentina kontra prancis pada babak final piala dunia qatar sudah depan mata albiceleste akan mengerahkan seluruh kekuatannya untuk mengalahkan prancis dan meraih gelar juara piala dunia</t>
  </si>
  <si>
    <t>['laga', 'argentina', 'kontra', 'prancis', 'babak', 'final', 'piala', 'dunia', 'qatar', 'depan', 'mata', 'albiceleste', 'mengerahkan', 'seluruh', 'kekuatannya', 'mengalahkan', 'prancis', 'meraih', 'gelar', 'juara', 'piala', 'dunia']</t>
  </si>
  <si>
    <t>Malam Final Piala Dunia, Vokalis Hijau Daun Pukau Masyarakat Basel ¬†  https://t.co/B46qEqTEjU</t>
  </si>
  <si>
    <t>malam final piala dunia vokalis hijau daun pukau masyarakat basel</t>
  </si>
  <si>
    <t>['malam', 'final', 'piala', 'dunia', 'vokalis', 'hijau', 'daun', 'pukau', 'masyarakat', 'basel']</t>
  </si>
  <si>
    <t>Link live streaming alternatif, Final Piala Dunia 2022 Argentina vs Prancis, skor imbang 2-2  https://t.co/GdBwCAlFyX</t>
  </si>
  <si>
    <t>Kalau 3-3 ni memang inilah final paling sengit dalam sejarah Piala Dunia. Kalau paling sengit kat dunia masa Arsenal menang FA Cup lawan Hull City dulu.</t>
  </si>
  <si>
    <t>kalau memang inilah final paling sengit dalam sejarah piala dunia kalau paling sengit kat dunia masa arsenal menang cup lawan hull city dulu</t>
  </si>
  <si>
    <t>['kalau', 'memang', 'inilah', 'final', 'paling', 'sengit', 'sejarah', 'piala', 'dunia', 'kalau', 'paling', 'sengit', 'kat', 'dunia', 'masa', 'arsenal', 'menang', 'cup', 'lawan', 'hull', 'city', 'dulu']</t>
  </si>
  <si>
    <t>Afrika mana iyeu nu final piala dunia üòÅü§™</t>
  </si>
  <si>
    <t>afrika mana iyeu final piala dunia</t>
  </si>
  <si>
    <t>['afrika', 'mana', 'iyeu', 'final', 'piala', 'dunia']</t>
  </si>
  <si>
    <t>MENIT 114, PELUANG TENDANGAN SUDUT  Argentina 3:2 Perancis  Link Live Streaming Argentina vs Prancis Malam Ini 22.00 WIB Final Piala Dunia 2022   https://t.co/Chp3ohc6Xp</t>
  </si>
  <si>
    <t>menit peluang tendangan sudut argentina perancis link live streaming argentina prancis malam ini wib final piala dunia</t>
  </si>
  <si>
    <t>['menit', 'peluang', 'tendangan', 'sudut', 'argentina', 'perancis', 'link', 'live', 'streaming', 'argentina', 'prancis', 'malam', 'wib', 'final', 'piala', 'dunia']</t>
  </si>
  <si>
    <t>Final piala dunia rasa liga tarkam</t>
  </si>
  <si>
    <t>final piala dunia rasa liga tarkam</t>
  </si>
  <si>
    <t>['final', 'piala', 'dunia', 'rasa', 'liga', 'tarkam']</t>
  </si>
  <si>
    <t>Argentina 3: Prancis 2  Final piala dunia 2022 ini seru</t>
  </si>
  <si>
    <t>argentina prancis final piala dunia ini seru</t>
  </si>
  <si>
    <t>['argentina', 'prancis', 'final', 'piala', 'dunia', 'seru']</t>
  </si>
  <si>
    <t>Tutorial stress : Nonton final piala dunia 2022</t>
  </si>
  <si>
    <t>tutorial stress nonton final piala dunia</t>
  </si>
  <si>
    <t>['tutorial', 'stress', 'nonton', 'final', 'piala', 'dunia']</t>
  </si>
  <si>
    <t>rasanya nonton final piala dunia sambil baca technical report aduu ga fokusss hahahahhahahaha  cuma dapet berapa halaman doang</t>
  </si>
  <si>
    <t>rasanya nonton final piala dunia sambil baca technical report aduu fokusss hahahahhahahaha cuma dapet berapa halaman doang</t>
  </si>
  <si>
    <t>['rasanya', 'nonton', 'final', 'piala', 'dunia', 'baca', 'technical', 'report', 'aduu', 'fokusss', 'hahahahhahahaha', 'cuma', 'dapat', 'berapa', 'halaman', 'doang']</t>
  </si>
  <si>
    <t>iki baru final piala duniaü§ë</t>
  </si>
  <si>
    <t>iki baru final piala dunia</t>
  </si>
  <si>
    <t>['iki', 'baru', 'final', 'piala', 'dunia']</t>
  </si>
  <si>
    <t>Gilak si koyok dongeng‚Ä¶ Messi mencetak goal kemenangan Argentina di babak extra time final piala dunia.  *nak sido menang</t>
  </si>
  <si>
    <t>gilak koyok dongeng messi mencetak goal kemenangan argentina babak extra time final piala dunia nak sido menang</t>
  </si>
  <si>
    <t>['gilak', 'koyok', 'dongeng', 'messi', 'mencetak', 'goal', 'kemenangan', 'argentina', 'babak', 'extra', 'time', 'final', 'piala', 'dunia', 'nak', 'sido', 'menang']</t>
  </si>
  <si>
    <t>Serba-serbi keseruan final piala dunia üòÇ Aceh memang bar-bar  #Mbappe  #FIFAWorldCup2022  #WorldCup  #MessiìÉµ  https://t.co/TY8xnUo8Ji</t>
  </si>
  <si>
    <t>serba serbi keseruan final piala dunia aceh memang bar bar</t>
  </si>
  <si>
    <t>['serba', 'serbi', 'keseruan', 'final', 'piala', 'dunia', 'aceh', 'memang', 'bar', 'bar']</t>
  </si>
  <si>
    <t>Kayaknya ini final Piala Dunia paling seru yg pernah gue tonton‚Ä¶ GILA</t>
  </si>
  <si>
    <t>kayaknya ini final piala dunia paling seru pernah gue tonton gila</t>
  </si>
  <si>
    <t>['kayaknya', 'final', 'piala', 'dunia', 'paling', 'seru', 'pernah', 'gue', 'tonton', 'gila']</t>
  </si>
  <si>
    <t>Puan Dukung Argentina di Final Piala Dunia 2022  https://t.co/TIL6RbWgoF</t>
  </si>
  <si>
    <t>puan dukung argentina final piala dunia</t>
  </si>
  <si>
    <t>['puan', 'dukung', 'argentina', 'final', 'piala', 'dunia']</t>
  </si>
  <si>
    <t>Messi njrittt üòÇüòÇüòÇ bisa2 nya Goal lagi üò± mbappe tunjukkan kekuatanmu . Bner2 ngaduin emosi nobar final piala dunia Argentina vs france üò≠üò≠üò≠ akankah akhirnya 3-2 di extra time atau penalti ? üò±üò±  https://t.co/Sd2hnsXJWk</t>
  </si>
  <si>
    <t>messi njrittt bisa nya goal lagi mbappe tunjukkan kekuatanmu bner ngaduin emosi nobar final piala dunia argentina france akankah akhirnya extra time atau penalti</t>
  </si>
  <si>
    <t>['messi', 'njrittt', 'goal', 'mbappe', 'tunjukkan', 'kekuatanmu', 'bner', 'ngaduin', 'emosi', 'nonton bareng', 'final', 'piala', 'dunia', 'argentina', 'france', 'akankah', 'akhirnya', 'extra', 'time', 'penalti']</t>
  </si>
  <si>
    <t>Puluhan Warga Nekang Gelar Nonton Bareng Final Piala¬†Dunia  https://t.co/5HCwmGSxnS</t>
  </si>
  <si>
    <t>puluhan warga nekang gelar nonton bareng final piala dunia</t>
  </si>
  <si>
    <t>['puluhan', 'warga', 'nekang', 'gelar', 'nonton', 'bareng', 'final', 'piala', 'dunia']</t>
  </si>
  <si>
    <t>Final piala dunia terseru yang pernah dilihat setelah 2010 lalu</t>
  </si>
  <si>
    <t>final piala dunia terseru yang pernah dilihat setelah lalu</t>
  </si>
  <si>
    <t>['final', 'piala', 'dunia', 'terseru', 'pernah', 'dilihat', 'lalu']</t>
  </si>
  <si>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</si>
  <si>
    <t>bhabinkamtibmas kel kunciran polsek pinang melaksanakan monitoring giat masyarakat dalam rangka nonton bareng nobar pertandingan final sepak bola piala dunia antara argentina prancis yang diselenggarakan agro wisata kampung gempol kel kunciran kec pinang</t>
  </si>
  <si>
    <t>['bhabinkamtibmas', 'kel', 'kunciran', 'polsek', 'pinang', 'melaksanakan', 'monitoring', 'giat', 'masyarakat', 'rangka', 'nonton', 'bareng', 'nonton bareng', 'pertandingan', 'final', 'sepak', 'bola', 'piala', 'dunia', 'argentina', 'prancis', 'diselenggarakan', 'agro', 'wisata', 'kampung', 'gempol', 'kel', 'kunciran', 'kec', 'pinang']</t>
  </si>
  <si>
    <t>FINAL PIALA DUNIA TERSERU INI WOOOY!!!!!</t>
  </si>
  <si>
    <t>final piala dunia terseru ini woooy</t>
  </si>
  <si>
    <t>['final', 'piala', 'dunia', 'terseru', 'woooy']</t>
  </si>
  <si>
    <t>Gilaa gilaa final piala dunia epic</t>
  </si>
  <si>
    <t>gilaa gilaa final piala dunia epic</t>
  </si>
  <si>
    <t>['gilaa', 'gilaa', 'final', 'piala', 'dunia', 'epic']</t>
  </si>
  <si>
    <t>Gol Messi mengubah kedudukan. Argentina unggul sementara 3-2 atas Perancis.  Simak #ReportaseLangsung Final Piala Dunia 2022 Argentina VS Perancis melalui ‚û°Ô∏è  https://t.co/tfluAn7OqT  #PestaBolaQatar #AdadiKompas</t>
  </si>
  <si>
    <t>gol messi mengubah kedudukan argentina unggul sementara atas perancis simak final piala dunia argentina perancis melalui</t>
  </si>
  <si>
    <t>['gol', 'messi', 'mengubah', 'kedudukan', 'argentina', 'unggul', 'atas', 'perancis', 'simak', 'final', 'piala', 'dunia', 'argentina', 'perancis', 'melalui']</t>
  </si>
  <si>
    <t>Jiirr final Piala Dunia paling seru ini sih</t>
  </si>
  <si>
    <t>jiirr final piala dunia paling seru ini sih</t>
  </si>
  <si>
    <t>['jiirr', 'final', 'piala', 'dunia', 'paling', 'seru']</t>
  </si>
  <si>
    <t>The real final piala duniaüî•</t>
  </si>
  <si>
    <t>final piala dunia paling menghibur selama aku nonton piala dunia sampe umur sekarang</t>
  </si>
  <si>
    <t>['final', 'piala', 'dunia', 'paling', 'menghibur', 'selama', 'aku', 'nonton', 'piala', 'dunia', 'sampai', 'umur', 'sekarang']</t>
  </si>
  <si>
    <t>Hasil Final Piala Dunia Argentina Vs Prancis: 3-2, Messi Cetak Gol Dramatis!    https://t.co/TAEibMElLh via @TribunLombokcom</t>
  </si>
  <si>
    <t>hasil final piala dunia argentina prancis messi cetak gol dramatis via</t>
  </si>
  <si>
    <t>['hasil', 'final', 'piala', 'dunia', 'argentina', 'prancis', 'messi', 'cetak', 'gol', 'dramatis', 'via']</t>
  </si>
  <si>
    <t>Final Piala Dunia 2022: Messi vs Mbappe...</t>
  </si>
  <si>
    <t>final piala dunia messi mbappe</t>
  </si>
  <si>
    <t>['final', 'piala', 'dunia', 'messi', 'mbappe']</t>
  </si>
  <si>
    <t>@wenny_nabila Final piala dunia wen</t>
  </si>
  <si>
    <t>nabila final piala dunia wen</t>
  </si>
  <si>
    <t>['nabila', 'final', 'piala', 'dunia', 'wen']</t>
  </si>
  <si>
    <t>Wow VAR sangat berperan penting di final piala dunia ini</t>
  </si>
  <si>
    <t>wow var sangat berperan penting final piala dunia ini</t>
  </si>
  <si>
    <t>['wow', 'var', 'sangat', 'berperan', 'penting', 'final', 'piala', 'dunia']</t>
  </si>
  <si>
    <t>Final Piala Dunia terbaik yang pernah ku tonton!</t>
  </si>
  <si>
    <t>Gila banget ini final Piala Dunia 2022. Alot. Bener2 the best teams</t>
  </si>
  <si>
    <t>gila banget ini final piala dunia alot bener the best teams</t>
  </si>
  <si>
    <t>['gila', 'banget', 'final', 'piala', 'dunia', 'alot', 'benar', 'the', 'best', 'teams']</t>
  </si>
  <si>
    <t>Liat final piala dunia rasane koyok ndelok mantan dilamar ABRI</t>
  </si>
  <si>
    <t>liat final piala dunia rasane koyok ndelok mantan dilamar abri</t>
  </si>
  <si>
    <t>['lihat', 'final', 'piala', 'dunia', 'rasane', 'koyok', 'ndelok', 'mantan', 'dilamar', 'abri']</t>
  </si>
  <si>
    <t>VAR gak berguna di final piala dunia</t>
  </si>
  <si>
    <t>var gak berguna final piala dunia</t>
  </si>
  <si>
    <t>['var', 'berguna', 'final', 'piala', 'dunia']</t>
  </si>
  <si>
    <t>Selama nonton final piala dunia jiwaku benar2 terguncang</t>
  </si>
  <si>
    <t>selama nonton final piala dunia jiwaku benar terguncang</t>
  </si>
  <si>
    <t>['selama', 'nonton', 'final', 'piala', 'dunia', 'jiwaku', 'benar', 'terguncang']</t>
  </si>
  <si>
    <t>Final piala dunia terame sih</t>
  </si>
  <si>
    <t>final piala dunia terame sih</t>
  </si>
  <si>
    <t>['final', 'piala', 'dunia', 'terame']</t>
  </si>
  <si>
    <t>Njir senam jantung nonton final piala dunia üôÇ‚ò†Ô∏è</t>
  </si>
  <si>
    <t>njir senam jantung nonton final piala dunia</t>
  </si>
  <si>
    <t>['njir', 'senam', 'jantung', 'nonton', 'final', 'piala', 'dunia']</t>
  </si>
  <si>
    <t>Ini beneran final piala dunia sik!  Kacoooooooo beneran ga dikasi nyerah ampe titik darah penghabisan</t>
  </si>
  <si>
    <t>ini beneran final piala dunia sik kacoooooooo beneran dikasi nyerah ampe titik darah penghabisan</t>
  </si>
  <si>
    <t>['beneran', 'final', 'piala', 'dunia', 'sik', 'kacoooooooo', 'beneran', 'dikasi', 'nyerah', 'sampai', 'titik', 'darah', 'penghabisan']</t>
  </si>
  <si>
    <t>Baru kali ini nonton final piala Dunia..  Paling seru banget, no seting¬≤..</t>
  </si>
  <si>
    <t>baru kali ini nonton final piala dunia paling seru banget seting</t>
  </si>
  <si>
    <t>['baru', 'kali', 'nonton', 'final', 'piala', 'dunia', 'paling', 'seru', 'banget', 'seting']</t>
  </si>
  <si>
    <t>Goal Argentina 3 Prancis 2  Link Streaming Gratis Final Piala Dunia 2022   https://t.co/EG7SAWEv1S</t>
  </si>
  <si>
    <t>goal argentina prancis link streaming gratis final piala dunia</t>
  </si>
  <si>
    <t>['goal', 'argentina', 'prancis', 'link', 'streaming', 'gratis', 'final', 'piala', 'dunia']</t>
  </si>
  <si>
    <t>Njirrrr. Final Piala Dunia tersengit!!!!!</t>
  </si>
  <si>
    <t>njirrrr final piala dunia tersengit</t>
  </si>
  <si>
    <t>['njirrrr', 'final', 'piala', 'dunia', 'tersengit']</t>
  </si>
  <si>
    <t>jadi keinget sodara gue, soal uts doi disuruh catetin skor piala dunia sm disuruh prediksi siapa¬≤ aja yg lolos ke final üòÇ</t>
  </si>
  <si>
    <t>jadi keinget sodara gue soal uts doi disuruh catetin skor piala dunia disuruh prediksi siapa aja lolos final</t>
  </si>
  <si>
    <t>['jadi', 'keinget', 'sodara', 'gue', 'soal', 'uts', 'doi', 'disuruh', 'catetin', 'skor', 'piala', 'dunia', 'disuruh', 'prediksi', 'siapa', 'lolos', 'final']</t>
  </si>
  <si>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</si>
  <si>
    <t>ipda rifto kristiono kanit polsek pinang melaksanakan monitoring giat masyarakat dalam rangka nonton bareng nobar pertandingan final sepak bola piala dunia antara argentina prancis yang diselenggarakan posko ampd riwan kel kunciran kec pinang</t>
  </si>
  <si>
    <t>['ipda', 'rifto', 'kristiono', 'kanit', 'polsek', 'pinang', 'melaksanakan', 'monitoring', 'giat', 'masyarakat', 'rangka', 'nonton', 'bareng', 'nonton bareng', 'pertandingan', 'final', 'sepak', 'bola', 'piala', 'dunia', 'argentina', 'prancis', 'diselenggarakan', 'posko', 'ampd', 'riwan', 'kel', 'kunciran', 'kec', 'pinang']</t>
  </si>
  <si>
    <t>GOL!  110' Argentina vs Prancis 3-2 Final Piala Dunia #FIFAWorldCup #Qatar2022</t>
  </si>
  <si>
    <t>gol argentina prancis final piala dunia</t>
  </si>
  <si>
    <t>['gol', 'argentina', 'prancis', 'final', 'piala', 'dunia']</t>
  </si>
  <si>
    <t>HAHHH STRESSSS final piala dunia inii üò≠</t>
  </si>
  <si>
    <t>hahhh stressss final piala dunia inii</t>
  </si>
  <si>
    <t>['hahhh', 'stressss', 'final', 'piala', 'dunia', 'inii']</t>
  </si>
  <si>
    <t>Presiden Perancis Nonton Final Piala Dunia Qatar 2022 - Victory News  https://t.co/jHl4Z5OueM</t>
  </si>
  <si>
    <t>presiden perancis nonton final piala dunia qatar victory news</t>
  </si>
  <si>
    <t>['presiden', 'perancis', 'nonton', 'final', 'piala', 'dunia', 'qatar', 'victory', 'news']</t>
  </si>
  <si>
    <t>GOOOOLLL GGOOL, LIONEL MESSI  Argentina 3:2 Perancis  Link Live Streaming Argentina vs Prancis Malam Ini 22.00 WIB Final Piala Dunia 2022   https://t.co/D7d3e8Q5dI</t>
  </si>
  <si>
    <t>goooolll ggool lionel messi argentina perancis link live streaming argentina prancis malam ini wib final piala dunia</t>
  </si>
  <si>
    <t>['goooolll', 'ggool', 'lionel', 'messi', 'argentina', 'perancis', 'link', 'live', 'streaming', 'argentina', 'prancis', 'malam', 'wib', 'final', 'piala', 'dunia']</t>
  </si>
  <si>
    <t>GOOOOLLLLL GOOOOLLLLL, LIONEL MESSI  Argentina 3:2 Perancis  Link Live Streaming Argentina vs Prancis Malam Ini 22.00 WIB Final Piala Dunia 2022   https://t.co/LJ9I01H4vv</t>
  </si>
  <si>
    <t>goooolllll goooolllll lionel messi argentina perancis link live streaming argentina prancis malam ini wib final piala dunia</t>
  </si>
  <si>
    <t>['goooolllll', 'goooolllll', 'lionel', 'messi', 'argentina', 'perancis', 'link', 'live', 'streaming', 'argentina', 'prancis', 'malam', 'wib', 'final', 'piala', 'dunia']</t>
  </si>
  <si>
    <t>GG piala dunia Perancis vs Messi, eh Argentina. ramein dong final piala dunia jangan ajang2an miss aja nih yg di ramein</t>
  </si>
  <si>
    <t>piala dunia perancis messi argentina ramein dong final piala dunia jangan ajang miss aja nih ramein</t>
  </si>
  <si>
    <t>['piala', 'dunia', 'perancis', 'messi', 'argentina', 'ramein', 'dong', 'final', 'piala', 'dunia', 'jangan', 'ajang', 'miss', 'ramein']</t>
  </si>
  <si>
    <t>Ayo besok izin MC alesannya karena abis begadang nonton final piala dunia</t>
  </si>
  <si>
    <t>ayo besok izin alesannya karena abis begadang nonton final piala dunia</t>
  </si>
  <si>
    <t>['ayo', 'besok', 'izin', 'alesannya', 'abis', 'begadang', 'nonton', 'final', 'piala', 'dunia']</t>
  </si>
  <si>
    <t>Penonton Final Piala Dunia Membeludak, Qatar Tutup Stasiun Utama 1 Jam  https://t.co/noGTfisjdx</t>
  </si>
  <si>
    <t>penonton final piala dunia membeludak qatar tutup stasiun utama jam</t>
  </si>
  <si>
    <t>['penonton', 'final', 'piala', 'dunia', 'membeludak', 'qatar', 'tutup', 'stasiun', 'utama', 'jam']</t>
  </si>
  <si>
    <t>Nobar Final Piala Dunia, Nasir Djamil Bagikan Door¬†Prize  https://t.co/29iNhtWjWw</t>
  </si>
  <si>
    <t>nobar final piala dunia nasir djamil bagikan door prize</t>
  </si>
  <si>
    <t>['nonton bareng', 'final', 'piala', 'dunia', 'nasir', 'djamil', 'bagikan', 'door', 'prize']</t>
  </si>
  <si>
    <t>Nobar final piala dunia bertiga sama ayah dan kakak, seruu jg si ayah tim emosi, si kk tim tenangin wkwk</t>
  </si>
  <si>
    <t>nobar final piala dunia bertiga sama ayah dan kakak seruu ayah tim emosi tim tenangin wkwk</t>
  </si>
  <si>
    <t>['nonton bareng', 'final', 'piala', 'dunia', 'bertiga', 'sama', 'ayah', 'kakak', 'seruu', 'ayah', 'tim', 'emosi', 'tim', 'tenangin']</t>
  </si>
  <si>
    <t>EXTRA TIME Live Streaming Final Piala Dunia 2022 Argentina vs Prancis, Kylian Mbappe Samakan Skor 2-2   https://t.co/JShJAX2I6M</t>
  </si>
  <si>
    <t>extra time live streaming final piala dunia argentina prancis kylian mbappe samakan skor</t>
  </si>
  <si>
    <t>['extra', 'time', 'live', 'streaming', 'final', 'piala', 'dunia', 'argentina', 'prancis', 'kylian', 'mbappe', 'samakan', 'skor']</t>
  </si>
  <si>
    <t>Menurut gw,buat anak yg lahir di 90an , Argentina vs France ini ediso Final Piala Dunia terbaik #FIFAWorldCup #WorldCupFinal</t>
  </si>
  <si>
    <t>menurut buat anak lahir argentina france ini ediso final piala dunia terbaik</t>
  </si>
  <si>
    <t>['buat', 'anak', 'lahir', 'argentina', 'france', 'ediso', 'final', 'piala', 'dunia', 'terbaik']</t>
  </si>
  <si>
    <t>SENGIT! Sempat di Atas Angin, Final Piala Dunia 2022 Argentina vs Prancis Cukup Membuat Penonton Tegang Sampai  https://t.co/HFuislBnIg</t>
  </si>
  <si>
    <t>sengit sempat atas angin final piala dunia argentina prancis cukup membuat penonton tegang sampai</t>
  </si>
  <si>
    <t>['sengit', 'sempat', 'atas', 'angin', 'final', 'piala', 'dunia', 'argentina', 'prancis', 'cukup', 'membuat', 'penonton', 'tegang']</t>
  </si>
  <si>
    <t>Nih besok yg kerja sama sekolah/kuliah pasti pada ngantukan karena abis nonton final piala dunia</t>
  </si>
  <si>
    <t>nih besok kerja sama sekolah kuliah pasti pada ngantukan karena abis nonton final piala dunia</t>
  </si>
  <si>
    <t>['besok', 'kerja', 'sama', 'sekolah', 'kuliah', 'ngantukan', 'abis', 'nonton', 'final', 'piala', 'dunia']</t>
  </si>
  <si>
    <t>Siapakah juara piala dunia 2022 Link Streaming Gratis Argentina vs Prancis FINAL  https://t.co/EG7SAWEv1S</t>
  </si>
  <si>
    <t>siapakah juara piala dunia link streaming gratis argentina prancis final</t>
  </si>
  <si>
    <t>['siapakah', 'juara', 'piala', 'dunia', 'link', 'streaming', 'gratis', 'argentina', 'prancis', 'final']</t>
  </si>
  <si>
    <t>Live Stream Argentina vs Prancis France FIFA World Cup 2022 Final Nonton Live Streaming Piala Dunia 2022 Live Score 2-2, Mbappe menggila ----f  https://t.co/TvicXn1scA</t>
  </si>
  <si>
    <t>live stream argentina prancis france fifa world cup final nonton live streaming piala dunia live score mbappe menggila</t>
  </si>
  <si>
    <t>['live', 'stream', 'argentina', 'prancis', 'france', 'fifa', 'world', 'cup', 'final', 'nonton', 'live', 'streaming', 'piala', 'dunia', 'live', 'score', 'mbappe', 'menggila']</t>
  </si>
  <si>
    <t>LINK LANGSUNG PLAY PIALA DUNIA GRATIS: FINAL ARGENTINA VS PRANCIS  https://t.co/65dhG6a3gR</t>
  </si>
  <si>
    <t>link langsung play piala dunia gratis final argentina prancis</t>
  </si>
  <si>
    <t>['link', 'langsung', 'play', 'piala', 'dunia', 'gratis', 'final', 'argentina', 'prancis']</t>
  </si>
  <si>
    <t>Final piala dunia terseruuu</t>
  </si>
  <si>
    <t>final piala dunia terseruuu</t>
  </si>
  <si>
    <t>['final', 'piala', 'dunia', 'terseruuu']</t>
  </si>
  <si>
    <t>@vidio  min. gimana caranya nonton final piala dunia ini, Min? jawab, Min!</t>
  </si>
  <si>
    <t>min gimana caranya nonton final piala dunia ini min jawab min</t>
  </si>
  <si>
    <t>['min', 'gimana', 'caranya', 'nonton', 'final', 'piala', 'dunia', 'min', 'jawab', 'min']</t>
  </si>
  <si>
    <t>Biar ada sesi romantis dari final piala dunia ini gimana nanti siapa pun yang menang Messi Mbappe tukaran jersey üôÇ</t>
  </si>
  <si>
    <t>biar ada sesi romantis dari final piala dunia ini gimana nanti siapa pun yang menang messi mbappe tukaran jersey</t>
  </si>
  <si>
    <t>['sesi', 'romantis', 'final', 'piala', 'dunia', 'gimana', 'siapa', 'menang', 'messi', 'mbappe', 'tukaran', 'jersey']</t>
  </si>
  <si>
    <t>Wkwkwkw messi Goal penalti . Dan mbappe 2 menit 2 Goal babak 2 üòÇüòÇüòç messi ga percaya kali ya mbappe bisa buat france nyamain skor Argentina kayak KilatüòÇ all in france üòÖ seru bgt teriak sampe nangis nnton final piala dunia  https://t.co/YKFS5samt2</t>
  </si>
  <si>
    <t>wkwkwkw messi goal penalti dan mbappe menit goal babak messi percaya kali mbappe bisa buat france nyamain skor argentina kayak kilat all france seru bgt teriak sampe nangis nnton final piala dunia</t>
  </si>
  <si>
    <t>['wkwkwkw', 'messi', 'goal', 'penalti', 'mbappe', 'menit', 'goal', 'babak', 'messi', 'percaya', 'kali', 'mbappe', 'buat', 'france', 'nyamain', 'skor', 'argentina', 'seperti', 'kilat', 'all', 'france', 'seru', 'banget', 'teriak', 'sampai', 'nangis', 'nnton', 'final', 'piala', 'dunia']</t>
  </si>
  <si>
    <t>Babak 1 extra time #arg #fra #ArgentinaVsFrance  final piala dunia #Qatar2022 #ARGFRA</t>
  </si>
  <si>
    <t>babak extra time final piala dunia</t>
  </si>
  <si>
    <t>['babak', 'extra', 'time', 'final', 'piala', 'dunia']</t>
  </si>
  <si>
    <t>KICK OFF EXTRATIME BABAK KEDUA  Argentina 2:2 Perancis  Link Live Streaming Argentina vs Prancis Malam Ini 22.00 WIB Final Piala Dunia 2022   https://t.co/ksXxe9SKCJ</t>
  </si>
  <si>
    <t>kick off extratime babak kedua argentina perancis link live streaming argentina prancis malam ini wib final piala dunia</t>
  </si>
  <si>
    <t>['kick', 'off', 'extratime', 'babak', 'kedua', 'argentina', 'perancis', 'link', 'live', 'streaming', 'argentina', 'prancis', 'malam', 'wib', 'final', 'piala', 'dunia']</t>
  </si>
  <si>
    <t>What a "cape hate" nyimak final piala dunia 2022</t>
  </si>
  <si>
    <t>what cape hate nyimak final piala dunia</t>
  </si>
  <si>
    <t>['what', 'lelah', 'hate', 'nyimak', 'final', 'piala', 'dunia']</t>
  </si>
  <si>
    <t>Sebel banget sama diri sendiri, bisa gitu ketiduran dari jam 4 sore baru bangun jam 2 pagi. Skip dinner dan nonton final Piala Dunia üòí</t>
  </si>
  <si>
    <t>sebel banget sama diri sendiri bisa gitu ketiduran dari jam sore baru bangun jam pagi skip dinner dan nonton final piala dunia</t>
  </si>
  <si>
    <t>['sebel', 'banget', 'sama', 'diri', 'sendiri', 'gitu', 'ketiduran', 'jam', 'sore', 'baru', 'bangun', 'jam', 'pagi', 'skip', 'dinner', 'nonton', 'final', 'piala', 'dunia']</t>
  </si>
  <si>
    <t>Mbappe buat skor jadi seri, Prancis sementara imbangi Argentina 2-2 di final Piala Dunia 2022 Qatar - Lombok Insider  https://t.co/WLywPtsPDH</t>
  </si>
  <si>
    <t>mbappe buat skor jadi seri prancis sementara imbangi argentina final piala dunia qatar lombok insider</t>
  </si>
  <si>
    <t>['mbappe', 'buat', 'skor', 'jadi', 'seri', 'prancis', 'imbangi', 'argentina', 'final', 'piala', 'dunia', 'qatar', 'lombok', 'insider']</t>
  </si>
  <si>
    <t>KICK OFF EXTRATIME BABAK KEDUA  Argentina 2:2 Perancis  Link Live Streaming Argentina vs Prancis Malam Ini 22.00 WIB Final Piala Dunia 2022   https://t.co/7L1xULcLZO</t>
  </si>
  <si>
    <t>221219 üêëüí≠  YangYang bilang kalau dia menonton final piala dunia bersama Renjun~ üòÜ</t>
  </si>
  <si>
    <t>yangyang bilang kalau dia menonton final piala dunia bersama renjun</t>
  </si>
  <si>
    <t>['yangyang', 'kalau', 'menonton', 'final', 'piala', 'dunia', 'bersama', 'renjun']</t>
  </si>
  <si>
    <t>Final piala dunia paling seru sih ini</t>
  </si>
  <si>
    <t>final piala dunia paling seru sih ini</t>
  </si>
  <si>
    <t>Final piala dunia paling menegangkan</t>
  </si>
  <si>
    <t>final piala dunia paling menegangkan</t>
  </si>
  <si>
    <t>['final', 'piala', 'dunia', 'paling', 'menegangkan']</t>
  </si>
  <si>
    <t>DAHLAH GA KUAT WOI LIAT FINAL PIALA DUNIA üò≠</t>
  </si>
  <si>
    <t>dahlah kuat woi liat final piala dunia</t>
  </si>
  <si>
    <t>['dahlah', 'kuat', 'lihat', 'final', 'piala', 'dunia']</t>
  </si>
  <si>
    <t>Final piala dunia 2022</t>
  </si>
  <si>
    <t>Patroli di Warkop Korima tempat diselenggarakannya Nobar final piala dunia, warga Desa Besuki sangat antusias menyaksikan pertandingan sepakbola dan berlangsung aman dan tertib.  https://t.co/7O8GfX28hI</t>
  </si>
  <si>
    <t>patroli warkop korima tempat diselenggarakannya nobar final piala dunia warga desa besuki sangat antusias menyaksikan pertandingan sepakbola dan berlangsung aman dan tertib</t>
  </si>
  <si>
    <t>['patroli', 'warkop', 'korima', 'tempat', 'diselenggarakannya', 'nonton bareng', 'final', 'piala', 'dunia', 'warga', 'desa', 'besuki', 'sangat', 'antusias', 'menyaksikan', 'pertandingan', 'sepakbola', 'berlangsung', 'aman', 'tertib']</t>
  </si>
  <si>
    <t>Goals accepted ‚úÖ Nobar final piala dunia with ayang üá®üáµüá®üáµüá®üáµ  https://t.co/qv3iBWy9PY</t>
  </si>
  <si>
    <t>goals accepted nobar final piala dunia with ayang</t>
  </si>
  <si>
    <t>['goals', 'accepted', 'nonton bareng', 'final', 'piala', 'dunia', 'with', 'ayang']</t>
  </si>
  <si>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</si>
  <si>
    <t>bayern munich inter milan dalam gelaran piala dunia beruntun bayern munich dan inter milan selalu menyumbang pemain laga final</t>
  </si>
  <si>
    <t>['bayern', 'munich', 'inter', 'milan', 'gelaran', 'piala', 'dunia', 'beruntun', 'bayern', 'munich', 'inter', 'milan', 'selalu', 'menyumbang', 'pemain', 'laga', 'final']</t>
  </si>
  <si>
    <t>Selamat menunaikan final piala dunia. Siapapun jagoanmu, jangan lupa bangun, besok Senin.  #ArgentinaVsFrance  #FIFAWorldCup</t>
  </si>
  <si>
    <t>selamat menunaikan final piala dunia siapapun jagoanmu jangan lupa bangun besok senin</t>
  </si>
  <si>
    <t>['selamat', 'menunaikan', 'final', 'piala', 'dunia', 'siapapun', 'jagoanmu', 'jangan', 'lupa', 'bangun', 'besok', 'senin']</t>
  </si>
  <si>
    <t>Ada yang Sibuk Bahas Pilpres di Tengah Final Piala Dunia,Akbar Faizal: Betapa Menderitanya Hidupmu Kawan  https://t.co/XKvcWkIJQf #AkbarFaizal #Argentina #NasDem #PialaDunia</t>
  </si>
  <si>
    <t>ada yang sibuk bahas pilpres tengah final piala dunia akbar faizal betapa menderitanya hidupmu kawan</t>
  </si>
  <si>
    <t>['sibuk', 'bahas', 'pilpres', 'tengah', 'final', 'piala', 'dunia', 'akbar', 'faizal', 'betapa', 'menderitanya', 'hidupmu', 'kawan']</t>
  </si>
  <si>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</si>
  <si>
    <t>reaksi presiden prancis emmanuel macron setelah kylian mbappe menyamakan kedudukan prancis atas argentina pada ajang final piala dunia qatar kalau prancis menang pesawatnya diskon pak original uploaders</t>
  </si>
  <si>
    <t>['reaksi', 'presiden', 'prancis', 'emmanuel', 'macron', 'kylian', 'mbappe', 'menyamakan', 'kedudukan', 'prancis', 'atas', 'argentina', 'ajang', 'final', 'piala', 'dunia', 'qatar', 'kalau', 'prancis', 'menang', 'pesawatnya', 'diskon', 'pak', 'original', 'uploaders']</t>
  </si>
  <si>
    <t>Baru ini nama nya final piala dunia, seru bangetttttt Argentina üá¶üá∑ 2 vs France üá´üá∑ 2</t>
  </si>
  <si>
    <t>baru ini nama nya final piala dunia seru bangetttttt argentina france</t>
  </si>
  <si>
    <t>['baru', 'nama', 'final', 'piala', 'dunia', 'seru', 'bangetttttt', 'argentina', 'france']</t>
  </si>
  <si>
    <t>Ini baru final piala dunia cuy</t>
  </si>
  <si>
    <t>ini baru final piala dunia cuy</t>
  </si>
  <si>
    <t>MENIT 105, PELUANG MARTINEZ MASIH GAGAL  Argentina 2:2 Perancis  Link Live Streaming Argentina vs Prancis Malam Ini 22.00 WIB Final Piala Dunia 2022   https://t.co/pCFidHZIyD</t>
  </si>
  <si>
    <t>menit peluang martinez masih gagal argentina perancis link live streaming argentina prancis malam ini wib final piala dunia</t>
  </si>
  <si>
    <t>['menit', 'peluang', 'martinez', 'gagal', 'argentina', 'perancis', 'link', 'live', 'streaming', 'argentina', 'prancis', 'malam', 'wib', 'final', 'piala', 'dunia']</t>
  </si>
  <si>
    <t>@pisgorsrikaya mungkin karena final piala dunia</t>
  </si>
  <si>
    <t>mungkin karena final piala dunia</t>
  </si>
  <si>
    <t>['mungkin', 'final', 'piala', 'dunia']</t>
  </si>
  <si>
    <t>Argentina kembali menjalani final yang melelahkan dan mungkin akan dramatis? Seperti gol Gotze 8 tahun silam di Piala Dunia 2014. #WorldCup2022</t>
  </si>
  <si>
    <t>argentina kembali menjalani final yang melelahkan dan mungkin akan dramatis seperti gol gotze tahun silam piala dunia</t>
  </si>
  <si>
    <t>['argentina', 'menjalani', 'final', 'melelahkan', 'mungkin', 'dramatis', 'gol', 'gotze', 'tahun', 'silam', 'piala', 'dunia']</t>
  </si>
  <si>
    <t>LINK Yalla Shoot Final Argentina vs Prancis di Piala Dunia Ilegal, Nonton di SCTV Aja dan Berikut Prediksinya - Isu Bogor  https://t.co/cO2uYl7jXn</t>
  </si>
  <si>
    <t>link yalla shoot final argentina prancis piala dunia ilegal nonton sctv aja dan berikut prediksinya isu bogor</t>
  </si>
  <si>
    <t>['link', 'yalla', 'shoot', 'final', 'argentina', 'prancis', 'piala', 'dunia', 'ilegal', 'nonton', 'sctv', 'berikut', 'prediksinya', 'isu', 'bogor']</t>
  </si>
  <si>
    <t>Mbappe paksa Final Piala Dunia 2022 berlanjut ke babak lanjutan.  #EmtekWorldCup2022 #BolacomWorldCup2022 #PialaDunia2022 #PialaDunia    https://t.co/SiSdwUfuQV</t>
  </si>
  <si>
    <t>mbappe paksa final piala dunia berlanjut babak lanjutan</t>
  </si>
  <si>
    <t>['mbappe', 'paksa', 'final', 'piala', 'dunia', 'berlanjut', 'babak', 'lanjutan']</t>
  </si>
  <si>
    <t>Kalau Senin pada telat ke kantor, udah jelas lah ya alasannya apa ü§£  Nonton Final Piala Dunia.</t>
  </si>
  <si>
    <t>kalau senin pada telat kantor udah jelas lah alasannya apa nonton final piala dunia</t>
  </si>
  <si>
    <t>['kalau', 'senin', 'telat', 'kantor', 'udah', 'jelas', 'lah', 'alasannya', 'apa', 'nonton', 'final', 'piala', 'dunia']</t>
  </si>
  <si>
    <t>Prancis bangkit dan menyamakan skor menjadi 2-2 dalam laga melawan Argentina di final Piala Dunia 2022. Kylian Mbappe mencetak dua gol dalam dua menit!  https://t.co/TDvJ4Dw0lJ</t>
  </si>
  <si>
    <t>prancis bangkit dan menyamakan skor menjadi dalam laga melawan argentina final piala dunia kylian mbappe mencetak dua gol dalam dua menit</t>
  </si>
  <si>
    <t>['prancis', 'bangkit', 'menyamakan', 'skor', 'menjadi', 'laga', 'melawan', 'argentina', 'final', 'piala', 'dunia', 'kylian', 'mbappe', 'mencetak', 'gol', 'menit']</t>
  </si>
  <si>
    <t>Prancis bangkit dan menyamakan skor menjadi 2-2 dalam laga melawan Argentina di final Piala Dunia 2022. Kylian Mbappe mencetak dua gol dalam dua menit!  https://t.co/tKhnKdC1Tv</t>
  </si>
  <si>
    <t>Mau sempro kita tidak gugup, 30 menit tambahan final piala dunia jantung rasa mo keluar dari daraü§åüèæ</t>
  </si>
  <si>
    <t>mau sempro kita tidak gugup menit tambahan final piala dunia jantung rasa keluar dari dara</t>
  </si>
  <si>
    <t>['mau', 'sempro', 'gugup', 'menit', 'tambahan', 'final', 'piala', 'dunia', 'jantung', 'rasa', 'keluar', 'dara']</t>
  </si>
  <si>
    <t>MENIT 103, PELUANG DARI ARGENTINA   Argentina 2:2 Perancis  Link Live Streaming Argentina vs Prancis Malam Ini 22.00 WIB Final Piala Dunia 2022   https://t.co/Chp3ohc6Xp</t>
  </si>
  <si>
    <t>menit peluang dari argentina argentina perancis link live streaming argentina prancis malam ini wib final piala dunia</t>
  </si>
  <si>
    <t>['menit', 'peluang', 'argentina', 'argentina', 'perancis', 'link', 'live', 'streaming', 'argentina', 'prancis', 'malam', 'wib', 'final', 'piala', 'dunia']</t>
  </si>
  <si>
    <t>@i_m_mortal_ gara2 final piala dunia kelewat iniiiiüò© udah pada gabisa di atc ü•≤</t>
  </si>
  <si>
    <t>mortal gara final piala dunia kelewat iniiii udah pada gabisa atc</t>
  </si>
  <si>
    <t>['mortal', 'gara', 'final', 'piala', 'dunia', 'kelewat', 'iniiii', 'udah', 'gabisa', 'atc']</t>
  </si>
  <si>
    <t>Final piala dunia kali ini surreal bgt.. Gue baru kelar nonton bioskop, lalu ke toilet liat orang sambil pipis nonton final. Keluar toilet ada yang ngomong: "Wah, menang Argentina 2-0" Gue lanjut pulang, mampir ke SPBU kasirnya ngasih tau yg ngisi: "Seri" Gue: "hah?? seri bang?"</t>
  </si>
  <si>
    <t>final piala dunia kali ini surreal bgt gue baru kelar nonton bioskop lalu toilet liat orang sambil pipis nonton final keluar toilet ada yang ngomong wah menang argentina gue lanjut pulang mampir spbu kasirnya ngasih tau ngisi seri gue hah seri bang</t>
  </si>
  <si>
    <t>['final', 'piala', 'dunia', 'kali', 'surreal', 'banget', 'gue', 'baru', 'kelar', 'nonton', 'bioskop', 'lalu', 'toilet', 'lihat', 'orang', 'pipis', 'nonton', 'final', 'keluar', 'toilet', 'ngomong', 'wah', 'menang', 'argentina', 'gue', 'lanjut', 'pulang', 'mampir', 'spbu', 'kasirnya', 'ngasih', 'ngisi', 'seri', 'gue', 'hah', 'seri', 'bang']</t>
  </si>
  <si>
    <t>&lt;FreqDist with 31 samples and 37 outcomes&gt;</t>
  </si>
  <si>
    <t>@kemkominfo lapor pak..ini @vidio telah merugikan banyak orang yang sudah bayar paket untuk piala dunia, sementara final malah error tanpa ada kejelasan sama sekali.. sangat tidak bertanggung jawab...mohon tindak lanjuti</t>
  </si>
  <si>
    <t>lapor pak ini telah merugikan banyak orang yang sudah bayar paket untuk piala dunia sementara final malah error tanpa ada kejelasan sama sekali sangat tidak bertanggung jawab mohon tindak lanjuti</t>
  </si>
  <si>
    <t>['lapor', 'pak', 'merugikan', 'banyak', 'orang', 'bayar', 'paket', 'piala', 'dunia', 'final', 'malah', 'error', 'kejelasan', 'sama', 'sekali', 'sangat', 'bertanggung', 'jawab', 'mohon', 'tindak', 'lanjuti']</t>
  </si>
  <si>
    <t>Keseruan nonton final piala dunia di kota Palu.  #WorldCupFinal #ArgentinaVsFrance #FIFAWorldCup #Qatar2022 #Mbappe #MessiìÉµ #  https://t.co/2QkrmWFmrI</t>
  </si>
  <si>
    <t>keseruan nonton final piala dunia kota palu</t>
  </si>
  <si>
    <t>['keseruan', 'nonton', 'final', 'piala', 'dunia', 'kota', 'palu']</t>
  </si>
  <si>
    <t>SEDANG BERLANGSUNG! Live Streaming Argentina vs Prancis, Siaran Langsung Final Piala Dunia 2022  https://t.co/b5qSCh6oJJ</t>
  </si>
  <si>
    <t>sedang berlangsung live streaming argentina prancis siaran langsung final piala dunia</t>
  </si>
  <si>
    <t>['sedang', 'berlangsung', 'live', 'streaming', 'argentina', 'prancis', 'siaran', 'langsung', 'final', 'piala', 'dunia']</t>
  </si>
  <si>
    <t>final piala dunia rasa class meeting</t>
  </si>
  <si>
    <t>['final', 'piala', 'dunia', 'rasa', 'class', 'meeting']</t>
  </si>
  <si>
    <t>Mantab, bangga. Pardedes main di final piala dunia</t>
  </si>
  <si>
    <t>mantab bangga pardedes main final piala dunia</t>
  </si>
  <si>
    <t>['mantab', 'bangga', 'pardedes', 'main', 'final', 'piala', 'dunia']</t>
  </si>
  <si>
    <t>Deg degan bgt coi final piala duniaüò´</t>
  </si>
  <si>
    <t>deg degan bgt coi final piala dunia</t>
  </si>
  <si>
    <t>['deg', 'degan', 'banget', 'coi', 'final', 'piala', 'dunia']</t>
  </si>
  <si>
    <t>Final piala dunia apaan, yang penting ini finally gue ngenalin pacar ke orang tua.  https://t.co/qgky21CCnK</t>
  </si>
  <si>
    <t>final piala dunia apaan yang penting ini finally gue ngenalin pacar orang tua</t>
  </si>
  <si>
    <t>['final', 'piala', 'dunia', 'apaan', 'penting', 'finally', 'gue', 'ngenalin', 'pacar', 'orang', 'tua']</t>
  </si>
  <si>
    <t>Kaga ngarti bola tapi Final Piala Dunia ya nonton Doong masa engga ya. Untuk mengalahkan ekspektasi babeh aku Pilih PRANCIS üá´üá∑ Mbappe kamu pasti bisa. Walaupun di awal sudah hopeless karna ga nyerang" tapi pas menit akhir di comeback üòÅ</t>
  </si>
  <si>
    <t>kaga ngarti bola tapi final piala dunia nonton doong masa engga untuk mengalahkan ekspektasi babeh aku pilih prancis mbappe kamu pasti bisa walaupun awal sudah hopeless karna nyerang tapi pas menit akhir comeback</t>
  </si>
  <si>
    <t>['kaga', 'ngarti', 'bola', 'final', 'piala', 'dunia', 'nonton', 'doong', 'masa', 'tidak', 'mengalahkan', 'ekspektasi', 'babeh', 'aku', 'pilih', 'prancis', 'mbappe', 'kamu', 'walaupun', 'awal', 'hopeless', 'karna', 'nyerang', 'pas', 'menit', 'akhir', 'comeback']</t>
  </si>
  <si>
    <t>Ternyata haechan mantengin final piala dunia juga yaa wkwkwkü´∂</t>
  </si>
  <si>
    <t>ternyata haechan mantengin final piala dunia juga yaa wkwkwk</t>
  </si>
  <si>
    <t>['ternyata', 'haechan', 'mantengin', 'final', 'piala', 'dunia', 'ya', 'wkwkwk']</t>
  </si>
  <si>
    <t>Pencetak gol Prancis di final Piala Dunia 1998 :   Jawabannya: ‚öΩ Zinedine Zidane 27' 45+1' ‚öΩ Emmanuel Petit 90+3'  Ayo ikutan Bestie..  @sebastyan_hp @dewalova_ieiend @ra_jauhari  Jangan lupa follow   @Indosat  @idextratime  #PilDunBarengIOH  #PilDunBarengIOH @idextratime  https://t.co/RusOvUX8lN</t>
  </si>
  <si>
    <t>pencetak gol prancis final piala dunia jawabannya zinedine zidane emmanuel petit ayo ikutan bestie ieiend jauhari jangan lupa follow</t>
  </si>
  <si>
    <t>['pencetak', 'gol', 'prancis', 'final', 'piala', 'dunia', 'jawabannya', 'zinedine', 'zidane', 'emmanuel', 'petit', 'ayo', 'ikutan', 'bestie', 'ieiend', 'jauhari', 'jangan', 'lupa', 'follow']</t>
  </si>
  <si>
    <t>Pemain ini spesial. Sangat mengidolakan Cristiano Ronaldo, tetapi diumur 23 sudah melewati jauh sang idola dalam pencapaian internasional. Satu Piala Dunia dan berjalan menuju dua. Topskor dengan 7 gol ditambah topskor final sepanjang masa (3). Istimewa.  https://t.co/ksbqgltGEk</t>
  </si>
  <si>
    <t>pemain ini spesial sangat mengidolakan cristiano ronaldo tetapi diumur sudah melewati jauh sang idola dalam pencapaian internasional satu piala dunia dan berjalan menuju dua topskor dengan gol ditambah topskor final sepanjang masa istimewa</t>
  </si>
  <si>
    <t>['pemain', 'spesial', 'sangat', 'mengidolakan', 'cristiano', 'ronaldo', 'diumur', 'melewati', 'jauh', 'sang', 'idola', 'pencapaian', 'internasional', 'satu', 'piala', 'dunia', 'berjalan', 'menuju', 'topskor', 'gol', 'ditambah', 'topskor', 'final', 'sepanjang', 'masa', 'istimewa']</t>
  </si>
  <si>
    <t>Comeback 2 Gol! Prancis Paksa Argentina Main Babak Tambahan di Final Piala Dunia 2022   https://t.co/pAq3EOs8jv</t>
  </si>
  <si>
    <t>comeback gol prancis paksa argentina main babak tambahan final piala dunia</t>
  </si>
  <si>
    <t>['comeback', 'gol', 'prancis', 'paksa', 'argentina', 'main', 'babak', 'tambahan', 'final', 'piala', 'dunia']</t>
  </si>
  <si>
    <t>@makmummasjid Kok ada yg nonton final piala dunia udah pede padahal baru babak pertama</t>
  </si>
  <si>
    <t>kok ada nonton final piala dunia udah pede padahal baru babak pertama</t>
  </si>
  <si>
    <t>['kok', 'nonton', 'final', 'piala', 'dunia', 'udah', 'percaya diri', 'padahal', 'baru', 'babak', 'pertama']</t>
  </si>
  <si>
    <t>Piala dunia kali ini beneran seru, banyak pemain bintang yang bakal pensiun dan final yang menegangkan Argentina vs Prancis #pialadunia2022 #WorldCup</t>
  </si>
  <si>
    <t>piala dunia kali ini beneran seru banyak pemain bintang yang bakal pensiun dan final yang menegangkan argentina prancis</t>
  </si>
  <si>
    <t>['piala', 'dunia', 'kali', 'beneran', 'seru', 'banyak', 'pemain', 'bintang', 'bakal', 'pensiun', 'final', 'menegangkan', 'argentina', 'prancis']</t>
  </si>
  <si>
    <t>Ayo ayo rasakan sensasi beli kaos tokoyomski selagi final piala Dunia wkwkwkwkk</t>
  </si>
  <si>
    <t>ayo ayo rasakan sensasi beli kaos tokoyomski selagi final piala dunia wkwkwkwkk</t>
  </si>
  <si>
    <t>['ayo', 'ayo', 'rasakan', 'sensasi', 'beli', 'kaos', 'tokoyomski', 'final', 'piala', 'dunia', 'wkwkwkwkk']</t>
  </si>
  <si>
    <t>Gelar Nobar Final Piala Dunia di Tengah Permukiman, Sekjen DPP Pemuda Perindo: Bukti Kita Merakyat  https://t.co/m9FOtcTMz7</t>
  </si>
  <si>
    <t>Sepelas Closing Ceremony, kick off awal final Piala Dunia 2022 langsung dimulai. Kedua tim sama sama berambisi menjadi juara dunia pada tahun ini. Terlebih Argentina dimana Lionel Messi ingin mengakhiri karir sepak bolanya dengan catatan manis.  https://t.co/eRQzw0IC70</t>
  </si>
  <si>
    <t>sepelas closing ceremony kick off awal final piala dunia langsung dimulai kedua tim sama sama berambisi menjadi juara dunia pada tahun ini terlebih argentina dimana lionel messi ingin mengakhiri karir sepak bolanya dengan catatan manis</t>
  </si>
  <si>
    <t>['sepelas', 'closing', 'ceremony', 'kick', 'off', 'awal', 'final', 'piala', 'dunia', 'langsung', 'dimulai', 'kedua', 'tim', 'sama', 'sama', 'berambisi', 'menjadi', 'juara', 'dunia', 'tahun', 'terlebih', 'argentina', 'lionel', 'messi', 'mengakhiri', 'karir', 'sepak', 'bolanya', 'catatan', 'manis']</t>
  </si>
  <si>
    <t>Final Piala Dunia 2022 dimulai sejak pukul 22.00 WIB dimana sebelum pertandingan berlangsung diadakan acara Closing Ceremony dengan penampilan artis-artis terkemuka.  https://t.co/eRQzw0IC70</t>
  </si>
  <si>
    <t>final piala dunia dimulai sejak pukul wib dimana sebelum pertandingan berlangsung diadakan acara closing ceremony dengan penampilan artis artis terkemuka</t>
  </si>
  <si>
    <t>['final', 'piala', 'dunia', 'dimulai', 'sejak', 'pukul', 'wib', 'pertandingan', 'berlangsung', 'diadakan', 'acara', 'closing', 'ceremony', 'penampilan', 'artis', 'artis', 'terkemuka']</t>
  </si>
  <si>
    <t>Final Piala Dunia 2022: Susul Argentina, Prancis Samakan Kedudukan Lewat Kylian Mbappe dengan Gol Cepat  https://t.co/eRQzw0IC70</t>
  </si>
  <si>
    <t>final piala dunia susul argentina prancis samakan kedudukan lewat kylian mbappe dengan gol cepat</t>
  </si>
  <si>
    <t>['final', 'piala', 'dunia', 'susul', 'argentina', 'prancis', 'samakan', 'kedudukan', 'lewat', 'kylian', 'mbappe', 'gol', 'cepat']</t>
  </si>
  <si>
    <t>kalo aja final piala dunia lawannya Argentina tuh eibar pasti messi hattrick</t>
  </si>
  <si>
    <t>kalo aja final piala dunia lawannya argentina tuh eibar pasti messi hattrick</t>
  </si>
  <si>
    <t>['final', 'piala', 'dunia', 'lawannya', 'argentina', 'eibar', 'messi', 'hattrick']</t>
  </si>
  <si>
    <t>Final Piala Dunia Qatar 2022: 2 Gol Cepat Mbappe Buyarkan Kemenangan Argentina, Pertandingan Masih Berlanjut  https://t.co/hMzc655cX1 #CoverBothSide</t>
  </si>
  <si>
    <t>final piala dunia qatar gol cepat mbappe buyarkan kemenangan argentina pertandingan masih berlanjut</t>
  </si>
  <si>
    <t>['final', 'piala', 'dunia', 'qatar', 'gol', 'cepat', 'mbappe', 'buyarkan', 'kemenangan', 'argentina', 'pertandingan', 'berlanjut']</t>
  </si>
  <si>
    <t>Mbappe Ganas, Prancis Tahan Imbang Argentina: Kylian Mbappe menjadi aktor bangkitnya Prancis di babak kedua. Dua golnya membawa Prancis menyamakan kedudukan menjadi 2-2 saat laga final Piala Dunia 2022,‚Ä¶  https://t.co/giceo6VtZH #beritabaik #timesindonesia #ketahananinformasi</t>
  </si>
  <si>
    <t>mbappe ganas prancis tahan imbang argentina kylian mbappe menjadi aktor bangkitnya prancis babak kedua dua golnya membawa prancis menyamakan kedudukan menjadi saat laga final piala dunia</t>
  </si>
  <si>
    <t>['mbappe', 'ganas', 'prancis', 'tahan', 'imbang', 'argentina', 'kylian', 'mbappe', 'menjadi', 'aktor', 'bangkitnya', 'prancis', 'babak', 'kedua', 'golnya', 'membawa', 'prancis', 'menyamakan', 'kedudukan', 'menjadi', 'laga', 'final', 'piala', 'dunia']</t>
  </si>
  <si>
    <t>Prancis bangkit mengejar ketertinggalan melawan Argentina dalam laga final Piala Dunia 2022 dengan menyamakan skor 2-2 di babak kedua.  https://t.co/rhJeFz7NJb</t>
  </si>
  <si>
    <t>prancis bangkit mengejar ketertinggalan melawan argentina dalam laga final piala dunia dengan menyamakan skor babak kedua</t>
  </si>
  <si>
    <t>['prancis', 'bangkit', 'mengejar', 'ketertinggalan', 'melawan', 'argentina', 'laga', 'final', 'piala', 'dunia', 'menyamakan', 'skor', 'babak', 'kedua']</t>
  </si>
  <si>
    <t>Final Piala Dunia 2022: Argentina vs Prancis 2-2, Berlanjut ke Perpanjangan Waktu  https://t.co/SJJsf5FVjP</t>
  </si>
  <si>
    <t>final piala dunia argentina prancis berlanjut perpanjangan waktu</t>
  </si>
  <si>
    <t>['final', 'piala', 'dunia', 'argentina', 'prancis', 'berlanjut', 'perpanjangan', 'waktu']</t>
  </si>
  <si>
    <t>Final Piala Dunia 2022: Mbappe Cetak Dua Gol, Skor Jadi 2-2, Lanjut Babak Tambahan -  https://t.co/t1DQe4s1A1  https://t.co/Hz1lR2KZoL</t>
  </si>
  <si>
    <t>final piala dunia mbappe cetak dua gol skor jadi lanjut babak tambahan</t>
  </si>
  <si>
    <t>['final', 'piala', 'dunia', 'mbappe', 'cetak', 'gol', 'skor', 'jadi', 'lanjut', 'babak', 'tambahan']</t>
  </si>
  <si>
    <t>Sekalinya nonton piala dunia, pas final, dan pertandingannya gini, rasanya ga sia-sia waktuku buat begadang..</t>
  </si>
  <si>
    <t>sekalinya nonton piala dunia pas final dan pertandingannya gini rasanya sia sia waktuku buat begadang</t>
  </si>
  <si>
    <t>['sekalinya', 'nonton', 'piala', 'dunia', 'pas', 'final', 'pertandingannya', 'gini', 'rasanya', 'sia', 'sia', 'waktuku', 'buat', 'begadang']</t>
  </si>
  <si>
    <t>Dari sebelum Piala Dunia, "Ah, nanti nonton openingnya lah!"  Mulai Piala Dunia,  "Ah, nanti nonton finalnya aja lah!"  Sudah final Piala Dunia, "Serius, masih belum minat lagi nonton bola, tunggu hasil akhirnya aja lah! " üòê</t>
  </si>
  <si>
    <t>dari sebelum piala dunia nanti nonton openingnya lah mulai piala dunia nanti nonton finalnya aja lah sudah final piala dunia serius masih belum minat lagi nonton bola tunggu hasil akhirnya aja lah</t>
  </si>
  <si>
    <t>['piala', 'dunia', 'nonton', 'openingnya', 'lah', 'mulai', 'piala', 'dunia', 'nonton', 'finalnya', 'lah', 'final', 'piala', 'dunia', 'serius', 'minat', 'nonton', 'bola', 'tunggu', 'hasil', 'akhirnya', 'lah']</t>
  </si>
  <si>
    <t>keknya menegangkan sekali klo taruhan final piala dunia ya</t>
  </si>
  <si>
    <t>keknya menegangkan sekali klo taruhan final piala dunia</t>
  </si>
  <si>
    <t>['sepertinya', 'menegangkan', 'sekali', 'taruhan', 'final', 'piala', 'dunia']</t>
  </si>
  <si>
    <t>Ga kerasa udah final aja piala dunia üèÜ‚öΩü•≥üòç</t>
  </si>
  <si>
    <t>kerasa udah final aja piala dunia</t>
  </si>
  <si>
    <t>['kerasa', 'udah', 'final', 'piala', 'dunia']</t>
  </si>
  <si>
    <t>Nobar Final Piala Dunia 2022 ‚öΩÔ∏èüí™üèª  https://t.co/lh8BO9SUBb</t>
  </si>
  <si>
    <t>*Keseruan Nobar Final Piala Dunia 2022 di Fifteen Celcius Sky Lounge, Hawa Adem dan Bikin Deg-degan*   https://t.co/IiNXtf2BAz</t>
  </si>
  <si>
    <t>keseruan nobar final piala dunia fifteen celcius sky lounge hawa adem dan bikin deg degan</t>
  </si>
  <si>
    <t>['keseruan', 'nonton bareng', 'final', 'piala', 'dunia', 'fifteen', 'celcius', 'sky', 'lounge', 'hawa', 'adem', 'deg', 'degan']</t>
  </si>
  <si>
    <t>Jurnalis2 uda nyiapin bahan dibabak 1 pake judul "mbappe kehilangan magis di final piala dunia" sekarang kudu direvisi lagi üòÖ</t>
  </si>
  <si>
    <t>jurnalis uda nyiapin bahan dibabak pake judul mbappe kehilangan magis final piala dunia sekarang kudu direvisi lagi</t>
  </si>
  <si>
    <t>['jurnalis', 'uda', 'nyiapin', 'bahan', 'dibabak', 'pake', 'judul', 'mbappe', 'kehilangan', 'magis', 'final', 'piala', 'dunia', 'sekarang', 'kudu', 'direvisi']</t>
  </si>
  <si>
    <t>Si dia yg katanya mau nonton final piala dunia, eh tau2 ada suara ngorok üòÜ #ArgentinaVsFrance</t>
  </si>
  <si>
    <t>dia katanya mau nonton final piala dunia tau ada suara ngorok</t>
  </si>
  <si>
    <t>['katanya', 'mau', 'nonton', 'final', 'piala', 'dunia', 'suara', 'ngorok']</t>
  </si>
  <si>
    <t>sebagai penonton netral final piala dunia 2022 seruuu!</t>
  </si>
  <si>
    <t>sebagai penonton netral final piala dunia seruuu</t>
  </si>
  <si>
    <t>['penonton', 'netral', 'final', 'piala', 'dunia', 'seruuu']</t>
  </si>
  <si>
    <t>Kegembiraan pendukung timnas Prancis jelang partai final Piala Dunia Qatar 2022  https://t.co/OPLWy40iaL</t>
  </si>
  <si>
    <t>kegembiraan pendukung timnas prancis jelang partai final piala dunia qatar</t>
  </si>
  <si>
    <t>['kegembiraan', 'pendukung', 'timnas', 'prancis', 'jelang', 'partai', 'final', 'piala', 'dunia', 'qatar']</t>
  </si>
  <si>
    <t>Final Piala Dunia 2022: Gol Mbappe Paksa Duel Berlanjut ke Tambahan Waktu  https://t.co/1iNlwgGmua</t>
  </si>
  <si>
    <t>final piala dunia gol mbappe paksa duel berlanjut tambahan waktu</t>
  </si>
  <si>
    <t>['final', 'piala', 'dunia', 'gol', 'mbappe', 'paksa', 'duel', 'berlanjut', 'tambahan', 'waktu']</t>
  </si>
  <si>
    <t>Nobar final piala dunia ku udah ena kayak gini di rumah</t>
  </si>
  <si>
    <t>nobar final piala dunia udah ena kayak gini rumah</t>
  </si>
  <si>
    <t>['nonton bareng', 'final', 'piala', 'dunia', 'udah', 'ena', 'seperti', 'gini', 'rumah']</t>
  </si>
  <si>
    <t>@idextratime Final Piala Dunia France 1998  France üá®üáµ 3-0 üáßüá∑ Brazil Pencetak gol:  Zinedine Zidane - 2  Emmanuel Petit - 1  @Indosat @IDExtraTime #PilDunBarengIOH  @zeskisqq @ryeesz @npeeras</t>
  </si>
  <si>
    <t>final piala dunia france france brazil pencetak gol zinedine zidane emmanuel petit</t>
  </si>
  <si>
    <t>['final', 'piala', 'dunia', 'france', 'france', 'brazil', 'pencetak', 'gol', 'zinedine', 'zidane', 'emmanuel', 'petit']</t>
  </si>
  <si>
    <t>Cuti peristiwa sempena final piala dunia esok @anwaribrahim</t>
  </si>
  <si>
    <t>cuti peristiwa sempena final piala dunia esok</t>
  </si>
  <si>
    <t>['cuti', 'peristiwa', 'sempena', 'final', 'piala', 'dunia', 'esok']</t>
  </si>
  <si>
    <t>Dua Gol Kylian Mbappe di Final, Gagalkan Argentina Juara Piala Dunia 2022 di Qatar  https://t.co/Un6MCGt6I1</t>
  </si>
  <si>
    <t>dua gol kylian mbappe final gagalkan argentina juara piala dunia qatar</t>
  </si>
  <si>
    <t>['gol', 'kylian', 'mbappe', 'final', 'gagalkan', 'argentina', 'juara', 'piala', 'dunia', 'qatar']</t>
  </si>
  <si>
    <t>Prediksi laga Final Piala Dunia: Prancis vs Argentina  https://t.co/nNKxa3HOtU</t>
  </si>
  <si>
    <t>prediksi laga final piala dunia prancis argentina</t>
  </si>
  <si>
    <t>['prediksi', 'laga', 'final', 'piala', 'dunia', 'prancis', 'argentina']</t>
  </si>
  <si>
    <t>Siaran Langsung SCTV Final Piala Dunia 2022 Argentina vs Prancis, Akses Link Live Streaming Klik DI SINI! - Notif Indonesia  https://t.co/1Ro6vheAaQ</t>
  </si>
  <si>
    <t>siaran langsung sctv final piala dunia argentina prancis akses link live streaming klik sini notif indonesia</t>
  </si>
  <si>
    <t>['siaran', 'langsung', 'sctv', 'final', 'piala', 'dunia', 'argentina', 'prancis', 'akses', 'link', 'live', 'streaming', 'klik', 'sini', 'notif', 'indonesia']</t>
  </si>
  <si>
    <t>Live Skor Sementara Argentina vs Prancis 2-2, Final Piala Dunia 2022 Qatar, Mbappe Samakan Kedudukan  https://t.co/nUf2P247oF #MessiìÉµ #Messi #PialaDunia2022 #PialaDuniaQatar2022 #Mbappe #ArgentinaVsFrance #Qatar2022</t>
  </si>
  <si>
    <t>live skor sementara argentina prancis final piala dunia qatar mbappe samakan kedudukan</t>
  </si>
  <si>
    <t>['live', 'skor', 'argentina', 'prancis', 'final', 'piala', 'dunia', 'qatar', 'mbappe', 'samakan', 'kedudukan']</t>
  </si>
  <si>
    <t>Bayangin kalo Mbappe hattrick di final  Juara  Sebelum 24 tahun udah punya 2 piala dunia  Ngeri!</t>
  </si>
  <si>
    <t>bayangin kalo mbappe hattrick final juara sebelum tahun udah punya piala dunia ngeri</t>
  </si>
  <si>
    <t>['bayangin', 'mbappe', 'hattrick', 'final', 'juara', 'tahun', 'udah', 'punya', 'piala', 'dunia', 'ngeri']</t>
  </si>
  <si>
    <t>Paten kali final piala Dunia wasitnya gak nge cek VAR. Well played üòÜüòÜüòÜ</t>
  </si>
  <si>
    <t>paten kali final piala dunia wasitnya gak nge cek var well played</t>
  </si>
  <si>
    <t>['paten', 'kali', 'final', 'piala', 'dunia', 'wasitnya', 'nge', 'cek', 'var', 'well', 'played']</t>
  </si>
  <si>
    <t>kedua jagoan saya bertarung sengit di partai final piala dunia 2022 ini, whoooah  https://t.co/n1pe0mM8YS</t>
  </si>
  <si>
    <t>kedua jagoan saya bertarung sengit partai final piala dunia ini whoooah</t>
  </si>
  <si>
    <t>['kedua', 'jagoan', 'bertarung', 'sengit', 'partai', 'final', 'piala', 'dunia', 'whoooah']</t>
  </si>
  <si>
    <t>Final Piala Dunia 2022  Argentina pasti</t>
  </si>
  <si>
    <t>final piala dunia argentina pasti</t>
  </si>
  <si>
    <t>['final', 'piala', 'dunia', 'argentina']</t>
  </si>
  <si>
    <t>@janjaegers Nobar di warkop. Lagi ramai lo edisi Final Piala Dunia 2022 üî•  https://t.co/9yn9Sylbdz</t>
  </si>
  <si>
    <t>nobar warkop lagi ramai edisi final piala dunia</t>
  </si>
  <si>
    <t>['nonton bareng', 'warkop', 'ramai', 'edisi', 'final', 'piala', 'dunia']</t>
  </si>
  <si>
    <t>Apa cmn gw, dengan adanya final piala dunia, malah gak nonton dan cuman mau tau hasil akhir? Wkwk</t>
  </si>
  <si>
    <t>apa cmn dengan adanya final piala dunia malah gak nonton dan cuman mau tau hasil akhir wkwk</t>
  </si>
  <si>
    <t>['apa', 'cmn', 'adanya', 'final', 'piala', 'dunia', 'malah', 'nonton', 'cuman', 'mau', 'hasil', 'akhir']</t>
  </si>
  <si>
    <t>MENIT 95, RABIOT KELUAR FOFANA MASUK  Argentina 2:2 Perancis  Link Live Streaming Argentina vs Prancis Malam Ini 22.00 WIB Final Piala Dunia 2022   https://t.co/D7d3e8Q5dI</t>
  </si>
  <si>
    <t>menit rabiot keluar fofana masuk argentina perancis link live streaming argentina prancis malam ini wib final piala dunia</t>
  </si>
  <si>
    <t>['menit', 'rabiot', 'keluar', 'fofana', 'masuk', 'argentina', 'perancis', 'link', 'live', 'streaming', 'argentina', 'prancis', 'malam', 'wib', 'final', 'piala', 'dunia']</t>
  </si>
  <si>
    <t>VIDEO: Erdogan Tiba di Doha untuk Tonton Langsung Final Piala Dunia  https://t.co/xc9MSQcUo6</t>
  </si>
  <si>
    <t>video erdogan tiba doha untuk tonton langsung final piala dunia</t>
  </si>
  <si>
    <t>['video', 'erdogan', 'tiba', 'doha', 'tonton', 'langsung', 'final', 'piala', 'dunia']</t>
  </si>
  <si>
    <t>Prancis bangkit mengejar ketertinggalan melawan Argentina dalam laga final Piala Dunia 2022 dengan menyamakan skor 2-2 di babak kedua.  https://t.co/rhJeFyPEv3</t>
  </si>
  <si>
    <t>Nontinin final piala dunia seru bgt ini woiiiiiüò≠</t>
  </si>
  <si>
    <t>nontinin final piala dunia seru bgt ini woiiiii</t>
  </si>
  <si>
    <t>['nontinin', 'final', 'piala', 'dunia', 'seru', 'banget', 'woiiiii']</t>
  </si>
  <si>
    <t>Yg diganti. Jangan lupa sebentar lagi Final Piala Dunia Argentina vs Francis, Saksikan di Video Melalui IndiHome pastinya #indiHome #AktivitasTanpaBatas  https://t.co/igIbtoOxh1</t>
  </si>
  <si>
    <t>diganti jangan lupa sebentar lagi final piala dunia argentina francis saksikan video melalui indihome pastinya</t>
  </si>
  <si>
    <t>['diganti', 'jangan', 'lupa', 'sebentar', 'final', 'piala', 'dunia', 'argentina', 'francis', 'saksikan', 'video', 'melalui', 'indihome', 'pastinya']</t>
  </si>
  <si>
    <t>final piala dunia yang ‚ú®setara‚ú®</t>
  </si>
  <si>
    <t>final piala dunia yang setara</t>
  </si>
  <si>
    <t>['final', 'piala', 'dunia', 'setara']</t>
  </si>
  <si>
    <t>Final Piala Dunia 2022: Susul Argentina, Prancis Samakan Kedudukan Lewat Kylian Mbappe dengan Gol Cepat  https://t.co/eRQzw0IC70 #WorldCup #QatarWorldCup #Qatar2022 #QatarWorldCup2022 #WorldCupFinal</t>
  </si>
  <si>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</si>
  <si>
    <t>prancis link vidio sctv argentina perancis final piala dunia live streaming fifa world cup qatar match streams online for free argentina france messi mbappe</t>
  </si>
  <si>
    <t>['prancis', 'link', 'vidio', 'sctv', 'argentina', 'perancis', 'final', 'piala', 'dunia', 'live', 'streaming', 'fifa', 'world', 'cup', 'qatar', 'match', 'streams', 'online', 'for', 'free', 'argentina', 'france', 'messi', 'mbappe']</t>
  </si>
  <si>
    <t>Berikut hasil akhir pertandingan Final Piala Dunia 2022 Argentina vs Prancis, skor masih imbang 2-2. Dua gol Kylian Mbappe bawa pertandingan ke babak tambahan.  https://t.co/wbhIOcEUev  https://t.co/79RFUOduen</t>
  </si>
  <si>
    <t>berikut hasil akhir pertandingan final piala dunia argentina prancis skor masih imbang dua gol kylian mbappe bawa pertandingan babak tambahan</t>
  </si>
  <si>
    <t>['berikut', 'hasil', 'akhir', 'pertandingan', 'final', 'piala', 'dunia', 'argentina', 'prancis', 'skor', 'imbang', 'gol', 'kylian', 'mbappe', 'bawa', 'pertandingan', 'babak', 'tambahan']</t>
  </si>
  <si>
    <t>Final Piala Dunia 2022: Argentina vs Prancis 2-2, Berlanjut ke Perpanjangan Waktu  https://t.co/bF3TZZvKdi</t>
  </si>
  <si>
    <t>Beda banget vibes nonton final piala dunia sama final badminton. chaos sama hebohnya emang lebih dapeet di bola sih üòÇ tapi seruuuww</t>
  </si>
  <si>
    <t>beda banget vibes nonton final piala dunia sama final badminton chaos sama hebohnya emang lebih dapeet bola sih tapi seruuuww</t>
  </si>
  <si>
    <t>['beda', 'banget', 'vibes', 'nonton', 'final', 'piala', 'dunia', 'sama', 'final', 'badminton', 'chaos', 'sama', 'hebohnya', 'emang', 'lebih', 'dapeet', 'bola', 'seruuuww']</t>
  </si>
  <si>
    <t>Sepasang muda-mudi terpantau bertengkar krn beda dukung tim di final piala dunia</t>
  </si>
  <si>
    <t>sepasang muda mudi terpantau bertengkar krn beda dukung tim final piala dunia</t>
  </si>
  <si>
    <t>['sepasang', 'muda', 'mudi', 'terpantau', 'bertengkar', 'beda', 'dukung', 'tim', 'final', 'piala', 'dunia']</t>
  </si>
  <si>
    <t>Sekelas final piala dunia ada gol pinalti tuh sangat mengecewakan. Jaman Collina, mana ada dikasih pinalti macem sentuhan minor ke Di Maria dan Kolo Muani tadi</t>
  </si>
  <si>
    <t>sekelas final piala dunia ada gol pinalti tuh sangat mengecewakan jaman collina mana ada dikasih pinalti macem sentuhan minor maria dan kolo muani tadi</t>
  </si>
  <si>
    <t>['sekelas', 'final', 'piala', 'dunia', 'gol', 'penalti', 'sangat', 'mengecewakan', 'jaman', 'collina', 'mana', 'dikasih', 'penalti', 'macem', 'sentuhan', 'minor', 'maria', 'kolo', 'muani', 'tadi']</t>
  </si>
  <si>
    <t>Nikmatin final Piala Dunia skrg. Final 2026 pas office hour (berdoa aja smg pas tgl merah)</t>
  </si>
  <si>
    <t>nikmatin final piala dunia skrg final pas office hour berdoa aja smg pas tgl merah</t>
  </si>
  <si>
    <t>['nikmatin', 'final', 'piala', 'dunia', 'skrg', 'final', 'pas', 'office', 'hour', 'berdoa', 'smg', 'pas', 'tgl', 'merah']</t>
  </si>
  <si>
    <t>Memantau final piala dunia di timeline aja. Krn di rumah gak ada yg ngerti bola üòÖ</t>
  </si>
  <si>
    <t>memantau final piala dunia timeline aja krn rumah gak ada ngerti bola</t>
  </si>
  <si>
    <t>['memantau', 'final', 'piala', 'dunia', 'timeline', 'rumah', 'ngerti', 'bola']</t>
  </si>
  <si>
    <t>Piala Dunia Qatar kali ini sangat spesial karena mempertemukan All Jawa Tengah Final: Sragentina versus Prancismantoro üíÉüëç</t>
  </si>
  <si>
    <t>piala dunia qatar kali ini sangat spesial karena mempertemukan all jawa tengah final sragentina versus prancismantoro</t>
  </si>
  <si>
    <t>['piala', 'dunia', 'qatar', 'kali', 'sangat', 'spesial', 'mempertemukan', 'all', 'jawa', 'tengah', 'final', 'sragentina', 'versus', 'prancismantoro']</t>
  </si>
  <si>
    <t>Saya fans Bayern. Pemain Bayern yang main di final piala dunia kali ini semuanya membela timnas Perancis. Tapi anehnya, kok malah aku lebih dukung Argentina yak? Wkwk...</t>
  </si>
  <si>
    <t>saya fans bayern pemain bayern yang main final piala dunia kali ini semuanya membela timnas perancis tapi anehnya kok malah aku lebih dukung argentina yak wkwk</t>
  </si>
  <si>
    <t>['fans', 'bayern', 'pemain', 'bayern', 'main', 'final', 'piala', 'dunia', 'kali', 'semuanya', 'membela', 'timnas', 'perancis', 'anehnya', 'kok', 'malah', 'aku', 'lebih', 'dukung', 'argentina', 'yak']</t>
  </si>
  <si>
    <t>@Askrlfess kenapa si nder? maklumin aja piala dunia nggak tiap tahun ada loh, ini final pula, wajarr kalo pd nobar trs seneng</t>
  </si>
  <si>
    <t>kenapa nder maklumin aja piala dunia nggak tiap tahun ada loh ini final pula wajarr kalo nobar trs seneng</t>
  </si>
  <si>
    <t>['nder', 'maklumin', 'piala', 'dunia', 'tiap', 'tahun', 'final', 'wajarr', 'nonton bareng', 'terus', 'seneng']</t>
  </si>
  <si>
    <t>Makan nasi telur ceplok + sambel ditemani tegangnya final piala dunia üëçüèª  https://t.co/TcwFM4pShK</t>
  </si>
  <si>
    <t>makan nasi telur ceplok sambel ditemani tegangnya final piala dunia</t>
  </si>
  <si>
    <t>['makan', 'nasi', 'telur', 'ceplok', 'sambel', 'ditemani', 'tegangnya', 'final', 'piala', 'dunia']</t>
  </si>
  <si>
    <t>MENIT 92, MESSI PANIK NARIK CAMAVINGA  Argentina 2:2 Perancis  Link Live Streaming Argentina vs Prancis Malam Ini 22.00 WIB Final Piala Dunia 2022   https://t.co/7L1xULcLZO</t>
  </si>
  <si>
    <t>menit messi panik narik camavinga argentina perancis link live streaming argentina prancis malam ini wib final piala dunia</t>
  </si>
  <si>
    <t>['menit', 'messi', 'panik', 'narik', 'camavinga', 'argentina', 'perancis', 'link', 'live', 'streaming', 'argentina', 'prancis', 'malam', 'wib', 'final', 'piala', 'dunia']</t>
  </si>
  <si>
    <t>LINK Siaran Langsung Closing Ceremony dan Final Piala Dunia Argentina vs Prancis Hari Ini, Jam Berapa?   https://t.co/rcj0PBtLtg</t>
  </si>
  <si>
    <t>link siaran langsung closing ceremony dan final piala dunia argentina prancis hari ini jam berapa</t>
  </si>
  <si>
    <t>['link', 'siaran', 'langsung', 'closing', 'ceremony', 'final', 'piala', 'dunia', 'argentina', 'prancis', 'hari', 'jam', 'berapa']</t>
  </si>
  <si>
    <t>Lionel Messi Buat Rekor Argentina vs Prancis di Final Piala Dunia¬†2022  https://t.co/kjUsSJkz8g</t>
  </si>
  <si>
    <t>lionel messi buat rekor argentina prancis final piala dunia</t>
  </si>
  <si>
    <t>['lionel', 'messi', 'buat', 'rekor', 'argentina', 'prancis', 'final', 'piala', 'dunia']</t>
  </si>
  <si>
    <t>Sebagian fans tidak dapat menyaksikan keseruan duel Argentina vs Prancis di final Piala Dunia 2022 dengan lancar. Menyusul eror di layanan streaming, Vidio.  https://t.co/YEpphZ7Zi7</t>
  </si>
  <si>
    <t>sebagian fans tidak dapat menyaksikan keseruan duel argentina prancis final piala dunia dengan lancar menyusul eror layanan streaming vidio</t>
  </si>
  <si>
    <t>['sebagian', 'fans', 'menyaksikan', 'keseruan', 'duel', 'argentina', 'prancis', 'final', 'piala', 'dunia', 'lancar', 'menyusul', 'eror', 'layanan', 'streaming', 'vidio']</t>
  </si>
  <si>
    <t>Sempat tertinggal dua gol dari Argentina, juara bertahan Prancis sukses menyamakan kedudukan 2-2 untuk memaksa digelarnya babak tambahan di final Piala Dunia 2022.  https://t.co/WJGYSrO0zF</t>
  </si>
  <si>
    <t>sempat tertinggal dua gol dari argentina juara bertahan prancis sukses menyamakan kedudukan untuk memaksa digelarnya babak tambahan final piala dunia</t>
  </si>
  <si>
    <t>['sempat', 'tertinggal', 'gol', 'argentina', 'juara', 'bertahan', 'prancis', 'sukses', 'menyamakan', 'kedudukan', 'memaksa', 'digelarnya', 'babak', 'tambahan', 'final', 'piala', 'dunia']</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</si>
  <si>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</si>
  <si>
    <t>final piala dunia live streaming free link argentina perancis fifa world cup qatar argentina france argentina francia final del mundial</t>
  </si>
  <si>
    <t>['final', 'piala', 'dunia', 'live', 'streaming', 'free', 'link', 'argentina', 'perancis', 'fifa', 'world', 'cup', 'qatar', 'argentina', 'france', 'argentina', 'francia', 'final', 'del', 'mundial']</t>
  </si>
  <si>
    <t>Mbappe waktu aku seumur kamu aku nonton kamu di final piala dunia 2018</t>
  </si>
  <si>
    <t>mbappe waktu aku seumur kamu aku nonton kamu final piala dunia</t>
  </si>
  <si>
    <t>['mbappe', 'waktu', 'aku', 'seumur', 'kamu', 'aku', 'nonton', 'kamu', 'final', 'piala', 'dunia']</t>
  </si>
  <si>
    <t>oke gue live report reaction gue terhadap final piala dunia yg 2x15 menit ini WKWKWKWKWKWKWKWK</t>
  </si>
  <si>
    <t>oke gue live report reaction gue terhadap final piala dunia menit ini wkwkwkwkwkwkwkwk</t>
  </si>
  <si>
    <t>['oke', 'gue', 'live', 'report', 'reaction', 'gue', 'final', 'piala', 'dunia', 'menit', 'wkwkwkwkwkwkwkwk']</t>
  </si>
  <si>
    <t>final piala dunia üá¶üá∑ besok senin ya  https://t.co/aHDhQ6SmsC</t>
  </si>
  <si>
    <t>final piala dunia besok senin</t>
  </si>
  <si>
    <t>['final', 'piala', 'dunia', 'besok', 'senin']</t>
  </si>
  <si>
    <t>Final Piala Dunia 2022 masuk ke babak extra time 2x15 menit. Dua gol Kylian Mbappe membuat skor 2-2 di akhir waktu normal.  https://t.co/vLk2uZSKuW</t>
  </si>
  <si>
    <t>gabisa tidur grgr final piala dunia</t>
  </si>
  <si>
    <t>['gabisa', 'tidur', 'grgr', 'final', 'piala', 'dunia']</t>
  </si>
  <si>
    <t>Final Piala Dunia tahun 2022 di Qatar.  https://t.co/SA6OCVfNSv</t>
  </si>
  <si>
    <t>final piala dunia tahun qatar</t>
  </si>
  <si>
    <t>['final', 'piala', 'dunia', 'tahun', 'qatar']</t>
  </si>
  <si>
    <t>Nah ini baru yg namanya final piala dunia... Kudu perpanjangan waktu dan kalo perlu sampai tos-tosan.. jadi seru dan penuhi drama...  #worldcup2022 #pialadunia2022 #finalworldcup #perancisvsargentina  https://t.co/fvxCd1aIES</t>
  </si>
  <si>
    <t>nah ini baru namanya final piala dunia kudu perpanjangan waktu dan kalo perlu sampai tos tosan jadi seru dan penuhi drama</t>
  </si>
  <si>
    <t>['nah', 'baru', 'namanya', 'final', 'piala', 'dunia', 'kudu', 'perpanjangan', 'waktu', 'perlu', 'tos', 'tosan', 'jadi', 'seru', 'penuhi', 'drama']</t>
  </si>
  <si>
    <t>Hasil Final Piala Dunia 2022: Kylian Mbappe 2 Gol, Prancis Paksa Argentina Gelar Babak Tambahan Waktu  https://t.co/J8ZM4I7QMz</t>
  </si>
  <si>
    <t>90+30 Babak Tambahan lur  Final Piala Dunia  Argentina 2 - 2 Prancis  Makin berdebar-debar  #FIFAWorldCup #finalpialadunia</t>
  </si>
  <si>
    <t>babak tambahan lur final piala dunia argentina prancis makin berdebar debar</t>
  </si>
  <si>
    <t>['babak', 'tambahan', 'lur', 'final', 'piala', 'dunia', 'argentina', 'prancis', 'makin', 'berdebar', 'debar']</t>
  </si>
  <si>
    <t>Final Piala Dunia 2022: Babak Kedua Dua Gol Mbappe Tahan Imbang Argentina  2-2  https://t.co/kTmQrZWQjh #ArgentinaVsFrance #WorldCup #FIFAWorldCup #ARGFRA #Mbappe #MessiìÉµ</t>
  </si>
  <si>
    <t>final piala dunia babak kedua dua gol mbappe tahan imbang argentina</t>
  </si>
  <si>
    <t>['final', 'piala', 'dunia', 'babak', 'kedua', 'gol', 'mbappe', 'tahan', 'imbang', 'argentina']</t>
  </si>
  <si>
    <t>Final Piala Dunia 2022 masuk ke babak extra time 2x15 menit. Dua gol Kylian Mbappe membuat skor 2-2 di akhir waktu normal.  https://t.co/p3qa7FU4FQ</t>
  </si>
  <si>
    <t>Berhenti nonton final piala dunia demi ketenagan jiwa. Tegang anjir sepanjang 90 menitüò≠</t>
  </si>
  <si>
    <t>berhenti nonton final piala dunia demi ketenagan jiwa tegang anjir sepanjang menit</t>
  </si>
  <si>
    <t>['berhenti', 'nonton', 'final', 'piala', 'dunia', 'ketenagan', 'jiwa', 'tegang', 'anjir', 'sepanjang', 'menit']</t>
  </si>
  <si>
    <t>Mbappe vs Messi Link Streaming Final Piala Dunia Gratis Argentina vs Prancis   https://t.co/EG7SAWEv1S</t>
  </si>
  <si>
    <t>mbappe messi link streaming final piala dunia gratis argentina prancis</t>
  </si>
  <si>
    <t>['mbappe', 'messi', 'link', 'streaming', 'final', 'piala', 'dunia', 'gratis', 'argentina', 'prancis']</t>
  </si>
  <si>
    <t>Terlihat elon musk hadir di final piala dunia menggunakan gesper kepala tengkorak</t>
  </si>
  <si>
    <t>terlihat elon musk hadir final piala dunia menggunakan gesper kepala tengkorak</t>
  </si>
  <si>
    <t>['terlihat', 'elon', 'musk', 'hadir', 'final', 'piala', 'dunia', 'menggunakan', 'gesper', 'kepala', 'tengkorak']</t>
  </si>
  <si>
    <t>Sengit banget final Piala Dunia inihhh</t>
  </si>
  <si>
    <t>sengit banget final piala dunia inihhh</t>
  </si>
  <si>
    <t>['sengit', 'banget', 'final', 'piala', 'dunia', 'inihhh']</t>
  </si>
  <si>
    <t>Duel Timnas Argentina vs Prancis di final Piala Dunia 2022 berlanjut ke babak tambahan. Pasalnya, kedua tim bermain sama kuat 2-2 usai bertanding selama 90 menit di Stadion Lusail, Minggu (18/12/2022) malam WIB.  https://t.co/hFNJPNnimf</t>
  </si>
  <si>
    <t>duel timnas argentina prancis final piala dunia berlanjut babak tambahan pasalnya kedua tim bermain sama kuat usai bertanding selama menit stadion lusail minggu malam wib</t>
  </si>
  <si>
    <t>['duel', 'timnas', 'argentina', 'prancis', 'final', 'piala', 'dunia', 'berlanjut', 'babak', 'tambahan', 'pasalnya', 'kedua', 'tim', 'bermain', 'sama', 'kuat', 'usai', 'bertanding', 'selama', 'menit', 'stadion', 'lusail', 'minggu', 'malam', 'wib']</t>
  </si>
  <si>
    <t>&lt;FreqDist with 25 samples and 25 outcomes&gt;</t>
  </si>
  <si>
    <t>@N_ShaniJKT48 Ci nonton final piala dunia gaak</t>
  </si>
  <si>
    <t>shanijkt nonton final piala dunia gaak</t>
  </si>
  <si>
    <t>['shanijkt', 'nonton', 'final', 'piala', 'dunia', 'gaak']</t>
  </si>
  <si>
    <t>UPDATE! LIVE Skor Sementara Argentina vs Prancis 2-2 di Laga Final Piala Dunia Qatar 2022  https://t.co/ae1V2DFQHY</t>
  </si>
  <si>
    <t>Laga Argentina vs Perancis di final Piala Dunia 2022 berlanjut ke babak perpanjangan waktu setelah kedua tim bermain imbang 2-2 dalam waktu normal.    https://t.co/JppEIxL0Vh</t>
  </si>
  <si>
    <t>laga argentina perancis final piala dunia berlanjut babak perpanjangan waktu setelah kedua tim bermain imbang dalam waktu normal</t>
  </si>
  <si>
    <t>['laga', 'argentina', 'perancis', 'final', 'piala', 'dunia', 'berlanjut', 'babak', 'perpanjangan', 'waktu', 'kedua', 'tim', 'bermain', 'imbang', 'waktu', 'normal']</t>
  </si>
  <si>
    <t>#DiskusiInteraktifElshinta Laga Final Piala Dunia 2022 antara Argentina vs Prancis harus berlanjut hingga babak extra time, setelah imbang 2-2 hingga waktu normal berakhir.  Siapa yang akan menang?  Talk: Pengamat Sepal Bola, M. Wildan.  Streaming:  https://t.co/srNuwqc16F  https://t.co/vjM3rtKUY7</t>
  </si>
  <si>
    <t>laga final piala dunia antara argentina prancis harus berlanjut hingga babak extra time setelah imbang hingga waktu normal berakhir siapa yang akan menang talk pengamat sepal bola wildan streaming</t>
  </si>
  <si>
    <t>['laga', 'final', 'piala', 'dunia', 'argentina', 'prancis', 'berlanjut', 'hingga', 'babak', 'extra', 'time', 'imbang', 'hingga', 'waktu', 'normal', 'berakhir', 'siapa', 'menang', 'talk', 'pengamat', 'sepal', 'bola', 'wildan', 'streaming']</t>
  </si>
  <si>
    <t>Pertama kalinya nonton final piala dunia. Gara-gara Pak Suami üòÖ padahal ku ngerti aja engga</t>
  </si>
  <si>
    <t>pertama kalinya nonton final piala dunia gara gara pak suami padahal ngerti aja engga</t>
  </si>
  <si>
    <t>['pertama', 'kalinya', 'nonton', 'final', 'piala', 'dunia', 'gara', 'gara', 'pak', 'suami', 'padahal', 'ngerti', 'tidak']</t>
  </si>
  <si>
    <t>Final yang bikin darah mampet  jadi lancar otak buntu jadi gila  ini baru piala dunia</t>
  </si>
  <si>
    <t>final yang bikin darah mampet jadi lancar otak buntu jadi gila ini baru piala dunia</t>
  </si>
  <si>
    <t>['final', 'darah', 'mampet', 'jadi', 'lancar', 'otak', 'buntu', 'jadi', 'gila', 'baru', 'piala', 'dunia']</t>
  </si>
  <si>
    <t>Kita bisa bilang apa pun soal Piala Dunia 2022, tapi ini Final Piala Dunia terbaik yang pernah gue tonton.  Atas semua kejutan dan kontroversi sebelum dan selama gelaran di Qatar ini..  Kita pantas dapet tontonan Final kayak gini.</t>
  </si>
  <si>
    <t>kita bisa bilang apa pun soal piala dunia tapi ini final piala dunia terbaik yang pernah gue tonton atas semua kejutan dan kontroversi sebelum dan selama gelaran qatar ini kita pantas dapet tontonan final kayak gini</t>
  </si>
  <si>
    <t>['apa', 'soal', 'piala', 'dunia', 'final', 'piala', 'dunia', 'terbaik', 'pernah', 'gue', 'tonton', 'atas', 'semua', 'kejutan', 'kontroversi', 'selama', 'gelaran', 'qatar', 'pantas', 'dapat', 'tontonan', 'final', 'seperti', 'gini']</t>
  </si>
  <si>
    <t>Lah, wes ngantuk malah extra time !   Tapi ora papa, final masa piala dunia masa ora nganggo Drama. Ya melas sing nggelar proyektor üòë</t>
  </si>
  <si>
    <t>lah wes ngantuk malah extra time tapi ora papa final masa piala dunia masa ora nganggo drama melas sing nggelar proyektor</t>
  </si>
  <si>
    <t>['lah', 'wes', 'ngantuk', 'malah', 'extra', 'time', 'ora', 'papa', 'final', 'masa', 'piala', 'dunia', 'masa', 'ora', 'nganggo', 'drama', 'melas', 'sing', 'nggelar', 'proyektor']</t>
  </si>
  <si>
    <t>Bener euy piala dunia 2022 penuh kejutan, masih ada sampe final juga‚Ä¶</t>
  </si>
  <si>
    <t>bener euy piala dunia penuh kejutan masih ada sampe final juga</t>
  </si>
  <si>
    <t>['benar', 'euy', 'piala', 'dunia', 'penuh', 'kejutan', 'sampai', 'final']</t>
  </si>
  <si>
    <t>MALAH LATIHAN PASSING TAIIII INI PIALA DUNIA FINAL KALO LU LUPA</t>
  </si>
  <si>
    <t>malah latihan passing taiiii ini piala dunia final kalo lupa</t>
  </si>
  <si>
    <t>['malah', 'latihan', 'passing', 'taiiii', 'piala', 'dunia', 'final', 'lupa']</t>
  </si>
  <si>
    <t>Dah hujung permainan, baru dpt rasa final Piala Dunia... 70min pertama rasa Mcm Piala liga Mukim Kuale jerr..</t>
  </si>
  <si>
    <t>dah hujung permainan baru dpt rasa final piala dunia min pertama rasa mcm piala liga mukim kuale jerr</t>
  </si>
  <si>
    <t>['dah', 'hujung', 'permainan', 'baru', 'dpt', 'rasa', 'final', 'piala', 'dunia', 'min', 'pertama', 'rasa', 'mcm', 'piala', 'liga', 'mukim', 'kuale', 'jerr']</t>
  </si>
  <si>
    <t>Final Piala Dunia 2022 masuk ke babak extra time 2x15 menit. Dua gol Kylian Mbappe membuat skor 2-2 di akhir waktu normal.  https://t.co/vLk2uZABgO</t>
  </si>
  <si>
    <t>Laga Argentina vs Perancis di final Piala Dunia 2022 berlanjut ke babak perpanjangan waktu setelah kedua tim bermain imbang 2-2 dalam waktu normal.    https://t.co/JppEIy3a9p</t>
  </si>
  <si>
    <t>Prediksi Timnas Argentina vs Prancis di Final Piala Dunia 2022: Pembuktian Lionel Messi atau Kylian Mbappe?  https://t.co/JGmjtcCrDA via @okezonenews</t>
  </si>
  <si>
    <t>prediksi timnas argentina prancis final piala dunia pembuktian lionel messi atau kylian mbappe via</t>
  </si>
  <si>
    <t>['prediksi', 'timnas', 'argentina', 'prancis', 'final', 'piala', 'dunia', 'pembuktian', 'lionel', 'messi', 'kylian', 'mbappe', 'via']</t>
  </si>
  <si>
    <t>seru jga nonton final piala dunia</t>
  </si>
  <si>
    <t>['seru', 'jga', 'nonton', 'final', 'piala', 'dunia']</t>
  </si>
  <si>
    <t>Betapa nikmatnya menonton Final Piala Dunia tanpa beban seperti sekarang karena ga jagoin siapa2 üôèüèª</t>
  </si>
  <si>
    <t>betapa nikmatnya menonton final piala dunia tanpa beban seperti sekarang karena jagoin siapa</t>
  </si>
  <si>
    <t>['betapa', 'nikmatnya', 'menonton', 'final', 'piala', 'dunia', 'beban', 'sekarang', 'jagoin', 'siapa']</t>
  </si>
  <si>
    <t>Begadang nonton final piala dunia ‚ùé Begadang ngabisin kuota ‚úÖ</t>
  </si>
  <si>
    <t>begadang nonton final piala dunia begadang ngabisin kuota</t>
  </si>
  <si>
    <t>['begadang', 'nonton', 'final', 'piala', 'dunia', 'begadang', 'ngabisin', 'kuota']</t>
  </si>
  <si>
    <t>Mbappe umur 19 tahun ngegolin di final piala dunia 2018 vs kroasia. Mbappe 22 tahun jd penyama 2-0 di final piala dunia 2022 vs argentina. Whata a comeback!!!</t>
  </si>
  <si>
    <t>mbappe umur tahun ngegolin final piala dunia kroasia mbappe tahun penyama final piala dunia argentina whata comeback</t>
  </si>
  <si>
    <t>['mbappe', 'umur', 'tahun', 'ngegolin', 'final', 'piala', 'dunia', 'kroasia', 'mbappe', 'tahun', 'penyama', 'final', 'piala', 'dunia', 'argentina', 'whata', 'comeback']</t>
  </si>
  <si>
    <t>&lt;FreqDist with 12 samples and 17 outcomes&gt;</t>
  </si>
  <si>
    <t>watching final piala dunia is fun when you don‚Äôt pick any sides ^-^</t>
  </si>
  <si>
    <t>watching final piala dunia fun when you don pick any sides</t>
  </si>
  <si>
    <t>['watching', 'final', 'piala', 'dunia', 'fun', 'when', 'you', 'don', 'pick', 'any', 'sides']</t>
  </si>
  <si>
    <t>Menerima gadai dan jual brng2 untuk yg kalah judi final piala dunia..minat DM üòÅ</t>
  </si>
  <si>
    <t>menerima gadai dan jual brng untuk kalah judi final piala dunia minat</t>
  </si>
  <si>
    <t>['menerima', 'gadai', 'jual', 'brng', 'kalah', 'judi', 'final', 'piala', 'dunia', 'minat']</t>
  </si>
  <si>
    <t>JOM KITA TERUSKAN DENGAN SEPARUH MASA PERTAMA MASA TAMBAHAN FINAL PIALA DUNIA ‚öΩ‚öΩ‚öΩ‚öΩ</t>
  </si>
  <si>
    <t>jom kita teruskan dengan separuh masa pertama masa tambahan final piala dunia</t>
  </si>
  <si>
    <t>['jom', 'teruskan', 'separuh', 'masa', 'pertama', 'masa', 'tambahan', 'final', 'piala', 'dunia']</t>
  </si>
  <si>
    <t>@Legit_duren Inilah...Real Final Piala Dunia...</t>
  </si>
  <si>
    <t>duren inilah real final piala dunia</t>
  </si>
  <si>
    <t>['duren', 'inilah', 'real', 'final', 'piala', 'dunia']</t>
  </si>
  <si>
    <t>Final piala dunia yang lama plis, biar besok orang kantor pada online siang semuaüõê</t>
  </si>
  <si>
    <t>final piala dunia yang lama plis biar besok orang kantor pada online siang semua</t>
  </si>
  <si>
    <t>['final', 'piala', 'dunia', 'lama', 'plis', 'besok', 'orang', 'kantor', 'online', 'siang', 'semua']</t>
  </si>
  <si>
    <t>Sragentina pikir laga final piala dunia bakal semudah itu. Ternyata petahana cuma lambat panas saja. Kredit buat Coman yg jd pembeda di babak kedua ini.  #ArgentinaVsFrance #FIFAWorldCup</t>
  </si>
  <si>
    <t>sragentina pikir laga final piala dunia bakal semudah itu ternyata petahana cuma lambat panas saja kredit buat coman pembeda babak kedua ini</t>
  </si>
  <si>
    <t>['sragentina', 'pikir', 'laga', 'final', 'piala', 'dunia', 'bakal', 'semudah', 'ternyata', 'petahana', 'cuma', 'lambat', 'panas', 'kredit', 'buat', 'coman', 'pembeda', 'babak', 'kedua']</t>
  </si>
  <si>
    <t>Final Piala Dunia terlama..kickoff hari minggu tambahan waktu sampe hari senen</t>
  </si>
  <si>
    <t>final piala dunia terlama kickoff hari minggu tambahan waktu sampe hari senen</t>
  </si>
  <si>
    <t>['final', 'piala', 'dunia', 'terlama', 'kickoff', 'hari', 'minggu', 'tambahan', 'waktu', 'sampai', 'hari', 'senin']</t>
  </si>
  <si>
    <t>Final Piala Dunia 2022: Argentina VS Prancis Berlanjut Ke Babak Tambahan Waktu Usai Tercipta Skor 2-2     https://t.co/Jv6hxCFvV2</t>
  </si>
  <si>
    <t>final piala dunia argentina prancis berlanjut babak tambahan waktu usai tercipta skor</t>
  </si>
  <si>
    <t>['final', 'piala', 'dunia', 'argentina', 'prancis', 'berlanjut', 'babak', 'tambahan', 'waktu', 'usai', 'tercipta', 'skor']</t>
  </si>
  <si>
    <t>Babak Kedua Final Piala Dunia 2022 Argentina vs Prancis 2-2, Kylian Mbappe Bangkit dan Borong 2 Gol  https://t.co/oEwpoJAWbi</t>
  </si>
  <si>
    <t>babak kedua final piala dunia argentina prancis kylian mbappe bangkit dan borong gol</t>
  </si>
  <si>
    <t>['babak', 'kedua', 'final', 'piala', 'dunia', 'argentina', 'prancis', 'kylian', 'mbappe', 'bangkit', 'borong', 'gol']</t>
  </si>
  <si>
    <t>Messi trauma sama ET final piala dunia</t>
  </si>
  <si>
    <t>messi trauma sama final piala dunia</t>
  </si>
  <si>
    <t>['messi', 'trauma', 'sama', 'final', 'piala', 'dunia']</t>
  </si>
  <si>
    <t>"Harusnya gua udah angkat Piala inih"  Messi, menjelang Extra Time Final Piala Dunia 2022.</t>
  </si>
  <si>
    <t>harusnya gua udah angkat piala inih messi menjelang extra time final piala dunia</t>
  </si>
  <si>
    <t>['harusnya', 'gua', 'udah', 'angkat', 'piala', 'inih', 'messi', 'menjelang', 'extra', 'time', 'final', 'piala', 'dunia']</t>
  </si>
  <si>
    <t>Hasil Timnas Argentina vs Prancis di Final Piala Dunia 2022</t>
  </si>
  <si>
    <t>hasil timnas argentina prancis final piala dunia</t>
  </si>
  <si>
    <t>['hasil', 'timnas', 'argentina', 'prancis', 'final', 'piala', 'dunia']</t>
  </si>
  <si>
    <t>1-79 menit friendly match, 80+ final piala duniaüòÇ</t>
  </si>
  <si>
    <t>menit friendly match final piala dunia</t>
  </si>
  <si>
    <t>['menit', 'friendly', 'match', 'final', 'piala', 'dunia']</t>
  </si>
  <si>
    <t>Wasit Szymon Marciniak memimpin laga final Piala Dunia 2022 antara Argentina vs Prancis.</t>
  </si>
  <si>
    <t>wasit szymon marciniak memimpin laga final piala dunia antara argentina prancis</t>
  </si>
  <si>
    <t>['wasit', 'szymon', 'marciniak', 'memimpin', 'laga', 'final', 'piala', 'dunia', 'argentina', 'prancis']</t>
  </si>
  <si>
    <t>5 kali nonton final piala dunia, harus diakuin 2022 ini yang paling seru sih.</t>
  </si>
  <si>
    <t>kali nonton final piala dunia harus diakuin ini yang paling seru sih</t>
  </si>
  <si>
    <t>['kali', 'nonton', 'final', 'piala', 'dunia', 'diakuin', 'paling', 'seru']</t>
  </si>
  <si>
    <t>KICK OFF BABAK TAMBAHAN  Argentina 2:2 Perancis  Link Live Streaming Argentina vs Prancis Malam Ini 22.00 WIB Final Piala Dunia 2022   https://t.co/LJ9I01H4vv</t>
  </si>
  <si>
    <t>kick off babak tambahan argentina perancis link live streaming argentina prancis malam ini wib final piala dunia</t>
  </si>
  <si>
    <t>['kick', 'off', 'babak', 'tambahan', 'argentina', 'perancis', 'link', 'live', 'streaming', 'argentina', 'prancis', 'malam', 'wib', 'final', 'piala', 'dunia']</t>
  </si>
  <si>
    <t>Final piala dunia tanpa extra time itu kurang seru üòπ</t>
  </si>
  <si>
    <t>final piala dunia tanpa extra time itu kurang seru</t>
  </si>
  <si>
    <t>['final', 'piala', 'dunia', 'extra', 'time', 'kurang', 'seru']</t>
  </si>
  <si>
    <t>Update Skor Final Piala Dunia 2022, Argentina unggul atas Prancis  https://t.co/GBsmkjNOGX</t>
  </si>
  <si>
    <t>update skor final piala dunia argentina unggul atas prancis</t>
  </si>
  <si>
    <t>['update', 'skor', 'final', 'piala', 'dunia', 'argentina', 'unggul', 'atas', 'prancis']</t>
  </si>
  <si>
    <t>SEDANG BERLANGSUNG, Pertandingan sengit Final Piala Dunia 2022 Argentina vs Prancis, Skor 2-0 bikin panik!  https://t.co/FlbwDQ8rL1</t>
  </si>
  <si>
    <t>sedang berlangsung pertandingan sengit final piala dunia argentina prancis skor bikin panik</t>
  </si>
  <si>
    <t>['sedang', 'berlangsung', 'pertandingan', 'sengit', 'final', 'piala', 'dunia', 'argentina', 'prancis', 'skor', 'panik']</t>
  </si>
  <si>
    <t>SIARAN LANGSUNG! Pertandingan Final Piala Dunia 2022 Argentina vs Prancis, link live streaming alternatif  https://t.co/dI30gkHOh1</t>
  </si>
  <si>
    <t>siaran langsung pertandingan final piala dunia argentina prancis link live streaming alternatif</t>
  </si>
  <si>
    <t>['siaran', 'langsung', 'pertandingan', 'final', 'piala', 'dunia', 'argentina', 'prancis', 'link', 'live', 'streaming', 'alternatif']</t>
  </si>
  <si>
    <t>FINAL PIALA DUNIA TERSERU SIH INI</t>
  </si>
  <si>
    <t>final piala dunia terseru sih ini</t>
  </si>
  <si>
    <t>SEDANG BERLANGSUNG! link live streaming Argentina vs Prancis laga Final Piala Dunia 2022  https://t.co/T4drXGy394</t>
  </si>
  <si>
    <t>sedang berlangsung link live streaming argentina prancis laga final piala dunia</t>
  </si>
  <si>
    <t>['sedang', 'berlangsung', 'link', 'live', 'streaming', 'argentina', 'prancis', 'laga', 'final', 'piala', 'dunia']</t>
  </si>
  <si>
    <t>Bukan pendukung kedua negara, tapi setidaknya untuk pertandingan final piala dunia, 10 menit terakhir ini cukup panas dan menyajikan permainan saling menyerang.</t>
  </si>
  <si>
    <t>bukan pendukung kedua negara tapi setidaknya untuk pertandingan final piala dunia menit terakhir ini cukup panas dan menyajikan permainan saling menyerang</t>
  </si>
  <si>
    <t>['bukan', 'pendukung', 'kedua', 'negara', 'pertandingan', 'final', 'piala', 'dunia', 'menit', 'terakhir', 'cukup', 'panas', 'menyajikan', 'permainan', 'saling', 'menyerang']</t>
  </si>
  <si>
    <t>Klik  https://t.co/P4sYIGNtlP Bola Gol Berita Terkini : Ekspresi suporter Prancis nonton final Piala Dunia sejauh ini  https://t.co/r0strwtJXp</t>
  </si>
  <si>
    <t>klik bola gol berita terkini ekspresi suporter prancis nonton final piala dunia sejauh ini</t>
  </si>
  <si>
    <t>['klik', 'bola', 'gol', 'berita', 'terkini', 'ekspresi', 'suporter', 'prancis', 'nonton', 'final', 'piala', 'dunia', 'sejauh']</t>
  </si>
  <si>
    <t>Akhirnya nobar deket rumah, mendingan nonton bareng asep rokok daripada ga nonton final piala dunia.  https://t.co/4e8mEjG5r5</t>
  </si>
  <si>
    <t>akhirnya nobar deket rumah mendingan nonton bareng asep rokok daripada nonton final piala dunia</t>
  </si>
  <si>
    <t>['akhirnya', 'nonton bareng', 'deket', 'rumah', 'mendingan', 'nonton', 'bareng', 'asep', 'rokok', 'nonton', 'final', 'piala', 'dunia']</t>
  </si>
  <si>
    <t>Aligg, ini baru final piala dunia. Gaskeun prancissss</t>
  </si>
  <si>
    <t>aligg ini baru final piala dunia gaskeun prancissss</t>
  </si>
  <si>
    <t>['aligg', 'baru', 'final', 'piala', 'dunia', 'gaskeun', 'prancissss']</t>
  </si>
  <si>
    <t>Hasil Final Piala Dunia Argentina Vs Prancis: 2-2, Skor Imbang hingga Babak Kedua Berakhir    https://t.co/i38LGFAeGT via @TribunLombokcom</t>
  </si>
  <si>
    <t>hasil final piala dunia argentina prancis skor imbang hingga babak kedua berakhir via</t>
  </si>
  <si>
    <t>['hasil', 'final', 'piala', 'dunia', 'argentina', 'prancis', 'skor', 'imbang', 'hingga', 'babak', 'kedua', 'berakhir', 'via']</t>
  </si>
  <si>
    <t>Higlight final piala dunia FIFA word cup qatar 2022 babak 1 Argentina vs Prancis  Kiridit video @rKLDX #ArgentinaVsFrance #FIFAWorldCup #Qatar2022 #MessiìÉµ #Mbappe  https://t.co/ykqjuHQRhA</t>
  </si>
  <si>
    <t>higlight final piala dunia fifa word cup qatar babak argentina prancis kiridit video</t>
  </si>
  <si>
    <t>['higlight', 'final', 'piala', 'dunia', 'fifa', 'word', 'cup', 'qatar', 'babak', 'argentina', 'prancis', 'kiridit', 'video']</t>
  </si>
  <si>
    <t>üá¶üá∑2Ô∏è‚É£üÜö2Ô∏è‚É£üá´üá∑ - #ARGFRA   Sama kuat setelah bermain 90 menit di final Piala Dunia! ‚è≥  ‚öΩÔ∏è Leo Messi ‚öΩÔ∏è‚öΩÔ∏è @KMbappe   üèÜ #ùóôùóøùóºùó∫ùó£ùóÆùóøùó∂ùòÄùóßùóºùó§ùóÆùòÅùóÆùóø  https://t.co/5HQ3gYz7yN</t>
  </si>
  <si>
    <t>sama kuat setelah bermain menit final piala dunia leo messi</t>
  </si>
  <si>
    <t>['sama', 'kuat', 'bermain', 'menit', 'final', 'piala', 'dunia', 'leo', 'messi']</t>
  </si>
  <si>
    <t>sengga sukanya gue ama bola, ya klo final piala dunia sih ya nonton juga sih. mana seru lagi 2-2, perpanjangan waktu.</t>
  </si>
  <si>
    <t>sengga sukanya gue ama bola klo final piala dunia sih nonton juga sih mana seru lagi perpanjangan waktu</t>
  </si>
  <si>
    <t>['sengga', 'sukanya', 'gue', 'ama', 'bola', 'final', 'piala', 'dunia', 'nonton', 'mana', 'seru', 'perpanjangan', 'waktu']</t>
  </si>
  <si>
    <t>Sejak piala dunia tahun 2018 gua kagak pernah dukung Argentina dan Prancis. Dukungnya Kroasia dari awal udah gua jagoin para pasukan akhiran -ic. namun mereka berhenti di juara 3 tahun ini. yg pasti final kali ini gua cuma doain Messi dkk. #FIFAWorldCup</t>
  </si>
  <si>
    <t>sejak piala dunia tahun gua kagak pernah dukung argentina dan prancis dukungnya kroasia dari awal udah gua jagoin para pasukan akhiran namun mereka berhenti juara tahun ini pasti final kali ini gua cuma doain messi dkk</t>
  </si>
  <si>
    <t>['sejak', 'piala', 'dunia', 'tahun', 'gua', 'kagak', 'pernah', 'dukung', 'argentina', 'prancis', 'dukungnya', 'kroasia', 'awal', 'udah', 'gua', 'jagoin', 'pasukan', 'akhiran', 'berhenti', 'juara', 'tahun', 'final', 'kali', 'gua', 'cuma', 'doain', 'messi', 'dkk']</t>
  </si>
  <si>
    <t>Final Piala Dunia 2022 paling brengsek!!!</t>
  </si>
  <si>
    <t>final piala dunia paling brengsek</t>
  </si>
  <si>
    <t>['final', 'piala', 'dunia', 'paling', 'brengsek']</t>
  </si>
  <si>
    <t>ini baru final piala dunia, naik turun kayak roller coaster.</t>
  </si>
  <si>
    <t>ini baru final piala dunia naik turun kayak roller coaster</t>
  </si>
  <si>
    <t>['baru', 'final', 'piala', 'dunia', 'naik', 'turun', 'seperti', 'roller', 'coaster']</t>
  </si>
  <si>
    <t>Babak Kedua Final Piala Dunia 2022: Prancis Tahan Imbang Argentina Dengan Skor 2-2, Lanjut Extra Time  https://t.co/Nfkal5dQuQ</t>
  </si>
  <si>
    <t>babak kedua final piala dunia prancis tahan imbang argentina dengan skor lanjut extra time</t>
  </si>
  <si>
    <t>['babak', 'kedua', 'final', 'piala', 'dunia', 'prancis', 'tahan', 'imbang', 'argentina', 'skor', 'lanjut', 'extra', 'time']</t>
  </si>
  <si>
    <t>Iki seng jenenge final piala dunia</t>
  </si>
  <si>
    <t>iki seng jenenge final piala dunia</t>
  </si>
  <si>
    <t>['iki', 'seng', 'jenenge', 'final', 'piala', 'dunia']</t>
  </si>
  <si>
    <t>WKWKWK gue dr yg ga keluar kamar smpe keluar kamar grgr piala dunia anying seru bgt. Sumpah sih Final kayak gini bikin orang stress HAHAHAHAAHAHAH</t>
  </si>
  <si>
    <t>wkwkwk gue keluar kamar smpe keluar kamar grgr piala dunia anying seru bgt sumpah sih final kayak gini bikin orang stress hahahahaahahah</t>
  </si>
  <si>
    <t>['wkwkwk', 'gue', 'keluar', 'kamar', 'smpe', 'keluar', 'kamar', 'grgr', 'piala', 'dunia', 'anying', 'seru', 'banget', 'sumpah', 'final', 'seperti', 'gini', 'orang', 'stress', 'hahahahaahahah']</t>
  </si>
  <si>
    <t>FINAL TERSERU PAK YG PERNAH GW TONTON SEMENJAK PIALA DUNIA 2006</t>
  </si>
  <si>
    <t>final terseru pak pernah tonton semenjak piala dunia</t>
  </si>
  <si>
    <t>['final', 'terseru', 'pak', 'pernah', 'tonton', 'semenjak', 'piala', 'dunia']</t>
  </si>
  <si>
    <t>@SiaranBolaLive 3 goal di final piala Dunia</t>
  </si>
  <si>
    <t>goal final piala dunia</t>
  </si>
  <si>
    <t>['goal', 'final', 'piala', 'dunia']</t>
  </si>
  <si>
    <t>Padahal tadi kalo #ARG menang 2-0 udh mau bilang "Final Piala Dunia yg bosenin kayak World Cup 1998, #FRA vs #BRA " Eh ternyata #FRA bisa ngejar dong wkwkwk</t>
  </si>
  <si>
    <t>padahal tadi kalo menang udh mau bilang final piala dunia bosenin kayak world cup ternyata bisa ngejar dong wkwkwk</t>
  </si>
  <si>
    <t>['padahal', 'tadi', 'menang', 'sudah', 'mau', 'final', 'piala', 'dunia', 'bosenin', 'seperti', 'world', 'cup', 'ternyata', 'ngejar', 'dong', 'wkwkwk']</t>
  </si>
  <si>
    <t>@idextratime Gpp nangis, daripada cr7 ga pernah masuk final piala dunia.</t>
  </si>
  <si>
    <t>gpp nangis daripada pernah masuk final piala dunia</t>
  </si>
  <si>
    <t>['gapapa', 'nangis', 'pernah', 'masuk', 'final', 'piala', 'dunia']</t>
  </si>
  <si>
    <t>Final piala dunia edisi tahun ini lebih seru dibanding edisi tahun 2018 #FIFAWorldCup</t>
  </si>
  <si>
    <t>final piala dunia edisi tahun ini lebih seru dibanding edisi tahun</t>
  </si>
  <si>
    <t>['final', 'piala', 'dunia', 'edisi', 'tahun', 'lebih', 'seru', 'dibanding', 'edisi', 'tahun']</t>
  </si>
  <si>
    <t>Baru final Piala Dunia yang seru</t>
  </si>
  <si>
    <t>baru final piala dunia yang seru</t>
  </si>
  <si>
    <t>['baru', 'final', 'piala', 'dunia', 'seru']</t>
  </si>
  <si>
    <t>Beli paket piala dunia di  https://t.co/qABP3aYKyo tgl 17 Des. Tgl 18 udah ga bisa buat nonton. Niat hati pengen nonton final. Ga professional banget!!! #vidio #pialadunia #worldcup #fifa  https://t.co/ro4TjmWA7g</t>
  </si>
  <si>
    <t>beli paket piala dunia tgl des tgl udah bisa buat nonton niat hati pengen nonton final professional banget</t>
  </si>
  <si>
    <t>['beli', 'paket', 'piala', 'dunia', 'tgl', 'des', 'tgl', 'udah', 'buat', 'nonton', 'niat', 'hati', 'pengen', 'nonton', 'final', 'professional', 'banget']</t>
  </si>
  <si>
    <t>Final Piala Dunia 2022 Argentina vs Prancis: Mbappe Samakan Kedudukan 2-2   https://t.co/7Sn1luDoqn</t>
  </si>
  <si>
    <t>final piala dunia argentina prancis mbappe samakan kedudukan</t>
  </si>
  <si>
    <t>['final', 'piala', 'dunia', 'argentina', 'prancis', 'mbappe', 'samakan', 'kedudukan']</t>
  </si>
  <si>
    <t>Pertandingan final Piala Dunia dilanjutkan ke waktu tambahan. Skor Argentina 2-2 Prancis. #ArgentinaVsFrance  #Qatar2022</t>
  </si>
  <si>
    <t>pertandingan final piala dunia dilanjutkan waktu tambahan skor argentina prancis</t>
  </si>
  <si>
    <t>['pertandingan', 'final', 'piala', 'dunia', 'dilanjutkan', 'waktu', 'tambahan', 'skor', 'argentina', 'prancis']</t>
  </si>
  <si>
    <t>adu penalti klimaks dari drama final piala dunia sportainment sekali  #FIFAWorldCup  FIFA tetap juaranya  https://t.co/U8VuZz7PpX</t>
  </si>
  <si>
    <t>adu penalti klimaks dari drama final piala dunia sportainment sekali fifa tetap juaranya</t>
  </si>
  <si>
    <t>['adu', 'penalti', 'klimaks', 'drama', 'final', 'piala', 'dunia', 'sportainment', 'sekali', 'fifa', 'tetap', 'juaranya']</t>
  </si>
  <si>
    <t>Final piala dunia gayeng bgt ikih... üî•üî•üî•</t>
  </si>
  <si>
    <t>final piala dunia gayeng bgt ikih</t>
  </si>
  <si>
    <t>['final', 'piala', 'dunia', 'gayeng', 'banget', 'ikih']</t>
  </si>
  <si>
    <t>Final piala dunia emang dari dulu sulit untuk ditebak alur pertandingannya, gokill</t>
  </si>
  <si>
    <t>final piala dunia emang dari dulu sulit untuk ditebak alur pertandingannya gokill</t>
  </si>
  <si>
    <t>['final', 'piala', 'dunia', 'emang', 'dulu', 'sulit', 'ditebak', 'alur', 'pertandingannya', 'gokill']</t>
  </si>
  <si>
    <t>still teriak teriak pas lagi sakit tenggorokan krna final piala dunia</t>
  </si>
  <si>
    <t>['still', 'teriak', 'teriak', 'pas', 'sakit', 'tenggorokan', 'krna', 'final', 'piala', 'dunia']</t>
  </si>
  <si>
    <t>FINAL PIALA DUNIA TERSERUüî•üá®üáµüíô</t>
  </si>
  <si>
    <t>i nonton final piala dunia sesek napas deg2an minta ampun üò≠üò≠</t>
  </si>
  <si>
    <t>nonton final piala dunia sesek napas deg minta ampun</t>
  </si>
  <si>
    <t>['nonton', 'final', 'piala', 'dunia', 'sesek', 'napas', 'deg', 'minta', 'ampun']</t>
  </si>
  <si>
    <t>Ieu karek Final Piala Dunia üòÇ</t>
  </si>
  <si>
    <t>ieu karek final piala dunia</t>
  </si>
  <si>
    <t>['ieu', 'karek', 'final', 'piala', 'dunia']</t>
  </si>
  <si>
    <t>Ini baru final piala dunia. Seru woee!!</t>
  </si>
  <si>
    <t>ini baru final piala dunia seru woee</t>
  </si>
  <si>
    <t>['baru', 'final', 'piala', 'dunia', 'seru', 'woee']</t>
  </si>
  <si>
    <t>seumur hidup nonton piala dunia ini final paling greget. emosi, drama, kualitas.</t>
  </si>
  <si>
    <t>seumur hidup nonton piala dunia ini final paling greget emosi drama kualitas</t>
  </si>
  <si>
    <t>['seumur', 'hidup', 'nonton', 'piala', 'dunia', 'final', 'paling', 'greget', 'emosi', 'drama', 'kualitas']</t>
  </si>
  <si>
    <t>INI BARU FINAL PIALA DUNIA</t>
  </si>
  <si>
    <t>Wah final piala dunia paling seru</t>
  </si>
  <si>
    <t>wah final piala dunia paling seru</t>
  </si>
  <si>
    <t>['wah', 'final', 'piala', 'dunia', 'paling', 'seru']</t>
  </si>
  <si>
    <t>@FaktaSepakbola final piala dunia qatar yg bikin gol dua pemain klub qatar plus satu mantan pemain klub qatar</t>
  </si>
  <si>
    <t>final piala dunia qatar bikin gol dua pemain klub qatar plus satu mantan pemain klub qatar</t>
  </si>
  <si>
    <t>['final', 'piala', 'dunia', 'qatar', 'gol', 'pemain', 'klub', 'qatar', 'plus', 'satu', 'mantan', 'pemain', 'klub', 'qatar']</t>
  </si>
  <si>
    <t>OMG SERU FINAL PIALA DUNIA 2-2 ADU PENALTI</t>
  </si>
  <si>
    <t>omg seru final piala dunia adu penalti</t>
  </si>
  <si>
    <t>['oh my god', 'seru', 'final', 'piala', 'dunia', 'adu', 'penalti']</t>
  </si>
  <si>
    <t>wkwkw apa itu senin, utamakan final piala dunia tidak selesai dalam dua babak üòÇü§£</t>
  </si>
  <si>
    <t>wkwkw apa itu senin utamakan final piala dunia tidak selesai dalam dua babak</t>
  </si>
  <si>
    <t>['wkwkw', 'apa', 'senin', 'utamakan', 'final', 'piala', 'dunia', 'selesai', 'babak']</t>
  </si>
  <si>
    <t>Sampe menit 80 serasa bukan final piala dunia  Setelah menit 80 baru final sesungguhnya ü§©</t>
  </si>
  <si>
    <t>sampe menit serasa bukan final piala dunia setelah menit baru final sesungguhnya</t>
  </si>
  <si>
    <t>['sampai', 'menit', 'serasa', 'bukan', 'final', 'piala', 'dunia', 'menit', 'baru', 'final', 'sesungguhnya']</t>
  </si>
  <si>
    <t>SERU BANGET COK FINAL PIALA DUNIA KALI INI ‚Ä¶. Perancis sih keknya</t>
  </si>
  <si>
    <t>seru banget cok final piala dunia kali ini perancis sih keknya</t>
  </si>
  <si>
    <t>['seru', 'banget', 'cok', 'final', 'piala', 'dunia', 'kali', 'perancis', 'sepertinya']</t>
  </si>
  <si>
    <t>Ini kira kira anak2 NCT psda nonton final piala dunia ga ya wkwk Kalo iya, pasti masih pada melek nih ü§£</t>
  </si>
  <si>
    <t>ini kira kira anak nct psda nonton final piala dunia wkwk kalo iya pasti masih pada melek nih</t>
  </si>
  <si>
    <t>['kira', 'kira', 'anak', 'nct', 'psda', 'nonton', 'final', 'piala', 'dunia', 'iya', 'melek']</t>
  </si>
  <si>
    <t>Final Piala Dunia: Argentina vs Prancis, Kylian Mbappe Samakan Skor Bagi Les Bleus, Dilanjutkan ke Ekstra Time #FIFAWorldCup   https://t.co/5zxbAANa44</t>
  </si>
  <si>
    <t>final piala dunia argentina prancis kylian mbappe samakan skor bagi les bleus dilanjutkan ekstra time</t>
  </si>
  <si>
    <t>['final', 'piala', 'dunia', 'argentina', 'prancis', 'kylian', 'mbappe', 'samakan', 'skor', 'les', 'bleus', 'dilanjutkan', 'ekstra', 'time']</t>
  </si>
  <si>
    <t>AKHIR BABAK KEDUA, EXTRATIME  Argentina 2:2 Perancis  Link Live Streaming Argentina vs Prancis Malam Ini 22.00 WIB Final Piala Dunia 2022   https://t.co/ksXxe9SKCJ</t>
  </si>
  <si>
    <t>akhir babak kedua extratime argentina perancis link live streaming argentina prancis malam ini wib final piala dunia</t>
  </si>
  <si>
    <t>['akhir', 'babak', 'kedua', 'extratime', 'argentina', 'perancis', 'link', 'live', 'streaming', 'argentina', 'prancis', 'malam', 'wib', 'final', 'piala', 'dunia']</t>
  </si>
  <si>
    <t>Cukup final piala dunia yang buat deg¬≤an, gempanya ga usah ikut¬≤an</t>
  </si>
  <si>
    <t>cukup final piala dunia yang buat deg gempanya usah ikut</t>
  </si>
  <si>
    <t>['cukup', 'final', 'piala', 'dunia', 'buat', 'deg', 'gempanya', 'usah', 'ikut']</t>
  </si>
  <si>
    <t>Kebangun grgr teriakan bapak2 emak2 muda mudi komplek kosan pada nobar final piala dunia</t>
  </si>
  <si>
    <t>kebangun grgr teriakan bapak emak muda mudi komplek kosan pada nobar final piala dunia</t>
  </si>
  <si>
    <t>['kebangun', 'grgr', 'teriakan', 'bapak', 'emak', 'muda', 'mudi', 'komplek', 'kosan', 'nonton bareng', 'final', 'piala', 'dunia']</t>
  </si>
  <si>
    <t>Piala Dunia Tergokil! Sampe final penuh kejutan!</t>
  </si>
  <si>
    <t>piala dunia tergokil sampe final penuh kejutan</t>
  </si>
  <si>
    <t>['piala', 'dunia', 'tergokil', 'sampai', 'final', 'penuh', 'kejutan']</t>
  </si>
  <si>
    <t>Menyimak final piala dunia via twitger karena mau nonton di ruang tengah tapi anak bayik masih naplok ü•≤üëçüèª</t>
  </si>
  <si>
    <t>menyimak final piala dunia via twitger karena mau nonton ruang tengah tapi anak bayik masih naplok</t>
  </si>
  <si>
    <t>['menyimak', 'final', 'piala', 'dunia', 'via', 'twitger', 'mau', 'nonton', 'ruang', 'tengah', 'anak', 'bayik', 'naplok']</t>
  </si>
  <si>
    <t>KITA KE MASA TAMBAHAN  ARGENTINA 2-2 PERANCIS  FINAL PIALA DUNIA FIFA QATAR 2022  MINUM AIR DULU</t>
  </si>
  <si>
    <t>kita masa tambahan argentina perancis final piala dunia fifa qatar minum air dulu</t>
  </si>
  <si>
    <t>['masa', 'tambahan', 'argentina', 'perancis', 'final', 'piala', 'dunia', 'fifa', 'qatar', 'minum', 'air', 'dulu']</t>
  </si>
  <si>
    <t>@jogjamnfs mbok wes hop sek le aleman minimal khusus final piala dunia. tenan.</t>
  </si>
  <si>
    <t>mbok wes hop sek aleman minimal khusus final piala dunia tenan</t>
  </si>
  <si>
    <t>['mbok', 'wes', 'hop', 'sek', 'aleman', 'minimal', 'khusus', 'final', 'piala', 'dunia', 'tenan']</t>
  </si>
  <si>
    <t>Ini final piala dunia dramatis amat njiiir kek ada plot twit ü§£ü§£ü§£ü§£ü§£ü§£</t>
  </si>
  <si>
    <t>ini final piala dunia dramatis amat njiiir kek ada plot twit</t>
  </si>
  <si>
    <t>['final', 'piala', 'dunia', 'dramatis', 'njiiir', 'kek', 'plot', 'twit']</t>
  </si>
  <si>
    <t>Harapan Fans Ronaldo Terhadap Mbappe di Laga Final Piala Dunia 2022 Qatar #pojokmakassar #pialadunia2022   https://t.co/XGO0yllxTM</t>
  </si>
  <si>
    <t>harapan fans ronaldo terhadap mbappe laga final piala dunia qatar</t>
  </si>
  <si>
    <t>['harapan', 'fans', 'ronaldo', 'mbappe', 'laga', 'final', 'piala', 'dunia', 'qatar']</t>
  </si>
  <si>
    <t>Siapa yang nonton FINAL PIALA DUNIA Komentaror Bahasa Indonesia?</t>
  </si>
  <si>
    <t>siapa yang nonton final piala dunia komentaror bahasa indonesia</t>
  </si>
  <si>
    <t>['siapa', 'nonton', 'final', 'piala', 'dunia', 'komentaror', 'bahasa', 'indonesia']</t>
  </si>
  <si>
    <t>Skor terkini Final Piala Dunia 2022, Argentina Tampil¬†Agresif  https://t.co/SLjEkVBU9d</t>
  </si>
  <si>
    <t>skor terkini final piala dunia argentina tampil agresif</t>
  </si>
  <si>
    <t>['skor', 'terkini', 'final', 'piala', 'dunia', 'argentina', 'tampil', 'agresif']</t>
  </si>
  <si>
    <t>Saing-saing final Piala Malaysia lah final Piala Dunia ni.</t>
  </si>
  <si>
    <t>saing saing final piala malaysia lah final piala dunia</t>
  </si>
  <si>
    <t>['saing', 'saing', 'final', 'piala', 'malaysia', 'lah', 'final', 'piala', 'dunia']</t>
  </si>
  <si>
    <t>Babak 1 laga amal Babak 2 final piala dunia</t>
  </si>
  <si>
    <t>babak laga amal babak final piala dunia</t>
  </si>
  <si>
    <t>['babak', 'laga', 'amal', 'babak', 'final', 'piala', 'dunia']</t>
  </si>
  <si>
    <t>@idextratime The real goat, 2 gol di 1 pertandingan final piala dunia üî•üî•üî•  https://t.co/fF44umkZk0</t>
  </si>
  <si>
    <t>the real goat gol pertandingan final piala dunia</t>
  </si>
  <si>
    <t>['the', 'real', 'goat', 'gol', 'pertandingan', 'final', 'piala', 'dunia']</t>
  </si>
  <si>
    <t>APAAN FINAL PIALA DUNIA ADU PENALTY WKWKWKWK</t>
  </si>
  <si>
    <t>apaan final piala dunia adu penalty wkwkwkwk</t>
  </si>
  <si>
    <t>['apaan', 'final', 'piala', 'dunia', 'adu', 'penalty', 'wkwkwkwk']</t>
  </si>
  <si>
    <t>Link Nonton Final Piala Dunia 2022 Gratis Babak Tambahan  Argentina vs Prancis   https://t.co/EG7SAWEv1S</t>
  </si>
  <si>
    <t>link nonton final piala dunia gratis babak tambahan argentina prancis</t>
  </si>
  <si>
    <t>['link', 'nonton', 'final', 'piala', 'dunia', 'gratis', 'babak', 'tambahan', 'argentina', 'prancis']</t>
  </si>
  <si>
    <t>AKHIR BABAK KEDUA,  Argentina 2:2 Perancis  Link Live Streaming Argentina vs Prancis Malam Ini 22.00 WIB Final Piala Dunia 2022   https://t.co/Chp3ohc6Xp</t>
  </si>
  <si>
    <t>akhir babak kedua argentina perancis link live streaming argentina prancis malam ini wib final piala dunia</t>
  </si>
  <si>
    <t>['akhir', 'babak', 'kedua', 'argentina', 'perancis', 'link', 'live', 'streaming', 'argentina', 'prancis', 'malam', 'wib', 'final', 'piala', 'dunia']</t>
  </si>
  <si>
    <t>Dan harus ditambah Extra Time. Final Piala Dunia yang luar biasa üëèüëèüëè. Argentina üá¶üá∑ 2 vs 2 üá´üá∑ Prancis. #FIFAWorldCup</t>
  </si>
  <si>
    <t>dan harus ditambah extra time final piala dunia yang luar biasa argentina prancis</t>
  </si>
  <si>
    <t>['ditambah', 'extra', 'time', 'final', 'piala', 'dunia', 'luar', 'biasa', 'argentina', 'prancis']</t>
  </si>
  <si>
    <t>Argentina and Messi Alvarez France World Cup Final Piala Dunia Argentina Prancis Mbappe Giroud Link Live Streaming Closing Ceremony Extra Time   DRAMATIS!! PRANCIS SAMAKAN KEDUDUKAN 2-2   https://t.co/CQpBHCsE8x</t>
  </si>
  <si>
    <t>argentina and messi alvarez france world cup final piala dunia argentina prancis mbappe giroud link live streaming closing ceremony extra time dramatis prancis samakan kedudukan</t>
  </si>
  <si>
    <t>['argentina', 'and', 'messi', 'alvarez', 'france', 'world', 'cup', 'final', 'piala', 'dunia', 'argentina', 'prancis', 'mbappe', 'giroud', 'link', 'live', 'streaming', 'closing', 'ceremony', 'extra', 'time', 'dramatis', 'prancis', 'samakan', 'kedudukan']</t>
  </si>
  <si>
    <t>Profil Messi dan Fakta Unik Lainnya yang Jarang Diketahui Banyak Orang Pasca Laga Final Piala Dunia Qatar 2022  https://t.co/UKP923PfK3</t>
  </si>
  <si>
    <t>profil messi dan fakta unik lainnya yang jarang diketahui banyak orang pasca laga final piala dunia qatar</t>
  </si>
  <si>
    <t>['profil', 'messi', 'fakta', 'unik', 'lainnya', 'jarang', 'diketahui', 'banyak', 'orang', 'pasca', 'laga', 'final', 'piala', 'dunia', 'qatar']</t>
  </si>
  <si>
    <t>Keknya ini final pildun paling seru sepanjang sejarah gw nonton langsung piala dunia sejak 1998</t>
  </si>
  <si>
    <t>keknya ini final pildun paling seru sepanjang sejarah nonton langsung piala dunia sejak</t>
  </si>
  <si>
    <t>['sepertinya', 'final', 'piala dunia', 'paling', 'seru', 'sepanjang', 'sejarah', 'nonton', 'langsung', 'piala', 'dunia', 'sejak']</t>
  </si>
  <si>
    <t>Ini artinya 2026 kita nonton Messi vs Ronaldo di final Piala Dunia</t>
  </si>
  <si>
    <t>ini artinya kita nonton messi ronaldo final piala dunia</t>
  </si>
  <si>
    <t>['artinya', 'nonton', 'messi', 'ronaldo', 'final', 'piala', 'dunia']</t>
  </si>
  <si>
    <t>Link Nonton Argentina vs Prancis Gratis Final Piala Dunia 2022   https://t.co/EG7SAWEv1S</t>
  </si>
  <si>
    <t>link nonton argentina prancis gratis final piala dunia</t>
  </si>
  <si>
    <t>['link', 'nonton', 'argentina', 'prancis', 'gratis', 'final', 'piala', 'dunia']</t>
  </si>
  <si>
    <t>Live Stream Argentina vs Prancis France FIFA World Cup 2022 Final Nonton Live Streaming Piala Dunia 2022 Live Score 2-2, Mbappe menggila --  https://t.co/TvicXn1scA</t>
  </si>
  <si>
    <t>MENIT 96, TENDANGAN LIONEL MESSI MASIH BISA DITEPIS  Argentina 2:2 Perancis  Link Live Streaming Argentina vs Prancis Malam Ini 22.00 WIB Final Piala Dunia 2022   https://t.co/pCFidHZIyD</t>
  </si>
  <si>
    <t>menit tendangan lionel messi masih bisa ditepis argentina perancis link live streaming argentina prancis malam ini wib final piala dunia</t>
  </si>
  <si>
    <t>['menit', 'tendangan', 'lionel', 'messi', 'ditepis', 'argentina', 'perancis', 'link', 'live', 'streaming', 'argentina', 'prancis', 'malam', 'wib', 'final', 'piala', 'dunia']</t>
  </si>
  <si>
    <t>Hasil Babak II Skor 2-2 Argentina Vs Prancis Final Piala Dunia 2022, Mbappe Semenit Cetak Brace!   https://t.co/oNBaAGu0G3</t>
  </si>
  <si>
    <t>hasil babak skor argentina prancis final piala dunia mbappe semenit cetak brace</t>
  </si>
  <si>
    <t>['hasil', 'babak', 'skor', 'argentina', 'prancis', 'final', 'piala', 'dunia', 'mbappe', 'semenit', 'cetak', 'brace']</t>
  </si>
  <si>
    <t>ga ikut nonton final piala dunia tp tetangga sebelah nonton, jadi ak ttp tau klo goal karna pada teriak üòÄüëç</t>
  </si>
  <si>
    <t>ikut nonton final piala dunia tetangga sebelah nonton jadi ttp tau klo goal karna pada teriak</t>
  </si>
  <si>
    <t>['ikut', 'nonton', 'final', 'piala', 'dunia', 'tetangga', 'sebelah', 'nonton', 'jadi', 'ttp', 'goal', 'karna', 'teriak']</t>
  </si>
  <si>
    <t>Gini baru namanya final piala dunia üî•</t>
  </si>
  <si>
    <t>gini baru namanya final piala dunia</t>
  </si>
  <si>
    <t>['gini', 'baru', 'namanya', 'final', 'piala', 'dunia']</t>
  </si>
  <si>
    <t>@vidio kau pikir dengan kluar dan klik masalah selesai bisa kembali normal TIDAK BISA DITONTON  https://t.co/Rz8zfumy91  Sebagian fans tidak dapat menyaksikan keseruan duel Argentina vs Prancis di final Piala Dunia 2022 dengan lancar. Menyusul eror di lay</t>
  </si>
  <si>
    <t>kau pikir dengan kluar dan klik masalah selesai bisa kembali normal tidak bisa ditonton sebagian fans tidak dapat menyaksikan keseruan duel argentina prancis final piala dunia dengan lancar menyusul eror lay</t>
  </si>
  <si>
    <t>['kau', 'pikir', 'kluar', 'klik', 'masalah', 'selesai', 'normal', 'ditonton', 'sebagian', 'fans', 'menyaksikan', 'keseruan', 'duel', 'argentina', 'prancis', 'final', 'piala', 'dunia', 'lancar', 'menyusul', 'eror', 'lay']</t>
  </si>
  <si>
    <t>‚òÄÔ∏è hari ini‚Ä¶. sia sia juga ‚òÄÔ∏è hari ini hari apa ‚òÄÔ∏è gue mau nonton final piala dunia ‚òÄÔ∏è ini pildun terakhirnya messi jadi semoga dia menang  https://t.co/bjrOFNucsI</t>
  </si>
  <si>
    <t>hari ini sia sia juga hari ini hari apa gue mau nonton final piala dunia ini pildun terakhirnya messi jadi semoga dia menang</t>
  </si>
  <si>
    <t>['hari', 'sia', 'sia', 'hari', 'hari', 'apa', 'gue', 'mau', 'nonton', 'final', 'piala', 'dunia', 'piala dunia', 'terakhirnya', 'messi', 'jadi', 'semoga', 'menang']</t>
  </si>
  <si>
    <t>Nanti yang kalah final piala dunia ARGENTINA vs PERANCIS bisa hubungi saya, siap menampung dan menerima : 1. Handphone 2. Motor 3 mobil dll</t>
  </si>
  <si>
    <t>nanti yang kalah final piala dunia argentina perancis bisa hubungi saya siap menampung dan menerima handphone motor mobil dll</t>
  </si>
  <si>
    <t>['kalah', 'final', 'piala', 'dunia', 'argentina', 'perancis', 'hubungi', 'siap', 'menampung', 'menerima', 'handphone', 'motor', 'mobil']</t>
  </si>
  <si>
    <t>final piala dunia taun ini ngga sehat buat jantung..</t>
  </si>
  <si>
    <t>final piala dunia taun ini ngga sehat buat jantung</t>
  </si>
  <si>
    <t>['final', 'piala', 'dunia', 'taun', 'ngga', 'sehat', 'buat', 'jantung']</t>
  </si>
  <si>
    <t>Link Nonton Final Piala Dunia Gratis Argentina vs Prancis 2022   https://t.co/EG7SAWEv1S</t>
  </si>
  <si>
    <t>link nonton final piala dunia gratis argentina prancis</t>
  </si>
  <si>
    <t>['link', 'nonton', 'final', 'piala', 'dunia', 'gratis', 'argentina', 'prancis']</t>
  </si>
  <si>
    <t>Biggest comeback di final Piala Dunia adalah saat Jerman Barat menang 3-2 di partai pamungkas 1954 setelah tertinggal 0-2 terlebih dulu lawan Hongaria.</t>
  </si>
  <si>
    <t>biggest comeback final piala dunia adalah saat jerman barat menang partai pamungkas setelah tertinggal terlebih dulu lawan hongaria</t>
  </si>
  <si>
    <t>['biggest', 'comeback', 'final', 'piala', 'dunia', 'jerman', 'barat', 'menang', 'partai', 'pamungkas', 'tertinggal', 'terlebih', 'dulu', 'lawan', 'hongaria']</t>
  </si>
  <si>
    <t>tapi ini semua bukan tentang final piala dunia.</t>
  </si>
  <si>
    <t>tapi ini semua bukan tentang final piala dunia</t>
  </si>
  <si>
    <t>['semua', 'bukan', 'final', 'piala', 'dunia']</t>
  </si>
  <si>
    <t>Piala dunia 2022 underrated banget. Padahal bisa jadi salah satu piala dunia terbaik. Final 2022 bahkan final piala dunia terbaik menurut saya.</t>
  </si>
  <si>
    <t>piala dunia underrated banget padahal bisa jadi salah satu piala dunia terbaik final bahkan final piala dunia terbaik menurut saya</t>
  </si>
  <si>
    <t>['piala', 'dunia', 'underrated', 'banget', 'padahal', 'jadi', 'salah', 'satu', 'piala', 'dunia', 'terbaik', 'final', 'bahkan', 'final', 'piala', 'dunia', 'terbaik']</t>
  </si>
  <si>
    <t>Ini yang namanya final piala dunia seruuuuu</t>
  </si>
  <si>
    <t>ini yang namanya final piala dunia seruuuuu</t>
  </si>
  <si>
    <t>['namanya', 'final', 'piala', 'dunia', 'seruuuuu']</t>
  </si>
  <si>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</si>
  <si>
    <t>argentina perancis final piala dunia live streaming fifa qatar fifa world cup qatar argentina prancis link vidio sctv match streams online for free argentina france messi mbappe klhkjhk</t>
  </si>
  <si>
    <t>['argentina', 'perancis', 'final', 'piala', 'dunia', 'live', 'streaming', 'fifa', 'qatar', 'fifa', 'world', 'cup', 'qatar', 'argentina', 'prancis', 'link', 'vidio', 'sctv', 'match', 'streams', 'online', 'for', 'free', 'argentina', 'france', 'messi', 'mbappe', 'klhkjhk']</t>
  </si>
  <si>
    <t>Nahhh seruu nihh baru final piala dunia....Emak2 pada ikut teriak2 hahahaha</t>
  </si>
  <si>
    <t>nahhh seruu nihh baru final piala dunia emak pada ikut teriak hahahaha</t>
  </si>
  <si>
    <t>['nahhh', 'seruu', 'nihh', 'baru', 'final', 'piala', 'dunia', 'emak', 'ikut', 'teriak', 'hahahaha']</t>
  </si>
  <si>
    <t xml:space="preserve"> https://t.co/sKjxuft3X4  Sebagian fans tidak dapat menyaksikan keseruan duel Argentina vs Prancis di final Piala Dunia 2022 dengan lancar. Menyusul eror di layanan streaming, Vidio.  Kacauuuuu üò°üò°üò°üò°üò°</t>
  </si>
  <si>
    <t>sebagian fans tidak dapat menyaksikan keseruan duel argentina prancis final piala dunia dengan lancar menyusul eror layanan streaming vidio kacauuuuu</t>
  </si>
  <si>
    <t>['sebagian', 'fans', 'menyaksikan', 'keseruan', 'duel', 'argentina', 'prancis', 'final', 'piala', 'dunia', 'lancar', 'menyusul', 'eror', 'layanan', 'streaming', 'vidio', 'kacauuuuu']</t>
  </si>
  <si>
    <t>Hasil Final Piala Dunia 2022: Kylian Mbappe Cetak 2 Gol, Prancis vs Argentina Sama Kuat 2-2  https://t.co/LxO4bX0ftI lewat @okezonenews</t>
  </si>
  <si>
    <t>hasil final piala dunia kylian mbappe cetak gol prancis argentina sama kuat lewat</t>
  </si>
  <si>
    <t>['hasil', 'final', 'piala', 'dunia', 'kylian', 'mbappe', 'cetak', 'gol', 'prancis', 'argentina', 'sama', 'kuat', 'lewat']</t>
  </si>
  <si>
    <t>Berikut hasil final Piala Dunia 2022 Argentina vs Prancis yang sementara ini berlangsung dengan skor imbang 2-2. Brace Kylian Mbappe bawa Prancis mengejar.  https://t.co/4PbFDGXEtk  https://t.co/cJ2A2pK2jv</t>
  </si>
  <si>
    <t>berikut hasil final piala dunia argentina prancis yang sementara ini berlangsung dengan skor imbang brace kylian mbappe bawa prancis mengejar</t>
  </si>
  <si>
    <t>['berikut', 'hasil', 'final', 'piala', 'dunia', 'argentina', 'prancis', 'berlangsung', 'skor', 'imbang', 'brace', 'kylian', 'mbappe', 'bawa', 'prancis', 'mengejar']</t>
  </si>
  <si>
    <t>Final Piala Dunia beneran üî•üî•üî• ini woy, mantap mbappe vs messi Yuk endingnya tendangan penalty aja biar makin ramai  üá¶üá∑ üá´üá∑  https://t.co/fJnpNRHID1</t>
  </si>
  <si>
    <t>final piala dunia beneran ini woy mantap mbappe messi yuk endingnya tendangan penalty aja biar makin ramai</t>
  </si>
  <si>
    <t>['final', 'piala', 'dunia', 'beneran', 'woy', 'mantap', 'mbappe', 'messi', 'yuk', 'endingnya', 'tendangan', 'penalty', 'makin', 'ramai']</t>
  </si>
  <si>
    <t>Dimulai pondasi Pecel Sultan. Yeaaah ,finally ujian UP lanjut merayakan di SS. Tilikan Fiyan diakhiri final piala dunia pic : foto w/ fadil &amp;amp; mbah parni  https://t.co/oO7A8lOJ3n</t>
  </si>
  <si>
    <t>dimulai pondasi pecel sultan yeaaah finally ujian lanjut merayakan tilikan fiyan diakhiri final piala dunia pic foto fadil mbah parni</t>
  </si>
  <si>
    <t>['dimulai', 'pondasi', 'pecel', 'sultan', 'yeaaah', 'finally', 'ujian', 'lanjut', 'merayakan', 'tilikan', 'fiyan', 'diakhiri', 'final', 'piala', 'dunia', 'pic', 'foto', 'fadil', 'mbah', 'parni']</t>
  </si>
  <si>
    <t>Wowww meriah betul bila Perancis bolos gawang gol Argentina buat kali kedua!! @FalyqHikyle ok ke tu? ü§≠  Viewing Party SINAR, Piala Dunia 2022 Final  #LiveUpdateSINAR  #FIFAWorldCup  #Qatar2022 #AstroWorldCup2022  https://t.co/ehbvK3uLLH</t>
  </si>
  <si>
    <t>wowww meriah betul bila perancis bolos gawang gol argentina buat kali kedua viewing party sinar piala dunia final</t>
  </si>
  <si>
    <t>['wowww', 'meriah', 'betul', 'bila', 'perancis', 'bolos', 'gawang', 'gol', 'argentina', 'buat', 'kali', 'kedua', 'viewing', 'party', 'sinar', 'piala', 'dunia', 'final']</t>
  </si>
  <si>
    <t>@LUNERP lg nonton bola final piala dunia kak</t>
  </si>
  <si>
    <t>nonton bola final piala dunia kak</t>
  </si>
  <si>
    <t>['nonton', 'bola', 'final', 'piala', 'dunia', 'kak']</t>
  </si>
  <si>
    <t>Nonton bareng final Piala Dunia 4 orang. B sendiri Prancis. @InaaLadoe bsg 3 siap su ü§£üòÇ.</t>
  </si>
  <si>
    <t>nonton bareng final piala dunia orang sendiri prancis bsg siap</t>
  </si>
  <si>
    <t>['nonton', 'bareng', 'final', 'piala', 'dunia', 'orang', 'sendiri', 'prancis', 'bsg', 'siap']</t>
  </si>
  <si>
    <t>Berkat final piala dunia, dua tugas malam ini terselesaikan dengan baik ü§≠</t>
  </si>
  <si>
    <t>berkat final piala dunia dua tugas malam ini terselesaikan dengan baik</t>
  </si>
  <si>
    <t>['berkat', 'final', 'piala', 'dunia', 'tugas', 'malam', 'terselesaikan', 'baik']</t>
  </si>
  <si>
    <t>drama final piala dunia 2022 ahirnya dimulai, yaayyy! ‚öΩÔ∏è #ArgentinaVsFrance #FIFAWorldCupFinal</t>
  </si>
  <si>
    <t>drama final piala dunia ahirnya dimulai yaayyy</t>
  </si>
  <si>
    <t>['drama', 'final', 'piala', 'dunia', 'ahirnya', 'dimulai', 'yaayyy']</t>
  </si>
  <si>
    <t>Bersama Kapolres Tangsel, Kapolsek Pagedangan Nobar Final Piala Dunia Bersama Warga¬†Pagedangan  https://t.co/5NIirM9ry8</t>
  </si>
  <si>
    <t>bersama kapolres tangsel kapolsek pagedangan nobar final piala dunia bersama warga pagedangan</t>
  </si>
  <si>
    <t>['bersama', 'kapolres', 'tangsel', 'kapolsek', 'pagedangan', 'nonton bareng', 'final', 'piala', 'dunia', 'bersama', 'warga', 'pagedangan']</t>
  </si>
  <si>
    <t>Tak senang duduk masing-masing bila penalti bagi Perancis üá´üá∑  Viewing Party SINAR, Piala Dunia 2022 Final  #LiveUpdateSINAR  #FIFAWorldCup  #Qatar2022 #AstroWorldCup2022  https://t.co/xaUQZlAxGb</t>
  </si>
  <si>
    <t>tak senang duduk masing masing bila penalti bagi perancis viewing party sinar piala dunia final</t>
  </si>
  <si>
    <t>['tak', 'senang', 'duduk', 'masing', 'masing', 'bila', 'penalti', 'perancis', 'viewing', 'party', 'sinar', 'piala', 'dunia', 'final']</t>
  </si>
  <si>
    <t>Kayaknya bakalan ada babak tambahan deh.  ini link Streaming Nonton Final Piala Dunia gratis  Argentina vs Prancis France   https://t.co/EG7SAWEv1S  #PialaDunia2022live</t>
  </si>
  <si>
    <t>kayaknya bakalan ada babak tambahan deh ini link streaming nonton final piala dunia gratis argentina prancis france</t>
  </si>
  <si>
    <t>['kayaknya', 'bakalan', 'babak', 'tambahan', 'deh', 'link', 'streaming', 'nonton', 'final', 'piala', 'dunia', 'gratis', 'argentina', 'prancis', 'france']</t>
  </si>
  <si>
    <t>@video ini lagi final piala dunia kenapa error? Gara" siaran error kelewat 2 gol. Balikin uang langganan gw #percumalanggananvideo #PialaDunia2022</t>
  </si>
  <si>
    <t>ini lagi final piala dunia kenapa error gara siaran error kelewat gol balikin uang langganan</t>
  </si>
  <si>
    <t>['final', 'piala', 'dunia', 'error', 'gara', 'siaran', 'error', 'kelewat', 'gol', 'balikin', 'uang', 'langganan']</t>
  </si>
  <si>
    <t>Angel Di Maria Unjuk Gigi di Final Piala Dunia¬†2022  https://t.co/W4N1yJzu3k</t>
  </si>
  <si>
    <t>angel maria unjuk gigi final piala dunia</t>
  </si>
  <si>
    <t>['angel', 'maria', 'unjuk', 'gigi', 'final', 'piala', 'dunia']</t>
  </si>
  <si>
    <t>Mbappe Cetak 2 Gol, Prancis Berhasil Samakan Kedudukan dari Argentina di Final Piala Dunia  https://t.co/f8cZ1dbBNW</t>
  </si>
  <si>
    <t>mbappe cetak gol prancis berhasil samakan kedudukan dari argentina final piala dunia</t>
  </si>
  <si>
    <t>['mbappe', 'cetak', 'gol', 'prancis', 'berhasil', 'samakan', 'kedudukan', 'argentina', 'final', 'piala', 'dunia']</t>
  </si>
  <si>
    <t>Hasil Babak Pertama Final Piala Dunia 2022 Argentina vs Prancis: Skor 2-0  https://t.co/s5G4vJahun</t>
  </si>
  <si>
    <t>Sebagian fans tidak dapat menyaksikan keseruan duel Argentina vs Prancis di final Piala Dunia 2022 dengan lancar. Menyusul eror di layanan streaming, Vidio.  https://t.co/lCQRTdrJ4q</t>
  </si>
  <si>
    <t>Seruuu sihhh ini , piala dunia final ya harus gini üò≠üò≠</t>
  </si>
  <si>
    <t>seruuu sihhh ini piala dunia final harus gini</t>
  </si>
  <si>
    <t>['seruuu', 'sihhh', 'piala', 'dunia', 'final', 'gini']</t>
  </si>
  <si>
    <t>Pencetak gol Prancis di final Piala Dunia 1998 :   Jawabannya: ‚öΩ Zinedine Zidane 27' 45+1' ‚öΩ Emmanuel Petit 90+3'  Ayo ikutan Bestie..  @srawalpen @irhamadja177 @Hanya_Farah  Jangan lupa follow  üëâ @Indosat  üëâ @idextratime  #PilDunBarengIOH   @idextratime  https://t.co/XIQAMG6TPR</t>
  </si>
  <si>
    <t>pencetak gol prancis final piala dunia jawabannya zinedine zidane emmanuel petit ayo ikutan bestie farah jangan lupa follow</t>
  </si>
  <si>
    <t>['pencetak', 'gol', 'prancis', 'final', 'piala', 'dunia', 'jawabannya', 'zinedine', 'zidane', 'emmanuel', 'petit', 'ayo', 'ikutan', 'bestie', 'farah', 'jangan', 'lupa', 'follow']</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</si>
  <si>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</si>
  <si>
    <t>Final Piala Dunia kalo ga ada extra time mah gak seruuu üòÇüëçüèº</t>
  </si>
  <si>
    <t>final piala dunia kalo ada extra time mah gak seruuu</t>
  </si>
  <si>
    <t>['final', 'piala', 'dunia', 'extra', 'time', 'mah', 'seruuu']</t>
  </si>
  <si>
    <t>Gagal menahan diri dari impressed dengan perlawanan final Piala Dunia  https://t.co/jsYKbkmnAv</t>
  </si>
  <si>
    <t>gagal menahan diri dari impressed dengan perlawanan final piala dunia</t>
  </si>
  <si>
    <t>['gagal', 'menahan', 'diri', 'impressed', 'perlawanan', 'final', 'piala', 'dunia']</t>
  </si>
  <si>
    <t>Keren tontonan final piala dunia kali ini..</t>
  </si>
  <si>
    <t>keren tontonan final piala dunia kali ini</t>
  </si>
  <si>
    <t>['keren', 'tontonan', 'final', 'piala', 'dunia', 'kali']</t>
  </si>
  <si>
    <t>Sampe adu penalti dong...biar lama nonton final Piala Dunia nya ü§≠</t>
  </si>
  <si>
    <t>sampe adu penalti dong biar lama nonton final piala dunia nya</t>
  </si>
  <si>
    <t>['sampai', 'adu', 'penalti', 'dong', 'lama', 'nonton', 'final', 'piala', 'dunia']</t>
  </si>
  <si>
    <t>@vidio Masih 28 hari quota sudah habis, katanya paket full piala dunia sampai final.  Refund dana kami woeeeee....  https://t.co/pH9zfHzw0M</t>
  </si>
  <si>
    <t>masih hari quota sudah habis katanya paket full piala dunia sampai final refund dana kami woeeeee</t>
  </si>
  <si>
    <t>['hari', 'quota', 'habis', 'katanya', 'paket', 'full', 'piala', 'dunia', 'final', 'refund', 'dana', 'woeeeee']</t>
  </si>
  <si>
    <t>@siapanigatauu Final piala dunia</t>
  </si>
  <si>
    <t>Andai negara konoha gakure bisa masuk final piala dunia QATAR 2022</t>
  </si>
  <si>
    <t>andai negara konoha gakure bisa masuk final piala dunia qatar</t>
  </si>
  <si>
    <t>['andai', 'negara', 'konoha', 'gakure', 'masuk', 'final', 'piala', 'dunia', 'qatar']</t>
  </si>
  <si>
    <t>Seru 2-2  Link Streaming Piala Dunia Gratis  FINAL  Argentina vs Prancis   https://t.co/EG7SAWEv1S</t>
  </si>
  <si>
    <t>seru link streaming piala dunia gratis final argentina prancis</t>
  </si>
  <si>
    <t>['seru', 'link', 'streaming', 'piala', 'dunia', 'gratis', 'final', 'argentina', 'prancis']</t>
  </si>
  <si>
    <t>Yesss ‚öΩ itu bulat kawan ahahahaha, denger tetangga pada jejeritan nonton final Piala Dunia.  Mendadak 1 kampung jadi warga negara Argentina &amp;amp; Perancis. ü§£</t>
  </si>
  <si>
    <t>yesss itu bulat kawan ahahahaha denger tetangga pada jejeritan nonton final piala dunia mendadak kampung jadi warga negara argentina perancis</t>
  </si>
  <si>
    <t>['yesss', 'bulat', 'kawan', 'ahahahaha', 'denger', 'tetangga', 'jejeritan', 'nonton', 'final', 'piala', 'dunia', 'mendadak', 'kampung', 'jadi', 'warga', 'negara', 'argentina', 'perancis']</t>
  </si>
  <si>
    <t>Pertandingan menegangkan final Piala dunia antara Prancis dan Argentina.. Hingga akhir menikmati laga ini dengan Vidio dari Indihome  https://t.co/A6ZvLNdD5q</t>
  </si>
  <si>
    <t>pertandingan menegangkan final piala dunia antara prancis dan argentina hingga akhir menikmati laga ini dengan vidio dari indihome</t>
  </si>
  <si>
    <t>['pertandingan', 'menegangkan', 'final', 'piala', 'dunia', 'prancis', 'argentina', 'hingga', 'akhir', 'menikmati', 'laga', 'vidio', 'indihome']</t>
  </si>
  <si>
    <t>Final Piala Dunia 2022: Prancis Samakan Skor, Mbappe Cetak 2 Gol dalam 1 Menit  https://t.co/FXhLxRJ4bI</t>
  </si>
  <si>
    <t>final piala dunia prancis samakan skor mbappe cetak gol dalam menit</t>
  </si>
  <si>
    <t>['final', 'piala', 'dunia', 'prancis', 'samakan', 'skor', 'mbappe', 'cetak', 'gol', 'menit']</t>
  </si>
  <si>
    <t>Prancis bangkit dan menyamakan skor menjadi 2-2 dalam laga melawan Argentina di final Piala Dunia 2022. Kylian Mbappe mencetak dua gol dalam dua menit!  https://t.co/E1kHfb737q</t>
  </si>
  <si>
    <t>Final piala dunia pesenan Indosiar ü§£ü§£ü§£</t>
  </si>
  <si>
    <t>final piala dunia pesenan indosiar</t>
  </si>
  <si>
    <t>['final', 'piala', 'dunia', 'pesenan', 'indosiar']</t>
  </si>
  <si>
    <t>Sebagian fans tidak dapat menyaksikan keseruan duel Argentina vs Prancis di final Piala Dunia 2022 dengan lancar. Menyusul eror di layanan streaming, Vidio.  https://t.co/sDypV1aD1e</t>
  </si>
  <si>
    <t>Prancis bangkit dan menyamakan skor menjadi 2-2 dalam laga melawan Argentina di final Piala Dunia 2022. Kylian Mbappe mencetak dua gol dalam dua menit!  https://t.co/KgeUe32kww</t>
  </si>
  <si>
    <t>Prancis bangkit dan menyamakan skor menjadi 2-2 dalam laga melawan Argentina di final Piala Dunia 2022. Kylian Mbappe mencetak dua gol dalam dua menit!  https://t.co/eWWwHLD8KD</t>
  </si>
  <si>
    <t>11 gol Piala Dunia dalam 2 edisi.  Dua gol di final Piala Dunia.  Dan masih 23 tahun.  UNREAL. ü§ØüèÜüá´üá∑  #WorldCupFinal #ArgentinaVsFrance #Mbappe  https://t.co/B1YfrwbFfB</t>
  </si>
  <si>
    <t>gol piala dunia dalam edisi dua gol final piala dunia dan masih tahun unreal</t>
  </si>
  <si>
    <t>['gol', 'piala', 'dunia', 'edisi', 'gol', 'final', 'piala', 'dunia', 'tahun', 'unreal']</t>
  </si>
  <si>
    <t>Jangan sampai kebablasan Subuh perkara Final Piala Dunia. Jangan sampai Taruhan perkara Final Piala Dunia. Ingat dalam (QS Al-Ma'idah : 90)  Semoga Allah menajuhi kita dari perbuatan maksiat.  Baarakaalhu fiikum‚ô•Ô∏è</t>
  </si>
  <si>
    <t>jangan sampai kebablasan subuh perkara final piala dunia jangan sampai taruhan perkara final piala dunia ingat dalam idah semoga allah menajuhi kita dari perbuatan maksiat baarakaalhu fiikum</t>
  </si>
  <si>
    <t>['jangan', 'kebablasan', 'subuh', 'perkara', 'final', 'piala', 'dunia', 'jangan', 'taruhan', 'perkara', 'final', 'piala', 'dunia', 'ingat', 'idah', 'semoga', 'allah', 'menajuhi', 'perbuatan', 'maksiat', 'baarakaalhu', 'fiikum']</t>
  </si>
  <si>
    <t>Merinding nonton match begini. di Piala Dunia. Final pulaüò≠</t>
  </si>
  <si>
    <t>merinding nonton match begini piala dunia final pula</t>
  </si>
  <si>
    <t>['merinding', 'nonton', 'match', 'begini', 'piala', 'dunia', 'final']</t>
  </si>
  <si>
    <t>Rame ieu Final piala dunia</t>
  </si>
  <si>
    <t>rame ieu final piala dunia</t>
  </si>
  <si>
    <t>['ramai', 'ieu', 'final', 'piala', 'dunia']</t>
  </si>
  <si>
    <t>BABAK TAMBAHAN 8 MENIT  Argentina 2:2 Perancis  Link Live Streaming Argentina vs Prancis Malam Ini 22.00 WIB Final Piala Dunia 2022   https://t.co/D7d3e8Q5dI</t>
  </si>
  <si>
    <t>babak tambahan menit argentina perancis link live streaming argentina prancis malam ini wib final piala dunia</t>
  </si>
  <si>
    <t>['babak', 'tambahan', 'menit', 'argentina', 'perancis', 'link', 'live', 'streaming', 'argentina', 'prancis', 'malam', 'wib', 'final', 'piala', 'dunia']</t>
  </si>
  <si>
    <t>mbappe 24 tahun ngegolin 2 di final piala dunia, tamparan</t>
  </si>
  <si>
    <t>mbappe tahun ngegolin final piala dunia tamparan</t>
  </si>
  <si>
    <t>['mbappe', 'tahun', 'ngegolin', 'final', 'piala', 'dunia', 'tamparan']</t>
  </si>
  <si>
    <t>Ketika gegap gempita final piala dunia membangunkan anak2ku yg sedang sulit tidur karena sakit itu....</t>
  </si>
  <si>
    <t>ketika gegap gempita final piala dunia membangunkan anak sedang sulit tidur karena sakit itu</t>
  </si>
  <si>
    <t>['gegap', 'gempita', 'final', 'piala', 'dunia', 'membangunkan', 'anak', 'sedang', 'sulit', 'tidur', 'sakit']</t>
  </si>
  <si>
    <t>Parah sekali @vidio ini final piala dunia üò†  https://t.co/wQZDDX7xPz</t>
  </si>
  <si>
    <t>parah sekali ini final piala dunia</t>
  </si>
  <si>
    <t>['parah', 'sekali', 'final', 'piala', 'dunia']</t>
  </si>
  <si>
    <t>@idextratime The real goat, 2 gol di 1 final piala dunia üî•üî•üî•  https://t.co/pWpy7Lx9Vh</t>
  </si>
  <si>
    <t>the real goat gol final piala dunia</t>
  </si>
  <si>
    <t>['the', 'real', 'goat', 'gol', 'final', 'piala', 'dunia']</t>
  </si>
  <si>
    <t>Bangsaat cuma speed doang ke pertandingan final piala dunia pake jersey 3 lapis kwkwkwkkw ü§£. Jersey Portugal-Perancis-Argentina.  https://t.co/qrLP0M6Fbo</t>
  </si>
  <si>
    <t>bangsaat cuma speed doang pertandingan final piala dunia pake jersey lapis kwkwkwkkw jersey portugal perancis argentina</t>
  </si>
  <si>
    <t>['bangsaat', 'cuma', 'speed', 'doang', 'pertandingan', 'final', 'piala', 'dunia', 'pake', 'jersey', 'lapis', 'kwkwkwkkw', 'jersey', 'portugal', 'perancis', 'argentina']</t>
  </si>
  <si>
    <t>Link Streaming Gratis Nonton Final Piala Dunia 2022 Argentina vs Prancis   https://t.co/EG7SAWEv1S  #ArgentinaVsFrance</t>
  </si>
  <si>
    <t>link streaming gratis nonton final piala dunia argentina prancis</t>
  </si>
  <si>
    <t>['link', 'streaming', 'gratis', 'nonton', 'final', 'piala', 'dunia', 'argentina', 'prancis']</t>
  </si>
  <si>
    <t>Mama ku semangat banget nonton final piala dunia üòÑ, mama ku dukung Prancis yang jadi juara, sedangkan abang ku dukung Argentina yang jadi juara.</t>
  </si>
  <si>
    <t>mama semangat banget nonton final piala dunia mama dukung prancis yang jadi juara sedangkan abang dukung argentina yang jadi juara</t>
  </si>
  <si>
    <t>['mama', 'semangat', 'banget', 'nonton', 'final', 'piala', 'dunia', 'mama', 'dukung', 'prancis', 'jadi', 'juara', 'abang', 'dukung', 'argentina', 'jadi', 'juara']</t>
  </si>
  <si>
    <t>Final Piala Dunia 2022: Argentina vs Prancis, Menit Ke-81, Skor 2-2, Mbappe Borong 2 Gol  https://t.co/XXt01drxpF #TempoBola</t>
  </si>
  <si>
    <t>final piala dunia argentina prancis menit skor mbappe borong gol</t>
  </si>
  <si>
    <t>['final', 'piala', 'dunia', 'argentina', 'prancis', 'menit', 'skor', 'mbappe', 'borong', 'gol']</t>
  </si>
  <si>
    <t>Sebagian fans tidak dapat menyaksikan keseruan duel Argentina vs Prancis di final Piala Dunia 2022 dengan lancar. Menyusul eror di layanan streaming, Vidio.  https://t.co/lCQRTd9zQi</t>
  </si>
  <si>
    <t>Prancis bangkit dan menyamakan skor menjadi 2-2 dalam laga melawan Argentina di final Piala Dunia 2022. Kylian Mbappe mencetak dua gol dalam dua menit!  https://t.co/E1kHfaOTTi</t>
  </si>
  <si>
    <t>@aufatn Inilah kenapa anda tidak boleh berkedip saat final piala dunia</t>
  </si>
  <si>
    <t>inilah kenapa anda tidak boleh berkedip saat final piala dunia</t>
  </si>
  <si>
    <t>['inilah', 'berkedip', 'final', 'piala', 'dunia']</t>
  </si>
  <si>
    <t>Ada yang bisa menjelaskan kepada saya kenapa para politisi ketika ada laga final, seperti misalnya Piala Dunia, Piala AFF mendadak posting nonton. Saya meragukan kalau mereka menonton tidak dari fase grup.</t>
  </si>
  <si>
    <t>ada yang bisa menjelaskan kepada saya kenapa para politisi ketika ada laga final seperti misalnya piala dunia piala aff mendadak posting nonton saya meragukan kalau mereka menonton tidak dari fase grup</t>
  </si>
  <si>
    <t>['menjelaskan', 'politisi', 'laga', 'final', 'misalnya', 'piala', 'dunia', 'piala', 'aff', 'mendadak', 'posting', 'nonton', 'meragukan', 'kalau', 'menonton', 'fase', 'grup']</t>
  </si>
  <si>
    <t>@khairinadiar üò≠üò≠ twit final piala dunia yg paling kocak</t>
  </si>
  <si>
    <t>twit final piala dunia paling kocak</t>
  </si>
  <si>
    <t>['twit', 'final', 'piala', 'dunia', 'paling', 'kocak']</t>
  </si>
  <si>
    <t>Profil Hugo Lloris, Kiper Prancis yang Sempat Terkapar Beberapa Menit di Final Piala Dunia 2022  https://t.co/BGEnQ0AcYF</t>
  </si>
  <si>
    <t>profil hugo lloris kiper prancis yang sempat terkapar beberapa menit final piala dunia</t>
  </si>
  <si>
    <t>['profil', 'hugo', 'lloris', 'kiper', 'prancis', 'sempat', 'terkapar', 'beberapa', 'menit', 'final', 'piala', 'dunia']</t>
  </si>
  <si>
    <t>astaga ... pantes namanya familiar... anaknya Lilian Thuram.  ASTAGA GUE NONTON DUA GENERASI FINAL PIALA DUNIA!!</t>
  </si>
  <si>
    <t>astaga pantes namanya familiar anaknya lilian thuram astaga gue nonton dua generasi final piala dunia</t>
  </si>
  <si>
    <t>['astaga', 'pantes', 'namanya', 'familiar', 'anaknya', 'lilian', 'thuram', 'astaga', 'gue', 'nonton', 'generasi', 'final', 'piala', 'dunia']</t>
  </si>
  <si>
    <t>@vidio plislaaah ini gue langganan biar bisa nonton Piala Dunia eh pas final errorüëéüëéüëé  https://t.co/FJjHeOSiP7</t>
  </si>
  <si>
    <t>plislaaah ini gue langganan biar bisa nonton piala dunia pas final error</t>
  </si>
  <si>
    <t>['plislaaah', 'gue', 'langganan', 'nonton', 'piala', 'dunia', 'pas', 'final', 'error']</t>
  </si>
  <si>
    <t>Pake hape kamu buat liat final piala dunia Ayah @k_natapraja .. kamu nonton dr atas sana ya? Seru2an sama Benny ya? Sama Papa dan Bapak juga ya? Aku sama anak-anak lagi ketawa2 di kamar.. Kangen Ayah!! ‚ù§Ô∏è‚ù§Ô∏è‚ù§Ô∏è‚ù§Ô∏è  https://t.co/4HoF7etX4E</t>
  </si>
  <si>
    <t>pake hape kamu buat liat final piala dunia ayah natapraja kamu nonton atas sana seru sama benny sama papa dan bapak juga aku sama anak anak lagi ketawa kamar kangen ayah</t>
  </si>
  <si>
    <t>['pake', 'hape', 'kamu', 'buat', 'lihat', 'final', 'piala', 'dunia', 'ayah', 'natapraja', 'kamu', 'nonton', 'atas', 'sana', 'seru', 'sama', 'benny', 'sama', 'papa', 'bapak', 'aku', 'sama', 'anak', 'anak', 'ketawa', 'kamar', 'kangen', 'ayah']</t>
  </si>
  <si>
    <t>Thuram menyeretkan kakinya, lalu jatuh buat dapat Penalti. Diving jelas. KK deh! 87' Argentina vs Prancis 2-2 Final Piala Dunia #FIFAWorldCup #Qatar2022</t>
  </si>
  <si>
    <t>thuram menyeretkan kakinya lalu jatuh buat dapat penalti diving jelas deh argentina prancis final piala dunia</t>
  </si>
  <si>
    <t>['thuram', 'menyeretkan', 'kakinya', 'lalu', 'jatuh', 'buat', 'penalti', 'diving', 'jelas', 'deh', 'argentina', 'prancis', 'final', 'piala', 'dunia']</t>
  </si>
  <si>
    <t>@jek___ France vs argentina berasa pertndingan final piala dunia ya tad ‚Ä¶</t>
  </si>
  <si>
    <t>france argentina berasa pertndingan final piala dunia tad</t>
  </si>
  <si>
    <t>['france', 'argentina', 'berasa', 'pertndingan', 'final', 'piala', 'dunia', 'tad']</t>
  </si>
  <si>
    <t>@vidio gausah pegang lisensi piala dunia lagi besok2, baru kali ini nonton final tp malah error</t>
  </si>
  <si>
    <t>gausah pegang lisensi piala dunia lagi besok baru kali ini nonton final malah error</t>
  </si>
  <si>
    <t>['gausah', 'pegang', 'lisensi', 'piala', 'dunia', 'besok', 'baru', 'kali', 'nonton', 'final', 'malah', 'error']</t>
  </si>
  <si>
    <t>Hasil Final Piala Dunia 2022: Kylian Mbappe Cetak 2 Gol, Prancis vs Argentina Sama Kuat 2-2 #LengkapCepatBeritanya #Bola #SepakBola #SepakbolaDunia #BolaDunia .  https://t.co/nIIt0I0i0c</t>
  </si>
  <si>
    <t>hasil final piala dunia kylian mbappe cetak gol prancis argentina sama kuat</t>
  </si>
  <si>
    <t>['hasil', 'final', 'piala', 'dunia', 'kylian', 'mbappe', 'cetak', 'gol', 'prancis', 'argentina', 'sama', 'kuat']</t>
  </si>
  <si>
    <t>one tweet jordi - kiara edisi nobar final piala duniaüòùüí™üèª  https://t.co/55c8sQo4Vy</t>
  </si>
  <si>
    <t>one tweet jordi kiara edisi nobar final piala dunia</t>
  </si>
  <si>
    <t>['one', 'tweet', 'jordi', 'kiara', 'edisi', 'nonton bareng', 'final', 'piala', 'dunia']</t>
  </si>
  <si>
    <t>Seru gak final Piala Dunia? @vidio  https://t.co/yiAOA2HvkY</t>
  </si>
  <si>
    <t>seru gak final piala dunia</t>
  </si>
  <si>
    <t>['seru', 'final', 'piala', 'dunia']</t>
  </si>
  <si>
    <t>camavinga kelahiran 2002 udah main di final piala dunia  rispek</t>
  </si>
  <si>
    <t>camavinga kelahiran udah main final piala dunia rispek</t>
  </si>
  <si>
    <t>['camavinga', 'kelahiran', 'udah', 'main', 'final', 'piala', 'dunia', 'rispek']</t>
  </si>
  <si>
    <t>Ketika piala dunia beneran lagi nayangin final yang asli adek gue lagi baca blue lock emang wibu lebih nyaman baca versi isekai ya</t>
  </si>
  <si>
    <t>ketika piala dunia beneran lagi nayangin final yang asli adek gue lagi baca blue lock emang wibu lebih nyaman baca versi isekai</t>
  </si>
  <si>
    <t>['piala', 'dunia', 'beneran', 'nayangin', 'final', 'asli', 'adek', 'gue', 'baca', 'blue', 'lock', 'emang', 'wibu', 'lebih', 'nyaman', 'baca', 'versi', 'isekai']</t>
  </si>
  <si>
    <t>MENIT 87, WASITNYA PARAH, PENALTI ITU  Argentina 2:2 Perancis  Link Live Streaming Argentina vs Prancis Malam Ini 22.00 WIB Final Piala Dunia 2022   https://t.co/LJ9I01H4vv</t>
  </si>
  <si>
    <t>menit wasitnya parah penalti itu argentina perancis link live streaming argentina prancis malam ini wib final piala dunia</t>
  </si>
  <si>
    <t>['menit', 'wasitnya', 'parah', 'penalti', 'argentina', 'perancis', 'link', 'live', 'streaming', 'argentina', 'prancis', 'malam', 'wib', 'final', 'piala', 'dunia']</t>
  </si>
  <si>
    <t>@vidio Terimakasih vidio saya tidak bisa nonton final piala dunia, dan uang saya terbuang percuma untuk langganan ke apk sampah anda</t>
  </si>
  <si>
    <t>terimakasih vidio saya tidak bisa nonton final piala dunia dan uang saya terbuang percuma untuk langganan apk sampah anda</t>
  </si>
  <si>
    <t>['terimakasih', 'vidio', 'nonton', 'final', 'piala', 'dunia', 'uang', 'terbuang', 'percuma', 'langganan', 'apk', 'sampah']</t>
  </si>
  <si>
    <t>Ini baru final Piala Dunia seruu!!! üî•</t>
  </si>
  <si>
    <t>ini baru final piala dunia seruu</t>
  </si>
  <si>
    <t>['baru', 'final', 'piala', 'dunia', 'seruu']</t>
  </si>
  <si>
    <t>Final Piala Dunia 2022: Mbappe Brace, Argentina vs Prancis 2-2  https://t.co/fOrvvWyo7o</t>
  </si>
  <si>
    <t>final piala dunia mbappe brace argentina prancis</t>
  </si>
  <si>
    <t>['final', 'piala', 'dunia', 'mbappe', 'brace', 'argentina', 'prancis']</t>
  </si>
  <si>
    <t>ngomomgin pildun ya, gue kan anak olahraga ya... terus temen yg lg pdkt sm crushnya nanya "final piala dunia siapa sama siapa dah?"  gue, "hah? KAGAK TAUUUUU"  WKWKWWKK maap gue anak olahraga gadungan:(</t>
  </si>
  <si>
    <t>ngomomgin pildun gue kan anak olahraga terus temen pdkt crushnya nanya final piala dunia siapa sama siapa dah gue hah kagak tauuuuu wkwkwwkk maap gue anak olahraga gadungan</t>
  </si>
  <si>
    <t>['ngomomgin', 'piala dunia', 'gue', 'kan', 'anak', 'olahraga', 'terus', 'temen', 'pdkt', 'crushnya', 'nanya', 'final', 'piala', 'dunia', 'siapa', 'sama', 'siapa', 'dah', 'gue', 'hah', 'kagak', 'tauuuuu', 'wkwkwwkk', 'maap', 'gue', 'anak', 'olahraga', 'gadungan']</t>
  </si>
  <si>
    <t>Final Piala Dunia 2022: Mbappe Brace, Argentina vs Prancis 2-2  https://t.co/AZGEQphf8E</t>
  </si>
  <si>
    <t>Wah gila sih final piala dunia Qatar 2022 ini</t>
  </si>
  <si>
    <t>wah gila sih final piala dunia qatar ini</t>
  </si>
  <si>
    <t>['wah', 'gila', 'final', 'piala', 'dunia', 'qatar']</t>
  </si>
  <si>
    <t>Bukti bahwa gak perlu main di klub super besar kalo kepingin nyetak gol di final Piala Dunia, empat gol yang nyetak pemain PSG semua.  Thank you, Qatar ü§£ü§£ü§£ü§£ü§£</t>
  </si>
  <si>
    <t>bukti bahwa gak perlu main klub super besar kalo kepingin nyetak gol final piala dunia empat gol yang nyetak pemain psg semua thank you qatar</t>
  </si>
  <si>
    <t>['bukti', 'perlu', 'main', 'klub', 'super', 'besar', 'kepingin', 'nyetak', 'gol', 'final', 'piala', 'dunia', 'empat', 'gol', 'nyetak', 'pemain', 'psg', 'semua', 'thank', 'you', 'qatar']</t>
  </si>
  <si>
    <t>Nontonin #RebornRich ada momen karakternya #SongJoongKi prediksi kalau Korsel bakal tembus semi-final di Pildun 2002.  Baru tau banget nih ternyata Korsel beneran pernah tembus semi-final Piala Dunia. Jadi tau berkat #RebornRich üòÖüòÖ  https://t.co/fHlSgKvoNu</t>
  </si>
  <si>
    <t>nontonin ada momen karakternya prediksi kalau korsel bakal tembus semi final pildun baru tau banget nih ternyata korsel beneran pernah tembus semi final piala dunia jadi tau berkat</t>
  </si>
  <si>
    <t>['nontonin', 'momen', 'karakternya', 'prediksi', 'kalau', 'korsel', 'bakal', 'tembus', 'semi', 'final', 'piala dunia', 'baru', 'banget', 'ternyata', 'korsel', 'beneran', 'pernah', 'tembus', 'semi', 'final', 'piala', 'dunia', 'jadi', 'berkat']</t>
  </si>
  <si>
    <t>final piala dunia kok 90 menit kelar..wkwkkk..lamjuuut</t>
  </si>
  <si>
    <t>final piala dunia kok menit kelar wkwkkk lamjuuut</t>
  </si>
  <si>
    <t>['final', 'piala', 'dunia', 'kok', 'menit', 'kelar', 'wkwkkk', 'lamjuuut']</t>
  </si>
  <si>
    <t>Gokil final piala dunia 2022 asli</t>
  </si>
  <si>
    <t>gokil final piala dunia asli</t>
  </si>
  <si>
    <t>['gila', 'final', 'piala', 'dunia', 'asli']</t>
  </si>
  <si>
    <t>Gambaran babak 2 final piala dunia : menit awal tiduran sama guling guling, menit akhir panik ü§£</t>
  </si>
  <si>
    <t>gambaran babak final piala dunia menit awal tiduran sama guling guling menit akhir panik</t>
  </si>
  <si>
    <t>['gambaran', 'babak', 'final', 'piala', 'dunia', 'menit', 'awal', 'tiduran', 'sama', 'guling', 'guling', 'menit', 'akhir', 'panik']</t>
  </si>
  <si>
    <t>Ini baru final piala dunia.</t>
  </si>
  <si>
    <t>Lah ngene lagi final piala dunia, rame.</t>
  </si>
  <si>
    <t>lah ngene lagi final piala dunia rame</t>
  </si>
  <si>
    <t>['lah', 'ngene', 'final', 'piala', 'dunia', 'ramai']</t>
  </si>
  <si>
    <t>Saat ini dalam final piala dunia 2022, Argentina 2 - 2 Perancis</t>
  </si>
  <si>
    <t>saat ini dalam final piala dunia argentina perancis</t>
  </si>
  <si>
    <t>['final', 'piala', 'dunia', 'argentina', 'perancis']</t>
  </si>
  <si>
    <t>Tahun 2010 waktu sedang KP, masih jadi mahasiswa nonton final Piala Dunia di pinggir jalan outdoor kota Balikpapan, tahun 2022 sudah kerja nonton final Piala Dunia lagi-lagi di kota Balikpapan tapi sudah tidak di pinggir jalan outdoor.</t>
  </si>
  <si>
    <t>tahun waktu sedang masih jadi mahasiswa nonton final piala dunia pinggir jalan outdoor kota balikpapan tahun sudah kerja nonton final piala dunia lagi lagi kota balikpapan tapi sudah tidak pinggir jalan outdoor</t>
  </si>
  <si>
    <t>['tahun', 'waktu', 'sedang', 'jadi', 'mahasiswa', 'nonton', 'final', 'piala', 'dunia', 'pinggir', 'jalan', 'outdoor', 'kota', 'balikpapan', 'tahun', 'kerja', 'nonton', 'final', 'piala', 'dunia', 'kota', 'balikpapan', 'pinggir', 'jalan', 'outdoor']</t>
  </si>
  <si>
    <t>&lt;FreqDist with 15 samples and 25 outcomes&gt;</t>
  </si>
  <si>
    <t>Ini baru final piala dunia</t>
  </si>
  <si>
    <t>@vidio Adoh kasiang skli kang rupa susah skli mnntn pake vidio final piala dunia ...</t>
  </si>
  <si>
    <t>adoh kasiang skli kang rupa susah skli mnntn pake vidio final piala dunia</t>
  </si>
  <si>
    <t>['adoh', 'kasiang', 'skli', 'kang', 'rupa', 'susah', 'skli', 'mnntn', 'pake', 'vidio', 'final', 'piala', 'dunia']</t>
  </si>
  <si>
    <t>Seru nih Final Piala Dunia. Posisi sekarang 2-2!!!</t>
  </si>
  <si>
    <t>seru nih final piala dunia posisi sekarang</t>
  </si>
  <si>
    <t>['seru', 'final', 'piala', 'dunia', 'posisi', 'sekarang']</t>
  </si>
  <si>
    <t>Nonton final piala Dunia bareng keluarga Argentina üá¶üá∑ vs üá´üá∑ Perancis  https://t.co/V5m7DtO27P</t>
  </si>
  <si>
    <t>nonton final piala dunia bareng keluarga argentina perancis</t>
  </si>
  <si>
    <t>['nonton', 'final', 'piala', 'dunia', 'bareng', 'keluarga', 'argentina', 'perancis']</t>
  </si>
  <si>
    <t>MASIH 2 - 0, Final Piala Dunia Argentina vs Prancis! Apa Argentina Akan Menjadi Juara Piala Dunia 2022?   https://t.co/4guAc9HMvT</t>
  </si>
  <si>
    <t>masih final piala dunia argentina prancis apa argentina akan menjadi juara piala dunia</t>
  </si>
  <si>
    <t>['final', 'piala', 'dunia', 'argentina', 'prancis', 'apa', 'argentina', 'menjadi', 'juara', 'piala', 'dunia']</t>
  </si>
  <si>
    <t>Nobar lihat main bola final piala dunia, sangat bangga dg kylian mbappe meskipun main tanpa Pogba dan benzema,  Pinalti nya menyulut dan menggagalkan pesta argentina meriah  https://t.co/54uf3u3s1H</t>
  </si>
  <si>
    <t>nobar lihat main bola final piala dunia sangat bangga kylian mbappe meskipun main tanpa pogba dan benzema pinalti nya menyulut dan menggagalkan pesta argentina meriah</t>
  </si>
  <si>
    <t>['nonton bareng', 'lihat', 'main', 'bola', 'final', 'piala', 'dunia', 'sangat', 'bangga', 'kylian', 'mbappe', 'meskipun', 'main', 'pogba', 'benzema', 'penalti', 'menyulut', 'menggagalkan', 'pesta', 'argentina', 'meriah']</t>
  </si>
  <si>
    <t>Oh final piala dunia</t>
  </si>
  <si>
    <t>Emang final piala dunia itu harus begini..</t>
  </si>
  <si>
    <t>emang final piala dunia itu harus begini</t>
  </si>
  <si>
    <t>['emang', 'final', 'piala', 'dunia', 'begini']</t>
  </si>
  <si>
    <t>Lieur ajig TL aing final piala dunia..</t>
  </si>
  <si>
    <t>lieur ajig aing final piala dunia</t>
  </si>
  <si>
    <t>['lieur', 'ajig', 'aing', 'final', 'piala', 'dunia']</t>
  </si>
  <si>
    <t>Ni baru orang panggil final Piala Dunia</t>
  </si>
  <si>
    <t>baru orang panggil final piala dunia</t>
  </si>
  <si>
    <t>['baru', 'orang', 'panggil', 'final', 'piala', 'dunia']</t>
  </si>
  <si>
    <t>Kleee seruuuuu final piala dunia</t>
  </si>
  <si>
    <t>kleee seruuuuu final piala dunia</t>
  </si>
  <si>
    <t>['kleee', 'seruuuuu', 'final', 'piala', 'dunia']</t>
  </si>
  <si>
    <t>Link Streaming HD Gratis Final Piala Dunia 2022 Argentina vs Prancis   https://t.co/EG7SAWEv1S</t>
  </si>
  <si>
    <t>link streaming gratis final piala dunia argentina prancis</t>
  </si>
  <si>
    <t>['link', 'streaming', 'gratis', 'final', 'piala', 'dunia', 'argentina', 'prancis']</t>
  </si>
  <si>
    <t>Hasil Final Piala Dunia Argentina Vs Prancis: 2-2, Prancis Mengejar    https://t.co/fRXiS6vTgv via @TribunLombokcom</t>
  </si>
  <si>
    <t>hasil final piala dunia argentina prancis prancis mengejar via</t>
  </si>
  <si>
    <t>['hasil', 'final', 'piala', 'dunia', 'argentina', 'prancis', 'prancis', 'mengejar', 'via']</t>
  </si>
  <si>
    <t>Siapa pun yang menang di Final ini, Piala Dunia 2022 fix terbaik sepanjang masa</t>
  </si>
  <si>
    <t>siapa pun yang menang final ini piala dunia fix terbaik sepanjang masa</t>
  </si>
  <si>
    <t>['siapa', 'menang', 'final', 'piala', 'dunia', 'fix', 'terbaik', 'sepanjang', 'masa']</t>
  </si>
  <si>
    <t>Live Skor Sementara Final Piala Dunia 2022: Argentina vs Prancis 2-2  https://t.co/48pYitTzWT</t>
  </si>
  <si>
    <t>live skor sementara final piala dunia argentina prancis</t>
  </si>
  <si>
    <t>['live', 'skor', 'final', 'piala', 'dunia', 'argentina', 'prancis']</t>
  </si>
  <si>
    <t>Siapa aja yang bilang final piala dunia settingan adalah bodoh sesat üòÇ wkwkwk</t>
  </si>
  <si>
    <t>siapa aja yang bilang final piala dunia settingan adalah bodoh sesat wkwkwk</t>
  </si>
  <si>
    <t>['siapa', 'final', 'piala', 'dunia', 'settingan', 'bodoh', 'sesat', 'wkwkwk']</t>
  </si>
  <si>
    <t>Nah gini nih final Piala Dunia, seru</t>
  </si>
  <si>
    <t>nah gini nih final piala dunia seru</t>
  </si>
  <si>
    <t>['nah', 'gini', 'final', 'piala', 'dunia', 'seru']</t>
  </si>
  <si>
    <t>Live Stream Argentina vs Prancis France FIFA World Cup 2022 Final Nonton Live Streaming Piala Dunia 2022 Live Score 2-2, Mbappe menggila  https://t.co/TvicXn1scA</t>
  </si>
  <si>
    <t>final piala dunia 2022 seru banget. gambarnya item ada huruf V sama buletan muter muter.</t>
  </si>
  <si>
    <t>final piala dunia seru banget gambarnya item ada huruf sama buletan muter muter</t>
  </si>
  <si>
    <t>['final', 'piala', 'dunia', 'seru', 'banget', 'gambarnya', 'item', 'huruf', 'sama', 'buletan', 'muter', 'muter']</t>
  </si>
  <si>
    <t>Final Piala Dunia 2022: Mbappe Brace, Argentina vs Prancis 2-2  https://t.co/AZGEQpyiaE</t>
  </si>
  <si>
    <t>Mbappe menyamakan kedudukan, skor sementara 2-2.  Simak #ReportaseLangsung Final Piala Dunia 2022 Argentina VS Perancis melalui ‚û°Ô∏è  https://t.co/tfluAn7OqT  #PestaBolaQatar #AdadiKompas #FIFAWorldCup #ArgentinaVsFrance</t>
  </si>
  <si>
    <t>mbappe menyamakan kedudukan skor sementara simak final piala dunia argentina perancis melalui</t>
  </si>
  <si>
    <t>['mbappe', 'menyamakan', 'kedudukan', 'skor', 'simak', 'final', 'piala', 'dunia', 'argentina', 'perancis', 'melalui']</t>
  </si>
  <si>
    <t>Harus ada kompensasi dari pihak @vidio dikarenakan gangguan layanan akan paket yang saya beli. Final piala dunia gangguan lebih dari 30 menit.</t>
  </si>
  <si>
    <t>harus ada kompensasi dari pihak dikarenakan gangguan layanan akan paket yang saya beli final piala dunia gangguan lebih dari menit</t>
  </si>
  <si>
    <t>['kompensasi', 'pihak', 'dikarenakan', 'gangguan', 'layanan', 'paket', 'beli', 'final', 'piala', 'dunia', 'gangguan', 'lebih', 'menit']</t>
  </si>
  <si>
    <t>Prancis Kalah di Final Piala Dunia Makanan  https://t.co/5v2XegZGOR  https://t.co/1gKoLMkib0</t>
  </si>
  <si>
    <t>prancis kalah final piala dunia makanan</t>
  </si>
  <si>
    <t>['prancis', 'kalah', 'final', 'piala', 'dunia', 'makanan']</t>
  </si>
  <si>
    <t>Pengulas menjerit dan aku pon menjerit sekali ü§£ü§£ü§£  INI BARULAH FINAL PIALA DUNIA!!!  Mbappe sedang mendahului Messi dalam persaingan Kasut Emas dengan 7 gol. Kalau Mbappe gol lagi, HATRIK!!</t>
  </si>
  <si>
    <t>pengulas menjerit dan aku pon menjerit sekali ini barulah final piala dunia mbappe sedang mendahului messi dalam persaingan kasut emas dengan gol kalau mbappe gol lagi hatrik</t>
  </si>
  <si>
    <t>['pengulas', 'menjerit', 'aku', 'pon', 'menjerit', 'sekali', 'barulah', 'final', 'piala', 'dunia', 'mbappe', 'sedang', 'mendahului', 'messi', 'persaingan', 'kasut', 'emas', 'gol', 'kalau', 'mbappe', 'gol', 'hatrik']</t>
  </si>
  <si>
    <t>wah tontonan kelas final piala dunia ini hahaha sungguh plot twist ü§£ü§£ #ArgentinaVsFrance</t>
  </si>
  <si>
    <t>wah tontonan kelas final piala dunia ini hahaha sungguh plot twist</t>
  </si>
  <si>
    <t>['wah', 'tontonan', 'kelas', 'final', 'piala', 'dunia', 'hahaha', 'sungguh', 'plot', 'twist']</t>
  </si>
  <si>
    <t>Gilaaa, gapake pikir panjang, langsubg volley.. umur segitu, di final piala dunia, GA NGERTI LAGI</t>
  </si>
  <si>
    <t>gilaaa gapake pikir panjang langsubg volley umur segitu final piala dunia ngerti lagi</t>
  </si>
  <si>
    <t>['gilaaa', 'gapake', 'pikir', 'panjang', 'langsubg', 'volley', 'umur', 'segitu', 'final', 'piala', 'dunia', 'ngerti']</t>
  </si>
  <si>
    <t>INI BARU FINAL PIALA DUNIA ANJINGGGG</t>
  </si>
  <si>
    <t>ini baru final piala dunia anjingggg</t>
  </si>
  <si>
    <t>['baru', 'final', 'piala', 'dunia', 'anjingggg']</t>
  </si>
  <si>
    <t>Nah gini baru kerasa final Piala Dunia 2022 nya.. ü§£ #ArgentinaVsFrance</t>
  </si>
  <si>
    <t>nah gini baru kerasa final piala dunia nya</t>
  </si>
  <si>
    <t>['nah', 'gini', 'baru', 'kerasa', 'final', 'piala', 'dunia']</t>
  </si>
  <si>
    <t>Partai Perindo Gelar Nobar Final Piala Dunia, Warga: Banyak Manfaatnya, Bisa Bersilaturahmi   #Sindonews #BukanBeritaBiasa . https://t.co/jWovBOy9gM</t>
  </si>
  <si>
    <t>partai perindo gelar nobar final piala dunia warga banyak manfaatnya bisa bersilaturahmi</t>
  </si>
  <si>
    <t>['partai', 'perindo', 'gelar', 'nonton bareng', 'final', 'piala', 'dunia', 'warga', 'banyak', 'manfaatnya', 'bersilaturahmi']</t>
  </si>
  <si>
    <t>MENIT 83, ARGENTINA KENA MENTAL MBAPPE BANGKIT  Argentina 2:2 Perancis  Link Live Streaming Argentina vs Prancis Malam Ini 22.00 WIB Final Piala Dunia 2022   https://t.co/ksXxe9SKCJ</t>
  </si>
  <si>
    <t>menit argentina kena mental mbappe bangkit argentina perancis link live streaming argentina prancis malam ini wib final piala dunia</t>
  </si>
  <si>
    <t>['menit', 'argentina', 'kena', 'mental', 'mbappe', 'bangkit', 'argentina', 'perancis', 'link', 'live', 'streaming', 'argentina', 'prancis', 'malam', 'wib', 'final', 'piala', 'dunia']</t>
  </si>
  <si>
    <t>Internet bapuk gini pas piala dunia final</t>
  </si>
  <si>
    <t>internet bapuk gini pas piala dunia final</t>
  </si>
  <si>
    <t>['internet', 'bapuk', 'gini', 'pas', 'piala', 'dunia', 'final']</t>
  </si>
  <si>
    <t>2 gol cepat dari Prancis. Mbape...   Game on... Drama final piala dunia dimulai.</t>
  </si>
  <si>
    <t>gol cepat dari prancis mbape game drama final piala dunia dimulai</t>
  </si>
  <si>
    <t>['gol', 'cepat', 'prancis', 'mbape', 'game', 'drama', 'final', 'piala', 'dunia', 'dimulai']</t>
  </si>
  <si>
    <t>Babak I Final Piala Dunia: Argentina Unggul 2-0 Atas Prancis   https://t.co/dEG75lupGo</t>
  </si>
  <si>
    <t>babak final piala dunia argentina unggul atas prancis</t>
  </si>
  <si>
    <t>['babak', 'final', 'piala', 'dunia', 'argentina', 'unggul', 'atas', 'prancis']</t>
  </si>
  <si>
    <t>Harusnya besok tuh cuti bersama dalam rangka final piala dunia üòå</t>
  </si>
  <si>
    <t>harusnya besok tuh cuti bersama dalam rangka final piala dunia</t>
  </si>
  <si>
    <t>['harusnya', 'besok', 'cuti', 'bersama', 'rangka', 'final', 'piala', 'dunia']</t>
  </si>
  <si>
    <t>Ini baru Final Piala Dunia, ga berat sebelah kayak tadi gitu loh.. kan jadi seger lagi nontonnya.. LOL</t>
  </si>
  <si>
    <t>ini baru final piala dunia berat sebelah kayak tadi gitu loh kan jadi seger lagi nontonnya lol</t>
  </si>
  <si>
    <t>['baru', 'final', 'piala', 'dunia', 'berat', 'sebelah', 'seperti', 'tadi', 'gitu', 'kan', 'jadi', 'seger', 'nontonnya', 'laugh out loud']</t>
  </si>
  <si>
    <t>Gilakkkk drama final Piala Dunia lebih degdegan ü§£ü§£</t>
  </si>
  <si>
    <t>gilakkkk drama final piala dunia lebih degdegan</t>
  </si>
  <si>
    <t>['gilakkkk', 'drama', 'final', 'piala', 'dunia', 'lebih', 'degdegan']</t>
  </si>
  <si>
    <t>@kulkas2panto Heeh, rame kieu euy ayaan sensasi final piala dunia teh, hahahaha</t>
  </si>
  <si>
    <t>heeh rame kieu euy ayaan sensasi final piala dunia teh hahahaha</t>
  </si>
  <si>
    <t>['heeh', 'ramai', 'kieu', 'euy', 'ayaan', 'sensasi', 'final', 'piala', 'dunia', 'teh', 'hahahaha']</t>
  </si>
  <si>
    <t>Nan gitu dong..final piala dunia hrusny gni..hahahaü§£üòÑ</t>
  </si>
  <si>
    <t>nan gitu dong final piala dunia hrusny gni hahaha</t>
  </si>
  <si>
    <t>['gitu', 'dong', 'final', 'piala', 'dunia', 'hrusny', 'gni', 'hahaha']</t>
  </si>
  <si>
    <t>Untuk pertama kalinya dalam hidupku, aku tidak tertarik menonton final piala dunia.</t>
  </si>
  <si>
    <t>untuk pertama kalinya dalam hidupku aku tidak tertarik menonton final piala dunia</t>
  </si>
  <si>
    <t>['pertama', 'kalinya', 'hidupku', 'aku', 'tertarik', 'menonton', 'final', 'piala', 'dunia']</t>
  </si>
  <si>
    <t>Ini baru namanya Final Piala Dunia</t>
  </si>
  <si>
    <t>Anjirrrr seru banget final piala dunia</t>
  </si>
  <si>
    <t>anjirrrr seru banget final piala dunia</t>
  </si>
  <si>
    <t>['anjirrrr', 'seru', 'banget', 'final', 'piala', 'dunia']</t>
  </si>
  <si>
    <t>Hasil Final Piala Dunia Argentina Vs Prancis: 2-1, Prancis Ada Harapan?    https://t.co/KhepqzDPku via @TribunLombokcom</t>
  </si>
  <si>
    <t>hasil final piala dunia argentina prancis prancis ada harapan via</t>
  </si>
  <si>
    <t>['hasil', 'final', 'piala', 'dunia', 'argentina', 'prancis', 'prancis', 'harapan', 'via']</t>
  </si>
  <si>
    <t>GILA! FINAL PIALA DUNIA</t>
  </si>
  <si>
    <t>gila final piala dunia</t>
  </si>
  <si>
    <t>Ini baru yang namanya final piala dunia</t>
  </si>
  <si>
    <t>ini baru yang namanya final piala dunia</t>
  </si>
  <si>
    <t>@vidio kalau ga bs bikin aplikasi yg bener ga usah bikin sekalian, lagi nonton final piala dunia malah ngedown. Ga bener</t>
  </si>
  <si>
    <t>kalau bikin aplikasi bener usah bikin sekalian lagi nonton final piala dunia malah ngedown bener</t>
  </si>
  <si>
    <t>['kalau', 'aplikasi', 'benar', 'usah', 'sekalian', 'nonton', 'final', 'piala', 'dunia', 'malah', 'ngedown', 'benar']</t>
  </si>
  <si>
    <t>Final plg seru selama nonton piala dunia. Mental juara semua.</t>
  </si>
  <si>
    <t>final plg seru selama nonton piala dunia mental juara semua</t>
  </si>
  <si>
    <t>['final', 'plg', 'seru', 'selama', 'nonton', 'piala', 'dunia', 'mental', 'juara', 'semua']</t>
  </si>
  <si>
    <t>Ga sanggup lagi buat nonton wkwkwk gapapa juara 2 kalian luar biasaaa perancis untuk final piala dunia tahun iniüôèüôè</t>
  </si>
  <si>
    <t>sanggup lagi buat nonton wkwkwk gapapa juara kalian luar biasaaa perancis untuk final piala dunia tahun ini</t>
  </si>
  <si>
    <t>['sanggup', 'buat', 'nonton', 'wkwkwk', 'gapapa', 'juara', 'kalian', 'luar', 'biasaaa', 'perancis', 'final', 'piala', 'dunia', 'tahun']</t>
  </si>
  <si>
    <t>Final piala dunia paling gilaaaaa. Mbapeeeee</t>
  </si>
  <si>
    <t>final piala dunia paling gilaaaaa mbapeeeee</t>
  </si>
  <si>
    <t>['final', 'piala', 'dunia', 'paling', 'gilaaaaa', 'mbapeeeee']</t>
  </si>
  <si>
    <t>Piala dunia ny sekarang final apa gmane? Orang-orang pada nonton di depan gang rumahku rame bangetüôè</t>
  </si>
  <si>
    <t>piala dunia sekarang final apa gmane orang orang pada nonton depan gang rumahku rame banget</t>
  </si>
  <si>
    <t>['piala', 'dunia', 'sekarang', 'final', 'apa', 'gmane', 'orang', 'orang', 'nonton', 'depan', 'gang', 'rumahku', 'ramai', 'banget']</t>
  </si>
  <si>
    <t>Gol lagi! Mbappe lagi! GAME ON! 82' Argentina vs Prancis 2-2 Final Piala Dunia #FIFAWorldCup #Qatar2022</t>
  </si>
  <si>
    <t>gol lagi mbappe lagi game argentina prancis final piala dunia</t>
  </si>
  <si>
    <t>['gol', 'mbappe', 'game', 'argentina', 'prancis', 'final', 'piala', 'dunia']</t>
  </si>
  <si>
    <t>Nah ini baru final piala dunia</t>
  </si>
  <si>
    <t>nah ini baru final piala dunia</t>
  </si>
  <si>
    <t>['nah', 'baru', 'final', 'piala', 'dunia']</t>
  </si>
  <si>
    <t>GOOOOLLL GGOOL LAGI LAGI KYLIAN MBAPPE  Argentina 2:2 Perancis  Link Live Streaming Argentina vs Prancis Malam Ini 22.00 WIB Final Piala Dunia 2022   https://t.co/7L1xULcLZO</t>
  </si>
  <si>
    <t>goooolll ggool lagi lagi kylian mbappe argentina perancis link live streaming argentina prancis malam ini wib final piala dunia</t>
  </si>
  <si>
    <t>Cukkk lawak banget piala dunia ini sampe final loh wkwkw</t>
  </si>
  <si>
    <t>cukkk lawak banget piala dunia ini sampe final loh wkwkw</t>
  </si>
  <si>
    <t>['cukkk', 'lawak', 'banget', 'piala', 'dunia', 'sampai', 'final', 'wkwkw']</t>
  </si>
  <si>
    <t>Lima tahun sekali layan tengok bola "final" piala dunia üòäüëç  #fifaworldcup2022 #24Jamadilawwal #WAWC  https://t.co/kkc8ejrfBe</t>
  </si>
  <si>
    <t>lima tahun sekali layan tengok bola final piala dunia</t>
  </si>
  <si>
    <t>['lima', 'tahun', 'sekali', 'layan', 'tengok', 'bola', 'final', 'piala', 'dunia']</t>
  </si>
  <si>
    <t>Game on gini final piala dunia</t>
  </si>
  <si>
    <t>game gini final piala dunia</t>
  </si>
  <si>
    <t>['game', 'gini', 'final', 'piala', 'dunia']</t>
  </si>
  <si>
    <t>Argentina Juara Piala Dunia 2022 Dikunci Gol Angel Di Maria, Prancis Butuh Keajaiban Final World Cup    https://t.co/UFOAipp0Bz lewat @tribunpontianak</t>
  </si>
  <si>
    <t>argentina juara piala dunia dikunci gol angel maria prancis butuh keajaiban final world cup lewat</t>
  </si>
  <si>
    <t>['argentina', 'juara', 'piala', 'dunia', 'dikunci', 'gol', 'angel', 'maria', 'prancis', 'butuh', 'keajaiban', 'final', 'world', 'cup', 'lewat']</t>
  </si>
  <si>
    <t>Argentina Pimpin 2-0 Lawan Prancis, Final Piala Dunia 2022 Qatar  https://t.co/XGNyuj2ZM2</t>
  </si>
  <si>
    <t>argentina pimpin lawan prancis final piala dunia qatar</t>
  </si>
  <si>
    <t>['argentina', 'pimpin', 'lawan', 'prancis', 'final', 'piala', 'dunia', 'qatar']</t>
  </si>
  <si>
    <t>Di Final Piala Dunia 2014 dia gak main karena cidera.  Mungkin jika saat itu dia main, cerita nya akan berbeda.  #FIFAWorldCup</t>
  </si>
  <si>
    <t>final piala dunia dia gak main karena cidera mungkin jika saat itu dia main cerita nya akan berbeda</t>
  </si>
  <si>
    <t>['final', 'piala', 'dunia', 'main', 'cidera', 'mungkin', 'main', 'cerita', 'berbeda']</t>
  </si>
  <si>
    <t>10 MENIT TERAKHIR FINAL PIALA DUNIA</t>
  </si>
  <si>
    <t>menit terakhir final piala dunia</t>
  </si>
  <si>
    <t>['menit', 'terakhir', 'final', 'piala', 'dunia']</t>
  </si>
  <si>
    <t>Yang di rumah heboh nonton final Piala Dunia, bukan kaum cowo.. tapi mamake.. Sambil ga ngerti aturan bola. Yang penting seru kalo bola udah deket gawang üòÖüòÖ</t>
  </si>
  <si>
    <t>yang rumah heboh nonton final piala dunia bukan kaum cowo tapi mamake sambil ngerti aturan bola yang penting seru kalo bola udah deket gawang</t>
  </si>
  <si>
    <t>['rumah', 'heboh', 'nonton', 'final', 'piala', 'dunia', 'bukan', 'kaum', 'cowo', 'mamake', 'ngerti', 'aturan', 'bola', 'penting', 'seru', 'bola', 'udah', 'deket', 'gawang']</t>
  </si>
  <si>
    <t>Penalty for France. Otamendi pelanggaran. GOL! Kylian Mbappe 80' Argentina vs Prancis 2-1 Final Piala Dunia #WorldCup #Qatar2022</t>
  </si>
  <si>
    <t>penalty for france otamendi pelanggaran gol kylian mbappe argentina prancis final piala dunia</t>
  </si>
  <si>
    <t>['penalty', 'for', 'france', 'otamendi', 'pelanggaran', 'gol', 'kylian', 'mbappe', 'argentina', 'prancis', 'final', 'piala', 'dunia']</t>
  </si>
  <si>
    <t>Menpora dan Erick Thohir Temui Presiden FIFA Jelang Final Piala Dunia  https://t.co/690nThPTsp</t>
  </si>
  <si>
    <t>Argentina tampil digdaya pada final Piala Dunia 2022 di Lusail Iconic Stadium, Minggu (18/12/2022). Tim Tango unggul 2-0 atas juara bertahan Prancis.  https://t.co/L6MthbUJUC</t>
  </si>
  <si>
    <t>argentina tampil digdaya pada final piala dunia lusail iconic stadium minggu tim tango unggul atas juara bertahan prancis</t>
  </si>
  <si>
    <t>['argentina', 'tampil', 'digdaya', 'final', 'piala', 'dunia', 'lusail', 'iconic', 'stadium', 'minggu', 'tim', 'tango', 'unggul', 'atas', 'juara', 'bertahan', 'prancis']</t>
  </si>
  <si>
    <t>Seru juga nonton piala dunia üòÇ apa karna kebawa euforia final ya</t>
  </si>
  <si>
    <t>seru juga nonton piala dunia apa karna kebawa euforia final</t>
  </si>
  <si>
    <t>['seru', 'nonton', 'piala', 'dunia', 'apa', 'karna', 'kebawa', 'euforia', 'final']</t>
  </si>
  <si>
    <t>GOOOOLLLLL GOOOOLLLLL, KYLIAN MBAPPE  Argentina 2:1 Perancis  Link Live Streaming Argentina vs Prancis Malam Ini 22.00 WIB Final Piala Dunia 2022   https://t.co/pCFidHZIyD</t>
  </si>
  <si>
    <t>Vidio @vidio  Ya ampun Ya allah Gimana ini nonton final piala dunia</t>
  </si>
  <si>
    <t>vidio ampun allah gimana ini nonton final piala dunia</t>
  </si>
  <si>
    <t>['vidio', 'ampun', 'allah', 'gimana', 'nonton', 'final', 'piala', 'dunia']</t>
  </si>
  <si>
    <t>France ini kayaknya targetnya masuk final bukan menang piala dunia. Ga ada gregetnya</t>
  </si>
  <si>
    <t>france ini kayaknya targetnya masuk final bukan menang piala dunia ada gregetnya</t>
  </si>
  <si>
    <t>['france', 'kayaknya', 'targetnya', 'masuk', 'final', 'bukan', 'menang', 'piala', 'dunia', 'gregetnya']</t>
  </si>
  <si>
    <t>Di Maria di pertandingan Final untuk Argentina :  Olimpiade 2008 : 1 gol &amp;amp; Juara üèÜ Copa America 2015 &amp;amp; 2016 : ‚ùåÔ∏è Copa America 2021 : 1 gol &amp;amp; Juara üèÜ Finalissima 2022 : 1 gol &amp;amp; Juara Piala Dunia 2022 : 1 'assist' , 1 gol. üèÜ ?</t>
  </si>
  <si>
    <t>maria pertandingan final untuk argentina olimpiade gol juara copa america copa america gol juara finalissima gol juara piala dunia assist gol</t>
  </si>
  <si>
    <t>['maria', 'pertandingan', 'final', 'argentina', 'olimpiade', 'gol', 'juara', 'copa', 'america', 'copa', 'america', 'gol', 'juara', 'finalissima', 'gol', 'juara', 'piala', 'dunia', 'assist', 'gol']</t>
  </si>
  <si>
    <t>MENIT 78, PRANCIS PENALTI  Argentina 2:0 Perancis  Link Live Streaming Argentina vs Prancis Malam Ini 22.00 WIB Final Piala Dunia 2022   https://t.co/Chp3ohc6Xp</t>
  </si>
  <si>
    <t>menit prancis penalti argentina perancis link live streaming argentina prancis malam ini wib final piala dunia</t>
  </si>
  <si>
    <t>FINAL SETTINGAN  PIALA DUNIA TERBURUK</t>
  </si>
  <si>
    <t>final settingan piala dunia terburuk</t>
  </si>
  <si>
    <t>['final', 'settingan', 'piala', 'dunia', 'terburuk']</t>
  </si>
  <si>
    <t>@imlyodra Mau dibantu apa lyy? Btw lyly nonton final piala dunia?</t>
  </si>
  <si>
    <t>mau dibantu apa lyy btw lyly nonton final piala dunia</t>
  </si>
  <si>
    <t>['mau', 'dibantu', 'apa', 'lyy', 'by the way', 'lyly', 'nonton', 'final', 'piala', 'dunia']</t>
  </si>
  <si>
    <t>MENIT 77, PRANCIS DEMAM PANGGUNG  Argentina 2:0 Perancis  Link Live Streaming Argentina vs Prancis Malam Ini 22.00 WIB Final Piala Dunia 2022   https://t.co/D7d3e8Q5dI</t>
  </si>
  <si>
    <t>menit prancis demam panggung argentina perancis link live streaming argentina prancis malam ini wib final piala dunia</t>
  </si>
  <si>
    <t>['menit', 'prancis', 'demam', 'panggung', 'argentina', 'perancis', 'link', 'live', 'streaming', 'argentina', 'prancis', 'malam', 'wib', 'final', 'piala', 'dunia']</t>
  </si>
  <si>
    <t>Jadilah saksi dunia dengan menonton final piala dunia Di vidio melalui indihome   Yuk langanan  sekarang juga #AktivitasTanpaBatas  #IndiHome  https://t.co/XWEnKWQ0Sd</t>
  </si>
  <si>
    <t>jadilah saksi dunia dengan menonton final piala dunia vidio melalui indihome yuk langanan sekarang juga</t>
  </si>
  <si>
    <t>['jadilah', 'saksi', 'dunia', 'menonton', 'final', 'piala', 'dunia', 'vidio', 'melalui', 'indihome', 'yuk', 'langanan', 'sekarang']</t>
  </si>
  <si>
    <t>FINAL PIALA DUNIA terburuk sepanjang masa üòÖ</t>
  </si>
  <si>
    <t>final piala dunia terburuk sepanjang masa</t>
  </si>
  <si>
    <t>['final', 'piala', 'dunia', 'terburuk', 'sepanjang', 'masa']</t>
  </si>
  <si>
    <t>2018: Pemain France nomor 10 yang bermain diklub Paris Saint-Germain mencetak gol di final. 2018: France juara Piala Dunia.   2022: Pemain Argentina nomor 10 yang bermain diklub Paris Saint-Germain mencetak gol di final 2022: Argentina juara Piala Dunia?  https://t.co/RW7SCuBJdN</t>
  </si>
  <si>
    <t>pemain france nomor yang bermain diklub paris saint germain mencetak gol final france juara piala dunia pemain argentina nomor yang bermain diklub paris saint germain mencetak gol final argentina juara piala dunia</t>
  </si>
  <si>
    <t>['pemain', 'france', 'nomor', 'bermain', 'diklub', 'paris', 'saint', 'germain', 'mencetak', 'gol', 'final', 'france', 'juara', 'piala', 'dunia', 'pemain', 'argentina', 'nomor', 'bermain', 'diklub', 'paris', 'saint', 'germain', 'mencetak', 'gol', 'final', 'argentina', 'juara', 'piala', 'dunia']</t>
  </si>
  <si>
    <t>&lt;FreqDist with 15 samples and 30 outcomes&gt;</t>
  </si>
  <si>
    <t>Inilah Profil Adrien Rabiot, Dikartu Kuning setelah Langgar De Paul di Laga Final Piala Dunia 2022  https://t.co/NG7rud8HHY   Prancis l Argentina l</t>
  </si>
  <si>
    <t>inilah profil adrien rabiot dikartu kuning setelah langgar paul laga final piala dunia prancis argentina</t>
  </si>
  <si>
    <t>['inilah', 'profil', 'adrien', 'rabiot', 'dikartu', 'kuning', 'langgar', 'paul', 'laga', 'final', 'piala', 'dunia', 'prancis', 'argentina']</t>
  </si>
  <si>
    <t>Nonton Final Piala Dunia sama papa #ARGFRA #ArgentinaVsFrance #FIFAWorldCup  https://t.co/hg2D1iO81F</t>
  </si>
  <si>
    <t>nonton final piala dunia sama papa</t>
  </si>
  <si>
    <t>['nonton', 'final', 'piala', 'dunia', 'sama', 'papa']</t>
  </si>
  <si>
    <t>App vidio gombal. Mahal 2 langganan streaming piala dunia, pas final error</t>
  </si>
  <si>
    <t>app vidio gombal mahal langganan streaming piala dunia pas final error</t>
  </si>
  <si>
    <t>['app', 'vidio', 'gombal', 'mahal', 'langganan', 'streaming', 'piala', 'dunia', 'pas', 'final', 'error']</t>
  </si>
  <si>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</si>
  <si>
    <t>plt bupati pemalang hidayat ikut nonton bareng final piala dunia tahun bersama masyarakat kab pemalang yang bertempat gcc pemalang terlihat hidayat sangat menikmati permainan dari kedua tim kira hidayat mendukung argentina perancis sob</t>
  </si>
  <si>
    <t>['plt', 'bupati', 'pemalang', 'hidayat', 'ikut', 'nonton', 'bareng', 'final', 'piala', 'dunia', 'tahun', 'bersama', 'masyarakat', 'kab', 'pemalang', 'bertempat', 'gcc', 'pemalang', 'terlihat', 'hidayat', 'sangat', 'menikmati', 'permainan', 'kedua', 'tim', 'kira', 'hidayat', 'mendukung', 'argentina', 'perancis', 'sob']</t>
  </si>
  <si>
    <t>@haqi11official Di final ini gue dkung perancis, tapi pengen liat Messi angkat üèÜ piala dunia, gimana dong</t>
  </si>
  <si>
    <t>final ini gue dkung perancis tapi pengen liat messi angkat piala dunia gimana dong</t>
  </si>
  <si>
    <t>['final', 'gue', 'dkung', 'perancis', 'pengen', 'lihat', 'messi', 'angkat', 'piala', 'dunia', 'gimana', 'dong']</t>
  </si>
  <si>
    <t>Final piala dunia rasa latihan</t>
  </si>
  <si>
    <t>final piala dunia rasa latihan</t>
  </si>
  <si>
    <t>['final', 'piala', 'dunia', 'rasa', 'latihan']</t>
  </si>
  <si>
    <t>Piala dunia atur-atur. Sampai final pun Argentina dapat penalti nggak jelas. FIFA asu.</t>
  </si>
  <si>
    <t>piala dunia atur atur sampai final pun argentina dapat penalti nggak jelas fifa asu</t>
  </si>
  <si>
    <t>['piala', 'dunia', 'atur', 'atur', 'final', 'argentina', 'penalti', 'jelas', 'fifa', 'asu']</t>
  </si>
  <si>
    <t>Final piala dunia paling ngebosenin yg pernah gw tonton</t>
  </si>
  <si>
    <t>final piala dunia paling ngebosenin pernah tonton</t>
  </si>
  <si>
    <t>['final', 'piala', 'dunia', 'paling', 'ngebosenin', 'pernah', 'tonton']</t>
  </si>
  <si>
    <t>Bhabin Kel. Pamulang Barat *Aiptu Asep Ruhyana*,mewakili bapak Kapolsek Pamulang melaksanakan giat NOBAR final sepak bola piala dunia bersama warga di Lapangan komplek Pamulang Permai Blok AX Rw.12 Kel.Pamulang Barat.(18/12)  https://t.co/pwxgBB3s87</t>
  </si>
  <si>
    <t>bhabin kel pamulang barat aiptu asep ruhyana mewakili bapak kapolsek pamulang melaksanakan giat nobar final sepak bola piala dunia bersama warga lapangan komplek pamulang permai blok kel pamulang barat</t>
  </si>
  <si>
    <t>['bhabin', 'kel', 'pamulang', 'barat', 'aiptu', 'asep', 'ruhyana', 'mewakili', 'bapak', 'kapolsek', 'pamulang', 'melaksanakan', 'giat', 'nonton bareng', 'final', 'sepak', 'bola', 'piala', 'dunia', 'bersama', 'warga', 'lapangan', 'komplek', 'pamulang', 'permai', 'blok', 'kel', 'pamulang', 'barat']</t>
  </si>
  <si>
    <t>Setuju tidak üá¶üá∑ menang dan jadi juara di laga final piala dunia tahun ini?</t>
  </si>
  <si>
    <t>setuju tidak menang dan jadi juara laga final piala dunia tahun ini</t>
  </si>
  <si>
    <t>['setuju', 'menang', 'jadi', 'juara', 'laga', 'final', 'piala', 'dunia', 'tahun']</t>
  </si>
  <si>
    <t>Final piala dunia kapan woi? ini dari tadi gue cuma liat Argentina latihan tapi disiarin di tv.</t>
  </si>
  <si>
    <t>final piala dunia kapan woi ini dari tadi gue cuma liat argentina latihan tapi disiarin</t>
  </si>
  <si>
    <t>['final', 'piala', 'dunia', 'kapan', 'tadi', 'gue', 'cuma', 'lihat', 'argentina', 'latihan', 'disiarin']</t>
  </si>
  <si>
    <t>Babak pertama, Argentina unggul 2-0 atas Prancis di final Piala Dunia 2022 lewat gol indah Angel Di Maria - Lombok Insider  https://t.co/oKt98AlKr9</t>
  </si>
  <si>
    <t>babak pertama argentina unggul atas prancis final piala dunia lewat gol indah angel maria lombok insider</t>
  </si>
  <si>
    <t>['babak', 'pertama', 'argentina', 'unggul', 'atas', 'prancis', 'final', 'piala', 'dunia', 'lewat', 'gol', 'indah', 'angel', 'maria', 'lombok', 'insider']</t>
  </si>
  <si>
    <t>@vidio baru nyala di menit ke 65 trus begini lagi. Lawak banget nih aplikasi. Nonton final piala dunia terburuk sepanjang hidup gua.  https://t.co/LHnbtVy6MZ</t>
  </si>
  <si>
    <t>baru nyala menit trus begini lagi lawak banget nih aplikasi nonton final piala dunia terburuk sepanjang hidup gua</t>
  </si>
  <si>
    <t>['baru', 'nyala', 'menit', 'trus', 'begini', 'lawak', 'banget', 'aplikasi', 'nonton', 'final', 'piala', 'dunia', 'terburuk', 'sepanjang', 'hidup', 'gua']</t>
  </si>
  <si>
    <t>Nobar Final Piala Dunia 2022 RT 012 RW 05 Kel. Bangka, Kapolsek Mampang Prapatan beserta tiga pilar mengajak warga untuk bersinergi menciptakan situasi Kamtibmas yang Kondusif  @polisijaksel #polripresisi  #beagoodcop  https://t.co/X1mIsocMWE</t>
  </si>
  <si>
    <t>nobar final piala dunia kel bangka kapolsek mampang prapatan beserta tiga pilar mengajak warga untuk bersinergi menciptakan situasi kamtibmas yang kondusif</t>
  </si>
  <si>
    <t>['nonton bareng', 'final', 'piala', 'dunia', 'kel', 'bangka', 'kapolsek', 'mampang', 'prapatan', 'beserta', 'tiga', 'pilar', 'mengajak', 'warga', 'bersinergi', 'menciptakan', 'situasi', 'kamtibmas', 'kondusif']</t>
  </si>
  <si>
    <t>Timnas Argentina menghadapi Timnas Prancis pada final Piala Dunia 2022 yang digelar di Lusail Stadium, Minggu 18 Desember 2022. Untuk sementara, Argentina memimpin 2-0 di babak pertama.  https://t.co/sDmUcctpZF __ #vivacoid #finalpialadunia #argentina #prancis  https://t.co/8DsKIFaUk9</t>
  </si>
  <si>
    <t>timnas argentina menghadapi timnas prancis pada final piala dunia yang digelar lusail stadium minggu desember untuk sementara argentina memimpin babak pertama</t>
  </si>
  <si>
    <t>['timnas', 'argentina', 'menghadapi', 'timnas', 'prancis', 'final', 'piala', 'dunia', 'digelar', 'lusail', 'stadium', 'minggu', 'desember', 'argentina', 'memimpin', 'babak', 'pertama']</t>
  </si>
  <si>
    <t>Final Piala Dunia Qatar Argentina vs Perancis adalah...  Classmeet SMA IPS vs IPA ü§£</t>
  </si>
  <si>
    <t>final piala dunia qatar argentina perancis adalah classmeet sma ips ipa</t>
  </si>
  <si>
    <t>['final', 'piala', 'dunia', 'qatar', 'argentina', 'perancis', 'classmeet', 'sma', 'ips', 'ipa']</t>
  </si>
  <si>
    <t>Yg lain nonton final piala dunia, gw nonton barbie fairytophia aja</t>
  </si>
  <si>
    <t>lain nonton final piala dunia nonton barbie fairytophia aja</t>
  </si>
  <si>
    <t>['nonton', 'final', 'piala', 'dunia', 'nonton', 'barbie', 'fairytophia']</t>
  </si>
  <si>
    <t>Prediksi Skor Argentina vs Prancis di Final Piala Dunia 2022: Panggung Lionel Messi atau Kylian Mbappe yang Berjaya? | Sepakbola Dunia -  https://t.co/rqdJxW8wme  https://t.co/Nngu9GnOSw</t>
  </si>
  <si>
    <t>prediksi skor argentina prancis final piala dunia panggung lionel messi atau kylian mbappe yang berjaya sepakbola dunia</t>
  </si>
  <si>
    <t>['prediksi', 'skor', 'argentina', 'prancis', 'final', 'piala', 'dunia', 'panggung', 'lionel', 'messi', 'kylian', 'mbappe', 'berjaya', 'sepakbola', 'dunia']</t>
  </si>
  <si>
    <t>Ini penampilan terbaik Argentina sejak final Piala Dunia 1986</t>
  </si>
  <si>
    <t>ini penampilan terbaik argentina sejak final piala dunia</t>
  </si>
  <si>
    <t>['penampilan', 'terbaik', 'argentina', 'sejak', 'final', 'piala', 'dunia']</t>
  </si>
  <si>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</si>
  <si>
    <t>plt kapolres pelabuhan tanjung priok kompol yunita natallia rungkat mengikuti vicon malam apresiasi kapolda cup dan nonton bareng nobar final piala dunia terminal penumpang pelni dengan para penumpang kapal dan para pekerja pelabuhan tanjung priok</t>
  </si>
  <si>
    <t>['plt', 'kapolres', 'pelabuhan', 'tanjung', 'priok', 'kompol', 'yunita', 'natallia', 'rungkat', 'mengikuti', 'vicon', 'malam', 'apresiasi', 'kapolda', 'cup', 'nonton', 'bareng', 'nonton bareng', 'final', 'piala', 'dunia', 'terminal', 'penumpang', 'pelni', 'penumpang', 'kapal', 'pekerja', 'pelabuhan', 'tanjung', 'priok']</t>
  </si>
  <si>
    <t>YANG NONTON FINAL PIALA DUNIA DI @vidio HARAP SABAR, BESOK PAGI SUDAH BISA LAGI KOK..TAI LAH</t>
  </si>
  <si>
    <t>yang nonton final piala dunia harap sabar besok pagi sudah bisa lagi kok tai lah</t>
  </si>
  <si>
    <t>['nonton', 'final', 'piala', 'dunia', 'harap', 'sabar', 'besok', 'pagi', 'kok', 'tai', 'lah']</t>
  </si>
  <si>
    <t>Babak Pertama Final Piala Dunia 2022 Berhasil Di Pimpin Argentina dengan Skor Sementara 2-0  https://t.co/utLe3uNdDf</t>
  </si>
  <si>
    <t>babak pertama final piala dunia berhasil pimpin argentina dengan skor sementara</t>
  </si>
  <si>
    <t>['babak', 'pertama', 'final', 'piala', 'dunia', 'berhasil', 'pimpin', 'argentina', 'skor']</t>
  </si>
  <si>
    <t>ini final piala dunia tapi lempeng aee</t>
  </si>
  <si>
    <t>['final', 'piala', 'dunia', 'lempeng', 'aee']</t>
  </si>
  <si>
    <t>MENIT 72, GRIEZMANN KELUAR CAMAVINGA MASUK  Argentina 2:0 Perancis  Link Live Streaming Argentina vs Prancis Malam Ini 22.00 WIB Final Piala Dunia 2022   https://t.co/LJ9I01H4vv</t>
  </si>
  <si>
    <t>menit griezmann keluar camavinga masuk argentina perancis link live streaming argentina prancis malam ini wib final piala dunia</t>
  </si>
  <si>
    <t>['menit', 'griezmann', 'keluar', 'camavinga', 'masuk', 'argentina', 'perancis', 'link', 'live', 'streaming', 'argentina', 'prancis', 'malam', 'wib', 'final', 'piala', 'dunia']</t>
  </si>
  <si>
    <t>Vidio gombal, mahal 2 langganan streaming piala dunia, pas final error</t>
  </si>
  <si>
    <t>vidio gombal mahal langganan streaming piala dunia pas final error</t>
  </si>
  <si>
    <t>['vidio', 'gombal', 'mahal', 'langganan', 'streaming', 'piala', 'dunia', 'pas', 'final', 'error']</t>
  </si>
  <si>
    <t>Antusiasme Final Piala Dunia, Puan Maharani dan Emil Dardak Jagokan Argentina!  https://t.co/eHqdv6AToF</t>
  </si>
  <si>
    <t>antusiasme final piala dunia puan maharani dan emil dardak jagokan argentina</t>
  </si>
  <si>
    <t>['antusiasme', 'final', 'piala', 'dunia', 'puan', 'maharani', 'emil', 'dardak', 'jagokan', 'argentina']</t>
  </si>
  <si>
    <t>Niat nyiarke final piala dunia ora to? @vidio</t>
  </si>
  <si>
    <t>niat nyiarke final piala dunia ora</t>
  </si>
  <si>
    <t>['niat', 'nyiarke', 'final', 'piala', 'dunia', 'ora']</t>
  </si>
  <si>
    <t>Nggak punya tim favorit, dengerin (bukan nonton ya) final piala dunia ini aja bikin kena mental, gimana yang punya tim jagoan, gimana yang masang taruhan, duh gustiii.. untung 4 tahun sekali.</t>
  </si>
  <si>
    <t>nggak punya tim favorit dengerin bukan nonton final piala dunia ini aja bikin kena mental gimana yang punya tim jagoan gimana yang masang taruhan duh gustiii untung tahun sekali</t>
  </si>
  <si>
    <t>['punya', 'tim', 'favorit', 'dengerin', 'bukan', 'nonton', 'final', 'piala', 'dunia', 'kena', 'mental', 'gimana', 'punya', 'tim', 'jagoan', 'gimana', 'masang', 'taruhan', 'duh', 'gustiii', 'untung', 'tahun', 'sekali']</t>
  </si>
  <si>
    <t>MENIT 70, TENDANGAN MBAPPE MASIH MELENCENG  Argentina 2:0 Perancis  Link Live Streaming Argentina vs Prancis Malam Ini 22.00 WIB Final Piala Dunia 2022   https://t.co/7L1xULcLZO</t>
  </si>
  <si>
    <t>menit tendangan mbappe masih melenceng argentina perancis link live streaming argentina prancis malam ini wib final piala dunia</t>
  </si>
  <si>
    <t>['menit', 'tendangan', 'mbappe', 'melenceng', 'argentina', 'perancis', 'link', 'live', 'streaming', 'argentina', 'prancis', 'malam', 'wib', 'final', 'piala', 'dunia']</t>
  </si>
  <si>
    <t>Update Skor Final Piala Dunia 2022, Argentina unggul atas Prancis  https://t.co/zkWnyoSq0g</t>
  </si>
  <si>
    <t>Prediksi Skor Argentina vs Prancis di Final Piala Dunia 2022: Panggung Lionel Messi atau Kylian Mbappe yang Berjaya?  https://t.co/qX4JWAa8Ae via @okezonenews</t>
  </si>
  <si>
    <t>prediksi skor argentina prancis final piala dunia panggung lionel messi atau kylian mbappe yang berjaya via</t>
  </si>
  <si>
    <t>['prediksi', 'skor', 'argentina', 'prancis', 'final', 'piala', 'dunia', 'panggung', 'lionel', 'messi', 'kylian', 'mbappe', 'berjaya', 'via']</t>
  </si>
  <si>
    <t>Kalo half-fit Ronaldo 1998 aja ga bisa ngapa-ngapain di final Piala Dunia, what the hell Deschamps hope from Rabiot?</t>
  </si>
  <si>
    <t>kalo half fit ronaldo aja bisa ngapa ngapain final piala dunia what the hell deschamps hope from rabiot</t>
  </si>
  <si>
    <t>['half', 'fit', 'ronaldo', 'ngapa', 'ngapain', 'final', 'piala', 'dunia', 'what', 'the', 'hell', 'deschamps', 'hope', 'from', 'rabiot']</t>
  </si>
  <si>
    <t>Lah piala dunia udah final aja..</t>
  </si>
  <si>
    <t>lah piala dunia udah final aja</t>
  </si>
  <si>
    <t>['lah', 'piala', 'dunia', 'udah', 'final']</t>
  </si>
  <si>
    <t>Final Piala Dunia 2022 Nobar Bareng Pangdam III/Slw  https://t.co/HuoINX9sNF</t>
  </si>
  <si>
    <t>final piala dunia nobar bareng pangdam iii slw</t>
  </si>
  <si>
    <t>['final', 'piala', 'dunia', 'nonton bareng', 'bareng', 'pangdam', 'iii', 'slw']</t>
  </si>
  <si>
    <t>Yang lain sibuk final piala dunia, gue sibuk sama pikiran gue yg dahlah</t>
  </si>
  <si>
    <t>yang lain sibuk final piala dunia gue sibuk sama pikiran gue dahlah</t>
  </si>
  <si>
    <t>['sibuk', 'final', 'piala', 'dunia', 'gue', 'sibuk', 'sama', 'pikiran', 'gue', 'dahlah']</t>
  </si>
  <si>
    <t>Partai Perindo Gelar Nobar Final Piala Dunia, Warga: Banyak Manfaatnya, Bisa¬†Bersilaturahmi  https://t.co/68vAiEc22x</t>
  </si>
  <si>
    <t>Pemerintah Perancis harusnya meminta kepada komnas perlindungan anak untuk melindungi mental dek mbape setelah final piala dunia Qatar.</t>
  </si>
  <si>
    <t>pemerintah perancis harusnya meminta kepada komnas perlindungan anak untuk melindungi mental dek mbape setelah final piala dunia qatar</t>
  </si>
  <si>
    <t>['pemerintah', 'perancis', 'harusnya', 'meminta', 'komnas', 'perlindungan', 'anak', 'melindungi', 'mental', 'dek', 'mbape', 'final', 'piala', 'dunia', 'qatar']</t>
  </si>
  <si>
    <t>1979 dulu Argentina ni kena belasah je dengan Malaysia. Sekarang dah masuk final Piala Dunia.</t>
  </si>
  <si>
    <t>dulu argentina kena belasah dengan malaysia sekarang dah masuk final piala dunia</t>
  </si>
  <si>
    <t>['dulu', 'argentina', 'kena', 'belasah', 'malaysia', 'sekarang', 'dah', 'masuk', 'final', 'piala', 'dunia']</t>
  </si>
  <si>
    <t>Nonton final piala dunia sambil mantangin Ig bapak negara @.ActorHaein dia update gak ya?</t>
  </si>
  <si>
    <t>nonton final piala dunia sambil mantangin bapak negara actorhaein dia update gak</t>
  </si>
  <si>
    <t>['nonton', 'final', 'piala', 'dunia', 'mantangin', 'bapak', 'negara', 'actorhaein', 'update']</t>
  </si>
  <si>
    <t>Live Streaming Final Piala Dunia 2022 Argentina vs Prancis Sedang Berlangsung: Cek Skor Hasil Akhir  #PialaDunia2022  https://t.co/TvicXn1scA</t>
  </si>
  <si>
    <t>live streaming final piala dunia argentina prancis sedang berlangsung cek skor hasil akhir</t>
  </si>
  <si>
    <t>['live', 'streaming', 'final', 'piala', 'dunia', 'argentina', 'prancis', 'sedang', 'berlangsung', 'cek', 'skor', 'hasil', 'akhir']</t>
  </si>
  <si>
    <t>BABAK 2 Live Streaming Final Piala Dunia 2022 Argentina vs Prancis Sedang Berlangsung: Cek Skor Hasil Akhir  #PialaDunia2022  https://t.co/TvicXn1scA</t>
  </si>
  <si>
    <t>babak live streaming final piala dunia argentina prancis sedang berlangsung cek skor hasil akhir</t>
  </si>
  <si>
    <t>['babak', 'live', 'streaming', 'final', 'piala', 'dunia', 'argentina', 'prancis', 'sedang', 'berlangsung', 'cek', 'skor', 'hasil', 'akhir']</t>
  </si>
  <si>
    <t>Final Piala Dunia 2022 Argentina Unggul Sementara 2 0 Atas Prancis  https://t.co/zo6lIfVo3y</t>
  </si>
  <si>
    <t>final piala dunia argentina unggul sementara atas prancis</t>
  </si>
  <si>
    <t>['final', 'piala', 'dunia', 'argentina', 'unggul', 'atas', 'prancis']</t>
  </si>
  <si>
    <t>BABAK 2 Live Streaming Final Piala Dunia 2022 Argentina vs Prancis Sedang Berlangsung: Cek Skor Hasil Akhir   https://t.co/TvicXn1scA</t>
  </si>
  <si>
    <t>Pegawai Vidio:  "Bos, server kita cuma sanggup melayani 150 juta pelanggan. Saat ini ada 250 juta pelanggan yg mau nonton final Piala Dunia!!"  Bos Vidio: "Gampang. Log out mereka secara otomatis tiap 2 menit üí©. Gantian nontonnya, biar adil"</t>
  </si>
  <si>
    <t>pegawai vidio bos server kita cuma sanggup melayani juta pelanggan saat ini ada juta pelanggan mau nonton final piala dunia bos vidio gampang log out mereka secara otomatis tiap menit gantian nontonnya biar adil</t>
  </si>
  <si>
    <t>['pegawai', 'vidio', 'bos', 'server', 'cuma', 'sanggup', 'melayani', 'juta', 'pelanggan', 'juta', 'pelanggan', 'mau', 'nonton', 'final', 'piala', 'dunia', 'bos', 'vidio', 'gampang', 'log', 'out', 'otomatis', 'tiap', 'menit', 'gantian', 'nontonnya', 'adil']</t>
  </si>
  <si>
    <t>@idextratime Seharusnya pihak vidio tau dong gimana antusias nya orang2 yg nyaksiin piala dunia yg cuma 4 tahunan ini, tp tetep ada aja server error mulu dari awal turnamen sampe final ini</t>
  </si>
  <si>
    <t>seharusnya pihak vidio tau dong gimana antusias nya orang nyaksiin piala dunia cuma tahunan ini tetep ada aja server error mulu dari awal turnamen sampe final ini</t>
  </si>
  <si>
    <t>['pihak', 'vidio', 'dong', 'gimana', 'antusias', 'orang', 'nyaksiin', 'piala', 'dunia', 'cuma', 'tahunan', 'tetep', 'server', 'error', 'mulu', 'awal', 'turnamen', 'sampai', 'final']</t>
  </si>
  <si>
    <t>MENIT 67, DI MARIA KELUAR SERANGAN ARGENTINA KENDOR  Argentina 2:0 Perancis  Link Live Streaming Argentina vs Prancis Malam Ini 22.00 WIB Final Piala Dunia 2022   https://t.co/ksXxe9SKCJ</t>
  </si>
  <si>
    <t>menit maria keluar serangan argentina kendor argentina perancis link live streaming argentina prancis malam ini wib final piala dunia</t>
  </si>
  <si>
    <t>['menit', 'maria', 'keluar', 'serangan', 'argentina', 'kendor', 'argentina', 'perancis', 'link', 'live', 'streaming', 'argentina', 'prancis', 'malam', 'wib', 'final', 'piala', 'dunia']</t>
  </si>
  <si>
    <t>#Terpopuler Argentina dan Prancis akan bertemu di final Piala Dunia 2022. Selain kepiawaian menggojek bola, ada beberapa pemain yang curi perhatian karena ketampanannya.  https://t.co/6l6z462eaz</t>
  </si>
  <si>
    <t>argentina dan prancis akan bertemu final piala dunia selain kepiawaian menggojek bola ada beberapa pemain yang curi perhatian karena ketampanannya</t>
  </si>
  <si>
    <t>['argentina', 'prancis', 'bertemu', 'final', 'piala', 'dunia', 'kepiawaian', 'menggojek', 'bola', 'beberapa', 'pemain', 'curi', 'perhatian', 'ketampanannya']</t>
  </si>
  <si>
    <t>@NajwaShihab mba nana, apakah final Piala Dunia 2022 ini ada pengaturan skor? üåö  Prancis kok mainnya wadadaww -_-</t>
  </si>
  <si>
    <t>mba nana apakah final piala dunia ini ada pengaturan skor prancis kok mainnya wadadaww</t>
  </si>
  <si>
    <t>['mba', 'nana', 'final', 'piala', 'dunia', 'pengaturan', 'skor', 'prancis', 'kok', 'mainnya', 'wadadaww']</t>
  </si>
  <si>
    <t>Argentina untuk sementara unggul 2-0 atas Prancis di babak pertama final Piala Dunia 2022 di Stadion Lusail, Minggu (18/12/2022) malam WIB.  #pialadunia2022 #final #Argentina #prancis   https://t.co/BG208ohP4N</t>
  </si>
  <si>
    <t>argentina untuk sementara unggul atas prancis babak pertama final piala dunia stadion lusail minggu malam wib</t>
  </si>
  <si>
    <t>['argentina', 'unggul', 'atas', 'prancis', 'babak', 'pertama', 'final', 'piala', 'dunia', 'stadion', 'lusail', 'minggu', 'malam', 'wib']</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</si>
  <si>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</si>
  <si>
    <t>Uing pengen final piala dunia sampe adu penalty sampe kiper nendang penalty</t>
  </si>
  <si>
    <t>uing pengen final piala dunia sampe adu penalty sampe kiper nendang penalty</t>
  </si>
  <si>
    <t>['uing', 'pengen', 'final', 'piala', 'dunia', 'sampai', 'adu', 'penalty', 'sampai', 'kiper', 'nendang', 'penalty']</t>
  </si>
  <si>
    <t>Dari awal piala dunia 2022, udah dukung Perancis.. lah pas masuk final kok mboh2an mainmu cis cis ü§£ü§£ü§£</t>
  </si>
  <si>
    <t>dari awal piala dunia udah dukung perancis lah pas masuk final kok mboh mainmu cis cis</t>
  </si>
  <si>
    <t>['awal', 'piala', 'dunia', 'udah', 'dukung', 'perancis', 'lah', 'pas', 'masuk', 'final', 'kok', 'mboh', 'mainmu', 'cis', 'cis']</t>
  </si>
  <si>
    <t>Beruntungannya final piala dunia hari minggu wwkwkwkwk</t>
  </si>
  <si>
    <t>beruntungannya final piala dunia hari minggu wwkwkwkwk</t>
  </si>
  <si>
    <t>['beruntungannya', 'final', 'piala', 'dunia', 'hari', 'minggu', 'wwkwkwkwk']</t>
  </si>
  <si>
    <t>@vidio @rychntn Kelaaass miiinn nunggu 4 tahun sekali buat nonton final piala dunia malah gini ‚≠ê‚≠ê‚≠ê‚≠ê‚≠ê</t>
  </si>
  <si>
    <t>kelaaass miiinn nunggu tahun sekali buat nonton final piala dunia malah gini</t>
  </si>
  <si>
    <t>['kelaaass', 'miiinn', 'nunggu', 'tahun', 'sekali', 'buat', 'nonton', 'final', 'piala', 'dunia', 'malah', 'gini']</t>
  </si>
  <si>
    <t>konon kabarnya setelah prancis kalah di final piala dunia, griezman beralih profesi menjadi pencari teripang</t>
  </si>
  <si>
    <t>konon kabarnya setelah prancis kalah final piala dunia griezman beralih profesi menjadi pencari teripang</t>
  </si>
  <si>
    <t>['konon', 'kabarnya', 'prancis', 'kalah', 'final', 'piala', 'dunia', 'griezman', 'beralih', 'profesi', 'menjadi', 'pencari', 'teripang']</t>
  </si>
  <si>
    <t>TIPS TEBAK PEMENANG FINAL PIALA DUNIA QATAR 2022, . 1. Liat tebakan @Dennysiregar7  . 2. Pilih lawannya,  . 3. Semoga beruntung .  https://t.co/6ynJr07UW0</t>
  </si>
  <si>
    <t>tips tebak pemenang final piala dunia qatar liat tebakan pilih lawannya semoga beruntung</t>
  </si>
  <si>
    <t>['tips', 'tebak', 'pemenang', 'final', 'piala', 'dunia', 'qatar', 'lihat', 'tebakan', 'pilih', 'lawannya', 'semoga', 'beruntung']</t>
  </si>
  <si>
    <t>@podcastretropus Argentina vs Prancis di final Piala Dunia 2022.  Tatapan mata di tangan bintang Argentina Lionel Messi, mengingatkanku akan Eye of Providence di Deklarasi HAM Prancis~  https://t.co/OOIpFXGilh</t>
  </si>
  <si>
    <t>argentina prancis final piala dunia tatapan mata tangan bintang argentina lionel messi mengingatkanku akan eye providence deklarasi ham prancis</t>
  </si>
  <si>
    <t>['argentina', 'prancis', 'final', 'piala', 'dunia', 'tatapan', 'mata', 'tangan', 'bintang', 'argentina', 'lionel', 'messi', 'mengingatkanku', 'eye', 'providence', 'deklarasi', 'ham', 'prancis']</t>
  </si>
  <si>
    <t>@vidio berulah disaat mau nonton final piala dunia langsung gue hapus apk nya ü§£</t>
  </si>
  <si>
    <t>berulah disaat mau nonton final piala dunia langsung gue hapus apk nya</t>
  </si>
  <si>
    <t>['berulah', 'disaat', 'mau', 'nonton', 'final', 'piala', 'dunia', 'langsung', 'gue', 'hapus', 'apk']</t>
  </si>
  <si>
    <t>final piala dunia masih melihara bek liverpool üòÇ. jangan ngarep dah ah!</t>
  </si>
  <si>
    <t>final piala dunia masih melihara bek liverpool jangan ngarep dah</t>
  </si>
  <si>
    <t>['final', 'piala', 'dunia', 'melihara', 'bek', 'liverpool', 'jangan', 'ngarep', 'dah']</t>
  </si>
  <si>
    <t>gue mau nonton final piala dunia males bgt turun ke bawah. eh udah 2-0 aja</t>
  </si>
  <si>
    <t>gue mau nonton final piala dunia males bgt turun bawah udah aja</t>
  </si>
  <si>
    <t>['gue', 'mau', 'nonton', 'final', 'piala', 'dunia', 'males', 'banget', 'turun', 'bawah', 'udah']</t>
  </si>
  <si>
    <t>Link Nonton Piala Dunia Gratis   Argentina vs Prancis  Final FIFA World Cup 2022   https://t.co/EG7SAWEv1S</t>
  </si>
  <si>
    <t>link nonton piala dunia gratis argentina prancis final fifa world cup</t>
  </si>
  <si>
    <t>['link', 'nonton', 'piala', 'dunia', 'gratis', 'argentina', 'prancis', 'final', 'fifa', 'world', 'cup']</t>
  </si>
  <si>
    <t>Gol kedua nan Indah dari kaki Angel Di Maria melengkapi kekmngan Argentina menjadi 2-0 melawan prancis di Final piala dunia 2022 Mbappe I Benzema I Penalty I Giroud I Konate I Maradona I Jang Uk I Dembele I Pogba I Mbappe #messi #ArgentinaVsFrance #GOATìÉµ  https://t.co/bgH1ghZaM2</t>
  </si>
  <si>
    <t>gol kedua nan indah dari kaki angel maria melengkapi kekmngan argentina menjadi melawan prancis final piala dunia mbappe benzema penalty giroud konate maradona jang dembele pogba mbappe</t>
  </si>
  <si>
    <t>['gol', 'kedua', 'indah', 'kaki', 'angel', 'maria', 'melengkapi', 'kekmngan', 'argentina', 'menjadi', 'melawan', 'prancis', 'final', 'piala', 'dunia', 'mbappe', 'benzema', 'penalty', 'giroud', 'konate', 'maradona', 'jang', 'dembele', 'pogba', 'mbappe']</t>
  </si>
  <si>
    <t>Laga Final Piala Dunia 2022, Kalah atau Menang Dapat Ratusan Miliar  https://t.co/GGB5jbmUyc #FinalPialaDunia #PialaDunia #PialaDunia2022 #PialaDuniaTahun2022</t>
  </si>
  <si>
    <t>laga final piala dunia kalah atau menang dapat ratusan miliar</t>
  </si>
  <si>
    <t>['laga', 'final', 'piala', 'dunia', 'kalah', 'menang', 'ratusan', 'miliar']</t>
  </si>
  <si>
    <t>Final Piala Dunia 2022: Babak Pertama Argentina vs Prancis Berakhir 2-0, Lionel Messi Sukses Cetak Gol   https://t.co/tKsyLJ7q47</t>
  </si>
  <si>
    <t>final piala dunia babak pertama argentina prancis berakhir lionel messi sukses cetak gol</t>
  </si>
  <si>
    <t>['final', 'piala', 'dunia', 'babak', 'pertama', 'argentina', 'prancis', 'berakhir', 'lionel', 'messi', 'sukses', 'cetak', 'gol']</t>
  </si>
  <si>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</si>
  <si>
    <t>final piala dunia live streaming fifa qatar argentina perancis fifa world cup qatar link vidio argentina france match streams online for free argentina francia final del mundial</t>
  </si>
  <si>
    <t>['final', 'piala', 'dunia', 'live', 'streaming', 'fifa', 'qatar', 'argentina', 'perancis', 'fifa', 'world', 'cup', 'qatar', 'link', 'vidio', 'argentina', 'france', 'match', 'streams', 'online', 'for', 'free', 'argentina', 'francia', 'final', 'del', 'mundial']</t>
  </si>
  <si>
    <t>DI MARIA DIGANTI  Argentina 2:0 Perancis  Link Live Streaming Argentina vs Prancis Malam Ini 22.00 WIB Final Piala Dunia 2022   https://t.co/Chp3ohc6Xp</t>
  </si>
  <si>
    <t>maria diganti argentina perancis link live streaming argentina prancis malam ini wib final piala dunia</t>
  </si>
  <si>
    <t>['maria', 'diganti', 'argentina', 'perancis', 'link', 'live', 'streaming', 'argentina', 'prancis', 'malam', 'wib', 'final', 'piala', 'dunia']</t>
  </si>
  <si>
    <t>Skuat Argentima di Final Piala Dunia 2022 ini ngotot semua, ga loyo genjur-genjur di 2014 üò≠</t>
  </si>
  <si>
    <t>skuat argentima final piala dunia ini ngotot semua loyo genjur genjur</t>
  </si>
  <si>
    <t>['skuat', 'argentima', 'final', 'piala', 'dunia', 'ngotot', 'semua', 'loyo', 'genjur', 'genjur']</t>
  </si>
  <si>
    <t>Sekarang piala dunia 2022 cuma nonton pas bagian final wkwk agak nyesel ga ngikutin dari awal karena banyak yang bilang ‚Äúpiala dunia terbaik‚Äù. Barusan nonton dan baru tau perpanjangan waktunya bisa selama itu anjirrr haha</t>
  </si>
  <si>
    <t>sekarang piala dunia cuma nonton pas bagian final wkwk agak nyesel ngikutin dari awal karena banyak yang bilang piala dunia terbaik barusan nonton dan baru tau perpanjangan waktunya bisa selama itu anjirrr haha</t>
  </si>
  <si>
    <t>['sekarang', 'piala', 'dunia', 'cuma', 'nonton', 'pas', 'bagian', 'final', 'nyesel', 'ngikutin', 'awal', 'banyak', 'piala', 'dunia', 'terbaik', 'barusan', 'nonton', 'baru', 'perpanjangan', 'waktunya', 'selama', 'anjirrr', 'haha']</t>
  </si>
  <si>
    <t>MENIT 64, DI MARIA DITARIK KELUAR  Argentina 2:0 Perancis  Link Live Streaming Argentina vs Prancis Malam Ini 22.00 WIB Final Piala Dunia 2022   https://t.co/pCFidHZIyD</t>
  </si>
  <si>
    <t>menit maria ditarik keluar argentina perancis link live streaming argentina prancis malam ini wib final piala dunia</t>
  </si>
  <si>
    <t>['menit', 'maria', 'ditarik', 'keluar', 'argentina', 'perancis', 'link', 'live', 'streaming', 'argentina', 'prancis', 'malam', 'wib', 'final', 'piala', 'dunia']</t>
  </si>
  <si>
    <t>Jd inget dl di piala dunia th 2018.. Perancis ngalahin arganetina 4:3 diper8 final.. Apakah dendam bs terbalaskan ü§î</t>
  </si>
  <si>
    <t>inget piala dunia perancis ngalahin arganetina diper final apakah dendam terbalaskan</t>
  </si>
  <si>
    <t>['inget', 'piala', 'dunia', 'perancis', 'ngalahin', 'arganetina', 'diper', 'final', 'dendam', 'terbalaskan']</t>
  </si>
  <si>
    <t xml:space="preserve"> https://t.co/7YRFafEs7C ini gimana final piala dunia lagi enak-enaknya nonton malah error</t>
  </si>
  <si>
    <t>ini gimana final piala dunia lagi enak enaknya nonton malah error</t>
  </si>
  <si>
    <t>['gimana', 'final', 'piala', 'dunia', 'enak', 'enaknya', 'nonton', 'malah', 'error']</t>
  </si>
  <si>
    <t>Ekspresi suporter Prancis nonton final Piala Dunia sejauh ini  https://t.co/9bL8Uc2a9d</t>
  </si>
  <si>
    <t>ekspresi suporter prancis nonton final piala dunia sejauh ini</t>
  </si>
  <si>
    <t>['ekspresi', 'suporter', 'prancis', 'nonton', 'final', 'piala', 'dunia', 'sejauh']</t>
  </si>
  <si>
    <t>Udah bayar mahal mahal vidio,malah ga bisa buat nonton final piala dunia,ini  https://t.co/cRKXjH7Oiz ketularan penyakitnya Mola tv kayaknya yg ga bisa mengendalikan traffic yg padat.</t>
  </si>
  <si>
    <t>udah bayar mahal mahal vidio malah bisa buat nonton final piala dunia ini ketularan penyakitnya mola kayaknya bisa mengendalikan traffic padat</t>
  </si>
  <si>
    <t>['udah', 'bayar', 'mahal', 'mahal', 'vidio', 'malah', 'buat', 'nonton', 'final', 'piala', 'dunia', 'ketularan', 'penyakitnya', 'mola', 'kayaknya', 'mengendalikan', 'traffic', 'padat']</t>
  </si>
  <si>
    <t>Hasil Final Piala Dunia 2022: Masuk Menit Ke-60, Argentina Masih Unggul 2-0 Atas Prancis #LengkapCepatBeritanya #Bola #SepakBola #SepakbolaDunia #BolaDunia .  https://t.co/05THL6eJgp</t>
  </si>
  <si>
    <t>hasil final piala dunia masuk menit argentina masih unggul atas prancis</t>
  </si>
  <si>
    <t>['hasil', 'final', 'piala', 'dunia', 'masuk', 'menit', 'argentina', 'unggul', 'atas', 'prancis']</t>
  </si>
  <si>
    <t>Teruk Perancis main serupa Brazil masa final Piala Dunia 1998. Macam kena bomoh.</t>
  </si>
  <si>
    <t>teruk perancis main serupa brazil masa final piala dunia macam kena bomoh</t>
  </si>
  <si>
    <t>['teruk', 'perancis', 'main', 'serupa', 'brazil', 'masa', 'final', 'piala', 'dunia', 'macam', 'kena', 'bomoh']</t>
  </si>
  <si>
    <t>@vidio busuk banget putus pas tengah2 final. Nyesel, brand bapuk. #pialadunia</t>
  </si>
  <si>
    <t>busuk banget putus pas tengah final nyesel brand bapuk</t>
  </si>
  <si>
    <t>['busuk', 'banget', 'putus', 'pas', 'tengah', 'final', 'nyesel', 'brand', 'bapuk']</t>
  </si>
  <si>
    <t>Nobar piala dunia  Argentina di final go go go  https://t.co/yqX0BnsL8U</t>
  </si>
  <si>
    <t>nobar piala dunia argentina final</t>
  </si>
  <si>
    <t>['nonton bareng', 'piala', 'dunia', 'argentina', 'final']</t>
  </si>
  <si>
    <t>@vidio refund dong paket piala dunia gw. final ko down. amatir !!</t>
  </si>
  <si>
    <t>refund dong paket piala dunia final down amatir</t>
  </si>
  <si>
    <t>['refund', 'dong', 'paket', 'piala', 'dunia', 'final', 'down', 'amatir']</t>
  </si>
  <si>
    <t xml:space="preserve"> https://t.co/Ls9rd0CKhl percuma berlangganan. Final piala dunia gabisa dibuka.  https://t.co/f27ottFSkk</t>
  </si>
  <si>
    <t>percuma berlangganan final piala dunia gabisa dibuka</t>
  </si>
  <si>
    <t>['percuma', 'berlangganan', 'final', 'piala', 'dunia', 'gabisa', 'dibuka']</t>
  </si>
  <si>
    <t>Link Live Streaming Final Piala Dunia 2022 : Argentina Vs Prancis di Vidio, 18 Desember 2022 - Dunia  https://t.co/XxmsPyhscy  https://t.co/L62khzD8wb</t>
  </si>
  <si>
    <t>link live streaming final piala dunia argentina prancis vidio desember dunia</t>
  </si>
  <si>
    <t>['link', 'live', 'streaming', 'final', 'piala', 'dunia', 'argentina', 'prancis', 'vidio', 'desember', 'dunia']</t>
  </si>
  <si>
    <t>Cuaca dingin di Prancis dan cuaca panas di Argentina tak menghalangi semangat para fans untuk menonton partai final Piala Dunia 2022</t>
  </si>
  <si>
    <t>cuaca dingin prancis dan cuaca panas argentina tak menghalangi semangat para fans untuk menonton partai final piala dunia</t>
  </si>
  <si>
    <t>['cuaca', 'dingin', 'prancis', 'cuaca', 'panas', 'argentina', 'tak', 'menghalangi', 'semangat', 'fans', 'menonton', 'partai', 'final', 'piala', 'dunia']</t>
  </si>
  <si>
    <t>Nobar Final Piala Dunia Qatar 2022 Argentina vs Perancis #redstonecaffe #batumerah  https://t.co/TWmKOYBjTn</t>
  </si>
  <si>
    <t>nobar final piala dunia qatar argentina perancis</t>
  </si>
  <si>
    <t>['nonton bareng', 'final', 'piala', 'dunia', 'qatar', 'argentina', 'perancis']</t>
  </si>
  <si>
    <t>Final Piala Dunia TERSEDIH itu Tahun 2014, liat Bapak-Bapak, Ibu-Ibu, Anak-Anak Brazilian menangis di stadion..</t>
  </si>
  <si>
    <t>final piala dunia tersedih itu tahun liat bapak bapak ibu ibu anak anak brazilian menangis stadion</t>
  </si>
  <si>
    <t>['final', 'piala', 'dunia', 'tersedih', 'tahun', 'lihat', 'bapak', 'bapak', 'ibu', 'ibu', 'anak', 'anak', 'brazilian', 'menangis', 'stadion']</t>
  </si>
  <si>
    <t>Final malah servernya bapuk! Kasih kompensasi juga ga bisa ngeganti apa yg bisa diliat langsung di final piala dunia ini! BIG L!! @vidio</t>
  </si>
  <si>
    <t>final malah servernya bapuk kasih kompensasi juga bisa ngeganti apa bisa diliat langsung final piala dunia ini big</t>
  </si>
  <si>
    <t>['final', 'malah', 'servernya', 'bapuk', 'kasih', 'kompensasi', 'ngeganti', 'apa', 'diliat', 'langsung', 'final', 'piala', 'dunia', 'big']</t>
  </si>
  <si>
    <t>@idextratime Mungkin ya, mungkin, bisa jadi karma final Piala Dunia 98. Ronaldo Brazil kejang sehari sebelum final, terus Brazil maennya aneh banget gak kaya sebelummya. Prancis menang 3-0</t>
  </si>
  <si>
    <t>mungkin mungkin bisa jadi karma final piala dunia ronaldo brazil kejang sehari sebelum final terus brazil maennya aneh banget gak kaya sebelummya prancis menang</t>
  </si>
  <si>
    <t>['mungkin', 'mungkin', 'jadi', 'karma', 'final', 'piala', 'dunia', 'ronaldo', 'brazil', 'kejang', 'sehari', 'final', 'terus', 'brazil', 'maennya', 'aneh', 'banget', 'kaya', 'sebelummya', 'prancis', 'menang']</t>
  </si>
  <si>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</si>
  <si>
    <t>debaran kian terasa siapakah yang bakal menjadi juara kemeriahan perlawanan akhir piala dunia qatar program lepak santai final match fifa world cup anjuran dan bertempat tasik taman wawasan pusat bandar puchong</t>
  </si>
  <si>
    <t>['debaran', 'kian', 'terasa', 'siapakah', 'bakal', 'menjadi', 'juara', 'kemeriahan', 'perlawanan', 'akhir', 'piala', 'dunia', 'qatar', 'program', 'lepak', 'santai', 'final', 'match', 'fifa', 'world', 'cup', 'anjuran', 'bertempat', 'tasik', 'taman', 'wawasan', 'pusat', 'bandar', 'puchong']</t>
  </si>
  <si>
    <t>ga peduli kalo piala dunia tahun ini banyak yang bilang settingan buat Messi, yang penting juara slurrd!! Idola lu pernah masuk final ga?? hehe</t>
  </si>
  <si>
    <t>peduli kalo piala dunia tahun ini banyak yang bilang settingan buat messi yang penting juara slurrd idola pernah masuk final hehe</t>
  </si>
  <si>
    <t>['peduli', 'piala', 'dunia', 'tahun', 'banyak', 'settingan', 'buat', 'messi', 'penting', 'juara', 'slurrd', 'idola', 'pernah', 'masuk', 'final']</t>
  </si>
  <si>
    <t>@idextratime Ingat anak kecil Prancis yg ditinggalin bapaknya di kereta? Sekarang sudah dewasa dan berhasil mencetak gol buat Argentina waktu lawan Prancis di final piala dunia  https://t.co/9kfYotk0ZI</t>
  </si>
  <si>
    <t>ingat anak kecil prancis ditinggalin bapaknya kereta sekarang sudah dewasa dan berhasil mencetak gol buat argentina waktu lawan prancis final piala dunia</t>
  </si>
  <si>
    <t>['ingat', 'anak', 'kecil', 'prancis', 'ditinggalin', 'bapaknya', 'kereta', 'sekarang', 'dewasa', 'berhasil', 'mencetak', 'gol', 'buat', 'argentina', 'waktu', 'lawan', 'prancis', 'final', 'piala', 'dunia']</t>
  </si>
  <si>
    <t>SERU BETUL NI FINAL PIALA DUNIA 4 TAUN SEKALI @vidio  https://t.co/X10TB3O1Pi</t>
  </si>
  <si>
    <t>seru betul final piala dunia taun sekali</t>
  </si>
  <si>
    <t>['seru', 'betul', 'final', 'piala', 'dunia', 'taun', 'sekali']</t>
  </si>
  <si>
    <t>Terharu liat messi :" ngikutin dari pildun 2010 lanjut suka barca sampe liat messi pindah ke psg dan sekarang ke final piala dunia 2022 üòÖ</t>
  </si>
  <si>
    <t>terharu liat messi ngikutin dari pildun lanjut suka barca sampe liat messi pindah psg dan sekarang final piala dunia</t>
  </si>
  <si>
    <t>['terharu', 'lihat', 'messi', 'ngikutin', 'piala dunia', 'lanjut', 'suka', 'barca', 'sampai', 'lihat', 'messi', 'pindah', 'psg', 'sekarang', 'final', 'piala', 'dunia']</t>
  </si>
  <si>
    <t>Belum ada tim yg bisa menang di final Piala Dunia, setelah tertinggal 2 gol di babak pertama...  #ARGFRA  #FIFAWorldCup</t>
  </si>
  <si>
    <t>belum ada tim bisa menang final piala dunia setelah tertinggal gol babak pertama</t>
  </si>
  <si>
    <t>['tim', 'menang', 'final', 'piala', 'dunia', 'tertinggal', 'gol', 'babak', 'pertama']</t>
  </si>
  <si>
    <t>@vidio Woy min kembalikan duit kami,dah beli paket Piala Dunia tapi gk bisa nonton Final. Mikir woy. Uang kalian haram.  https://t.co/bue5Crx7ys</t>
  </si>
  <si>
    <t>woy min kembalikan duit kami dah beli paket piala dunia tapi bisa nonton final mikir woy uang kalian haram</t>
  </si>
  <si>
    <t>['woy', 'min', 'kembalikan', 'duit', 'dah', 'beli', 'paket', 'piala', 'dunia', 'nonton', 'final', 'mikir', 'woy', 'uang', 'kalian', 'haram']</t>
  </si>
  <si>
    <t>Sedang Berlangsung Link Live Streaming Argentina vs Prancis Final Piala Dunia 2022 Qatar, Yuk Nonton Legal   https://t.co/rbz0V9sOAv #ArgentinaVsFrance #FIFAWorldCup #Qatar2022 #MessiìÉµ #Mbappe #vidio #QatarWorldCup #PialaDunia2022live #PialaDunia2022</t>
  </si>
  <si>
    <t>sedang berlangsung link live streaming argentina prancis final piala dunia qatar yuk nonton legal</t>
  </si>
  <si>
    <t>['sedang', 'berlangsung', 'link', 'live', 'streaming', 'argentina', 'prancis', 'final', 'piala', 'dunia', 'qatar', 'yuk', 'nonton', 'legal']</t>
  </si>
  <si>
    <t>Striker Perancis, Kylian Mbappe, minim aksi saat bermain pada babak pertama kontra Argentina di final Piala Dunia 2022.   https://t.co/wHtAHY4BNW</t>
  </si>
  <si>
    <t>striker perancis kylian mbappe minim aksi saat bermain pada babak pertama kontra argentina final piala dunia</t>
  </si>
  <si>
    <t>['striker', 'perancis', 'kylian', 'mbappe', 'minim', 'aksi', 'bermain', 'babak', 'pertama', 'kontra', 'argentina', 'final', 'piala', 'dunia']</t>
  </si>
  <si>
    <t>Foto-foto hasil bidikan Pewarta Foto Harian Kompas @yuniadhiagung selama babak pertama Final #FIFAWorldCup Argentina VS Perancis.  Simak #ReportaseLangsung Final Piala Dunia 2022 Argentina VS Perancis melalui ‚û°Ô∏è  https://t.co/tfluAn7OqT  #PestaBolaQatar #AdadiKompas  https://t.co/zFqZ4kiREB</t>
  </si>
  <si>
    <t>foto foto hasil bidikan pewarta foto harian kompas selama babak pertama final argentina perancis simak final piala dunia argentina perancis melalui</t>
  </si>
  <si>
    <t>['foto', 'foto', 'hasil', 'bidikan', 'pewarta', 'foto', 'harian', 'kompas', 'selama', 'babak', 'pertama', 'final', 'argentina', 'perancis', 'simak', 'final', 'piala', 'dunia', 'argentina', 'perancis', 'melalui']</t>
  </si>
  <si>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</si>
  <si>
    <t>warga sosmed full senyum all argentina udah unggul atas prancis final piala dunia qatar messi maria the goat vidio kep</t>
  </si>
  <si>
    <t>['warga', 'sosmed', 'full', 'senyum', 'all', 'argentina', 'udah', 'unggul', 'atas', 'prancis', 'final', 'piala', 'dunia', 'qatar', 'messi', 'maria', 'the', 'goat', 'vidio', 'kep']</t>
  </si>
  <si>
    <t>@YLKI_ID tolong usut dan tuntut @vidio karena merugikan pelanggan dengan layanan buruk TERUTAMA saat final Piala Dunia. Mohon cek keluhan netizen di Twitter.</t>
  </si>
  <si>
    <t>tolong usut dan tuntut karena merugikan pelanggan dengan layanan buruk terutama saat final piala dunia mohon cek keluhan netizen twitter</t>
  </si>
  <si>
    <t>['usut', 'tuntut', 'merugikan', 'pelanggan', 'layanan', 'buruk', 'terutama', 'final', 'piala', 'dunia', 'mohon', 'cek', 'keluhan', 'netizen', 'twitter']</t>
  </si>
  <si>
    <t>Vidio pas Final Piala Dunia malah gangguan, duit gua melayang aja udah langganan üí∏ @vidio</t>
  </si>
  <si>
    <t>vidio pas final piala dunia malah gangguan duit gua melayang aja udah langganan</t>
  </si>
  <si>
    <t>['vidio', 'pas', 'final', 'piala', 'dunia', 'malah', 'gangguan', 'duit', 'gua', 'melayang', 'udah', 'langganan']</t>
  </si>
  <si>
    <t>baru kali ini nonton final piala dunia berasa settingan</t>
  </si>
  <si>
    <t>['baru', 'kali', 'nonton', 'final', 'piala', 'dunia', 'berasa', 'settingan']</t>
  </si>
  <si>
    <t>@isnann_t @azharisti Karena Jepang dan Indonesia sama sama benderanya merah putih dan sama sama gak masuk final Piala Dunia</t>
  </si>
  <si>
    <t>karena jepang dan indonesia sama sama benderanya merah putih dan sama sama gak masuk final piala dunia</t>
  </si>
  <si>
    <t>['jepang', 'indonesia', 'sama', 'sama', 'benderanya', 'merah', 'putih', 'sama', 'sama', 'masuk', 'final', 'piala', 'dunia']</t>
  </si>
  <si>
    <t>@vidio Parah nih vidio.. tidak diantisipasi error seperti ini saat final piala dunia. Sangat merugikan sekali :((  https://t.co/k9ewNdgAfG</t>
  </si>
  <si>
    <t>parah nih vidio tidak diantisipasi error seperti ini saat final piala dunia sangat merugikan sekali</t>
  </si>
  <si>
    <t>['parah', 'vidio', 'diantisipasi', 'error', 'final', 'piala', 'dunia', 'sangat', 'merugikan', 'sekali']</t>
  </si>
  <si>
    <t>Vidio kontol. Streaming berbayar kalah apik karo striming Arab ng Twitter. Asu asu. Final piala dunia kok ngene</t>
  </si>
  <si>
    <t>vidio kontol streaming berbayar kalah apik karo striming arab twitter asu asu final piala dunia kok ngene</t>
  </si>
  <si>
    <t>['vidio', 'kontol', 'streaming', 'berbayar', 'kalah', 'apik', 'karo', 'striming', 'arab', 'twitter', 'asu', 'asu', 'final', 'piala', 'dunia', 'kok', 'ngene']</t>
  </si>
  <si>
    <t>Ini lagi PLN GOBLOK BANGET main matiin listrik lagi final piala dunia gini, ngotak njir</t>
  </si>
  <si>
    <t>ini lagi pln goblok banget main matiin listrik lagi final piala dunia gini ngotak njir</t>
  </si>
  <si>
    <t>['pln', 'goblok', 'banget', 'main', 'matiin', 'listrik', 'final', 'piala', 'dunia', 'gini', 'ngotak', 'njir']</t>
  </si>
  <si>
    <t>Striker Perancis, Kylian Mbappe, minim aksi saat bermain pada babak pertama kontra Argentina di final Piala Dunia 2022.   https://t.co/wHtAHYlEPW</t>
  </si>
  <si>
    <t>FINAL Piala Dunia 2022 Argentina vs Prancis, Theo Hernandez Tak Gentar dengar Nama Messi    https://t.co/gtMzT5kSHo via @tribunmedan</t>
  </si>
  <si>
    <t>final piala dunia argentina prancis theo hernandez tak gentar dengar nama messi via</t>
  </si>
  <si>
    <t>['final', 'piala', 'dunia', 'argentina', 'prancis', 'theo', 'hernandez', 'tak', 'gentar', 'dengar', 'nama', 'messi', 'via']</t>
  </si>
  <si>
    <t>@idextratime Pencetak gol untuk Prancis di final Piala Dunia 1998 adalah Zinedine Zidane &amp;amp; Emmanuel Petit.  1. Z. Zidane 27', 45' 2. E. Petit 90' #PilDunBarengIOH  follow @indosat&amp;amp; @idextratime @BluesStro @riodeWafda @StroTheTrueBlue</t>
  </si>
  <si>
    <t>pencetak gol untuk prancis final piala dunia adalah zinedine zidane emmanuel petit zidane petit follow</t>
  </si>
  <si>
    <t>['pencetak', 'gol', 'prancis', 'final', 'piala', 'dunia', 'zinedine', 'zidane', 'emmanuel', 'petit', 'zidane', 'petit', 'follow']</t>
  </si>
  <si>
    <t>Nobar final piala dunia termahal selama hidup sampai saat ini ü§£  https://t.co/BtHMSO0NP5</t>
  </si>
  <si>
    <t>nobar final piala dunia termahal selama hidup sampai saat ini</t>
  </si>
  <si>
    <t>['nonton bareng', 'final', 'piala', 'dunia', 'termahal', 'selama', 'hidup']</t>
  </si>
  <si>
    <t>MENIT 60, DI MARIA BERGOYANG GOYANG  Argentina 2:0 Perancis  Link Live Streaming Argentina vs Prancis Malam Ini 22.00 WIB Final Piala Dunia 2022   https://t.co/D7d3e8Q5dI</t>
  </si>
  <si>
    <t>menit maria bergoyang goyang argentina perancis link live streaming argentina prancis malam ini wib final piala dunia</t>
  </si>
  <si>
    <t>['menit', 'maria', 'bergoyang', 'goyang', 'argentina', 'perancis', 'link', 'live', 'streaming', 'argentina', 'prancis', 'malam', 'wib', 'final', 'piala', 'dunia']</t>
  </si>
  <si>
    <t>menonton final piala dunia seperti tidak bekerja keesokan harinya</t>
  </si>
  <si>
    <t>['menonton', 'final', 'piala', 'dunia', 'bekerja', 'keesokan', 'harinya']</t>
  </si>
  <si>
    <t>Langganan piala dunia @vidio cuman sampai semi final kah?  Pas final gk bisa ditonton.. Wkwkwk</t>
  </si>
  <si>
    <t>langganan piala dunia cuman sampai semi final kah pas final bisa ditonton wkwkwk</t>
  </si>
  <si>
    <t>['langganan', 'piala', 'dunia', 'cuman', 'semi', 'final', 'pas', 'final', 'ditonton', 'wkwkwk']</t>
  </si>
  <si>
    <t>@N_ShaniJKT48 Nonton Final Piala dunia ci. Menegangkan.. Hehe üòäüòä Semangat Terus ya Oshi...</t>
  </si>
  <si>
    <t>shanijkt nonton final piala dunia menegangkan hehe semangat terus oshi</t>
  </si>
  <si>
    <t>['shanijkt', 'nonton', 'final', 'piala', 'dunia', 'menegangkan', 'semangat', 'terus', 'oshi']</t>
  </si>
  <si>
    <t>Ini Final Piala Dunia kayk Final Futsal Class Meeting, yg mainnya kakak kelas lawan adek kelas, itu adek kelas gak dibolehin nyerang daripada kelar main dihajar ü§£</t>
  </si>
  <si>
    <t>ini final piala dunia kayk final futsal class meeting mainnya kakak kelas lawan adek kelas itu adek kelas gak dibolehin nyerang daripada kelar main dihajar</t>
  </si>
  <si>
    <t>['final', 'piala', 'dunia', 'kayk', 'final', 'futsal', 'class', 'meeting', 'mainnya', 'kakak', 'kelas', 'lawan', 'adek', 'kelas', 'adek', 'kelas', 'dibolehin', 'nyerang', 'kelar', 'main', 'dihajar']</t>
  </si>
  <si>
    <t>Mantap banget ini. Musim belum habis, Bayern bakal dipenuhi pemain-pemain yang tersingkir di fase grup dan kalah di final Piala Dunia alias selamat Leipzig juara Bundesliga 2022-23.  #ArgentinaVsFrance</t>
  </si>
  <si>
    <t>mantap banget ini musim belum habis bayern bakal dipenuhi pemain pemain yang tersingkir fase grup dan kalah final piala dunia alias selamat leipzig juara bundesliga</t>
  </si>
  <si>
    <t>['mantap', 'banget', 'musim', 'habis', 'bayern', 'bakal', 'dipenuhi', 'pemain', 'pemain', 'tersingkir', 'fase', 'grup', 'kalah', 'final', 'piala', 'dunia', 'alias', 'selamat', 'leipzig', 'juara', 'bundesliga']</t>
  </si>
  <si>
    <t>Link Live Streaming Argentina vs Prancis: Nonton Siaran Langsung Final Piala Dunia 2022, Menanti Aksi Brilian Lionel Messi dan Kylian Mbappe #ArgentinaVsFrance #FIFAWorldCup  https://t.co/qenvtNU7ww</t>
  </si>
  <si>
    <t>link live streaming argentina prancis nonton siaran langsung final piala dunia menanti aksi brilian lionel messi dan kylian mbappe</t>
  </si>
  <si>
    <t>['link', 'live', 'streaming', 'argentina', 'prancis', 'nonton', 'siaran', 'langsung', 'final', 'piala', 'dunia', 'menanti', 'aksi', 'brilian', 'lionel', 'messi', 'kylian', 'mbappe']</t>
  </si>
  <si>
    <t>Perancis seperti bukan Perancis dengan permainan terorganisirnya. Mirip-mirip Timnas Brasil di Final Piala Dunia 1998.  Melempem &amp;amp; planga-plongo ü§¶‚Äç‚ôÇÔ∏èü§¶‚Äç‚ôÇÔ∏èü§¶‚Äç‚ôÇÔ∏è  https://t.co/yCJwftHYNW</t>
  </si>
  <si>
    <t>perancis seperti bukan perancis dengan permainan terorganisirnya mirip mirip timnas brasil final piala dunia melempem planga plongo</t>
  </si>
  <si>
    <t>['perancis', 'bukan', 'perancis', 'permainan', 'terorganisirnya', 'mirip', 'mirip', 'timnas', 'brasil', 'final', 'piala', 'dunia', 'melempem', 'planga', 'plongo']</t>
  </si>
  <si>
    <t>Ini final Piala Dunia bro bukan laga terakhir fase grup @equipedefrance</t>
  </si>
  <si>
    <t>ini final piala dunia bro bukan laga terakhir fase grup</t>
  </si>
  <si>
    <t>['final', 'piala', 'dunia', 'bro', 'bukan', 'laga', 'terakhir', 'fase', 'grup']</t>
  </si>
  <si>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</si>
  <si>
    <t>lini tengah prancis tidak bisa berbuat banyak hingga jarak antarpemain terlalu jauh imbas lainnya prancis mudah kehilangan bola dengan begitu kylian mbappe tidak banyak berperan pada final piala dunia</t>
  </si>
  <si>
    <t>['lini', 'tengah', 'prancis', 'berbuat', 'banyak', 'hingga', 'jarak', 'antarpemain', 'terlalu', 'jauh', 'imbas', 'lainnya', 'prancis', 'mudah', 'kehilangan', 'bola', 'kylian', 'mbappe', 'banyak', 'berperan', 'final', 'piala', 'dunia']</t>
  </si>
  <si>
    <t>Jane Nonton Final pildun enak Channel SCTV komentator nya luar vibes piala dunia kena, daripada Indosiar  vibes ya liga BRI</t>
  </si>
  <si>
    <t>jane nonton final pildun enak channel sctv komentator nya luar vibes piala dunia kena daripada indosiar vibes liga bri</t>
  </si>
  <si>
    <t>['jane', 'nonton', 'final', 'piala dunia', 'enak', 'channel', 'sctv', 'komentator', 'luar', 'vibes', 'piala', 'dunia', 'kena', 'indosiar', 'vibes', 'liga', 'bri']</t>
  </si>
  <si>
    <t>@AbdRahimRazi @harakatdailyHD Tp kerajaan Negeri bg..wakil rakyat trun pdang..wakil rakyat kelantan p ner..nonton final piala dunia kan..cian geng2 kelantan..hahahha..</t>
  </si>
  <si>
    <t>kerajaan negeri wakil rakyat trun pdang wakil rakyat kelantan ner nonton final piala dunia kan cian geng kelantan hahahha</t>
  </si>
  <si>
    <t>['kerajaan', 'negeri', 'wakil', 'rakyat', 'trun', 'pdang', 'wakil', 'rakyat', 'kelantan', 'ner', 'nonton', 'final', 'piala', 'dunia', 'kan', 'cian', 'geng', 'kelantan', 'hahahha']</t>
  </si>
  <si>
    <t>@andez_c_f Cuma pas final piala dunia aja</t>
  </si>
  <si>
    <t>cuma pas final piala dunia aja</t>
  </si>
  <si>
    <t>['cuma', 'pas', 'final', 'piala', 'dunia']</t>
  </si>
  <si>
    <t>Kaos timnas Argentina dengan nomor punggung 10 milik Messi disebutkan sold out di seluruh dunia jelang final piala dunia 2022.  https://t.co/9zfyKKc0u8  https://t.co/n0nYK9kLIB</t>
  </si>
  <si>
    <t>kaos timnas argentina dengan nomor punggung milik messi disebutkan sold out seluruh dunia jelang final piala dunia</t>
  </si>
  <si>
    <t>['kaos', 'timnas', 'argentina', 'nomor', 'punggung', 'milik', 'messi', 'disebutkan', 'sold', 'out', 'seluruh', 'dunia', 'jelang', 'final', 'piala', 'dunia']</t>
  </si>
  <si>
    <t>Ada ye orang ga nonton final piala dunia</t>
  </si>
  <si>
    <t>ada orang nonton final piala dunia</t>
  </si>
  <si>
    <t>['orang', 'nonton', 'final', 'piala', 'dunia']</t>
  </si>
  <si>
    <t>Berikut hasil babak pertama partai Final Piala Dunia 2022 antara Argentina vs Prancis. Skor sementara 2-0 untuk Argentina berkat gol Lionel Messi dan Di Maria.  https://t.co/XblHOXRYrh  https://t.co/Wf9mNyq3dQ</t>
  </si>
  <si>
    <t>berikut hasil babak pertama partai final piala dunia antara argentina prancis skor sementara untuk argentina berkat gol lionel messi dan maria</t>
  </si>
  <si>
    <t>['berikut', 'hasil', 'babak', 'pertama', 'partai', 'final', 'piala', 'dunia', 'argentina', 'prancis', 'skor', 'argentina', 'berkat', 'gol', 'lionel', 'messi', 'maria']</t>
  </si>
  <si>
    <t>Piala dunia udah final aja ternyata</t>
  </si>
  <si>
    <t>piala dunia udah final aja ternyata</t>
  </si>
  <si>
    <t>['piala', 'dunia', 'udah', 'final', 'ternyata']</t>
  </si>
  <si>
    <t>Sebagai pemerhati sepakbola, tanggapan saya terhadap partai final piala dunia ini adalah, wasitnya dibayar sama FIFA! üôè</t>
  </si>
  <si>
    <t>sebagai pemerhati sepakbola tanggapan saya terhadap partai final piala dunia ini adalah wasitnya dibayar sama fifa</t>
  </si>
  <si>
    <t>['pemerhati', 'sepakbola', 'tanggapan', 'partai', 'final', 'piala', 'dunia', 'wasitnya', 'dibayar', 'sama', 'fifa']</t>
  </si>
  <si>
    <t>potret pengguna livestreaming langganan berbayar yang nonton final piala dunia  https://t.co/gaXotNedZZ</t>
  </si>
  <si>
    <t>potret pengguna livestreaming langganan berbayar yang nonton final piala dunia</t>
  </si>
  <si>
    <t>['potret', 'pengguna', 'livestreaming', 'langganan', 'berbayar', 'nonton', 'final', 'piala', 'dunia']</t>
  </si>
  <si>
    <t>Hebaaat ya... Bisa-bisanya @vidio eror di babak kedua final piala dunia yang cuma sekali dalam empat tahun.   Langsung trending di twitter loh... Gimana, dihujat se-Indonesia...  #kecewavidio</t>
  </si>
  <si>
    <t>hebaaat bisa bisanya eror babak kedua final piala dunia yang cuma sekali dalam empat tahun langsung trending twitter loh gimana dihujat indonesia</t>
  </si>
  <si>
    <t>['hebaaat', 'bisanya', 'eror', 'babak', 'kedua', 'final', 'piala', 'dunia', 'cuma', 'sekali', 'empat', 'tahun', 'langsung', 'trending', 'twitter', 'gimana', 'dihujat', 'indonesia']</t>
  </si>
  <si>
    <t>tapi kalo dipikir-pikir, kenapa deshamp masih duduk-duduk doang sedangkan tim dia diobok-obok ketinggalan 2 gol di final piala dunia ?</t>
  </si>
  <si>
    <t>tapi kalo dipikir pikir kenapa deshamp masih duduk duduk doang sedangkan tim dia diobok obok ketinggalan gol final piala dunia</t>
  </si>
  <si>
    <t>['dipikir', 'pikir', 'deshamp', 'duduk', 'duduk', 'doang', 'tim', 'diobok', 'obok', 'ketinggalan', 'gol', 'final', 'piala', 'dunia']</t>
  </si>
  <si>
    <t>Vidio kewalahan menghadapi trafik final Piala Dunia</t>
  </si>
  <si>
    <t>vidio kewalahan menghadapi trafik final piala dunia</t>
  </si>
  <si>
    <t>['vidio', 'kewalahan', 'menghadapi', 'trafik', 'final', 'piala', 'dunia']</t>
  </si>
  <si>
    <t>Piala dunia kayak 2018 aja makanya, pas puasa lebih seru. Skrng gue nonton final doang udah keburu lupa siapa aja yg main, padahal 2018 selalu ngikutin sampe hafal pemain bola sama skillnya apa aja, karna bokap gue si paling jelasin satu-satuüòÇ</t>
  </si>
  <si>
    <t>piala dunia kayak aja makanya pas puasa lebih seru skrng gue nonton final doang udah keburu lupa siapa aja main padahal selalu ngikutin sampe hafal pemain bola sama skillnya apa aja karna bokap gue paling jelasin satu satu</t>
  </si>
  <si>
    <t>['piala', 'dunia', 'seperti', 'makanya', 'pas', 'puasa', 'lebih', 'seru', 'skrng', 'gue', 'nonton', 'final', 'doang', 'udah', 'keburu', 'lupa', 'siapa', 'main', 'padahal', 'selalu', 'ngikutin', 'sampai', 'hafal', 'pemain', 'bola', 'sama', 'skillnya', 'apa', 'karna', 'bokap', 'gue', 'paling', 'jelasin', 'satu', 'satu']</t>
  </si>
  <si>
    <t>&lt;FreqDist with 33 samples and 35 outcomes&gt;</t>
  </si>
  <si>
    <t>Final Piala Dunia 2022, Argentina Unggul 2-0 sampai Paruh Pertandingan  https://t.co/uKqKn5Gwc4  https://t.co/vqC9qWgoYj</t>
  </si>
  <si>
    <t>final piala dunia argentina unggul sampai paruh pertandingan</t>
  </si>
  <si>
    <t>['final', 'piala', 'dunia', 'argentina', 'unggul', 'paruh', 'pertandingan']</t>
  </si>
  <si>
    <t>Final piala dunia kalian jagoin siapa guys??</t>
  </si>
  <si>
    <t>final piala dunia kalian jagoin siapa guys</t>
  </si>
  <si>
    <t>['final', 'piala', 'dunia', 'kalian', 'jagoin', 'siapa', 'guys']</t>
  </si>
  <si>
    <t>@vidio lo hutang minta maaf semua pelanggan cok, bisa2nya error sepanjang pertandingan final piala dunia. Ini momen sekali seumur hidup &amp;amp;$Q#$"$%"</t>
  </si>
  <si>
    <t>hutang minta maaf semua pelanggan cok bisa nya error sepanjang pertandingan final piala dunia ini momen sekali seumur hidup</t>
  </si>
  <si>
    <t>['hutang', 'minta', 'maaf', 'semua', 'pelanggan', 'cok', 'error', 'sepanjang', 'pertandingan', 'final', 'piala', 'dunia', 'momen', 'sekali', 'seumur', 'hidup']</t>
  </si>
  <si>
    <t>Rodrigo de paul membuat final piala dunia ini jadi piala dunia terburuk</t>
  </si>
  <si>
    <t>rodrigo paul membuat final piala dunia ini jadi piala dunia terburuk</t>
  </si>
  <si>
    <t>['rodrigo', 'paul', 'membuat', 'final', 'piala', 'dunia', 'jadi', 'piala', 'dunia', 'terburuk']</t>
  </si>
  <si>
    <t>Pengen nonton final piala dunia tapi tv gak nyala" üóø  https://t.co/L7kyebYAqP</t>
  </si>
  <si>
    <t>pengen nonton final piala dunia tapi gak nyala</t>
  </si>
  <si>
    <t>['pengen', 'nonton', 'final', 'piala', 'dunia', 'nyala']</t>
  </si>
  <si>
    <t>@idextratime friendly match ini.. bukan final piala dunia..</t>
  </si>
  <si>
    <t>friendly match ini bukan final piala dunia</t>
  </si>
  <si>
    <t>['friendly', 'match', 'bukan', 'final', 'piala', 'dunia']</t>
  </si>
  <si>
    <t>final piala dunia tidak menyesuaikan jadwal kuliah  https://t.co/ry0fSYGCSK</t>
  </si>
  <si>
    <t>final piala dunia tidak menyesuaikan jadwal kuliah</t>
  </si>
  <si>
    <t>['final', 'piala', 'dunia', 'menyesuaikan', 'jadwal', 'kuliah']</t>
  </si>
  <si>
    <t>Final Piala Dunia 2022: Wasit Szymon Marciniak Beri Hadiah Penalti ke Argentina Tanpa Lihat VAR, Netizen Murka #LengkapCepatBeritanya #Bola #SepakBola #SepakbolaDunia #BolaDunia .  https://t.co/11pBb8S0L5</t>
  </si>
  <si>
    <t>final piala dunia wasit szymon marciniak beri hadiah penalti argentina tanpa lihat var netizen murka</t>
  </si>
  <si>
    <t>['final', 'piala', 'dunia', 'wasit', 'szymon', 'marciniak', 'beri', 'hadiah', 'penalti', 'argentina', 'lihat', 'var', 'netizen', 'murka']</t>
  </si>
  <si>
    <t>19/12/2022 final piala dunia Argentina VS Prancis  https://t.co/vlaU9KDNHx</t>
  </si>
  <si>
    <t>final piala dunia argentina prancis</t>
  </si>
  <si>
    <t>Susah wes, begadang nonton final Piala Dunia, tangan malah checkout Shopee</t>
  </si>
  <si>
    <t>susah wes begadang nonton final piala dunia tangan malah checkout shopee</t>
  </si>
  <si>
    <t>['susah', 'wes', 'begadang', 'nonton', 'final', 'piala', 'dunia', 'tangan', 'malah', 'checkout', 'shopee']</t>
  </si>
  <si>
    <t>SEDANG BERLANGSUNG, Pertandingan sengit Final Piala Dunia 2022 Argentina vs Prancis, Skor 2-0 bikin panik!  https://t.co/Itw27OPfUx</t>
  </si>
  <si>
    <t>Final Piala Dunia, Macron dan Presiden Argentina Perang Twit  https://t.co/8RPhIDDQP0</t>
  </si>
  <si>
    <t>final piala dunia macron dan presiden argentina perang twit</t>
  </si>
  <si>
    <t>['final', 'piala', 'dunia', 'macron', 'presiden', 'argentina', 'perang', 'twit']</t>
  </si>
  <si>
    <t>Laga final Piala Dunia 2022 antara Argentina Vs Prancis berjalan seru. Lionel Messi Cs mengambil alih dominasi permainan dengan penguasaan bola 59 persen.  https://t.co/lc1uSuU98N</t>
  </si>
  <si>
    <t>laga final piala dunia antara argentina prancis berjalan seru lionel messi mengambil alih dominasi permainan dengan penguasaan bola persen</t>
  </si>
  <si>
    <t>['laga', 'final', 'piala', 'dunia', 'argentina', 'prancis', 'berjalan', 'seru', 'lionel', 'messi', 'mengambil', 'alih', 'dominasi', 'permainan', 'penguasaan', 'bola', 'persen']</t>
  </si>
  <si>
    <t>Hasil Babak II Skor 2-0 Argentina Vs Prancis Final, Argentina Juara Piala Dunia 2022?   https://t.co/sfiTP17JyL</t>
  </si>
  <si>
    <t>hasil babak skor argentina prancis final argentina juara piala dunia</t>
  </si>
  <si>
    <t>['hasil', 'babak', 'skor', 'argentina', 'prancis', 'final', 'argentina', 'juara', 'piala', 'dunia']</t>
  </si>
  <si>
    <t>final piala dunia menodai sepak bola.</t>
  </si>
  <si>
    <t>final piala dunia menodai sepak bola</t>
  </si>
  <si>
    <t>['final', 'piala', 'dunia', 'menodai', 'sepak', 'bola']</t>
  </si>
  <si>
    <t>Polres Gianyar Polsek Blahbatuh  Dengan menerjunkan piket fungsi, Polsek Blahbatuh mengamankan jalannya kegiatan Nonton Bareng Final Piala Dunia di Bali United Cafe/Minggu-18 Desember 2022  https://t.co/ISxgpXB4ie</t>
  </si>
  <si>
    <t>polres gianyar polsek blahbatuh dengan menerjunkan piket fungsi polsek blahbatuh mengamankan jalannya kegiatan nonton bareng final piala dunia bali united cafe minggu desember</t>
  </si>
  <si>
    <t>['polres', 'gianyar', 'polsek', 'blahbatuh', 'menerjunkan', 'piket', 'fungsi', 'polsek', 'blahbatuh', 'mengamankan', 'jalannya', 'kegiatan', 'nonton', 'bareng', 'final', 'piala', 'dunia', 'bali', 'united', 'cafe', 'minggu', 'desember']</t>
  </si>
  <si>
    <t>5 alasan messi bakal menangis kecewa setelah final piala dunia 2022 :  https://t.co/ME8KdbJwCr</t>
  </si>
  <si>
    <t>alasan messi bakal menangis kecewa setelah final piala dunia</t>
  </si>
  <si>
    <t>['alasan', 'messi', 'bakal', 'menangis', 'kecewa', 'final', 'piala', 'dunia']</t>
  </si>
  <si>
    <t>Final piala dunia 4 tahun sekali, project tiap bulan.</t>
  </si>
  <si>
    <t>final piala dunia tahun sekali project tiap bulan</t>
  </si>
  <si>
    <t>['final', 'piala', 'dunia', 'tahun', 'sekali', 'project', 'tiap', 'bulan']</t>
  </si>
  <si>
    <t>saya stop nonton final piala dunia argentina perancis setelah argentina dapet penalti yang absurd. üí©  ada benarnya kata @B_Fernandes8 @officialpepe , piala dunia kali ini jelas settingan, buat memuluskan argentina jadi juara.</t>
  </si>
  <si>
    <t>saya stop nonton final piala dunia argentina perancis setelah argentina dapet penalti yang absurd ada benarnya kata fernandes piala dunia kali ini jelas settingan buat memuluskan argentina jadi juara</t>
  </si>
  <si>
    <t>['stop', 'nonton', 'final', 'piala', 'dunia', 'argentina', 'perancis', 'argentina', 'dapat', 'penalti', 'absurd', 'benarnya', 'kata', 'fernandes', 'piala', 'dunia', 'kali', 'jelas', 'settingan', 'buat', 'memuluskan', 'argentina', 'jadi', 'juara']</t>
  </si>
  <si>
    <t>LIVE SKOR Babak I Final Piala Dunia 2022 Argentina 2-0: Angel Di Maria Getol Serang Prancis #FIFAWorldCup¬† #PialaDunia2022 #MessiìÉµ #Mbappe #dimaria #ArgentinaVsFrance   https://t.co/WRYN1epk3q</t>
  </si>
  <si>
    <t>live skor babak final piala dunia argentina angel maria getol serang prancis</t>
  </si>
  <si>
    <t>['live', 'skor', 'babak', 'final', 'piala', 'dunia', 'argentina', 'angel', 'maria', 'getol', 'serang', 'prancis']</t>
  </si>
  <si>
    <t>link final piala dunia 2022</t>
  </si>
  <si>
    <t>link final piala dunia</t>
  </si>
  <si>
    <t>['link', 'final', 'piala', 'dunia']</t>
  </si>
  <si>
    <t>Prancis tau gasih kalo ini tu final piala dunia ü´†</t>
  </si>
  <si>
    <t>prancis tau gasih kalo ini final piala dunia</t>
  </si>
  <si>
    <t>['prancis', 'gasih', 'final', 'piala', 'dunia']</t>
  </si>
  <si>
    <t>Admin @vidio enak banget bisa nonton final piala dunia dengan lancar dan nyaman. Sementara saya yg berlangganan dikasih tontonannya ginian terus :(  https://t.co/14RgYHgtAh</t>
  </si>
  <si>
    <t>admin enak banget bisa nonton final piala dunia dengan lancar dan nyaman sementara saya berlangganan dikasih tontonannya ginian terus</t>
  </si>
  <si>
    <t>['admin', 'enak', 'banget', 'nonton', 'final', 'piala', 'dunia', 'lancar', 'nyaman', 'berlangganan', 'dikasih', 'tontonannya', 'ginian', 'terus']</t>
  </si>
  <si>
    <t>Timnas Argentina unggul sementara dari Prancis 2-0 di final Piala Dunia 2022 Qatar - Lombok Insider  https://t.co/lGwNaUWYDT</t>
  </si>
  <si>
    <t>timnas argentina unggul sementara dari prancis final piala dunia qatar lombok insider</t>
  </si>
  <si>
    <t>['timnas', 'argentina', 'unggul', 'prancis', 'final', 'piala', 'dunia', 'qatar', 'lombok', 'insider']</t>
  </si>
  <si>
    <t>Final piala dunia 2022  *Percakapan sama Dwima*  D : Siapa lawan siapa ini? G : Argentina Lawan Prancis D : siapa pemain favorite nya? G : di Argentina ads Messi, kamu tau ga? D : Lah dia bukannya pembalap olahraganya? G : Itu mah Rossi elaaaaah, susah dah tumis kangkung.</t>
  </si>
  <si>
    <t>final piala dunia percakapan sama dwima siapa lawan siapa ini argentina lawan prancis siapa pemain favorite nya argentina ads messi kamu tau lah dia bukannya pembalap olahraganya itu mah rossi elaaaaah susah dah tumis kangkung</t>
  </si>
  <si>
    <t>['final', 'piala', 'dunia', 'percakapan', 'sama', 'dwima', 'siapa', 'lawan', 'siapa', 'argentina', 'lawan', 'prancis', 'siapa', 'pemain', 'favorite', 'argentina', 'ads', 'messi', 'kamu', 'lah', 'bukannya', 'pembalap', 'olahraganya', 'mah', 'rossi', 'elaaaaah', 'susah', 'dah', 'tumis', 'kangkung']</t>
  </si>
  <si>
    <t>MENIT 54, DE PAUL MASIH MENDAPAT PERAWATAN  Argentina 2:0 Perancis  Link Live Streaming Argentina vs Prancis Malam Ini 22.00 WIB Final Piala Dunia 2022   https://t.co/7L1xULcLZO</t>
  </si>
  <si>
    <t>menit paul masih mendapat perawatan argentina perancis link live streaming argentina prancis malam ini wib final piala dunia</t>
  </si>
  <si>
    <t>['menit', 'paul', 'mendapat', 'perawatan', 'argentina', 'perancis', 'link', 'live', 'streaming', 'argentina', 'prancis', 'malam', 'wib', 'final', 'piala', 'dunia']</t>
  </si>
  <si>
    <t>Sulit cari driver gara gara final piala dunia  #ArgentinaVsFrance  https://t.co/ReeV01J82W</t>
  </si>
  <si>
    <t>sulit cari driver gara gara final piala dunia</t>
  </si>
  <si>
    <t>['sulit', 'cari', 'driver', 'gara', 'gara', 'final', 'piala', 'dunia']</t>
  </si>
  <si>
    <t>Piala Dunia 2022: Final Argentina vs Prancis Skor, Line Up dan Jalannya Pertandingan    https://t.co/wOKZHJDfwL</t>
  </si>
  <si>
    <t>piala dunia final argentina prancis skor line dan jalannya pertandingan</t>
  </si>
  <si>
    <t>['piala', 'dunia', 'final', 'argentina', 'prancis', 'skor', 'line', 'jalannya', 'pertandingan']</t>
  </si>
  <si>
    <t>@dorxgz mending nonton final piala dunia</t>
  </si>
  <si>
    <t>mending nonton final piala dunia</t>
  </si>
  <si>
    <t>['mending', 'nonton', 'final', 'piala', 'dunia']</t>
  </si>
  <si>
    <t>@vidio lagi nonton final piala dunia, tiba2 jadi ga bisa akses gimana ini?</t>
  </si>
  <si>
    <t>lagi nonton final piala dunia tiba jadi bisa akses gimana ini</t>
  </si>
  <si>
    <t>['nonton', 'final', 'piala', 'dunia', 'tiba', 'jadi', 'akses', 'gimana']</t>
  </si>
  <si>
    <t>+ masih duduk di bench pas timnya ketinggalan 2-0 di final Piala Dunia.</t>
  </si>
  <si>
    <t>masih duduk bench pas timnya ketinggalan final piala dunia</t>
  </si>
  <si>
    <t>['duduk', 'bench', 'pas', 'timnya', 'ketinggalan', 'final', 'piala', 'dunia']</t>
  </si>
  <si>
    <t>Final Piala Dunia 2022: Argentina Ungguli Prancis 2-0 di Babak Pertama  https://t.co/ziqMg11TSz</t>
  </si>
  <si>
    <t>final piala dunia argentina ungguli prancis babak pertama</t>
  </si>
  <si>
    <t>['final', 'piala', 'dunia', 'argentina', 'ungguli', 'prancis', 'babak', 'pertama']</t>
  </si>
  <si>
    <t>Potret Keseruan Warga Morowali Nobar Final Piala Dunia 2022 Argentina vs Prancis di Warkop Janji Jiwa  https://t.co/C2Q3nMDUdr</t>
  </si>
  <si>
    <t>potret keseruan warga morowali nobar final piala dunia argentina prancis warkop janji jiwa</t>
  </si>
  <si>
    <t>['potret', 'keseruan', 'warga', 'morowali', 'nonton bareng', 'final', 'piala', 'dunia', 'argentina', 'prancis', 'warkop', 'janji', 'jiwa']</t>
  </si>
  <si>
    <t>@IndiHomeCare HALO! JARINGAN PARAH! LAGA FINAL PIALA DUNIA INI!</t>
  </si>
  <si>
    <t>halo jaringan parah laga final piala dunia ini</t>
  </si>
  <si>
    <t>['halo', 'jaringan', 'parah', 'laga', 'final', 'piala', 'dunia']</t>
  </si>
  <si>
    <t>tetep bertahan nonton reborn rich episode 14 ditengah gempuran pada nonton final piala dunia.</t>
  </si>
  <si>
    <t>tetep bertahan nonton reborn rich episode ditengah gempuran pada nonton final piala dunia</t>
  </si>
  <si>
    <t>['tetep', 'bertahan', 'nonton', 'reborn', 'rich', 'episode', 'ditengah', 'gempuran', 'nonton', 'final', 'piala', 'dunia']</t>
  </si>
  <si>
    <t>Spam live final piala dunia dulu guys, besok lanjut ng ertong lg. Bigwin come true with Argentina ü•∞</t>
  </si>
  <si>
    <t>spam live final piala dunia dulu guys besok lanjut ertong bigwin come true with argentina</t>
  </si>
  <si>
    <t>['spam', 'live', 'final', 'piala', 'dunia', 'dulu', 'guys', 'besok', 'lanjut', 'ertong', 'bigwin', 'come', 'true', 'with', 'argentina']</t>
  </si>
  <si>
    <t>MENIT 54, RABIOT KARTU KUNING  Argentina 2:0 Perancis  Link Live Streaming Argentina vs Prancis Malam Ini 22.00 WIB Final Piala Dunia 2022   https://t.co/LJ9I01H4vv</t>
  </si>
  <si>
    <t>menit rabiot kartu kuning argentina perancis link live streaming argentina prancis malam ini wib final piala dunia</t>
  </si>
  <si>
    <t>['menit', 'rabiot', 'kartu', 'kuning', 'argentina', 'perancis', 'link', 'live', 'streaming', 'argentina', 'prancis', 'malam', 'wib', 'final', 'piala', 'dunia']</t>
  </si>
  <si>
    <t>tolong dong lu capek ga sih mentang2 satu2nya lo seenak jidat dari AWAL piala dunia dimulai ya. plis bgt lo dikasih waktu banyak buat benerin di gari final karena tau akan RAME tp malah kaya gini. ga ngotak! @vidio capek gue sm lu vidio beneran.  https://t.co/Jf2Fuabj1W</t>
  </si>
  <si>
    <t>tolong dong capek sih mentang satu nya seenak jidat dari awal piala dunia dimulai plis bgt dikasih waktu banyak buat benerin gari final karena tau akan rame malah kaya gini ngotak capek gue vidio beneran</t>
  </si>
  <si>
    <t>['dong', 'lelah', 'mentang', 'satu', 'seenak', 'jidat', 'awal', 'piala', 'dunia', 'dimulai', 'plis', 'banget', 'dikasih', 'waktu', 'banyak', 'buat', 'benerin', 'gari', 'final', 'ramai', 'malah', 'kaya', 'gini', 'ngotak', 'lelah', 'gue', 'vidio', 'beneran']</t>
  </si>
  <si>
    <t>@jageundalnim Youtube Gar, channel sportmax1... Eh ini final piala dunia kan?</t>
  </si>
  <si>
    <t>youtube gar channel sportmax ini final piala dunia kan</t>
  </si>
  <si>
    <t>['youtube', 'gar', 'channel', 'sportmax', 'final', 'piala', 'dunia', 'kan']</t>
  </si>
  <si>
    <t>Lagi final piala dunia  https://t.co/p1o9nXO3Vi error wkwk</t>
  </si>
  <si>
    <t>lagi final piala dunia error wkwk</t>
  </si>
  <si>
    <t>['final', 'piala', 'dunia', 'error']</t>
  </si>
  <si>
    <t>GOAT Udah 2-0  Apakah benar ini?  Diving Argentina Vidio Indosiar Nobar Settingan Penalti Messi Di Maria Piala Dunia Peter Drury Pogba Mbappe Dembele Giroud  Yang mau nonton, ini link streaming gratis Final FIFA Word Cup 2022   https://t.co/EG7SAWEv1S</t>
  </si>
  <si>
    <t>goat udah apakah benar ini diving argentina vidio indosiar nobar settingan penalti messi maria piala dunia peter drury pogba mbappe dembele giroud yang mau nonton ini link streaming gratis final fifa word cup</t>
  </si>
  <si>
    <t>['goat', 'udah', 'benar', 'diving', 'argentina', 'vidio', 'indosiar', 'nonton bareng', 'settingan', 'penalti', 'messi', 'maria', 'piala', 'dunia', 'peter', 'drury', 'pogba', 'mbappe', 'dembele', 'giroud', 'mau', 'nonton', 'link', 'streaming', 'gratis', 'final', 'fifa', 'word', 'cup']</t>
  </si>
  <si>
    <t>Laga final Piala Dunia 2022 antara Argentina Vs Prancis berjalan seru. Lionel Messi Cs mengambil alih dominasi permainan dengan penguasaan bola 59 persen.  https://t.co/lc1uSvcimV</t>
  </si>
  <si>
    <t>Dek Messi kamu emang sll istimewa dan kamu adalah pemain pertama yang mencetak gol di babak penyisihan grup, 16 besar, perempat final, semifinal, dan final piala dunia. #MessiìÉµ  https://t.co/fRnuA7Pk2S</t>
  </si>
  <si>
    <t>dek messi kamu emang sll istimewa dan kamu adalah pemain pertama yang mencetak gol babak penyisihan grup besar perempat final semifinal dan final piala dunia</t>
  </si>
  <si>
    <t>['dek', 'messi', 'kamu', 'emang', 'sll', 'istimewa', 'kamu', 'pemain', 'pertama', 'mencetak', 'gol', 'babak', 'penyisihan', 'grup', 'besar', 'perempat', 'final', 'semifinal', 'final', 'piala', 'dunia']</t>
  </si>
  <si>
    <t>Jam 9 anak-anak tidur, ambil alat tempur setrikaan, duduk tenang sambil nonton abang Messi dan Mbape final Piala DuniaüòÇ</t>
  </si>
  <si>
    <t>jam anak anak tidur ambil alat tempur setrikaan duduk tenang sambil nonton abang messi dan mbape final piala dunia</t>
  </si>
  <si>
    <t>['jam', 'anak', 'anak', 'tidur', 'ambil', 'alat', 'tempur', 'setrikaan', 'duduk', 'tenang', 'nonton', 'abang', 'messi', 'mbape', 'final', 'piala', 'dunia']</t>
  </si>
  <si>
    <t>GOAT Udah 2-0  Apakah benar ini?  Diving Argentina Vidio Indosiar Nobar Settingan Penalti Messi Di Maria Piala Dunia Peter Drury  Yang mau nonton, ini link streaming gratis Final FIFA Word Cup 2022   https://t.co/EG7SAWEv1S</t>
  </si>
  <si>
    <t>goat udah apakah benar ini diving argentina vidio indosiar nobar settingan penalti messi maria piala dunia peter drury yang mau nonton ini link streaming gratis final fifa word cup</t>
  </si>
  <si>
    <t>['goat', 'udah', 'benar', 'diving', 'argentina', 'vidio', 'indosiar', 'nonton bareng', 'settingan', 'penalti', 'messi', 'maria', 'piala', 'dunia', 'peter', 'drury', 'mau', 'nonton', 'link', 'streaming', 'gratis', 'final', 'fifa', 'word', 'cup']</t>
  </si>
  <si>
    <t>Hasil babak pertama Final Piala Dunia: Argentina berhasil lumat Perancis dengan skor sementara 2-0.  #MessiìÉµ  #Penalti #Udah2-0 #dimaria  #GOATìÉµ  #Vidio  https://t.co/Zdp096gXOw</t>
  </si>
  <si>
    <t>hasil babak pertama final piala dunia argentina berhasil lumat perancis dengan skor sementara</t>
  </si>
  <si>
    <t>['hasil', 'babak', 'pertama', 'final', 'piala', 'dunia', 'argentina', 'berhasil', 'lumat', 'perancis', 'skor']</t>
  </si>
  <si>
    <t>Elon Musk Nonton Final Piala Dunia 2022, Puji Gol Penalti Lionel Messi untuk Argentina    https://t.co/b4XJPzzsLF via @tribunnews</t>
  </si>
  <si>
    <t>elon musk nonton final piala dunia puji gol penalti lionel messi untuk argentina via</t>
  </si>
  <si>
    <t>['elon', 'musk', 'nonton', 'final', 'piala', 'dunia', 'puji', 'gol', 'penalti', 'lionel', 'messi', 'argentina', 'via']</t>
  </si>
  <si>
    <t>Link live streaming gratis final Piala Dunia Argentina vs Perancis, 100 persen berhasil - Lombok Insider  https://t.co/A0NyTGrjme</t>
  </si>
  <si>
    <t>link live streaming gratis final piala dunia argentina perancis persen berhasil lombok insider</t>
  </si>
  <si>
    <t>['link', 'live', 'streaming', 'gratis', 'final', 'piala', 'dunia', 'argentina', 'perancis', 'persen', 'berhasil', 'lombok', 'insider']</t>
  </si>
  <si>
    <t>walaupun ga paham2 banget sama bola, ga ngikut juga dari awal piala dunia mulai, tp klo uda pertandingan final aku wajib nobar, biar bs ikut ngerasain uforia nya hehe</t>
  </si>
  <si>
    <t>walaupun paham banget sama bola ngikut juga dari awal piala dunia mulai klo uda pertandingan final aku wajib nobar biar ikut ngerasain uforia nya hehe</t>
  </si>
  <si>
    <t>['walaupun', 'paham', 'banget', 'sama', 'bola', 'ngikut', 'awal', 'piala', 'dunia', 'mulai', 'uda', 'pertandingan', 'final', 'aku', 'wajib', 'nonton bareng', 'ikut', 'ngerasain', 'uforia']</t>
  </si>
  <si>
    <t>Babak kedua final #PialaDunia2022 udah dimulai nih. Yuk fans Argentina dan Prancis, kita merapat lagi!  #PialaDunia #PestaDiQatar</t>
  </si>
  <si>
    <t>babak kedua final udah dimulai nih yuk fans argentina dan prancis kita merapat lagi</t>
  </si>
  <si>
    <t>['babak', 'kedua', 'final', 'udah', 'dimulai', 'yuk', 'fans', 'argentina', 'prancis', 'merapat']</t>
  </si>
  <si>
    <t>Hasil Babak Pertama Final Piala Dunia 2022 Argentina vs Prancis: Skor 2-0  https://t.co/ifA7bRr0uq  https://t.co/XrLpe0zx8N</t>
  </si>
  <si>
    <t>@vidio woiiii kembalikan uang kami, penipuan,sok sokan mau jadi broadcast piala dunia... Malah kami gk bisa nonton final..</t>
  </si>
  <si>
    <t>woiiii kembalikan uang kami penipuan sok sokan mau jadi broadcast piala dunia malah kami bisa nonton final</t>
  </si>
  <si>
    <t>['woiiii', 'kembalikan', 'uang', 'penipuan', 'sok', 'sokan', 'mau', 'jadi', 'broadcast', 'piala', 'dunia', 'malah', 'nonton', 'final']</t>
  </si>
  <si>
    <t>Final Piala Dunia 2022: Lionel Messi vs Kylian Mbappe untuk yang Terbaik!  https://t.co/hlCUcn7O93  https://t.co/RbSoFUrdCy</t>
  </si>
  <si>
    <t>final piala dunia lionel messi kylian mbappe untuk yang terbaik</t>
  </si>
  <si>
    <t>['final', 'piala', 'dunia', 'lionel', 'messi', 'kylian', 'mbappe', 'terbaik']</t>
  </si>
  <si>
    <t>Dari tadi g bisa masuk Vidio Final Piala Dunia @vidio</t>
  </si>
  <si>
    <t>dari tadi bisa masuk vidio final piala dunia</t>
  </si>
  <si>
    <t>['tadi', 'masuk', 'vidio', 'final', 'piala', 'dunia']</t>
  </si>
  <si>
    <t>üáµüá∏ Warga kota Abu Dis, sebelah timur Al-Quds, Palestina, nonton bareng laga final Piala Dunia. üåπ  #FreePalestine ‚ù§üáµüá∏  https://t.co/KGzmz07M8l</t>
  </si>
  <si>
    <t>warga kota abu dis sebelah timur quds palestina nonton bareng laga final piala dunia</t>
  </si>
  <si>
    <t>['warga', 'kota', 'abu', 'dis', 'sebelah', 'timur', 'quds', 'palestina', 'nonton', 'bareng', 'laga', 'final', 'piala', 'dunia']</t>
  </si>
  <si>
    <t>Dari awal sampe final skrg,nonton piala dunia cuman di final doang</t>
  </si>
  <si>
    <t>dari awal sampe final skrg nonton piala dunia cuman final doang</t>
  </si>
  <si>
    <t>['awal', 'sampai', 'final', 'skrg', 'nonton', 'piala', 'dunia', 'cuman', 'final', 'doang']</t>
  </si>
  <si>
    <t>POV: nonton final #PialaDunia2022 di Lusail Stadium, Qatar.   üé•: IDN Times/Ridwan Aji Pitoko #PialaDunia #PestaDiQatar  https://t.co/OaPZ5dnKM1</t>
  </si>
  <si>
    <t>pov nonton final lusail stadium qatar idn times ridwan aji pitoko</t>
  </si>
  <si>
    <t>['pov', 'nonton', 'final', 'lusail', 'stadium', 'qatar', 'idn', 'times', 'ridwan', 'aji', 'pitoko']</t>
  </si>
  <si>
    <t>@BernamaTV Bilalah Malaysia nak ikut Piala Dunia. Negara Croatia yg lebih kecil dari Sabah dgn populasi kurang 4 juta itu pun sudah beberapa kali ikut world cup. Siap ke final lagi.</t>
  </si>
  <si>
    <t>bilalah malaysia nak ikut piala dunia negara croatia lebih kecil dari sabah dgn populasi kurang juta itu pun sudah beberapa kali ikut world cup siap final lagi</t>
  </si>
  <si>
    <t>['bilalah', 'malaysia', 'nak', 'ikut', 'piala', 'dunia', 'negara', 'croatia', 'lebih', 'kecil', 'sabah', 'populasi', 'kurang', 'juta', 'beberapa', 'kali', 'ikut', 'world', 'cup', 'siap', 'final']</t>
  </si>
  <si>
    <t>Hai J5Friends, ada yang nonton live final Piala Dunia 2022 Qatar, Argentina vs Prancis? Di 45 menit pertama, Argentina sudah unggul 2-0 guys üôÇ  Apakah aplikasi Vidio kalian masih sulit diakses? ü§£  #J5Break  https://t.co/0hIONghhdT</t>
  </si>
  <si>
    <t>hai friends ada yang nonton live final piala dunia qatar argentina prancis menit pertama argentina sudah unggul guys apakah aplikasi vidio kalian masih sulit diakses</t>
  </si>
  <si>
    <t>['hai', 'friends', 'nonton', 'live', 'final', 'piala', 'dunia', 'qatar', 'argentina', 'prancis', 'menit', 'pertama', 'argentina', 'unggul', 'guys', 'aplikasi', 'vidio', 'kalian', 'sulit', 'diakses']</t>
  </si>
  <si>
    <t>@mankomank Tiba2 keinget final 98 waktu itu brasil yg dibuat "grogi" demi gelar piala dunia pertamanya nganu~ #mungkinKarma</t>
  </si>
  <si>
    <t>tiba keinget final waktu itu brasil dibuat grogi demi gelar piala dunia pertamanya nganu</t>
  </si>
  <si>
    <t>['tiba', 'keinget', 'final', 'waktu', 'brasil', 'dibuat', 'grogi', 'gelar', 'piala', 'dunia', 'pertamanya', 'nganu']</t>
  </si>
  <si>
    <t>Bentar, ini final? Perancis mainnya kaya ga niat, ngga kerasa final piala dunia wkwk</t>
  </si>
  <si>
    <t>bentar ini final perancis mainnya kaya niat ngga kerasa final piala dunia wkwk</t>
  </si>
  <si>
    <t>['bentar', 'final', 'perancis', 'mainnya', 'kaya', 'niat', 'ngga', 'kerasa', 'final', 'piala', 'dunia']</t>
  </si>
  <si>
    <t>Gol Lionel Messi di babak pertama Final Piala Dunia 2022 mengantarkannya pada rekor baru di ajang itu. kapten Argentina itu juga selangkah jadi top scorer.  https://t.co/Up9nZHPaQb</t>
  </si>
  <si>
    <t>gol lionel messi babak pertama final piala dunia mengantarkannya pada rekor baru ajang itu kapten argentina itu juga selangkah jadi top scorer</t>
  </si>
  <si>
    <t>['gol', 'lionel', 'messi', 'babak', 'pertama', 'final', 'piala', 'dunia', 'mengantarkannya', 'rekor', 'baru', 'ajang', 'kapten', 'argentina', 'selangkah', 'jadi', 'top', 'scorer']</t>
  </si>
  <si>
    <t>Babak Pertama #Final Piala Dunia 2022: Messi dan Di Maria Bawa #argentina Unggul 2-0 Atas #prancis. Kunjungi  https://t.co/DyXP8QldEs . #PialaDunia  https://t.co/GejUfzImBb</t>
  </si>
  <si>
    <t>babak pertama piala dunia messi dan maria bawa unggul atas kunjungi</t>
  </si>
  <si>
    <t>['babak', 'pertama', 'piala', 'dunia', 'messi', 'maria', 'bawa', 'unggul', 'atas', 'kunjungi']</t>
  </si>
  <si>
    <t>Itu pas final piala dunia kalo jeda babak pertama penontonnya pada keluar jajan bacang atau nasi aking pakaga ya?</t>
  </si>
  <si>
    <t>itu pas final piala dunia kalo jeda babak pertama penontonnya pada keluar jajan bacang atau nasi aking pakaga</t>
  </si>
  <si>
    <t>['pas', 'final', 'piala', 'dunia', 'jeda', 'babak', 'pertama', 'penontonnya', 'keluar', 'jajan', 'bacang', 'nasi', 'aking', 'pakaga']</t>
  </si>
  <si>
    <t>Begini, sejak tahun 2010 (pas masih bocil) sampe tahun 2018 (pas mo kuliah), aku selalu full match nonton pertandingan final Piala Dunia. Namun, untuk tahun 2022, setelah menit 23 aja dah matiin TV.... Aku ngomong gini bukan sebagai fans Ronaldo, tapi sebagai pecinta sepak bola..</t>
  </si>
  <si>
    <t>begini sejak tahun pas masih bocil sampe tahun pas kuliah aku selalu full match nonton pertandingan final piala dunia namun untuk tahun setelah menit aja dah matiin aku ngomong gini bukan sebagai fans ronaldo tapi sebagai pecinta sepak bola</t>
  </si>
  <si>
    <t>['begini', 'sejak', 'tahun', 'pas', 'bocil', 'sampai', 'tahun', 'pas', 'kuliah', 'aku', 'selalu', 'full', 'match', 'nonton', 'pertandingan', 'final', 'piala', 'dunia', 'tahun', 'menit', 'dah', 'matiin', 'aku', 'ngomong', 'gini', 'bukan', 'fans', 'ronaldo', 'pecinta', 'sepak', 'bola']</t>
  </si>
  <si>
    <t>Final Piala Dunia Qatar Prancis vs Argentina, seperti Pemilu Indonesia. Sebelum kick off wasit sudah tahu hasil akhirnya, seperti kelakuan KPU di Indonesia.   Jadi sudah, Argentina itu yah PDI di Pemilu kemarin...üòÇüòÇüòÇ</t>
  </si>
  <si>
    <t>final piala dunia qatar prancis argentina seperti pemilu indonesia sebelum kick off wasit sudah tahu hasil akhirnya seperti kelakuan kpu indonesia jadi sudah argentina itu yah pdi pemilu kemarin</t>
  </si>
  <si>
    <t>['final', 'piala', 'dunia', 'qatar', 'prancis', 'argentina', 'pemilu', 'indonesia', 'kick', 'off', 'wasit', 'tahu', 'hasil', 'akhirnya', 'kelakuan', 'kpu', 'indonesia', 'jadi', 'argentina', 'pdi', 'pemilu', 'kemarin']</t>
  </si>
  <si>
    <t>M3NIT 48, PELUANG DE PAUL MASIH BISA DITANGKAP  Argentina 2:0 Perancis  Link Live Streaming Argentina vs Prancis Malam Ini 22.00 WIB Final Piala Dunia 2022   https://t.co/Chp3ohc6Xp</t>
  </si>
  <si>
    <t>nit peluang paul masih bisa ditangkap argentina perancis link live streaming argentina prancis malam ini wib final piala dunia</t>
  </si>
  <si>
    <t>['nit', 'peluang', 'paul', 'ditangkap', 'argentina', 'perancis', 'link', 'live', 'streaming', 'argentina', 'prancis', 'malam', 'wib', 'final', 'piala', 'dunia']</t>
  </si>
  <si>
    <t>Driver gojek lagi pada nonton final piala dunia apa ya? üòÖ. Saya pesen Go Food gak ada yang nerima, ini cacing di perut mulai berontak mas üôà.</t>
  </si>
  <si>
    <t>driver gojek lagi pada nonton final piala dunia apa saya pesen food gak ada yang nerima ini cacing perut mulai berontak mas</t>
  </si>
  <si>
    <t>['driver', 'gojek', 'nonton', 'final', 'piala', 'dunia', 'apa', 'pesen', 'food', 'nerima', 'cacing', 'perut', 'mulai', 'berontak', 'mas']</t>
  </si>
  <si>
    <t>Final Piala Dunia 2022: Babak I, Terus Tertekan Prancis Tertinggal 2 Gol  https://t.co/ZRNQDTIzWM</t>
  </si>
  <si>
    <t>final piala dunia babak terus tertekan prancis tertinggal gol</t>
  </si>
  <si>
    <t>['final', 'piala', 'dunia', 'babak', 'terus', 'tertekan', 'prancis', 'tertinggal', 'gol']</t>
  </si>
  <si>
    <t>Hasil Final Piala Dunia 2022:¬†Argentina vs Prancis Babak Pertama, Messi Jadi Top Skor #MessiìÉµ #Mbappe #ArgentinaVsFrance  https://t.co/23uwgNKTmW</t>
  </si>
  <si>
    <t>hasil final piala dunia argentina prancis babak pertama messi jadi top skor</t>
  </si>
  <si>
    <t>['hasil', 'final', 'piala', 'dunia', 'argentina', 'prancis', 'babak', 'pertama', 'messi', 'jadi', 'top', 'skor']</t>
  </si>
  <si>
    <t>Deretan Tamu VIP di Final Piala Dunia 2022  https://t.co/buHEtCLxBw #TempoFoto</t>
  </si>
  <si>
    <t>deretan tamu vip final piala dunia</t>
  </si>
  <si>
    <t>['deretan', 'tamu', 'vip', 'final', 'piala', 'dunia']</t>
  </si>
  <si>
    <t>Gol Lionel Messi di babak pertama Final Piala Dunia 2022 mengantarkannya pada rekor baru di ajang itu. kapten Argentina itu juga selangkah jadi top scorer.  https://t.co/Up9nZI7k4j</t>
  </si>
  <si>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</si>
  <si>
    <t>bukti kehebatan messi piala dunia aja bisa setting gak usah lagi bandinkan dengan cristiano ronaldo yang gak masuk final fixs messi jauh lebih hebat dari ronaldo settingan mbappe dembele giroud diving penalty udah pogba</t>
  </si>
  <si>
    <t>['bukti', 'kehebatan', 'messi', 'piala', 'dunia', 'setting', 'usah', 'bandinkan', 'cristiano', 'ronaldo', 'masuk', 'final', 'fixs', 'messi', 'jauh', 'lebih', 'hebat', 'ronaldo', 'settingan', 'mbappe', 'dembele', 'giroud', 'diving', 'penalty', 'udah', 'pogba']</t>
  </si>
  <si>
    <t>Final piala dunia, tugas kuliah dan kue pukis tentunya  https://t.co/HaVcUt5H84</t>
  </si>
  <si>
    <t>final piala dunia tugas kuliah dan kue pukis tentunya</t>
  </si>
  <si>
    <t>['final', 'piala', 'dunia', 'tugas', 'kuliah', 'kue', 'pukis', 'tentunya']</t>
  </si>
  <si>
    <t>Kombinasi duet maut Biznet dan Vidio bikin nonton final piala dunia paling ngeselin  https://t.co/C8q0MS6IUf</t>
  </si>
  <si>
    <t>kombinasi duet maut biznet dan vidio bikin nonton final piala dunia paling ngeselin</t>
  </si>
  <si>
    <t>['kombinasi', 'duet', 'maut', 'biznet', 'vidio', 'nonton', 'final', 'piala', 'dunia', 'paling', 'ngeselin']</t>
  </si>
  <si>
    <t>Gol Lionel Messi di babak pertama Final Piala Dunia 2022 mengantarkannya pada rekor baru di ajang itu. kapten Argentina itu juga selangkah jadi top scorer.  https://t.co/YDyULnE1x8</t>
  </si>
  <si>
    <t>Gol Lionel Messi di babak pertama Final Piala Dunia 2022 mengantarkannya pada rekor baru di ajang itu. kapten Argentina itu juga selangkah jadi top scorer.  https://t.co/Gxq1Y5lPV5</t>
  </si>
  <si>
    <t>Pemuda Perindo Jakarta Gelar Nobar Final Piala Dunia, Masyarakat Antusias #LengkapCepatBeritanya #BeritaTerkini #BeritaTerkini #NewsUpdate .  https://t.co/ua1RlfdSNx</t>
  </si>
  <si>
    <t>Sekitar kemeriahan perlawanan akhir Piala Dunia Qatar 2022 di Program ‚ÄòLepak Santai Final Match Fifa World Cup 2022‚Äô anjuran #SJcitycouncil dan @KBSMalaysia bertempat di Tasik Taman Wawasan, Pusat Bandar Puchong. YBhg. Dato' Johary bin Anuar,  https://t.co/qmBvpKZIKK</t>
  </si>
  <si>
    <t>sekitar kemeriahan perlawanan akhir piala dunia qatar program lepak santai final match fifa world cup anjuran dan bertempat tasik taman wawasan pusat bandar puchong ybhg dato johary bin anuar</t>
  </si>
  <si>
    <t>['kemeriahan', 'perlawanan', 'akhir', 'piala', 'dunia', 'qatar', 'program', 'lepak', 'santai', 'final', 'match', 'fifa', 'world', 'cup', 'anjuran', 'bertempat', 'tasik', 'taman', 'wawasan', 'pusat', 'bandar', 'puchong', 'ybhg', 'dato', 'johary', 'bin', 'anuar']</t>
  </si>
  <si>
    <t>Ritual final piala dunia  https://t.co/At8rmVsudg</t>
  </si>
  <si>
    <t>ritual final piala dunia</t>
  </si>
  <si>
    <t>['ritual', 'final', 'piala', 'dunia']</t>
  </si>
  <si>
    <t>Dan tentu saja netijen sdh menggarap teori konspirasi final piala dunia. Anda asal tau aja dulu Perancis jg nuduh konspirasi pemain Korea diam2 dikasih doping saat Pildun 2002.</t>
  </si>
  <si>
    <t>dan tentu saja netijen sdh menggarap teori konspirasi final piala dunia anda asal tau aja dulu perancis nuduh konspirasi pemain korea diam dikasih doping saat pildun</t>
  </si>
  <si>
    <t>['netijen', 'menggarap', 'teori', 'konspirasi', 'final', 'piala', 'dunia', 'asal', 'dulu', 'perancis', 'nuduh', 'konspirasi', 'pemain', 'korea', 'diam', 'dikasih', 'doping', 'piala dunia']</t>
  </si>
  <si>
    <t>Final Piala Dunia 2022: Argentina vs Prancis, Babak Pertama Tim Tango Unggul 2-0  https://t.co/Exz0D9paJw #TempoVideo</t>
  </si>
  <si>
    <t>final piala dunia argentina prancis babak pertama tim tango unggul</t>
  </si>
  <si>
    <t>['final', 'piala', 'dunia', 'argentina', 'prancis', 'babak', 'pertama', 'tim', 'tango', 'unggul']</t>
  </si>
  <si>
    <t>AWAL BABAK KEDUA, PRANCIS MENCOBA MENDOMINASI  Argentina 2:0 Perancis  Link Live Streaming Argentina vs Prancis Malam Ini 22.00 WIB Final Piala Dunia 2022   https://t.co/ksXxe9SKCJ</t>
  </si>
  <si>
    <t>awal babak kedua prancis mencoba mendominasi argentina perancis link live streaming argentina prancis malam ini wib final piala dunia</t>
  </si>
  <si>
    <t>['awal', 'babak', 'kedua', 'prancis', 'mencoba', 'mendominasi', 'argentina', 'perancis', 'link', 'live', 'streaming', 'argentina', 'prancis', 'malam', 'wib', 'final', 'piala', 'dunia']</t>
  </si>
  <si>
    <t>Taufan Pawe dan Bupati Andi Utta Nobar Final Piala Dunia di Pasar Sentral Bulukumba Baca berita di üëá  https://t.co/Sk5mCxQIlh  https://t.co/qRHfTuY9VY</t>
  </si>
  <si>
    <t>taufan pawe dan bupati andi utta nobar final piala dunia pasar sentral bulukumba baca berita</t>
  </si>
  <si>
    <t>['taufan', 'pawe', 'bupati', 'andi', 'utta', 'nonton bareng', 'final', 'piala', 'dunia', 'pasar', 'sentral', 'bulukumba', 'baca', 'berita']</t>
  </si>
  <si>
    <t>Ini @BiznetHotspot sekalinya bermasalah knapa harus pas Final Piala Dunia üòëüòëüòë</t>
  </si>
  <si>
    <t>ini sekalinya bermasalah knapa harus pas final piala dunia</t>
  </si>
  <si>
    <t>['sekalinya', 'bermasalah', 'kenapa', 'pas', 'final', 'piala', 'dunia']</t>
  </si>
  <si>
    <t>"Menunggu update thief malam ini sambil bengongü§öüèª" - Jangan bengong dong ü•≤ kamu ga nonton final piala dunia kah? Aku otw update yaaa ü•∞ #tellonym   https://t.co/aRnQECtCGU</t>
  </si>
  <si>
    <t>menunggu update thief malam ini sambil bengong jangan bengong dong kamu nonton final piala dunia kah aku otw update yaaa</t>
  </si>
  <si>
    <t>['menunggu', 'update', 'thief', 'malam', 'bengong', 'jangan', 'bengong', 'dong', 'kamu', 'nonton', 'final', 'piala', 'dunia', 'aku', 'on the way', 'update', 'yaaa']</t>
  </si>
  <si>
    <t>Babak Pertama Final Piala Dunia 2022 Qatar, Argentina Unggul atas Prancis. #PialaDunia2022 #ArgentinaVsFrance #FIFAWorldCup #Qatar2022 #MessiìÉµ #Mbappe #QatarWorldCup #Final #finalpialadunia   https://t.co/QYyn3LahpC</t>
  </si>
  <si>
    <t>babak pertama final piala dunia qatar argentina unggul atas prancis</t>
  </si>
  <si>
    <t>['babak', 'pertama', 'final', 'piala', 'dunia', 'qatar', 'argentina', 'unggul', 'atas', 'prancis']</t>
  </si>
  <si>
    <t>Klo mlm ini sepi DM maklumi, selain hr libur jg lg final piala dunia ü§™ para lelaki pasti fokus lihat bola üòÜ</t>
  </si>
  <si>
    <t>klo mlm ini sepi maklumi selain libur final piala dunia para lelaki pasti fokus lihat bola</t>
  </si>
  <si>
    <t>['malam', 'sepi', 'maklumi', 'libur', 'final', 'piala', 'dunia', 'lelaki', 'fokus', 'lihat', 'bola']</t>
  </si>
  <si>
    <t>Argentina unggul 2-0 atas Prancis di babak pertama final Piala Dunia 2022. Lionel Messi membuka keunggulan lewat titik putih, disusul gol dari Angel Di Maria.  https://t.co/afXQZ4IoWL</t>
  </si>
  <si>
    <t>argentina unggul atas prancis babak pertama final piala dunia lionel messi membuka keunggulan lewat titik putih disusul gol dari angel maria</t>
  </si>
  <si>
    <t>['argentina', 'unggul', 'atas', 'prancis', 'babak', 'pertama', 'final', 'piala', 'dunia', 'lionel', 'messi', 'membuka', 'keunggulan', 'lewat', 'titik', 'putih', 'disusul', 'gol', 'angel', 'maria']</t>
  </si>
  <si>
    <t>Argentina unggul 2-0 atas Prancis di babak pertama final Piala Dunia 2022. Lionel Messi membuka keunggulan lewat titik putih, disusul gol dari Angel Di Maria.  https://t.co/sbEaBQwdQj</t>
  </si>
  <si>
    <t>Hanya pecundang yang bilang final piala dunia 2022 itu settingan. Mental tempeeeee! ü§™</t>
  </si>
  <si>
    <t>hanya pecundang yang bilang final piala dunia itu settingan mental tempeeeee</t>
  </si>
  <si>
    <t>['pecundang', 'final', 'piala', 'dunia', 'settingan', 'mental', 'tempeeeee']</t>
  </si>
  <si>
    <t>Sedang Berlangsung! Koora Live Final Piala Dunia 2022 Argentina Memimpin 2-0 Atas Prancis  https://t.co/U7BNKMi91x  #WorldcupQatar2022 #WorldCupFinal #WorldCup2022 #Qatar2022 #QatarWorldCup2022</t>
  </si>
  <si>
    <t>sedang berlangsung koora live final piala dunia argentina memimpin atas prancis</t>
  </si>
  <si>
    <t>['sedang', 'berlangsung', 'koora', 'live', 'final', 'piala', 'dunia', 'argentina', 'memimpin', 'atas', 'prancis']</t>
  </si>
  <si>
    <t>Argentina untuk semantara unggul 2-0 atas Prancis di Final Piala Dunia 2022. Lionel Messi Cs menguasai jalannya babak pertama.  https://t.co/6hB1Mtykbh</t>
  </si>
  <si>
    <t>argentina untuk semantara unggul atas prancis final piala dunia lionel messi menguasai jalannya babak pertama</t>
  </si>
  <si>
    <t>['argentina', 'semantara', 'unggul', 'atas', 'prancis', 'final', 'piala', 'dunia', 'lionel', 'messi', 'menguasai', 'jalannya', 'babak', 'pertama']</t>
  </si>
  <si>
    <t>Lawak kontol, dah beli paket piala dunia malah suruh beli lagi, gak bisa lihat final</t>
  </si>
  <si>
    <t>lawak kontol dah beli paket piala dunia malah suruh beli lagi gak bisa lihat final</t>
  </si>
  <si>
    <t>['lawak', 'kontol', 'dah', 'beli', 'paket', 'piala', 'dunia', 'malah', 'suruh', 'beli', 'lihat', 'final']</t>
  </si>
  <si>
    <t>LINK LIVE STREAMING Argentina  2 vs 0 Prancis  Final Piala Dunia 2022, Babak II Bakal Ada Perlawanan Balik  https://t.co/EspcofAsKb</t>
  </si>
  <si>
    <t>link live streaming argentina prancis final piala dunia babak bakal ada perlawanan balik</t>
  </si>
  <si>
    <t>['link', 'live', 'streaming', 'argentina', 'prancis', 'final', 'piala', 'dunia', 'babak', 'bakal', 'perlawanan', 'balik']</t>
  </si>
  <si>
    <t>Final Piala Dunia: Argentina unggul sementara 1-0 atas Prancis  https://t.co/sih8rHbr8B</t>
  </si>
  <si>
    <t>Final Piala Dunia 2022 Argentina vs Prancis #fifaworldcup2022 #argentinavsprancis  https://t.co/y68Tvd9NiS</t>
  </si>
  <si>
    <t>Yosin TV Aplikasi Nonton Final Piala Dunia 2022¬†Gratis  https://t.co/HpMs6pZC0y</t>
  </si>
  <si>
    <t>yosin aplikasi nonton final piala dunia gratis</t>
  </si>
  <si>
    <t>['yosin', 'aplikasi', 'nonton', 'final', 'piala', 'dunia', 'gratis']</t>
  </si>
  <si>
    <t>Hasil Babak 1 Final Piala Dunia 2022 Argentina vs Prancis: Messi Cetak Gol, Tim Tango Unggul 2-0  https://t.co/MkkBr8vNed</t>
  </si>
  <si>
    <t>Nunggu info final Piala Dunia.</t>
  </si>
  <si>
    <t>nunggu info final piala dunia</t>
  </si>
  <si>
    <t>['nunggu', 'info', 'final', 'piala', 'dunia']</t>
  </si>
  <si>
    <t>Padahal balik dines siang set 10 an lanjut nonton final piala dunia padahal besok masuk dines pagi</t>
  </si>
  <si>
    <t>padahal balik dines siang set lanjut nonton final piala dunia padahal besok masuk dines pagi</t>
  </si>
  <si>
    <t>['padahal', 'balik', 'dines', 'siang', 'set', 'lanjut', 'nonton', 'final', 'piala', 'dunia', 'padahal', 'besok', 'masuk', 'dines', 'pagi']</t>
  </si>
  <si>
    <t>Udah siapin jajan banyak eh gak seru banget ini final piala dunia</t>
  </si>
  <si>
    <t>udah siapin jajan banyak gak seru banget ini final piala dunia</t>
  </si>
  <si>
    <t>['udah', 'siapin', 'jajan', 'banyak', 'seru', 'banget', 'final', 'piala', 'dunia']</t>
  </si>
  <si>
    <t>@vidio Rp.65.450 melayang ke @vidio, untuk nonton final piala Dunia malah jonk, mending buat beli susu anak, paraaah</t>
  </si>
  <si>
    <t>melayang untuk nonton final piala dunia malah jonk mending buat beli susu anak paraaah</t>
  </si>
  <si>
    <t>['melayang', 'nonton', 'final', 'piala', 'dunia', 'malah', 'jonk', 'mending', 'buat', 'beli', 'susu', 'anak', 'paraaah']</t>
  </si>
  <si>
    <t>KICK OFF BABAK KEDUA  Argentina 2:0 Perancis  Link Live Streaming Argentina vs Prancis Malam Ini 22.00 WIB Final Piala Dunia 2022   https://t.co/pCFidHZIyD</t>
  </si>
  <si>
    <t>kick off babak kedua argentina perancis link live streaming argentina prancis malam ini wib final piala dunia</t>
  </si>
  <si>
    <t>['kick', 'off', 'babak', 'kedua', 'argentina', 'perancis', 'link', 'live', 'streaming', 'argentina', 'prancis', 'malam', 'wib', 'final', 'piala', 'dunia']</t>
  </si>
  <si>
    <t>Babak Pertama Final Piala Dunia 2022, Argentina Ungguli Prancis 2-0 -  https://t.co/mRRK5eGkPF  https://t.co/ybr61Z1c1K</t>
  </si>
  <si>
    <t>babak pertama final piala dunia argentina ungguli prancis</t>
  </si>
  <si>
    <t>['babak', 'pertama', 'final', 'piala', 'dunia', 'argentina', 'ungguli', 'prancis']</t>
  </si>
  <si>
    <t>Argentina untuk semantara unggul 2-0 atas Prancis di Final Piala Dunia 2022. Lionel Messi Cs menguasai jalannya babak pertama.  https://t.co/6hB1MtQtpp</t>
  </si>
  <si>
    <t>Ini nobar gue! Final Piala Dunia 2022 Qatar, Argentina vs Prancis.  #worldcup #WorldCupFinal #ArgentinaVsFrance #FIFAWorldCup #MessiìÉµ #WorldCup2022 #WorldcupQatar2022  https://t.co/hJyJdrdeZ2</t>
  </si>
  <si>
    <t>ini nobar gue final piala dunia qatar argentina prancis</t>
  </si>
  <si>
    <t>['nonton bareng', 'gue', 'final', 'piala', 'dunia', 'qatar', 'argentina', 'prancis']</t>
  </si>
  <si>
    <t>KICK OFF BABAK KEDUA  Argentina 2:0 Perancis  Link Live Streaming Argentina vs Prancis Malam Ini 22.00 WIB Final Piala Dunia 2022   https://t.co/D7d3e8Q5dI</t>
  </si>
  <si>
    <t>Streaming final piala dunia yang komentatornya pake bahasa Arab. Biar pas gol ikutan takbirrrrr!!!!</t>
  </si>
  <si>
    <t>streaming final piala dunia yang komentatornya pake bahasa arab biar pas gol ikutan takbirrrrr</t>
  </si>
  <si>
    <t>['streaming', 'final', 'piala', 'dunia', 'komentatornya', 'pake', 'bahasa', 'arab', 'pas', 'gol', 'ikutan', 'takbirrrrr']</t>
  </si>
  <si>
    <t>@rzlnurfirman bahkan untuk sekelas final piala dunia. Lebih seru pertandingan final bola kelurahan dibanding Perancis vs argentina ini</t>
  </si>
  <si>
    <t>bahkan untuk sekelas final piala dunia lebih seru pertandingan final bola kelurahan dibanding perancis argentina ini</t>
  </si>
  <si>
    <t>['bahkan', 'sekelas', 'final', 'piala', 'dunia', 'lebih', 'seru', 'pertandingan', 'final', 'bola', 'kelurahan', 'dibanding', 'perancis', 'argentina']</t>
  </si>
  <si>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</si>
  <si>
    <t>jangan lupakan bintang argentina lainnya angel maria teman seperjuangan messi sama membawa argentina juara copa america dan piala dunia bahkan maria tampil sebagai pahlawan dengan mencetak gol kemenangan didua final itu</t>
  </si>
  <si>
    <t>['jangan', 'lupakan', 'bintang', 'argentina', 'lainnya', 'angel', 'maria', 'teman', 'seperjuangan', 'messi', 'sama', 'membawa', 'argentina', 'juara', 'copa', 'america', 'piala', 'dunia', 'bahkan', 'maria', 'tampil', 'pahlawan', 'mencetak', 'gol', 'kemenangan', 'didua', 'final']</t>
  </si>
  <si>
    <t>Mengecewakan karena harusnya final Piala Dunia tak "sehambar" ini.   #FIFAWorldCup</t>
  </si>
  <si>
    <t>mengecewakan karena harusnya final piala dunia tak sehambar ini</t>
  </si>
  <si>
    <t>['mengecewakan', 'harusnya', 'final', 'piala', 'dunia', 'tak', 'sehambar']</t>
  </si>
  <si>
    <t>share dong guyz keseruan Final Piala dunia di tempat kalian üî•   #FIFAWorldCup2022Final</t>
  </si>
  <si>
    <t>share dong guyz keseruan final piala dunia tempat kalian</t>
  </si>
  <si>
    <t>['share', 'dong', 'guyz', 'keseruan', 'final', 'piala', 'dunia', 'tempat', 'kalian']</t>
  </si>
  <si>
    <t>Dua final Piala Dunia terakhir ada pemain Juventus yang cetak gol ‚ú®</t>
  </si>
  <si>
    <t>dua final piala dunia terakhir ada pemain juventus yang cetak gol</t>
  </si>
  <si>
    <t>['final', 'piala', 'dunia', 'terakhir', 'pemain', 'juventus', 'cetak', 'gol']</t>
  </si>
  <si>
    <t>Jika kamu sedang mencari link nonton Koora live final Piala Dunia 2022 Argentina vs Prancis, maka kamu bisa temukan disini.  https://t.co/U7BNKMi91x</t>
  </si>
  <si>
    <t>jika kamu sedang mencari link nonton koora live final piala dunia argentina prancis maka kamu bisa temukan disini</t>
  </si>
  <si>
    <t>['kamu', 'sedang', 'mencari', 'link', 'nonton', 'koora', 'live', 'final', 'piala', 'dunia', 'argentina', 'prancis', 'kamu', 'temukan', 'disini']</t>
  </si>
  <si>
    <t>UT MENFESS - hedeh final piala dunia, niatnya sambil baca modul, faktanya banyakan lihat layarnya üòÇ</t>
  </si>
  <si>
    <t>menfess hedeh final piala dunia niatnya sambil baca modul faktanya banyakan lihat layarnya</t>
  </si>
  <si>
    <t>['menfess', 'hedeh', 'final', 'piala', 'dunia', 'niatnya', 'baca', 'modul', 'faktanya', 'banyakan', 'lihat', 'layarnya']</t>
  </si>
  <si>
    <t>@diarfian pada menit ke berapa tercetaknya gol di final piala dunia semalam?</t>
  </si>
  <si>
    <t>pada menit berapa tercetaknya gol final piala dunia semalam</t>
  </si>
  <si>
    <t>['menit', 'berapa', 'tercetaknya', 'gol', 'final', 'piala', 'dunia', 'semalam']</t>
  </si>
  <si>
    <t>live final Piala Dunia 2022 antara Argentina vs Prancis sedang berlangsung.  https://t.co/U7BNKMi91x</t>
  </si>
  <si>
    <t>live final piala dunia antara argentina prancis sedang berlangsung</t>
  </si>
  <si>
    <t>['live', 'final', 'piala', 'dunia', 'argentina', 'prancis', 'sedang', 'berlangsung']</t>
  </si>
  <si>
    <t>Giroud udah pernah juara, Theo pertama kali main di piala dunia dan maju ke final. Lawan yang dihadapi juga Messi.   Theo masa depannya masih panjang, besok angkat piala bareng Maignan dan Kalulu. Untuk sekarang, waktunya Messi melengkapi kepingan terakhir.  #FIFAWorldCup</t>
  </si>
  <si>
    <t>giroud udah pernah juara theo pertama kali main piala dunia dan maju final lawan yang dihadapi juga messi theo masa depannya masih panjang besok angkat piala bareng maignan dan kalulu untuk sekarang waktunya messi melengkapi kepingan terakhir</t>
  </si>
  <si>
    <t>['giroud', 'udah', 'pernah', 'juara', 'theo', 'pertama', 'kali', 'main', 'piala', 'dunia', 'maju', 'final', 'lawan', 'dihadapi', 'messi', 'theo', 'masa', 'depannya', 'panjang', 'besok', 'angkat', 'piala', 'bareng', 'maignan', 'kalulu', 'sekarang', 'waktunya', 'messi', 'melengkapi', 'kepingan', 'terakhir']</t>
  </si>
  <si>
    <t>Sedang Berlangsung! Koora Live Final Piala Dunia 2022 Argentina Memimpin 2-0 Atas Prancis  https://t.co/U7BNKMi91x</t>
  </si>
  <si>
    <t>Klik  https://t.co/P4sYIH54dn Bola Gol Berita Terkini : MessInevitable üá¶üá∑‚öΩ  Messi sekarang memimpin daftar top skor Piala Dunia dengan enam gol.  Dia juga jadi pemain pertama yang cetak gol di babak 16 besar, perempat final, semifinal, dan final dalam sa‚Ä¶  https://t.co/8Xkp8rbpy6</t>
  </si>
  <si>
    <t>klik bola gol berita terkini messinevitable messi sekarang memimpin daftar top skor piala dunia dengan enam gol dia juga jadi pemain pertama yang cetak gol babak besar perempat final semifinal dan final dalam</t>
  </si>
  <si>
    <t>['klik', 'bola', 'gol', 'berita', 'terkini', 'messinevitable', 'messi', 'sekarang', 'memimpin', 'daftar', 'top', 'skor', 'piala', 'dunia', 'enam', 'gol', 'jadi', 'pemain', 'pertama', 'cetak', 'gol', 'babak', 'besar', 'perempat', 'final', 'semifinal', 'final']</t>
  </si>
  <si>
    <t>semua TIM BESAR EROPA menyumbang pemainnya untuk Final Piala Dunia. Kecuali tim "chelsea" ü§£ü§£</t>
  </si>
  <si>
    <t>semua tim besar eropa menyumbang pemainnya untuk final piala dunia kecuali tim chelsea</t>
  </si>
  <si>
    <t>['semua', 'tim', 'besar', 'eropa', 'menyumbang', 'pemainnya', 'final', 'piala', 'dunia', 'tim', 'chelsea']</t>
  </si>
  <si>
    <t>Meski pernah merasakan gelar Piala Dunia pada 2018, Kylian Mbappe tetap sedih gagal juara di edisi 2022. Dia menegaskan akan kembali lagi ke laga final di 2026.  https://t.co/LQHFVATINy</t>
  </si>
  <si>
    <t>meski pernah merasakan gelar piala dunia pada kylian mbappe tetap sedih gagal juara edisi dia menegaskan akan kembali lagi laga final</t>
  </si>
  <si>
    <t>['meski', 'pernah', 'merasakan', 'gelar', 'piala', 'dunia', 'kylian', 'mbappe', 'tetap', 'sedih', 'gagal', 'juara', 'edisi', 'menegaskan', 'laga', 'final']</t>
  </si>
  <si>
    <t>Kingsley Coman Jadi Korban Rasisme Usai Final Piala Dunia 2022, Bayern Beri Dukungan  https://t.co/UVPc2UKzhm</t>
  </si>
  <si>
    <t>kingsley coman jadi korban rasisme usai final piala dunia bayern beri dukungan</t>
  </si>
  <si>
    <t>['kingsley', 'coman', 'jadi', 'korban', 'rasisme', 'usai', 'final', 'piala', 'dunia', 'bayern', 'beri', 'dukungan']</t>
  </si>
  <si>
    <t>Bayern Muenchen memberikan dukungan kepada winger timnas Perancis, Kingsley Coman, yang menjadi korban rasisme usai laga final Piala Dunia 2022.   https://t.co/XKXB11hBRM</t>
  </si>
  <si>
    <t>bayern muenchen memberikan dukungan kepada winger timnas perancis kingsley coman yang menjadi korban rasisme usai laga final piala dunia</t>
  </si>
  <si>
    <t>['bayern', 'muenchen', 'memberikan', 'dukungan', 'winger', 'timnas', 'perancis', 'kingsley', 'coman', 'menjadi', 'korban', 'rasisme', 'usai', 'laga', 'final', 'piala', 'dunia']</t>
  </si>
  <si>
    <t>‚ÄòMagis Messi‚Äô ‚Äì Carian Google Capai Trafik Tertinggi Semasa Final Piala Dunia 2022  https://t.co/uhSztb48wJ</t>
  </si>
  <si>
    <t>magis messi carian google capai trafik tertinggi semasa final piala dunia</t>
  </si>
  <si>
    <t>['magis', 'messi', 'carian', 'google', 'capai', 'trafik', 'tertinggi', 'semasa', 'final', 'piala', 'dunia']</t>
  </si>
  <si>
    <t>Bayern Muenchen memberikan dukungan kepada winger timnas Perancis, Kingsley Coman, yang menjadi korban rasisme usai laga final Piala Dunia 2022.   https://t.co/XKXB11yETM</t>
  </si>
  <si>
    <t>‚ÄòMagis Messi‚Äô ‚Äì Carian Google Capai Trafik Tertinggi Semasa Final Piala Dunia 2022  https://t.co/umgbBIq32G</t>
  </si>
  <si>
    <t>@SiaranBolaLive Berkat motivasi lewat vidio call jam 12 malam sehari sebelum laga final sama iwan bule messi akhirnya juara piala dunia.</t>
  </si>
  <si>
    <t>berkat motivasi lewat vidio call jam malam sehari sebelum laga final sama iwan bule messi akhirnya juara piala dunia</t>
  </si>
  <si>
    <t>['berkat', 'motivasi', 'lewat', 'vidio', 'call', 'jam', 'malam', 'sehari', 'laga', 'final', 'sama', 'iwan', 'bule', 'messi', 'akhirnya', 'juara', 'piala', 'dunia']</t>
  </si>
  <si>
    <t>Sisa sisa nobar final piala dunia 2022  https://t.co/uBsB2xfA5K</t>
  </si>
  <si>
    <t>sisa sisa nobar final piala dunia</t>
  </si>
  <si>
    <t>['sisa', 'sisa', 'nonton bareng', 'final', 'piala', 'dunia']</t>
  </si>
  <si>
    <t>Komentar Cristiano Ronaldo tentang Mencetak Hattrick di Final Piala Dunia dan Mengalahkan Messi Muncul¬†Kembali  https://t.co/VfIKMC8MyL</t>
  </si>
  <si>
    <t>komentar cristiano ronaldo tentang mencetak hattrick final piala dunia dan mengalahkan messi muncul kembali</t>
  </si>
  <si>
    <t>['komentar', 'cristiano', 'ronaldo', 'mencetak', 'hattrick', 'final', 'piala', 'dunia', 'mengalahkan', 'messi', 'muncul']</t>
  </si>
  <si>
    <t>Tampil Gemilang Di Final Piala Dunia, Real Madrid Masih Buka Pintu Untuk Mbappe  https://t.co/jqqdR6oQqb</t>
  </si>
  <si>
    <t>tampil gemilang final piala dunia real madrid masih buka pintu untuk mbappe</t>
  </si>
  <si>
    <t>['tampil', 'gemilang', 'final', 'piala', 'dunia', 'real', 'madrid', 'buka', 'pintu', 'mbappe']</t>
  </si>
  <si>
    <t>Cerita Putin Nonton Final Piala Dunia, Ngebet Telepon Presiden Argentina  https://t.co/78IRflpaWJ</t>
  </si>
  <si>
    <t>cerita putin nonton final piala dunia ngebet telepon presiden argentina</t>
  </si>
  <si>
    <t>['cerita', 'putin', 'nonton', 'final', 'piala', 'dunia', 'ngebet', 'telepon', 'presiden', 'argentina']</t>
  </si>
  <si>
    <t>Meski pernah merasakan gelar Piala Dunia pada 2018, Kylian Mbappe tetap sedih gagal juara di edisi 2022. Dia menegaskan akan kembali lagi ke laga final di 2026.  https://t.co/t55h4xDyRc</t>
  </si>
  <si>
    <t>@The_RedsIndo Penyelamatan terbaik sepanjang masa. di level tertinggi sepakbola, final piala dunia, skor 3-3, menit akhir 120+3, 1v1 situation. Appreciate buat prancis, tapi ini adalah penyelamatan terbaik sepanjang masa, ga akan ada lagi momen model gini</t>
  </si>
  <si>
    <t>redsindo penyelamatan terbaik sepanjang masa level tertinggi sepakbola final piala dunia skor menit akhir situation appreciate buat prancis tapi ini adalah penyelamatan terbaik sepanjang masa akan ada lagi momen model gini</t>
  </si>
  <si>
    <t>['redsindo', 'penyelamatan', 'terbaik', 'sepanjang', 'masa', 'level', 'tertinggi', 'sepakbola', 'final', 'piala', 'dunia', 'skor', 'menit', 'akhir', 'situation', 'appreciate', 'buat', 'prancis', 'penyelamatan', 'terbaik', 'sepanjang', 'masa', 'momen', 'model', 'gini']</t>
  </si>
  <si>
    <t>Meski pernah merasakan gelar Piala Dunia pada 2018, Kylian Mbappe tetap sedih gagal juara di edisi 2022. Dia menegaskan akan kembali lagi ke laga final di 2026.  https://t.co/62SZpfPPvO</t>
  </si>
  <si>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</si>
  <si>
    <t>transit qatar doha des final piala dunia des masih terasa hype nya world cup masih banyak lihat fans argentina maupun prancis bandara ini bismillah umroh menuju arab saudi madinah makkah moga temen semuanya juga bisa berangkat umroh</t>
  </si>
  <si>
    <t>['transit', 'qatar', 'doha', 'des', 'final', 'piala', 'dunia', 'des', 'terasa', 'hype', 'world', 'cup', 'banyak', 'lihat', 'fans', 'argentina', 'maupun', 'prancis', 'bandara', 'bismillah', 'umroh', 'menuju', 'arab', 'saudi', 'madinah', 'makkah', 'semoga', 'temen', 'semuanya', 'berangkat', 'umroh']</t>
  </si>
  <si>
    <t>Begini reaksi Para Legenda tentang Final Piala Dunia 2022! . #EMTEKWORLDCUP2022 #BOLANETWORLDCUP2022 #PialaDunia #PialaDunia2022  https://t.co/rloDdFqEEr</t>
  </si>
  <si>
    <t>begini reaksi para legenda tentang final piala dunia</t>
  </si>
  <si>
    <t>['begini', 'reaksi', 'legenda', 'final', 'piala', 'dunia']</t>
  </si>
  <si>
    <t>Nobar Final Piala Dunia | Liputan 6 Bandung  https://t.co/CyPsk3J51T</t>
  </si>
  <si>
    <t>nobar final piala dunia liputan bandung</t>
  </si>
  <si>
    <t>['nonton bareng', 'final', 'piala', 'dunia', 'liputan', 'bandung']</t>
  </si>
  <si>
    <t>Messi sebelum Penalti Penentuan di Final Piala Dunia 2022: Ayo Diego, dari Surga!  https://t.co/eZMDSFwfOA</t>
  </si>
  <si>
    <t>messi sebelum penalti penentuan final piala dunia ayo diego dari surga</t>
  </si>
  <si>
    <t>['messi', 'penalti', 'penentuan', 'final', 'piala', 'dunia', 'ayo', 'diego', 'surga']</t>
  </si>
  <si>
    <t>Lionel Messi sempat menyebut nama Diego Maradona sebelum Gonzalo Montiel maju sebagai penendang keempat Argentina di final Piala Dunia 2022.  https://t.co/jFewtFNg1F</t>
  </si>
  <si>
    <t>lionel messi sempat menyebut nama diego maradona sebelum gonzalo montiel maju sebagai penendang keempat argentina final piala dunia</t>
  </si>
  <si>
    <t>['lionel', 'messi', 'sempat', 'menyebut', 'nama', 'diego', 'maradona', 'gonzalo', 'montiel', 'maju', 'penendang', 'keempat', 'argentina', 'final', 'piala', 'dunia']</t>
  </si>
  <si>
    <t>Lionel Messi sempat menyebut nama Diego Maradona sebelum Gonzalo Montiel maju sebagai penendang keempat Argentina di final Piala Dunia 2022.   https://t.co/wjPommvsio</t>
  </si>
  <si>
    <t>Pengalaman merupakan salah satu guru terbaik, contone nobar bal-bal an final piala dunia ndek pondok winginane... Kami (dengan rela) tidak berkata kotor, urak-an, misuh, dan... nonton dengan damai... ya, sesekali teriak, "golll, peeeh, waaah, wushhh.." dan sembarang kalir...</t>
  </si>
  <si>
    <t>pengalaman merupakan salah satu guru terbaik contone nobar bal bal final piala dunia ndek pondok winginane kami dengan rela tidak berkata kotor urak misuh dan nonton dengan damai sesekali teriak golll peeeh waaah wushhh dan sembarang kalir</t>
  </si>
  <si>
    <t>['pengalaman', 'merupakan', 'salah', 'satu', 'guru', 'terbaik', 'contone', 'nonton bareng', 'bal', 'bal', 'final', 'piala', 'dunia', 'ndek', 'pondok', 'winginane', 'rela', 'berkata', 'kotor', 'urak', 'misuh', 'nonton', 'damai', 'sesekali', 'teriak', 'golll', 'peeeh', 'waaah', 'wushhh', 'sembarang', 'kalir']</t>
  </si>
  <si>
    <t>Kerusuhan Pecah di Paris Pasca Final Piala Dunia, Polisi Tangkap 10¬†Orang  https://t.co/LoE4ZQVThq</t>
  </si>
  <si>
    <t>kerusuhan pecah paris pasca final piala dunia polisi tangkap orang</t>
  </si>
  <si>
    <t>['kerusuhan', 'pecah', 'paris', 'pasca', 'final', 'piala', 'dunia', 'polisi', 'tangkap', 'orang']</t>
  </si>
  <si>
    <t>Eks Pebalap Formula 1, Nikita Mazepin Curhat Keresahannya Usai Menyaksikan Final Piala Dunia 2022  https://t.co/AWbvM2wLdY</t>
  </si>
  <si>
    <t>eks pebalap formula nikita mazepin curhat keresahannya usai menyaksikan final piala dunia</t>
  </si>
  <si>
    <t>['eks', 'pebalap', 'formula', 'nikita', 'mazepin', 'curhat', 'keresahannya', 'usai', 'menyaksikan', 'final', 'piala', 'dunia']</t>
  </si>
  <si>
    <t>Kamu Nenye Pencetak gol Prancis di final Piala Dunia 1998? Biar aku kasih tau ya..  2 Gol dari Zinedine Zidane aka Zizou (27', 45') dan 1 gol dari Emmanuel "Manu" Laurent Petit (90') #PilDunBarengIOH @indosat @idextratime  Yuk ikutan @prastyobudiw @CRaherani @SaptoAdi_07  https://t.co/mqU7bDXrNB</t>
  </si>
  <si>
    <t>kamu nenye pencetak gol prancis final piala dunia biar aku kasih tau gol dari zinedine zidane aka zizou dan gol dari emmanuel manu laurent petit yuk ikutan</t>
  </si>
  <si>
    <t>['kamu', 'nenye', 'pencetak', 'gol', 'prancis', 'final', 'piala', 'dunia', 'aku', 'kasih', 'gol', 'zinedine', 'zidane', 'aka', 'zizou', 'gol', 'emmanuel', 'manu', 'laurent', 'petit', 'yuk', 'ikutan']</t>
  </si>
  <si>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</si>
  <si>
    <t>nonton bareng final piala dunia ganjar milenial center bulukumba gmc bulukumba minggu desember halo milenials ganjar milenial center semangat mengabdi membangun negeri</t>
  </si>
  <si>
    <t>['nonton', 'bareng', 'final', 'piala', 'dunia', 'ganjar', 'milenial', 'center', 'bulukumba', 'gmc', 'bulukumba', 'minggu', 'desember', 'halo', 'milenials', 'ganjar', 'milenial', 'center', 'semangat', 'mengabdi', 'membangun', 'negeri']</t>
  </si>
  <si>
    <t>Arsenal gagal finish di 4 besar di akhir musim lalu.  Arsenal memuncaki klasemen sementara Premier League sebelum Piala Dunia  Argentina kalah di laga pembuka piala dunia lawan Arab Saudi  Maroko tampil apik hingga ke babak semi final piala dunia</t>
  </si>
  <si>
    <t>arsenal gagal finish besar akhir musim lalu arsenal memuncaki klasemen sementara premier league sebelum piala dunia argentina kalah laga pembuka piala dunia lawan arab saudi maroko tampil apik hingga babak semi final piala dunia</t>
  </si>
  <si>
    <t>['arsenal', 'gagal', 'finish', 'besar', 'akhir', 'musim', 'lalu', 'arsenal', 'memuncaki', 'klasemen', 'premier', 'league', 'piala', 'dunia', 'argentina', 'kalah', 'laga', 'pembuka', 'piala', 'dunia', 'lawan', 'arab', 'saudi', 'maroko', 'tampil', 'apik', 'hingga', 'babak', 'semi', 'final', 'piala', 'dunia']</t>
  </si>
  <si>
    <t xml:space="preserve"> https://t.co/QYQmx9xKNT  Wasit Mengakui Sebuah Kesalahan Yang Telah Dibuat Pada Saat Final Piala Dunia 2022  #bandarbolaterbesar #bandarbolaterpecaya #bandarbolasbobet #bandarbolanews #infobandarbola #seputarbandarbola #bandarbolaibcbet #bandarbolamedan  https://t.co/TAbre4NlUF</t>
  </si>
  <si>
    <t>wasit mengakui sebuah kesalahan yang telah dibuat pada saat final piala dunia</t>
  </si>
  <si>
    <t>['wasit', 'mengakui', 'sebuah', 'kesalahan', 'dibuat', 'final', 'piala', 'dunia']</t>
  </si>
  <si>
    <t>Wasit Final Piala Dunia Akui Bikin Kesalahan, Les Blues dirugikan #SelamatNatal #HomeAlone #AliceInBorderland2 #natal2022 #natal #WorldCup #ArgentinaVsFrance #Prancis   https://t.co/i7L0u0B3ra</t>
  </si>
  <si>
    <t>wasit final piala dunia akui bikin kesalahan les blues dirugikan</t>
  </si>
  <si>
    <t>['wasit', 'final', 'piala', 'dunia', 'akui', 'kesalahan', 'les', 'blues', 'dirugikan']</t>
  </si>
  <si>
    <t>Final piala dunia kemarin menunya Mie Ayam, karena stok kecap manis habis warnanya kurang coklat pekat Kalau rasa, sepertinya udah mirip mie abang abang hehe   Kondimennya ada minyak ayam bawang putih, toping ayam jamur, daun bawang dan sayur.  https://t.co/KunCtikDfF</t>
  </si>
  <si>
    <t>final piala dunia kemarin menunya mie ayam karena stok kecap manis habis warnanya kurang coklat pekat kalau rasa sepertinya udah mirip mie abang abang hehe kondimennya ada minyak ayam bawang putih toping ayam jamur daun bawang dan sayur</t>
  </si>
  <si>
    <t>['final', 'piala', 'dunia', 'kemarin', 'menunya', 'mie', 'ayam', 'stok', 'kecap', 'manis', 'habis', 'warnanya', 'kurang', 'coklat', 'pekat', 'kalau', 'rasa', 'sepertinya', 'udah', 'mirip', 'mie', 'abang', 'abang', 'kondimennya', 'minyak', 'ayam', 'bawang', 'putih', 'toping', 'ayam', 'jamur', 'daun', 'bawang', 'sayur']</t>
  </si>
  <si>
    <t>&lt;FreqDist with 29 samples and 34 outcomes&gt;</t>
  </si>
  <si>
    <t>Wasit Final Piala Dunia 2022 Szymon Marciniak akhirnya mengakui satu kesalahannya di laga tersebut. Apa itu?  https://t.co/qt9T0R4EIR</t>
  </si>
  <si>
    <t>wasit final piala dunia szymon marciniak akhirnya mengakui satu kesalahannya laga tersebut apa itu</t>
  </si>
  <si>
    <t>['wasit', 'final', 'piala', 'dunia', 'szymon', 'marciniak', 'akhirnya', 'mengakui', 'satu', 'kesalahannya', 'laga', 'tersebut', 'apa']</t>
  </si>
  <si>
    <t>Wasit Final Piala Dunia 2022 Szymon Marciniak akhirnya mengakui satu kesalahannya di laga tersebut. Apa itu?  https://t.co/6LpuLR3US0</t>
  </si>
  <si>
    <t>Wasit Final Piala Dunia 2022 Szymon Marciniak akhirnya mengakui satu kesalahannya di laga tersebut. Apa itu?  https://t.co/WWC4CvOBaR</t>
  </si>
  <si>
    <t>Sumpah ini video terkocak pasca final piala dunia..</t>
  </si>
  <si>
    <t>sumpah ini video terkocak pasca final piala dunia</t>
  </si>
  <si>
    <t>['sumpah', 'video', 'terkocak', 'pasca', 'final', 'piala', 'dunia']</t>
  </si>
  <si>
    <t>@idextratime gak berasa udah minggu lalu final piala dunia sekarang ngerasa aneh hampa gak bisa muv on dari piala dunia qatarüíî</t>
  </si>
  <si>
    <t>gak berasa udah minggu lalu final piala dunia sekarang ngerasa aneh hampa gak bisa muv dari piala dunia qatar</t>
  </si>
  <si>
    <t>['berasa', 'udah', 'minggu', 'lalu', 'final', 'piala', 'dunia', 'sekarang', 'ngerasa', 'aneh', 'hampa', 'muv', 'piala', 'dunia', 'qatar']</t>
  </si>
  <si>
    <t>@R_min80 @aniesbaswedan Harusnya tgl di tweet Anies juga ikut diedit. Kan kemenangan argentina di final piala dunia tgl 18 Des. Masa ditweet tgl 11 udah ada fotonya. üòÇ</t>
  </si>
  <si>
    <t>min harusnya tgl tweet anies juga ikut diedit kan kemenangan argentina final piala dunia tgl des masa ditweet tgl udah ada fotonya</t>
  </si>
  <si>
    <t>['min', 'harusnya', 'tgl', 'tweet', 'anies', 'ikut', 'diedit', 'kan', 'kemenangan', 'argentina', 'final', 'piala', 'dunia', 'tgl', 'des', 'masa', 'ditweet', 'tgl', 'udah', 'fotonya']</t>
  </si>
  <si>
    <t>Puan Maharani mendukung tim sepak bola Argentina yang melawan Prancis dalam final Piala Dunia 2022.  https://t.co/HRssRnWZbW</t>
  </si>
  <si>
    <t>puan maharani mendukung tim sepak bola argentina yang melawan prancis dalam final piala dunia</t>
  </si>
  <si>
    <t>['puan', 'maharani', 'mendukung', 'tim', 'sepak', 'bola', 'argentina', 'melawan', 'prancis', 'final', 'piala', 'dunia']</t>
  </si>
  <si>
    <t>Terungkap! üëÄ  Wasit final #PialaDunia 2022 Szymon Marciniak mengakui satu kesalahan yang ia lakukan saat memimpin laga #Argentina vs #Prancis di Qatar.  Kesalahan apakah itu? Selengkapnyaüëá  https://t.co/CN8HoZh0fn  https://t.co/hl64xRKeRh</t>
  </si>
  <si>
    <t>terungkap wasit final szymon marciniak mengakui satu kesalahan yang lakukan saat memimpin laga qatar kesalahan apakah itu selengkapnya</t>
  </si>
  <si>
    <t>['terungkap', 'wasit', 'final', 'szymon', 'marciniak', 'mengakui', 'satu', 'kesalahan', 'lakukan', 'memimpin', 'laga', 'qatar', 'kesalahan', 'selengkapnya']</t>
  </si>
  <si>
    <t>final piala dunia udah seminggu yg lalu</t>
  </si>
  <si>
    <t>final piala dunia udah seminggu lalu</t>
  </si>
  <si>
    <t>['final', 'piala', 'dunia', 'udah', 'seminggu', 'lalu']</t>
  </si>
  <si>
    <t>@idextratime 4 kali gagal di final, sempet pensiun, tapi kemudian bangkit lg, menjuarai Copa America, finalissima, and piala dunia, sungguh kisah yg menakjubkan, what a story, what a manüëèüëèüëëüëëüëë</t>
  </si>
  <si>
    <t>kali gagal final sempet pensiun tapi kemudian bangkit menjuarai copa america finalissima and piala dunia sungguh kisah menakjubkan what story what man</t>
  </si>
  <si>
    <t>['kali', 'gagal', 'final', 'sempet', 'pensiun', 'kemudian', 'bangkit', 'menjuarai', 'copa', 'america', 'finalissima', 'and', 'piala', 'dunia', 'sungguh', 'kisah', 'menakjubkan', 'what', 'story', 'what', 'man']</t>
  </si>
  <si>
    <t>seperti Tournament Playstation, Lomba Soccer Football Table, Lomba Jugling, kuis dengan total hadiah jutaan rupiah, serta diakhiri dengan nonton bareng final Piala Dunia antara Argentina vs Perancis.  Para pengunjung juga dihibur dengan live music performance</t>
  </si>
  <si>
    <t>seperti tournament playstation lomba soccer football table lomba jugling kuis dengan total hadiah jutaan rupiah serta diakhiri dengan nonton bareng final piala dunia antara argentina perancis para pengunjung juga dihibur dengan live music performance</t>
  </si>
  <si>
    <t>['tournament', 'playstation', 'lomba', 'soccer', 'football', 'table', 'lomba', 'jugling', 'kuis', 'total', 'hadiah', 'jutaan', 'rupiah', 'diakhiri', 'nonton', 'bareng', 'final', 'piala', 'dunia', 'argentina', 'perancis', 'pengunjung', 'dihibur', 'live', 'music', 'performance']</t>
  </si>
  <si>
    <t>Elon Musk - Bos Investasi Qatar Nobar Final Piala Dunia  https://t.co/2xe42WdQHy</t>
  </si>
  <si>
    <t>elon musk bos investasi qatar nobar final piala dunia</t>
  </si>
  <si>
    <t>['elon', 'musk', 'bos', 'investasi', 'qatar', 'nonton bareng', 'final', 'piala', 'dunia']</t>
  </si>
  <si>
    <t>@SiaranBolaLive Mbappe sih, bisa bawa prancis dua kali berturut ke final piala dunia, meski yg kedua kalah.</t>
  </si>
  <si>
    <t>mbappe sih bisa bawa prancis dua kali berturut final piala dunia meski kedua kalah</t>
  </si>
  <si>
    <t>['mbappe', 'bawa', 'prancis', 'kali', 'berturut', 'final', 'piala', 'dunia', 'meski', 'kedua', 'kalah']</t>
  </si>
  <si>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</si>
  <si>
    <t>ada ada saja lebih dari akun per malam ini telah menandatangani petisi dalam bahasa prancis untuk meminta laga final piala dunia diulang para penandatangan yang jelas masih sakit menyerukan pertandingan utk diulang berdasarkan isu teknis</t>
  </si>
  <si>
    <t>['lebih', 'akun', 'per', 'malam', 'menandatangani', 'petisi', 'bahasa', 'prancis', 'meminta', 'laga', 'final', 'piala', 'dunia', 'diulang', 'penandatangan', 'jelas', 'sakit', 'menyerukan', 'pertandingan', 'diulang', 'berdasarkan', 'isu', 'teknis']</t>
  </si>
  <si>
    <t>MENGINAP DI CRUISE MSC WORLD EUROPA SELAMA NONTON FINAL PIALA DUNIA  https://t.co/82otWmpdVw</t>
  </si>
  <si>
    <t>menginap cruise msc world europa selama nonton final piala dunia</t>
  </si>
  <si>
    <t>['menginap', 'cruise', 'msc', 'world', 'europa', 'selama', 'nonton', 'final', 'piala', 'dunia']</t>
  </si>
  <si>
    <t>Angel Di Maria mampu menggandakan kedudukan menjadi 2:0 ketika bertanding dengan Prancis.  Bisa jadi, Sang Kapten Lionel Messi adalah aktor utama bagi Argentina saat berlaga di partai final Piala Dunia 2022 melawan Prancis, Minggu (18/12/2022).  https://t.co/oOBUCjSpCi</t>
  </si>
  <si>
    <t>angel maria mampu menggandakan kedudukan menjadi ketika bertanding dengan prancis bisa jadi sang kapten lionel messi adalah aktor utama bagi argentina saat berlaga partai final piala dunia melawan prancis minggu</t>
  </si>
  <si>
    <t>['angel', 'maria', 'mampu', 'menggandakan', 'kedudukan', 'menjadi', 'bertanding', 'prancis', 'jadi', 'sang', 'kapten', 'lionel', 'messi', 'aktor', 'utama', 'argentina', 'berlaga', 'partai', 'final', 'piala', 'dunia', 'melawan', 'prancis', 'minggu']</t>
  </si>
  <si>
    <t>Denger2 ada yang minta final pildun alias piala dunia diulang</t>
  </si>
  <si>
    <t>denger ada yang minta final pildun alias piala dunia diulang</t>
  </si>
  <si>
    <t>['denger', 'minta', 'final', 'piala dunia', 'alias', 'piala', 'dunia', 'diulang']</t>
  </si>
  <si>
    <t>Indonesia suka drama seperti final piala dunia kemarin, semoga Allah melindungiku, walau tak adil bagiku menyenangkanpun tidak semoga Allah memberiku kekuatan. Pada akhirnya Budiman Sudjatmiko juga yang bakal menentukan hasil akhirnya, bukan saya</t>
  </si>
  <si>
    <t>indonesia suka drama seperti final piala dunia kemarin semoga allah melindungiku walau tak adil bagiku menyenangkanpun tidak semoga allah memberiku kekuatan pada akhirnya budiman sudjatmiko juga yang bakal menentukan hasil akhirnya bukan saya</t>
  </si>
  <si>
    <t>['indonesia', 'suka', 'drama', 'final', 'piala', 'dunia', 'kemarin', 'semoga', 'allah', 'melindungiku', 'tak', 'adil', 'bagiku', 'menyenangkanpun', 'semoga', 'allah', 'memberiku', 'kekuatan', 'akhirnya', 'budiman', 'sudjatmiko', 'bakal', 'menentukan', 'hasil', 'akhirnya', 'bukan']</t>
  </si>
  <si>
    <t>Aya2 wae ü§¶‚Äç‚ôÇÔ∏èüòÇüòÇüòÇ  üëâPetisi Minta Final Piala Dunia 2022 Diulang Mencapai 200 Ribu Tanda Tangan  https://t.co/zceFTA4yTa</t>
  </si>
  <si>
    <t>aya wae petisi minta final piala dunia diulang mencapai ribu tanda tangan</t>
  </si>
  <si>
    <t>['aya', 'wae', 'petisi', 'minta', 'final', 'piala', 'dunia', 'diulang', 'mencapai', 'ribu', 'tanda', 'tangan']</t>
  </si>
  <si>
    <t>@R_min80 @aniesbaswedan ini betul orang rimba ternyata, lihat twitnya tanggal 11 des 2022, final piala dunia tgl 18 des 2022, nyambungkah kalo itu di Argentina??? tolol</t>
  </si>
  <si>
    <t>min ini betul orang rimba ternyata lihat twitnya tanggal des final piala dunia tgl des nyambungkah kalo itu argentina tolol</t>
  </si>
  <si>
    <t>['min', 'betul', 'orang', 'rimba', 'ternyata', 'lihat', 'twitnya', 'tanggal', 'des', 'final', 'piala', 'dunia', 'tgl', 'des', 'nyambungkah', 'argentina', 'tolol']</t>
  </si>
  <si>
    <t>Lawan Brentford, Tottenham Istirahatkan Pemain yang Tampil Final Piala Dunia  https://t.co/pWRSdnLJVx</t>
  </si>
  <si>
    <t>lawan brentford tottenham istirahatkan pemain yang tampil final piala dunia</t>
  </si>
  <si>
    <t>['lawan', 'brentford', 'tottenham', 'istirahatkan', 'pemain', 'tampil', 'final', 'piala', 'dunia']</t>
  </si>
  <si>
    <t>Pelatih asal Malaysia sebut negara Asia Tenggara yang paling berpeluang masuk ke putaran final Piala Dunia 2026 adalah Vietnam. #kumparanBOLA  https://t.co/E8wisWu3tt</t>
  </si>
  <si>
    <t>pelatih asal malaysia sebut negara asia tenggara yang paling berpeluang masuk putaran final piala dunia adalah vietnam</t>
  </si>
  <si>
    <t>['pelatih', 'asal', 'malaysia', 'sebut', 'negara', 'asia', 'tenggara', 'paling', 'berpeluang', 'masuk', 'putaran', 'final', 'piala', 'dunia', 'vietnam']</t>
  </si>
  <si>
    <t>@angkawaroe @anandaprstyaa @oktahilmi @GOAL_ID Ya itu yg dinamakan org ad prestasinya masing2, messi mgkn bnyk piala, tp ttp gk bsa ngungguli pele d piala Dunia, goal intl cr7, hattrick di final layakny mbappe, rekor goal trcpt, dll. Apapun yg seorg dptkn</t>
  </si>
  <si>
    <t>itu dinamakan org prestasinya masing messi mgkn bnyk piala ttp bsa ngungguli pele piala dunia goal intl hattrick final layakny mbappe rekor goal trcpt dll apapun seorg dptkn</t>
  </si>
  <si>
    <t>['dinamakan', 'org', 'prestasinya', 'masing', 'messi', 'mgkn', 'bnyk', 'piala', 'ttp', 'bsa', 'ngungguli', 'pele', 'piala', 'dunia', 'goal', 'intl', 'hattrick', 'final', 'layakny', 'mbappe', 'rekor', 'goal', 'trcpt', 'apapun', 'seorg', 'dptkn']</t>
  </si>
  <si>
    <t>Korban Piala Dunia 2022, Tottenham Kehilangan Richarlison 3-4 Minggu, Absen Lawan Arsenal dan Man City: Richarlison mengalami cedera hamstring saat tampil melawan Kroasia di perempat final Piala Dunia 2022. Tottenham dipastikan kehilangan Richarlison.  https://t.co/YLcWdsYQpE</t>
  </si>
  <si>
    <t>korban piala dunia tottenham kehilangan richarlison minggu absen lawan arsenal dan man city richarlison mengalami cedera hamstring saat tampil melawan kroasia perempat final piala dunia tottenham dipastikan kehilangan richarlison</t>
  </si>
  <si>
    <t>['korban', 'piala', 'dunia', 'tottenham', 'kehilangan', 'richarlison', 'minggu', 'absen', 'lawan', 'arsenal', 'man', 'city', 'richarlison', 'mengalami', 'cedera', 'hamstring', 'tampil', 'melawan', 'kroasia', 'perempat', 'final', 'piala', 'dunia', 'tottenham', 'dipastikan', 'kehilangan', 'richarlison']</t>
  </si>
  <si>
    <t>&lt;FreqDist with 21 samples and 27 outcomes&gt;</t>
  </si>
  <si>
    <t xml:space="preserve"> https://t.co/LLC8stTZjn - Kemunculan Petisi Final Piala Dunia Antara Perancis Vs Argentina  https://t.co/y0f5TmQ8iD  https://t.co/3TSls9dlYa</t>
  </si>
  <si>
    <t>kemunculan petisi final piala dunia antara perancis argentina</t>
  </si>
  <si>
    <t>['kemunculan', 'petisi', 'final', 'piala', 'dunia', 'perancis', 'argentina']</t>
  </si>
  <si>
    <t>@yudatepung @freakingcooll Padahal be a minggu final piala dunia e , masih juga marah marah Pakdek</t>
  </si>
  <si>
    <t>padahal minggu final piala dunia masih juga marah marah pakdek</t>
  </si>
  <si>
    <t>['padahal', 'minggu', 'final', 'piala', 'dunia', 'marah', 'marah', 'pakdek']</t>
  </si>
  <si>
    <t>Wasit Final Piala Dunia 2022 Akui Bikin Kesalahan yang Rugikan Prancis  https://t.co/yah5TusS26</t>
  </si>
  <si>
    <t>wasit final piala dunia akui bikin kesalahan yang rugikan prancis</t>
  </si>
  <si>
    <t>['wasit', 'final', 'piala', 'dunia', 'akui', 'kesalahan', 'rugikan', 'prancis']</t>
  </si>
  <si>
    <t>Wasit VAR pada final Piala Dunia 2022, Tomasz Kwiatkowski, buka suara terkait banjir kritik yang ditujukan kepada jajarannya. #kumparanBOLA  https://t.co/udLyZguz9m</t>
  </si>
  <si>
    <t>wasit var pada final piala dunia tomasz kwiatkowski buka suara terkait banjir kritik yang ditujukan kepada jajarannya</t>
  </si>
  <si>
    <t>['wasit', 'var', 'final', 'piala', 'dunia', 'tomasz', 'kwiatkowski', 'buka', 'suara', 'terkait', 'banjir', 'kritik', 'ditujukan', 'jajarannya']</t>
  </si>
  <si>
    <t>@R_min80 @aniesbaswedan Lu liat tglnya goblookk..!!! Final piala dunia aja tgl 18,postingan tgl 11.Isi kepala lu batok kelapa yaa..üòÇ</t>
  </si>
  <si>
    <t>min liat tglnya goblookk final piala dunia aja tgl postingan tgl isi kepala batok kelapa yaa</t>
  </si>
  <si>
    <t>['min', 'lihat', 'tglnya', 'goblookk', 'final', 'piala', 'dunia', 'tgl', 'postingan', 'tgl', 'isi', 'kepala', 'batok', 'kelapa', 'ya']</t>
  </si>
  <si>
    <t>Wasit Final Piala Dunia 2022 Akui Bikin Kesalahan yang Rugikan Prancis  https://t.co/Sf96dfz8Yv #FinalPialaDunia2022 #PialaDunia2022 #SzymonMarciniak</t>
  </si>
  <si>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</si>
  <si>
    <t>muncul petisi meminta laga final piala dunia argetina prancis diulang petisi ditandatangani lebih dari ribu orang alasan permintaan mengulang pertandingan argentina prancis tersebut tidak lain karena keputusan wasit szymon marciniak yang dianggap kontroversial</t>
  </si>
  <si>
    <t>['muncul', 'petisi', 'meminta', 'laga', 'final', 'piala', 'dunia', 'argetina', 'prancis', 'diulang', 'petisi', 'ditandatangani', 'lebih', 'ribu', 'orang', 'alasan', 'permintaan', 'mengulang', 'pertandingan', 'argentina', 'prancis', 'tersebut', 'keputusan', 'wasit', 'szymon', 'marciniak', 'dianggap', 'kontroversial']</t>
  </si>
  <si>
    <t>ulang dong piala dunia qatar 2022 nya dari jungkook perform dreamers sampe argentina menang final, gw dah kangen :((</t>
  </si>
  <si>
    <t>ulang dong piala dunia qatar nya dari jungkook perform dreamers sampe argentina menang final dah kangen</t>
  </si>
  <si>
    <t>['ulang', 'dong', 'piala', 'dunia', 'qatar', 'jungkook', 'perform', 'dreamers', 'sampai', 'argentina', 'menang', 'final', 'dah', 'kangen']</t>
  </si>
  <si>
    <t>Final piala dunia  https://t.co/PvhIQMvICn</t>
  </si>
  <si>
    <t>Korea Selatan menjadi negara Asia yg paling sering lolos keputaran final Piala Dunia. Mereka lolos 8 kali, dan 7 diantaranya berturut-turut.</t>
  </si>
  <si>
    <t>korea selatan menjadi negara asia paling sering lolos keputaran final piala dunia mereka lolos kali dan diantaranya berturut turut</t>
  </si>
  <si>
    <t>['korea', 'selatan', 'menjadi', 'negara', 'asia', 'paling', 'sering', 'lolos', 'keputaran', 'final', 'piala', 'dunia', 'lolos', 'kali', 'diantaranya', 'berturut', 'turut']</t>
  </si>
  <si>
    <t>Wasit Final Piala Dunia Jelaskan Kenapa Gol Messi yang Diprotes Tetap Sah  https://t.co/IEw7DL9bmI</t>
  </si>
  <si>
    <t>wasit final piala dunia jelaskan kenapa gol messi yang diprotes tetap sah</t>
  </si>
  <si>
    <t>['wasit', 'final', 'piala', 'dunia', 'jelaskan', 'gol', 'messi', 'diprotes', 'tetap', 'sah']</t>
  </si>
  <si>
    <t>Argentina Juara, Suporter Prancis Minta Laga Final Piala Dunia 2022 Diulang {EntryUrl}}</t>
  </si>
  <si>
    <t>argentina juara suporter prancis minta laga final piala dunia diulang entryurl</t>
  </si>
  <si>
    <t>['argentina', 'juara', 'suporter', 'prancis', 'minta', 'laga', 'final', 'piala', 'dunia', 'diulang', 'entryurl']</t>
  </si>
  <si>
    <t>@R_min80 @aniesbaswedan Woyyyy idiot,....final piala dunia tgl 18 Desember gimana ceritanya merayakan Argentina juara????? Goblok2 para pendukung anda pak @jokowi @ganjarpranowo ü§£üòÇü§£  https://t.co/l1ctbqxu1h</t>
  </si>
  <si>
    <t>min woyyyy idiot final piala dunia tgl desember gimana ceritanya merayakan argentina juara goblok para pendukung anda pak</t>
  </si>
  <si>
    <t>['min', 'woyyyy', 'idiot', 'final', 'piala', 'dunia', 'tgl', 'desember', 'gimana', 'ceritanya', 'merayakan', 'argentina', 'juara', 'goblok', 'pendukung', 'pak']</t>
  </si>
  <si>
    <t>Si seru bgt nih finalnya ngalahin final piala dunia</t>
  </si>
  <si>
    <t>seru bgt nih finalnya ngalahin final piala dunia</t>
  </si>
  <si>
    <t>['seru', 'banget', 'finalnya', 'ngalahin', 'final', 'piala', 'dunia']</t>
  </si>
  <si>
    <t>Legenda Liverpool Graeme Souness mengecam sikap Emiliano Martinez di final Piala Dunia 2022. Kiper Argentina itu dinilai sudah bikin malu negaranya.   https://t.co/Jd6oXVUw2w</t>
  </si>
  <si>
    <t>legenda liverpool graeme souness mengecam sikap emiliano martinez final piala dunia kiper argentina itu dinilai sudah bikin malu negaranya</t>
  </si>
  <si>
    <t>['legenda', 'liverpool', 'graeme', 'souness', 'mengecam', 'sikap', 'emiliano', 'martinez', 'final', 'piala', 'dunia', 'kiper', 'argentina', 'dinilai', 'malu', 'negaranya']</t>
  </si>
  <si>
    <t>Argentina Juara, Suporter Prancis Minta Laga Final Piala Dunia 2022 Diulang  https://t.co/HsmVBXWFtK</t>
  </si>
  <si>
    <t>argentina juara suporter prancis minta laga final piala dunia diulang</t>
  </si>
  <si>
    <t>['argentina', 'juara', 'suporter', 'prancis', 'minta', 'laga', 'final', 'piala', 'dunia', 'diulang']</t>
  </si>
  <si>
    <t>Wasit Final Piala Dunia 2022 Serang Balik Media Prancis  https://t.co/OFKAnTLOa9</t>
  </si>
  <si>
    <t>wasit final piala dunia serang balik media prancis</t>
  </si>
  <si>
    <t>['wasit', 'final', 'piala', 'dunia', 'serang', 'balik', 'media', 'prancis']</t>
  </si>
  <si>
    <t>Pengakuan Dosa Wasit Final Piala Dunia 2022, Bikin Blunder Rugikan Prancis ‚Äì VIVA ‚Äì  https://t.co/rxpSNTbJtK ‚Äì Google Berita Olahraga ‚Äì  https://t.co/ofTsSvxOmX ‚Äì #Arenanews #Kamidi #Opsiminfo- https://t.co/XNUZfy7kti</t>
  </si>
  <si>
    <t>pengakuan dosa wasit final piala dunia bikin blunder rugikan prancis viva google berita olahraga</t>
  </si>
  <si>
    <t>['pengakuan', 'dosa', 'wasit', 'final', 'piala', 'dunia', 'blunder', 'rugikan', 'prancis', 'viva', 'google', 'berita', 'olahraga']</t>
  </si>
  <si>
    <t>Prancis dikalahkan Argentina dalam pada laga final Piala Dunia 2022 di Stadion Lusail, Minggu (18/12) lalu. #newsupdate #25des22 #news #newsflash  https://t.co/8cv4MyEG78</t>
  </si>
  <si>
    <t>prancis dikalahkan argentina dalam pada laga final piala dunia stadion lusail minggu lalu</t>
  </si>
  <si>
    <t>['prancis', 'dikalahkan', 'argentina', 'laga', 'final', 'piala', 'dunia', 'stadion', 'lusail', 'minggu', 'lalu']</t>
  </si>
  <si>
    <t>Pengakuan Dosa Wasit Final Piala Dunia 2022, Bikin Blunder Rugikan Prancis ‚Äì VIVA ‚Äì  https://t.co/8Oxshf8plv ‚Äì Google Berita Olahraga ‚Äì  https://t.co/RyLRJ2nKNH ‚Äì #Arenanews #Kamidi¬†#Opsiminfo  https://t.co/AL8ZSk4ndr</t>
  </si>
  <si>
    <t>Apakah Anda ingin memainkan Piala Super Spanyol?  Lewandowski : "Ya, karena ini akan menjadi pertandingan pertama saya di tahun baru setelah Piala Dunia dan akan sangat seru.¬†Pertama saatnya fokus bermain bagus di semifinal dan kemudian bisa bermain di final.</t>
  </si>
  <si>
    <t>apakah anda ingin memainkan piala super spanyol lewandowski karena ini akan menjadi pertandingan pertama saya tahun baru setelah piala dunia dan akan sangat seru pertama saatnya fokus bermain bagus semifinal dan kemudian bisa bermain final</t>
  </si>
  <si>
    <t>['memainkan', 'piala', 'super', 'spanyol', 'lewandowski', 'menjadi', 'pertandingan', 'pertama', 'tahun', 'baru', 'piala', 'dunia', 'sangat', 'seru', 'pertama', 'saatnya', 'fokus', 'bermain', 'bagus', 'semifinal', 'kemudian', 'bermain', 'final']</t>
  </si>
  <si>
    <t>#FINALPIALADUNIA2022 #PIALADUNIA #WASITPIALADUNIA  Duel Argentina vs Perancis di Piala Dunia 2022 dinilai sebagai¬†final¬†terbaik¬†dalam sejarah Piala Dunia.   https://t.co/hJ69pg4AQl</t>
  </si>
  <si>
    <t>duel argentina perancis piala dunia dinilai sebagai final terbaik dalam sejarah piala dunia</t>
  </si>
  <si>
    <t>['duel', 'argentina', 'perancis', 'piala', 'dunia', 'dinilai', 'final', 'terbaik', 'sejarah', 'piala', 'dunia']</t>
  </si>
  <si>
    <t>@KompasTV Pihak Perumpuan pasti sangat Kecewa.... Ya sedihnya mirip mirip Kalah adu Penalty di Final Piala Dunia ....üòÅüòÖ</t>
  </si>
  <si>
    <t>pihak perumpuan pasti sangat kecewa sedihnya mirip mirip kalah adu penalty final piala dunia</t>
  </si>
  <si>
    <t>['pihak', 'perumpuan', 'sangat', 'kecewa', 'sedihnya', 'mirip', 'mirip', 'kalah', 'adu', 'penalty', 'final', 'piala', 'dunia']</t>
  </si>
  <si>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</si>
  <si>
    <t>muncul petisi berisi permintaan final piala dunia harus diulang alasannya karena maria sengaja terjatuh sehingga membuat penalty padahal kontaknya dengen dembele sangat tipis ini yang tanda tangan yang all prancis semua kah</t>
  </si>
  <si>
    <t>['muncul', 'petisi', 'berisi', 'permintaan', 'final', 'piala', 'dunia', 'diulang', 'alasannya', 'maria', 'sengaja', 'terjatuh', 'membuat', 'penalty', 'padahal', 'kontaknya', 'dengen', 'dembele', 'sangat', 'tipis', 'tanda', 'tangan', 'all', 'prancis', 'semua']</t>
  </si>
  <si>
    <t>Pas dah juara copa america ga ada nyekor di final dibilang beban tim, skrg dah juara piala dunia nyetak gol lagi di final, makin senewen dibilang pildun settingan la, minta rispek lagi  heran2, masi ada tipikal orang se sakit hati gini üòÇüòÇüò≠üòÇüò≠üòÇüòÇ</t>
  </si>
  <si>
    <t>pas dah juara copa america ada nyekor final dibilang beban tim skrg dah juara piala dunia nyetak gol lagi final makin senewen dibilang pildun settingan minta rispek lagi heran masi ada tipikal orang sakit hati gini</t>
  </si>
  <si>
    <t>['pas', 'dah', 'juara', 'copa', 'america', 'nyekor', 'final', 'dibilang', 'beban', 'tim', 'skrg', 'dah', 'juara', 'piala', 'dunia', 'nyetak', 'gol', 'final', 'makin', 'senewen', 'dibilang', 'piala dunia', 'settingan', 'minta', 'rispek', 'heran', 'masi', 'tipikal', 'orang', 'sakit', 'hati', 'gini']</t>
  </si>
  <si>
    <t>Gol Mario Kempes pada final Piala Dunia 1978 di Argentina memicu badai kertas di seantero stadion.</t>
  </si>
  <si>
    <t>gol mario kempes pada final piala dunia argentina memicu badai kertas seantero stadion</t>
  </si>
  <si>
    <t>['gol', 'mario', 'kempes', 'final', 'piala', 'dunia', 'argentina', 'memicu', 'badai', 'kertas', 'seantero', 'stadion']</t>
  </si>
  <si>
    <t>Legenda Liverpool Graeme Souness mengecam sikap Emiliano Martinez di final Piala Dunia 2022. Kiper Argentina itu dinilai sudah bikin malu negaranya.   https://t.co/NMABxooJPZ</t>
  </si>
  <si>
    <t>Prancis gak mampu melindungi warganya merayakan kemenangan semi final piala dunia  Mengibarkan bendera Perancis di rumah sdiri pun diganggu imigran  Indonesia Jaya Sang Saka berkibar perkasa. Siapa berani menurunkan engkau serentak rakyatmu membela !!   https://t.co/4GJxWZCIf8</t>
  </si>
  <si>
    <t>prancis gak mampu melindungi warganya merayakan kemenangan semi final piala dunia mengibarkan bendera perancis rumah sdiri pun diganggu imigran indonesia jaya sang saka berkibar perkasa siapa berani menurunkan engkau serentak rakyatmu membela</t>
  </si>
  <si>
    <t>['prancis', 'mampu', 'melindungi', 'warganya', 'merayakan', 'kemenangan', 'semi', 'final', 'piala', 'dunia', 'mengibarkan', 'bendera', 'perancis', 'rumah', 'sdiri', 'diganggu', 'imigran', 'indonesia', 'jaya', 'sang', 'saka', 'berkibar', 'perkasa', 'siapa', 'berani', 'menurunkan', 'engkau', 'serentak', 'rakyatmu', 'membela']</t>
  </si>
  <si>
    <t>Pengusaha nasional Boy Thohir menyaksikan langsung final Piala Dunia 2022 di Stadion Lusail, Qatar, pada 18 Desember 2022.  https://t.co/HcWH5y9vaW</t>
  </si>
  <si>
    <t>pengusaha nasional boy thohir menyaksikan langsung final piala dunia stadion lusail qatar pada desember</t>
  </si>
  <si>
    <t>['pengusaha', 'nasional', 'boy', 'thohir', 'menyaksikan', 'langsung', 'final', 'piala', 'dunia', 'stadion', 'lusail', 'qatar', 'desember']</t>
  </si>
  <si>
    <t>Wasit Final Piala Dunia 2022 Akui Bikin Kesalahan yang Rugikan Perancis Klik untuk baca:  https://t.co/91xyiewFNo</t>
  </si>
  <si>
    <t>wasit final piala dunia akui bikin kesalahan yang rugikan perancis klik untuk baca</t>
  </si>
  <si>
    <t>['wasit', 'final', 'piala', 'dunia', 'akui', 'kesalahan', 'rugikan', 'perancis', 'klik', 'baca']</t>
  </si>
  <si>
    <t>@LambeResing GP Belanda tahun 1982 digelar tanggal 3 Juli karena tanggal 4 Juli ada final Wimbledon, pertandingan terakhir fase grup kedua Piala Dunia 1982 di Spanyol dan peringatan HUT Amerika Serikat ke-206</t>
  </si>
  <si>
    <t>belanda tahun digelar tanggal juli karena tanggal juli ada final wimbledon pertandingan terakhir fase grup kedua piala dunia spanyol dan peringatan hut amerika serikat</t>
  </si>
  <si>
    <t>['belanda', 'tahun', 'digelar', 'tanggal', 'juli', 'tanggal', 'juli', 'final', 'wimbledon', 'pertandingan', 'terakhir', 'fase', 'grup', 'kedua', 'piala', 'dunia', 'spanyol', 'peringatan', 'hut', 'amerika', 'serikat']</t>
  </si>
  <si>
    <t>@UmarHasibuan77 @panca66 Ditimpa doang ga rapi üòÖ terus final piala dunia emang 11 desember??? lumayan buat hiburan..  https://t.co/smdm9FMsqr</t>
  </si>
  <si>
    <t>ditimpa doang rapi terus final piala dunia emang desember lumayan buat hiburan</t>
  </si>
  <si>
    <t>['ditimpa', 'doang', 'rapi', 'terus', 'final', 'piala', 'dunia', 'emang', 'desember', 'lumayan', 'buat', 'hiburan']</t>
  </si>
  <si>
    <t>Mark Zuckerberg: 25 juta pesan WhatsApp saat final Piala¬†Dunia  https://t.co/snPvPrsJ9x</t>
  </si>
  <si>
    <t>mark zuckerberg juta pesan whatsapp saat final piala dunia</t>
  </si>
  <si>
    <t>['mark', 'zuckerberg', 'juta', 'pesan', 'whatsapp', 'final', 'piala', 'dunia']</t>
  </si>
  <si>
    <t>@Info_Ronaldo7 @idextratime Klo euro lebih baik dari pildun knp juara euro 2016 tdk masuk final piala Dunia 2018 ?  Knp juara euro 2020 tdk masuk pildun 2022?</t>
  </si>
  <si>
    <t>ronaldo klo euro lebih baik dari pildun knp juara euro tdk masuk final piala dunia knp juara euro tdk masuk pildun</t>
  </si>
  <si>
    <t>['ronaldo', 'euro', 'lebih', 'baik', 'piala dunia', 'kenapa', 'juara', 'euro', 'masuk', 'final', 'piala', 'dunia', 'kenapa', 'juara', 'euro', 'masuk', 'piala dunia']</t>
  </si>
  <si>
    <t>Final Piala Dunia Ketua PWRI Kabupaten Siak Gelar Nonton Bareng - NKRIPOST  https://t.co/g7L22rCsbN  https://t.co/4ajPnCvCH7</t>
  </si>
  <si>
    <t>final piala dunia ketua pwri kabupaten siak gelar nonton bareng nkripost</t>
  </si>
  <si>
    <t>['final', 'piala', 'dunia', 'ketua', 'pwri', 'kabupaten', 'siak', 'gelar', 'nonton', 'bareng', 'nkripost']</t>
  </si>
  <si>
    <t>Lebih 200k Tandatangan Petisyen Mahu Final Piala Dunia Diulang, Dakwa Pengadil Tak Adil  https://t.co/mRDfVko3sR</t>
  </si>
  <si>
    <t>lebih tandatangan petisyen mahu final piala dunia diulang dakwa pengadil tak adil</t>
  </si>
  <si>
    <t>['lebih', 'tandatangan', 'petisyen', 'mahu', 'final', 'piala', 'dunia', 'diulang', 'dakwa', 'pengadil', 'tak', 'adil']</t>
  </si>
  <si>
    <t xml:space="preserve">@Info_Ronaldo7 @adammalik01z @idextratime Euro &amp;gt; Piala Dunia ? ü§£ü§£ü§£ Denmark ama Yunani aj bisa juara Euro, Piala Dunia beda cerita. Cr7 bahkan g pernah bisa ke final Piala Dunia, ke semifinal jg butuh bantuan generasi emas Portugal, Figo, Nuno </t>
  </si>
  <si>
    <t>ronaldo euro piala dunia denmark ama yunani bisa juara euro piala dunia beda cerita bahkan pernah bisa final piala dunia semifinal butuh bantuan generasi emas portugal figo nuno</t>
  </si>
  <si>
    <t>['ronaldo', 'euro', 'piala', 'dunia', 'denmark', 'ama', 'yunani', 'juara', 'euro', 'piala', 'dunia', 'beda', 'cerita', 'bahkan', 'pernah', 'final', 'piala', 'dunia', 'semifinal', 'butuh', 'bantuan', 'generasi', 'emas', 'portugal', 'figo', 'nuno']</t>
  </si>
  <si>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</si>
  <si>
    <t>usai kemenangan argentina piala dunia banyak penggemar sepak bola yang kecewa dengan hasil tersebut sebanyak ratusan ribu orang telah menandatangani petisi untuk pertandingan ulang final piala dunia fans menilai wasit salah dalam menentukan gol</t>
  </si>
  <si>
    <t>['usai', 'kemenangan', 'argentina', 'piala', 'dunia', 'banyak', 'penggemar', 'sepak', 'bola', 'kecewa', 'hasil', 'tersebut', 'sebanyak', 'ratusan', 'ribu', 'orang', 'menandatangani', 'petisi', 'pertandingan', 'ulang', 'final', 'piala', 'dunia', 'fans', 'menilai', 'wasit', 'salah', 'menentukan', 'gol']</t>
  </si>
  <si>
    <t>@Joni80425789 @DonquixoteM1ngo @adammalik01z @idextratime Tapi golin di final piala dunia, dodo golin di semifinal piala dunia aja gabisa, eh kok semifinal, knockout aja gapernah golin wkwkwk</t>
  </si>
  <si>
    <t>tapi golin final piala dunia dodo golin semifinal piala dunia aja gabisa kok semifinal knockout aja gapernah golin wkwkwk</t>
  </si>
  <si>
    <t>['golin', 'final', 'piala', 'dunia', 'dodo', 'golin', 'semifinal', 'piala', 'dunia', 'gabisa', 'kok', 'semifinal', 'knockout', 'gapernah', 'golin', 'wkwkwk']</t>
  </si>
  <si>
    <t>Cerita di Balik Podium Final Piala Dunia¬†2022  https://t.co/m0FlMTHOhx</t>
  </si>
  <si>
    <t>cerita balik podium final piala dunia</t>
  </si>
  <si>
    <t>['cerita', 'balik', 'podium', 'final', 'piala', 'dunia']</t>
  </si>
  <si>
    <t>Sindir Pendukung Prancis, Wasit VAR Final Piala Dunia 2022 Angkat Bicara  #bolaskorcom #var #wasit #qatar2022   https://t.co/EKfEiUU6Az</t>
  </si>
  <si>
    <t>sindir pendukung prancis wasit var final piala dunia angkat bicara</t>
  </si>
  <si>
    <t>['sindir', 'pendukung', 'prancis', 'wasit', 'var', 'final', 'piala', 'dunia', 'angkat', 'bicara']</t>
  </si>
  <si>
    <t>@PolJokesID Di era pak Jokowi - Italia gak lolos piala dunia lewat play off - Jerman gugur di fase grup &amp;amp; kalah lawan Asia - Spanyol gagal di 16 besar lewat adu penalti - Prancis back to back final - Brazil kandas di perempat final</t>
  </si>
  <si>
    <t>era pak jokowi italia gak lolos piala dunia lewat play off jerman gugur fase grup kalah lawan asia spanyol gagal besar lewat adu penalti prancis back back final brazil kandas perempat final</t>
  </si>
  <si>
    <t>['era', 'pak', 'jokowi', 'italia', 'lolos', 'piala', 'dunia', 'lewat', 'play', 'off', 'jerman', 'gugur', 'fase', 'grup', 'kalah', 'lawan', 'asia', 'spanyol', 'gagal', 'besar', 'lewat', 'adu', 'penalti', 'prancis', 'back', 'back', 'final', 'brazil', 'kandas', 'perempat', 'final']</t>
  </si>
  <si>
    <t>Malam menjelang Final Piala Dunia 2006, tak seorangpun dari anggota timnas Italia yang dapat tidur, kecuali sang kapten Fabio Cannavaro.</t>
  </si>
  <si>
    <t>malam menjelang final piala dunia tak seorangpun dari anggota timnas italia yang dapat tidur kecuali sang kapten fabio cannavaro</t>
  </si>
  <si>
    <t>['malam', 'menjelang', 'final', 'piala', 'dunia', 'tak', 'seorangpun', 'anggota', 'timnas', 'italia', 'tidur', 'sang', 'kapten', 'fabio', 'cannavaro']</t>
  </si>
  <si>
    <t>@ZeeMotionID @FIFAWorldCup tolong adakan final piala dunia setiap Minggu</t>
  </si>
  <si>
    <t>tolong adakan final piala dunia setiap minggu</t>
  </si>
  <si>
    <t>['adakan', 'final', 'piala', 'dunia', 'minggu']</t>
  </si>
  <si>
    <t>Setiap kejutan harus dapat memberi harapan akan hadirnya berbagai pilihan akan pemaknaan. Berbagai kejutan yang terjadi hingga final Piala Dunia mengajarkan kita untuk membangun sebuah peradaban yang lebih baik. #Opini #AdadiKompas   https://t.co/LSarif0Nja</t>
  </si>
  <si>
    <t>setiap kejutan harus dapat memberi harapan akan hadirnya berbagai pilihan akan pemaknaan berbagai kejutan yang terjadi hingga final piala dunia mengajarkan kita untuk membangun sebuah peradaban yang lebih baik</t>
  </si>
  <si>
    <t>['kejutan', 'memberi', 'harapan', 'hadirnya', 'berbagai', 'pilihan', 'pemaknaan', 'berbagai', 'kejutan', 'terjadi', 'hingga', 'final', 'piala', 'dunia', 'mengajarkan', 'membangun', 'sebuah', 'peradaban', 'lebih', 'baik']</t>
  </si>
  <si>
    <t>Top 3 Berita Bola: Balasan Menohok Wasit Final Piala Dunia 2022 untuk Prancis  https://t.co/xB8ofxDs1j</t>
  </si>
  <si>
    <t>top berita bola balasan menohok wasit final piala dunia untuk prancis</t>
  </si>
  <si>
    <t>['top', 'berita', 'bola', 'balasan', 'menohok', 'wasit', 'final', 'piala', 'dunia', 'prancis']</t>
  </si>
  <si>
    <t>Perang Petisi setelah Piala Dunia 2022: Fans Argentina Minta Perancis Berhenti Menangisi Hasil Final    https://t.co/qIowJvRDuX lewat @tribunnews</t>
  </si>
  <si>
    <t>perang petisi setelah piala dunia fans argentina minta perancis berhenti menangisi hasil final lewat</t>
  </si>
  <si>
    <t>['perang', 'petisi', 'piala', 'dunia', 'fans', 'argentina', 'minta', 'perancis', 'berhenti', 'menangisi', 'hasil', 'final', 'lewat']</t>
  </si>
  <si>
    <t>Setiap kejutan harus dapat memberi harapan akan hadirnya berbagai pilihan akan pemaknaan. Berbagai kejutan yang terjadi hingga final Piala Dunia mengajarkan kita untuk membangun sebuah peradaban yang lebih baik. #Opini #AdadiKompas  https://t.co/0QUyvkF7XD</t>
  </si>
  <si>
    <t>Top 3 Berita Bola: Balasan Menohok Wasit Final Piala Dunia 2022 untuk Prancis  https://t.co/33i3RnAGcD</t>
  </si>
  <si>
    <t>Pengakuan Dosa Wasit Final Piala Dunia 2022, Bikin Blunder Rugikan Prancis  https://t.co/XfjaH6yEcA</t>
  </si>
  <si>
    <t>pengakuan dosa wasit final piala dunia bikin blunder rugikan prancis</t>
  </si>
  <si>
    <t>['pengakuan', 'dosa', 'wasit', 'final', 'piala', 'dunia', 'blunder', 'rugikan', 'prancis']</t>
  </si>
  <si>
    <t>Setiap kejutan harus dapat memberi harapan akan hadirnya berbagai pilihan akan pemaknaan. Berbagai kejutan yang terjadi hingga final Piala Dunia mengajarkan kita untuk membangun sebuah peradaban yang lebih baik. #Opini #AdadiKompas  https://t.co/gtJD5GBb5J</t>
  </si>
  <si>
    <t>Mengenal Celia Maria Cuccitini, Ibunda Lionel Messi yang Masuk Lapangan usai sang Anak Cetak Gol di Final Piala Dunia 2022 #CelebritiesDotID #InfoCelebTerkini   https://t.co/LvvBaqk80G</t>
  </si>
  <si>
    <t>mengenal celia maria cuccitini ibunda lionel messi yang masuk lapangan usai sang anak cetak gol final piala dunia</t>
  </si>
  <si>
    <t>['mengenal', 'celia', 'maria', 'cuccitini', 'ibunda', 'lionel', 'messi', 'masuk', 'lapangan', 'usai', 'sang', 'anak', 'cetak', 'gol', 'final', 'piala', 'dunia']</t>
  </si>
  <si>
    <t>@Dennysiregar7 Desi, masih rame tuh suasana final sepak bola piala dunia 2022 di Qatar, sungguh ajaib, dunia barat makin waras, kata kaum kafir yg nonton bola ternyata tanpa miras itu mmng asik mnyenangkan, lebih nyaman, aman, seru</t>
  </si>
  <si>
    <t>desi masih rame tuh suasana final sepak bola piala dunia qatar sungguh ajaib dunia barat makin waras kata kaum kafir nonton bola ternyata tanpa miras itu mmng asik mnyenangkan lebih nyaman aman seru</t>
  </si>
  <si>
    <t>['desi', 'ramai', 'suasana', 'final', 'sepak', 'bola', 'piala', 'dunia', 'qatar', 'sungguh', 'ajaib', 'dunia', 'barat', 'makin', 'waras', 'kata', 'kaum', 'kafir', 'nonton', 'bola', 'ternyata', 'miras', 'mmng', 'asik', 'mnyenangkan', 'lebih', 'nyaman', 'aman', 'seru']</t>
  </si>
  <si>
    <t>Legenda Liverpool Graeme Souness mengecam sikap Emiliano Martinez di final Piala Dunia 2022. Kiper Argentina itu dinilai sudah bikin malu negaranya.  https://t.co/79l7IHx9Tp</t>
  </si>
  <si>
    <t>Wasit di laga final Piala Dunia 2022 mengaku membuat kesalahan yang merugikan Prancis, apa itu?  #FIFAWorldCup2022  https://t.co/gWGhQNanZ2</t>
  </si>
  <si>
    <t>wasit laga final piala dunia mengaku membuat kesalahan yang merugikan prancis apa itu</t>
  </si>
  <si>
    <t>['wasit', 'laga', 'final', 'piala', 'dunia', 'mengaku', 'membuat', 'kesalahan', 'merugikan', 'prancis', 'apa']</t>
  </si>
  <si>
    <t>Tak terasa sudah tujuh hari berlalu sejak kita menyaksikan final Piala Dunia 2022 yang superdramatis! ü§Ø  Tonton kembali keseruannya dalam jepretan lensa berikut ini! üì∏  #FIFAWorldCup #Qatar2022 #ARG #FRA  https://t.co/2aS4TQjDkO</t>
  </si>
  <si>
    <t>tak terasa sudah tujuh hari berlalu sejak kita menyaksikan final piala dunia yang superdramatis tonton kembali keseruannya dalam jepretan lensa berikut ini</t>
  </si>
  <si>
    <t>['tak', 'terasa', 'tujuh', 'hari', 'berlalu', 'sejak', 'menyaksikan', 'final', 'piala', 'dunia', 'superdramatis', 'tonton', 'keseruannya', 'jepretan', 'lensa', 'berikut']</t>
  </si>
  <si>
    <t>Sekali Lagi tentang Final Piala Dunia 2022: Sepak Bola anti-Rasis vs Kulit Putih  https://t.co/M9QFcjACNs  https://t.co/LyoPUM779F</t>
  </si>
  <si>
    <t>sekali lagi tentang final piala dunia sepak bola anti rasis kulit putih</t>
  </si>
  <si>
    <t>['sekali', 'final', 'piala', 'dunia', 'sepak', 'bola', 'anti', 'rasis', 'kulit', 'putih']</t>
  </si>
  <si>
    <t>156.KAKANWIL KEMENKUMHAM JATENG A YUSPAHRUDDIN: Tegal Kanwil Kemenkumham Jateng Gelar Nobar Final Piala Dunia dan Makan Bersama dengan Petugas Serta Keluarganya  https://t.co/q4tp42uIjw</t>
  </si>
  <si>
    <t>kakanwil kemenkumham jateng yuspahruddin tegal kanwil kemenkumham jateng gelar nobar final piala dunia dan makan bersama dengan petugas serta keluarganya</t>
  </si>
  <si>
    <t>['kakanwil', 'kemenkumham', 'jateng', 'yuspahruddin', 'tegal', 'kanwil', 'kemenkumham', 'jateng', 'gelar', 'nonton bareng', 'final', 'piala', 'dunia', 'makan', 'bersama', 'petugas', 'keluarganya']</t>
  </si>
  <si>
    <t>Wasit Final Piala Dunia 2022 Akui Bikin Kesalahan yang Rugikan Perancis  https://t.co/bXptASFSyG</t>
  </si>
  <si>
    <t>wasit final piala dunia akui bikin kesalahan yang rugikan perancis</t>
  </si>
  <si>
    <t>['wasit', 'final', 'piala', 'dunia', 'akui', 'kesalahan', 'rugikan', 'perancis']</t>
  </si>
  <si>
    <t>Wasit Szymon Marciniak akui melakukan satu kesalahan saat memimpin pertandingan final Piala Dunia 2022 Argentina vs Perancis.   https://t.co/kpwYOKGwWA</t>
  </si>
  <si>
    <t>wasit szymon marciniak akui melakukan satu kesalahan saat memimpin pertandingan final piala dunia argentina perancis</t>
  </si>
  <si>
    <t>['wasit', 'szymon', 'marciniak', 'akui', 'melakukan', 'satu', 'kesalahan', 'memimpin', 'pertandingan', 'final', 'piala', 'dunia', 'argentina', 'perancis']</t>
  </si>
  <si>
    <t>Sah atau Tidak? Wasit Szymon Marciniak Balas Kritik Soal Gol Lionel Messi di Final Piala Dunia 2022  https://t.co/FYlpOBO9Yk</t>
  </si>
  <si>
    <t>sah atau tidak wasit szymon marciniak balas kritik soal gol lionel messi final piala dunia</t>
  </si>
  <si>
    <t>['sah', 'wasit', 'szymon', 'marciniak', 'balas', 'kritik', 'soal', 'gol', 'lionel', 'messi', 'final', 'piala', 'dunia']</t>
  </si>
  <si>
    <t>200.000 Fans Timnas Prancis Tanda Tangani Petisi Desak Final Piala Dunia 2022 Diulang  https://t.co/rrha5x7zMN</t>
  </si>
  <si>
    <t>fans timnas prancis tanda tangani petisi desak final piala dunia diulang</t>
  </si>
  <si>
    <t>['fans', 'timnas', 'prancis', 'tanda', 'tangani', 'petisi', 'desak', 'final', 'piala', 'dunia', 'diulang']</t>
  </si>
  <si>
    <t>@idextratime jujur kalo gw jdi ronaldo, gw bakal dateng nonton final &amp;amp; nunjukin kebesaran hati dgn masuk ke lapangan ngasih selamat ke messi buat juara dunia nya, bahkan klo boleh ngomng ke panitianya buat nyerahin piala sih,buat nunjukin kerendahan h</t>
  </si>
  <si>
    <t>jujur kalo jdi ronaldo bakal dateng nonton final nunjukin kebesaran hati dgn masuk lapangan ngasih selamat messi buat juara dunia nya bahkan klo boleh ngomng panitianya buat nyerahin piala sih buat nunjukin kerendahan</t>
  </si>
  <si>
    <t>['jujur', 'jdi', 'ronaldo', 'bakal', 'dateng', 'nonton', 'final', 'nunjukin', 'kebesaran', 'hati', 'masuk', 'lapangan', 'ngasih', 'selamat', 'messi', 'buat', 'juara', 'dunia', 'bahkan', 'ngomng', 'panitianya', 'buat', 'nyerahin', 'piala', 'buat', 'nunjukin', 'kerendahan']</t>
  </si>
  <si>
    <t>Gol Lionel Messi Diprotes, Wasit VAR Final Piala Dunia 2022 Beri Penjelasan  https://t.co/DibeGrltz9</t>
  </si>
  <si>
    <t>gol lionel messi diprotes wasit var final piala dunia beri penjelasan</t>
  </si>
  <si>
    <t>['gol', 'lionel', 'messi', 'diprotes', 'wasit', 'var', 'final', 'piala', 'dunia', 'beri', 'penjelasan']</t>
  </si>
  <si>
    <t>@SARIDIN_MYR @rahmad_anw @yusuf_dumdum Wkwkekek wis tak dugo paling iki senjata e. Yen arep gawe fitnah sing rajin Entuk berita di pelajari disik  Twiitt digawe tgl 11 des. Final piala dunia tgl 18 des, otomatis perayaan bar tgl 18 des Mosok durung ono pe</t>
  </si>
  <si>
    <t>myr anw dumdum wkwkekek wis tak dugo paling iki senjata yen arep gawe fitnah sing rajin entuk berita pelajari disik twiitt digawe tgl des final piala dunia tgl des otomatis perayaan bar tgl des mosok durung ono</t>
  </si>
  <si>
    <t>['myr', 'anw', 'dumdum', 'wkwkekek', 'wis', 'tak', 'dugo', 'paling', 'iki', 'senjata', 'yen', 'arep', 'gawe', 'fitnah', 'sing', 'rajin', 'entuk', 'berita', 'pelajari', 'disik', 'twiitt', 'digawe', 'tgl', 'des', 'final', 'piala', 'dunia', 'tgl', 'des', 'otomatis', 'perayaan', 'bar', 'tgl', 'des', 'mosok', 'durung', 'ono']</t>
  </si>
  <si>
    <t>&lt;FreqDist with 33 samples and 37 outcomes&gt;</t>
  </si>
  <si>
    <t>@Bolanet Setuju biar nonton lagi final piala dunia yg ke2 kalinya pada tahun yg sama</t>
  </si>
  <si>
    <t>setuju biar nonton lagi final piala dunia kalinya pada tahun sama</t>
  </si>
  <si>
    <t>['setuju', 'nonton', 'final', 'piala', 'dunia', 'kalinya', 'tahun', 'sama']</t>
  </si>
  <si>
    <t>Wasit Laga Final Piala Dunia 2022 Argentina vs Prancis Akui Bikin Kesalahan, Apa Itu?  https://t.co/tnWZYxjjhn</t>
  </si>
  <si>
    <t>wasit laga final piala dunia argentina prancis akui bikin kesalahan apa itu</t>
  </si>
  <si>
    <t>['wasit', 'laga', 'final', 'piala', 'dunia', 'argentina', 'prancis', 'akui', 'kesalahan', 'apa']</t>
  </si>
  <si>
    <t>Wasit Final Piala Dunia 2022 Ngaku Blunder Ambil Keputusan #PialaDunia2022 #WorldCup #WorldcupQatar2022   https://t.co/qe2qoMCkOr lewat @Holopis.com</t>
  </si>
  <si>
    <t>wasit final piala dunia ngaku blunder ambil keputusan lewat com</t>
  </si>
  <si>
    <t>['wasit', 'final', 'piala', 'dunia', 'ngaku', 'blunder', 'ambil', 'keputusan', 'lewat', 'com']</t>
  </si>
  <si>
    <t>4 Bintang Sepakbola Masuk Perempat Final Piala Dunia 2022, Siapa Paling Kaya?  https://t.co/XFdbbbtclk</t>
  </si>
  <si>
    <t>bintang sepakbola masuk perempat final piala dunia siapa paling kaya</t>
  </si>
  <si>
    <t>['bintang', 'sepakbola', 'masuk', 'perempat', 'final', 'piala', 'dunia', 'siapa', 'paling', 'kaya']</t>
  </si>
  <si>
    <t>Wasit dan Pendukung Argentina Tanggapi Petisi Minta Ulang Final Piala Dunia  https://t.co/O6Q09OqzcS</t>
  </si>
  <si>
    <t>wasit dan pendukung argentina tanggapi petisi minta ulang final piala dunia</t>
  </si>
  <si>
    <t>['wasit', 'pendukung', 'argentina', 'tanggapi', 'petisi', 'minta', 'ulang', 'final', 'piala', 'dunia']</t>
  </si>
  <si>
    <t>Fan Prancis Bikin Petisi, Minta Laga Final Piala Dunia 2022¬†Diulang  https://t.co/2ANNumicQM</t>
  </si>
  <si>
    <t>fan prancis bikin petisi minta laga final piala dunia diulang</t>
  </si>
  <si>
    <t>['fan', 'prancis', 'petisi', 'minta', 'laga', 'final', 'piala', 'dunia', 'diulang']</t>
  </si>
  <si>
    <t>Tim Eropa telah mencapai final di setiap Piala   Dunia kecuali pada tahun 1930 dan 1950.</t>
  </si>
  <si>
    <t>tim eropa telah mencapai final setiap piala dunia kecuali pada tahun dan</t>
  </si>
  <si>
    <t>['tim', 'eropa', 'mencapai', 'final', 'piala', 'dunia', 'tahun']</t>
  </si>
  <si>
    <t>Tak Terima Kekalahan, Fans Prancis Ajukan Petisi Minta Ulangi Laga Final Piala Dunia 2022  https://t.co/wa89UetodC #beritajogja #jogja #jogjaistimewa  https://t.co/irf0JnAg2a</t>
  </si>
  <si>
    <t>tak terima kekalahan fans prancis ajukan petisi minta ulangi laga final piala dunia</t>
  </si>
  <si>
    <t>['tak', 'terima', 'kekalahan', 'fans', 'prancis', 'ajukan', 'petisi', 'minta', 'ulangi', 'laga', 'final', 'piala', 'dunia']</t>
  </si>
  <si>
    <t>Final piala dunia sudah satu minggu yang lalu</t>
  </si>
  <si>
    <t>final piala dunia sudah satu minggu yang lalu</t>
  </si>
  <si>
    <t>['final', 'piala', 'dunia', 'satu', 'minggu', 'lalu']</t>
  </si>
  <si>
    <t xml:space="preserve">@ID_Albiceleste Setelah itu argentina selalu terbelakang dari generasi emas brasil. Coppa amerika dikuasi, laga final selalu kalah. 2005 saya nontn pertama kali messi main di piala dunia u-20 menang di final lawan nigeria. Dilevel timnas senior murni tak </t>
  </si>
  <si>
    <t>albiceleste setelah itu argentina selalu terbelakang dari generasi emas brasil coppa amerika dikuasi laga final selalu kalah saya nontn pertama kali messi main piala dunia menang final lawan nigeria dilevel timnas senior murni tak</t>
  </si>
  <si>
    <t>['albiceleste', 'argentina', 'selalu', 'terbelakang', 'generasi', 'emas', 'brasil', 'coppa', 'amerika', 'dikuasi', 'laga', 'final', 'selalu', 'kalah', 'nontn', 'pertama', 'kali', 'messi', 'main', 'piala', 'dunia', 'menang', 'final', 'lawan', 'nigeria', 'dilevel', 'timnas', 'senior', 'murni', 'tak']</t>
  </si>
  <si>
    <t>Muncul petisi berjudul 'France Stop Crying'. Itu adalah balasan dari Argentina buat Perancis yang meminta laga final Piala Dunia 2022 diulang.   https://t.co/vYQaLALi62</t>
  </si>
  <si>
    <t>muncul petisi berjudul france stop crying itu adalah balasan dari argentina buat perancis yang meminta laga final piala dunia diulang</t>
  </si>
  <si>
    <t>['muncul', 'petisi', 'berjudul', 'france', 'stop', 'crying', 'balasan', 'argentina', 'buat', 'perancis', 'meminta', 'laga', 'final', 'piala', 'dunia', 'diulang']</t>
  </si>
  <si>
    <t>Gerah Gol Lionel Messi Ramai Diprotes, Wasit VAR Final Piala Dunia 2022 Ikut Beri Penjelasan #LengkapCepatBeritanya #Bola #SepakBola #SepakbolaDunia #BolaDunia .  https://t.co/9k6sXNtrCz</t>
  </si>
  <si>
    <t>gerah gol lionel messi ramai diprotes wasit var final piala dunia ikut beri penjelasan</t>
  </si>
  <si>
    <t>['gerah', 'gol', 'lionel', 'messi', 'ramai', 'diprotes', 'wasit', 'var', 'final', 'piala', 'dunia', 'ikut', 'beri', 'penjelasan']</t>
  </si>
  <si>
    <t>Wasit Final Piala Dunia Mengaku Bikin Satu Kesalahan Rugikan Prancis  https://t.co/nK47kxMOgC</t>
  </si>
  <si>
    <t>wasit final piala dunia mengaku bikin satu kesalahan rugikan prancis</t>
  </si>
  <si>
    <t>['wasit', 'final', 'piala', 'dunia', 'mengaku', 'satu', 'kesalahan', 'rugikan', 'prancis']</t>
  </si>
  <si>
    <t>Sepertinya final piala dunia kemarin belum tuntas setelah adu pinalty</t>
  </si>
  <si>
    <t>sepertinya final piala dunia kemarin belum tuntas setelah adu pinalty</t>
  </si>
  <si>
    <t>['sepertinya', 'final', 'piala', 'dunia', 'kemarin', 'tuntas', 'adu', 'pinalty']</t>
  </si>
  <si>
    <t>@Askrlfess Kemarin waktu nonton final piala dunia sampe jam setengah 3 pagi. Bangun jam 5 pagi. Siangnya mata perih, badan berasa melayang</t>
  </si>
  <si>
    <t>kemarin waktu nonton final piala dunia sampe jam setengah pagi bangun jam pagi siangnya mata perih badan berasa melayang</t>
  </si>
  <si>
    <t>['kemarin', 'waktu', 'nonton', 'final', 'piala', 'dunia', 'sampai', 'jam', 'setengah', 'pagi', 'bangun', 'jam', 'pagi', 'siangnya', 'mata', 'perih', 'badan', 'berasa', 'melayang']</t>
  </si>
  <si>
    <t>@tempodotco Kami sekeluarga yang merupakan pendukung tim Argentina menyatakan tidak setuju pertandingan final piala dunia diulang. Adios Permios Terimakasih üôè</t>
  </si>
  <si>
    <t>kami sekeluarga yang merupakan pendukung tim argentina menyatakan tidak setuju pertandingan final piala dunia diulang adios permios terimakasih</t>
  </si>
  <si>
    <t>['sekeluarga', 'merupakan', 'pendukung', 'tim', 'argentina', 'menyatakan', 'setuju', 'pertandingan', 'final', 'piala', 'dunia', 'diulang', 'adios', 'permios', 'terimakasih']</t>
  </si>
  <si>
    <t>Padahal pas goll mbappe juga ada pemain prancis yg masuk lapangan üòÉ  Ratusan Ribu Fans Tanda Tangani Petisi, Desak FIFA Ulang Partai Final Piala Dunia 2022 Argentina vs Prancis  https://t.co/8mbiWcwdyR</t>
  </si>
  <si>
    <t>padahal pas goll mbappe juga ada pemain prancis masuk lapangan ratusan ribu fans tanda tangani petisi desak fifa ulang partai final piala dunia argentina prancis</t>
  </si>
  <si>
    <t>['padahal', 'pas', 'goll', 'mbappe', 'pemain', 'prancis', 'masuk', 'lapangan', 'ratusan', 'ribu', 'fans', 'tanda', 'tangani', 'petisi', 'desak', 'fifa', 'ulang', 'partai', 'final', 'piala', 'dunia', 'argentina', 'prancis']</t>
  </si>
  <si>
    <t>5 Liverpool yang Paling Banyak Bermain di Piala Dunia 2022, Ada Yang Main di Final  https://t.co/2hugs459ZN</t>
  </si>
  <si>
    <t>liverpool yang paling banyak bermain piala dunia ada yang main final</t>
  </si>
  <si>
    <t>['liverpool', 'paling', 'banyak', 'bermain', 'piala', 'dunia', 'main', 'final']</t>
  </si>
  <si>
    <t>@MMTimurTengah Wah parah sih, rusuh banget kemaren pas final piala dunia wkwkwkwk</t>
  </si>
  <si>
    <t>wah parah sih rusuh banget kemaren pas final piala dunia wkwkwkwk</t>
  </si>
  <si>
    <t>['wah', 'parah', 'rusuh', 'banget', 'kemarin', 'pas', 'final', 'piala', 'dunia', 'wkwkwkwk']</t>
  </si>
  <si>
    <t>4 Momen Musuh Kembali Jadi Teman Usai Final Piala Dunia 2022 ‚Äì CNN Indonesia ‚Äì Google Berita Olahraga ‚Äì  https://t.co/dbKd5rPjEm ‚Äì #Arenanews #Kamidi #Opsiminfo- https://t.co/2Wdf2nU2v6</t>
  </si>
  <si>
    <t>momen musuh kembali jadi teman usai final piala dunia cnn indonesia google berita olahraga</t>
  </si>
  <si>
    <t>['momen', 'musuh', 'jadi', 'teman', 'usai', 'final', 'piala', 'dunia', 'cnn', 'indonesia', 'google', 'berita', 'olahraga']</t>
  </si>
  <si>
    <t>4 Momen Musuh Kembali Jadi Teman Usai Final Piala Dunia 2022 ‚Äì CNN Indonesia ‚Äì Google Berita Olahraga ‚Äì  https://t.co/9ATSRAr3gV ‚Äì #Arenanews #Kamidi¬†#Opsiminfo  https://t.co/kUNSF0tgMv</t>
  </si>
  <si>
    <t>Dituding Curang Sahkan Gol Lionel Messi, Wasit Final Piala Dunia 2022 Beri Jawaban Menohok Kepada Kubu Prancis.  https://t.co/CkXhcXQlM8</t>
  </si>
  <si>
    <t>dituding curang sahkan gol lionel messi wasit final piala dunia beri jawaban menohok kepada kubu prancis</t>
  </si>
  <si>
    <t>['dituding', 'curang', 'sahkan', 'gol', 'lionel', 'messi', 'wasit', 'final', 'piala', 'dunia', 'beri', 'jawaban', 'menohok', 'kubu', 'prancis']</t>
  </si>
  <si>
    <t>156.KAKANWIL KEMENKUMHAM JATENG A YUSPAHRUDDIN: Tegal Kanwil Kemenkumham Jateng Gelar Nobar Final Piala Dunia dan Makan Bersama dengan Petugas Serta Keluarganya  https://t.co/BEl3RF8Q8B</t>
  </si>
  <si>
    <t>Balasan Menohok Wasit Final Piala Dunia Usai Dituding Bela¬†Argentina  https://t.co/yxHKDRXJvK</t>
  </si>
  <si>
    <t>balasan menohok wasit final piala dunia usai dituding bela argentina</t>
  </si>
  <si>
    <t>['balasan', 'menohok', 'wasit', 'final', 'piala', 'dunia', 'usai', 'dituding', 'bela', 'argentina']</t>
  </si>
  <si>
    <t>Dianggap Tidak Adil Atas Gol Ketiga Argentina, Wasit Final Piala Dunia 2022 Angkat Bicara  https://t.co/N3oIkdqG57 #Argentina #PialaDunia2022 #Prancis #Wasit  https://t.co/BHGppKqOAo</t>
  </si>
  <si>
    <t>dianggap tidak adil atas gol ketiga argentina wasit final piala dunia angkat bicara</t>
  </si>
  <si>
    <t>['dianggap', 'adil', 'atas', 'gol', 'ketiga', 'argentina', 'wasit', 'final', 'piala', 'dunia', 'angkat', 'bicara']</t>
  </si>
  <si>
    <t>Puan Maharani mendukung tim sepak bola Argentina yang melawan Prancis dalam final Piala Dunia 2022.  https://t.co/YDAtMxP5Tj</t>
  </si>
  <si>
    <t>Reaksi Wasit Final Piala Dunia 2022 yang Gerah Terus Dikritik  https://t.co/IgllvcXtTw</t>
  </si>
  <si>
    <t>reaksi wasit final piala dunia yang gerah terus dikritik</t>
  </si>
  <si>
    <t>['reaksi', 'wasit', 'final', 'piala', 'dunia', 'gerah', 'terus', 'dikritik']</t>
  </si>
  <si>
    <t>Wasit Final Piala Dunia 2022 Buka Suara Soal Kontroversi Gol Messi  https://t.co/cOoZ08Ckqi</t>
  </si>
  <si>
    <t>wasit final piala dunia buka suara soal kontroversi gol messi</t>
  </si>
  <si>
    <t>['wasit', 'final', 'piala', 'dunia', 'buka', 'suara', 'soal', 'kontroversi', 'gol', 'messi']</t>
  </si>
  <si>
    <t>Balasan Menohok Wasit Final Piala Dunia Usai Dituding Bela Argentina  https://t.co/UtcFLi4TkC  https://t.co/jVOZ5n4ZGc</t>
  </si>
  <si>
    <t>Wasit Final Piala Dunia 2022 Akui Bikin Kesalahan di Laga Argentina vs Prancis, Apa Itu? #LengkapCepatBeritanya #Bola #SepakBola #SepakbolaDunia #BolaDunia .  https://t.co/iqWuXeeiGx</t>
  </si>
  <si>
    <t>wasit final piala dunia akui bikin kesalahan laga argentina prancis apa itu</t>
  </si>
  <si>
    <t>['wasit', 'final', 'piala', 'dunia', 'akui', 'kesalahan', 'laga', 'argentina', 'prancis', 'apa']</t>
  </si>
  <si>
    <t>Puan Maharani mendukung tim sepak bola Argentina yang melawan Prancis dalam final Piala Dunia 2022.  https://t.co/zLrzqyMx2M</t>
  </si>
  <si>
    <t>Diprotes, Wasit Final Piala Dunia 2022 Szymon Marciniak Jelaskan Gol Ketiga Argentina  https://t.co/cWtbacRaeW</t>
  </si>
  <si>
    <t>diprotes wasit final piala dunia szymon marciniak jelaskan gol ketiga argentina</t>
  </si>
  <si>
    <t>['diprotes', 'wasit', 'final', 'piala', 'dunia', 'szymon', 'marciniak', 'jelaskan', 'gol', 'ketiga', 'argentina']</t>
  </si>
  <si>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</si>
  <si>
    <t>situasi masih panas usai piala dunia yang dimenangkan oleh argentina fans prancis membuat petisi online yang meminta pertandingan final antara prancis dan argentina diulang salah satu fans albiceleste membalas dengan membuat petisi prancis berhenti menangis</t>
  </si>
  <si>
    <t>['situasi', 'panas', 'usai', 'piala', 'dunia', 'dimenangkan', 'argentina', 'fans', 'prancis', 'membuat', 'petisi', 'online', 'meminta', 'pertandingan', 'final', 'prancis', 'argentina', 'diulang', 'salah', 'satu', 'fans', 'albiceleste', 'membalas', 'membuat', 'petisi', 'prancis', 'berhenti', 'menangis']</t>
  </si>
  <si>
    <t>Ketika Musuh Kembali Jadi Teman Usai Final Piala Dunia 2022  https://t.co/s4bszXsua1 #Argentina #Prancis #ArgentinaVsPrancis #PialaDunia</t>
  </si>
  <si>
    <t>ketika musuh kembali jadi teman usai final piala dunia</t>
  </si>
  <si>
    <t>['musuh', 'jadi', 'teman', 'usai', 'final', 'piala', 'dunia']</t>
  </si>
  <si>
    <t>KAKANWIL KEMENKUMHAM JATENG A YUSPAHRUDDIN: Tegal Kanwil Kemenkumham Jateng Gelar Nobar Final Piala Dunia dan Makan Bersama dengan Petugas Serta Keluarganya  https://t.co/2LreFeerdD</t>
  </si>
  <si>
    <t xml:space="preserve">@numberrs_ @heydeww_ @idextratime Ini wasit terbaik selama wc. Wasit2 premier league ngomong gitu ini wasit terbaik selama final piala dunia. Krn wasit ini mantan pemain pro jd dia hapal btl trik2 pemain. Dia satu2nya wasit yg ga pke var di final. Banyak </t>
  </si>
  <si>
    <t>ini wasit terbaik selama wasit premier league ngomong gitu ini wasit terbaik selama final piala dunia krn wasit ini mantan pemain pro dia hapal btl trik pemain dia satu nya wasit pke var final banyak</t>
  </si>
  <si>
    <t>['wasit', 'terbaik', 'selama', 'wasit', 'premier', 'league', 'ngomong', 'gitu', 'wasit', 'terbaik', 'selama', 'final', 'piala', 'dunia', 'wasit', 'mantan', 'pemain', 'pro', 'hapal', 'btl', 'trik', 'pemain', 'satu', 'wasit', 'pke', 'var', 'final', 'banyak']</t>
  </si>
  <si>
    <t>Kalo mau nonton ulang final Piala Dunia 2022 bisa liat di yutubüôè</t>
  </si>
  <si>
    <t>kalo mau nonton ulang final piala dunia bisa liat yutub</t>
  </si>
  <si>
    <t>['mau', 'nonton', 'ulang', 'final', 'piala', 'dunia', 'lihat', 'yutub']</t>
  </si>
  <si>
    <t>@R_min80 @aniesbaswedan Argentina aja menang Piala Dunia tanggal 18 Desember. Pak Anies udah ngetwit kerumunan Argentina menang Piala Dunia~ jagoan Pak Anies~  Padahal Perancis baru menang lawang Inggris di perempat final tanggal 11 Desember mah.  Yang he</t>
  </si>
  <si>
    <t>min argentina aja menang piala dunia tanggal desember pak anies udah ngetwit kerumunan argentina menang piala dunia jagoan pak anies padahal perancis baru menang lawang inggris perempat final tanggal desember mah yang</t>
  </si>
  <si>
    <t>['min', 'argentina', 'menang', 'piala', 'dunia', 'tanggal', 'desember', 'pak', 'anies', 'udah', 'ngetwit', 'kerumunan', 'argentina', 'menang', 'piala', 'dunia', 'jagoan', 'pak', 'anies', 'padahal', 'perancis', 'baru', 'menang', 'lawang', 'inggris', 'perempat', 'final', 'tanggal', 'desember', 'mah']</t>
  </si>
  <si>
    <t>&lt;FreqDist with 21 samples and 30 outcomes&gt;</t>
  </si>
  <si>
    <t>@DilanDaewokas Jgn mau dibodohi bang. Coba lihat yg teliti, postingan pak Anies kapan, final piala dunia kapan.</t>
  </si>
  <si>
    <t>jgn mau dibodohi bang coba lihat teliti postingan pak anies kapan final piala dunia kapan</t>
  </si>
  <si>
    <t>['mau', 'dibodohi', 'bang', 'coba', 'lihat', 'teliti', 'postingan', 'pak', 'anies', 'kapan', 'final', 'piala', 'dunia', 'kapan']</t>
  </si>
  <si>
    <t>4 Momen Musuh Kembali Jadi Teman Usai Final Piala Dunia 2022  https://t.co/gCnY9TIZJH</t>
  </si>
  <si>
    <t>momen musuh kembali jadi teman usai final piala dunia</t>
  </si>
  <si>
    <t>['momen', 'musuh', 'jadi', 'teman', 'usai', 'final', 'piala', 'dunia']</t>
  </si>
  <si>
    <t>Ya ampun waktu berlalu cepat banget gak kerasa, final piala dunia udah seminggu yang lalu. Terus bentar lagi tahun baru.</t>
  </si>
  <si>
    <t>ampun waktu berlalu cepat banget gak kerasa final piala dunia udah seminggu yang lalu terus bentar lagi tahun baru</t>
  </si>
  <si>
    <t>['ampun', 'waktu', 'berlalu', 'cepat', 'banget', 'kerasa', 'final', 'piala', 'dunia', 'udah', 'seminggu', 'lalu', 'terus', 'bentar', 'tahun', 'baru']</t>
  </si>
  <si>
    <t>Seorang fans Argentina meluncurkan petisi online "Prancis berhenti menangis" untuk membalas petisi yang meminta agar final Piala Dunia 2022 diulang.  #FIFAWorldCup2022    https://t.co/dFoMwHGJMk</t>
  </si>
  <si>
    <t>seorang fans argentina meluncurkan petisi online prancis berhenti menangis untuk membalas petisi yang meminta agar final piala dunia diulang</t>
  </si>
  <si>
    <t>['seorang', 'fans', 'argentina', 'meluncurkan', 'petisi', 'online', 'prancis', 'berhenti', 'menangis', 'membalas', 'petisi', 'meminta', 'final', 'piala', 'dunia', 'diulang']</t>
  </si>
  <si>
    <t>@GOAL_ID Dari semua final piala dunia Argentina vs Perancis yg paling ideal benar2 menegangkanüëçüëç</t>
  </si>
  <si>
    <t>dari semua final piala dunia argentina perancis paling ideal benar menegangkan</t>
  </si>
  <si>
    <t>['semua', 'final', 'piala', 'dunia', 'argentina', 'perancis', 'paling', 'ideal', 'benar', 'menegangkan']</t>
  </si>
  <si>
    <t>Belum Ikhlas, Ratusan Ribu Fans Prancis Tanda Tangan Petisi Minta Final Piala Dunia 2022 Diulang ‚Äì inews ‚Äì  https://t.co/mznJClnAOX ‚Äì #Arenanews #Kamidi #Opsiminfo- https://t.co/TRvpOrzdZD</t>
  </si>
  <si>
    <t>belum ikhlas ratusan ribu fans prancis tanda tangan petisi minta final piala dunia diulang inews</t>
  </si>
  <si>
    <t>['ikhlas', 'ratusan', 'ribu', 'fans', 'prancis', 'tanda', 'tangan', 'petisi', 'minta', 'final', 'piala', 'dunia', 'diulang', 'inews']</t>
  </si>
  <si>
    <t>KAKANWIL KEMENKUMHAM JATENG A YUSPAHRUDDIN: Tegal Kanwil Kemenkumham Jateng Gelar Nobar Final Piala Dunia dan Makan Bersama dengan Petugas Serta Keluarganya  https://t.co/gVGpkDz3CE</t>
  </si>
  <si>
    <t>Belum Ikhlas, Ratusan Ribu Fans Prancis Tanda Tangan Petisi Minta Final Piala Dunia 2022 Diulang ‚Äì inews ‚Äì  https://t.co/BIH9ROhj0G ‚Äì #Arenanews #Kamidi¬†#Opsiminfo  https://t.co/qii4lpZorD</t>
  </si>
  <si>
    <t>KAKANWIL KEMENKUMHAM JATENG A YUSPAHRUDDIN: Tegal Kanwil Kemenkumham Jateng Gelar Nobar Final Piala Dunia dan Makan Bersama dengan Petugas Serta Keluarganya  https://t.co/PvGJ7MzHpP</t>
  </si>
  <si>
    <t>Diprotes, Wasit Final Piala Dunia 2022 Szymon Marciniak Jelaskan Gol Ketiga Argentina  https://t.co/jMCRornkvn #Argentina #FinalPialaDunia2022 #Messi #SzymonMarciniak</t>
  </si>
  <si>
    <t>Mari kita rewatch final piala dunia üòò</t>
  </si>
  <si>
    <t>mari kita rewatch final piala dunia</t>
  </si>
  <si>
    <t>['rewatch', 'final', 'piala', 'dunia']</t>
  </si>
  <si>
    <t>Rupanya Didier Deschamps tak puas dengan penampilan Olivier Giroud dalam laga Final Piala Dunia 2022 di Qatar kemarin.  "Saya tidak puas." sebut Didier Deschamps  #kantorbola #lfl #giroud #oliviergiroud #timnasperancis #prancis  https://t.co/gJnMowCq14</t>
  </si>
  <si>
    <t>rupanya didier deschamps tak puas dengan penampilan olivier giroud dalam laga final piala dunia qatar kemarin saya tidak puas sebut didier deschamps</t>
  </si>
  <si>
    <t>['rupanya', 'didier', 'deschamps', 'tak', 'puas', 'penampilan', 'olivier', 'giroud', 'laga', 'final', 'piala', 'dunia', 'qatar', 'kemarin', 'puas', 'sebut', 'didier', 'deschamps']</t>
  </si>
  <si>
    <t>Kalahkan Maroko, Prancis melaju ke final Piala Dunia 2022 bertemu Argentina  https://t.co/VWcZFhL00K  https://t.co/ykHnIhVRYw</t>
  </si>
  <si>
    <t>kalahkan maroko prancis melaju final piala dunia bertemu argentina</t>
  </si>
  <si>
    <t>['kalahkan', 'maroko', 'prancis', 'melaju', 'final', 'piala', 'dunia', 'bertemu', 'argentina']</t>
  </si>
  <si>
    <t>Gelar Juara Argentina Tidak Sah, 200 Ribu Fan Prancis Minta Final Piala Dunia 2022 Diulang.  https://t.co/BlFZtGFg4M</t>
  </si>
  <si>
    <t>gelar juara argentina tidak sah ribu fan prancis minta final piala dunia diulang</t>
  </si>
  <si>
    <t>['gelar', 'juara', 'argentina', 'sah', 'ribu', 'fan', 'prancis', 'minta', 'final', 'piala', 'dunia', 'diulang']</t>
  </si>
  <si>
    <t>@idextratime Dodo Lovers ketika ikut Nobar Final : üá¶üá∑1-0üá®üáµ Setingan üá¶üá∑2-0üá®üáµ Final ini setingan üá¶üá∑2-1üá®üáµ Mbappe ni Bos üá¶üá∑2-2üá®üáµ Mampus, siap pensiun lagi üá¶üá∑3-2üá®üáµ Makin jelas ini setingan üá¶üá∑3-3</t>
  </si>
  <si>
    <t>dodo lovers ketika ikut nobar final setingan final ini setingan mbappe bos mampus siap pensiun lagi makin jelas ini setingan</t>
  </si>
  <si>
    <t>['dodo', 'lovers', 'ikut', 'nonton bareng', 'final', 'settingan', 'final', 'settingan', 'mbappe', 'bos', 'mampus', 'siap', 'pensiun', 'makin', 'jelas', 'settingan']</t>
  </si>
  <si>
    <t>Di tv baru disiarkan re-run partai final Piala Dunia Rusia 2018. Banyak hal yang terjadi selama 4 tahun. Sekarang si tuan rumah pildun 2018 itu sedang berperang dengan tetangganya, dan di-ban dari sepakbola dunia.  https://t.co/ZXqCEYgdEq</t>
  </si>
  <si>
    <t>baru disiarkan run partai final piala dunia rusia banyak hal yang terjadi selama tahun sekarang tuan rumah pildun itu sedang berperang dengan tetangganya dan ban dari sepakbola dunia</t>
  </si>
  <si>
    <t>['baru', 'disiarkan', 'run', 'partai', 'final', 'piala', 'dunia', 'rusia', 'banyak', 'terjadi', 'selama', 'tahun', 'sekarang', 'tuan', 'rumah', 'piala dunia', 'sedang', 'berperang', 'tetangganya', 'ban', 'sepakbola', 'dunia']</t>
  </si>
  <si>
    <t>Masyarakat Prancis Minta Laga Final Piala Dunia Diulang, Ini Alasannya   https://t.co/2X412EIRHJ</t>
  </si>
  <si>
    <t>masyarakat prancis minta laga final piala dunia diulang ini alasannya</t>
  </si>
  <si>
    <t>['masyarakat', 'prancis', 'minta', 'laga', 'final', 'piala', 'dunia', 'diulang', 'alasannya']</t>
  </si>
  <si>
    <t>KAKANWIL KEMENKUMHAM JATENG A YUSPAHRUDDIN: Tegal Kanwil Kemenkumham Jateng Gelar Nobar Final Piala Dunia dan Makan Bersama dengan Petugas Serta Keluarganya  https://t.co/lZYxU5rPY4</t>
  </si>
  <si>
    <t>@MardaniAliSera @PKSejahtera @FPKSDPRRI @salimsegaf @aniesbaswedan @ganjarpranowo @NasDem @sandiuno @AgusYudhoyono @satriohendri Kaya ngomongin final piala dunia FIFA indonesia vs Malaysia üòÄ</t>
  </si>
  <si>
    <t>kaya ngomongin final piala dunia fifa indonesia malaysia</t>
  </si>
  <si>
    <t>['kaya', 'ngomongin', 'final', 'piala', 'dunia', 'fifa', 'indonesia', 'malaysia']</t>
  </si>
  <si>
    <t>Korban piala dunia tapi gasempet nnton final keburu meninggal karena keseringan begadang</t>
  </si>
  <si>
    <t>korban piala dunia tapi gasempet nnton final keburu meninggal karena keseringan begadang</t>
  </si>
  <si>
    <t>['korban', 'piala', 'dunia', 'gasempet', 'nnton', 'final', 'keburu', 'meninggal', 'keseringan', 'begadang']</t>
  </si>
  <si>
    <t>Serangan Balik Wasit Final Piala Dunia 2022 ke Media Prancis  https://t.co/gj5wUeGmtS</t>
  </si>
  <si>
    <t>serangan balik wasit final piala dunia media prancis</t>
  </si>
  <si>
    <t>['serangan', 'balik', 'wasit', 'final', 'piala', 'dunia', 'media', 'prancis']</t>
  </si>
  <si>
    <t>abis nonton final piala dunia kmrn2 skrg nonton liga 1 kek yaallah knp,,,</t>
  </si>
  <si>
    <t>abis nonton final piala dunia kmrn skrg nonton liga kek yaallah knp</t>
  </si>
  <si>
    <t>['abis', 'nonton', 'final', 'piala', 'dunia', 'kmrn', 'skrg', 'nonton', 'liga', 'kek', 'yaallah', 'kenapa']</t>
  </si>
  <si>
    <t>Gol ketiga Lionel Messi di final Piala Dunia 2022 banyak diprotes. Wasit Szymon Marciniak angkat suara mengomentarinya.  https://t.co/OvTmCdrdon</t>
  </si>
  <si>
    <t>gol ketiga lionel messi final piala dunia banyak diprotes wasit szymon marciniak angkat suara mengomentarinya</t>
  </si>
  <si>
    <t>['gol', 'ketiga', 'lionel', 'messi', 'final', 'piala', 'dunia', 'banyak', 'diprotes', 'wasit', 'szymon', 'marciniak', 'angkat', 'suara', 'mengomentarinya']</t>
  </si>
  <si>
    <t>Gol ketiga Lionel Messi di final Piala Dunia 2022 banyak diprotes. Wasit Szymon Marciniak angkat suara mengomentarinya.  https://t.co/OvTmCdJmCv</t>
  </si>
  <si>
    <t>Gol ketiga Lionel Messi di final Piala Dunia 2022 banyak diprotes. Wasit Szymon Marciniak angkat suara mengomentarinya.  https://t.co/AlwWhieEZF</t>
  </si>
  <si>
    <t>Gol ketiga Lionel Messi di final Piala Dunia 2022 banyak diprotes. Wasit Szymon Marciniak angkat suara mengomentarinya.  https://t.co/bD4OpLJO3p</t>
  </si>
  <si>
    <t>Pele adalah pemain termuda yang tampil di Final Piala Dunia 1958 ketika berumur 17 Tahun dan juga mencetak gol pada final tersebut</t>
  </si>
  <si>
    <t>pele adalah pemain termuda yang tampil final piala dunia ketika berumur tahun dan juga mencetak gol pada final tersebut</t>
  </si>
  <si>
    <t>['pele', 'pemain', 'termuda', 'tampil', 'final', 'piala', 'dunia', 'berumur', 'tahun', 'mencetak', 'gol', 'final', 'tersebut']</t>
  </si>
  <si>
    <t>Haloo @Barre_____ üòÉüëã Selamat membaca! "Sudah hampir seminggu berlalu, final Piala Dunia terdahsyat yg pernah ada. Argentina sudah membuktikan, di sepakbola saat ini merekalah yg terbaik di dunia. Ini sungguh penghiburan dari ..."  https://t.co/aFBHfq9huu</t>
  </si>
  <si>
    <t>haloo selamat membaca sudah hampir seminggu berlalu final piala dunia terdahsyat pernah ada argentina sudah membuktikan sepakbola saat ini merekalah terbaik dunia ini sungguh penghiburan dari</t>
  </si>
  <si>
    <t>['haloo', 'selamat', 'membaca', 'hampir', 'seminggu', 'berlalu', 'final', 'piala', 'dunia', 'terdahsyat', 'pernah', 'argentina', 'membuktikan', 'sepakbola', 'merekalah', 'terbaik', 'dunia', 'sungguh', 'penghiburan']</t>
  </si>
  <si>
    <t>terutama di area kiri di mana Enzo dapat melakukan dribble ke final third lawan seperti laga melawan Polandia. Dengan penampilan gemilangnya bersama Argentina pada gelaran Piala Dunia 2022 ini, menjadikan Enzo dengan predikat Pemain Muda Terbaik,</t>
  </si>
  <si>
    <t>terutama area kiri mana enzo dapat melakukan dribble final third lawan seperti laga melawan polandia dengan penampilan gemilangnya bersama argentina pada gelaran piala dunia ini menjadikan enzo dengan predikat pemain muda terbaik</t>
  </si>
  <si>
    <t>['terutama', 'area', 'kiri', 'mana', 'enzo', 'melakukan', 'dribble', 'final', 'third', 'lawan', 'laga', 'melawan', 'polandia', 'penampilan', 'gemilangnya', 'bersama', 'argentina', 'gelaran', 'piala', 'dunia', 'menjadikan', 'enzo', 'predikat', 'pemain', 'muda', 'terbaik']</t>
  </si>
  <si>
    <t>final piala dunia udah lewat tp tweet org sakit hati karena kalah judi masih banyak aja ya wkwkwke</t>
  </si>
  <si>
    <t>final piala dunia udah lewat tweet org sakit hati karena kalah judi masih banyak aja wkwkwke</t>
  </si>
  <si>
    <t>['final', 'piala', 'dunia', 'udah', 'lewat', 'tweet', 'org', 'sakit', 'hati', 'kalah', 'judi', 'banyak', 'wkwkwke']</t>
  </si>
  <si>
    <t>@IxNdheso @aniesbaswedan @Relawananies @aniesmania @Rinaimoutz @SuaraAnies Oooiiiii bonggg üòÅüòÅüòÅüê∏üòÅ acara nya tanggal berapa, final piala dunia tanggal berapa, buta tanggalan yaaaüòÅüòÅüòÅüòÅüòÅü§£üòÇü§£üòÇ, dungumu natural</t>
  </si>
  <si>
    <t>oooiiiii bonggg acara nya tanggal berapa final piala dunia tanggal berapa buta tanggalan yaaa dungumu natural</t>
  </si>
  <si>
    <t>['oooiiiii', 'bonggg', 'acara', 'tanggal', 'berapa', 'final', 'piala', 'dunia', 'tanggal', 'berapa', 'buta', 'tanggalan', 'yaaa', 'dungumu', 'natural']</t>
  </si>
  <si>
    <t>Berita Bola Terkini Nova88 Indonesia Klik  https://t.co/VsbRjz8w7o : Pembicaraan Khusus untuk Selebrasi Emi Martinez di Final Piala Dunia 2022  https://t.co/fUwiAUQZ9D  https://t.co/Mu3oI20p0y</t>
  </si>
  <si>
    <t>berita bola terkini nova indonesia klik pembicaraan khusus untuk selebrasi emi martinez final piala dunia</t>
  </si>
  <si>
    <t>['berita', 'bola', 'terkini', 'nova', 'indonesia', 'klik', 'pembicaraan', 'khusus', 'selebrasi', 'emi', 'martinez', 'final', 'piala', 'dunia']</t>
  </si>
  <si>
    <t>Bersyukur Piala Dunia udah lewat, final piala dunia terkontol yg katanya terseru terindah itu, nonton aja muak udah ada var tapi hal simpel n basic banyak yg luput, welcome back EPL alhamdulillah.</t>
  </si>
  <si>
    <t>bersyukur piala dunia udah lewat final piala dunia terkontol katanya terseru terindah itu nonton aja muak udah ada var tapi hal simpel basic banyak luput welcome back epl alhamdulillah</t>
  </si>
  <si>
    <t>['bersyukur', 'piala', 'dunia', 'udah', 'lewat', 'final', 'piala', 'dunia', 'terkontol', 'katanya', 'terseru', 'terindah', 'nonton', 'muak', 'udah', 'var', 'simpel', 'basic', 'banyak', 'luput', 'welcome', 'back', 'epl', 'alhamdulillah']</t>
  </si>
  <si>
    <t>KAKANWIL KEMENKUMHAM JATENG A YUSPAHRUDDIN: Tegal Kanwil Kemenkumham Jateng Gelar Nobar Final Piala Dunia dan Makan Bersama dengan Petugas Serta Keluarganya, https://t.co/fYNdBpIEsC,,</t>
  </si>
  <si>
    <t>Pembicaraan Khusus untuk Selebrasi Emi Martinez di Final Piala Dunia 2022  https://t.co/2rmp2R1oBc</t>
  </si>
  <si>
    <t>pembicaraan khusus untuk selebrasi emi martinez final piala dunia</t>
  </si>
  <si>
    <t>['pembicaraan', 'khusus', 'selebrasi', 'emi', 'martinez', 'final', 'piala', 'dunia']</t>
  </si>
  <si>
    <t>Ramai Kontroversi Gol Ketiga Argentina, Wasit Final Piala Dunia 2022 Akhirnya Buka Suara  https://t.co/RQsU4OOsea</t>
  </si>
  <si>
    <t>ramai kontroversi gol ketiga argentina wasit final piala dunia akhirnya buka suara</t>
  </si>
  <si>
    <t>['ramai', 'kontroversi', 'gol', 'ketiga', 'argentina', 'wasit', 'final', 'piala', 'dunia', 'akhirnya', 'buka', 'suara']</t>
  </si>
  <si>
    <t>4 Hal Menarik Hasil Final Piala Dunia 2022 Qatar, Akhir Debat GOAT hingga Mbappe Mampu Pecah Rekor  https://t.co/ypspv7XwF8</t>
  </si>
  <si>
    <t>hal menarik hasil final piala dunia qatar akhir debat goat hingga mbappe mampu pecah rekor</t>
  </si>
  <si>
    <t>['menarik', 'hasil', 'final', 'piala', 'dunia', 'qatar', 'akhir', 'debat', 'goat', 'hingga', 'mbappe', 'mampu', 'pecah', 'rekor']</t>
  </si>
  <si>
    <t>Begini jawaban wasit Final Piala Dunia 2022 usai dituding curang sahkan gol Messi!  https://t.co/8U4hvjQbG6</t>
  </si>
  <si>
    <t>begini jawaban wasit final piala dunia usai dituding curang sahkan gol messi</t>
  </si>
  <si>
    <t>['begini', 'jawaban', 'wasit', 'final', 'piala', 'dunia', 'usai', 'dituding', 'curang', 'sahkan', 'gol', 'messi']</t>
  </si>
  <si>
    <t>Kata-katanya ada sekitar 200 ribu orang yang menyetujui petisi pertandingan ulang final Piala Dunia, üá¶üá∑ ARGENTINA vs PRANCIS üá´üá∑  Harus banget nih di ulang?  #beINFWC2022  https://t.co/d9rqdfHl8I</t>
  </si>
  <si>
    <t>kata katanya ada sekitar ribu orang yang menyetujui petisi pertandingan ulang final piala dunia argentina prancis harus banget nih ulang</t>
  </si>
  <si>
    <t>['kata', 'katanya', 'ribu', 'orang', 'menyetujui', 'petisi', 'pertandingan', 'ulang', 'final', 'piala', 'dunia', 'argentina', 'prancis', 'banget', 'ulang']</t>
  </si>
  <si>
    <t>Begini jawaban wasit Final Piala Dunia 2022 usai dituding curang sahkan gol Messi!  https://t.co/dihvI82JlM</t>
  </si>
  <si>
    <t>Final Piala Dunia 2022 di Qatar antara Argentina vs Prancis diulang? Kamu setuju gak, Kawan Inilah?  https://t.co/Cjue03lHFa</t>
  </si>
  <si>
    <t>final piala dunia qatar antara argentina prancis diulang kamu setuju gak kawan inilah</t>
  </si>
  <si>
    <t>['final', 'piala', 'dunia', 'qatar', 'argentina', 'prancis', 'diulang', 'kamu', 'setuju', 'kawan', 'inilah']</t>
  </si>
  <si>
    <t>RE:TALK -Final Piala Dunia Terbaik!   https://t.co/0CFS6LCHG6  Walau udah selang beberapa hari paska laga luar biasa ini, gak ada salahnya kalau ane mau ngajak kalian ngobrol seputar final apik tersebut di segmen legend kita hehe~  https://t.co/my2CEjYERL</t>
  </si>
  <si>
    <t>talk final piala dunia terbaik walau udah selang beberapa hari paska laga luar biasa ini gak ada salahnya kalau ane mau ngajak kalian ngobrol seputar final apik tersebut segmen legend kita hehe</t>
  </si>
  <si>
    <t>['talk', 'final', 'piala', 'dunia', 'terbaik', 'udah', 'selang', 'beberapa', 'hari', 'paska', 'laga', 'luar', 'biasa', 'salahnya', 'kalau', 'ane', 'mau', 'ngajak', 'kalian', 'ngobrol', 'seputar', 'final', 'apik', 'tersebut', 'segmen', 'legend']</t>
  </si>
  <si>
    <t>Wasit Final Piala Dunia Akhirnya Merespons Klaim Gol Messi Seharusnya¬†Dianulir  https://t.co/dWxUmFQDeQ</t>
  </si>
  <si>
    <t>wasit final piala dunia akhirnya merespons klaim gol messi seharusnya dianulir</t>
  </si>
  <si>
    <t>['wasit', 'final', 'piala', 'dunia', 'akhirnya', 'merespons', 'klaim', 'gol', 'messi', 'dianulir']</t>
  </si>
  <si>
    <t>Tak hanya Messi, Antonela Roccuzzo juga jadi sorotan pada final Piala Dunia 2022. Istri dari Messi ini bukan orang sembarangan, berikut pekerjaan yang ia lakukan.   https://t.co/Y2jQGR8Qot</t>
  </si>
  <si>
    <t>tak hanya messi antonela roccuzzo juga jadi sorotan pada final piala dunia istri dari messi ini bukan orang sembarangan berikut pekerjaan yang lakukan</t>
  </si>
  <si>
    <t>['tak', 'messi', 'antonela', 'roccuzzo', 'jadi', 'sorotan', 'final', 'piala', 'dunia', 'istri', 'messi', 'bukan', 'orang', 'sembarangan', 'berikut', 'pekerjaan', 'lakukan']</t>
  </si>
  <si>
    <t>kacau men FINAL piala dunia RESMI DIULANG  4 tahun lagi</t>
  </si>
  <si>
    <t>kacau men final piala dunia resmi diulang tahun lagi</t>
  </si>
  <si>
    <t>['kacau', 'men', 'final', 'piala', 'dunia', 'resmi', 'diulang', 'tahun']</t>
  </si>
  <si>
    <t xml:space="preserve"> https://t.co/dKvge0jeNs : Menteri Olahraga Prancis Mengkritik Keras Tindakan Arogansi Timnas Argentina di Final Piala Dunia 2022  https://t.co/gsaxKjfQEQ</t>
  </si>
  <si>
    <t>menteri olahraga prancis mengkritik keras tindakan arogansi timnas argentina final piala dunia</t>
  </si>
  <si>
    <t>['menteri', 'olahraga', 'prancis', 'mengkritik', 'keras', 'tindakan', 'arogansi', 'timnas', 'argentina', 'final', 'piala', 'dunia']</t>
  </si>
  <si>
    <t>Lebih Dari 200 Ribu Orang Tanda Tangani Petisi Agar Final Piala Dunia 2022 Diulang.  Surabaya ( https://t.co/ksziGGp1k3) ‚Äì Piala Dunia 2022 telah usai, Argentina membabat habis Prancis pada adu penalti‚Ä¶  https://t.co/Ps3Wd8RhCl #Ragam #fifa #petisi #pialadunia via @beritajatimcom</t>
  </si>
  <si>
    <t>lebih dari ribu orang tanda tangani petisi agar final piala dunia diulang surabaya piala dunia telah usai argentina membabat habis prancis pada adu penalti via</t>
  </si>
  <si>
    <t>['lebih', 'ribu', 'orang', 'tanda', 'tangani', 'petisi', 'final', 'piala', 'dunia', 'diulang', 'surabaya', 'piala', 'dunia', 'usai', 'argentina', 'membabat', 'habis', 'prancis', 'adu', 'penalti', 'via']</t>
  </si>
  <si>
    <t>@kura2gatahu Ditumpuk itu fotonya pak, final piala dunia aja 18 desember üòÖ</t>
  </si>
  <si>
    <t>ditumpuk itu fotonya pak final piala dunia aja desember</t>
  </si>
  <si>
    <t>['ditumpuk', 'fotonya', 'pak', 'final', 'piala', 'dunia', 'desember']</t>
  </si>
  <si>
    <t>Menteri Olahraga Prancis Mengkritik Keras Tindakan Arogansi Timnas Argentina di Final Piala Dunia 2022.</t>
  </si>
  <si>
    <t>Tak hanya Messi, Antonela Roccuzzo juga jadi sorotan pada final Piala Dunia 2022. Istri dari Messi ini bukan orang sembarangan, berikut pekerjaan yang ia lakukan.   https://t.co/kU1gAQhGBn</t>
  </si>
  <si>
    <t>Dituding Curang Sahkan Gol Lionel Messi, Wasit Final Piala Dunia 2022 Beri Jawaban Menohok Kepada Kubu Prancis  https://t.co/3Rs9IM3Aht</t>
  </si>
  <si>
    <t>Mbappe bikin hattrick di final piala dunia di umur 24 tahun. Let see what can I do in that age next year wkwk #99club</t>
  </si>
  <si>
    <t>mbappe bikin hattrick final piala dunia umur tahun let see what can that age next year wkwk</t>
  </si>
  <si>
    <t>['mbappe', 'hattrick', 'final', 'piala', 'dunia', 'umur', 'tahun', 'let', 'see', 'what', 'can', 'that', 'age', 'next', 'year']</t>
  </si>
  <si>
    <t>KAKANWIL KEMENKUMHAM JATENG A YUSPAHRUDDIN: Tegal Kanwil Kemenkumham Jateng Gelar Nobar Final Piala Dunia dan Makan Bersama dengan Petugas Serta Keluarganya  https://t.co/rCrs06bLWG</t>
  </si>
  <si>
    <t>Klo kalah emang gituüòÇ  Terus Diserang Prancis, Wasit Final Piala Dunia 2022 Beri Balasan Menohok  https://t.co/rtwVpp0HpE</t>
  </si>
  <si>
    <t>klo kalah emang gitu terus diserang prancis wasit final piala dunia beri balasan menohok</t>
  </si>
  <si>
    <t>['kalah', 'emang', 'gitu', 'terus', 'diserang', 'prancis', 'wasit', 'final', 'piala', 'dunia', 'beri', 'balasan', 'menohok']</t>
  </si>
  <si>
    <t>156.KAKANWIL KEMENKUMHAM JATENG A YUSPAHRUDDIN: Tegal Kanwil Kemenkumham Jateng Gelar Nobar Final Piala Dunia dan Makan Bersama dengan Petugas Serta Keluarganya  https://t.co/wBi38bkrP8</t>
  </si>
  <si>
    <t>Ten Hag Minta Lisandro Martinez Segera Balik ke Old Trafford. Ten Hag mengungkapkan ia juga turut berbahagia pemain lainnya yakni Raphael Varane turut menjadi wakil MU yang tampil di final Piala Dunia.   https://t.co/4ZjKgEFkPz</t>
  </si>
  <si>
    <t>ten hag minta lisandro martinez segera balik old trafford ten hag mengungkapkan juga turut berbahagia pemain lainnya yakni raphael varane turut menjadi wakil yang tampil final piala dunia</t>
  </si>
  <si>
    <t>['ten', 'hag', 'minta', 'lisandro', 'martinez', 'segera', 'balik', 'old', 'trafford', 'ten', 'hag', 'mengungkapkan', 'turut', 'berbahagia', 'pemain', 'lainnya', 'raphael', 'varane', 'turut', 'menjadi', 'wakil', 'tampil', 'final', 'piala', 'dunia']</t>
  </si>
  <si>
    <t>Saat Rafael Nadal Menangis Lihat Messi Cetak Gol Ketiga di Final Piala Dunia 2022  https://t.co/loc1lpajER</t>
  </si>
  <si>
    <t>saat rafael nadal menangis lihat messi cetak gol ketiga final piala dunia</t>
  </si>
  <si>
    <t>['rafael', 'nadal', 'menangis', 'lihat', 'messi', 'cetak', 'gol', 'ketiga', 'final', 'piala', 'dunia']</t>
  </si>
  <si>
    <t>@kartarahardja Malu sama followersmu, postingan tanggal berapa final piala dunia tanggal berapa‚Ä¶</t>
  </si>
  <si>
    <t>malu sama followersmu postingan tanggal berapa final piala dunia tanggal berapa</t>
  </si>
  <si>
    <t>['malu', 'sama', 'followersmu', 'postingan', 'tanggal', 'berapa', 'final', 'piala', 'dunia', 'tanggal', 'berapa']</t>
  </si>
  <si>
    <t>@IxNdheso @aniesbaswedan @Relawananies @aniesmania @Rinaimoutz @SuaraAnies Final piala dunia 18 Desember mas, Anies Baswedan lakukan  perjalanan waktu apa? üòÖüòÖüòÖ  Fitnah keji ü§¶üèª‚Äç‚ôÇÔ∏è  .</t>
  </si>
  <si>
    <t>final piala dunia desember mas anies baswedan lakukan perjalanan waktu apa fitnah keji</t>
  </si>
  <si>
    <t>['final', 'piala', 'dunia', 'desember', 'mas', 'anies', 'baswedan', 'lakukan', 'perjalanan', 'waktu', 'apa', 'fitnah', 'keji']</t>
  </si>
  <si>
    <t>Menteri Olahraga Prancis Mengkritik Keras Tindakan Arogansi Timnas Argentina di Final Piala Dunia 2022 #LengkapCepatBeritanya #Bola #SepakBola #SepakbolaDunia #BolaDunia .  https://t.co/gM9KkRvSMW</t>
  </si>
  <si>
    <t>Puan Maharani mendukung tim sepak bola Argentina yang melawan Prancis dalam final Piala Dunia 2022.  https://t.co/r8nZt0ESM6</t>
  </si>
  <si>
    <t>KAKANWIL KEMENKUMHAM JATENG A YUSPAHRUDDIN: Tegal Kanwil Kemenkumham Jateng Gelar Nobar Final Piala Dunia dan Makan Bersama dengan Petugas Serta Keluarganya  https://t.co/CIO3gpG38G</t>
  </si>
  <si>
    <t>KAKANWIL KEMENKUMHAM JATENG A YUSPAHRUDDIN: Tegal Kanwil Kemenkumham Jateng Gelar Nobar Final Piala Dunia dan Makan Bersama dengan Petugas Serta Keluarganya  https://t.co/9lQFBycqhl</t>
  </si>
  <si>
    <t>Skakmat! Wasit Final Piala Dunia Jawab Tudingan Prancis Soal Keabsahan Gol Ketiga Argentina  https://t.co/qiTbGVrH2J</t>
  </si>
  <si>
    <t>skakmat wasit final piala dunia jawab tudingan prancis soal keabsahan gol ketiga argentina</t>
  </si>
  <si>
    <t>['skakmat', 'wasit', 'final', 'piala', 'dunia', 'jawab', 'tudingan', 'prancis', 'soal', 'keabsahan', 'gol', 'ketiga', 'argentina']</t>
  </si>
  <si>
    <t>@ryanfitrandy IBRA.  cruyff sama maldini pernah ngrasain final piala dunia, CR7 juara Euro.. IBRA beneran gendong timnas swedia sendirian.. üòÖ</t>
  </si>
  <si>
    <t>ibra cruyff sama maldini pernah ngrasain final piala dunia juara euro ibra beneran gendong timnas swedia sendirian</t>
  </si>
  <si>
    <t>['ibra', 'cruyff', 'sama', 'maldini', 'pernah', 'ngrasain', 'final', 'piala', 'dunia', 'juara', 'euro', 'ibra', 'beneran', 'gendong', 'timnas', 'swedia', 'sendirian']</t>
  </si>
  <si>
    <t>@BangAlo @idextratime kalah taroan brp juta sih cil sampe minta rematch? brasil yg 'diracun' pas final piala dunia 98 aja ga minta rematchü§£</t>
  </si>
  <si>
    <t>kalah taroan brp juta sih cil sampe minta rematch brasil diracun pas final piala dunia aja minta rematch</t>
  </si>
  <si>
    <t>['kalah', 'taroan', 'brp', 'juta', 'cil', 'sampai', 'minta', 'rematch', 'brasil', 'diracun', 'pas', 'final', 'piala', 'dunia', 'minta', 'rematch']</t>
  </si>
  <si>
    <t>Tidak Terima Argentina Juara, Fan Prancis Membuat Petisi Untuk FIFA Agar Final Piala Dunia 2022 Bisa Diulang  https://t.co/sOBL4E27lU</t>
  </si>
  <si>
    <t>tidak terima argentina juara fan prancis membuat petisi untuk fifa agar final piala dunia bisa diulang</t>
  </si>
  <si>
    <t>['terima', 'argentina', 'juara', 'fan', 'prancis', 'membuat', 'petisi', 'fifa', 'final', 'piala', 'dunia', 'diulang']</t>
  </si>
  <si>
    <t>Lebih dari 200 ribu orang menandatangani petisi meminta laga final Piala Dunia 2022 Argentina vs Prancis diulang. Alasan permintaan mengulang pertandingan tersebut karena keputusan wasitbyang dianggap kontroversial. #Argentina #FinalWorldCup2022    https://t.co/k7i8s0GPRy</t>
  </si>
  <si>
    <t>lebih dari ribu orang menandatangani petisi meminta laga final piala dunia argentina prancis diulang alasan permintaan mengulang pertandingan tersebut karena keputusan wasitbyang dianggap kontroversial</t>
  </si>
  <si>
    <t>['lebih', 'ribu', 'orang', 'menandatangani', 'petisi', 'meminta', 'laga', 'final', 'piala', 'dunia', 'argentina', 'prancis', 'diulang', 'alasan', 'permintaan', 'mengulang', 'pertandingan', 'tersebut', 'keputusan', 'wasitbyang', 'dianggap', 'kontroversial']</t>
  </si>
  <si>
    <t>Final Piala Dunia 2022 Prancis vs Argentina berbuntut panjang Guys  https://t.co/sOBL4E27lU</t>
  </si>
  <si>
    <t>final piala dunia prancis argentina berbuntut panjang guys</t>
  </si>
  <si>
    <t>['final', 'piala', 'dunia', 'prancis', 'argentina', 'berbuntut', 'panjang', 'guys']</t>
  </si>
  <si>
    <t>@SetiaNopanto @kartarahardja @aniesbaswedan Cermati ya pak dgn postingan aslinya, kebayang nggak hisab nya besok bagaimana Rada cerdas dikit kek,pak @SetiaNopanto ke Sulawesi kapan. Final piala dunia nya kapan.kalau gw sih malu...  https://t.co/XQAESHiSwG</t>
  </si>
  <si>
    <t>cermati pak dgn postingan aslinya kebayang nggak hisab nya besok bagaimana rada cerdas dikit kek pak sulawesi kapan final piala dunia nya kapan kalau sih malu</t>
  </si>
  <si>
    <t>['cermati', 'pak', 'postingan', 'aslinya', 'kebayang', 'hisab', 'besok', 'bagaimana', 'rada', 'cerdas', 'dikit', 'kek', 'pak', 'sulawesi', 'kapan', 'final', 'piala', 'dunia', 'kapan', 'kalau', 'malu']</t>
  </si>
  <si>
    <t>Dihujat Fans Prancis, Wasit Final Piala Dunia 2022 Serang Balik  https://t.co/dQZgGuwCPr #Argentina #PialaDunia2022 #Prancis #Wasit  https://t.co/LKN16ewvEb</t>
  </si>
  <si>
    <t>dihujat fans prancis wasit final piala dunia serang balik</t>
  </si>
  <si>
    <t>['dihujat', 'fans', 'prancis', 'wasit', 'final', 'piala', 'dunia', 'serang', 'balik']</t>
  </si>
  <si>
    <t>Tak hanya Messi, Antonela Roccuzzo juga jadi sorotan pada final Piala Dunia 2022. Istri dari Messi ini bukan orang sembarangan, berikut pekerjaan yang ia lakukan.   https://t.co/cOIGtf2X7Y</t>
  </si>
  <si>
    <t xml:space="preserve">@pngstuaji_ @syaldifadillah @Cocoklogi2012 @eyangideralam @MuchammadArifS2 @Persija_Jkt nih mungkin maksud lo ini? final piala dunia 2018 prancis vs kroasia baru ujan di akhir2 match tpi pas penyerahan trofi lapangan udh becek, malu2in dong stadion final </t>
  </si>
  <si>
    <t>jkt nih mungkin maksud ini final piala dunia prancis kroasia baru ujan akhir match tpi pas penyerahan trofi lapangan udh becek malu dong stadion final</t>
  </si>
  <si>
    <t>['jkt', 'mungkin', 'maksud', 'final', 'piala', 'dunia', 'prancis', 'kroasia', 'baru', 'ujan', 'akhir', 'match', 'tpi', 'pas', 'penyerahan', 'trofi', 'lapangan', 'sudah', 'becek', 'malu', 'dong', 'stadion', 'final']</t>
  </si>
  <si>
    <t>Balasan Menohok Wasit Final Piala Dunia Usai Dituding Bela Argentina  https://t.co/Vc8vR0omfn</t>
  </si>
  <si>
    <t>@PSSI Semakin Optimis Kita bisa masuk piala dunia meskipun Gak juara ,minimal Sampai semi final ... Paling minimal juara 3 kayak turki atau peringkat  4 kayak maroko..</t>
  </si>
  <si>
    <t>semakin optimis kita bisa masuk piala dunia meskipun gak juara minimal sampai semi final paling minimal juara kayak turki atau peringkat kayak maroko</t>
  </si>
  <si>
    <t>['semakin', 'optimis', 'masuk', 'piala', 'dunia', 'meskipun', 'juara', 'minimal', 'semi', 'final', 'paling', 'minimal', 'juara', 'seperti', 'turki', 'peringkat', 'seperti', 'maroko']</t>
  </si>
  <si>
    <t>@IxNdheso @aniesbaswedan @Relawananies @sobat_anies @aniesmania @Rinaimoutz @SuaraAnies Goblog amat lu. Tweet Pak Anies tgl 11 Des,  Final piala dunia 2022 tgl 18 Des. Masa iya belum ada kejadian dah punya photonya</t>
  </si>
  <si>
    <t>anies goblog amat tweet pak anies tgl des final piala dunia tgl des masa iya belum ada kejadian dah punya photonya</t>
  </si>
  <si>
    <t>['anies', 'goblog', 'tweet', 'pak', 'anies', 'tgl', 'des', 'final', 'piala', 'dunia', 'tgl', 'des', 'masa', 'iya', 'kejadian', 'dah', 'punya', 'photonya']</t>
  </si>
  <si>
    <t>Di hari Minggu, tanggal 18 Desember 2022, seluruh dunia ramai menonton dan membicarakan pertandingan antara Argentina dan Prancis di final Piala Dunia 2022.   Ini dia kumpulan data-data menarik dari Piala Dunia 2022!  ‚ÄîA threadüßµ  https://t.co/Dx1FFqbwTC</t>
  </si>
  <si>
    <t>hari minggu tanggal desember seluruh dunia ramai menonton dan membicarakan pertandingan antara argentina dan prancis final piala dunia ini dia kumpulan data data menarik dari piala dunia thread</t>
  </si>
  <si>
    <t>['hari', 'minggu', 'tanggal', 'desember', 'seluruh', 'dunia', 'ramai', 'menonton', 'membicarakan', 'pertandingan', 'argentina', 'prancis', 'final', 'piala', 'dunia', 'kumpulan', 'data', 'data', 'menarik', 'piala', 'dunia', 'thread']</t>
  </si>
  <si>
    <t>Sebuah kenyataan online yang ditujukan kepada FIFA baru saja dibuat.  Isinya  agar final Piala Dunia 2022 diulang kerana dianggap 2 goal pertama Argentina tidak sah.  Saat ini kenyataan tersebut sudah ditandatangani lebih dari 200 ribu orang.. ü§£  https://t.co/6hWAjoFd5p</t>
  </si>
  <si>
    <t>sebuah kenyataan online yang ditujukan kepada fifa baru saja dibuat isinya agar final piala dunia diulang kerana dianggap goal pertama argentina tidak sah saat ini kenyataan tersebut sudah ditandatangani lebih dari ribu orang</t>
  </si>
  <si>
    <t>['sebuah', 'kenyataan', 'online', 'ditujukan', 'fifa', 'baru', 'dibuat', 'isinya', 'final', 'piala', 'dunia', 'diulang', 'kerana', 'dianggap', 'goal', 'pertama', 'argentina', 'sah', 'kenyataan', 'tersebut', 'ditandatangani', 'lebih', 'ribu', 'orang']</t>
  </si>
  <si>
    <t>@jovicious1 @idextratime Belum pernah , tapi sekiranya mau bertanding tentu bukan pilihan tepat klaau cuma friendly match .. mau Sampai kapan ngelawan Tim besar cuma Di friendly match ,minimal Di semifinal piala dunia atau perempat final</t>
  </si>
  <si>
    <t>belum pernah tapi sekiranya mau bertanding tentu bukan pilihan tepat klaau cuma friendly match mau sampai kapan ngelawan tim besar cuma friendly match minimal semifinal piala dunia atau perempat final</t>
  </si>
  <si>
    <t>['pernah', 'sekiranya', 'mau', 'bertanding', 'bukan', 'pilihan', 'tepat', 'klaau', 'cuma', 'friendly', 'match', 'mau', 'kapan', 'ngelawan', 'tim', 'besar', 'cuma', 'friendly', 'match', 'minimal', 'semifinal', 'piala', 'dunia', 'perempat', 'final']</t>
  </si>
  <si>
    <t>Balasan Menohok Wasit Final Piala Dunia Usai Dituding Bela Argentina  https://t.co/8VmRKmZUZ7</t>
  </si>
  <si>
    <t>gua lebih yakin Bruno Mars orang padang daripada final piala dunia bakal diulang wkwk  https://t.co/To7PwriVcS</t>
  </si>
  <si>
    <t>gua lebih yakin bruno mars orang padang daripada final piala dunia bakal diulang wkwk</t>
  </si>
  <si>
    <t>['gua', 'lebih', 'yakin', 'bruno', 'mars', 'orang', 'padang', 'final', 'piala', 'dunia', 'bakal', 'diulang']</t>
  </si>
  <si>
    <t>Balasan Menohok Wasit Final Piala Dunia Usai Dituding Bela Argentina  https://t.co/U3pM9HHkhY</t>
  </si>
  <si>
    <t>@kartarahardja Sampai dengan saya nge tweet ini, postingan hoax ini sudah dilihat sejumlah 45 ribu orang. Kebayang nggak hisab nya besok bagaimana? Rada cerdas dikit kek, Pak @aniesbaswedan ke Sulawesi kapan, Final piala dunia nya kapan. Kalau gw sih malu</t>
  </si>
  <si>
    <t>sampai dengan saya nge tweet ini postingan hoax ini sudah dilihat sejumlah ribu orang kebayang nggak hisab nya besok bagaimana rada cerdas dikit kek pak sulawesi kapan final piala dunia nya kapan kalau sih malu</t>
  </si>
  <si>
    <t>['nge', 'tweet', 'postingan', 'hoax', 'dilihat', 'sejumlah', 'ribu', 'orang', 'kebayang', 'hisab', 'besok', 'bagaimana', 'rada', 'cerdas', 'dikit', 'kek', 'pak', 'sulawesi', 'kapan', 'final', 'piala', 'dunia', 'kapan', 'kalau', 'malu']</t>
  </si>
  <si>
    <t>Wasit Final Piala Dunia 2022 Szymon Marciniak terus diserang kubu Prancis. Marciniak gerah dan balik menyerang. Seperti apa?  https://t.co/DlUjW0boVh</t>
  </si>
  <si>
    <t>wasit final piala dunia szymon marciniak terus diserang kubu prancis marciniak gerah dan balik menyerang seperti apa</t>
  </si>
  <si>
    <t>['wasit', 'final', 'piala', 'dunia', 'szymon', 'marciniak', 'terus', 'diserang', 'kubu', 'prancis', 'marciniak', 'gerah', 'balik', 'menyerang', 'apa']</t>
  </si>
  <si>
    <t>Pierluigi Collina adalah satu2nya wasit yang pernah mewasiti fnal Olimpiade, final Liga Champions, final Piala Dunia &amp;amp; final Piala UEFA</t>
  </si>
  <si>
    <t>pierluigi collina adalah satu nya wasit yang pernah mewasiti fnal olimpiade final liga champions final piala dunia final piala uefa</t>
  </si>
  <si>
    <t>['pierluigi', 'collina', 'satu', 'wasit', 'pernah', 'mewasiti', 'fnal', 'olimpiade', 'final', 'liga', 'champions', 'final', 'piala', 'dunia', 'final', 'piala', 'uefa']</t>
  </si>
  <si>
    <t>Dituding Curang Sahkan Gol Lionel Messi, Wasit Final Piala Dunia 2022 Sindir Balik Fans Prancis #LengkapCepatBeritanya #Bola #SepakBola #SepakbolaDunia #BolaDunia .  https://t.co/ZSwZQVklFK</t>
  </si>
  <si>
    <t>dituding curang sahkan gol lionel messi wasit final piala dunia sindir balik fans prancis</t>
  </si>
  <si>
    <t>['dituding', 'curang', 'sahkan', 'gol', 'lionel', 'messi', 'wasit', 'final', 'piala', 'dunia', 'sindir', 'balik', 'fans', 'prancis']</t>
  </si>
  <si>
    <t>200.000 Fans Timnas Prancis Tanda Tangani Petisi Desak Final Piala Dunia 2022 Diulang  https://t.co/wS4s0NhvVN</t>
  </si>
  <si>
    <t>Penggemar Prancis Minta Final Piala Dunia 2022 Diulang, Didukung 200 Ribu Tanda Tangan  https://t.co/o3fwfyZLkK #TempoBola</t>
  </si>
  <si>
    <t>penggemar prancis minta final piala dunia diulang didukung ribu tanda tangan</t>
  </si>
  <si>
    <t>['penggemar', 'prancis', 'minta', 'final', 'piala', 'dunia', 'diulang', 'didukung', 'ribu', 'tanda', 'tangan']</t>
  </si>
  <si>
    <t>Sebuah petisi yang meminta agar final Piala Dunia 2022 antara Argentina versus Prancis diulang muncul. Petisi itu dibuat oleh salah seorang member dari platform MesOpinions.  https://t.co/Fv5e0Jst8u  https://t.co/7fKg1PaGFB</t>
  </si>
  <si>
    <t>sebuah petisi yang meminta agar final piala dunia antara argentina versus prancis diulang muncul petisi itu dibuat oleh salah seorang member dari platform mesopinions</t>
  </si>
  <si>
    <t>['sebuah', 'petisi', 'meminta', 'final', 'piala', 'dunia', 'argentina', 'versus', 'prancis', 'diulang', 'muncul', 'petisi', 'dibuat', 'salah', 'seorang', 'member', 'platform', 'mesopinions']</t>
  </si>
  <si>
    <t>Gila! Lebih dari 200 Ribu Orang Tanda Tangani Petisi Minta Final Piala Dunia 2022 Argentina vs Prancis Diulang -  https://t.co/kpmQt1uFsO  https://t.co/VeJd8nSZPo via @bolanet  https://t.co/aNzDFAlEmM . . . #m88mansion #m88mansionindo #m88indo #m88laliga</t>
  </si>
  <si>
    <t>gila lebih dari ribu orang tanda tangani petisi minta final piala dunia argentina prancis diulang via</t>
  </si>
  <si>
    <t>['gila', 'lebih', 'ribu', 'orang', 'tanda', 'tangani', 'petisi', 'minta', 'final', 'piala', 'dunia', 'argentina', 'prancis', 'diulang', 'via']</t>
  </si>
  <si>
    <t>Masih Memanas, Prancis Sebut Gol Messi di Final Piala Dunia 2022 Tidak Sah, Wasit Pertandingan Buka Suara  https://t.co/z2eLYBf3AN</t>
  </si>
  <si>
    <t>masih memanas prancis sebut gol messi final piala dunia tidak sah wasit pertandingan buka suara</t>
  </si>
  <si>
    <t>['memanas', 'prancis', 'sebut', 'gol', 'messi', 'final', 'piala', 'dunia', 'sah', 'wasit', 'pertandingan', 'buka', 'suara']</t>
  </si>
  <si>
    <t xml:space="preserve">@spideyifan @YudddSkieee29 @SiaranBolaLive Dodo Lovers ketika ikut Nobar Final : üá¶üá∑1-0üá®üáµ Setingan üá¶üá∑2-0üá®üáµ Final ini setingan üá¶üá∑2-1üá®üáµ Mbappe ni Bos üá¶üá∑2-2üá®üáµ Mampus, siap pensiun lagi üá¶üá∑3-2üá®üáµ Makin </t>
  </si>
  <si>
    <t>dodo lovers ketika ikut nobar final setingan final ini setingan mbappe bos mampus siap pensiun lagi makin</t>
  </si>
  <si>
    <t>['dodo', 'lovers', 'ikut', 'nonton bareng', 'final', 'settingan', 'final', 'settingan', 'mbappe', 'bos', 'mampus', 'siap', 'pensiun', 'makin']</t>
  </si>
  <si>
    <t>FIFA melakukan investigasi terkait 'pelanggaran akses masuk' yang dilakukan koki sekaligus influencer Salt Bae usai laga final Piala Dunia 2022. Padahal, ia seharusnya tak punya izin akan hal tersebut.  #yukplay #yukplayslot #yukplaylogin #yukplaydaftar  https://t.co/qkBbGg6e2j</t>
  </si>
  <si>
    <t>fifa melakukan investigasi terkait pelanggaran akses masuk yang dilakukan koki sekaligus influencer salt bae usai laga final piala dunia padahal seharusnya tak punya izin akan hal tersebut</t>
  </si>
  <si>
    <t>['fifa', 'melakukan', 'investigasi', 'terkait', 'pelanggaran', 'akses', 'masuk', 'dilakukan', 'koki', 'sekaligus', 'influencer', 'salt', 'bae', 'usai', 'laga', 'final', 'piala', 'dunia', 'padahal', 'tak', 'punya', 'izin', 'tersebut']</t>
  </si>
  <si>
    <t>tribunnews: Dituding Untungkan Argentina, Wasit Final Piala Dunia 2022 Akhirnya Buka Suara soal Gol Messi    https://t.co/nXqf6wI47R via @tribunnews</t>
  </si>
  <si>
    <t>tribunnews dituding untungkan argentina wasit final piala dunia akhirnya buka suara soal gol messi via</t>
  </si>
  <si>
    <t>['tribunnews', 'dituding', 'untungkan', 'argentina', 'wasit', 'final', 'piala', 'dunia', 'akhirnya', 'buka', 'suara', 'soal', 'gol', 'messi', 'via']</t>
  </si>
  <si>
    <t>200,000 orang Prancis menandatangani petisi agar Final Piala Dunia Qatar dapat diulang.  Aku pikir orang bodoh itu hanya ada di sini.</t>
  </si>
  <si>
    <t>orang prancis menandatangani petisi agar final piala dunia qatar dapat diulang aku pikir orang bodoh itu hanya ada sini</t>
  </si>
  <si>
    <t>['orang', 'prancis', 'menandatangani', 'petisi', 'final', 'piala', 'dunia', 'qatar', 'diulang', 'aku', 'pikir', 'orang', 'bodoh', 'sini']</t>
  </si>
  <si>
    <t>Wasit Final Piala Dunia 2022 Serang Balik Media dan Fans Prancis!  https://t.co/AJb8aSo1C1</t>
  </si>
  <si>
    <t>wasit final piala dunia serang balik media dan fans prancis</t>
  </si>
  <si>
    <t>['wasit', 'final', 'piala', 'dunia', 'serang', 'balik', 'media', 'fans', 'prancis']</t>
  </si>
  <si>
    <t>Wasit Final Piala Dunia 2022 Szymon Marciniak terus diserang kubu Prancis. Marciniak gerah dan balik menyerang. Seperti apa?  https://t.co/BSSNwUDThQ</t>
  </si>
  <si>
    <t>Sebanyak 200 ribu penggemar Timnas Prancis menandatangani petisi yang meminta laga final Piala Dunia diulang. Karena wasit dianggap lakukan kesalahan.  https://t.co/xt6twaWgKL</t>
  </si>
  <si>
    <t>sebanyak ribu penggemar timnas prancis menandatangani petisi yang meminta laga final piala dunia diulang karena wasit dianggap lakukan kesalahan</t>
  </si>
  <si>
    <t>['sebanyak', 'ribu', 'penggemar', 'timnas', 'prancis', 'menandatangani', 'petisi', 'meminta', 'laga', 'final', 'piala', 'dunia', 'diulang', 'wasit', 'dianggap', 'lakukan', 'kesalahan']</t>
  </si>
  <si>
    <t>Winger timnas #Argentina, Angel Di Maria, menandai kepahlawanannya di final Piala Dunia dengan tato besar di paha kanannya üèÜ  #FIFAWorldCup   https://t.co/jWHQTXZExU</t>
  </si>
  <si>
    <t>winger timnas angel maria menandai kepahlawanannya final piala dunia dengan tato besar paha kanannya</t>
  </si>
  <si>
    <t>['winger', 'timnas', 'angel', 'maria', 'menandai', 'kepahlawanannya', 'final', 'piala', 'dunia', 'tato', 'besar', 'paha', 'kanannya']</t>
  </si>
  <si>
    <t>Terus Diserang Prancis, Wasit Final Piala Dunia 2022 Beri Balasan Menohok  https://t.co/ARYpuCRp3B</t>
  </si>
  <si>
    <t>terus diserang prancis wasit final piala dunia beri balasan menohok</t>
  </si>
  <si>
    <t>['terus', 'diserang', 'prancis', 'wasit', 'final', 'piala', 'dunia', 'beri', 'balasan', 'menohok']</t>
  </si>
  <si>
    <t>Warga Prancis ingin final Piala Dunia 2022 diulang, kabarnya petisi sudah ditandatangani 200 ribu orang  https://t.co/E0ThXVgV40</t>
  </si>
  <si>
    <t>warga prancis ingin final piala dunia diulang kabarnya petisi sudah ditandatangani ribu orang</t>
  </si>
  <si>
    <t>['warga', 'prancis', 'final', 'piala', 'dunia', 'diulang', 'kabarnya', 'petisi', 'ditandatangani', 'ribu', 'orang']</t>
  </si>
  <si>
    <t>Dituding Untungkan Argentina, Wasit Final Piala Dunia 2022 Akhirnya Buka Suara soal Gol Messi    https://t.co/9KIbhZBvOY via @tribunnews</t>
  </si>
  <si>
    <t>dituding untungkan argentina wasit final piala dunia akhirnya buka suara soal gol messi via</t>
  </si>
  <si>
    <t>['dituding', 'untungkan', 'argentina', 'wasit', 'final', 'piala', 'dunia', 'akhirnya', 'buka', 'suara', 'soal', 'gol', 'messi', 'via']</t>
  </si>
  <si>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</si>
  <si>
    <t>sudah hampir seminggu berlalu final piala dunia terdahsyat pernah ada argentina sudah membuktikan sepakbola saat ini merekalah terbaik dunia ini sungguh penghiburan dari goat messi untuk negaranya perekonomiannya sedang messy mari sedikit kita kulik</t>
  </si>
  <si>
    <t>['hampir', 'seminggu', 'berlalu', 'final', 'piala', 'dunia', 'terdahsyat', 'pernah', 'argentina', 'membuktikan', 'sepakbola', 'merekalah', 'terbaik', 'dunia', 'sungguh', 'penghiburan', 'goat', 'messi', 'negaranya', 'perekonomiannya', 'sedang', 'messy', 'sedikit', 'kulik']</t>
  </si>
  <si>
    <t>menjadi top scorer Ligue 1 pada musim 2018-2019 dan menjadi pemain termuda yang pernah mencetak gol di final Piala Dunia. Mbapp√© juga telah menjadi pemain yang sangat populer di kalangan penggemar sepak bola di seluruh dunia karena kemampuan dan kecepatannya di lapangan.</t>
  </si>
  <si>
    <t>menjadi top scorer ligue pada musim dan menjadi pemain termuda yang pernah mencetak gol final piala dunia mbapp juga telah menjadi pemain yang sangat populer kalangan penggemar sepak bola seluruh dunia karena kemampuan dan kecepatannya lapangan</t>
  </si>
  <si>
    <t>['menjadi', 'top', 'scorer', 'ligue', 'musim', 'menjadi', 'pemain', 'termuda', 'pernah', 'mencetak', 'gol', 'final', 'piala', 'dunia', 'mbapp', 'menjadi', 'pemain', 'sangat', 'populer', 'kalangan', 'penggemar', 'sepak', 'bola', 'seluruh', 'dunia', 'kemampuan', 'kecepatannya', 'lapangan']</t>
  </si>
  <si>
    <t>@IxNdheso @aniesbaswedan @Relawananies @sobat_anies @aniesmania @Rinaimoutz @SuaraAnies Klo ga fitnah, gak makan kali ya?urang perayaaan kemenangan piala dunia kapan, baru final tanggal 18 itu tweet tanggal 11, klo orang nya mikir pasti paham itu editan</t>
  </si>
  <si>
    <t>anies klo fitnah gak makan kali urang perayaaan kemenangan piala dunia kapan baru final tanggal itu tweet tanggal klo orang nya mikir pasti paham itu editan</t>
  </si>
  <si>
    <t>['anies', 'fitnah', 'makan', 'kali', 'urang', 'perayaaan', 'kemenangan', 'piala', 'dunia', 'kapan', 'baru', 'final', 'tanggal', 'tweet', 'tanggal', 'orang', 'mikir', 'paham', 'editan']</t>
  </si>
  <si>
    <t>Satu momen spesial di final piala dunia kemarin. Hamba akan selalu luluh di depan Tuhannya. Mau setegar apapun.  https://t.co/PsCJWANP6W</t>
  </si>
  <si>
    <t>satu momen spesial final piala dunia kemarin hamba akan selalu luluh depan tuhannya mau setegar apapun</t>
  </si>
  <si>
    <t>['satu', 'momen', 'spesial', 'final', 'piala', 'dunia', 'kemarin', 'hamba', 'selalu', 'luluh', 'depan', 'tuhannya', 'mau', 'setegar', 'apapun']</t>
  </si>
  <si>
    <t>KAKANWIL KEMENKUMHAM JATENG A YUSPAHRUDDIN: Tegal Kanwil Kemenkumham Jateng Gelar Nobar Final Piala Dunia dan Makan Bersama dengan Petugas Serta Keluarganya  https://t.co/5JNiwRE8lj</t>
  </si>
  <si>
    <t>KAKANWIL KEMENKUMHAM JATENG A YUSPAHRUDDIN: Tegal Kanwil Kemenkumham Jateng Gelar Nobar Final Piala Dunia dan Makan Bersama dengan Petugas Serta Keluarganya  https://t.co/PjKtmqOqOM</t>
  </si>
  <si>
    <t>Tak hanya Messi, Antonela Roccuzzo juga jadi sorotan pada final Piala Dunia 2022. Istri dari Messi ini bukan orang sembarangan, berikut pekerjaan yang ia lakukan.   https://t.co/cnHHr4LGYB</t>
  </si>
  <si>
    <t>Ratusan Ribu Fans Tanda Tangani Petisi, Desak FIFA Ulang Partai Final Piala Dunia 2022 Argentina vs Prancis  https://t.co/qJFjYeBXcY</t>
  </si>
  <si>
    <t>ratusan ribu fans tanda tangani petisi desak fifa ulang partai final piala dunia argentina prancis</t>
  </si>
  <si>
    <t>['ratusan', 'ribu', 'fans', 'tanda', 'tangani', 'petisi', 'desak', 'fifa', 'ulang', 'partai', 'final', 'piala', 'dunia', 'argentina', 'prancis']</t>
  </si>
  <si>
    <t>Terus Diserang Prancis, Wasit Final Piala Dunia 2022 Beri Balasan Menohok  https://t.co/JGfmkj74je</t>
  </si>
  <si>
    <t>Salt Bae dalam masalah dengan FIFA setelah momen angkat trofi piala dunia #messi #FIFAWorldCup2022 #fifa #SaltBae #final   https://t.co/hozed8kOec</t>
  </si>
  <si>
    <t>salt bae dalam masalah dengan fifa setelah momen angkat trofi piala dunia</t>
  </si>
  <si>
    <t>['salt', 'bae', 'masalah', 'fifa', 'momen', 'angkat', 'trofi', 'piala', 'dunia']</t>
  </si>
  <si>
    <t>Kegaduhan Nusret Gokce di final Piala Dunia 2022 bikin kesal Presiden FIFA Gianni Infantino. Infantino sampai meng-unfollow Salt Bae di Instagram.  https://t.co/h8OGFwLJRD</t>
  </si>
  <si>
    <t>kegaduhan nusret gokce final piala dunia bikin kesal presiden fifa gianni infantino infantino sampai meng unfollow salt bae instagram</t>
  </si>
  <si>
    <t>['kegaduhan', 'nusret', 'gokce', 'final', 'piala', 'dunia', 'kesal', 'presiden', 'fifa', 'gianni', 'infantino', 'infantino', 'meng', 'unfollow', 'salt', 'bae', 'instagram']</t>
  </si>
  <si>
    <t>Wasit Final Piala Dunia 2022 Angkat Suara Soal Gol Kedua Lionel Messi ke Gawang Prancis  https://t.co/brlSueUdiT</t>
  </si>
  <si>
    <t>wasit final piala dunia angkat suara soal gol kedua lionel messi gawang prancis</t>
  </si>
  <si>
    <t>['wasit', 'final', 'piala', 'dunia', 'angkat', 'suara', 'soal', 'gol', 'kedua', 'lionel', 'messi', 'gawang', 'prancis']</t>
  </si>
  <si>
    <t>Minta Final Piala Dunia 2022 Diulang, Sudah 200 Orang Lebih Tanda Tangani Petisi  https://t.co/xQ34SufRLY #ArgentinaVsPrancis #FinalDiulang #KylianMbappe #LeonelMessi</t>
  </si>
  <si>
    <t>minta final piala dunia diulang sudah orang lebih tanda tangani petisi</t>
  </si>
  <si>
    <t>['minta', 'final', 'piala', 'dunia', 'diulang', 'orang', 'lebih', 'tanda', 'tangani', 'petisi']</t>
  </si>
  <si>
    <t>Presiden FIFA Gianni Infantino unfollow Salt Bae di Instagram pasca aksi kontroversialnya di final Piala Dunia  https://t.co/GrzULxbunc</t>
  </si>
  <si>
    <t>presiden fifa gianni infantino unfollow salt bae instagram pasca aksi kontroversialnya final piala dunia</t>
  </si>
  <si>
    <t>['presiden', 'fifa', 'gianni', 'infantino', 'unfollow', 'salt', 'bae', 'instagram', 'pasca', 'aksi', 'kontroversialnya', 'final', 'piala', 'dunia']</t>
  </si>
  <si>
    <t>Hakim Ziyech salah satu pilar Maroko yang mengantar skuat Atlas Lions menjadi negara Afrika pertama yang menembus semi-final Piala Dunia.  #Chelsea #EPL   https://t.co/lBD6vwy4J5</t>
  </si>
  <si>
    <t>hakim ziyech salah satu pilar maroko yang mengantar skuat atlas lions menjadi negara afrika pertama yang menembus semi final piala dunia</t>
  </si>
  <si>
    <t>['hakim', 'ziyech', 'salah', 'satu', 'pilar', 'maroko', 'mengantar', 'skuat', 'atlas', 'lions', 'menjadi', 'negara', 'afrika', 'pertama', 'menembus', 'semi', 'final', 'piala', 'dunia']</t>
  </si>
  <si>
    <t>Presiden FIFA Gianni Infantino Unfollow Instagram Salt Bae Usai Kontroversi Final Piala Dunia 2022  https://t.co/wfcRgZdcli</t>
  </si>
  <si>
    <t>presiden fifa gianni infantino unfollow instagram salt bae usai kontroversi final piala dunia</t>
  </si>
  <si>
    <t>['presiden', 'fifa', 'gianni', 'infantino', 'unfollow', 'instagram', 'salt', 'bae', 'usai', 'kontroversi', 'final', 'piala', 'dunia']</t>
  </si>
  <si>
    <t>Menurut gue kalo #FRA bisa lolos ke Final Piala Dunia 1986 vs #ARG terus menang tentunya cap üêê untuk era itu Platini bukan Maradona hehehe</t>
  </si>
  <si>
    <t>menurut gue kalo bisa lolos final piala dunia terus menang tentunya cap untuk era itu platini bukan maradona hehehe</t>
  </si>
  <si>
    <t>['gue', 'lolos', 'final', 'piala', 'dunia', 'terus', 'menang', 'tentunya', 'cap', 'era', 'platini', 'bukan', 'maradona', 'hehehe']</t>
  </si>
  <si>
    <t>Argentina Juara Piala Dunia 2022, Fans Prancis Tuntut Partai Final Diulang! #LengkapCepatBeritanya #Bola #SepakBola #SepakbolaDunia #BolaDunia .  https://t.co/cmym0TpjOD</t>
  </si>
  <si>
    <t>argentina juara piala dunia fans prancis tuntut partai final diulang</t>
  </si>
  <si>
    <t>['argentina', 'juara', 'piala', 'dunia', 'fans', 'prancis', 'tuntut', 'partai', 'final', 'diulang']</t>
  </si>
  <si>
    <t>15.KAKANWIL KEMENKUMHAM JATENG A YUSPAHRUDDIN: Tegal Kanwil Kemenkumham Jateng Gelar Nobar Final Piala Dunia dan Makan Bersama dengan Petugas Serta Keluarganya  https://t.co/px7A1LXHCR</t>
  </si>
  <si>
    <t>14.KAKANWIL KEMENKUMHAM JATENG A YUSPAHRUDDIN: Tegal Kanwil Kemenkumham Jateng Gelar Nobar Final Piala Dunia dan Makan Bersama dengan Petugas Serta Keluarganya  https://t.co/dsxYsNWSMb</t>
  </si>
  <si>
    <t>Puan Maharani mendukung tim sepak bola Argentina yang melawan Prancis dalam final Piala Dunia 2022.  https://t.co/JITj4EGJnT</t>
  </si>
  <si>
    <t>Ratusan Ribu Fans Tandatangani Petisi, Desak FIFA Ulang Partai Final Piala Dunia 2022 Argentina vs Prancis  https://t.co/bI4ydTEpzm</t>
  </si>
  <si>
    <t>ratusan ribu fans tandatangani petisi desak fifa ulang partai final piala dunia argentina prancis</t>
  </si>
  <si>
    <t>['ratusan', 'ribu', 'fans', 'tandatangani', 'petisi', 'desak', 'fifa', 'ulang', 'partai', 'final', 'piala', 'dunia', 'argentina', 'prancis']</t>
  </si>
  <si>
    <t>Kisah Haru di Balik Pita Merah, Ini Alasan Messi Memakainya Selama Final Piala Dunia 2022  https://t.co/5VRYaPCzqf</t>
  </si>
  <si>
    <t>kisah haru balik pita merah ini alasan messi memakainya selama final piala dunia</t>
  </si>
  <si>
    <t>['kisah', 'haru', 'balik', 'pita', 'merah', 'alasan', 'messi', 'memakainya', 'selama', 'final', 'piala', 'dunia']</t>
  </si>
  <si>
    <t>Ratusan Ribu Fans Tandatangani Petisi, Desak FIFA Ulang Partai Final Piala Dunia 2022 Argentina vs Prancis  https://t.co/a01Q3lnXLU</t>
  </si>
  <si>
    <t>@tanyakanrl Final piala dunia lagi seru2nya, bukannya ikut nonton malah pilih mau jemput w pulang kerja, makan di angkringan. Seberesnya dari rumah w, tau tau balik setengah 1 pagi, terus muter balik lagi ke rumah w padahal udah 33kilo dari rumah krn dard</t>
  </si>
  <si>
    <t>final piala dunia lagi seru nya bukannya ikut nonton malah pilih mau jemput pulang kerja makan angkringan seberesnya dari rumah tau tau balik setengah pagi terus muter balik lagi rumah padahal udah kilo dari rumah krn dard</t>
  </si>
  <si>
    <t>['final', 'piala', 'dunia', 'seru', 'bukannya', 'ikut', 'nonton', 'malah', 'pilih', 'mau', 'jemput', 'pulang', 'kerja', 'makan', 'angkringan', 'seberesnya', 'rumah', 'balik', 'setengah', 'pagi', 'terus', 'muter', 'balik', 'rumah', 'padahal', 'udah', 'kilo', 'rumah', 'dard']</t>
  </si>
  <si>
    <t>@SiaranBolaLive Yg selalu dpet pinalty di menit awal??  Hanya di permudah agar menjadi juara piala dunia. Dari pertandingan pertama vs arab mnit awal dpet pinalty, sampai di semifinal dan final pun di permudah mendapat pinalti di mnit awal</t>
  </si>
  <si>
    <t>selalu dpet pinalty menit awal hanya permudah agar menjadi juara piala dunia dari pertandingan pertama arab mnit awal dpet pinalty sampai semifinal dan final pun permudah mendapat pinalti mnit awal</t>
  </si>
  <si>
    <t>['selalu', 'dpet', 'pinalty', 'menit', 'awal', 'permudah', 'menjadi', 'juara', 'piala', 'dunia', 'pertandingan', 'pertama', 'arab', 'mnit', 'awal', 'dpet', 'pinalty', 'semifinal', 'final', 'permudah', 'mendapat', 'penalti', 'mnit', 'awal']</t>
  </si>
  <si>
    <t>Kegaduhan Nusret Gokce di final Piala Dunia 2022 bikin kesal Presiden FIFA Gianni Infantino. Infantino sampai meng-unfollow Salt Bae di Instagram.  https://t.co/OE1qPj5k5K</t>
  </si>
  <si>
    <t>Muncul Petisi Final Piala Dunia 2022 Argentina Vs Prancis Diulang  https://t.co/Fv5e0Jst8u</t>
  </si>
  <si>
    <t>muncul petisi final piala dunia argentina prancis diulang</t>
  </si>
  <si>
    <t>['muncul', 'petisi', 'final', 'piala', 'dunia', 'argentina', 'prancis', 'diulang']</t>
  </si>
  <si>
    <t>Tidak ambil jatah liburan, Kylian Mbapp√© langsung kembali ke kamp pelatihan Paris Saint-Germain hanya tiga hari sejak Final Piala Dunia 2022. üò≥  https://t.co/odIc99pfx9</t>
  </si>
  <si>
    <t>tidak ambil jatah liburan kylian mbapp langsung kembali kamp pelatihan paris saint germain hanya tiga hari sejak final piala dunia</t>
  </si>
  <si>
    <t>['ambil', 'jatah', 'liburan', 'kylian', 'mbapp', 'langsung', 'kamp', 'pelatihan', 'paris', 'saint', 'germain', 'tiga', 'hari', 'sejak', 'final', 'piala', 'dunia']</t>
  </si>
  <si>
    <t>15.KAKANWIL KEMENKUMHAM JATENG A YUSPAHRUDDIN: Tegal Kanwil Kemenkumham Jateng Gelar Nobar Final Piala Dunia dan Makan Bersama dengan Petugas Serta Keluarganya  https://t.co/k80lVeteZZ</t>
  </si>
  <si>
    <t>14.KAKANWIL KEMENKUMHAM JATENG A YUSPAHRUDDIN: Tegal Kanwil Kemenkumham Jateng Gelar Nobar Final Piala Dunia dan Makan Bersama dengan Petugas Serta Keluarganya  https://t.co/sXYLCOajXS</t>
  </si>
  <si>
    <t>Presiden FIFA Unfollow Salt Bae, Gara-gara Final Piala Dunia 2022? ‚Äì detikSport ‚Äì Google Berita Olahraga ‚Äì  https://t.co/NQeqjzBP67 ‚Äì #Arenanews #Kamidi #Opsiminfo- https://t.co/bxX9Qx1S86</t>
  </si>
  <si>
    <t>presiden fifa unfollow salt bae gara gara final piala dunia detiksport google berita olahraga</t>
  </si>
  <si>
    <t>['presiden', 'fifa', 'unfollow', 'salt', 'bae', 'gara', 'gara', 'final', 'piala', 'dunia', 'detiksport', 'google', 'berita', 'olahraga']</t>
  </si>
  <si>
    <t>@yandriireng Masuk final piala dunia minimal bisa runner up, Kalau maroko, turki , m korsel Yang underdog bisa , kenapa Kita gak  ? Ada doa Ibu , federasi , Dan supporter Yang pasti bisa buat Kita jadi the next juara Dua pildun</t>
  </si>
  <si>
    <t>masuk final piala dunia minimal bisa runner kalau maroko turki korsel yang underdog bisa kenapa kita gak ada doa ibu federasi dan supporter yang pasti bisa buat kita jadi the next juara dua pildun</t>
  </si>
  <si>
    <t>['masuk', 'final', 'piala', 'dunia', 'minimal', 'runner', 'kalau', 'maroko', 'turki', 'korsel', 'underdog', 'doa', 'ibu', 'federasi', 'supporter', 'buat', 'jadi', 'the', 'next', 'juara', 'piala dunia']</t>
  </si>
  <si>
    <t>@panditfootball Seperti Kata anjing- anjing wakanda price die , Ada baiknya jangan menjelekkan negara sendiri .. mending Kita fokus dukung negara sendiri minimal masuk final piala dunia ..</t>
  </si>
  <si>
    <t>seperti kata anjing anjing wakanda price die ada baiknya jangan menjelekkan negara sendiri mending kita fokus dukung negara sendiri minimal masuk final piala dunia</t>
  </si>
  <si>
    <t>['kata', 'anjing', 'anjing', 'wakanda', 'price', 'die', 'baiknya', 'jangan', 'menjelekkan', 'negara', 'sendiri', 'mending', 'fokus', 'dukung', 'negara', 'sendiri', 'minimal', 'masuk', 'final', 'piala', 'dunia']</t>
  </si>
  <si>
    <t>Presiden FIFA Unfollow Salt Bae, Gara-gara Final Piala Dunia 2022? ‚Äì detikSport ‚Äì Google Berita Olahraga ‚Äì  https://t.co/uTY4NulPev ‚Äì #Arenanews #Kamidi¬†#Opsiminfo  https://t.co/1wRL8V1eWE</t>
  </si>
  <si>
    <t>FIFA Selidiki Insiden Salt Bae Masuk Lapangan Saat Final Piala Dunia   https://t.co/YMvZYi6pwE</t>
  </si>
  <si>
    <t>fifa selidiki insiden salt bae masuk lapangan saat final piala dunia</t>
  </si>
  <si>
    <t>['fifa', 'selidiki', 'insiden', 'salt', 'bae', 'masuk', 'lapangan', 'final', 'piala', 'dunia']</t>
  </si>
  <si>
    <t>Puan Maharani mendukung tim sepak bola Argentina yang melawan Prancis dalam final Piala Dunia 2022.  https://t.co/Rx1qX6UgA5</t>
  </si>
  <si>
    <t>Petisi Minta Final Piala Dunia 2022 Diulang Mencapai 200 Ribu Tanda Tangan  https://t.co/XU8eCM3eUB</t>
  </si>
  <si>
    <t>petisi minta final piala dunia diulang mencapai ribu tanda tangan</t>
  </si>
  <si>
    <t>['petisi', 'minta', 'final', 'piala', 'dunia', 'diulang', 'mencapai', 'ribu', 'tanda', 'tangan']</t>
  </si>
  <si>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</si>
  <si>
    <t>total hadiah bagi peserta juara piala dunia fifa oleh panitia penyelenggara event qatar argentina juara piala dunia fifa stadion lusail iconic qatar argentina sukses mengalahkan prancis final melalui adu penalti usai seri waktu normal menit</t>
  </si>
  <si>
    <t>['total', 'hadiah', 'peserta', 'juara', 'piala', 'dunia', 'fifa', 'panitia', 'penyelenggara', 'event', 'qatar', 'argentina', 'juara', 'piala', 'dunia', 'fifa', 'stadion', 'lusail', 'iconic', 'qatar', 'argentina', 'sukses', 'mengalahkan', 'prancis', 'final', 'melalui', 'adu', 'penalti', 'usai', 'seri', 'waktu', 'normal', 'menit']</t>
  </si>
  <si>
    <t>Kegaduhan Nusret Gokce di final Piala Dunia 2022 bikin kesal Presiden FIFA Gianni Infantino. Infantino sampai meng-unfollow Salt Bae di Instagram.  https://t.co/bMsP3zd8RF</t>
  </si>
  <si>
    <t>Kegaduhan Nusret Gokce di final Piala Dunia 2022 bikin kesal Presiden FIFA Gianni Infantino. Infantino sampai meng-unfollow Salt Bae di Instagram.  https://t.co/2DRWU7c9BC</t>
  </si>
  <si>
    <t>Kegaduhan Nusret Gokce di final Piala Dunia 2022 bikin kesal Presiden FIFA Gianni Infantino. Infantino sampai meng-unfollow Salt Bae di Instagram.  https://t.co/bMsP3yW5PF</t>
  </si>
  <si>
    <t>Respect Untuk Mbappe di Usia Muda Sudah Menjadi Top Skor dan Hattick di Final Piala Dunia Qatar  #tos885 #tos885official #tos885bola #agentos885 #Mbappe #PialaDunia2022 #agenresmipialadunia #parlays #mixparlayhariini  https://t.co/HkUdfQLusi</t>
  </si>
  <si>
    <t>respect untuk mbappe usia muda sudah menjadi top skor dan hattick final piala dunia qatar</t>
  </si>
  <si>
    <t>['respect', 'mbappe', 'usia', 'muda', 'menjadi', 'top', 'skor', 'hattick', 'final', 'piala', 'dunia', 'qatar']</t>
  </si>
  <si>
    <t>Profil Celia Maria Cuccitini, Ibunda Lionel Messi yang Beri Kejutan di Final Piala Dunia 2022   #Sindonews #BukanBeritaBiasa . https://t.co/sw3vga0NXl</t>
  </si>
  <si>
    <t>profil celia maria cuccitini ibunda lionel messi yang beri kejutan final piala dunia</t>
  </si>
  <si>
    <t>['profil', 'celia', 'maria', 'cuccitini', 'ibunda', 'lionel', 'messi', 'beri', 'kejutan', 'final', 'piala', 'dunia']</t>
  </si>
  <si>
    <t>Profil Celia Maria Cuccitini, Ibunda Lionel Messi yang Beri Kejutan di Final Piala Dunia 2022   #Sindonews #BukanBeritaBiasa . https://t.co/JSVXh0c29Z</t>
  </si>
  <si>
    <t>Profil Celia Maria Cuccitini, Ibunda Lionel Messi yang Beri Kejutan di Final Piala Dunia 2022   #Sindonews #BukanBeritaBiasa . https://t.co/FAYjlDL8eB</t>
  </si>
  <si>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</si>
  <si>
    <t>minggu kemarin kyk minggu sebelumnya ditinggal orang kagumi keahliannya dan sifatnya tapii banyak hiburan dari nonton show offlinenya raditya dika sampe nikmatin final piala dunia paling seru final pernah tonton akhirnya messi angkat piala pildun</t>
  </si>
  <si>
    <t>['minggu', 'kemarin', 'seperti', 'minggu', 'sebelumnya', 'ditinggal', 'orang', 'kagumi', 'keahliannya', 'sifatnya', 'tapii', 'banyak', 'hiburan', 'nonton', 'show', 'offlinenya', 'raditya', 'dika', 'sampai', 'nikmatin', 'final', 'piala', 'dunia', 'paling', 'seru', 'final', 'pernah', 'tonton', 'akhirnya', 'messi', 'angkat', 'piala', 'piala dunia']</t>
  </si>
  <si>
    <t>4 Hal yang Dapat Dipetik dari Final Piala Dunia 2022: Selesainya Debat GOAT hingga Sangarnya Mbappe    https://t.co/aTsxlFHGHv lewat @tribunmaduracom</t>
  </si>
  <si>
    <t>hal yang dapat dipetik dari final piala dunia selesainya debat goat hingga sangarnya mbappe lewat</t>
  </si>
  <si>
    <t>['dipetik', 'final', 'piala', 'dunia', 'selesainya', 'debat', 'goat', 'hingga', 'sangarnya', 'mbappe', 'lewat']</t>
  </si>
  <si>
    <t>@ViaaVal mau nonton final piala duniaüôÉ</t>
  </si>
  <si>
    <t>mau nonton final piala dunia</t>
  </si>
  <si>
    <t>['mau', 'nonton', 'final', 'piala', 'dunia']</t>
  </si>
  <si>
    <t>FIFA sedang meluncurkan penyelidikan soal masuknya koki selebritas Turki Nusret Gokce, (Salt Bae) ke lapangan, setelah kemenangan Argentina atas Prancis dalam final Piala Dunia 2022, bahkan memegang trofi tsb, yang merupakan pelanggaran besar protokol.  https://t.co/ArMIjNuETU</t>
  </si>
  <si>
    <t>fifa sedang meluncurkan penyelidikan soal masuknya koki selebritas turki nusret gokce salt bae lapangan setelah kemenangan argentina atas prancis dalam final piala dunia bahkan memegang trofi tsb yang merupakan pelanggaran besar protokol</t>
  </si>
  <si>
    <t>['fifa', 'sedang', 'meluncurkan', 'penyelidikan', 'soal', 'masuknya', 'koki', 'selebritas', 'turki', 'nusret', 'gokce', 'salt', 'bae', 'lapangan', 'kemenangan', 'argentina', 'atas', 'prancis', 'final', 'piala', 'dunia', 'bahkan', 'memegang', 'trofi', 'tsb', 'merupakan', 'pelanggaran', 'besar', 'protokol']</t>
  </si>
  <si>
    <t>Moment ketika begadang nonton Final Piala Dunia paginya kerja üòÇ</t>
  </si>
  <si>
    <t>moment ketika begadang nonton final piala dunia paginya kerja</t>
  </si>
  <si>
    <t>['moment', 'begadang', 'nonton', 'final', 'piala', 'dunia', 'paginya', 'kerja']</t>
  </si>
  <si>
    <t>@heydeww_ @idextratime Piala Dunia yg akan datang pas technical meeting, masing2 official perwakilan peserta suruh tandatangan di atas materai aja,,,bahwa klo siap menang jg hrs siap kalah üòÅ  Lg pula, Perancis jg sdh ga mempermasalahkan laga final lho,</t>
  </si>
  <si>
    <t>piala dunia akan datang pas technical meeting masing official perwakilan peserta suruh tandatangan atas materai aja bahwa klo siap menang hrs siap kalah pula perancis sdh mempermasalahkan laga final lho</t>
  </si>
  <si>
    <t>['piala', 'dunia', 'datang', 'pas', 'technical', 'meeting', 'masing', 'official', 'perwakilan', 'peserta', 'suruh', 'tandatangan', 'atas', 'materai', 'siap', 'menang', 'hrs', 'siap', 'kalah', 'perancis', 'mempermasalahkan', 'laga', 'final', 'lho']</t>
  </si>
  <si>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</si>
  <si>
    <t>fideo angel maria memtusukan untuk melanjutkan perjalanannya timnas argentina pasca memenangi piala dunia sebelumnya fideo dikabarkan telah memtuskan untuk pensiun pasca final piala dunia kemarin alegria corazon</t>
  </si>
  <si>
    <t>['fideo', 'angel', 'maria', 'memtusukan', 'melanjutkan', 'perjalanannya', 'timnas', 'argentina', 'pasca', 'memenangi', 'piala', 'dunia', 'sebelumnya', 'fideo', 'dikabarkan', 'memtuskan', 'pensiun', 'pasca', 'final', 'piala', 'dunia', 'kemarin', 'alegria', 'corazon']</t>
  </si>
  <si>
    <t>@idextratime Timnas prancis gelem main ngga, seumpama Final piala dunia 2022 diulang?</t>
  </si>
  <si>
    <t>timnas prancis gelem main ngga seumpama final piala dunia diulang</t>
  </si>
  <si>
    <t>['timnas', 'prancis', 'gelem', 'main', 'ngga', 'seumpama', 'final', 'piala', 'dunia', 'diulang']</t>
  </si>
  <si>
    <t>Salt Bae Lakukan Hal Kontroversi di Final Piala Dunia 2022, Presiden FIFA Gianni Infantino Unfollow Instagramnya  https://t.co/mkr7uWZxAi #Argentina #FIFA #GianniInfantino #PialaDunia2022</t>
  </si>
  <si>
    <t>salt bae lakukan hal kontroversi final piala dunia presiden fifa gianni infantino unfollow instagramnya</t>
  </si>
  <si>
    <t>['salt', 'bae', 'lakukan', 'kontroversi', 'final', 'piala', 'dunia', 'presiden', 'fifa', 'gianni', 'infantino', 'unfollow', 'instagramnya']</t>
  </si>
  <si>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</si>
  <si>
    <t>politik itu harus menggembirakan kurang lebih orang nonton bareng final piala dunia yang adakan dpd partai gerindra kalimantan barat selamat kepada para penonton mendapatkan doorprize berupa unit sepeda uang tunai jutaan rupiah dan berbagai macam sembako</t>
  </si>
  <si>
    <t>['politik', 'menggembirakan', 'kurang', 'lebih', 'orang', 'nonton', 'bareng', 'final', 'piala', 'dunia', 'adakan', 'dpd', 'partai', 'gerindra', 'kalimantan', 'barat', 'selamat', 'penonton', 'mendapatkan', 'doorprize', 'berupa', 'unit', 'sepeda', 'uang', 'tunai', 'jutaan', 'rupiah', 'berbagai', 'macam', 'sembako']</t>
  </si>
  <si>
    <t>Sebanyak 200 ribu fan timnas Prancis dikabarkan meminta final Piala Dunia 2022 diulang karena gelar timnas Argentina tidak sah.    https://t.co/gJrsITaKqx</t>
  </si>
  <si>
    <t>sebanyak ribu fan timnas prancis dikabarkan meminta final piala dunia diulang karena gelar timnas argentina tidak sah</t>
  </si>
  <si>
    <t>['sebanyak', 'ribu', 'fan', 'timnas', 'prancis', 'dikabarkan', 'meminta', 'final', 'piala', 'dunia', 'diulang', 'gelar', 'timnas', 'argentina', 'sah']</t>
  </si>
  <si>
    <t>Belum Move On Piala Dunia 2022, Fans Berat Argentina Ini Beri Nama Cucunya Muhammad Messi.  Surabaya ( https://t.co/ksziGGp1k3) ‚Äì Kehangatan dan keseruan dari final piala dunia antara Prancis dan‚Ä¶  https://t.co/kmZd66SQMs #Ragam #argentina #messi #pialadunia via @beritajatimcom</t>
  </si>
  <si>
    <t>belum move piala dunia fans berat argentina ini beri nama cucunya muhammad messi surabaya kehangatan dan keseruan dari final piala dunia antara prancis dan via</t>
  </si>
  <si>
    <t>['move', 'piala', 'dunia', 'fans', 'berat', 'argentina', 'beri', 'nama', 'cucunya', 'muhammad', 'messi', 'surabaya', 'kehangatan', 'keseruan', 'final', 'piala', 'dunia', 'prancis', 'via']</t>
  </si>
  <si>
    <t>Petisi kayak gini emang pernah ada yg membuahkan hasil apa ya? üòÇ  Gaada bedanya sm misal bikin twit "ulang final piala dunia" trus di rt 200 ribu orang, cuma ini istilaunya pake ttd biar keren üòÇüòÇ ttp ga ngubah apa2 wkwkwkwk</t>
  </si>
  <si>
    <t>petisi kayak gini emang pernah ada membuahkan hasil apa gaada bedanya misal bikin twit ulang final piala dunia trus ribu orang cuma ini istilaunya pake ttd biar keren ttp ngubah apa wkwkwkwk</t>
  </si>
  <si>
    <t>['petisi', 'seperti', 'gini', 'emang', 'pernah', 'membuahkan', 'hasil', 'apa', 'gaada', 'bedanya', 'misal', 'twit', 'ulang', 'final', 'piala', 'dunia', 'trus', 'ribu', 'orang', 'cuma', 'istilaunya', 'pake', 'ttd', 'keren', 'ttp', 'ngubah', 'apa', 'wkwkwkwk']</t>
  </si>
  <si>
    <t>Puan Maharani mendukung tim sepak bola Argentina yang melawan Prancis dalam final Piala Dunia 2022.  https://t.co/Gz2Wf2NrWV</t>
  </si>
  <si>
    <t>Sebuah petisi online yang ditujukan kepada FIFA baru saja dibuat.  Isinya menginginkan agar final Piala Dunia 2022 diulang karena beranggapan 2 goal pertama Argentina tidak sah.  Saat ini petisi tersebut sudah ditandatangani lebih dari 200 ribu kali.. ü§£</t>
  </si>
  <si>
    <t>sebuah petisi online yang ditujukan kepada fifa baru saja dibuat isinya menginginkan agar final piala dunia diulang karena beranggapan goal pertama argentina tidak sah saat ini petisi tersebut sudah ditandatangani lebih dari ribu kali</t>
  </si>
  <si>
    <t>['sebuah', 'petisi', 'online', 'ditujukan', 'fifa', 'baru', 'dibuat', 'isinya', 'menginginkan', 'final', 'piala', 'dunia', 'diulang', 'beranggapan', 'goal', 'pertama', 'argentina', 'sah', 'petisi', 'tersebut', 'ditandatangani', 'lebih', 'ribu', 'kali']</t>
  </si>
  <si>
    <t>Kami benar-benar berusaha untuk memenuhi rencana semua orang, tetapi kami tahu restart-nya adalah lima atau enam hari setelah final Piala Dunia."  #MUFC</t>
  </si>
  <si>
    <t>kami benar benar berusaha untuk memenuhi rencana semua orang tetapi kami tahu restart nya adalah lima atau enam hari setelah final piala dunia</t>
  </si>
  <si>
    <t>['benar', 'benar', 'berusaha', 'memenuhi', 'rencana', 'semua', 'orang', 'tahu', 'restart', 'lima', 'enam', 'hari', 'final', 'piala', 'dunia']</t>
  </si>
  <si>
    <t>Sebuah petisi online yang ditujukan kepada FIFA baru saja dibuat.  Isinya menginginkan agar final Piala Dunia 2022 diulang karena beranggapan 2 goal pertama Argentina tidak sah.  Saat ini petisi tersebut sudah ditandatangani lebih dari 200 ribu kali.. ü§£  https://t.co/Bkskwc4KOO</t>
  </si>
  <si>
    <t>üó£Ô∏è | Erik ten Hag, Raphael Varane "Dia [Varane] kecewa, seperti semua orang setelah kalah di final Piala Dunia. Saya pikir dia juga bisa bangga [telah bermain] di final, dengan semua yang telah dia capai dalam karir sepak bolanya.  #MUFC</t>
  </si>
  <si>
    <t>erik ten hag raphael varane dia varane kecewa seperti semua orang setelah kalah final piala dunia saya pikir dia juga bisa bangga telah bermain final dengan semua yang telah dia capai dalam karir sepak bolanya</t>
  </si>
  <si>
    <t>['erik', 'ten', 'hag', 'raphael', 'varane', 'varane', 'kecewa', 'semua', 'orang', 'kalah', 'final', 'piala', 'dunia', 'pikir', 'bangga', 'bermain', 'final', 'semua', 'capai', 'karir', 'sepak', 'bolanya']</t>
  </si>
  <si>
    <t>FIFA membuka penyelidikan terkait insiden Salt Bae masuk lapangan setelah laga final Piala Dunia 2022. / #SaltBae #Argentina #Perancis #PialaDunia2022 #Bola #LionelMessi #Messi #NusretGokce #FIFA #JernihMelihatDunia  https://t.co/luE3KMv7XK</t>
  </si>
  <si>
    <t>fifa membuka penyelidikan terkait insiden salt bae masuk lapangan setelah laga final piala dunia</t>
  </si>
  <si>
    <t>['fifa', 'membuka', 'penyelidikan', 'terkait', 'insiden', 'salt', 'bae', 'masuk', 'lapangan', 'laga', 'final', 'piala', 'dunia']</t>
  </si>
  <si>
    <t>Kolo Muani, striker dari Eintracht Frankfurt, mencetak gol di semifinal Piala Dunia untuk membawa Prancis ke babak final, dan juga sukses memberikan assist melawan Argentina di final.    https://t.co/X8d3hlu3I7</t>
  </si>
  <si>
    <t>kolo muani striker dari eintracht frankfurt mencetak gol semifinal piala dunia untuk membawa prancis babak final dan juga sukses memberikan assist melawan argentina final</t>
  </si>
  <si>
    <t>['kolo', 'muani', 'striker', 'eintracht', 'frankfurt', 'mencetak', 'gol', 'semifinal', 'piala', 'dunia', 'membawa', 'prancis', 'babak', 'final', 'sukses', 'memberikan', 'assist', 'melawan', 'argentina', 'final']</t>
  </si>
  <si>
    <t>@lazanoorca @SerieA_Lawas Yawda sepakbola mau dimulai dari tahun berapa?  2000? Italia masuk final Euro Apa 2006? Itali juara Piala dunia Apa dimulai 2020? Itali juara Euro plus sempat finalis di tahun 2014  Inggris?? Mau dimulai tahun berapa biar ga dian</t>
  </si>
  <si>
    <t>lawas yawda sepakbola mau dimulai dari tahun berapa italia masuk final euro apa itali juara piala dunia apa dimulai itali juara euro plus sempat finalis tahun inggris mau dimulai tahun berapa biar dian</t>
  </si>
  <si>
    <t>['lawas', 'yawda', 'sepakbola', 'mau', 'dimulai', 'tahun', 'berapa', 'italia', 'masuk', 'final', 'euro', 'apa', 'itali', 'juara', 'piala', 'dunia', 'apa', 'dimulai', 'itali', 'juara', 'euro', 'plus', 'sempat', 'finalis', 'tahun', 'inggris', 'mau', 'dimulai', 'tahun', 'berapa', 'dian']</t>
  </si>
  <si>
    <t>&lt;FreqDist with 21 samples and 31 outcomes&gt;</t>
  </si>
  <si>
    <t>Erik ten Hag: "Kami tahu jika laga pertama kami di sini (v Burnley), diadakan 5-6 hari setelah final Piala Dunia. Kita semua tahu bahwa setelah Piala Dunia, #PL berlanjut dengan cepat dan semua orang harus siap untuk itu."</t>
  </si>
  <si>
    <t>erik ten hag kami tahu jika laga pertama kami sini burnley diadakan hari setelah final piala dunia kita semua tahu bahwa setelah piala dunia berlanjut dengan cepat dan semua orang harus siap untuk itu</t>
  </si>
  <si>
    <t>['erik', 'ten', 'hag', 'tahu', 'laga', 'pertama', 'sini', 'burnley', 'diadakan', 'hari', 'final', 'piala', 'dunia', 'semua', 'tahu', 'piala', 'dunia', 'berlanjut', 'cepat', 'semua', 'orang', 'siap']</t>
  </si>
  <si>
    <t>Erik Ten Hag: ‚ÄúDia [Varane] kecewa, seperti yang dialami semua orang setelah kalah di final Piala Dunia,‚Äù   "Saya pikir dia juga bisa bangga [telah bermain] lagi di final, dengan semua yang telah dia capai dalam karir sepak bolanya.‚Äù  https://t.co/FmkrqTsP0u</t>
  </si>
  <si>
    <t>erik ten hag dia varane kecewa seperti yang dialami semua orang setelah kalah final piala dunia saya pikir dia juga bisa bangga telah bermain lagi final dengan semua yang telah dia capai dalam karir sepak bolanya</t>
  </si>
  <si>
    <t>['erik', 'ten', 'hag', 'varane', 'kecewa', 'dialami', 'semua', 'orang', 'kalah', 'final', 'piala', 'dunia', 'pikir', 'bangga', 'bermain', 'final', 'semua', 'capai', 'karir', 'sepak', 'bolanya']</t>
  </si>
  <si>
    <t>@R_min80 @aniesbaswedan bisa ya tuit tgl 11 des memakai foto stelah final piala dunia? dasar pembuat hoax!!!</t>
  </si>
  <si>
    <t>min bisa tuit tgl des memakai foto stelah final piala dunia dasar pembuat hoax</t>
  </si>
  <si>
    <t>['min', 'tuit', 'tgl', 'des', 'memakai', 'foto', 'stelah', 'final', 'piala', 'dunia', 'dasar', 'pembuat', 'hoax']</t>
  </si>
  <si>
    <t>üó£ Erik ten Hag: "Dia [Varane] kecewa, seperti semua orang setelah kalah di final Piala Dunia. Saya pikir dia juga bisa bangga [bermain] lagi di final, dengan semua yang telah dia capai dalam karir sepak bolanya." #newsutd</t>
  </si>
  <si>
    <t>erik ten hag dia varane kecewa seperti semua orang setelah kalah final piala dunia saya pikir dia juga bisa bangga bermain lagi final dengan semua yang telah dia capai dalam karir sepak bolanya</t>
  </si>
  <si>
    <t>['erik', 'ten', 'hag', 'varane', 'kecewa', 'semua', 'orang', 'kalah', 'final', 'piala', 'dunia', 'pikir', 'bangga', 'bermain', 'final', 'semua', 'capai', 'karir', 'sepak', 'bolanya']</t>
  </si>
  <si>
    <t>Erik ten Hag: ‚ÄúIa (Varane) jelas kecewa, seperti semua pemain yang kecewa setelah kalah di final Piala Dunia. Saya pikir ia juga dapat berbangga karena telah bermain di laga final, hingga semua hal yang telah ia capai dalam karir sepakbolanya."  https://t.co/z1mfwcseaA</t>
  </si>
  <si>
    <t>erik ten hag varane jelas kecewa seperti semua pemain yang kecewa setelah kalah final piala dunia saya pikir juga dapat berbangga karena telah bermain laga final hingga semua hal yang telah capai dalam karir sepakbolanya</t>
  </si>
  <si>
    <t>['erik', 'ten', 'hag', 'varane', 'jelas', 'kecewa', 'semua', 'pemain', 'kecewa', 'kalah', 'final', 'piala', 'dunia', 'pikir', 'berbangga', 'bermain', 'laga', 'final', 'hingga', 'semua', 'capai', 'karir', 'sepakbolanya']</t>
  </si>
  <si>
    <t>Puan Maharani mendukung tim sepak bola Argentina yang melawan Prancis dalam final Piala Dunia 2022.  https://t.co/rFUz6Or4DX</t>
  </si>
  <si>
    <t>Graham Potter: ‚ÄúMereka (Mateo &amp;amp; Hakim) pergi ke final tempat ketiga dan keempat Piala Dunia, laga yang begitu besar. Keduanya tidak akan tersedia untuk pertandingan [vs Bournemouth]. Selain mereka semua telah kembali dan telah berlatih.‚Äù #CFC</t>
  </si>
  <si>
    <t>graham potter mereka mateo hakim pergi final tempat ketiga dan keempat piala dunia laga yang begitu besar keduanya tidak akan tersedia untuk pertandingan bournemouth selain mereka semua telah kembali dan telah berlatih</t>
  </si>
  <si>
    <t>['graham', 'potter', 'mateo', 'hakim', 'pergi', 'final', 'tempat', 'ketiga', 'keempat', 'piala', 'dunia', 'laga', 'besar', 'keduanya', 'tersedia', 'pertandingan', 'bournemouth', 'semua', 'berlatih']</t>
  </si>
  <si>
    <t>Puan Maharani mendukung tim sepak bola Argentina yang melawan Prancis dalam final Piala Dunia 2022.  https://t.co/fupRvZ8bwu</t>
  </si>
  <si>
    <t>200 Ribu Orang Tanda Tangani Petisi Final Piala Dunia  https://t.co/mKDWl478kn</t>
  </si>
  <si>
    <t>ribu orang tanda tangani petisi final piala dunia</t>
  </si>
  <si>
    <t>['ribu', 'orang', 'tanda', 'tangani', 'petisi', 'final', 'piala', 'dunia']</t>
  </si>
  <si>
    <t>KAKANWIL KEMENKUMHAM JATENG A YUSPAHRUDDIN: Tegal Kanwil Kemenkumham Jateng Gelar Nobar Final Piala Dunia dan Makan Bersama dengan Petugas Serta Keluarganya, https://t.co/PkNfP57LCH,</t>
  </si>
  <si>
    <t>Final Piala Dunia 2022 Prancis VS Argentina Diminta Diulang | Liputan6  https://t.co/dBjJKNHSpB</t>
  </si>
  <si>
    <t>final piala dunia prancis argentina diminta diulang liputan</t>
  </si>
  <si>
    <t>['final', 'piala', 'dunia', 'prancis', 'argentina', 'diminta', 'diulang', 'liputan']</t>
  </si>
  <si>
    <t>VIDEO: Final Piala Dunia 2022 Prancis VS Argentina Diminta Diulang  https://t.co/3MJByvV3za</t>
  </si>
  <si>
    <t>video final piala dunia prancis argentina diminta diulang</t>
  </si>
  <si>
    <t>['video', 'final', 'piala', 'dunia', 'prancis', 'argentina', 'diminta', 'diulang']</t>
  </si>
  <si>
    <t>Sisi Lain Podium Final Piala Dunia 2022: Trang Gugup Bawa Baki Meda  https://t.co/Q2Cda6NjEf</t>
  </si>
  <si>
    <t>sisi lain podium final piala dunia trang gugup bawa baki meda</t>
  </si>
  <si>
    <t>['sisi', 'podium', 'final', 'piala', 'dunia', 'trang', 'gugup', 'bawa', 'baki', 'meda']</t>
  </si>
  <si>
    <t>Salt Bae kini ramai menjadi perbincangan di jagat maya lantaran aksinya yang berada di lapangan pada akhir final Piala Dunia di Qatar pada minggu lalu.  Berikut Tribunnewswiki rangkum informasi terkait sosok Salt Bae dari berbagai sumber.   https://t.co/ovyvckw9mF</t>
  </si>
  <si>
    <t>salt bae kini ramai menjadi perbincangan jagat maya lantaran aksinya yang berada lapangan pada akhir final piala dunia qatar pada minggu lalu berikut tribunnewswiki rangkum informasi terkait sosok salt bae dari berbagai sumber</t>
  </si>
  <si>
    <t>['salt', 'bae', 'kini', 'ramai', 'menjadi', 'perbincangan', 'jagat', 'maya', 'lantaran', 'aksinya', 'berada', 'lapangan', 'akhir', 'final', 'piala', 'dunia', 'qatar', 'minggu', 'lalu', 'berikut', 'tribunnewswiki', 'rangkum', 'informasi', 'terkait', 'sosok', 'salt', 'bae', 'berbagai', 'sumber']</t>
  </si>
  <si>
    <t>4. Lapas Palembang Kemenkumham Sumsel: Para petugas menggunakan jersey kebanggan tim masing-masing untuk menambah kemeriahan saat menonton final piala dunia. @PalembangLpka #LpkaPalembang #HamdiHasibuan</t>
  </si>
  <si>
    <t>lapas palembang kemenkumham sumsel para petugas menggunakan jersey kebanggan tim masing masing untuk menambah kemeriahan saat menonton final piala dunia</t>
  </si>
  <si>
    <t>['lapas', 'palembang', 'kemenkumham', 'sumsel', 'petugas', 'menggunakan', 'jersey', 'kebanggan', 'tim', 'masing', 'masing', 'menambah', 'kemeriahan', 'menonton', 'final', 'piala', 'dunia']</t>
  </si>
  <si>
    <t>Mendinginkan Bara Final Piala Dunia  https://t.co/XYZ1CnlX0m</t>
  </si>
  <si>
    <t>mendinginkan bara final piala dunia</t>
  </si>
  <si>
    <t>['mendinginkan', 'bara', 'final', 'piala', 'dunia']</t>
  </si>
  <si>
    <t>Terakhir nonton sepak bola: Final Piala Dunia. Barusan nonton AFF, saya jadi gak yakin kalau itu sepak bola. main grusah grusuh, gradak gruduk, lebih mirip gobak sodor.</t>
  </si>
  <si>
    <t>terakhir nonton sepak bola final piala dunia barusan nonton aff saya jadi gak yakin kalau itu sepak bola main grusah grusuh gradak gruduk lebih mirip gobak sodor</t>
  </si>
  <si>
    <t>['terakhir', 'nonton', 'sepak', 'bola', 'final', 'piala', 'dunia', 'barusan', 'nonton', 'aff', 'jadi', 'yakin', 'kalau', 'sepak', 'bola', 'main', 'grusah', 'grusuh', 'gradak', 'gruduk', 'lebih', 'mirip', 'gobak', 'sodor']</t>
  </si>
  <si>
    <t>@The_RedsIndo Bayangkan anda baru saja melihat stiker mengerikan bernama mbappe di laga final piala dunia,lalu menyaksikan striker liverpool</t>
  </si>
  <si>
    <t>redsindo bayangkan anda baru saja melihat stiker mengerikan bernama mbappe laga final piala dunia lalu menyaksikan striker liverpool</t>
  </si>
  <si>
    <t>['redsindo', 'bayangkan', 'baru', 'melihat', 'stiker', 'mengerikan', 'bernama', 'mbappe', 'laga', 'final', 'piala', 'dunia', 'lalu', 'menyaksikan', 'striker', 'liverpool']</t>
  </si>
  <si>
    <t>Final piala dunia terbaik "katanya" kocak ü§£ü§£ü§£</t>
  </si>
  <si>
    <t>final piala dunia terbaik katanya kocak</t>
  </si>
  <si>
    <t>['final', 'piala', 'dunia', 'terbaik', 'katanya', 'kocak']</t>
  </si>
  <si>
    <t>FIFA Akan Selidiki Kasus Salt Bae Masuki Lapangan Pasca Final Piala Dunia 2022 | Liputan6  https://t.co/WOKIKRmGJz</t>
  </si>
  <si>
    <t>fifa akan selidiki kasus salt bae masuki lapangan pasca final piala dunia liputan</t>
  </si>
  <si>
    <t>['fifa', 'selidiki', 'kasus', 'salt', 'bae', 'masuki', 'lapangan', 'pasca', 'final', 'piala', 'dunia', 'liputan']</t>
  </si>
  <si>
    <t>Nusret Gokce alias Salt Bae bikin gaduh di final Piala Dunia 2022. Imbasnya, koki asal Turki itu pun kena embargo menghadiri sebuah turnamen!   https://t.co/6p8knMcRls</t>
  </si>
  <si>
    <t>nusret gokce alias salt bae bikin gaduh final piala dunia imbasnya koki asal turki itu pun kena embargo menghadiri sebuah turnamen</t>
  </si>
  <si>
    <t>['nusret', 'gokce', 'alias', 'salt', 'bae', 'gaduh', 'final', 'piala', 'dunia', 'imbasnya', 'koki', 'asal', 'turki', 'kena', 'embargo', 'menghadiri', 'sebuah', 'turnamen']</t>
  </si>
  <si>
    <t>Lionel Messi disebut-sebut sudah melengkapi trofi yang berhasil dimenangkan sepanjang perjalanan kariernya, usai membantu Timnas Argentina menjuarai Piala Dunia Qatar 2022 dengan mengalahkan Prancis di partai final.  https://t.co/PQBZqE4M9E</t>
  </si>
  <si>
    <t>lionel messi disebut sebut sudah melengkapi trofi yang berhasil dimenangkan sepanjang perjalanan kariernya usai membantu timnas argentina menjuarai piala dunia qatar dengan mengalahkan prancis partai final</t>
  </si>
  <si>
    <t>['lionel', 'messi', 'disebut', 'sebut', 'melengkapi', 'trofi', 'berhasil', 'dimenangkan', 'sepanjang', 'perjalanan', 'kariernya', 'usai', 'membantu', 'timnas', 'argentina', 'menjuarai', 'piala', 'dunia', 'qatar', 'mengalahkan', 'prancis', 'partai', 'final']</t>
  </si>
  <si>
    <t>@budimandjatmiko @DavidDeutschOxf @UniofOxford Ternyata socrates juga nonton final piala dunia kmrn  https://t.co/YpDZ4Bvavs</t>
  </si>
  <si>
    <t>ternyata socrates juga nonton final piala dunia kmrn</t>
  </si>
  <si>
    <t>['ternyata', 'socrates', 'nonton', 'final', 'piala', 'dunia', 'kmrn']</t>
  </si>
  <si>
    <t>Patrice Evra Bagikan Pengalamannya Menonton Final Piala Dunia 2022 Antara Prancis vs Argentina, "Saya menangis setelah pertandingan" |  https://t.co/UU0nmzumSr</t>
  </si>
  <si>
    <t>patrice evra bagikan pengalamannya menonton final piala dunia antara prancis argentina saya menangis setelah pertandingan</t>
  </si>
  <si>
    <t>['patrice', 'evra', 'bagikan', 'pengalamannya', 'menonton', 'final', 'piala', 'dunia', 'prancis', 'argentina', 'menangis', 'pertandingan']</t>
  </si>
  <si>
    <t>FIFA tengah melakukan investigasi soal adanya akses terhadap seorang koki selebritas, Salt Bae, ke lapangan pertandingan saat final Piala Dunia 2022.  https://t.co/F4VqOLVdcn</t>
  </si>
  <si>
    <t>fifa tengah melakukan investigasi soal adanya akses terhadap seorang koki selebritas salt bae lapangan pertandingan saat final piala dunia</t>
  </si>
  <si>
    <t>['fifa', 'tengah', 'melakukan', 'investigasi', 'soal', 'adanya', 'akses', 'seorang', 'koki', 'selebritas', 'salt', 'bae', 'lapangan', 'pertandingan', 'final', 'piala', 'dunia']</t>
  </si>
  <si>
    <t>VIDEO: FIFA Akan Selidiki Kasus Salt Bae Masuki Lapangan Pasca Final Piala Dunia 2022  https://t.co/75kqhKSzlo</t>
  </si>
  <si>
    <t>video fifa akan selidiki kasus salt bae masuki lapangan pasca final piala dunia</t>
  </si>
  <si>
    <t>['video', 'fifa', 'selidiki', 'kasus', 'salt', 'bae', 'masuki', 'lapangan', 'pasca', 'final', 'piala', 'dunia']</t>
  </si>
  <si>
    <t>Bikin Ulah di Final Piala Dunia 2022, Salt Bae Diblokir dari Turnamen  https://t.co/xKiKY0w8JH #Argentina #FIFA #PialaDunia2022 #SaltBae  https://t.co/qvV8dnzhvt</t>
  </si>
  <si>
    <t>bikin ulah final piala dunia salt bae diblokir dari turnamen</t>
  </si>
  <si>
    <t>['ulah', 'final', 'piala', 'dunia', 'salt', 'bae', 'diblokir', 'turnamen']</t>
  </si>
  <si>
    <t>Nggak usah marah2 gitu, nanti kayak Zidane di final Piala Dunia 2006. Kenapa orang Perancis cepat tersinggung ya, demi Toutatis!</t>
  </si>
  <si>
    <t>nggak usah marah gitu nanti kayak zidane final piala dunia kenapa orang perancis cepat tersinggung demi toutatis</t>
  </si>
  <si>
    <t>['usah', 'marah', 'gitu', 'seperti', 'zidane', 'final', 'piala', 'dunia', 'orang', 'perancis', 'cepat', 'tersinggung', 'toutatis']</t>
  </si>
  <si>
    <t>FFF mengajukan keluhan resmi soal sikap "kelewatan" Emiliano Martinez yang mem-bully Kylian Mbappe usai final Piala Dunia 2022 üò§  #FIFAWorldCup #Argentina #France   https://t.co/yXr7h33z8l</t>
  </si>
  <si>
    <t>fff mengajukan keluhan resmi soal sikap kelewatan emiliano martinez yang mem bully kylian mbappe usai final piala dunia</t>
  </si>
  <si>
    <t>['fff', 'mengajukan', 'keluhan', 'resmi', 'soal', 'sikap', 'kelewatan', 'emiliano', 'martinez', 'mem', 'bully', 'kylian', 'mbappe', 'usai', 'final', 'piala', 'dunia']</t>
  </si>
  <si>
    <t>VIDEO: FIFA Akan Selidiki Kasus Salt Bae Masuki Lapangan Pasca Final Piala Dunia 2022  https://t.co/GQQhtfTxfx</t>
  </si>
  <si>
    <t>VIDEO: FIFA Akan Selidiki Kasus Salt Bae Masuki Lapangan Pasca Final Piala Dunia 2022  https://t.co/2rWhbourtM</t>
  </si>
  <si>
    <t>#Terpopuler Google Search memecahkan rekor pencarian tertinggi selama 25 tahun terakhir. Rekor tersebut adalah saat berlangsungnya final Piala Dunia 2022.  https://t.co/XIOxaXtJLo</t>
  </si>
  <si>
    <t>google search memecahkan rekor pencarian tertinggi selama tahun terakhir rekor tersebut adalah saat berlangsungnya final piala dunia</t>
  </si>
  <si>
    <t>['google', 'search', 'memecahkan', 'rekor', 'pencarian', 'tertinggi', 'selama', 'tahun', 'terakhir', 'rekor', 'tersebut', 'berlangsungnya', 'final', 'piala', 'dunia']</t>
  </si>
  <si>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</si>
  <si>
    <t>reposted from keseruan warga ibu kota nonton final piala dunia bareng pemuda perindo sorak sorai rayakan kemenangan timnas argentina</t>
  </si>
  <si>
    <t>['reposted', 'from', 'keseruan', 'warga', 'ibu', 'kota', 'nonton', 'final', 'piala', 'dunia', 'bareng', 'pemuda', 'perindo', 'sorak', 'sorai', 'rayakan', 'kemenangan', 'timnas', 'argentina']</t>
  </si>
  <si>
    <t>Nusret Gokce alias Salt Bae bikin gaduh di final Piala Dunia 2022. Imbasnya, koki asal Turki itu pun kena embargo menghadiri sebuah turnamen!   https://t.co/SGPqR3XCim</t>
  </si>
  <si>
    <t>FIFA melakukan investigasi terkait 'pelanggaran akses masuk' yang dilakukan koki sekaligus influencer Salt Bae usai laga final Piala Dunia 2022. #juaraboladunia    https://t.co/yyeBxcXthx</t>
  </si>
  <si>
    <t>fifa melakukan investigasi terkait pelanggaran akses masuk yang dilakukan koki sekaligus influencer salt bae usai laga final piala dunia</t>
  </si>
  <si>
    <t>['fifa', 'melakukan', 'investigasi', 'terkait', 'pelanggaran', 'akses', 'masuk', 'dilakukan', 'koki', 'sekaligus', 'influencer', 'salt', 'bae', 'usai', 'laga', 'final', 'piala', 'dunia']</t>
  </si>
  <si>
    <t>Gool Messi Final Piala dunia #tiktok #mesi #finalpialadunia #tiktikmania #TikTokviral  #TikTokLive #tiktokindonesia #fyptt @detikcom  @tribunnews  @tiktokbabes @tiktok @TikTokIndonesi5  https://t.co/MygT9rXJXN</t>
  </si>
  <si>
    <t>gool messi final piala dunia</t>
  </si>
  <si>
    <t>['gool', 'messi', 'final', 'piala', 'dunia']</t>
  </si>
  <si>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</si>
  <si>
    <t>exco rfu dilaporkan belum memiliki opini bersama untuk mengambil putusan final untuk pindah atau melanjutkan diskusi sanksi uefa sendiri masih berlaku tanpa batas waktu rusia terancam tidak mengikuti putaran kompetisi yang menawarkan tempat piala dunia</t>
  </si>
  <si>
    <t>['exco', 'rfu', 'dilaporkan', 'memiliki', 'opini', 'bersama', 'mengambil', 'putusan', 'final', 'pindah', 'melanjutkan', 'diskusi', 'sanksi', 'uefa', 'sendiri', 'berlaku', 'batas', 'waktu', 'rusia', 'terancam', 'mengikuti', 'putaran', 'kompetisi', 'menawarkan', 'tempat', 'piala', 'dunia']</t>
  </si>
  <si>
    <t>@ErwinZulfian @Midjan_La_2 Lue ngerti sepakbola gak sih ? ntn final piala dunia gak sih ?  Minimal klo minim literasi itu tanya &amp;amp; pahami, jgn sotoy. Kpn gw bilang emi martinez "mengejar bola" .  Lue tau emi martinez gak sih , gw curiga elu ga tau nama</t>
  </si>
  <si>
    <t>lue ngerti sepakbola gak sih ntn final piala dunia gak sih minimal klo minim literasi itu tanya pahami jgn sotoy kpn bilang emi martinez mengejar bola lue tau emi martinez gak sih curiga elu tau nama</t>
  </si>
  <si>
    <t>['lue', 'ngerti', 'sepakbola', 'ntn', 'final', 'piala', 'dunia', 'minimal', 'minim', 'literasi', 'tanya', 'pahami', 'sotoy', 'kpn', 'emi', 'martinez', 'mengejar', 'bola', 'lue', 'emi', 'martinez', 'curiga', 'elu', 'nama']</t>
  </si>
  <si>
    <t>Taklukan Prancis Lewat Penalti di Final Piala Dunia 2022, Inilah Cocoklogi Kemenangan Argentina yang Terwujud!  https://t.co/usTmsIxO4n</t>
  </si>
  <si>
    <t>taklukan prancis lewat penalti final piala dunia inilah cocoklogi kemenangan argentina yang terwujud</t>
  </si>
  <si>
    <t>['taklukan', 'prancis', 'lewat', 'penalti', 'final', 'piala', 'dunia', 'inilah', 'cocoklogi', 'kemenangan', 'argentina', 'terwujud']</t>
  </si>
  <si>
    <t>Hasil Final Piala Dunia Wanita U17 India (2022): Spanyol Taklukan Kolombia Dengan Laga Dramatis   https://t.co/tjqyuGYXpt</t>
  </si>
  <si>
    <t>hasil final piala dunia wanita india spanyol taklukan kolombia dengan laga dramatis</t>
  </si>
  <si>
    <t>['hasil', 'final', 'piala', 'dunia', 'wanita', 'india', 'spanyol', 'taklukan', 'kolombia', 'laga', 'dramatis']</t>
  </si>
  <si>
    <t>PIALA DUNIA 2022 | FIFA siasat bagaimana chef selebriti, Salt Bae boleh mendapat "akses tidak wajar" ke dalam padang selepas final Piala Dunia ketika dia teruja bergambar dengan pemain Argentina yang terkejut dan Lionel Messi yang tampak tidak selesa.  https://t.co/BDDrlaofVB</t>
  </si>
  <si>
    <t>piala dunia fifa siasat bagaimana chef selebriti salt bae boleh mendapat akses tidak wajar dalam padang selepas final piala dunia ketika dia teruja bergambar dengan pemain argentina yang terkejut dan lionel messi yang tampak tidak selesa</t>
  </si>
  <si>
    <t>['piala', 'dunia', 'fifa', 'siasat', 'bagaimana', 'chef', 'selebriti', 'salt', 'bae', 'mendapat', 'akses', 'wajar', 'padang', 'selepas', 'final', 'piala', 'dunia', 'teruja', 'bergambar', 'pemain', 'argentina', 'terkejut', 'lionel', 'messi', 'tampak', 'selesa']</t>
  </si>
  <si>
    <t>Lapas Palembang Kemenkumham Sumsel: Para petugas menggunakan jersey kebanggan tim masing-masing untuk menambah kemeriahan saat menonton final piala dunia. @PalembangLpka #LpkaPalembang #HamdiHasibuan</t>
  </si>
  <si>
    <t>Lionel Messi yang telah memenangi Piala Dunia 2022 bersama Argentina kini dikabarkan sepakat perpanjang kontrak di PSG. Messi sebelumnya bikin Mbappe cs patah hati usai kandas di final Piala Dunia.  https://t.co/IIn703t4zY</t>
  </si>
  <si>
    <t>lionel messi yang telah memenangi piala dunia bersama argentina kini dikabarkan sepakat perpanjang kontrak psg messi sebelumnya bikin mbappe patah hati usai kandas final piala dunia</t>
  </si>
  <si>
    <t>['lionel', 'messi', 'memenangi', 'piala', 'dunia', 'bersama', 'argentina', 'kini', 'dikabarkan', 'sepakat', 'perpanjang', 'kontrak', 'psg', 'messi', 'sebelumnya', 'mbappe', 'patah', 'hati', 'usai', 'kandas', 'final', 'piala', 'dunia']</t>
  </si>
  <si>
    <t>Lionel Messi yang telah memenangi Piala Dunia 2022 bersama Argentina kini dikabarkan sepakat perpanjang kontrak di PSG. Messi sebelumnya bikin Mbappe cs patah hati usai kandas di final Piala Dunia.  https://t.co/tf0PRgocO6</t>
  </si>
  <si>
    <t>Salt Bae Dilarang Hadiri Final Piala AS Terbuka Usai Angkat Trofi Piala Dunia. #EnamPlus  https://t.co/VBK7KxYyVM</t>
  </si>
  <si>
    <t>salt bae dilarang hadiri final piala terbuka usai angkat trofi piala dunia</t>
  </si>
  <si>
    <t>['salt', 'bae', 'dilarang', 'hadiri', 'final', 'piala', 'terbuka', 'usai', 'angkat', 'trofi', 'piala', 'dunia']</t>
  </si>
  <si>
    <t>Media Prancis Sebut Gol Kedua Lionel Messi di Final Piala Dunia 2022 Tidak Sah, Apa Alasannya?  https://t.co/l5RerJT7UT</t>
  </si>
  <si>
    <t>media prancis sebut gol kedua lionel messi final piala dunia tidak sah apa alasannya</t>
  </si>
  <si>
    <t>['media', 'prancis', 'sebut', 'gol', 'kedua', 'lionel', 'messi', 'final', 'piala', 'dunia', 'sah', 'apa', 'alasannya']</t>
  </si>
  <si>
    <t>FIFA melakukan investigasi terkait 'pelanggaran akses masuk' yang dilakukan koki sekaligus influencer Salt Bae usai laga final Piala Dunia 2022. #juaraboladunia    https://t.co/bv17MHNRdx</t>
  </si>
  <si>
    <t>"Saya benar-benar hampir mati" üíÄ  Simak reaksi fans Argentina setelah menyaksikan final Piala Dunia 2022 nan dramatis. üó£Ô∏è  #FIFAWorldCup #Qatar2022 #ARG  https://t.co/34rSVdOWew</t>
  </si>
  <si>
    <t>saya benar benar hampir mati simak reaksi fans argentina setelah menyaksikan final piala dunia nan dramatis</t>
  </si>
  <si>
    <t>['benar', 'benar', 'hampir', 'mati', 'simak', 'reaksi', 'fans', 'argentina', 'menyaksikan', 'final', 'piala', 'dunia', 'dramatis']</t>
  </si>
  <si>
    <t>@SiaranBolaLive Kemenangan final piala dunia adl kemenangan Di Maria</t>
  </si>
  <si>
    <t>kemenangan final piala dunia adl kemenangan maria</t>
  </si>
  <si>
    <t>['kemenangan', 'final', 'piala', 'dunia', 'adl', 'kemenangan', 'maria']</t>
  </si>
  <si>
    <t>Lapas Palembang Kemenkumham Sumsel: Para petugas menggunakan jersey kebanggan tim masing-masing untuk menambah kemeriahan saat menonton final piala dunia. 5. @PalembangLpka 6. #LpkaPalembang 7. #HamdiHasibuan</t>
  </si>
  <si>
    <t>Nekat Cium Trofi Piala Dunia, Salt Bae Tak Boleh Hadiri Final US¬†Open¬†Cup¬†2023  https://t.co/Rk6F6B8wbI</t>
  </si>
  <si>
    <t>nekat cium trofi piala dunia salt bae tak boleh hadiri final open cup</t>
  </si>
  <si>
    <t>['nekat', 'cium', 'trofi', 'piala', 'dunia', 'salt', 'bae', 'tak', 'hadiri', 'final', 'open', 'cup']</t>
  </si>
  <si>
    <t>25 Juta Chat WhatsApp Dikirim Ketika Final Piala Dunia 2022 Qatar   https://t.co/8xfY2Dg53u</t>
  </si>
  <si>
    <t>juta chat whatsapp dikirim ketika final piala dunia qatar</t>
  </si>
  <si>
    <t>['juta', 'chat', 'whatsapp', 'dikirim', 'final', 'piala', 'dunia', 'qatar']</t>
  </si>
  <si>
    <t>FIFA Investigasi Salt Bae Masuk Lapangan Final Piala Dunia   https://t.co/y6NzH3PyE9</t>
  </si>
  <si>
    <t>fifa investigasi salt bae masuk lapangan final piala dunia</t>
  </si>
  <si>
    <t>['fifa', 'investigasi', 'salt', 'bae', 'masuk', 'lapangan', 'final', 'piala', 'dunia']</t>
  </si>
  <si>
    <t>Lionel Messi 'ingin mengarak trofi Piala Dunia Argentina di sekitar stadion PSG - tetapi para petinggi klub enggan tentang reaksi yang akan ditimbulkannya' setelah bintang Prancis Kylian Mbappe dibiarkan hancur oleh kekalahan di final.  üìú @DailyMail  https://t.co/mAJoNTr7qL</t>
  </si>
  <si>
    <t>lionel messi ingin mengarak trofi piala dunia argentina sekitar stadion psg tetapi para petinggi klub enggan tentang reaksi yang akan ditimbulkannya setelah bintang prancis kylian mbappe dibiarkan hancur oleh kekalahan final</t>
  </si>
  <si>
    <t>['lionel', 'messi', 'mengarak', 'trofi', 'piala', 'dunia', 'argentina', 'stadion', 'psg', 'petinggi', 'klub', 'enggan', 'reaksi', 'ditimbulkannya', 'bintang', 'prancis', 'kylian', 'mbappe', 'dibiarkan', 'hancur', 'kekalahan', 'final']</t>
  </si>
  <si>
    <t>FIFA melakukan investigasi terkait bagaimana chef selebritas Salt Bae mendapat "akses yang tidak semestinya" ke lapangan pada final Piala Dunia untuk...  https://t.co/d7NffRZSP9</t>
  </si>
  <si>
    <t>fifa melakukan investigasi terkait bagaimana chef selebritas salt bae mendapat akses yang tidak semestinya lapangan pada final piala dunia untuk</t>
  </si>
  <si>
    <t>['fifa', 'melakukan', 'investigasi', 'terkait', 'bagaimana', 'chef', 'selebritas', 'salt', 'bae', 'mendapat', 'akses', 'semestinya', 'lapangan', 'final', 'piala', 'dunia']</t>
  </si>
  <si>
    <t>Menolak lupa! Ini Deretan Fakta Menarik Fase Gugur dan Final Piala Dunia 2022!  https://t.co/ljFdaSi3PU</t>
  </si>
  <si>
    <t>menolak lupa ini deretan fakta menarik fase gugur dan final piala dunia</t>
  </si>
  <si>
    <t>['menolak', 'lupa', 'deretan', 'fakta', 'menarik', 'fase', 'gugur', 'final', 'piala', 'dunia']</t>
  </si>
  <si>
    <t>FIFA Mulai Selidiki Insiden Salt Bae Masuk Lapangan di Final Piala Dunia  https://t.co/SwzmQVdJzR</t>
  </si>
  <si>
    <t>fifa mulai selidiki insiden salt bae masuk lapangan final piala dunia</t>
  </si>
  <si>
    <t>['fifa', 'mulai', 'selidiki', 'insiden', 'salt', 'bae', 'masuk', 'lapangan', 'final', 'piala', 'dunia']</t>
  </si>
  <si>
    <t>Messi butuh waktu 17 tahun lamanya untuk membawa Argentina menjuarai Piala Dunia.  Mbappe hanya butuh waktu 1 tahun untuk membawa Prancis menjuarai Piala Dunia dan lolos ke final sebanyak 2 kali berturut-turut.  https://t.co/89HDuaxCLs</t>
  </si>
  <si>
    <t>messi butuh waktu tahun lamanya untuk membawa argentina menjuarai piala dunia mbappe hanya butuh waktu tahun untuk membawa prancis menjuarai piala dunia dan lolos final sebanyak kali berturut turut</t>
  </si>
  <si>
    <t>['messi', 'butuh', 'waktu', 'tahun', 'lamanya', 'membawa', 'argentina', 'menjuarai', 'piala', 'dunia', 'mbappe', 'butuh', 'waktu', 'tahun', 'membawa', 'prancis', 'menjuarai', 'piala', 'dunia', 'lolos', 'final', 'sebanyak', 'kali', 'berturut', 'turut']</t>
  </si>
  <si>
    <t>Pertaruhan Reputasi Mentalist Romy Rafael dan Istri di Final Piala Dunia 2022  https://t.co/wFg5AczMec</t>
  </si>
  <si>
    <t>pertaruhan reputasi mentalist romy rafael dan istri final piala dunia</t>
  </si>
  <si>
    <t>['pertaruhan', 'reputasi', 'mentalist', 'romy', 'rafael', 'istri', 'final', 'piala', 'dunia']</t>
  </si>
  <si>
    <t>4. Lapas Palembang Kemenkumham Sumsel: Para petugas menggunakan jersey kebanggan tim masing-masing untuk menambah kemeriahan saat menonton final piala dunia @PalembangLpka #LpkaPalembang #HamdiHasibuan</t>
  </si>
  <si>
    <t>Celebrity Chef Salt Bae, dilarang hadir ke final turnamen sepak bola bergengsi di Amerika Serikat (AS), US Open Cup. Ini lantaran Bae menyentuh trofi Piala Dunia yang sebenarnya itu tak diizinkan.  #MGTRADIO #MGTSport #MGTPlay  https://t.co/rZftaNDtqy</t>
  </si>
  <si>
    <t>celebrity chef salt bae dilarang hadir final turnamen sepak bola bergengsi amerika serikat open cup ini lantaran bae menyentuh trofi piala dunia yang sebenarnya itu tak diizinkan</t>
  </si>
  <si>
    <t>['celebrity', 'chef', 'salt', 'bae', 'dilarang', 'hadir', 'final', 'turnamen', 'sepak', 'bola', 'bergengsi', 'amerika', 'serikat', 'open', 'cup', 'lantaran', 'bae', 'menyentuh', 'trofi', 'piala', 'dunia', 'sebenarnya', 'tak', 'diizinkan']</t>
  </si>
  <si>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</si>
  <si>
    <t>aku masih belum moveon dari piala dunia dan merasa kosong banget habis final kemaren hehe apalagi kalo keinget pertandingan south korea masuk besar brazil neymar tersisih pdhl blm besar apalagi mbappe gacor bgt gendong prancis diusia sgt muda apalagi</t>
  </si>
  <si>
    <t>['aku', 'moveon', 'piala', 'dunia', 'merasa', 'kosong', 'banget', 'habis', 'final', 'kemarin', 'keinget', 'pertandingan', 'south', 'korea', 'masuk', 'besar', 'brazil', 'neymar', 'tersisih', 'pdhl', 'blm', 'besar', 'mbappe', 'gacor', 'banget', 'gendong', 'prancis', 'diusia', 'sangat', 'muda']</t>
  </si>
  <si>
    <t>FIFA Selidiki Insiden Salt Bae Masuk Lapangan Saat final Piala Dunia   https://t.co/skuH1FJ6VA</t>
  </si>
  <si>
    <t>@idextratime Dodo Lovers ketika Final  üá¶üá∑1-0üá®üáµ Setingan üá¶üá∑2-0üá®üáµ Final ini setingan üá¶üá∑2-1üá®üáµ Mbappe ni Bos üá¶üá∑2-2üá®üáµ Mampus, siap pensiun lagi üá¶üá∑3-2üá®üáµ Makin jelas ini setingan üá¶üá∑3-3üá®üáµ Ayo</t>
  </si>
  <si>
    <t>dodo lovers ketika final setingan final ini setingan mbappe bos mampus siap pensiun lagi makin jelas ini setingan ayo</t>
  </si>
  <si>
    <t>['dodo', 'lovers', 'final', 'settingan', 'final', 'settingan', 'mbappe', 'bos', 'mampus', 'siap', 'pensiun', 'makin', 'jelas', 'settingan', 'ayo']</t>
  </si>
  <si>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</si>
  <si>
    <t>fifa siasat macamana salt bae pegang trofi salt bae mendapat akses tidak wajar masuk padang selepas aksi final peraturan fifa menyatakan trofi piala dunia hanya boleh dipegang oleh pemenang kejohanan dan individu seperti pegawai fifa serta ketua negara bawah fifa</t>
  </si>
  <si>
    <t>['fifa', 'siasat', 'macamana', 'salt', 'bae', 'pegang', 'trofi', 'salt', 'bae', 'mendapat', 'akses', 'wajar', 'masuk', 'padang', 'selepas', 'aksi', 'final', 'peraturan', 'fifa', 'menyatakan', 'trofi', 'piala', 'dunia', 'dipegang', 'pemenang', 'kejohanan', 'individu', 'pegawai', 'fifa', 'ketua', 'negara', 'bawah', 'fifa']</t>
  </si>
  <si>
    <t>FIFA Bakal Investigasi dan Tindak Tegas Koki Salt Bae yang Berulah di Final Piala Dunia 2022  https://t.co/cAyccdFmBo</t>
  </si>
  <si>
    <t>fifa bakal investigasi dan tindak tegas koki salt bae yang berulah final piala dunia</t>
  </si>
  <si>
    <t>['fifa', 'bakal', 'investigasi', 'tindak', 'tegas', 'koki', 'salt', 'bae', 'berulah', 'final', 'piala', 'dunia']</t>
  </si>
  <si>
    <t>FIFA Selidiki Aksi Salt Bae Masuk Lapangan Saat Final Piala Dunia  https://t.co/G6ePlURg3n</t>
  </si>
  <si>
    <t>fifa selidiki aksi salt bae masuk lapangan saat final piala dunia</t>
  </si>
  <si>
    <t>['fifa', 'selidiki', 'aksi', 'salt', 'bae', 'masuk', 'lapangan', 'final', 'piala', 'dunia']</t>
  </si>
  <si>
    <t>FIFA Selidiki Aksi Salt Bae Masuk Lapangan Saat Final Piala Dunia  https://t.co/tc28DYAKsR</t>
  </si>
  <si>
    <t>Menebak Hubungan Messi dan Mbappe di PSG Setelah Final Piala Dunia yang¬†Panas  https://t.co/e4TCUJavYm</t>
  </si>
  <si>
    <t>menebak hubungan messi dan mbappe psg setelah final piala dunia yang panas</t>
  </si>
  <si>
    <t>['menebak', 'hubungan', 'messi', 'mbappe', 'psg', 'final', 'piala', 'dunia', 'panas']</t>
  </si>
  <si>
    <t>FIFA akhirnya buka suara soal perilaku salah satu undangan mereka di final Piala Dunia 2022 antara Timnas Argentina melawan Timnas Prancis di Lusail Iconic Stadium, Qatar pada Minggu malam WIB 18 Desember 2022.  https://t.co/2PgNYp6JQS  https://t.co/KFTmohL9Tv</t>
  </si>
  <si>
    <t>fifa akhirnya buka suara soal perilaku salah satu undangan mereka final piala dunia antara timnas argentina melawan timnas prancis lusail iconic stadium qatar pada minggu malam wib desember</t>
  </si>
  <si>
    <t>['fifa', 'akhirnya', 'buka', 'suara', 'soal', 'perilaku', 'salah', 'satu', 'undangan', 'final', 'piala', 'dunia', 'timnas', 'argentina', 'melawan', 'timnas', 'prancis', 'lusail', 'iconic', 'stadium', 'qatar', 'minggu', 'malam', 'wib', 'desember']</t>
  </si>
  <si>
    <t>FIFA selidiki insiden Salt Bae masuk lapangan pada final Piala Dunia 2022  https://t.co/tMKhC2oHWD</t>
  </si>
  <si>
    <t>fifa selidiki insiden salt bae masuk lapangan pada final piala dunia</t>
  </si>
  <si>
    <t>Menolak Lupa! Ini Fakta-Fakta Menarik Fase Gugur dan Final Piala Dunia 2022  Link ¬ª  https://t.co/WCJhVO1Dur  Hubungi kami :  * LINE:Sahabat_303 * WA:+855882348077 * ig official: @sahabat303_official  #beritabola #beritabolaterbaru #agenjudionline #sahabat303  https://t.co/UM5z2GppnU</t>
  </si>
  <si>
    <t>menolak lupa ini fakta fakta menarik fase gugur dan final piala dunia link hubungi kami line sahabat official official</t>
  </si>
  <si>
    <t>['menolak', 'lupa', 'fakta', 'fakta', 'menarik', 'fase', 'gugur', 'final', 'piala', 'dunia', 'link', 'hubungi', 'line', 'sahabat', 'official', 'official']</t>
  </si>
  <si>
    <t>FIFA Selidiki Akses Masuk Salt Bae ke Lapangan Usai Final Piala Dunia 2022  #langit7id #cahayamenujukebaikan    https://t.co/a3yRXxEpgz</t>
  </si>
  <si>
    <t>fifa selidiki akses masuk salt bae lapangan usai final piala dunia</t>
  </si>
  <si>
    <t>['fifa', 'selidiki', 'akses', 'masuk', 'salt', 'bae', 'lapangan', 'usai', 'final', 'piala', 'dunia']</t>
  </si>
  <si>
    <t>FIFA Selidiki Insiden Salt Bae Masuk Lapangan Saat Final Piala Dunia -  https://t.co/yv11Klj83O</t>
  </si>
  <si>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</si>
  <si>
    <t>torehan prestasi park hang seo bersama vietnam afc asian games aff quarterfinal asian cup sea games sea games top ranking fifa final round kualifikasi piala dunia</t>
  </si>
  <si>
    <t>['torehan', 'prestasi', 'park', 'hang', 'seo', 'bersama', 'vietnam', 'afc', 'asian', 'games', 'aff', 'quarterfinal', 'asian', 'cup', 'sea', 'games', 'sea', 'games', 'top', 'ranking', 'fifa', 'final', 'round', 'kualifikasi', 'piala', 'dunia']</t>
  </si>
  <si>
    <t>Ia bahkan mencium-cium trofi tersebut. Padahal memegang trofi Piala Dunia hukumnya haram bagi yang tidak berkepentingan.  Sekarang, Salt Bae mendapatkan ganjaran atas kelakuannya di final Piala Dunia 2022 tersebut. Ia kini dilarang untuk hadir di babak final US Open Cup 2023.</t>
  </si>
  <si>
    <t>bahkan mencium cium trofi tersebut padahal memegang trofi piala dunia hukumnya haram bagi yang tidak berkepentingan sekarang salt bae mendapatkan ganjaran atas kelakuannya final piala dunia tersebut kini dilarang untuk hadir babak final open cup</t>
  </si>
  <si>
    <t>['bahkan', 'mencium', 'cium', 'trofi', 'tersebut', 'padahal', 'memegang', 'trofi', 'piala', 'dunia', 'hukumnya', 'haram', 'berkepentingan', 'sekarang', 'salt', 'bae', 'mendapatkan', 'ganjaran', 'atas', 'kelakuannya', 'final', 'piala', 'dunia', 'tersebut', 'kini', 'dilarang', 'hadir', 'babak', 'final', 'open', 'cup']</t>
  </si>
  <si>
    <t>Salt Bae sebelumnya jadi tamu tak diundang saat skuad Argentina merayakan kemenangannya atas Prancis di Final Piala Dunia 2022 di Lusail Stadium, 18 Desember 2022 lalu. Saat itu ia tiba-tiba masuk ke lapangan.</t>
  </si>
  <si>
    <t>salt bae sebelumnya jadi tamu tak diundang saat skuad argentina merayakan kemenangannya atas prancis final piala dunia lusail stadium desember lalu saat itu tiba tiba masuk lapangan</t>
  </si>
  <si>
    <t>['salt', 'bae', 'sebelumnya', 'jadi', 'tamu', 'tak', 'diundang', 'skuad', 'argentina', 'merayakan', 'kemenangannya', 'atas', 'prancis', 'final', 'piala', 'dunia', 'lusail', 'stadium', 'desember', 'lalu', 'tiba', 'tiba', 'masuk', 'lapangan']</t>
  </si>
  <si>
    <t>Chef Salt Bae kini dilarang untuk menghadiri gelaran final US Open Cup setelah menciptakan kontroversi di Piala Dunia 2022.  #win368 #win368slot #win368login #win368daftar #livescore  https://t.co/ZIoJ3h2gQf</t>
  </si>
  <si>
    <t>chef salt bae kini dilarang untuk menghadiri gelaran final open cup setelah menciptakan kontroversi piala dunia</t>
  </si>
  <si>
    <t>['chef', 'salt', 'bae', 'kini', 'dilarang', 'menghadiri', 'gelaran', 'final', 'open', 'cup', 'menciptakan', 'kontroversi', 'piala', 'dunia']</t>
  </si>
  <si>
    <t>FIFA Selidiki Insiden Salt Bae Masuk Lapangan saat Final Piala Dunia  https://t.co/845dgXU6No</t>
  </si>
  <si>
    <t>@EndangSrihadi @GOAL_ID Masuk akal juga, Piala Dunia FINAL yg idaman semua fans</t>
  </si>
  <si>
    <t>masuk akal juga piala dunia final idaman semua fans</t>
  </si>
  <si>
    <t>['masuk', 'akal', 'piala', 'dunia', 'final', 'idaman', 'semua', 'fans']</t>
  </si>
  <si>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</si>
  <si>
    <t>final piala dunia terbaik dan tidak bisa dilupakan sepanjang sejarah nomor argentina prancis link</t>
  </si>
  <si>
    <t>['final', 'piala', 'dunia', 'terbaik', 'dilupakan', 'sepanjang', 'sejarah', 'nomor', 'argentina', 'prancis', 'link']</t>
  </si>
  <si>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</si>
  <si>
    <t>tahukah kamu ada byk hal terkait migran piala dunia qatar darah keringat pekerja migran tumbal pembangunan infrastruktur piala dunia bayangkan kalau piala dunia tanpa wajah migran final pun digelar des berbareng hari pekerja migran internasional</t>
  </si>
  <si>
    <t>['tahukah', 'kamu', 'byk', 'terkait', 'migran', 'piala', 'dunia', 'qatar', 'darah', 'keringat', 'pekerja', 'migran', 'tumbal', 'pembangunan', 'infrastruktur', 'piala', 'dunia', 'bayangkan', 'kalau', 'piala', 'dunia', 'wajah', 'migran', 'final', 'digelar', 'des', 'berbareng', 'hari', 'pekerja', 'migran', 'internasional']</t>
  </si>
  <si>
    <t>Lionel Messi Pun Terganggu, FIFA Selidiki Insiden Salt Bae di Final Piala Dunia 2022  https://t.co/ye2wRGS6kz</t>
  </si>
  <si>
    <t>lionel messi pun terganggu fifa selidiki insiden salt bae final piala dunia</t>
  </si>
  <si>
    <t>['lionel', 'messi', 'terganggu', 'fifa', 'selidiki', 'insiden', 'salt', 'bae', 'final', 'piala', 'dunia']</t>
  </si>
  <si>
    <t>FIFA selidiki insiden Salt Bae masuk lapangan saat final Piala Dunia - ANTARA News Bengkulu  https://t.co/lq6JmHyyWf</t>
  </si>
  <si>
    <t>fifa selidiki insiden salt bae masuk lapangan saat final piala dunia antara news bengkulu</t>
  </si>
  <si>
    <t>['fifa', 'selidiki', 'insiden', 'salt', 'bae', 'masuk', 'lapangan', 'final', 'piala', 'dunia', 'news', 'bengkulu']</t>
  </si>
  <si>
    <t>@canelenovsky @dery_sulaiman @Gunturprakoso @SiaranBolaLive piala dunia brazil 2014 final hari minggu kok, di sini jadi hari senin</t>
  </si>
  <si>
    <t>sulaiman piala dunia brazil final hari minggu kok sini jadi hari senin</t>
  </si>
  <si>
    <t>['sulaiman', 'piala', 'dunia', 'brazil', 'final', 'hari', 'minggu', 'kok', 'sini', 'jadi', 'hari', 'senin']</t>
  </si>
  <si>
    <t>FIFA Selidiki Kasus Salt Bae Masuk Lapangan Selepas Final Piala Dunia 2022  https://t.co/ttbuHhSjCB</t>
  </si>
  <si>
    <t>fifa selidiki kasus salt bae masuk lapangan selepas final piala dunia</t>
  </si>
  <si>
    <t>['fifa', 'selidiki', 'kasus', 'salt', 'bae', 'masuk', 'lapangan', 'selepas', 'final', 'piala', 'dunia']</t>
  </si>
  <si>
    <t>FIFA akan menyelidiki bagaimana koki selebritas Salt Bae memperoleh "akses yang tidak semestinya" ke lapangan pada akhir final Piala Dunia Qatar.  https://t.co/JGRD50BF2L</t>
  </si>
  <si>
    <t>fifa akan menyelidiki bagaimana koki selebritas salt bae memperoleh akses yang tidak semestinya lapangan pada akhir final piala dunia qatar</t>
  </si>
  <si>
    <t>['fifa', 'menyelidiki', 'bagaimana', 'koki', 'selebritas', 'salt', 'bae', 'memperoleh', 'akses', 'semestinya', 'lapangan', 'akhir', 'final', 'piala', 'dunia', 'qatar']</t>
  </si>
  <si>
    <t>FIFA akan menyelidiki bagaimana koki selebritas Salt Bae memperoleh "akses yang tidak semestinya" ke lapangan pada akhir final Piala Dunia Qatar.  https://t.co/5Ymj89jbHj</t>
  </si>
  <si>
    <t>Sebelum mati saya harus pernah nonton salah satu pertandingan Piala Dunia, semoga saja itu Final dan Jerman ada disitu.</t>
  </si>
  <si>
    <t>sebelum mati saya harus pernah nonton salah satu pertandingan piala dunia semoga saja itu final dan jerman ada disitu</t>
  </si>
  <si>
    <t>['mati', 'pernah', 'nonton', 'salah', 'satu', 'pertandingan', 'piala', 'dunia', 'semoga', 'final', 'jerman', 'disitu']</t>
  </si>
  <si>
    <t>FIFA Memberikan Julukan Lionel Messi sebagai GOAT, Pasca Tim Argentina Menang di Final Piala Dunia 2022  https://t.co/KqWe1gE4nq</t>
  </si>
  <si>
    <t>fifa memberikan julukan lionel messi sebagai goat pasca tim argentina menang final piala dunia</t>
  </si>
  <si>
    <t>['fifa', 'memberikan', 'julukan', 'lionel', 'messi', 'goat', 'pasca', 'tim', 'argentina', 'menang', 'final', 'piala', 'dunia']</t>
  </si>
  <si>
    <t>FIFA Menyelidiki Bagaimana Koki Fenomenal Salt Bae Bisa Masuk Ke Lapangan Saat final Piala Dunia  https://t.co/WVFItSrELP</t>
  </si>
  <si>
    <t>fifa menyelidiki bagaimana koki fenomenal salt bae bisa masuk lapangan saat final piala dunia</t>
  </si>
  <si>
    <t>['fifa', 'menyelidiki', 'bagaimana', 'koki', 'fenomenal', 'salt', 'bae', 'masuk', 'lapangan', 'final', 'piala', 'dunia']</t>
  </si>
  <si>
    <t>Imbas Berani Pegang Trofi Piala Dunia, Chef Salt Bae Dilarang Hadiri Final US Open Cup  https://t.co/P1aBhQ61qQ</t>
  </si>
  <si>
    <t>imbas berani pegang trofi piala dunia chef salt bae dilarang hadiri final open cup</t>
  </si>
  <si>
    <t>['imbas', 'berani', 'pegang', 'trofi', 'piala', 'dunia', 'chef', 'salt', 'bae', 'dilarang', 'hadiri', 'final', 'open', 'cup']</t>
  </si>
  <si>
    <t>Info Main Bola Menolak Lupa! Ini Fakta-Fakta Menarik Fase Gugur dan Final Piala Dunia 2022 Link :  https://t.co/SF0npZ7W05  https://t.co/W4MLLFvUE1</t>
  </si>
  <si>
    <t>info main bola menolak lupa ini fakta fakta menarik fase gugur dan final piala dunia link</t>
  </si>
  <si>
    <t>['info', 'main', 'bola', 'menolak', 'lupa', 'fakta', 'fakta', 'menarik', 'fase', 'gugur', 'final', 'piala', 'dunia', 'link']</t>
  </si>
  <si>
    <t>FIFA Selidiki Insiden Salt Bae Masuk Lapangan saat Final Piala Dunia  https://t.co/Yx49vDp2vQ</t>
  </si>
  <si>
    <t>Insiden Salt Bae Masuk Lapangan Saat final Piala Dunia Diselidiki FIFA  https://t.co/osmYhTEvMI #FIFAWorldCup #SaltBae</t>
  </si>
  <si>
    <t>insiden salt bae masuk lapangan saat final piala dunia diselidiki fifa</t>
  </si>
  <si>
    <t>['insiden', 'salt', 'bae', 'masuk', 'lapangan', 'final', 'piala', 'dunia', 'diselidiki', 'fifa']</t>
  </si>
  <si>
    <t>Insiden Salt Bae Masuk Lapangan Saat final Piala Dunia Diselidiki FIFA  https://t.co/osmYhTEvMI</t>
  </si>
  <si>
    <t>#london #bolatime Fifa sedang menyiasat bagaimana chef selebriti, Salt Bae mendapat 'akses tidak wajar' masuk ke padang selepas aksi final Piala Dunia apabila menyaksikannya bergambar dengan pemain Argentina yang terkejut termasuk Lionel Messi.  https://t.co/3ju40ueU2j</t>
  </si>
  <si>
    <t>fifa sedang menyiasat bagaimana chef selebriti salt bae mendapat akses tidak wajar masuk padang selepas aksi final piala dunia apabila menyaksikannya bergambar dengan pemain argentina yang terkejut termasuk lionel messi</t>
  </si>
  <si>
    <t>['fifa', 'sedang', 'menyiasat', 'bagaimana', 'chef', 'selebriti', 'salt', 'bae', 'mendapat', 'akses', 'wajar', 'masuk', 'padang', 'selepas', 'aksi', 'final', 'piala', 'dunia', 'apabila', 'menyaksikannya', 'bergambar', 'pemain', 'argentina', 'terkejut', 'termasuk', 'lionel', 'messi']</t>
  </si>
  <si>
    <t>FIFA selidiki insiden Salt Bae masuk lapangan saat final Piala Dunia   #fifa #pialadunia2022 #SaltBae #popularitascom  https://t.co/b8Zx2oertH</t>
  </si>
  <si>
    <t>FIFA Selidiki Salt Bae Masuk Lapangan Saat Final Piala Dunia  https://t.co/JsZWKV66Zo</t>
  </si>
  <si>
    <t>fifa selidiki salt bae masuk lapangan saat final piala dunia</t>
  </si>
  <si>
    <t>['fifa', 'selidiki', 'salt', 'bae', 'masuk', 'lapangan', 'final', 'piala', 'dunia']</t>
  </si>
  <si>
    <t>4. Lapas Palembang Kemenkumham Sumsel: Para petugas menggunakan jersey kebanggan tim masing-masing untuk menambah kemeriahan saat menonton final piala dunia. @Kemenkumham_RI    @kumhamsumsel @LapasEnim   #KumhamPasti  #KumhamSumsel  #LPMuaraenim   #HarunSulianto</t>
  </si>
  <si>
    <t>Mark Zuckerbeg Sebut Pesan Whatsapp Capai 25 Juta/Detik Saat Final Piala Dunia  https://t.co/wetWaqvrEG</t>
  </si>
  <si>
    <t>mark zuckerbeg sebut pesan whatsapp capai juta detik saat final piala dunia</t>
  </si>
  <si>
    <t>['mark', 'zuckerbeg', 'sebut', 'pesan', 'whatsapp', 'capai', 'juta', 'detik', 'final', 'piala', 'dunia']</t>
  </si>
  <si>
    <t>Mark Zuckerbeg Sebut Pesan Whatsapp Capai 25 Juta/Detik Saat Final Piala Dunia  https://t.co/3ZesRtKI0T</t>
  </si>
  <si>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</si>
  <si>
    <t>heboh wajah lionel messi bakal muncul uang kertas argentina kabar ini tersiar setelah pemain timnas argentina tersebut membawa argentina juara piala dunia mengalahkan prancis final dengan membawa argentina juara piala dunia messi dieluh eluhkan bak pahlawan</t>
  </si>
  <si>
    <t>['heboh', 'wajah', 'lionel', 'messi', 'bakal', 'muncul', 'uang', 'kertas', 'argentina', 'kabar', 'tersiar', 'pemain', 'timnas', 'argentina', 'tersebut', 'membawa', 'argentina', 'juara', 'piala', 'dunia', 'mengalahkan', 'prancis', 'final', 'membawa', 'argentina', 'juara', 'piala', 'dunia', 'messi', 'dieluh', 'eluhkan', 'bak', 'pahlawan']</t>
  </si>
  <si>
    <t>&lt;FreqDist with 25 samples and 33 outcomes&gt;</t>
  </si>
  <si>
    <t>Ronaldo sebelum Final Piala Dunia 1998</t>
  </si>
  <si>
    <t>ronaldo sebelum final piala dunia</t>
  </si>
  <si>
    <t>['ronaldo', 'final', 'piala', 'dunia']</t>
  </si>
  <si>
    <t>Eks Striker Italia Ini Emosi Lihat Kelakuan Salt Bae di Final Piala Dunia 2022: Kamu Siapa bro? #EMTEKWORLDCUP2022 #BOLANETWORLDCUP2022 #PialaDunia #PialaDunia2022  https://t.co/7rBOSHfkQU</t>
  </si>
  <si>
    <t>eks striker italia ini emosi lihat kelakuan salt bae final piala dunia kamu siapa bro</t>
  </si>
  <si>
    <t>['eks', 'striker', 'italia', 'emosi', 'lihat', 'kelakuan', 'salt', 'bae', 'final', 'piala', 'dunia', 'kamu', 'siapa', 'bro']</t>
  </si>
  <si>
    <t>Ada 25 Juta Pesan Dikirim Melalui WhatsApp saat Final Piala Dunia 2022  https://t.co/1AuLNLX7zx #beritajogja #jogja #jogjaistimewa  https://t.co/CusprluwGH</t>
  </si>
  <si>
    <t>ada juta pesan dikirim melalui whatsapp saat final piala dunia</t>
  </si>
  <si>
    <t>['juta', 'pesan', 'dikirim', 'melalui', 'whatsapp', 'final', 'piala', 'dunia']</t>
  </si>
  <si>
    <t>Kena Batunya! Bikin Kontroversi di Final Piala Dunia 2022, Salt Bae Dilarang Hadiri Final US Open Cup 2023  https://t.co/YqtkYWrbF8</t>
  </si>
  <si>
    <t>kena batunya bikin kontroversi final piala dunia salt bae dilarang hadiri final open cup</t>
  </si>
  <si>
    <t>['kena', 'batunya', 'kontroversi', 'final', 'piala', 'dunia', 'salt', 'bae', 'dilarang', 'hadiri', 'final', 'open', 'cup']</t>
  </si>
  <si>
    <t>Nonton final Piala Dunia bareng ceritanya. Eh kamunya ketiduran:(  https://t.co/eObj2uvxrB</t>
  </si>
  <si>
    <t>nonton final piala dunia bareng ceritanya kamunya ketiduran</t>
  </si>
  <si>
    <t>['nonton', 'final', 'piala', 'dunia', 'bareng', 'ceritanya', 'kamunya', 'ketiduran']</t>
  </si>
  <si>
    <t>Rekor WhatsApp Tercatat 25 Juta Pesan Saat Final Piala Dunia  https://t.co/8rbSntGAdD</t>
  </si>
  <si>
    <t>rekor whatsapp tercatat juta pesan saat final piala dunia</t>
  </si>
  <si>
    <t>['rekor', 'whatsapp', 'tercatat', 'juta', 'pesan', 'final', 'piala', 'dunia']</t>
  </si>
  <si>
    <t>@POTUS mantap bg biden, kalo seperkutuan maah emang harus saling support.  si Zelenskyy kemaren gagal ngemis ke Fifa di Final Piala Dunia, sekarang langsung ngemis ke Amerika.</t>
  </si>
  <si>
    <t>mantap biden kalo seperkutuan maah emang harus saling support zelenskyy kemaren gagal ngemis fifa final piala dunia sekarang langsung ngemis amerika</t>
  </si>
  <si>
    <t>['mantap', 'biden', 'seperkutuan', 'maah', 'emang', 'saling', 'support', 'zelenskyy', 'kemarin', 'gagal', 'ngemis', 'fifa', 'final', 'piala', 'dunia', 'sekarang', 'langsung', 'ngemis', 'amerika']</t>
  </si>
  <si>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</si>
  <si>
    <t>karena sudah jelas mbappe pasti akan kecewa besar untuk kedua kalinya rekan setimnya itu setelah kalah final piala dunia kemarin prediksi ini tidak akan terjadi jika mbappe memiliki sportivitas tinggi tapi juga tidak mungkin fans perancis mengidolakan mbappe</t>
  </si>
  <si>
    <t>['jelas', 'mbappe', 'kecewa', 'besar', 'kedua', 'kalinya', 'rekan', 'setimnya', 'kalah', 'final', 'piala', 'dunia', 'kemarin', 'prediksi', 'terjadi', 'mbappe', 'memiliki', 'sportivitas', 'tinggi', 'mungkin', 'fans', 'perancis', 'mengidolakan', 'mbappe']</t>
  </si>
  <si>
    <t>Final Piala Dunia Qatar Antar WhatsApp Capai Rekor Jumlah Pesan  https://t.co/YONLeCoGpI</t>
  </si>
  <si>
    <t>final piala dunia qatar antar whatsapp capai rekor jumlah pesan</t>
  </si>
  <si>
    <t>['final', 'piala', 'dunia', 'qatar', 'antar', 'whatsapp', 'capai', 'rekor', 'jumlah', 'pesan']</t>
  </si>
  <si>
    <t>sumpah dah mau lu cedera ttp kesel aja gw, apalagi pas final kmrn yg di depan gawang bgt, one to one sama kiper, bisa bisanya kualitas pemain piala dunia pake dicontrol dulu, jadi ilang momennya cokk, tapi itu art-nya bola, kalo itu gol ga bakal seseru itu dramanya sampe pinalti.</t>
  </si>
  <si>
    <t>sumpah dah mau cedera ttp kesel aja apalagi pas final kmrn depan gawang bgt one one sama kiper bisa bisanya kualitas pemain piala dunia pake dicontrol dulu jadi ilang momennya cokk tapi itu art nya bola kalo itu gol bakal seseru itu dramanya sampe pinalti</t>
  </si>
  <si>
    <t>['sumpah', 'dah', 'mau', 'cedera', 'ttp', 'kesel', 'pas', 'final', 'kmrn', 'depan', 'gawang', 'banget', 'one', 'one', 'sama', 'kiper', 'bisanya', 'kualitas', 'pemain', 'piala', 'dunia', 'pake', 'dicontrol', 'dulu', 'jadi', 'ilang', 'momennya', 'cokk', 'art', 'bola', 'gol', 'bakal', 'seseru', 'dramanya', 'sampai', 'penalti']</t>
  </si>
  <si>
    <t>&lt;FreqDist with 35 samples and 36 outcomes&gt;</t>
  </si>
  <si>
    <t>@GOAL_ID mbape  mbape sudah memenangkan piala dunia  dan membuktikan nya 3 gol langsung di final haland masih banyak PR walau tokcer di 2 tempat liga jerman dan inggris ..</t>
  </si>
  <si>
    <t>mbape mbape sudah memenangkan piala dunia dan membuktikan nya gol langsung final haland masih banyak walau tokcer tempat liga jerman dan inggris</t>
  </si>
  <si>
    <t>['mbape', 'mbape', 'memenangkan', 'piala', 'dunia', 'membuktikan', 'gol', 'langsung', 'final', 'haland', 'banyak', 'tokcer', 'tempat', 'liga', 'jerman', 'inggris']</t>
  </si>
  <si>
    <t>Fakta Menarik Final Piala Dunia 2022  https://t.co/ZNuOwP29am</t>
  </si>
  <si>
    <t>fakta menarik final piala dunia</t>
  </si>
  <si>
    <t>['fakta', 'menarik', 'final', 'piala', 'dunia']</t>
  </si>
  <si>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</si>
  <si>
    <t>gakpo tampil menonjol antara pemain belanda lainnya saat berlaga piala dunia meski the oranje gugur perempat final atas argentina tidak hanya gakpo tetapi sedang bernegosiasi dengan chelsea untuk kedatangan christian pulisic yang kontraknya berakhir pada</t>
  </si>
  <si>
    <t>['gakpo', 'tampil', 'menonjol', 'pemain', 'belanda', 'lainnya', 'berlaga', 'piala', 'dunia', 'meski', 'the', 'oranje', 'gugur', 'perempat', 'final', 'atas', 'argentina', 'gakpo', 'sedang', 'bernegosiasi', 'chelsea', 'kedatangan', 'christian', 'pulisic', 'kontraknya', 'berakhir']</t>
  </si>
  <si>
    <t>Sobirin lg ngumpul sm tmn2nya di warkop abis nobar final piala dunia  https://t.co/eXTIXhKuOI</t>
  </si>
  <si>
    <t>sobirin ngumpul tmn nya warkop abis nobar final piala dunia</t>
  </si>
  <si>
    <t>['sobirin', 'ngumpul', 'tmn', 'warkop', 'abis', 'nonton bareng', 'final', 'piala', 'dunia']</t>
  </si>
  <si>
    <t>Salt Bae Dilarang Hadiri Final Piala AS Terbuka Usai Angkat Trofi Piala Dunia | Liputan6  https://t.co/yjaeebhbuO</t>
  </si>
  <si>
    <t>salt bae dilarang hadiri final piala terbuka usai angkat trofi piala dunia liputan</t>
  </si>
  <si>
    <t>['salt', 'bae', 'dilarang', 'hadiri', 'final', 'piala', 'terbuka', 'usai', 'angkat', 'trofi', 'piala', 'dunia', 'liputan']</t>
  </si>
  <si>
    <t>Final Piala Dunia Qatar Antar WhatsApp Capai Rekor Jumlah Pesan  https://t.co/XMQdNH1kTQ #TempoTekno</t>
  </si>
  <si>
    <t>@Frimawan Ke qatar mau liat final piala dunia (lewat vidio)</t>
  </si>
  <si>
    <t>qatar mau liat final piala dunia lewat vidio</t>
  </si>
  <si>
    <t>['qatar', 'mau', 'lihat', 'final', 'piala', 'dunia', 'lewat', 'vidio']</t>
  </si>
  <si>
    <t>Elon Musk ‚Äì Bos Investasi Qatar Nobar Final Piala¬†Dunia  https://t.co/VDJm9EvfwS</t>
  </si>
  <si>
    <t>#Terpopuler Final Piala Dunia 2022 antara Argentina dan Prancis di Qatar benar-benar menyita perhatian khayalak di seluruh penjuru Bumi.  https://t.co/yzV5KwJBga</t>
  </si>
  <si>
    <t>final piala dunia antara argentina dan prancis qatar benar benar menyita perhatian khayalak seluruh penjuru bumi</t>
  </si>
  <si>
    <t>['final', 'piala', 'dunia', 'argentina', 'prancis', 'qatar', 'benar', 'benar', 'menyita', 'perhatian', 'khayalak', 'seluruh', 'penjuru', 'bumi']</t>
  </si>
  <si>
    <t>Bunga pertama yg akhirnya mekar dimalam final piala duniaüçª  https://t.co/XH6OQNjDfF</t>
  </si>
  <si>
    <t>bunga pertama akhirnya mekar dimalam final piala dunia</t>
  </si>
  <si>
    <t>['bunga', 'pertama', 'akhirnya', 'mekar', 'dimalam', 'final', 'piala', 'dunia']</t>
  </si>
  <si>
    <t>Gadget:  Saat Final Piala Dunia, WhatsApp Catat Sebuah Rekor:  https://t.co/9wyJqFyhl5, JAKARTA - CEO Meta Platforms Mark Zuckerbeg mengatakan pesan yang dikirim melalui aplikasi¬†WhatsApp mencapai 25 juta saat final Piala Dunia.  https://t.co/3Ks6GylhKu  https://t.co/NgvZk6dVYs</t>
  </si>
  <si>
    <t>gadget saat final piala dunia whatsapp catat sebuah rekor jakarta ceo meta platforms mark zuckerbeg mengatakan pesan yang dikirim melalui aplikasi whatsapp mencapai juta saat final piala dunia</t>
  </si>
  <si>
    <t>['gadget', 'final', 'piala', 'dunia', 'whatsapp', 'catat', 'sebuah', 'rekor', 'jakarta', 'ceo', 'meta', 'platforms', 'mark', 'zuckerbeg', 'mengatakan', 'pesan', 'dikirim', 'melalui', 'aplikasi', 'whatsapp', 'mencapai', 'juta', 'final', 'piala', 'dunia']</t>
  </si>
  <si>
    <t>Balik malem naik kereta, nontonin aki-aki main ludo lawan bot serasa nonton final piala dunia. Sengit parahhhüî•, sampe lepas peci sebentar brokk. Endingnya si aki kalah kena comeback lawan bot hahahaha  https://t.co/whMTEir0Aj</t>
  </si>
  <si>
    <t>balik malem naik kereta nontonin aki aki main ludo lawan bot serasa nonton final piala dunia sengit parahhh sampe lepas peci sebentar brokk endingnya aki kalah kena comeback lawan bot hahahaha</t>
  </si>
  <si>
    <t>['balik', 'malem', 'naik', 'kereta', 'nontonin', 'aki', 'aki', 'main', 'ludo', 'lawan', 'bot', 'serasa', 'nonton', 'final', 'piala', 'dunia', 'sengit', 'parahhh', 'sampai', 'lepas', 'peci', 'sebentar', 'brokk', 'endingnya', 'aki', 'kalah', 'kena', 'comeback', 'lawan', 'bot', 'hahahaha']</t>
  </si>
  <si>
    <t xml:space="preserve">@Messinisti @contentoconten @Allfrzaa @Box2BoxBola Mengaitkan kekalahan messi waktu kalah di final piala Dunia 2014 dan final Copa America 2015 &amp;amp; 2016 dengan decul pembawa sial, lawak emang dodolopers, terus aja bersembunyi dibalik kata "messinisti", </t>
  </si>
  <si>
    <t>mengaitkan kekalahan messi waktu kalah final piala dunia dan final copa america dengan decul pembawa sial lawak emang dodolopers terus aja bersembunyi dibalik kata messinisti</t>
  </si>
  <si>
    <t>['mengaitkan', 'kekalahan', 'messi', 'waktu', 'kalah', 'final', 'piala', 'dunia', 'final', 'copa', 'america', 'decul', 'pembawa', 'sial', 'lawak', 'emang', 'dodolopers', 'terus', 'bersembunyi', 'dibalik', 'kata', 'messinisti']</t>
  </si>
  <si>
    <t>Karim Benzema baru-baru ini telah mengumumkan pengunduran dirinya dari tim nasional Prancis. Keputusan itu diambil setelah Prancis dikalahkan Argentina di final Piala Dunia 2022.  https://t.co/JQX5Zmkjav</t>
  </si>
  <si>
    <t>karim benzema baru baru ini telah mengumumkan pengunduran dirinya dari tim nasional prancis keputusan itu diambil setelah prancis dikalahkan argentina final piala dunia</t>
  </si>
  <si>
    <t>['karim', 'benzema', 'baru', 'baru', 'mengumumkan', 'pengunduran', 'dirinya', 'tim', 'nasional', 'prancis', 'keputusan', 'diambil', 'prancis', 'dikalahkan', 'argentina', 'final', 'piala', 'dunia']</t>
  </si>
  <si>
    <t>Sosok Crazy Rich asal Oman bersedia membeli jubah yang dikenakan Lionel Messi pada final Piala Dunia 2022 seharga 1 juta dolar Amerika alias 15,5 miliar rupiah.   Jadi gimana Messi? Mau dilepas? üíµüíµüíµ  https://t.co/toLHMaMdIp</t>
  </si>
  <si>
    <t>sosok crazy rich asal oman bersedia membeli jubah yang dikenakan lionel messi pada final piala dunia seharga juta dolar amerika alias miliar rupiah jadi gimana messi mau dilepas</t>
  </si>
  <si>
    <t>['sosok', 'crazy', 'rich', 'asal', 'oman', 'bersedia', 'membeli', 'jubah', 'dikenakan', 'lionel', 'messi', 'final', 'piala', 'dunia', 'seharga', 'juta', 'dolar', 'amerika', 'alias', 'miliar', 'rupiah', 'jadi', 'gimana', 'messi', 'mau', 'dilepas']</t>
  </si>
  <si>
    <t>Sosok Crazy Rich asal Oman bersedia membeli jubah yang dikenakan Lionel Messi pada final Piala Dunia 2022 seharga 1 juta dolar Amerika alias 15,5 miliar rupiah.   Jadi gimana Messi? Mau dilepas? üíµüíµüíµ  https://t.co/US8yXF1vFi</t>
  </si>
  <si>
    <t>Baru nyadar, Piala Dunia 2026 bakalan di Amerika, yang jam tayang nya ga ramah anak sekolah/orang kantoran.  Semoga aja pertandingan Final nya di hari sabtu malem waktu AS, alias minggu pagi waktu Indonesia. Biar semua orang bisa nonton final pildun Amerika.</t>
  </si>
  <si>
    <t>baru nyadar piala dunia bakalan amerika yang jam tayang nya ramah anak sekolah orang kantoran semoga aja pertandingan final nya hari sabtu malem waktu alias minggu pagi waktu indonesia biar semua orang bisa nonton final pildun amerika</t>
  </si>
  <si>
    <t>['baru', 'nyadar', 'piala', 'dunia', 'bakalan', 'amerika', 'jam', 'tayang', 'ramah', 'anak', 'sekolah', 'orang', 'kantoran', 'semoga', 'pertandingan', 'final', 'hari', 'sabtu', 'malem', 'waktu', 'alias', 'minggu', 'pagi', 'waktu', 'indonesia', 'semua', 'orang', 'nonton', 'final', 'piala dunia', 'amerika']</t>
  </si>
  <si>
    <t>@idextratime Sebagai fans dodo, ini merupakan salah satu hoax terbesar sepanjang final piala dunia 2022 Qatar. Padahal kedua GOAT saling menghormati, Chuakzz</t>
  </si>
  <si>
    <t>sebagai fans dodo ini merupakan salah satu hoax terbesar sepanjang final piala dunia qatar padahal kedua goat saling menghormati chuakzz</t>
  </si>
  <si>
    <t>['fans', 'dodo', 'merupakan', 'salah', 'satu', 'hoax', 'terbesar', 'sepanjang', 'final', 'piala', 'dunia', 'qatar', 'padahal', 'kedua', 'goat', 'saling', 'menghormati', 'chuakzz']</t>
  </si>
  <si>
    <t>@Kang_Cendols @Box2BoxBola Gimana bang, dia produk asli alumni "La Masia", tiap argentina kalah di final, bully selalu bawa2 nama " barca", emang ga boleh barca posting pencapaian messi menjuarai Piala Dunia ?</t>
  </si>
  <si>
    <t>cendols gimana bang dia produk asli alumni masia tiap argentina kalah final bully selalu bawa nama barca emang boleh barca posting pencapaian messi menjuarai piala dunia</t>
  </si>
  <si>
    <t>['cendols', 'gimana', 'bang', 'produk', 'asli', 'alumni', 'masia', 'tiap', 'argentina', 'kalah', 'final', 'bully', 'selalu', 'bawa', 'nama', 'barca', 'emang', 'barca', 'posting', 'pencapaian', 'messi', 'menjuarai', 'piala', 'dunia']</t>
  </si>
  <si>
    <t>@DyanMalikk @Messinisti @Box2BoxBola Yoi, inget banget waktu messi kalah di final piala Dunia 2014 dan final Copa America 2015 &amp;amp; 2016, tiap kalah ada saja para provokator nyalahin "barca", giliran messi juara diam 1000 bahasa</t>
  </si>
  <si>
    <t>yoi inget banget waktu messi kalah final piala dunia dan final copa america tiap kalah ada saja para provokator nyalahin barca giliran messi juara diam bahasa</t>
  </si>
  <si>
    <t>['iya', 'inget', 'banget', 'waktu', 'messi', 'kalah', 'final', 'piala', 'dunia', 'final', 'copa', 'america', 'tiap', 'kalah', 'provokator', 'nyalahin', 'barca', 'giliran', 'messi', 'juara', 'diam', 'bahasa']</t>
  </si>
  <si>
    <t>tribunnews: Bak jadi firasat, Alprih sempat menyinggung kekhawatiran soal kemungkinan tak bisa pulang ke rumah. Sebab dirinya hendak menonton final Piala Dunia 2022, bersama teman-temannya. Hal itu diungkapkan oleh Iroh (68), ibunda Aplrih. (ist)  https://t.co/2G9NVg7nh7</t>
  </si>
  <si>
    <t>tribunnews bak jadi firasat alprih sempat menyinggung kekhawatiran soal kemungkinan tak bisa pulang rumah sebab dirinya hendak menonton final piala dunia bersama teman temannya hal itu diungkapkan oleh iroh ibunda aplrih ist</t>
  </si>
  <si>
    <t>['tribunnews', 'bak', 'jadi', 'firasat', 'alprih', 'sempat', 'menyinggung', 'kekhawatiran', 'soal', 'kemungkinan', 'tak', 'pulang', 'rumah', 'dirinya', 'hendak', 'menonton', 'final', 'piala', 'dunia', 'bersama', 'teman', 'temannya', 'diungkapkan', 'iroh', 'ibunda', 'aplrih', 'ist']</t>
  </si>
  <si>
    <t>Saat Final Piala Dunia, WhatsApp Catat Sebuah Rekor #WhatsApp  https://t.co/ZEukJs7oFX</t>
  </si>
  <si>
    <t>saat final piala dunia whatsapp catat sebuah rekor</t>
  </si>
  <si>
    <t>['final', 'piala', 'dunia', 'whatsapp', 'catat', 'sebuah', 'rekor']</t>
  </si>
  <si>
    <t>Bak jadi firasat, Alprih sempat menyinggung kekhawatiran soal kemungkinan tak bisa pulang ke rumah. Sebab dirinya hendak menonton final Piala Dunia 2022, bersama teman-temannya. Hal itu diungkapkan oleh Iroh (68), ibunda Aplrih. (ist)  https://t.co/iMDUf2JN8e</t>
  </si>
  <si>
    <t>bak jadi firasat alprih sempat menyinggung kekhawatiran soal kemungkinan tak bisa pulang rumah sebab dirinya hendak menonton final piala dunia bersama teman temannya hal itu diungkapkan oleh iroh ibunda aplrih ist</t>
  </si>
  <si>
    <t>['bak', 'jadi', 'firasat', 'alprih', 'sempat', 'menyinggung', 'kekhawatiran', 'soal', 'kemungkinan', 'tak', 'pulang', 'rumah', 'dirinya', 'hendak', 'menonton', 'final', 'piala', 'dunia', 'bersama', 'teman', 'temannya', 'diungkapkan', 'iroh', 'ibunda', 'aplrih', 'ist']</t>
  </si>
  <si>
    <t>Mark Zuckerberg: 25 juta pesan WhatsApp saat final Piala Dunia via @LiatBeritaNews  https://t.co/y1XwHcO3qy</t>
  </si>
  <si>
    <t>mark zuckerberg juta pesan whatsapp saat final piala dunia via</t>
  </si>
  <si>
    <t>['mark', 'zuckerberg', 'juta', 'pesan', 'whatsapp', 'final', 'piala', 'dunia', 'via']</t>
  </si>
  <si>
    <t>@milanirgi @neohistoria_id @idextratime GOAT macam apa yg ga pernah ke final piala dunia, bahkan di pildun edisi 2022 dngn squad terbaik pun cadangan, argentina menang itu fakta, tp messi lbh baik dr CR7 hmm... Do more research, messi menaklukkan 3 kejuar</t>
  </si>
  <si>
    <t>goat macam apa pernah final piala dunia bahkan pildun edisi dngn squad terbaik pun cadangan argentina menang itu fakta messi lbh baik hmm more research messi menaklukkan kejuar</t>
  </si>
  <si>
    <t>['goat', 'macam', 'apa', 'pernah', 'final', 'piala', 'dunia', 'bahkan', 'piala dunia', 'edisi', 'dngn', 'squad', 'terbaik', 'cadangan', 'argentina', 'menang', 'fakta', 'messi', 'lbh', 'baik', 'hmm', 'more', 'research', 'messi', 'menaklukkan', 'kejuar']</t>
  </si>
  <si>
    <t>Induk sepak bola Dunia, FIFA, telah merilis update rangking terbarunya, pada Kamis (22/12/2022) atau tepatnya empat hari usai partai final Piala Dunia Qatar 2022 antara Prancis melawan Argentina.   https://t.co/xUuQViCRhn</t>
  </si>
  <si>
    <t>induk sepak bola dunia fifa telah merilis update rangking terbarunya pada kamis atau tepatnya empat hari usai partai final piala dunia qatar antara prancis melawan argentina</t>
  </si>
  <si>
    <t>['induk', 'sepak', 'bola', 'dunia', 'fifa', 'merilis', 'update', 'rangking', 'terbarunya', 'kamis', 'tepatnya', 'empat', 'hari', 'usai', 'partai', 'final', 'piala', 'dunia', 'qatar', 'prancis', 'melawan', 'argentina']</t>
  </si>
  <si>
    <t>@GOAL_ID Final Piala dunia 2080 paling seru portugal juara ...</t>
  </si>
  <si>
    <t>final piala dunia paling seru portugal juara</t>
  </si>
  <si>
    <t>['final', 'piala', 'dunia', 'paling', 'seru', 'portugal', 'juara']</t>
  </si>
  <si>
    <t>Mark Zuckerberg mengungkap pencapaian terbesar WhatsApp di 2022. WhatsApp telah memecahkan rekor tembus 25 juta pesan per detik selama final Piala Dunia 2022.  https://t.co/kwCwBTHpBF</t>
  </si>
  <si>
    <t>mark zuckerberg mengungkap pencapaian terbesar whatsapp whatsapp telah memecahkan rekor tembus juta pesan per detik selama final piala dunia</t>
  </si>
  <si>
    <t>['mark', 'zuckerberg', 'mengungkap', 'pencapaian', 'terbesar', 'whatsapp', 'whatsapp', 'memecahkan', 'rekor', 'tembus', 'juta', 'pesan', 'per', 'detik', 'selama', 'final', 'piala', 'dunia']</t>
  </si>
  <si>
    <t>Buat lo yang hopeless romantic kayaknya bakal baper sama kisah cinta Lionel Messi dan Antonela Roccuzzo.   Antonela dan Messi sempat curi perhatian saat selebrasi final Piala Dunia 2022 hari minggu lalu.  https://t.co/OY00S6hNOy</t>
  </si>
  <si>
    <t>buat yang hopeless romantic kayaknya bakal baper sama kisah cinta lionel messi dan antonela roccuzzo antonela dan messi sempat curi perhatian saat selebrasi final piala dunia hari minggu lalu</t>
  </si>
  <si>
    <t>['buat', 'hopeless', 'romantic', 'kayaknya', 'bakal', 'bawa perasaan', 'sama', 'kisah', 'cinta', 'lionel', 'messi', 'antonela', 'roccuzzo', 'antonela', 'messi', 'sempat', 'curi', 'perhatian', 'selebrasi', 'final', 'piala', 'dunia', 'hari', 'minggu', 'lalu']</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</si>
  <si>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</si>
  <si>
    <t>@idextratime Mau dikata konspirasi atau apa kek, tp menurutku itu salah satu final piala dunia terbaik. Permainan terbuka, saling serang sampai menit akhir, dan sangat produktif.</t>
  </si>
  <si>
    <t>mau dikata konspirasi atau apa kek menurutku itu salah satu final piala dunia terbaik permainan terbuka saling serang sampai menit akhir dan sangat produktif</t>
  </si>
  <si>
    <t>['mau', 'dikata', 'konspirasi', 'apa', 'kek', 'menurutku', 'salah', 'satu', 'final', 'piala', 'dunia', 'terbaik', 'permainan', 'terbuka', 'saling', 'serang', 'menit', 'akhir', 'sangat', 'produktif']</t>
  </si>
  <si>
    <t>Mark Zuckerbeg: 25 Pesan WhatsApp Saat Final Piala Dunia 2022  https://t.co/WLXoyUt29L</t>
  </si>
  <si>
    <t>mark zuckerbeg pesan whatsapp saat final piala dunia</t>
  </si>
  <si>
    <t>['mark', 'zuckerbeg', 'pesan', 'whatsapp', 'final', 'piala', 'dunia']</t>
  </si>
  <si>
    <t>@tanyakanrl Liat pas waktu final piala dunia  Lagi muterin antena tiba-tiba ada kaya gitu di langit jalannya kenceng</t>
  </si>
  <si>
    <t>liat pas waktu final piala dunia lagi muterin antena tiba tiba ada kaya gitu langit jalannya kenceng</t>
  </si>
  <si>
    <t>['lihat', 'pas', 'waktu', 'final', 'piala', 'dunia', 'muterin', 'antena', 'tiba', 'tiba', 'kaya', 'gitu', 'langit', 'jalannya', 'kenceng']</t>
  </si>
  <si>
    <t>WhatsApp Tembus 25 Juta Pesan Per Detik saat Final Piala Dunia 2022  https://t.co/mVCuNefjy8</t>
  </si>
  <si>
    <t>whatsapp tembus juta pesan per detik saat final piala dunia</t>
  </si>
  <si>
    <t>['whatsapp', 'tembus', 'juta', 'pesan', 'per', 'detik', 'final', 'piala', 'dunia']</t>
  </si>
  <si>
    <t>Rekor Mbappe, Sejarah buat Messi dan Argentina: Kisah menari fase gugur dan final Piala Dunia 2022.  #EmtekWorldCup2022 #BolacomWorldCup2022 #PialaDunia2022 #PialaDunia   https://t.co/vd8wta8gWF</t>
  </si>
  <si>
    <t>rekor mbappe sejarah buat messi dan argentina kisah menari fase gugur dan final piala dunia</t>
  </si>
  <si>
    <t>['rekor', 'mbappe', 'sejarah', 'buat', 'messi', 'argentina', 'kisah', 'menari', 'fase', 'gugur', 'final', 'piala', 'dunia']</t>
  </si>
  <si>
    <t>VIDEO: Salt Bae Dilarang Hadiri Final Piala AS Terbuka Usai Angkat Trofi Piala Dunia  https://t.co/MHdYlgrOfK</t>
  </si>
  <si>
    <t>video salt bae dilarang hadiri final piala terbuka usai angkat trofi piala dunia</t>
  </si>
  <si>
    <t>['video', 'salt', 'bae', 'dilarang', 'hadiri', 'final', 'piala', 'terbuka', 'usai', 'angkat', 'trofi', 'piala', 'dunia']</t>
  </si>
  <si>
    <t>Anjayyy kalah final piala dunia</t>
  </si>
  <si>
    <t>anjayyy kalah final piala dunia</t>
  </si>
  <si>
    <t>['anjayyy', 'kalah', 'final', 'piala', 'dunia']</t>
  </si>
  <si>
    <t>Jubah bisht Lionel Messi usai final Piala Dunia 2022 Qatar menjadi sorotan. Kini, ada yang tertarik dan sanggup membeli dengan nominal Rp 15,5 miliar, lho! #juaraboladunia   https://t.co/vmT1WroGa6</t>
  </si>
  <si>
    <t>jubah bisht lionel messi usai final piala dunia qatar menjadi sorotan kini ada yang tertarik dan sanggup membeli dengan nominal miliar lho</t>
  </si>
  <si>
    <t>['jubah', 'bisht', 'lionel', 'messi', 'usai', 'final', 'piala', 'dunia', 'qatar', 'menjadi', 'sorotan', 'kini', 'tertarik', 'sanggup', 'membeli', 'nominal', 'miliar', 'lho']</t>
  </si>
  <si>
    <t>VIDEO: Salt Bae Dilarang Hadiri Final Piala AS Terbuka Usai Angkat Trofi Piala Dunia  https://t.co/ruQx5C85S3</t>
  </si>
  <si>
    <t>VIDEO: Salt Bae Dilarang Hadiri Final Piala AS Terbuka Usai Angkat Trofi Piala Dunia  https://t.co/nxY2d1mG8K</t>
  </si>
  <si>
    <t>Siaran Final Piala Dunia Down, Vidio Minta Maaf dan Kasih Kompensasi Buat Pelanggan  #PialaDunia #Vidio #PialaDunia2022  https://t.co/OiOsxp5ZFM  https://t.co/90UTmdNAqh</t>
  </si>
  <si>
    <t>siaran final piala dunia down vidio minta maaf dan kasih kompensasi buat pelanggan</t>
  </si>
  <si>
    <t>['siaran', 'final', 'piala', 'dunia', 'down', 'vidio', 'minta', 'maaf', 'kasih', 'kompensasi', 'buat', 'pelanggan']</t>
  </si>
  <si>
    <t>Yg masih belum move on dr euforia Argentina juara pildun 2022 dan baru kenal messi dkk,selamat menikmati euforia dan rasa keponya.. Salam dr alumni final piala dunia 2014, yg untungnya trauma masa itu terbayar lunass..üòé</t>
  </si>
  <si>
    <t>masih belum move euforia argentina juara pildun dan baru kenal messi dkk selamat menikmati euforia dan rasa keponya salam alumni final piala dunia untungnya trauma masa itu terbayar lunass</t>
  </si>
  <si>
    <t>['move', 'euforia', 'argentina', 'juara', 'piala dunia', 'baru', 'kenal', 'messi', 'dkk', 'selamat', 'menikmati', 'euforia', 'rasa', 'keponya', 'salam', 'alumni', 'final', 'piala', 'dunia', 'untungnya', 'trauma', 'masa', 'terbayar', 'lunass']</t>
  </si>
  <si>
    <t>Sosok Wanita yang Dipeluk Messi di Final Piala Dunia 2022. #EnamPlus  https://t.co/RZhJBCPYSF</t>
  </si>
  <si>
    <t>sosok wanita yang dipeluk messi final piala dunia</t>
  </si>
  <si>
    <t>['sosok', 'wanita', 'dipeluk', 'messi', 'final', 'piala', 'dunia']</t>
  </si>
  <si>
    <t>@tjwlssk nonton ulang final piala dunia?</t>
  </si>
  <si>
    <t>nonton ulang final piala dunia</t>
  </si>
  <si>
    <t>['nonton', 'ulang', 'final', 'piala', 'dunia']</t>
  </si>
  <si>
    <t>Prediksi Dan Sejarah Final Piala Dunia Argentina 4 Tahun Lalu Prancis Menang 4-3  https://t.co/1c70gebijr</t>
  </si>
  <si>
    <t>prediksi dan sejarah final piala dunia argentina tahun lalu prancis menang</t>
  </si>
  <si>
    <t>['prediksi', 'sejarah', 'final', 'piala', 'dunia', 'argentina', 'tahun', 'lalu', 'prancis', 'menang']</t>
  </si>
  <si>
    <t>Performa Kroasia Jelang Peringkat 3 &amp;amp; Pogba Dilarang Hadiri Final Piala Dunia  https://t.co/1phIJNGezP</t>
  </si>
  <si>
    <t>performa kroasia jelang peringkat pogba dilarang hadiri final piala dunia</t>
  </si>
  <si>
    <t>['performa', 'kroasia', 'jelang', 'peringkat', 'pogba', 'dilarang', 'hadiri', 'final', 'piala', 'dunia']</t>
  </si>
  <si>
    <t>Didier Deschamps Cetak Sejarah Setelah Bawa Prancis Melaju ke Final Lagi di Piala Dunia 2022  https://t.co/CsvUvRDiiq</t>
  </si>
  <si>
    <t>didier deschamps cetak sejarah setelah bawa prancis melaju final lagi piala dunia</t>
  </si>
  <si>
    <t>['didier', 'deschamps', 'cetak', 'sejarah', 'bawa', 'prancis', 'melaju', 'final', 'piala', 'dunia']</t>
  </si>
  <si>
    <t>VIDEO: Sosok Wanita yang Dipeluk Messi di Final Piala Dunia 2022  https://t.co/rDaGa18fO3</t>
  </si>
  <si>
    <t>video sosok wanita yang dipeluk messi final piala dunia</t>
  </si>
  <si>
    <t>['video', 'sosok', 'wanita', 'dipeluk', 'messi', 'final', 'piala', 'dunia']</t>
  </si>
  <si>
    <t>Tiga hari selepas laga final Piala Dunia 2022, Kylian Mbappe langsung berlatih bersama klubnya Paris Saint-Germain (PSG). Kata pelatihnya, ada sinyal kuat nih!   https://t.co/sZXE0fYrgY</t>
  </si>
  <si>
    <t>tiga hari selepas laga final piala dunia kylian mbappe langsung berlatih bersama klubnya paris saint germain psg kata pelatihnya ada sinyal kuat nih</t>
  </si>
  <si>
    <t>['tiga', 'hari', 'selepas', 'laga', 'final', 'piala', 'dunia', 'kylian', 'mbappe', 'langsung', 'berlatih', 'bersama', 'klubnya', 'paris', 'saint', 'germain', 'psg', 'kata', 'pelatihnya', 'sinyal', 'kuat']</t>
  </si>
  <si>
    <t>Final Piala Dunia 2022 Pecahkan Rekor di Google, Twitter hingga WhatsApp  #uzoneID #lifestyle #viral  https://t.co/XEpO8tQz3x</t>
  </si>
  <si>
    <t>final piala dunia pecahkan rekor google twitter hingga whatsapp</t>
  </si>
  <si>
    <t>['final', 'piala', 'dunia', 'pecahkan', 'rekor', 'google', 'twitter', 'hingga', 'whatsapp']</t>
  </si>
  <si>
    <t>Sosok Wanita yang Dipeluk Messi di Final Piala Dunia 2022 | Liputan6  https://t.co/o3PxslLPBP</t>
  </si>
  <si>
    <t>sosok wanita yang dipeluk messi final piala dunia liputan</t>
  </si>
  <si>
    <t>['sosok', 'wanita', 'dipeluk', 'messi', 'final', 'piala', 'dunia', 'liputan']</t>
  </si>
  <si>
    <t>Paulo Dybala sukses jadi salah satu algojo Argentina pada adu penalti kontra Prancis di final Piala Dunia 2022. Kok berani tempatkan bola di tengah, Dybala? #juaraboladunia    https://t.co/ZMi1hJjjmz</t>
  </si>
  <si>
    <t>paulo dybala sukses jadi salah satu algojo argentina pada adu penalti kontra prancis final piala dunia kok berani tempatkan bola tengah dybala</t>
  </si>
  <si>
    <t>['paulo', 'dybala', 'sukses', 'jadi', 'salah', 'satu', 'algojo', 'argentina', 'adu', 'penalti', 'kontra', 'prancis', 'final', 'piala', 'dunia', 'kok', 'berani', 'tempatkan', 'bola', 'tengah', 'dybala']</t>
  </si>
  <si>
    <t>Semi Final Piala Dunia 2022 Qatar melalui link  https://t.co/YP3SuQ6jeJ. 136805 - (19, 104, 5) 59341f - (89, 52, 31) 7a81c2 - (122, 129, 194) d29c57 - (210, 156, 87) fb4a56 - (251, 74, 86) 31d23b - (49, 210, 59) 974027 - (151, 64, 39) d75617 - (215, (3/8)</t>
  </si>
  <si>
    <t>semi final piala dunia qatar melalui link</t>
  </si>
  <si>
    <t>['semi', 'final', 'piala', 'dunia', 'qatar', 'melalui', 'link']</t>
  </si>
  <si>
    <t>163, 219) e896d7 - (232, 150, 215) 6b4a44 - (107, 74, 68) ‚ù§Ô∏è 9787d1 - (151, 135, 209) 7f29f6 - (127, 41, 246) ba35de - (186, 53, 222) bc983c - (188, 152, 60) eefd8c - (238, 253, 140) Maroko Ke Semi Final Piala Dunia 2022 Qatar - Coba cek ini deh, Twibbonize Maroko Ke (2/8)</t>
  </si>
  <si>
    <t>eefd maroko semi final piala dunia qatar coba cek ini deh twibbonize maroko</t>
  </si>
  <si>
    <t>['eefd', 'maroko', 'semi', 'final', 'piala', 'dunia', 'qatar', 'coba', 'cek', 'deh', 'twibbonize', 'maroko']</t>
  </si>
  <si>
    <t>Dybala Ungkap Penaltinya di Final Piala Dunia yang ‚ÄòBerani Banget‚Äô ‚Äì detikSport ‚Äì Google Berita Olahraga ‚Äì  https://t.co/7sjtrm3JWs ‚Äì #Arenanews #Kamidi #Opsiminfo- https://t.co/FpZhpBlhlq</t>
  </si>
  <si>
    <t>dybala ungkap penaltinya final piala dunia yang berani banget detiksport google berita olahraga</t>
  </si>
  <si>
    <t>['dybala', 'ungkap', 'penaltinya', 'final', 'piala', 'dunia', 'berani', 'banget', 'detiksport', 'google', 'berita', 'olahraga']</t>
  </si>
  <si>
    <t>Mark Zuckerberg: 25 juta pesan WhatsApp saat final Piala Dunia  https://t.co/Fd6fkSWmEz</t>
  </si>
  <si>
    <t>Dybala Ungkap Penaltinya di Final Piala Dunia yang ‚ÄòBerani Banget‚Äô ‚Äì detikSport ‚Äì Google Berita Olahraga ‚Äì  https://t.co/3ZI23LYe7h ‚Äì #Arenanews #Kamidi¬†#Opsiminfo  https://t.co/BT5hspzBtA</t>
  </si>
  <si>
    <t>CEO Meta Platforms Inc Mark Zuckerbeg mengatakan pesan yang dikirim melalui aplikasi WhatsApp mencapai 25 juta saat final Piala Dunia.   https://t.co/O7Y2N0YPyQ</t>
  </si>
  <si>
    <t>ceo meta platforms inc mark zuckerbeg mengatakan pesan yang dikirim melalui aplikasi whatsapp mencapai juta saat final piala dunia</t>
  </si>
  <si>
    <t>['ceo', 'meta', 'platforms', 'inc', 'mark', 'zuckerbeg', 'mengatakan', 'pesan', 'dikirim', 'melalui', 'aplikasi', 'whatsapp', 'mencapai', 'juta', 'final', 'piala', 'dunia']</t>
  </si>
  <si>
    <t>sebelum final piala dunia, udah janji sama diri sendiri, kalo argentina menang, dalam 2x24 jam mau punya pacar.  maafkan, saya gagal menepati janji :(</t>
  </si>
  <si>
    <t>sebelum final piala dunia udah janji sama diri sendiri kalo argentina menang dalam jam mau punya pacar maafkan saya gagal menepati janji</t>
  </si>
  <si>
    <t>['final', 'piala', 'dunia', 'udah', 'janji', 'sama', 'diri', 'sendiri', 'argentina', 'menang', 'jam', 'mau', 'punya', 'pacar', 'maafkan', 'gagal', 'menepati', 'janji']</t>
  </si>
  <si>
    <t>Paulo Dybala sukses jadi salah satu algojo Argentina pada adu penalti kontra Prancis di final Piala Dunia 2022. Kok berani tempatkan bola di tengah, Dybala? #juaraboladunia    https://t.co/JJX0mX0BIj</t>
  </si>
  <si>
    <t>Ada Emi Martinez di Balik Penalti 'Greget' Dybala di Final Piala Dunia  https://t.co/vBSjZGyA2M</t>
  </si>
  <si>
    <t>ada emi martinez balik penalti greget dybala final piala dunia</t>
  </si>
  <si>
    <t>['emi', 'martinez', 'balik', 'penalti', 'greget', 'dybala', 'final', 'piala', 'dunia']</t>
  </si>
  <si>
    <t>Kylian Mbappe ternyata sempat tunjukkan gaya kepemimpinan dengan bakar semangat Timnas Prancis di final Piala Dunia. #kumparanBOLA  https://t.co/gQ1iWhGcW7</t>
  </si>
  <si>
    <t>kylian mbappe ternyata sempat tunjukkan gaya kepemimpinan dengan bakar semangat timnas prancis final piala dunia</t>
  </si>
  <si>
    <t>['kylian', 'mbappe', 'ternyata', 'sempat', 'tunjukkan', 'gaya', 'kepemimpinan', 'bakar', 'semangat', 'timnas', 'prancis', 'final', 'piala', 'dunia']</t>
  </si>
  <si>
    <t>kalo beneran, gaada otak sih messi  pamer di negara yg dia kalahin, di ibukotanya, di depan teammate yg kalah ama dia di final...  mabok piala dunia nih messi lama-lama</t>
  </si>
  <si>
    <t>kalo beneran gaada otak sih messi pamer negara dia kalahin ibukotanya depan teammate kalah ama dia final mabok piala dunia nih messi lama lama</t>
  </si>
  <si>
    <t>['beneran', 'gaada', 'otak', 'messi', 'pamer', 'negara', 'kalahin', 'ibukotanya', 'depan', 'teammate', 'kalah', 'ama', 'final', 'mabok', 'piala', 'dunia', 'messi', 'lama', 'lama']</t>
  </si>
  <si>
    <t>Tiga hari selepas laga final Piala Dunia 2022, Kylian Mbappe langsung berlatih bersama klubnya Paris Saint-Germain (PSG). Kata pelatihnya, ada sinyal kuat nih!   https://t.co/mW11sEmSaC</t>
  </si>
  <si>
    <t>Elon Musk - Bos Investasi Qatar Nobar Final Piala Dunia  https://t.co/VW3RxYJOtM</t>
  </si>
  <si>
    <t>Erick Thohir Ketemu Elon Musk saat Nonton Final Piala Dunia 2022, Langsung &amp;lt;i&amp;gt;Selfie&amp;lt;/i&amp;gt; via @okezonenews  https://t.co/ZTFS6JWTTP</t>
  </si>
  <si>
    <t>erick thohir ketemu elon musk saat nonton final piala dunia langsung selfie via</t>
  </si>
  <si>
    <t>['erick', 'thohir', 'ketemu', 'elon', 'musk', 'nonton', 'final', 'piala', 'dunia', 'langsung', 'selfie', 'via']</t>
  </si>
  <si>
    <t>Ini Isi WA Angel Di Maria ke Istrinya Jelang Final Piala Dunia 2022   https://t.co/Ue6YWEsCJZ</t>
  </si>
  <si>
    <t>ini isi angel maria istrinya jelang final piala dunia</t>
  </si>
  <si>
    <t>['isi', 'angel', 'maria', 'istrinya', 'jelang', 'final', 'piala', 'dunia']</t>
  </si>
  <si>
    <t>Ini Isi WA Angel Di Maria ke Istrinya Jelang Final Piala Dunia 2022   https://t.co/xEVWu5wC9U</t>
  </si>
  <si>
    <t>mungkin AFF kali ini menurut beberapa suporter (dalam/luar) terkesan kurang menarik karena digelar cuma selang beberapa hari dari Final Piala Dunia, tapi rasanya ini momentum yg paling pas buat kita ambil 1 bintang pertama, karena kalau gagal lagi..</t>
  </si>
  <si>
    <t>mungkin aff kali ini menurut beberapa suporter dalam luar terkesan kurang menarik karena digelar cuma selang beberapa hari dari final piala dunia tapi rasanya ini momentum paling pas buat kita ambil bintang pertama karena kalau gagal lagi</t>
  </si>
  <si>
    <t>['mungkin', 'aff', 'kali', 'beberapa', 'suporter', 'luar', 'terkesan', 'kurang', 'menarik', 'digelar', 'cuma', 'selang', 'beberapa', 'hari', 'final', 'piala', 'dunia', 'rasanya', 'momentum', 'paling', 'pas', 'buat', 'ambil', 'bintang', 'pertama', 'kalau', 'gagal']</t>
  </si>
  <si>
    <t>@sarimiisisatu PASTI KM HABIS NONTON FINAL PIALA DUNIA KHANNN</t>
  </si>
  <si>
    <t>pasti habis nonton final piala dunia khannn</t>
  </si>
  <si>
    <t>['habis', 'nonton', 'final', 'piala', 'dunia', 'khannn']</t>
  </si>
  <si>
    <t>@Syiva_AWd @SiaranBolaLive Lu g ngerti. Kita g butuh piala dunia, kita cuma butuh piala AFF. Masuk final mengalahkan Thailand, dan bertemu Malaysia di final, kemudian merebut posisi Runner up lagi.</t>
  </si>
  <si>
    <t>awd ngerti kita butuh piala dunia kita cuma butuh piala aff masuk final mengalahkan thailand dan bertemu malaysia final kemudian merebut posisi runner lagi</t>
  </si>
  <si>
    <t>['awd', 'ngerti', 'butuh', 'piala', 'dunia', 'cuma', 'butuh', 'piala', 'aff', 'masuk', 'final', 'mengalahkan', 'thailand', 'bertemu', 'malaysia', 'final', 'kemudian', 'merebut', 'posisi', 'runner']</t>
  </si>
  <si>
    <t>VIDEO: Sosok Wanita yang Dipeluk Messi di Final Piala Dunia 2022  https://t.co/Ddnet2DNmq</t>
  </si>
  <si>
    <t>Mbappe kembali ke PSG hanya tiga hari usai tampil di final Piala Dunia 2022.  #bolaskorcom #mbappe #psg #qatar2022      https://t.co/GQbrWtEgDv</t>
  </si>
  <si>
    <t>mbappe kembali psg hanya tiga hari usai tampil final piala dunia</t>
  </si>
  <si>
    <t>['mbappe', 'psg', 'tiga', 'hari', 'usai', 'tampil', 'final', 'piala', 'dunia']</t>
  </si>
  <si>
    <t>VIDEO: Sosok Wanita yang Dipeluk Messi di Final Piala Dunia 2022  https://t.co/RQkAlM8gli</t>
  </si>
  <si>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</si>
  <si>
    <t>seru lapangan heboh timeline itulah gambaran yang terjadi saat prancis argentina final piala dunia apa aja sih reaksi yang dicuitkan oleh netizen timeline saat pertandingan berlangsung simak datanya</t>
  </si>
  <si>
    <t>['seru', 'lapangan', 'heboh', 'timeline', 'gambaran', 'terjadi', 'prancis', 'argentina', 'final', 'piala', 'dunia', 'apa', 'reaksi', 'dicuitkan', 'netizen', 'timeline', 'pertandingan', 'berlangsung', 'simak', 'datanya']</t>
  </si>
  <si>
    <t>Google Search memecahkan rekor pencarian tertinggi selama 25 tahun terakhir. Rekor tersebut adalah saat berlangsungnya final Piala Dunia 2022.  https://t.co/fqBSAvQk7Z</t>
  </si>
  <si>
    <t>pemimpin muda Jawa Timur @EmilDardak berbaur dengan rakyat saat nobar final piala dunia 2022 antara #ArgentinaVsFrance di Rumah AHY Demokrat #emilsangdemokrat #AHY #PartaiDemokrat #demokratjatim #DemokratKabupatenProbolinggo #demokrats14p #demokratharapanrakyat  https://t.co/zS0Y4nDMFW</t>
  </si>
  <si>
    <t>pemimpin muda jawa timur berbaur dengan rakyat saat nobar final piala dunia antara rumah ahy demokrat</t>
  </si>
  <si>
    <t>['pemimpin', 'muda', 'jawa', 'timur', 'berbaur', 'rakyat', 'nonton bareng', 'final', 'piala', 'dunia', 'rumah', 'ahy', 'demokrat']</t>
  </si>
  <si>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</si>
  <si>
    <t>kylian mbappe menjadi topskor piala dunia saat usianya baru tahun juga mencetak hat trick laga final dengan total gol sepanjang turnamen semua aksinya bersama timnas prancis dari fase grup hingga laga final bisa kalian tonton ulang vidio</t>
  </si>
  <si>
    <t>['kylian', 'mbappe', 'menjadi', 'topskor', 'piala', 'dunia', 'usianya', 'baru', 'tahun', 'mencetak', 'hat', 'trick', 'laga', 'final', 'total', 'gol', 'sepanjang', 'turnamen', 'semua', 'aksinya', 'bersama', 'timnas', 'prancis', 'fase', 'grup', 'hingga', 'laga', 'final', 'kalian', 'tonton', 'ulang', 'vidio']</t>
  </si>
  <si>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</si>
  <si>
    <t>dulu aku atlet soalnya bolak balik gbk pdhl mah nonton doang semifinal sea games ina thai final sea games ina mal final aff ina mal kualifikasi pra piala dunia ina iran msh bisa nonton kursi wartawan wkwkwk</t>
  </si>
  <si>
    <t>['dulu', 'aku', 'atlet', 'soalnya', 'bolak', 'balik', 'gbk', 'pdhl', 'mah', 'nonton', 'doang', 'semifinal', 'sea', 'games', 'ina', 'thai', 'final', 'sea', 'games', 'ina', 'mal', 'final', 'aff', 'ina', 'mal', 'kualifikasi', 'pra', 'piala', 'dunia', 'ina', 'iran', 'msh', 'nonton', 'kursi', 'wartawan', 'wkwkwk']</t>
  </si>
  <si>
    <t>&lt;FreqDist with 28 samples and 36 outcomes&gt;</t>
  </si>
  <si>
    <t>Google Search memecahkan rekor pencarian tertinggi selama 25 tahun terakhir. Rekor tersebut adalah saat berlangsungnya final Piala Dunia 2022.  https://t.co/DLApjtepbd</t>
  </si>
  <si>
    <t>Legenda Arsenal Ian Wright mengagumi mind games yang dilakukan Emiliano Martinez saat penalti. Namun, menurutnya aksi Martinez di final Piala Dunia berlebihan! #juaraboladunia    https://t.co/nAINsSKO9X</t>
  </si>
  <si>
    <t>legenda arsenal ian wright mengagumi mind games yang dilakukan emiliano martinez saat penalti namun menurutnya aksi martinez final piala dunia berlebihan</t>
  </si>
  <si>
    <t>['legenda', 'arsenal', 'ian', 'wright', 'mengagumi', 'mind', 'games', 'dilakukan', 'emiliano', 'martinez', 'penalti', 'menurutnya', 'aksi', 'martinez', 'final', 'piala', 'dunia', 'berlebihan']</t>
  </si>
  <si>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</si>
  <si>
    <t>argentina menjadi kampiun usai mengungguli prancis pada adu penalti menyusul hasil sama kuat sampai perpanjangan waktu argentina tampil sebagai juara piala dunia setelah menumpas prancis melalui adu penalti final dan mengakhiri penantian juara usai tahun</t>
  </si>
  <si>
    <t>['argentina', 'menjadi', 'kampiun', 'usai', 'mengungguli', 'prancis', 'adu', 'penalti', 'menyusul', 'hasil', 'sama', 'kuat', 'perpanjangan', 'waktu', 'argentina', 'tampil', 'juara', 'piala', 'dunia', 'menumpas', 'prancis', 'melalui', 'adu', 'penalti', 'final', 'mengakhiri', 'penantian', 'juara', 'usai', 'tahun']</t>
  </si>
  <si>
    <t>Piala Dunia 2022 menyuguhkan ending yang sangat dramatis pada pertandingan final antara timnas Argentina dan juara bertahan Prancis.   Final Piala Dunia 2022 antara Argentina vs Prancis dilangsungkan di Stadion Lusail, Minggu, 18 Desember 2022.  https://t.co/jEF9ACZ5Uz</t>
  </si>
  <si>
    <t>piala dunia menyuguhkan ending yang sangat dramatis pada pertandingan final antara timnas argentina dan juara bertahan prancis final piala dunia antara argentina prancis dilangsungkan stadion lusail minggu desember</t>
  </si>
  <si>
    <t>['piala', 'dunia', 'menyuguhkan', 'ending', 'sangat', 'dramatis', 'pertandingan', 'final', 'timnas', 'argentina', 'juara', 'bertahan', 'prancis', 'final', 'piala', 'dunia', 'argentina', 'prancis', 'dilangsungkan', 'stadion', 'lusail', 'minggu', 'desember']</t>
  </si>
  <si>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</si>
  <si>
    <t>piala dunia fifa merupakan putaran final dari piala dunia fifa turnamen sepak bola internasional empat tahunan yang diikuti oleh tim nasional senior pria anggota fifa turnamen edisi ini berlangsung qatar pada november hingga desember</t>
  </si>
  <si>
    <t>['piala', 'dunia', 'fifa', 'merupakan', 'putaran', 'final', 'piala', 'dunia', 'fifa', 'turnamen', 'sepak', 'bola', 'internasional', 'empat', 'tahunan', 'diikuti', 'tim', 'nasional', 'senior', 'pria', 'anggota', 'fifa', 'turnamen', 'edisi', 'berlangsung', 'qatar', 'november', 'hingga', 'desember']</t>
  </si>
  <si>
    <t>Meramal Masa Depan Hubungan Mbappe dan Messi di PSG Pasca Final Piala Dunia 2022  https://t.co/DJWKtcxzRE</t>
  </si>
  <si>
    <t>meramal masa depan hubungan mbappe dan messi psg pasca final piala dunia</t>
  </si>
  <si>
    <t>['meramal', 'masa', 'depan', 'hubungan', 'mbappe', 'messi', 'psg', 'pasca', 'final', 'piala', 'dunia']</t>
  </si>
  <si>
    <t>@GanjaranApp Sebuah pencapaian yang sangat luar biasa di diraih oleh Maroko, bisa masuk ke semi final piala dunia</t>
  </si>
  <si>
    <t>sebuah pencapaian yang sangat luar biasa diraih oleh maroko bisa masuk semi final piala dunia</t>
  </si>
  <si>
    <t>['sebuah', 'pencapaian', 'sangat', 'luar', 'biasa', 'diraih', 'maroko', 'masuk', 'semi', 'final', 'piala', 'dunia']</t>
  </si>
  <si>
    <t>WhatsApp Catat Rekor, Ada 25 Juta Pesan Per Detik Saat Final Piala Dunia 2022  https://t.co/Am9fMswwwv</t>
  </si>
  <si>
    <t>whatsapp catat rekor ada juta pesan per detik saat final piala dunia</t>
  </si>
  <si>
    <t>['whatsapp', 'catat', 'rekor', 'juta', 'pesan', 'per', 'detik', 'final', 'piala', 'dunia']</t>
  </si>
  <si>
    <t>Google Search memecahkan rekor pencarian tertinggi selama 25 tahun terakhir. Rekor tersebut adalah saat berlangsungnya final Piala Dunia 2022.   https://t.co/GT3PIAGfN2</t>
  </si>
  <si>
    <t>Streamer xQc Kehilangan 10 Miliar Rupiah Saat Taruhan di Final Piala Dunia 2022 via @idgs_community  https://t.co/6PjOMCqkyK #IDGS #INDOGAMERS #XQC</t>
  </si>
  <si>
    <t>streamer xqc kehilangan miliar rupiah saat taruhan final piala dunia via community</t>
  </si>
  <si>
    <t>['streamer', 'xqc', 'kehilangan', 'miliar', 'rupiah', 'taruhan', 'final', 'piala', 'dunia', 'via', 'community']</t>
  </si>
  <si>
    <t>@arbainrambey 2015 gak mungkin ngeramal Final Piala Dunia in December.... semua World Cup pasti pas libur Liga (Juni or July) kalo gak ada Pandemi gak bakal mlayu ning Desember bal-balanne... settingan ketoke Pak ü§£</t>
  </si>
  <si>
    <t>gak mungkin ngeramal final piala dunia december semua world cup pasti pas libur liga juni july kalo gak ada pandemi gak bakal mlayu ning desember bal balanne settingan ketoke pak</t>
  </si>
  <si>
    <t>['mungkin', 'ngeramal', 'final', 'piala', 'dunia', 'december', 'semua', 'world', 'cup', 'pas', 'libur', 'liga', 'juni', 'july', 'pandemi', 'bakal', 'mlayu', 'ning', 'desember', 'bal', 'balanne', 'settingan', 'ketoke', 'pak']</t>
  </si>
  <si>
    <t>Kylian Mbappe telah kembali ke pelatihan PSG hanya tiga hari setelah kalah di final Piala Dunia.  üìú @MailSport  https://t.co/bXqMvgfJn2</t>
  </si>
  <si>
    <t>kylian mbappe telah kembali pelatihan psg hanya tiga hari setelah kalah final piala dunia</t>
  </si>
  <si>
    <t>['kylian', 'mbappe', 'pelatihan', 'psg', 'tiga', 'hari', 'kalah', 'final', 'piala', 'dunia']</t>
  </si>
  <si>
    <t>Wah, apakah efek kegagalan di final Piala Dunia bisa sampai ke sini? üòÇ</t>
  </si>
  <si>
    <t>wah apakah efek kegagalan final piala dunia bisa sampai sini</t>
  </si>
  <si>
    <t>['wah', 'efek', 'kegagalan', 'final', 'piala', 'dunia', 'sini']</t>
  </si>
  <si>
    <t>Celebrity Chef, Salt Bae, dilarang hadir ke final US Open Cup. Ini lantaran Bae menyentuh trofi Piala Dunia yang sebenarnya itu tak diizinkan. #kumparanBOLA  https://t.co/YCekPcOWRq</t>
  </si>
  <si>
    <t>celebrity chef salt bae dilarang hadir final open cup ini lantaran bae menyentuh trofi piala dunia yang sebenarnya itu tak diizinkan</t>
  </si>
  <si>
    <t>['celebrity', 'chef', 'salt', 'bae', 'dilarang', 'hadir', 'final', 'open', 'cup', 'lantaran', 'bae', 'menyentuh', 'trofi', 'piala', 'dunia', 'sebenarnya', 'tak', 'diizinkan']</t>
  </si>
  <si>
    <t>Siapa tim favoritmu pada final piala dunia 2022?  #HolidayMoodLRTJabodebek #SmartTravelLiveBetter #BUMN #KAI #LRTJabodebek</t>
  </si>
  <si>
    <t>siapa tim favoritmu pada final piala dunia</t>
  </si>
  <si>
    <t>['siapa', 'tim', 'favoritmu', 'final', 'piala', 'dunia']</t>
  </si>
  <si>
    <t>Fantastis, Ini Rincian Hadiah Piala Dunia Qatar 2022  "Melansir dari National World, berikut rincian hadiah yang akan diperoleh oleh setiap tim mulai dari fase grup hingga final:</t>
  </si>
  <si>
    <t>fantastis ini rincian hadiah piala dunia qatar melansir dari national world berikut rincian hadiah yang akan diperoleh oleh setiap tim mulai dari fase grup hingga final</t>
  </si>
  <si>
    <t>['fantastis', 'rincian', 'hadiah', 'piala', 'dunia', 'qatar', 'melansir', 'national', 'world', 'berikut', 'rincian', 'hadiah', 'diperoleh', 'tim', 'mulai', 'fase', 'grup', 'hingga', 'final']</t>
  </si>
  <si>
    <t>#BHsukan Hantaran Messi selepas memenangi final Piala Dunia iaitu bersama trofi, sudah menjadi hantaran dengan 'like' terbanyak dalam sejarah media sosial iaitu lebih 70 juta   https://t.co/XPdMlAnWIG  #PialaDunia2022 #Qatar2022 #WorldCup2022 #FIFA2022</t>
  </si>
  <si>
    <t>hantaran messi selepas memenangi final piala dunia iaitu bersama trofi sudah menjadi hantaran dengan like terbanyak dalam sejarah media sosial iaitu lebih juta</t>
  </si>
  <si>
    <t>['hantaran', 'messi', 'selepas', 'memenangi', 'final', 'piala', 'dunia', 'iaitu', 'bersama', 'trofi', 'menjadi', 'hantaran', 'like', 'terbanyak', 'sejarah', 'media', 'sosial', 'iaitu', 'lebih', 'juta']</t>
  </si>
  <si>
    <t>Legenda Arsenal Ian Wright mengagumi mind games yang dilakukan Emiliano Martinez saat penalti. Namun, menurutnya aksi Martinez di final Piala Dunia berlebihan! #juaraboladunia    https://t.co/74SGNVcfBI</t>
  </si>
  <si>
    <t>Streaming final piala dunia üòÇ</t>
  </si>
  <si>
    <t>streaming final piala dunia</t>
  </si>
  <si>
    <t>['streaming', 'final', 'piala', 'dunia']</t>
  </si>
  <si>
    <t>#TEKNOLOGI   Final Piala Dunia Pecahkan Rekor Google Search  https://t.co/oIWLtwXwUc   #11N1</t>
  </si>
  <si>
    <t>final piala dunia pecahkan rekor google search</t>
  </si>
  <si>
    <t>['final', 'piala', 'dunia', 'pecahkan', 'rekor', 'google', 'search']</t>
  </si>
  <si>
    <t>Wow! Jubah Messi di Final Piala Dunia 2022 Ditawar Rp15,5 Miliar  https://t.co/GOJjdD0zIE</t>
  </si>
  <si>
    <t>wow jubah messi final piala dunia ditawar miliar</t>
  </si>
  <si>
    <t>['wow', 'jubah', 'messi', 'final', 'piala', 'dunia', 'ditawar', 'miliar']</t>
  </si>
  <si>
    <t>@idextratime Astaga ngerinya. Ketik "1" agar final piala dunia diulang</t>
  </si>
  <si>
    <t>astaga ngerinya ketik agar final piala dunia diulang</t>
  </si>
  <si>
    <t>['astaga', 'ngerinya', 'ketik', 'final', 'piala', 'dunia', 'diulang']</t>
  </si>
  <si>
    <t>Nanti aja debatnya dilanjutin kalau Cristiano udah bawa Portugal ke final piala dunia ya oke~</t>
  </si>
  <si>
    <t>nanti aja debatnya dilanjutin kalau cristiano udah bawa portugal final piala dunia oke</t>
  </si>
  <si>
    <t>['debatnya', 'dilanjutin', 'kalau', 'cristiano', 'udah', 'bawa', 'portugal', 'final', 'piala', 'dunia', 'oke']</t>
  </si>
  <si>
    <t>Yeah. Memang bener udah ga nonton bola aja sehabis final piala dunia kemarin. Habis footballing peak mau nonton model ginian wkwkwk</t>
  </si>
  <si>
    <t>yeah memang bener udah nonton bola aja sehabis final piala dunia kemarin habis footballing peak mau nonton model ginian wkwkwk</t>
  </si>
  <si>
    <t>['yeah', 'memang', 'benar', 'udah', 'nonton', 'bola', 'sehabis', 'final', 'piala', 'dunia', 'kemarin', 'habis', 'footballing', 'peak', 'mau', 'nonton', 'model', 'ginian', 'wkwkwk']</t>
  </si>
  <si>
    <t>Karma is real Waktu prancis juara piala Dunia 2018 , mrk selebrasi sambil ejek2 messi padahal lawan Prancis di final 2018 itu Kroasia, kenapa messi yg kena?  Makanya skr argentina juara. Gantian pemain argentina yg ejek pemain prancis  Balas dendam yg sangat sempurna</t>
  </si>
  <si>
    <t>karma real waktu prancis juara piala dunia mrk selebrasi sambil ejek messi padahal lawan prancis final itu kroasia kenapa messi kena makanya skr argentina juara gantian pemain argentina ejek pemain prancis balas dendam sangat sempurna</t>
  </si>
  <si>
    <t>['karma', 'real', 'waktu', 'prancis', 'juara', 'piala', 'dunia', 'mrk', 'selebrasi', 'ejek', 'messi', 'padahal', 'lawan', 'prancis', 'final', 'kroasia', 'messi', 'kena', 'makanya', 'skr', 'argentina', 'juara', 'gantian', 'pemain', 'argentina', 'ejek', 'pemain', 'prancis', 'balas', 'dendam', 'sangat', 'sempurna']</t>
  </si>
  <si>
    <t>üì∑ Sebelumnya Kingsley Coman, Randal kolo Muani, serta Aurelien Tchouameni menerima perlakuan rasisme di media sosial setelah final Piala Dunia. - Follow juga kami di : - Instagram ¬†: @ekingsnews - Facebook ¬†: ekingsnews  https://t.co/W3zw4RhzmY</t>
  </si>
  <si>
    <t>sebelumnya kingsley coman randal kolo muani serta aurelien tchouameni menerima perlakuan rasisme media sosial setelah final piala dunia follow juga kami instagram facebook ekingsnews</t>
  </si>
  <si>
    <t>['sebelumnya', 'kingsley', 'coman', 'randal', 'kolo', 'muani', 'aurelien', 'tchouameni', 'menerima', 'perlakuan', 'rasisme', 'media', 'sosial', 'final', 'piala', 'dunia', 'follow', 'instagram', 'facebook', 'ekingsnews']</t>
  </si>
  <si>
    <t>Final Piala Dunia kemarin YOTers jagoin siapa?   https://t.co/LQUr9NoTKb</t>
  </si>
  <si>
    <t>final piala dunia kemarin yoters jagoin siapa</t>
  </si>
  <si>
    <t>['final', 'piala', 'dunia', 'kemarin', 'yoters', 'jagoin', 'siapa']</t>
  </si>
  <si>
    <t>Isi WhatsApp Angel Di Maria Jelang Final Piala Dunia Bikin Terperangah ‚Äì detikInet ‚Äì Google Berita Olahraga ‚Äì  https://t.co/BMSFlE8qb3 ‚Äì #Arenanews #Kamidi #Opsiminfo- https://t.co/Y7EYW6TXPc</t>
  </si>
  <si>
    <t>isi whatsapp angel maria jelang final piala dunia bikin terperangah detikinet google berita olahraga</t>
  </si>
  <si>
    <t>['isi', 'whatsapp', 'angel', 'maria', 'jelang', 'final', 'piala', 'dunia', 'terperangah', 'detikinet', 'google', 'berita', 'olahraga']</t>
  </si>
  <si>
    <t>Isi WhatsApp Angel Di Maria Jelang Final Piala Dunia Bikin Terperangah ‚Äì detikInet ‚Äì Google Berita Olahraga ‚Äì  https://t.co/Jn6PeI3wcu ‚Äì #Arenanews #Kamidi¬†#Opsiminfo  https://t.co/URqKomPTOr</t>
  </si>
  <si>
    <t>@Info_Ronaldo7 minimal bisa ke final piala dunia dulu dehü§™ü§™ü§™</t>
  </si>
  <si>
    <t>ronaldo minimal bisa final piala dunia dulu deh</t>
  </si>
  <si>
    <t>['ronaldo', 'minimal', 'final', 'piala', 'dunia', 'dulu', 'deh']</t>
  </si>
  <si>
    <t>Di pertandingan final menciptakan 4 gol ke gawang Argentina sehingga Mbappe menjadi top skor dengan total 9 gol selama Piala Dunia‚ùóÔ∏è  Kebayang gak sih latihan dan tekad seperti apa yang bisa membuat Mbappe tampil dengan performa terbaik? ü•π  https://t.co/J3agZ9Arfd</t>
  </si>
  <si>
    <t>pertandingan final menciptakan gol gawang argentina sehingga mbappe menjadi top skor dengan total gol selama piala dunia kebayang gak sih latihan dan tekad seperti apa yang bisa membuat mbappe tampil dengan performa terbaik</t>
  </si>
  <si>
    <t>['pertandingan', 'final', 'menciptakan', 'gol', 'gawang', 'argentina', 'mbappe', 'menjadi', 'top', 'skor', 'total', 'gol', 'selama', 'piala', 'dunia', 'kebayang', 'latihan', 'tekad', 'apa', 'membuat', 'mbappe', 'tampil', 'performa', 'terbaik']</t>
  </si>
  <si>
    <t>@KediriFess Kebakaran, pas final piala dunia, kronologine anak.e ate gae kopi jek godok banyu tross ditinggal tuku rokok</t>
  </si>
  <si>
    <t>kebakaran pas final piala dunia kronologine anak ate gae kopi jek godok banyu tross ditinggal tuku rokok</t>
  </si>
  <si>
    <t>['kebakaran', 'pas', 'final', 'piala', 'dunia', 'kronologine', 'anak', 'ate', 'gae', 'kopi', 'jek', 'godok', 'banyu', 'tross', 'ditinggal', 'tuku', 'rokok']</t>
  </si>
  <si>
    <t>Bisht yang dikenakan Lionel Messi di Final Piala Dunia 2022 terus jadi fenomena. Bahkan ada yang rela membelinya Rp 15,5 miliar! #juaraboladunia    https://t.co/2rHmx7ejop</t>
  </si>
  <si>
    <t>bisht yang dikenakan lionel messi final piala dunia terus jadi fenomena bahkan ada yang rela membelinya miliar</t>
  </si>
  <si>
    <t>['bisht', 'dikenakan', 'lionel', 'messi', 'final', 'piala', 'dunia', 'terus', 'jadi', 'fenomena', 'bahkan', 'rela', 'membelinya', 'miliar']</t>
  </si>
  <si>
    <t>Kudu mangkat final piala dunia weh suk nek ngene ki.</t>
  </si>
  <si>
    <t>kudu mangkat final piala dunia weh suk nek ngene</t>
  </si>
  <si>
    <t>['kudu', 'mangkat', 'final', 'piala', 'dunia', 'weh', 'suk', 'nek', 'ngene']</t>
  </si>
  <si>
    <t>@chaeryeohng @messinisme @triwantororudi @idextratime Meskipun tidak juara kroasia bisa membuktikan tanpa pemain cr7 kroasia bisa sampai final juara dua piala dunia 2018.  https://t.co/IeHZEIROxB</t>
  </si>
  <si>
    <t>meskipun tidak juara kroasia bisa membuktikan tanpa pemain kroasia bisa sampai final juara dua piala dunia</t>
  </si>
  <si>
    <t>['meskipun', 'juara', 'kroasia', 'membuktikan', 'pemain', 'kroasia', 'final', 'juara', 'piala', 'dunia']</t>
  </si>
  <si>
    <t>@TxtdariHI Kirain mau ngadu ke kakek Abidin gegara FIFA nolak dia pidato di final piala dunia</t>
  </si>
  <si>
    <t>kirain mau ngadu kakek abidin gegara fifa nolak dia pidato final piala dunia</t>
  </si>
  <si>
    <t>['kirain', 'mau', 'ngadu', 'kakek', 'abidin', 'gegara', 'fifa', 'nolak', 'pidato', 'final', 'piala', 'dunia']</t>
  </si>
  <si>
    <t>@tahilalats final piala dunia kemarin</t>
  </si>
  <si>
    <t>final piala dunia kemarin</t>
  </si>
  <si>
    <t>['final', 'piala', 'dunia', 'kemarin']</t>
  </si>
  <si>
    <t>Final Piala Dunia 2022 Pecahkan Rekor Pencarian di Google  https://t.co/UiUbpK8Y5K</t>
  </si>
  <si>
    <t>final piala dunia pecahkan rekor pencarian google</t>
  </si>
  <si>
    <t>['final', 'piala', 'dunia', 'pecahkan', 'rekor', 'pencarian', 'google']</t>
  </si>
  <si>
    <t>@messinisme @triwantororudi @idextratime Ngak perlu jauh yg juara...kroasia saja negara baru yg masuk piala dunia 7 tahun setelah merdeka bisa masuk bersaing dgn negara2 yg pernah juara...kroasia tanpa pemain hebat seperti cr7 tapi sudah capai final piala</t>
  </si>
  <si>
    <t>ngak perlu jauh juara kroasia saja negara baru masuk piala dunia tahun setelah merdeka bisa masuk bersaing dgn negara pernah juara kroasia tanpa pemain hebat seperti tapi sudah capai final piala</t>
  </si>
  <si>
    <t>['ngak', 'perlu', 'jauh', 'juara', 'kroasia', 'negara', 'baru', 'masuk', 'piala', 'dunia', 'tahun', 'merdeka', 'masuk', 'bersaing', 'negara', 'pernah', 'juara', 'kroasia', 'pemain', 'hebat', 'capai', 'final', 'piala']</t>
  </si>
  <si>
    <t>Bisht yang dikenakan Lionel Messi di Final Piala Dunia 2022 terus jadi fenomena. Bahkan ada yang rela membelinya Rp 15,5 miliar! #juaraboladunia    https://t.co/I3zWZitcOM</t>
  </si>
  <si>
    <t>@idextratime Timnas Wanita Jepang emang pernah juara Piala Dunia 2011 di Jerman. Waktu itu ngalahin USA lewat adu penalti.   Eh pas Piala Dunia 2015 di Kanada, Jepang ketemu USA lagi di final malah dibantai 5-2</t>
  </si>
  <si>
    <t>timnas wanita jepang emang pernah juara piala dunia jerman waktu itu ngalahin usa lewat adu penalti pas piala dunia kanada jepang ketemu usa lagi final malah dibantai</t>
  </si>
  <si>
    <t>['timnas', 'wanita', 'jepang', 'emang', 'pernah', 'juara', 'piala', 'dunia', 'jerman', 'waktu', 'ngalahin', 'usa', 'lewat', 'adu', 'penalti', 'pas', 'piala', 'dunia', 'kanada', 'jepang', 'ketemu', 'usa', 'final', 'malah', 'dibantai']</t>
  </si>
  <si>
    <t>Laga final Piala Dunia 2022. Argentina kontra Prancis. Terlalu manis untuk dilupakan.  Kengototan Messi, kegemilangan Mbappe, keberuntungan Dybala, kesialan Coman.  Dan, ketengilan Emiliano Martinez.   https://t.co/2mALvJ8u0P</t>
  </si>
  <si>
    <t>laga final piala dunia argentina kontra prancis terlalu manis untuk dilupakan kengototan messi kegemilangan mbappe keberuntungan dybala kesialan coman dan ketengilan emiliano martinez</t>
  </si>
  <si>
    <t>['laga', 'final', 'piala', 'dunia', 'argentina', 'kontra', 'prancis', 'terlalu', 'manis', 'dilupakan', 'kengototan', 'messi', 'kegemilangan', 'mbappe', 'keberuntungan', 'dybala', 'kesialan', 'coman', 'ketengilan', 'emiliano', 'martinez']</t>
  </si>
  <si>
    <t>Saat Jeda Babak Pertama Final Piala Dunia, Ruang Ganti Timnas Prancis Mencekam,  Deschamps dan Mbappe Murka  https://t.co/yPkKZQ8Yq7 #Argentina #Deschampsm #FinalPialaDunia2022 #KylianMbappe</t>
  </si>
  <si>
    <t>saat jeda babak pertama final piala dunia ruang ganti timnas prancis mencekam deschamps dan mbappe murka</t>
  </si>
  <si>
    <t>['jeda', 'babak', 'pertama', 'final', 'piala', 'dunia', 'ruang', 'ganti', 'timnas', 'prancis', 'mencekam', 'deschamps', 'mbappe', 'murka']</t>
  </si>
  <si>
    <t>Dua fans Argentina di NTT ditemukan tewas pada Senin (19/12) din hari. Keduanya diduga tewas saat merayakan kemenangan Argentina di final Piala Dunia 2022.  https://t.co/yhcxmsk075</t>
  </si>
  <si>
    <t>dua fans argentina ntt ditemukan tewas pada senin din hari keduanya diduga tewas saat merayakan kemenangan argentina final piala dunia</t>
  </si>
  <si>
    <t>['fans', 'argentina', 'ntt', 'ditemukan', 'tewas', 'senin', 'din', 'hari', 'keduanya', 'diduga', 'tewas', 'merayakan', 'kemenangan', 'argentina', 'final', 'piala', 'dunia']</t>
  </si>
  <si>
    <t>Dua fans Argentina di NTT ditemukan tewas pada Senin (19/12) din hari. Keduanya diduga tewas saat merayakan kemenangan Argentina di final Piala Dunia 2022.  https://t.co/cVLeovMh3t</t>
  </si>
  <si>
    <t>Jam tayang final Piala Dunia 2022 Argentina vs Prancis berdasarkan Zona Waktu 18 Desember 2022 UTC-11 04.00 UTC-10 05.00 UTC-9.30 05.30 UTC-9 06.00 UTC-8 07.00 UTC-7 08.00 UTC-6 09.00 UTC-5 10.00 UTC-4 11.00 UTC-3.30 11.30 UTC-3 12.00 UTC-2 13.00 UTC-1 14.00 UTC 15.00 UTC+1 16.00</t>
  </si>
  <si>
    <t>jam tayang final piala dunia argentina prancis berdasarkan zona waktu desember utc utc utc utc utc utc utc utc utc utc utc utc utc utc utc</t>
  </si>
  <si>
    <t>['jam', 'tayang', 'final', 'piala', 'dunia', 'argentina', 'prancis', 'berdasarkan', 'zona', 'waktu', 'desember', 'utc', 'utc', 'utc', 'utc', 'utc', 'utc', 'utc', 'utc', 'utc', 'utc', 'utc', 'utc', 'utc', 'utc', 'utc']</t>
  </si>
  <si>
    <t>&lt;FreqDist with 12 samples and 26 outcomes&gt;</t>
  </si>
  <si>
    <t>@SiaranBolaLive Eropa dengan 12 piala dan Amerika Selatan dengan 10 piala, kapan Asia atau Afrika bisa setidaknya masuk final piala dunia ya? masih ketinggalan banget kayanya sama 2 benua sepakbola itu..</t>
  </si>
  <si>
    <t>eropa dengan piala dan amerika selatan dengan piala kapan asia atau afrika bisa setidaknya masuk final piala dunia masih ketinggalan banget kayanya sama benua sepakbola itu</t>
  </si>
  <si>
    <t>['eropa', 'piala', 'amerika', 'selatan', 'piala', 'kapan', 'asia', 'afrika', 'masuk', 'final', 'piala', 'dunia', 'ketinggalan', 'banget', 'kayanya', 'sama', 'benua', 'sepakbola']</t>
  </si>
  <si>
    <t>Jam tayang final Piala Dunia 2018 Prancis vs Kroasia berdasarkan Zona Waktu 15 Juli 2018 UTC-11 04.00 UTC-10 05.00 UTC-9.30 05.30 UTC-9 06.00 UTC-8 07.00 UTC-7 08.00 UTC-6 09.00 UTC-5 10.00 UTC-4 11.00 UTC-3 12.00 UTC-2.30 12.30 UTC-2 13.00 UTC-1 14.00 UTC 15.00 UTC+1 16.00</t>
  </si>
  <si>
    <t>jam tayang final piala dunia prancis kroasia berdasarkan zona waktu juli utc utc utc utc utc utc utc utc utc utc utc utc utc utc utc</t>
  </si>
  <si>
    <t>['jam', 'tayang', 'final', 'piala', 'dunia', 'prancis', 'kroasia', 'berdasarkan', 'zona', 'waktu', 'juli', 'utc', 'utc', 'utc', 'utc', 'utc', 'utc', 'utc', 'utc', 'utc', 'utc', 'utc', 'utc', 'utc', 'utc', 'utc']</t>
  </si>
  <si>
    <t>Jam tayang final Piala Dunia 2014 Jerman vs Argentina berdasarkan Zona Waktu 13 Juli 2014 UTC-11 08.00 UTC-10 09.00 UTC-9.30 09.30 UTC-9 10.00 UTC-8 11.00 UTC-7 12.00 UTC-6 13.00 UTC-5 14.00 UTC-4.30 14.30 UTC-4 15.00 UTC-3 16.00 UTC-2.30 16.30 UTC-2 17.00 UTC-1 18.00 UTC 19.00</t>
  </si>
  <si>
    <t>jam tayang final piala dunia jerman argentina berdasarkan zona waktu juli utc utc utc utc utc utc utc utc utc utc utc utc utc utc utc</t>
  </si>
  <si>
    <t>['jam', 'tayang', 'final', 'piala', 'dunia', 'jerman', 'argentina', 'berdasarkan', 'zona', 'waktu', 'juli', 'utc', 'utc', 'utc', 'utc', 'utc', 'utc', 'utc', 'utc', 'utc', 'utc', 'utc', 'utc', 'utc', 'utc', 'utc']</t>
  </si>
  <si>
    <t>@fachrianantyo @Info_Ronaldo7 @Cristiano_time7 @idextratime Boro2 nyium piala dunia.. pernah ke final aja kaga pernah mentok2 semifinal ü§£ü§£ü§£</t>
  </si>
  <si>
    <t>ronaldo time boro nyium piala dunia pernah final aja kaga pernah mentok semifinal</t>
  </si>
  <si>
    <t>['ronaldo', 'time', 'boro', 'nyium', 'piala', 'dunia', 'pernah', 'final', 'kaga', 'pernah', 'mentok', 'semifinal']</t>
  </si>
  <si>
    <t>@Info_Ronaldo7 @rahpequeno @Cristiano_time7 @idextratime piala haram bantuan fifa? coba kasih bukti dimana Argentina dibantu fifa? menang final aja dgn susah payah, bahkan hampir di comeback, lu blh dibantu fifa? "euro lebih gede hypenya daripada piala du</t>
  </si>
  <si>
    <t>ronaldo time piala haram bantuan fifa coba kasih bukti dimana argentina dibantu fifa menang final aja dgn susah payah bahkan hampir comeback blh dibantu fifa euro lebih gede hypenya daripada piala</t>
  </si>
  <si>
    <t>['ronaldo', 'time', 'piala', 'haram', 'bantuan', 'fifa', 'coba', 'kasih', 'bukti', 'argentina', 'dibantu', 'fifa', 'menang', 'final', 'susah', 'payah', 'bahkan', 'hampir', 'comeback', 'blh', 'dibantu', 'fifa', 'euro', 'lebih', 'gede', 'hypenya', 'piala']</t>
  </si>
  <si>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</si>
  <si>
    <t>konate dan lovren adalah dua pemain terakhir yang kalah final liga champions dan piala dunia tahun yang sama dan mereka adalah pemain liverpool lovren ucl lovren ucl konate ucl konate ucl</t>
  </si>
  <si>
    <t>['konate', 'lovren', 'pemain', 'terakhir', 'kalah', 'final', 'liga', 'champions', 'piala', 'dunia', 'tahun', 'sama', 'pemain', 'liverpool', 'lovren', 'ucl', 'lovren', 'ucl', 'konate', 'ucl', 'konate', 'ucl']</t>
  </si>
  <si>
    <t>@CHAENGouts Ngalahin final piala dunia serunya</t>
  </si>
  <si>
    <t>ngalahin final piala dunia serunya</t>
  </si>
  <si>
    <t>['ngalahin', 'final', 'piala', 'dunia', 'serunya']</t>
  </si>
  <si>
    <t>Selepas final piala dunia berat 82 kg‚Ä¶naik dah karena gak olahraga ama makan terus‚Ä¶karbo over‚Ä¶mulai selasa kemarin jalani lari, gowes, futsal, badminton, renang plus kurangi makan malam‚Ä¶udah 79‚Ä¶ Makan siang tetap nasi padang koq‚Ä¶ Metode defisit karbo aja‚Ä¶</t>
  </si>
  <si>
    <t>selepas final piala dunia berat naik dah karena gak olahraga ama makan terus karbo over mulai selasa kemarin jalani lari gowes futsal badminton renang plus kurangi makan malam udah makan siang tetap nasi padang koq metode defisit karbo aja</t>
  </si>
  <si>
    <t>['selepas', 'final', 'piala', 'dunia', 'berat', 'naik', 'dah', 'olahraga', 'ama', 'makan', 'terus', 'karbo', 'over', 'mulai', 'selasa', 'kemarin', 'jalani', 'lari', 'gowes', 'futsal', 'badminton', 'renang', 'plus', 'kurangi', 'makan', 'malam', 'udah', 'makan', 'siang', 'tetap', 'nasi', 'padang', 'koq', 'metode', 'defisit', 'karbo']</t>
  </si>
  <si>
    <t>&lt;FreqDist with 33 samples and 36 outcomes&gt;</t>
  </si>
  <si>
    <t>@idextratime Kenapa kaya banyak yg g terima Messi itu dapat piala dunia.....jd inget waktu Diego Maradona dapat piala dunia tahun 1986 menang vs Inggris lewat gol "tangan tuhan" ( itu partai final/bukan lupa ) memang begitu kl argentina juara selalu kontr</t>
  </si>
  <si>
    <t>kenapa kaya banyak terima messi itu dapat piala dunia inget waktu diego maradona dapat piala dunia tahun menang inggris lewat gol tangan tuhan itu partai final bukan lupa memang begitu argentina juara selalu kontr</t>
  </si>
  <si>
    <t>['kaya', 'banyak', 'terima', 'messi', 'piala', 'dunia', 'inget', 'waktu', 'diego', 'maradona', 'piala', 'dunia', 'tahun', 'menang', 'inggris', 'lewat', 'gol', 'tangan', 'tuhan', 'partai', 'final', 'bukan', 'lupa', 'memang', 'argentina', 'juara', 'selalu', 'kontr']</t>
  </si>
  <si>
    <t>Di Maria Bisa 'Baca Takdir', Tahu Bakal Cetak Gol di Final Piala Dunia  https://t.co/lIZ401Q8Qp</t>
  </si>
  <si>
    <t>maria bisa baca takdir tahu bakal cetak gol final piala dunia</t>
  </si>
  <si>
    <t>['maria', 'baca', 'takdir', 'tahu', 'bakal', 'cetak', 'gol', 'final', 'piala', 'dunia']</t>
  </si>
  <si>
    <t>Bisht atau jubah khas orang Arab yang dikenakan Lionel Messi di Final Piala Dunia 2022 mencuri perhatian. Bahkan ada yang rela membelinya belasan miliar rupiah.  https://t.co/WwGX0DmRUE</t>
  </si>
  <si>
    <t>bisht atau jubah khas orang arab yang dikenakan lionel messi final piala dunia mencuri perhatian bahkan ada yang rela membelinya belasan miliar rupiah</t>
  </si>
  <si>
    <t>['bisht', 'jubah', 'khas', 'orang', 'arab', 'dikenakan', 'lionel', 'messi', 'final', 'piala', 'dunia', 'mencuri', 'perhatian', 'bahkan', 'rela', 'membelinya', 'belasan', 'miliar', 'rupiah']</t>
  </si>
  <si>
    <t>Aksi Mbappe Bakar Semangat Prancis di Final Piala Dunia 2022  https://t.co/m1dcfTwocA</t>
  </si>
  <si>
    <t>aksi mbappe bakar semangat prancis final piala dunia</t>
  </si>
  <si>
    <t>['aksi', 'mbappe', 'bakar', 'semangat', 'prancis', 'final', 'piala', 'dunia']</t>
  </si>
  <si>
    <t>@raracabanode Perasaan baru kmrn nonton final piala dunia</t>
  </si>
  <si>
    <t>perasaan baru kmrn nonton final piala dunia</t>
  </si>
  <si>
    <t>['perasaan', 'baru', 'kmrn', 'nonton', 'final', 'piala', 'dunia']</t>
  </si>
  <si>
    <t>Paulo Dybala Beberkan Rahasia Sukses Eksekusi Penalti di Final Piala Dunia 2022   https://t.co/YvdS8oUBoz</t>
  </si>
  <si>
    <t>paulo dybala beberkan rahasia sukses eksekusi penalti final piala dunia</t>
  </si>
  <si>
    <t>['paulo', 'dybala', 'beberkan', 'rahasia', 'sukses', 'eksekusi', 'penalti', 'final', 'piala', 'dunia']</t>
  </si>
  <si>
    <t>4 Orang dijajaran pelatih dan staf pelatih yang membuat Argentina ke final dan juara piala dunia qatar 2022   1. Lionel Scaloni.  Kepala Pelatih üî• 2. Pablo Aimar.     Asisten üî• 3. Roberto Ayala.  Asisten üî• 4. Walter Samuel. Asisten üî•  @afa @lioscaloni  https://t.co/B6x079erYU</t>
  </si>
  <si>
    <t>orang dijajaran pelatih dan staf pelatih yang membuat argentina final dan juara piala dunia qatar lionel scaloni kepala pelatih pablo aimar asisten roberto ayala asisten walter samuel asisten</t>
  </si>
  <si>
    <t>['orang', 'dijajaran', 'pelatih', 'staf', 'pelatih', 'membuat', 'argentina', 'final', 'juara', 'piala', 'dunia', 'qatar', 'lionel', 'scaloni', 'kepala', 'pelatih', 'pablo', 'aimar', 'asisten', 'roberto', 'ayala', 'asisten', 'walter', 'samuel', 'asisten']</t>
  </si>
  <si>
    <t>Bisht yang dikenakan Lionel Messi di Final Piala Dunia 2022 terus jadi fenomena. Bahkan ada yang rela membelinya Rp 15,5 miliar!  https://t.co/goHijvosxz</t>
  </si>
  <si>
    <t>Bisht yang dikenakan Lionel Messi di Final Piala Dunia 2022 terus jadi fenomena. Bahkan ada yang rela membelinya Rp 15,5 miliar!  https://t.co/KEz2LLWlgl</t>
  </si>
  <si>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</si>
  <si>
    <t>romeo dodo lovers ketika final setingan final ini setingan mbappe bos mampus siap pensiun lagi makin jelas ini setingan ayo mbappe buat messi menangis lagi final sudah jelas piala dunia ini setingan</t>
  </si>
  <si>
    <t>['romeo', 'dodo', 'lovers', 'final', 'settingan', 'final', 'settingan', 'mbappe', 'bos', 'mampus', 'siap', 'pensiun', 'makin', 'jelas', 'settingan', 'ayo', 'mbappe', 'buat', 'messi', 'menangis', 'final', 'jelas', 'piala', 'dunia', 'settingan']</t>
  </si>
  <si>
    <t xml:space="preserve"> https://t.co/TJ8Dwe1rW5  Aksi Dari Martinez Sunggu Kelewatan Dalam Aksi Di final Piala Dunia  #bandarbolaterbesar #bandarbolaterpecaya #bandarbolasbobet #bandarbolanews #infobandarbola #seputarbandarbola #bandarbolaibcbet #bandarbolamedan  https://t.co/H4RFoSjpaI</t>
  </si>
  <si>
    <t>aksi dari martinez sunggu kelewatan dalam aksi final piala dunia</t>
  </si>
  <si>
    <t>['aksi', 'martinez', 'sunggu', 'kelewatan', 'aksi', 'final', 'piala', 'dunia']</t>
  </si>
  <si>
    <t>Prancis dan Argentina salah satu keknya bakal ada yg nembus final lagi di Piala Dunia 2026 ü§î</t>
  </si>
  <si>
    <t>prancis dan argentina salah satu keknya bakal ada nembus final lagi piala dunia</t>
  </si>
  <si>
    <t>['prancis', 'argentina', 'salah', 'satu', 'sepertinya', 'bakal', 'nembus', 'final', 'piala', 'dunia']</t>
  </si>
  <si>
    <t>@GOAL_ID 2022 sih final paling seru selama gelaran piala dunia 2000an</t>
  </si>
  <si>
    <t>sih final paling seru selama gelaran piala dunia</t>
  </si>
  <si>
    <t>['final', 'paling', 'seru', 'selama', 'gelaran', 'piala', 'dunia']</t>
  </si>
  <si>
    <t>Paulo Dybala Beberkan Rahasia Sukses Eksekusi Penalti di Final Piala Dunia 2022  https://t.co/gwAVXl3Mxh</t>
  </si>
  <si>
    <t>Paulo Dybala Beberkan Rahasia Sukses Eksekusi Penalti di Final Piala Dunia 2022  üëáüèªüëáüèªüëáüèª   https://t.co/MTUTFNg6Z6  Whatsapp : +855 96 399 1241  #Ligabintang #Beritabolanews #beritaviral #salamhokiligabintang  https://t.co/k40GpixHe9</t>
  </si>
  <si>
    <t>paulo dybala beberkan rahasia sukses eksekusi penalti final piala dunia whatsapp</t>
  </si>
  <si>
    <t>['paulo', 'dybala', 'beberkan', 'rahasia', 'sukses', 'eksekusi', 'penalti', 'final', 'piala', 'dunia', 'whatsapp']</t>
  </si>
  <si>
    <t>@jogjamnfs Nonton final piala dunia</t>
  </si>
  <si>
    <t>Curi Perhatian di Final Piala Dunia 2022, Ini 5 Fakta Istri Lionel¬†Messi  https://t.co/w7nuREyv1B</t>
  </si>
  <si>
    <t>curi perhatian final piala dunia ini fakta istri lionel messi</t>
  </si>
  <si>
    <t>['curi', 'perhatian', 'final', 'piala', 'dunia', 'fakta', 'istri', 'lionel', 'messi']</t>
  </si>
  <si>
    <t>üó£ Erik ten Hag tentang memiliki satu bek tengah senior yang bugar: ‚ÄúIni masalah, eh! Rapha [Varane] dan Licha [Martinez] berada di final Piala Dunia. Kami memilih Casemiro, dia lebih sering bermain di sana." (MUTV) #newsutd</t>
  </si>
  <si>
    <t>erik ten hag tentang memiliki satu bek tengah senior yang bugar ini masalah rapha varane dan licha martinez berada final piala dunia kami memilih casemiro dia lebih sering bermain sana mutv</t>
  </si>
  <si>
    <t>['erik', 'ten', 'hag', 'memiliki', 'satu', 'bek', 'tengah', 'senior', 'bugar', 'masalah', 'rapha', 'varane', 'licha', 'martinez', 'berada', 'final', 'piala', 'dunia', 'memilih', 'casemiro', 'lebih', 'sering', 'bermain', 'sana', 'mutv']</t>
  </si>
  <si>
    <t>Bintang Prancis Kylian Mbappe kembali berlatih bersama Paris Saint-Germain (PSG) pada Rabu, hanya tiga hari setelah timnya kalah di final Piala Dunia 2022 meski ia mencetak hat-trick. Pemain berusia 24 tahun itu tampak tertekan setelah Prancis kalah‚Ä¶  https://t.co/JyREAn85D2</t>
  </si>
  <si>
    <t>bintang prancis kylian mbappe kembali berlatih bersama paris saint germain psg pada rabu hanya tiga hari setelah timnya kalah final piala dunia meski mencetak hat trick pemain berusia tahun itu tampak tertekan setelah prancis kalah</t>
  </si>
  <si>
    <t>['bintang', 'prancis', 'kylian', 'mbappe', 'berlatih', 'bersama', 'paris', 'saint', 'germain', 'psg', 'rabu', 'tiga', 'hari', 'timnya', 'kalah', 'final', 'piala', 'dunia', 'meski', 'mencetak', 'hat', 'trick', 'pemain', 'berusia', 'tahun', 'tampak', 'tertekan', 'prancis', 'kalah']</t>
  </si>
  <si>
    <t>@ZiiX469 @meddyDLuffy @idextratime Sampai kapanpun, sedisiplin dan secanggih apapun aturan dan alat bantunya akan selalu ada dua kutub opini dan reaksi yang berbeda pada setiap pertandingan, apalagi sekelas final piala dunia. Itulah sebabnya sepakbola "di</t>
  </si>
  <si>
    <t>sampai kapanpun sedisiplin dan secanggih apapun aturan dan alat bantunya akan selalu ada dua kutub opini dan reaksi yang berbeda pada setiap pertandingan apalagi sekelas final piala dunia itulah sebabnya sepakbola</t>
  </si>
  <si>
    <t>['kapanpun', 'sedisiplin', 'secanggih', 'apapun', 'aturan', 'alat', 'bantunya', 'selalu', 'kutub', 'opini', 'reaksi', 'berbeda', 'pertandingan', 'sekelas', 'final', 'piala', 'dunia', 'sebabnya', 'sepakbola']</t>
  </si>
  <si>
    <t>Legenda Arsenal Ian Wright mengagumi mind games yang dilakukan Emiliano Martinez saat penalti. Namun, menurutnya aksi Martinez di final Piala Dunia berlebihan  https://t.co/pqWjJkvNhn</t>
  </si>
  <si>
    <t>Final Piala Dunia mencetak rekor google search  https://t.co/XzBjiDfaan #pialadunia #Google #rekor</t>
  </si>
  <si>
    <t>final piala dunia mencetak rekor google search</t>
  </si>
  <si>
    <t>['final', 'piala', 'dunia', 'mencetak', 'rekor', 'google', 'search']</t>
  </si>
  <si>
    <t>Kylian Mbappe benar-benar menginspirasi perjalanan Prancis ke final Piala Dunia 2022, bukan cuma melalui performa di lapangan tapi juga sikapnya üî•  #FIFAWorldCup¬† #FRA</t>
  </si>
  <si>
    <t>kylian mbappe benar benar menginspirasi perjalanan prancis final piala dunia bukan cuma melalui performa lapangan tapi juga sikapnya</t>
  </si>
  <si>
    <t>['kylian', 'mbappe', 'benar', 'benar', 'menginspirasi', 'perjalanan', 'prancis', 'final', 'piala', 'dunia', 'bukan', 'cuma', 'melalui', 'performa', 'lapangan', 'sikapnya']</t>
  </si>
  <si>
    <t>Federasi Sepakbola Prancis (FFF) mengejar pelaku yang menjadikan beberapa pemain tim nasional #Prancis sebagai sasaran rasisme setelah kalah dari Argentina di final Piala Dunia #2022 üò§</t>
  </si>
  <si>
    <t>federasi sepakbola prancis fff mengejar pelaku yang menjadikan beberapa pemain tim nasional sebagai sasaran rasisme setelah kalah dari argentina final piala dunia</t>
  </si>
  <si>
    <t>['federasi', 'sepakbola', 'prancis', 'fff', 'mengejar', 'pelaku', 'menjadikan', 'beberapa', 'pemain', 'tim', 'nasional', 'sasaran', 'rasisme', 'kalah', 'argentina', 'final', 'piala', 'dunia']</t>
  </si>
  <si>
    <t>Federasi Sepakbola Prancis (FFF) mengejar pelaku yang menjadikan beberapa pemain tim nasional #Prancis sebagai sasaran rasisme setelah kalah dari Argentina di final Piala Dunia #2022 üò§   https://t.co/ZaU3sNdYLP</t>
  </si>
  <si>
    <t>@GOAL_ID Belanda vs Spanyol 2010, final ideal yg dmna kedua tim belum pernah juara piala dunia sebelumnya, dan akhirnya jatuh di tangan Spanyol.</t>
  </si>
  <si>
    <t>belanda spanyol final ideal dmna kedua tim belum pernah juara piala dunia sebelumnya dan akhirnya jatuh tangan spanyol</t>
  </si>
  <si>
    <t>['belanda', 'spanyol', 'final', 'ideal', 'dmna', 'kedua', 'tim', 'pernah', 'juara', 'piala', 'dunia', 'sebelumnya', 'akhirnya', 'jatuh', 'tangan', 'spanyol']</t>
  </si>
  <si>
    <t>Kylian Mbappe benar-benar menginspirasi perjalanan Prancis ke final Piala Dunia 2022, bukan cuma melalui performa di lapangan tapi juga sikapnya üî•  #FIFAWorldCup #FRA   https://t.co/c0RC80G4ou</t>
  </si>
  <si>
    <t>Pencetak gol Prancis di final Piala Dunia tahun 1998 adalah  1. Zinedine Zidane 2. Emmanuel Petit  @indosat  @idextratime  #PilDunBarengIOH  @justnvmd @jajsjsjsjso  @jesolll</t>
  </si>
  <si>
    <t>pencetak gol prancis final piala dunia tahun adalah zinedine zidane emmanuel petit</t>
  </si>
  <si>
    <t>['pencetak', 'gol', 'prancis', 'final', 'piala', 'dunia', 'tahun', 'zinedine', 'zidane', 'emmanuel', 'petit']</t>
  </si>
  <si>
    <t>Legenda Arsenal Ian Wright mengagumi mind games yang dilakukan Emiliano Martinez saat penalti. Namun, menurutnya aksi Martinez di final Piala Dunia berlebihan  https://t.co/QkuYBHhVXO</t>
  </si>
  <si>
    <t>Legenda Arsenal Ian Wright mengagumi mind games yang dilakukan Emiliano Martinez saat penalti. Namun, menurutnya aksi Martinez di final Piala Dunia berlebihan  https://t.co/wZQNhigzFa</t>
  </si>
  <si>
    <t>@GOAL_ID Kalau berdasarkan gambar diatas (dimulai dari pildun 2010-2022) ya final piala dunia 2022 yang terbaik, soalnya masing2 pendukung dibuat kayak naik rollercoaster. ü§£</t>
  </si>
  <si>
    <t>kalau berdasarkan gambar diatas dimulai dari pildun final piala dunia yang terbaik soalnya masing pendukung dibuat kayak naik rollercoaster</t>
  </si>
  <si>
    <t>['kalau', 'berdasarkan', 'gambar', 'diatas', 'dimulai', 'piala dunia', 'final', 'piala', 'dunia', 'terbaik', 'soalnya', 'masing', 'pendukung', 'dibuat', 'seperti', 'naik', 'rollercoaster']</t>
  </si>
  <si>
    <t>Jelang Final Piala Dunia Zainudin dan Erick Temui Presiden¬†FIFA  https://t.co/hdYwpF2Pxw</t>
  </si>
  <si>
    <t>jelang final piala dunia zainudin dan erick temui presiden fifa</t>
  </si>
  <si>
    <t>['jelang', 'final', 'piala', 'dunia', 'zainudin', 'erick', 'temui', 'presiden', 'fifa']</t>
  </si>
  <si>
    <t>@labiebsadat Tapi penyelamatannya saat lawan Australia, dan terutama saat lawan Perancis di final, senilai trophy Piala Dunia..</t>
  </si>
  <si>
    <t>tapi penyelamatannya saat lawan australia dan terutama saat lawan perancis final senilai trophy piala dunia</t>
  </si>
  <si>
    <t>['penyelamatannya', 'lawan', 'australia', 'terutama', 'lawan', 'perancis', 'final', 'senilai', 'trophy', 'piala', 'dunia']</t>
  </si>
  <si>
    <t xml:space="preserve">@badguyy_chunli @Kasepakuda4 @idextratime Meragukan hahaha , yg membuat Messi memenangkan segalanya itu karena team barmain dengan iklas bermain untuk Messi apalagi di final barusan , semua bersemangat untuk memberi hadiah piala Dunia untuk Messi di masa </t>
  </si>
  <si>
    <t>chunli meragukan hahaha membuat messi memenangkan segalanya itu karena team barmain dengan iklas bermain untuk messi apalagi final barusan semua bersemangat untuk memberi hadiah piala dunia untuk messi masa</t>
  </si>
  <si>
    <t>['chunli', 'meragukan', 'hahaha', 'membuat', 'messi', 'memenangkan', 'segalanya', 'team', 'barmain', 'iklas', 'bermain', 'messi', 'final', 'barusan', 'semua', 'bersemangat', 'memberi', 'hadiah', 'piala', 'dunia', 'messi', 'masa']</t>
  </si>
  <si>
    <t>@GOAL_ID 1. 2010 karena pertama kali nonton piala dunia jadi sangat berkesan.  2. 2022 argentina juara seneng banget pastinya. 3. 2014 dua tim jagoanku masuk final Jerman juara  4. 2018 biasa aja karena Jerman ngga lolos babak grup Argentina tersingkir di</t>
  </si>
  <si>
    <t>karena pertama kali nonton piala dunia jadi sangat berkesan argentina juara seneng banget pastinya dua tim jagoanku masuk final jerman juara biasa aja karena jerman ngga lolos babak grup argentina tersingkir</t>
  </si>
  <si>
    <t>['pertama', 'kali', 'nonton', 'piala', 'dunia', 'jadi', 'sangat', 'berkesan', 'argentina', 'juara', 'seneng', 'banget', 'pastinya', 'tim', 'jagoanku', 'masuk', 'final', 'jerman', 'juara', 'biasa', 'jerman', 'ngga', 'lolos', 'babak', 'grup', 'argentina', 'tersingkir']</t>
  </si>
  <si>
    <t>Viral Video Pidato Kylian Mbappe di Ruang Ganti saat Jeda Babak Pertama Laga Argentina vs Prancis di Final Piala Dunia 2022 #LengkapCepatBeritanya #Bola #SepakBola #SepakbolaDunia #BolaDunia .  https://t.co/xIsADnBgmU</t>
  </si>
  <si>
    <t>viral video pidato kylian mbappe ruang ganti saat jeda babak pertama laga argentina prancis final piala dunia</t>
  </si>
  <si>
    <t>['viral', 'video', 'pidato', 'kylian', 'mbappe', 'ruang', 'ganti', 'jeda', 'babak', 'pertama', 'laga', 'argentina', 'prancis', 'final', 'piala', 'dunia']</t>
  </si>
  <si>
    <t>@emerson_yuntho Pertandingan ulang Final Piala Dunia 1998</t>
  </si>
  <si>
    <t>yuntho pertandingan ulang final piala dunia</t>
  </si>
  <si>
    <t>['yuntho', 'pertandingan', 'ulang', 'final', 'piala', 'dunia']</t>
  </si>
  <si>
    <t>bersejarah yang membawa Si Singa Atlas selangkah lagi ke final Piala Dunia. Mereka menjadi tim Afrika dan Arab pertama yang mencapai titik sejauh ini di pentas dunia.  üé• @abderrazak_hamdallah  Simak info update lainnya klik link di bio atau di website kami</t>
  </si>
  <si>
    <t>bersejarah yang membawa singa atlas selangkah lagi final piala dunia mereka menjadi tim afrika dan arab pertama yang mencapai titik sejauh ini pentas dunia hamdallah simak info update lainnya klik link bio atau website kami</t>
  </si>
  <si>
    <t>['bersejarah', 'membawa', 'singa', 'atlas', 'selangkah', 'final', 'piala', 'dunia', 'menjadi', 'tim', 'afrika', 'arab', 'pertama', 'mencapai', 'titik', 'sejauh', 'pentas', 'dunia', 'hamdallah', 'simak', 'info', 'update', 'lainnya', 'klik', 'link', 'bio', 'website']</t>
  </si>
  <si>
    <t>@timmyT___T @saturnerdf @vigilmaker @Marvfess Kita jadi saksi salah satu final terbaik dalam sejarah Piala Dunia.. üá¶üá∑üá´üá∑‚òùÔ∏èüò≠üò≠üò≠</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</si>
  <si>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</si>
  <si>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</si>
  <si>
    <t>Kalo dipikir2 Ok juga ya caranya matiin tv analog setelah final piala dunia ü§î biar ga rugi kayanya</t>
  </si>
  <si>
    <t>kalo dipikir juga caranya matiin analog setelah final piala dunia biar rugi kayanya</t>
  </si>
  <si>
    <t>['dipikir', 'caranya', 'matiin', 'analog', 'final', 'piala', 'dunia', 'rugi', 'kayanya']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</si>
  <si>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</si>
  <si>
    <t>Ini Video Kemarahan Deschamps dan Mbappe Saat Jeda Final Piala Dunia  https://t.co/MfrP2k5R6V</t>
  </si>
  <si>
    <t>ini video kemarahan deschamps dan mbappe saat jeda final piala dunia</t>
  </si>
  <si>
    <t>['video', 'kemarahan', 'deschamps', 'mbappe', 'jeda', 'final', 'piala', 'dunia']</t>
  </si>
  <si>
    <t>semenjak nonton final piala dunia jd suka liat postingan tentang mbappe, fix ak dah mabok mbappeüñêÔ∏èüò≠</t>
  </si>
  <si>
    <t>semenjak nonton final piala dunia suka liat postingan tentang mbappe fix dah mabok mbappe</t>
  </si>
  <si>
    <t>['semenjak', 'nonton', 'final', 'piala', 'dunia', 'suka', 'lihat', 'postingan', 'mbappe', 'fix', 'dah', 'mabok', 'mbappe']</t>
  </si>
  <si>
    <t>@GOAL_ID Final Piala Dunia terbaik jatuh kepada Argentina  vs PrancisüèÜ</t>
  </si>
  <si>
    <t>final piala dunia terbaik jatuh kepada argentina prancis</t>
  </si>
  <si>
    <t>['final', 'piala', 'dunia', 'terbaik', 'jatuh', 'argentina', 'prancis']</t>
  </si>
  <si>
    <t>Gak Libur, Mbappe Langsung Latihan Bareng PSG Usai Final Piala Dunia  https://t.co/0Y7AEclQyN</t>
  </si>
  <si>
    <t>gak libur mbappe langsung latihan bareng psg usai final piala dunia</t>
  </si>
  <si>
    <t>['libur', 'mbappe', 'langsung', 'latihan', 'bareng', 'psg', 'usai', 'final', 'piala', 'dunia']</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</si>
  <si>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</si>
  <si>
    <t>pencetak gol prancis final piala dunia adalah zinedine zidane goal emmanuel petit goal nonton bola paling mantap pake jaringan nya lancar membuat nonton jadi sangat seru</t>
  </si>
  <si>
    <t>['pencetak', 'gol', 'prancis', 'final', 'piala', 'dunia', 'zinedine', 'zidane', 'goal', 'emmanuel', 'petit', 'goal', 'nonton', 'bola', 'paling', 'mantap', 'pake', 'jaringan', 'lancar', 'membuat', 'nonton', 'jadi', 'sangat', 'seru']</t>
  </si>
  <si>
    <t>@GOAL_ID Piala Dunia 2022 awalnya ku kira kurang seru karena ga ada italy eh ternyata banyak kejutan dan seru sampai akhir, bisa lihat messi juara dunia bersama argentina padahal kalah di pertandingan awal. Final WC2022 paling seru</t>
  </si>
  <si>
    <t>piala dunia awalnya kira kurang seru karena ada italy ternyata banyak kejutan dan seru sampai akhir bisa lihat messi juara dunia bersama argentina padahal kalah pertandingan awal final paling seru</t>
  </si>
  <si>
    <t>['piala', 'dunia', 'awalnya', 'kira', 'kurang', 'seru', 'italy', 'ternyata', 'banyak', 'kejutan', 'seru', 'akhir', 'lihat', 'messi', 'juara', 'dunia', 'bersama', 'argentina', 'padahal', 'kalah', 'pertandingan', 'awal', 'final', 'paling', 'seru']</t>
  </si>
  <si>
    <t>Mbappe Kembali Gabung Latihan PSG Usai Keok di Final Piala Dunia 2022 ‚Äì CNN Indonesia ‚Äì Google Berita Olahraga ‚Äì  https://t.co/wJwcDrw0yH ‚Äì #Arenanews #Kamidi #Opsiminfo- https://t.co/fxir4GwSsS</t>
  </si>
  <si>
    <t>mbappe kembali gabung latihan psg usai keok final piala dunia cnn indonesia google berita olahraga</t>
  </si>
  <si>
    <t>['mbappe', 'gabung', 'latihan', 'psg', 'usai', 'keok', 'final', 'piala', 'dunia', 'cnn', 'indonesia', 'google', 'berita', 'olahraga']</t>
  </si>
  <si>
    <t>Final Piala Dunia terbaik jatuh kepada _____ vs _____üèÜ  #FIFAWorldCup  https://t.co/LHZqwGyb0x</t>
  </si>
  <si>
    <t>final piala dunia terbaik jatuh kepada</t>
  </si>
  <si>
    <t>['final', 'piala', 'dunia', 'terbaik', 'jatuh']</t>
  </si>
  <si>
    <t>Mbappe Kembali Gabung Latihan PSG Usai Keok di Final Piala Dunia 2022 ‚Äì CNN Indonesia ‚Äì Google Berita Olahraga ‚Äì  https://t.co/mWHGvPn8c2 ‚Äì #Arenanews #Kamidi¬†#Opsiminfo  https://t.co/Wtmujhj8eX</t>
  </si>
  <si>
    <t>3 Hari Usai Kalah di Final Piala Dunia 2022, Kylian Mbappe Sudah Berlatih Bersama PSG  https://t.co/OPXU5KrJx7 #TempoSport</t>
  </si>
  <si>
    <t>hari usai kalah final piala dunia kylian mbappe sudah berlatih bersama psg</t>
  </si>
  <si>
    <t>['hari', 'usai', 'kalah', 'final', 'piala', 'dunia', 'kylian', 'mbappe', 'berlatih', 'bersama', 'psg']</t>
  </si>
  <si>
    <t>Indihome ada apa denganmu???  Gangguan yg saya alami dirumah sejak pasca final piala dunia. Hari ini telpon Call Center, tapi "sibuk". Masa disuruh menunggu (tekan ...) atau bicara dengan mesin (tekan... ) pukar loh. Cekar sorang lai.</t>
  </si>
  <si>
    <t>indihome ada apa denganmu gangguan saya alami dirumah sejak pasca final piala dunia hari ini telpon call center tapi sibuk masa disuruh menunggu tekan atau bicara dengan mesin tekan pukar loh cekar sorang lai</t>
  </si>
  <si>
    <t>['indihome', 'apa', 'denganmu', 'gangguan', 'alami', 'dirumah', 'sejak', 'pasca', 'final', 'piala', 'dunia', 'hari', 'telpon', 'call', 'center', 'sibuk', 'masa', 'disuruh', 'menunggu', 'tekan', 'bicara', 'mesin', 'tekan', 'pukar', 'cekar', 'sorang', 'lai']</t>
  </si>
  <si>
    <t>Jersey PSG Lionel Messi dikabarkan viral di media sosial setelah kostum pemain terbaik dunia itu dijadikan keset di Paris. Hal itu buntut dari kekalahan Prancis di final Piala Dunia 2022 atas Argentina.   https://t.co/bDGSzgOS4i</t>
  </si>
  <si>
    <t>jersey psg lionel messi dikabarkan viral media sosial setelah kostum pemain terbaik dunia itu dijadikan keset paris hal itu buntut dari kekalahan prancis final piala dunia atas argentina</t>
  </si>
  <si>
    <t>['jersey', 'psg', 'lionel', 'messi', 'dikabarkan', 'viral', 'media', 'sosial', 'kostum', 'pemain', 'terbaik', 'dunia', 'dijadikan', 'keset', 'paris', 'buntut', 'kekalahan', 'prancis', 'final', 'piala', 'dunia', 'atas', 'argentina']</t>
  </si>
  <si>
    <t>Final Piala Dunia 2022 antara Argentina dan Prancis di Qatar benar-benar menyita perhatian khayalak di seluruh penjuru Bumi.  https://t.co/2C32YfSqLk</t>
  </si>
  <si>
    <t>Siapa yang nonton final #FIFAWorldCup? Energi dari kedua negara sangat luar biasa!  Selamat kepada Argentina telah memenangkan Piala Dunia FIFA 2022!   Berikut sekilas koleksi dengan nuansa biru di #JFW2023 seperti jersey Argentina üíô  https://t.co/hFjC9D2qLw</t>
  </si>
  <si>
    <t>siapa yang nonton final energi dari kedua negara sangat luar biasa selamat kepada argentina telah memenangkan piala dunia fifa berikut sekilas koleksi dengan nuansa biru seperti jersey argentina</t>
  </si>
  <si>
    <t>['siapa', 'nonton', 'final', 'energi', 'kedua', 'negara', 'sangat', 'luar', 'biasa', 'selamat', 'argentina', 'memenangkan', 'piala', 'dunia', 'fifa', 'berikut', 'sekilas', 'koleksi', 'nuansa', 'biru', 'jersey', 'argentina']</t>
  </si>
  <si>
    <t>Istri Lionel Messi, Antonela Roccuzzo, tak bisa menahan kegembiraannya setelah Argentina mengalahkan Prancis dalam final "Piala Dunia 2022" pada Minggu (18/12/2022).  https://t.co/B7GrMB4lLp</t>
  </si>
  <si>
    <t>istri lionel messi antonela roccuzzo tak bisa menahan kegembiraannya setelah argentina mengalahkan prancis dalam final piala dunia pada minggu</t>
  </si>
  <si>
    <t>['istri', 'lionel', 'messi', 'antonela', 'roccuzzo', 'tak', 'menahan', 'kegembiraannya', 'argentina', 'mengalahkan', 'prancis', 'final', 'piala', 'dunia', 'minggu']</t>
  </si>
  <si>
    <t>Dan Final ini mempertemukan dua bintang terbaik dari kedua negara yaitu Zinedine Zidane dari Prancis dan Ronaldo Nazario dari Brazil. Skor akhir 3-0 untuk Prancis sekaligus memastikan Trofi perdana piala dunia di negara sendiri @indosat @idextratime  https://t.co/X9EsP819iL</t>
  </si>
  <si>
    <t>dan final ini mempertemukan dua bintang terbaik dari kedua negara yaitu zinedine zidane dari prancis dan ronaldo nazario dari brazil skor akhir untuk prancis sekaligus memastikan trofi perdana piala dunia negara sendiri</t>
  </si>
  <si>
    <t>['final', 'mempertemukan', 'bintang', 'terbaik', 'kedua', 'negara', 'zinedine', 'zidane', 'prancis', 'ronaldo', 'nazario', 'brazil', 'skor', 'akhir', 'prancis', 'sekaligus', 'memastikan', 'trofi', 'perdana', 'piala', 'dunia', 'negara', 'sendiri']</t>
  </si>
  <si>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</si>
  <si>
    <t>final piala dunia stade france saint denis prancis juli skor akhir prancis brasil zinedine zidane emanuel emmanuel petit marcel desailly final piala dunia adalah final yang mempertemukan prancis dan brazil</t>
  </si>
  <si>
    <t>['final', 'piala', 'dunia', 'stade', 'france', 'saint', 'denis', 'prancis', 'juli', 'skor', 'akhir', 'prancis', 'brasil', 'zinedine', 'zidane', 'emanuel', 'emmanuel', 'petit', 'marcel', 'desailly', 'final', 'piala', 'dunia', 'final', 'mempertemukan', 'prancis', 'brazil']</t>
  </si>
  <si>
    <t>#OnThisDay - Liverpool menjadi juara Piala Dunia Antarklub tahun 2019 setelah mengalahkan Flamengo di Final lewat gol Roberto Firmino di menit 99.  Our club at their peak, hopefully we will comeback soon ‚ù§Ô∏è  https://t.co/DBgt2oWoDc</t>
  </si>
  <si>
    <t>liverpool menjadi juara piala dunia antarklub tahun setelah mengalahkan flamengo final lewat gol roberto firmino menit our club their peak hopefully will comeback soon</t>
  </si>
  <si>
    <t>['liverpool', 'menjadi', 'juara', 'piala', 'dunia', 'antarklub', 'tahun', 'mengalahkan', 'flamengo', 'final', 'lewat', 'gol', 'roberto', 'firmino', 'menit', 'our', 'club', 'their', 'peak', 'hopefully', 'will', 'comeback', 'soon']</t>
  </si>
  <si>
    <t>Final Piala Dunia Pecahkan Rekor Google Search  https://t.co/d35KxSwtMR</t>
  </si>
  <si>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</si>
  <si>
    <t>selain messi dan maradona mungkin sosok ini paling penting untuk argentina bikin gol final olimpiade beijing bikin gol final copa america bikin gol final piala dunia angel maria</t>
  </si>
  <si>
    <t>['messi', 'maradona', 'mungkin', 'sosok', 'paling', 'penting', 'argentina', 'gol', 'final', 'olimpiade', 'beijing', 'gol', 'final', 'copa', 'america', 'gol', 'final', 'piala', 'dunia', 'angel', 'maria']</t>
  </si>
  <si>
    <t>Kylian Mbappe¬†sudah kembali berlatih bersama Paris PSG, Rabu¬†atau hanya tiga hari setelah timnya kalah dalam final Piala Dunia 2022 sekalipun dia mencetak hattrick.   https://t.co/pH7zXaaRWA</t>
  </si>
  <si>
    <t>kylian mbappe sudah kembali berlatih bersama paris psg rabu atau hanya tiga hari setelah timnya kalah dalam final piala dunia sekalipun dia mencetak hattrick</t>
  </si>
  <si>
    <t>['kylian', 'mbappe', 'berlatih', 'bersama', 'paris', 'psg', 'rabu', 'tiga', 'hari', 'timnya', 'kalah', 'final', 'piala', 'dunia', 'sekalipun', 'mencetak', 'hattrick']</t>
  </si>
  <si>
    <t>Anggota Bawaslu Lolly Suhenty ‚ÄòNonton Bareng‚Äô Final Piala Dunia pada Senin (19/12/2022), Anggota Bawaslu Lolly mengajak warga untuk selalu menjunjung tinggi semangat sportivitas dalam tiap sendi kehidupan, termasuk dalam dunia kepemiluan.  https://t.co/8BnDjlZCoR</t>
  </si>
  <si>
    <t>anggota bawaslu lolly suhenty nonton bareng final piala dunia pada senin anggota bawaslu lolly mengajak warga untuk selalu menjunjung tinggi semangat sportivitas dalam tiap sendi kehidupan termasuk dalam dunia kepemiluan</t>
  </si>
  <si>
    <t>['anggota', 'bawaslu', 'lolly', 'suhenty', 'nonton', 'bareng', 'final', 'piala', 'dunia', 'senin', 'anggota', 'bawaslu', 'lolly', 'mengajak', 'warga', 'selalu', 'menjunjung', 'tinggi', 'semangat', 'sportivitas', 'tiap', 'sendi', 'kehidupan', 'termasuk', 'dunia', 'kepemiluan']</t>
  </si>
  <si>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</si>
  <si>
    <t>banyak analisis taktik medsos saat piala dunia mengedukasi fans how watch soccer judul buku ruud gullit tapi saat final kemarin saya menemukan kenikmatan seperti masa kecil dulu nonton tanpa intensi menganalisis hanya nonton bersorak analisis apa kata pandit</t>
  </si>
  <si>
    <t>['banyak', 'analisis', 'taktik', 'medsos', 'piala', 'dunia', 'mengedukasi', 'fans', 'how', 'watch', 'soccer', 'judul', 'buku', 'ruud', 'gullit', 'final', 'kemarin', 'menemukan', 'kenikmatan', 'masa', 'kecil', 'dulu', 'nonton', 'intensi', 'menganalisis', 'nonton', 'bersorak', 'analisis', 'apa', 'kata', 'pandit']</t>
  </si>
  <si>
    <t>@RMYogiPriyanto @mottzhy @opxnk @goizza Ga ada yg kalah dan menang. Memangnya final piala dunia?</t>
  </si>
  <si>
    <t>ada kalah dan menang memangnya final piala dunia</t>
  </si>
  <si>
    <t>['kalah', 'menang', 'memangnya', 'final', 'piala', 'dunia']</t>
  </si>
  <si>
    <t>@PorosHalangID Final piala dunia gw gak nonton, united vs burnley? Pasti nonton anjing</t>
  </si>
  <si>
    <t>final piala dunia gak nonton united burnley pasti nonton anjing</t>
  </si>
  <si>
    <t>['final', 'piala', 'dunia', 'nonton', 'united', 'burnley', 'nonton', 'anjing']</t>
  </si>
  <si>
    <t>malem senin "km ngikutin piala dunia ga sih?" "gak,tp final mau" *kasih link gmeet "gasz jam 10 yak" .....</t>
  </si>
  <si>
    <t>malem senin ngikutin piala dunia sih gak final mau kasih link gmeet gasz jam yak</t>
  </si>
  <si>
    <t>['malem', 'senin', 'ngikutin', 'piala', 'dunia', 'final', 'mau', 'kasih', 'link', 'gmeet', 'gasz', 'jam', 'yak']</t>
  </si>
  <si>
    <t>Hanya 3 hari setelah final Piala Dunia, Kylian Mbappe sudah memunculkan batangnya di komplek latihan PSG.   Padahal ia diberi waktu libur 10 hari untuk memulihkan diri. üê¢  https://t.co/HhjAdFOPDO</t>
  </si>
  <si>
    <t>hanya hari setelah final piala dunia kylian mbappe sudah memunculkan batangnya komplek latihan psg padahal diberi waktu libur hari untuk memulihkan diri</t>
  </si>
  <si>
    <t>['hari', 'final', 'piala', 'dunia', 'kylian', 'mbappe', 'memunculkan', 'batangnya', 'komplek', 'latihan', 'psg', 'padahal', 'diberi', 'waktu', 'libur', 'hari', 'memulihkan', 'diri']</t>
  </si>
  <si>
    <t>Cerita Pembuat Jubah Bisht yang Dipakai Messi, Mengaku Tidak Tahu untuk Final Piala Dunia -  https://t.co/fKOgyzmyMW -  https://t.co/UmXKaI16LS  https://t.co/bXP9EHL5PC #Cerita</t>
  </si>
  <si>
    <t>cerita pembuat jubah bisht yang dipakai messi mengaku tidak tahu untuk final piala dunia</t>
  </si>
  <si>
    <t>['cerita', 'pembuat', 'jubah', 'bisht', 'dipakai', 'messi', 'mengaku', 'tahu', 'final', 'piala', 'dunia']</t>
  </si>
  <si>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</si>
  <si>
    <t>siapa nih yang masih belum move dari final piala dunia kemarin selamat buat pendukung argentina pendukung negara lain jangan sedih namanya juga pertandingan kalah menang hal biasa yang terpenting harus jaga sportivitas</t>
  </si>
  <si>
    <t>['siapa', 'move', 'final', 'piala', 'dunia', 'kemarin', 'selamat', 'buat', 'pendukung', 'argentina', 'pendukung', 'negara', 'jangan', 'sedih', 'namanya', 'pertandingan', 'kalah', 'menang', 'biasa', 'terpenting', 'jaga', 'sportivitas']</t>
  </si>
  <si>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</si>
  <si>
    <t>sama halnya seperti yang diungkapkan anggota bawaslu lolly suhenty saat nonton bareng final piala dunia pada senin anggota bawaslu lolly mengajak warga untuk selalu menjunjung tinggi semangat sportivitas dalam tiap sendi kehidupan termasuk dalam dunia kepemiluan</t>
  </si>
  <si>
    <t>['sama', 'halnya', 'diungkapkan', 'anggota', 'bawaslu', 'lolly', 'suhenty', 'nonton', 'bareng', 'final', 'piala', 'dunia', 'senin', 'anggota', 'bawaslu', 'lolly', 'mengajak', 'warga', 'selalu', 'menjunjung', 'tinggi', 'semangat', 'sportivitas', 'tiap', 'sendi', 'kehidupan', 'termasuk', 'dunia', 'kepemiluan']</t>
  </si>
  <si>
    <t>Tak hanya berhasil mengalahkan Prancis di final "Piala Dunia 2022", Lionel Messi juga dinobatkan sebagai pemain terbaik di kompetisi sepak bola terbesar pada  Minggu (18/12/2022).  https://t.co/Ju1OL0KLAn</t>
  </si>
  <si>
    <t>tak hanya berhasil mengalahkan prancis final piala dunia lionel messi juga dinobatkan sebagai pemain terbaik kompetisi sepak bola terbesar pada minggu</t>
  </si>
  <si>
    <t>['tak', 'berhasil', 'mengalahkan', 'prancis', 'final', 'piala', 'dunia', 'lionel', 'messi', 'dinobatkan', 'pemain', 'terbaik', 'kompetisi', 'sepak', 'bola', 'terbesar', 'minggu']</t>
  </si>
  <si>
    <t>Kurang dari 72 Jam Setelah Final Piala Dunia 2022, Mbappe Latihan bareng PSG  https://t.co/1bEdcQXnYT</t>
  </si>
  <si>
    <t>kurang dari jam setelah final piala dunia mbappe latihan bareng psg</t>
  </si>
  <si>
    <t>['kurang', 'jam', 'final', 'piala', 'dunia', 'mbappe', 'latihan', 'bareng', 'psg']</t>
  </si>
  <si>
    <t>Kylian Mbappe dengan cepat kembali ke pelatihan #PSG hanya beberapa hari setelah #Prancis kalah di final Piala Dunia melawan #Argentina.   https://t.co/jASkhODLq3</t>
  </si>
  <si>
    <t>kylian mbappe dengan cepat kembali pelatihan hanya beberapa hari setelah kalah final piala dunia melawan</t>
  </si>
  <si>
    <t>['kylian', 'mbappe', 'cepat', 'pelatihan', 'beberapa', 'hari', 'kalah', 'final', 'piala', 'dunia', 'melawan']</t>
  </si>
  <si>
    <t>'Angkatan Messi' ini  baru terasa  jago psywar sejak Copa America 2021 lalu. Puncaknya pas final lawan Brazil, main keras, oportunis, dan psywar nyatanya yg membawa mereka berjaya. Ternyata berlanjut ke Piala Dunia 2022, dan membuahkan hasil. Bisa jadi itu yang kurang selama ini.</t>
  </si>
  <si>
    <t>angkatan messi ini baru terasa jago psywar sejak copa america lalu puncaknya pas final lawan brazil main keras oportunis dan psywar nyatanya membawa mereka berjaya ternyata berlanjut piala dunia dan membuahkan hasil bisa jadi itu yang kurang selama ini</t>
  </si>
  <si>
    <t>['angkatan', 'messi', 'baru', 'terasa', 'jago', 'psywar', 'sejak', 'copa', 'america', 'lalu', 'puncaknya', 'pas', 'final', 'lawan', 'brazil', 'main', 'keras', 'oportunis', 'psywar', 'nyatanya', 'membawa', 'berjaya', 'ternyata', 'berlanjut', 'piala', 'dunia', 'membuahkan', 'hasil', 'jadi', 'kurang', 'selama']</t>
  </si>
  <si>
    <t>Nonton bareng alias nobar menjadi salah satu tradisi masyarakat Indonesia di malam final Piala Dunia. Keluarga Zaskia Adya Mecca pun tak mau ketinggalan.   https://t.co/DOiCdDZ8kD</t>
  </si>
  <si>
    <t>nonton bareng alias nobar menjadi salah satu tradisi masyarakat indonesia malam final piala dunia keluarga zaskia adya mecca pun tak mau ketinggalan</t>
  </si>
  <si>
    <t>['nonton', 'bareng', 'alias', 'nonton bareng', 'menjadi', 'salah', 'satu', 'tradisi', 'masyarakat', 'indonesia', 'malam', 'final', 'piala', 'dunia', 'keluarga', 'zaskia', 'adya', 'mecca', 'tak', 'mau', 'ketinggalan']</t>
  </si>
  <si>
    <t>Mbappe Kembali Gabung Latihan PSG Usai Keok di Final Piala Dunia 2022  https://t.co/KPbgpxSPLB</t>
  </si>
  <si>
    <t>mbappe kembali gabung latihan psg usai keok final piala dunia</t>
  </si>
  <si>
    <t>['mbappe', 'gabung', 'latihan', 'psg', 'usai', 'keok', 'final', 'piala', 'dunia']</t>
  </si>
  <si>
    <t>Perjalanan Prancis ke Final Piala Dunia 2022, Les Bleus Pernah Dihajar Tunisia   https://t.co/LKpHy9MMkT</t>
  </si>
  <si>
    <t>perjalanan prancis final piala dunia les bleus pernah dihajar tunisia</t>
  </si>
  <si>
    <t>['perjalanan', 'prancis', 'final', 'piala', 'dunia', 'les', 'bleus', 'pernah', 'dihajar', 'tunisia']</t>
  </si>
  <si>
    <t>Ini Team Talk Mbappe yang Bikin Prancis Bisa Kejar Argentina di Final Piala Dunia 2022 -  https://t.co/kpmQt1cweG  https://t.co/uk90wd4LKu via @bolanet  https://t.co/aNzDFA3v8E . . . #m88mansion #m88mansionindo #m88indo #m88laliga</t>
  </si>
  <si>
    <t>ini team talk mbappe yang bikin prancis bisa kejar argentina final piala dunia via</t>
  </si>
  <si>
    <t>['team', 'talk', 'mbappe', 'prancis', 'kejar', 'argentina', 'final', 'piala', 'dunia', 'via']</t>
  </si>
  <si>
    <t>Rekan setimnya dulu di Barcelona, Philippe Coutinho, juga¬†ia beri pinjaman gelang merah sakti tersebut. Terbaru kiper Argentina, Emiliano Martinez juga memakainya saat adu penalti melawan Prancis di final Piala Dunia 2022.   https://t.co/jOCSyJcbhe</t>
  </si>
  <si>
    <t>rekan setimnya dulu barcelona philippe coutinho juga beri pinjaman gelang merah sakti tersebut terbaru kiper argentina emiliano martinez juga memakainya saat adu penalti melawan prancis final piala dunia</t>
  </si>
  <si>
    <t>['rekan', 'setimnya', 'dulu', 'barcelona', 'philippe', 'coutinho', 'beri', 'pinjaman', 'gelang', 'merah', 'sakti', 'tersebut', 'terbaru', 'kiper', 'argentina', 'emiliano', 'martinez', 'memakainya', 'adu', 'penalti', 'melawan', 'prancis', 'final', 'piala', 'dunia']</t>
  </si>
  <si>
    <t>Berita Bola Terkini Nova88 Indonesia Klik  https://t.co/VsbRjz8w7o : Rahasia Penalti Sempurna Dybala di Final Piala Dunia 2022  https://t.co/wYfr2elfeZ  https://t.co/g3mkyvJYb9</t>
  </si>
  <si>
    <t>berita bola terkini nova indonesia klik rahasia penalti sempurna dybala final piala dunia</t>
  </si>
  <si>
    <t>['berita', 'bola', 'terkini', 'nova', 'indonesia', 'klik', 'rahasia', 'penalti', 'sempurna', 'dybala', 'final', 'piala', 'dunia']</t>
  </si>
  <si>
    <t>Final Piala Dunia Paling seru di Qatar 2022, Argentina v Prancis.  #Messi #LeoMessi #LionelMessi #Argentina #ArgentinaVsFrance #FIFAWorldCup2022 #PialaDunia #kataehati #wildanjfirdaus  https://t.co/hdILe8UlAB</t>
  </si>
  <si>
    <t>final piala dunia paling seru qatar argentina prancis</t>
  </si>
  <si>
    <t>['final', 'piala', 'dunia', 'paling', 'seru', 'qatar', 'argentina', 'prancis']</t>
  </si>
  <si>
    <t>4 Kali Bayi Ajaib Rayyanza 'Cipung' Prediksi Kemenangan Argentina di Final Piala Dunia 2022 Qatar  https://t.co/p33HLqUep7</t>
  </si>
  <si>
    <t>kali bayi ajaib rayyanza cipung prediksi kemenangan argentina final piala dunia qatar</t>
  </si>
  <si>
    <t>['kali', 'bayi', 'ajaib', 'rayyanza', 'cipung', 'prediksi', 'kemenangan', 'argentina', 'final', 'piala', 'dunia', 'qatar']</t>
  </si>
  <si>
    <t>Wow! Hanya 63 jam setelah final Piala Dunia, sekarang Kylian Mbapp√© telah kembali berlatih bersama PSG pagi ini. Mentalitas! üëä   https://t.co/hNq8MQyjyc</t>
  </si>
  <si>
    <t>wow hanya jam setelah final piala dunia sekarang kylian mbapp telah kembali berlatih bersama psg pagi ini mentalitas</t>
  </si>
  <si>
    <t>['wow', 'jam', 'final', 'piala', 'dunia', 'sekarang', 'kylian', 'mbapp', 'berlatih', 'bersama', 'psg', 'pagi', 'mentalitas']</t>
  </si>
  <si>
    <t>Ruang ganti Prancis pada turun minum final Piala Dunia 2022 melawan Argentina dipenuhi amarah dari pemain dan pelatih.  #77577sports #mbappe #messi #france #argentina #worldcup  https://t.co/adbYUnua0q</t>
  </si>
  <si>
    <t>ruang ganti prancis pada turun minum final piala dunia melawan argentina dipenuhi amarah dari pemain dan pelatih</t>
  </si>
  <si>
    <t>['ruang', 'ganti', 'prancis', 'turun', 'minum', 'final', 'piala', 'dunia', 'melawan', 'argentina', 'dipenuhi', 'amarah', 'pemain', 'pelatih']</t>
  </si>
  <si>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</si>
  <si>
    <t>wilujeng sonten wargi pendukung argentina final piala dunia qatar seueur urang sumedang rahmat iniaku</t>
  </si>
  <si>
    <t>['wilujeng', 'sonten', 'wargi', 'pendukung', 'argentina', 'final', 'piala', 'dunia', 'qatar', 'seueur', 'urang', 'sumedang', 'rahmat', 'iniaku']</t>
  </si>
  <si>
    <t>Begini Team Talk Mbappe yang bikin Prancis kejar Argentina di Final Piala Dunia 2022!  https://t.co/zkqRgfSq4I</t>
  </si>
  <si>
    <t>begini team talk mbappe yang bikin prancis kejar argentina final piala dunia</t>
  </si>
  <si>
    <t>['begini', 'team', 'talk', 'mbappe', 'prancis', 'kejar', 'argentina', 'final', 'piala', 'dunia']</t>
  </si>
  <si>
    <t>#Jorginho kecewa karena gagal membawa #Italia melaju ke putaran final di #Qatar2022    #PialaDunia   https://t.co/5Ca6ShJNE2</t>
  </si>
  <si>
    <t>kecewa karena gagal membawa melaju putaran final</t>
  </si>
  <si>
    <t>['kecewa', 'gagal', 'membawa', 'melaju', 'putaran', 'final']</t>
  </si>
  <si>
    <t>Curhatan Messi Usai Juara Piala Dunia, Singgung Final 2014 Sampai Maradona  https://t.co/nJIZOcL1RC</t>
  </si>
  <si>
    <t>curhatan messi usai juara piala dunia singgung final sampai maradona</t>
  </si>
  <si>
    <t>['curhatan', 'messi', 'usai', 'juara', 'piala', 'dunia', 'singgung', 'final', 'maradona']</t>
  </si>
  <si>
    <t>@messinisme @huhuhehe10_ @triwantororudi @idextratime Portugal emang no historis lah masuk Final Euro aj baru 2004 kemarin, beda sama Jerman, Belanda, Brasil, Argentina, Uruguay, Italia, Inggris, Prancis yang emang mereka secara historis di Piala Dunia at</t>
  </si>
  <si>
    <t>portugal emang historis lah masuk final euro baru kemarin beda sama jerman belanda brasil argentina uruguay italia inggris prancis yang emang mereka secara historis piala dunia</t>
  </si>
  <si>
    <t>['portugal', 'emang', 'historis', 'lah', 'masuk', 'final', 'euro', 'baru', 'kemarin', 'beda', 'sama', 'jerman', 'belanda', 'brasil', 'argentina', 'uruguay', 'italia', 'inggris', 'prancis', 'emang', 'historis', 'piala', 'dunia']</t>
  </si>
  <si>
    <t>Sepatu Lionel Messi di Final Piala Dunia 2022 Bakal¬†Dimuseumkan  https://t.co/huXsdvz9lY</t>
  </si>
  <si>
    <t>sepatu lionel messi final piala dunia bakal dimuseumkan</t>
  </si>
  <si>
    <t>['sepatu', 'lionel', 'messi', 'final', 'piala', 'dunia', 'bakal', 'dimuseumkan']</t>
  </si>
  <si>
    <t>Tangis Haru Angel Di Maria usai cetak gol kedua bagi Argentina di Final Piala Dunia kemarin  #DiMaria #AngelDimaria #Messi #Argentina #ArgentinaVsFrance #FIFAWorldCup2022 #PialaDunia #kataehati #wildanjfirdaus  https://t.co/d6Mhb24oLC</t>
  </si>
  <si>
    <t>tangis haru angel maria usai cetak gol kedua bagi argentina final piala dunia kemarin</t>
  </si>
  <si>
    <t>['tangis', 'haru', 'angel', 'maria', 'usai', 'cetak', 'gol', 'kedua', 'argentina', 'final', 'piala', 'dunia', 'kemarin']</t>
  </si>
  <si>
    <t>Argentina vs Prancis dan Kedekatan dengan Konspirasi Final Piala Dunia Tahun 1998   https://t.co/rIRDOFe1za</t>
  </si>
  <si>
    <t>argentina prancis dan kedekatan dengan konspirasi final piala dunia tahun</t>
  </si>
  <si>
    <t>['argentina', 'prancis', 'kedekatan', 'konspirasi', 'final', 'piala', 'dunia', 'tahun']</t>
  </si>
  <si>
    <t>@Fauzansudutkiri @labiebsadat Lagian di atas bilangnya ‚Äúcm layak juara piala dunia‚Äù bukan ‚Äúdi final‚Äùseperti yg mas maksud</t>
  </si>
  <si>
    <t>lagian atas bilangnya layak juara piala dunia bukan final seperti mas maksud</t>
  </si>
  <si>
    <t>['lagian', 'atas', 'bilangnya', 'layak', 'juara', 'piala', 'dunia', 'bukan', 'final', 'mas', 'maksud']</t>
  </si>
  <si>
    <t>Rahasia Penalti Sempurna Dybala di Final Piala Dunia 2022  https://t.co/sZV5RHYXzw</t>
  </si>
  <si>
    <t>rahasia penalti sempurna dybala final piala dunia</t>
  </si>
  <si>
    <t>['rahasia', 'penalti', 'sempurna', 'dybala', 'final', 'piala', 'dunia']</t>
  </si>
  <si>
    <t>Aguero ü§ù Messi: Sampai ditemani bobok jelang final Piala Dunia.  #EmtekWorldCup2022 #BolacomWorldCup2022 #PialaDunia2022 #PialaDunia   https://t.co/yugWgkdHzc</t>
  </si>
  <si>
    <t>aguero messi sampai ditemani bobok jelang final piala dunia</t>
  </si>
  <si>
    <t>['aguero', 'messi', 'ditemani', 'bobok', 'jelang', 'final', 'piala', 'dunia']</t>
  </si>
  <si>
    <t>@vidio Refund aja min, butuhnya nonton final piala dunia 2022.</t>
  </si>
  <si>
    <t>refund aja min butuhnya nonton final piala dunia</t>
  </si>
  <si>
    <t>['refund', 'min', 'butuhnya', 'nonton', 'final', 'piala', 'dunia']</t>
  </si>
  <si>
    <t>Begini Team Talk Mbappe yang bikin Prancis kejar Argentina di Final Piala Dunia 2022!  https://t.co/7ZlyNn9wt6</t>
  </si>
  <si>
    <t>EKFPDQ Es Krim Final Piala Dunia Ququruyuuuk  https://t.co/Brn5ZjUIFX</t>
  </si>
  <si>
    <t>ekfpdq krim final piala dunia ququruyuuuk</t>
  </si>
  <si>
    <t>['ekfpdq', 'krim', 'final', 'piala', 'dunia', 'ququruyuuuk']</t>
  </si>
  <si>
    <t>Mantan pemain Argentina‚ùå Jajaran staff pelatih‚ùå Warga Argentina‚ùå  Modal garemin daging, jadi tamu kehormatan di final terus pegang trophy Piala Dunia pas kelar. Sok asik dah.</t>
  </si>
  <si>
    <t>mantan pemain argentina jajaran staff pelatih warga argentina modal garemin daging jadi tamu kehormatan final terus pegang trophy piala dunia pas kelar sok asik dah</t>
  </si>
  <si>
    <t>['mantan', 'pemain', 'argentina', 'jajaran', 'staff', 'pelatih', 'warga', 'argentina', 'modal', 'garemin', 'daging', 'jadi', 'tamu', 'kehormatan', 'final', 'terus', 'pegang', 'trophy', 'piala', 'dunia', 'pas', 'kelar', 'sok', 'asik', 'dah']</t>
  </si>
  <si>
    <t>Momen Perayaan Gol Messi pertama saat lawan Prancis di final kemarin  #Messi #LeoMessi #LionelMessi #Argentina #ArgentinaVsFrance #FIFAWorldCup2022 #PialaDunia #kataehati #wildanjfirdaus  https://t.co/6bFnBgzluO</t>
  </si>
  <si>
    <t>momen perayaan gol messi pertama saat lawan prancis final kemarin</t>
  </si>
  <si>
    <t>['momen', 'perayaan', 'gol', 'messi', 'pertama', 'lawan', 'prancis', 'final', 'kemarin']</t>
  </si>
  <si>
    <t>dia umur 24 udah masuk final piala dunia, aku umur 24 nganggurü•≤</t>
  </si>
  <si>
    <t>dia umur udah masuk final piala dunia aku umur nganggur</t>
  </si>
  <si>
    <t>['umur', 'udah', 'masuk', 'final', 'piala', 'dunia', 'aku', 'umur', 'nganggur']</t>
  </si>
  <si>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</si>
  <si>
    <t>berikut alasan kenapa final piala dunia menjadi final terbaik sepanjang sejarah sports</t>
  </si>
  <si>
    <t>['berikut', 'alasan', 'final', 'piala', 'dunia', 'menjadi', 'final', 'terbaik', 'sepanjang', 'sejarah', 'sports']</t>
  </si>
  <si>
    <t>#SobatI2 dukung siapa kemarin di final Piala Dunia 2022?  Mari kita lihat 'Top Mentioned Footballer' atau pemain yang paling banyak di-mention netizen namanya dalam unggahan mereka terkait #PialaDunia2022 atau #FIFAWolrdCup2022 !  #IndonesiaIndicator  https://t.co/K7IXEv1Q2Z</t>
  </si>
  <si>
    <t>dukung siapa kemarin final piala dunia mari kita lihat top mentioned footballer atau pemain yang paling banyak mention netizen namanya dalam unggahan mereka terkait atau</t>
  </si>
  <si>
    <t>['dukung', 'siapa', 'kemarin', 'final', 'piala', 'dunia', 'lihat', 'top', 'mentioned', 'footballer', 'pemain', 'paling', 'banyak', 'mention', 'netizen', 'namanya', 'unggahan', 'terkait']</t>
  </si>
  <si>
    <t>Baru beberapa hari saja setelah Kylian Mbappe bermain di final Piala Dunia 2022, dan ia sudah memutuskan untuk kembali latihan dengan PSG lebih awal. Meski sebenarnya PSG memberikan waktu libur bagi Mbappe lebih lama.  ü´°  https://t.co/pa8666Pl5l</t>
  </si>
  <si>
    <t>baru beberapa hari saja setelah kylian mbappe bermain final piala dunia dan sudah memutuskan untuk kembali latihan dengan psg lebih awal meski sebenarnya psg memberikan waktu libur bagi mbappe lebih lama</t>
  </si>
  <si>
    <t>['baru', 'beberapa', 'hari', 'kylian', 'mbappe', 'bermain', 'final', 'piala', 'dunia', 'memutuskan', 'latihan', 'psg', 'lebih', 'awal', 'meski', 'sebenarnya', 'psg', 'memberikan', 'waktu', 'libur', 'mbappe', 'lebih', 'lama']</t>
  </si>
  <si>
    <t>Penyanyi Drake mendukung Argentina di final Piala Dunia 2022, tapi ia malah kalah taruhan. Kok bisa? Simak di sini. #AdadiKompas #KilasanKawatSedunia  https://t.co/rlT6LoaAq4</t>
  </si>
  <si>
    <t>penyanyi drake mendukung argentina final piala dunia tapi malah kalah taruhan kok bisa simak sini</t>
  </si>
  <si>
    <t>['penyanyi', 'drake', 'mendukung', 'argentina', 'final', 'piala', 'dunia', 'malah', 'kalah', 'taruhan', 'kok', 'simak', 'sini']</t>
  </si>
  <si>
    <t>@Bolanet salah satu rekok di final piala dunia yg ga diungkap media nih, satu pemain bisa mencetak 4 gol dgn kiper yg sama, antara pemainnya yg jago atau kipernya yg goblok üòÇ</t>
  </si>
  <si>
    <t>salah satu rekok final piala dunia diungkap media nih satu pemain bisa mencetak gol dgn kiper sama antara pemainnya jago atau kipernya goblok</t>
  </si>
  <si>
    <t>['salah', 'satu', 'rekok', 'final', 'piala', 'dunia', 'diungkap', 'media', 'satu', 'pemain', 'mencetak', 'gol', 'kiper', 'sama', 'pemainnya', 'jago', 'kipernya', 'goblok']</t>
  </si>
  <si>
    <t>Dampak Final piala dunia  https://t.co/TpSkVU19at</t>
  </si>
  <si>
    <t>dampak final piala dunia</t>
  </si>
  <si>
    <t>['dampak', 'final', 'piala', 'dunia']</t>
  </si>
  <si>
    <t>Nobar Final Piala Dunia, DPP KNPI dan DPD KNPI Dki Jakarta: Momentum Pemuda dan Masyarakat Wujud Kecintaan Pada Olahraga  https://t.co/SQBc0FeB64 lewat @haluannkri2021</t>
  </si>
  <si>
    <t>nobar final piala dunia dpp knpi dan dpd knpi dki jakarta momentum pemuda dan masyarakat wujud kecintaan pada olahraga lewat</t>
  </si>
  <si>
    <t>['nonton bareng', 'final', 'piala', 'dunia', 'dpp', 'knpi', 'dpd', 'knpi', 'dki', 'jakarta', 'momentum', 'pemuda', 'masyarakat', 'wujud', 'kecintaan', 'olahraga', 'lewat']</t>
  </si>
  <si>
    <t>Terkuak Ruang Ganti Prancis di Final Piala Dunia: Penuh Amarah  https://t.co/kU5Xgr2Mrz</t>
  </si>
  <si>
    <t>terkuak ruang ganti prancis final piala dunia penuh amarah</t>
  </si>
  <si>
    <t>['terkuak', 'ruang', 'ganti', 'prancis', 'final', 'piala', 'dunia', 'penuh', 'amarah']</t>
  </si>
  <si>
    <t>Terkuak Ruang Ganti Prancis di Final Piala Dunia: Penuh Amarah  https://t.co/8QDtK4fygu</t>
  </si>
  <si>
    <t>@idextratime Iya cuma lu yang ga nonton final piala dunia dari 8 miliar populasi manusia di bumi Lu memang spesial, idaman lah pokoknya kalau bisa dibuat patung khusus buat lu</t>
  </si>
  <si>
    <t>iya cuma yang nonton final piala dunia dari miliar populasi manusia bumi memang spesial idaman lah pokoknya kalau bisa dibuat patung khusus buat</t>
  </si>
  <si>
    <t>['iya', 'cuma', 'nonton', 'final', 'piala', 'dunia', 'miliar', 'populasi', 'manusia', 'bumi', 'memang', 'spesial', 'idaman', 'lah', 'pokoknya', 'kalau', 'dibuat', 'patung', 'khusus', 'buat']</t>
  </si>
  <si>
    <t>Kumpulan foto berikut memperlihatkan para penggemar menyambut tim nasional Argentina, usai tim tersebut memenangkan final Piala Dunia FIFA 2022, di Buenos Aires, ibu kota Argentina, pada Selasa (20/12)  https://t.co/U0vwsfNMaS</t>
  </si>
  <si>
    <t>kumpulan foto berikut memperlihatkan para penggemar menyambut tim nasional argentina usai tim tersebut memenangkan final piala dunia fifa buenos aires ibu kota argentina pada selasa</t>
  </si>
  <si>
    <t>['kumpulan', 'foto', 'berikut', 'memperlihatkan', 'penggemar', 'menyambut', 'tim', 'nasional', 'argentina', 'usai', 'tim', 'tersebut', 'memenangkan', 'final', 'piala', 'dunia', 'fifa', 'buenos', 'aires', 'ibu', 'kota', 'argentina', 'selasa']</t>
  </si>
  <si>
    <t>Head to head Argentina Vs Perancis Final Piala Dunia 2022, Argentina Kalah Tipis di Piala Dunia 2018  https://t.co/mx8IitUPmA</t>
  </si>
  <si>
    <t>head head argentina perancis final piala dunia argentina kalah tipis piala dunia</t>
  </si>
  <si>
    <t>['head', 'head', 'argentina', 'perancis', 'final', 'piala', 'dunia', 'argentina', 'kalah', 'tipis', 'piala', 'dunia']</t>
  </si>
  <si>
    <t>Siap hadir nobar di malam final piala dunia Qatar 2022, Kakanwil Faisol Ali jagokan Prancis @Kumham_Sulbar @NewsKemenkumham #KanwilSulbar #KumhamSulbar #FaisolAli #Yasonna @FaisolAli2022 Faisol Ali  https://t.co/vGEFMJD117</t>
  </si>
  <si>
    <t>siap hadir nobar malam final piala dunia qatar kakanwil faisol ali jagokan prancis sulbar faisol ali</t>
  </si>
  <si>
    <t>['siap', 'hadir', 'nonton bareng', 'malam', 'final', 'piala', 'dunia', 'qatar', 'kakanwil', 'faisol', 'ali', 'jagokan', 'prancis', 'sulbar', 'faisol', 'ali']</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</si>
  <si>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</si>
  <si>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</si>
  <si>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</si>
  <si>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</si>
  <si>
    <t>Nikah di Hari Final Piala Dunia 2022, Pengantin Wanita Nangis di Malam Pertama, Ternyata Fans Mbappe    https://t.co/yWuZGKJjQ9 via @tribunmedan</t>
  </si>
  <si>
    <t>nikah hari final piala dunia pengantin wanita nangis malam pertama ternyata fans mbappe via</t>
  </si>
  <si>
    <t>['nikah', 'hari', 'final', 'piala', 'dunia', 'pengantin', 'wanita', 'nangis', 'malam', 'pertama', 'ternyata', 'fans', 'mbappe', 'via']</t>
  </si>
  <si>
    <t>@Karinbahary2 4 kali masuk final piala dunia, gagal terus. Baru yang kelima sukses. Pasti akan terus dibawa sampai mimpi #cmiiw</t>
  </si>
  <si>
    <t>kali masuk final piala dunia gagal terus baru yang kelima sukses pasti akan terus dibawa sampai mimpi</t>
  </si>
  <si>
    <t>['kali', 'masuk', 'final', 'piala', 'dunia', 'gagal', 'terus', 'baru', 'kelima', 'sukses', 'terus', 'dibawa', 'mimpi']</t>
  </si>
  <si>
    <t>Babinsa Koramil 19 Kuwarasan Serda Slamet Supriyono bersama Bhabinkamtibmas nonton bareng final sepakbola piala dunia antara Argentina vs Prancis di halaman balai desa Gandusari Kecamatan Kuwarasan Kabupaten Kebumen.  https://t.co/hAfMtHGuDG</t>
  </si>
  <si>
    <t>babinsa koramil kuwarasan serda slamet supriyono bersama bhabinkamtibmas nonton bareng final sepakbola piala dunia antara argentina prancis halaman balai desa gandusari kecamatan kuwarasan kabupaten kebumen</t>
  </si>
  <si>
    <t>['babinsa', 'koramil', 'kuwarasan', 'serda', 'slamet', 'supriyono', 'bersama', 'bhabinkamtibmas', 'nonton', 'bareng', 'final', 'sepakbola', 'piala', 'dunia', 'argentina', 'prancis', 'halaman', 'balai', 'desa', 'gandusari', 'kecamatan', 'kuwarasan', 'kabupaten', 'kebumen']</t>
  </si>
  <si>
    <t>Coretan Mas AU tentang final Piala Dunia yang baru lewat. Dititipkan lewat sahabat yang berkunjung. *admin  https://t.co/5IME7lFbdh</t>
  </si>
  <si>
    <t>coretan mas tentang final piala dunia yang baru lewat dititipkan lewat sahabat yang berkunjung admin</t>
  </si>
  <si>
    <t>['coretan', 'mas', 'final', 'piala', 'dunia', 'baru', 'lewat', 'dititipkan', 'lewat', 'sahabat', 'berkunjung', 'admin']</t>
  </si>
  <si>
    <t>Angel Di Maria jadi salah satu aktor kemenangan Argentina di final Piala Dunia 2022. Ada cerita di balik air matanya yang tumpah. #juaraboladunia    https://t.co/LffA0nhid1</t>
  </si>
  <si>
    <t>angel maria jadi salah satu aktor kemenangan argentina final piala dunia ada cerita balik air matanya yang tumpah</t>
  </si>
  <si>
    <t>['angel', 'maria', 'jadi', 'salah', 'satu', 'aktor', 'kemenangan', 'argentina', 'final', 'piala', 'dunia', 'cerita', 'balik', 'air', 'matanya', 'tumpah']</t>
  </si>
  <si>
    <t>Kronologi Meninggalnya Alprih Priyono, Digigit King Cobra Saat Nonton Final Piala Dunia  #AlprihPriyono #KingCobra #Panji   https://t.co/UesMoScfC4</t>
  </si>
  <si>
    <t>kronologi meninggalnya alprih priyono digigit king cobra saat nonton final piala dunia</t>
  </si>
  <si>
    <t>['kronologi', 'meninggalnya', 'alprih', 'priyono', 'digigit', 'king', 'cobra', 'nonton', 'final', 'piala', 'dunia']</t>
  </si>
  <si>
    <t>Gelar Budaya Meriahkan Perhelatan Final Piala Dunia     https://t.co/5n4L8731uR  https://t.co/oXbmz7gdX6</t>
  </si>
  <si>
    <t>gelar budaya meriahkan perhelatan final piala dunia</t>
  </si>
  <si>
    <t>['gelar', 'budaya', 'meriahkan', 'perhelatan', 'final', 'piala', 'dunia']</t>
  </si>
  <si>
    <t>Gelar Budaya Meriahkan Perhelatan Final Piala Dunia     https://t.co/5n4L8731uR</t>
  </si>
  <si>
    <t>tribunnews: Sebelum kejadian, Alprih sempat bertemu seorang anak remaja yang membawa ular. Pada saat itu, Alprih dan teman-teman sedang menonton bareng nonton final Piala Dunia. Bahkan pada saat itu, Alprih juga tidak membawa peralatan untuk rescue ular,‚Ä¶  https://t.co/4Y6YXELanY</t>
  </si>
  <si>
    <t>tribunnews sebelum kejadian alprih sempat bertemu seorang anak remaja yang membawa ular pada saat itu alprih dan teman teman sedang menonton bareng nonton final piala dunia bahkan pada saat itu alprih juga tidak membawa peralatan untuk rescue ular</t>
  </si>
  <si>
    <t>['tribunnews', 'kejadian', 'alprih', 'sempat', 'bertemu', 'seorang', 'anak', 'remaja', 'membawa', 'ular', 'alprih', 'teman', 'teman', 'sedang', 'menonton', 'bareng', 'nonton', 'final', 'piala', 'dunia', 'bahkan', 'alprih', 'membawa', 'peralatan', 'rescue', 'ular']</t>
  </si>
  <si>
    <t>ùêçùê†ùêûùê´ùê¢-ùêßùê†ùêûùê´ùê¢ ùêíùêûùêùùêöùê©   Nobar final Piala Dunia 2022 Argentina Vs Prancis di kafe ‚ùåÔ∏è Nobar final Piala Dunia 2022 Argentina Vs Prancis di pesawat ‚úÖÔ∏è   #PialaDunia #FIFAWorldCup #Qatar2022  https://t.co/RztyHbh57h</t>
  </si>
  <si>
    <t>nobar final piala dunia argentina prancis kafe nobar final piala dunia argentina prancis pesawat</t>
  </si>
  <si>
    <t>['nonton bareng', 'final', 'piala', 'dunia', 'argentina', 'prancis', 'kafe', 'nonton bareng', 'final', 'piala', 'dunia', 'argentina', 'prancis', 'pesawat']</t>
  </si>
  <si>
    <t>&lt;FreqDist with 8 samples and 14 outcomes&gt;</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</si>
  <si>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</si>
  <si>
    <t>ON THIS DAY ! 52 jam yang lalu Lionel Messi berhasil meraih trofi piala dunia bersama Argentina untuk pertama kalinya!  Apa yang paling berkesan dimatch final lusa kemarin?  https://t.co/Vu93brsaI2</t>
  </si>
  <si>
    <t>this day jam yang lalu lionel messi berhasil meraih trofi piala dunia bersama argentina untuk pertama kalinya apa yang paling berkesan dimatch final lusa kemarin</t>
  </si>
  <si>
    <t>['this', 'day', 'jam', 'lalu', 'lionel', 'messi', 'berhasil', 'meraih', 'trofi', 'piala', 'dunia', 'bersama', 'argentina', 'pertama', 'kalinya', 'apa', 'paling', 'berkesan', 'dimatch', 'final', 'lusa', 'kemarin']</t>
  </si>
  <si>
    <t>@orrshktse @smbalgorengati @CubemanArt @Kangkuwe @LeahkimNosredna @idextratime trus fans argen yang rasis ke pemain france sebelum final piala dunia gimana tuh? ü•±</t>
  </si>
  <si>
    <t>trus fans argen yang rasis pemain france sebelum final piala dunia gimana tuh</t>
  </si>
  <si>
    <t>['trus', 'fans', 'argen', 'rasis', 'pemain', 'france', 'final', 'piala', 'dunia', 'gimana']</t>
  </si>
  <si>
    <t>@JalanArsenal Kebobolan 4 tapi dia jadi kunci kemenangan argentina di final, toh yg bawa piala dunia juga dia, bukan mbappe ü§£</t>
  </si>
  <si>
    <t>kebobolan tapi dia jadi kunci kemenangan argentina final toh bawa piala dunia juga dia bukan mbappe</t>
  </si>
  <si>
    <t>['kebobolan', 'jadi', 'kunci', 'kemenangan', 'argentina', 'final', 'bawa', 'piala', 'dunia', 'bukan', 'mbappe']</t>
  </si>
  <si>
    <t xml:space="preserve"> https://t.co/vhHngPP6Lf   Kronologi Eks Asisten Panji Petualang Meninggal Dunia Dipatuk Bayi Ular King Kobra Saat Nonton Final Piala Dunia  #PanjiPetualang  #UlarKobra</t>
  </si>
  <si>
    <t>kronologi eks asisten panji petualang meninggal dunia dipatuk bayi ular king kobra saat nonton final piala dunia</t>
  </si>
  <si>
    <t>['kronologi', 'eks', 'asisten', 'panji', 'petualang', 'meninggal', 'dunia', 'dipatuk', 'bayi', 'ular', 'king', 'kobra', 'nonton', 'final', 'piala', 'dunia']</t>
  </si>
  <si>
    <t>Belum bisa move on dari keseruan Nonton Bareng Terooos final Piala Dunia 2022 kemarin.   Selamat ya buat Skorer yang berhasil bawa pulang hadiah-hadiah keren dari kita!!   Tungguin kita di acara-acara selanjutnya yaa Skorer!!  https://t.co/OtRRvzlXnX</t>
  </si>
  <si>
    <t>belum bisa move dari keseruan nonton bareng terooos final piala dunia kemarin selamat buat skorer yang berhasil bawa pulang hadiah hadiah keren dari kita tungguin kita acara acara selanjutnya yaa skorer</t>
  </si>
  <si>
    <t>['move', 'keseruan', 'nonton', 'bareng', 'terooos', 'final', 'piala', 'dunia', 'kemarin', 'selamat', 'buat', 'skorer', 'berhasil', 'bawa', 'pulang', 'hadiah', 'hadiah', 'keren', 'tungguin', 'acara', 'acara', 'selanjutnya', 'ya', 'skorer']</t>
  </si>
  <si>
    <t>Curhatan Messi Usai Juara Piala Dunia, Singgung Final 2014 Sampai Maradona  https://t.co/KrccgbOFEt</t>
  </si>
  <si>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</si>
  <si>
    <t>sebelum kejadian alprih sempat bertemu seorang anak remaja yang membawa ular pada saat itu alprih dan teman teman sedang menonton bareng nonton final piala dunia bahkan pada saat itu alprih juga tidak membawa peralatan untuk rescue ular hanya datang untuk mengopi saja ist</t>
  </si>
  <si>
    <t>['kejadian', 'alprih', 'sempat', 'bertemu', 'seorang', 'anak', 'remaja', 'membawa', 'ular', 'alprih', 'teman', 'teman', 'sedang', 'menonton', 'bareng', 'nonton', 'final', 'piala', 'dunia', 'bahkan', 'alprih', 'membawa', 'peralatan', 'rescue', 'ular', 'datang', 'mengopi', 'ist']</t>
  </si>
  <si>
    <t>Masih dalam suasana gembira bisa jadi saksi Final Piala dunia 2022 yang super gilaaaaa  *padahal bukan lagi dapet lotre 5M</t>
  </si>
  <si>
    <t>masih dalam suasana gembira bisa jadi saksi final piala dunia yang super gilaaaaa padahal bukan lagi dapet lotre</t>
  </si>
  <si>
    <t>['suasana', 'gembira', 'jadi', 'saksi', 'final', 'piala', 'dunia', 'super', 'gilaaaaa', 'padahal', 'bukan', 'dapat', 'lotre']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</si>
  <si>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</si>
  <si>
    <t>bisa2nya nole ngajak nonton bareng final piala dunia bareng emma,....seperti bapak dan anak üòÄüòÇ @NikolaDiredja3 @YayuMulya @nomakev @AyamSegar3  https://t.co/GDsILsliUT</t>
  </si>
  <si>
    <t>bisa nya nole ngajak nonton bareng final piala dunia bareng emma seperti bapak dan anak</t>
  </si>
  <si>
    <t>['nole', 'ngajak', 'nonton', 'bareng', 'final', 'piala', 'dunia', 'bareng', 'emma', 'bapak', 'anak']</t>
  </si>
  <si>
    <t>Nonton Bareng Final Sepak Bola Piala Dunia Bersama ASJB dan beberapa Lembaga Pemerintahan, Swasta, Jaringan Media, serta Elemen Masyarakat lainnya sebagai Dukungan Penyelenggaraan Kejuaraan Sepak Bola Dunia U-20 tahun 2023. #asjb2022 #asjbnobar2022   https://t.co/gPKJ3VYqIi</t>
  </si>
  <si>
    <t>nonton bareng final sepak bola piala dunia bersama asjb dan beberapa lembaga pemerintahan swasta jaringan media serta elemen masyarakat lainnya sebagai dukungan penyelenggaraan kejuaraan sepak bola dunia tahun</t>
  </si>
  <si>
    <t>['nonton', 'bareng', 'final', 'sepak', 'bola', 'piala', 'dunia', 'bersama', 'asjb', 'beberapa', 'lembaga', 'pemerintahan', 'swasta', 'jaringan', 'media', 'elemen', 'masyarakat', 'lainnya', 'dukungan', 'penyelenggaraan', 'kejuaraan', 'sepak', 'bola', 'dunia', 'tahun']</t>
  </si>
  <si>
    <t>@KhaliqRahmatul @FansnyaUta @idextratime Iya, maksud dia kan coba? Bukan berarti Argentina yg masuk Final, maksudnya kalau yg masuk Final itu Argentina ketemu Spanyol, dan yg juara Argentina, reaksi Spanyol pasti lebih gila, karena mereka sedang ambisi2ny</t>
  </si>
  <si>
    <t>iya maksud dia kan coba bukan berarti argentina masuk final maksudnya kalau masuk final itu argentina ketemu spanyol dan juara argentina reaksi spanyol pasti lebih gila karena mereka sedang ambisi</t>
  </si>
  <si>
    <t>['iya', 'maksud', 'kan', 'coba', 'bukan', 'berarti', 'argentina', 'masuk', 'final', 'maksudnya', 'kalau', 'masuk', 'final', 'argentina', 'ketemu', 'spanyol', 'juara', 'argentina', 'reaksi', 'spanyol', 'lebih', 'gila', 'sedang', 'ambisi']</t>
  </si>
  <si>
    <t>Curhatan Messi Usai Juara Piala Dunia, Singgung Final 2014 Sampai Maradona  https://t.co/B4wfKmBlvY</t>
  </si>
  <si>
    <t>@FOODFESS2 Nonton final Piala Dunia kemarin ditemani mie instan bikinan suami. Padahal lagi (mau) diet.  https://t.co/UXb8tpQqr3</t>
  </si>
  <si>
    <t>nonton final piala dunia kemarin ditemani mie instan bikinan suami padahal lagi mau diet</t>
  </si>
  <si>
    <t>['nonton', 'final', 'piala', 'dunia', 'kemarin', 'ditemani', 'mie', 'instan', 'bikinan', 'suami', 'padahal', 'mau', 'diet']</t>
  </si>
  <si>
    <t>VIRAL Pengantin Fans Messi dan Mbappe Nikah di Hari Final Piala Dunia 2022, Malam Pertama Nangis    https://t.co/fjP67YtpFw via @tribunmedan</t>
  </si>
  <si>
    <t>viral pengantin fans messi dan mbappe nikah hari final piala dunia malam pertama nangis via</t>
  </si>
  <si>
    <t>['viral', 'pengantin', 'fans', 'messi', 'mbappe', 'nikah', 'hari', 'final', 'piala', 'dunia', 'malam', 'pertama', 'nangis', 'via']</t>
  </si>
  <si>
    <t>Masih seputar legends sepakbola leo messi berusia 34 tahun ini. Tidak sama sekali menjadi halangan untuk dia bisa bertaji, terbukti masih mencetak goal dari penyisihan grup sampai final piala dunia, segala momen proud untuk org yg punya ekstensi dilevel timnas yg luar biasa</t>
  </si>
  <si>
    <t>masih seputar legends sepakbola leo messi berusia tahun ini tidak sama sekali menjadi halangan untuk dia bisa bertaji terbukti masih mencetak goal dari penyisihan grup sampai final piala dunia segala momen proud untuk org punya ekstensi dilevel timnas luar biasa</t>
  </si>
  <si>
    <t>['seputar', 'legends', 'sepakbola', 'leo', 'messi', 'berusia', 'tahun', 'sama', 'sekali', 'menjadi', 'halangan', 'bertaji', 'terbukti', 'mencetak', 'goal', 'penyisihan', 'grup', 'final', 'piala', 'dunia', 'segala', 'momen', 'proud', 'org', 'punya', 'ekstensi', 'dilevel', 'timnas', 'luar', 'biasa']</t>
  </si>
  <si>
    <t>Dari Final Piala Dunia 2022  https://t.co/QBDr7i4gdf</t>
  </si>
  <si>
    <t>dari final piala dunia</t>
  </si>
  <si>
    <t>Berbagai macam kegiatan dan games menarik dilaksanakan, seperti Tournament Playstation, Lomba Soccer Football Table, Lomba Jugling, kuis dengan total hadiah jutaan rupiah, serta diakhiri dengan nonton bareng final Piala Dunia antara Argentina vs Perancis.  https://t.co/ahzrMVmAH0</t>
  </si>
  <si>
    <t>berbagai macam kegiatan dan games menarik dilaksanakan seperti tournament playstation lomba soccer football table lomba jugling kuis dengan total hadiah jutaan rupiah serta diakhiri dengan nonton bareng final piala dunia antara argentina perancis</t>
  </si>
  <si>
    <t>['berbagai', 'macam', 'kegiatan', 'games', 'menarik', 'dilaksanakan', 'tournament', 'playstation', 'lomba', 'soccer', 'football', 'table', 'lomba', 'jugling', 'kuis', 'total', 'hadiah', 'jutaan', 'rupiah', 'diakhiri', 'nonton', 'bareng', 'final', 'piala', 'dunia', 'argentina', 'perancis']</t>
  </si>
  <si>
    <t>Ingin Beli Bola Asli yang Dipakai di Final Piala Dunia? Siapkan Uang Rp 3 Juta  https://t.co/g2Kwp61rXd</t>
  </si>
  <si>
    <t>ingin beli bola asli yang dipakai final piala dunia siapkan uang juta</t>
  </si>
  <si>
    <t>['beli', 'bola', 'asli', 'dipakai', 'final', 'piala', 'dunia', 'siapkan', 'uang', 'juta']</t>
  </si>
  <si>
    <t>Dari Final Piala Dunia 2022  https://t.co/pdJzkNpL84</t>
  </si>
  <si>
    <t>Dari Final Piala Dunia 2022  https://t.co/hWXq9xboCb</t>
  </si>
  <si>
    <t>(Cerita Sepakbola) Keberanian Dan Keterampilan Emiliano Martinez Di Final Piala Dunia  . .  Baca Beritanya Disini ‚§µÔ∏è  https://t.co/nvuImNXaFc</t>
  </si>
  <si>
    <t>cerita sepakbola keberanian dan keterampilan emiliano martinez final piala dunia baca beritanya disini</t>
  </si>
  <si>
    <t>['cerita', 'sepakbola', 'keberanian', 'keterampilan', 'emiliano', 'martinez', 'final', 'piala', 'dunia', 'baca', 'beritanya', 'disini']</t>
  </si>
  <si>
    <t>Tanggapan Pioli untuk Olivier Giroud Saat Kembali ke AC Milan Setelah Kalah di Final Piala Dunia  https://t.co/xCPslyg5Ls</t>
  </si>
  <si>
    <t>tanggapan pioli untuk olivier giroud saat kembali milan setelah kalah final piala dunia</t>
  </si>
  <si>
    <t>['tanggapan', 'pioli', 'olivier', 'giroud', 'milan', 'kalah', 'final', 'piala', 'dunia']</t>
  </si>
  <si>
    <t>Detik-detik Alprih Priyono Tewas karena Dipatuk Ular King Kobra saat Nobar Final Piala Dunia 2022  https://t.co/BxRmNuPM2F</t>
  </si>
  <si>
    <t>detik detik alprih priyono tewas karena dipatuk ular king kobra saat nobar final piala dunia</t>
  </si>
  <si>
    <t>['detik', 'detik', 'alprih', 'priyono', 'tewas', 'dipatuk', 'ular', 'king', 'kobra', 'nonton bareng', 'final', 'piala', 'dunia']</t>
  </si>
  <si>
    <t>@TumbalProyekk @aejsbakwkntl @mtfkr_ @dhon3adi @SiaranBolaLive Sorry bro Pemain idola ku juara piala dunia jauh sebelum Messi cs juara dunia.  Oh ya, piala dunia kali ini aku cuman nonton full match Uruguay vs Korsel doang, final malah nggak ku tonton  ht</t>
  </si>
  <si>
    <t>sorry bro pemain idola juara piala dunia jauh sebelum messi juara dunia piala dunia kali ini aku cuman nonton full match uruguay korsel doang final malah nggak tonton</t>
  </si>
  <si>
    <t>['sorry', 'bro', 'pemain', 'idola', 'juara', 'piala', 'dunia', 'jauh', 'messi', 'juara', 'dunia', 'piala', 'dunia', 'kali', 'aku', 'cuman', 'nonton', 'full', 'match', 'uruguay', 'korsel', 'doang', 'final', 'malah', 'tonton']</t>
  </si>
  <si>
    <t>@Vendra_Deje Mungkin karena Negara nya Nga lolos semi Final piala dunia, jd ngomong nya gitu, sama dgn yg nulis berita2 murahan kaya @Vendra_Deje</t>
  </si>
  <si>
    <t>deje mungkin karena negara nya nga lolos semi final piala dunia ngomong nya gitu sama dgn nulis berita murahan kaya deje</t>
  </si>
  <si>
    <t>['deje', 'mungkin', 'negara', 'tidak', 'lolos', 'semi', 'final', 'piala', 'dunia', 'ngomong', 'gitu', 'sama', 'nulis', 'berita', 'murahan', 'kaya', 'deje']</t>
  </si>
  <si>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</si>
  <si>
    <t>ansar ahmad soerya respationo nonton bareng final piala dunia bersama masyarakat batam argentina kalahkan prancis melalui drama adu pinalti selengkapnya</t>
  </si>
  <si>
    <t>['ansar', 'ahmad', 'soerya', 'respationo', 'nonton', 'bareng', 'final', 'piala', 'dunia', 'bersama', 'masyarakat', 'batam', 'argentina', 'kalahkan', 'prancis', 'melalui', 'drama', 'adu', 'penalti', 'selengkapnya']</t>
  </si>
  <si>
    <t>Penyerang Prancis, Kylian Mbappe, hampir saja menjadi momok bagi Argentina di final Piala Dunia 2022. #kumparanBOLA  https://t.co/may4bRLxfR</t>
  </si>
  <si>
    <t>penyerang prancis kylian mbappe hampir saja menjadi momok bagi argentina final piala dunia</t>
  </si>
  <si>
    <t>['penyerang', 'prancis', 'kylian', 'mbappe', 'hampir', 'menjadi', 'momok', 'argentina', 'final', 'piala', 'dunia']</t>
  </si>
  <si>
    <t>begadang cuma 1x pas final piala dunia, tapi efeknya masih sampai hari ini. padahal senin sama selasa udah tidur 7 jam trus</t>
  </si>
  <si>
    <t>begadang cuma pas final piala dunia tapi efeknya masih sampai hari ini padahal senin sama selasa udah tidur jam trus</t>
  </si>
  <si>
    <t>['begadang', 'cuma', 'pas', 'final', 'piala', 'dunia', 'efeknya', 'hari', 'padahal', 'senin', 'sama', 'selasa', 'udah', 'tidur', 'jam', 'trus']</t>
  </si>
  <si>
    <t>Gua lgsg kaya "anjir lah masa iya ga lolos grup". Lgsg medsos rame banyak yg bikin meme buat messi gara2 kalah lawan arab. Tp gua masih ttp optimis, sampe ga gua lewatin satupun pertandingan agentina di piala dunia 2022. Lnjut lwan meksiko pertandingan hidup mati rasa final.-</t>
  </si>
  <si>
    <t>gua lgsg kaya anjir lah masa iya lolos grup lgsg medsos rame banyak bikin meme buat messi gara kalah lawan arab gua masih ttp optimis sampe gua lewatin satupun pertandingan agentina piala dunia lnjut lwan meksiko pertandingan hidup mati rasa final</t>
  </si>
  <si>
    <t>['gua', 'lgsg', 'kaya', 'anjir', 'lah', 'masa', 'iya', 'lolos', 'grup', 'lgsg', 'medsos', 'ramai', 'banyak', 'meme', 'buat', 'messi', 'gara', 'kalah', 'lawan', 'arab', 'gua', 'ttp', 'optimis', 'sampai', 'gua', 'lewatin', 'satupun', 'pertandingan', 'agentina', 'piala', 'dunia', 'lnjut', 'lwan', 'meksiko', 'pertandingan', 'hidup', 'mati', 'rasa', 'final']</t>
  </si>
  <si>
    <t>&lt;FreqDist with 35 samples and 39 outcomes&gt;</t>
  </si>
  <si>
    <t>@sarjana_crypto 2 - 2 final piala dunia, odds 12. Wkwkwk</t>
  </si>
  <si>
    <t>crypto final piala dunia odds wkwkwk</t>
  </si>
  <si>
    <t>['crypto', 'final', 'piala', 'dunia', 'odds', 'wkwkwk']</t>
  </si>
  <si>
    <t>Curhatan Messi Usai Juara Piala Dunia, Singgung Final 2014 Sampai Maradona   https://t.co/3LBf3CONtQ</t>
  </si>
  <si>
    <t>Kekalahan Prancis dari Argentina di final Piala Dunia 2022 membuat Lionel Messi yang bermain di PSG menjadi bahan ledekan.   https://t.co/fI6fXeWHIa</t>
  </si>
  <si>
    <t>kekalahan prancis dari argentina final piala dunia membuat lionel messi yang bermain psg menjadi bahan ledekan</t>
  </si>
  <si>
    <t>['kekalahan', 'prancis', 'argentina', 'final', 'piala', 'dunia', 'membuat', 'lionel', 'messi', 'bermain', 'psg', 'menjadi', 'bahan', 'ledekan']</t>
  </si>
  <si>
    <t>Angel Di Maria jadi salah satu aktor kemenangan Argentina di final Piala Dunia 2022. Ada cerita di balik air matanya yang tumpah. #juaraboladunia    https://t.co/cCXUVoxQau</t>
  </si>
  <si>
    <t>Tanpa bantuan Buzzer, Garut mampu mengantar tim bola "terkam" desa Maroko maju ke 1/4 final Piala Dunia 2022 Qatar ... PeeSeSI mestinya bangga... üòçüòçüòç  https://t.co/rnLNnzB42r</t>
  </si>
  <si>
    <t>tanpa bantuan buzzer garut mampu mengantar tim bola terkam desa maroko maju final piala dunia qatar peesesi mestinya bangga</t>
  </si>
  <si>
    <t>['bantuan', 'buzzer', 'garut', 'mampu', 'mengantar', 'tim', 'bola', 'terkam', 'desa', 'maroko', 'maju', 'final', 'piala', 'dunia', 'qatar', 'peesesi', 'mestinya', 'bangga']</t>
  </si>
  <si>
    <t>Usai Jadi DJ Saat Malam Final Piala Dunia, Dinar Candy Ngaku Lemes  https://t.co/KXdkPW4lKX</t>
  </si>
  <si>
    <t>usai jadi saat malam final piala dunia dinar candy ngaku lemes</t>
  </si>
  <si>
    <t>['usai', 'jadi', 'malam', 'final', 'piala', 'dunia', 'dinar', 'candy', 'ngaku', 'lemes']</t>
  </si>
  <si>
    <t>Di final itu doi gagal penalti trus ngumumin pensiun dari timnas. Abis itu piala dunia 2018 rusia gagal lgi di 16 besar kalah lawan prancis. Trus lanjut kalah lgi di semifinal copa america 2019 lawan brazil, sampe akhirnya yg ditunggu2 piala major pertama messi buat argentina.-</t>
  </si>
  <si>
    <t>final itu doi gagal penalti trus ngumumin pensiun dari timnas abis itu piala dunia rusia gagal lgi besar kalah lawan prancis trus lanjut kalah lgi semifinal copa america lawan brazil sampe akhirnya ditunggu piala major pertama messi buat argentina</t>
  </si>
  <si>
    <t>['final', 'doi', 'gagal', 'penalti', 'trus', 'ngumumin', 'pensiun', 'timnas', 'abis', 'piala', 'dunia', 'rusia', 'gagal', 'lgi', 'besar', 'kalah', 'lawan', 'prancis', 'trus', 'lanjut', 'kalah', 'lgi', 'semifinal', 'copa', 'america', 'lawan', 'brazil', 'sampai', 'akhirnya', 'ditunggu', 'piala', 'major', 'pertama', 'messi', 'buat', 'argentina']</t>
  </si>
  <si>
    <t>&lt;FreqDist with 30 samples and 36 outcomes&gt;</t>
  </si>
  <si>
    <t>@chocozyyy @valencity_ Iyaa wkwk yg pas final piala dunia 3 gol dari dia semua dan pinalti dia juga yg ngasih gol</t>
  </si>
  <si>
    <t>iyaa wkwk pas final piala dunia gol dari dia semua dan pinalti dia juga ngasih gol</t>
  </si>
  <si>
    <t>['iyaa', 'pas', 'final', 'piala', 'dunia', 'gol', 'semua', 'penalti', 'ngasih', 'gol']</t>
  </si>
  <si>
    <t>Nobar seru Final FIFA World Cup 2022 Argentina Vs Perancis, yang nggak nonton Piala Dunia cek dong .  https://t.co/b2fVUcHOPK  https://t.co/jfcfterqoW</t>
  </si>
  <si>
    <t>nobar seru final fifa world cup argentina perancis yang nggak nonton piala dunia cek dong</t>
  </si>
  <si>
    <t>['nonton bareng', 'seru', 'final', 'fifa', 'world', 'cup', 'argentina', 'perancis', 'nonton', 'piala', 'dunia', 'cek', 'dong']</t>
  </si>
  <si>
    <t>Udah ngikutin messi dari sktr tahun 2010 pas pep ngelatih barca. Trus ikut nyesek pas kalah di final piala dunia 2014 lwan jerman, padahal tinggal selangkah lg buat angkat piala tp ya emang masih bukan rejeki. Ngga lama abis itu kalah lg di final copa america tahun 2016,-</t>
  </si>
  <si>
    <t>udah ngikutin messi dari sktr tahun pas pep ngelatih barca trus ikut nyesek pas kalah final piala dunia lwan jerman padahal tinggal selangkah buat angkat piala emang masih bukan rejeki ngga lama abis itu kalah final copa america tahun</t>
  </si>
  <si>
    <t>['udah', 'ngikutin', 'messi', 'sktr', 'tahun', 'pas', 'pep', 'ngelatih', 'barca', 'trus', 'ikut', 'nyesek', 'pas', 'kalah', 'final', 'piala', 'dunia', 'lwan', 'jerman', 'padahal', 'tinggal', 'selangkah', 'buat', 'angkat', 'piala', 'emang', 'bukan', 'rejeki', 'ngga', 'lama', 'abis', 'kalah', 'final', 'copa', 'america', 'tahun']</t>
  </si>
  <si>
    <t>&lt;FreqDist with 31 samples and 36 outcomes&gt;</t>
  </si>
  <si>
    <t>Update Ranking FIFA Kelar Final Piala Dunia 2022: Argentina Melesat ke Posisi 2, Segera Geser Brasil!   https://t.co/v4lLdfGeBs</t>
  </si>
  <si>
    <t>update ranking fifa kelar final piala dunia argentina melesat posisi segera geser brasil</t>
  </si>
  <si>
    <t>['update', 'ranking', 'fifa', 'kelar', 'final', 'piala', 'dunia', 'argentina', 'melesat', 'posisi', 'segera', 'geser', 'brasil']</t>
  </si>
  <si>
    <t>4 Potret WAGs di Final Piala Dunia 2022, Ada Antonela Roccuzzo hingga Erika Choperena #CelebritiesDotID #InfoCelebTerkini   https://t.co/QJeaQrwFs5</t>
  </si>
  <si>
    <t>potret wags final piala dunia ada antonela roccuzzo hingga erika choperena</t>
  </si>
  <si>
    <t>['potret', 'wags', 'final', 'piala', 'dunia', 'antonela', 'roccuzzo', 'hingga', 'erika', 'choperena']</t>
  </si>
  <si>
    <t>Kisah Dua "Bisht" pada Final Piala Dunia 2022  https://t.co/CQIGY8rqYb</t>
  </si>
  <si>
    <t>kisah dua bisht pada final piala dunia</t>
  </si>
  <si>
    <t>['kisah', 'bisht', 'final', 'piala', 'dunia']</t>
  </si>
  <si>
    <t>Kisah Dua "Bisht" pada Final Piala Dunia 2022  https://t.co/Og6gjP93wk</t>
  </si>
  <si>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</si>
  <si>
    <t>terdapat pemain yang tampil piala dunia qatar kemarin dari ketujuh pemain tersebut dan cukup menyorot perhatian karena tampil final keduanya tampil dari laga bersama prancis dan mencetak total gol dan umpan gol</t>
  </si>
  <si>
    <t>['terdapat', 'pemain', 'tampil', 'piala', 'dunia', 'qatar', 'kemarin', 'ketujuh', 'pemain', 'tersebut', 'cukup', 'menyorot', 'perhatian', 'tampil', 'final', 'keduanya', 'tampil', 'laga', 'bersama', 'prancis', 'mencetak', 'total', 'gol', 'umpan', 'gol']</t>
  </si>
  <si>
    <t>loh? piala dunia wes final ta?üò≠</t>
  </si>
  <si>
    <t>loh piala dunia wes final</t>
  </si>
  <si>
    <t>['piala', 'dunia', 'wes', 'final']</t>
  </si>
  <si>
    <t>Penyerang Tottenham Hotspur Richarlison akan menjalani pemindaian MRI setelah mengalami cedera hamstring saat Brasil kalah di perempat final Piala Dunia 2022  https://t.co/dhFnfYBLZr</t>
  </si>
  <si>
    <t>penyerang tottenham hotspur richarlison akan menjalani pemindaian mri setelah mengalami cedera hamstring saat brasil kalah perempat final piala dunia</t>
  </si>
  <si>
    <t>['penyerang', 'tottenham', 'hotspur', 'richarlison', 'menjalani', 'pemindaian', 'mri', 'mengalami', 'cedera', 'hamstring', 'brasil', 'kalah', 'perempat', 'final', 'piala', 'dunia']</t>
  </si>
  <si>
    <t>@idextratime ‚úÖPencetak gol Prancis pd final Piala Dunia 1998 yaitu :   ‚û°Ô∏èZin√©dine Yazid Zidane  ( 2 gol )   ‚û°Ô∏èEmmanuel Laurent Petit  ( 1 gol )  Yuk join kuisnya guys! Yeayy ~  @Dickykurnia26  @dzata14  @dody_roy24   #PilDunBarengIOH   Semoga k</t>
  </si>
  <si>
    <t>pencetak gol prancis final piala dunia yaitu zin dine yazid zidane gol emmanuel laurent petit gol yuk join kuisnya guys yeayy roy semoga</t>
  </si>
  <si>
    <t>['pencetak', 'gol', 'prancis', 'final', 'piala', 'dunia', 'zin', 'dine', 'yazid', 'zidane', 'gol', 'emmanuel', 'laurent', 'petit', 'gol', 'yuk', 'join', 'kuisnya', 'guys', 'yeayy', 'roy', 'semoga']</t>
  </si>
  <si>
    <t>@zenrs Pernah baca yg di final piala dunia antar klub pun begitu yah. Lupa klubnya apa. Main kasar lah intina</t>
  </si>
  <si>
    <t>pernah baca final piala dunia antar klub pun begitu yah lupa klubnya apa main kasar lah intina</t>
  </si>
  <si>
    <t>['pernah', 'baca', 'final', 'piala', 'dunia', 'antar', 'klub', 'lupa', 'klubnya', 'apa', 'main', 'kasar', 'lah', 'intina']</t>
  </si>
  <si>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</si>
  <si>
    <t>pencetak gol prancis final piala dunia yaitu zin dine yazid zidane gol emmanuel laurent petit gol yuk join kuisnya guys yeayy roy semoga kita beruntung</t>
  </si>
  <si>
    <t>['pencetak', 'gol', 'prancis', 'final', 'piala', 'dunia', 'zin', 'dine', 'yazid', 'zidane', 'gol', 'emmanuel', 'laurent', 'petit', 'gol', 'yuk', 'join', 'kuisnya', 'guys', 'yeayy', 'roy', 'semoga', 'beruntung']</t>
  </si>
  <si>
    <t>Pesepakbola Prancis Menjadi Sasaran Pelecehan Rasis ‚ÄòKebencian‚Äô Setelah Kekalahan Final Piala Dunia FIFA  https://t.co/NtHIUqZf8W</t>
  </si>
  <si>
    <t>pesepakbola prancis menjadi sasaran pelecehan rasis kebencian setelah kekalahan final piala dunia fifa</t>
  </si>
  <si>
    <t>['pesepakbola', 'prancis', 'menjadi', 'sasaran', 'pelecehan', 'rasis', 'kebencian', 'kekalahan', 'final', 'piala', 'dunia', 'fifa']</t>
  </si>
  <si>
    <t>@FaktaSepakbola Bentuk kekesalan nya karena gawangnya dijebol Mbappe 4 kali di Final Piala dunia.  Mau balas Mbappe di lapangan gak bisa jadi balasnya waktu Selebrasi aja üòÖ Martinez kadang kadang Martinez üòÖ</t>
  </si>
  <si>
    <t>bentuk kekesalan nya karena gawangnya dijebol mbappe kali final piala dunia mau balas mbappe lapangan gak bisa jadi balasnya waktu selebrasi aja martinez kadang kadang martinez</t>
  </si>
  <si>
    <t>['bentuk', 'kekesalan', 'gawangnya', 'dijebol', 'mbappe', 'kali', 'final', 'piala', 'dunia', 'mau', 'balas', 'mbappe', 'lapangan', 'jadi', 'balasnya', 'waktu', 'selebrasi', 'martinez', 'kadang', 'kadang', 'martinez']</t>
  </si>
  <si>
    <t>Menariknya, dari awal sebelum Piala Dunia mulai, saya sudah prediksi Perancis ketemu Argentina di final dan Argentina juara  https://t.co/JkNhcKHTVh</t>
  </si>
  <si>
    <t>menariknya dari awal sebelum piala dunia mulai saya sudah prediksi perancis ketemu argentina final dan argentina juara</t>
  </si>
  <si>
    <t>['menariknya', 'awal', 'piala', 'dunia', 'mulai', 'prediksi', 'perancis', 'ketemu', 'argentina', 'final', 'argentina', 'juara']</t>
  </si>
  <si>
    <t>Ini bukti transaksi bagi 3 pemenang tebak skor berhadiah final piala Dunia 2022 -2x45 menit, selamat beruntung, mohon maaf kalau ada yang beruntung kami tunggu kesempatan di lain waktu Terima kasih semuanya @fredellbenn @theirents @WisnuAndreas7  https://t.co/3IN2bpMjRI</t>
  </si>
  <si>
    <t>ini bukti transaksi bagi pemenang tebak skor berhadiah final piala dunia menit selamat beruntung mohon maaf kalau ada yang beruntung kami tunggu kesempatan lain waktu terima kasih semuanya</t>
  </si>
  <si>
    <t>['bukti', 'transaksi', 'pemenang', 'tebak', 'skor', 'berhadiah', 'final', 'piala', 'dunia', 'menit', 'selamat', 'beruntung', 'mohon', 'maaf', 'kalau', 'beruntung', 'tunggu', 'kesempatan', 'waktu', 'terima', 'kasih', 'semuanya']</t>
  </si>
  <si>
    <t>tiba tiba banyak yang mau pinjam uang. apakah efek final piala dunia kemarin? üòÖ</t>
  </si>
  <si>
    <t>tiba tiba banyak yang mau pinjam uang apakah efek final piala dunia kemarin</t>
  </si>
  <si>
    <t>['tiba', 'tiba', 'banyak', 'mau', 'pinjam', 'uang', 'efek', 'final', 'piala', 'dunia', 'kemarin']</t>
  </si>
  <si>
    <t>4. Lapas Palembang Kemenkumham Sumsel: Para petugas menggunakan jersey kebanggan tim masing-masing untuk menambah kemeriahan saat menonton final piala dunia. @Kemenkumham_RI    @kumhamsumsel Harun Sulianto #KumhamSumsel #HarunSulianto. @Lapas_Lahat  #lapaslahat</t>
  </si>
  <si>
    <t>lapas palembang kemenkumham sumsel para petugas menggunakan jersey kebanggan tim masing masing untuk menambah kemeriahan saat menonton final piala dunia harun sulianto lahat</t>
  </si>
  <si>
    <t>['lapas', 'palembang', 'kemenkumham', 'sumsel', 'petugas', 'menggunakan', 'jersey', 'kebanggan', 'tim', 'masing', 'masing', 'menambah', 'kemeriahan', 'menonton', 'final', 'piala', 'dunia', 'harun', 'sulianto', 'lahat']</t>
  </si>
  <si>
    <t>Innalillahi Alprih Mantan Asisten Panji Petualang Meninggal Dipatuk Ular Kobra Tepat Saat Final Piala Dunia 2022  https://t.co/aFYSyMFDOD</t>
  </si>
  <si>
    <t>innalillahi alprih mantan asisten panji petualang meninggal dipatuk ular kobra tepat saat final piala dunia</t>
  </si>
  <si>
    <t>['innalillahi', 'alprih', 'mantan', 'asisten', 'panji', 'petualang', 'meninggal', 'dipatuk', 'ular', 'kobra', 'tepat', 'final', 'piala', 'dunia']</t>
  </si>
  <si>
    <t>üì∞ | Lisandro Mart√≠nez dan Rapha√´l Varane diperkirakan tidak akan kembali ke Manchester hingga minggu depan setelah keterlibatan mereka dalam final Piala Dunia antara Argentina dan Prancis.  #MUFC #FIFAWorldCup || [ https://t.co/W4Rx1dJFhj]  https://t.co/GCHGvLKkMe</t>
  </si>
  <si>
    <t>lisandro mart nez dan rapha varane diperkirakan tidak akan kembali manchester hingga minggu depan setelah keterlibatan mereka dalam final piala dunia antara argentina dan prancis</t>
  </si>
  <si>
    <t>['lisandro', 'mart', 'nez', 'rapha', 'varane', 'diperkirakan', 'manchester', 'hingga', 'minggu', 'depan', 'keterlibatan', 'final', 'piala', 'dunia', 'argentina', 'prancis']</t>
  </si>
  <si>
    <t>Melihat nasib sial Prancis di partai final Piala Dunia 2022, ternyata ada lima negara yang kurang beruntung pada laga puncak. Siapa saja?   https://t.co/hRpLjtsRJc</t>
  </si>
  <si>
    <t>melihat nasib sial prancis partai final piala dunia ternyata ada lima negara yang kurang beruntung pada laga puncak siapa saja</t>
  </si>
  <si>
    <t>['melihat', 'nasib', 'sial', 'prancis', 'partai', 'final', 'piala', 'dunia', 'ternyata', 'lima', 'negara', 'kurang', 'beruntung', 'laga', 'puncak', 'siapa']</t>
  </si>
  <si>
    <t>Efek Final Piala Dunia, Jersey Messi dan Mbappe Laku Keras  https://t.co/j0LT5YpagG</t>
  </si>
  <si>
    <t>efek final piala dunia jersey messi dan mbappe laku keras</t>
  </si>
  <si>
    <t>['efek', 'final', 'piala', 'dunia', 'jersey', 'messi', 'mbappe', 'laku', 'keras']</t>
  </si>
  <si>
    <t>Antonela Roccuzzo menjadi sorotan pada final Piala Dunia 2022. Istri dari Messi ini bukan orang sembarangan, lho. Berikut pekerjaan yang ia lakukan.   https://t.co/QTOX32RuPb</t>
  </si>
  <si>
    <t>antonela roccuzzo menjadi sorotan pada final piala dunia istri dari messi ini bukan orang sembarangan lho berikut pekerjaan yang lakukan</t>
  </si>
  <si>
    <t>['antonela', 'roccuzzo', 'menjadi', 'sorotan', 'final', 'piala', 'dunia', 'istri', 'messi', 'bukan', 'orang', 'sembarangan', 'lho', 'berikut', 'pekerjaan', 'lakukan']</t>
  </si>
  <si>
    <t>üçº Produk susu bergambar Mbappe jatuh harga setengahnya pasca kekalahan tim Prancis di Final.  Beginilah cara China merayakan pemenang piala dunia (Messi Argentina)üòÅ  https://t.co/DAiCZ2ROOO</t>
  </si>
  <si>
    <t>produk susu bergambar mbappe jatuh harga setengahnya pasca kekalahan tim prancis final beginilah cara china merayakan pemenang piala dunia messi argentina</t>
  </si>
  <si>
    <t>['produk', 'susu', 'bergambar', 'mbappe', 'jatuh', 'harga', 'setengahnya', 'pasca', 'kekalahan', 'tim', 'prancis', 'final', 'beginilah', 'cara', 'china', 'merayakan', 'pemenang', 'piala', 'dunia', 'messi', 'argentina']</t>
  </si>
  <si>
    <t>Pertandingan "Piala Dunia 2022" telah usai dengan Argentina sebagai juaranya. Argentina berhasil mengalahkan Prancis dalam pertandingan final yang diselenggarakan pada Minggu (18/12/2022) di Stadion Lusail, Qatar.  https://t.co/8A0BtQMBGM</t>
  </si>
  <si>
    <t>pertandingan piala dunia telah usai dengan argentina sebagai juaranya argentina berhasil mengalahkan prancis dalam pertandingan final yang diselenggarakan pada minggu stadion lusail qatar</t>
  </si>
  <si>
    <t>['pertandingan', 'piala', 'dunia', 'usai', 'argentina', 'juaranya', 'argentina', 'berhasil', 'mengalahkan', 'prancis', 'pertandingan', 'final', 'diselenggarakan', 'minggu', 'stadion', 'lusail', 'qatar']</t>
  </si>
  <si>
    <t>Bukan Cuma Mbappe yang Tercepat, Pemain Papua Ini Juga Pernah Disorot karena Larinya: Kylian Mbappe menjadi pemain yang paling banyak disebut setelah Messi, usai Final Piala Dunia antara‚Ä¶  https://t.co/fGsBfQJ7rm #Bola #Mbappe #PemainPapua #Pelaritercepat #Pemaintercepat</t>
  </si>
  <si>
    <t>bukan cuma mbappe yang tercepat pemain papua ini juga pernah disorot karena larinya kylian mbappe menjadi pemain yang paling banyak disebut setelah messi usai final piala dunia antara</t>
  </si>
  <si>
    <t>['bukan', 'cuma', 'mbappe', 'tercepat', 'pemain', 'papua', 'pernah', 'disorot', 'larinya', 'kylian', 'mbappe', 'menjadi', 'pemain', 'paling', 'banyak', 'disebut', 'messi', 'usai', 'final', 'piala', 'dunia']</t>
  </si>
  <si>
    <t xml:space="preserve">@akatsvvki @nikkidp_ @d5ckyrahman @Buang_waktu_ @false10s @FaktaSepakbola tahu gue, tapi yg di bilang Mbappe fakta kan? tim Amerika Selatan baru juara lagi setelah 20 tahun? terus yang bisa masuk final piala dunia juga cuma 2 negara itu doang?  Messi aja </t>
  </si>
  <si>
    <t>waktu tahu gue tapi bilang mbappe fakta kan tim amerika selatan baru juara lagi setelah tahun terus yang bisa masuk final piala dunia juga cuma negara itu doang messi aja</t>
  </si>
  <si>
    <t>['waktu', 'tahu', 'gue', 'mbappe', 'fakta', 'kan', 'tim', 'amerika', 'selatan', 'baru', 'juara', 'tahun', 'terus', 'masuk', 'final', 'piala', 'dunia', 'cuma', 'negara', 'doang', 'messi']</t>
  </si>
  <si>
    <t>NEW EPISODE!  Piala Dunia berakhir, United kembali. Dari Argentina vs Prancis di Final World Cup, ke United vs Burnley di Carabao Cup. Hajar!  Bersama: @txtdarikemalvin  @sawunggg  @irvandiasanjaya   Tayang di spotify:  https://t.co/3oQAq4yGxr</t>
  </si>
  <si>
    <t>new episode piala dunia berakhir united kembali dari argentina prancis final world cup united burnley carabao cup hajar bersama tayang spotify</t>
  </si>
  <si>
    <t>['new', 'episode', 'piala', 'dunia', 'berakhir', 'united', 'argentina', 'prancis', 'final', 'world', 'cup', 'united', 'burnley', 'carabao', 'cup', 'hajar', 'bersama', 'tayang', 'spotify']</t>
  </si>
  <si>
    <t>@FaktaSepakbola Gak inget apa ya dia kalo udah di bobol 3x di final piala dunia sama mbappe, kiper tai</t>
  </si>
  <si>
    <t>gak inget apa dia kalo udah bobol final piala dunia sama mbappe kiper tai</t>
  </si>
  <si>
    <t>['inget', 'apa', 'udah', 'bobol', 'final', 'piala', 'dunia', 'sama', 'mbappe', 'kiper', 'tai']</t>
  </si>
  <si>
    <t>nanti suporter perancis bikin petisi ulang final piala dunia</t>
  </si>
  <si>
    <t>['suporter', 'perancis', 'petisi', 'ulang', 'final', 'piala', 'dunia']</t>
  </si>
  <si>
    <t>Antonela Roccuzzo menjadi sorotan pada final Piala Dunia 2022. Istri dari Messi ini bukan orang sembarangan, lho. Berikut pekerjaan yang ia lakukan.   https://t.co/cbcO9XKiwb</t>
  </si>
  <si>
    <t>Kejadian berawal ketika Alprih Priyono pergi menonton final piala dunia bersama teman-temannya, Minggu (18/122022). Diperjalanan Alprih Priyono bertemu seorang remaja yang memberikan ular kepadanya dengan dibungkus plastik.    https://t.co/5FdD7PuOBR via @serambinews</t>
  </si>
  <si>
    <t>kejadian berawal ketika alprih priyono pergi menonton final piala dunia bersama teman temannya minggu diperjalanan alprih priyono bertemu seorang remaja yang memberikan ular kepadanya dengan dibungkus plastik via</t>
  </si>
  <si>
    <t>['kejadian', 'berawal', 'alprih', 'priyono', 'pergi', 'menonton', 'final', 'piala', 'dunia', 'bersama', 'teman', 'temannya', 'minggu', 'diperjalanan', 'alprih', 'priyono', 'bertemu', 'seorang', 'remaja', 'memberikan', 'ular', 'kepadanya', 'dibungkus', 'plastik', 'via']</t>
  </si>
  <si>
    <t>Pelatih Tottenham, Antonio Conte, mengonfirmasi kabar Richarlison yang mengalami cedera hamstring saat Brasil kalah di perempat final Piala Dunia 2022 ketika melawan Kroasia.  https://t.co/uO5EQG6jwp</t>
  </si>
  <si>
    <t>pelatih tottenham antonio conte mengonfirmasi kabar richarlison yang mengalami cedera hamstring saat brasil kalah perempat final piala dunia ketika melawan kroasia</t>
  </si>
  <si>
    <t>['pelatih', 'tottenham', 'antonio', 'conte', 'mengonfirmasi', 'kabar', 'richarlison', 'mengalami', 'cedera', 'hamstring', 'brasil', 'kalah', 'perempat', 'final', 'piala', 'dunia', 'melawan', 'kroasia']</t>
  </si>
  <si>
    <t>@Omnduut @letterboxd Aku ntn ini saat semua orang ntn final piala dunia.  ü§£ü§£ sumpah bikin mood naik nian.</t>
  </si>
  <si>
    <t>aku ntn ini saat semua orang ntn final piala dunia sumpah bikin mood naik nian</t>
  </si>
  <si>
    <t>['aku', 'ntn', 'semua', 'orang', 'ntn', 'final', 'piala', 'dunia', 'sumpah', 'mood', 'naik', 'nian']</t>
  </si>
  <si>
    <t>ngel Di Maria tampil sensasional untuk Argentina di final Piala Dunia Qatar 2022.   https://t.co/E02Fm69i8x</t>
  </si>
  <si>
    <t>ngel maria tampil sensasional untuk argentina final piala dunia qatar</t>
  </si>
  <si>
    <t>['ngel', 'maria', 'tampil', 'sensasional', 'argentina', 'final', 'piala', 'dunia', 'qatar']</t>
  </si>
  <si>
    <t>"Kejadiannya pas malam Senin saat final Piala Dunia, jadi saat Alprih itu menangani ular king kobra," ujar Iroh, di rumahnya, Selasa (20/12/2022).  Diduga ular kaget ketika sejumlah orang bersorak merayakan gol kedua Argentina.   https://t.co/b55E24eqNr</t>
  </si>
  <si>
    <t>kejadiannya pas malam senin saat final piala dunia jadi saat alprih itu menangani ular king kobra ujar iroh rumahnya selasa diduga ular kaget ketika sejumlah orang bersorak merayakan gol kedua argentina</t>
  </si>
  <si>
    <t>['kejadiannya', 'pas', 'malam', 'senin', 'final', 'piala', 'dunia', 'jadi', 'alprih', 'menangani', 'ular', 'king', 'kobra', 'ujar', 'iroh', 'rumahnya', 'selasa', 'diduga', 'ular', 'kaget', 'sejumlah', 'orang', 'bersorak', 'merayakan', 'gol', 'kedua', 'argentina']</t>
  </si>
  <si>
    <t>Bener-bener bersyukur bgt bisa dipertemukan sama masjib walaupun kadang nyebelin buanget wkwkwk. Sampe detik ini aku masih ga terima gara2 dia aku jadi ga nonton final piala dunia tahun iniiiiii zzzz</t>
  </si>
  <si>
    <t>bener bener bersyukur bgt bisa dipertemukan sama masjib walaupun kadang nyebelin buanget wkwkwk sampe detik ini aku masih terima gara dia aku jadi nonton final piala dunia tahun iniiiiii zzzz</t>
  </si>
  <si>
    <t>['benar', 'benar', 'bersyukur', 'banget', 'dipertemukan', 'sama', 'masjib', 'walaupun', 'kadang', 'nyebelin', 'buanget', 'wkwkwk', 'sampai', 'detik', 'aku', 'terima', 'gara', 'aku', 'jadi', 'nonton', 'final', 'piala', 'dunia', 'tahun', 'iniiiiii', 'zzzz']</t>
  </si>
  <si>
    <t>Lebih horor dr final piala dunia 2022.</t>
  </si>
  <si>
    <t>lebih horor final piala dunia</t>
  </si>
  <si>
    <t>['lebih', 'horor', 'final', 'piala', 'dunia']</t>
  </si>
  <si>
    <t>@AtletMalaysia Tukar lah sekali presiden tu, apa kaitan presiden bulu tangkis pergi final piala dunia bola sepak, vip ticket</t>
  </si>
  <si>
    <t>tukar lah sekali presiden apa kaitan presiden bulu tangkis pergi final piala dunia bola sepak vip ticket</t>
  </si>
  <si>
    <t>['tukar', 'lah', 'sekali', 'presiden', 'apa', 'kaitan', 'presiden', 'bulu', 'tangkis', 'pergi', 'final', 'piala', 'dunia', 'bola', 'sepak', 'vip', 'ticket']</t>
  </si>
  <si>
    <t>6 Tokoh Indonesia dan Luar Negeri yang Nonton Final Piala Dunia 2022, dari David Beckham hingga Nex Carlos  https://t.co/0sS4eLt8uC</t>
  </si>
  <si>
    <t>tokoh indonesia dan luar negeri yang nonton final piala dunia dari david beckham hingga nex carlos</t>
  </si>
  <si>
    <t>['tokoh', 'indonesia', 'luar', 'negeri', 'nonton', 'final', 'piala', 'dunia', 'david', 'beckham', 'hingga', 'nex', 'carlos']</t>
  </si>
  <si>
    <t>Infografis Topik Final Piala Dunia 2022 Pecahkan Rekor Traffic Pencarian Tertinggi di Google Selama 25 Tahun #CelebritiesDotID #InfoCelebTerkini   https://t.co/GHLOsxSWKd</t>
  </si>
  <si>
    <t>infografis topik final piala dunia pecahkan rekor traffic pencarian tertinggi google selama tahun</t>
  </si>
  <si>
    <t>['infografis', 'topik', 'final', 'piala', 'dunia', 'pecahkan', 'rekor', 'traffic', 'pencarian', 'tertinggi', 'google', 'selama', 'tahun']</t>
  </si>
  <si>
    <t>Itu lah mengapa di lagu kebangsaan Belanda ada teks yg memuja raja Spanyol. Jadi waktu final Piala Dunia 2010, pemain2 bola Belanda memuja raja Spanyol dlm lagu kebangsaannya sementara pemain2 Spanyol (krn sejarah Perang Saudara) tak ada teks memuja kerajaan</t>
  </si>
  <si>
    <t>itu lah mengapa lagu kebangsaan belanda ada teks memuja raja spanyol jadi waktu final piala dunia pemain bola belanda memuja raja spanyol dlm lagu kebangsaannya sementara pemain spanyol krn sejarah perang saudara tak ada teks memuja kerajaan</t>
  </si>
  <si>
    <t>['lah', 'lagu', 'kebangsaan', 'belanda', 'teks', 'memuja', 'raja', 'spanyol', 'jadi', 'waktu', 'final', 'piala', 'dunia', 'pemain', 'bola', 'belanda', 'memuja', 'raja', 'spanyol', 'dlm', 'lagu', 'kebangsaannya', 'pemain', 'spanyol', 'sejarah', 'perang', 'saudara', 'tak', 'teks', 'memuja', 'kerajaan']</t>
  </si>
  <si>
    <t>Leicester kembali beraksi setelah jeda Piala Dunia mengamankan tempat mereka di perempat final Piala Carabao.  https://t.co/7pHBoUBA8Z</t>
  </si>
  <si>
    <t>leicester kembali beraksi setelah jeda piala dunia mengamankan tempat mereka perempat final piala carabao</t>
  </si>
  <si>
    <t>['leicester', 'beraksi', 'jeda', 'piala', 'dunia', 'mengamankan', 'tempat', 'perempat', 'final', 'piala', 'carabao']</t>
  </si>
  <si>
    <t>Istri Cantik Pamer Pesan yang Terwujud: Angel Di Maria Cetak Gol di Final Piala Dunia 2022  https://t.co/rHAQ6qdPXH</t>
  </si>
  <si>
    <t>istri cantik pamer pesan yang terwujud angel maria cetak gol final piala dunia</t>
  </si>
  <si>
    <t>['istri', 'cantik', 'pamer', 'pesan', 'terwujud', 'angel', 'maria', 'cetak', 'gol', 'final', 'piala', 'dunia']</t>
  </si>
  <si>
    <t>@ayampoll Ini bukan masalah fakta atau gak lol, kita semua tau negara kita tertinggal, tapi coba aja kalau salah satu pemain jepang ngomong kayak gitu dan alhasil kita ngalahin mereka di final terbesar piala dunia, jelas kita bakal bereaksi berlebihan dgn</t>
  </si>
  <si>
    <t>ini bukan masalah fakta atau gak lol kita semua tau negara kita tertinggal tapi coba aja kalau salah satu pemain jepang ngomong kayak gitu dan alhasil kita ngalahin mereka final terbesar piala dunia jelas kita bakal bereaksi berlebihan dgn</t>
  </si>
  <si>
    <t>['bukan', 'masalah', 'fakta', 'laugh out loud', 'semua', 'negara', 'tertinggal', 'coba', 'kalau', 'salah', 'satu', 'pemain', 'jepang', 'ngomong', 'seperti', 'gitu', 'alhasil', 'ngalahin', 'final', 'terbesar', 'piala', 'dunia', 'jelas', 'bakal', 'bereaksi', 'berlebihan']</t>
  </si>
  <si>
    <t>Ribuan Orang Nobar Final Piala Dunia 2022 di Kantor Partai Golkar DKI Jakarta  https://t.co/NZZ1E7B3eZ</t>
  </si>
  <si>
    <t>ribuan orang nobar final piala dunia kantor partai golkar dki jakarta</t>
  </si>
  <si>
    <t>['ribuan', 'orang', 'nonton bareng', 'final', 'piala', 'dunia', 'kantor', 'partai', 'golkar', 'dki', 'jakarta']</t>
  </si>
  <si>
    <t>@ancealaa @SiaranBolaLive jadi maksudnya final piala dunia thailand vs indonesia?</t>
  </si>
  <si>
    <t>jadi maksudnya final piala dunia thailand indonesia</t>
  </si>
  <si>
    <t>['jadi', 'maksudnya', 'final', 'piala', 'dunia', 'thailand', 'indonesia']</t>
  </si>
  <si>
    <t>Biarpun gagal mempertahankan Piala Dunia, kejayaan mara ke final tetap dihargai oleh rakyat Perancis apabila kira-kira 50,000 peminat berkumpul menyambut kepulangan wira-wira mereka sebaik sahaja tiba di tanah air semalam.  https://t.co/SgDHuWhYNV</t>
  </si>
  <si>
    <t>biarpun gagal mempertahankan piala dunia kejayaan mara final tetap dihargai oleh rakyat perancis apabila kira kira peminat berkumpul menyambut kepulangan wira wira mereka sebaik sahaja tiba tanah air semalam</t>
  </si>
  <si>
    <t>['biarpun', 'gagal', 'mempertahankan', 'piala', 'dunia', 'kejayaan', 'mara', 'final', 'tetap', 'dihargai', 'rakyat', 'perancis', 'apabila', 'kira', 'kira', 'peminat', 'berkumpul', 'menyambut', 'kepulangan', 'wira', 'wira', 'sebaik', 'sahaja', 'tiba', 'tanah', 'air', 'semalam']</t>
  </si>
  <si>
    <t>Top News Koran Rakyat Merdeka   Cerita Airlangga Di Acara Peluncuran Buku  Penanganan Covid-19 Mirip Final Piala Dunia  https://t.co/PcuLg3Iedl</t>
  </si>
  <si>
    <t>top news koran rakyat merdeka cerita airlangga acara peluncuran buku penanganan covid mirip final piala dunia</t>
  </si>
  <si>
    <t>['top', 'news', 'koran', 'rakyat', 'merdeka', 'cerita', 'airlangga', 'acara', 'peluncuran', 'buku', 'penanganan', 'covid', 'mirip', 'final', 'piala', 'dunia']</t>
  </si>
  <si>
    <t>@idextratime Funfact ARGENTINA 2018 France juara Dunia  2019 Brazil juara Copa America  2021 Italy juara Euro Semua negara diatas kalah sama Argentina 2022 France kalah di final Piala Dunia 2021 Brazil kalah di final Copa America 2022 Italy kalah di Final</t>
  </si>
  <si>
    <t>funfact argentina france juara dunia brazil juara copa america italy juara euro semua negara diatas kalah sama argentina france kalah final piala dunia brazil kalah final copa america italy kalah final</t>
  </si>
  <si>
    <t>['funfact', 'argentina', 'france', 'juara', 'dunia', 'brazil', 'juara', 'copa', 'america', 'italy', 'juara', 'euro', 'semua', 'negara', 'diatas', 'kalah', 'sama', 'argentina', 'france', 'kalah', 'final', 'piala', 'dunia', 'brazil', 'kalah', 'final', 'copa', 'america', 'italy', 'kalah', 'final']</t>
  </si>
  <si>
    <t>&lt;FreqDist with 17 samples and 31 outcomes&gt;</t>
  </si>
  <si>
    <t>@tanyarlfes Perasaan baru final piala dunia kemarin banyak nge tweet messinya ü•≤  https://t.co/TWYyfUVVP5</t>
  </si>
  <si>
    <t>perasaan baru final piala dunia kemarin banyak nge tweet messinya</t>
  </si>
  <si>
    <t>['perasaan', 'baru', 'final', 'piala', 'dunia', 'kemarin', 'banyak', 'nge', 'tweet', 'messinya']</t>
  </si>
  <si>
    <t>Funfact ARGENTINA 2018 France juara Dunia  2019 Brazil juara Copa America  2021 Italy juara Euro Semua negara diatas kalah sama Argentina 2022 France kalah di final Piala Dunia 2021 Brazil kalah di final Copa America 2022 Italy kalah di Finalisima  ARGENTINA conquered the world</t>
  </si>
  <si>
    <t>funfact argentina france juara dunia brazil juara copa america italy juara euro semua negara diatas kalah sama argentina france kalah final piala dunia brazil kalah final copa america italy kalah finalisima argentina conquered the world</t>
  </si>
  <si>
    <t>['funfact', 'argentina', 'france', 'juara', 'dunia', 'brazil', 'juara', 'copa', 'america', 'italy', 'juara', 'euro', 'semua', 'negara', 'diatas', 'kalah', 'sama', 'argentina', 'france', 'kalah', 'final', 'piala', 'dunia', 'brazil', 'kalah', 'final', 'copa', 'america', 'italy', 'kalah', 'finalisima', 'argentina', 'conquered', 'the', 'world']</t>
  </si>
  <si>
    <t>&lt;FreqDist with 21 samples and 35 outcomes&gt;</t>
  </si>
  <si>
    <t>Duh, nonton bareng final Piala Dunia 2022 Qatar berubah menjadi tragedi!   https://t.co/aJpoS5F2lT  https://t.co/FYHEXgKBFH</t>
  </si>
  <si>
    <t>duh nonton bareng final piala dunia qatar berubah menjadi tragedi</t>
  </si>
  <si>
    <t>['duh', 'nonton', 'bareng', 'final', 'piala', 'dunia', 'qatar', 'berubah', 'menjadi', 'tragedi']</t>
  </si>
  <si>
    <t>@SiaranBolaLive Ngebayangin itu semua adalah fans timnas Indonesia, yang abis bikin prestasi di Piala Dunia 2026 dengan finish runner up, kalah di final lawan Belanda dengan skor 2-1, gol timnas dicetak oleh Dedik di menit 110 extra time setelah menngocek</t>
  </si>
  <si>
    <t>ngebayangin itu semua adalah fans timnas indonesia yang abis bikin prestasi piala dunia dengan finish runner kalah final lawan belanda dengan skor gol timnas dicetak oleh dedik menit extra time setelah menngocek</t>
  </si>
  <si>
    <t>['ngebayangin', 'semua', 'fans', 'timnas', 'indonesia', 'abis', 'prestasi', 'piala', 'dunia', 'finish', 'runner', 'kalah', 'final', 'lawan', 'belanda', 'skor', 'gol', 'timnas', 'dicetak', 'dedik', 'menit', 'extra', 'time', 'menngocek']</t>
  </si>
  <si>
    <t>Euforia Nobar Final Piala Dunia 2022 di Kota Bengkulu  https://t.co/CadcJsWm0L</t>
  </si>
  <si>
    <t>euforia nobar final piala dunia kota bengkulu</t>
  </si>
  <si>
    <t>['euforia', 'nonton bareng', 'final', 'piala', 'dunia', 'kota', 'bengkulu']</t>
  </si>
  <si>
    <t>Didier Deschamps memainkan peran penting dalam membawa Perancis ke partai final PIala Dunia 2022 di Qatar. #Headline  https://t.co/pANCjAwFGp</t>
  </si>
  <si>
    <t>didier deschamps memainkan peran penting dalam membawa perancis partai final piala dunia qatar</t>
  </si>
  <si>
    <t>['didier', 'deschamps', 'memainkan', 'peran', 'penting', 'membawa', 'perancis', 'partai', 'final', 'piala', 'dunia', 'qatar']</t>
  </si>
  <si>
    <t>@BUKAN_KAMUI @SiaranBolaLive Kok Dodo? Emang dia masuk final? ü§£ Ini kan konteksnya Piala Dunia, kalo mau sisa dua orang ya harusnya Messi dan Mbappe lah.</t>
  </si>
  <si>
    <t>kamui kok dodo emang dia masuk final ini kan konteksnya piala dunia kalo mau sisa dua orang harusnya messi dan mbappe lah</t>
  </si>
  <si>
    <t>['kamui', 'kok', 'dodo', 'emang', 'masuk', 'final', 'kan', 'konteksnya', 'piala', 'dunia', 'mau', 'sisa', 'orang', 'harusnya', 'messi', 'mbappe', 'lah']</t>
  </si>
  <si>
    <t xml:space="preserve"> https://t.co/r0cwncQiTl Info main bola FFF Mengutuk Aksi Pelecehan Rasisme Terhadap Pemain Timnas Prancis di Final Piala Dunia 2022  https://t.co/YvfQXw8Eu5</t>
  </si>
  <si>
    <t>info main bola fff mengutuk aksi pelecehan rasisme terhadap pemain timnas prancis final piala dunia</t>
  </si>
  <si>
    <t>['info', 'main', 'bola', 'fff', 'mengutuk', 'aksi', 'pelecehan', 'rasisme', 'pemain', 'timnas', 'prancis', 'final', 'piala', 'dunia']</t>
  </si>
  <si>
    <t>Bupati Indah Sebut Laga Final Argentina vs Prancis Paling Hebat Sepanjang Sejarah Piala Dunia -  https://t.co/eEsy0IDKbM  https://t.co/msaZpSdRzJ</t>
  </si>
  <si>
    <t>bupati indah sebut laga final argentina prancis paling hebat sepanjang sejarah piala dunia</t>
  </si>
  <si>
    <t>['bupati', 'indah', 'sebut', 'laga', 'final', 'argentina', 'prancis', 'paling', 'hebat', 'sepanjang', 'sejarah', 'piala', 'dunia']</t>
  </si>
  <si>
    <t>Selain final yang dianggap terbaik sepanjang sejarah, upaya tim medioker mempersempit kesenjangan dengan kekuatan tradisional adalah warisan terbesar Piala Dunia 2022 untuk wajah baru pentas dunia ini di 2026. #Olahraga #AdadiKompas   https://t.co/tbWreG4qZq</t>
  </si>
  <si>
    <t>selain final yang dianggap terbaik sepanjang sejarah upaya tim medioker mempersempit kesenjangan dengan kekuatan tradisional adalah warisan terbesar piala dunia untuk wajah baru pentas dunia ini</t>
  </si>
  <si>
    <t>['final', 'dianggap', 'terbaik', 'sepanjang', 'sejarah', 'upaya', 'tim', 'medioker', 'mempersempit', 'kesenjangan', 'kekuatan', 'tradisional', 'warisan', 'terbesar', 'piala', 'dunia', 'wajah', 'baru', 'pentas', 'dunia']</t>
  </si>
  <si>
    <t>Presiden Jokowi Beri Jawaban Seputar Kemenangan Argentina Vs Prancis di Final Piala Dunia 2022 Qatar #Jokowi #PialaDunia2022 #persibvspersis #beritaviral  https://t.co/oQ2GUGbjiR</t>
  </si>
  <si>
    <t>presiden jokowi beri jawaban seputar kemenangan argentina prancis final piala dunia qatar</t>
  </si>
  <si>
    <t>['presiden', 'jokowi', 'beri', 'jawaban', 'seputar', 'kemenangan', 'argentina', 'prancis', 'final', 'piala', 'dunia', 'qatar']</t>
  </si>
  <si>
    <t>@SiaranBolaLive Itu gua dm sebelom final piala dunia bos</t>
  </si>
  <si>
    <t>itu gua sebelom final piala dunia bos</t>
  </si>
  <si>
    <t>['gua', 'sebelom', 'final', 'piala', 'dunia', 'bos']</t>
  </si>
  <si>
    <t>Dinar Candy Ngaku Lemes Saat Hibur Penonton Final Piala Dunia 2022, Kenapa?  https://t.co/hyab67zRtq  https://t.co/L12TlzN5fe</t>
  </si>
  <si>
    <t>dinar candy ngaku lemes saat hibur penonton final piala dunia kenapa</t>
  </si>
  <si>
    <t>['dinar', 'candy', 'ngaku', 'lemes', 'hibur', 'penonton', 'final', 'piala', 'dunia']</t>
  </si>
  <si>
    <t xml:space="preserve">@gilang__33 @SiaranBolaLive Faktanya bakat amerika latin masih ada di eropa  Brazil juara piala dunia terbanyak + Messi ballondor terbanyak dari amerka semua   di final lu punya chance 50:50 hormatin lawanmu , lu blg argentina sama brazil ktinggalan sama </t>
  </si>
  <si>
    <t>faktanya bakat amerika latin masih ada eropa brazil juara piala dunia terbanyak messi ballondor terbanyak dari amerka semua final punya chance hormatin lawanmu blg argentina sama brazil ktinggalan sama</t>
  </si>
  <si>
    <t>['faktanya', 'bakat', 'amerika', 'latin', 'eropa', 'brazil', 'juara', 'piala', 'dunia', 'terbanyak', 'messi', 'ballondor', 'terbanyak', 'amerka', 'semua', 'final', 'punya', 'chance', 'hormatin', 'lawanmu', 'blg', 'argentina', 'sama', 'brazil', 'ktinggalan', 'sama']</t>
  </si>
  <si>
    <t>Selain final yang dianggap terbaik sepanjang sejarah, upaya tim medioker mempersempit kesenjangan dengan kekuatan tradisional adalah warisan terbesar Piala Dunia 2022 untuk wajah baru pentas dunia ini di 2026. #Olahraga #AdadiKompas  https://t.co/4GpTcSdEb4</t>
  </si>
  <si>
    <t>@banjarbase handak final piala dunia rematch</t>
  </si>
  <si>
    <t>handak final piala dunia rematch</t>
  </si>
  <si>
    <t>['handak', 'final', 'piala', 'dunia', 'rematch']</t>
  </si>
  <si>
    <t xml:space="preserve">@ChampionsLeague Gak bisa bayangin kalau nanti Indonesia masuk piala dunia dan lolos grup menang di 16 besar, mengalahkan negara kuat di perempat final, masuk semifinal melawan juara bertahan, dan keluar sebagai juara dunia,  (( byur)) üåäüíßbuset lagi </t>
  </si>
  <si>
    <t>gak bisa bayangin kalau nanti indonesia masuk piala dunia dan lolos grup menang besar mengalahkan negara kuat perempat final masuk semifinal melawan juara bertahan dan keluar sebagai juara dunia byur buset lagi</t>
  </si>
  <si>
    <t>['bayangin', 'kalau', 'indonesia', 'masuk', 'piala', 'dunia', 'lolos', 'grup', 'menang', 'besar', 'mengalahkan', 'negara', 'kuat', 'perempat', 'final', 'masuk', 'semifinal', 'melawan', 'juara', 'bertahan', 'keluar', 'juara', 'dunia', 'byur', 'buset']</t>
  </si>
  <si>
    <t>@Messinisti @muna_fiks @Agil27559402 @Herwinwijaya13 @SiaranBolaLive Faktanya bakat amerika latin masih ada di eropa  Brazil juara piala dunia terbanyak + Messi ballondor terbanyak dari amerka semua   di final lu punya chance 50:50 hormatin lawanmu , lu b</t>
  </si>
  <si>
    <t>fiks faktanya bakat amerika latin masih ada eropa brazil juara piala dunia terbanyak messi ballondor terbanyak dari amerka semua final punya chance hormatin lawanmu</t>
  </si>
  <si>
    <t>['fiks', 'faktanya', 'bakat', 'amerika', 'latin', 'eropa', 'brazil', 'juara', 'piala', 'dunia', 'terbanyak', 'messi', 'ballondor', 'terbanyak', 'amerka', 'semua', 'final', 'punya', 'chance', 'hormatin', 'lawanmu']</t>
  </si>
  <si>
    <t>@twkongko @_BangFu Btw Zidane itu pensiun di Usia 34 tahun pas masih top perform loh. Masih main di Real Madrid dan masuk final piala dunia. Apalagi bandingin sama Maradona. Maradona bisa juara bareng klub medioker, Messi cuma main sama pemain uang udsh b</t>
  </si>
  <si>
    <t>btw zidane itu pensiun usia tahun pas masih top perform loh masih main real madrid dan masuk final piala dunia apalagi bandingin sama maradona maradona bisa juara bareng klub medioker messi cuma main sama pemain uang udsh</t>
  </si>
  <si>
    <t>['by the way', 'zidane', 'pensiun', 'usia', 'tahun', 'pas', 'top', 'perform', 'main', 'real', 'madrid', 'masuk', 'final', 'piala', 'dunia', 'bandingin', 'sama', 'maradona', 'maradona', 'juara', 'bareng', 'klub', 'medioker', 'messi', 'cuma', 'main', 'sama', 'pemain', 'uang', 'udsh']</t>
  </si>
  <si>
    <t>Kiper Argentina Dituding Curang saat Final Piala Dunia 2022  https://t.co/YNlIRa5Ccy</t>
  </si>
  <si>
    <t>kiper argentina dituding curang saat final piala dunia</t>
  </si>
  <si>
    <t>['kiper', 'argentina', 'dituding', 'curang', 'final', 'piala', 'dunia']</t>
  </si>
  <si>
    <t>FFF Mengutuk Aksi Pelecehan Rasisme Terhadap Pemain Timnas Prancis di Final Piala Dunia 2022 #EMTEKWORLDCUP2022 #BOLANETWORLDCUP2022 #PialaDunia #PialaDunia2022  https://t.co/rq7Mc2arLH</t>
  </si>
  <si>
    <t>fff mengutuk aksi pelecehan rasisme terhadap pemain timnas prancis final piala dunia</t>
  </si>
  <si>
    <t>['fff', 'mengutuk', 'aksi', 'pelecehan', 'rasisme', 'pemain', 'timnas', 'prancis', 'final', 'piala', 'dunia']</t>
  </si>
  <si>
    <t>Pertandingan Argentina vs Perancis banyak disebut warganet sebagai final terbaik sepanjang sejarah Piala Dunia. #kajiandata #AdadiKompas   https://t.co/9FVnKXl9dr</t>
  </si>
  <si>
    <t>pertandingan argentina perancis banyak disebut warganet sebagai final terbaik sepanjang sejarah piala dunia</t>
  </si>
  <si>
    <t>['pertandingan', 'argentina', 'perancis', 'banyak', 'disebut', 'warganet', 'final', 'terbaik', 'sepanjang', 'sejarah', 'piala', 'dunia']</t>
  </si>
  <si>
    <t>Pertandingan Argentina vs Perancis banyak disebut warganet sebagai final terbaik sepanjang sejarah Piala Dunia. #Riset  #AdadiKompas   https://t.co/Jse7XYNnDz</t>
  </si>
  <si>
    <t>üí≠ tiba tiba kangen vibes begadang nonton Final Piala Dunia 2022</t>
  </si>
  <si>
    <t>tiba tiba kangen vibes begadang nonton final piala dunia</t>
  </si>
  <si>
    <t>['tiba', 'tiba', 'kangen', 'vibes', 'begadang', 'nonton', 'final', 'piala', 'dunia']</t>
  </si>
  <si>
    <t>Keseruan Final Piala Dunia Qatar 2022 Argentina VS France di Dau, Malang Jawa Timur  https://t.co/eI1F9Jo7d3</t>
  </si>
  <si>
    <t>keseruan final piala dunia qatar argentina france dau malang jawa timur</t>
  </si>
  <si>
    <t>['keseruan', 'final', 'piala', 'dunia', 'qatar', 'argentina', 'france', 'dau', 'malang', 'jawa', 'timur']</t>
  </si>
  <si>
    <t>FFF Mengutuk Aksi Pelecehan Rasisme Terhadap Pemain Timnas Prancis di Final Piala Dunia 2022  üëáüèªüëáüèªüëáüèª   https://t.co/MTUTFNg6Z6  Whatsapp : +855 96 399 1241  #Ligabintang #Beritabolanews #beritaviral #salamhokiligabintang  https://t.co/yczmW2aRNv</t>
  </si>
  <si>
    <t>fff mengutuk aksi pelecehan rasisme terhadap pemain timnas prancis final piala dunia whatsapp</t>
  </si>
  <si>
    <t>['fff', 'mengutuk', 'aksi', 'pelecehan', 'rasisme', 'pemain', 'timnas', 'prancis', 'final', 'piala', 'dunia', 'whatsapp']</t>
  </si>
  <si>
    <t>Nobar di Pos RT 004/RW 014 BSP: Keren! Argentina Kalahkan Prancis di Final Piala Dunia 2022 Qatar  https://t.co/qeenSIySXD</t>
  </si>
  <si>
    <t>nobar pos bsp keren argentina kalahkan prancis final piala dunia qatar</t>
  </si>
  <si>
    <t>['nonton bareng', 'pos', 'bsp', 'keren', 'argentina', 'kalahkan', 'prancis', 'final', 'piala', 'dunia', 'qatar']</t>
  </si>
  <si>
    <t>@indocringe_ Suami gw ga suka bola biasa aja tuh, orang2 nonton final piala dunia, suami gw malah nemenin istrinya nonton Drakor.</t>
  </si>
  <si>
    <t>suami suka bola biasa aja tuh orang nonton final piala dunia suami malah nemenin istrinya nonton drakor</t>
  </si>
  <si>
    <t>['suami', 'suka', 'bola', 'biasa', 'orang', 'nonton', 'final', 'piala', 'dunia', 'suami', 'malah', 'nemenin', 'istrinya', 'nonton', 'drakor']</t>
  </si>
  <si>
    <t>Jorginho mengaku malas betul menonton Piala Dunia 2022. Gelandang Italia itu baru mau menyaksikannya di saat partai final digelar.  https://t.co/knEohL2f5q</t>
  </si>
  <si>
    <t>jorginho mengaku malas betul menonton piala dunia gelandang italia itu baru mau menyaksikannya saat partai final digelar</t>
  </si>
  <si>
    <t>['jorginho', 'mengaku', 'malas', 'betul', 'menonton', 'piala', 'dunia', 'gelandang', 'italia', 'baru', 'mau', 'menyaksikannya', 'partai', 'final', 'digelar']</t>
  </si>
  <si>
    <t>Jorginho mengaku malas betul menonton Piala Dunia 2022. Gelandang Italia itu baru mau menyaksikannya di saat partai final digelar.  https://t.co/s6Z71vr5FP</t>
  </si>
  <si>
    <t>PRESIDEN ERDOGAN DAN ELON MUSK BERTEMU DI QATAR  Presiden Turki Recep Tayyip Erdoƒüan menyaksikan pertandingan Argentina dan Prancis pada pertandingan final Piala Dunia FIFA 2022 yang digelar di stadion Lusail Qatar, Ahad (18/12/22).  https://t.co/SUSFaLaGtB</t>
  </si>
  <si>
    <t>presiden erdogan dan elon musk bertemu qatar presiden turki recep tayyip erdo menyaksikan pertandingan argentina dan prancis pada pertandingan final piala dunia fifa yang digelar stadion lusail qatar ahad</t>
  </si>
  <si>
    <t>['presiden', 'erdogan', 'elon', 'musk', 'bertemu', 'qatar', 'presiden', 'turki', 'recep', 'tayyip', 'erdo', 'menyaksikan', 'pertandingan', 'argentina', 'prancis', 'pertandingan', 'final', 'piala', 'dunia', 'fifa', 'digelar', 'stadion', 'lusail', 'qatar', 'ahad']</t>
  </si>
  <si>
    <t>akhirnya sampe di babak pinalti, deg-degan parah dan walaaaa ternyata argentina yang menang.  TAPI GA APA-APA! INI FINAL PIALA DUNIA TERBAIK SIH!!! ayah bahkan geleng-geleng saking serunya ini final wkwkkwk.</t>
  </si>
  <si>
    <t>akhirnya sampe babak pinalti deg degan parah dan walaaaa ternyata argentina yang menang tapi apa apa ini final piala dunia terbaik sih ayah bahkan geleng geleng saking serunya ini final wkwkkwk</t>
  </si>
  <si>
    <t>['akhirnya', 'sampai', 'babak', 'penalti', 'deg', 'degan', 'parah', 'walaaaa', 'ternyata', 'argentina', 'menang', 'apa', 'apa', 'final', 'piala', 'dunia', 'terbaik', 'ayah', 'bahkan', 'geleng', 'geleng', 'saking', 'serunya', 'final', 'wkwkkwk']</t>
  </si>
  <si>
    <t>Memang ada beberapa tulisan Arab yang tercetak di kulit bola Al-Ahlam yang dipakai saat final piala dunia kemarin, seperti</t>
  </si>
  <si>
    <t>memang ada beberapa tulisan arab yang tercetak kulit bola ahlam yang dipakai saat final piala dunia kemarin seperti</t>
  </si>
  <si>
    <t>['memang', 'beberapa', 'tulisan', 'arab', 'tercetak', 'kulit', 'bola', 'ahlam', 'dipakai', 'final', 'piala', 'dunia', 'kemarin']</t>
  </si>
  <si>
    <t>Seorang kawan bertanya saat kami tengah menyaksikan final piala dunia antara Argentina dan Prancis  "Bang emang itu ada tulisan bahasa Arab di bola gapapa ya ditendang?"  https://t.co/4aVFlzsWT4</t>
  </si>
  <si>
    <t>seorang kawan bertanya saat kami tengah menyaksikan final piala dunia antara argentina dan prancis bang emang itu ada tulisan bahasa arab bola gapapa ditendang</t>
  </si>
  <si>
    <t>['seorang', 'kawan', 'bertanya', 'tengah', 'menyaksikan', 'final', 'piala', 'dunia', 'argentina', 'prancis', 'bang', 'emang', 'tulisan', 'bahasa', 'arab', 'bola', 'gapapa', 'ditendang']</t>
  </si>
  <si>
    <t>Gagal Penalti di Final Piala Dunia 2022, 2 Pemain Prancis Kena Serangan Rasis  https://t.co/X0W9LHMlDH</t>
  </si>
  <si>
    <t>gagal penalti final piala dunia pemain prancis kena serangan rasis</t>
  </si>
  <si>
    <t>['gagal', 'penalti', 'final', 'piala', 'dunia', 'pemain', 'prancis', 'kena', 'serangan', 'rasis']</t>
  </si>
  <si>
    <t xml:space="preserve">@UTDwib @idextratime Varane OP pas di Madrid, dpet Trofi Piala dunia pas masih di Madrid, pas di Emyu udah abis, Final kmren lebih solid Upamecano, harusnya Konate main dari awal bukan Varane.. Klo semifinal kmren lawan Maroko, okelah Konate &amp;amp; Varane </t>
  </si>
  <si>
    <t>varane pas madrid dpet trofi piala dunia pas masih madrid pas emyu udah abis final kmren lebih solid upamecano harusnya konate main dari awal bukan varane klo semifinal kmren lawan maroko okelah konate varane</t>
  </si>
  <si>
    <t>['varane', 'pas', 'madrid', 'dpet', 'trofi', 'piala', 'dunia', 'pas', 'madrid', 'pas', 'emyu', 'udah', 'abis', 'final', 'kmren', 'lebih', 'solid', 'upamecano', 'harusnya', 'konate', 'main', 'awal', 'bukan', 'varane', 'semifinal', 'kmren', 'lawan', 'maroko', 'okelah', 'konate', 'varane']</t>
  </si>
  <si>
    <t>&lt;FreqDist with 24 samples and 31 outcomes&gt;</t>
  </si>
  <si>
    <t>@SiaranBolaLive @KMbappe siapa yg ga bakal keras black mambanya saat lu hatrick di final piala dunia</t>
  </si>
  <si>
    <t>siapa bakal keras black mambanya saat hatrick final piala dunia</t>
  </si>
  <si>
    <t>['siapa', 'bakal', 'keras', 'black', 'mambanya', 'hatrick', 'final', 'piala', 'dunia']</t>
  </si>
  <si>
    <t>5 Final Piala Dunia Terbaik Sepanjang Sejarah, No 2 Sulit Pecahkan Rekor Pele  https://t.co/bwUywXDBgZ</t>
  </si>
  <si>
    <t>final piala dunia terbaik sepanjang sejarah sulit pecahkan rekor pele</t>
  </si>
  <si>
    <t>['final', 'piala', 'dunia', 'terbaik', 'sepanjang', 'sejarah', 'sulit', 'pecahkan', 'rekor', 'pele']</t>
  </si>
  <si>
    <t>üîÉ Tujuh pergantian Prancis ‚ùå Gol ketiga Argentina tidak sah? üß• Makna jubah Messi  Simak fakta menarik seputar final Piala Dunia 2022 yang mungkin kalian lewatkan. ‚§µÔ∏è  #FIFAWorldCup2022 #Qatar2022 #ARG #GoalFlash  https://t.co/WDcA3DZeTu</t>
  </si>
  <si>
    <t>tujuh pergantian prancis gol ketiga argentina tidak sah makna jubah messi simak fakta menarik seputar final piala dunia yang mungkin kalian lewatkan</t>
  </si>
  <si>
    <t>['tujuh', 'pergantian', 'prancis', 'gol', 'ketiga', 'argentina', 'sah', 'makna', 'jubah', 'messi', 'simak', 'fakta', 'menarik', 'seputar', 'final', 'piala', 'dunia', 'mungkin', 'kalian', 'lewatkan']</t>
  </si>
  <si>
    <t>Pencetak gol Prancis di final Piala Dunia 1998 :   Jawabannya: ‚öΩ Zinedine Zidane 27' , 45+1' ‚öΩ Emmanuel Petit 90+3'  Ayo ikutan Bestie..  @hasanbasri295 @Suwoko__ @irhamadja177  Jangan lupa follow  üëâ @Indosat  üëâ @idextratime  #PilDunBarengIOH   #PilDunBarengIOH  https://t.co/uKRmi7iJlE</t>
  </si>
  <si>
    <t>pencetak gol prancis final piala dunia jawabannya zinedine zidane emmanuel petit ayo ikutan bestie jangan lupa follow</t>
  </si>
  <si>
    <t>['pencetak', 'gol', 'prancis', 'final', 'piala', 'dunia', 'jawabannya', 'zinedine', 'zidane', 'emmanuel', 'petit', 'ayo', 'ikutan', 'bestie', 'jangan', 'lupa', 'follow']</t>
  </si>
  <si>
    <t>Profesor Ungkap Trik Emiliano Martinez Menang Perang Mental di Adu Penalti Final Piala Dunia 2022  https://t.co/iFuYnGquGc</t>
  </si>
  <si>
    <t>profesor ungkap trik emiliano martinez menang perang mental adu penalti final piala dunia</t>
  </si>
  <si>
    <t>['profesor', 'ungkap', 'trik', 'emiliano', 'martinez', 'menang', 'perang', 'mental', 'adu', 'penalti', 'final', 'piala', 'dunia']</t>
  </si>
  <si>
    <t>Final Piala Dunia France 1998  France üá®üáµ 3-0 üáßüá∑ Brazil Pencetak gol:  Zinedine Zidane (2 gol) Emmanuel Petit (1 gol) @Indosat @IDExtraTime #PilDunBarengIOH  @Arisuryaabdi @nonfungiblesir @renatachan69</t>
  </si>
  <si>
    <t>final piala dunia france france brazil pencetak gol zinedine zidane gol emmanuel petit gol</t>
  </si>
  <si>
    <t>['final', 'piala', 'dunia', 'france', 'france', 'brazil', 'pencetak', 'gol', 'zinedine', 'zidane', 'gol', 'emmanuel', 'petit', 'gol']</t>
  </si>
  <si>
    <t>Final Dramatis Sepanjang Sejarah, Argentina Rengkuh Trofi Piala Dunia 2022  https://t.co/cbzKeQuPhE</t>
  </si>
  <si>
    <t>final dramatis sepanjang sejarah argentina rengkuh trofi piala dunia</t>
  </si>
  <si>
    <t>['final', 'dramatis', 'sepanjang', 'sejarah', 'argentina', 'rengkuh', 'trofi', 'piala', 'dunia']</t>
  </si>
  <si>
    <t>Final Piala Dunia France 1998  Zinedine Zidane 2 gol Emmanuel Petit  1 gol @Indosat @IDExtraTime #PilDunBarengIOH  @cryptoszei @historia_14.@CoffieDari_Hati</t>
  </si>
  <si>
    <t>final piala dunia france zinedine zidane gol emmanuel petit gol hati</t>
  </si>
  <si>
    <t>['final', 'piala', 'dunia', 'france', 'zinedine', 'zidane', 'gol', 'emmanuel', 'petit', 'gol', 'hati']</t>
  </si>
  <si>
    <t>Final Piala Dunia France 1998  Prancis  3-0 Brazil  Pencetak gol :  Zinedine Zidane 2 gol Emmanuel Petit  1 gol  @Indosat @IDExtraTime #PilDunBarengIOji @LILLYLA03091408 @lehecan @shuahonga</t>
  </si>
  <si>
    <t>final piala dunia france prancis brazil pencetak gol zinedine zidane gol emmanuel petit gol</t>
  </si>
  <si>
    <t>['final', 'piala', 'dunia', 'france', 'prancis', 'brazil', 'pencetak', 'gol', 'zinedine', 'zidane', 'gol', 'emmanuel', 'petit', 'gol']</t>
  </si>
  <si>
    <t>final piala dunia 2022 tiap direwatch gabikin bosen</t>
  </si>
  <si>
    <t>final piala dunia tiap direwatch gabikin bosen</t>
  </si>
  <si>
    <t>['final', 'piala', 'dunia', 'tiap', 'direwatch', 'gabikin', 'bosen']</t>
  </si>
  <si>
    <t>Bupati Indah Sebut Laga Final Argentina vs Prancis Paling Hebat Sepanjang Sejarah Piala Dunia  https://t.co/qVkhr29WkZ</t>
  </si>
  <si>
    <t>Pencetak gol Prancis pada final Piala Dunia 1998 adalah :   Zin√©dine Yazid Zidane  (Mencetak 2 gol pada menit ke-27 &amp;amp; menit ke-45+1)   Emmanuel Laurent Petit  (Mencetak 1 gol pada menit ke-90+3)   @indosat  @idextratime   @tanisazah  @enni_fa  @DIndarsih   #PilDunBarengIOH  https://t.co/T0ySs7fZqU</t>
  </si>
  <si>
    <t>pencetak gol prancis pada final piala dunia adalah zin dine yazid zidane mencetak gol pada menit menit emmanuel laurent petit mencetak gol pada menit</t>
  </si>
  <si>
    <t>['pencetak', 'gol', 'prancis', 'final', 'piala', 'dunia', 'zin', 'dine', 'yazid', 'zidane', 'mencetak', 'gol', 'menit', 'menit', 'emmanuel', 'laurent', 'petit', 'mencetak', 'gol', 'menit']</t>
  </si>
  <si>
    <t>Tepat nih, perkiraan Pak Menko soal final Piala Dunia kejadian juga üòÜ üëç  #AirlanggaHartarto #PartaiGolkar #GolkarIndonesia #LionelMessiìÉµ #WorldCupFinal #Argentinafans  https://t.co/slCBn4c1Jy</t>
  </si>
  <si>
    <t>tepat nih perkiraan pak menko soal final piala dunia kejadian juga</t>
  </si>
  <si>
    <t>['tepat', 'perkiraan', 'pak', 'menko', 'soal', 'final', 'piala', 'dunia', 'kejadian']</t>
  </si>
  <si>
    <t>@idextratime Dasar Bottita cringe!!. aku nonton final piala dunia dengan antusias üî•, karena kedua negara sudah legal same-sex marriage haha *gak kebayang kalau maroko masuk final wkwk</t>
  </si>
  <si>
    <t>dasar bottita cringe aku nonton final piala dunia dengan antusias karena kedua negara sudah legal same sex marriage haha gak kebayang kalau maroko masuk final wkwk</t>
  </si>
  <si>
    <t>['dasar', 'bottita', 'cringe', 'aku', 'nonton', 'final', 'piala', 'dunia', 'antusias', 'kedua', 'negara', 'legal', 'same', 'sex', 'marriage', 'haha', 'kebayang', 'kalau', 'maroko', 'masuk', 'final']</t>
  </si>
  <si>
    <t>Timnas Prancis baru saja gagal di Piala Dunia 2022, usai dikalahkan Argentina di final. Les Bleus disebut punya satu pemain toxic sepanjang turnamen.  https://t.co/SkyH3TIrQo</t>
  </si>
  <si>
    <t>timnas prancis baru saja gagal piala dunia usai dikalahkan argentina final les bleus disebut punya satu pemain toxic sepanjang turnamen</t>
  </si>
  <si>
    <t>['timnas', 'prancis', 'baru', 'gagal', 'piala', 'dunia', 'usai', 'dikalahkan', 'argentina', 'final', 'les', 'bleus', 'disebut', 'punya', 'satu', 'pemain', 'toxic', 'sepanjang', 'turnamen']</t>
  </si>
  <si>
    <t>@AnggaPutraF Zidane dua kali final piala dunia, yang satunya juara. Plus Zidane juara Eropa juga</t>
  </si>
  <si>
    <t>zidane dua kali final piala dunia yang satunya juara plus zidane juara eropa juga</t>
  </si>
  <si>
    <t>['zidane', 'kali', 'final', 'piala', 'dunia', 'satunya', 'juara', 'plus', 'zidane', 'juara', 'eropa']</t>
  </si>
  <si>
    <t>me time : nonton video reaksi final piala dunia üòÇ</t>
  </si>
  <si>
    <t>time nonton video reaksi final piala dunia</t>
  </si>
  <si>
    <t>['time', 'nonton', 'video', 'reaksi', 'final', 'piala', 'dunia']</t>
  </si>
  <si>
    <t>final piala dunia kemarin tidak hanya seru karena permainannya yang ketat, tapi juga karena ada anton sujarno</t>
  </si>
  <si>
    <t>final piala dunia kemarin tidak hanya seru karena permainannya yang ketat tapi juga karena ada anton sujarno</t>
  </si>
  <si>
    <t>['final', 'piala', 'dunia', 'kemarin', 'seru', 'permainannya', 'ketat', 'anton', 'sujarno']</t>
  </si>
  <si>
    <t>Piala dunia telah usai sang raja sepak bola telah membuktikan @TeamMessi the real GOAT no debat. Next wordcup 2026 akan memberikan cerita baru saya optimis Argentina memberikan peluang besar empat besar WC2026 @afa,@CBF_Futebol,@SEFutbol,@belanda final Brasil vs Spanyol</t>
  </si>
  <si>
    <t>piala dunia telah usai sang raja sepak bola telah membuktikan the real goat debat next wordcup akan memberikan cerita baru saya optimis argentina memberikan peluang besar empat besar futebol final brasil spanyol</t>
  </si>
  <si>
    <t>['piala', 'dunia', 'usai', 'sang', 'raja', 'sepak', 'bola', 'membuktikan', 'the', 'real', 'goat', 'debat', 'next', 'wordcup', 'memberikan', 'cerita', 'baru', 'optimis', 'argentina', 'memberikan', 'peluang', 'besar', 'empat', 'besar', 'futebol', 'final', 'brasil', 'spanyol']</t>
  </si>
  <si>
    <t>@vickyh23_ @idextratime WKWKWKWK  team manapun yg main dilaga final udah pasti nyiapin buat euforia, minimal kaos we are the champion tapi yakali sekelas piala dunia cuma nyiapin kaos doang yakan</t>
  </si>
  <si>
    <t>wkwkwkwk team manapun main dilaga final udah pasti nyiapin buat euforia minimal kaos are the champion tapi yakali sekelas piala dunia cuma nyiapin kaos doang yakan</t>
  </si>
  <si>
    <t>['wkwkwkwk', 'team', 'manapun', 'main', 'dilaga', 'final', 'udah', 'nyiapin', 'buat', 'euforia', 'minimal', 'kaos', 'are', 'the', 'champion', 'yakali', 'sekelas', 'piala', 'dunia', 'cuma', 'nyiapin', 'kaos', 'doang', 'yakan']</t>
  </si>
  <si>
    <t>DRAMA FINAL PIALA DUNIA YANG BELUM AKAN BERAKHIR  https://t.co/gZBaECS2qZ</t>
  </si>
  <si>
    <t>drama final piala dunia yang belum akan berakhir</t>
  </si>
  <si>
    <t>['drama', 'final', 'piala', 'dunia', 'berakhir']</t>
  </si>
  <si>
    <t>Lusail Stadium di Qatar menjadi lokasi final Piala Dunia 2022 yang dimenangkan Argentina. Yuk kita lihat stadion sepakbola canggih tersebut.  https://t.co/UObnVdNaTc</t>
  </si>
  <si>
    <t>lusail stadium qatar menjadi lokasi final piala dunia yang dimenangkan argentina yuk kita lihat stadion sepakbola canggih tersebut</t>
  </si>
  <si>
    <t>['lusail', 'stadium', 'qatar', 'menjadi', 'lokasi', 'final', 'piala', 'dunia', 'dimenangkan', 'argentina', 'yuk', 'lihat', 'stadion', 'sepakbola', 'canggih', 'tersebut']</t>
  </si>
  <si>
    <t>SISA-SISA SETERU FINAL PIALA DUNIA 2022  https://t.co/cqBWI1Vu0h</t>
  </si>
  <si>
    <t>sisa sisa seteru final piala dunia</t>
  </si>
  <si>
    <t>['sisa', 'sisa', 'seteru', 'final', 'piala', 'dunia']</t>
  </si>
  <si>
    <t>Volodymir Zelensky, Presiden Ukraina, membenarkan bahwa video pesan perdamaiannya dilarang diputar di final Piala Dunia 2022. FIFA yang melarangnya.  https://t.co/v4tppG9OL8</t>
  </si>
  <si>
    <t>volodymir zelensky presiden ukraina membenarkan bahwa video pesan perdamaiannya dilarang diputar final piala dunia fifa yang melarangnya</t>
  </si>
  <si>
    <t>['volodymir', 'zelensky', 'presiden', 'ukraina', 'membenarkan', 'video', 'pesan', 'perdamaiannya', 'dilarang', 'diputar', 'final', 'piala', 'dunia', 'fifa', 'melarangnya']</t>
  </si>
  <si>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</si>
  <si>
    <t>babinsa koramil kuwarasan serda slamet supriyono bersama bhabinkamtibmas polsek kuwarasan bripka dhani ade setyawan nonton bareng nobar laga final sepak bola piala dunia fifa world cup antara argentina prancis halaman kantor balai desa gandusari pendim</t>
  </si>
  <si>
    <t>['babinsa', 'koramil', 'kuwarasan', 'serda', 'slamet', 'supriyono', 'bersama', 'bhabinkamtibmas', 'polsek', 'kuwarasan', 'bripka', 'dhani', 'ade', 'setyawan', 'nonton', 'bareng', 'nonton bareng', 'laga', 'final', 'sepak', 'bola', 'piala', 'dunia', 'fifa', 'world', 'cup', 'argentina', 'prancis', 'halaman', 'kantor', 'balai', 'desa', 'gandusari', 'pendim']</t>
  </si>
  <si>
    <t>@idextratime Untung messi gk juara piala dunia 2010....coba lu bayangin messi juara PD 2010 ngalahjn spanyol di final dimana banyak pemain barca dan messi lg prime d barca tahun segitu üòÇüòÇüòÇüòÇüòÇ.....deg2an gue begitu dtng ke training camp barca</t>
  </si>
  <si>
    <t>untung messi juara piala dunia coba bayangin messi juara ngalahjn spanyol final dimana banyak pemain barca dan messi prime barca tahun segitu deg gue begitu dtng training camp barca</t>
  </si>
  <si>
    <t>['untung', 'messi', 'juara', 'piala', 'dunia', 'coba', 'bayangin', 'messi', 'juara', 'ngalahjn', 'spanyol', 'final', 'banyak', 'pemain', 'barca', 'messi', 'prime', 'barca', 'tahun', 'segitu', 'deg', 'gue', 'dtng', 'training', 'camp', 'barca']</t>
  </si>
  <si>
    <t>Kylian Mbappe Akhirnya Bicara setelah Bungkam usai Prancis Kalah di Final Piala Dunia 2022  https://t.co/f1h6SEh5nJ #TempoVideo</t>
  </si>
  <si>
    <t>kylian mbappe akhirnya bicara setelah bungkam usai prancis kalah final piala dunia</t>
  </si>
  <si>
    <t>['kylian', 'mbappe', 'akhirnya', 'bicara', 'bungkam', 'usai', 'prancis', 'kalah', 'final', 'piala', 'dunia']</t>
  </si>
  <si>
    <t>Ribuan penggemar berbaris di tengah malam untuk mencoba melihat sekilas tim sepak bola Argentina yang baru-baru ini menang dalam final Piala Dunia menjelang apa yang dijadwalkan menjadi hari perayaan di Buenos Aires.   https://t.co/J0XLKaU2ux</t>
  </si>
  <si>
    <t>ribuan penggemar berbaris tengah malam untuk mencoba melihat sekilas tim sepak bola argentina yang baru baru ini menang dalam final piala dunia menjelang apa yang dijadwalkan menjadi hari perayaan buenos aires</t>
  </si>
  <si>
    <t>['ribuan', 'penggemar', 'berbaris', 'tengah', 'malam', 'mencoba', 'melihat', 'sekilas', 'tim', 'sepak', 'bola', 'argentina', 'baru', 'baru', 'menang', 'final', 'piala', 'dunia', 'menjelang', 'apa', 'dijadwalkan', 'menjadi', 'hari', 'perayaan', 'buenos', 'aires']</t>
  </si>
  <si>
    <t>8 Pemain Hebat di Final Piala Dunia 2022 : Nyatanya, Lionel Messi Kalah dari Kylian Mbappe  https://t.co/Qv6tOsaoTC</t>
  </si>
  <si>
    <t>pemain hebat final piala dunia nyatanya lionel messi kalah dari kylian mbappe</t>
  </si>
  <si>
    <t>['pemain', 'hebat', 'final', 'piala', 'dunia', 'nyatanya', 'lionel', 'messi', 'kalah', 'kylian', 'mbappe']</t>
  </si>
  <si>
    <t xml:space="preserve">@Box2BoxBola Realistis saja.. Jatah Piala Dunia 2026 untuk Oseania = 1, Asia = 8.. Pindah Federasi ke Oseania, lawannya cuma Selandia Baru di Final, kans lolos lebih besar.. Di Asia, 8 jatah itu kiranya : Ausie, Japan, Oppa, Arab, Iran, China, sisanya ya </t>
  </si>
  <si>
    <t>realistis saja jatah piala dunia untuk oseania asia pindah federasi oseania lawannya cuma selandia baru final kans lolos lebih besar asia jatah itu kiranya ausie japan oppa arab iran china sisanya</t>
  </si>
  <si>
    <t>['realistis', 'jatah', 'piala', 'dunia', 'oseania', 'asia', 'pindah', 'federasi', 'oseania', 'lawannya', 'cuma', 'selandia', 'baru', 'final', 'kans', 'lolos', 'lebih', 'besar', 'asia', 'jatah', 'kiranya', 'ausie', 'japan', 'oppa', 'arab', 'iran', 'china', 'sisanya']</t>
  </si>
  <si>
    <t>Pencetak gol Prancis di final Piala Dunia 1998 :  1. Zinedine Zidane 2 gol (27' &amp;amp; 45+1') 2. Emmanuel Petit 1 gol (90+3')  @indosat @idextratime #PilDunBarengIOH   Ayo ikutan @fians_22 @yalismadewi11 @debita14</t>
  </si>
  <si>
    <t>pencetak gol prancis final piala dunia zinedine zidane gol emmanuel petit gol ayo ikutan</t>
  </si>
  <si>
    <t>['pencetak', 'gol', 'prancis', 'final', 'piala', 'dunia', 'zinedine', 'zidane', 'gol', 'emmanuel', 'petit', 'gol', 'ayo', 'ikutan']</t>
  </si>
  <si>
    <t>Volodymir Zelensky, Presiden Ukraina, membenarkan bahwa video pesan perdamaiannya dilarang diputar di final Piala Dunia 2022. FIFA yang melarangnya.  https://t.co/5QP8tMf2oP</t>
  </si>
  <si>
    <t>Mbappe sampai umur 24: 2x masuk final Piala Dunia.  Aku sampai sekarang: ... ü•≤üëç</t>
  </si>
  <si>
    <t>mbappe sampai umur masuk final piala dunia aku sampai sekarang</t>
  </si>
  <si>
    <t>['mbappe', 'umur', 'masuk', 'final', 'piala', 'dunia', 'aku', 'sekarang']</t>
  </si>
  <si>
    <t>Info Bola : Bigetron Era Juarai Unipin Ladies Series S2  Juara Bertahan Yang Masih Terlalu Kuat   Bigetron Era mampu menjadi juara pada UniPin LaPada pertandingan Grand Final yang digelar pada  https://t.co/0Z3PYkVfNj #beritaolahraga #pialadunia #infobola #worldcup #agenbola</t>
  </si>
  <si>
    <t>info bola bigetron era juarai unipin ladies series juara bertahan yang masih terlalu kuat bigetron era mampu menjadi juara pada unipin lapada pertandingan grand final yang digelar pada</t>
  </si>
  <si>
    <t>['info', 'bola', 'bigetron', 'era', 'juarai', 'unipin', 'ladies', 'series', 'juara', 'bertahan', 'terlalu', 'kuat', 'bigetron', 'era', 'mampu', 'menjadi', 'juara', 'unipin', 'lapada', 'pertandingan', 'grand', 'final', 'digelar']</t>
  </si>
  <si>
    <t>@idextratime Saya pendukung Ronaldo,,tp untuk final kmrn saya dukung Messi krn akan ikut senang jika Messi merasakan kebahagiaan menang piala dunia dlm kariernya. Bagaimanapun juga mereka berdua legenda sepakbola modern.</t>
  </si>
  <si>
    <t>saya pendukung ronaldo untuk final kmrn saya dukung messi krn akan ikut senang jika messi merasakan kebahagiaan menang piala dunia dlm kariernya bagaimanapun juga mereka berdua legenda sepakbola modern</t>
  </si>
  <si>
    <t>['pendukung', 'ronaldo', 'final', 'kmrn', 'dukung', 'messi', 'ikut', 'senang', 'messi', 'merasakan', 'kebahagiaan', 'menang', 'piala', 'dunia', 'dlm', 'kariernya', 'berdua', 'legenda', 'sepakbola', 'modern']</t>
  </si>
  <si>
    <t>üö® Sembilan pemain Manchester United yang tersingkir dari perempat final Piala Dunia telah kembali berlatih. {@samuelluckhurst} #MUFC  https://t.co/i0SEvrZc8h</t>
  </si>
  <si>
    <t>sembilan pemain manchester united yang tersingkir dari perempat final piala dunia telah kembali berlatih</t>
  </si>
  <si>
    <t>['sembilan', 'pemain', 'manchester', 'united', 'tersingkir', 'perempat', 'final', 'piala', 'dunia', 'berlatih']</t>
  </si>
  <si>
    <t>Seru kabar nonton final piala dunia  dgn HP Galaxy A Series 5G, gambar nya begitu jernih pokok nya seru dech #AwesomeGamingSeason memang #AwesomeGeneration   #GalaxyASeries5G #AwesomeIESF22</t>
  </si>
  <si>
    <t>seru kabar nonton final piala dunia dgn galaxy series gambar nya begitu jernih pokok nya seru dech memang</t>
  </si>
  <si>
    <t>['seru', 'kabar', 'nonton', 'final', 'piala', 'dunia', 'galaxy', 'series', 'gambar', 'jernih', 'pokok', 'seru', 'dech', 'memang']</t>
  </si>
  <si>
    <t>Tapi gol ke 2 messi di final itu ada andil dr lautaro mengecewakan di Piala Dunia 2022 . Tapi di final dia ada kontribusi atas gol messi pas lawan prancis  Jadi stop kritik lautaro  Dia underperfom krn murni cedera</t>
  </si>
  <si>
    <t>tapi gol messi final itu ada andil lautaro mengecewakan piala dunia tapi final dia ada kontribusi atas gol messi pas lawan prancis jadi stop kritik lautaro dia underperfom krn murni cedera</t>
  </si>
  <si>
    <t>['gol', 'messi', 'final', 'andil', 'lautaro', 'mengecewakan', 'piala', 'dunia', 'final', 'kontribusi', 'atas', 'gol', 'messi', 'pas', 'lawan', 'prancis', 'jadi', 'stop', 'kritik', 'lautaro', 'underperfom', 'murni', 'cedera']</t>
  </si>
  <si>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</si>
  <si>
    <t>pencetak gol prancis final piala dunia adalah zinedine zidane cetak gol menit menit emmanuel petit cetak gol menit lets join cek video</t>
  </si>
  <si>
    <t>['pencetak', 'gol', 'prancis', 'final', 'piala', 'dunia', 'zinedine', 'zidane', 'cetak', 'gol', 'menit', 'menit', 'emmanuel', 'petit', 'cetak', 'gol', 'menit', 'lets', 'join', 'cek', 'video']</t>
  </si>
  <si>
    <t>Di Final Piala Dunia 2022, Mbappe menjadi sosok yang tidak bisa dipandang sebelah mata. Ia mencetak 3 gol dan mencatatkan namanya ke dalam sejarah.  https://t.co/vZLMEDE7ev</t>
  </si>
  <si>
    <t>final piala dunia mbappe menjadi sosok yang tidak bisa dipandang sebelah mata mencetak gol dan mencatatkan namanya dalam sejarah</t>
  </si>
  <si>
    <t>['final', 'piala', 'dunia', 'mbappe', 'menjadi', 'sosok', 'dipandang', 'sebelah', 'mata', 'mencetak', 'gol', 'mencatatkan', 'namanya', 'sejarah']</t>
  </si>
  <si>
    <t>Tak sangka lulus undi percaya pmx semudah undi suara sahaja.. ingat nak berentap macam final piala dunia. Pembangkang lemah...</t>
  </si>
  <si>
    <t>tak sangka lulus undi percaya pmx semudah undi suara sahaja ingat nak berentap macam final piala dunia pembangkang lemah</t>
  </si>
  <si>
    <t>['tak', 'sangka', 'lulus', 'undi', 'percaya', 'pmx', 'semudah', 'undi', 'suara', 'sahaja', 'ingat', 'nak', 'berentap', 'macam', 'final', 'piala', 'dunia', 'pembangkang', 'lemah']</t>
  </si>
  <si>
    <t>@utdfocusid The best final selama gw nonton final piala dunia</t>
  </si>
  <si>
    <t>the best final selama nonton final piala dunia</t>
  </si>
  <si>
    <t>['the', 'best', 'final', 'selama', 'nonton', 'final', 'piala', 'dunia']</t>
  </si>
  <si>
    <t>pencetak gol prancis di final piala dunia 1998:  - zinedine zidane (27' dan 45+1') - emmanuel petit (90+3')  #PilDunBarengIOH @indosat @idextratime   gaskan brodi @bayu_sfdn @burjoarjuna5 @davedab_</t>
  </si>
  <si>
    <t>pencetak gol prancis final piala dunia zinedine zidane dan emmanuel petit gaskan brodi sfdn</t>
  </si>
  <si>
    <t>['pencetak', 'gol', 'prancis', 'final', 'piala', 'dunia', 'zinedine', 'zidane', 'emmanuel', 'petit', 'gaskan', 'brodi', 'sfdn']</t>
  </si>
  <si>
    <t>Pencetak gol Prancis di final Piala Dunia 1998 :  1. Zinedine Zidane 2 gol (27' &amp;amp; 45+1') 2. Emmanuel Petit 1 gol (90+3')  @indosat @idextratime #PilDunBarengIOH   Ayo ikutan @ranangsaja @yalismadewi11 @debita14  https://t.co/QWodQO0Qxt</t>
  </si>
  <si>
    <t>Meski hattrick, Kylian Mbappe gagal antar Prancis pertahankan gelar juara Piala Dunia. Nah, setelah beri tiga gol di final, kira-kira gaji Mbappe naik nggak ya? Intip yuk di sini.   https://t.co/phTjrRNDY7</t>
  </si>
  <si>
    <t>meski hattrick kylian mbappe gagal antar prancis pertahankan gelar juara piala dunia nah setelah beri tiga gol final kira kira gaji mbappe naik nggak intip yuk sini</t>
  </si>
  <si>
    <t>['meski', 'hattrick', 'kylian', 'mbappe', 'gagal', 'antar', 'prancis', 'pertahankan', 'gelar', 'juara', 'piala', 'dunia', 'nah', 'beri', 'tiga', 'gol', 'final', 'kira', 'kira', 'gaji', 'mbappe', 'naik', 'intip', 'yuk', 'sini']</t>
  </si>
  <si>
    <t>Timnas Prancis baru saja gagal di Piala Dunia 2022, usai dikalahkan Argentina di final. Les Bleus disebut punya satu pemain toxic sepanjang turnamen.  https://t.co/QRK4GqKQPO</t>
  </si>
  <si>
    <t>@GOAL_ID kalo final 2014 dia ga cedera dan absen, mungkin trofi piala dunia argentina sekarang ada 4</t>
  </si>
  <si>
    <t>kalo final dia cedera dan absen mungkin trofi piala dunia argentina sekarang ada</t>
  </si>
  <si>
    <t>['final', 'cedera', 'absen', 'mungkin', 'trofi', 'piala', 'dunia', 'argentina', 'sekarang']</t>
  </si>
  <si>
    <t>Pendukung Liverpool Setuju Jika Final Piala Dunia 2022 Disebut Lebih Baik dari Istanbul 2005? #EMTEKWORLDCUP2022 #BOLANETWORLDCUP2022 #PialaDunia #PialaDunia2022  https://t.co/K7CA0YmDlj</t>
  </si>
  <si>
    <t>pendukung liverpool setuju jika final piala dunia disebut lebih baik dari istanbul</t>
  </si>
  <si>
    <t>['pendukung', 'liverpool', 'setuju', 'final', 'piala', 'dunia', 'disebut', 'lebih', 'baik', 'istanbul']</t>
  </si>
  <si>
    <t>Penjaga gawang timnas Argentina dan Aston Villa, Emiliano Martinez, tengah menjadi incaran Bayern Muenchen berkat penampilan heroiknya dalam final Piala Dunia 2022.   https://t.co/WhztguALdm</t>
  </si>
  <si>
    <t>penjaga gawang timnas argentina dan aston villa emiliano martinez tengah menjadi incaran bayern muenchen berkat penampilan heroiknya dalam final piala dunia</t>
  </si>
  <si>
    <t>['penjaga', 'gawang', 'timnas', 'argentina', 'aston', 'villa', 'emiliano', 'martinez', 'tengah', 'menjadi', 'incaran', 'bayern', 'muenchen', 'berkat', 'penampilan', 'heroiknya', 'final', 'piala', 'dunia']</t>
  </si>
  <si>
    <t>Pencetak gol Prancis pada final Piala Dunia 1998 adalah :   1. Zinedine Yazid Zidane  (Mencetak 2 gol pada menit ke-27 &amp;amp; menit ke-45+1)   2. Emmanuel Laurent Petit  (Mencetak 1 gol pada menit ke-90+3)   @indosat @idextratime   @TheAbang_Ali @aric_id @bagustiii  #PilDunBarengIOH  https://t.co/rJeYTNGsBp</t>
  </si>
  <si>
    <t>pencetak gol prancis pada final piala dunia adalah zinedine yazid zidane mencetak gol pada menit menit emmanuel laurent petit mencetak gol pada menit ali</t>
  </si>
  <si>
    <t>['pencetak', 'gol', 'prancis', 'final', 'piala', 'dunia', 'zinedine', 'yazid', 'zidane', 'mencetak', 'gol', 'menit', 'menit', 'emmanuel', 'laurent', 'petit', 'mencetak', 'gol', 'menit', 'ali']</t>
  </si>
  <si>
    <t>Lapas Palembang Kemenkumham Sumsel: Para petugas menggunakan jersey kebanggan tim masing-masing untuk menambah kemeriahan saat menonton final piala dunia. @Kemenkumham_RI    @kumhamsumsel Harun Sulianto #KumhamSumsel #HarunSulianto @bapaslahat #BapasLahat</t>
  </si>
  <si>
    <t>lapas palembang kemenkumham sumsel para petugas menggunakan jersey kebanggan tim masing masing untuk menambah kemeriahan saat menonton final piala dunia harun sulianto</t>
  </si>
  <si>
    <t>['lapas', 'palembang', 'kemenkumham', 'sumsel', 'petugas', 'menggunakan', 'jersey', 'kebanggan', 'tim', 'masing', 'masing', 'menambah', 'kemeriahan', 'menonton', 'final', 'piala', 'dunia', 'harun', 'sulianto']</t>
  </si>
  <si>
    <t>Episode 2 ngomongin Avatar: The Way of Water, The Big 4, Soccerphoria, &amp;amp; final piala dunia 2022.   https://t.co/BuDzFju5qT</t>
  </si>
  <si>
    <t>episode ngomongin avatar the way water the big soccerphoria final piala dunia</t>
  </si>
  <si>
    <t>['episode', 'ngomongin', 'avatar', 'the', 'way', 'water', 'the', 'big', 'soccerphoria', 'final', 'piala', 'dunia']</t>
  </si>
  <si>
    <t>Laga final Piala Dunia 2022 menghadirkan ulah suporter yang pamer payudara di tribune stadion. Ternyata bukan kali itu saja laga bola menghadirkan aksi serupa! #juaraboladunia    https://t.co/uKuPVKz7hM</t>
  </si>
  <si>
    <t>laga final piala dunia menghadirkan ulah suporter yang pamer payudara tribune stadion ternyata bukan kali itu saja laga bola menghadirkan aksi serupa</t>
  </si>
  <si>
    <t>['laga', 'final', 'piala', 'dunia', 'menghadirkan', 'ulah', 'suporter', 'pamer', 'payudara', 'tribune', 'stadion', 'ternyata', 'bukan', 'kali', 'laga', 'bola', 'menghadirkan', 'aksi', 'serupa']</t>
  </si>
  <si>
    <t>Laga final Piala Dunia 2022 menghadirkan ulah suporter yang pamer payudara di tribune stadion. Ternyata bukan kali itu saja laga bola menghadirkan aksi serupa! #juaraboladunia    https://t.co/gPUaCgfWqL</t>
  </si>
  <si>
    <t>Laga final Piala Dunia 2022 menghadirkan ulah suporter yang pamer payudara di tribune stadion. Bukan kali itu saja laga bola menghadirkan aksi serupa.  https://t.co/E4tZXmPlw8</t>
  </si>
  <si>
    <t>laga final piala dunia menghadirkan ulah suporter yang pamer payudara tribune stadion bukan kali itu saja laga bola menghadirkan aksi serupa</t>
  </si>
  <si>
    <t>['laga', 'final', 'piala', 'dunia', 'menghadirkan', 'ulah', 'suporter', 'pamer', 'payudara', 'tribune', 'stadion', 'bukan', 'kali', 'laga', 'bola', 'menghadirkan', 'aksi', 'serupa']</t>
  </si>
  <si>
    <t>Kronologi Remaja di Manado Tewas Ditikam saat Konvoi Kemenangan Usai Final Piala Dunia 2022  https://t.co/JWZdjY1YEa  Kamboja Prancis Innalillahi Laksamana Yudo Margono Di 2023 Cangkeman Kapal #berita #Berita #BeritaTerkini #BeritaTerpopuler #FIFAWorldCup</t>
  </si>
  <si>
    <t>kronologi remaja manado tewas ditikam saat konvoi kemenangan usai final piala dunia kamboja prancis innalillahi laksamana yudo margono cangkeman kapal</t>
  </si>
  <si>
    <t>['kronologi', 'remaja', 'manado', 'tewas', 'ditikam', 'konvoi', 'kemenangan', 'usai', 'final', 'piala', 'dunia', 'kamboja', 'prancis', 'innalillahi', 'laksamana', 'yudo', 'margono', 'cangkeman', 'kapal']</t>
  </si>
  <si>
    <t>@chskiesyong Kemarin final piala dunia sampai ku tungguin dia live kalau ngantuk pasang alarm 15 menit tidur tau"nya zonk üôÇü§åüèª</t>
  </si>
  <si>
    <t>kemarin final piala dunia sampai tungguin dia live kalau ngantuk pasang alarm menit tidur tau nya zonk</t>
  </si>
  <si>
    <t>['kemarin', 'final', 'piala', 'dunia', 'tungguin', 'live', 'kalau', 'ngantuk', 'pasang', 'alarm', 'menit', 'tidur', 'zonk']</t>
  </si>
  <si>
    <t>Suatu saat nanti, sebuah edisi Piala Dunia di mana Indonesia lolos ke putaran final, maka pada edisi tersebut kemungkinan Thailand juga lolos. Perkembangan sepakbola kedua negara ini selalu deket levelnya</t>
  </si>
  <si>
    <t>suatu saat nanti sebuah edisi piala dunia mana indonesia lolos putaran final maka pada edisi tersebut kemungkinan thailand juga lolos perkembangan sepakbola kedua negara ini selalu deket levelnya</t>
  </si>
  <si>
    <t>['suatu', 'sebuah', 'edisi', 'piala', 'dunia', 'mana', 'indonesia', 'lolos', 'putaran', 'final', 'edisi', 'tersebut', 'kemungkinan', 'thailand', 'lolos', 'perkembangan', 'sepakbola', 'kedua', 'negara', 'selalu', 'deket', 'levelnya']</t>
  </si>
  <si>
    <t>FINAL PIALA DUNIA 2022 ‚Äì Bayern Muenchen Kutuk Keras Tindakan Rasialisme Online yang Menimpa Tchouameni dan Coman Usai Gagal Penalti ‚Äì Semua Halaman ‚Äì Bolasport ‚Äì  https://t.co/Nyv8pxhKUE ‚Äì #Arenanews #Kamidi #Opsiminfo- https://t.co/Fb2QA098nW</t>
  </si>
  <si>
    <t>final piala dunia bayern muenchen kutuk keras tindakan rasialisme online yang menimpa tchouameni dan coman usai gagal penalti semua halaman bolasport</t>
  </si>
  <si>
    <t>['final', 'piala', 'dunia', 'bayern', 'muenchen', 'kutuk', 'keras', 'tindakan', 'rasialisme', 'online', 'menimpa', 'tchouameni', 'coman', 'usai', 'gagal', 'penalti', 'semua', 'halaman', 'bolasport']</t>
  </si>
  <si>
    <t>@ThaiFootballs Momennya kurang pas. Setelah menonton final Piala Dunia antara Argentina melawan Prancis, kemudian disuguhi pertandingan Kamboja melawan Filipina. üòÖ</t>
  </si>
  <si>
    <t>momennya kurang pas setelah menonton final piala dunia antara argentina melawan prancis kemudian disuguhi pertandingan kamboja melawan filipina</t>
  </si>
  <si>
    <t>['momennya', 'kurang', 'pas', 'menonton', 'final', 'piala', 'dunia', 'argentina', 'melawan', 'prancis', 'kemudian', 'disuguhi', 'pertandingan', 'kamboja', 'melawan', 'filipina']</t>
  </si>
  <si>
    <t>Idol gue saking ngga mau ketinggalan final piala dunia nontonnya sambil jalan gini üò≠   https://t.co/rx58PdyaoT</t>
  </si>
  <si>
    <t>idol gue saking ngga mau ketinggalan final piala dunia nontonnya sambil jalan gini</t>
  </si>
  <si>
    <t>['idol', 'gue', 'saking', 'ngga', 'mau', 'ketinggalan', 'final', 'piala', 'dunia', 'nontonnya', 'jalan', 'gini']</t>
  </si>
  <si>
    <t>Pencetak gol Prancis di Final Piala Dunia 1998 adalah   Zinedine Zidane  27', 45' Emmanuel Petit  90'   #PilDunBarengIOH @indosat @idextratime   Yuk ikutan @RiskaProlina5 @ajekrina @scartitanc</t>
  </si>
  <si>
    <t>pencetak gol prancis final piala dunia adalah zinedine zidane emmanuel petit yuk ikutan</t>
  </si>
  <si>
    <t>['pencetak', 'gol', 'prancis', 'final', 'piala', 'dunia', 'zinedine', 'zidane', 'emmanuel', 'petit', 'yuk', 'ikutan']</t>
  </si>
  <si>
    <t>Keseruan warga ibu kota nonton final Piala Dunia 2022 bareng Pemuda Perindo. Sorak-sorai rayakan kemenangan Timnas Argentina üá¶üá∑ *S #PerindoUpdate  https://t.co/nWuRx8Dsxa</t>
  </si>
  <si>
    <t>keseruan warga ibu kota nonton final piala dunia bareng pemuda perindo sorak sorai rayakan kemenangan timnas argentina</t>
  </si>
  <si>
    <t>['keseruan', 'warga', 'ibu', 'kota', 'nonton', 'final', 'piala', 'dunia', 'bareng', 'pemuda', 'perindo', 'sorak', 'sorai', 'rayakan', 'kemenangan', 'timnas', 'argentina']</t>
  </si>
  <si>
    <t>Hasil Final Piala Dunia 2022 Argentina vs Prancis: Skor 3-3 (Pen. 4-2) Senin 19 Desember 2022 Pukul 07.00 WIB Argentina pun sukses merengkuh trofi Piala Dunia ketiga mereka, sedangkan Prancis gagal mempertahankan gelar yang meraih raih pada edisi 2018 lalu.  https://t.co/fU23gau3dr</t>
  </si>
  <si>
    <t>hasil final piala dunia argentina prancis skor pen senin desember pukul wib argentina pun sukses merengkuh trofi piala dunia ketiga mereka sedangkan prancis gagal mempertahankan gelar yang meraih raih pada edisi lalu</t>
  </si>
  <si>
    <t>['hasil', 'final', 'piala', 'dunia', 'argentina', 'prancis', 'skor', 'senin', 'desember', 'pukul', 'wib', 'argentina', 'sukses', 'merengkuh', 'trofi', 'piala', 'dunia', 'ketiga', 'prancis', 'gagal', 'mempertahankan', 'gelar', 'meraih', 'raih', 'edisi', 'lalu']</t>
  </si>
  <si>
    <t>134.KAKANWIL KEMENKUMHAM JATENG A YUSPAHRUDDIN: Tegal Kanwil Kemenkumham Jateng Gelar Nobar Final Piala Dunia dan Makan Bersama dengan Petugas Serta Keluarganya  https://t.co/q4tp42uIjw</t>
  </si>
  <si>
    <t>Habis kalah taruhan final piala dunia be like:</t>
  </si>
  <si>
    <t>habis kalah taruhan final piala dunia like</t>
  </si>
  <si>
    <t>['habis', 'kalah', 'taruhan', 'final', 'piala', 'dunia', 'like']</t>
  </si>
  <si>
    <t>@rosesmorte jadi di maria aja secara tidak langsung mewujudkan impian Messi, cetak gol final Copa America, finalissima, dan piala dunia</t>
  </si>
  <si>
    <t>jadi maria aja secara tidak langsung mewujudkan impian messi cetak gol final copa america finalissima dan piala dunia</t>
  </si>
  <si>
    <t>['jadi', 'maria', 'langsung', 'mewujudkan', 'impian', 'messi', 'cetak', 'gol', 'final', 'copa', 'america', 'finalissima', 'piala', 'dunia']</t>
  </si>
  <si>
    <t>Siap hadir nobar di malam final piala dunia Qatar 2022, Kakanwil Faisol Ali jagokan Prancis @Kumham_Sulbar @NewsKemenkumham #KanwilSulbar #KumhamSulbar #FaisolAli #Yasonna @FaisolAli2022 Faisol Ali  https://t.co/cRhMtV8XBL</t>
  </si>
  <si>
    <t>Emiliano Martinez sempat mendapatkan sorotan dalam pemberian gelar individu seusai laga final Piala Dunia Qatar 2022. Ya, Martinez melakukan selebrasi tak senonoh saat menerima gelar penghargaan kiper terbaik Piala Dunia 2022.  https://t.co/3DCrMjyj2j</t>
  </si>
  <si>
    <t>emiliano martinez sempat mendapatkan sorotan dalam pemberian gelar individu seusai laga final piala dunia qatar martinez melakukan selebrasi tak senonoh saat menerima gelar penghargaan kiper terbaik piala dunia</t>
  </si>
  <si>
    <t>['emiliano', 'martinez', 'sempat', 'mendapatkan', 'sorotan', 'pemberian', 'gelar', 'individu', 'seusai', 'laga', 'final', 'piala', 'dunia', 'qatar', 'martinez', 'melakukan', 'selebrasi', 'tak', 'senonoh', 'menerima', 'gelar', 'penghargaan', 'kiper', 'terbaik', 'piala', 'dunia']</t>
  </si>
  <si>
    <t>Ini Momen Messi Peluk Mbappe di Final Piala Dunia 2022 ‚Äì detikSport ‚Äì Google Berita Olahraga ‚Äì  https://t.co/5yD5bD8wV3 ‚Äì #Arenanews #Kamidi #Opsiminfo- https://t.co/ME1LlNHd1u</t>
  </si>
  <si>
    <t>ini momen messi peluk mbappe final piala dunia detiksport google berita olahraga</t>
  </si>
  <si>
    <t>['momen', 'messi', 'peluk', 'mbappe', 'final', 'piala', 'dunia', 'detiksport', 'google', 'berita', 'olahraga']</t>
  </si>
  <si>
    <t>Argentina vs Prancis di Final Piala Dunia 2022 : Les Bleus Samai Catatan Apik Brasil dan Italia  https://t.co/TZWKcW7Xk9</t>
  </si>
  <si>
    <t>argentina prancis final piala dunia les bleus samai catatan apik brasil dan italia</t>
  </si>
  <si>
    <t>['argentina', 'prancis', 'final', 'piala', 'dunia', 'les', 'bleus', 'samai', 'catatan', 'apik', 'brasil', 'italia']</t>
  </si>
  <si>
    <t>Kingsley Coman jadi sasaran rasialisme usai menjadi salah satu eksekutor penalti yang gagal di final Piala Dunia 2022. #kumparanBOLA  https://t.co/wNuCmGGg1c</t>
  </si>
  <si>
    <t>kingsley coman jadi sasaran rasialisme usai menjadi salah satu eksekutor penalti yang gagal final piala dunia</t>
  </si>
  <si>
    <t>['kingsley', 'coman', 'jadi', 'sasaran', 'rasialisme', 'usai', 'menjadi', 'salah', 'satu', 'eksekutor', 'penalti', 'gagal', 'final', 'piala', 'dunia']</t>
  </si>
  <si>
    <t>Final Piala Dunia 2022 Tambah Meriah dengan Kehadiran Icha Christy  https://t.co/eiT72oE6Ua</t>
  </si>
  <si>
    <t>final piala dunia tambah meriah dengan kehadiran icha christy</t>
  </si>
  <si>
    <t>['final', 'piala', 'dunia', 'tambah', 'meriah', 'kehadiran', 'icha', 'christy']</t>
  </si>
  <si>
    <t>Hal yang bagus masa dihukum? Aparatnya juga dilematis kali  Fans yang Pamer Payudara di Final Piala Dunia Lolos dari Hukuman?  https://t.co/K4XGA8TI6L</t>
  </si>
  <si>
    <t>hal yang bagus masa dihukum aparatnya juga dilematis kali fans yang pamer payudara final piala dunia lolos dari hukuman</t>
  </si>
  <si>
    <t>['bagus', 'masa', 'dihukum', 'aparatnya', 'dilematis', 'kali', 'fans', 'pamer', 'payudara', 'final', 'piala', 'dunia', 'lolos', 'hukuman']</t>
  </si>
  <si>
    <t>final match piala dunia  https://t.co/Us4L7XTBRS</t>
  </si>
  <si>
    <t>final match piala dunia</t>
  </si>
  <si>
    <t>['final', 'match', 'piala', 'dunia']</t>
  </si>
  <si>
    <t>Profesor Ungkap Trik Emiliano Martinez Menang Perang Mental di Adu Penalti Final Piala Dunia 2022  https://t.co/LNcQymqNSg</t>
  </si>
  <si>
    <t>@SiaranBolaLive Final teramai selama piala dunia yg saya lihat. Yg nonton silih berganti bersorak dukung team masing-masing.</t>
  </si>
  <si>
    <t>final teramai selama piala dunia saya lihat nonton silih berganti bersorak dukung team masing masing</t>
  </si>
  <si>
    <t>['final', 'teramai', 'selama', 'piala', 'dunia', 'lihat', 'nonton', 'silih', 'berganti', 'bersorak', 'dukung', 'team', 'masing', 'masing']</t>
  </si>
  <si>
    <t>Usai Selebrasi Kontroversial, Emiliano Martinez Kini Dituding Curang saat Adu Penalti di Final Piala Dunia 2022 #LengkapCepatBeritanya #Bola #SepakBola #SepakbolaDunia #BolaDunia .  https://t.co/NN4ObUgRmO</t>
  </si>
  <si>
    <t>usai selebrasi kontroversial emiliano martinez kini dituding curang saat adu penalti final piala dunia</t>
  </si>
  <si>
    <t>['usai', 'selebrasi', 'kontroversial', 'emiliano', 'martinez', 'kini', 'dituding', 'curang', 'adu', 'penalti', 'final', 'piala', 'dunia']</t>
  </si>
  <si>
    <t>#Terpopuler Final Piala Dunia 2022 dinilai banyak netizen terbaik sepanjang masa. Permainan yang disuguhkan Argentina dan Prancis sukses membuat penonton 'senam jantung'! #juaraboladunia    https://t.co/ukPgAOBhZL</t>
  </si>
  <si>
    <t>final piala dunia dinilai banyak netizen terbaik sepanjang masa permainan yang disuguhkan argentina dan prancis sukses membuat penonton senam jantung</t>
  </si>
  <si>
    <t>['final', 'piala', 'dunia', 'dinilai', 'banyak', 'netizen', 'terbaik', 'sepanjang', 'masa', 'permainan', 'disuguhkan', 'argentina', 'prancis', 'sukses', 'membuat', 'penonton', 'senam', 'jantung']</t>
  </si>
  <si>
    <t>Profesor Ungkap Trik Emiliano Martinez Menang Perang Mental di Adu Penalti Final Piala Dunia 2022  https://t.co/KbaonjK6ZD</t>
  </si>
  <si>
    <t>@Indosiar kenapa siaran digitalmu di Jateng-2 (Blora) sekarang ini menghilang ?? Padahal pas final piala dunia siaranmu lancar</t>
  </si>
  <si>
    <t>kenapa siaran digitalmu jateng blora sekarang ini menghilang padahal pas final piala dunia siaranmu lancar</t>
  </si>
  <si>
    <t>['siaran', 'digitalmu', 'jateng', 'blora', 'sekarang', 'menghilang', 'padahal', 'pas', 'final', 'piala', 'dunia', 'siaranmu', 'lancar']</t>
  </si>
  <si>
    <t>@siarandigital @siarandigitalid kenapa di wilayah Jateng-2 (Blora) sinyal yg aktif hanya 514Mhz dan 530Mhz saja??padahal pas final piala dunia msh bisa nonton tp sekarang kosong</t>
  </si>
  <si>
    <t>kenapa wilayah jateng blora sinyal aktif hanya mhz dan mhz saja padahal pas final piala dunia msh bisa nonton sekarang kosong</t>
  </si>
  <si>
    <t>['wilayah', 'jateng', 'blora', 'sinyal', 'aktif', 'mhz', 'mhz', 'padahal', 'pas', 'final', 'piala', 'dunia', 'msh', 'nonton', 'sekarang', 'kosong']</t>
  </si>
  <si>
    <t>Setelah Piala Dunia kecewa karena dukungan tidak masuk final, kini saatnya DUKUNG TIMNAS GARUDA di Piala AFF 2022</t>
  </si>
  <si>
    <t>setelah piala dunia kecewa karena dukungan tidak masuk final kini saatnya dukung timnas garuda piala aff</t>
  </si>
  <si>
    <t>['piala', 'dunia', 'kecewa', 'dukungan', 'masuk', 'final', 'kini', 'saatnya', 'dukung', 'timnas', 'garuda', 'piala', 'aff']</t>
  </si>
  <si>
    <t>Jawaban Pencetak Gol Prancis di final Piala Dunia 1998 itu adalah : 1. Zinedine Zidane 2. Emmanuel Petit #PilDunBarengIOH  @indosat @idextratime @itsme_zaaaa @ariz_kuna @Listina86</t>
  </si>
  <si>
    <t>jawaban pencetak gol prancis final piala dunia itu adalah zinedine zidane emmanuel petit zaaaa kuna</t>
  </si>
  <si>
    <t>['jawaban', 'pencetak', 'gol', 'prancis', 'final', 'piala', 'dunia', 'zinedine', 'zidane', 'emmanuel', 'petit', 'zaaaa', 'kuna']</t>
  </si>
  <si>
    <t>dan dua kekuatan besar sepak bola, Amerika Latin dan Eropa, tengah bersinar dan menjadi kiblat.  31 tahun kemudian, tulisan ini masih sangat layak untuk dibaca. Apalagi, baru saja kita menyaksikan salah satu final piala dunia terbaik antara negara Eropa dan Amerika Latin.</t>
  </si>
  <si>
    <t>dan dua kekuatan besar sepak bola amerika latin dan eropa tengah bersinar dan menjadi kiblat tahun kemudian tulisan ini masih sangat layak untuk dibaca apalagi baru saja kita menyaksikan salah satu final piala dunia terbaik antara negara eropa dan amerika latin</t>
  </si>
  <si>
    <t>['kekuatan', 'besar', 'sepak', 'bola', 'amerika', 'latin', 'eropa', 'tengah', 'bersinar', 'menjadi', 'kiblat', 'tahun', 'kemudian', 'tulisan', 'sangat', 'layak', 'dibaca', 'baru', 'menyaksikan', 'salah', 'satu', 'final', 'piala', 'dunia', 'terbaik', 'negara', 'eropa', 'amerika', 'latin']</t>
  </si>
  <si>
    <t>@caramelcnnmn Kalo ngomong gini kemarin momen nya pas tuh, final piala dunia üòÇ</t>
  </si>
  <si>
    <t>kalo ngomong gini kemarin momen nya pas tuh final piala dunia</t>
  </si>
  <si>
    <t>['ngomong', 'gini', 'kemarin', 'momen', 'pas', 'final', 'piala', 'dunia']</t>
  </si>
  <si>
    <t>Putin Nimbrung Komentari Argentina vs Prancis di Final Piala Dunia  https://t.co/IPxBQ9In1W</t>
  </si>
  <si>
    <t>putin nimbrung komentari argentina prancis final piala dunia</t>
  </si>
  <si>
    <t>['putin', 'nimbrung', 'komentari', 'argentina', 'prancis', 'final', 'piala', 'dunia']</t>
  </si>
  <si>
    <t>Gol Messi di Final Piala Dunia 2022 Jadi Kontroversi: Dianggap Gak Sah  https://t.co/cOUkRsnl8s</t>
  </si>
  <si>
    <t>gol messi final piala dunia jadi kontroversi dianggap gak sah</t>
  </si>
  <si>
    <t>['gol', 'messi', 'final', 'piala', 'dunia', 'jadi', 'kontroversi', 'dianggap', 'sah']</t>
  </si>
  <si>
    <t>Icha Christy Nobar Final Piala Dunia di De‚Äô Ich Lounge &amp;amp; Bar  https://t.co/ocv3CoCuLT</t>
  </si>
  <si>
    <t>icha christy nobar final piala dunia ich lounge bar</t>
  </si>
  <si>
    <t>['icha', 'christy', 'nonton bareng', 'final', 'piala', 'dunia', 'ich', 'lounge', 'bar']</t>
  </si>
  <si>
    <t>Terima kasih Qatar untuk Piala Dunia terbaiknya, banyak kejutan dan drama di edisi kali iniüôèüèºüá∂üá¶. Next Piala Dunia 2026 dengan sistem baru yaitu 48 tim! Indonesia berpeluang masuk jika lolos ke perempat final Piala Asia 2023!üôÉ  https://t.co/7LlZid2j8F</t>
  </si>
  <si>
    <t>terima kasih qatar untuk piala dunia terbaiknya banyak kejutan dan drama edisi kali ini next piala dunia dengan sistem baru yaitu tim indonesia berpeluang masuk jika lolos perempat final piala asia</t>
  </si>
  <si>
    <t>['terima', 'kasih', 'qatar', 'piala', 'dunia', 'terbaiknya', 'banyak', 'kejutan', 'drama', 'edisi', 'kali', 'next', 'piala', 'dunia', 'sistem', 'baru', 'tim', 'indonesia', 'berpeluang', 'masuk', 'lolos', 'perempat', 'final', 'piala', 'asia']</t>
  </si>
  <si>
    <t>Usai menjuarai Piala Dunia 2022, jersey Argentina laku keras di toko ritel, terutama seragam kandang biru-putih La Albiceleste, yang dikenakan saat final.  https://t.co/LAKWfT68gy</t>
  </si>
  <si>
    <t>usai menjuarai piala dunia jersey argentina laku keras toko ritel terutama seragam kandang biru putih albiceleste yang dikenakan saat final</t>
  </si>
  <si>
    <t>['usai', 'menjuarai', 'piala', 'dunia', 'jersey', 'argentina', 'laku', 'keras', 'toko', 'ritel', 'terutama', 'seragam', 'kandang', 'biru', 'putih', 'albiceleste', 'dikenakan', 'final']</t>
  </si>
  <si>
    <t>@idextratime Yang pencetak gol prancis 1998 adalah  Pencetak gol untuk Prancis di final Piala Dunia 1998 adalah Zinedine Zidane 2 goal (27', 45') dan Emanuel Petit 1 goal (90')  @indosat @idextratime   #PilDunBarengIOH  @fahmi_bd    @tkwpcnfak    @Hitung1</t>
  </si>
  <si>
    <t>yang pencetak gol prancis adalah pencetak gol untuk prancis final piala dunia adalah zinedine zidane goal dan emanuel petit goal</t>
  </si>
  <si>
    <t>['pencetak', 'gol', 'prancis', 'pencetak', 'gol', 'prancis', 'final', 'piala', 'dunia', 'zinedine', 'zidane', 'goal', 'emanuel', 'petit', 'goal']</t>
  </si>
  <si>
    <t>@AlwaysBeSmart1 @idextratime Bacot kalah ya kalah aja payah sekali mengakui kekalah,final piala dunia 2x udh bisa membuktikan SAT!!!</t>
  </si>
  <si>
    <t>bacot kalah kalah aja payah sekali mengakui kekalah final piala dunia udh bisa membuktikan sat</t>
  </si>
  <si>
    <t>['bacot', 'kalah', 'kalah', 'payah', 'sekali', 'mengakui', 'kekalah', 'final', 'piala', 'dunia', 'sudah', 'membuktikan', 'sat']</t>
  </si>
  <si>
    <t>Ini Alasan Kenapa Final Piala Dunia 2022 Menjadi Laga Final Terbaik dalam Sejarah.</t>
  </si>
  <si>
    <t>ini alasan kenapa final piala dunia menjadi laga final terbaik dalam sejarah</t>
  </si>
  <si>
    <t>['alasan', 'final', 'piala', 'dunia', 'menjadi', 'laga', 'final', 'terbaik', 'sejarah']</t>
  </si>
  <si>
    <t>@adit__y @vickyh23_ @DurisAbdul @idextratime Mereka bakal hina messi bang wokwokwok. Mereka kan fans dodo yg iri idolanya g pernah nyampe final piala dunia  https://t.co/KkikIn3n4W</t>
  </si>
  <si>
    <t>mereka bakal hina messi bang wokwokwok mereka kan fans dodo iri idolanya pernah nyampe final piala dunia</t>
  </si>
  <si>
    <t>['bakal', 'hina', 'messi', 'bang', 'wokwokwok', 'kan', 'fans', 'dodo', 'iri', 'idolanya', 'pernah', 'sampai', 'final', 'piala', 'dunia']</t>
  </si>
  <si>
    <t>Media Prancis L'Equipe mengungkap alasan gol kedua Lionel Messi di final Piala Dunia 2022 seharusnya tidak sah. Apa alasannya? #detikNetwork    https://t.co/XxgGZ4HsVK</t>
  </si>
  <si>
    <t>media prancis equipe mengungkap alasan gol kedua lionel messi final piala dunia seharusnya tidak sah apa alasannya</t>
  </si>
  <si>
    <t>['media', 'prancis', 'equipe', 'mengungkap', 'alasan', 'gol', 'kedua', 'lionel', 'messi', 'final', 'piala', 'dunia', 'sah', 'apa', 'alasannya']</t>
  </si>
  <si>
    <t>Kontroversi Final Piala Dunia 2022: Gol Ketiga Argentina Harusnya Tidak Sah? -  https://t.co/kpmQt1cweG  https://t.co/kADcQzfl6H via @bolanet  https://t.co/aNzDFA3v8E . . . #m88mansion #m88mansionindo #m88indo #m88laliga</t>
  </si>
  <si>
    <t>kontroversi final piala dunia gol ketiga argentina harusnya tidak sah via</t>
  </si>
  <si>
    <t>['kontroversi', 'final', 'piala', 'dunia', 'gol', 'ketiga', 'argentina', 'harusnya', 'sah', 'via']</t>
  </si>
  <si>
    <t>Final Piala Dunia 2022 Disebut Lebih Baik dari Istanbul 2005, Pendukung Liverpool Setuju? -  https://t.co/kpmQt1cweG  https://t.co/UQUePhrN2M via @bolanet  https://t.co/aNzDFA3v8E . . . #m88mansion #m88mansionindo #m88indo #m88laliga</t>
  </si>
  <si>
    <t>final piala dunia disebut lebih baik dari istanbul pendukung liverpool setuju via</t>
  </si>
  <si>
    <t>['final', 'piala', 'dunia', 'disebut', 'lebih', 'baik', 'istanbul', 'pendukung', 'liverpool', 'setuju', 'via']</t>
  </si>
  <si>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</si>
  <si>
    <t>laga final argentina prancis bisa jadi dinobatkan sebagai laga final terbaik piala dunia adu taktik aksi kejar kejaran gol torehan rekor rekor baru hingga menjadi panggung megah bagi para pesebakbola kelas wahid untuk unjuk kebolehan sebuah utas ulasan laga</t>
  </si>
  <si>
    <t>['laga', 'final', 'argentina', 'prancis', 'jadi', 'dinobatkan', 'laga', 'final', 'terbaik', 'piala', 'dunia', 'adu', 'taktik', 'aksi', 'kejar', 'kejaran', 'gol', 'torehan', 'rekor', 'rekor', 'baru', 'hingga', 'menjadi', 'panggung', 'megah', 'pesebakbola', 'kelas', 'wahid', 'unjuk', 'kebolehan', 'sebuah', 'utas', 'ulasan', 'laga']</t>
  </si>
  <si>
    <t>Siap hadir nobar di malam final piala dunia Qatar 2022, Kakanwil Faisol Ali jagokan Prancis @Kumham_Sulbar @NewsKemenkumham #KanwilSulbar #KumhamSulbar #FaisolAli #Yasonna @FaisolAli2022 Faisol Ali  https://t.co/nrQFw4RaKH</t>
  </si>
  <si>
    <t>Dembele dan Giroud, Dua Pemain Terburuk Prancis di Final Piala Dunia 2022? -  https://t.co/kpmQt1cweG  https://t.co/2AYcLmfg5M via @bolanet  https://t.co/aNzDFA3v8E . . . #m88mansion #m88mansionindo #m88indo #m88laliga</t>
  </si>
  <si>
    <t>dembele dan giroud dua pemain terburuk prancis final piala dunia via</t>
  </si>
  <si>
    <t>['dembele', 'giroud', 'pemain', 'terburuk', 'prancis', 'final', 'piala', 'dunia', 'via']</t>
  </si>
  <si>
    <t>Singkat dan Mengancam! Ini Komentar Mbappe Usai Prancis Dikalahkan Argentina di Final Piala Dunia 2022 -  https://t.co/kpmQt1cweG  https://t.co/cQfO5iFgKT via @bolanet  https://t.co/aNzDFA3v8E . . . #m88mansion #m88mansionindo #m88indo #m88laliga</t>
  </si>
  <si>
    <t>singkat dan mengancam ini komentar mbappe usai prancis dikalahkan argentina final piala dunia via</t>
  </si>
  <si>
    <t>['singkat', 'mengancam', 'komentar', 'mbappe', 'usai', 'prancis', 'dikalahkan', 'argentina', 'final', 'piala', 'dunia', 'via']</t>
  </si>
  <si>
    <t>AKSI ERICK THOHIR BERSAMA BINTANG BOLA  DI FINAL PIALA DUNIA QATAR, JADI SOROTAN TV RUSIA. Halo Pak @erickthohir : Mana oleh-olehnya dari Qatar?  https://t.co/GwkxoPwjIJ</t>
  </si>
  <si>
    <t>aksi erick thohir bersama bintang bola final piala dunia qatar jadi sorotan rusia halo pak mana oleh olehnya dari qatar</t>
  </si>
  <si>
    <t>['aksi', 'erick', 'thohir', 'bersama', 'bintang', 'bola', 'final', 'piala', 'dunia', 'qatar', 'jadi', 'sorotan', 'rusia', 'halo', 'pak', 'mana', 'olehnya', 'qatar']</t>
  </si>
  <si>
    <t>Final Piala Dunia 2022: Warga Bangladesh Gelar Ritual Agar Argentina Juara #pialadunia #pialadunia2022live #ArgentinaVsFrance #Argentina #DiMaria #MessiìÉµ #Messi #MESSIDAY #messigoat   https://t.co/0pD2VYezJz</t>
  </si>
  <si>
    <t>final piala dunia warga bangladesh gelar ritual agar argentina juara</t>
  </si>
  <si>
    <t>['final', 'piala', 'dunia', 'warga', 'bangladesh', 'gelar', 'ritual', 'argentina', 'juara']</t>
  </si>
  <si>
    <t>@KompasBola "Ini adalah Piala Dunia terburuk yang pernah ada, tapi untungnya itu mempertontonkan final yang hebat," tulus Katia Aveiro di Instagram Story, dikutip dari¬†Marca.  ga salah sih make judul dari pernyataan orang. tapi yang lengkap dong</t>
  </si>
  <si>
    <t>ini adalah piala dunia terburuk yang pernah ada tapi untungnya itu mempertontonkan final yang hebat tulus katia aveiro instagram story dikutip dari marca salah sih make judul dari pernyataan orang tapi yang lengkap dong</t>
  </si>
  <si>
    <t>['piala', 'dunia', 'terburuk', 'pernah', 'untungnya', 'mempertontonkan', 'final', 'hebat', 'tulus', 'katia', 'aveiro', 'instagram', 'story', 'dikutip', 'marca', 'salah', 'make', 'judul', 'pernyataan', 'orang', 'lengkap', 'dong']</t>
  </si>
  <si>
    <t>#Terpopuler Ketika berlaga di final Piala Dunia Qatar 2022, Lionel Messi mengenakan sepasang 'golden boots' dan sandal dengan detail menyentuh.  https://t.co/QXScjWO3Mt</t>
  </si>
  <si>
    <t>ketika berlaga final piala dunia qatar lionel messi mengenakan sepasang golden boots dan sandal dengan detail menyentuh</t>
  </si>
  <si>
    <t>['berlaga', 'final', 'piala', 'dunia', 'qatar', 'lionel', 'messi', 'mengenakan', 'sepasang', 'golden', 'boots', 'sandal', 'detail', 'menyentuh']</t>
  </si>
  <si>
    <t>Lionel Messi adalah pemain pertama yang mencetak gol di setiap pertandingan di babak penyisihan grup, babak 16 besar, perempat final, semifinal, dan final dalam satu edisi Piala Dunia üá¶üá∑‚öΩÔ∏è  #VamosMessi #BarcelonaFans #ForcaBarca #ViscaBarca  https://t.co/s8P9kajhLN</t>
  </si>
  <si>
    <t>lionel messi adalah pemain pertama yang mencetak gol setiap pertandingan babak penyisihan grup babak besar perempat final semifinal dan final dalam satu edisi piala dunia</t>
  </si>
  <si>
    <t>['lionel', 'messi', 'pemain', 'pertama', 'mencetak', 'gol', 'pertandingan', 'babak', 'penyisihan', 'grup', 'babak', 'besar', 'perempat', 'final', 'semifinal', 'final', 'satu', 'edisi', 'piala', 'dunia']</t>
  </si>
  <si>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</si>
  <si>
    <t>silahturahmi dan nonton bareng nobar final piala dunia polsek metro menteng dengan warga menteng tenggulun kelurahan menteng jakarta pusat</t>
  </si>
  <si>
    <t>['silahturahmi', 'nonton', 'bareng', 'nonton bareng', 'final', 'piala', 'dunia', 'polsek', 'metro', 'menteng', 'warga', 'menteng', 'tenggulun', 'kelurahan', 'menteng', 'jakarta', 'pusat']</t>
  </si>
  <si>
    <t>Final Piala Dunia 2022: Warga Bangladesh Gelar Ritual Agar Argentina Juara #pialadunia #pialadunia2022live #ArgentinaVsFrance #LionelMessiìÉµ #Argentina   https://t.co/0pD2VYezJz</t>
  </si>
  <si>
    <t>@semestasains All in di semua final piala dunia, kripto n saham..</t>
  </si>
  <si>
    <t>all semua final piala dunia kripto saham</t>
  </si>
  <si>
    <t>['all', 'semua', 'final', 'piala', 'dunia', 'kripto', 'saham']</t>
  </si>
  <si>
    <t>@Diazekae @Askrlfess belom lama kesono sendiri, karna kebetulan ada pee wee gaskins sama nobar final piala dunia. sempet ngeliat pasukan berlan emang, tp gatau kalo disitu mabesnya üòÑ</t>
  </si>
  <si>
    <t>belom lama kesono sendiri karna kebetulan ada pee wee gaskins sama nobar final piala dunia sempet ngeliat pasukan berlan emang gatau kalo disitu mabesnya</t>
  </si>
  <si>
    <t>['belom', 'lama', 'kesono', 'sendiri', 'karna', 'kebetulan', 'pee', 'wee', 'gaskins', 'sama', 'nonton bareng', 'final', 'piala', 'dunia', 'sempet', 'ngeliat', 'pasukan', 'berlan', 'emang', 'gatau', 'disitu', 'mabesnya']</t>
  </si>
  <si>
    <t>Dijamin tetap fokus, begini cara aman produktif meski habis begadang nonton final piala dunia.   https://t.co/8iF9UPDJws</t>
  </si>
  <si>
    <t>dijamin tetap fokus begini cara aman produktif meski habis begadang nonton final piala dunia</t>
  </si>
  <si>
    <t>['dijamin', 'tetap', 'fokus', 'begini', 'cara', 'aman', 'produktif', 'meski', 'habis', 'begadang', 'nonton', 'final', 'piala', 'dunia']</t>
  </si>
  <si>
    <t>liat tendangan pemain Prancis pas diwaktu ekstra time kedua +3menit Final Piala Dunia 2022. oksigen dalam darah tiba2 hilang ü§£üò≠ü§£üò≠ü§£üò≠</t>
  </si>
  <si>
    <t>liat tendangan pemain prancis pas diwaktu ekstra time kedua menit final piala dunia oksigen dalam darah tiba hilang</t>
  </si>
  <si>
    <t>['lihat', 'tendangan', 'pemain', 'prancis', 'pas', 'diwaktu', 'ekstra', 'time', 'kedua', 'menit', 'final', 'piala', 'dunia', 'oksigen', 'darah', 'tiba', 'hilang']</t>
  </si>
  <si>
    <t>Highlight Final Piala dunia 2022 üá¶üá∑üá´üá∑</t>
  </si>
  <si>
    <t>highlight final piala dunia</t>
  </si>
  <si>
    <t>['highlight', 'final', 'piala', 'dunia']</t>
  </si>
  <si>
    <t>Walaupun udah 2 hari tapi masih kepikiran final piala dunia kemarin, PERMAINAN MBAPPE &amp;amp; MESSI KEREN BANGET BANGSATT</t>
  </si>
  <si>
    <t>walaupun udah hari tapi masih kepikiran final piala dunia kemarin permainan mbappe messi keren banget bangsatt</t>
  </si>
  <si>
    <t>['walaupun', 'udah', 'hari', 'kepikiran', 'final', 'piala', 'dunia', 'kemarin', 'permainan', 'mbappe', 'messi', 'keren', 'banget', 'bangsatt']</t>
  </si>
  <si>
    <t>@sbyfess Bersyukur bisa lihat final wc 2022 Dan lihat Messi angkat piala dunia</t>
  </si>
  <si>
    <t>bersyukur bisa lihat final dan lihat messi angkat piala dunia</t>
  </si>
  <si>
    <t>['bersyukur', 'lihat', 'final', 'lihat', 'messi', 'angkat', 'piala', 'dunia']</t>
  </si>
  <si>
    <t>Pencetak gol Prancis di final Piala Dunia 1998 :   Jawabannya: ‚öΩ Zinedine Zidane 27' 45+1' ‚öΩ Emmanuel Petit 90+3'  Ayo ikutan Bestie..  @hasanbasri295 @Suwoko__ @irhamadja177  Jangan lupa follow  üëâ @Indosat  üëâ @idextratime  #PilDunBarengIOH</t>
  </si>
  <si>
    <t>Raphael Varane Akui Terpengaruh Virus Pada Final Piala Dunia 2022  https://t.co/VeoUW2susZ  https://t.co/s4UN9akx55</t>
  </si>
  <si>
    <t>raphael varane akui terpengaruh virus pada final piala dunia</t>
  </si>
  <si>
    <t>['raphael', 'varane', 'akui', 'terpengaruh', 'virus', 'final', 'piala', 'dunia']</t>
  </si>
  <si>
    <t>Lionel Messi ternyata memakai jimat keberuntungannya saat pertandingan final Piala Dunia 2022 melawan Prancis. Hasilnya pun terbkti ampuh karena Argentina mampu memenangi laga tersebut dan didapuk sebagai juara dunia.  https://t.co/Y149pYEj3r</t>
  </si>
  <si>
    <t>lionel messi ternyata memakai jimat keberuntungannya saat pertandingan final piala dunia melawan prancis hasilnya pun terbkti ampuh karena argentina mampu memenangi laga tersebut dan didapuk sebagai juara dunia</t>
  </si>
  <si>
    <t>['lionel', 'messi', 'ternyata', 'memakai', 'jimat', 'keberuntungannya', 'pertandingan', 'final', 'piala', 'dunia', 'melawan', 'prancis', 'hasilnya', 'terbkti', 'ampuh', 'argentina', 'mampu', 'memenangi', 'laga', 'tersebut', 'didapuk', 'juara', 'dunia']</t>
  </si>
  <si>
    <t>@haisayasaka ujian jelek bisa up nnton final piala dunia langsung kapan lg ü§ó belum tntu 4 thn lg msh hidup</t>
  </si>
  <si>
    <t>ujian jelek bisa nnton final piala dunia langsung kapan belum tntu thn msh hidup</t>
  </si>
  <si>
    <t>['ujian', 'jelek', 'nnton', 'final', 'piala', 'dunia', 'langsung', 'kapan', 'tntu', 'thn', 'msh', 'hidup']</t>
  </si>
  <si>
    <t>@fakhhre_ @Herwinwijaya14 @PujiYudiRamdani @peppertipex @idextratime Disangkain portugal pas 2014-2016 kali pure digendong sama babang do  Apes babang do jaman dia belom mateng skuad portugal lagi bagus pencapaian di piala dunia 2006 cuma semifinalis. Pas</t>
  </si>
  <si>
    <t>disangkain portugal pas kali pure digendong sama babang apes babang jaman dia belom mateng skuad portugal lagi bagus pencapaian piala dunia cuma semifinalis pas</t>
  </si>
  <si>
    <t>['disangkain', 'portugal', 'pas', 'kali', 'pure', 'digendong', 'sama', 'babang', 'apes', 'babang', 'jaman', 'belom', 'mateng', 'skuad', 'portugal', 'bagus', 'pencapaian', 'piala', 'dunia', 'cuma', 'semifinalis', 'pas']</t>
  </si>
  <si>
    <t>Piala Dunia sudah mencapai puncaknya. Malam ini kita akan disajikan final dan seremonial Penutupan Piala Dunia 2024 di Qatar.  Selamat Nobar :) #PialaDunia2024 #WorldCUp2024 #PartaiGolkar #Golkar #MembangunUntukSemua  https://t.co/HgHm0mCkcs</t>
  </si>
  <si>
    <t>piala dunia sudah mencapai puncaknya malam ini kita akan disajikan final dan seremonial penutupan piala dunia qatar selamat nobar</t>
  </si>
  <si>
    <t>['piala', 'dunia', 'mencapai', 'puncaknya', 'malam', 'disajikan', 'final', 'seremonial', 'penutupan', 'piala', 'dunia', 'qatar', 'selamat', 'nonton bareng']</t>
  </si>
  <si>
    <t>@BarcaBandidos Final piala dunia 2014 sayang dia cidera. Pemain yg hobi nyekor di final kaya pedro</t>
  </si>
  <si>
    <t>final piala dunia sayang dia cidera pemain hobi nyekor final kaya pedro</t>
  </si>
  <si>
    <t>['final', 'piala', 'dunia', 'sayang', 'cidera', 'pemain', 'hobi', 'nyekor', 'final', 'kaya', 'pedro']</t>
  </si>
  <si>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</si>
  <si>
    <t>penghargaan motm untuk messi piala dunia motm meksiko babak penyisihan motm australia babak besar motm belanda perempatfinal motm kroasia semifinal motm prancis final</t>
  </si>
  <si>
    <t>['penghargaan', 'motm', 'messi', 'piala', 'dunia', 'motm', 'meksiko', 'babak', 'penyisihan', 'motm', 'australia', 'babak', 'besar', 'motm', 'belanda', 'perempatfinal', 'motm', 'kroasia', 'semifinal', 'motm', 'prancis', 'final']</t>
  </si>
  <si>
    <t>Sosok Antonela Roccuzzo menjadi sorotan pada final Piala Dunia 2022. Ternyata, istri dari Messi ini bukan orang sembarangan. Berikut pekerjaan yang ia lakukan.   https://t.co/khV0Wla4rr</t>
  </si>
  <si>
    <t>sosok antonela roccuzzo menjadi sorotan pada final piala dunia ternyata istri dari messi ini bukan orang sembarangan berikut pekerjaan yang lakukan</t>
  </si>
  <si>
    <t>['sosok', 'antonela', 'roccuzzo', 'menjadi', 'sorotan', 'final', 'piala', 'dunia', 'ternyata', 'istri', 'messi', 'bukan', 'orang', 'sembarangan', 'berikut', 'pekerjaan', 'lakukan']</t>
  </si>
  <si>
    <t>Sosok Antonella Roccuzzo menjadi sorotan saat Argentina bersua Prancis di final Piala Dunia 2022 pada Senin, (19/12/2022) dini hari WIB.   https://t.co/gw0NpXQzAc</t>
  </si>
  <si>
    <t>sosok antonella roccuzzo menjadi sorotan saat argentina bersua prancis final piala dunia pada senin dini hari wib</t>
  </si>
  <si>
    <t>['sosok', 'antonella', 'roccuzzo', 'menjadi', 'sorotan', 'argentina', 'bersua', 'prancis', 'final', 'piala', 'dunia', 'senin', 'dini', 'hari', 'wib']</t>
  </si>
  <si>
    <t>Gelar juara Piala Dunia kali ini merupakan yang ketiga kalinya bagi #Argentina dan 36 tahun penantian rakyat Argentina üá¶üá∑, setelah tahun 1978 dan 1986. Berkat adu penalti, Messi cs menang 4-2 melawan Mbappe cs, pada pertandingan final #PialaDunia2022 pada Minggu (18/12). (Detik)</t>
  </si>
  <si>
    <t>gelar juara piala dunia kali ini merupakan yang ketiga kalinya bagi dan tahun penantian rakyat argentina setelah tahun dan berkat adu penalti messi menang melawan mbappe pada pertandingan final pada minggu detik</t>
  </si>
  <si>
    <t>['gelar', 'juara', 'piala', 'dunia', 'kali', 'merupakan', 'ketiga', 'kalinya', 'tahun', 'penantian', 'rakyat', 'argentina', 'tahun', 'berkat', 'adu', 'penalti', 'messi', 'menang', 'melawan', 'mbappe', 'pertandingan', 'final', 'minggu', 'detik']</t>
  </si>
  <si>
    <t>#Terpopuler Deepika Padukone membawa trofi Piala Dunia 2022 menjelang final antara Argentina dan Prancis di Stadion Lusail di Doha, Qatar.  https://t.co/KVQ4krnOUT</t>
  </si>
  <si>
    <t>deepika padukone membawa trofi piala dunia menjelang final antara argentina dan prancis stadion lusail doha qatar</t>
  </si>
  <si>
    <t>['deepika', 'padukone', 'membawa', 'trofi', 'piala', 'dunia', 'menjelang', 'final', 'argentina', 'prancis', 'stadion', 'lusail', 'doha', 'qatar']</t>
  </si>
  <si>
    <t>Siap hadir nobar di malam final piala dunia Qatar 2022, Kakanwil Faisol Ali jagokan Prancis @Kumham_Sulbar @NewsKemenkumham #KanwilSulbar #KumhamSulbar #FaisolAli #Yasonna @FaisolAli2022 Faisol Ali  https://t.co/SBtmvGax9M</t>
  </si>
  <si>
    <t>Siap hadir nobar di malam final piala dunia Qatar 2022, Kakanwil Faisol Ali jagokan Prancis @Kumham_Sulbar @NewsKemenkumham #KanwilSulbar #KumhamSulbar #FaisolAli #Yasonna @FaisolAli2022 Faisol Ali  https://t.co/dxa1jMqnpl</t>
  </si>
  <si>
    <t>Jadi Top Scorer, Ini Deretan Gol Ciamik Kylian Mbappe di Final Piala Dunia 2022  https://t.co/CFl8do5ceg</t>
  </si>
  <si>
    <t>jadi top scorer ini deretan gol ciamik kylian mbappe final piala dunia</t>
  </si>
  <si>
    <t>['jadi', 'top', 'scorer', 'deretan', 'gol', 'ciamik', 'kylian', 'mbappe', 'final', 'piala', 'dunia']</t>
  </si>
  <si>
    <t>#Terpopuler Ada pemandangan unik saat penyerahan trofi di final Piala Dunia 2022. Lionel Messi mengenakan jubah Arab.  https://t.co/gjc3jMzuFL</t>
  </si>
  <si>
    <t>ada pemandangan unik saat penyerahan trofi final piala dunia lionel messi mengenakan jubah arab</t>
  </si>
  <si>
    <t>['pemandangan', 'unik', 'penyerahan', 'trofi', 'final', 'piala', 'dunia', 'lionel', 'messi', 'mengenakan', 'jubah', 'arab']</t>
  </si>
  <si>
    <t>Jumlah penonton di televisi Final Piala Dunia 2022 Argentina vs Prancis (perkiraan) Argentina - 18 juta Prancis - 27 juta  @ID_Albiceleste</t>
  </si>
  <si>
    <t>jumlah penonton televisi final piala dunia argentina prancis perkiraan argentina juta prancis juta albiceleste</t>
  </si>
  <si>
    <t>['jumlah', 'penonton', 'televisi', 'final', 'piala', 'dunia', 'argentina', 'prancis', 'perkiraan', 'argentina', 'juta', 'prancis', 'juta', 'albiceleste']</t>
  </si>
  <si>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</si>
  <si>
    <t>piala dunia sudah mencapai puncaknya malam ini kita akan disajikan final dan seremonial penutupan piala dunia qatar laga final mempertemukan argentina dan perancis untuk memperebutkan gelar juara</t>
  </si>
  <si>
    <t>['piala', 'dunia', 'mencapai', 'puncaknya', 'malam', 'disajikan', 'final', 'seremonial', 'penutupan', 'piala', 'dunia', 'qatar', 'laga', 'final', 'mempertemukan', 'argentina', 'perancis', 'memperebutkan', 'gelar', 'juara']</t>
  </si>
  <si>
    <t>Di luar dari pro dan kontra, Jubah tradisional Arab, Bisht, yang dipakai Lionel Messi saat mengangkat trofi Piala Dunia 2022 laku terjual di Qatar satu hari usai laga final. #MessiìÉµ #GOATìÉµ    https://t.co/ngZHm7Hmea  https://t.co/mM0P49dPra</t>
  </si>
  <si>
    <t>luar dari pro dan kontra jubah tradisional arab bisht yang dipakai lionel messi saat mengangkat trofi piala dunia laku terjual qatar satu hari usai laga final</t>
  </si>
  <si>
    <t>['luar', 'pro', 'kontra', 'jubah', 'tradisional', 'arab', 'bisht', 'dipakai', 'lionel', 'messi', 'mengangkat', 'trofi', 'piala', 'dunia', 'laku', 'terjual', 'qatar', 'satu', 'hari', 'usai', 'laga', 'final']</t>
  </si>
  <si>
    <t>@alifrosli14 @PSSI Kroasia penduduknya gak sampe 10 juta tapi 2018 masuk final 2022 semifinal.   Kalo dari populasi final piala Dunia harus nya tiongkok vs india</t>
  </si>
  <si>
    <t>kroasia penduduknya gak sampe juta tapi masuk final semifinal kalo dari populasi final piala dunia harus nya tiongkok india</t>
  </si>
  <si>
    <t>['kroasia', 'penduduknya', 'sampai', 'juta', 'masuk', 'final', 'semifinal', 'populasi', 'final', 'piala', 'dunia', 'tiongkok', 'india']</t>
  </si>
  <si>
    <t>Antisipasi Konvoi Dalam Laga Final Piala Dunia, Team Patroli Presisi Bersiaga Hingga Pagi -  https://t.co/LxPfnNVskd</t>
  </si>
  <si>
    <t>antisipasi konvoi dalam laga final piala dunia team patroli presisi bersiaga hingga pagi</t>
  </si>
  <si>
    <t>['antisipasi', 'konvoi', 'laga', 'final', 'piala', 'dunia', 'team', 'patroli', 'presisi', 'bersiaga', 'hingga', 'pagi']</t>
  </si>
  <si>
    <t>@FirzaHusain Mereka gak ada yg komentar soal cwit "Cuman di era Pak Jokowi, Lionel Messi mampu membawa Argentina juara Piala Dunia, dan Marocco mampu menembus semi final Piala Dunia"? üòÅüòÅüòÅ</t>
  </si>
  <si>
    <t>mereka gak ada komentar soal cwit cuman era pak jokowi lionel messi mampu membawa argentina juara piala dunia dan marocco mampu menembus semi final piala dunia</t>
  </si>
  <si>
    <t>['komentar', 'soal', 'cwit', 'cuman', 'era', 'pak', 'jokowi', 'lionel', 'messi', 'mampu', 'membawa', 'argentina', 'juara', 'piala', 'dunia', 'marocco', 'mampu', 'menembus', 'semi', 'final', 'piala', 'dunia']</t>
  </si>
  <si>
    <t>Hattrick-nya ke gawang Argentina tak cukup mengantarkan Prancis mempertahankan trofi piala dunia, Kylian Mbappe tampil sebagai bintang pada laga final malam itu, tapi sinarnya kalah terang di banding Lionel Messi dan kawan-kawan. Striker Timnas Prancis‚Ä¶  https://t.co/qnJLMT07d8</t>
  </si>
  <si>
    <t>hattrick nya gawang argentina tak cukup mengantarkan prancis mempertahankan trofi piala dunia kylian mbappe tampil sebagai bintang pada laga final malam itu tapi sinarnya kalah terang banding lionel messi dan kawan kawan striker timnas prancis</t>
  </si>
  <si>
    <t>['hattrick', 'gawang', 'argentina', 'tak', 'cukup', 'mengantarkan', 'prancis', 'mempertahankan', 'trofi', 'piala', 'dunia', 'kylian', 'mbappe', 'tampil', 'bintang', 'laga', 'final', 'malam', 'sinarnya', 'kalah', 'terang', 'banding', 'lionel', 'messi', 'kawan', 'kawan', 'striker', 'timnas', 'prancis']</t>
  </si>
  <si>
    <t>@vidio Saat piala dunia saya sudah lakukan pembayaran paket tapi tetap gangguan dan baru bisa aktif setelah acara final selesai..</t>
  </si>
  <si>
    <t>saat piala dunia saya sudah lakukan pembayaran paket tapi tetap gangguan dan baru bisa aktif setelah acara final selesai</t>
  </si>
  <si>
    <t>['piala', 'dunia', 'lakukan', 'pembayaran', 'paket', 'tetap', 'gangguan', 'baru', 'aktif', 'acara', 'final', 'selesai']</t>
  </si>
  <si>
    <t>Argentina Melaju Ke Final Piala Dunia Qatar Pasca Permalukan Kroasia 3-0  https://t.co/3ytCOipQ10</t>
  </si>
  <si>
    <t>argentina melaju final piala dunia qatar pasca permalukan kroasia</t>
  </si>
  <si>
    <t>['argentina', 'melaju', 'final', 'piala', 'dunia', 'qatar', 'pasca', 'permalukan', 'kroasia']</t>
  </si>
  <si>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</si>
  <si>
    <t>yang menarik elon justru tidak hadir secara langsung acara bali pada november kemarin elon hanya hadir secara virtual dengan background gelap apakah ini menunjukkan final piala dunia lebih penting dari acara</t>
  </si>
  <si>
    <t>['menarik', 'elon', 'justru', 'hadir', 'langsung', 'acara', 'bali', 'november', 'kemarin', 'elon', 'hadir', 'virtual', 'background', 'gelap', 'menunjukkan', 'final', 'piala', 'dunia', 'lebih', 'penting', 'acara']</t>
  </si>
  <si>
    <t>semoga Mas Adi Yani sehat selalu.  Minggu malam siaran final Piala Dunia. Selasa sore ini siaran Piala AFF. Senin depan siaran Premier League lagi.</t>
  </si>
  <si>
    <t>semoga mas adi yani sehat selalu minggu malam siaran final piala dunia selasa sore ini siaran piala aff senin depan siaran premier league lagi</t>
  </si>
  <si>
    <t>['semoga', 'mas', 'adi', 'yani', 'sehat', 'selalu', 'minggu', 'malam', 'siaran', 'final', 'piala', 'dunia', 'selasa', 'sore', 'siaran', 'piala', 'aff', 'senin', 'depan', 'siaran', 'premier', 'league']</t>
  </si>
  <si>
    <t>@ninoooputra @riskinurf @vickyh23_ @ghjklmn444 @idextratime Ya mau gimana lgi kan mungkin aja dia baru pertama kali nonton final piala dunia jadi gk tau para staf sepak bola sudah nyiapin semuanya untuk ke 2 negara</t>
  </si>
  <si>
    <t>mau gimana lgi kan mungkin aja dia baru pertama kali nonton final piala dunia jadi tau para staf sepak bola sudah nyiapin semuanya untuk negara</t>
  </si>
  <si>
    <t>['mau', 'gimana', 'lgi', 'kan', 'mungkin', 'baru', 'pertama', 'kali', 'nonton', 'final', 'piala', 'dunia', 'jadi', 'staf', 'sepak', 'bola', 'nyiapin', 'semuanya', 'negara']</t>
  </si>
  <si>
    <t>De‚Äô Ich Lounge and Bar Gelar Nobar Final Piala Dunia 2022 Bersama Icha Christy  https://t.co/pIOC9Cwto6</t>
  </si>
  <si>
    <t>ich lounge and bar gelar nobar final piala dunia bersama icha christy</t>
  </si>
  <si>
    <t>['ich', 'lounge', 'and', 'bar', 'gelar', 'nonton bareng', 'final', 'piala', 'dunia', 'bersama', 'icha', 'christy']</t>
  </si>
  <si>
    <t>Timnas Argentina resmi jadi juara Piala Dunia 2022 setelah di partai final mengalahkan Prancis.  SELAMAT ARGENTINA!  #FifaWorldCup2022 #Qatar #Argentina #LeoMessi #milenialbersuaraa  https://t.co/tInDgRXwCH</t>
  </si>
  <si>
    <t>timnas argentina resmi jadi juara piala dunia setelah partai final mengalahkan prancis selamat argentina</t>
  </si>
  <si>
    <t>['timnas', 'argentina', 'resmi', 'jadi', 'juara', 'piala', 'dunia', 'partai', 'final', 'mengalahkan', 'prancis', 'selamat', 'argentina']</t>
  </si>
  <si>
    <t>ULASAN FINAL PIALA DUNIA PALING BIKIN JANTUNGAN DAN PENOBATAN MESSI SEBAGAI RAJA DARI PARA RAJA SEPAK BOLA.  NONTON DI EPS TERBARU OFFSIDE DUO! @CoachJustinL @panjiraden  Link YT:  https://t.co/XiRXrulkjn  https://t.co/RWbEvpvkdl</t>
  </si>
  <si>
    <t>ulasan final piala dunia paling bikin jantungan dan penobatan messi sebagai raja dari para raja sepak bola nonton eps terbaru offside duo link</t>
  </si>
  <si>
    <t>['ulasan', 'final', 'piala', 'dunia', 'paling', 'jantungan', 'penobatan', 'messi', 'raja', 'raja', 'sepak', 'bola', 'nonton', 'eps', 'terbaru', 'offside', 'duo', 'link']</t>
  </si>
  <si>
    <t>Dukung Argentina di Final Piala Dunia 2022, Drake Justru Kalah Taruhan Rp15 Miliar  https://t.co/oiHrTejQgm</t>
  </si>
  <si>
    <t>dukung argentina final piala dunia drake justru kalah taruhan miliar</t>
  </si>
  <si>
    <t>['dukung', 'argentina', 'final', 'piala', 'dunia', 'drake', 'justru', 'kalah', 'taruhan', 'miliar']</t>
  </si>
  <si>
    <t>Dukung Argentina di Final Piala Dunia 2022, Drake Justru Kalah Taruhan Rp15 Miliar  https://t.co/RgeuTNh4Di</t>
  </si>
  <si>
    <t xml:space="preserve"> https://t.co/dKvge0jeNs : Pecah! Pesta Final Piala Dunia Qatar 2022 Bareng Aice Berlangsung Meriah  https://t.co/UemwwZQ0Eo</t>
  </si>
  <si>
    <t>pecah pesta final piala dunia qatar bareng aice berlangsung meriah</t>
  </si>
  <si>
    <t>['pecah', 'pesta', 'final', 'piala', 'dunia', 'qatar', 'bareng', 'aice', 'berlangsung', 'meriah']</t>
  </si>
  <si>
    <t>Euforia final piala dunia masih terasa.. Final paling gokillll !!!</t>
  </si>
  <si>
    <t>euforia final piala dunia masih terasa final paling gokillll</t>
  </si>
  <si>
    <t>['euforia', 'final', 'piala', 'dunia', 'terasa', 'final', 'paling', 'gokillll']</t>
  </si>
  <si>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</si>
  <si>
    <t>alumni community center menggelar nonton bareng final piala dunia bersama alumni twin house desember banyak alumni yang hadir dan menyaksikan laga argentina perancis yang berjalan seru ada juga kuis berhadiah goodie bag seru banget pastinya</t>
  </si>
  <si>
    <t>['alumni', 'community', 'center', 'menggelar', 'nonton', 'bareng', 'final', 'piala', 'dunia', 'bersama', 'alumni', 'twin', 'house', 'desember', 'banyak', 'alumni', 'hadir', 'menyaksikan', 'laga', 'argentina', 'perancis', 'berjalan', 'seru', 'kuis', 'berhadiah', 'goodie', 'bag', 'seru', 'banget', 'pastinya']</t>
  </si>
  <si>
    <t>Emiliano Martinez dianggap curang saat adu penalti di final Piala Dunia 2022. Tindakannya untuk menekan mental pemain Prancis dinilai terlalu berlebihan! #juaraboladunia    https://t.co/oX4hQeZi71</t>
  </si>
  <si>
    <t>emiliano martinez dianggap curang saat adu penalti final piala dunia tindakannya untuk menekan mental pemain prancis dinilai terlalu berlebihan</t>
  </si>
  <si>
    <t>['emiliano', 'martinez', 'dianggap', 'curang', 'adu', 'penalti', 'final', 'piala', 'dunia', 'tindakannya', 'menekan', 'mental', 'pemain', 'prancis', 'dinilai', 'terlalu', 'berlebihan']</t>
  </si>
  <si>
    <t>Sebanyak 24,08 juta orang menyaksikan final Piala Dunia FIFA Prancis-Argentina pada Minggu di televisi TF1, rekor penonton sepanjang masa untuk jaringan Prancis, kata saluran itu.  https://t.co/U4AKv2ucXp</t>
  </si>
  <si>
    <t>sebanyak juta orang menyaksikan final piala dunia fifa prancis argentina pada minggu televisi rekor penonton sepanjang masa untuk jaringan prancis kata saluran itu</t>
  </si>
  <si>
    <t>['sebanyak', 'juta', 'orang', 'menyaksikan', 'final', 'piala', 'dunia', 'fifa', 'prancis', 'argentina', 'minggu', 'televisi', 'rekor', 'penonton', 'sepanjang', 'masa', 'jaringan', 'prancis', 'kata', 'saluran']</t>
  </si>
  <si>
    <t>@idextratime Gol ‚öΩ        Z. Zidane 27', 45'        E. Petit 90'   üáßüá∑ Brasil 0 - 3 Prancis üá®üáµ #PilDunBarengIOH pada Final Piala Dunia  (Stade de France, Saint-Denis, Prancis, 12 Juli 1998). @indosat @idextratime  ikutan juga @xtrada_2004 @D3</t>
  </si>
  <si>
    <t>gol zidane petit brasil prancis pada final piala dunia stade france saint denis prancis juli ikutan juga</t>
  </si>
  <si>
    <t>['gol', 'zidane', 'petit', 'brasil', 'prancis', 'final', 'piala', 'dunia', 'stade', 'france', 'saint', 'denis', 'prancis', 'juli', 'ikutan']</t>
  </si>
  <si>
    <t>@idextratime Gol ‚öΩ        Z. Zidane 27', 45'        E. Petit 90'   üáßüá∑ Brasil 0 - 3 Prancis üá®üáµ #PilDunBarengIOH pada Final Piala Dunia  (Stade de France, Saint-Denis, Prancis, 12 Juli 1998). @indosat @idextratime  ikutan juga @febriantrw @Sul</t>
  </si>
  <si>
    <t>@Adiyatmafauzann @idextratime Orang bego still orang bego Euro = Eropa Piala dunia = seluruh dunia  Kalo euro lebih bergengsi ngapain Ronaldo nangis pas gak lolos ke quarter final?</t>
  </si>
  <si>
    <t>orang bego still orang bego euro eropa piala dunia seluruh dunia kalo euro lebih bergengsi ngapain ronaldo nangis pas gak lolos quarter final</t>
  </si>
  <si>
    <t>['orang', 'bego', 'still', 'orang', 'bego', 'euro', 'eropa', 'piala', 'dunia', 'seluruh', 'dunia', 'euro', 'lebih', 'bergengsi', 'ngapain', 'ronaldo', 'nangis', 'pas', 'lolos', 'quarter', 'final']</t>
  </si>
  <si>
    <t>Meriahnya Nobar Final Piala Dunia 2022 Ala DKC Garda Bangsa Sidoarjo   https://t.co/oVdlmfzqhq</t>
  </si>
  <si>
    <t>meriahnya nobar final piala dunia ala dkc garda bangsa sidoarjo</t>
  </si>
  <si>
    <t>['meriahnya', 'nonton bareng', 'final', 'piala', 'dunia', 'ala', 'dkc', 'garda', 'bangsa', 'sidoarjo']</t>
  </si>
  <si>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</si>
  <si>
    <t>the greatest all time leo messi leo messi adalah pemain pertama yang mencetak gol babak besar perempat final semi final dan final piala dunia pemain pertama dalam sejarah piala dunia yang memenangkan penghargaan motm dalam satu turnamen dll prestasi team</t>
  </si>
  <si>
    <t>['the', 'greatest', 'all', 'time', 'leo', 'messi', 'leo', 'messi', 'pemain', 'pertama', 'mencetak', 'gol', 'babak', 'besar', 'perempat', 'final', 'semi', 'final', 'final', 'piala', 'dunia', 'pemain', 'pertama', 'sejarah', 'piala', 'dunia', 'memenangkan', 'penghargaan', 'motm', 'satu', 'turnamen', 'prestasi', 'team']</t>
  </si>
  <si>
    <t>Duel Messi vs Mbappe di Final Piala Dunia Qatar 2022 Akan Diingat Sepanjang Sejarah  https://t.co/GnGgA589tr</t>
  </si>
  <si>
    <t>duel messi mbappe final piala dunia qatar akan diingat sepanjang sejarah</t>
  </si>
  <si>
    <t>['duel', 'messi', 'mbappe', 'final', 'piala', 'dunia', 'qatar', 'diingat', 'sepanjang', 'sejarah']</t>
  </si>
  <si>
    <t>Drama Final Piala Dunia 2022: Aksi Kejar Mengejar Gol Hingga Adu Penalti Bawa Argentina Jadi Juara   https://t.co/3zb4gsjre5</t>
  </si>
  <si>
    <t>drama final piala dunia aksi kejar mengejar gol hingga adu penalti bawa argentina jadi juara</t>
  </si>
  <si>
    <t>['drama', 'final', 'piala', 'dunia', 'aksi', 'kejar', 'mengejar', 'gol', 'hingga', 'adu', 'penalti', 'bawa', 'argentina', 'jadi', 'juara']</t>
  </si>
  <si>
    <t>Gagal Penalti di Final Piala Dunia 2022, 2 Pemain Prancis Kena Serangan Rasis  https://t.co/Dt0OWFeUlb</t>
  </si>
  <si>
    <t>Final Piala Dunia 2022 Disebut Lebih Baik dari Istanbul 2005, Pendukung Liverpool Setuju?  https://t.co/ai3VR6LtXR</t>
  </si>
  <si>
    <t>final piala dunia disebut lebih baik dari istanbul pendukung liverpool setuju</t>
  </si>
  <si>
    <t>['final', 'piala', 'dunia', 'disebut', 'lebih', 'baik', 'istanbul', 'pendukung', 'liverpool', 'setuju']</t>
  </si>
  <si>
    <t>Selain memberi selamat kepada Argentina, Katia turut melontarkan pujian kepada Kylian Mbappe. Pencetak 3 gol di final Piala Dunia 2022 diakuinya sebagai pemain potensial.</t>
  </si>
  <si>
    <t>selain memberi selamat kepada argentina katia turut melontarkan pujian kepada kylian mbappe pencetak gol final piala dunia diakuinya sebagai pemain potensial</t>
  </si>
  <si>
    <t>['memberi', 'selamat', 'argentina', 'katia', 'turut', 'melontarkan', 'pujian', 'kylian', 'mbappe', 'pencetak', 'gol', 'final', 'piala', 'dunia', 'diakuinya', 'pemain', 'potensial']</t>
  </si>
  <si>
    <t>"Piala Dunia terburuk sepanjang masa... yang dengan senang hati memberi kami final yang hebat," tulis Katia lewat Insta Story, dilansir dari Marca.  "Pertandingan yang luar biasa. Selamat untuk Argentina," Katia menambahkan.</t>
  </si>
  <si>
    <t>piala dunia terburuk sepanjang masa yang dengan senang hati memberi kami final yang hebat tulis katia lewat insta story dilansir dari marca pertandingan yang luar biasa selamat untuk argentina katia menambahkan</t>
  </si>
  <si>
    <t>['piala', 'dunia', 'terburuk', 'sepanjang', 'masa', 'senang', 'hati', 'memberi', 'final', 'hebat', 'tulis', 'katia', 'lewat', 'insta', 'story', 'dilansir', 'marca', 'pertandingan', 'luar', 'biasa', 'selamat', 'argentina', 'katia', 'menambahkan']</t>
  </si>
  <si>
    <t>Katia Aveiro punya pendapat berbeda soal Piala Dunia 2022. Perempuan 45 tahun itu menganggap turnamen kali ini buruk, meski menyajikan final seru antara Argentina vs Prancis.  https://t.co/DFgmB6N2gx</t>
  </si>
  <si>
    <t>katia aveiro punya pendapat berbeda soal piala dunia perempuan tahun itu menganggap turnamen kali ini buruk meski menyajikan final seru antara argentina prancis</t>
  </si>
  <si>
    <t>['katia', 'aveiro', 'punya', 'pendapat', 'berbeda', 'soal', 'piala', 'dunia', 'perempuan', 'tahun', 'menganggap', 'turnamen', 'kali', 'buruk', 'meski', 'menyajikan', 'final', 'seru', 'argentina', 'prancis']</t>
  </si>
  <si>
    <t>Piala Dunia 2022 telah selesai dilaksanakan. Timnas Argentina keluar sebagai juara usai menaklukkan Prancis dalam laga final di Lusail Stadium, Minggu (18/12/2022) malam WIB.</t>
  </si>
  <si>
    <t>piala dunia telah selesai dilaksanakan timnas argentina keluar sebagai juara usai menaklukkan prancis dalam laga final lusail stadium minggu malam wib</t>
  </si>
  <si>
    <t>['piala', 'dunia', 'selesai', 'dilaksanakan', 'timnas', 'argentina', 'keluar', 'juara', 'usai', 'menaklukkan', 'prancis', 'laga', 'final', 'lusail', 'stadium', 'minggu', 'malam', 'wib']</t>
  </si>
  <si>
    <t>Pecah! Pesta Final Piala Dunia Qatar 2022 Bareng Aice Berlangsung Meriah  https://t.co/5308WPWiR7</t>
  </si>
  <si>
    <t>Media Prancis menuding gol ketiga Argentina dalam babak kedua extra time yang dicetak Lionel Messi di final Piala Dunia 2022 tidak sah. Kenapa? #juaraboladunia    https://t.co/3Q8cBwhpob</t>
  </si>
  <si>
    <t>media prancis menuding gol ketiga argentina dalam babak kedua extra time yang dicetak lionel messi final piala dunia tidak sah kenapa</t>
  </si>
  <si>
    <t>['media', 'prancis', 'menuding', 'gol', 'ketiga', 'argentina', 'babak', 'kedua', 'extra', 'time', 'dicetak', 'lionel', 'messi', 'final', 'piala', 'dunia', 'sah']</t>
  </si>
  <si>
    <t>Ndelok siaran ulang final piala dunia nendi yo lur?</t>
  </si>
  <si>
    <t>ndelok siaran ulang final piala dunia nendi lur</t>
  </si>
  <si>
    <t>['ndelok', 'siaran', 'ulang', 'final', 'piala', 'dunia', 'nendi', 'lur']</t>
  </si>
  <si>
    <t>Pencetak gol Prancis pada final Piala Dunia 1998 adalah :   Zin√©dine Yazid Zidane  (Mencetak 2 gol pada menit ke-27 &amp;amp; menit ke-45+1)   Emmanuel Laurent Petit  (Mencetak 1 gol pada menit ke-90+3)   @indosat @idextratime   @KadekPurwanti  @tanisazah  @noturnona   #PilDunBarengIOH  https://t.co/kGRsJgn481</t>
  </si>
  <si>
    <t>Angel Di Maria menjadi pemain Argentina pertama yang sukses mencetak gol di final turnamen bergengsi. üí™  ‚úÖ Olimpiade ‚úÖ Copa America ‚úÖ Piala Dunia  #SemuaAdadiVidio #PialaDuniadiVidio #WorldCupdiVidio #FIFAWorldCup #VidioSports  https://t.co/p1aN3uo4hu</t>
  </si>
  <si>
    <t>angel maria menjadi pemain argentina pertama yang sukses mencetak gol final turnamen bergengsi olimpiade copa america piala dunia</t>
  </si>
  <si>
    <t>['angel', 'maria', 'menjadi', 'pemain', 'argentina', 'pertama', 'sukses', 'mencetak', 'gol', 'final', 'turnamen', 'bergengsi', 'olimpiade', 'copa', 'america', 'piala', 'dunia']</t>
  </si>
  <si>
    <t>Messi Mengulang Selebrasi Maradona 36 Tahun Lalu Setelah Juara! Momen¬≤ Unik Final Piala Dunia Qatar  https://t.co/gkbJVWdMiv</t>
  </si>
  <si>
    <t>messi mengulang selebrasi maradona tahun lalu setelah juara momen unik final piala dunia qatar</t>
  </si>
  <si>
    <t>['messi', 'mengulang', 'selebrasi', 'maradona', 'tahun', 'lalu', 'juara', 'momen', 'unik', 'final', 'piala', 'dunia', 'qatar']</t>
  </si>
  <si>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</si>
  <si>
    <t>nonton bersama final piala dunia kemarin kantor dpp pan sekalian mengundang pedagang dan ukm sekitar untuk meramaikan dan mengisi perut ternyata nonton bola juga bikin perut keroncongan alhamdulillah perut kenyang dompet abang juga ikut kenyang</t>
  </si>
  <si>
    <t>['nonton', 'bersama', 'final', 'piala', 'dunia', 'kemarin', 'kantor', 'dpp', 'pan', 'sekalian', 'mengundang', 'pedagang', 'ukm', 'meramaikan', 'mengisi', 'perut', 'ternyata', 'nonton', 'bola', 'perut', 'keroncongan', 'alhamdulillah', 'perut', 'kenyang', 'dompet', 'abang', 'ikut', 'kenyang']</t>
  </si>
  <si>
    <t>Happy birthday Kylian Mbapp√©! üéÇüéâüéÅ ini orang keren bgt sih gilsss masih belum bisa move on diriku dari final piala dunia</t>
  </si>
  <si>
    <t>happy birthday kylian mbapp ini orang keren bgt sih gilsss masih belum bisa move diriku dari final piala dunia</t>
  </si>
  <si>
    <t>['happy', 'birthday', 'kylian', 'mbapp', 'orang', 'keren', 'banget', 'gilsss', 'move', 'diriku', 'final', 'piala', 'dunia']</t>
  </si>
  <si>
    <t>OFFSIDE DUO #17 : FINAL TERBAIK PIALA DUNIA, MESSI SAH JADI RAJA SEPAK BOLA  https://t.co/Gr9q6FSdfd via @YouTube</t>
  </si>
  <si>
    <t>offside duo final terbaik piala dunia messi sah jadi raja sepak bola via</t>
  </si>
  <si>
    <t>['offside', 'duo', 'final', 'terbaik', 'piala', 'dunia', 'messi', 'sah', 'jadi', 'raja', 'sepak', 'bola', 'via']</t>
  </si>
  <si>
    <t>Durasi 7 Detik, Viral Video Fans Argentina Nekat Umbar Payudara di Stadion Final Piala Dunia  https://t.co/eiP4fWXYCt</t>
  </si>
  <si>
    <t>durasi detik viral video fans argentina nekat umbar payudara stadion final piala dunia</t>
  </si>
  <si>
    <t>['durasi', 'detik', 'viral', 'video', 'fans', 'argentina', 'nekat', 'umbar', 'payudara', 'stadion', 'final', 'piala', 'dunia']</t>
  </si>
  <si>
    <t>Yuk, intip serba-serbi final Piala Dunia 2022 di  https://t.co/sVJaur0ER6   #PialaDunia2022 #Qatar2022 #WorldCup2022 #Argentina #Prancis #Messi #Mbappe</t>
  </si>
  <si>
    <t>yuk intip serba serbi final piala dunia</t>
  </si>
  <si>
    <t>['yuk', 'intip', 'serba', 'serbi', 'final', 'piala', 'dunia']</t>
  </si>
  <si>
    <t>@semestasains Taruhan judi bola final piala Dunia biar saya pegang Argentina</t>
  </si>
  <si>
    <t>taruhan judi bola final piala dunia biar saya pegang argentina</t>
  </si>
  <si>
    <t>['taruhan', 'judi', 'bola', 'final', 'piala', 'dunia', 'pegang', 'argentina']</t>
  </si>
  <si>
    <t>Media Prancis menuding gol ketiga Argentina dalam babak kedua extra time yang dicetak Lionel Messi di final Piala Dunia 2022 tidak sah. Kenapa? #juaraboladunia    https://t.co/MlqPzeoWft</t>
  </si>
  <si>
    <t>Final Piala Dunia 2022 Disebut Lebih Baik dari Istanbul 2005, Pendukung Liverpool Setuju?  https://t.co/nOVygV5XQL</t>
  </si>
  <si>
    <t>Belum bisa move on dari Final Piala Dunia</t>
  </si>
  <si>
    <t>belum bisa move dari final piala dunia</t>
  </si>
  <si>
    <t>['move', 'final', 'piala', 'dunia']</t>
  </si>
  <si>
    <t>Media Prancis menuding gol kedua Lionel Messi di final Piala Dunia 2022 tidak sah #FIFAWorldCup   https://t.co/WUWygnBudt</t>
  </si>
  <si>
    <t>media prancis menuding gol kedua lionel messi final piala dunia tidak sah</t>
  </si>
  <si>
    <t>['media', 'prancis', 'menuding', 'gol', 'kedua', 'lionel', 'messi', 'final', 'piala', 'dunia', 'sah']</t>
  </si>
  <si>
    <t>Emiliano Martinez dianggap curang saat adu penalti di final Piala Dunia 2022. Tindakannya untuk menekan mental pemain Prancis dinilai terlalu berlebihan! #juaraboladunia    https://t.co/EiYXiJaI4y</t>
  </si>
  <si>
    <t>Erick Thohir menghadiri final piala dunia dan bertemu beberapa legenda #marcomaterazzi #fransescototti #paulpogba #ibrahimovic #delpiero #erickthohir #erickthohirsolusirakyat #erickthohirwapres #fifaworldcupqatar2022  https://t.co/XfGU27hPwj</t>
  </si>
  <si>
    <t>erick thohir menghadiri final piala dunia dan bertemu beberapa legenda</t>
  </si>
  <si>
    <t>['erick', 'thohir', 'menghadiri', 'final', 'piala', 'dunia', 'bertemu', 'beberapa', 'legenda']</t>
  </si>
  <si>
    <t>Pecah! Pesta Final Piala Dunia Qatar 2022 Bareng Aice Berlangsung Meriah</t>
  </si>
  <si>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</si>
  <si>
    <t>sepekan penuh kebersamaan akhir desember diwarnai dengan segudang kegiatan mulai dari pertemuan dengan iluni fakultas dan mitra iluni juga menghadiri kegiatan bem dan pak tak lupa iluni juga menggelar nobar final piala dunia twin house yang dihadiri alumni</t>
  </si>
  <si>
    <t>['sepekan', 'penuh', 'kebersamaan', 'akhir', 'desember', 'diwarnai', 'segudang', 'kegiatan', 'mulai', 'pertemuan', 'iluni', 'fakultas', 'mitra', 'iluni', 'menghadiri', 'kegiatan', 'bem', 'pak', 'tak', 'lupa', 'iluni', 'menggelar', 'nonton bareng', 'final', 'piala', 'dunia', 'twin', 'house', 'dihadiri', 'alumni']</t>
  </si>
  <si>
    <t>Ibrahima Konate apes di turnamen-turnamen besar sepanjang 2022. Bek Prancis itu kalah di final Piala Dunia dan Liga Champions, serta gagal juara Liga Inggris.   https://t.co/FtbxwgkRH2</t>
  </si>
  <si>
    <t>ibrahima konate apes turnamen turnamen besar sepanjang bek prancis itu kalah final piala dunia dan liga champions serta gagal juara liga inggris</t>
  </si>
  <si>
    <t>['ibrahima', 'konate', 'apes', 'turnamen', 'turnamen', 'besar', 'sepanjang', 'bek', 'prancis', 'kalah', 'final', 'piala', 'dunia', 'liga', 'champions', 'gagal', 'juara', 'liga', 'inggris']</t>
  </si>
  <si>
    <t>tribunnews: Alasan Argentina vs Prancis Final Piala Dunia Terbaik, Duel Messi vs Mbappe hingga Drama dalam 2 Jam    https://t.co/8B4pywej8h via @tribunnews</t>
  </si>
  <si>
    <t>tribunnews alasan argentina prancis final piala dunia terbaik duel messi mbappe hingga drama dalam jam via</t>
  </si>
  <si>
    <t>['tribunnews', 'alasan', 'argentina', 'prancis', 'final', 'piala', 'dunia', 'terbaik', 'duel', 'messi', 'mbappe', 'hingga', 'drama', 'jam', 'via']</t>
  </si>
  <si>
    <t>tribunnews: Alasan Argentina vs Prancis Final Piala Dunia Terbaik, Duel Messi vs Mbappe hingga Drama dalam 2 Jam  https://t.co/8B4pywej8h</t>
  </si>
  <si>
    <t>tribunnews alasan argentina prancis final piala dunia terbaik duel messi mbappe hingga drama dalam jam</t>
  </si>
  <si>
    <t>['tribunnews', 'alasan', 'argentina', 'prancis', 'final', 'piala', 'dunia', 'terbaik', 'duel', 'messi', 'mbappe', 'hingga', 'drama', 'jam']</t>
  </si>
  <si>
    <t>Fans perempuan dari Argentina yang buka-bukaan di tribune stadion final Piala Dunia 2022 sempat dispekulasikan bakal kena sanksi berat. Ini kabar teranyarnya! #juaraboladunia    https://t.co/J1Am4hoM6Z</t>
  </si>
  <si>
    <t>fans perempuan dari argentina yang buka bukaan tribune stadion final piala dunia sempat dispekulasikan bakal kena sanksi berat ini kabar teranyarnya</t>
  </si>
  <si>
    <t>['fans', 'perempuan', 'argentina', 'buka', 'bukaan', 'tribune', 'stadion', 'final', 'piala', 'dunia', 'sempat', 'dispekulasikan', 'bakal', 'kena', 'sanksi', 'berat', 'kabar', 'teranyarnya']</t>
  </si>
  <si>
    <t>Menyumbang 3 goal untuk Perancis di Final Piala Dunia 2022, berikut fakta dari Kylian Mbappe yang mendapat gelar top score di Piala Dunia 2022ü§©  #IndiHome #FIFAWorldCup  https://t.co/mrl8F0gywb</t>
  </si>
  <si>
    <t>menyumbang goal untuk perancis final piala dunia berikut fakta dari kylian mbappe yang mendapat gelar top score piala dunia</t>
  </si>
  <si>
    <t>['menyumbang', 'goal', 'perancis', 'final', 'piala', 'dunia', 'berikut', 'fakta', 'kylian', 'mbappe', 'mendapat', 'gelar', 'top', 'score', 'piala', 'dunia']</t>
  </si>
  <si>
    <t>Presiden Jokowi Lebih Memilih Nonton Persib vs Persis Dibanding Final Piala Dunia 2022   https://t.co/66EnTUzwMc</t>
  </si>
  <si>
    <t>presiden jokowi lebih memilih nonton persib persis dibanding final piala dunia</t>
  </si>
  <si>
    <t>['presiden', 'jokowi', 'lebih', 'memilih', 'nonton', 'persib', 'persis', 'dibanding', 'final', 'piala', 'dunia']</t>
  </si>
  <si>
    <t>Sosok Antonela Roccuzzo menjadi sorotan pada final Piala Dunia 2022. Ternyata, istri dari Messi ini bukan orang sembarangan. Berikut pekerjaan yang ia lakukan.   https://t.co/qqsPwa20TV</t>
  </si>
  <si>
    <t>Fans perempuan dari Argentina yang buka-bukaan di tribune stadion final Piala Dunia 2022 sempat dispekulasikan bakal kena sanksi berat. Ini kabar teranyarnya! #juaraboladunia    https://t.co/kAAqUg8n6w</t>
  </si>
  <si>
    <t>Fans perempuan dari Argentina yang buka-bukaan di tribune stadion final Piala Dunia 2022 sempat dispekulasikan bakal kena sanksi berat. Ini kabar teranyarnya! #juaraboladunia    https://t.co/H9aJoDtsiN</t>
  </si>
  <si>
    <t>Argentina vs Prancis Final Piala Dunia Terbaik Sepanjang Masa?  https://t.co/JYvvpiXiAB</t>
  </si>
  <si>
    <t>argentina prancis final piala dunia terbaik sepanjang masa</t>
  </si>
  <si>
    <t>['argentina', 'prancis', 'final', 'piala', 'dunia', 'terbaik', 'sepanjang', 'masa']</t>
  </si>
  <si>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</si>
  <si>
    <t>gegap gempita final piala dunia antara argentina prancis dimanfaatkan oleh panwaslu kecamatan mranggen untuk melakukan sosialisasi dan nonton bareng pondok pesantren induk ibrohimiyah bersama gus lukman dan gus afif selaku pengasuh pesantren</t>
  </si>
  <si>
    <t>['gegap', 'gempita', 'final', 'piala', 'dunia', 'argentina', 'prancis', 'dimanfaatkan', 'panwaslu', 'kecamatan', 'mranggen', 'melakukan', 'sosialisasi', 'nonton', 'bareng', 'pondok', 'pesantren', 'induk', 'ibrohimiyah', 'bersama', 'gus', 'lukman', 'gus', 'afif', 'selaku', 'pengasuh', 'pesantren']</t>
  </si>
  <si>
    <t>Pengaruh Jepang dalam Final Piala Dunia  https://t.co/y1TyPGTHlo</t>
  </si>
  <si>
    <t>pengaruh jepang dalam final piala dunia</t>
  </si>
  <si>
    <t>['pengaruh', 'jepang', 'final', 'piala', 'dunia']</t>
  </si>
  <si>
    <t>Final Piala Dunia (Stade de France, Saint-Denis, Prancis, 12 Juli 1998).  Prancis üá®üáµ 3-0 üáßüá∑ Brasil   Zinedine Zidane 27' &amp;amp; 45'  Emanuel Emmanuel Petit 90' üü• Marcel Desailly 68'  ayo ikutan @hadehgaje @owhajayekan  @dmsfjrr  #PilDunBarengIOH</t>
  </si>
  <si>
    <t>final piala dunia stade france saint denis prancis juli prancis brasil zinedine zidane emanuel emmanuel petit marcel desailly ayo ikutan</t>
  </si>
  <si>
    <t>['final', 'piala', 'dunia', 'stade', 'france', 'saint', 'denis', 'prancis', 'juli', 'prancis', 'brasil', 'zinedine', 'zidane', 'emanuel', 'emmanuel', 'petit', 'marcel', 'desailly', 'ayo', 'ikutan']</t>
  </si>
  <si>
    <t>Dengan berakhirnya Piala Dunia Qatar 2022, berakhir pula World Cup Fantasy League tata.tengah  Berikut klasemen final liganya:  https://t.co/PChwHCuiAZ</t>
  </si>
  <si>
    <t>dengan berakhirnya piala dunia qatar berakhir pula world cup fantasy league tata tengah berikut klasemen final liganya</t>
  </si>
  <si>
    <t>['berakhirnya', 'piala', 'dunia', 'qatar', 'berakhir', 'world', 'cup', 'fantasy', 'league', 'tata', 'tengah', 'berikut', 'klasemen', 'final', 'liganya']</t>
  </si>
  <si>
    <t>Fakta-fakta menarik Deepika Padukone, pembawa Trofi Piala Dunia 2022 sebelum pertandingan final pada 18 Desember 2022.  https://t.co/QR6NeyfF3p</t>
  </si>
  <si>
    <t>fakta fakta menarik deepika padukone pembawa trofi piala dunia sebelum pertandingan final pada desember</t>
  </si>
  <si>
    <t>['fakta', 'fakta', 'menarik', 'deepika', 'padukone', 'pembawa', 'trofi', 'piala', 'dunia', 'pertandingan', 'final', 'desember']</t>
  </si>
  <si>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</si>
  <si>
    <t>rahasia nobar anti ngantuk bro jess bro cool ini dia rahasia bro jess dan bro cool kemarin nobar final pesta sepak bola piala dunia yang paling penting siapin bekal jadi enjoy nontonnya sampai akhir salah satu yang harus dibeli juga jesscool yang</t>
  </si>
  <si>
    <t>['rahasia', 'nonton bareng', 'anti', 'ngantuk', 'bro', 'jess', 'bro', 'cool', 'rahasia', 'bro', 'jess', 'bro', 'cool', 'kemarin', 'nonton bareng', 'final', 'pesta', 'sepak', 'bola', 'piala', 'dunia', 'paling', 'penting', 'siapin', 'bekal', 'jadi', 'enjoy', 'nontonnya', 'akhir', 'salah', 'satu', 'dibeli', 'jesscool']</t>
  </si>
  <si>
    <t>&lt;FreqDist with 26 samples and 33 outcomes&gt;</t>
  </si>
  <si>
    <t>KAKANWIL KEMENKUMHAM JATENG A YUSPAHRUDDIN: Tegal Kanwil Kemenkumham Jateng Gelar Nobar Final Piala Dunia dan Makan Bersama dengan Petugas Serta Keluarganya  https://t.co/BEl3REQGUt</t>
  </si>
  <si>
    <t>Alasan Argentina vs Prancis Final Piala Dunia Terbaik, Duel Messi vs Mbappe hingga Drama dalam 2 Jam    https://t.co/y0RjHMe72G via @tribunnews</t>
  </si>
  <si>
    <t>alasan argentina prancis final piala dunia terbaik duel messi mbappe hingga drama dalam jam via</t>
  </si>
  <si>
    <t>['alasan', 'argentina', 'prancis', 'final', 'piala', 'dunia', 'terbaik', 'duel', 'messi', 'mbappe', 'hingga', 'drama', 'jam', 'via']</t>
  </si>
  <si>
    <t>@maman1965 Wah.. shin tae yong udah foto sama wasit final piala dunia..!!</t>
  </si>
  <si>
    <t>wah shin tae yong udah foto sama wasit final piala dunia</t>
  </si>
  <si>
    <t>['wah', 'shin', 'tae', 'yong', 'udah', 'foto', 'sama', 'wasit', 'final', 'piala', 'dunia']</t>
  </si>
  <si>
    <t>Sosok Antonela Roccuzzo menjadi sorotan pada final Piala Dunia 2022. Ternyata, istri dari Messi ini bukan orang sembarangan. Berikut pekerjaan yang ia lakukan.   https://t.co/ZakWH8YPGt</t>
  </si>
  <si>
    <t>Alasan Argentina vs Prancis Final Piala Dunia Terbaik, Duel Messi vs Mbappe hingga Drama dalam 2 Jam  https://t.co/y0RjHMe72G</t>
  </si>
  <si>
    <t>alasan argentina prancis final piala dunia terbaik duel messi mbappe hingga drama dalam jam</t>
  </si>
  <si>
    <t>['alasan', 'argentina', 'prancis', 'final', 'piala', 'dunia', 'terbaik', 'duel', 'messi', 'mbappe', 'hingga', 'drama', 'jam']</t>
  </si>
  <si>
    <t>Ibrahima Konate apes di turnamen-turnamen besar sepanjang 2022. Bek Prancis itu kalah di final Piala Dunia dan Liga Champions, serta gagal juara Liga Inggris.   https://t.co/1nk6sPoPiN</t>
  </si>
  <si>
    <t>Kiper Argentina, Martinez, ketahuan ngeledek bintang Prancis, Kylian Mbappe pas setelah mereka sukses menaklukkan Prancis dalam final Piala Dunia 2022. Tiba-tiba, dia minta sama temen-temennya buat diam bentar buat heningkan cipta ke Mbappe. #BacaBeritaIDN  https://t.co/Ihi5WC2etq</t>
  </si>
  <si>
    <t>kiper argentina martinez ketahuan ngeledek bintang prancis kylian mbappe pas setelah mereka sukses menaklukkan prancis dalam final piala dunia tiba tiba dia minta sama temen temennya buat diam bentar buat heningkan cipta mbappe</t>
  </si>
  <si>
    <t>['kiper', 'argentina', 'martinez', 'ketahuan', 'ngeledek', 'bintang', 'prancis', 'kylian', 'mbappe', 'pas', 'sukses', 'menaklukkan', 'prancis', 'final', 'piala', 'dunia', 'tiba', 'tiba', 'minta', 'sama', 'temen', 'temennya', 'buat', 'diam', 'bentar', 'buat', 'heningkan', 'cipta', 'mbappe']</t>
  </si>
  <si>
    <t>Sosok Antonela Roccuzzo menjadi sorotan pada final Piala Dunia 2022. Ternyata, istri dari Messi ini bukan orang sembarangan. Berikut pekerjaan yang ia lakukan.   https://t.co/UKxtqZJplp</t>
  </si>
  <si>
    <t>Hugo Lloris memberikan isyarat untuk pensiun setelah Timnas Prancis kalah di Final Piala Dunia 2022  https://t.co/1Kipj73Btr</t>
  </si>
  <si>
    <t>hugo lloris memberikan isyarat untuk pensiun setelah timnas prancis kalah final piala dunia</t>
  </si>
  <si>
    <t>['hugo', 'lloris', 'memberikan', 'isyarat', 'pensiun', 'timnas', 'prancis', 'kalah', 'final', 'piala', 'dunia']</t>
  </si>
  <si>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</si>
  <si>
    <t>hormat untuk tuan muda top skor piala dunia gol mencetak gol dari laga piala dunia edisi pemain kedua yang mencetak hattrick final piala dunia setelah tahun</t>
  </si>
  <si>
    <t>['hormat', 'tuan', 'muda', 'top', 'skor', 'piala', 'dunia', 'gol', 'mencetak', 'gol', 'laga', 'piala', 'dunia', 'edisi', 'pemain', 'kedua', 'mencetak', 'hattrick', 'final', 'piala', 'dunia', 'tahun']</t>
  </si>
  <si>
    <t>Kingsley Coman dan Aurelien Tchouameni gagal menyarangkan gol dari titik putih di final Piala Dunia 2022. Dua bintang Timnas Prancis itu pun kena hujatan rasisme! #juaraboladunia    https://t.co/Y6q3gakU6V</t>
  </si>
  <si>
    <t>kingsley coman dan aurelien tchouameni gagal menyarangkan gol dari titik putih final piala dunia dua bintang timnas prancis itu pun kena hujatan rasisme</t>
  </si>
  <si>
    <t>['kingsley', 'coman', 'aurelien', 'tchouameni', 'gagal', 'menyarangkan', 'gol', 'titik', 'putih', 'final', 'piala', 'dunia', 'bintang', 'timnas', 'prancis', 'kena', 'hujatan', 'rasisme']</t>
  </si>
  <si>
    <t>Karim Benzema Pensiun dari Timnas Prancis Pada Hari Ulang Tahunnya ke-35, 24 Jam Setelah Final Piala Dunia  https://t.co/KBfCgdfWRm  #KarimBenzema #WorldCup #retirement #pensiun #Prancis</t>
  </si>
  <si>
    <t>karim benzema pensiun dari timnas prancis pada hari ulang tahunnya jam setelah final piala dunia</t>
  </si>
  <si>
    <t>['karim', 'benzema', 'pensiun', 'timnas', 'prancis', 'hari', 'ulang', 'tahunnya', 'jam', 'final', 'piala', 'dunia']</t>
  </si>
  <si>
    <t>Yg menang banyak adalah @aguerosergiokun , dia dapat jersey Final bersejarah Piala Dunia 2022 punya Messi yg di tanda tangani Messi langsung.  Itu kalo di jual ada aja orang yg mw beli bahkan bisa sampe harga yg g masuk akal</t>
  </si>
  <si>
    <t>menang banyak adalah dia dapat jersey final bersejarah piala dunia punya messi tanda tangani messi langsung itu kalo jual ada aja orang beli bahkan bisa sampe harga masuk akal</t>
  </si>
  <si>
    <t>['menang', 'banyak', 'jersey', 'final', 'bersejarah', 'piala', 'dunia', 'punya', 'messi', 'tanda', 'tangani', 'messi', 'langsung', 'jual', 'orang', 'beli', 'bahkan', 'sampai', 'harga', 'masuk', 'akal']</t>
  </si>
  <si>
    <t>waduh drake kalah taruhan hingga rp 156 miliar di final piala dunia 2022  https://t.co/rAnBp6i8Gi</t>
  </si>
  <si>
    <t>waduh drake kalah taruhan hingga miliar final piala dunia</t>
  </si>
  <si>
    <t>['waduh', 'drake', 'kalah', 'taruhan', 'hingga', 'miliar', 'final', 'piala', 'dunia']</t>
  </si>
  <si>
    <t>Coman dan Tchouameni pun akhirnya menjadi kambing hitam kekalahan Prancis di final Piala Dunia 2022. Beberapa fans bahkan menyerang dua pemain itu secara rasial di media sosial.</t>
  </si>
  <si>
    <t>coman dan tchouameni pun akhirnya menjadi kambing hitam kekalahan prancis final piala dunia beberapa fans bahkan menyerang dua pemain itu secara rasial media sosial</t>
  </si>
  <si>
    <t>['coman', 'tchouameni', 'akhirnya', 'menjadi', 'kambing', 'hitam', 'kekalahan', 'prancis', 'final', 'piala', 'dunia', 'beberapa', 'fans', 'bahkan', 'menyerang', 'pemain', 'rasial', 'media', 'sosial']</t>
  </si>
  <si>
    <t>Kingsley Coman dan Aurelien Tchouameni gagal menyarangkan gol dari titik putih di final Piala Dunia 2022. Dua bintang Timnas Prancis itu kena hujatan rasisme.  #yukplay #yukplayslot #yukplaylogin #yukplaydaftar  https://t.co/yQelUrWzzx</t>
  </si>
  <si>
    <t>kingsley coman dan aurelien tchouameni gagal menyarangkan gol dari titik putih final piala dunia dua bintang timnas prancis itu kena hujatan rasisme</t>
  </si>
  <si>
    <t>Masih tersisa misteri dari drama keberhasilan timnas Argentina mengalahkan timnas Prancis pada final Piala Dunia 2022, salah satunya soal ucapan Lionel Messi saat adu penalti. ü§îüßê  https://t.co/u6O7nO5uB4</t>
  </si>
  <si>
    <t>masih tersisa misteri dari drama keberhasilan timnas argentina mengalahkan timnas prancis pada final piala dunia salah satunya soal ucapan lionel messi saat adu penalti</t>
  </si>
  <si>
    <t>['tersisa', 'misteri', 'drama', 'keberhasilan', 'timnas', 'argentina', 'mengalahkan', 'timnas', 'prancis', 'final', 'piala', 'dunia', 'salah', 'satunya', 'soal', 'ucapan', 'lionel', 'messi', 'adu', 'penalti']</t>
  </si>
  <si>
    <t>Masih tersisa misteri dari drama keberhasilan timnas Argentina mengalahkan timnas Prancis pada final Piala Dunia 2022, salah satunya soal ucapan Lionel Messi saat adu penalti. ü§îüßê  https://t.co/Ik61KxJdFo</t>
  </si>
  <si>
    <t>Karim Benzema menulis di akun Twitternya, bahwa ia resmi berpisah dari timnas Prancis, sehari setelah Prancis kalah di final Piala Dunia 2022. Striker Real Madrid itu memutuskan untuk mengucapkan selamat tinggal pada Les Bleus.   https://t.co/OKCrMmc8nj</t>
  </si>
  <si>
    <t>karim benzema menulis akun twitternya bahwa resmi berpisah dari timnas prancis sehari setelah prancis kalah final piala dunia striker real madrid itu memutuskan untuk mengucapkan selamat tinggal pada les bleus</t>
  </si>
  <si>
    <t>['karim', 'benzema', 'menulis', 'akun', 'twitternya', 'resmi', 'berpisah', 'timnas', 'prancis', 'sehari', 'prancis', 'kalah', 'final', 'piala', 'dunia', 'striker', 'real', 'madrid', 'memutuskan', 'mengucapkan', 'selamat', 'tinggal', 'les', 'bleus']</t>
  </si>
  <si>
    <t>Ada 3Ô∏è‚É£ momen ikonik pasca-final Piala Dunia 2022, salah satunya termasuk momen Lionel Messi mengenakan jubah Arab.  Presiden FIFA dan Emir Qatar adalah dua sosok yang memakaikan Lionel Messi jubah hitam bernama bisht tersebut. üêê  https://t.co/LT1YdWV41T</t>
  </si>
  <si>
    <t>ada momen ikonik pasca final piala dunia salah satunya termasuk momen lionel messi mengenakan jubah arab presiden fifa dan emir qatar adalah dua sosok yang memakaikan lionel messi jubah hitam bernama bisht tersebut</t>
  </si>
  <si>
    <t>['momen', 'ikonik', 'pasca', 'final', 'piala', 'dunia', 'salah', 'satunya', 'termasuk', 'momen', 'lionel', 'messi', 'mengenakan', 'jubah', 'arab', 'presiden', 'fifa', 'emir', 'qatar', 'sosok', 'memakaikan', 'lionel', 'messi', 'jubah', 'hitam', 'bernama', 'bisht', 'tersebut']</t>
  </si>
  <si>
    <t>Ada 3Ô∏è‚É£ momen ikonik pasca-final Piala Dunia 2022, salah satunya termasuk momen Lionel Messi mengenakan jubah Arab.  Presiden FIFA dan Emir Qatar adalah dua sosok yang memakaikan Lionel Messi jubah hitam bernama bisht tersebut. üêê  https://t.co/DrYYb24ZBB</t>
  </si>
  <si>
    <t>Pertandingan final piala dunia paling seru seumur2 gw hidup</t>
  </si>
  <si>
    <t>pertandingan final piala dunia paling seru seumur hidup</t>
  </si>
  <si>
    <t>['pertandingan', 'final', 'piala', 'dunia', 'paling', 'seru', 'seumur', 'hidup']</t>
  </si>
  <si>
    <t>Seminyak - Canggu kalo jam segini ampun dah macetnya. Btw coba aja Final Piala Dunia pas lalu malming, mau gue nobar disini  #FIFAWorldCup  #Qatar2022  https://t.co/1y6MXnrlWW</t>
  </si>
  <si>
    <t>seminyak canggu kalo jam segini ampun dah macetnya btw coba aja final piala dunia pas lalu malming mau gue nobar disini</t>
  </si>
  <si>
    <t>['seminyak', 'canggu', 'jam', 'segini', 'ampun', 'dah', 'macetnya', 'by the way', 'coba', 'final', 'piala', 'dunia', 'pas', 'lalu', 'malming', 'mau', 'gue', 'nonton bareng', 'disini']</t>
  </si>
  <si>
    <t>Penantian masyarakat Argentina selama 36 tahun untuk mendapatkan trofi piala dunia akhirnya terbayar setelah Argentina menang atas Perancis di laga final.</t>
  </si>
  <si>
    <t>penantian masyarakat argentina selama tahun untuk mendapatkan trofi piala dunia akhirnya terbayar setelah argentina menang atas perancis laga final</t>
  </si>
  <si>
    <t>['penantian', 'masyarakat', 'argentina', 'selama', 'tahun', 'mendapatkan', 'trofi', 'piala', 'dunia', 'akhirnya', 'terbayar', 'argentina', 'menang', 'atas', 'perancis', 'laga', 'final']</t>
  </si>
  <si>
    <t>Rakyat Argentina menanti penuh sabar bagi menyambut kepulangan hero Piala Dunia mereka ketika bintang Perancis tiba di Paris selepas drama final hebat di Qatar.  https://t.co/Pbcsp9Hbnl</t>
  </si>
  <si>
    <t>rakyat argentina menanti penuh sabar bagi menyambut kepulangan hero piala dunia mereka ketika bintang perancis tiba paris selepas drama final hebat qatar</t>
  </si>
  <si>
    <t>['rakyat', 'argentina', 'menanti', 'penuh', 'sabar', 'menyambut', 'kepulangan', 'hero', 'piala', 'dunia', 'bintang', 'perancis', 'tiba', 'paris', 'selepas', 'drama', 'final', 'hebat', 'qatar']</t>
  </si>
  <si>
    <t>Final Piala Dunia France 1998   Perancis 3-0  Brazil  Pencetak gol:  Zinedine Zidane - 2 gol (menit ke 27 &amp;amp; 45+1)  Emmanuel Petit - 1 gol (menit 90+3)   @Indosat @IDExtraTime #PilDunBarengIOH   @hadehgaje @owhajayekan @basrengkrispy</t>
  </si>
  <si>
    <t>final piala dunia france perancis brazil pencetak gol zinedine zidane gol menit emmanuel petit gol menit</t>
  </si>
  <si>
    <t>['final', 'piala', 'dunia', 'france', 'perancis', 'brazil', 'pencetak', 'gol', 'zinedine', 'zidane', 'gol', 'menit', 'emmanuel', 'petit', 'gol', 'menit']</t>
  </si>
  <si>
    <t>@mbkelana Italia tahu cara ngalahin Prancis di final piala dunia.</t>
  </si>
  <si>
    <t>italia tahu cara ngalahin prancis final piala dunia</t>
  </si>
  <si>
    <t>['italia', 'tahu', 'cara', 'ngalahin', 'prancis', 'final', 'piala', 'dunia']</t>
  </si>
  <si>
    <t>KAKANWIL KEMENKUMHAM JATENG A YUSPAHRUDDIN: Tegal Kanwil Kemenkumham Jateng Gelar Nobar Final Piala Dunia dan Makan Bersama dengan Petugas Serta Keluarganya  https://t.co/NsU9B78iMG</t>
  </si>
  <si>
    <t>Meski pernah merasakan gelar Piala Dunia pada 2018, Kylian Mbappe tetap sedih gagal juara di edisi 2022. Dia pun menegaskan akan kembali lagi ke laga final di 2026! #juaraboladunia    https://t.co/6HuNm8U1ts</t>
  </si>
  <si>
    <t>meski pernah merasakan gelar piala dunia pada kylian mbappe tetap sedih gagal juara edisi dia pun menegaskan akan kembali lagi laga final</t>
  </si>
  <si>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</si>
  <si>
    <t>selamat buat martinez dengan raihan golden gloves nya kiper argentina ini sebelumnya hanya menjadi penonton piala dunia lalu namun tahun ini total mencatatkan saves dengan diantaranya pada laga final kontra prancis salah satu save yang catatkan yaitu</t>
  </si>
  <si>
    <t>['selamat', 'buat', 'martinez', 'raihan', 'golden', 'gloves', 'kiper', 'argentina', 'sebelumnya', 'menjadi', 'penonton', 'piala', 'dunia', 'lalu', 'tahun', 'total', 'mencatatkan', 'saves', 'diantaranya', 'laga', 'final', 'kontra', 'prancis', 'salah', 'satu', 'save', 'catatkan']</t>
  </si>
  <si>
    <t>Jagokan Prancis di final piala dunia, Kakanwil Faisol Ali; les blues akan tetap juara bertahan @Kumham_Sulbar @NewsKemenkumham #KanwilSulbar #KumhamSulbar #FaisolAli #Yasonna @FaisolAli2022 Faisol Ali  https://t.co/NTVviefKMn</t>
  </si>
  <si>
    <t>jagokan prancis final piala dunia kakanwil faisol ali les blues akan tetap juara bertahan sulbar faisol ali</t>
  </si>
  <si>
    <t>['jagokan', 'prancis', 'final', 'piala', 'dunia', 'kakanwil', 'faisol', 'ali', 'les', 'blues', 'tetap', 'juara', 'bertahan', 'sulbar', 'faisol', 'ali']</t>
  </si>
  <si>
    <t>Final piala dunia, Kakanwil Kemenkumham Sulbar Faisol Ali prediksi Prancis menang @Kumham_Sulbar @NewsKemenkumham #KanwilSulbar #KumhamSulbar #FaisolAli #Yasonna @FaisolAli2022 Faisol Ali  https://t.co/ys1GnhauZ4</t>
  </si>
  <si>
    <t>final piala dunia kakanwil kemenkumham sulbar faisol ali prediksi prancis menang sulbar faisol ali</t>
  </si>
  <si>
    <t>['final', 'piala', 'dunia', 'kakanwil', 'kemenkumham', 'sulbar', 'faisol', 'ali', 'prediksi', 'prancis', 'menang', 'sulbar', 'faisol', 'ali']</t>
  </si>
  <si>
    <t>Jelang final piala dunia Qatar, Kakanwil Kemenkumham Sulbar jagokan mbappe dkk jadi juara @Kumham_Sulbar @NewsKemenkumham #KanwilSulbar #KumhamSulbar #FaisolAli #Yasonna @FaisolAli2022 Faisol Ali  https://t.co/8ckbkOSoHy</t>
  </si>
  <si>
    <t>jelang final piala dunia qatar kakanwil kemenkumham sulbar jagokan mbappe dkk jadi juara sulbar faisol ali</t>
  </si>
  <si>
    <t>['jelang', 'final', 'piala', 'dunia', 'qatar', 'kakanwil', 'kemenkumham', 'sulbar', 'jagokan', 'mbappe', 'dkk', 'jadi', 'juara', 'sulbar', 'faisol', 'ali']</t>
  </si>
  <si>
    <t>Emiliano Martinez melakukan gerakan cabul usai menerima Golden Glove di final Piala Dunia 2022 Qatar, usai Argentina tekuk juara bertahan Prancis.  https://t.co/41ODYOWxzX</t>
  </si>
  <si>
    <t>emiliano martinez melakukan gerakan cabul usai menerima golden glove final piala dunia qatar usai argentina tekuk juara bertahan prancis</t>
  </si>
  <si>
    <t>['emiliano', 'martinez', 'melakukan', 'gerakan', 'cabul', 'usai', 'menerima', 'golden', 'glove', 'final', 'piala', 'dunia', 'qatar', 'usai', 'argentina', 'tekuk', 'juara', 'bertahan', 'prancis']</t>
  </si>
  <si>
    <t>Nonton recap final piala dunia kek terharu jg yaa pdhl ga ngikutin sama sekaliiü§ßü•∫ü•∫</t>
  </si>
  <si>
    <t>nonton recap final piala dunia kek terharu yaa pdhl ngikutin sama sekalii</t>
  </si>
  <si>
    <t>['nonton', 'recap', 'final', 'piala', 'dunia', 'kek', 'terharu', 'ya', 'pdhl', 'ngikutin', 'sama', 'sekalii']</t>
  </si>
  <si>
    <t>PIALA DUNIA kli ini narbenar DUNYA .. Final Argentin vs Prancis Pran ketinggalan 2 0 dibabak 1 dr lawannya dan utk menang Prancwajib minimal menggoalkan 3, tapi karena semua murni dr rekayasa/ pengaturan bandar maka dibabak ke 2 berhasil dengan 3 goal BEDA dr pilpres 2014 2019 ..</t>
  </si>
  <si>
    <t>piala dunia kli ini narbenar dunya final argentin prancis pran ketinggalan dibabak lawannya dan utk menang prancwajib minimal menggoalkan tapi karena semua murni rekayasa pengaturan bandar maka dibabak berhasil dengan goal beda pilpres</t>
  </si>
  <si>
    <t>['piala', 'dunia', 'kli', 'narbenar', 'dunya', 'final', 'argentin', 'prancis', 'pran', 'ketinggalan', 'dibabak', 'lawannya', 'menang', 'prancwajib', 'minimal', 'menggoalkan', 'semua', 'murni', 'rekayasa', 'pengaturan', 'bandar', 'dibabak', 'berhasil', 'goal', 'beda', 'pilpres']</t>
  </si>
  <si>
    <t>Penyokong memenuhi dataran di tengah Paris hari ini bagi memberikan sambutan hangat kepada pasukan bola sepak Perancis walaupun tewas kepada Argentina pada final Piala Dunia.  https://t.co/8QCpyvtwnn</t>
  </si>
  <si>
    <t>penyokong memenuhi dataran tengah paris hari ini bagi memberikan sambutan hangat kepada pasukan bola sepak perancis walaupun tewas kepada argentina pada final piala dunia</t>
  </si>
  <si>
    <t>['penyokong', 'memenuhi', 'dataran', 'tengah', 'paris', 'hari', 'memberikan', 'sambutan', 'hangat', 'pasukan', 'bola', 'sepak', 'perancis', 'walaupun', 'tewas', 'argentina', 'final', 'piala', 'dunia']</t>
  </si>
  <si>
    <t>Suka banget dengan cara mainnya messi dan mbappe saat final piala dunia di qatar kemaren.. bikin deg-degan yang ini ‚¨á‚¨á  https://t.co/Mau9sUIxFm  https://t.co/sNC47RHohm  https://t.co/TX3aGKSmNA  https://t.co/aaLfkZjr6q  https://t.co/fKI382ZziP  #FIFAWorldCup #Qatar2022 #Argentina  https://t.co/yXFrCgdmJX</t>
  </si>
  <si>
    <t>suka banget dengan cara mainnya messi dan mbappe saat final piala dunia qatar kemaren bikin deg degan yang ini</t>
  </si>
  <si>
    <t>['suka', 'banget', 'cara', 'mainnya', 'messi', 'mbappe', 'final', 'piala', 'dunia', 'qatar', 'kemarin', 'deg', 'degan']</t>
  </si>
  <si>
    <t>@kareljabirI @BELLA_Univ @DokterTifa Bedakan antara final TERMEGAH dg final TERBAIK, final terbaik masih di pegang 1974 dan 1986 itu fakta sejarah FIFA coba wikipedia atau situs resmi FIFA,sementara PIALA DUNIA TERMEGAH beserta final idama ada di QATAR 20</t>
  </si>
  <si>
    <t>univ bedakan antara final termegah final terbaik final terbaik masih pegang dan itu fakta sejarah fifa coba wikipedia atau situs resmi fifa sementara piala dunia termegah beserta final idama ada qatar</t>
  </si>
  <si>
    <t>['univ', 'bedakan', 'final', 'termegah', 'final', 'terbaik', 'final', 'terbaik', 'pegang', 'fakta', 'sejarah', 'fifa', 'coba', 'wikipedia', 'situs', 'resmi', 'fifa', 'piala', 'dunia', 'termegah', 'beserta', 'final', 'idama', 'qatar']</t>
  </si>
  <si>
    <t>Daftar 5 Negara Melaju ke Final Piala Dunia Tapi Gagal Meraih Trofi  https://t.co/rK0TX5NBed</t>
  </si>
  <si>
    <t>daftar negara melaju final piala dunia tapi gagal meraih trofi</t>
  </si>
  <si>
    <t>['daftar', 'negara', 'melaju', 'final', 'piala', 'dunia', 'gagal', 'meraih', 'trofi']</t>
  </si>
  <si>
    <t>INFO BOLA  Kylian Mbappe menjadi pemain kedua yang mencetak hat-trick di final Piala Dunia, setelah Geoff Hurst untuk Inggris vs Jerman pada 1966. Bersejarah.  #mbappe #hurst #geoff #france #history  https://t.co/N8jC6auVMf</t>
  </si>
  <si>
    <t>info bola kylian mbappe menjadi pemain kedua yang mencetak hat trick final piala dunia setelah geoff hurst untuk inggris jerman pada bersejarah</t>
  </si>
  <si>
    <t>['info', 'bola', 'kylian', 'mbappe', 'menjadi', 'pemain', 'kedua', 'mencetak', 'hat', 'trick', 'final', 'piala', 'dunia', 'geoff', 'hurst', 'inggris', 'jerman', 'bersejarah']</t>
  </si>
  <si>
    <t>Nonton piala dunia pertama 2006 liat nih orang, 2014 sempat sakit hati karena kalah di final, 2022 menang. Indah bgt 2022</t>
  </si>
  <si>
    <t>nonton piala dunia pertama liat nih orang sempat sakit hati karena kalah final menang indah bgt</t>
  </si>
  <si>
    <t>['nonton', 'piala', 'dunia', 'pertama', 'lihat', 'orang', 'sempat', 'sakit', 'hati', 'kalah', 'final', 'menang', 'indah', 'banget']</t>
  </si>
  <si>
    <t>Tidak diragukan lagi pertandingan Argentina vs Prancis ini merupakan final terindah dalam sejarah Piala Dunia.   https://t.co/JXUGXDlHsR  Sumber:  https://t.co/ZGdzjBIgCH #medanfmnews #medanfmmakinhits #argentina #messi #lequipe #fifaworldcup #fifaworldcup2022 #qatar2022 #qatar  https://t.co/Cusge5gnK7</t>
  </si>
  <si>
    <t>tidak diragukan lagi pertandingan argentina prancis ini merupakan final terindah dalam sejarah piala dunia sumber</t>
  </si>
  <si>
    <t>['diragukan', 'pertandingan', 'argentina', 'prancis', 'merupakan', 'final', 'terindah', 'sejarah', 'piala', 'dunia', 'sumber']</t>
  </si>
  <si>
    <t>Meski pernah merasakan gelar Piala Dunia pada 2018, Kylian Mbappe tetap sedih gagal juara di edisi 2022. Dia pun menegaskan akan kembali lagi ke laga final di 2026! #juaraboladunia    https://t.co/3M6dKymHtu</t>
  </si>
  <si>
    <t>Ahli digital forensik Hery Priyanto memutar dan memperbesar rekaman CCTV menjelang pembunuhan Brigadir N Yosua Hutabarat. Apa hasilnya?  Seperti menyaksikan final piala dunia‚Ä¶  https://t.co/WFnqKCLpkf</t>
  </si>
  <si>
    <t>ahli digital forensik hery priyanto memutar dan memperbesar rekaman cctv menjelang pembunuhan brigadir yosua hutabarat apa hasilnya seperti menyaksikan final piala dunia</t>
  </si>
  <si>
    <t>['ahli', 'digital', 'forensik', 'hery', 'priyanto', 'memutar', 'memperbesar', 'rekaman', 'cctv', 'menjelang', 'pembunuhan', 'brigadir', 'yosua', 'hutabarat', 'apa', 'hasilnya', 'menyaksikan', 'final', 'piala', 'dunia']</t>
  </si>
  <si>
    <t>Bisht yang dikenakan Messi ternyata laku di pasaran. Para penjual Bisth di kawasan belanja Souq Waqif langsung diserbu fans Argentina satu hari setelah Tim Tango mengalahkan Prancis pada final Piala Dunia 2022.   https://t.co/cYrsq2K5de</t>
  </si>
  <si>
    <t>bisht yang dikenakan messi ternyata laku pasaran para penjual bisth kawasan belanja souq waqif langsung diserbu fans argentina satu hari setelah tim tango mengalahkan prancis pada final piala dunia</t>
  </si>
  <si>
    <t>['bisht', 'dikenakan', 'messi', 'ternyata', 'laku', 'pasaran', 'penjual', 'bisth', 'kawasan', 'belanja', 'souq', 'waqif', 'langsung', 'diserbu', 'fans', 'argentina', 'satu', 'hari', 'tim', 'tango', 'mengalahkan', 'prancis', 'final', 'piala', 'dunia']</t>
  </si>
  <si>
    <t>Bukan Prancis, Negara Ini Seharusnya Jadi Lawan Argentina di Final Piala Dunia 2022   https://t.co/edYOrCwuhX</t>
  </si>
  <si>
    <t>bukan prancis negara ini seharusnya jadi lawan argentina final piala dunia</t>
  </si>
  <si>
    <t>['bukan', 'prancis', 'negara', 'jadi', 'lawan', 'argentina', 'final', 'piala', 'dunia']</t>
  </si>
  <si>
    <t>Gol Ketiga Argentina yang Dicetak Lionel Messi di Final Piala Dunia 2022 Disebut Tidak Sah, Kok Bisa? | Sepakbola Dunia -  https://t.co/HZ19hDGQg6  https://t.co/X8shbQ88i9</t>
  </si>
  <si>
    <t>gol ketiga argentina yang dicetak lionel messi final piala dunia disebut tidak sah kok bisa sepakbola dunia</t>
  </si>
  <si>
    <t>['gol', 'ketiga', 'argentina', 'dicetak', 'lionel', 'messi', 'final', 'piala', 'dunia', 'disebut', 'sah', 'kok', 'sepakbola', 'dunia']</t>
  </si>
  <si>
    <t>Salah satu artis asal India, yakni Deepika Padukone berkesempatan untuk membawa trofi Piala Dunia 2022 jelang pertandingan Final antara Argentina dan Prancis beberapa hari lalu.   https://t.co/oJaSvhGFVi</t>
  </si>
  <si>
    <t>salah satu artis asal india yakni deepika padukone berkesempatan untuk membawa trofi piala dunia jelang pertandingan final antara argentina dan prancis beberapa hari lalu</t>
  </si>
  <si>
    <t>['salah', 'satu', 'artis', 'asal', 'india', 'deepika', 'padukone', 'berkesempatan', 'membawa', 'trofi', 'piala', 'dunia', 'jelang', 'pertandingan', 'final', 'argentina', 'prancis', 'beberapa', 'hari', 'lalu']</t>
  </si>
  <si>
    <t>@Askrlfess Piala dunia kan momen langka, ga kaget klo dmn2 banyak cewe yg ikut nobar krn pgn ngerasain lgsg hypenya. Gw aja ikut nobar final kmrn sm suami krn momennya pas dan seru ngerasain semangat para supporter bola, banyak cewe bikin nonton tambah se</t>
  </si>
  <si>
    <t>piala dunia kan momen langka kaget klo dmn banyak cewe ikut nobar krn pgn ngerasain lgsg hypenya aja ikut nobar final kmrn suami krn momennya pas dan seru ngerasain semangat para supporter bola banyak cewe bikin nonton tambah</t>
  </si>
  <si>
    <t>['piala', 'dunia', 'kan', 'momen', 'langka', 'kaget', 'dmn', 'banyak', 'cewe', 'ikut', 'nonton bareng', 'ingin', 'ngerasain', 'lgsg', 'hypenya', 'ikut', 'nonton bareng', 'final', 'kmrn', 'suami', 'momennya', 'pas', 'seru', 'ngerasain', 'semangat', 'supporter', 'bola', 'banyak', 'cewe', 'nonton', 'tambah']</t>
  </si>
  <si>
    <t>Pencetak gol Final Piala Dunia 1998:   Zinedine Zidane - 2 gol  Emmanuel Petit - 1 gol  @indosat @idextratime  #PilDunBarengIOH   Yukk ikutan dan jawab juga @anggiegolan @yunitaproborini @manda_pane  https://t.co/p1C943mbSN</t>
  </si>
  <si>
    <t>pencetak gol final piala dunia zinedine zidane gol emmanuel petit gol yukk ikutan dan jawab juga pane</t>
  </si>
  <si>
    <t>['pencetak', 'gol', 'final', 'piala', 'dunia', 'zinedine', 'zidane', 'gol', 'emmanuel', 'petit', 'gol', 'yukk', 'ikutan', 'jawab', 'pane']</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</si>
  <si>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</si>
  <si>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</si>
  <si>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</si>
  <si>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</si>
  <si>
    <t>tekel jumlah tertinggi untuk seorang pemain final piala dunia sejak gennaro gattuso final piala dunia pertarungan ground sukses angka tertinggi untuk seorang pemain final piala dunia sejak xavi dan iniesta final piala dunia enzo fernandez</t>
  </si>
  <si>
    <t>['tekel', 'jumlah', 'tertinggi', 'seorang', 'pemain', 'final', 'piala', 'dunia', 'sejak', 'gennaro', 'gattuso', 'final', 'piala', 'dunia', 'pertarungan', 'ground', 'sukses', 'angka', 'tertinggi', 'seorang', 'pemain', 'final', 'piala', 'dunia', 'sejak', 'xavi', 'iniesta', 'final', 'piala', 'dunia', 'enzo', 'fernandez']</t>
  </si>
  <si>
    <t>&lt;FreqDist with 19 samples and 32 outcomes&gt;</t>
  </si>
  <si>
    <t>Kingsley Coman dan Aurelien Tchouameni gagal menyarangkan gol dari titik putih di final Piala Dunia 2022. Dua bintang Timnas Prancis itu pun kena hujatan rasisme! #juaraboladunia    https://t.co/z5mtBqGOjJ</t>
  </si>
  <si>
    <t>Kylian Mbappe adalah pemain kedua yang mencetak hat-trick final Piala Dunia setelah Geoff Hurst untuk Inggris vs Jerman pada 1966. Bersejarah.  https://t.co/wWcAzbCpjR</t>
  </si>
  <si>
    <t>kylian mbappe adalah pemain kedua yang mencetak hat trick final piala dunia setelah geoff hurst untuk inggris jerman pada bersejarah</t>
  </si>
  <si>
    <t>['kylian', 'mbappe', 'pemain', 'kedua', 'mencetak', 'hat', 'trick', 'final', 'piala', 'dunia', 'geoff', 'hurst', 'inggris', 'jerman', 'bersejarah']</t>
  </si>
  <si>
    <t>Rekor Prancis di Babak Adu Penalti Piala Dunia, Kalah di Final  https://t.co/xitZYxW68a</t>
  </si>
  <si>
    <t>rekor prancis babak adu penalti piala dunia kalah final</t>
  </si>
  <si>
    <t>['rekor', 'prancis', 'babak', 'adu', 'penalti', 'piala', 'dunia', 'kalah', 'final']</t>
  </si>
  <si>
    <t>Karier Piala Dunia Kylian Mbapp√© berdasarkan angka sejauh ini:  ‚óâ 14 games ‚óâ 12 goals ‚óâ 2 assists ‚óâ 1x Golden Boot ‚óâ 1x trophy  Dan dia mencetak lebih banyak gol di Final daripada pemain lain dalam sejarah turnamen.  https://t.co/D97ytMXKk2</t>
  </si>
  <si>
    <t>karier piala dunia kylian mbapp berdasarkan angka sejauh ini games goals assists golden boot trophy dan dia mencetak lebih banyak gol final daripada pemain lain dalam sejarah turnamen</t>
  </si>
  <si>
    <t>['karier', 'piala', 'dunia', 'kylian', 'mbapp', 'berdasarkan', 'angka', 'sejauh', 'games', 'goals', 'assists', 'golden', 'boot', 'trophy', 'mencetak', 'lebih', 'banyak', 'gol', 'final', 'pemain', 'sejarah', 'turnamen']</t>
  </si>
  <si>
    <t>Posting Instagram pertama Messi saat merayakan kemenangan Argentina atas Prancis di final Piala Dunia 2022 Qatar, pada Minggu, 18 Desember 2022 lalu, menjadi unggahan seorang atlet yang paling disukai dalam sejarah Instagram.  https://t.co/cZgklDnq2o</t>
  </si>
  <si>
    <t>posting instagram pertama messi saat merayakan kemenangan argentina atas prancis final piala dunia qatar pada minggu desember lalu menjadi unggahan seorang atlet yang paling disukai dalam sejarah instagram</t>
  </si>
  <si>
    <t>['posting', 'instagram', 'pertama', 'messi', 'merayakan', 'kemenangan', 'argentina', 'atas', 'prancis', 'final', 'piala', 'dunia', 'qatar', 'minggu', 'desember', 'lalu', 'menjadi', 'unggahan', 'seorang', 'atlet', 'paling', 'disukai', 'sejarah', 'instagram']</t>
  </si>
  <si>
    <t>@neohistoria_id Final Piala dunia  New Africa vs Nazi</t>
  </si>
  <si>
    <t>final piala dunia new africa nazi</t>
  </si>
  <si>
    <t>['final', 'piala', 'dunia', 'new', 'africa', 'nazi']</t>
  </si>
  <si>
    <t>Final Dramatis Sepanjang Sejarah, Argentina Rengkuh Trofi Piala Dunia 2022  https://t.co/RjPxep3cMx #PialaDunia2022 #Argentina #ArgentinaVsFrance</t>
  </si>
  <si>
    <t>134.KAKANWIL KEMENKUMHAM JATENG A YUSPAHRUDDIN: Tegal Kanwil Kemenkumham Jateng Gelar Nobar Final Piala Dunia dan Makan Bersama dengan Petugas Serta Keluarganya  https://t.co/pi8GLWY8CB</t>
  </si>
  <si>
    <t>@izmrn98 @AsrinsyahSS @CoachJustinL @YouTube Mohon maaf, gue menyampaikan opini gue terkait penyisihan piala dunia dari tahun 2002 sampai Final 2022 gue nonton full. Kalau lu ampe ngatain orang karena experience yg gue punya, kurasa ada yang salah dari di</t>
  </si>
  <si>
    <t>mohon maaf gue menyampaikan opini gue terkait penyisihan piala dunia dari tahun sampai final gue nonton full kalau ampe ngatain orang karena experience gue punya kurasa ada yang salah dari</t>
  </si>
  <si>
    <t>['mohon', 'maaf', 'gue', 'menyampaikan', 'opini', 'gue', 'terkait', 'penyisihan', 'piala', 'dunia', 'tahun', 'final', 'gue', 'nonton', 'full', 'kalau', 'sampai', 'ngatain', 'orang', 'experience', 'gue', 'punya', 'kurasa', 'salah']</t>
  </si>
  <si>
    <t>@herbertzit @budimandjatmiko He will learn baru 20an tahun.. Dia satu2nya org yang bsa hatrick di final piala Dunia..  Dia akan belajar rendah hati</t>
  </si>
  <si>
    <t>will learn baru tahun dia satu nya org yang bsa hatrick final piala dunia dia akan belajar rendah hati</t>
  </si>
  <si>
    <t>['will', 'learn', 'baru', 'tahun', 'satu', 'org', 'bsa', 'hatrick', 'final', 'piala', 'dunia', 'belajar', 'rendah', 'hati']</t>
  </si>
  <si>
    <t>Piala dunia mnrt ku selalu punya cerita. Kemarin nobar ngajakin ponakan untuk begadang dan mendoktrin klo final WC itu selalu ada drama nang le . Dan kenyataan nya emg bgtu . Final paling tratapan seru setelah final WC 2006</t>
  </si>
  <si>
    <t>piala dunia mnrt selalu punya cerita kemarin nobar ngajakin ponakan untuk begadang dan mendoktrin klo final itu selalu ada drama nang dan kenyataan nya emg bgtu final paling tratapan seru setelah final</t>
  </si>
  <si>
    <t>['piala', 'dunia', 'mnrt', 'selalu', 'punya', 'cerita', 'kemarin', 'nonton bareng', 'ngajakin', 'ponakan', 'begadang', 'mendoktrin', 'final', 'selalu', 'drama', 'nang', 'kenyataan', 'memang', 'bgtu', 'final', 'paling', 'tratapan', 'seru', 'final']</t>
  </si>
  <si>
    <t>Final Piala Dunia 2022 Bawa Fan Token Melesat Naik  Baca Selengkapnya:  https://t.co/KNyVOVam6a  #Final #PialaDunia2022 #fantoken #cryptocurrencies</t>
  </si>
  <si>
    <t>final piala dunia bawa fan token melesat naik baca selengkapnya</t>
  </si>
  <si>
    <t>['final', 'piala', 'dunia', 'bawa', 'fan', 'token', 'melesat', 'naik', 'baca', 'selengkapnya']</t>
  </si>
  <si>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</si>
  <si>
    <t>benny simanjuntak yang merupakan paman jonathan frizzy atau ijonk kemarin baru saja memposting video perayaan natal dan nonton bareng final piala dunia rumah ijonk bersama ririn dwi ariyanti selengkapnya</t>
  </si>
  <si>
    <t>['benny', 'simanjuntak', 'merupakan', 'paman', 'jonathan', 'frizzy', 'ijonk', 'kemarin', 'baru', 'memposting', 'video', 'perayaan', 'natal', 'nonton', 'bareng', 'final', 'piala', 'dunia', 'rumah', 'ijonk', 'bersama', 'ririn', 'dwi', 'ariyanti', 'selengkapnya']</t>
  </si>
  <si>
    <t>Media Prancis Nilai Gol Lionel Messi di Final Piala Dunia 2022 Tidak Sah dan Harus Dianulir  https://t.co/t84DzuumsP</t>
  </si>
  <si>
    <t>media prancis nilai gol lionel messi final piala dunia tidak sah dan harus dianulir</t>
  </si>
  <si>
    <t>['media', 'prancis', 'nilai', 'gol', 'lionel', 'messi', 'final', 'piala', 'dunia', 'sah', 'dianulir']</t>
  </si>
  <si>
    <t>KAKANWIL KEMENKUMHAM JATENG A YUSPAHRUDDIN: Tegal Kanwil Kemenkumham Jateng Gelar Nobar Final Piala Dunia dan Makan Bersama dengan Petugas Serta Keluarganya  https://t.co/4iXLRqS1E5</t>
  </si>
  <si>
    <t>Raul Lemos sampai trending saat Mbappe tanding di laga final Piala Dunia 2022.  https://t.co/giZB4Dihqa</t>
  </si>
  <si>
    <t>raul lemos sampai trending saat mbappe tanding laga final piala dunia</t>
  </si>
  <si>
    <t>['raul', 'lemos', 'trending', 'mbappe', 'tanding', 'laga', 'final', 'piala', 'dunia']</t>
  </si>
  <si>
    <t>Hadir dan tetap membaww pesan positif untuk Indonesia di final piala Dunia  2022  #finalworldcup2022 #PialaDuniaIndonesia #ArgentinaJuara #ErickProRakyat  https://t.co/PPA1AuhAbp</t>
  </si>
  <si>
    <t>hadir dan tetap membaww pesan positif untuk indonesia final piala dunia</t>
  </si>
  <si>
    <t>['hadir', 'tetap', 'membaww', 'pesan', 'positif', 'indonesia', 'final', 'piala', 'dunia']</t>
  </si>
  <si>
    <t>Hai @indosat @idextratime  Pencetak gol Prancis di final Piala Dunia 1998 adalah : 1. Zinedine Zidane 2. Emmanuel Petit #PilDunBarengIOH   Yuk ikuti kuis yang KEREN ini @innamuthmaa  @Isti52863208  @araychester   Sukses selalu dan Semoga saya beruntungüçÄ</t>
  </si>
  <si>
    <t>hai pencetak gol prancis final piala dunia adalah zinedine zidane emmanuel petit yuk ikuti kuis yang keren ini sukses selalu dan semoga saya beruntung</t>
  </si>
  <si>
    <t>['hai', 'pencetak', 'gol', 'prancis', 'final', 'piala', 'dunia', 'zinedine', 'zidane', 'emmanuel', 'petit', 'yuk', 'ikuti', 'kuis', 'keren', 'sukses', 'selalu', 'semoga', 'beruntung']</t>
  </si>
  <si>
    <t>ada pasien tensinya 160/100, kutanya adakah riwayat hipertensi, pasiennya mengelak dan bilang tensinya tinggi karena tegang akibat pertandingan final piala dunia kmaren, dia jagoin Argentina. itu pertandingan dah 2 hari yang lalu, tegangnya masih terasa sekarang.</t>
  </si>
  <si>
    <t>ada pasien tensinya kutanya adakah riwayat hipertensi pasiennya mengelak dan bilang tensinya tinggi karena tegang akibat pertandingan final piala dunia kmaren dia jagoin argentina itu pertandingan dah hari yang lalu tegangnya masih terasa sekarang</t>
  </si>
  <si>
    <t>['pasien', 'tensinya', 'kutanya', 'adakah', 'riwayat', 'hipertensi', 'pasiennya', 'mengelak', 'tensinya', 'tinggi', 'tegang', 'akibat', 'pertandingan', 'final', 'piala', 'dunia', 'kmaren', 'jagoin', 'argentina', 'pertandingan', 'dah', 'hari', 'lalu', 'tegangnya', 'terasa', 'sekarang']</t>
  </si>
  <si>
    <t>Edisi nobar final piala dunia....... @ Ozone Resident Bintaro  https://t.co/OXoQcmM8LR</t>
  </si>
  <si>
    <t>edisi nobar final piala dunia ozone resident bintaro</t>
  </si>
  <si>
    <t>['edisi', 'nonton bareng', 'final', 'piala', 'dunia', 'ozone', 'resident', 'bintaro']</t>
  </si>
  <si>
    <t>@Singgih_permdi @SiAlanLoe2 @BiLLRaY2019 @R_min80 @aniesbaswedan Wkwkw...pdhl katanya SDH gunain otak 1. Cebong ga nonton pildun Krn skr pildun berbayar ga gratisan lagi ya  https://t.co/JXVuxzGPuT kasih tau bong final Prancis Argentina itu tgl 18 Desembe</t>
  </si>
  <si>
    <t>permdi min wkwkw pdhl katanya sdh gunain otak cebong nonton pildun krn skr pildun berbayar gratisan lagi kasih tau bong final prancis argentina itu tgl desembe</t>
  </si>
  <si>
    <t>['permdi', 'min', 'wkwkw', 'pdhl', 'katanya', 'gunain', 'otak', 'cebong', 'nonton', 'piala dunia', 'skr', 'piala dunia', 'berbayar', 'gratisan', 'kasih', 'bong', 'final', 'prancis', 'argentina', 'tgl', 'desembe']</t>
  </si>
  <si>
    <t>@R_min80 @B171Jakarta @aniesbaswedan Ini org klu goblok jgn diborong semua napa, kasih ke ebong2 lain, pak anis jln sehat tgl 11 des, lha final pildun tgl 18, dasar sampah masyarakat klu gx fitnah gx makan ya... Apa jadinya anak keturunan mu entar kau kas</t>
  </si>
  <si>
    <t>min ini org klu goblok jgn diborong semua napa kasih ebong lain pak anis jln sehat tgl des lha final pildun tgl dasar sampah masyarakat klu fitnah makan apa jadinya anak keturunan entar kau kas</t>
  </si>
  <si>
    <t>['min', 'org', 'klu', 'goblok', 'diborong', 'semua', 'napa', 'kasih', 'ebong', 'pak', 'anis', 'jln', 'sehat', 'tgl', 'des', 'lha', 'final', 'piala dunia', 'tgl', 'dasar', 'sampah', 'masyarakat', 'klu', 'fitnah', 'makan', 'apa', 'jadinya', 'anak', 'keturunan', 'entar', 'kau', 'kas']</t>
  </si>
  <si>
    <t>ANYINGGGGG SEJAM LEBIH GW NGOCEH BEGINI DOANG melebihi pembukaan tanding final pildun</t>
  </si>
  <si>
    <t>anyinggggg sejam lebih ngoceh begini doang melebihi pembukaan tanding final pildun</t>
  </si>
  <si>
    <t>['anyinggggg', 'sejam', 'lebih', 'ngoceh', 'begini', 'doang', 'melebihi', 'pembukaan', 'tanding', 'final', 'piala dunia']</t>
  </si>
  <si>
    <t>Terus mulai suka BVB pas Gotzeus jaya2nya, heboh banget pas Gotze bikin gol ngalahin Argentina di final pildun 2014 itu terus bawa2 jersey nya Reus like ommggg they are soulmates üò≠  Asli dulu aku sampe suka ngedit2 alay Gotzeus gitu üò≠</t>
  </si>
  <si>
    <t>terus mulai suka bvb pas gotzeus jaya nya heboh banget pas gotze bikin gol ngalahin argentina final pildun itu terus bawa jersey nya reus like ommggg they are soulmates asli dulu aku sampe suka ngedit alay gotzeus gitu</t>
  </si>
  <si>
    <t>['terus', 'mulai', 'suka', 'bvb', 'pas', 'gotzeus', 'jaya', 'heboh', 'banget', 'pas', 'gotze', 'gol', 'ngalahin', 'argentina', 'final', 'piala dunia', 'terus', 'bawa', 'jersey', 'reus', 'like', 'ommggg', 'they', 'are', 'soulmates', 'asli', 'dulu', 'aku', 'sampai', 'suka', 'ngedit', 'alay', 'gotzeus', 'gitu']</t>
  </si>
  <si>
    <t>@AfifXavi Barca dibantai munchen dan intermilan yg mengakibatkan masuk ke uel dan goal Prancis di menit-menit akhir final pildun ü§Ø</t>
  </si>
  <si>
    <t>barca dibantai munchen dan intermilan mengakibatkan masuk uel dan goal prancis menit menit akhir final pildun</t>
  </si>
  <si>
    <t>['barca', 'dibantai', 'munchen', 'intermilan', 'mengakibatkan', 'masuk', 'uel', 'goal', 'prancis', 'menit', 'menit', 'akhir', 'final', 'piala dunia']</t>
  </si>
  <si>
    <t>@idextratime @oddschecker Walapun messi juara pildun, yg paling berhak ya mbappe dia bawa prancis dua kali ke final</t>
  </si>
  <si>
    <t>walapun messi juara pildun paling berhak mbappe dia bawa prancis dua kali final</t>
  </si>
  <si>
    <t>['walapun', 'messi', 'juara', 'piala dunia', 'paling', 'berhak', 'mbappe', 'bawa', 'prancis', 'kali', 'final']</t>
  </si>
  <si>
    <t>@unmagnetism lah rabi ncen pas final pildun, wayah e all in</t>
  </si>
  <si>
    <t>lah rabi ncen pas final pildun wayah all</t>
  </si>
  <si>
    <t>['lah', 'rabi', 'ncen', 'pas', 'final', 'piala dunia', 'wayah', 'all']</t>
  </si>
  <si>
    <t>jan : kena covid bgstt feb : beli ipad mar : pts proyek offline pertama apr : ulang tahun mei : lebaran trs ke taman safari jun : nonton sama temenku jul : libuur membosankan agt : ultah a word sep : fell in love alay okt : camping anjg  nov : jalan sama a word des : final pildun</t>
  </si>
  <si>
    <t>jan kena covid bgstt feb beli ipad mar pts proyek offline pertama apr ulang tahun mei lebaran trs taman safari jun nonton sama temenku jul libuur membosankan agt ultah word sep fell love alay okt camping anjg nov jalan sama word des final pildun</t>
  </si>
  <si>
    <t>['jan', 'kena', 'covid', 'bgstt', 'feb', 'beli', 'ipad', 'mar', 'pts', 'proyek', 'offline', 'pertama', 'apr', 'ulang', 'tahun', 'mei', 'lebaran', 'terus', 'taman', 'safari', 'jun', 'nonton', 'sama', 'temenku', 'jul', 'libuur', 'membosankan', 'agt', 'ultah', 'word', 'sep', 'fell', 'love', 'alay', 'okt', 'camping', 'anjg', 'nov', 'jalan', 'sama', 'word', 'des', 'final', 'piala dunia']</t>
  </si>
  <si>
    <t>&lt;FreqDist with 42 samples and 44 outcomes&gt;</t>
  </si>
  <si>
    <t>@UnitedStand95 @SiaranBolaLive Secara hype iya 2010 terbaik karna pertama kali juga di tanah afrika. Tapi secara pertandingan tahun 2022 ini terbaik termasuk final terbaik juga kemaren selama pildun</t>
  </si>
  <si>
    <t>secara hype iya terbaik karna pertama kali juga tanah afrika tapi secara pertandingan tahun ini terbaik termasuk final terbaik juga kemaren selama pildun</t>
  </si>
  <si>
    <t>['hype', 'iya', 'terbaik', 'karna', 'pertama', 'kali', 'tanah', 'afrika', 'pertandingan', 'tahun', 'terbaik', 'termasuk', 'final', 'terbaik', 'kemarin', 'selama', 'piala dunia']</t>
  </si>
  <si>
    <t>Di match ini Belanda kayak balas dendam sama Spanyol, karna di final pildun 2010 kalah</t>
  </si>
  <si>
    <t>match ini belanda kayak balas dendam sama spanyol karna final pildun kalah</t>
  </si>
  <si>
    <t>['match', 'belanda', 'seperti', 'balas', 'dendam', 'sama', 'spanyol', 'karna', 'final', 'piala dunia', 'kalah']</t>
  </si>
  <si>
    <t>Minggu kemarin jam segini lagi siap-siap mononton final pildun nih wkwk.</t>
  </si>
  <si>
    <t>minggu kemarin jam segini lagi siap siap mononton final pildun nih wkwk</t>
  </si>
  <si>
    <t>['minggu', 'kemarin', 'jam', 'segini', 'siap', 'siap', 'mononton', 'final', 'piala dunia']</t>
  </si>
  <si>
    <t>Cowo ketika nobar final pildun 2022 Shopee  https://t.co/UDsPPeUW8W</t>
  </si>
  <si>
    <t>cowo ketika nobar final pildun shopee</t>
  </si>
  <si>
    <t>['cowo', 'nonton bareng', 'final', 'piala dunia', 'shopee']</t>
  </si>
  <si>
    <t>ih wkt knp kyk lari sih..minggu lalu lg mau nonton final pildunüòî</t>
  </si>
  <si>
    <t>wkt knp kyk lari sih minggu lalu mau nonton final pildun</t>
  </si>
  <si>
    <t>['wkt', 'kenapa', 'seperti', 'lari', 'minggu', 'lalu', 'mau', 'nonton', 'final', 'piala dunia']</t>
  </si>
  <si>
    <t>@medioclubID Pildun 1998 isunya R9 diracun sebelum laga final, tapi Brasil ga bikin petisi-petisian.. ‚úåÔ∏èüòÖ</t>
  </si>
  <si>
    <t>pildun isunya diracun sebelum laga final tapi brasil bikin petisi petisian</t>
  </si>
  <si>
    <t>['piala dunia', 'isunya', 'diracun', 'laga', 'final', 'brasil', 'petisi', 'petisian']</t>
  </si>
  <si>
    <t>Walach. Wkwkwkw gue juga kemarenan lebih pilih hype pildun sih. Trus ini tau2 minggu depan udah final</t>
  </si>
  <si>
    <t>walach wkwkwkw gue juga kemarenan lebih pilih hype pildun sih trus ini tau minggu depan udah final</t>
  </si>
  <si>
    <t>['walach', 'wkwkwkw', 'gue', 'kemarenan', 'lebih', 'pilih', 'hype', 'piala dunia', 'trus', 'minggu', 'depan', 'udah', 'final']</t>
  </si>
  <si>
    <t>@infotwitwor_ Sayang bgt baru balik, padahal bnyk konten tuh pas abis final pildun</t>
  </si>
  <si>
    <t>sayang bgt baru balik padahal bnyk konten tuh pas abis final pildun</t>
  </si>
  <si>
    <t>['sayang', 'banget', 'baru', 'balik', 'padahal', 'bnyk', 'konten', 'pas', 'abis', 'final', 'piala dunia']</t>
  </si>
  <si>
    <t>saestu, wes koyo final pildun</t>
  </si>
  <si>
    <t>saestu wes koyo final pildun</t>
  </si>
  <si>
    <t>['saestu', 'wes', 'koyo', 'final', 'piala dunia']</t>
  </si>
  <si>
    <t>@DealovaAbimanyu @R_min80 @aniesbaswedan Tuh jelas2 narasi penuh ketololan msh sj dipercaya n dishare.  Pertama ingat2 dulu kpn final Pildun QATAR, lalu simak kpn cuitan anies tsb ditulis. Dr situ sj yg cuit pertama sdh jelas top ngawurnya. Selain itu apa</t>
  </si>
  <si>
    <t>min tuh jelas narasi penuh ketololan msh dipercaya dishare pertama ingat dulu kpn final pildun qatar lalu simak kpn cuitan anies tsb ditulis situ cuit pertama sdh jelas top ngawurnya selain itu apa</t>
  </si>
  <si>
    <t>['min', 'jelas', 'narasi', 'penuh', 'ketololan', 'msh', 'dipercaya', 'dishare', 'pertama', 'ingat', 'dulu', 'kpn', 'final', 'piala dunia', 'qatar', 'lalu', 'simak', 'kpn', 'cuitan', 'anies', 'tsb', 'ditulis', 'situ', 'cuit', 'pertama', 'jelas', 'top', 'ngawurnya', 'apa']</t>
  </si>
  <si>
    <t>@R_min80 @aniesbaswedan Tweet itu tgl 11 Des, sementara final pildun tgl 18 Des klo mo edit nimpa gambar itu skalian edit tglnya bong üòÖüòÇ</t>
  </si>
  <si>
    <t>min tweet itu tgl des sementara final pildun tgl des klo edit nimpa gambar itu skalian edit tglnya bong</t>
  </si>
  <si>
    <t>['min', 'tweet', 'tgl', 'des', 'final', 'piala dunia', 'tgl', 'des', 'edit', 'nimpa', 'gambar', 'skalian', 'edit', 'tglnya', 'bong']</t>
  </si>
  <si>
    <t>@harsowibowo Kebangetan, kalendermu rusak? Final pildun dimajuin ya? Tgl 11 udh juara Argentina? Consultant katanya, tp logika ga dipake, kasian client ya ü§£</t>
  </si>
  <si>
    <t>kebangetan kalendermu rusak final pildun dimajuin tgl udh juara argentina consultant katanya logika dipake kasian client</t>
  </si>
  <si>
    <t>['kebangetan', 'kalendermu', 'rusak', 'final', 'piala dunia', 'dimajuin', 'tgl', 'sudah', 'juara', 'argentina', 'consultant', 'katanya', 'logika', 'dipake', 'kasian', 'client']</t>
  </si>
  <si>
    <t>@R_min80 @aniesbaswedan Dasar tolol lo,Pak Anies posting 11/12 final pildun 18/12..... Klo otak lo ga dipake pasti tau lh klo lo bnran TOLOL</t>
  </si>
  <si>
    <t>min dasar tolol pak anies posting final pildun klo otak dipake pasti tau klo bnran tolol</t>
  </si>
  <si>
    <t>['min', 'dasar', 'tolol', 'pak', 'anies', 'posting', 'final', 'piala dunia', 'otak', 'dipake', 'bnran', 'tolol']</t>
  </si>
  <si>
    <t>@R_min80 @aniesbaswedan Cebong kayak elu @R_min80  Kalau Gak Goblok ya Tolol üòÇüòÇ emang final pildun tgl brp ü§£ü§£ü§£ Dongok !!!!ü§£ü§£</t>
  </si>
  <si>
    <t>min cebong kayak elu min kalau gak goblok tolol emang final pildun tgl brp dongok</t>
  </si>
  <si>
    <t>['min', 'cebong', 'seperti', 'elu', 'min', 'kalau', 'goblok', 'tolol', 'emang', 'final', 'piala dunia', 'tgl', 'brp', 'dongok']</t>
  </si>
  <si>
    <t>@Andini988_ Final Pildun kapan ya..</t>
  </si>
  <si>
    <t>final pildun kapan</t>
  </si>
  <si>
    <t>['final', 'piala dunia', 'kapan']</t>
  </si>
  <si>
    <t>@UmarHasibuan77 Pumpido Cidera Amangboru Di Pildun 1990 Di Ganti Oleh Sergio Goycochea Yang Tampil Ciamik Di Pildun 90 Meski Takluk Di Kaki Adreas Brehme Di Final Ketika Itu Sama Kiper Dunia Ketiga Asal Kamerun Alias Thomas Nkono üòÅüôè</t>
  </si>
  <si>
    <t>pumpido cidera amangboru pildun ganti oleh sergio goycochea yang tampil ciamik pildun meski takluk kaki adreas brehme final ketika itu sama kiper dunia ketiga asal kamerun alias thomas nkono</t>
  </si>
  <si>
    <t>['pumpido', 'cidera', 'amangboru', 'piala dunia', 'ganti', 'sergio', 'goycochea', 'tampil', 'ciamik', 'piala dunia', 'meski', 'takluk', 'kaki', 'adreas', 'brehme', 'final', 'sama', 'kiper', 'dunia', 'ketiga', 'asal', 'kamerun', 'alias', 'thomas', 'nkono']</t>
  </si>
  <si>
    <t>@GOAL_ID Anda kan satu2nya yg gagal penalti di final pildun 2006, hingga prancis gagal juara üòÑ</t>
  </si>
  <si>
    <t>anda kan satu nya gagal penalti final pildun hingga prancis gagal juara</t>
  </si>
  <si>
    <t>['kan', 'satu', 'gagal', 'penalti', 'final', 'piala dunia', 'hingga', 'prancis', 'gagal', 'juara']</t>
  </si>
  <si>
    <t>tercatat udah seminggu lewat final pildun dan w masih tiap hari kepoin tiga anak messi</t>
  </si>
  <si>
    <t>tercatat udah seminggu lewat final pildun dan masih tiap hari kepoin tiga anak messi</t>
  </si>
  <si>
    <t>['tercatat', 'udah', 'seminggu', 'lewat', 'final', 'piala dunia', 'tiap', 'hari', 'kepoin', 'tiga', 'anak', 'messi']</t>
  </si>
  <si>
    <t>@Info_Ronaldo7 @adammalik01z @idextratime MINIMAL MASUK FINAL PILDUN DULU ADICK</t>
  </si>
  <si>
    <t>ronaldo minimal masuk final pildun dulu adick</t>
  </si>
  <si>
    <t>['ronaldo', 'minimal', 'masuk', 'final', 'piala dunia', 'dulu', 'adick']</t>
  </si>
  <si>
    <t>@Info_Ronaldo7 @idextratime fyi pildun ‚Üí euro, kalo ga percaya tanya aja italia sama jerman, italia juara euro ga lolos pildun, jerman tengpokeng di fase grub, penaldo di final euro teriak2 dipinggir lapangan doang. euro lebih sulit tapi kok portugal ka</t>
  </si>
  <si>
    <t>ronaldo fyi pildun euro kalo percaya tanya aja italia sama jerman italia juara euro lolos pildun jerman tengpokeng fase grub penaldo final euro teriak dipinggir lapangan doang euro lebih sulit tapi kok portugal</t>
  </si>
  <si>
    <t>['ronaldo', 'for your information', 'piala dunia', 'euro', 'percaya', 'tanya', 'italia', 'sama', 'jerman', 'italia', 'juara', 'euro', 'lolos', 'piala dunia', 'jerman', 'tengpokeng', 'fase', 'grub', 'penaldo', 'final', 'euro', 'teriak', 'dipinggir', 'lapangan', 'doang', 'euro', 'lebih', 'sulit', 'kok', 'portugal']</t>
  </si>
  <si>
    <t>@Fadanii31 @adammalik01z @idextratime ..top skor Portugal, gendong tim medioker kek Portugal, pessi mana mampu kek gitu, juara Copa turnamen selevel aff gw juga mampu, Brunei ke Copa juga bisa masuk final, juara pildun juga bantuan fifaü§£</t>
  </si>
  <si>
    <t>top skor portugal gendong tim medioker kek portugal pessi mana mampu kek gitu juara copa turnamen selevel aff juga mampu brunei copa juga bisa masuk final juara pildun juga bantuan fifa</t>
  </si>
  <si>
    <t>['top', 'skor', 'portugal', 'gendong', 'tim', 'medioker', 'kek', 'portugal', 'pessi', 'mana', 'mampu', 'kek', 'gitu', 'juara', 'copa', 'turnamen', 'selevel', 'aff', 'mampu', 'brunei', 'copa', 'masuk', 'final', 'juara', 'piala dunia', 'bantuan', 'fifa']</t>
  </si>
  <si>
    <t>@Info_Ronaldo7 @DonquixoteM1ngo @adammalik01z @idextratime fyi pildun ‚Üí euro, kalo ga percaya tanya aja italia sama jerman, italia juara euro ga lolos pildun, jerman tengpokeng di fase grub lol, penaldo kerja keras di final euro teriak2 dipinggir lapang</t>
  </si>
  <si>
    <t>ronaldo fyi pildun euro kalo percaya tanya aja italia sama jerman italia juara euro lolos pildun jerman tengpokeng fase grub lol penaldo kerja keras final euro teriak dipinggir lapang</t>
  </si>
  <si>
    <t>['ronaldo', 'for your information', 'piala dunia', 'euro', 'percaya', 'tanya', 'italia', 'sama', 'jerman', 'italia', 'juara', 'euro', 'lolos', 'piala dunia', 'jerman', 'tengpokeng', 'fase', 'grub', 'laugh out loud', 'penaldo', 'kerja', 'keras', 'final', 'euro', 'teriak', 'dipinggir', 'lapang']</t>
  </si>
  <si>
    <t>1986 Argentina juara Pildun 1987 Indonesia dapat Medali emas Sea Games cabang Sepakbola  2022 Argentina Juara Pildun 2023 ( Final Piala AFF) hmm</t>
  </si>
  <si>
    <t>argentina juara pildun indonesia dapat medali emas sea games cabang sepakbola argentina juara pildun final piala aff hmm</t>
  </si>
  <si>
    <t>['argentina', 'juara', 'piala dunia', 'indonesia', 'medali', 'emas', 'sea', 'games', 'cabang', 'sepakbola', 'argentina', 'juara', 'piala dunia', 'final', 'piala', 'aff', 'hmm']</t>
  </si>
  <si>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</si>
  <si>
    <t>selain itu dutch juga pernah menggelar balap hari sabtu pada dan khusus untuk jadwalnya maju karena besoknya ada final wimbledon dan matchday terakhir fase grup pildun notable races lainnya yang balap hari sabtu ada canadian dan swedish</t>
  </si>
  <si>
    <t>['dutch', 'pernah', 'menggelar', 'balap', 'hari', 'sabtu', 'khusus', 'jadwalnya', 'maju', 'besoknya', 'final', 'wimbledon', 'matchday', 'terakhir', 'fase', 'grup', 'piala dunia', 'notable', 'races', 'lainnya', 'balap', 'hari', 'sabtu', 'canadian', 'swedish']</t>
  </si>
  <si>
    <t>@idextratime Kirain pemilu doang yg minta diulang.. final pildun juga ternyata ü§£ü§£ü§£</t>
  </si>
  <si>
    <t>kirain pemilu doang minta diulang final pildun juga ternyata</t>
  </si>
  <si>
    <t>['kirain', 'pemilu', 'doang', 'minta', 'diulang', 'final', 'piala dunia', 'ternyata']</t>
  </si>
  <si>
    <t>Mbappe udahlah sedih kalah final pildun, baca menu ini tambah sedih  https://t.co/Sd3ppLTEo8</t>
  </si>
  <si>
    <t>mbappe udahlah sedih kalah final pildun baca menu ini tambah sedih</t>
  </si>
  <si>
    <t>['mbappe', 'udahlah', 'sedih', 'kalah', 'final', 'piala dunia', 'baca', 'menu', 'tambah', 'sedih']</t>
  </si>
  <si>
    <t>@kinaru_ @MalihDhakal @registaco Main, ngacak ngacak Arsenal di Final UEL bahkan. Doi pas top form juga di Pildun 2018, gendong Belgia sampek juara 3.</t>
  </si>
  <si>
    <t>main ngacak ngacak arsenal final uel bahkan doi pas top form juga pildun gendong belgia sampek juara</t>
  </si>
  <si>
    <t>['main', 'ngacak', 'ngacak', 'arsenal', 'final', 'uel', 'bahkan', 'doi', 'pas', 'top', 'form', 'piala dunia', 'gendong', 'belgia', 'sampek', 'juara']</t>
  </si>
  <si>
    <t>Sesuai dugaanku, after final bakal restock üò≠üò≠üò≠üò≠ soalnya waktu zabivaka gue kalo gasalah belinya juga bbrp lama pas selesai pildun  https://t.co/9VkLa0lRun</t>
  </si>
  <si>
    <t>sesuai dugaanku after final bakal restock soalnya waktu zabivaka gue kalo gasalah belinya juga bbrp lama pas selesai pildun</t>
  </si>
  <si>
    <t>['sesuai', 'dugaanku', 'after', 'final', 'bakal', 'restock', 'soalnya', 'waktu', 'zabivaka', 'gue', 'gasalah', 'belinya', 'bbrp', 'lama', 'pas', 'selesai', 'piala dunia']</t>
  </si>
  <si>
    <t>nonton orang2 pada beli wifi di pesawat buat nonton final pildun ü§£</t>
  </si>
  <si>
    <t>nonton orang pada beli wifi pesawat buat nonton final pildun</t>
  </si>
  <si>
    <t>['nonton', 'orang', 'beli', 'wifi', 'pesawat', 'buat', 'nonton', 'final', 'piala dunia']</t>
  </si>
  <si>
    <t>ini pokoknya abis final pildun ke kamar mira jam 2 pagi terus tidur di sana, bangun bangun be presentasi terus kena amukkkk gRRRR, ini mira lagi panik baru kerjainn be  https://t.co/rbX09K0sqi</t>
  </si>
  <si>
    <t>ini pokoknya abis final pildun kamar mira jam pagi terus tidur sana bangun bangun presentasi terus kena amukkkk grrrr ini mira lagi panik baru kerjainn</t>
  </si>
  <si>
    <t>['pokoknya', 'abis', 'final', 'piala dunia', 'kamar', 'mira', 'jam', 'pagi', 'terus', 'tidur', 'sana', 'bangun', 'bangun', 'presentasi', 'terus', 'kena', 'amukkkk', 'grrrr', 'mira', 'panik', 'baru', 'kerjainn']</t>
  </si>
  <si>
    <t>Pertandingan final PilDun 2022 kemarin emang seru banget ya, Sobat!  Yuk, cek keseruan Nonton Bareng Teroooss di Jakarta üôåüî•  #AktivitasTanpaBayas #InternetnyaIndonesia</t>
  </si>
  <si>
    <t>pertandingan final pildun kemarin emang seru banget sobat yuk cek keseruan nonton bareng teroooss jakarta</t>
  </si>
  <si>
    <t>['pertandingan', 'final', 'piala dunia', 'kemarin', 'emang', 'seru', 'banget', 'sobat', 'yuk', 'cek', 'keseruan', 'nonton', 'bareng', 'teroooss', 'jakarta']</t>
  </si>
  <si>
    <t>msh ada tong yg debat kusir masalah final pildun anjengg messi the bbest lah</t>
  </si>
  <si>
    <t>msh ada tong debat kusir masalah final pildun anjengg messi the bbest lah</t>
  </si>
  <si>
    <t>['msh', 'tong', 'debat', 'kusir', 'masalah', 'final', 'piala dunia', 'anjengg', 'messi', 'the', 'bbest', 'lah']</t>
  </si>
  <si>
    <t>Minimal final pildun 2x dulu</t>
  </si>
  <si>
    <t>minimal final pildun dulu</t>
  </si>
  <si>
    <t>['minimal', 'final', 'piala dunia', 'dulu']</t>
  </si>
  <si>
    <t>@Acikiwi06365366 @paratuka @idextratime Bang Dodo udah pernah semi-final Pildun 2006</t>
  </si>
  <si>
    <t>bang dodo udah pernah semi final pildun</t>
  </si>
  <si>
    <t>['bang', 'dodo', 'udah', 'pernah', 'semi', 'final', 'piala dunia']</t>
  </si>
  <si>
    <t>@The_RedsIndo Pantes redup ya.   Final Piala Afrika kalah, gak lolos Pildun.   Musim lalau berkesempatan meraih gelas EPL dan UCL tapi gagal semua.</t>
  </si>
  <si>
    <t>redsindo pantes redup final piala afrika kalah gak lolos pildun musim lalau berkesempatan meraih gelas epl dan ucl tapi gagal semua</t>
  </si>
  <si>
    <t>['redsindo', 'pantes', 'redup', 'final', 'piala', 'afrika', 'kalah', 'lolos', 'piala dunia', 'musim', 'lalau', 'berkesempatan', 'meraih', 'gelas', 'epl', 'ucl', 'gagal', 'semua']</t>
  </si>
  <si>
    <t>Mergo saiki wis angel nemen nulis, jadi tak ritwit wae esai bal-balan final Pildun sing apik iki.</t>
  </si>
  <si>
    <t>mergo saiki wis angel nemen nulis jadi tak ritwit wae esai bal balan final pildun sing apik iki</t>
  </si>
  <si>
    <t>['mergo', 'saiki', 'wis', 'angel', 'nemen', 'nulis', 'jadi', 'tak', 'ritwit', 'wae', 'esai', 'bal', 'balan', 'final', 'piala dunia', 'sing', 'apik', 'iki']</t>
  </si>
  <si>
    <t>@BNGPY Pak suami malah tahap benci sama sepak bola wabil khusus sepak bola Indonesia... Cuma pas Final PilDun kemarin aja bela2in nonton, ya karena supaya bisa ngobrol ae</t>
  </si>
  <si>
    <t>pak suami malah tahap benci sama sepak bola wabil khusus sepak bola indonesia cuma pas final pildun kemarin aja bela nonton karena supaya bisa ngobrol</t>
  </si>
  <si>
    <t>['pak', 'suami', 'malah', 'tahap', 'benci', 'sama', 'sepak', 'bola', 'wabil', 'khusus', 'sepak', 'bola', 'indonesia', 'cuma', 'pas', 'final', 'piala dunia', 'kemarin', 'bela', 'nonton', 'ngobrol']</t>
  </si>
  <si>
    <t>orang yg menandatangani petisi pengulangan final pildun 2022 adalah orang yang tidak legowo.  ingat #denganlegowosemuajaditerasaeasy</t>
  </si>
  <si>
    <t>orang menandatangani petisi pengulangan final pildun adalah orang yang tidak legowo ingat</t>
  </si>
  <si>
    <t>['orang', 'menandatangani', 'petisi', 'pengulangan', 'final', 'piala dunia', 'orang', 'legowo', 'ingat']</t>
  </si>
  <si>
    <t>fans dodo selama final pildun :</t>
  </si>
  <si>
    <t>fans dodo selama final pildun</t>
  </si>
  <si>
    <t>['fans', 'dodo', 'selama', 'final', 'piala dunia']</t>
  </si>
  <si>
    <t>@BangEdiii Wkwkwk..meme, mural pun banyak beredar terkait final piLdun 2022, selain itu juga soal predikan g.o.a.T pendukung fnatic Pakle Messi sama Dodo</t>
  </si>
  <si>
    <t>wkwkwk meme mural pun banyak beredar terkait final pildun selain itu juga soal predikan pendukung fnatic pakle messi sama dodo</t>
  </si>
  <si>
    <t>['wkwkwk', 'meme', 'mural', 'banyak', 'beredar', 'terkait', 'final', 'piala dunia', 'soal', 'predikan', 'pendukung', 'fnatic', 'pakle', 'messi', 'sama', 'dodo']</t>
  </si>
  <si>
    <t>Terhitung sdh seminggu sejak final pildun, kepalaku dan semua sosmedqu masih di isi oleh Kylian mbappeüôè</t>
  </si>
  <si>
    <t>terhitung sdh seminggu sejak final pildun kepalaku dan semua sosmedqu masih isi oleh kylian mbappe</t>
  </si>
  <si>
    <t>['terhitung', 'seminggu', 'sejak', 'final', 'piala dunia', 'kepalaku', 'semua', 'sosmedqu', 'isi', 'kylian', 'mbappe']</t>
  </si>
  <si>
    <t>Makanya jangan all in Prancis.. mending nabung buat all in final pildun 2026 nanti</t>
  </si>
  <si>
    <t>makanya jangan all prancis mending nabung buat all final pildun nanti</t>
  </si>
  <si>
    <t>['makanya', 'jangan', 'all', 'prancis', 'mending', 'nabung', 'buat', 'all', 'final', 'piala dunia']</t>
  </si>
  <si>
    <t>Trivia Kutukan juara pildun sebelumnya yaitu main jelek/sial di fase grup ga berlaku utk Prancis di WC Qatar 2022, bahkan maju sampe final. Mgkn krn event ada di tanah Arab Apa nanti kutukan balik lg di pildun 2026 Amerika Utara?  Hihi hope so</t>
  </si>
  <si>
    <t>trivia kutukan juara pildun sebelumnya yaitu main jelek sial fase grup berlaku utk prancis qatar bahkan maju sampe final mgkn krn event ada tanah arab apa nanti kutukan balik pildun amerika utara hihi hope</t>
  </si>
  <si>
    <t>['trivia', 'kutukan', 'juara', 'piala dunia', 'sebelumnya', 'main', 'jelek', 'sial', 'fase', 'grup', 'berlaku', 'prancis', 'qatar', 'bahkan', 'maju', 'sampai', 'final', 'mgkn', 'event', 'tanah', 'arab', 'apa', 'kutukan', 'balik', 'piala dunia', 'amerika', 'utara', 'hihi', 'hope']</t>
  </si>
  <si>
    <t>@tehmanis29 @SiaranBolaLive Mbappe malah yg ngerendahin sepakbola Amerika Latin coy sebelum Pildun.   Eh kalah di Final lawan dari Amerika Latin. Mengenaskan üòÇ dibayar tunai.</t>
  </si>
  <si>
    <t>mbappe malah ngerendahin sepakbola amerika latin coy sebelum pildun kalah final lawan dari amerika latin mengenaskan dibayar tunai</t>
  </si>
  <si>
    <t>['mbappe', 'malah', 'ngerendahin', 'sepakbola', 'amerika', 'latin', 'coy', 'piala dunia', 'kalah', 'final', 'lawan', 'amerika', 'latin', 'mengenaskan', 'dibayar', 'tunai']</t>
  </si>
  <si>
    <t>@aresinga @jkt48_history Gara" final pildun kemaren tuh</t>
  </si>
  <si>
    <t>history gara final pildun kemaren tuh</t>
  </si>
  <si>
    <t>['history', 'gara', 'final', 'piala dunia', 'kemarin']</t>
  </si>
  <si>
    <t>@BiLLRaY2019 @R_min80 @aniesbaswedan Anies posting tgl 11/12, final pildun 18/12... Klo otaknya dipake sih pasti ngerti.</t>
  </si>
  <si>
    <t>min anies posting tgl final pildun klo otaknya dipake sih pasti ngerti</t>
  </si>
  <si>
    <t>['min', 'anies', 'posting', 'tgl', 'final', 'piala dunia', 'otaknya', 'dipake', 'ngerti']</t>
  </si>
  <si>
    <t>Pertandingan final PilDun 2022 kemarin emang seru banget ya, Sobat!  Yuk, cek keseruan Nonton Bareng Teroooss di Jakarta üôåüî•  #AktivitasTanpaBayas #InternetnyaIndonesia  https://t.co/NYLDiA2eta</t>
  </si>
  <si>
    <t>@jjsengui2 @R_min80 @aniesbaswedan Anies posting tgl 11/12, final pildun 18/12... Klo otaknya dipake sih pasti ngerti.</t>
  </si>
  <si>
    <t>@raninggalek @R_min80 @DealovaAbimanyu @aniesbaswedan Anies posting tgl 11/12, final pildun 18/12... Klo otaknya dipake sih pasti ngerti.</t>
  </si>
  <si>
    <t>@dgcolection @serli889 @R_min80 @aniesbaswedan Anies posting tgl 11/12, final pildun 18/12... Klo otaknya dipake sih pasti ngerti..</t>
  </si>
  <si>
    <t>@Kremata_Channel @enny_endah2 @PShurama @R_min80 @aniesbaswedan Pak Anies posting 11/12, final pildun 18/12..... Klo otaknya kepake sih pasti tau...</t>
  </si>
  <si>
    <t>channel endah min pak anies posting final pildun klo otaknya kepake sih pasti tau</t>
  </si>
  <si>
    <t>['channel', 'endah', 'min', 'pak', 'anies', 'posting', 'final', 'piala dunia', 'otaknya', 'kepake']</t>
  </si>
  <si>
    <t>Buatku desember ini roller coaster banget, kyk final pildun kemarin anjr wkwk</t>
  </si>
  <si>
    <t>buatku desember ini roller coaster banget kyk final pildun kemarin anjr wkwk</t>
  </si>
  <si>
    <t>['buatku', 'desember', 'roller', 'coaster', 'banget', 'seperti', 'final', 'piala dunia', 'kemarin', 'anjr']</t>
  </si>
  <si>
    <t>@idextratime Tp bener kok, final pildun mau di ulang.. Th 2026.</t>
  </si>
  <si>
    <t>bener kok final pildun mau ulang</t>
  </si>
  <si>
    <t>['benar', 'kok', 'final', 'piala dunia', 'mau', 'ulang']</t>
  </si>
  <si>
    <t>Ava ijo smnjak final pildun gak nongol , kalah judi kayanya</t>
  </si>
  <si>
    <t>ava ijo smnjak final pildun gak nongol kalah judi kayanya</t>
  </si>
  <si>
    <t>['ava', 'ijo', 'smnjak', 'final', 'piala dunia', 'nongol', 'kalah', 'judi', 'kayanya']</t>
  </si>
  <si>
    <t>@registaco Yakali pemain yang udah juara pildun main sundul-sundulan sama pemain yang bahkan belum pernah nyentuh final pildun ü§≠</t>
  </si>
  <si>
    <t>yakali pemain yang udah juara pildun main sundul sundulan sama pemain yang bahkan belum pernah nyentuh final pildun</t>
  </si>
  <si>
    <t>['yakali', 'pemain', 'udah', 'juara', 'piala dunia', 'main', 'sundul', 'sundulan', 'sama', 'pemain', 'bahkan', 'pernah', 'nyentuh', 'final', 'piala dunia']</t>
  </si>
  <si>
    <t>Pertandingan final PilDun 2022 kemarin emang seru banget ya, Sobat!  Yuk, cek keseruan Nonton Bareng Teroooss di Jakarta üôåüî•  #AktivitasTanpaBayas #InternetnyaIndonesia @IndiHome  https://t.co/2KHjERFSnD</t>
  </si>
  <si>
    <t>@DadanSudjana4 @idextratime Ulang dari Final Pildun 2014 gas cuy  https://t.co/W4jf9U5W8V</t>
  </si>
  <si>
    <t>ulang dari final pildun gas cuy</t>
  </si>
  <si>
    <t>['ulang', 'final', 'piala dunia', 'gas']</t>
  </si>
  <si>
    <t>@Lewandowskyyyy @Cristiano_time7 @Zkurniawan_ @idextratime wkwkw kocak emang negara 3 trofi pildun bisa"ny dirivalin ama negara yg lolos ke final aja belom pernahü§£ü§£</t>
  </si>
  <si>
    <t>time wkwkw kocak emang negara trofi pildun bisa dirivalin ama negara lolos final aja belom pernah</t>
  </si>
  <si>
    <t>['time', 'wkwkw', 'kocak', 'emang', 'negara', 'trofi', 'piala dunia', 'dirivalin', 'ama', 'negara', 'lolos', 'final', 'belom', 'pernah']</t>
  </si>
  <si>
    <t>@Cristiano_time7 @Zkurniawan_ @idextratime lah negara 3 trofi pildun mau dirivalin ama negara yg lolos ke final pildun aja kagak pernah?sehat lu dodog?</t>
  </si>
  <si>
    <t>time lah negara trofi pildun mau dirivalin ama negara lolos final pildun aja kagak pernah sehat dodog</t>
  </si>
  <si>
    <t>['time', 'lah', 'negara', 'trofi', 'piala dunia', 'mau', 'dirivalin', 'ama', 'negara', 'lolos', 'final', 'piala dunia', 'kagak', 'pernah', 'sehat', 'dodog']</t>
  </si>
  <si>
    <t>Otw mebalih final pildun indonesia vs timor leste ‚úàÔ∏è  https://t.co/xDwm9FClUU</t>
  </si>
  <si>
    <t>otw mebalih final pildun indonesia timor leste</t>
  </si>
  <si>
    <t>['on the way', 'mebalih', 'final', 'piala dunia', 'indonesia', 'timor', 'leste']</t>
  </si>
  <si>
    <t>@GOAL_ID antara cruyff atau maldini karena keduanya udah pernah sampe final pildun, kalo yg lain cuma mas-mas pemain bola biasa ajah</t>
  </si>
  <si>
    <t>antara cruyff atau maldini karena keduanya udah pernah sampe final pildun kalo lain cuma mas mas pemain bola biasa ajah</t>
  </si>
  <si>
    <t>['cruyff', 'maldini', 'keduanya', 'udah', 'pernah', 'sampai', 'final', 'piala dunia', 'cuma', 'mas', 'mas', 'pemain', 'bola', 'biasa', 'ajah']</t>
  </si>
  <si>
    <t>@utdfocusid @MailSport Pemain emyu yg gk dipanggil di pildun jg bnyk kyk martial, vdb malah martial lbh tragis.. setiap kli mau turnamen dia cidera  Shaw yg kakinya sampai patah bahkan dikatain sma pelatihnya sendiri bsa bangkit  Apalagi Inggris jg bejibu</t>
  </si>
  <si>
    <t>pemain emyu dipanggil pildun bnyk kyk martial vdb malah martial lbh tragis setiap kli mau turnamen dia cidera shaw kakinya sampai patah bahkan dikatain sma pelatihnya sendiri bsa bangkit apalagi inggris bejibu</t>
  </si>
  <si>
    <t>['pemain', 'emyu', 'dipanggil', 'piala dunia', 'bnyk', 'seperti', 'martial', 'vdb', 'malah', 'martial', 'lbh', 'tragis', 'kli', 'mau', 'turnamen', 'cidera', 'shaw', 'kakinya', 'patah', 'bahkan', 'dikatain', 'sma', 'pelatihnya', 'sendiri', 'bsa', 'bangkit', 'inggris', 'bejibu']</t>
  </si>
  <si>
    <t>Wednesday, First Love, final pildun Argentina vs Prancis</t>
  </si>
  <si>
    <t>wednesday first love final pildun argentina prancis</t>
  </si>
  <si>
    <t>['wednesday', 'first', 'love', 'final', 'piala dunia', 'argentina', 'prancis']</t>
  </si>
  <si>
    <t>@spideyifan @YudddSkieee29 @SiaranBolaLive Bangga lah, lebih sakit mana kalah adu penalti di final atau kalah 4-3 di 16 besar pildun 2018</t>
  </si>
  <si>
    <t>bangga lah lebih sakit mana kalah adu penalti final atau kalah besar pildun</t>
  </si>
  <si>
    <t>['bangga', 'lah', 'lebih', 'sakit', 'mana', 'kalah', 'adu', 'penalti', 'final', 'kalah', 'besar', 'piala dunia']</t>
  </si>
  <si>
    <t>Final Pildun 2022 Diulang? üò± Selebrasi Argentina Kelewatan! FA Prancis Murka üò± Fans Timnas Protes di GBK  https://t.co/hcPAZ5Ez2Y  #StartingEleven #BeritaBola #BeritaBolaTerkini #BeritaBolaTerbaru  https://t.co/hZqIU904jK</t>
  </si>
  <si>
    <t>final pildun diulang selebrasi argentina kelewatan prancis murka fans timnas protes gbk</t>
  </si>
  <si>
    <t>['final', 'piala dunia', 'diulang', 'selebrasi', 'argentina', 'kelewatan', 'prancis', 'murka', 'fans', 'timnas', 'protes', 'gbk']</t>
  </si>
  <si>
    <t>@idextratime Gk yakin sih itu fans prancis beneran, maruk banget habis menang pildun sebelum nya skarang ampe final malah minta ngulang</t>
  </si>
  <si>
    <t>yakin sih itu fans prancis beneran maruk banget habis menang pildun sebelum nya skarang ampe final malah minta ngulang</t>
  </si>
  <si>
    <t>['yakin', 'fans', 'prancis', 'beneran', 'maruk', 'banget', 'habis', 'menang', 'piala dunia', 'skarang', 'sampai', 'final', 'malah', 'minta', 'ngulang']</t>
  </si>
  <si>
    <t>@SiaranBolaLive ini dari kmaren ada aja masalah soal final pildun</t>
  </si>
  <si>
    <t>ini dari kmaren ada aja masalah soal final pildun</t>
  </si>
  <si>
    <t>['kmaren', 'masalah', 'soal', 'final', 'piala dunia']</t>
  </si>
  <si>
    <t>@bwi24jam Untung aku delok e final pildun, jadi ga paham</t>
  </si>
  <si>
    <t>untung aku delok final pildun jadi paham</t>
  </si>
  <si>
    <t>['untung', 'aku', 'delok', 'final', 'piala dunia', 'jadi', 'paham']</t>
  </si>
  <si>
    <t>@Nugrahaaji19 @Cocoklogi2012 @eyangideralam @MuchammadArifS2 @Persija_Jkt wkwkkw tolol org ngebuktiin apa yg lo omongin ujung2nya gapunya argumen sok2an nuduh buzzer wkwk tolol dah lo, ngomong di eropa gaada yg tergenang gw cari di final pildun 2018 terge</t>
  </si>
  <si>
    <t>jkt wkwkkw tolol org ngebuktiin apa omongin ujung nya gapunya argumen sok nuduh buzzer wkwk tolol dah ngomong eropa gaada tergenang cari final pildun terge</t>
  </si>
  <si>
    <t>['jkt', 'wkwkkw', 'tolol', 'org', 'ngebuktiin', 'apa', 'omongin', 'ujung', 'gapunya', 'argumen', 'sok', 'nuduh', 'buzzer', 'tolol', 'dah', 'ngomong', 'eropa', 'gaada', 'tergenang', 'cari', 'final', 'piala dunia', 'terge']</t>
  </si>
  <si>
    <t>Gak kerasa udah 6 hari yg lalu Pildun 2022 Qatar telah selesai. Exciting ü§© The Best Final World Cup Ever üëè‚ú® YOUR AFFIRMATION WORKS SO PERFECT, Thanks Admin ETI ‚ú®</t>
  </si>
  <si>
    <t>gak kerasa udah hari lalu pildun qatar telah selesai exciting the best final world cup ever your affirmation works perfect thanks admin eti</t>
  </si>
  <si>
    <t>['kerasa', 'udah', 'hari', 'lalu', 'piala dunia', 'qatar', 'selesai', 'exciting', 'the', 'best', 'final', 'world', 'cup', 'ever', 'your', 'affirmation', 'works', 'perfect', 'thanks', 'admin', 'eti']</t>
  </si>
  <si>
    <t>@fakhrinnaufal @YareY4r3Daze @idextratime @GFFN Itu juga bisa jadi pujian untuk mbappe bisa hatrick di final pildun tapi timnya kalah, jadi pake sticker mbappe nangis üòÖ</t>
  </si>
  <si>
    <t>itu juga bisa jadi pujian untuk mbappe bisa hatrick final pildun tapi timnya kalah jadi pake sticker mbappe nangis</t>
  </si>
  <si>
    <t>['jadi', 'pujian', 'mbappe', 'hatrick', 'final', 'piala dunia', 'timnya', 'kalah', 'jadi', 'pake', 'sticker', 'mbappe', 'nangis']</t>
  </si>
  <si>
    <t>@Nugrahaaji19 @Cocoklogi2012 @eyangideralam @MuchammadArifS2 @Persija_Jkt elu tolol muncrat2 itu udh tanda drainase penuh bola juga ga bakal lancar alirannya tolol, ilmu lo dikit tapi pd banget adu bacot cuma modal otak kosong, dikasih bukti vid etihad ep</t>
  </si>
  <si>
    <t>jkt elu tolol muncrat itu udh tanda drainase penuh bola juga bakal lancar alirannya tolol ilmu dikit tapi banget adu bacot cuma modal otak kosong dikasih bukti vid etihad</t>
  </si>
  <si>
    <t>['jkt', 'elu', 'tolol', 'muncrat', 'sudah', 'tanda', 'drainase', 'penuh', 'bola', 'bakal', 'lancar', 'alirannya', 'tolol', 'ilmu', 'dikit', 'banget', 'adu', 'bacot', 'cuma', 'modal', 'otak', 'kosong', 'dikasih', 'bukti', 'vid', 'etihad']</t>
  </si>
  <si>
    <t>@lapangan_hi7au @AlionelMessi_ @joshuanade ni final pildun 2018 ujannya deres baru ujan pas penyerahan trofi tapi udh becek tuh liat aja apalagi kmrn yg deres banget ga berenti2   https://t.co/gGW66MzBQY</t>
  </si>
  <si>
    <t>final pildun ujannya deres baru ujan pas penyerahan trofi tapi udh becek tuh liat aja apalagi kmrn deres banget berenti</t>
  </si>
  <si>
    <t>['final', 'piala dunia', 'ujannya', 'deres', 'baru', 'ujan', 'pas', 'penyerahan', 'trofi', 'sudah', 'becek', 'lihat', 'kmrn', 'deres', 'banget', 'berenti']</t>
  </si>
  <si>
    <t>@AndrikaBp @tukangtwittter @gagal_pintar @PasoepatiNet pada minim edukasi dikira drainase mampu nampung sederes apapun ujan kali ya pdhl ada batasnya, ini aja final pildun 2018 baru ujan pas penyerahan trofi tapi udh keliatan banjir itu lapangannya  https</t>
  </si>
  <si>
    <t>pintar pada minim edukasi dikira drainase mampu nampung sederes apapun ujan kali pdhl ada batasnya ini aja final pildun baru ujan pas penyerahan trofi tapi udh keliatan banjir itu lapangannya https</t>
  </si>
  <si>
    <t>['pintar', 'minim', 'edukasi', 'dikira', 'drainase', 'mampu', 'nampung', 'sederes', 'apapun', 'ujan', 'kali', 'pdhl', 'batasnya', 'final', 'piala dunia', 'baru', 'ujan', 'pas', 'penyerahan', 'trofi', 'sudah', 'keliatan', 'banjir', 'lapangannya', 'https']</t>
  </si>
  <si>
    <t>@morodotcom @idextratime @ferrancorreas Kmarin final pildun ketutup goblokny sama senior dembele</t>
  </si>
  <si>
    <t>kmarin final pildun ketutup goblokny sama senior dembele</t>
  </si>
  <si>
    <t>['kmarin', 'final', 'piala dunia', 'ketutup', 'goblokny', 'sama', 'senior', 'dembele']</t>
  </si>
  <si>
    <t>@idextratime Info dong web atau link yg bisa rewatch final pildun</t>
  </si>
  <si>
    <t>info dong web atau link bisa rewatch final pildun</t>
  </si>
  <si>
    <t>['info', 'dong', 'web', 'link', 'rewatch', 'final', 'piala dunia']</t>
  </si>
  <si>
    <t>@Nugrahaaji19 @Cocoklogi2012 @eyangideralam @MuchammadArifS2 @Persija_Jkt nih ya tolol final pildun 2018 prancis vs kroasia (di EROPA) baru ujan di akhir2 match tpi pas penyerahan trofi udh becek itu lapangan, makanya jgn tolol ngomong di eropa ga tergena</t>
  </si>
  <si>
    <t>jkt nih tolol final pildun prancis kroasia eropa baru ujan akhir match tpi pas penyerahan trofi udh becek itu lapangan makanya jgn tolol ngomong eropa tergena</t>
  </si>
  <si>
    <t>['jkt', 'tolol', 'final', 'piala dunia', 'prancis', 'kroasia', 'eropa', 'baru', 'ujan', 'akhir', 'match', 'tpi', 'pas', 'penyerahan', 'trofi', 'sudah', 'becek', 'lapangan', 'makanya', 'tolol', 'ngomong', 'eropa', 'tergena']</t>
  </si>
  <si>
    <t>mau final pildun diulang berapa kali juga tetep aja cr kaga akan juara</t>
  </si>
  <si>
    <t>mau final pildun diulang berapa kali juga tetep aja kaga akan juara</t>
  </si>
  <si>
    <t>['mau', 'final', 'piala dunia', 'diulang', 'berapa', 'kali', 'tetep', 'kaga', 'juara']</t>
  </si>
  <si>
    <t>@idextratime Final pildun tahun ini adalah Timnas FIFA vs prancis</t>
  </si>
  <si>
    <t>final pildun tahun ini adalah timnas fifa prancis</t>
  </si>
  <si>
    <t>['final', 'piala dunia', 'tahun', 'timnas', 'fifa', 'prancis']</t>
  </si>
  <si>
    <t>@GOAL_ID Kim naldo,gaot bagi bocil¬≤ Epep tapi gk pernah nyentuh final pildun Wkwkwk ü§£</t>
  </si>
  <si>
    <t>kim naldo gaot bagi bocil epep tapi pernah nyentuh final pildun wkwkwk</t>
  </si>
  <si>
    <t>['kim', 'naldo', 'gaot', 'bocil', 'epep', 'pernah', 'nyentuh', 'final', 'piala dunia', 'wkwkwk']</t>
  </si>
  <si>
    <t>anying ada org mirip nex carlos di final pildun gw liat ternyata beneran dia?</t>
  </si>
  <si>
    <t>anying ada org mirip nex carlos final pildun liat ternyata beneran dia</t>
  </si>
  <si>
    <t>['anying', 'org', 'mirip', 'nex', 'carlos', 'final', 'piala dunia', 'lihat', 'ternyata', 'beneran']</t>
  </si>
  <si>
    <t>@idextratime Halah baru juara dunia aja udh norak , timnas negara gue Yang berkali Kali masuk final aff aja biasa Aja Gak Ada pun Yang buat tato tato .. btw sebelum Argentina masuk pildun , negara gue timnas Asia pertama masuk pildun</t>
  </si>
  <si>
    <t>halah baru juara dunia aja udh norak timnas negara gue yang berkali kali masuk final aff aja biasa aja gak ada pun yang buat tato tato btw sebelum argentina masuk pildun negara gue timnas asia pertama masuk pildun</t>
  </si>
  <si>
    <t>['halah', 'baru', 'juara', 'dunia', 'sudah', 'norak', 'timnas', 'negara', 'gue', 'berkali', 'kali', 'masuk', 'final', 'aff', 'biasa', 'buat', 'tato', 'tato', 'by the way', 'argentina', 'masuk', 'piala dunia', 'negara', 'gue', 'timnas', 'asia', 'pertama', 'masuk', 'piala dunia']</t>
  </si>
  <si>
    <t>Random ngeyutub nex carlos dia nonton lgsg final di Qatar. Kayanya se-worthed2nya nonton bola langsung tuh final pildun kemarin ya. Nobar aja udah bangga bangetüòÇ</t>
  </si>
  <si>
    <t>random ngeyutub nex carlos dia nonton lgsg final qatar kayanya worthed nya nonton bola langsung tuh final pildun kemarin nobar aja udah bangga banget</t>
  </si>
  <si>
    <t>['random', 'ngeyutub', 'nex', 'carlos', 'nonton', 'lgsg', 'final', 'qatar', 'kayanya', 'worthed', 'nonton', 'bola', 'langsung', 'final', 'piala dunia', 'kemarin', 'nonton bareng', 'udah', 'bangga', 'banget']</t>
  </si>
  <si>
    <t>@rfym__ Eh udah pas nonton final pildun Adila sama Aliya main itu.</t>
  </si>
  <si>
    <t>udah pas nonton final pildun adila sama aliya main itu</t>
  </si>
  <si>
    <t>['udah', 'pas', 'nonton', 'final', 'piala dunia', 'adila', 'sama', 'aliya', 'main']</t>
  </si>
  <si>
    <t>@paghoonie @auuuliaf @starfess Dia kylan mbappe kak, anggota timnas perancis yg pas final pildun kemarin nyetak 3 gol sendirian</t>
  </si>
  <si>
    <t>dia kylan mbappe kak anggota timnas perancis pas final pildun kemarin nyetak gol sendirian</t>
  </si>
  <si>
    <t>['kylan', 'mbappe', 'kak', 'anggota', 'timnas', 'perancis', 'pas', 'final', 'piala dunia', 'kemarin', 'nyetak', 'gol', 'sendirian']</t>
  </si>
  <si>
    <t>GILA FINAL PILDUN KEMARIN SERU BANGET WOYY SEMANGAT MBAPPE  https://t.co/O9Fuv66OPU</t>
  </si>
  <si>
    <t>gila final pildun kemarin seru banget woyy semangat mbappe</t>
  </si>
  <si>
    <t>['gila', 'final', 'piala dunia', 'kemarin', 'seru', 'banget', 'woyy', 'semangat', 'mbappe']</t>
  </si>
  <si>
    <t>hadeh ni soal bikin gweh plesbek sma final pildun anjwir  https://t.co/tig1g9qB2f</t>
  </si>
  <si>
    <t>hadeh soal bikin gweh plesbek sma final pildun anjwir</t>
  </si>
  <si>
    <t>['hadeh', 'soal', 'gue', 'plesbek', 'sma', 'final', 'piala dunia', 'anjwir']</t>
  </si>
  <si>
    <t>@adamsdenaya @_alamsyahhh @idextratime @GFFN dari awal emang udah tengil, yakali bilang pendiam wkwkwkw liat pildun cuma final mungkin</t>
  </si>
  <si>
    <t>dari awal emang udah tengil yakali bilang pendiam wkwkwkw liat pildun cuma final mungkin</t>
  </si>
  <si>
    <t>['awal', 'emang', 'udah', 'tengil', 'yakali', 'pendiam', 'wkwkwkw', 'lihat', 'piala dunia', 'cuma', 'final', 'mungkin']</t>
  </si>
  <si>
    <t>@idextratime Pasti yg ttd yg rungkad waktu final pildun wkwkwk</t>
  </si>
  <si>
    <t>pasti ttd rungkad waktu final pildun wkwkwk</t>
  </si>
  <si>
    <t>['ttd', 'rungkad', 'waktu', 'final', 'piala dunia', 'wkwkwk']</t>
  </si>
  <si>
    <t>Pengen nyanyi2 tp suara masih abis gara2 final pildun :(</t>
  </si>
  <si>
    <t>pengen nyanyi suara masih abis gara final pildun</t>
  </si>
  <si>
    <t>['pengen', 'nyanyi', 'suara', 'abis', 'gara', 'final', 'piala dunia']</t>
  </si>
  <si>
    <t>Liat vlog nya nex karlos nonton final pildun di qatar, jiwa mengiri w makin menjadi2</t>
  </si>
  <si>
    <t>liat vlog nya nex karlos nonton final pildun qatar jiwa mengiri makin menjadi</t>
  </si>
  <si>
    <t>['lihat', 'vlog', 'nex', 'karlos', 'nonton', 'final', 'piala dunia', 'qatar', 'jiwa', 'mengiri', 'makin', 'menjadi']</t>
  </si>
  <si>
    <t>@numberrs_ @heydeww_ @idextratime liat videony ruang taktik bang, yg final pildun. biar pinter dikit</t>
  </si>
  <si>
    <t>liat videony ruang taktik bang final pildun biar pinter dikit</t>
  </si>
  <si>
    <t>['lihat', 'videony', 'ruang', 'taktik', 'bang', 'final', 'piala dunia', 'pinter', 'dikit']</t>
  </si>
  <si>
    <t>@yudatepung Ulian cak final pildun</t>
  </si>
  <si>
    <t>ulian cak final pildun</t>
  </si>
  <si>
    <t>['ulian', 'cak', 'final', 'piala dunia']</t>
  </si>
  <si>
    <t>Seruu bgtt cerita2 pildun sama ayukde kak erwin yg sempat terhenti karna gua balik bkl kan kemaren selama sebulan. Awal babak group nobar bareng pas ketemu lagi udah kelar final jadi banyak bgt bahan buat diceritain wkwkw</t>
  </si>
  <si>
    <t>seruu bgtt cerita pildun sama ayukde kak erwin sempat terhenti karna gua balik bkl kan kemaren selama sebulan awal babak group nobar bareng pas ketemu lagi udah kelar final jadi banyak bgt bahan buat diceritain wkwkw</t>
  </si>
  <si>
    <t>['seruu', 'bgtt', 'cerita', 'piala dunia', 'sama', 'ayukde', 'kak', 'erwin', 'sempat', 'terhenti', 'karna', 'gua', 'balik', 'bkl', 'kan', 'kemarin', 'selama', 'sebulan', 'awal', 'babak', 'group', 'nonton bareng', 'bareng', 'pas', 'ketemu', 'udah', 'kelar', 'final', 'jadi', 'banyak', 'banget', 'bahan', 'buat', 'diceritain', 'wkwkw']</t>
  </si>
  <si>
    <t>&lt;FreqDist with 35 samples and 35 outcomes&gt;</t>
  </si>
  <si>
    <t>@SerieA_Lawas Final euro kalah. Di penyisihan euro nations league Inggris juga kaga menang lawan Italia. Imbang ama kalah. Terus penyisihan grup pildun 2014 Inggris kalah juga. Insecure darimana ya? ü§£ü§£ü§£ü§£</t>
  </si>
  <si>
    <t>lawas final euro kalah penyisihan euro nations league inggris juga kaga menang lawan italia imbang ama kalah terus penyisihan grup pildun inggris kalah juga insecure darimana</t>
  </si>
  <si>
    <t>['lawas', 'final', 'euro', 'kalah', 'penyisihan', 'euro', 'nations', 'league', 'inggris', 'kaga', 'menang', 'lawan', 'italia', 'imbang', 'ama', 'kalah', 'terus', 'penyisihan', 'grup', 'piala dunia', 'inggris', 'kalah', 'insecure', 'darimana']</t>
  </si>
  <si>
    <t>@lazanoorca @SerieA_Lawas Ralat 2016 kayaknya ya ü§£ 2014 pildun saking banyaknya masuk final bukan sebagai peserta doang</t>
  </si>
  <si>
    <t>lawas ralat kayaknya pildun saking banyaknya masuk final bukan sebagai peserta doang</t>
  </si>
  <si>
    <t>['lawas', 'ralat', 'kayaknya', 'piala dunia', 'saking', 'banyaknya', 'masuk', 'final', 'bukan', 'peserta', 'doang']</t>
  </si>
  <si>
    <t>garagara fess beberapa kali dalam dua bulan ini share terkait pizza, akhirnya w beli juga pas final pildun. ini favoritku!! beef mushroom truffle(? ya gitu dah menunya) yang cheeseburst!!!  https://t.co/gqdSPnZzeQ</t>
  </si>
  <si>
    <t>garagara fess beberapa kali dalam dua bulan ini share terkait pizza akhirnya beli juga pas final pildun ini favoritku beef mushroom truffle gitu dah menunya yang cheeseburst</t>
  </si>
  <si>
    <t>['garagara', 'fess', 'beberapa', 'kali', 'bulan', 'share', 'terkait', 'pizza', 'akhirnya', 'beli', 'pas', 'final', 'piala dunia', 'favoritku', 'beef', 'mushroom', 'truffle', 'gitu', 'dah', 'menunya', 'cheeseburst']</t>
  </si>
  <si>
    <t>@ota_bibar2 Syg teamnas norwegia susah ikut putaran final pildun nya.</t>
  </si>
  <si>
    <t>bibar syg teamnas norwegia susah ikut putaran final pildun nya</t>
  </si>
  <si>
    <t>['bibar', 'syg', 'teamnas', 'norwegia', 'susah', 'ikut', 'putaran', 'final', 'piala dunia']</t>
  </si>
  <si>
    <t>@limp_bizquit Asli komo pas final pildun ü§©</t>
  </si>
  <si>
    <t>bizquit asli komo pas final pildun</t>
  </si>
  <si>
    <t>['bizquit', 'asli', 'komo', 'pas', 'final', 'piala dunia']</t>
  </si>
  <si>
    <t>@Yoimiyes_ @The_RedsIndo semua gol non-penalti di final pildun kemaren bener2 bukan blue lock banget soalnya hasil teamwork.</t>
  </si>
  <si>
    <t>redsindo semua gol non penalti final pildun kemaren bener bukan blue lock banget soalnya hasil teamwork</t>
  </si>
  <si>
    <t>['redsindo', 'semua', 'gol', 'non', 'penalti', 'final', 'piala dunia', 'kemarin', 'benar', 'bukan', 'blue', 'lock', 'banget', 'soalnya', 'hasil', 'teamwork']</t>
  </si>
  <si>
    <t>Udahlah, AFF gak usah ditonton. Juara pun juga gak ini ini banget mainnya. Kayak final Pildun kemarin. Timpang banget üòÇ</t>
  </si>
  <si>
    <t>udahlah aff gak usah ditonton juara pun juga gak ini ini banget mainnya kayak final pildun kemarin timpang banget</t>
  </si>
  <si>
    <t>['udahlah', 'aff', 'usah', 'ditonton', 'juara', 'banget', 'mainnya', 'seperti', 'final', 'piala dunia', 'kemarin', 'timpang', 'banget']</t>
  </si>
  <si>
    <t>@The_RedsIndo Standard final pildun kemarin masih kebawa di aff üò≠ alhasil gue misuh2 sendiri padahal udah level asean salah passing gini tuh.</t>
  </si>
  <si>
    <t>redsindo standard final pildun kemarin masih kebawa aff alhasil gue misuh sendiri padahal udah level asean salah passing gini tuh</t>
  </si>
  <si>
    <t>['redsindo', 'standard', 'final', 'piala dunia', 'kemarin', 'kebawa', 'aff', 'alhasil', 'gue', 'misuh', 'sendiri', 'padahal', 'udah', 'level', 'asean', 'salah', 'passing', 'gini']</t>
  </si>
  <si>
    <t>Selama nonton pildun, terutama pas final, selalu kebayang2 kokk kaya familiar ya sama kipernya prancis Lloris tp liat dimanaaaa. Udh ampe sercing gugel jg ga ketemu, jebul liat dia di channel ini makan korean bbq, ealah.  https://t.co/35pZ045Et0</t>
  </si>
  <si>
    <t>selama nonton pildun terutama pas final selalu kebayang kokk kaya familiar sama kipernya prancis lloris liat dimanaaaa udh ampe sercing gugel ketemu jebul liat dia channel ini makan korean bbq ealah</t>
  </si>
  <si>
    <t>['selama', 'nonton', 'piala dunia', 'terutama', 'pas', 'final', 'selalu', 'kebayang', 'kokk', 'kaya', 'familiar', 'sama', 'kipernya', 'prancis', 'lloris', 'lihat', 'dimanaaaa', 'sudah', 'sampai', 'sercing', 'gugel', 'ketemu', 'jebul', 'lihat', 'channel', 'makan', 'korean', 'bbq', 'ealah']</t>
  </si>
  <si>
    <t>Mata masih nyimpen keindahan match final pildun, terus tiba" liat match Indonesia terlalu kagok liatnya hahahaha</t>
  </si>
  <si>
    <t>mata masih nyimpen keindahan match final pildun terus tiba liat match indonesia terlalu kagok liatnya hahahaha</t>
  </si>
  <si>
    <t>['mata', 'nyimpen', 'keindahan', 'match', 'final', 'piala dunia', 'terus', 'tiba', 'lihat', 'match', 'indonesia', 'terlalu', 'kagok', 'liatnya', 'hahahaha']</t>
  </si>
  <si>
    <t>Deg2an nontonnya, kyk final pildun</t>
  </si>
  <si>
    <t>deg nontonnya kyk final pildun</t>
  </si>
  <si>
    <t>['deg', 'nontonnya', 'seperti', 'final', 'piala dunia']</t>
  </si>
  <si>
    <t>Setelah terakhir nonton final Pildun, trus skrg lgs nonton AFF, kek eww, ternyata sejelek ini sepakbola indo</t>
  </si>
  <si>
    <t>setelah terakhir nonton final pildun trus skrg lgs nonton aff kek eww ternyata sejelek ini sepakbola indo</t>
  </si>
  <si>
    <t>['terakhir', 'nonton', 'final', 'piala dunia', 'trus', 'skrg', 'lgs', 'nonton', 'aff', 'kek', 'eww', 'ternyata', 'sejelek', 'sepakbola', 'indo']</t>
  </si>
  <si>
    <t>Abis nonton final pildun langsung ke AFF yang gabisa passing üòÇ</t>
  </si>
  <si>
    <t>abis nonton final pildun langsung aff yang gabisa passing</t>
  </si>
  <si>
    <t>['abis', 'nonton', 'final', 'piala dunia', 'langsung', 'aff', 'gabisa', 'passing']</t>
  </si>
  <si>
    <t>@ordiinaryboyy @idextratime Nonton bola baru final pildun kemarin langsung komen seakan tau segalanya</t>
  </si>
  <si>
    <t>nonton bola baru final pildun kemarin langsung komen seakan tau segalanya</t>
  </si>
  <si>
    <t>['nonton', 'bola', 'baru', 'final', 'piala dunia', 'kemarin', 'langsung', 'komen', 'seakan', 'segalanya']</t>
  </si>
  <si>
    <t>@agungdw16 Pensiun dulu tahun 2022 semenjak final pildun faking sit</t>
  </si>
  <si>
    <t>pensiun dulu tahun semenjak final pildun faking sit</t>
  </si>
  <si>
    <t>['pensiun', 'dulu', 'tahun', 'semenjak', 'final', 'piala dunia', 'faking', 'sit']</t>
  </si>
  <si>
    <t>@MRafiAdrian1 @idextratime Emang, asli emosi gw memuncak liat kalimat dia, udah jelas2 WC HOLDER, malah nambahin prancis yg kalah di final pildunü§£ü§£ü§£</t>
  </si>
  <si>
    <t>emang asli emosi memuncak liat kalimat dia udah jelas holder malah nambahin prancis kalah final pildun</t>
  </si>
  <si>
    <t>['emang', 'asli', 'emosi', 'memuncak', 'lihat', 'kalimat', 'udah', 'jelas', 'holder', 'malah', 'nambahin', 'prancis', 'kalah', 'final', 'piala dunia']</t>
  </si>
  <si>
    <t>@LeebBae_ @user14162122112 @BahtiarKiki26 @ngakakbingits @azmeeex @idextratime ga dong, gue nonton bola baru pildun final. biar lu seneng aja üòâ</t>
  </si>
  <si>
    <t>dong gue nonton bola baru pildun final biar seneng aja</t>
  </si>
  <si>
    <t>['dong', 'gue', 'nonton', 'bola', 'baru', 'piala dunia', 'final', 'seneng']</t>
  </si>
  <si>
    <t>@gusokate @westenthu final pildun kemarin pasti dukung yang menang üò≠</t>
  </si>
  <si>
    <t>final pildun kemarin pasti dukung yang menang</t>
  </si>
  <si>
    <t>['final', 'piala dunia', 'kemarin', 'dukung', 'menang']</t>
  </si>
  <si>
    <t>@SiaranBolaLive Sebelom final pildun, udah gua dm ybs  https://t.co/gJEzlmjPoV</t>
  </si>
  <si>
    <t>sebelom final pildun udah gua ybs</t>
  </si>
  <si>
    <t>['sebelom', 'final', 'piala dunia', 'udah', 'gua', 'ybs']</t>
  </si>
  <si>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</si>
  <si>
    <t>diskusi dgn jurnalis korea selatan bertugas pildun kemarin gimana mereka melihat piala aff publik korea tertuju pelatih shin tae yong park hang seo kim pan gon sbs menyiarkan laga fase grup final teaser korsel memasarkan coach tersebut panas</t>
  </si>
  <si>
    <t>['diskusi', 'jurnalis', 'korea', 'selatan', 'bertugas', 'piala dunia', 'kemarin', 'gimana', 'melihat', 'piala', 'aff', 'publik', 'korea', 'tertuju', 'pelatih', 'shin', 'tae', 'yong', 'park', 'hang', 'seo', 'kim', 'pan', 'gon', 'sbs', 'menyiarkan', 'laga', 'fase', 'grup', 'final', 'teaser', 'korsel', 'memasarkan', 'coach', 'tersebut', 'panas']</t>
  </si>
  <si>
    <t>@mfathin10 @zharbriel @FaktaSepakbola Padahal perlakuan Qatar ke juara pildun bagus banget, udah kayak dianggap raja, tuan rumah pildun sebelumnya apakah Ngarak juara dunia setelah final??</t>
  </si>
  <si>
    <t>padahal perlakuan qatar juara pildun bagus banget udah kayak dianggap raja tuan rumah pildun sebelumnya apakah ngarak juara dunia setelah final</t>
  </si>
  <si>
    <t>['padahal', 'perlakuan', 'qatar', 'juara', 'piala dunia', 'bagus', 'banget', 'udah', 'seperti', 'dianggap', 'raja', 'tuan', 'rumah', 'piala dunia', 'sebelumnya', 'ngarak', 'juara', 'dunia', 'final']</t>
  </si>
  <si>
    <t>darwin nunez ngelawak lngsung trending pdhl mirip mirip sm apa yg dilakuin kolo muani pas final pildun lalu wkwkw emg klo sekali udh trkenal trus ngelawak bakal ditroll abis abisan tiap ngelawaküò≠üò≠üò≠ü§£ü§£ü§£</t>
  </si>
  <si>
    <t>darwin nunez ngelawak lngsung trending pdhl mirip mirip apa dilakuin kolo muani pas final pildun lalu wkwkw emg klo sekali udh trkenal trus ngelawak bakal ditroll abis abisan tiap ngelawak</t>
  </si>
  <si>
    <t>['darwin', 'nunez', 'ngelawak', 'lngsung', 'trending', 'pdhl', 'mirip', 'mirip', 'apa', 'dilakuin', 'kolo', 'muani', 'pas', 'final', 'piala dunia', 'lalu', 'wkwkw', 'memang', 'sekali', 'sudah', 'trkenal', 'trus', 'ngelawak', 'bakal', 'ditroll', 'abis', 'abisan', 'tiap', 'ngelawak']</t>
  </si>
  <si>
    <t>@Wiratam1 @HideTride @Rysolesss @idextratime dan fans nya bangga tiap final pildun ada pemain inter, padahal hanya jadi beban wkwkwk</t>
  </si>
  <si>
    <t>dan fans nya bangga tiap final pildun ada pemain inter padahal hanya jadi beban wkwkwk</t>
  </si>
  <si>
    <t>['fans', 'bangga', 'tiap', 'final', 'piala dunia', 'pemain', 'inter', 'padahal', 'jadi', 'beban', 'wkwkwk']</t>
  </si>
  <si>
    <t>padahal itu photoshoot nya sebelum final pildun wkwk untung eunchae pake jersey argentinaü§£</t>
  </si>
  <si>
    <t>padahal itu photoshoot nya sebelum final pildun wkwk untung eunchae pake jersey argentina</t>
  </si>
  <si>
    <t>['padahal', 'photoshoot', 'final', 'piala dunia', 'untung', 'eunchae', 'pake', 'jersey', 'argentina']</t>
  </si>
  <si>
    <t>Saat Final Pildun, Pesan Terkirim di WhatsApp Rekor 25 Juta Pesan/Detik  https://t.co/Y22MsPp1h6</t>
  </si>
  <si>
    <t>saat final pildun pesan terkirim whatsapp rekor juta pesan detik</t>
  </si>
  <si>
    <t>['final', 'piala dunia', 'pesan', 'terkirim', 'whatsapp', 'rekor', 'juta', 'pesan', 'detik']</t>
  </si>
  <si>
    <t>@RedhaaJR Wkwkwk kok ya gabisa bedain laga timnas dan laga klub ü§£ü§£ü§£ yg main di final pildun kan Argentina bukan Inter Milan üò≠üò≠üò≠</t>
  </si>
  <si>
    <t>wkwkwk kok gabisa bedain laga timnas dan laga klub main final pildun kan argentina bukan inter milan</t>
  </si>
  <si>
    <t>['wkwkwk', 'kok', 'gabisa', 'bedain', 'laga', 'timnas', 'laga', 'klub', 'main', 'final', 'piala dunia', 'kan', 'argentina', 'bukan', 'inter', 'milan']</t>
  </si>
  <si>
    <t>City vs Liverpool udah kaya final Pildun, saling bales.</t>
  </si>
  <si>
    <t>city liverpool udah kaya final pildun saling bales</t>
  </si>
  <si>
    <t>['city', 'liverpool', 'udah', 'kaya', 'final', 'piala dunia', 'saling', 'bales']</t>
  </si>
  <si>
    <t>@MiskinTV_ Carabao rasa final pildun ni min</t>
  </si>
  <si>
    <t>carabao rasa final pildun min</t>
  </si>
  <si>
    <t>['carabao', 'rasa', 'final', 'piala dunia', 'min']</t>
  </si>
  <si>
    <t>Final pildun lanjut kadieu..  https://t.co/t4tzfgepws</t>
  </si>
  <si>
    <t>final pildun lanjut kadieu</t>
  </si>
  <si>
    <t>['final', 'piala dunia', 'lanjut', 'kadieu']</t>
  </si>
  <si>
    <t>@SiaranBolaLive Saya baru tahu setelah nonton final bola Pildun 2022, ternyata negara Prancis adanya di benua Afrika</t>
  </si>
  <si>
    <t>saya baru tahu setelah nonton final bola pildun ternyata negara prancis adanya benua afrika</t>
  </si>
  <si>
    <t>['baru', 'tahu', 'nonton', 'final', 'bola', 'piala dunia', 'ternyata', 'negara', 'prancis', 'adanya', 'benua', 'afrika']</t>
  </si>
  <si>
    <t>anjir terharu cok ngeliat vlognya nex carlos ntn final pildun lngsng , ekspresinya mewakilin bgt sebagai fans messi bisa ntn lngsngüò≠</t>
  </si>
  <si>
    <t>anjir terharu cok ngeliat vlognya nex carlos ntn final pildun lngsng ekspresinya mewakilin bgt sebagai fans messi bisa ntn lngsng</t>
  </si>
  <si>
    <t>['anjir', 'terharu', 'cok', 'ngeliat', 'vlognya', 'nex', 'carlos', 'ntn', 'final', 'piala dunia', 'lngsng', 'ekspresinya', 'mewakilin', 'banget', 'fans', 'messi', 'ntn', 'lngsng']</t>
  </si>
  <si>
    <t>@idextratime sebelum interview gue dukung portugal. sehabis interview gue langsung dukung argentina. pemain yg ngalahin emyu 2x di final ucl lebih layak jadi kampiun pildun daripada pemain problematik dan egois yang menyerang klubnya sendiri yg pernah mem</t>
  </si>
  <si>
    <t>sebelum interview gue dukung portugal sehabis interview gue langsung dukung argentina pemain ngalahin emyu final ucl lebih layak jadi kampiun pildun daripada pemain problematik dan egois yang menyerang klubnya sendiri pernah mem</t>
  </si>
  <si>
    <t>['interview', 'gue', 'dukung', 'portugal', 'sehabis', 'interview', 'gue', 'langsung', 'dukung', 'argentina', 'pemain', 'ngalahin', 'emyu', 'final', 'ucl', 'lebih', 'layak', 'jadi', 'kampiun', 'piala dunia', 'pemain', 'problematik', 'egois', 'menyerang', 'klubnya', 'sendiri', 'pernah', 'mem']</t>
  </si>
  <si>
    <t>update kehidupan 2 MAU SOMBONGGG!! kemarin pas final pildun aku nebak matchnya sampe ET dan ada adu penalti, trs yg menang argen. yaps btl btl, ni analisis tingkat dewakuku valid dan akurat 100% [bangga bingitz]</t>
  </si>
  <si>
    <t>update kehidupan mau sombonggg kemarin pas final pildun aku nebak matchnya sampe dan ada adu penalti trs menang argen yaps btl btl analisis tingkat dewakuku valid dan akurat bangga bingitz</t>
  </si>
  <si>
    <t>['update', 'kehidupan', 'mau', 'sombonggg', 'kemarin', 'pas', 'final', 'piala dunia', 'aku', 'nebak', 'matchnya', 'sampai', 'adu', 'penalti', 'terus', 'menang', 'argen', 'yaps', 'btl', 'btl', 'analisis', 'tingkat', 'dewakuku', 'valid', 'akurat', 'bangga', 'bingitz']</t>
  </si>
  <si>
    <t>Lah gw baru sadar nama bola buat final Pildun namanya Al HilmüòÇ</t>
  </si>
  <si>
    <t>lah baru sadar nama bola buat final pildun namanya hilm</t>
  </si>
  <si>
    <t>['lah', 'baru', 'sadar', 'nama', 'bola', 'buat', 'final', 'piala dunia', 'namanya', 'hilm']</t>
  </si>
  <si>
    <t>Sebulan penuh pildun di Qatar ga ada kerusuhan, padahal biasanya jangankan sebulan, final CL yg cuma sehari aja bisa rusuh. Kira2 apa penyebabnya?  Dugaan kuat gw: KHAMR a.k.a. ALKOHOL</t>
  </si>
  <si>
    <t>sebulan penuh pildun qatar ada kerusuhan padahal biasanya jangankan sebulan final cuma sehari aja bisa rusuh kira apa penyebabnya dugaan kuat khamr alkohol</t>
  </si>
  <si>
    <t>['sebulan', 'penuh', 'piala dunia', 'qatar', 'kerusuhan', 'padahal', 'biasanya', 'jangankan', 'sebulan', 'final', 'cuma', 'sehari', 'rusuh', 'kira', 'apa', 'penyebabnya', 'dugaan', 'kuat', 'khamr', 'alkohol']</t>
  </si>
  <si>
    <t>Waktu final pildun dia team argentina. Suka bilang "iyah" anaknya random, tiada hari tanpa ngebucinin bias-biasnya, orang pertama yang khawatir kalau gua kenapa-kenapa. Ga jarang manggil gua "Bro/bang", pocket size, galak tapi gemes juga. Segini dulu aja.</t>
  </si>
  <si>
    <t>waktu final pildun dia team argentina suka bilang iyah anaknya random tiada hari tanpa ngebucinin bias biasnya orang pertama yang khawatir kalau gua kenapa kenapa jarang manggil gua bro bang pocket size galak tapi gemes juga segini dulu aja</t>
  </si>
  <si>
    <t>['waktu', 'final', 'piala dunia', 'team', 'argentina', 'suka', 'iyah', 'anaknya', 'random', 'tiada', 'hari', 'ngebucinin', 'bias', 'biasnya', 'orang', 'pertama', 'khawatir', 'kalau', 'gua', 'jarang', 'manggil', 'gua', 'bro', 'bang', 'pocket', 'size', 'galak', 'gemes', 'segini', 'dulu']</t>
  </si>
  <si>
    <t>@idextratime Kita harus buat voting rematch final pildun</t>
  </si>
  <si>
    <t>kita harus buat voting rematch final pildun</t>
  </si>
  <si>
    <t>['buat', 'voting', 'rematch', 'final', 'piala dunia']</t>
  </si>
  <si>
    <t>Creativity final 3rd bruno fernandes keluar lgi sejak pildun kemarin, bangkit emyu nih yuks</t>
  </si>
  <si>
    <t>creativity final bruno fernandes keluar lgi sejak pildun kemarin bangkit emyu nih yuks</t>
  </si>
  <si>
    <t>['creativity', 'final', 'bruno', 'fernandes', 'keluar', 'lgi', 'sejak', 'piala dunia', 'kemarin', 'bangkit', 'emyu', 'yuks']</t>
  </si>
  <si>
    <t>gokil sih blue lock gue nontonnya nahan nafas kayak nonton final pildun kemaren ü§°</t>
  </si>
  <si>
    <t>gokil sih blue lock gue nontonnya nahan nafas kayak nonton final pildun kemaren</t>
  </si>
  <si>
    <t>['gila', 'blue', 'lock', 'gue', 'nontonnya', 'nahan', 'nafas', 'seperti', 'nonton', 'final', 'piala dunia', 'kemarin']</t>
  </si>
  <si>
    <t>@SepertiSalju @Alkatirii_9 @eevnxxxxxx @Thoriq_Udinson @Gdmn77 @idextratime klo di pildun kemaren, pas closing ceremony, yg bawa trophy pildun kan casillas, soalnya prancis masuk final sama argentina. nah konteksnya disini gelar yang dibawa tuh asli pas "</t>
  </si>
  <si>
    <t>udinson klo pildun kemaren pas closing ceremony bawa trophy pildun kan casillas soalnya prancis masuk final sama argentina nah konteksnya disini gelar yang dibawa tuh asli pas</t>
  </si>
  <si>
    <t>['udinson', 'piala dunia', 'kemarin', 'pas', 'closing', 'ceremony', 'bawa', 'trophy', 'piala dunia', 'kan', 'casillas', 'soalnya', 'prancis', 'masuk', 'final', 'sama', 'argentina', 'nah', 'konteksnya', 'disini', 'gelar', 'dibawa', 'asli', 'pas']</t>
  </si>
  <si>
    <t>Karena kebawa final pildun kemaren jadi kerasa makin seru aja. üòÖ</t>
  </si>
  <si>
    <t>karena kebawa final pildun kemaren jadi kerasa makin seru aja</t>
  </si>
  <si>
    <t>['kebawa', 'final', 'piala dunia', 'kemarin', 'jadi', 'kerasa', 'makin', 'seru']</t>
  </si>
  <si>
    <t>@sogoodbyeybr @idextratime Gak usah bilang goat goat. Masuk final pildun aja dulu coba, mentok semifinal doang itupun 16 tahun lalu</t>
  </si>
  <si>
    <t>gak usah bilang goat goat masuk final pildun aja dulu coba mentok semifinal doang itupun tahun lalu</t>
  </si>
  <si>
    <t>['usah', 'goat', 'goat', 'masuk', 'final', 'piala dunia', 'dulu', 'coba', 'mentok', 'semifinal', 'doang', 'itupun', 'tahun', 'lalu']</t>
  </si>
  <si>
    <t>info nobar final pildun</t>
  </si>
  <si>
    <t>['info', 'nonton bareng', 'final', 'piala dunia']</t>
  </si>
  <si>
    <t>@zsazsadwitasari Tapi nonton final pildun tetap di johor wkwkwk</t>
  </si>
  <si>
    <t>tapi nonton final pildun tetap johor wkwkwk</t>
  </si>
  <si>
    <t>['nonton', 'final', 'piala dunia', 'tetap', 'johor', 'wkwkwk']</t>
  </si>
  <si>
    <t>@indocringe_ kemaren yg lain pada nungguin final pildun, gua nunggu update an epa reborn richü§ò</t>
  </si>
  <si>
    <t>kemaren lain pada nungguin final pildun gua nunggu update epa reborn rich</t>
  </si>
  <si>
    <t>['kemarin', 'nungguin', 'final', 'piala dunia', 'gua', 'nunggu', 'update', 'epa', 'reborn', 'rich']</t>
  </si>
  <si>
    <t>@Info_Ronaldo7 @idextratime @ThePopFoot itu gelar professor dr tapi kok bodoh? main di final pildun aja ga pernah kok bisa 100%? maradona no 9?</t>
  </si>
  <si>
    <t>ronaldo itu gelar professor tapi kok bodoh main final pildun aja pernah kok bisa maradona</t>
  </si>
  <si>
    <t>['ronaldo', 'gelar', 'professor', 'kok', 'bodoh', 'main', 'final', 'piala dunia', 'pernah', 'kok', 'maradona']</t>
  </si>
  <si>
    <t>Tapi Maroko bisa sampe Semi Final Pildun kok  Eh ngntot, itu Maroko pemain nya berkelas semua, Hakim Ziyech, hakimi, Bono, Amrabat, dll itu kelas Eropa, makanya masih bisa imbangin, lah indo liga dagelan rata2, yg passing aja harus di ajarin sama STY. AFF dulu baru</t>
  </si>
  <si>
    <t>tapi maroko bisa sampe semi final pildun kok ngntot itu maroko pemain nya berkelas semua hakim ziyech hakimi bono amrabat dll itu kelas eropa makanya masih bisa imbangin lah indo liga dagelan rata passing aja harus ajarin sama sty aff dulu baru</t>
  </si>
  <si>
    <t>['maroko', 'sampai', 'semi', 'final', 'piala dunia', 'kok', 'ngntot', 'maroko', 'pemain', 'berkelas', 'semua', 'hakim', 'ziyech', 'hakimi', 'bono', 'amrabat', 'kelas', 'eropa', 'makanya', 'imbangin', 'lah', 'indo', 'liga', 'dagelan', 'rata', 'passing', 'ajarin', 'sama', 'sty', 'aff', 'dulu', 'baru']</t>
  </si>
  <si>
    <t>@GOAL_ID wah pelecehan ini, Raja Muda Mbappe yg nyetak hattrick di final Pildun kemarin ga masuk listüò≠</t>
  </si>
  <si>
    <t>wah pelecehan ini raja muda mbappe nyetak hattrick final pildun kemarin masuk list</t>
  </si>
  <si>
    <t>['wah', 'pelecehan', 'raja', 'muda', 'mbappe', 'nyetak', 'hattrick', 'final', 'piala dunia', 'kemarin', 'masuk', 'list']</t>
  </si>
  <si>
    <t>@wonuotai haha itu foto real kemarin abis final pildun gue samperin di locker room buat selametin dia ü•∫</t>
  </si>
  <si>
    <t>haha itu foto real kemarin abis final pildun gue samperin locker room buat selametin dia</t>
  </si>
  <si>
    <t>['haha', 'foto', 'real', 'kemarin', 'abis', 'final', 'piala dunia', 'gue', 'samperin', 'locker', 'room', 'buat', 'selametin']</t>
  </si>
  <si>
    <t>Jadi pengen liat final pildun lagi.  Pengen liat cuplikan lloris tepis tendangan voley siapakah tu lupa</t>
  </si>
  <si>
    <t>jadi pengen liat final pildun lagi pengen liat cuplikan lloris tepis tendangan voley siapakah lupa</t>
  </si>
  <si>
    <t>['jadi', 'pengen', 'lihat', 'final', 'piala dunia', 'pengen', 'lihat', 'cuplikan', 'lloris', 'tepis', 'tendangan', 'voley', 'siapakah', 'lupa']</t>
  </si>
  <si>
    <t>Nonton babak final Pildun dengan Halo+ langganan Vidio dapat kuota hingga 150 GB #GetYourHaloPlus</t>
  </si>
  <si>
    <t>nonton babak final pildun dengan halo langganan vidio dapat kuota hingga</t>
  </si>
  <si>
    <t>['nonton', 'babak', 'final', 'piala dunia', 'halo', 'langganan', 'vidio', 'kuota', 'hingga']</t>
  </si>
  <si>
    <t>@Askrlfess Lah gue pas final pildun kmrin tidur jam tgh 3 bangun jam 6 wkwk, gada tidur siang pula :')</t>
  </si>
  <si>
    <t>lah gue pas final pildun kmrin tidur jam tgh bangun jam wkwk gada tidur siang pula</t>
  </si>
  <si>
    <t>['lah', 'gue', 'pas', 'final', 'piala dunia', 'kmrin', 'tidur', 'jam', 'tgh', 'bangun', 'jam', 'gada', 'tidur', 'siang']</t>
  </si>
  <si>
    <t>@podcastretropus Mbappe pernah juara pildun,dapet golden,top scorer,ngebobol gawang dia 4x di final aja masih bisa2nya martinez kelakuan gitu apalagi mbappe gapunya prestasi apa2 habis dah itu bulan2an</t>
  </si>
  <si>
    <t>mbappe pernah juara pildun dapet golden top scorer ngebobol gawang dia final aja masih bisa nya martinez kelakuan gitu apalagi mbappe gapunya prestasi apa habis dah itu bulan</t>
  </si>
  <si>
    <t>['mbappe', 'pernah', 'juara', 'piala dunia', 'dapat', 'golden', 'top', 'scorer', 'ngebobol', 'gawang', 'final', 'martinez', 'kelakuan', 'gitu', 'mbappe', 'gapunya', 'prestasi', 'apa', 'habis', 'dah', 'bulan']</t>
  </si>
  <si>
    <t>@banyakmauunyaa @indocringe_ Gua kemarin nggak nonton final pildun juga STB gua ngebul gegara konslet</t>
  </si>
  <si>
    <t>gua kemarin nggak nonton final pildun juga stb gua ngebul gegara konslet</t>
  </si>
  <si>
    <t>['gua', 'kemarin', 'nonton', 'final', 'piala dunia', 'stb', 'gua', 'ngebul', 'gegara', 'konslet']</t>
  </si>
  <si>
    <t>@rajief_JR @idextratime Iya mas bro cuma sebegitu yakinnya karna dari awal pildun setiap pelanggaran penalti semua wasit pasti ngeliat var yg ini ko sebegitu yakinnya ini final lho bukan fase grup, ya ini sudut padang gua, ya kalo gua salah i'an sorry ‚úå</t>
  </si>
  <si>
    <t>iya mas bro cuma sebegitu yakinnya karna dari awal pildun setiap pelanggaran penalti semua wasit pasti ngeliat var ini sebegitu yakinnya ini final lho bukan fase grup ini sudut padang gua kalo gua salah sorry</t>
  </si>
  <si>
    <t>['iya', 'mas', 'bro', 'cuma', 'sebegitu', 'yakinnya', 'karna', 'awal', 'piala dunia', 'pelanggaran', 'penalti', 'semua', 'wasit', 'ngeliat', 'var', 'sebegitu', 'yakinnya', 'final', 'lho', 'bukan', 'fase', 'grup', 'sudut', 'padang', 'gua', 'gua', 'salah', 'sorry']</t>
  </si>
  <si>
    <t>@stadiuvm @Info_Ronaldo7 @Cristiano_time7 @idextratime Sakit hati liat penaldo 5x ikut pildun engga pernah sama sekali ke final.. dan sekarang messi juara pildun makin sakit hati makin iri makin dengki</t>
  </si>
  <si>
    <t>ronaldo time sakit hati liat penaldo ikut pildun engga pernah sama sekali final dan sekarang messi juara pildun makin sakit hati makin iri makin dengki</t>
  </si>
  <si>
    <t>['ronaldo', 'time', 'sakit', 'hati', 'lihat', 'penaldo', 'ikut', 'piala dunia', 'tidak', 'pernah', 'sama', 'sekali', 'final', 'sekarang', 'messi', 'juara', 'piala dunia', 'makin', 'sakit', 'hati', 'makin', 'iri', 'makin', 'dengki']</t>
  </si>
  <si>
    <t xml:space="preserve">@Info_Ronaldo7 @rahpequeno @Cristiano_time7 @idextratime terburuk karna ronaldo dan portugal masuk semi final aja kagak, gosah banyak bacot idolamu ampas ya ampas aja. lu kira perjuangan argentina gampang sampai bisa menang pildun? gue tanya buktinya apa </t>
  </si>
  <si>
    <t>ronaldo time terburuk karna ronaldo dan portugal masuk semi final aja kagak gosah banyak bacot idolamu ampas ampas aja kira perjuangan argentina gampang sampai bisa menang pildun gue tanya buktinya apa</t>
  </si>
  <si>
    <t>['ronaldo', 'time', 'terburuk', 'karna', 'ronaldo', 'portugal', 'masuk', 'semi', 'final', 'kagak', 'gosah', 'banyak', 'bacot', 'idolamu', 'ampas', 'ampas', 'kira', 'perjuangan', 'argentina', 'gampang', 'menang', 'piala dunia', 'gue', 'tanya', 'buktinya', 'apa']</t>
  </si>
  <si>
    <t>@AyoooVaksin @sinauilmu @podcastretropus Kalau ketawa menurutku wajar rival final pildun tapi kalo messi yg diposisi pegang boneka itu yg gak respect menurut gue</t>
  </si>
  <si>
    <t>kalau ketawa menurutku wajar rival final pildun tapi kalo messi diposisi pegang boneka itu gak respect menurut gue</t>
  </si>
  <si>
    <t>['kalau', 'ketawa', 'menurutku', 'wajar', 'rival', 'final', 'piala dunia', 'messi', 'diposisi', 'pegang', 'boneka', 'respect', 'gue']</t>
  </si>
  <si>
    <t>@ganjarpranowo Ternyata final pildun membawa perpecahan antar umat kosan sebelahü§≠btw itu yg ngamok fans dodo, yg menang siapa yg panas siapa ü§≠ü§≠, saya berharap jangan jadi fans yg tolol ya gaes  https://t.co/X9wsZgyR8N</t>
  </si>
  <si>
    <t>ternyata final pildun membawa perpecahan antar umat kosan sebelah btw itu ngamok fans dodo menang siapa panas siapa saya berharap jangan jadi fans tolol gaes</t>
  </si>
  <si>
    <t>['ternyata', 'final', 'piala dunia', 'membawa', 'perpecahan', 'antar', 'umat', 'kosan', 'sebelah', 'by the way', 'ngamok', 'fans', 'dodo', 'menang', 'siapa', 'panas', 'siapa', 'berharap', 'jangan', 'jadi', 'fans', 'tolol', 'guys']</t>
  </si>
  <si>
    <t>@zenrs Sampe sampe di kasih obat mencret pas final pildun...Kayaknya ga ada yg ngasih seperti itu  ke Messi di era modern</t>
  </si>
  <si>
    <t>sampe sampe kasih obat mencret pas final pildun kayaknya ada ngasih seperti itu messi era modern</t>
  </si>
  <si>
    <t>['sampai', 'sampai', 'kasih', 'obat', 'mencret', 'pas', 'final', 'piala dunia', 'kayaknya', 'ngasih', 'messi', 'era', 'modern']</t>
  </si>
  <si>
    <t>@hourly_absurd Ini kah yg real, jd konspirasi final pildun</t>
  </si>
  <si>
    <t>absurd ini kah real konspirasi final pildun</t>
  </si>
  <si>
    <t>['absurd', 'real', 'konspirasi', 'final', 'piala dunia']</t>
  </si>
  <si>
    <t>Ini MU lolos quarter-final tapi kok ndak selebrasi kayak tim-tim di pildun yaüòÖüòÖ</t>
  </si>
  <si>
    <t>ini lolos quarter final tapi kok ndak selebrasi kayak tim tim pildun</t>
  </si>
  <si>
    <t>['lolos', 'quarter', 'final', 'kok', 'ndak', 'selebrasi', 'seperti', 'tim', 'tim', 'piala dunia']</t>
  </si>
  <si>
    <t>@idextratime Nonton ulang final pildun 2022 Masi ga percaya Messi angkat telor, eh Piala</t>
  </si>
  <si>
    <t>nonton ulang final pildun masi percaya messi angkat telor piala</t>
  </si>
  <si>
    <t>['nonton', 'ulang', 'final', 'piala dunia', 'masi', 'percaya', 'messi', 'angkat', 'telor', 'piala']</t>
  </si>
  <si>
    <t>@idextratime @A_ZeeJKT48 Final pildun jam berapa bang?</t>
  </si>
  <si>
    <t>zeejkt final pildun jam berapa bang</t>
  </si>
  <si>
    <t>['zeejkt', 'final', 'piala dunia', 'jam', 'berapa', 'bang']</t>
  </si>
  <si>
    <t>@idextratime Bener min pildun kemarin settingan,harusnya final pildun itu portugal vs real madrid</t>
  </si>
  <si>
    <t>bener min pildun kemarin settingan harusnya final pildun itu portugal real madrid</t>
  </si>
  <si>
    <t>['benar', 'min', 'piala dunia', 'kemarin', 'settingan', 'harusnya', 'final', 'piala dunia', 'portugal', 'real', 'madrid']</t>
  </si>
  <si>
    <t>anj baru nyadar konate kalah final ucl ama pildun sm kyk lovren wkwkwkw</t>
  </si>
  <si>
    <t>anj baru nyadar konate kalah final ucl ama pildun kyk lovren wkwkwkw</t>
  </si>
  <si>
    <t>['anj', 'baru', 'nyadar', 'konate', 'kalah', 'final', 'ucl', 'ama', 'piala dunia', 'seperti', 'lovren', 'wkwkwkw']</t>
  </si>
  <si>
    <t>Ni pinalti mah grgr kemarin nonton final pildun trus si bapak kekeuh dari awal mau pinalti  https://t.co/q36PxlOLGn</t>
  </si>
  <si>
    <t>pinalti mah grgr kemarin nonton final pildun trus bapak kekeuh dari awal mau pinalti</t>
  </si>
  <si>
    <t>['penalti', 'mah', 'grgr', 'kemarin', 'nonton', 'final', 'piala dunia', 'trus', 'bapak', 'kekeuh', 'awal', 'mau', 'penalti']</t>
  </si>
  <si>
    <t>dari 2006 tim yang didukung pas final pildun selalu menang. 4 taun lagi all in apa ya</t>
  </si>
  <si>
    <t>dari tim yang didukung pas final pildun selalu menang taun lagi all apa</t>
  </si>
  <si>
    <t>['tim', 'didukung', 'pas', 'final', 'piala dunia', 'selalu', 'menang', 'taun', 'all', 'apa']</t>
  </si>
  <si>
    <t>@Rianhidayat4869 @The_RedsIndo Pdhl peran enzo pildun kmrn kentara bgt, apalagi diSF sama final bisa matiin modric sama grizi</t>
  </si>
  <si>
    <t>redsindo pdhl peran enzo pildun kmrn kentara bgt apalagi disf sama final bisa matiin modric sama grizi</t>
  </si>
  <si>
    <t>['redsindo', 'pdhl', 'peran', 'enzo', 'piala dunia', 'kmrn', 'kentara', 'banget', 'disf', 'sama', 'final', 'matiin', 'modric', 'sama', 'grizi']</t>
  </si>
  <si>
    <t>@antolele Mesti nonton final pildun wkwje</t>
  </si>
  <si>
    <t>mesti nonton final pildun wkwje</t>
  </si>
  <si>
    <t>['mesti', 'nonton', 'final', 'piala dunia', 'wkwje']</t>
  </si>
  <si>
    <t>@dounutec @convomf Itu anak Enhypen, nah pas final pildun kemarin, yang dua atas dukung argentina, nah yang dua bawah dukung prancis. üòÇ</t>
  </si>
  <si>
    <t>itu anak enhypen nah pas final pildun kemarin yang dua atas dukung argentina nah yang dua bawah dukung prancis</t>
  </si>
  <si>
    <t>['anak', 'enhypen', 'nah', 'pas', 'final', 'piala dunia', 'kemarin', 'atas', 'dukung', 'argentina', 'nah', 'bawah', 'dukung', 'prancis']</t>
  </si>
  <si>
    <t>@imamhabibi_ @idextratime @MadridXtra Tanya sama pelatih problematic, B. Pavard aja berseteru di pildun sama tu pelatih.. Dicadangkan mulu dari macth 2-final  Sudah jadi tugas pelatih bikin ruang ganti harmonis dan kompak, tapi kubu2 di dlm skuad, konflik</t>
  </si>
  <si>
    <t>tanya sama pelatih problematic pavard aja berseteru pildun sama pelatih dicadangkan mulu dari macth final sudah jadi tugas pelatih bikin ruang ganti harmonis dan kompak tapi kubu dlm skuad konflik</t>
  </si>
  <si>
    <t>['tanya', 'sama', 'pelatih', 'problematic', 'pavard', 'berseteru', 'piala dunia', 'sama', 'pelatih', 'dicadangkan', 'mulu', 'macth', 'final', 'jadi', 'tugas', 'pelatih', 'ruang', 'ganti', 'harmonis', 'kompak', 'kubu', 'dlm', 'skuad', 'konflik']</t>
  </si>
  <si>
    <t>kucing ku sejak final pildun ga pulang pulang ü•≤üò≠ udu keliling komplek nyari ga ketemu yatuhan dekil gini sapa yg mo nyolong sii  https://t.co/rfzuyAfbEv</t>
  </si>
  <si>
    <t>kucing sejak final pildun pulang pulang udu keliling komplek nyari ketemu yatuhan dekil gini sapa nyolong sii</t>
  </si>
  <si>
    <t>['kucing', 'sejak', 'final', 'piala dunia', 'pulang', 'pulang', 'udu', 'keliling', 'komplek', 'nyari', 'ketemu', 'yatuhan', 'dekil', 'gini', 'sapa', 'nyolong', 'sii']</t>
  </si>
  <si>
    <t>Yang ada cowok ngakunya suka bola eh final pildun terbaik sepanjang masa gak nonton @waahyun</t>
  </si>
  <si>
    <t>yang ada cowok ngakunya suka bola final pildun terbaik sepanjang masa gak nonton</t>
  </si>
  <si>
    <t>['cowok', 'ngakunya', 'suka', 'bola', 'final', 'piala dunia', 'terbaik', 'sepanjang', 'masa', 'nonton']</t>
  </si>
  <si>
    <t>@BroadcastBola Msh ada yg pake vidio? Setelah kasus final pildun, langsung uninstall + bintang 1. Nyesek bngt jir final jd amburadul gegera aplikasi butut.</t>
  </si>
  <si>
    <t>msh ada pake vidio setelah kasus final pildun langsung uninstall bintang nyesek bngt jir final amburadul gegera aplikasi butut</t>
  </si>
  <si>
    <t>['msh', 'pake', 'vidio', 'kasus', 'final', 'piala dunia', 'langsung', 'uninstall', 'bintang', 'nyesek', 'bngt', 'jir', 'final', 'amburadul', 'gegera', 'aplikasi', 'butut']</t>
  </si>
  <si>
    <t>@Fauzansudutkiri @mdalfauzan @maspiqi @osamukun18 @FaktaSepakbola pas masuk pildun pun cuma jadi sampah semenjak juara 2006 itali ga pernah lolos grup stage dipildun 2010 ama 2014 padahal 2012nya mereka masuk final dan dibantai diobok obok 4-0 ama spanyol</t>
  </si>
  <si>
    <t>pas masuk pildun pun cuma jadi sampah semenjak juara itali pernah lolos grup stage dipildun ama padahal nya mereka masuk final dan dibantai diobok obok ama spanyol</t>
  </si>
  <si>
    <t>['pas', 'masuk', 'piala dunia', 'cuma', 'jadi', 'sampah', 'semenjak', 'juara', 'itali', 'pernah', 'lolos', 'grup', 'stage', 'dipildun', 'ama', 'padahal', 'masuk', 'final', 'dibantai', 'diobok', 'obok', 'ama', 'spanyol']</t>
  </si>
  <si>
    <t>@idextratime ga kerasa 3,5 tahun lagi lihat Haaland main di putaran final pildun</t>
  </si>
  <si>
    <t>kerasa tahun lagi lihat haaland main putaran final pildun</t>
  </si>
  <si>
    <t>['kerasa', 'tahun', 'lihat', 'haaland', 'main', 'putaran', 'final', 'piala dunia']</t>
  </si>
  <si>
    <t>@rdkzx @jongjavakbnpl @Box2BoxBola Didaftarkan sbgai assisten pelatih mkannya dpt mendali dan boleh pegang piala.. Pas pildun sudah mulai atau sblm final gitu, ane ga save media luar mna yg posting waktu itu</t>
  </si>
  <si>
    <t>didaftarkan sbgai assisten pelatih mkannya dpt mendali dan boleh pegang piala pas pildun sudah mulai atau sblm final gitu ane save media luar mna posting waktu itu</t>
  </si>
  <si>
    <t>['didaftarkan', 'sbgai', 'assisten', 'pelatih', 'mkannya', 'dpt', 'mendali', 'pegang', 'piala', 'pas', 'piala dunia', 'mulai', 'sebelum', 'final', 'gitu', 'ane', 'save', 'media', 'luar', 'mna', 'posting', 'waktu']</t>
  </si>
  <si>
    <t>@idextratime Ini kayaknya ngasih pesan gak langsung ke pemain PSG lainnya. Gw udah latihan lu lu pada kapan? Pdhl liburan habis pildun biasa aja sih. Apalagi sampe final.</t>
  </si>
  <si>
    <t>ini kayaknya ngasih pesan gak langsung pemain psg lainnya udah latihan pada kapan pdhl liburan habis pildun biasa aja sih apalagi sampe final</t>
  </si>
  <si>
    <t>['kayaknya', 'ngasih', 'pesan', 'langsung', 'pemain', 'psg', 'lainnya', 'udah', 'latihan', 'kapan', 'pdhl', 'liburan', 'habis', 'piala dunia', 'biasa', 'sampai', 'final']</t>
  </si>
  <si>
    <t>@maspiqi @Fauzansudutkiri @osamukun18 @FaktaSepakbola maroko sampe semi final, lah itali? udah ga lolos pildun kalah ama makedonia utara pula awokwokü§£</t>
  </si>
  <si>
    <t>maroko sampe semi final lah itali udah lolos pildun kalah ama makedonia utara pula awokwok</t>
  </si>
  <si>
    <t>['maroko', 'sampai', 'semi', 'final', 'lah', 'itali', 'udah', 'lolos', 'piala dunia', 'kalah', 'ama', 'makedonia', 'utara']</t>
  </si>
  <si>
    <t>@livelovegulf Padahal sudah ga ngarep banyak soalnya ada final pildun, syukur sebelum mulai sudah kesampaian duluan‚ò∫</t>
  </si>
  <si>
    <t>padahal sudah ngarep banyak soalnya ada final pildun syukur sebelum mulai sudah kesampaian duluan</t>
  </si>
  <si>
    <t>['padahal', 'ngarep', 'banyak', 'soalnya', 'final', 'piala dunia', 'syukur', 'mulai', 'kesampaian', 'duluan']</t>
  </si>
  <si>
    <t>van izin ngelunasin tagihan taruhan final pildun kemarin ya  https://t.co/aKHiowuGNm</t>
  </si>
  <si>
    <t>van izin ngelunasin tagihan taruhan final pildun kemarin</t>
  </si>
  <si>
    <t>['van', 'izin', 'ngelunasin', 'tagihan', 'taruhan', 'final', 'piala dunia', 'kemarin']</t>
  </si>
  <si>
    <t>@Arshotect @panditfootball Dia udah merasakan final pildun tanpa scaloni. Bocil. Dan dia satu2nya pemain di final 2014 yg masih bermain sampai sekarang.</t>
  </si>
  <si>
    <t>dia udah merasakan final pildun tanpa scaloni bocil dan dia satu nya pemain final masih bermain sampai sekarang</t>
  </si>
  <si>
    <t>['udah', 'merasakan', 'final', 'piala dunia', 'scaloni', 'bocil', 'satu', 'pemain', 'final', 'bermain', 'sekarang']</t>
  </si>
  <si>
    <t>@beINSPORTSid Lumayan lah menang dari tim yang 40 periode pildun pemaennya ada di final</t>
  </si>
  <si>
    <t>lumayan lah menang dari tim yang periode pildun pemaennya ada final</t>
  </si>
  <si>
    <t>['lumayan', 'lah', 'menang', 'tim', 'periode', 'piala dunia', 'pemaennya', 'final']</t>
  </si>
  <si>
    <t>akun abis ke Banned seminggu, melewatkan momen Final Pildun üò§</t>
  </si>
  <si>
    <t>akun abis banned seminggu melewatkan momen final pildun</t>
  </si>
  <si>
    <t>['akun', 'abis', 'banned', 'seminggu', 'melewatkan', 'momen', 'final', 'piala dunia']</t>
  </si>
  <si>
    <t>@Otowerwer @Telkomsel @blueandari Kemungkinan rada stress ini orang, kebetulan final pildun doi main parlay mix rungkad lumayan gede üóø</t>
  </si>
  <si>
    <t>kemungkinan rada stress ini orang kebetulan final pildun doi main parlay mix rungkad lumayan gede</t>
  </si>
  <si>
    <t>['kemungkinan', 'rada', 'stress', 'orang', 'kebetulan', 'final', 'piala dunia', 'doi', 'main', 'parlay', 'mix', 'rungkad', 'lumayan', 'gede']</t>
  </si>
  <si>
    <t>@wargakene Mari all in under bekne pak dep pas final pildun Maleh kolengü§£</t>
  </si>
  <si>
    <t>mari all under bekne pak dep pas final pildun maleh koleng</t>
  </si>
  <si>
    <t>['all', 'under', 'bekne', 'pak', 'dep', 'pas', 'final', 'piala dunia', 'maleh', 'koleng']</t>
  </si>
  <si>
    <t>@notyourownbae Awkwkwk pantesan final pildun sepi2 aja nih akunü§£ü§£ü§£ü§£ü§£</t>
  </si>
  <si>
    <t>awkwkwk pantesan final pildun sepi aja nih akun</t>
  </si>
  <si>
    <t>['awkwkwk', 'pantesan', 'final', 'piala dunia', 'sepi', 'akun']</t>
  </si>
  <si>
    <t>Yg lain pada nobar final pildun, cuman dia doang dah pokoknya nonton Conan sambil minta gorengin ayam (makan lagi ceunaaah)  https://t.co/zBuRhLjCqM</t>
  </si>
  <si>
    <t>lain pada nobar final pildun cuman dia doang dah pokoknya nonton conan sambil minta gorengin ayam makan lagi ceunaaah</t>
  </si>
  <si>
    <t>['nonton bareng', 'final', 'piala dunia', 'cuman', 'doang', 'dah', 'pokoknya', 'nonton', 'conan', 'minta', 'gorengin', 'ayam', 'makan', 'ceunaaah']</t>
  </si>
  <si>
    <t>@FebFreecss @idextratime @sufyanromzi woooy! timnas indo itu dah jd timnas terbaik nomer 1 di dunia selama bertahun¬≤! jngnkan lawan thailand, kemarin saat final pildun itu yg lawan argentina harusnya timnas indo. gampang &amp;amp; gampil bgt pasti lawan mess</t>
  </si>
  <si>
    <t>woooy timnas indo itu dah timnas terbaik nomer dunia selama bertahun jngnkan lawan thailand kemarin saat final pildun itu lawan argentina harusnya timnas indo gampang gampil bgt pasti lawan mess</t>
  </si>
  <si>
    <t>['woooy', 'timnas', 'indo', 'dah', 'timnas', 'terbaik', 'nomer', 'dunia', 'selama', 'bertahun', 'jngnkan', 'lawan', 'thailand', 'kemarin', 'final', 'piala dunia', 'lawan', 'argentina', 'harusnya', 'timnas', 'indo', 'gampang', 'gampil', 'banget', 'lawan', 'mess']</t>
  </si>
  <si>
    <t>Lebih tegang dari pas nonton final pildun kemarin..</t>
  </si>
  <si>
    <t>lebih tegang dari pas nonton final pildun kemarin</t>
  </si>
  <si>
    <t>['lebih', 'tegang', 'pas', 'nonton', 'final', 'piala dunia', 'kemarin']</t>
  </si>
  <si>
    <t>Bukan main nih pemain..  Abis main di Final PilDun langsung latian, ga ambil jatah liburan..  üëãüëã</t>
  </si>
  <si>
    <t>bukan main nih pemain abis main final pildun langsung latian ambil jatah liburan</t>
  </si>
  <si>
    <t>['bukan', 'main', 'pemain', 'abis', 'main', 'final', 'piala dunia', 'langsung', 'latian', 'ambil', 'jatah', 'liburan']</t>
  </si>
  <si>
    <t>liat tuh skillnya bukan seberapa dia main di final pildun</t>
  </si>
  <si>
    <t>liat tuh skillnya bukan seberapa dia main final pildun</t>
  </si>
  <si>
    <t>['lihat', 'skillnya', 'bukan', 'seberapa', 'main', 'final', 'piala dunia']</t>
  </si>
  <si>
    <t>@tanyakanrl jaehyun nomor 1 HAHAHA sesering itukah diks wkwkwk di top 5 selain penalti aku mengakui itu sering bangett digunain üò≠ tapi penalti?? perasaan itu baru disebut2 pas final pildun deh, oh mungkin ini akumulasi bulan desember doang?? ah tidak t</t>
  </si>
  <si>
    <t>jaehyun nomor hahaha sesering itukah diks wkwkwk top selain penalti aku mengakui itu sering bangett digunain tapi penalti perasaan itu baru disebut pas final pildun deh mungkin ini akumulasi bulan desember doang tidak</t>
  </si>
  <si>
    <t>['jaehyun', 'nomor', 'hahaha', 'sesering', 'itukah', 'diks', 'wkwkwk', 'top', 'penalti', 'aku', 'mengakui', 'sering', 'bangett', 'digunain', 'penalti', 'perasaan', 'baru', 'disebut', 'pas', 'final', 'piala dunia', 'deh', 'mungkin', 'akumulasi', 'bulan', 'desember', 'doang']</t>
  </si>
  <si>
    <t>@BangEdiii Bang, GA final pildun kmren yg 50k blom d tf ü•≤</t>
  </si>
  <si>
    <t>bang final pildun kmren blom</t>
  </si>
  <si>
    <t>['bang', 'final', 'piala dunia', 'kmren', 'blom']</t>
  </si>
  <si>
    <t>@messinisme @andhittn @triwantororudi @idextratime Karena spanyol 2008- 2012 itu generasi emas, sebelumnya udah bisa berbicara banyak di pildun walau cuma lolos perempat final, semi final, pernah juara euro juga  Lo gak usah bandingin sama portugal yg seb</t>
  </si>
  <si>
    <t>karena spanyol itu generasi emas sebelumnya udah bisa berbicara banyak pildun walau cuma lolos perempat final semi final pernah juara euro juga gak usah bandingin sama portugal seb</t>
  </si>
  <si>
    <t>['spanyol', 'generasi', 'emas', 'sebelumnya', 'udah', 'berbicara', 'banyak', 'piala dunia', 'cuma', 'lolos', 'perempat', 'final', 'semi', 'final', 'pernah', 'juara', 'euro', 'usah', 'bandingin', 'sama', 'portugal', 'seb']</t>
  </si>
  <si>
    <t>@naufdz @fslselalubenar @idextratime Maksud saya tuh lu gasuka tapi setidak nya kek laga penting final pildun lu ngikutin atau tau, ini dia kek bodoamat, udh gitu ngerasa spesial lagi wqwqwq</t>
  </si>
  <si>
    <t>maksud saya tuh gasuka tapi setidak nya kek laga penting final pildun ngikutin atau tau ini dia kek bodoamat udh gitu ngerasa spesial lagi wqwqwq</t>
  </si>
  <si>
    <t>['maksud', 'gasuka', 'setidak', 'kek', 'laga', 'penting', 'final', 'piala dunia', 'ngikutin', 'kek', 'bodoamat', 'sudah', 'gitu', 'ngerasa', 'spesial', 'wqwqwq']</t>
  </si>
  <si>
    <t>@irfanov2 @GOAL_ID Pendapat situ doang kali banyak yg bilang ini final pildun terbaik yg pernah mereka tonton.</t>
  </si>
  <si>
    <t>pendapat situ doang kali banyak bilang ini final pildun terbaik pernah mereka tonton</t>
  </si>
  <si>
    <t>['pendapat', 'situ', 'doang', 'kali', 'banyak', 'final', 'piala dunia', 'terbaik', 'pernah', 'tonton']</t>
  </si>
  <si>
    <t>@SiaranBolaLive Mau elclasico, final pildun kek, kalo Timnas maen gua tetep nonton Timnas</t>
  </si>
  <si>
    <t>mau elclasico final pildun kek kalo timnas maen gua tetep nonton timnas</t>
  </si>
  <si>
    <t>['mau', 'elclasico', 'final', 'piala dunia', 'kek', 'timnas', 'maen', 'gua', 'tetep', 'nonton', 'timnas']</t>
  </si>
  <si>
    <t>@RawonStats Coman ndek final pildun sempet pincang won.. tapi malah main e fight ü§≠üòÅ</t>
  </si>
  <si>
    <t>coman ndek final pildun sempet pincang won tapi malah main fight</t>
  </si>
  <si>
    <t>['coman', 'ndek', 'final', 'piala dunia', 'sempet', 'pincang', 'won', 'malah', 'main', 'fight']</t>
  </si>
  <si>
    <t>@utdfocusid enek mestine, lha pas nobar final pildun pdhl lagi seru¬≤ne lha kok ngarepku malah push rank ML trus :)</t>
  </si>
  <si>
    <t>enek mestine lha pas nobar final pildun pdhl lagi seru lha kok ngarepku malah push rank trus</t>
  </si>
  <si>
    <t>['enek', 'mestine', 'lha', 'pas', 'nonton bareng', 'final', 'piala dunia', 'pdhl', 'seru', 'lha', 'kok', 'ngarepku', 'malah', 'push', 'rank', 'trus']</t>
  </si>
  <si>
    <t>@jeritanbabi @zaldypoetra @kuchapippepe @DennySeggssegar @tudaibayyorside @cndrasptian @registaco Namanya di final kalah mana ada yg seneng wkwkw,tapi ngak ngerubah fakta mbappe udh pernah juara pildun di umur 19 tahun</t>
  </si>
  <si>
    <t>namanya final kalah mana ada seneng wkwkw tapi ngak ngerubah fakta mbappe udh pernah juara pildun umur tahun</t>
  </si>
  <si>
    <t>['namanya', 'final', 'kalah', 'mana', 'seneng', 'wkwkw', 'ngak', 'ngerubah', 'fakta', 'mbappe', 'sudah', 'pernah', 'juara', 'piala dunia', 'umur', 'tahun']</t>
  </si>
  <si>
    <t>@Box2BoxBola Dari 2018 gw udah gak respect nih orang. Semenjak foto ini di ambil.  Bayangin nih, Lu baru aja kalah final, cidera, &amp;amp; kemungkinan gak ikut Pildun. Terus ada org minta foto, gak mood tp krn lu sopan, ladenin aja.  Eh nih org ternyata sele</t>
  </si>
  <si>
    <t>dari udah gak respect nih orang semenjak foto ini ambil bayangin nih baru aja kalah final cidera kemungkinan gak ikut pildun terus ada org minta foto gak mood krn sopan ladenin aja nih org ternyata sele</t>
  </si>
  <si>
    <t>['udah', 'respect', 'orang', 'semenjak', 'foto', 'ambil', 'bayangin', 'baru', 'kalah', 'final', 'cidera', 'kemungkinan', 'ikut', 'piala dunia', 'terus', 'org', 'minta', 'foto', 'mood', 'sopan', 'ladenin', 'org', 'ternyata', 'sele']</t>
  </si>
  <si>
    <t>@smanitafess fens prancis yang gabisa move on dari final pildun  https://t.co/8Ddbo11UZ7</t>
  </si>
  <si>
    <t>fens prancis yang gabisa move dari final pildun</t>
  </si>
  <si>
    <t>['fens', 'prancis', 'gabisa', 'move', 'final', 'piala dunia']</t>
  </si>
  <si>
    <t>@AnggaPramedia @TumbalProyekk @Agung9191 @andrian19m @rayyds @sambalkemiri @fckgeralt @theflankerID Ga masuk akal juga, sekalinya main d pildun apalagi final langsung jadi kapten wkwkk</t>
  </si>
  <si>
    <t>masuk akal juga sekalinya main pildun apalagi final langsung jadi kapten wkwkk</t>
  </si>
  <si>
    <t>['masuk', 'akal', 'sekalinya', 'main', 'piala dunia', 'final', 'langsung', 'jadi', 'kapten', 'wkwkk']</t>
  </si>
  <si>
    <t>@adenardian seharusnya beli ini Sebelum final pildun kumarin</t>
  </si>
  <si>
    <t>seharusnya beli ini sebelum final pildun kumarin</t>
  </si>
  <si>
    <t>['beli', 'final', 'piala dunia', 'kumarin']</t>
  </si>
  <si>
    <t>@indocringe_ ‚ÄúPokoknya satu dunia harus tau klo gw ga suka bola dan gw ga nonton final pildun‚Äù</t>
  </si>
  <si>
    <t>pokoknya satu dunia harus tau klo suka bola dan nonton final pildun</t>
  </si>
  <si>
    <t>['pokoknya', 'satu', 'dunia', 'suka', 'bola', 'nonton', 'final', 'piala dunia']</t>
  </si>
  <si>
    <t>Efek Pildun 2022, Jersey Messi Ludes Terjual di Seluruh Dunia, Bahkan Menjelang Kick Off Final  https://t.co/ofNxGyNs4C</t>
  </si>
  <si>
    <t>efek pildun jersey messi ludes terjual seluruh dunia bahkan menjelang kick off final</t>
  </si>
  <si>
    <t>['efek', 'piala dunia', 'jersey', 'messi', 'ludes', 'terjual', 'seluruh', 'dunia', 'bahkan', 'menjelang', 'kick', 'off', 'final']</t>
  </si>
  <si>
    <t>Mbappe 24 tahun udh berlaga di final pildun  W 25 tahun masih gesrek ke bocah 18 tahun</t>
  </si>
  <si>
    <t>mbappe tahun udh berlaga final pildun tahun masih gesrek bocah tahun</t>
  </si>
  <si>
    <t>['mbappe', 'tahun', 'sudah', 'berlaga', 'final', 'piala dunia', 'tahun', 'gesrek', 'bocah', 'tahun']</t>
  </si>
  <si>
    <t>@ainurohman Kok gaada video tiktok dia siap2 nonton final pildun ya</t>
  </si>
  <si>
    <t>kok gaada video tiktok dia siap nonton final pildun</t>
  </si>
  <si>
    <t>['kok', 'gaada', 'video', 'tiktok', 'siap', 'nonton', 'final', 'piala dunia']</t>
  </si>
  <si>
    <t>ternyata final pildun settingan ygy  https://t.co/WOKP4jzLRB</t>
  </si>
  <si>
    <t>ternyata final pildun settingan ygy</t>
  </si>
  <si>
    <t>['ternyata', 'final', 'piala dunia', 'settingan', 'ygy']</t>
  </si>
  <si>
    <t>Bentuknya masih sama tabur dan Payet lurus,,,durasi ngerjain nya sehari semalem,,inget  pasangnya deg"an bgt krn sambil liat final pildun ,,üåù  https://t.co/QYSMfDxAfW</t>
  </si>
  <si>
    <t>bentuknya masih sama tabur dan payet lurus durasi ngerjain nya sehari semalem inget pasangnya deg bgt krn sambil liat final pildun</t>
  </si>
  <si>
    <t>['bentuknya', 'sama', 'tabur', 'payet', 'lurus', 'durasi', 'ngerjain', 'sehari', 'semalam', 'inget', 'pasangnya', 'deg', 'banget', 'lihat', 'final', 'piala dunia']</t>
  </si>
  <si>
    <t>@ftrrii1 untung tvku pas final pildun meleduk jadi g mikir siaran analog digital ü§£ü§£ü§£</t>
  </si>
  <si>
    <t>untung tvku pas final pildun meleduk jadi mikir siaran analog digital</t>
  </si>
  <si>
    <t>['untung', 'tvku', 'pas', 'final', 'piala dunia', 'meleduk', 'jadi', 'mikir', 'siaran', 'analog', 'digital']</t>
  </si>
  <si>
    <t>@labiebsadat bahkan perannya di final bisa dibilang useless, kebobolan tiga kali dan menurut gua kebobolan pertama ga sesulit itu untuk diantisipasi. walaupun emang save dia di menit akhir berguna banget tapi masa ngalahin performa dua kiper diatas yg jag</t>
  </si>
  <si>
    <t>bahkan perannya final bisa dibilang useless kebobolan tiga kali dan menurut gua kebobolan pertama sesulit itu untuk diantisipasi walaupun emang save dia menit akhir berguna banget tapi masa ngalahin performa dua kiper diatas jag</t>
  </si>
  <si>
    <t>['bahkan', 'perannya', 'final', 'dibilang', 'useless', 'kebobolan', 'tiga', 'kali', 'gua', 'kebobolan', 'pertama', 'sesulit', 'diantisipasi', 'walaupun', 'emang', 'save', 'menit', 'akhir', 'berguna', 'banget', 'masa', 'ngalahin', 'performa', 'kiper', 'diatas', 'jag']</t>
  </si>
  <si>
    <t>@shizutzyy @FaktaSepakbola emg udah TOLOL, ngatain kapan indonesia pildun dan ga maju2 lo nya aja TOLOL. lo kira messi instan mau dpt pildun, gagal berkali2 di copa dan gagal final 2014 lu kira instan.</t>
  </si>
  <si>
    <t>emg udah tolol ngatain kapan indonesia pildun dan maju nya aja tolol kira messi instan mau dpt pildun gagal berkali copa dan gagal final kira instan</t>
  </si>
  <si>
    <t>['memang', 'udah', 'tolol', 'ngatain', 'kapan', 'indonesia', 'piala dunia', 'maju', 'tolol', 'kira', 'messi', 'instan', 'mau', 'dpt', 'piala dunia', 'gagal', 'berkali', 'copa', 'gagal', 'final', 'kira', 'instan']</t>
  </si>
  <si>
    <t>kiper alus saharitaeun oge anying, panan mbappe teh geus meunang pildun tiheula, pas final kamari hattrick jeung si martinez teu bisa nahan 3 pinalti si mbappe anehhhh</t>
  </si>
  <si>
    <t>kiper alus saharitaeun oge anying panan mbappe teh geus meunang pildun tiheula pas final kamari hattrick jeung martinez teu bisa nahan pinalti mbappe anehhhh</t>
  </si>
  <si>
    <t>['kiper', 'alus', 'saharitaeun', 'oge', 'anying', 'panan', 'mbappe', 'teh', 'geus', 'meunang', 'piala dunia', 'tiheula', 'pas', 'final', 'kamari', 'hattrick', 'jeung', 'martinez', 'teu', 'nahan', 'penalti', 'mbappe', 'anehhhh']</t>
  </si>
  <si>
    <t>@nara423 WADUH, harusnya melakukan this and that sewaktu final pildun ya kak. Yahh, gpp, diskon. Ngefinalin story sebuah hubungan sosial antar manusia sih ini wkwk</t>
  </si>
  <si>
    <t>waduh harusnya melakukan this and that sewaktu final pildun kak yahh gpp diskon ngefinalin story sebuah hubungan sosial antar manusia sih ini wkwk</t>
  </si>
  <si>
    <t>['waduh', 'harusnya', 'melakukan', 'this', 'and', 'that', 'sewaktu', 'final', 'piala dunia', 'kak', 'yahh', 'gapapa', 'diskon', 'ngefinalin', 'story', 'sebuah', 'hubungan', 'sosial', 'antar', 'manusia']</t>
  </si>
  <si>
    <t>@kochengfs Tadinya kupikir dia kesurupan karena bengong aja, sampe mau kubawa kerumah pak ustadz, ternyata dia stress gegara prancis kalah di final pildun üò≠üò≠üò≠  https://t.co/Efd3rwzA8K</t>
  </si>
  <si>
    <t>tadinya kupikir dia kesurupan karena bengong aja sampe mau kubawa kerumah pak ustadz ternyata dia stress gegara prancis kalah final pildun</t>
  </si>
  <si>
    <t>['tadinya', 'kupikir', 'kesurupan', 'bengong', 'sampai', 'mau', 'kubawa', 'kerumah', 'pak', 'ustadz', 'ternyata', 'stress', 'gegara', 'prancis', 'kalah', 'final', 'piala dunia']</t>
  </si>
  <si>
    <t>@TumbalProyekk @muhsupriyono93 @SiaranBolaLive yap betul ucl yaaa, latihan buat adu P di UCL kan bukan yg dibawahnya kan? kelas bgt Tchouameni udah bisa tampil di final pildun diumurnya yg masih muda ini, gpp blom juara perjalanan masih panjang</t>
  </si>
  <si>
    <t>yap betul ucl yaaa latihan buat adu ucl kan bukan dibawahnya kan kelas bgt tchouameni udah bisa tampil final pildun diumurnya masih muda ini gpp blom juara perjalanan masih panjang</t>
  </si>
  <si>
    <t>['yap', 'betul', 'ucl', 'yaaa', 'latihan', 'buat', 'adu', 'ucl', 'kan', 'bukan', 'dibawahnya', 'kan', 'kelas', 'banget', 'tchouameni', 'udah', 'tampil', 'final', 'piala dunia', 'diumurnya', 'muda', 'gapapa', 'blom', 'juara', 'perjalanan', 'panjang']</t>
  </si>
  <si>
    <t>@convomfs ini pas malam final pildun kemarin.  https://t.co/Rwf15h7Cq7</t>
  </si>
  <si>
    <t>ini pas malam final pildun kemarin</t>
  </si>
  <si>
    <t>['pas', 'malam', 'final', 'piala dunia', 'kemarin']</t>
  </si>
  <si>
    <t>@cassidywaldorf_ @ziiiiiiiid @idextratime Minimal minimal, dikira pildun trophy pribadi apa, itu trophy team, tanpa ARGENTINA Messi mana bisa sampe final,tanpa Messi Argentina udah 2 kali pildun 14 Copa</t>
  </si>
  <si>
    <t>minimal minimal dikira pildun trophy pribadi apa itu trophy team tanpa argentina messi mana bisa sampe final tanpa messi argentina udah kali pildun copa</t>
  </si>
  <si>
    <t>['minimal', 'minimal', 'dikira', 'piala dunia', 'trophy', 'pribadi', 'apa', 'trophy', 'team', 'argentina', 'messi', 'mana', 'sampai', 'final', 'messi', 'argentina', 'udah', 'kali', 'piala dunia', 'copa']</t>
  </si>
  <si>
    <t>@false10s @FaktaSepakbola emi jago, absolutely tp dia jg dendaman bgt, itu dia pegang boneka mbappe soalnya sebelum pildun (atau pas pildun jauh sebelum final) mbappe ada statement europe punya kualitas jauh diatas amerika latin</t>
  </si>
  <si>
    <t>emi jago absolutely dia dendaman bgt itu dia pegang boneka mbappe soalnya sebelum pildun atau pas pildun jauh sebelum final mbappe ada statement europe punya kualitas jauh diatas amerika latin</t>
  </si>
  <si>
    <t>['emi', 'jago', 'absolutely', 'dendaman', 'banget', 'pegang', 'boneka', 'mbappe', 'soalnya', 'piala dunia', 'pas', 'piala dunia', 'jauh', 'final', 'mbappe', 'statement', 'europe', 'punya', 'kualitas', 'jauh', 'diatas', 'amerika', 'latin']</t>
  </si>
  <si>
    <t>@GoodGaminGG @dpskazuha1 @registaco Best GK performance di world cup dari yg pernah gue tonton tuh Oliver Kahn di pildun 2002 sihh, satu2nya kiper yg sampe menang Golden Ball (bahkan menang dari Ronaldo Brazil), sayang pas di final nya doi malah kalah</t>
  </si>
  <si>
    <t>best performance world cup dari pernah gue tonton tuh oliver kahn pildun sihh satu nya kiper sampe menang golden ball bahkan menang dari ronaldo brazil sayang pas final nya doi malah kalah</t>
  </si>
  <si>
    <t>['best', 'performance', 'world', 'cup', 'pernah', 'gue', 'tonton', 'oliver', 'kahn', 'piala dunia', 'sihh', 'satu', 'kiper', 'sampai', 'menang', 'golden', 'ball', 'bahkan', 'menang', 'ronaldo', 'brazil', 'sayang', 'pas', 'final', 'doi', 'malah', 'kalah']</t>
  </si>
  <si>
    <t>Dengan banyaknya pemain utama yang cedera sehingga gak bs berlaga di pildun, juga pemain yang didominasi anak muda (mbappe aja br 24 tahun kmrn). Wajar jika rakyat Prancis tetap bangga sama timnya meskipun mereka kalah di final.</t>
  </si>
  <si>
    <t>dengan banyaknya pemain utama yang cedera sehingga gak berlaga pildun juga pemain yang didominasi anak muda mbappe aja tahun kmrn wajar jika rakyat prancis tetap bangga sama timnya meskipun mereka kalah final</t>
  </si>
  <si>
    <t>['banyaknya', 'pemain', 'utama', 'cedera', 'berlaga', 'piala dunia', 'pemain', 'didominasi', 'anak', 'muda', 'mbappe', 'tahun', 'kmrn', 'wajar', 'rakyat', 'prancis', 'tetap', 'bangga', 'sama', 'timnya', 'meskipun', 'kalah', 'final']</t>
  </si>
  <si>
    <t>Eh w sama laki w jg ga suka bola (ga suka dalam artian ga ngikutin ya jd gatau tuh siapa juara pildun sebelumnya, siapa pemain yg jago, dukung tim mana, dll). Tp kita ttp nonton final kemaren karna seruü§£</t>
  </si>
  <si>
    <t>sama laki suka bola suka dalam artian ngikutin gatau tuh siapa juara pildun sebelumnya siapa pemain jago dukung tim mana dll kita ttp nonton final kemaren karna seru</t>
  </si>
  <si>
    <t>['sama', 'laki', 'suka', 'bola', 'suka', 'artian', 'ngikutin', 'gatau', 'siapa', 'juara', 'piala dunia', 'sebelumnya', 'siapa', 'pemain', 'jago', 'dukung', 'tim', 'mana', 'ttp', 'nonton', 'final', 'kemarin', 'karna', 'seru']</t>
  </si>
  <si>
    <t>@triwantororudi @sukatidurrr_ @stefanjosia19 @SiaranBolaLive LM10 di La Liga sama Madrid aja menang, apalagi sama Sevilla, Villareal, top 6 PL easy. ckup Main di Liga petani+La Liga aja menang Balon d Or sering banget, ngapain ke EPL yang timnasnya buat j</t>
  </si>
  <si>
    <t>liga sama madrid aja menang apalagi sama sevilla villareal top easy ckup main liga petani liga aja menang balon sering banget ngapain epl yang timnasnya buat</t>
  </si>
  <si>
    <t>['liga', 'sama', 'madrid', 'menang', 'sama', 'sevilla', 'villareal', 'top', 'easy', 'ckup', 'main', 'liga', 'petani', 'liga', 'menang', 'balon', 'sering', 'banget', 'ngapain', 'epl', 'timnasnya', 'buat']</t>
  </si>
  <si>
    <t>Habis nonton final pildun liat ini lgsg kualitas menurun drastis</t>
  </si>
  <si>
    <t>habis nonton final pildun liat ini lgsg kualitas menurun drastis</t>
  </si>
  <si>
    <t>['habis', 'nonton', 'final', 'piala dunia', 'lihat', 'lgsg', 'kualitas', 'menurun', 'drastis']</t>
  </si>
  <si>
    <t>@OhhRustyNail @LDNFootbalI @Wesley_Fofanaa Prestasie unggul iki fofana = 1 fa cup goate bek = perempat final pildunü§≠</t>
  </si>
  <si>
    <t>fofanaa prestasie unggul iki fofana cup goate bek perempat final pildun</t>
  </si>
  <si>
    <t>['fofanaa', 'prestasie', 'unggul', 'iki', 'fofana', 'cup', 'goate', 'bek', 'perempat', 'final', 'piala dunia']</t>
  </si>
  <si>
    <t>@indocringe_ Gue sih emang kagak ngikutin bola tapi final pildun kemaren nobar ü§™</t>
  </si>
  <si>
    <t>gue sih emang kagak ngikutin bola tapi final pildun kemaren nobar</t>
  </si>
  <si>
    <t>['gue', 'emang', 'kagak', 'ngikutin', 'bola', 'final', 'piala dunia', 'kemarin', 'nonton bareng']</t>
  </si>
  <si>
    <t>Agak ngeri liat org judi pas final pildun kemarin terang2an bgitu. üòÇ sadar gasih yg dimakan dia tuh duit haram?üòÇ pasti ada aja balesannya ‚Äúga dipake makan ko uangnya. Dipake beli barang‚Äù lantas barang itu tetep ga haram kah?ü§£</t>
  </si>
  <si>
    <t>agak ngeri liat org judi pas final pildun kemarin terang bgitu sadar gasih dimakan dia tuh duit haram pasti ada aja balesannya dipake makan uangnya dipake beli barang lantas barang itu tetep haram kah</t>
  </si>
  <si>
    <t>['ngeri', 'lihat', 'org', 'judi', 'pas', 'final', 'piala dunia', 'kemarin', 'terang', 'bgitu', 'sadar', 'gasih', 'dimakan', 'duit', 'haram', 'balesannya', 'dipake', 'makan', 'uangnya', 'dipake', 'beli', 'barang', 'lantas', 'barang', 'tetep', 'haram']</t>
  </si>
  <si>
    <t>@giselloow @anueeela nonton final pildun HAHAHAH</t>
  </si>
  <si>
    <t>nonton final pildun hahahah</t>
  </si>
  <si>
    <t>['nonton', 'final', 'piala dunia', 'hahahah']</t>
  </si>
  <si>
    <t>@RevoNugroho @kriyap_kriyep @topansix @FaktaSepakbola Mbappe bener sih Negara latin yang juara pildun cuman 3 Argentina, Brazil, sama Uruguay Eropa udah Perancis, Italia, Inggris, Jerman, sama Spanyol Belum lagi tim Eropa sering masuk final kek Belanda To</t>
  </si>
  <si>
    <t>kriyep mbappe bener sih negara latin yang juara pildun cuman argentina brazil sama uruguay eropa udah perancis italia inggris jerman sama spanyol belum lagi tim eropa sering masuk final kek belanda</t>
  </si>
  <si>
    <t>['kriyep', 'mbappe', 'benar', 'negara', 'latin', 'juara', 'piala dunia', 'cuman', 'argentina', 'brazil', 'sama', 'uruguay', 'eropa', 'udah', 'perancis', 'italia', 'inggris', 'jerman', 'sama', 'spanyol', 'tim', 'eropa', 'sering', 'masuk', 'final', 'kek', 'belanda']</t>
  </si>
  <si>
    <t>@utdfocusid t-tapi kan kata akun sebelah pemain belakang prancis yg paling berkontribusi di pildun skrg tuh ibrahima konate, PrAnCiS kAlAh Di FiNaL kArEnA gA mAiNiN dIa DaRi AwAl Di FiNaL üò°</t>
  </si>
  <si>
    <t>tapi kan kata akun sebelah pemain belakang prancis paling berkontribusi pildun skrg tuh ibrahima konate prancis kalah final karena mainin dia dari awal final</t>
  </si>
  <si>
    <t>['kan', 'kata', 'akun', 'sebelah', 'pemain', 'belakang', 'prancis', 'paling', 'berkontribusi', 'piala dunia', 'skrg', 'ibrahima', 'konate', 'prancis', 'kalah', 'final', 'mainin', 'awal', 'final']</t>
  </si>
  <si>
    <t>emang iya cil? pas argen kalah final pildun 2014, final copa amerika 2015&amp;amp;2016 yang dibully abis-abisan itu messi.</t>
  </si>
  <si>
    <t>emang iya cil pas argen kalah final pildun final copa amerika yang dibully abis abisan itu messi</t>
  </si>
  <si>
    <t>['emang', 'iya', 'cil', 'pas', 'argen', 'kalah', 'final', 'piala dunia', 'final', 'copa', 'amerika', 'dibully', 'abis', 'abisan', 'messi']</t>
  </si>
  <si>
    <t>@KMbappe Pas final disebut sebut umurnya baru 23 tahun tapi udah jadi top scorrer pildun, eh besoknya ultah 24 wkwkwkkwk</t>
  </si>
  <si>
    <t>pas final disebut sebut umurnya baru tahun tapi udah jadi top scorrer pildun besoknya ultah wkwkwkkwk</t>
  </si>
  <si>
    <t>['pas', 'final', 'disebut', 'sebut', 'umurnya', 'baru', 'tahun', 'udah', 'jadi', 'top', 'scorrer', 'piala dunia', 'besoknya', 'ultah', 'wkwkwkkwk']</t>
  </si>
  <si>
    <t>@convomfs gegara final pildun kemarenüò≠üôè  https://t.co/mISdl4iMHW</t>
  </si>
  <si>
    <t>gegara final pildun kemaren</t>
  </si>
  <si>
    <t>['gegara', 'final', 'piala dunia', 'kemarin']</t>
  </si>
  <si>
    <t>@khurntrtm Dari penyisihan group udah seru banget padahal Ga terima kalo pildun terselamatkan sama match final</t>
  </si>
  <si>
    <t>dari penyisihan group udah seru banget padahal terima kalo pildun terselamatkan sama match final</t>
  </si>
  <si>
    <t>['penyisihan', 'group', 'udah', 'seru', 'banget', 'padahal', 'terima', 'piala dunia', 'terselamatkan', 'sama', 'match', 'final']</t>
  </si>
  <si>
    <t>@TumbalProyekk @gilang__33 @SiaranBolaLive Yakan dia ngomong sebelum pildun dimulai, dia ga banyak bacot kok sebelum final. So dendamnya berarti sebulan lebih WKWK</t>
  </si>
  <si>
    <t>yakan dia ngomong sebelum pildun dimulai dia banyak bacot kok sebelum final dendamnya berarti sebulan lebih wkwk</t>
  </si>
  <si>
    <t>['yakan', 'ngomong', 'piala dunia', 'dimulai', 'banyak', 'bacot', 'kok', 'final', 'dendamnya', 'berarti', 'sebulan', 'lebih']</t>
  </si>
  <si>
    <t>IshowSpeed lewat fyp mulu. Berkali-kali liat reaksinya tetap lucu saat nonton final pildun. Apalagi dia fans Ronaldo jd bakal dukung Prancis dan brontak saat Argentina tp dia pakai jersey berlapis 3. Lapisan akhir jersey Argentina yg dia pakai pas Argentina menang, auto lemes</t>
  </si>
  <si>
    <t>ishowspeed lewat fyp mulu berkali kali liat reaksinya tetap lucu saat nonton final pildun apalagi dia fans ronaldo bakal dukung prancis dan brontak saat argentina dia pakai jersey berlapis lapisan akhir jersey argentina dia pakai pas argentina menang auto lemes</t>
  </si>
  <si>
    <t>['ishowspeed', 'lewat', 'fyp', 'mulu', 'berkali', 'kali', 'lihat', 'reaksinya', 'tetap', 'lucu', 'nonton', 'final', 'piala dunia', 'fans', 'ronaldo', 'bakal', 'dukung', 'prancis', 'brontak', 'argentina', 'pakai', 'jersey', 'berlapis', 'lapisan', 'akhir', 'jersey', 'argentina', 'pakai', 'pas', 'argentina', 'menang', 'auto', 'lemes']</t>
  </si>
  <si>
    <t xml:space="preserve">@WidiantoAndika_ @d4nay @akupacarjenoheh @canisss__ @longzonbola iya njir gedeg bgt ngeliat cwe2 yg sok2an ngerti bola pdhal mah cuma krena ngeliat final pildun kmaren doang, sm krena pemainnya ganteng2. klo skedar ikut2an ajasi ga masalah, yg jd masalah </t>
  </si>
  <si>
    <t>iya njir gedeg bgt ngeliat cwe sok ngerti bola pdhal mah cuma krena ngeliat final pildun kmaren doang krena pemainnya ganteng klo skedar ikut ajasi masalah masalah</t>
  </si>
  <si>
    <t>['iya', 'njir', 'gedeg', 'banget', 'ngeliat', 'cwe', 'sok', 'ngerti', 'bola', 'pdhal', 'mah', 'cuma', 'krena', 'ngeliat', 'final', 'piala dunia', 'kmaren', 'doang', 'krena', 'pemainnya', 'ganteng', 'skedar', 'ikut', 'ajasi', 'masalah', 'masalah']</t>
  </si>
  <si>
    <t>@SamFerkyFers10 @idextratime hebat darimana uruguay brp kali masuk final juara di tahun baru baru ada pildun dulu sekarang ga ada apa apanya,mampus kalah lagian ngapain mentri nya bakal ngibarin bendera lgbt kalo prancis menang</t>
  </si>
  <si>
    <t>hebat darimana uruguay brp kali masuk final juara tahun baru baru ada pildun dulu sekarang ada apa apanya mampus kalah lagian ngapain mentri nya bakal ngibarin bendera lgbt kalo prancis menang</t>
  </si>
  <si>
    <t>['hebat', 'darimana', 'uruguay', 'brp', 'kali', 'masuk', 'final', 'juara', 'tahun', 'baru', 'baru', 'piala dunia', 'dulu', 'sekarang', 'apa', 'apanya', 'mampus', 'kalah', 'lagian', 'ngapain', 'mentri', 'bakal', 'ngibarin', 'bendera', 'lgbt', 'prancis', 'menang']</t>
  </si>
  <si>
    <t>@idextratime Bayangin lah sebelumnya 2014 kalah di final, ya kerasa banget lah euforianya üò≠ Yg bikin pildun ini spesial ya karena Messi di final dan ada juara bertahan.</t>
  </si>
  <si>
    <t>bayangin lah sebelumnya kalah final kerasa banget lah euforianya bikin pildun ini spesial karena messi final dan ada juara bertahan</t>
  </si>
  <si>
    <t>['bayangin', 'lah', 'sebelumnya', 'kalah', 'final', 'kerasa', 'banget', 'lah', 'euforianya', 'piala dunia', 'spesial', 'messi', 'final', 'juara', 'bertahan']</t>
  </si>
  <si>
    <t>@Rizxfa itulah yang dirasakan mbappe pas final pildunüòå</t>
  </si>
  <si>
    <t>itulah yang dirasakan mbappe pas final pildun</t>
  </si>
  <si>
    <t>['dirasakan', 'mbappe', 'pas', 'final', 'piala dunia']</t>
  </si>
  <si>
    <t>Waktu Argentina Lolos Sampe final WC 2014 rasanya gk keduga karna kualitas pemain argen yg biasa aja. Aku masih inget final saat itu keadaan sahur dan nobar dirumah tetangga. Alhasil messi gagal bawa pulang pildun tahun itu.  https://t.co/swTDC1u6mV</t>
  </si>
  <si>
    <t>waktu argentina lolos sampe final rasanya keduga karna kualitas pemain argen biasa aja aku masih inget final saat itu keadaan sahur dan nobar dirumah tetangga alhasil messi gagal bawa pulang pildun tahun itu</t>
  </si>
  <si>
    <t>['waktu', 'argentina', 'lolos', 'sampai', 'final', 'rasanya', 'keduga', 'karna', 'kualitas', 'pemain', 'argen', 'biasa', 'aku', 'inget', 'final', 'keadaan', 'sahur', 'nonton bareng', 'dirumah', 'tetangga', 'alhasil', 'messi', 'gagal', 'bawa', 'pulang', 'piala dunia', 'tahun']</t>
  </si>
  <si>
    <t>@GOAL_ID Final pildun U21 yg dimenangkan üá¶üá∑üá¶üá∑üá¶üá∑ di Maria gak cetak gol kah??ü§î</t>
  </si>
  <si>
    <t>final pildun dimenangkan maria gak cetak gol kah</t>
  </si>
  <si>
    <t>['final', 'piala dunia', 'dimenangkan', 'maria', 'cetak', 'gol']</t>
  </si>
  <si>
    <t>@KMbappe puki ini bru umur 24 tpi dah maen di final pildun, ak 24 msih dudok di smea smbel bakar surya krn mikerin kapan invoice caer kimak kimak</t>
  </si>
  <si>
    <t>puki ini bru umur tpi dah maen final pildun msih dudok smea smbel bakar surya krn mikerin kapan invoice caer kimak kimak</t>
  </si>
  <si>
    <t>['puki', 'bru', 'umur', 'tpi', 'dah', 'maen', 'final', 'piala dunia', 'msih', 'dudok', 'smea', 'smbel', 'bakar', 'surya', 'mikerin', 'kapan', 'invoice', 'caer', 'kimak', 'kimak']</t>
  </si>
  <si>
    <t>perasaan baru pas final pildun maren gw ngomongin mbappe üò≠üò≠üò≠  https://t.co/4iKQvOZcNv</t>
  </si>
  <si>
    <t>perasaan baru pas final pildun maren ngomongin mbappe</t>
  </si>
  <si>
    <t>['perasaan', 'baru', 'pas', 'final', 'piala dunia', 'maren', 'ngomongin', 'mbappe']</t>
  </si>
  <si>
    <t xml:space="preserve">@garistengah_id Jesper Blomqvist ngga masuk flop kayaknya yah? Dia dibeli tahun 1998 cuma buat cadangannya Giggs. Dan saat main pun masih bisa perform bagus. Sayang pasca final champion 1999, dia cidera dan 2 tahun ga main. Akhirnya dilego. Dia bukan krn </t>
  </si>
  <si>
    <t>jesper blomqvist ngga masuk flop kayaknya yah dia dibeli tahun cuma buat cadangannya giggs dan saat main pun masih bisa perform bagus sayang pasca final champion dia cidera dan tahun main akhirnya dilego dia bukan krn</t>
  </si>
  <si>
    <t>['jesper', 'blomqvist', 'ngga', 'masuk', 'flop', 'kayaknya', 'dibeli', 'tahun', 'cuma', 'buat', 'cadangannya', 'giggs', 'main', 'perform', 'bagus', 'sayang', 'pasca', 'final', 'champion', 'cidera', 'tahun', 'main', 'akhirnya', 'dilego', 'bukan']</t>
  </si>
  <si>
    <t>@dejugabisa @MiskinTV_ Caranya gmn bang sehari sblm final pildun akun gw jg kena pdhl nggk ngapa2in</t>
  </si>
  <si>
    <t>caranya gmn bang sehari sblm final pildun akun kena pdhl nggk ngapa</t>
  </si>
  <si>
    <t>['caranya', 'gmn', 'bang', 'sehari', 'sebelum', 'final', 'piala dunia', 'akun', 'kena', 'pdhl', 'nggk', 'ngapa']</t>
  </si>
  <si>
    <t>@terabhitiya @hahakiiim @alvdon_zz @The_RedsIndo Justru dimaria masih oke smpai mnit 70an org dia mmng disiapkn utk final kok, klo dybala yg mmng gk fit krna dimainkn dimenit akhr trs. Acuna aja di bek sayap crossing yg bagus hnya ketika uji coba sblm pil</t>
  </si>
  <si>
    <t>redsindo justru dimaria masih oke smpai mnit org dia mmng disiapkn utk final kok klo dybala mmng fit krna dimainkn dimenit akhr trs acuna aja bek sayap crossing bagus hnya ketika uji coba sblm pil</t>
  </si>
  <si>
    <t>['redsindo', 'justru', 'dimaria', 'oke', 'smpai', 'mnit', 'org', 'mmng', 'disiapkn', 'final', 'kok', 'dybala', 'mmng', 'fit', 'krna', 'dimainkn', 'dimenit', 'akhr', 'terus', 'acuna', 'bek', 'sayap', 'crossing', 'bagus', 'hnya', 'uji', 'coba', 'sebelum', 'pil']</t>
  </si>
  <si>
    <t>@newshunter25 Kehilangan taring tapi 2018 dapat pildun, 2022 masuk final, kalah di pinalti lagi. Yang beban mah benzema aja di prancis</t>
  </si>
  <si>
    <t>kehilangan taring tapi dapat pildun masuk final kalah pinalti lagi yang beban mah benzema aja prancis</t>
  </si>
  <si>
    <t>['kehilangan', 'taring', 'piala dunia', 'masuk', 'final', 'kalah', 'penalti', 'beban', 'mah', 'benzema', 'prancis']</t>
  </si>
  <si>
    <t>kgn final pildun</t>
  </si>
  <si>
    <t>['kgn', 'final', 'piala dunia']</t>
  </si>
  <si>
    <t>@convomfs Suami aku dong, kerja sambil nonton final pildun+dirumah juga‚ù§Ô∏è‚ù§Ô∏è</t>
  </si>
  <si>
    <t>suami aku dong kerja sambil nonton final pildun dirumah juga</t>
  </si>
  <si>
    <t>['suami', 'aku', 'dong', 'kerja', 'nonton', 'final', 'piala dunia', 'dirumah']</t>
  </si>
  <si>
    <t>@idextratime Ada satu hal orang orang lupa, matahin kutukan juara dunia gak lolos fase grup, dan prancis sampai ke final loh, jangan ntar di pildun selanjutnya argentina gak lolos fase grup seperti jerman dan spanyol.</t>
  </si>
  <si>
    <t>ada satu hal orang orang lupa matahin kutukan juara dunia gak lolos fase grup dan prancis sampai final loh jangan ntar pildun selanjutnya argentina gak lolos fase grup seperti jerman dan spanyol</t>
  </si>
  <si>
    <t>['satu', 'orang', 'orang', 'lupa', 'matahin', 'kutukan', 'juara', 'dunia', 'lolos', 'fase', 'grup', 'prancis', 'final', 'jangan', 'ntar', 'piala dunia', 'selanjutnya', 'argentina', 'lolos', 'fase', 'grup', 'jerman', 'spanyol']</t>
  </si>
  <si>
    <t>@realmadridindo1 Julid amat ini akun y, g di sini g di fb g di ig, kayanya panas amat Messi bs dpt pildun sdgkan dodo gbs, Messi 2x masuk final 2x liat lsg piala nya, 1x bs pegang cium angkat hore rame* tp dodo tdk prnh bs üòÇü§£, dr segi gol dr segi pr</t>
  </si>
  <si>
    <t>julid amat ini akun sini kayanya panas amat messi dpt pildun sdgkan dodo gbs messi masuk final liat lsg piala nya pegang cium angkat hore rame dodo tdk prnh segi gol segi</t>
  </si>
  <si>
    <t>['julid', 'akun', 'sini', 'kayanya', 'panas', 'messi', 'dpt', 'piala dunia', 'sdgkan', 'dodo', 'tidak bisa', 'messi', 'masuk', 'final', 'lihat', 'lsg', 'piala', 'pegang', 'cium', 'angkat', 'hore', 'ramai', 'dodo', 'prnh', 'segi', 'gol', 'segi']</t>
  </si>
  <si>
    <t>@Askrlfess gw jg abis dibilang gini ama temen gegara bikin story pas final pildun kemaren "lu ko tiba2 suka messi aja", ya gw jawab lah "lah anjir uda lama, emng perlu ya apa2 kalo gw suka trs di public" anjir bgt pdhl dah dari jaman messi di barca, itu c</t>
  </si>
  <si>
    <t>abis dibilang gini ama temen gegara bikin story pas final pildun kemaren tiba suka messi aja jawab lah lah anjir uda lama emng perlu apa kalo suka trs public anjir bgt pdhl dah dari jaman messi barca itu</t>
  </si>
  <si>
    <t>['abis', 'dibilang', 'gini', 'ama', 'temen', 'gegara', 'story', 'pas', 'final', 'piala dunia', 'kemarin', 'tiba', 'suka', 'messi', 'jawab', 'lah', 'lah', 'anjir', 'uda', 'lama', 'memang', 'perlu', 'apa', 'suka', 'terus', 'public', 'anjir', 'banget', 'pdhl', 'dah', 'jaman', 'messi', 'barca']</t>
  </si>
  <si>
    <t>@kegblgnunfaedh sehari sebelum final tapi uda post tu megang pildun, ngadi¬≤ ni berita</t>
  </si>
  <si>
    <t>sehari sebelum final tapi uda post megang pildun ngadi berita</t>
  </si>
  <si>
    <t>['sehari', 'final', 'uda', 'post', 'megang', 'piala dunia', 'ngadi', 'berita']</t>
  </si>
  <si>
    <t>Ini final Pildun apa perlu semacam "True Sight" ya</t>
  </si>
  <si>
    <t>ini final pildun apa perlu semacam true sight</t>
  </si>
  <si>
    <t>['final', 'piala dunia', 'apa', 'perlu', 'semacam', 'true', 'sight']</t>
  </si>
  <si>
    <t>solusi instan biar ga ot nonton siaran ulang final pildun</t>
  </si>
  <si>
    <t>solusi instan biar nonton siaran ulang final pildun</t>
  </si>
  <si>
    <t>['solusi', 'instan', 'nonton', 'siaran', 'ulang', 'final', 'piala dunia']</t>
  </si>
  <si>
    <t>@tanyakanrl Nobar final pildun bareng richarlison n casemiro  https://t.co/2yxPf43l49</t>
  </si>
  <si>
    <t>nobar final pildun bareng richarlison casemiro</t>
  </si>
  <si>
    <t>['nonton bareng', 'final', 'piala dunia', 'bareng', 'richarlison', 'casemiro']</t>
  </si>
  <si>
    <t>The best final world cup, Qatar 2022. The best euforia world cup, South Africa 2010.  Merch pildun di minimarket ges siga marjan jeng kurma dibulan puasa, rea!  https://t.co/usWrr0lFdL</t>
  </si>
  <si>
    <t>the best final world cup qatar the best euforia world cup south africa merch pildun minimarket ges siga marjan jeng kurma dibulan puasa rea</t>
  </si>
  <si>
    <t>['the', 'best', 'final', 'world', 'cup', 'qatar', 'the', 'best', 'euforia', 'world', 'cup', 'south', 'africa', 'merch', 'piala dunia', 'minimarket', 'guys', 'siga', 'marjan', 'jeng', 'kurma', 'dibulan', 'puasa', 'rea']</t>
  </si>
  <si>
    <t>gw ngetwit Messi aja kmrn pas final pildun doang? ‚ò†Ô∏è  https://t.co/c3XKyrsY9l</t>
  </si>
  <si>
    <t>ngetwit messi aja kmrn pas final pildun doang</t>
  </si>
  <si>
    <t>['ngetwit', 'messi', 'kmrn', 'pas', 'final', 'piala dunia', 'doang']</t>
  </si>
  <si>
    <t>kurang seru apa coba final pildun 2022 ini</t>
  </si>
  <si>
    <t>kurang seru apa coba final pildun ini</t>
  </si>
  <si>
    <t>['kurang', 'seru', 'apa', 'coba', 'final', 'piala dunia']</t>
  </si>
  <si>
    <t>@howlisheet cuma mau ngingetin kalo prancis kalah di final pildun, siapa tau lupaü§°</t>
  </si>
  <si>
    <t>cuma mau ngingetin kalo prancis kalah final pildun siapa tau lupa</t>
  </si>
  <si>
    <t>['cuma', 'mau', 'ngingetin', 'prancis', 'kalah', 'final', 'piala dunia', 'siapa', 'lupa']</t>
  </si>
  <si>
    <t>@hafidz_thaha @SiaranBolaLive Zidane CL cuma sebiji, Xavi Iniesta, Ramos ga ada yang menangin BDO, final Pildun cuma 1x.  Ya siapapun itu respek juga sama capaiannya mereka, cuma apa yang dicapai Messi dengan BDO yang lebih 1, UCL, Pildun, Copa tetap perl</t>
  </si>
  <si>
    <t>thaha zidane cuma sebiji xavi iniesta ramos ada yang menangin bdo final pildun cuma siapapun itu respek juga sama capaiannya mereka cuma apa yang dicapai messi dengan bdo yang lebih ucl pildun copa tetap perl</t>
  </si>
  <si>
    <t>['thaha', 'zidane', 'cuma', 'sebiji', 'xavi', 'iniesta', 'ramos', 'menangin', 'bdo', 'final', 'piala dunia', 'cuma', 'siapapun', 'respek', 'sama', 'capaiannya', 'cuma', 'apa', 'dicapai', 'messi', 'bdo', 'lebih', 'ucl', 'piala dunia', 'copa', 'tetap', 'perl']</t>
  </si>
  <si>
    <t>@setiawann2001 @i_goyy @idextratime Klo yg bikin handball pemain musuh dalam kotak pinalti diasndiri (tangan aktif), auto kita dapat pinalti, (contoh final pildun kmarin lalu, pinalti france ke dua dpt dr handballny Montiel pemain Argentina)</t>
  </si>
  <si>
    <t>goyy klo bikin handball pemain musuh dalam kotak pinalti diasndiri tangan aktif auto kita dapat pinalti contoh final pildun kmarin lalu pinalti france dua dpt handballny montiel pemain argentina</t>
  </si>
  <si>
    <t>['goyy', 'handball', 'pemain', 'musuh', 'kotak', 'penalti', 'diasndiri', 'tangan', 'aktif', 'auto', 'penalti', 'contoh', 'final', 'piala dunia', 'kmarin', 'lalu', 'penalti', 'france', 'dpt', 'handballny', 'montiel', 'pemain', 'argentina']</t>
  </si>
  <si>
    <t>iya gw tau  sakit hati itu emang perih  tapi pernah ga sih lu laper tengah malem, terus nemu mie dan telor terakhir  pas mie nya udah masak, lu masukin telor, ternyata telornya udah basi  rasanya kaya nonton final pildun tapi lu all in ke prancis</t>
  </si>
  <si>
    <t>iya tau sakit hati itu emang perih tapi pernah sih laper tengah malem terus nemu mie dan telor terakhir pas mie nya udah masak masukin telor ternyata telornya udah basi rasanya kaya nonton final pildun tapi all prancis</t>
  </si>
  <si>
    <t>['iya', 'sakit', 'hati', 'emang', 'perih', 'pernah', 'laper', 'tengah', 'malem', 'terus', 'nemu', 'mie', 'telor', 'terakhir', 'pas', 'mie', 'udah', 'masak', 'masukin', 'telor', 'ternyata', 'telornya', 'udah', 'basi', 'rasanya', 'kaya', 'nonton', 'final', 'piala dunia', 'all', 'prancis']</t>
  </si>
  <si>
    <t>@TAJ00NAKYUNG oh itu maren lagi nonton final pildun</t>
  </si>
  <si>
    <t>itu maren lagi nonton final pildun</t>
  </si>
  <si>
    <t>['maren', 'nonton', 'final', 'piala dunia']</t>
  </si>
  <si>
    <t>W nobar ini setelah nobar final pildun. Jadi sama sama nobar sampe subuh hahahahah Gokil gokillll</t>
  </si>
  <si>
    <t>nobar ini setelah nobar final pildun jadi sama sama nobar sampe subuh hahahahah gokil gokillll</t>
  </si>
  <si>
    <t>['nonton bareng', 'nonton bareng', 'final', 'piala dunia', 'jadi', 'sama', 'sama', 'nonton bareng', 'sampai', 'subuh', 'hahahahah', 'gila', 'gokillll']</t>
  </si>
  <si>
    <t>@yoongi4ddicted akunku abis ke lock dan baru balik sebelum final pildun, bis itu bolak balik ngetweet mbappe. jadi mungkin itu penyebabnyaüò≠üò≠</t>
  </si>
  <si>
    <t>akunku abis lock dan baru balik sebelum final pildun bis itu bolak balik ngetweet mbappe jadi mungkin itu penyebabnya</t>
  </si>
  <si>
    <t>['akunku', 'abis', 'lock', 'baru', 'balik', 'final', 'piala dunia', 'bis', 'bolak', 'balik', 'ngetweet', 'mbappe', 'jadi', 'mungkin', 'penyebabnya']</t>
  </si>
  <si>
    <t>bocil nonton final pildun  https://t.co/DBsDeVKrZo</t>
  </si>
  <si>
    <t>bocil nonton final pildun</t>
  </si>
  <si>
    <t>['bocil', 'nonton', 'final', 'piala dunia']</t>
  </si>
  <si>
    <t>Orang orang kok bisa ya final pildun duitnya makin bekurangü§≠  https://t.co/oAxkcNxTcO</t>
  </si>
  <si>
    <t>orang orang kok bisa final pildun duitnya makin bekurang</t>
  </si>
  <si>
    <t>['orang', 'orang', 'kok', 'final', 'piala dunia', 'duitnya', 'makin', 'bekurang']</t>
  </si>
  <si>
    <t>@yo_csy WKWK KAK  Kmrnan kan bru dpt bonus ig stori final pildun tu. Bersyukur donk üôÑ</t>
  </si>
  <si>
    <t>csy wkwk kak kmrnan kan bru dpt bonus stori final pildun bersyukur donk</t>
  </si>
  <si>
    <t>['csy', 'kak', 'kmrnan', 'kan', 'bru', 'dpt', 'bonus', 'stori', 'final', 'piala dunia', 'bersyukur', 'donk']</t>
  </si>
  <si>
    <t>@idextratime Final pildun kemaren ditonton 4milyar manusia. Total manusia di bumi ada 8milyar. Kau simpulkan aja sendiri lah.</t>
  </si>
  <si>
    <t>final pildun kemaren ditonton milyar manusia total manusia bumi ada milyar kau simpulkan aja sendiri lah</t>
  </si>
  <si>
    <t>['final', 'piala dunia', 'kemarin', 'ditonton', 'milyar', 'manusia', 'total', 'manusia', 'bumi', 'milyar', 'kau', 'simpulkan', 'sendiri', 'lah']</t>
  </si>
  <si>
    <t>@GOAL_ID Tergantung dia main dimna nih. Kalo mau lebih tajam keknya harus pindah club. Kabar terakhir Mbappe pengen cabut gaa2 gk betah. Paling ideal ke madrid dia. Madrid pasti mikir dua kali abis ngeliat dia di final Pildun. Itu menurut pandangan saya.</t>
  </si>
  <si>
    <t>tergantung dia main dimna nih kalo mau lebih tajam keknya harus pindah club kabar terakhir mbappe pengen cabut gaa betah paling ideal madrid dia madrid pasti mikir dua kali abis ngeliat dia final pildun itu menurut pandangan saya</t>
  </si>
  <si>
    <t>['tergantung', 'main', 'dimna', 'mau', 'lebih', 'tajam', 'sepertinya', 'pindah', 'club', 'kabar', 'terakhir', 'mbappe', 'pengen', 'pergi', 'gaa', 'betah', 'paling', 'ideal', 'madrid', 'madrid', 'mikir', 'kali', 'abis', 'ngeliat', 'final', 'piala dunia', 'pandangan']</t>
  </si>
  <si>
    <t>@Askrlfess Aku abis nonton final pildun , doi ga nonton soalnya harus tidur di bawah jm 10 , bangun2 dia ga terima kalo yg menang argentina dan bilang setingan wkwk  https://t.co/nJOPE2oOi9</t>
  </si>
  <si>
    <t>aku abis nonton final pildun doi nonton soalnya harus tidur bawah bangun dia terima kalo menang argentina dan bilang setingan wkwk</t>
  </si>
  <si>
    <t>['aku', 'abis', 'nonton', 'final', 'piala dunia', 'doi', 'nonton', 'soalnya', 'tidur', 'bawah', 'bangun', 'terima', 'menang', 'argentina', 'settingan']</t>
  </si>
  <si>
    <t>@idextratime Ini sih parah banget ibarat indo kalah lawan philina di final pildun ya kali pemain persib posting selamat ke daisuke sato  https://t.co/FW6yCzsrsU</t>
  </si>
  <si>
    <t>ini sih parah banget ibarat indo kalah lawan philina final pildun kali pemain persib posting selamat daisuke sato</t>
  </si>
  <si>
    <t>['parah', 'banget', 'ibarat', 'indo', 'kalah', 'lawan', 'philina', 'final', 'piala dunia', 'kali', 'pemain', 'persib', 'posting', 'selamat', 'daisuke', 'sato']</t>
  </si>
  <si>
    <t>Demi apapun baru tau kemarin final pildun üòÇ</t>
  </si>
  <si>
    <t>demi apapun baru tau kemarin final pildun</t>
  </si>
  <si>
    <t>['apapun', 'baru', 'kemarin', 'final', 'piala dunia']</t>
  </si>
  <si>
    <t>Bisa aja kan final pildun jadi cerita buat anak kita kalo ternyata seneng bola...</t>
  </si>
  <si>
    <t>bisa aja kan final pildun jadi cerita buat anak kita kalo ternyata seneng bola</t>
  </si>
  <si>
    <t>['kan', 'final', 'piala dunia', 'jadi', 'cerita', 'buat', 'anak', 'ternyata', 'seneng', 'bola']</t>
  </si>
  <si>
    <t>Pas nobar final gue bilang ke @Zeinangelicaa "besok wallpaper gue ganti pake foto Messi yg angkat piala pildun beneran" dan alhamdulillah terkabulüò≠  From this                   To this  https://t.co/6V466rdYBz</t>
  </si>
  <si>
    <t>pas nobar final gue bilang besok wallpaper gue ganti pake foto messi angkat piala pildun beneran dan alhamdulillah terkabul from this this</t>
  </si>
  <si>
    <t>['pas', 'nonton bareng', 'final', 'gue', 'besok', 'wallpaper', 'gue', 'ganti', 'pake', 'foto', 'messi', 'angkat', 'piala', 'piala dunia', 'beneran', 'alhamdulillah', 'terkabul', 'from', 'this', 'this']</t>
  </si>
  <si>
    <t>@madeoabr @myechaa Bapa lu ngobrol ama gw pas final pildun</t>
  </si>
  <si>
    <t>bapa ngobrol ama pas final pildun</t>
  </si>
  <si>
    <t>['bapa', 'ngobrol', 'ama', 'pas', 'final', 'piala dunia']</t>
  </si>
  <si>
    <t>@Destiko @garistengah_id kortoa jaman masih dipinjem ama atm udah bagus kali dia salah satu aktor yg bikin atm juara dan ke final ucl tahun itu dan dichelsea langsung juara epl jaman conte walaupun mulai agak ngedrop dan akhirnya dibeli madrid kelar pildu</t>
  </si>
  <si>
    <t>kortoa jaman masih dipinjem ama atm udah bagus kali dia salah satu aktor bikin atm juara dan final ucl tahun itu dan dichelsea langsung juara epl jaman conte walaupun mulai agak ngedrop dan akhirnya dibeli madrid kelar pildu</t>
  </si>
  <si>
    <t>['kortoa', 'jaman', 'dipinjem', 'ama', 'atm', 'udah', 'bagus', 'kali', 'salah', 'satu', 'aktor', 'atm', 'juara', 'final', 'ucl', 'tahun', 'dichelsea', 'langsung', 'juara', 'epl', 'jaman', 'conte', 'walaupun', 'mulai', 'ngedrop', 'akhirnya', 'dibeli', 'madrid', 'kelar', 'pildu']</t>
  </si>
  <si>
    <t>Ketika pengen nonton final pildun tp harus kerja ü§£ü§£</t>
  </si>
  <si>
    <t>ketika pengen nonton final pildun harus kerja</t>
  </si>
  <si>
    <t>['pengen', 'nonton', 'final', 'piala dunia', 'kerja']</t>
  </si>
  <si>
    <t>@Fxrmx1 @indocringe_ Hrs ada klub/negara yg lu dukung si.. gua juga kalau nonton bola selain Liverpool juga ngantuk üòÇ di pildun aja gua cuma nonton final doang</t>
  </si>
  <si>
    <t>hrs ada klub negara dukung gua juga kalau nonton bola selain liverpool juga ngantuk pildun aja gua cuma nonton final doang</t>
  </si>
  <si>
    <t>['hrs', 'klub', 'negara', 'dukung', 'gua', 'kalau', 'nonton', 'bola', 'liverpool', 'ngantuk', 'piala dunia', 'gua', 'cuma', 'nonton', 'final', 'doang']</t>
  </si>
  <si>
    <t>that "baru menang sekali"  idola lu pernah menang gak goblok? jangankan juara pildun main di final aja gak pernah. goblok mu dicky udh di luar nalar, udah goblok bangga lagi dgn kegoblokannya.  gue tau lu lg hibur diri, tp jgn malu¬≤in diri lu sendiri blok.  https://t.co/uImEFPQMUw</t>
  </si>
  <si>
    <t>that baru menang sekali idola pernah menang gak goblok jangankan juara pildun main final aja gak pernah goblok dicky udh luar nalar udah goblok bangga lagi dgn kegoblokannya gue tau hibur diri jgn malu diri sendiri blok</t>
  </si>
  <si>
    <t>['that', 'baru', 'menang', 'sekali', 'idola', 'pernah', 'menang', 'goblok', 'jangankan', 'juara', 'piala dunia', 'main', 'final', 'pernah', 'goblok', 'dicky', 'sudah', 'luar', 'nalar', 'udah', 'goblok', 'bangga', 'kegoblokannya', 'gue', 'hibur', 'diri', 'malu', 'diri', 'sendiri', 'blok']</t>
  </si>
  <si>
    <t>@dickykcivv @ziiiiiiiid @idextratime penaldo gimana? jangankan menang pildun ngerasain final pildun pun gak pernah.   fans emyu + penyepong ronaldo = kegoblokan kuadrat</t>
  </si>
  <si>
    <t>penaldo gimana jangankan menang pildun ngerasain final pildun pun gak pernah fans emyu penyepong ronaldo kegoblokan kuadrat</t>
  </si>
  <si>
    <t>['penaldo', 'gimana', 'jangankan', 'menang', 'piala dunia', 'ngerasain', 'final', 'piala dunia', 'pernah', 'fans', 'emyu', 'penyepong', 'ronaldo', 'kegoblokan', 'kuadrat']</t>
  </si>
  <si>
    <t>@penerbitfandom Final pildun tergokil sih argentina vs prancis</t>
  </si>
  <si>
    <t>final pildun tergokil sih argentina prancis</t>
  </si>
  <si>
    <t>['final', 'piala dunia', 'tergokil', 'argentina', 'prancis']</t>
  </si>
  <si>
    <t>sebagai poser bola dan ga bisa maen bola seneng banget nonbar final pildun kemarin sekaligus nonton pundit2 soccer secara langsung yg sebelumnya cuma dengerin podcast doang. thanks @registaco @aunrrahman @rndy11 @dexglenniza @Rossifinza @ariyadifebri  https://t.co/ngWkrRLunb</t>
  </si>
  <si>
    <t>sebagai poser bola dan bisa maen bola seneng banget nonbar final pildun kemarin sekaligus nonton pundit soccer secara langsung sebelumnya cuma dengerin podcast doang thanks</t>
  </si>
  <si>
    <t>['poser', 'bola', 'maen', 'bola', 'seneng', 'banget', 'nonbar', 'final', 'piala dunia', 'kemarin', 'sekaligus', 'nonton', 'pundit', 'soccer', 'langsung', 'sebelumnya', 'cuma', 'dengerin', 'podcast', 'doang', 'thanks']</t>
  </si>
  <si>
    <t>@vvotanet Ini sebuah kebetulan yg ga disengaja sih nder, gua jga mikir kyk lu gitu. Tpi gua ga mikir JOT sengaja ngambil sabtu biar ga kalah hype pildun, soalnya jeketi emng debut tgl 17, trus ni konser dipersiapinnya jga udh dri jauh2 hari dri jadwal fin</t>
  </si>
  <si>
    <t>ini sebuah kebetulan disengaja sih nder gua jga mikir kyk gitu tpi gua mikir jot sengaja ngambil sabtu biar kalah hype pildun soalnya jeketi emng debut tgl trus konser dipersiapinnya jga udh dri jauh hari dri jadwal fin</t>
  </si>
  <si>
    <t>['sebuah', 'kebetulan', 'disengaja', 'nder', 'gua', 'jga', 'mikir', 'seperti', 'gitu', 'tpi', 'gua', 'mikir', 'jot', 'sengaja', 'ngambil', 'sabtu', 'kalah', 'hype', 'piala dunia', 'soalnya', 'jeketi', 'memang', 'debut', 'tgl', 'trus', 'konser', 'dipersiapinnya', 'jga', 'sudah', 'dri', 'jauh', 'hari', 'dri', 'jadwal', 'fin']</t>
  </si>
  <si>
    <t>@detikcom Udah lewat, emng klu mmng benar Trophy Pildun bakalan di kembalikan dan prtandingan final di ulang. Gk ada bahasan lain apa</t>
  </si>
  <si>
    <t>udah lewat emng klu mmng benar trophy pildun bakalan kembalikan dan prtandingan final ulang ada bahasan lain apa</t>
  </si>
  <si>
    <t>['udah', 'lewat', 'memang', 'klu', 'mmng', 'benar', 'trophy', 'piala dunia', 'bakalan', 'kembalikan', 'prtandingan', 'final', 'ulang', 'bahasan', 'apa']</t>
  </si>
  <si>
    <t>@AlwaysBeSmart1 @idextratime Mau cetak gol lawan tim besar, mau hatrick, mau quatrick, mau berapa trick pun crisno blm pernah bawa negaranya sampe final pildun apalagi menang bang. Ya syukur dia gk pensiun, biar lelah nunggu negaranya sampe final</t>
  </si>
  <si>
    <t>mau cetak gol lawan tim besar mau hatrick mau quatrick mau berapa trick pun crisno blm pernah bawa negaranya sampe final pildun apalagi menang bang syukur dia pensiun biar lelah nunggu negaranya sampe final</t>
  </si>
  <si>
    <t>['mau', 'cetak', 'gol', 'lawan', 'tim', 'besar', 'mau', 'hatrick', 'mau', 'quatrick', 'mau', 'berapa', 'trick', 'crisno', 'blm', 'pernah', 'bawa', 'negaranya', 'sampai', 'final', 'piala dunia', 'menang', 'bang', 'syukur', 'pensiun', 'lelah', 'nunggu', 'negaranya', 'sampai', 'final']</t>
  </si>
  <si>
    <t>@intermilanstory @TyCSports 7 gol 3 asisst dlm kualifikasi pildun, dibela messi saat buang2 peluang di pildun dan jadi salah satu aktor dalam gol ke 3 messi di final..meskipun tdk terllu bagus di pildun 2022 tapi lautaro tetap terbaik utk masa depan argen</t>
  </si>
  <si>
    <t>gol asisst dlm kualifikasi pildun dibela messi saat buang peluang pildun dan jadi salah satu aktor dalam gol messi final meskipun tdk terllu bagus pildun tapi lautaro tetap terbaik utk masa depan argen</t>
  </si>
  <si>
    <t>['gol', 'asisst', 'dlm', 'kualifikasi', 'piala dunia', 'dibela', 'messi', 'buang', 'peluang', 'piala dunia', 'jadi', 'salah', 'satu', 'aktor', 'gol', 'messi', 'final', 'meskipun', 'terllu', 'bagus', 'piala dunia', 'lautaro', 'tetap', 'terbaik', 'masa', 'depan', 'argen']</t>
  </si>
  <si>
    <t>Lu kerja tapi pas sama final pildun ü§£ü§£</t>
  </si>
  <si>
    <t>kerja tapi pas sama final pildun</t>
  </si>
  <si>
    <t>['kerja', 'pas', 'sama', 'final', 'piala dunia']</t>
  </si>
  <si>
    <t>@vickyh23_ @idextratime tai ah, setiap final 2 team pasti nyiapin. mau itu pildun, ucl, euro.</t>
  </si>
  <si>
    <t>tai setiap final team pasti nyiapin mau itu pildun ucl euro</t>
  </si>
  <si>
    <t>['tai', 'final', 'team', 'nyiapin', 'mau', 'piala dunia', 'ucl', 'euro']</t>
  </si>
  <si>
    <t>kemarenn pas malem final pildun  https://t.co/KyYFk6kiw3</t>
  </si>
  <si>
    <t>kemarenn pas malem final pildun</t>
  </si>
  <si>
    <t>['kemarenn', 'pas', 'malem', 'final', 'piala dunia']</t>
  </si>
  <si>
    <t>@infoAzzurri Tenang min‚Ä¶ 2026 pildun di Amerika.. jatahnya Italia final üòÅ</t>
  </si>
  <si>
    <t>tenang min pildun amerika jatahnya italia final</t>
  </si>
  <si>
    <t>['tenang', 'min', 'piala dunia', 'amerika', 'jatahnya', 'italia', 'final']</t>
  </si>
  <si>
    <t>@himomo969696x Nonton final pildun</t>
  </si>
  <si>
    <t>nonton final pildun</t>
  </si>
  <si>
    <t>['nonton', 'final', 'piala dunia']</t>
  </si>
  <si>
    <t>@badruneee @alveolus00 @AdityaPP04 @idextratime dodo juga bisa keknya.  sekalian menjadi pemain tertua di pildun 2026. dr dari fase grup, sampe final. di bangku cadangan.</t>
  </si>
  <si>
    <t>dodo juga bisa keknya sekalian menjadi pemain tertua pildun dari fase grup sampe final bangku cadangan</t>
  </si>
  <si>
    <t>['dodo', 'sepertinya', 'sekalian', 'menjadi', 'pemain', 'tertua', 'piala dunia', 'fase', 'grup', 'sampai', 'final', 'bangku', 'cadangan']</t>
  </si>
  <si>
    <t>Bisa2nya lu sabotase ya anjng. Bapak w kemarin gak bisa nonton final pildun gara2 channel yg biasanya buat nonton hilang. Biar disuruh streamingan bayar hihhh</t>
  </si>
  <si>
    <t>bisa nya sabotase anjng bapak kemarin gak bisa nonton final pildun gara channel biasanya buat nonton hilang biar disuruh streamingan bayar hihhh</t>
  </si>
  <si>
    <t>['sabotase', 'anjng', 'bapak', 'kemarin', 'nonton', 'final', 'piala dunia', 'gara', 'channel', 'biasanya', 'buat', 'nonton', 'hilang', 'disuruh', 'streamingan', 'bayar', 'hihhh']</t>
  </si>
  <si>
    <t>Njiirrr beneran konspirasi. Pas final pildun kemarin channel yg biasanya bapak w nonton tiba2 hilang, disuruh streaming aja mana bayar2   Eh tadi dicari lagi tiba2 muncul. Aaakkhh bgsaattt üòÇ</t>
  </si>
  <si>
    <t>njiirrr beneran konspirasi pas final pildun kemarin channel biasanya bapak nonton tiba hilang disuruh streaming aja mana bayar tadi dicari lagi tiba muncul aaakkhh bgsaattt</t>
  </si>
  <si>
    <t>['njiirrr', 'beneran', 'konspirasi', 'pas', 'final', 'piala dunia', 'kemarin', 'channel', 'biasanya', 'bapak', 'nonton', 'tiba', 'hilang', 'disuruh', 'streaming', 'mana', 'bayar', 'tadi', 'dicari', 'tiba', 'muncul', 'aaakkhh', 'bgsaattt']</t>
  </si>
  <si>
    <t>Trend final pildun karbitan suka bola dadakan ngikut* "yang all in argentina full senyum"  Blok goblok goblok deck deck. Noh realita judi bola 1x2 hdp o/u, draw 90mnit imbang dll, yg full senyum bandarnya. Gk semua yg all in pegang argentina full senyum.</t>
  </si>
  <si>
    <t>trend final pildun karbitan suka bola dadakan ngikut yang all argentina full senyum blok goblok goblok deck deck noh realita judi bola hdp draw mnit imbang dll full senyum bandarnya semua all pegang argentina full senyum</t>
  </si>
  <si>
    <t>['trend', 'final', 'piala dunia', 'karbitan', 'suka', 'bola', 'dadakan', 'ngikut', 'all', 'argentina', 'full', 'senyum', 'blok', 'goblok', 'goblok', 'deck', 'deck', 'noh', 'realita', 'judi', 'bola', 'hdp', 'draw', 'mnit', 'imbang', 'full', 'senyum', 'bandarnya', 'semua', 'all', 'pegang', 'argentina', 'full', 'senyum']</t>
  </si>
  <si>
    <t>&lt;FreqDist with 25 samples and 34 outcomes&gt;</t>
  </si>
  <si>
    <t>hhhhh kemaren menuntun final bola date, pa bs tanggal 21 ada pildun dadakan lagi</t>
  </si>
  <si>
    <t>hhhhh kemaren menuntun final bola date tanggal ada pildun dadakan lagi</t>
  </si>
  <si>
    <t>['hhhhh', 'kemarin', 'menuntun', 'final', 'bola', 'date', 'tanggal', 'piala dunia', 'dadakan']</t>
  </si>
  <si>
    <t>Gua ko heran ya sama orang orang yang bilang final pildun setingan, sampe menang pun setingan emang mereka ga liat ya pas final pertandinganya gimana saling serang nyetak gol.</t>
  </si>
  <si>
    <t>gua heran sama orang orang yang bilang final pildun setingan sampe menang pun setingan emang mereka liat pas final pertandinganya gimana saling serang nyetak gol</t>
  </si>
  <si>
    <t>['gua', 'heran', 'sama', 'orang', 'orang', 'final', 'piala dunia', 'settingan', 'sampai', 'menang', 'settingan', 'emang', 'lihat', 'pas', 'final', 'pertandinganya', 'gimana', 'saling', 'serang', 'nyetak', 'gol']</t>
  </si>
  <si>
    <t>@nenaissant Terakhir pas final pildun. Abis itu kamu ngilang :(</t>
  </si>
  <si>
    <t>terakhir pas final pildun abis itu kamu ngilang</t>
  </si>
  <si>
    <t>['terakhir', 'pas', 'final', 'piala dunia', 'abis', 'kamu', 'ngilang']</t>
  </si>
  <si>
    <t xml:space="preserve">@RifqyMAz295 @wordfangs Pildun normal 2010,2014,2018, cuma 2014 di host country jadwal aneh siang dan sore demi Europe, 2018 overall normal cuma angkat pialanya pas langit belum terlalu gelap karena final main jam 6 di Rusia jadi kurang megah aja, 22 dan </t>
  </si>
  <si>
    <t>pildun normal cuma host country jadwal aneh siang dan sore demi europe overall normal cuma angkat pialanya pas langit belum terlalu gelap karena final main jam rusia jadi kurang megah aja dan</t>
  </si>
  <si>
    <t>['piala dunia', 'normal', 'cuma', 'host', 'country', 'jadwal', 'aneh', 'siang', 'sore', 'europe', 'overall', 'normal', 'cuma', 'angkat', 'pialanya', 'pas', 'langit', 'terlalu', 'gelap', 'final', 'main', 'jam', 'rusia', 'jadi', 'kurang', 'megah']</t>
  </si>
  <si>
    <t>@myskill_id All in Perancis di final pildun 18, dan all in Argen di final pildun 22 yaa</t>
  </si>
  <si>
    <t>all perancis final pildun dan all argen final pildun yaa</t>
  </si>
  <si>
    <t>['all', 'perancis', 'final', 'piala dunia', 'all', 'argen', 'final', 'piala dunia', 'ya']</t>
  </si>
  <si>
    <t>@utdfocusid buset 4 hari doang dri final pildun</t>
  </si>
  <si>
    <t>buset hari doang dri final pildun</t>
  </si>
  <si>
    <t>['buset', 'hari', 'doang', 'dri', 'final', 'piala dunia']</t>
  </si>
  <si>
    <t>@AlwaysBeSmart1 @idextratime Minimal idola lu pernah masuk final pildun dulu lah wkwk</t>
  </si>
  <si>
    <t>minimal idola pernah masuk final pildun dulu lah wkwk</t>
  </si>
  <si>
    <t>['minimal', 'idola', 'pernah', 'masuk', 'final', 'piala dunia', 'dulu', 'lah']</t>
  </si>
  <si>
    <t>@eskunanlan @realmadridindo1 Gugup banget keliatan, sekalinya ngambil penalty, d final pildun ajgg wkwkwkw</t>
  </si>
  <si>
    <t>gugup banget keliatan sekalinya ngambil penalty final pildun ajgg wkwkwkw</t>
  </si>
  <si>
    <t>['gugup', 'banget', 'keliatan', 'sekalinya', 'ngambil', 'penalty', 'final', 'piala dunia', 'ajgg', 'wkwkwkw']</t>
  </si>
  <si>
    <t>suara abis gara2 final pildun ü§ï</t>
  </si>
  <si>
    <t>suara abis gara final pildun</t>
  </si>
  <si>
    <t>['suara', 'abis', 'gara', 'final', 'piala dunia']</t>
  </si>
  <si>
    <t>@Hanz_Arga_Iza @gabrielabyssia Curiga, anda taruhan final pildun hanz ama temenmu</t>
  </si>
  <si>
    <t>arga iza curiga anda taruhan final pildun hanz ama temenmu</t>
  </si>
  <si>
    <t>['arga', 'iza', 'curiga', 'taruhan', 'final', 'piala dunia', 'hanz', 'ama', 'temenmu']</t>
  </si>
  <si>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</si>
  <si>
    <t>pergi pecinan beli samurai samurai indah bikinan koh final pildun sudah usai selamat beraktifitas hari senin minimm pengen tau dong profil nomor berapakah yang sudah ada dalam diri immawan immawati semua fyi medkom dpd imm jateng</t>
  </si>
  <si>
    <t>['pergi', 'pecinan', 'beli', 'samurai', 'samurai', 'indah', 'bikinan', 'koh', 'final', 'piala dunia', 'usai', 'selamat', 'beraktifitas', 'hari', 'senin', 'minimm', 'pengen', 'dong', 'profil', 'nomor', 'berapakah', 'diri', 'immawan', 'immawati', 'semua', 'for your information', 'medkom', 'dpd', 'imm', 'jateng']</t>
  </si>
  <si>
    <t>masih terngiang-ngiang final pildun duh</t>
  </si>
  <si>
    <t>masih terngiang ngiang final pildun duh</t>
  </si>
  <si>
    <t>['terngiang', 'ngiang', 'final', 'piala dunia', 'duh']</t>
  </si>
  <si>
    <t>@crocell_bestboy ADA DONGG üòéü§ò KITA SOBAT HORE¬≤ FINAL PILDUN KEMAREN ‚öΩÔ∏èüèüüéâüéâ</t>
  </si>
  <si>
    <t>bestboy ada dongg kita sobat hore final pildun kemaren</t>
  </si>
  <si>
    <t>['bestboy', 'dongg', 'sobat', 'hore', 'final', 'piala dunia', 'kemarin']</t>
  </si>
  <si>
    <t>Jadi penasaran kayak final pildun 2022 kmren pas adu pinalti Argentina vs Perancis, kan ada beberapa yang ga berhasil ngegolin. itu yang ga ngegolin dijulitin ga sih abis pertandingan ü§î</t>
  </si>
  <si>
    <t>jadi penasaran kayak final pildun kmren pas adu pinalti argentina perancis kan ada beberapa yang berhasil ngegolin itu yang ngegolin dijulitin sih abis pertandingan</t>
  </si>
  <si>
    <t>['jadi', 'penasaran', 'seperti', 'final', 'piala dunia', 'kmren', 'pas', 'adu', 'penalti', 'argentina', 'perancis', 'kan', 'beberapa', 'berhasil', 'ngegolin', 'ngegolin', 'dijulitin', 'abis', 'pertandingan']</t>
  </si>
  <si>
    <t>@idextratime kalo mau nonton siaran ulang final pildun 22 yg komentator peter drury dimana ya?</t>
  </si>
  <si>
    <t>kalo mau nonton siaran ulang final pildun komentator peter drury dimana</t>
  </si>
  <si>
    <t>['mau', 'nonton', 'siaran', 'ulang', 'final', 'piala dunia', 'komentator', 'peter', 'drury']</t>
  </si>
  <si>
    <t>publik disuguhi match final pildun yg sangat ajigile epik nya, sampai melupakan bahwa KING EMYU VS KING BARSA menunggu kita di tahun 2023</t>
  </si>
  <si>
    <t>publik disuguhi match final pildun sangat ajigile epik nya sampai melupakan bahwa king emyu king barsa menunggu kita tahun</t>
  </si>
  <si>
    <t>['publik', 'disuguhi', 'match', 'final', 'piala dunia', 'sangat', 'ajigile', 'epik', 'melupakan', 'king', 'emyu', 'king', 'barsa', 'menunggu', 'tahun']</t>
  </si>
  <si>
    <t>@vanxnoe ARCHIE SOBAT NGEHYPE FINAL PILDUN KMARENN ü•≥ü•≥üéâüíÉüíÉ</t>
  </si>
  <si>
    <t>archie sobat ngehype final pildun kmarenn</t>
  </si>
  <si>
    <t>['archie', 'sobat', 'ngehype', 'final', 'piala dunia', 'kmarenn']</t>
  </si>
  <si>
    <t>@garistengah_id Javier "chicharito" Hernandez. Gacor di pildun 2010. Jadi andalan Ferguson. Duet dengan Rooney menang premier league dan tembus final liga champions 2011</t>
  </si>
  <si>
    <t>javier chicharito hernandez gacor pildun jadi andalan ferguson duet dengan rooney menang premier league dan tembus final liga champions</t>
  </si>
  <si>
    <t>['javier', 'chicharito', 'hernandez', 'gacor', 'piala dunia', 'jadi', 'andalan', 'ferguson', 'duet', 'rooney', 'menang', 'premier', 'league', 'tembus', 'final', 'liga', 'champions']</t>
  </si>
  <si>
    <t>@dickykcivv @idextratime Pensiun balik2 bawa juara, lah Ronaldo. Pildun aja mentok perempat final. Digendong lg. Pfftt</t>
  </si>
  <si>
    <t>pensiun balik bawa juara lah ronaldo pildun aja mentok perempat final digendong pfftt</t>
  </si>
  <si>
    <t>['pensiun', 'balik', 'bawa', 'juara', 'lah', 'ronaldo', 'piala dunia', 'mentok', 'perempat', 'final', 'digendong', 'pfftt']</t>
  </si>
  <si>
    <t>@idextratime Gitu2 cr7 gk pernah kalah di final pildun bro..üòÑüòâ‚úåÔ∏è</t>
  </si>
  <si>
    <t>gitu pernah kalah final pildun bro</t>
  </si>
  <si>
    <t>['gitu', 'pernah', 'kalah', 'final', 'piala dunia', 'bro']</t>
  </si>
  <si>
    <t>@yoeandha01 Wkwkwk   Malah ada postingan gitu katanya dari pildun tahun brp yak pasti selalu ada pemain inter di final, baik yg juara ataupun runner up :D</t>
  </si>
  <si>
    <t>wkwkwk malah ada postingan gitu katanya dari pildun tahun brp yak pasti selalu ada pemain inter final baik juara ataupun runner</t>
  </si>
  <si>
    <t>['wkwkwk', 'malah', 'postingan', 'gitu', 'katanya', 'piala dunia', 'tahun', 'brp', 'yak', 'selalu', 'pemain', 'inter', 'final', 'baik', 'juara', 'ataupun', 'runner']</t>
  </si>
  <si>
    <t>@IniDenny_ @idextratime ceritanya bakal sm klo messi masih di barca trs final pildun vs spain</t>
  </si>
  <si>
    <t>ceritanya bakal klo messi masih barca trs final pildun spain</t>
  </si>
  <si>
    <t>['ceritanya', 'bakal', 'messi', 'barca', 'terus', 'final', 'piala dunia', 'spain']</t>
  </si>
  <si>
    <t>Sempet kepikiran Final Pildun 2010 nonton sendiri Final Pildun 2014 nonton sama adek Final Pildun 2018 nobar satu pondok Final Pildun 2022 nonton sama temen kuliah Final Pildun 2026 nonton sama siapa yaü§î</t>
  </si>
  <si>
    <t>sempet kepikiran final pildun nonton sendiri final pildun nonton sama adek final pildun nobar satu pondok final pildun nonton sama temen kuliah final pildun nonton sama siapa</t>
  </si>
  <si>
    <t>['sempet', 'kepikiran', 'final', 'piala dunia', 'nonton', 'sendiri', 'final', 'piala dunia', 'nonton', 'sama', 'adek', 'final', 'piala dunia', 'nonton bareng', 'satu', 'pondok', 'final', 'piala dunia', 'nonton', 'sama', 'temen', 'kuliah', 'final', 'piala dunia', 'nonton', 'sama', 'siapa']</t>
  </si>
  <si>
    <t>&lt;FreqDist with 14 samples and 27 outcomes&gt;</t>
  </si>
  <si>
    <t>selama final pildun kemarin argentina vs perancis sangatlah seru, menegangkan, mendebarkan dan menggeregetkan aseli bagus bener tuh 2 negara main. bergejolaklah perasaan pas si de marian cetak gol buat argentia doi ampe nangis dong huhu terhura, tp dukung perancis buat nyamain..</t>
  </si>
  <si>
    <t>selama final pildun kemarin argentina perancis sangatlah seru menegangkan mendebarkan dan menggeregetkan aseli bagus bener tuh negara main bergejolaklah perasaan pas marian cetak gol buat argentia doi ampe nangis dong huhu terhura dukung perancis buat nyamain</t>
  </si>
  <si>
    <t>['selama', 'final', 'piala dunia', 'kemarin', 'argentina', 'perancis', 'sangatlah', 'seru', 'menegangkan', 'mendebarkan', 'menggeregetkan', 'aseli', 'bagus', 'benar', 'negara', 'main', 'bergejolaklah', 'perasaan', 'pas', 'marian', 'cetak', 'gol', 'buat', 'argentia', 'doi', 'sampai', 'nangis', 'dong', 'huhu', 'terhura', 'dukung', 'perancis', 'buat', 'nyamain']</t>
  </si>
  <si>
    <t>&lt;FreqDist with 32 samples and 34 outcomes&gt;</t>
  </si>
  <si>
    <t>cerita pildun kemarin, gw sebenernya dukung inggris, jerman or perancis. cuma karena inggris sm jerman bukannya fokus main bola malah kampanye yaudalaa ya jd males gw. liat maroco yg gak disangka sampe ke semi final jadi dukung dong maroco n perancis yes masuk final ...</t>
  </si>
  <si>
    <t>cerita pildun kemarin sebenernya dukung inggris jerman perancis cuma karena inggris jerman bukannya fokus main bola malah kampanye yaudalaa males liat maroco gak disangka sampe semi final jadi dukung dong maroco perancis yes masuk final</t>
  </si>
  <si>
    <t>['cerita', 'piala dunia', 'kemarin', 'sebenernya', 'dukung', 'inggris', 'jerman', 'perancis', 'cuma', 'inggris', 'jerman', 'bukannya', 'fokus', 'main', 'bola', 'malah', 'kampanye', 'yaudalaa', 'males', 'lihat', 'maroco', 'disangka', 'sampai', 'semi', 'final', 'jadi', 'dukung', 'dong', 'maroco', 'perancis', 'yes', 'masuk', 'final']</t>
  </si>
  <si>
    <t>Akhirnya fans amatiran mulai menghilang dari beranda (masih seputar pildun) teruntuk ciwi" yg posting ttg pildun,, aku tau kau hanya caper sama crush mu kan?? Biar dikomen,, "eh nonton final juga ya?",, "kamu dukung club itu?"... Heleh.. Aku tau akal bulusmu mbakkü§£ü§£ü§£</t>
  </si>
  <si>
    <t>akhirnya fans amatiran mulai menghilang dari beranda masih seputar pildun teruntuk ciwi posting ttg pildun aku tau kau hanya caper sama crush kan biar dikomen nonton final juga kamu dukung club itu heleh aku tau akal bulusmu mbakk</t>
  </si>
  <si>
    <t>['akhirnya', 'fans', 'amatiran', 'mulai', 'menghilang', 'beranda', 'seputar', 'piala dunia', 'teruntuk', 'ciwi', 'posting', 'ttg', 'piala dunia', 'aku', 'kau', 'caper', 'sama', 'crush', 'kan', 'dikomen', 'nonton', 'final', 'kamu', 'dukung', 'club', 'heleh', 'aku', 'akal', 'bulusmu', 'mbakk']</t>
  </si>
  <si>
    <t>üíö fans garis kerasüò≠ü§£üá¶üá∑ dan kabarnya udah dekor jauh sebelum final pildunüòÇ   https://t.co/9BWmqNZ6pV</t>
  </si>
  <si>
    <t>fans garis keras dan kabarnya udah dekor jauh sebelum final pildun</t>
  </si>
  <si>
    <t>['fans', 'garis', 'keras', 'kabarnya', 'udah', 'dekor', 'jauh', 'final', 'piala dunia']</t>
  </si>
  <si>
    <t>Rame soal banyak Politikus mendadak si paling sepak bola pasca final PilDun. Nanggepinnya? Diemin aja. Wong lagi caper kok.  Poster atau flyernya ga perlu disebar2kan lagi. Emang itu tujuannya, biar kelen bantu mereka kampanye secara gratis.  #PelantangMerdeka</t>
  </si>
  <si>
    <t>rame soal banyak politikus mendadak paling sepak bola pasca final pildun nanggepinnya diemin aja wong lagi caper kok poster atau flyernya perlu disebar kan lagi emang itu tujuannya biar kelen bantu mereka kampanye secara gratis</t>
  </si>
  <si>
    <t>['ramai', 'soal', 'banyak', 'politikus', 'mendadak', 'paling', 'sepak', 'bola', 'pasca', 'final', 'piala dunia', 'nanggepinnya', 'diemin', 'wong', 'caper', 'kok', 'poster', 'flyernya', 'perlu', 'disebar', 'kan', 'emang', 'tujuannya', 'kelen', 'bantu', 'kampanye', 'gratis']</t>
  </si>
  <si>
    <t>Begadang final pildun sakit kepalanya baru kerasa sekarang ü§£</t>
  </si>
  <si>
    <t>begadang final pildun sakit kepalanya baru kerasa sekarang</t>
  </si>
  <si>
    <t>['begadang', 'final', 'piala dunia', 'sakit', 'kepalanya', 'baru', 'kerasa', 'sekarang']</t>
  </si>
  <si>
    <t>Gak liat final pildun -___-</t>
  </si>
  <si>
    <t>gak liat final pildun</t>
  </si>
  <si>
    <t>['lihat', 'final', 'piala dunia']</t>
  </si>
  <si>
    <t>@nctzenbase Mw cerita, kemaren kagak bisa tidur gegara bujank" kartar pd nonton final pildun bareng sm security komplek di pos hansip, mn suaranya cem toak semua tiap ada gol yg muncul Untung lu pd cakep dan udh tetanggaan lama sm gue, kl kagak udh gue te</t>
  </si>
  <si>
    <t>cerita kemaren kagak bisa tidur gegara bujank kartar nonton final pildun bareng security komplek pos hansip suaranya cem toak semua tiap ada gol muncul untung cakep dan udh tetanggaan lama gue kagak udh gue</t>
  </si>
  <si>
    <t>['cerita', 'kemarin', 'kagak', 'tidur', 'gegara', 'bujank', 'kartar', 'nonton', 'final', 'piala dunia', 'bareng', 'security', 'komplek', 'pos', 'hansip', 'suaranya', 'cem', 'toak', 'semua', 'tiap', 'gol', 'muncul', 'untung', 'cakep', 'sudah', 'tetanggaan', 'lama', 'gue', 'kagak', 'sudah', 'gue']</t>
  </si>
  <si>
    <t>nginjekin kaki di final aje belum pernah gimana mau kiss piala pildun üò≠</t>
  </si>
  <si>
    <t>nginjekin kaki final aje belum pernah gimana mau kiss piala pildun</t>
  </si>
  <si>
    <t>['nginjekin', 'kaki', 'final', 'aje', 'pernah', 'gimana', 'mau', 'kiss', 'piala', 'piala dunia']</t>
  </si>
  <si>
    <t>@RadenGanz @idextratime Final pildun, prediksinya kan bener üòÇ</t>
  </si>
  <si>
    <t>final pildun prediksinya kan bener</t>
  </si>
  <si>
    <t>['final', 'piala dunia', 'prediksinya', 'kan', 'benar']</t>
  </si>
  <si>
    <t>@fashionjeketi Sweater kerah putih zee yang di pake pas nobar final pildun min</t>
  </si>
  <si>
    <t>sweater kerah putih zee yang pake pas nobar final pildun min</t>
  </si>
  <si>
    <t>['sweater', 'kerah', 'putih', 'zee', 'pake', 'pas', 'nonton bareng', 'final', 'piala dunia', 'min']</t>
  </si>
  <si>
    <t>Gua juga kalo suka bola pas ada timnas indonesia maen sampe final, trs 4th sekali kadang2 nonton tu pertandingan pildun, dulu pas bpk masih ada juga tiap ada barcelona vs real madrid gua nonton, btw gua dulu dikatain cewek kok suka bola trs akhir nyemplung kekpop sih</t>
  </si>
  <si>
    <t>gua juga kalo suka bola pas ada timnas indonesia maen sampe final trs sekali kadang nonton pertandingan pildun dulu pas bpk masih ada juga tiap ada barcelona real madrid gua nonton btw gua dulu dikatain cewek kok suka bola trs akhir nyemplung kekpop sih</t>
  </si>
  <si>
    <t>['gua', 'suka', 'bola', 'pas', 'timnas', 'indonesia', 'maen', 'sampai', 'final', 'terus', 'sekali', 'kadang', 'nonton', 'pertandingan', 'piala dunia', 'dulu', 'pas', 'bapak', 'tiap', 'barcelona', 'real', 'madrid', 'gua', 'nonton', 'by the way', 'gua', 'dulu', 'dikatain', 'cewek', 'kok', 'suka', 'bola', 'terus', 'akhir', 'nyemplung', 'kekpop']</t>
  </si>
  <si>
    <t>Laaah iyaaa baru sadar messi kan ngalahin perancis di final pildun  PSG kan tim dari perancis yaa  Terus ?  Yaaa ga terus terus sih baru ngeuh weh</t>
  </si>
  <si>
    <t>laaah iyaaa baru sadar messi kan ngalahin perancis final pildun psg kan tim dari perancis yaa terus yaaa terus terus sih baru ngeuh weh</t>
  </si>
  <si>
    <t>['laaah', 'iyaaa', 'baru', 'sadar', 'messi', 'kan', 'ngalahin', 'perancis', 'final', 'piala dunia', 'psg', 'kan', 'tim', 'perancis', 'ya', 'terus', 'yaaa', 'terus', 'terus', 'baru', 'ngeuh', 'weh']</t>
  </si>
  <si>
    <t>@AfifXavi deskripsikan messi dgn kata2 itu sulit krna pencapaiannya yg bgtu bnyk. cukup perlihatkan aksi2 memukau messi di lapangan udh cukup membuktikan semuanya. puncaknya di final pildun kmarin</t>
  </si>
  <si>
    <t>deskripsikan messi dgn kata itu sulit krna pencapaiannya bgtu bnyk cukup perlihatkan aksi memukau messi lapangan udh cukup membuktikan semuanya puncaknya final pildun kmarin</t>
  </si>
  <si>
    <t>['deskripsikan', 'messi', 'kata', 'sulit', 'krna', 'pencapaiannya', 'bgtu', 'bnyk', 'cukup', 'perlihatkan', 'aksi', 'memukau', 'messi', 'lapangan', 'sudah', 'cukup', 'membuktikan', 'semuanya', 'puncaknya', 'final', 'piala dunia', 'kmarin']</t>
  </si>
  <si>
    <t>Dari pildun belajar melihat kemunafikan orang  yang awalnya dukung apa, eh pas final dukung apa hahaha</t>
  </si>
  <si>
    <t>dari pildun belajar melihat kemunafikan orang yang awalnya dukung apa pas final dukung apa hahaha</t>
  </si>
  <si>
    <t>['piala dunia', 'belajar', 'melihat', 'kemunafikan', 'orang', 'awalnya', 'dukung', 'apa', 'pas', 'final', 'dukung', 'apa', 'hahaha']</t>
  </si>
  <si>
    <t>@isidorus_ido @_MFI_ Tengok gw dpt pemain yg harusnya hattrick pas final pildun  https://t.co/TwXCTqM4K8</t>
  </si>
  <si>
    <t>ido tengok dpt pemain harusnya hattrick pas final pildun</t>
  </si>
  <si>
    <t>['ido', 'tengok', 'dpt', 'pemain', 'harusnya', 'hattrick', 'pas', 'final', 'piala dunia']</t>
  </si>
  <si>
    <t>Akibat nonton final pildun , jd harus cek lagi jantung aman atau nggak  https://t.co/w0PEcxgagh</t>
  </si>
  <si>
    <t>akibat nonton final pildun harus cek lagi jantung aman atau nggak</t>
  </si>
  <si>
    <t>['akibat', 'nonton', 'final', 'piala dunia', 'cek', 'jantung', 'aman']</t>
  </si>
  <si>
    <t>@sogoodbyeybr @idextratime MINIMAL MASUK FINAL PILDUN DULU ADICK  https://t.co/vql9LVpQjR</t>
  </si>
  <si>
    <t>minimal masuk final pildun dulu adick</t>
  </si>
  <si>
    <t>['minimal', 'masuk', 'final', 'piala dunia', 'dulu', 'adick']</t>
  </si>
  <si>
    <t>@ned_cromagnon @moontagespace @CoachJustinL @YouTube Ah ga jg, padahal pildun 2002 tuh bnyak kontroversi tp mgkn lu kata seru krn timnas tusbool lu masuk final dan skrng lu bilang ga seru krn timnas tusbool kesayangan lu cuma mentok fase grup sama kek edi</t>
  </si>
  <si>
    <t>cromagnon padahal pildun tuh bnyak kontroversi mgkn kata seru krn timnas tusbool masuk final dan skrng bilang seru krn timnas tusbool kesayangan cuma mentok fase grup sama kek edi</t>
  </si>
  <si>
    <t>['cromagnon', 'padahal', 'piala dunia', 'bnyak', 'kontroversi', 'mgkn', 'kata', 'seru', 'timnas', 'tusbool', 'masuk', 'final', 'skrng', 'seru', 'timnas', 'tusbool', 'kesayangan', 'cuma', 'mentok', 'fase', 'grup', 'sama', 'kek', 'edi']</t>
  </si>
  <si>
    <t>@KariSharl ngocok telur pasti, atau ngocok milkshake kayak oknum di FB pas taruhan final pildun kemaren.</t>
  </si>
  <si>
    <t>ngocok telur pasti atau ngocok milkshake kayak oknum pas taruhan final pildun kemaren</t>
  </si>
  <si>
    <t>['ngocok', 'telur', 'ngocok', 'milkshake', 'seperti', 'oknum', 'pas', 'taruhan', 'final', 'piala dunia', 'kemarin']</t>
  </si>
  <si>
    <t>All in sorak-sorak pas nobar final Pildun saking serunya dan sampe skrg masi kerasa efeknya di tenggorokan.  üôÇ</t>
  </si>
  <si>
    <t>all sorak sorak pas nobar final pildun saking serunya dan sampe skrg masi kerasa efeknya tenggorokan</t>
  </si>
  <si>
    <t>['all', 'sorak', 'sorak', 'pas', 'nonton bareng', 'final', 'piala dunia', 'saking', 'serunya', 'sampai', 'skrg', 'masi', 'kerasa', 'efeknya', 'tenggorokan']</t>
  </si>
  <si>
    <t>Nama Raul Lemos mendadak jadi topik viral di Twitter pada Senin, 19 Desember 2022, pagi hari. Kicauan tentang Raul Lemos ternyata muncul saat final Pildun 2022 karena dianggap mirip dengan pemain Prancis Kylian Mbappe  #MedcomDemamBola #MedcomID    https://t.co/eH8DVDTzVV</t>
  </si>
  <si>
    <t>nama raul lemos mendadak jadi topik viral twitter pada senin desember pagi hari kicauan tentang raul lemos ternyata muncul saat final pildun karena dianggap mirip dengan pemain prancis kylian mbappe</t>
  </si>
  <si>
    <t>['nama', 'raul', 'lemos', 'mendadak', 'jadi', 'topik', 'viral', 'twitter', 'senin', 'desember', 'pagi', 'hari', 'kicauan', 'raul', 'lemos', 'ternyata', 'muncul', 'final', 'piala dunia', 'dianggap', 'mirip', 'pemain', 'prancis', 'kylian', 'mbappe']</t>
  </si>
  <si>
    <t>@tuanmuda911 Udah kemarin saya bikin tebak skor final pildun. Dua orang pemenang langsung dikirim GA nya‚Ä¶ Tunggu kesempatan berikut ya‚Ä¶ üòä</t>
  </si>
  <si>
    <t>udah kemarin saya bikin tebak skor final pildun dua orang pemenang langsung dikirim nya tunggu kesempatan berikut</t>
  </si>
  <si>
    <t>['udah', 'kemarin', 'tebak', 'skor', 'final', 'piala dunia', 'orang', 'pemenang', 'langsung', 'dikirim', 'tunggu', 'kesempatan', 'berikut']</t>
  </si>
  <si>
    <t>Inget final pildun kemarin, satu tempat yg ngedukung Argentina cuma gua, Argentina ngegolin yg teriak gua doang, Prancis ngegolin yg teriak banyak dan pada ngecengin gua semua. Sampe akhirnya Argentina menang, ternyata rasanya gitu ya, menang dari mayoritas ü§£</t>
  </si>
  <si>
    <t>inget final pildun kemarin satu tempat ngedukung argentina cuma gua argentina ngegolin teriak gua doang prancis ngegolin teriak banyak dan pada ngecengin gua semua sampe akhirnya argentina menang ternyata rasanya gitu menang dari mayoritas</t>
  </si>
  <si>
    <t>['inget', 'final', 'piala dunia', 'kemarin', 'satu', 'tempat', 'ngedukung', 'argentina', 'cuma', 'gua', 'argentina', 'ngegolin', 'teriak', 'gua', 'doang', 'prancis', 'ngegolin', 'teriak', 'banyak', 'ngecengin', 'gua', 'semua', 'sampai', 'akhirnya', 'argentina', 'menang', 'ternyata', 'rasanya', 'gitu', 'menang', 'mayoritas']</t>
  </si>
  <si>
    <t>serba serbi final pildun bersama ilmi ; itu pict ke 2 dia nangis kejer gara gara mbappe kalaaaah wkwkwkwk üò≠  https://t.co/MGBDJwHg69</t>
  </si>
  <si>
    <t>serba serbi final pildun bersama ilmi itu pict dia nangis kejer gara gara mbappe kalaaaah wkwkwkwk</t>
  </si>
  <si>
    <t>['serba', 'serbi', 'final', 'piala dunia', 'bersama', 'ilmi', 'pict', 'nangis', 'kejer', 'gara', 'gara', 'mbappe', 'kalaaaah', 'wkwkwkwk']</t>
  </si>
  <si>
    <t>@sbyfess Terbukti Tim Indonesia tidak terkalahkan oleh tim manapun di Semi Final dan Final Pildun kemaren.</t>
  </si>
  <si>
    <t>terbukti tim indonesia tidak terkalahkan oleh tim manapun semi final dan final pildun kemaren</t>
  </si>
  <si>
    <t>['terbukti', 'tim', 'indonesia', 'terkalahkan', 'tim', 'manapun', 'semi', 'final', 'final', 'piala dunia', 'kemarin']</t>
  </si>
  <si>
    <t>@wirastutika duh salah server Tika, final pildun Tika ü§£</t>
  </si>
  <si>
    <t>duh salah server tika final pildun tika</t>
  </si>
  <si>
    <t>['duh', 'salah', 'server', 'tika', 'final', 'piala dunia', 'tika']</t>
  </si>
  <si>
    <t>@rinzaapriliani Lah kmu join space nya waktu final pildun wkwkkw</t>
  </si>
  <si>
    <t>lah kmu join space nya waktu final pildun wkwkkw</t>
  </si>
  <si>
    <t>['lah', 'kmu', 'join', 'space', 'waktu', 'final', 'piala dunia', 'wkwkkw']</t>
  </si>
  <si>
    <t>@idextratime Setuju.. Ini final pildun terbaik yg pernah ada</t>
  </si>
  <si>
    <t>setuju ini final pildun terbaik pernah ada</t>
  </si>
  <si>
    <t>['setuju', 'final', 'piala dunia', 'terbaik', 'pernah']</t>
  </si>
  <si>
    <t>merugilah orang-orang yg melewatkan final pildun, seseru itu emg</t>
  </si>
  <si>
    <t>merugilah orang orang melewatkan final pildun seseru itu emg</t>
  </si>
  <si>
    <t>['merugilah', 'orang', 'orang', 'melewatkan', 'final', 'piala dunia', 'seseru', 'memang']</t>
  </si>
  <si>
    <t>@SaaaanZQ @ned_cromagnon @CoachJustinL @YouTube Mmng tolol dia bang. Pake bandingan sama pildun 2002 2010 2014 lagi, yg tim jagoannya masuk semi sama final. Dasar tim futbool</t>
  </si>
  <si>
    <t>cromagnon mmng tolol dia bang pake bandingan sama pildun lagi tim jagoannya masuk semi sama final dasar tim futbool</t>
  </si>
  <si>
    <t>['cromagnon', 'mmng', 'tolol', 'bang', 'pake', 'bandingan', 'sama', 'piala dunia', 'tim', 'jagoannya', 'masuk', 'semi', 'sama', 'final', 'dasar', 'tim', 'futbool']</t>
  </si>
  <si>
    <t>@mhdarieff_ bang, maren minggu gue nobar final pildun. kebetulan gue sama temen2 gue ada yg taruhan megang prancis. terus, pas sampe babak ekstra time dia udeh seneng bgt. sayang banget, malah jadi bahan cengan sampe sekarang bangü•≤</t>
  </si>
  <si>
    <t>bang maren minggu gue nobar final pildun kebetulan gue sama temen gue ada taruhan megang prancis terus pas sampe babak ekstra time dia udeh seneng bgt sayang banget malah jadi bahan cengan sampe sekarang bang</t>
  </si>
  <si>
    <t>['bang', 'maren', 'minggu', 'gue', 'nonton bareng', 'final', 'piala dunia', 'kebetulan', 'gue', 'sama', 'temen', 'gue', 'taruhan', 'megang', 'prancis', 'terus', 'pas', 'sampai', 'babak', 'ekstra', 'time', 'udeh', 'seneng', 'banget', 'sayang', 'banget', 'malah', 'jadi', 'bahan', 'cengan', 'sampai', 'sekarang', 'bang']</t>
  </si>
  <si>
    <t>&lt;FreqDist with 28 samples and 33 outcomes&gt;</t>
  </si>
  <si>
    <t>Akan ada salah satu temen Anda yang ga pernah ikutin bola tapi pas Pildun bujek udah yang paling si paham bola (gue males jadi snob tapi yang beginian layak digatekeep)  Bisa-bisanya WC Qatar dibilang ketolong final doang, itu WC Qatar kemaren dari Grup-KO penuh dengan kejutan</t>
  </si>
  <si>
    <t>akan ada salah satu temen anda yang pernah ikutin bola tapi pas pildun bujek udah yang paling paham bola gue males jadi snob tapi yang beginian layak digatekeep bisa bisanya qatar dibilang ketolong final doang itu qatar kemaren dari grup penuh dengan kejutan</t>
  </si>
  <si>
    <t>['salah', 'satu', 'temen', 'pernah', 'ikutin', 'bola', 'pas', 'piala dunia', 'bujek', 'udah', 'paling', 'paham', 'bola', 'gue', 'males', 'jadi', 'snob', 'beginian', 'layak', 'digatekeep', 'bisanya', 'qatar', 'dibilang', 'ketolong', 'final', 'doang', 'qatar', 'kemarin', 'grup', 'penuh', 'kejutan']</t>
  </si>
  <si>
    <t>@iam_doyy @SiaranBolaLive @433 emang biar posisinya bisa di atas/di bawah timnas sepak bola negara yg lain, ambil perhitungannya  cuma dari putaran final piala dunia aja?  protes gi dah ke FIFA, Kroasia kok di bawah Inggris? 2x masuk semifinal Pildun ü§£</t>
  </si>
  <si>
    <t>doyy emang biar posisinya bisa atas bawah timnas sepak bola negara lain ambil perhitungannya cuma dari putaran final piala dunia aja protes dah fifa kroasia kok bawah inggris masuk semifinal pildun</t>
  </si>
  <si>
    <t>['doyy', 'emang', 'posisinya', 'atas', 'bawah', 'timnas', 'sepak', 'bola', 'negara', 'ambil', 'perhitungannya', 'cuma', 'putaran', 'final', 'piala', 'dunia', 'protes', 'dah', 'fifa', 'kroasia', 'kok', 'bawah', 'inggris', 'masuk', 'semifinal', 'piala dunia']</t>
  </si>
  <si>
    <t>Final pildun belum kelar.. nunggu update chinolü§£ü§£</t>
  </si>
  <si>
    <t>final pildun belum kelar nunggu update chinol</t>
  </si>
  <si>
    <t>['final', 'piala dunia', 'kelar', 'nunggu', 'update', 'chinol']</t>
  </si>
  <si>
    <t>Coba bayangin kalo kita semua cuman mimpinya messi  Mes mes bangun, kita nonton final pildun belanda vs uruguay</t>
  </si>
  <si>
    <t>coba bayangin kalo kita semua cuman mimpinya messi mes mes bangun kita nonton final pildun belanda uruguay</t>
  </si>
  <si>
    <t>['coba', 'bayangin', 'semua', 'cuman', 'mimpinya', 'messi', 'mes', 'mes', 'bangun', 'nonton', 'final', 'piala dunia', 'belanda', 'uruguay']</t>
  </si>
  <si>
    <t>@bintangbete iya dia menghina ibu zidane dan bikin zidane marah, jadinya kartu merah, jadi merusak serunya final pildun</t>
  </si>
  <si>
    <t>iya dia menghina ibu zidane dan bikin zidane marah jadinya kartu merah jadi merusak serunya final pildun</t>
  </si>
  <si>
    <t>['iya', 'menghina', 'ibu', 'zidane', 'zidane', 'marah', 'jadinya', 'kartu', 'merah', 'jadi', 'merusak', 'serunya', 'final', 'piala dunia']</t>
  </si>
  <si>
    <t>@nessiejudge Di sini udh banyak korban gara2 pildun wkwk..ada yg jatoh, mati pas pawai brazil menang,ada yg gebuk2an. Terakhir kmrin pas final, ada yg berantem dlm kondisi mabuk. Salah satunya bawa sajam... Dgr2 dri wrga sekitar katanya tangan lawannya ke</t>
  </si>
  <si>
    <t>sini udh banyak korban gara pildun wkwk ada jatoh mati pas pawai brazil menang ada gebuk terakhir kmrin pas final ada berantem dlm kondisi mabuk salah satunya bawa sajam dgr dri wrga sekitar katanya tangan lawannya</t>
  </si>
  <si>
    <t>['sini', 'sudah', 'banyak', 'korban', 'gara', 'piala dunia', 'jatoh', 'mati', 'pas', 'pawai', 'brazil', 'menang', 'gebuk', 'terakhir', 'kmrin', 'pas', 'final', 'berantem', 'dlm', 'kondisi', 'mabuk', 'salah', 'satunya', 'bawa', 'sajam', 'dgr', 'dri', 'wrga', 'katanya', 'tangan', 'lawannya']</t>
  </si>
  <si>
    <t>@realmadridindo1 wajar rim perdana ikut pildun,terus masuk final,ehh malah pas final gagal nendang pinalti ü§¶</t>
  </si>
  <si>
    <t>wajar rim perdana ikut pildun terus masuk final ehh malah pas final gagal nendang pinalti</t>
  </si>
  <si>
    <t>['wajar', 'rim', 'perdana', 'ikut', 'piala dunia', 'terus', 'masuk', 'final', 'ehh', 'malah', 'pas', 'final', 'gagal', 'nendang', 'penalti']</t>
  </si>
  <si>
    <t>perkoro tak tinggal nonton final pildun 4 taun pisan, pacarku mangkel mbe aku sampe saiki, ws njaluk sepuro, aku bingung kudu piye.. tulung solusine -rek üòÇ  https://t.co/Ijfi6POyiB</t>
  </si>
  <si>
    <t>perkoro tak tinggal nonton final pildun taun pisan pacarku mangkel mbe aku sampe saiki njaluk sepuro aku bingung kudu piye tulung solusine rek</t>
  </si>
  <si>
    <t>['perkoro', 'tak', 'tinggal', 'nonton', 'final', 'piala dunia', 'taun', 'pisan', 'pacarku', 'mangkel', 'mbe', 'aku', 'sampai', 'saiki', 'njaluk', 'sepuro', 'aku', 'bingung', 'kudu', 'piye', 'tulung', 'solusine', 'rek']</t>
  </si>
  <si>
    <t>Papah aing, Final Pildun udah 2 hari lalu, masih dibahas sampe siang ini sama mas-mas warteg</t>
  </si>
  <si>
    <t>papah aing final pildun udah hari lalu masih dibahas sampe siang ini sama mas mas warteg</t>
  </si>
  <si>
    <t>['papah', 'aing', 'final', 'piala dunia', 'udah', 'hari', 'lalu', 'dibahas', 'sampai', 'siang', 'sama', 'mas', 'mas', 'warteg']</t>
  </si>
  <si>
    <t>@kingnyamjoon Lionel messi, khanzzzz ga ikutin pildun sih tp kmrin pas final yakin banget kalo Argentina yang bakal angkat pialaüòå</t>
  </si>
  <si>
    <t>lionel messi khanzzzz ikutin pildun sih kmrin pas final yakin banget kalo argentina yang bakal angkat piala</t>
  </si>
  <si>
    <t>['lionel', 'messi', 'khanzzzz', 'ikutin', 'piala dunia', 'kmrin', 'pas', 'final', 'yakin', 'banget', 'argentina', 'bakal', 'angkat', 'piala']</t>
  </si>
  <si>
    <t>@FaktaSepakbola Enak ya dapat medali pildun cuma jadi camat saat final wkwkwkkwk</t>
  </si>
  <si>
    <t>enak dapat medali pildun cuma jadi camat saat final wkwkwkkwk</t>
  </si>
  <si>
    <t>['enak', 'medali', 'piala dunia', 'cuma', 'jadi', 'camat', 'final', 'wkwkwkkwk']</t>
  </si>
  <si>
    <t>ni cardigan bekas nobar final pildun lalu masih penuh dgn bau rokok. ni kalo kecium emak bisa kena omel, wkwk</t>
  </si>
  <si>
    <t>cardigan bekas nobar final pildun lalu masih penuh dgn bau rokok kalo kecium emak bisa kena omel wkwk</t>
  </si>
  <si>
    <t>['cardigan', 'bekas', 'nonton bareng', 'final', 'piala dunia', 'lalu', 'penuh', 'bau', 'rokok', 'kecium', 'emak', 'kena', 'omel']</t>
  </si>
  <si>
    <t>@BarcaBandidos Setuju dos kalo ini, back to back final pildun gak mudah.</t>
  </si>
  <si>
    <t>setuju dos kalo ini back back final pildun gak mudah</t>
  </si>
  <si>
    <t>['setuju', 'dos', 'back', 'back', 'final', 'piala dunia', 'mudah']</t>
  </si>
  <si>
    <t>@bintangbete Gw cuma dendam sama materazzi di final pildun 2006</t>
  </si>
  <si>
    <t>cuma dendam sama materazzi final pildun</t>
  </si>
  <si>
    <t>['cuma', 'dendam', 'sama', 'materazzi', 'final', 'piala dunia']</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</si>
  <si>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</si>
  <si>
    <t>upload konten tentang final pildun sosial media kamu boleh kreasikan dalam bentuk video supaya lebih menarik buat caption semenarik mungkin dengan menggunakan keyword indihome dan hastag pastikan caption dan konten sesuai jangan upl</t>
  </si>
  <si>
    <t>['upload', 'konten', 'final', 'piala dunia', 'sosial', 'media', 'kamu', 'kreasikan', 'bentuk', 'video', 'lebih', 'menarik', 'buat', 'caption', 'semenarik', 'mungkin', 'menggunakan', 'keyword', 'indihome', 'hastag', 'pastikan', 'caption', 'konten', 'sesuai', 'jangan', 'upl']</t>
  </si>
  <si>
    <t>Hai EatNow Lovers! Nggak ada yang bolos ke kantor kan kemarin gegara habis nobar final Pildun?? üòÅ  #FIFAWorldCup #FIFAWorldCup2022Final</t>
  </si>
  <si>
    <t>hai eatnow lovers nggak ada yang bolos kantor kan kemarin gegara habis nobar final pildun</t>
  </si>
  <si>
    <t>['hai', 'eatnow', 'lovers', 'bolos', 'kantor', 'kan', 'kemarin', 'gegara', 'habis', 'nonton bareng', 'final', 'piala dunia']</t>
  </si>
  <si>
    <t>Tumben bgt final di pildun tahu ini gw sedih bgt jagoan gw kalah biasanya gw masih santuyy ga sampe sesedih ini apalagi liat mbappe yg muncul dengan mukanya yg sadüò≠üò≠üò≠</t>
  </si>
  <si>
    <t>tumben bgt final pildun tahu ini sedih bgt jagoan kalah biasanya masih santuyy sampe sesedih ini apalagi liat mbappe muncul dengan mukanya sad</t>
  </si>
  <si>
    <t>['tumben', 'banget', 'final', 'piala dunia', 'tahu', 'sedih', 'banget', 'jagoan', 'kalah', 'biasanya', 'santuyy', 'sampai', 'sesedih', 'lihat', 'mbappe', 'muncul', 'mukanya', 'sad']</t>
  </si>
  <si>
    <t>Gara2 liat siaran ulang final pildun sampe kelar jd ga tega sama mbappe üò£</t>
  </si>
  <si>
    <t>gara liat siaran ulang final pildun sampe kelar tega sama mbappe</t>
  </si>
  <si>
    <t>['gara', 'lihat', 'siaran', 'ulang', 'final', 'piala dunia', 'sampai', 'kelar', 'tega', 'sama', 'mbappe']</t>
  </si>
  <si>
    <t>@BarcaBandidos Haters gona be haters dos, fans yg itu skrg jd pengemis respek.Jadi sok bijak, pdhal wktu messi mau pensiun krna 3 kali final gagal raih tropi.Mrka¬≤ sibuk bully messi, saat dpt tropi copa, msh jg bandingin dg yg dpt euro.Skrg messi dpt pil</t>
  </si>
  <si>
    <t>haters gona haters dos fans itu skrg pengemis respek jadi sok bijak pdhal wktu messi mau pensiun krna kali final gagal raih tropi mrka sibuk bully messi saat dpt tropi copa msh bandingin dpt euro skrg messi dpt pil</t>
  </si>
  <si>
    <t>['haters', 'gona', 'haters', 'dos', 'fans', 'skrg', 'pengemis', 'respek', 'jadi', 'sok', 'bijak', 'pdhal', 'wktu', 'messi', 'mau', 'pensiun', 'krna', 'kali', 'final', 'gagal', 'raih', 'trofi', 'mrka', 'sibuk', 'bully', 'messi', 'dpt', 'trofi', 'copa', 'msh', 'bandingin', 'dpt', 'euro', 'skrg', 'messi', 'dpt', 'pil']</t>
  </si>
  <si>
    <t>&lt;FreqDist with 30 samples and 37 outcomes&gt;</t>
  </si>
  <si>
    <t>@medioclubID Fans CR &amp;amp; Real Madrid kenapa pd marah2 blg aguero norak dll. Dari awal Pildun, hanya messi yg tidurnya sendiri di kamar, pdhl setiap kamar ada 2 ranjang, ternyata menjelang final,Aguero diminta scaloni untuk menemani messi, krn mereka mem</t>
  </si>
  <si>
    <t>fans real madrid kenapa marah blg aguero norak dll dari awal pildun hanya messi tidurnya sendiri kamar pdhl setiap kamar ada ranjang ternyata menjelang final aguero diminta scaloni untuk menemani messi krn mereka mem</t>
  </si>
  <si>
    <t>['fans', 'real', 'madrid', 'marah', 'blg', 'aguero', 'norak', 'awal', 'piala dunia', 'messi', 'tidurnya', 'sendiri', 'kamar', 'pdhl', 'kamar', 'ranjang', 'ternyata', 'menjelang', 'final', 'aguero', 'diminta', 'scaloni', 'menemani', 'messi', 'mem']</t>
  </si>
  <si>
    <t>@KompasTV Final pildun 2022 merupakan salah satu partai final terbaik FIFA selama perhelatan world cup üòâüëçüëçüëç</t>
  </si>
  <si>
    <t>final pildun merupakan salah satu partai final terbaik fifa selama perhelatan world cup</t>
  </si>
  <si>
    <t>['final', 'piala dunia', 'merupakan', 'salah', 'satu', 'partai', 'final', 'terbaik', 'fifa', 'selama', 'perhelatan', 'world', 'cup']</t>
  </si>
  <si>
    <t>@setgar96 @idextratime @Romain_Molina @MadridXtra benzema mna mau jg cedera bang, dia rela ga main di pertandingan trakhir madrid sebelum pildun krna fokus nyembuhin cedera nya biar bisa main, seenggaknya di 8 besar at semi-final</t>
  </si>
  <si>
    <t>molina benzema mna mau cedera bang dia rela main pertandingan trakhir madrid sebelum pildun krna fokus nyembuhin cedera nya biar bisa main seenggaknya besar semi final</t>
  </si>
  <si>
    <t>['molina', 'benzema', 'mna', 'mau', 'cedera', 'bang', 'rela', 'main', 'pertandingan', 'trakhir', 'madrid', 'piala dunia', 'krna', 'fokus', 'nyembuhin', 'cedera', 'main', 'seenggaknya', 'besar', 'semi', 'final']</t>
  </si>
  <si>
    <t>Gara gara minggu malem senen liat Final Pildun jadwal tidur gue berantakan sampe hari selasa ini. Kerja rasanya kek mau tenggeng gini mata pengen merem mulu</t>
  </si>
  <si>
    <t>gara gara minggu malem senen liat final pildun jadwal tidur gue berantakan sampe hari selasa ini kerja rasanya kek mau tenggeng gini mata pengen merem mulu</t>
  </si>
  <si>
    <t>['gara', 'gara', 'minggu', 'malem', 'senin', 'lihat', 'final', 'piala dunia', 'jadwal', 'tidur', 'gue', 'berantakan', 'sampai', 'hari', 'selasa', 'kerja', 'rasanya', 'kek', 'mau', 'tenggeng', 'gini', 'mata', 'pengen', 'merem', 'mulu']</t>
  </si>
  <si>
    <t>@AudiRachman Ngga sadar kali ya orang2 prancis bisa 2 kali final pildun gara2 gaada doi wkwkwkwkwkwkwkwk</t>
  </si>
  <si>
    <t>ngga sadar kali orang prancis bisa kali final pildun gara gaada doi wkwkwkwkwkwkwkwk</t>
  </si>
  <si>
    <t>['ngga', 'sadar', 'kali', 'orang', 'prancis', 'kali', 'final', 'piala dunia', 'gara', 'gaada', 'doi', 'wkwkwkwkwkwkwkwk']</t>
  </si>
  <si>
    <t>Sebuah ho.o saat kmrn nobar final pildun: Jika masih dikasih nafas, next nobar piala dunia umur udh di 28-29 tahun ü§°</t>
  </si>
  <si>
    <t>sebuah saat kmrn nobar final pildun jika masih dikasih nafas next nobar piala dunia umur udh tahun</t>
  </si>
  <si>
    <t>['sebuah', 'kmrn', 'nonton bareng', 'final', 'piala dunia', 'dikasih', 'nafas', 'next', 'nonton bareng', 'piala', 'dunia', 'umur', 'sudah', 'tahun']</t>
  </si>
  <si>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</si>
  <si>
    <t>paulo dybala full senyum usai kemenangan argentina atas prancis partai final piala dunia sports</t>
  </si>
  <si>
    <t>['paulo', 'dybala', 'full', 'senyum', 'usai', 'kemenangan', 'argentina', 'atas', 'prancis', 'partai', 'final', 'piala', 'dunia', 'sports']</t>
  </si>
  <si>
    <t>Random sekali. Lagi miting dgn direktur tbtb pengen bahas final pildun kemarin.  Bdw,  messi emang dapat piala  tapi Mbappe dkk bisa memenangkan hati semua pecinta sepakbola diseluruh dunia (kecuali fanatik messi dan aregentina). Skor yang seharusnya =&amp;gt; 1 : 3.</t>
  </si>
  <si>
    <t>random sekali lagi miting dgn direktur tbtb pengen bahas final pildun kemarin bdw messi emang dapat piala tapi mbappe dkk bisa memenangkan hati semua pecinta sepakbola diseluruh dunia kecuali fanatik messi dan aregentina skor yang seharusnya</t>
  </si>
  <si>
    <t>['random', 'sekali', 'miting', 'direktur', 'tbtb', 'pengen', 'bahas', 'final', 'piala dunia', 'kemarin', 'bdw', 'messi', 'emang', 'piala', 'mbappe', 'dkk', 'memenangkan', 'hati', 'semua', 'pecinta', 'sepakbola', 'diseluruh', 'dunia', 'fanatik', 'messi', 'aregentina', 'skor']</t>
  </si>
  <si>
    <t>Ayo Maduraaaaaaaüî•  Final Pildun telah selesai. Hari ini fokus kita alihkan kepada Squad Sapeh Kerrab yang akan menunjukkan penampilan terbaiknya‚úäüèª  Gaskann lagi Cong‚ÄºÔ∏è  #bangkitbersama #briliga1kembali #nontondarirumah #maduraunitedday  https://t.co/js7m7DloNE</t>
  </si>
  <si>
    <t>ayo maduraaaaaaa final pildun telah selesai hari ini fokus kita alihkan kepada squad sapeh kerrab yang akan menunjukkan penampilan terbaiknya gaskann lagi cong</t>
  </si>
  <si>
    <t>['ayo', 'maduraaaaaaa', 'final', 'piala dunia', 'selesai', 'hari', 'fokus', 'alihkan', 'squad', 'sapeh', 'kerrab', 'menunjukkan', 'penampilan', 'terbaiknya', 'gaskann', 'cong']</t>
  </si>
  <si>
    <t>@Gerpul_ pasti lagi sedih menangisi final pildun kemarin‚ò∫Ô∏è</t>
  </si>
  <si>
    <t>pasti lagi sedih menangisi final pildun kemarin</t>
  </si>
  <si>
    <t>['sedih', 'menangisi', 'final', 'piala dunia', 'kemarin']</t>
  </si>
  <si>
    <t>@ZhaenalAbidin13 @PDXSaluling @StefanusSumars1 @garistengah_id Mbappe hari ini udh 24 tahun, kemarin pas final masih 23 tahun. Jadi pas Mbappe usia 19 tahun yaitu pas juara pildun di 2018 Mbappe blm jdi tumpuan tim krn saat itu skuad Prancis jauh lebih me</t>
  </si>
  <si>
    <t>mbappe hari ini udh tahun kemarin pas final masih tahun jadi pas mbappe usia tahun yaitu pas juara pildun mbappe blm jdi tumpuan tim krn saat itu skuad prancis jauh lebih</t>
  </si>
  <si>
    <t>['mbappe', 'hari', 'sudah', 'tahun', 'kemarin', 'pas', 'final', 'tahun', 'jadi', 'pas', 'mbappe', 'usia', 'tahun', 'pas', 'juara', 'piala dunia', 'mbappe', 'blm', 'jdi', 'tumpuan', 'tim', 'skuad', 'prancis', 'jauh', 'lebih']</t>
  </si>
  <si>
    <t>@utdfocusid Varane bilang walaupun kita masuk final pildun, CB starter di klub tetap kapten maguwayer.</t>
  </si>
  <si>
    <t>varane bilang walaupun kita masuk final pildun starter klub tetap kapten maguwayer</t>
  </si>
  <si>
    <t>['varane', 'walaupun', 'masuk', 'final', 'piala dunia', 'starter', 'klub', 'tetap', 'kapten', 'maguwayer']</t>
  </si>
  <si>
    <t>@JogjaInterista kasian, timnya gak ada perwakilan untuk juara dunia.... 1 aja kagak, cuman sampe final... yah semoga pemain dari klub Sekota milan bisa konsisten kirim wakil di Final Pildun minimal 40 tahun kedepan ü§£ü§£ü§£</t>
  </si>
  <si>
    <t>kasian timnya gak ada perwakilan untuk juara dunia aja kagak cuman sampe final yah semoga pemain dari klub sekota milan bisa konsisten kirim wakil final pildun minimal tahun kedepan</t>
  </si>
  <si>
    <t>['kasian', 'timnya', 'perwakilan', 'juara', 'dunia', 'kagak', 'cuman', 'sampai', 'final', 'semoga', 'pemain', 'klub', 'sekota', 'milan', 'konsisten', 'kirim', 'wakil', 'final', 'piala dunia', 'minimal', 'tahun', 'kedepan']</t>
  </si>
  <si>
    <t>@NaylaAzkiaa Makanya final kemarin itu full drama banget...Mbappe msh bs bersinar di bbrp pildun lg...Mbappe emg gila larinya...kalo berlaga di ajang lari 100M kayanya bs masuk elit dunia...Nay kalo jogging atau renang smartwatchnya dipake ya...ada mode s</t>
  </si>
  <si>
    <t>makanya final kemarin itu full drama banget mbappe msh bersinar bbrp pildun mbappe emg gila larinya kalo berlaga ajang lari kayanya masuk elit dunia nay kalo jogging atau renang smartwatchnya dipake ada mode</t>
  </si>
  <si>
    <t>['makanya', 'final', 'kemarin', 'full', 'drama', 'banget', 'mbappe', 'msh', 'bersinar', 'bbrp', 'piala dunia', 'mbappe', 'memang', 'gila', 'larinya', 'berlaga', 'ajang', 'lari', 'kayanya', 'masuk', 'elit', 'dunia', 'nay', 'jogging', 'renang', 'smartwatchnya', 'dipake', 'mode']</t>
  </si>
  <si>
    <t>@julibenk @idextratime Gak kebayang ntar kalau Indonesia masuk semi-final pildun u20</t>
  </si>
  <si>
    <t>gak kebayang ntar kalau indonesia masuk semi final pildun</t>
  </si>
  <si>
    <t>['kebayang', 'ntar', 'kalau', 'indonesia', 'masuk', 'semi', 'final', 'piala dunia']</t>
  </si>
  <si>
    <t>@Wdyanovelia Aduh Neti mbapee y Wid,,dia nih pemain terbaik sepanjang pildun ini ,,yg gol kan bola tanpa finalty,mkny jd peman terbaik,di lemes ga bs ksh mendali dia untuk Ronaldo ,disaat thn  dpn Ronaldo ga bs main lagi,kalo diliat diawal permainan final</t>
  </si>
  <si>
    <t>aduh neti mbapee wid dia nih pemain terbaik sepanjang pildun ini gol kan bola tanpa finalty mkny peman terbaik lemes ksh mendali dia untuk ronaldo disaat thn dpn ronaldo main lagi kalo diliat diawal permainan final</t>
  </si>
  <si>
    <t>['aduh', 'neti', 'mbapee', 'wid', 'pemain', 'terbaik', 'sepanjang', 'piala dunia', 'gol', 'kan', 'bola', 'finalty', 'mkny', 'peman', 'terbaik', 'lemes', 'ksh', 'mendali', 'ronaldo', 'disaat', 'thn', 'depan', 'ronaldo', 'main', 'diliat', 'diawal', 'permainan', 'final']</t>
  </si>
  <si>
    <t>@Indostransfer Sama kayak yg bilang qatar pildun terburuk, waktunya yg ga cocok karena tengah musim lah pas diawal, tapi ditonton sampai final</t>
  </si>
  <si>
    <t>sama kayak bilang qatar pildun terburuk waktunya cocok karena tengah musim lah pas diawal tapi ditonton sampai final</t>
  </si>
  <si>
    <t>['sama', 'seperti', 'qatar', 'piala dunia', 'terburuk', 'waktunya', 'cocok', 'tengah', 'musim', 'lah', 'pas', 'diawal', 'ditonton', 'final']</t>
  </si>
  <si>
    <t>iniii eenaaak seriiiyus - kemasanya juga lucuuu Aku kasii 3.8/5 dan untuk harga inii worthit under 20k pesan di gojek, buat nmnin nonton final pildun jugaaa okeenihh, #SebelumGojek #FIFAWorldCup #LionelMessiìÉµ #Messi  https://t.co/gRgKSkRiig</t>
  </si>
  <si>
    <t>iniii eenaaak seriiiyus kemasanya juga lucuuu aku kasii dan untuk harga inii worthit under pesan gojek buat nmnin nonton final pildun jugaaa okeenihh</t>
  </si>
  <si>
    <t>['iniii', 'eenaaak', 'seriiiyus', 'kemasanya', 'lucuuu', 'aku', 'kasii', 'harga', 'inii', 'worthit', 'under', 'pesan', 'gojek', 'buat', 'nmnin', 'nonton', 'final', 'piala dunia', 'jugaaa', 'okeenihh']</t>
  </si>
  <si>
    <t>@detikcom Ya gak usah heran. Biasanya yg ngomong gtu org yg kalah ya kan. Klo menurut gue final terbaik sepanjang masa ada pildun 2022.</t>
  </si>
  <si>
    <t>gak usah heran biasanya ngomong gtu org kalah kan klo menurut gue final terbaik sepanjang masa ada pildun</t>
  </si>
  <si>
    <t>['usah', 'heran', 'biasanya', 'ngomong', 'gtu', 'org', 'kalah', 'kan', 'gue', 'final', 'terbaik', 'sepanjang', 'masa', 'piala dunia']</t>
  </si>
  <si>
    <t>@bintangemon Nikmati final nya aja mon, jangan banyak ngomong, pake bawa bawa korupsi segala, lagian indonesia ga ada si pildun, kok jadi sibuk amat, nilai pildun</t>
  </si>
  <si>
    <t>nikmati final nya aja mon jangan banyak ngomong pake bawa bawa korupsi segala lagian indonesia ada pildun kok jadi sibuk amat nilai pildun</t>
  </si>
  <si>
    <t>['nikmati', 'final', 'mon', 'jangan', 'banyak', 'ngomong', 'pake', 'bawa', 'bawa', 'korupsi', 'segala', 'lagian', 'indonesia', 'piala dunia', 'kok', 'jadi', 'sibuk', 'nilai', 'piala dunia']</t>
  </si>
  <si>
    <t>Kayaknya saya off lagi deh, masih banyak yg ngomongin final pildun. Dadah semua...</t>
  </si>
  <si>
    <t>kayaknya saya off lagi deh masih banyak ngomongin final pildun dadah semua</t>
  </si>
  <si>
    <t>['kayaknya', 'off', 'deh', 'banyak', 'ngomongin', 'final', 'piala dunia', 'dadah', 'semua']</t>
  </si>
  <si>
    <t>Mas Al kek aku, ketiduran pas nonton final Pildun. Gaya2an pengen ikutan nonton yg lg hype pdhal sbnrnya cape n ngantuk berat.  Begitu bangun, udah pas tendangan pinalti üòÇüòÇüòÇ  Pict, ngeSS dr videonya @OlaHitz  https://t.co/wrUyb0YYwT</t>
  </si>
  <si>
    <t>mas kek aku ketiduran pas nonton final pildun gaya pengen ikutan nonton hype pdhal sbnrnya cape ngantuk berat begitu bangun udah pas tendangan pinalti pict ngess videonya</t>
  </si>
  <si>
    <t>['mas', 'kek', 'aku', 'ketiduran', 'pas', 'nonton', 'final', 'piala dunia', 'gaya', 'pengen', 'ikutan', 'nonton', 'hype', 'pdhal', 'sebenarnya', 'lelah', 'ngantuk', 'berat', 'bangun', 'udah', 'pas', 'tendangan', 'penalti', 'pict', 'ngess', 'videonya']</t>
  </si>
  <si>
    <t>Sisa sisa nobar final pildun  https://t.co/pncIvUr4yA</t>
  </si>
  <si>
    <t>sisa sisa nobar final pildun</t>
  </si>
  <si>
    <t>['sisa', 'sisa', 'nonton bareng', 'final', 'piala dunia']</t>
  </si>
  <si>
    <t>@kinaru_ @yourboyebee @GunplaGunGun @utdfocusid Lu kira pildun cuman final doang? Ada berapa pertandingan dari grup stage sampe final?</t>
  </si>
  <si>
    <t>kira pildun cuman final doang ada berapa pertandingan dari grup stage sampe final</t>
  </si>
  <si>
    <t>['kira', 'piala dunia', 'cuman', 'final', 'doang', 'berapa', 'pertandingan', 'grup', 'stage', 'sampai', 'final']</t>
  </si>
  <si>
    <t>@Kang_Cendols @yourboyebee @GunplaGunGun @utdfocusid Lu kira maen di pildun ga ke final gtu?</t>
  </si>
  <si>
    <t>cendols kira maen pildun final gtu</t>
  </si>
  <si>
    <t>['cendols', 'kira', 'maen', 'piala dunia', 'final', 'gtu']</t>
  </si>
  <si>
    <t>@kochengfs Nonton final pildun ketiduran wkk  https://t.co/W8A4dQfgNg</t>
  </si>
  <si>
    <t>nonton final pildun ketiduran wkk</t>
  </si>
  <si>
    <t>['nonton', 'final', 'piala dunia', 'ketiduran', 'wkk']</t>
  </si>
  <si>
    <t>@kinaru_ @yourboyebee @GunplaGunGun @utdfocusid Lu kira maen di pildun langsung ke final gtu? ü§£</t>
  </si>
  <si>
    <t>kira maen pildun langsung final gtu</t>
  </si>
  <si>
    <t>['kira', 'maen', 'piala dunia', 'langsung', 'final', 'gtu']</t>
  </si>
  <si>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</si>
  <si>
    <t>hal positif bisa diambil nonton final pildun stamina mbappe sangat luar biasa sikap tenang dan sabar mbappe keren bgt sih emang mental pemenang messi yang tetap produktif diusia tidak lagi muda hempaskan jiwa mageran ngantukan panikan dan kejompoanmu</t>
  </si>
  <si>
    <t>['positif', 'diambil', 'nonton', 'final', 'piala dunia', 'stamina', 'mbappe', 'sangat', 'luar', 'biasa', 'sikap', 'tenang', 'sabar', 'mbappe', 'keren', 'banget', 'emang', 'mental', 'pemenang', 'messi', 'tetap', 'produktif', 'diusia', 'muda', 'hempaskan', 'jiwa', 'mageran', 'ngantukan', 'panikan', 'kejompoanmu']</t>
  </si>
  <si>
    <t>Tapi Pildun ini tidak bisa ditebak bahkan sangat muncul kejutan dan pertandingan seru dari fase grup hingga final dan semua orang sangat hype banget karena menunggu ada kejutan apalagi, jadi kalau di bilang hanya tertolong Final aja ya salah besar.</t>
  </si>
  <si>
    <t>tapi pildun ini tidak bisa ditebak bahkan sangat muncul kejutan dan pertandingan seru dari fase grup hingga final dan semua orang sangat hype banget karena menunggu ada kejutan apalagi jadi kalau bilang hanya tertolong final aja salah besar</t>
  </si>
  <si>
    <t>['piala dunia', 'ditebak', 'bahkan', 'sangat', 'muncul', 'kejutan', 'pertandingan', 'seru', 'fase', 'grup', 'hingga', 'final', 'semua', 'orang', 'sangat', 'hype', 'banget', 'menunggu', 'kejutan', 'jadi', 'kalau', 'tertolong', 'final', 'salah', 'besar']</t>
  </si>
  <si>
    <t>Efek hari minggu malem nonton final pildun dan setelah itu cuman tidur 2 jam, kemaren habis maghrib langsung auto tepar</t>
  </si>
  <si>
    <t>efek hari minggu malem nonton final pildun dan setelah itu cuman tidur jam kemaren habis maghrib langsung auto tepar</t>
  </si>
  <si>
    <t>['efek', 'hari', 'minggu', 'malem', 'nonton', 'final', 'piala dunia', 'cuman', 'tidur', 'jam', 'kemarin', 'habis', 'maghrib', 'langsung', 'auto', 'tepar']</t>
  </si>
  <si>
    <t>@idextratime Ngebikin Ronaldo vs Messi di Final pasti sgt menguntungkan FIFA. Kalo emang mau disetting, mending disetting begini klo emg settingan.  2 pemain itu adlh pemain dg fanbase terbanyak. Apalagi rivalrynya bertahan lebih dr 1 dekade. Trafficnya b</t>
  </si>
  <si>
    <t>ngebikin ronaldo messi final pasti sgt menguntungkan fifa kalo emang mau disetting mending disetting begini klo emg settingan pemain itu adlh pemain fanbase terbanyak apalagi rivalrynya bertahan lebih dekade trafficnya</t>
  </si>
  <si>
    <t>['ngebikin', 'ronaldo', 'messi', 'final', 'sangat', 'menguntungkan', 'fifa', 'emang', 'mau', 'disetting', 'mending', 'disetting', 'begini', 'memang', 'settingan', 'pemain', 'adalah', 'pemain', 'fanbase', 'terbanyak', 'rivalrynya', 'bertahan', 'lebih', 'dekade', 'trafficnya']</t>
  </si>
  <si>
    <t>Fakmen selalu mengsedih lihat post-reactipn final pildun</t>
  </si>
  <si>
    <t>fakmen selalu mengsedih lihat post reactipn final pildun</t>
  </si>
  <si>
    <t>['fakmen', 'selalu', 'mengsedih', 'lihat', 'post', 'reactipn', 'final', 'piala dunia']</t>
  </si>
  <si>
    <t>but if you never try you never know..  -gagal di final pildun 2014 -gagal 2x berturut-turutdi final Copa America 2015/2016 -hilang rasa percaya diri, pensiun -percaya dirinya balik lagi 2021 -Copa America, Finalissima, World Cup 2022 Lionel Andres Messi Greatest Of All Timeüêê</t>
  </si>
  <si>
    <t>but you never try you never know gagal final pildun gagal berturut turutdi final copa america hilang rasa percaya diri pensiun percaya dirinya balik lagi copa america finalissima world cup lionel andres messi greatest all time</t>
  </si>
  <si>
    <t>['but', 'you', 'never', 'try', 'you', 'never', 'know', 'gagal', 'final', 'piala dunia', 'gagal', 'berturut', 'turutdi', 'final', 'copa', 'america', 'hilang', 'rasa', 'percaya', 'diri', 'pensiun', 'percaya', 'dirinya', 'balik', 'copa', 'america', 'finalissima', 'world', 'cup', 'lionel', 'andres', 'messi', 'greatest', 'all', 'time']</t>
  </si>
  <si>
    <t>dari awal pildun sampe final, cuman liat highlight doang, sudah tidak setertarik itu dengan aktifitas lain, selain kerja dan keluarga.</t>
  </si>
  <si>
    <t>dari awal pildun sampe final cuman liat highlight doang sudah tidak setertarik itu dengan aktifitas lain selain kerja dan keluarga</t>
  </si>
  <si>
    <t>['awal', 'piala dunia', 'sampai', 'final', 'cuman', 'lihat', 'highlight', 'doang', 'setertarik', 'aktifitas', 'kerja', 'keluarga']</t>
  </si>
  <si>
    <t>@fbyskm_ nonton pas final doang bilang 'pildun tahun ini seru bangetüòç'</t>
  </si>
  <si>
    <t>nonton pas final doang bilang pildun tahun ini seru banget</t>
  </si>
  <si>
    <t>['nonton', 'pas', 'final', 'doang', 'piala dunia', 'tahun', 'seru', 'banget']</t>
  </si>
  <si>
    <t>@ayuardila21 wkwk kmaren vidio pas final pildun gangguan parah bgttt yuuuu. emosi bgt seng nonton. tpi marine aku ngetweet lgsg lancar ü§£ü§£ü§£</t>
  </si>
  <si>
    <t>wkwk kmaren vidio pas final pildun gangguan parah bgttt yuuuu emosi bgt seng nonton tpi marine aku ngetweet lgsg lancar</t>
  </si>
  <si>
    <t>['kmaren', 'vidio', 'pas', 'final', 'piala dunia', 'gangguan', 'parah', 'bgttt', 'yuuuu', 'emosi', 'banget', 'seng', 'nonton', 'tpi', 'marine', 'aku', 'ngetweet', 'lgsg', 'lancar']</t>
  </si>
  <si>
    <t>@nelsonrock1811 @bintangemon Cuma mengutarakan opini aja kok, orang matchnya banyak yg seru, dia bilang seakan pildun ini cuma final doang</t>
  </si>
  <si>
    <t>cuma mengutarakan opini aja kok orang matchnya banyak seru dia bilang seakan pildun ini cuma final doang</t>
  </si>
  <si>
    <t>['cuma', 'mengutarakan', 'opini', 'kok', 'orang', 'matchnya', 'banyak', 'seru', 'seakan', 'piala dunia', 'cuma', 'final', 'doang']</t>
  </si>
  <si>
    <t>dikira ujug2 juara kali ya lol argentina bersama messi dah ngerasain 3x final gagal (2x final copa amerika &amp;amp; 1x fibal pildun) kalo kata aki.p usaha keras tak akan menghianati</t>
  </si>
  <si>
    <t>dikira ujug juara kali lol argentina bersama messi dah ngerasain final gagal final copa amerika fibal pildun kalo kata aki usaha keras tak akan menghianati</t>
  </si>
  <si>
    <t>['dikira', 'ujug', 'juara', 'kali', 'laugh out loud', 'argentina', 'bersama', 'messi', 'dah', 'ngerasain', 'final', 'gagal', 'final', 'copa', 'amerika', 'fibal', 'piala dunia', 'kata', 'aki', 'usaha', 'keras', 'tak', 'menghianati']</t>
  </si>
  <si>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</si>
  <si>
    <t>hal positif bisa diambil nonton final pildun stamina mbappe sangat luar biasa tetap tenang dan sabar serta jiwa pemenang mbappe keren bgt sih messi yang tetap produktif usia tua hempaskan jiwa mageran ngantukan panikan dan kejompoan</t>
  </si>
  <si>
    <t>['positif', 'diambil', 'nonton', 'final', 'piala dunia', 'stamina', 'mbappe', 'sangat', 'luar', 'biasa', 'tetap', 'tenang', 'sabar', 'jiwa', 'pemenang', 'mbappe', 'keren', 'banget', 'messi', 'tetap', 'produktif', 'usia', 'tua', 'hempaskan', 'jiwa', 'mageran', 'ngantukan', 'panikan', 'kejompoan']</t>
  </si>
  <si>
    <t>Woah baru tau kalo Hattrick di final pildun itu baru Mbappe ini dia ü§Øü§Øü§Ø</t>
  </si>
  <si>
    <t>woah baru tau kalo hattrick final pildun itu baru mbappe ini dia</t>
  </si>
  <si>
    <t>['woah', 'baru', 'hattrick', 'final', 'piala dunia', 'baru', 'mbappe']</t>
  </si>
  <si>
    <t>@muna_fiks @ngaanuuu @nextjack1995 @acuuunk @dolphinisasi @idextratime Lu yg gk liat fakta blok, sebelum generasi emas mulai muncul (2018), Portugal mau masuk Pildun itu susah, byk kontribusi CR7 utk kelolosan timnas portugal ke pildun, atau waktu Euro 20</t>
  </si>
  <si>
    <t>fiks liat fakta blok sebelum generasi emas mulai muncul portugal mau masuk pildun itu susah byk kontribusi utk kelolosan timnas portugal pildun atau waktu euro</t>
  </si>
  <si>
    <t>['fiks', 'lihat', 'fakta', 'blok', 'generasi', 'emas', 'mulai', 'muncul', 'portugal', 'mau', 'masuk', 'piala dunia', 'susah', 'byk', 'kontribusi', 'kelolosan', 'timnas', 'portugal', 'piala dunia', 'waktu', 'euro']</t>
  </si>
  <si>
    <t>baru pertama kli nonton bola full dari awal sampe akhir gara gara final pildun kemarinüôÇ</t>
  </si>
  <si>
    <t>baru pertama kli nonton bola full dari awal sampe akhir gara gara final pildun kemarin</t>
  </si>
  <si>
    <t>['baru', 'pertama', 'kli', 'nonton', 'bola', 'full', 'awal', 'sampai', 'akhir', 'gara', 'gara', 'final', 'piala dunia', 'kemarin']</t>
  </si>
  <si>
    <t>semalem pas nonton final pildun seru bgtt. bukan krn nontonnya, tp krn si sobirin sombong abizzz tp trnyata tim yg dia dukung kalah wkwkwk dicengcengin ampe mau deact sosmed semingguüò≠ü§öüèª gakuat punya temen gini  https://t.co/nNl5NpUOaD</t>
  </si>
  <si>
    <t>semalem pas nonton final pildun seru bgtt bukan krn nontonnya krn sobirin sombong abizzz trnyata tim dia dukung kalah wkwkwk dicengcengin ampe mau deact sosmed seminggu gakuat punya temen gini</t>
  </si>
  <si>
    <t>['semalam', 'pas', 'nonton', 'final', 'piala dunia', 'seru', 'bgtt', 'bukan', 'nontonnya', 'sobirin', 'sombong', 'abizzz', 'trnyata', 'tim', 'dukung', 'kalah', 'wkwkwk', 'dicengcengin', 'sampai', 'mau', 'deact', 'sosmed', 'seminggu', 'gakuat', 'punya', 'temen', 'gini']</t>
  </si>
  <si>
    <t>ini malem kemaren lagi tegang2nya final pildun pas mbappe ngegolin</t>
  </si>
  <si>
    <t>ini malem kemaren lagi tegang nya final pildun pas mbappe ngegolin</t>
  </si>
  <si>
    <t>['malem', 'kemarin', 'tegang', 'final', 'piala dunia', 'pas', 'mbappe', 'ngegolin']</t>
  </si>
  <si>
    <t>@meswhyri @maschicagoo @idextratime Trus kemarin pas awal pildun sesi latihan dia cidera, pdhl cidera ringan tp dipulangin sama deschamp tp namanya tetep masuk squad kan jd ngerasa digantung. nah pdhl benzi nya ini pengennya tetep disana sampe nunggu puli</t>
  </si>
  <si>
    <t>trus kemarin pas awal pildun sesi latihan dia cidera pdhl cidera ringan dipulangin sama deschamp namanya tetep masuk squad kan ngerasa digantung nah pdhl benzi nya ini pengennya tetep disana sampe nunggu puli</t>
  </si>
  <si>
    <t>['trus', 'kemarin', 'pas', 'awal', 'piala dunia', 'sesi', 'latihan', 'cidera', 'pdhl', 'cidera', 'ringan', 'dipulangin', 'sama', 'deschamp', 'namanya', 'tetep', 'masuk', 'squad', 'kan', 'ngerasa', 'digantung', 'nah', 'pdhl', 'benzi', 'pengennya', 'tetep', 'disana', 'sampai', 'nunggu', 'puli']</t>
  </si>
  <si>
    <t>@convomfs final pildun kemaren wkwk  https://t.co/936lRDe5dh</t>
  </si>
  <si>
    <t>final pildun kemaren wkwk</t>
  </si>
  <si>
    <t>['final', 'piala dunia', 'kemarin']</t>
  </si>
  <si>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</si>
  <si>
    <t>saya telah mengirimkan ayo ambil sini sebelum habis messi dybala argentina penalti mbappe madrid higuain perancis all france dimaria final ronaldo dembele pildun drake narnia jepang ehsan susanti</t>
  </si>
  <si>
    <t>['mengirimkan', 'ayo', 'ambil', 'sini', 'habis', 'messi', 'dybala', 'argentina', 'penalti', 'mbappe', 'madrid', 'higuain', 'perancis', 'all', 'france', 'dimaria', 'final', 'ronaldo', 'dembele', 'piala dunia', 'drake', 'narnia', 'jepang', 'ehsan', 'susanti']</t>
  </si>
  <si>
    <t>@SeputarMadrid Dihina fans Madrid krn dianggap sngaja ga main biar pulih pas pildun, jelang pildun beneran cedera lg  Niatnya bertahan di Qatar agar pulih di babak 16, eh disuruh balik dan gjd main di pildun  Prancis kalah di final, bsknya dia ultah dan m</t>
  </si>
  <si>
    <t>dihina fans madrid krn dianggap sngaja main biar pulih pas pildun jelang pildun beneran cedera niatnya bertahan qatar agar pulih babak disuruh balik dan gjd main pildun prancis kalah final bsknya dia ultah dan</t>
  </si>
  <si>
    <t>['dihina', 'fans', 'madrid', 'dianggap', 'sngaja', 'main', 'pulih', 'pas', 'piala dunia', 'jelang', 'piala dunia', 'beneran', 'cedera', 'niatnya', 'bertahan', 'qatar', 'pulih', 'babak', 'disuruh', 'balik', 'gjd', 'main', 'piala dunia', 'prancis', 'kalah', 'final', 'bsknya', 'ultah']</t>
  </si>
  <si>
    <t>perjalanan pulang sore - malem, pas itu ada final piala dunia Kroasia vs Prancis, yg prancis juaranya :v - kita break dulu nonton final pildun di tegal :v</t>
  </si>
  <si>
    <t>perjalanan pulang sore malem pas itu ada final piala dunia kroasia prancis prancis juaranya kita break dulu nonton final pildun tegal</t>
  </si>
  <si>
    <t>['perjalanan', 'pulang', 'sore', 'malem', 'pas', 'final', 'piala', 'dunia', 'kroasia', 'prancis', 'prancis', 'juaranya', 'break', 'dulu', 'nonton', 'final', 'piala dunia', 'tegal']</t>
  </si>
  <si>
    <t xml:space="preserve">@RoegenSchwarzer @ainurohman gua ulangin lg bg. lu sbg fans argentina pasti nonton bola ga cuma final pildun ini. lu pasti udh tau gmn kelakuan emi kan. di EPL pun jg sama aja banyak tingkah. masa satu perilaku baik gt bs membenarkan semua perilaku buruk </t>
  </si>
  <si>
    <t>gua ulangin sbg fans argentina pasti nonton bola cuma final pildun ini pasti udh tau gmn kelakuan emi kan epl pun sama aja banyak tingkah masa satu perilaku baik membenarkan semua perilaku buruk</t>
  </si>
  <si>
    <t>['gua', 'ulangin', 'sbg', 'fans', 'argentina', 'nonton', 'bola', 'cuma', 'final', 'piala dunia', 'sudah', 'gmn', 'kelakuan', 'emi', 'kan', 'epl', 'sama', 'banyak', 'tingkah', 'masa', 'satu', 'perilaku', 'baik', 'membenarkan', 'semua', 'perilaku', 'buruk']</t>
  </si>
  <si>
    <t>msh blm sanggup move on dr final pildun hff</t>
  </si>
  <si>
    <t>msh blm sanggup move final pildun hff</t>
  </si>
  <si>
    <t>['msh', 'blm', 'sanggup', 'move', 'final', 'piala dunia', 'hff']</t>
  </si>
  <si>
    <t>@Paijo_ziman @Rdtyhrjj @SeputarMadrid @Benzema Tanpa benz francis back 2 back final pildun seakan" Kalah final maennya buruk</t>
  </si>
  <si>
    <t>ziman tanpa benz francis back back final pildun seakan kalah final maennya buruk</t>
  </si>
  <si>
    <t>['ziman', 'benz', 'francis', 'back', 'back', 'final', 'piala dunia', 'seakan', 'kalah', 'final', 'maennya', 'buruk']</t>
  </si>
  <si>
    <t>@adhprmnjsn @idextratime Minimal ke final pildun dlu lah bang,gausah tropi piala dunianya chuakss</t>
  </si>
  <si>
    <t>minimal final pildun dlu lah bang gausah tropi piala dunianya chuakss</t>
  </si>
  <si>
    <t>['minimal', 'final', 'piala dunia', 'dlu', 'lah', 'bang', 'gausah', 'trofi', 'piala', 'dunianya', 'chuakss']</t>
  </si>
  <si>
    <t>@The_RedsIndo Ini mh wkt final copa America min, bkn final pildunüòî</t>
  </si>
  <si>
    <t>redsindo ini wkt final copa america min bkn final pildun</t>
  </si>
  <si>
    <t>['redsindo', 'wkt', 'final', 'copa', 'america', 'min', 'bkn', 'final', 'piala dunia']</t>
  </si>
  <si>
    <t>Tbh, kemarin adalah final pildun pertama yang kutonton dari awal sampe akhir. And it was amazingly dramatic, to the point when I thought it was rigged and staged lmao. Tapi emang seru banget, parah!</t>
  </si>
  <si>
    <t>tbh kemarin adalah final pildun pertama yang kutonton dari awal sampe akhir and was amazingly dramatic the point when thought was rigged and staged lmao tapi emang seru banget parah</t>
  </si>
  <si>
    <t>['tbh', 'kemarin', 'final', 'piala dunia', 'pertama', 'kutonton', 'awal', 'sampai', 'akhir', 'and', 'was', 'amazingly', 'dramatic', 'the', 'point', 'when', 'thought', 'was', 'rigged', 'and', 'staged', 'laughing my ass off', 'emang', 'seru', 'banget', 'parah']</t>
  </si>
  <si>
    <t>Jd inget tadi siang ada lah satu cewe di tmpt kerja mungkin karna rame final pildun ini dia ikut kepo, nanya2 tentang messi ampe tercetus lah pertanyaan "messi itu islam bukan? Bukan ya? Yg islam siapa? Ronaldo?" Ya gua jawab aja "bambang pamungkas"</t>
  </si>
  <si>
    <t>inget tadi siang ada lah satu cewe tmpt kerja mungkin karna rame final pildun ini dia ikut kepo nanya tentang messi ampe tercetus lah pertanyaan messi itu islam bukan bukan islam siapa ronaldo gua jawab aja bambang pamungkas</t>
  </si>
  <si>
    <t>['inget', 'tadi', 'siang', 'lah', 'satu', 'cewe', 'tmpt', 'kerja', 'mungkin', 'karna', 'ramai', 'final', 'piala dunia', 'ikut', 'ingin tahu', 'nanya', 'messi', 'sampai', 'tercetus', 'lah', 'pertanyaan', 'messi', 'islam', 'bukan', 'bukan', 'islam', 'siapa', 'ronaldo', 'gua', 'jawab', 'bambang', 'pamungkas']</t>
  </si>
  <si>
    <t>@marksudirman namanya juga manusia yh ki. BTW, KMRN APS NONTON FINAL PILDUN, KEINGET PAPA NYAMUK AKDJAJZJSKSK üò≠üò≠</t>
  </si>
  <si>
    <t>namanya juga manusia btw kmrn aps nonton final pildun keinget papa nyamuk akdjajzjsksk</t>
  </si>
  <si>
    <t>['namanya', 'manusia', 'by the way', 'kmrn', 'aps', 'nonton', 'final', 'piala dunia', 'keinget', 'papa', 'nyamuk', 'akdjajzjsksk']</t>
  </si>
  <si>
    <t>masih belum move on dari nobar final pildun malam tadi, see you 4 tahun lagiüòîü•π</t>
  </si>
  <si>
    <t>masih belum move dari nobar final pildun malam tadi see you tahun lagi</t>
  </si>
  <si>
    <t>['move', 'nonton bareng', 'final', 'piala dunia', 'malam', 'tadi', 'see', 'you', 'tahun']</t>
  </si>
  <si>
    <t>@bukan_adims @ned_cromagnon @Oyen_Cakep @FaktaSepakbola Setuju,jadwal padat pemain bnyk tdk maksimal dan jg cedera.Yang bikin heboh dan ngeramein mah yh fans messi dan fans ronaldo yg ribut di sosialmedia üòÖ Tp final skrg masih mending sih drpd final fr</t>
  </si>
  <si>
    <t>adims cromagnon cakep setuju jadwal padat pemain bnyk tdk maksimal dan cedera yang bikin heboh dan ngeramein mah fans messi dan fans ronaldo ribut sosialmedia final skrg masih mending sih drpd final</t>
  </si>
  <si>
    <t>['adims', 'cromagnon', 'cakep', 'setuju', 'jadwal', 'padat', 'pemain', 'bnyk', 'maksimal', 'cedera', 'heboh', 'ngeramein', 'mah', 'fans', 'messi', 'fans', 'ronaldo', 'ribut', 'sosialmedia', 'final', 'skrg', 'mending', 'drpd', 'final']</t>
  </si>
  <si>
    <t>@idextratime Apa salahnya barca posting messi,  barca juga ikut seneng kali mantan memb tim nya bisa ngeraih juara final pildun dan itu psti membanggakan bgt. Masa iya barca harus kek dingin gtu sok ga peduli ttg kemenangan messi? Memang srba slah yee wkw</t>
  </si>
  <si>
    <t>apa salahnya barca posting messi barca juga ikut seneng kali mantan memb tim nya bisa ngeraih juara final pildun dan itu psti membanggakan bgt masa iya barca harus kek dingin gtu sok peduli ttg kemenangan messi memang srba slah yee wkw</t>
  </si>
  <si>
    <t>['apa', 'salahnya', 'barca', 'posting', 'messi', 'barca', 'ikut', 'seneng', 'kali', 'mantan', 'memb', 'tim', 'ngeraih', 'juara', 'final', 'piala dunia', 'psti', 'membanggakan', 'banget', 'masa', 'iya', 'barca', 'kek', 'dingin', 'gtu', 'sok', 'peduli', 'ttg', 'kemenangan', 'messi', 'memang', 'srba', 'slah', 'yee', 'wkw']</t>
  </si>
  <si>
    <t>&lt;FreqDist with 32 samples and 35 outcomes&gt;</t>
  </si>
  <si>
    <t>Dulu ga punya TV pas pildun dikosan awal awal bisa jalur link haram ga ketinggalan momen cuma kali ini aja sial banget final ga nonton legaaaa</t>
  </si>
  <si>
    <t>dulu punya pas pildun dikosan awal awal bisa jalur link haram ketinggalan momen cuma kali ini aja sial banget final nonton legaaaa</t>
  </si>
  <si>
    <t>['dulu', 'punya', 'pas', 'piala dunia', 'dikosan', 'awal', 'awal', 'jalur', 'link', 'haram', 'ketinggalan', 'momen', 'cuma', 'kali', 'sial', 'banget', 'final', 'nonton', 'legaaaa']</t>
  </si>
  <si>
    <t>keren.. dari habis nonton final pildun sampe sekarang cuma tidur 2 jam doang.  https://t.co/uEQIJBwho1</t>
  </si>
  <si>
    <t>keren dari habis nonton final pildun sampe sekarang cuma tidur jam doang</t>
  </si>
  <si>
    <t>['keren', 'habis', 'nonton', 'final', 'piala dunia', 'sampai', 'sekarang', 'cuma', 'tidur', 'jam', 'doang']</t>
  </si>
  <si>
    <t>Tadi malam susah napas nonton final pildun, malam ini sesak napas nonton ini üòÇüòÇüòÇüòÇüòÇüòÇüòÇüòÇüòÇüòÇüòÇ</t>
  </si>
  <si>
    <t>tadi malam susah napas nonton final pildun malam ini sesak napas nonton ini</t>
  </si>
  <si>
    <t>['tadi', 'malam', 'susah', 'napas', 'nonton', 'final', 'piala dunia', 'malam', 'sesak', 'napas', 'nonton']</t>
  </si>
  <si>
    <t>Udah gakngikutin perkembangan sepak bola, tapi abis final pildun langsung pingin buka twitter demi lihat konten2 lucu ala warga masyarakatüò≠</t>
  </si>
  <si>
    <t>udah gakngikutin perkembangan sepak bola tapi abis final pildun langsung pingin buka twitter demi lihat konten lucu ala warga masyarakat</t>
  </si>
  <si>
    <t>['udah', 'gakngikutin', 'perkembangan', 'sepak', 'bola', 'abis', 'final', 'piala dunia', 'langsung', 'pingin', 'buka', 'twitter', 'lihat', 'konten', 'lucu', 'ala', 'warga', 'masyarakat']</t>
  </si>
  <si>
    <t>saya berharap bisa nonton argen vs brazil di final pildun 2022. eh, sayang, brazil pulang duluan. jelas, harapan tinggal ke argen. senang sih, pas lawan perancis, argen menang. tapi sayang, laga itu tak sempat saya tonton, karena pas mau main, saya tidur krn udah ngantuk berat!</t>
  </si>
  <si>
    <t>saya berharap bisa nonton argen brazil final pildun sayang brazil pulang duluan jelas harapan tinggal argen senang sih pas lawan perancis argen menang tapi sayang laga itu tak sempat saya tonton karena pas mau main saya tidur krn udah ngantuk berat</t>
  </si>
  <si>
    <t>['berharap', 'nonton', 'argen', 'brazil', 'final', 'piala dunia', 'sayang', 'brazil', 'pulang', 'duluan', 'jelas', 'harapan', 'tinggal', 'argen', 'senang', 'pas', 'lawan', 'perancis', 'argen', 'menang', 'sayang', 'laga', 'tak', 'sempat', 'tonton', 'pas', 'mau', 'main', 'tidur', 'udah', 'ngantuk', 'berat']</t>
  </si>
  <si>
    <t>Final pildun ter KERENNN, dukung argentina dari era batistuta, ke riqeulme, aimar, crespo sampe ke era messi dari 2004. Awalnya disuguhin kakak dari koran messi masi pakek nomor 30 di barca.  Sampe sekarang respect penuh sama LEO! üñ§üñ§</t>
  </si>
  <si>
    <t>final pildun ter kerennn dukung argentina dari era batistuta riqeulme aimar crespo sampe era messi dari awalnya disuguhin kakak dari koran messi masi pakek nomor barca sampe sekarang respect penuh sama leo</t>
  </si>
  <si>
    <t>['final', 'piala dunia', 'ter', 'kerennn', 'dukung', 'argentina', 'era', 'batistuta', 'riqeulme', 'aimar', 'crespo', 'sampai', 'era', 'messi', 'awalnya', 'disuguhin', 'kakak', 'koran', 'messi', 'masi', 'pakek', 'nomor', 'barca', 'sampai', 'sekarang', 'respect', 'penuh', 'sama', 'leo']</t>
  </si>
  <si>
    <t>@SiaranBolaLive Coba yg ngajak istri tetangga Jangankan final pildun...final AFF pun gasssss 1000cc</t>
  </si>
  <si>
    <t>coba ngajak istri tetangga jangankan final pildun final aff pun gasssss</t>
  </si>
  <si>
    <t>['coba', 'ngajak', 'istri', 'tetangga', 'jangankan', 'final', 'piala dunia', 'final', 'aff', 'gasssss']</t>
  </si>
  <si>
    <t>@ngaanuuu @muna_fiks @acuuunk @Fathorz_sii15 @dolphinisasi @idextratime Gausah jauh2 ke eusebio deh,squad jaman figo aja bisa tembus sampe semi final pildun dengan squad yg ga lebih bagus dari sekarang</t>
  </si>
  <si>
    <t>fiks sii gausah jauh eusebio deh squad jaman figo aja bisa tembus sampe semi final pildun dengan squad lebih bagus dari sekarang</t>
  </si>
  <si>
    <t>['fiks', 'sii', 'gausah', 'jauh', 'eusebio', 'deh', 'squad', 'jaman', 'figo', 'tembus', 'sampai', 'semi', 'final', 'piala dunia', 'squad', 'lebih', 'bagus', 'sekarang']</t>
  </si>
  <si>
    <t>Efek abis final pildun, hari ini byk yang minjem duit wkwkwk</t>
  </si>
  <si>
    <t>efek abis final pildun hari ini byk yang minjem duit wkwkwk</t>
  </si>
  <si>
    <t>['efek', 'abis', 'final', 'piala dunia', 'hari', 'byk', 'minjem', 'duit', 'wkwkwk']</t>
  </si>
  <si>
    <t>üçô kemaren final pildun di tempat kalian yang menang siapa? Siapa tau beda</t>
  </si>
  <si>
    <t>kemaren final pildun tempat kalian yang menang siapa siapa tau beda</t>
  </si>
  <si>
    <t>['kemarin', 'final', 'piala dunia', 'tempat', 'kalian', 'menang', 'siapa', 'siapa', 'beda']</t>
  </si>
  <si>
    <t>abis di anter pulang terus ak kluar sendiri naik maxim. kirain bakal di susul ternyata dia malah nonton final pildun!üò§  https://t.co/efZnxmB3hX</t>
  </si>
  <si>
    <t>abis anter pulang terus kluar sendiri naik maxim kirain bakal susul ternyata dia malah nonton final pildun</t>
  </si>
  <si>
    <t>['abis', 'anter', 'pulang', 'terus', 'kluar', 'sendiri', 'naik', 'maxim', 'kirain', 'bakal', 'susul', 'ternyata', 'malah', 'nonton', 'final', 'piala dunia']</t>
  </si>
  <si>
    <t>Ceritanya kan lagi mau nonton final pildun nih di rmh sana, karna keasikan¬† ngobrol jd lupa mau mampir alfa buat beli minuman sama makanan padahal di rmh ga ada makan-minum sama sekali.</t>
  </si>
  <si>
    <t>ceritanya kan lagi mau nonton final pildun nih rmh sana karna keasikan ngobrol lupa mau mampir alfa buat beli minuman sama makanan padahal rmh ada makan minum sama sekali</t>
  </si>
  <si>
    <t>['ceritanya', 'kan', 'mau', 'nonton', 'final', 'piala dunia', 'rmh', 'sana', 'karna', 'keasikan', 'ngobrol', 'lupa', 'mau', 'mampir', 'alfa', 'buat', 'beli', 'minuman', 'sama', 'makanan', 'padahal', 'rmh', 'makan', 'minum', 'sama', 'sekali']</t>
  </si>
  <si>
    <t>@Herwinwijaya14 @kantin_pabrik @dukeofbeduland @senggoldoank @amir_alpan @The_RedsIndo Lah kalo bandingan nya usia terus pas di pildun tahun 2018 kemana dek? , Jangan banyak alasan terima aja udah wkwkw fakta memang pait dek Ke final pildun aja kagak pern</t>
  </si>
  <si>
    <t>pabrik alpan redsindo lah kalo bandingan nya usia terus pas pildun tahun kemana dek jangan banyak alasan terima aja udah wkwkw fakta memang pait dek final pildun aja kagak pern</t>
  </si>
  <si>
    <t>['pabrik', 'alpan', 'redsindo', 'lah', 'bandingan', 'usia', 'terus', 'pas', 'piala dunia', 'tahun', 'dek', 'jangan', 'banyak', 'alasan', 'terima', 'udah', 'wkwkw', 'fakta', 'memang', 'pait', 'dek', 'final', 'piala dunia', 'kagak', 'pern']</t>
  </si>
  <si>
    <t>Hashtag semua ada di vidio, semuanya ada kecuali final pildun</t>
  </si>
  <si>
    <t>hashtag semua ada vidio semuanya ada kecuali final pildun</t>
  </si>
  <si>
    <t>['hashtag', 'semua', 'vidio', 'semuanya', 'final', 'piala dunia']</t>
  </si>
  <si>
    <t>lg menikmati final pildun malah muncul berita beginian</t>
  </si>
  <si>
    <t>menikmati final pildun malah muncul berita beginian</t>
  </si>
  <si>
    <t>['menikmati', 'final', 'piala dunia', 'malah', 'muncul', 'berita', 'beginian']</t>
  </si>
  <si>
    <t>@fariltesfaye @pahingguann @mariknyawa @16_18_1_19_19 @Amrullah_acho @idextratime klo debat makanya jangan bawa statistik, noh mbappe juara pildun umur 19, messi sama cr umur berapa juara pildun, mbappe orang pertama yang cetak 3 gol di final pildun, 4 go</t>
  </si>
  <si>
    <t>acho klo debat makanya jangan bawa statistik noh mbappe juara pildun umur messi sama umur berapa juara pildun mbappe orang pertama yang cetak gol final pildun</t>
  </si>
  <si>
    <t>['acho', 'debat', 'makanya', 'jangan', 'bawa', 'statistik', 'noh', 'mbappe', 'juara', 'piala dunia', 'umur', 'messi', 'sama', 'umur', 'berapa', 'juara', 'piala dunia', 'mbappe', 'orang', 'pertama', 'cetak', 'gol', 'final', 'piala dunia']</t>
  </si>
  <si>
    <t>@BangEdiii Bang.. Awak belum jg dapat transferan GA tebak final pildun üôèüôè Serius..</t>
  </si>
  <si>
    <t>bang awak belum dapat transferan tebak final pildun serius</t>
  </si>
  <si>
    <t>['bang', 'awak', 'transferan', 'tebak', 'final', 'piala dunia', 'serius']</t>
  </si>
  <si>
    <t>efek final epic kmrin jdi gamon + lupa klo pildun FIFA thn ini udah kelar kemarinüòÇüôÉ</t>
  </si>
  <si>
    <t>efek final epic kmrin jdi gamon lupa klo pildun fifa thn ini udah kelar kemarin</t>
  </si>
  <si>
    <t>['efek', 'final', 'epic', 'kmrin', 'jdi', 'gamon', 'lupa', 'piala dunia', 'fifa', 'thn', 'udah', 'kelar', 'kemarin']</t>
  </si>
  <si>
    <t>@Bali_Football Ibi balih final pildun seru gati kanti ilang kiap e + ukup, eh jani balih liga sagetan ngicir mebalih</t>
  </si>
  <si>
    <t>football ibi balih final pildun seru gati kanti ilang kiap ukup jani balih liga sagetan ngicir mebalih</t>
  </si>
  <si>
    <t>['football', 'ibi', 'balih', 'final', 'piala dunia', 'seru', 'gati', 'kanti', 'ilang', 'kiap', 'ukup', 'jani', 'balih', 'liga', 'sagetan', 'ngicir', 'mebalih']</t>
  </si>
  <si>
    <t>Dari segi infrastruktur konon ini adalah pildun termegah , sepertinya jg memiliki "kejutan" terbanyak stelah beberapa tim besar kalah dari tim yg biasa saja , apalagi match finalnya mungkin kt semua akan sepakat klu ini adalah match final pildun terseru !</t>
  </si>
  <si>
    <t>dari segi infrastruktur konon ini adalah pildun termegah sepertinya memiliki kejutan terbanyak stelah beberapa tim besar kalah dari tim biasa saja apalagi match finalnya mungkin semua akan sepakat klu ini adalah match final pildun terseru</t>
  </si>
  <si>
    <t>['segi', 'infrastruktur', 'konon', 'piala dunia', 'termegah', 'sepertinya', 'memiliki', 'kejutan', 'terbanyak', 'stelah', 'beberapa', 'tim', 'besar', 'kalah', 'tim', 'biasa', 'match', 'finalnya', 'mungkin', 'semua', 'sepakat', 'klu', 'match', 'final', 'piala dunia', 'terseru']</t>
  </si>
  <si>
    <t>JajaRans X Nobar final pildun 2022 argentina vs francis ü•∞ü•∞ @raffi_nagita17  https://t.co/8hO0F8Rjs6</t>
  </si>
  <si>
    <t>jajarans nobar final pildun argentina francis nagita</t>
  </si>
  <si>
    <t>['jajarans', 'nonton bareng', 'final', 'piala dunia', 'argentina', 'francis', 'nagita']</t>
  </si>
  <si>
    <t>Rame banget ih final pildun tahun ini sampe nonton 2x wkwk  https://t.co/lUboewPnG4</t>
  </si>
  <si>
    <t>rame banget final pildun tahun ini sampe nonton wkwk</t>
  </si>
  <si>
    <t>['ramai', 'banget', 'final', 'piala dunia', 'tahun', 'sampai', 'nonton']</t>
  </si>
  <si>
    <t>@hayked Bangkit dr kekalahan final euro 2004? Lalu juara di uero 2016 stlh hasil sgt buruk di pildun 2014 n juara nation league.</t>
  </si>
  <si>
    <t>bangkit kekalahan final euro lalu juara uero stlh hasil sgt buruk pildun juara nation league</t>
  </si>
  <si>
    <t>['bangkit', 'kekalahan', 'final', 'euro', 'lalu', 'juara', 'uero', 'stlh', 'hasil', 'sangat', 'buruk', 'piala dunia', 'juara', 'nation', 'league']</t>
  </si>
  <si>
    <t>@convomfs dih aku malah pacaran sambil nobar bareng tuhh ya kali ngelewatin final pildun 4 tahun sekaliü§™ ya walaupun nobarnya lewat vidcall sih soalnya pejuang ldrüòîüíî</t>
  </si>
  <si>
    <t>dih aku malah pacaran sambil nobar bareng tuhh kali ngelewatin final pildun tahun sekali walaupun nobarnya lewat vidcall sih soalnya pejuang ldr</t>
  </si>
  <si>
    <t>['dih', 'aku', 'malah', 'pacaran', 'nonton bareng', 'bareng', 'tuhh', 'kali', 'ngelewatin', 'final', 'piala dunia', 'tahun', 'sekali', 'walaupun', 'nobarnya', 'lewat', 'vidcall', 'soalnya', 'pejuang', 'ldr']</t>
  </si>
  <si>
    <t>Àñ ‚Ä∫ Íí± ‚ãÜ #ushiten few tweets fanfic  [ drama beda jagoan di final pildun ]  https://t.co/ZIBj5diAss</t>
  </si>
  <si>
    <t>few tweets fanfic drama beda jagoan final pildun</t>
  </si>
  <si>
    <t>['few', 'tweets', 'fanfic', 'drama', 'beda', 'jagoan', 'final', 'piala dunia']</t>
  </si>
  <si>
    <t>@dindashit Seluas lapangan sepakbola final pildun</t>
  </si>
  <si>
    <t>seluas lapangan sepakbola final pildun</t>
  </si>
  <si>
    <t>['seluas', 'lapangan', 'sepakbola', 'final', 'piala dunia']</t>
  </si>
  <si>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</si>
  <si>
    <t>wah sama sekali ngga nonton pildun kemaren pas final dah liat bimo minta maen keluar males juga sih ngga ada italia belakangan ini bosen banget sama jagad sepakbola bahas mesdo mulu semakin ngga asik sepakbolanya lokal apalagi dah riweh dan bahan politik</t>
  </si>
  <si>
    <t>['wah', 'sama', 'sekali', 'ngga', 'nonton', 'piala dunia', 'kemarin', 'pas', 'final', 'dah', 'lihat', 'bimo', 'minta', 'maen', 'keluar', 'males', 'ngga', 'italia', 'belakangan', 'bosen', 'banget', 'sama', 'jagad', 'sepakbola', 'bahas', 'mesdo', 'mulu', 'semakin', 'ngga', 'asik', 'sepakbolanya', 'lokal', 'dah', 'riweh', 'bahan', 'politik']</t>
  </si>
  <si>
    <t>Beberapa catatan mengenai pildun tahun ini.  Slama ini aku bertanya, kenapa pildun tahun ini diadakan bulan nov smpe desember. Knapa ga kyk edisi sebelum2nya. Dan akhirnya terjawab dini hari tadi. Di MARIA dan messah (julukan messi). Final diadakan kurleb seminggu dari natal.</t>
  </si>
  <si>
    <t>beberapa catatan mengenai pildun tahun ini slama ini aku bertanya kenapa pildun tahun ini diadakan bulan nov smpe desember knapa kyk edisi sebelum nya dan akhirnya terjawab dini hari tadi maria dan messah julukan messi final diadakan kurleb seminggu dari natal</t>
  </si>
  <si>
    <t>['beberapa', 'catatan', 'mengenai', 'piala dunia', 'tahun', 'slama', 'aku', 'bertanya', 'piala dunia', 'tahun', 'diadakan', 'bulan', 'nov', 'smpe', 'desember', 'kenapa', 'seperti', 'edisi', 'akhirnya', 'terjawab', 'dini', 'hari', 'tadi', 'maria', 'messah', 'julukan', 'messi', 'final', 'diadakan', 'kurleb', 'seminggu', 'natal']</t>
  </si>
  <si>
    <t>Ga sempet nonton final pildun ketiduran.</t>
  </si>
  <si>
    <t>sempet nonton final pildun ketiduran</t>
  </si>
  <si>
    <t>['sempet', 'nonton', 'final', 'piala dunia', 'ketiduran']</t>
  </si>
  <si>
    <t>Karena skor yang diperhitungkan adalah 120 menit, Jadinya CONGRATS BUAT  @Mastrick_ @pororopoby @uthaismyname @ubayyye @d_i_m_a_s_a_p @wahjoewebee  KALIAN ADALAH PEMENANG TEBAK SKOR FINAL PILDUN ARG VS FRA. Gimana pendukung prancis? masih ngelap air mata kahhh? hehehe</t>
  </si>
  <si>
    <t>karena skor yang diperhitungkan adalah menit jadinya congrats buat kalian adalah pemenang tebak skor final pildun arg fra gimana pendukung prancis masih ngelap air mata kahhh hehehe</t>
  </si>
  <si>
    <t>['skor', 'diperhitungkan', 'menit', 'jadinya', 'congrats', 'buat', 'kalian', 'pemenang', 'tebak', 'skor', 'final', 'piala dunia', 'arg', 'fra', 'gimana', 'pendukung', 'prancis', 'ngelap', 'air', 'mata', 'kahhh', 'hehehe']</t>
  </si>
  <si>
    <t>Hello Twitter, Eeee gue rasa hari ini gue punya cerita cukup menarik  Yang pertama kekalahan France di final pildun, gue sangat menyayangkan France tidak keluar sebagai juara  Oiya gue tetep sebagai fans germany garis keras yak, just any another reason kenapa gue jagokan France</t>
  </si>
  <si>
    <t>hello twitter eeee gue rasa hari ini gue punya cerita cukup menarik yang pertama kekalahan france final pildun gue sangat menyayangkan france tidak keluar sebagai juara oiya gue tetep sebagai fans germany garis keras yak just any another reason kenapa gue jagokan france</t>
  </si>
  <si>
    <t>['hello', 'twitter', 'eeee', 'gue', 'rasa', 'hari', 'gue', 'punya', 'cerita', 'cukup', 'menarik', 'pertama', 'kekalahan', 'france', 'final', 'piala dunia', 'gue', 'sangat', 'menyayangkan', 'france', 'keluar', 'juara', 'oiya', 'gue', 'tetep', 'fans', 'germany', 'garis', 'keras', 'yak', 'just', 'any', 'another', 'reason', 'gue', 'jagokan', 'france']</t>
  </si>
  <si>
    <t>Dampak final pildun zzzzzzzz...</t>
  </si>
  <si>
    <t>dampak final pildun zzzzzzzz</t>
  </si>
  <si>
    <t>['dampak', 'final', 'piala dunia', 'zzzzzzzz']</t>
  </si>
  <si>
    <t>@verdanely renyang nonton final pildun bareng... trus mreka teriak bersama.. trus yy menangis sewaktu messi menang...</t>
  </si>
  <si>
    <t>renyang nonton final pildun bareng trus mreka teriak bersama trus menangis sewaktu messi menang</t>
  </si>
  <si>
    <t>['renyang', 'nonton', 'final', 'piala dunia', 'bareng', 'trus', 'mreka', 'teriak', 'bersama', 'trus', 'menangis', 'sewaktu', 'messi', 'menang']</t>
  </si>
  <si>
    <t>‚Äî serba serbi final pildun  ;   bts sometweet au.  https://t.co/cDjZB9a9YS</t>
  </si>
  <si>
    <t>serba serbi final pildun bts sometweet</t>
  </si>
  <si>
    <t>['serba', 'serbi', 'final', 'piala dunia', 'bts', 'sometweet']</t>
  </si>
  <si>
    <t>Gara2 final pildun tadi malam, Mhs gw masuk kelas untuk ujian final planga plongoüòÇ</t>
  </si>
  <si>
    <t>gara final pildun tadi malam mhs masuk kelas untuk ujian final planga plongo</t>
  </si>
  <si>
    <t>['gara', 'final', 'piala dunia', 'tadi', 'malam', 'mhs', 'masuk', 'kelas', 'ujian', 'final', 'planga', 'plongo']</t>
  </si>
  <si>
    <t>Siaran final pildun nya sih ulangan, tapi deg deg an nya masih tetep samaüòñ</t>
  </si>
  <si>
    <t>siaran final pildun nya sih ulangan tapi deg deg nya masih tetep sama</t>
  </si>
  <si>
    <t>['siaran', 'final', 'piala dunia', 'ulangan', 'deg', 'deg', 'tetep', 'sama']</t>
  </si>
  <si>
    <t>@emilmarioo Nonton pildun thn ini greget pas final</t>
  </si>
  <si>
    <t>nonton pildun thn ini greget pas final</t>
  </si>
  <si>
    <t>['nonton', 'piala dunia', 'thn', 'greget', 'pas', 'final']</t>
  </si>
  <si>
    <t>@ysrmyns @mariknyawa @16_18_1_19_19 @Amrullah_acho @idextratime 2 gelar piala dunia bro R9, lewatin aja dulu itu kalo bilangnya patokan bro, awal 2000an orang pada perdebatan siapa goat sejati antara zidane sama ronaldo, sampe final pildun 98 ronaldo di b</t>
  </si>
  <si>
    <t>acho gelar piala dunia bro lewatin aja dulu itu kalo bilangnya patokan bro awal orang pada perdebatan siapa goat sejati antara zidane sama ronaldo sampe final pildun ronaldo</t>
  </si>
  <si>
    <t>['acho', 'gelar', 'piala', 'dunia', 'bro', 'lewatin', 'dulu', 'bilangnya', 'patokan', 'bro', 'awal', 'orang', 'perdebatan', 'siapa', 'goat', 'sejati', 'zidane', 'sama', 'ronaldo', 'sampai', 'final', 'piala dunia', 'ronaldo']</t>
  </si>
  <si>
    <t>this whole damn meme final pildun i just cantüò≠üò≠ nangis bgt ketawa mulu</t>
  </si>
  <si>
    <t>this whole damn meme final pildun just cant nangis bgt ketawa mulu</t>
  </si>
  <si>
    <t>['this', 'whole', 'damn', 'meme', 'final', 'piala dunia', 'just', 'cant', 'nangis', 'banget', 'ketawa', 'mulu']</t>
  </si>
  <si>
    <t>skor final pildun semalem berapa-berapa?</t>
  </si>
  <si>
    <t>skor final pildun semalem berapa berapa</t>
  </si>
  <si>
    <t>['skor', 'final', 'piala dunia', 'semalam', 'berapa', 'berapa']</t>
  </si>
  <si>
    <t>@stfubtch666 @naniii2607 @idextratime Apalagi kontribusi 4 goal di Pildun dan main final</t>
  </si>
  <si>
    <t>apalagi kontribusi goal pildun dan main final</t>
  </si>
  <si>
    <t>['kontribusi', 'goal', 'piala dunia', 'main', 'final']</t>
  </si>
  <si>
    <t>@josepolanco10 Masih mikirin ini dah dari pagi, bisa2nya abang ini tau tgl tepat final pildun dari 7 taun yg lalu yakkü§îü§î</t>
  </si>
  <si>
    <t>masih mikirin ini dah dari pagi bisa nya abang ini tau tgl tepat final pildun dari taun lalu yakk</t>
  </si>
  <si>
    <t>['mikirin', 'dah', 'pagi', 'abang', 'tgl', 'tepat', 'final', 'piala dunia', 'taun', 'lalu', 'yakk']</t>
  </si>
  <si>
    <t>@shintaborjun Iss bener bgt kak. Final pildun terepic lah semalamü•≥</t>
  </si>
  <si>
    <t>iss bener bgt kak final pildun terepic lah semalam</t>
  </si>
  <si>
    <t>['iss', 'benar', 'banget', 'kak', 'final', 'piala dunia', 'terepic', 'lah', 'semalam']</t>
  </si>
  <si>
    <t>Malemnya abis nobar final pildun. Paginya udah kaya bulan puasa. Sepi beneerrr</t>
  </si>
  <si>
    <t>malemnya abis nobar final pildun paginya udah kaya bulan puasa sepi beneerrr</t>
  </si>
  <si>
    <t>['malemnya', 'abis', 'nonton bareng', 'final', 'piala dunia', 'paginya', 'udah', 'kaya', 'bulan', 'puasa', 'sepi', 'beneerrr']</t>
  </si>
  <si>
    <t>@JNE_ID Woi paket gua gk sampe" Ngehek, beli alat buat nobar final pildun, malah gk samoe sampe tai</t>
  </si>
  <si>
    <t>woi paket gua sampe ngehek beli alat buat nobar final pildun malah samoe sampe tai</t>
  </si>
  <si>
    <t>['paket', 'gua', 'sampai', 'ngehek', 'beli', 'alat', 'buat', 'nonton bareng', 'final', 'piala dunia', 'malah', 'samoe', 'sampai', 'tai']</t>
  </si>
  <si>
    <t>Apa cuma aku yg semalem dukung germany pas final pildun? ü•∫üëâüëà</t>
  </si>
  <si>
    <t>apa cuma aku semalem dukung germany pas final pildun</t>
  </si>
  <si>
    <t>['apa', 'cuma', 'aku', 'semalam', 'dukung', 'germany', 'pas', 'final', 'piala dunia']</t>
  </si>
  <si>
    <t>hari ini final futsal, dia datengnya telat kyk biasa tapi yaudahlah, soalnya semalem abis nonton final pildun jadi wajar lahyaa...</t>
  </si>
  <si>
    <t>hari ini final futsal dia datengnya telat kyk biasa tapi yaudahlah soalnya semalem abis nonton final pildun jadi wajar lahyaa</t>
  </si>
  <si>
    <t>['hari', 'final', 'futsal', 'datengnya', 'telat', 'seperti', 'biasa', 'yaudahlah', 'soalnya', 'semalam', 'abis', 'nonton', 'final', 'piala dunia', 'jadi', 'wajar', 'lahyaa']</t>
  </si>
  <si>
    <t>haduuhh gemes bgt jalan¬≤ ke Qatar semudah pergi ke warung depan rumah ü•≤ hadiah bgt abis final pildun üò≠ makasih apdetnya üíöü•π</t>
  </si>
  <si>
    <t>haduuhh gemes bgt jalan qatar semudah pergi warung depan rumah hadiah bgt abis final pildun makasih apdetnya</t>
  </si>
  <si>
    <t>['haduuhh', 'gemes', 'banget', 'jalan', 'qatar', 'semudah', 'pergi', 'warung', 'depan', 'rumah', 'hadiah', 'banget', 'abis', 'final', 'piala dunia', 'makasih', 'apdetnya']</t>
  </si>
  <si>
    <t>@ardynshufi Dari awal pildun banyak wasit liat VAR. Kenapa pas final pen Argentina malah ngga di cek ya Seketika juga kecewa sama var üòÇ</t>
  </si>
  <si>
    <t>dari awal pildun banyak wasit liat var kenapa pas final pen argentina malah ngga cek seketika juga kecewa sama var</t>
  </si>
  <si>
    <t>['awal', 'piala dunia', 'banyak', 'wasit', 'lihat', 'var', 'pas', 'final', 'argentina', 'malah', 'ngga', 'cek', 'seketika', 'kecewa', 'sama', 'var']</t>
  </si>
  <si>
    <t>@idextratime Banyak yg bilang "pildun 2022 disetting", "FIFA fokus cari duit arab". Padahal kalo dipikr¬≤ seandainya final disetting ARGENTINA v PORTUGAL, malah lebih rame, banyak pemasukan &amp;amp; bakal jadi pildun menarik sepanjang sejarah.</t>
  </si>
  <si>
    <t>banyak bilang pildun disetting fifa fokus cari duit arab padahal kalo dipikr seandainya final disetting argentina portugal malah lebih rame banyak pemasukan bakal jadi pildun menarik sepanjang sejarah</t>
  </si>
  <si>
    <t>['banyak', 'piala dunia', 'disetting', 'fifa', 'fokus', 'cari', 'duit', 'arab', 'padahal', 'dipikr', 'seandainya', 'final', 'disetting', 'argentina', 'portugal', 'malah', 'lebih', 'ramai', 'banyak', 'pemasukan', 'bakal', 'jadi', 'piala dunia', 'menarik', 'sepanjang', 'sejarah']</t>
  </si>
  <si>
    <t>di malam final pildun, ada 2 tipe manusia  https://t.co/dTvYXjWkUf</t>
  </si>
  <si>
    <t>malam final pildun ada tipe manusia</t>
  </si>
  <si>
    <t>['malam', 'final', 'piala dunia', 'tipe', 'manusia']</t>
  </si>
  <si>
    <t>Prancis kalah bukan berarti mereka gak bagus, mereka udh bagus bget mainnya. Jarang2 juara pildun sblumnya berhasil sampai final lagi. Keren sih. Tapi tim argentina skrg juga lebih üî•, kompak, mana coachnya jga pinter.  Argentina emg deserve tahun ini, leo messi deserve</t>
  </si>
  <si>
    <t>prancis kalah bukan berarti mereka gak bagus mereka udh bagus bget mainnya jarang juara pildun sblumnya berhasil sampai final lagi keren sih tapi tim argentina skrg juga lebih kompak mana coachnya jga pinter argentina emg deserve tahun ini leo messi deserve</t>
  </si>
  <si>
    <t>['prancis', 'kalah', 'bukan', 'berarti', 'bagus', 'sudah', 'bagus', 'bget', 'mainnya', 'jarang', 'juara', 'piala dunia', 'sblumnya', 'berhasil', 'final', 'keren', 'tim', 'argentina', 'skrg', 'lebih', 'kompak', 'mana', 'coachnya', 'jga', 'pinter', 'argentina', 'memang', 'deserve', 'tahun', 'leo', 'messi', 'deserve']</t>
  </si>
  <si>
    <t>@Guntari05 Sama bgtt, final pildun pun gapeduli siapa yg menang wkwk</t>
  </si>
  <si>
    <t>sama bgtt final pildun pun gapeduli siapa menang wkwk</t>
  </si>
  <si>
    <t>['sama', 'bgtt', 'final', 'piala dunia', 'gapeduli', 'siapa', 'menang']</t>
  </si>
  <si>
    <t>Rerun final pildun banyak bnget..</t>
  </si>
  <si>
    <t>rerun final pildun banyak bnget</t>
  </si>
  <si>
    <t>['rerun', 'final', 'piala dunia', 'banyak', 'bnget']</t>
  </si>
  <si>
    <t>Semalem tuh pgn ngetwit match final pildun tapi di ajak ngobrol mulu sama bokap + kk ipar üòÖ untung w nya ngerti bola üôà</t>
  </si>
  <si>
    <t>semalem tuh pgn ngetwit match final pildun tapi ajak ngobrol mulu sama bokap ipar untung nya ngerti bola</t>
  </si>
  <si>
    <t>['semalam', 'ingin', 'ngetwit', 'match', 'final', 'piala dunia', 'ajak', 'ngobrol', 'mulu', 'sama', 'bokap', 'ipar', 'untung', 'ngerti', 'bola']</t>
  </si>
  <si>
    <t>ngaceng krna liat cewek seksi ‚ùå ngaceng krna cetak hattrick di final pildun ‚úÖ</t>
  </si>
  <si>
    <t>ngaceng krna liat cewek seksi ngaceng krna cetak hattrick final pildun</t>
  </si>
  <si>
    <t>['ngaceng', 'krna', 'lihat', 'cewek', 'seksi', 'ngaceng', 'krna', 'cetak', 'hattrick', 'final', 'piala dunia']</t>
  </si>
  <si>
    <t>terpantau 19.02 bapak gweh udah muter ulang tu final pildun kmren, ni psti bakal bbrp kali diulang ampe au kapan</t>
  </si>
  <si>
    <t>terpantau bapak gweh udah muter ulang final pildun kmren psti bakal bbrp kali diulang ampe kapan</t>
  </si>
  <si>
    <t>['terpantau', 'bapak', 'gue', 'udah', 'muter', 'ulang', 'final', 'piala dunia', 'kmren', 'psti', 'bakal', 'bbrp', 'kali', 'diulang', 'sampai', 'kapan']</t>
  </si>
  <si>
    <t>Gak nonton final pildun ternyata gak papa ya. Gak kesel atau nyesel pun.  Anyway, selamat pendukung Argentina!</t>
  </si>
  <si>
    <t>gak nonton final pildun ternyata gak papa gak kesel atau nyesel pun anyway selamat pendukung argentina</t>
  </si>
  <si>
    <t>['nonton', 'final', 'piala dunia', 'ternyata', 'papa', 'kesel', 'nyesel', 'anyway', 'selamat', 'pendukung', 'argentina']</t>
  </si>
  <si>
    <t>nerkat langganan vidio lewat indihome,nobar final pildun jadi meriah banget... #AktivitasTanpaBatas  #IndiHome  https://t.co/w0XEraKv8e</t>
  </si>
  <si>
    <t>nerkat langganan vidio lewat indihome nobar final pildun jadi meriah banget</t>
  </si>
  <si>
    <t>['nerkat', 'langganan', 'vidio', 'lewat', 'indihome', 'nonton bareng', 'final', 'piala dunia', 'jadi', 'meriah', 'banget']</t>
  </si>
  <si>
    <t>@gilangseva1 @WitKatSpc @dolphinisasi @idextratime oke ini messi prime dg squad kaya gini, kalah jauh sm jerman, tp bisa bawa ke final pildun,&amp;amp; dg squad sekarang yg relatif lebih bagus, messi jg udh 35, bisa sampe juara, terus gimana squad portugal se</t>
  </si>
  <si>
    <t>oke ini messi prime squad kaya gini kalah jauh jerman bisa bawa final pildun squad sekarang relatif lebih bagus messi udh bisa sampe juara terus gimana squad portugal</t>
  </si>
  <si>
    <t>['oke', 'messi', 'prime', 'squad', 'kaya', 'gini', 'kalah', 'jauh', 'jerman', 'bawa', 'final', 'piala dunia', 'squad', 'sekarang', 'relatif', 'lebih', 'bagus', 'messi', 'sudah', 'sampai', 'juara', 'terus', 'gimana', 'squad', 'portugal']</t>
  </si>
  <si>
    <t>Cepet bgt pildun udh kelar. Meskipun euforianya kurang dari pildun2 sblmnya, ternyata pildun kali ini bisa menyuguhnya pertandingan2 yg menarik dari fase grup sampe final‚ú®</t>
  </si>
  <si>
    <t>cepet bgt pildun udh kelar meskipun euforianya kurang dari pildun sblmnya ternyata pildun kali ini bisa menyuguhnya pertandingan menarik dari fase grup sampe final</t>
  </si>
  <si>
    <t>['cepet', 'banget', 'piala dunia', 'sudah', 'kelar', 'meskipun', 'euforianya', 'kurang', 'piala dunia', 'sblmnya', 'ternyata', 'piala dunia', 'kali', 'menyuguhnya', 'pertandingan', 'menarik', 'fase', 'grup', 'sampai', 'final']</t>
  </si>
  <si>
    <t>saya telah mengirimkan  #shopeepaythr üßßayo, ambil di sini sebelum habis üëâüëâ   https://t.co/KrrMUMcUIL   messi dybala argentina penalti mbappe madrid Higuain Perancis all in france dimaria final #FIFAWorldCup‚ÄØ‚ÄØ‚ÄØ ronaldo dembele pildun drake narnia jepang</t>
  </si>
  <si>
    <t>saya telah mengirimkan ayo ambil sini sebelum habis messi dybala argentina penalti mbappe madrid higuain perancis all france dimaria final ronaldo dembele pildun drake narnia jepang</t>
  </si>
  <si>
    <t>['mengirimkan', 'ayo', 'ambil', 'sini', 'habis', 'messi', 'dybala', 'argentina', 'penalti', 'mbappe', 'madrid', 'higuain', 'perancis', 'all', 'france', 'dimaria', 'final', 'ronaldo', 'dembele', 'piala dunia', 'drake', 'narnia', 'jepang']</t>
  </si>
  <si>
    <t>@dkyeomfh lah itu kan emg notes gw pas kmrn final pildun WKSMAKAKWKAK</t>
  </si>
  <si>
    <t>lah itu kan emg notes pas kmrn final pildun wksmakakwkak</t>
  </si>
  <si>
    <t>['lah', 'kan', 'memang', 'notes', 'pas', 'kmrn', 'final', 'piala dunia', 'wksmakakwkak']</t>
  </si>
  <si>
    <t>Agak nyesel nntn pildun telat. Cm nntn pas final kemaren. Kl ntn dr awal psti seru bgt ga sihh</t>
  </si>
  <si>
    <t>agak nyesel nntn pildun telat nntn pas final kemaren ntn awal psti seru bgt sihh</t>
  </si>
  <si>
    <t>['nyesel', 'nonton', 'piala dunia', 'telat', 'nonton', 'pas', 'final', 'kemarin', 'ntn', 'awal', 'psti', 'seru', 'banget', 'sihh']</t>
  </si>
  <si>
    <t>@namakuuta kaya dembele itu ya? di klubnya ga pernah masuk final, giliran masuk final pildun bikin pinalti lawan hahahaha</t>
  </si>
  <si>
    <t>kaya dembele itu klubnya pernah masuk final giliran masuk final pildun bikin pinalti lawan hahahaha</t>
  </si>
  <si>
    <t>['kaya', 'dembele', 'klubnya', 'pernah', 'masuk', 'final', 'giliran', 'masuk', 'final', 'piala dunia', 'penalti', 'lawan', 'hahahaha']</t>
  </si>
  <si>
    <t>@BisKota_ Agen tengah kota terpantau rame di malam final pildun ndor  https://t.co/GWZsnj3gCG</t>
  </si>
  <si>
    <t>agen tengah kota terpantau rame malam final pildun ndor</t>
  </si>
  <si>
    <t>['agen', 'tengah', 'kota', 'terpantau', 'ramai', 'malam', 'final', 'piala dunia', 'ndor']</t>
  </si>
  <si>
    <t>"waa pildun terseru" "final termenegangkan" "baru kali ini seru banget" Berasa pd nonton seluruh world cup dari tahun pertama diadain ajaüòÇ</t>
  </si>
  <si>
    <t>waa pildun terseru final termenegangkan baru kali ini seru banget berasa nonton seluruh world cup dari tahun pertama diadain aja</t>
  </si>
  <si>
    <t>['waa', 'piala dunia', 'terseru', 'final', 'termenegangkan', 'baru', 'kali', 'seru', 'banget', 'berasa', 'nonton', 'seluruh', 'world', 'cup', 'tahun', 'pertama', 'diadain']</t>
  </si>
  <si>
    <t>@bngsman kan final pildun ampe pagi, gimane tidurnya</t>
  </si>
  <si>
    <t>kan final pildun ampe pagi gimane tidurnya</t>
  </si>
  <si>
    <t>['kan', 'final', 'piala dunia', 'sampai', 'pagi', 'gimane', 'tidurnya']</t>
  </si>
  <si>
    <t>@4cTuGasSenayan bener jg, oke skripsi dan jurnal lbh susah drpd final pildun</t>
  </si>
  <si>
    <t>bener oke skripsi dan jurnal lbh susah drpd final pildun</t>
  </si>
  <si>
    <t>['benar', 'oke', 'skripsi', 'jurnal', 'lbh', 'susah', 'drpd', 'final', 'piala dunia']</t>
  </si>
  <si>
    <t>disaat yg lain pd nonton pildun smalem aku yg ngangong baru tau pagi ini messi masuk finalüôÇ</t>
  </si>
  <si>
    <t>disaat lain nonton pildun smalem aku ngangong baru tau pagi ini messi masuk final</t>
  </si>
  <si>
    <t>['disaat', 'nonton', 'piala dunia', 'smalem', 'aku', 'ngangong', 'baru', 'pagi', 'messi', 'masuk', 'final']</t>
  </si>
  <si>
    <t>Yg dukung Argentina itu cuma orang-orang rasis, ga support BLM, ga support timnas Afrika di final pildun</t>
  </si>
  <si>
    <t>dukung argentina itu cuma orang orang rasis support blm support timnas afrika final pildun</t>
  </si>
  <si>
    <t>['dukung', 'argentina', 'cuma', 'orang', 'orang', 'rasis', 'support', 'blm', 'support', 'timnas', 'afrika', 'final', 'piala dunia']</t>
  </si>
  <si>
    <t>@keuangannews_id Haha dia gak nonton final pildun kali ya...itu pemain Prancis palsu semua</t>
  </si>
  <si>
    <t>haha dia gak nonton final pildun kali itu pemain prancis palsu semua</t>
  </si>
  <si>
    <t>['haha', 'nonton', 'final', 'piala dunia', 'kali', 'pemain', 'prancis', 'palsu', 'semua']</t>
  </si>
  <si>
    <t>Nobar final PilDun Argentina vs France  https://t.co/qP7ebhuOUZ</t>
  </si>
  <si>
    <t>nobar final pildun argentina france</t>
  </si>
  <si>
    <t>['nonton bareng', 'final', 'piala dunia', 'argentina', 'france']</t>
  </si>
  <si>
    <t>Nobar pildun rutin pas final malah sakit, duh.</t>
  </si>
  <si>
    <t>nobar pildun rutin pas final malah sakit duh</t>
  </si>
  <si>
    <t>['nonton bareng', 'piala dunia', 'rutin', 'pas', 'final', 'malah', 'sakit', 'duh']</t>
  </si>
  <si>
    <t>@fawzans15 Ada pesan tersembunyi kah kang dari hadirnya kang elon ke final pildun?</t>
  </si>
  <si>
    <t>ada pesan tersembunyi kah kang dari hadirnya kang elon final pildun</t>
  </si>
  <si>
    <t>['pesan', 'tersembunyi', 'kang', 'hadirnya', 'kang', 'elon', 'final', 'piala dunia']</t>
  </si>
  <si>
    <t>@Fandom_ID 2005 pildun junior final ketemu nigeria vs jon obi mikel</t>
  </si>
  <si>
    <t>pildun junior final ketemu nigeria jon obi mikel</t>
  </si>
  <si>
    <t>['piala dunia', 'junior', 'final', 'ketemu', 'nigeria', 'jon', 'obi', 'mikel']</t>
  </si>
  <si>
    <t>@jimxaszh Seru banget, banyak kejutannya juga Pas final kemrin udah nebak sih yg bakal menang argentina hehe kan prancis udh menang pildun yang lalu Tapi sayang aku gak bisa nonton sampe final gegara belum punya stb jadi gak bisa nonton di tv hehe</t>
  </si>
  <si>
    <t>seru banget banyak kejutannya juga pas final kemrin udah nebak sih bakal menang argentina hehe kan prancis udh menang pildun yang lalu tapi sayang aku gak bisa nonton sampe final gegara belum punya stb jadi gak bisa nonton hehe</t>
  </si>
  <si>
    <t>['seru', 'banget', 'banyak', 'kejutannya', 'pas', 'final', 'kemrin', 'udah', 'nebak', 'bakal', 'menang', 'argentina', 'kan', 'prancis', 'sudah', 'menang', 'piala dunia', 'lalu', 'sayang', 'aku', 'nonton', 'sampai', 'final', 'gegara', 'punya', 'stb', 'jadi', 'nonton']</t>
  </si>
  <si>
    <t>@idextratime Mbappe mode pildun mah gue akuin lebih goat daripada ronaldo messi, mode pildun yaa, baru 2x ikut pildun, dua duanya final, udah cetak 13 gol 2 assist, hattrick di final.</t>
  </si>
  <si>
    <t>mbappe mode pildun mah gue akuin lebih goat daripada ronaldo messi mode pildun yaa baru ikut pildun dua duanya final udah cetak gol assist hattrick final</t>
  </si>
  <si>
    <t>['mbappe', 'mode', 'piala dunia', 'mah', 'gue', 'akuin', 'lebih', 'goat', 'ronaldo', 'messi', 'mode', 'piala dunia', 'ya', 'baru', 'ikut', 'piala dunia', 'duanya', 'final', 'udah', 'cetak', 'gol', 'assist', 'hattrick', 'final']</t>
  </si>
  <si>
    <t>@t3luuur Nonton final pildun serasa nonton FTV di sctv pas tau freemason üò¢</t>
  </si>
  <si>
    <t>nonton final pildun serasa nonton ftv sctv pas tau freemason</t>
  </si>
  <si>
    <t>['nonton', 'final', 'piala dunia', 'serasa', 'nonton', 'ftv', 'sctv', 'pas', 'freemason']</t>
  </si>
  <si>
    <t>Gak papa kalian tulis "settingan" buat Pildun, terutama Final tdi malam. Tapi typingnya jngn sambil nangis dong. kan kami ikutan sedih ü•∫ü•∫</t>
  </si>
  <si>
    <t>gak papa kalian tulis settingan buat pildun terutama final tdi malam tapi typingnya jngn sambil nangis dong kan kami ikutan sedih</t>
  </si>
  <si>
    <t>['papa', 'kalian', 'tulis', 'settingan', 'buat', 'piala dunia', 'terutama', 'final', 'tdi', 'malam', 'typingnya', 'jngn', 'nangis', 'dong', 'kan', 'ikutan', 'sedih']</t>
  </si>
  <si>
    <t>Terharu juga si bisa ngerasain nonton final messi di timnas argentina dari copa finallisima terakhir pildun. Sampe di ejek di tongkrongan messi cuma spesialis final dari pildun sampe copa dan akhirnya sekarang bisa gapai itu semua üò≠</t>
  </si>
  <si>
    <t>terharu juga bisa ngerasain nonton final messi timnas argentina dari copa finallisima terakhir pildun sampe ejek tongkrongan messi cuma spesialis final dari pildun sampe copa dan akhirnya sekarang bisa gapai itu semua</t>
  </si>
  <si>
    <t>['terharu', 'ngerasain', 'nonton', 'final', 'messi', 'timnas', 'argentina', 'copa', 'finallisima', 'terakhir', 'piala dunia', 'sampai', 'ejek', 'tongkrongan', 'messi', 'cuma', 'spesialis', 'final', 'piala dunia', 'sampai', 'copa', 'akhirnya', 'sekarang', 'gapai', 'semua']</t>
  </si>
  <si>
    <t>Pildun ga tau apa-apa, taunya tau-tau dah final. Saya.</t>
  </si>
  <si>
    <t>pildun tau apa apa taunya tau tau dah final saya</t>
  </si>
  <si>
    <t>['piala dunia', 'apa', 'apa', 'taunya', 'dah', 'final']</t>
  </si>
  <si>
    <t>qotd hari ini adalah semua orang terutama ciwi2 mendadak sipaling tau bola padahal cmn nonton pildun final üò≠üò≠üò≠</t>
  </si>
  <si>
    <t>qotd hari ini adalah semua orang terutama ciwi mendadak sipaling tau bola padahal cmn nonton pildun final</t>
  </si>
  <si>
    <t>['qotd', 'hari', 'semua', 'orang', 'terutama', 'ciwi', 'mendadak', 'sipaling', 'bola', 'padahal', 'cmn', 'nonton', 'piala dunia', 'final']</t>
  </si>
  <si>
    <t>Mbappeüòç Menonjol sekali, bakar hattrick nya di final pildun semalamü•∞</t>
  </si>
  <si>
    <t>mbappe menonjol sekali bakar hattrick nya final pildun semalam</t>
  </si>
  <si>
    <t>['mbappe', 'menonjol', 'sekali', 'bakar', 'hattrick', 'final', 'piala dunia', 'semalam']</t>
  </si>
  <si>
    <t>gak bisa move on dari final pildun 2022</t>
  </si>
  <si>
    <t>gak bisa move dari final pildun</t>
  </si>
  <si>
    <t>['move', 'final', 'piala dunia']</t>
  </si>
  <si>
    <t>"Request keluarga cemara &amp;amp; bangjan heboh sama juara 3 + final pildun xixixi" - sekarang udh menang mah pildunnya ni gimana, apakah tetep mau üò≠üò≠ [maaf baru dilihat] ntar jadinya nasa vs gara (dua kubu beda) #tellonym   https://t.co/Wk2r7td3b9</t>
  </si>
  <si>
    <t>request keluarga cemara bangjan heboh sama juara final pildun xixixi sekarang udh menang mah pildunnya gimana apakah tetep mau maaf baru dilihat ntar jadinya nasa gara dua kubu beda</t>
  </si>
  <si>
    <t>['request', 'keluarga', 'cemara', 'bangjan', 'heboh', 'sama', 'juara', 'final', 'piala dunia', 'xixixi', 'sekarang', 'sudah', 'menang', 'mah', 'pildunnya', 'gimana', 'tetep', 'mau', 'maaf', 'baru', 'dilihat', 'ntar', 'jadinya', 'nasa', 'gara', 'kubu', 'beda']</t>
  </si>
  <si>
    <t>@Andikasyhptra10 @idextratime Pildun ajak gak prnh masuk finalüòé</t>
  </si>
  <si>
    <t>pildun ajak gak prnh masuk final</t>
  </si>
  <si>
    <t>['piala dunia', 'ajak', 'prnh', 'masuk', 'final']</t>
  </si>
  <si>
    <t>@loviensky Sejak di siap bos gw ga bisa tidur malem masa final pildun pun ga membuat gw bertahan utk begadangü•≤</t>
  </si>
  <si>
    <t>sejak siap bos bisa tidur malem masa final pildun pun membuat bertahan utk begadang</t>
  </si>
  <si>
    <t>['sejak', 'siap', 'bos', 'tidur', 'malem', 'masa', 'final', 'piala dunia', 'membuat', 'bertahan', 'begadang']</t>
  </si>
  <si>
    <t>@Bustednut1969 @utdfocusid ogitu ya bang, kiraiin ada group 16 besar 8 besar semifinal, ternyata pildun cuman final doang. nice info bang</t>
  </si>
  <si>
    <t>ogitu bang kiraiin ada group besar besar semifinal ternyata pildun cuman final doang nice info bang</t>
  </si>
  <si>
    <t>['ogitu', 'bang', 'kiraiin', 'group', 'besar', 'besar', 'semifinal', 'ternyata', 'piala dunia', 'cuman', 'final', 'doang', 'nice', 'info', 'bang']</t>
  </si>
  <si>
    <t>@idextratime Yang nggak percaya pertandingan final WC itu setinggan itu aneh banget, kalau gak disetting stadionnya gimana pildun mau mulai?</t>
  </si>
  <si>
    <t>yang nggak percaya pertandingan final itu setinggan itu aneh banget kalau gak disetting stadionnya gimana pildun mau mulai</t>
  </si>
  <si>
    <t>['percaya', 'pertandingan', 'final', 'setinggan', 'aneh', 'banget', 'kalau', 'disetting', 'stadionnya', 'gimana', 'piala dunia', 'mau', 'mulai']</t>
  </si>
  <si>
    <t>Hetrik di Final setelah terakhir kali tahun 1966 &amp;amp; topskor di pildun 2022 masa masih mikir.</t>
  </si>
  <si>
    <t>hetrik final setelah terakhir kali tahun topskor pildun masa masih mikir</t>
  </si>
  <si>
    <t>['hetrik', 'final', 'terakhir', 'kali', 'tahun', 'topskor', 'piala dunia', 'masa', 'mikir']</t>
  </si>
  <si>
    <t>emosi final pildun mayan gacorrr ye</t>
  </si>
  <si>
    <t>emosi final pildun mayan gacorrr</t>
  </si>
  <si>
    <t>['emosi', 'final', 'piala dunia', 'mayan', 'gacorrr']</t>
  </si>
  <si>
    <t>gua baru ngeh... harusnya "kok pildun udah final aja"</t>
  </si>
  <si>
    <t>gua baru ngeh harusnya kok pildun udah final aja</t>
  </si>
  <si>
    <t>['gua', 'baru', 'ngeh', 'harusnya', 'kok', 'piala dunia', 'udah', 'final']</t>
  </si>
  <si>
    <t>Fuck moment : lupa nonton final pildun krna kira mainnya jam 3 pagi</t>
  </si>
  <si>
    <t>fuck moment lupa nonton final pildun krna kira mainnya jam pagi</t>
  </si>
  <si>
    <t>['fuck', 'moment', 'lupa', 'nonton', 'final', 'piala dunia', 'krna', 'kira', 'mainnya', 'jam', 'pagi']</t>
  </si>
  <si>
    <t>pildun yg awalnya ditemenin Dan ga se hype pildun2 sebelumnya ditutup dgn final yg gokss</t>
  </si>
  <si>
    <t>pildun awalnya ditemenin dan hype pildun sebelumnya ditutup dgn final gokss</t>
  </si>
  <si>
    <t>['piala dunia', 'awalnya', 'ditemenin', 'hype', 'piala dunia', 'sebelumnya', 'ditutup', 'final', 'gokss']</t>
  </si>
  <si>
    <t>Suka bola pertama kali krna batigol: as roma dan Argentina. 2000-2001  2001 - 2002 Nistelrooy ke MU. Suka MU, Belanda dan Roma Argentina.  Pildun 2002 Belanda g lolos. Dukung Argentina, Batigol golin lawan nigeria. Terus gugur  Final dkung jerman, kalah.</t>
  </si>
  <si>
    <t>suka bola pertama kali krna batigol roma dan argentina nistelrooy suka belanda dan roma argentina pildun belanda lolos dukung argentina batigol golin lawan nigeria terus gugur final dkung jerman kalah</t>
  </si>
  <si>
    <t>['suka', 'bola', 'pertama', 'kali', 'krna', 'batigol', 'roma', 'argentina', 'nistelrooy', 'suka', 'belanda', 'roma', 'argentina', 'piala dunia', 'belanda', 'lolos', 'dukung', 'argentina', 'batigol', 'golin', 'lawan', 'nigeria', 'terus', 'gugur', 'final', 'dkung', 'jerman', 'kalah']</t>
  </si>
  <si>
    <t>@paksotoy @idextratime Mbappe 2x final Pildun, 1x Juara. Jangan dibandingin ama Ronaldo</t>
  </si>
  <si>
    <t>mbappe final pildun juara jangan dibandingin ama ronaldo</t>
  </si>
  <si>
    <t>['mbappe', 'final', 'piala dunia', 'juara', 'jangan', 'dibandingin', 'ama', 'ronaldo']</t>
  </si>
  <si>
    <t>Presentase tersukses ketika masuk final pildun : üáßüá∑ 7 final, üèÜüèÜüèÜüèÜüèÜ (71,4 %) üáÆüáπ 6 final,üèÜüèÜüèÜüèÜ (66,67%) üá©üá™ 7 final, üèÜüèÜüèÜüèÜ (57,14%) üá¶üá∑ 6 final, üèÜüèÜüèÜ (50%)</t>
  </si>
  <si>
    <t>presentase tersukses ketika masuk final pildun final final final final</t>
  </si>
  <si>
    <t>['presentase', 'tersukses', 'masuk', 'final', 'piala dunia', 'final', 'final', 'final', 'final']</t>
  </si>
  <si>
    <t>&lt;FreqDist with 5 samples and 9 outcomes&gt;</t>
  </si>
  <si>
    <t>oh ya, satu lagi.. gw ikut nobar di lapangan sekolah, krn yg nntn jg bnyk otomatis euforia nntn final pildun bnran kerasa bgt, the best experience sih buat gw, even gw gabisa main bola wkwk</t>
  </si>
  <si>
    <t>satu lagi ikut nobar lapangan sekolah krn nntn bnyk otomatis euforia nntn final pildun bnran kerasa bgt the best experience sih buat even gabisa main bola wkwk</t>
  </si>
  <si>
    <t>['satu', 'ikut', 'nonton bareng', 'lapangan', 'sekolah', 'nonton', 'bnyk', 'otomatis', 'euforia', 'nonton', 'final', 'piala dunia', 'bnran', 'kerasa', 'banget', 'the', 'best', 'experience', 'buat', 'even', 'gabisa', 'main', 'bola']</t>
  </si>
  <si>
    <t>@Cristiano_time7 @idextratime MINIMAL MASUK FINAL PILDUN DULU ADICK BARU BACOD AWOKAWOK  https://t.co/g0vj41eaV5</t>
  </si>
  <si>
    <t>time minimal masuk final pildun dulu adick baru bacod awokawok</t>
  </si>
  <si>
    <t>['time', 'minimal', 'masuk', 'final', 'piala dunia', 'dulu', 'adick', 'baru', 'bacod', 'awokawok']</t>
  </si>
  <si>
    <t>sekilas percakapan final pildun bersama @Yiyongkrue  https://t.co/tYaJ2e5Ztc</t>
  </si>
  <si>
    <t>sekilas percakapan final pildun bersama</t>
  </si>
  <si>
    <t>['sekilas', 'percakapan', 'final', 'piala dunia', 'bersama']</t>
  </si>
  <si>
    <t>ekspektasi: kelar pindahan nonton final pildun di rumah baru. realita: pindahan ga kelar, nonton final pildun juga ngga.</t>
  </si>
  <si>
    <t>ekspektasi kelar pindahan nonton final pildun rumah baru realita pindahan kelar nonton final pildun juga ngga</t>
  </si>
  <si>
    <t>['ekspektasi', 'kelar', 'pindahan', 'nonton', 'final', 'piala dunia', 'rumah', 'baru', 'realita', 'pindahan', 'kelar', 'nonton', 'final', 'piala dunia', 'ngga']</t>
  </si>
  <si>
    <t>&lt;FreqDist with 10 samples and 15 outcomes&gt;</t>
  </si>
  <si>
    <t>pertama kali nonton pildun 2010... ngerasain euphoria spain menang pildun walaupun masih sd??? tp emg sekeluarga besar nobar sjaksksjs ganyangka 12 taun kemudian masi bisa nonton final pildun dan argen menang :(</t>
  </si>
  <si>
    <t>pertama kali nonton pildun ngerasain euphoria spain menang pildun walaupun masih emg sekeluarga besar nobar sjaksksjs ganyangka taun kemudian masi bisa nonton final pildun dan argen menang</t>
  </si>
  <si>
    <t>['pertama', 'kali', 'nonton', 'piala dunia', 'ngerasain', 'euphoria', 'spain', 'menang', 'piala dunia', 'walaupun', 'memang', 'sekeluarga', 'besar', 'nonton bareng', 'sjaksksjs', 'ganyangka', 'taun', 'kemudian', 'masi', 'nonton', 'final', 'piala dunia', 'argen', 'menang']</t>
  </si>
  <si>
    <t>kecewa nga ada berita orang tua namain anaknya argentina atau messi atau qatar setelah final piala pildun ini</t>
  </si>
  <si>
    <t>['kecewa', 'tidak', 'berita', 'orang', 'tua', 'namain', 'anaknya', 'argentina', 'messi', 'qatar', 'final', 'piala', 'piala dunia']</t>
  </si>
  <si>
    <t>@theflankerID Pertandingan terbaik pildun 2022. Ane sih belain argentina (utk messi)..  Tp pas prancis kebobolan di extra time, ane berharap mbappe ngegolin....dan kejadian!!.. lengkap sudah hiburan final kali ini.. plus argentina juara...  Ulasan yg bagu</t>
  </si>
  <si>
    <t>pertandingan terbaik pildun ane sih belain argentina utk messi pas prancis kebobolan extra time ane berharap mbappe ngegolin dan kejadian lengkap sudah hiburan final kali ini plus argentina juara ulasan bagu</t>
  </si>
  <si>
    <t>['pertandingan', 'terbaik', 'piala dunia', 'ane', 'belain', 'argentina', 'messi', 'pas', 'prancis', 'kebobolan', 'extra', 'time', 'ane', 'berharap', 'mbappe', 'ngegolin', 'kejadian', 'lengkap', 'hiburan', 'final', 'kali', 'plus', 'argentina', 'juara', 'ulasan', 'bagu']</t>
  </si>
  <si>
    <t>@convomfs lebih rugi ga nonton pildun, 4 th sekali doang blom tentu panjang umur terus sgt amt sayang jika dilewatkan, final semalem seruuu cuyyyyyü§òüèª</t>
  </si>
  <si>
    <t>lebih rugi nonton pildun sekali doang blom tentu panjang umur terus sgt amt sayang jika dilewatkan final semalem seruuu cuyyyyy</t>
  </si>
  <si>
    <t>['lebih', 'rugi', 'nonton', 'piala dunia', 'sekali', 'doang', 'blom', 'panjang', 'umur', 'terus', 'sangat', 'amt', 'sayang', 'dilewatkan', 'final', 'semalam', 'seruuu', 'cuyyyyy']</t>
  </si>
  <si>
    <t>@Ditalenirafia2 @idextratime Lah enak amat, gw gak akan lupa hinaan fens dodog pas Messi gagal di final pildun 2014 sampe banyak banget yang ngehujat berbulan-bulan. Sekarang pada minta dikasihanin fens dodog, sorry yee</t>
  </si>
  <si>
    <t>lah enak amat gak akan lupa hinaan fens dodog pas messi gagal final pildun sampe banyak banget yang ngehujat berbulan bulan sekarang pada minta dikasihanin fens dodog sorry yee</t>
  </si>
  <si>
    <t>['lah', 'enak', 'lupa', 'hinaan', 'fens', 'dodog', 'pas', 'messi', 'gagal', 'final', 'piala dunia', 'sampai', 'banyak', 'banget', 'ngehujat', 'berbulan', 'bulan', 'sekarang', 'minta', 'dikasihanin', 'fens', 'dodog', 'sorry', 'yee']</t>
  </si>
  <si>
    <t>@BarisanOpOsisi Wahh ini nih yg kmrn kalah ama aku nebak final pildun. Malem2 akunku @akuntwiter689 tumbang mba, ini aku baruku ya üòÄüôè</t>
  </si>
  <si>
    <t>wahh ini nih kmrn kalah ama aku nebak final pildun malem akunku tumbang mba ini aku baruku</t>
  </si>
  <si>
    <t>['wahh', 'kmrn', 'kalah', 'ama', 'aku', 'nebak', 'final', 'piala dunia', 'malem', 'akunku', 'tumbang', 'mba', 'aku', 'baruku']</t>
  </si>
  <si>
    <t>kek pildun aja u varane mewaspadai gerakan messi selama final</t>
  </si>
  <si>
    <t>kek pildun aja varane mewaspadai gerakan messi selama final</t>
  </si>
  <si>
    <t>['kek', 'piala dunia', 'varane', 'mewaspadai', 'gerakan', 'messi', 'selama', 'final']</t>
  </si>
  <si>
    <t>adek aku tiba2 tau final pildun minta nonton alhasil beliin vidio 100k karna ortu ga paham tp jelek bgt anjir, error web nya</t>
  </si>
  <si>
    <t>adek aku tiba tau final pildun minta nonton alhasil beliin vidio karna ortu paham jelek bgt anjir error web nya</t>
  </si>
  <si>
    <t>['adek', 'aku', 'tiba', 'final', 'piala dunia', 'minta', 'nonton', 'alhasil', 'beliin', 'vidio', 'karna', 'ortu', 'paham', 'jelek', 'banget', 'anjir', 'error', 'web']</t>
  </si>
  <si>
    <t>yg pastinya sedih banget udah kelar. pling berkesan stadion yg megah, pertandingan 16 besar yg penuh kejutan, penampilan messi yg diluar dugaan diawal, pertandingan argentina vs belanda, trs final yg bikin senam jantung ajg, bener¬≤ pildun terbaik selama gua hidup.</t>
  </si>
  <si>
    <t>pastinya sedih banget udah kelar pling berkesan stadion megah pertandingan besar penuh kejutan penampilan messi diluar dugaan diawal pertandingan argentina belanda trs final bikin senam jantung ajg bener pildun terbaik selama gua hidup</t>
  </si>
  <si>
    <t>['pastinya', 'sedih', 'banget', 'udah', 'kelar', 'pling', 'berkesan', 'stadion', 'megah', 'pertandingan', 'besar', 'penuh', 'kejutan', 'penampilan', 'messi', 'diluar', 'dugaan', 'diawal', 'pertandingan', 'argentina', 'belanda', 'terus', 'final', 'senam', 'jantung', 'ajg', 'benar', 'piala dunia', 'terbaik', 'selama', 'gua', 'hidup']</t>
  </si>
  <si>
    <t>Heyy.. itu yang ngomong final pildun udah di setting sama pihak FIFA. lu gak mikir apa, capeknya pemain lari" kejar-mengejar bola. musti di bacok bibir lu anying #ArgentinaVsFrance #Argentina #Prancis #WorldCupFinal</t>
  </si>
  <si>
    <t>heyy itu yang ngomong final pildun udah setting sama pihak fifa gak mikir apa capeknya pemain lari kejar mengejar bola musti bacok bibir anying</t>
  </si>
  <si>
    <t>['heyy', 'ngomong', 'final', 'piala dunia', 'udah', 'setting', 'sama', 'pihak', 'fifa', 'mikir', 'apa', 'capeknya', 'pemain', 'lari', 'kejar', 'mengejar', 'bola', 'musti', 'bacok', 'bibir', 'anying']</t>
  </si>
  <si>
    <t>@Johnnz_ @idextratime Minimal 1 pildun dek,atau masuk final lah ü§£ü§≠</t>
  </si>
  <si>
    <t>minimal pildun dek atau masuk final lah</t>
  </si>
  <si>
    <t>['minimal', 'piala dunia', 'dek', 'masuk', 'final', 'lah']</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</si>
  <si>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</si>
  <si>
    <t>saat final pildun, tetep nungguin aing pulang lembur, di saat yang lain nonton</t>
  </si>
  <si>
    <t>saat final pildun tetep nungguin aing pulang lembur saat yang lain nonton</t>
  </si>
  <si>
    <t>['final', 'piala dunia', 'tetep', 'nungguin', 'aing', 'pulang', 'lembur', 'nonton']</t>
  </si>
  <si>
    <t>Ngakak bgt liat perjuangan lu mau nnton final pildun bg üò≠üò≠üò≠</t>
  </si>
  <si>
    <t>ngakak bgt liat perjuangan mau nnton final pildun</t>
  </si>
  <si>
    <t>['ngakak', 'banget', 'lihat', 'perjuangan', 'mau', 'nnton', 'final', 'piala dunia']</t>
  </si>
  <si>
    <t>Aku emang ga nonton babak final sepak bola, tapi aku ikut senang sih yg juara Pildun itu Argentina Karena Argentina menolak kampanyekan bani tusbol di Pildun  https://t.co/omslTCGWIe</t>
  </si>
  <si>
    <t>aku emang nonton babak final sepak bola tapi aku ikut senang sih juara pildun itu argentina karena argentina menolak kampanyekan bani tusbol pildun</t>
  </si>
  <si>
    <t>['aku', 'emang', 'nonton', 'babak', 'final', 'sepak', 'bola', 'aku', 'ikut', 'senang', 'juara', 'piala dunia', 'argentina', 'argentina', 'menolak', 'kampanyekan', 'bani', 'tusbol', 'piala dunia']</t>
  </si>
  <si>
    <t>Mungkin terbiasa menganalisa berdasarkan data-data, jadi nebak final Pildun pun pake data dan statistik kedua Tim, makanya tebakannya tepat. Btw Congrats Kang @ridwankamil jitu banget euy prediksina.  https://t.co/ORUtcmz9nf  #BersamaJuara</t>
  </si>
  <si>
    <t>mungkin terbiasa menganalisa berdasarkan data data jadi nebak final pildun pun pake data dan statistik kedua tim makanya tebakannya tepat btw congrats kang jitu banget euy prediksina</t>
  </si>
  <si>
    <t>['mungkin', 'terbiasa', 'menganalisa', 'berdasarkan', 'data', 'data', 'jadi', 'nebak', 'final', 'piala dunia', 'pake', 'data', 'statistik', 'kedua', 'tim', 'makanya', 'tebakannya', 'tepat', 'by the way', 'congrats', 'kang', 'jitu', 'banget', 'euy', 'prediksina']</t>
  </si>
  <si>
    <t>@DragneelFaiz @fbdfbd_ @bintangemon Betul, bang. Sebelum final memang ada beberapa game yang seru kok.  Tapi untuk kasus FIFA sih, jauh sebelum pildun Qatar dimulai saya masih ingat sama kelakuan mereka. üòÖ</t>
  </si>
  <si>
    <t>betul bang sebelum final memang ada beberapa game yang seru kok tapi untuk kasus fifa sih jauh sebelum pildun qatar dimulai saya masih ingat sama kelakuan mereka</t>
  </si>
  <si>
    <t>['betul', 'bang', 'final', 'memang', 'beberapa', 'game', 'seru', 'kok', 'kasus', 'fifa', 'jauh', 'piala dunia', 'qatar', 'dimulai', 'ingat', 'sama', 'kelakuan']</t>
  </si>
  <si>
    <t>lu keren bgt bos, aseli ini pildun terkeren sepanjang abad. final terjos.</t>
  </si>
  <si>
    <t>keren bgt bos aseli ini pildun terkeren sepanjang abad final terjos</t>
  </si>
  <si>
    <t>['keren', 'banget', 'bos', 'aseli', 'piala dunia', 'terkeren', 'sepanjang', 'abad', 'final', 'terjos']</t>
  </si>
  <si>
    <t>Sadar ga sadar, kelahiran 2000 - 2003 adalah pildun terakhir nonton bareng temen /keluarga. Btw, ini juga fix final pildun terseru yang gua tonton selama hidup gua wkwk</t>
  </si>
  <si>
    <t>sadar sadar kelahiran adalah pildun terakhir nonton bareng temen keluarga btw ini juga fix final pildun terseru yang gua tonton selama hidup gua wkwk</t>
  </si>
  <si>
    <t>['sadar', 'sadar', 'kelahiran', 'piala dunia', 'terakhir', 'nonton', 'bareng', 'temen', 'keluarga', 'by the way', 'fix', 'final', 'piala dunia', 'terseru', 'gua', 'tonton', 'selama', 'hidup', 'gua']</t>
  </si>
  <si>
    <t>Semalem pas nonton final pildun ai kan nonton sendirian di kamar. Pas babak kedua, streaming vidio error. Ai pindah ke kamar abang, nonton lewat tv bareng doski sampe gamenya selesai. Mungkin itu nobar pildun terakhir bareng doski sebelum nanti ga bareng¬≤ lagi huhu.</t>
  </si>
  <si>
    <t>semalem pas nonton final pildun kan nonton sendirian kamar pas babak kedua streaming vidio error pindah kamar abang nonton lewat bareng doski sampe gamenya selesai mungkin itu nobar pildun terakhir bareng doski sebelum nanti bareng lagi huhu</t>
  </si>
  <si>
    <t>['semalam', 'pas', 'nonton', 'final', 'piala dunia', 'kan', 'nonton', 'sendirian', 'kamar', 'pas', 'babak', 'kedua', 'streaming', 'vidio', 'error', 'pindah', 'kamar', 'abang', 'nonton', 'lewat', 'bareng', 'doski', 'sampai', 'gamenya', 'selesai', 'mungkin', 'nonton bareng', 'piala dunia', 'terakhir', 'bareng', 'doski', 'bareng', 'huhu']</t>
  </si>
  <si>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</si>
  <si>
    <t>ini final worldcup terseru sepanjang sejarah setuju dong euforia ini kita rayakan dgn mengajak masyarakat nobar lsg bersama hiro dan menikmati worldcup dgn paket sensasi akses pildun</t>
  </si>
  <si>
    <t>['final', 'worldcup', 'terseru', 'sepanjang', 'sejarah', 'setuju', 'dong', 'euforia', 'rayakan', 'mengajak', 'masyarakat', 'nonton bareng', 'lsg', 'bersama', 'hiro', 'menikmati', 'worldcup', 'paket', 'sensasi', 'akses', 'piala dunia']</t>
  </si>
  <si>
    <t>@AnggitNH @curvapor1976 Prepare final pildun bgg</t>
  </si>
  <si>
    <t>prepare final pildun bgg</t>
  </si>
  <si>
    <t>['prepare', 'final', 'piala dunia', 'bgg']</t>
  </si>
  <si>
    <t>yaAllah udh 2022 masih aja ada yg mikir gini, gua juga 2010 baru demen pas final trs suka yg menang si spanyol nyet ya emang kenapa namanya lg euphoria</t>
  </si>
  <si>
    <t>yaallah udh masih aja ada mikir gini gua juga baru demen pas final trs suka menang spanyol nyet emang kenapa namanya euphoria</t>
  </si>
  <si>
    <t>['yaallah', 'sudah', 'mikir', 'gini', 'gua', 'baru', 'demen', 'pas', 'final', 'terus', 'suka', 'menang', 'spanyol', 'nyet', 'emang', 'namanya', 'euphoria']</t>
  </si>
  <si>
    <t>@tmmchnplz @TasyriqSam @bintangemon Penyepong dodo reading comprehensive nya jelek bet tolol. Jelas jelas pildun qatar dan final objek, fifa subjek, fifa korup predikat. Mana letak argen dilolosin. Belajar baca lagi lo tolol.</t>
  </si>
  <si>
    <t>penyepong dodo reading comprehensive nya jelek bet tolol jelas jelas pildun qatar dan final objek fifa subjek fifa korup predikat mana letak argen dilolosin belajar baca lagi tolol</t>
  </si>
  <si>
    <t>['penyepong', 'dodo', 'reading', 'comprehensive', 'jelek', 'bet', 'tolol', 'jelas', 'jelas', 'piala dunia', 'qatar', 'final', 'objek', 'fifa', 'subjek', 'fifa', 'korup', 'predikat', 'mana', 'letak', 'argen', 'dilolosin', 'belajar', 'baca', 'tolol']</t>
  </si>
  <si>
    <t>Seru juga nonton pildun walaupun cuma nonton final hehe</t>
  </si>
  <si>
    <t>seru juga nonton pildun walaupun cuma nonton final hehe</t>
  </si>
  <si>
    <t>['seru', 'nonton', 'piala dunia', 'walaupun', 'cuma', 'nonton', 'final']</t>
  </si>
  <si>
    <t>Final pildun semalem sebenarnya udah direncanakan. Itu adalah acara diklatnya Mbappe biar resmi jadi GOAT di era selanjutnya. Tinggal nunggu pengukuhan dan penyerahan jabatan oleh Ketua Umum GOAT sekarang.</t>
  </si>
  <si>
    <t>final pildun semalem sebenarnya udah direncanakan itu adalah acara diklatnya mbappe biar resmi jadi goat era selanjutnya tinggal nunggu pengukuhan dan penyerahan jabatan oleh ketua umum goat sekarang</t>
  </si>
  <si>
    <t>['final', 'piala dunia', 'semalam', 'sebenarnya', 'udah', 'direncanakan', 'acara', 'diklatnya', 'mbappe', 'resmi', 'jadi', 'goat', 'era', 'selanjutnya', 'tinggal', 'nunggu', 'pengukuhan', 'penyerahan', 'jabatan', 'ketua', 'umum', 'goat', 'sekarang']</t>
  </si>
  <si>
    <t>@etherealkims stress abis nonton final pildun niat disimpen buat byegerin pikiran eh malah makin stress taunyaüò≠üëç</t>
  </si>
  <si>
    <t>stress abis nonton final pildun niat disimpen buat byegerin pikiran malah makin stress taunya</t>
  </si>
  <si>
    <t>['stress', 'abis', 'nonton', 'final', 'piala dunia', 'niat', 'disimpen', 'buat', 'byegerin', 'pikiran', 'malah', 'makin', 'stress', 'taunya']</t>
  </si>
  <si>
    <t>@bicissssssss @VtoSoeVtoSoe @medioclubID Ngapain nangis cul wkwk Final Pildun tahun ini malah aku jagoin Argentina karna dari mentalnya dah siap awok awok. Kasihan kamu cul, harus pake fake akun cuma buat war ginian ü§£</t>
  </si>
  <si>
    <t>ngapain nangis cul wkwk final pildun tahun ini malah aku jagoin argentina karna dari mentalnya dah siap awok awok kasihan kamu cul harus pake fake akun cuma buat war ginian</t>
  </si>
  <si>
    <t>['ngapain', 'nangis', 'cul', 'final', 'piala dunia', 'tahun', 'malah', 'aku', 'jagoin', 'argentina', 'karna', 'mentalnya', 'dah', 'siap', 'awok', 'awok', 'kasihan', 'kamu', 'cul', 'pake', 'fake', 'akun', 'cuma', 'buat', 'war', 'ginian']</t>
  </si>
  <si>
    <t>The Last Dance Messi  Ngomong2 soal final piala dunia gw pernah diceburin ke kolam renang jam 2an dini hari di puncak, jawa barat (hujan deres pula) saat final pildun 2014, Argentina kalah 0-1 vs Jerman.  cc @sipow  https://t.co/70OGqd839h</t>
  </si>
  <si>
    <t>the last dance messi ngomong soal final piala dunia pernah diceburin kolam renang jam dini hari puncak jawa barat hujan deres pula saat final pildun argentina kalah jerman</t>
  </si>
  <si>
    <t>['the', 'last', 'dance', 'messi', 'ngomong', 'soal', 'final', 'piala', 'dunia', 'pernah', 'diceburin', 'kolam', 'renang', 'jam', 'dini', 'hari', 'puncak', 'jawa', 'barat', 'hujan', 'deres', 'final', 'piala dunia', 'argentina', 'kalah', 'jerman']</t>
  </si>
  <si>
    <t>Mbappe seumuran gua udah menang pildun, sepatu emas, bawa prancis ke final taun ini, dan gua disini nontonin dia pake website ilegal</t>
  </si>
  <si>
    <t>mbappe seumuran gua udah menang pildun sepatu emas bawa prancis final taun ini dan gua disini nontonin dia pake website ilegal</t>
  </si>
  <si>
    <t>['mbappe', 'seumuran', 'gua', 'udah', 'menang', 'piala dunia', 'sepatu', 'emas', 'bawa', 'prancis', 'final', 'taun', 'gua', 'disini', 'nontonin', 'pake', 'website', 'ilegal']</t>
  </si>
  <si>
    <t>Momen kegembiraan orang Argentina ketika timnasnya juara dunia di final Pildun sepakbola semalam, tak terkecuali para pemain @LosPumas.  Ben Urdapilleta kegirangan, Juan Imhoff dan lainnya tampak senang.  https://t.co/AFr6s6sUHQ</t>
  </si>
  <si>
    <t>momen kegembiraan orang argentina ketika timnasnya juara dunia final pildun sepakbola semalam tak terkecuali para pemain ben urdapilleta kegirangan juan imhoff dan lainnya tampak senang</t>
  </si>
  <si>
    <t>['momen', 'kegembiraan', 'orang', 'argentina', 'timnasnya', 'juara', 'dunia', 'final', 'piala dunia', 'sepakbola', 'semalam', 'tak', 'terkecuali', 'pemain', 'ben', 'urdapilleta', 'kegirangan', 'juan', 'imhoff', 'lainnya', 'tampak', 'senang']</t>
  </si>
  <si>
    <t>Ini Pildun 2022 ga bisa diulang lagi yaa.. alias seru banget tahun ini. Di awal sudah banyak kejutann, di final apalagiiiiiii üò≠üò≠üò≠  https://t.co/8djx8yqtI3</t>
  </si>
  <si>
    <t>ini pildun bisa diulang lagi yaa alias seru banget tahun ini awal sudah banyak kejutann final apalagiiiiiii</t>
  </si>
  <si>
    <t>['piala dunia', 'diulang', 'ya', 'alias', 'seru', 'banget', 'tahun', 'awal', 'banyak', 'kejutann', 'final', 'apalagiiiiiii']</t>
  </si>
  <si>
    <t>@haritsenin @NewtonHeath92 Minimal mah gatidur pas final pildun rits ü§£ü§£ü§£</t>
  </si>
  <si>
    <t>minimal mah gatidur pas final pildun rits</t>
  </si>
  <si>
    <t>['minimal', 'mah', 'gatidur', 'pas', 'final', 'piala dunia', 'rits']</t>
  </si>
  <si>
    <t>@rasjawa Sama Kang. Pertama nonton final PilDun 1978, Argentina vs Belanda. Mario Kempes waktu itu. Nonton di rumah Eyang di Smg, TVnya masih pakai Accu. üòÅ</t>
  </si>
  <si>
    <t>sama kang pertama nonton final pildun argentina belanda mario kempes waktu itu nonton rumah eyang smg tvnya masih pakai accu</t>
  </si>
  <si>
    <t>['sama', 'kang', 'pertama', 'nonton', 'final', 'piala dunia', 'argentina', 'belanda', 'mario', 'kempes', 'waktu', 'nonton', 'rumah', 'eyang', 'smg', 'tvnya', 'pakai', 'accu']</t>
  </si>
  <si>
    <t>Pildun ketolong sama Final, ga nonton dari awal kali.</t>
  </si>
  <si>
    <t>pildun ketolong sama final nonton dari awal kali</t>
  </si>
  <si>
    <t>['piala dunia', 'ketolong', 'sama', 'final', 'nonton', 'awal', 'kali']</t>
  </si>
  <si>
    <t>nonton final pildun mah kaga, tp tadi di TJ udh kek si paling begadang, alias turu dr naik sampe turun. AKU</t>
  </si>
  <si>
    <t>nonton final pildun mah kaga tadi udh kek paling begadang alias turu naik sampe turun aku</t>
  </si>
  <si>
    <t>['nonton', 'final', 'piala dunia', 'mah', 'kaga', 'tadi', 'sudah', 'kek', 'paling', 'begadang', 'alias', 'tidur', 'naik', 'sampai', 'turun', 'aku']</t>
  </si>
  <si>
    <t>@idextratime Kalo pildun ini settingan kenapa gak diketemuin aja üáµüáπ sama üá¶üá∑ di final biar duel antara üêê</t>
  </si>
  <si>
    <t>kalo pildun ini settingan kenapa gak diketemuin aja sama final biar duel antara</t>
  </si>
  <si>
    <t>['piala dunia', 'settingan', 'diketemuin', 'sama', 'final', 'duel']</t>
  </si>
  <si>
    <t>Senin ku nguantok pooolll..  Setelah 2 hari kebelakang (selama 48jam) tidur keitung ga lebih dari 10jam tidur. Ditambah harus liat final Pildun 2022 yg selesai jam 2 malem.</t>
  </si>
  <si>
    <t>senin nguantok pooolll setelah hari kebelakang selama jam tidur keitung lebih dari jam tidur ditambah harus liat final pildun selesai jam malem</t>
  </si>
  <si>
    <t>['senin', 'nguantok', 'pooolll', 'hari', 'kebelakang', 'selama', 'jam', 'tidur', 'keitung', 'lebih', 'jam', 'tidur', 'ditambah', 'lihat', 'final', 'piala dunia', 'selesai', 'jam', 'malem']</t>
  </si>
  <si>
    <t>@idextratime Boda amat dah mau setting kek, mau di atur kek buat final pildun yg luar biasa enak di tonton, si bocah ( Messi ) yg jauh dr sombong pantaslah di ujung karir sepak bolanya dia mendapatkan hadiah juara pildun 22 üëçüí™üèÜ</t>
  </si>
  <si>
    <t>boda amat dah mau setting kek mau atur kek buat final pildun luar biasa enak tonton bocah messi jauh sombong pantaslah ujung karir sepak bolanya dia mendapatkan hadiah juara pildun</t>
  </si>
  <si>
    <t>['boda', 'dah', 'mau', 'setting', 'kek', 'mau', 'atur', 'kek', 'buat', 'final', 'piala dunia', 'luar', 'biasa', 'enak', 'tonton', 'bocah', 'messi', 'jauh', 'sombong', 'pantaslah', 'ujung', 'karir', 'sepak', 'bolanya', 'mendapatkan', 'hadiah', 'juara', 'piala dunia']</t>
  </si>
  <si>
    <t>speechless bener2 berprogres permainan Argen sampe final, ini permainan terbaiknya selama dipildun 2022 strategi yg dipake dari mid block sampe high pressing berhasil ngobok obok Prancis, ini juga jadi salah satu pertandingan pildun terseru so far</t>
  </si>
  <si>
    <t>speechless bener berprogres permainan argen sampe final ini permainan terbaiknya selama dipildun strategi dipake dari mid block sampe high pressing berhasil ngobok obok prancis ini juga jadi salah satu pertandingan pildun terseru far</t>
  </si>
  <si>
    <t>['speechless', 'benar', 'berprogres', 'permainan', 'argen', 'sampai', 'final', 'permainan', 'terbaiknya', 'selama', 'dipildun', 'strategi', 'dipake', 'mid', 'block', 'sampai', 'high', 'pressing', 'berhasil', 'ngobok', 'obok', 'prancis', 'jadi', 'salah', 'satu', 'pertandingan', 'piala dunia', 'terseru', 'far']</t>
  </si>
  <si>
    <t>@nrwkra @idextratime biar gua perjelas lagi messi 1x gagal final pildun, bang dodo ga pernah gagal sekalipunüòè</t>
  </si>
  <si>
    <t>biar gua perjelas lagi messi gagal final pildun bang dodo pernah gagal sekalipun</t>
  </si>
  <si>
    <t>['gua', 'perjelas', 'messi', 'gagal', 'final', 'piala dunia', 'bang', 'dodo', 'pernah', 'gagal', 'sekalipun']</t>
  </si>
  <si>
    <t>Kan nyesel kemaren ga nonton final pildun</t>
  </si>
  <si>
    <t>kan nyesel kemaren nonton final pildun</t>
  </si>
  <si>
    <t>['kan', 'nyesel', 'kemarin', 'nonton', 'final', 'piala dunia']</t>
  </si>
  <si>
    <t>Kerasa bgt, mood gua tergantung argentina dan messi selama pildun ini. His smile, their smile is so important to meü•∫üá¶üá∑ Makanya waktu ada yg bilang settingan settingan sblum final dimulai tu gua kek kesel bgt ajg, kek fokus nangisin tim lu yg ga lolos semifinal aja sono lu</t>
  </si>
  <si>
    <t>kerasa bgt mood gua tergantung argentina dan messi selama pildun ini his smile their smile important makanya waktu ada bilang settingan settingan sblum final dimulai gua kek kesel bgt ajg kek fokus nangisin tim lolos semifinal aja sono</t>
  </si>
  <si>
    <t>['kerasa', 'banget', 'mood', 'gua', 'tergantung', 'argentina', 'messi', 'selama', 'piala dunia', 'his', 'smile', 'their', 'smile', 'important', 'makanya', 'waktu', 'settingan', 'settingan', 'sblum', 'final', 'dimulai', 'gua', 'kek', 'kesel', 'banget', 'ajg', 'kek', 'fokus', 'nangisin', 'tim', 'lolos', 'semifinal', 'sono']</t>
  </si>
  <si>
    <t>Bismillah di final pildun worldcup malam nanti sy dukung francis jawaranya karna ada islamnya</t>
  </si>
  <si>
    <t>bismillah final pildun worldcup malam nanti dukung francis jawaranya karna ada islamnya</t>
  </si>
  <si>
    <t>['bismillah', 'final', 'piala dunia', 'worldcup', 'malam', 'dukung', 'francis', 'jawaranya', 'karna', 'islamnya']</t>
  </si>
  <si>
    <t>@emilmarioo sebenernya gak seru, cuman semalem karna Final, banyak Antusias masyrakat yang mengidolakan atau tidaknya pengen tau siapa pemenangnya Pildun 2022 ini, nah jadi ramee jadi seru deh</t>
  </si>
  <si>
    <t>sebenernya gak seru cuman semalem karna final banyak antusias masyrakat yang mengidolakan atau tidaknya pengen tau siapa pemenangnya pildun ini nah jadi ramee jadi seru deh</t>
  </si>
  <si>
    <t>['sebenernya', 'seru', 'cuman', 'semalam', 'karna', 'final', 'banyak', 'antusias', 'masyrakat', 'mengidolakan', 'tidaknya', 'pengen', 'siapa', 'pemenangnya', 'piala dunia', 'nah', 'jadi', 'ramee', 'jadi', 'seru', 'deh']</t>
  </si>
  <si>
    <t>W emang ga nonton final pildun semalem krn lg ngelonin bayi tidur. Pas mbappe gol dan skor jadi 2-2, suami w teriak di ruang tamu, ada teriakan heboh jg dari tetangga2 yg lg nobar. Anak w langsung kaget dan kebangun. Di situ w ngomel2, yunus langsung ke kamar dan minta maap wkwk</t>
  </si>
  <si>
    <t>emang nonton final pildun semalem krn ngelonin bayi tidur pas mbappe gol dan skor jadi suami teriak ruang tamu ada teriakan heboh dari tetangga nobar anak langsung kaget dan kebangun situ ngomel yunus langsung kamar dan minta maap wkwk</t>
  </si>
  <si>
    <t>['emang', 'nonton', 'final', 'piala dunia', 'semalam', 'ngelonin', 'bayi', 'tidur', 'pas', 'mbappe', 'gol', 'skor', 'jadi', 'suami', 'teriak', 'ruang', 'tamu', 'teriakan', 'heboh', 'tetangga', 'nonton bareng', 'anak', 'langsung', 'kaget', 'kebangun', 'situ', 'ngomel', 'yunus', 'langsung', 'kamar', 'minta', 'maap']</t>
  </si>
  <si>
    <t>Oh, Oh!! I happened to have question! "Kemaren final pildun kubu mana Mas?" I'll asked that.</t>
  </si>
  <si>
    <t>happened have question kemaren final pildun kubu mana mas asked that</t>
  </si>
  <si>
    <t>['happened', 'have', 'question', 'kemarin', 'final', 'piala dunia', 'kubu', 'mana', 'mas', 'asked', 'that']</t>
  </si>
  <si>
    <t>[askrl] final pildun tadi malam ada siaran ulangnya ga yah?</t>
  </si>
  <si>
    <t>askrl final pildun tadi malam ada siaran ulangnya yah</t>
  </si>
  <si>
    <t>['askrl', 'final', 'piala dunia', 'tadi', 'malam', 'siaran', 'ulangnya']</t>
  </si>
  <si>
    <t>@JackLuka14 @Trituwango @idextratime Masalahnya dembele sm kounde ancurnya pas di final pildun, semoga mental mereka kuat terutama dembele soalnya kalo kagak dia bisa" jadi keg karius yg karena kesalahan fataldl di 1 match karir dia hancur berantakan</t>
  </si>
  <si>
    <t>masalahnya dembele kounde ancurnya pas final pildun semoga mental mereka kuat terutama dembele soalnya kalo kagak dia bisa jadi keg karius karena kesalahan fataldl match karir dia hancur berantakan</t>
  </si>
  <si>
    <t>['masalahnya', 'dembele', 'kounde', 'ancurnya', 'pas', 'final', 'piala dunia', 'semoga', 'mental', 'kuat', 'terutama', 'dembele', 'soalnya', 'kagak', 'jadi', 'keg', 'karius', 'kesalahan', 'fataldl', 'match', 'karir', 'hancur', 'berantakan']</t>
  </si>
  <si>
    <t>Buat orang kaya gua yang taunya cuman ronaldo sama messi doang dari gua kecil, momen kek gini bener2 bikin bombay.  Gokil! Pertama kali nonton pildun yg bener2 ngikutin sampe akhir langsung disuguhkan dengan match final yg epic tadi malem. Goks @FIFAWorldCup !!!  https://t.co/QDxbzPVWiX</t>
  </si>
  <si>
    <t>buat orang kaya gua yang taunya cuman ronaldo sama messi doang dari gua kecil momen kek gini bener bikin bombay gokil pertama kali nonton pildun bener ngikutin sampe akhir langsung disuguhkan dengan match final epic tadi malem goks</t>
  </si>
  <si>
    <t>['buat', 'orang', 'kaya', 'gua', 'taunya', 'cuman', 'ronaldo', 'sama', 'messi', 'doang', 'gua', 'kecil', 'momen', 'kek', 'gini', 'benar', 'bombay', 'gila', 'pertama', 'kali', 'nonton', 'piala dunia', 'benar', 'ngikutin', 'sampai', 'akhir', 'langsung', 'disuguhkan', 'match', 'final', 'epic', 'tadi', 'malem', 'goks']</t>
  </si>
  <si>
    <t>lupa banget war tiket arctic gara2 final pildun, blokkkk</t>
  </si>
  <si>
    <t>lupa banget war tiket arctic gara final pildun blokkkk</t>
  </si>
  <si>
    <t>['lupa', 'banget', 'war', 'tiket', 'arctic', 'gara', 'final', 'piala dunia', 'blokkkk']</t>
  </si>
  <si>
    <t>Gila sih rektorku ternyata ke Qatar langsung nonton final pildun. Awalnya ga percaya, tapi ada videonya üôÇ</t>
  </si>
  <si>
    <t>gila sih rektorku ternyata qatar langsung nonton final pildun awalnya percaya tapi ada videonya</t>
  </si>
  <si>
    <t>['gila', 'rektorku', 'ternyata', 'qatar', 'langsung', 'nonton', 'final', 'piala dunia', 'awalnya', 'percaya', 'videonya']</t>
  </si>
  <si>
    <t>Sampe sakit hati dan nangis pas final pildun 2014 gara-gara si gotze, berharap penuh di copa america kemarin dan bisa di sabet juga, cuma fans dodo kan belum puas kalo belum dapetin world cup,and now is the time to prove it to silence the mouths of the haters.  https://t.co/l2pwXbPSUQ</t>
  </si>
  <si>
    <t>sampe sakit hati dan nangis pas final pildun gara gara gotze berharap penuh copa america kemarin dan bisa sabet juga cuma fans dodo kan belum puas kalo belum dapetin world cup and now the time prove silence the mouths the haters</t>
  </si>
  <si>
    <t>['sampai', 'sakit', 'hati', 'nangis', 'pas', 'final', 'piala dunia', 'gara', 'gara', 'gotze', 'berharap', 'penuh', 'copa', 'america', 'kemarin', 'sabet', 'cuma', 'fans', 'dodo', 'kan', 'puas', 'dapetin', 'world', 'cup', 'and', 'now', 'the', 'time', 'prove', 'silence', 'the', 'mouths', 'the', 'haters']</t>
  </si>
  <si>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</si>
  <si>
    <t>messi the best football player the world akhirnya menyempurnakan perolehan trofi dalam karirnya goat goat inget pas nonton final pildun nyesek bgt akhirnya hari ini dia mendapatkannya</t>
  </si>
  <si>
    <t>['messi', 'the', 'best', 'football', 'player', 'the', 'world', 'akhirnya', 'menyempurnakan', 'perolehan', 'trofi', 'karirnya', 'goat', 'goat', 'inget', 'pas', 'nonton', 'final', 'piala dunia', 'nyesek', 'banget', 'akhirnya', 'hari', 'mendapatkannya']</t>
  </si>
  <si>
    <t>Yang niat nonton final pildun laki w, tapi malah w doang yg nonton sampe habis. Merasa dejavu dgn sobat2qu dulu yha  üôÉ</t>
  </si>
  <si>
    <t>yang niat nonton final pildun laki tapi malah doang nonton sampe habis merasa dejavu dgn sobat dulu yha</t>
  </si>
  <si>
    <t>['niat', 'nonton', 'final', 'piala dunia', 'laki', 'malah', 'doang', 'nonton', 'sampai', 'habis', 'merasa', 'dejavu', 'sobat', 'dulu', 'yha']</t>
  </si>
  <si>
    <t>@billskyx @aemerrr Maklum akeh wong poseng mari final pildun</t>
  </si>
  <si>
    <t>maklum akeh wong poseng mari final pildun</t>
  </si>
  <si>
    <t>['maklum', 'akeh', 'wong', 'poseng', 'final', 'piala dunia']</t>
  </si>
  <si>
    <t>Boyoken goro2 dadi admin streaming live commentary final pildun full lungguh...</t>
  </si>
  <si>
    <t>boyoken goro dadi admin streaming live commentary final pildun full lungguh</t>
  </si>
  <si>
    <t>['boyoken', 'goro', 'dadi', 'admin', 'streaming', 'live', 'commentary', 'final', 'piala dunia', 'full', 'lungguh']</t>
  </si>
  <si>
    <t>beli tipi demi nntn final pildun, malah belom dateng sampe hari gini. ealah</t>
  </si>
  <si>
    <t>beli tipi demi nntn final pildun malah belom dateng sampe hari gini ealah</t>
  </si>
  <si>
    <t>['beli', 'tipi', 'nonton', 'final', 'piala dunia', 'malah', 'belom', 'dateng', 'sampai', 'hari', 'gini', 'ealah']</t>
  </si>
  <si>
    <t>ga percaya gue ngelewatin final pildun 4 tahun sekali buat inagurasiüò≠üò≠üò≠</t>
  </si>
  <si>
    <t>percaya gue ngelewatin final pildun tahun sekali buat inagurasi</t>
  </si>
  <si>
    <t>['percaya', 'gue', 'ngelewatin', 'final', 'piala dunia', 'tahun', 'sekali', 'buat', 'inagurasi']</t>
  </si>
  <si>
    <t>Epic bgt final pildun semalem</t>
  </si>
  <si>
    <t>epic bgt final pildun semalem</t>
  </si>
  <si>
    <t>['epic', 'banget', 'final', 'piala dunia', 'semalam']</t>
  </si>
  <si>
    <t>@jimxaszh jujur pildun 2022 unexpected banget, dari negara yg out 16 sampai 8 besar sampai performa main negara negara banyak yg menurun kali ini. tapi masuk semi final seru bgt sih. hands down final 2022 terbaik banget, senam jantungnya 11 12 kayak pildu</t>
  </si>
  <si>
    <t>jujur pildun unexpected banget dari negara out sampai besar sampai performa main negara negara banyak menurun kali ini tapi masuk semi final seru bgt sih hands down final terbaik banget senam jantungnya kayak pildu</t>
  </si>
  <si>
    <t>['jujur', 'piala dunia', 'unexpected', 'banget', 'negara', 'out', 'besar', 'performa', 'main', 'negara', 'negara', 'banyak', 'menurun', 'kali', 'masuk', 'semi', 'final', 'seru', 'banget', 'hands', 'down', 'final', 'terbaik', 'banget', 'senam', 'jantungnya', 'seperti', 'pildu']</t>
  </si>
  <si>
    <t>Dagdigdug nya lebih dari final pildun ajnirrrr üò≠</t>
  </si>
  <si>
    <t>dagdigdug nya lebih dari final pildun ajnirrrr</t>
  </si>
  <si>
    <t>['dagdigdug', 'lebih', 'final', 'piala dunia', 'ajnirrrr']</t>
  </si>
  <si>
    <t>soalnya final pildun lebih seru than your whole existence mbak</t>
  </si>
  <si>
    <t>['soalnya', 'final', 'piala dunia', 'lebih', 'seru', 'than', 'your', 'whole', 'existence', 'mbak']</t>
  </si>
  <si>
    <t>@The_RedsIndo Jujur sedari awal gw nyari in @paulpogba di scuad pildun Qatar.. namun hingga pertandingan final smalam gak ada. CMIIW</t>
  </si>
  <si>
    <t>redsindo jujur sedari awal nyari scuad pildun qatar namun hingga pertandingan final smalam gak ada cmiiw</t>
  </si>
  <si>
    <t>['redsindo', 'jujur', 'sedari', 'awal', 'nyari', 'scuad', 'piala dunia', 'qatar', 'hingga', 'pertandingan', 'final', 'smalam', 'cmiiw']</t>
  </si>
  <si>
    <t>final pildun lumayan buat senam jantung</t>
  </si>
  <si>
    <t>['final', 'piala dunia', 'lumayan', 'buat', 'senam', 'jantung']</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</si>
  <si>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</si>
  <si>
    <t>What a final! Sdh 2 edisi pildun 2018 &amp;amp; 2022 finalnya seru &amp;amp; banyak gol, harusnya final memang kayak gini, seruuu!!! #FIFAWorldCup</t>
  </si>
  <si>
    <t>what final sdh edisi pildun finalnya seru banyak gol harusnya final memang kayak gini seruuu</t>
  </si>
  <si>
    <t>['what', 'final', 'edisi', 'piala dunia', 'finalnya', 'seru', 'banyak', 'gol', 'harusnya', 'final', 'memang', 'seperti', 'gini', 'seruuu']</t>
  </si>
  <si>
    <t>@TrinityTraveler Sekali2nya nonton pildun full sampe akhir pertandingan, ya semalem pas final. Sblmnya ngga pernah beres malah sampe skip, iya ngantuk mbaaaak üòÖ</t>
  </si>
  <si>
    <t>sekali nya nonton pildun full sampe akhir pertandingan semalem pas final sblmnya ngga pernah beres malah sampe skip iya ngantuk mbaaaak</t>
  </si>
  <si>
    <t>['sekali', 'nonton', 'piala dunia', 'full', 'sampai', 'akhir', 'pertandingan', 'semalam', 'pas', 'final', 'sblmnya', 'ngga', 'pernah', 'beres', 'malah', 'sampai', 'skip', 'iya', 'ngantuk', 'mbaaaak']</t>
  </si>
  <si>
    <t>Aku gaikut nonton final pildun tapi kok ikutan kasihan sama mbappe sihü§£ sialnya dari tadi sliweran muluküòÇ</t>
  </si>
  <si>
    <t>aku gaikut nonton final pildun tapi kok ikutan kasihan sama mbappe sih sialnya dari tadi sliweran muluk</t>
  </si>
  <si>
    <t>['aku', 'gaikut', 'nonton', 'final', 'piala dunia', 'kok', 'ikutan', 'kasihan', 'sama', 'mbappe', 'sialnya', 'tadi', 'sliweran', 'muluk']</t>
  </si>
  <si>
    <t>Sepanjang liat final pildun tadi malem salfok presiden prancis vibes nya kayak peran oppa oppa presdir di drakor</t>
  </si>
  <si>
    <t>sepanjang liat final pildun tadi malem salfok presiden prancis vibes nya kayak peran oppa oppa presdir drakor</t>
  </si>
  <si>
    <t>['sepanjang', 'lihat', 'final', 'piala dunia', 'tadi', 'malem', 'salfok', 'presiden', 'prancis', 'vibes', 'seperti', 'peran', 'oppa', 'oppa', 'presdir', 'drakor']</t>
  </si>
  <si>
    <t>Yg ga nonton final Pildun itu alasannya apa ya? Ga doyan bola kah? Ngantuk? Kerja? #penasaran</t>
  </si>
  <si>
    <t>nonton final pildun itu alasannya apa doyan bola kah ngantuk kerja</t>
  </si>
  <si>
    <t>['nonton', 'final', 'piala dunia', 'alasannya', 'apa', 'doyan', 'bola', 'ngantuk', 'kerja']</t>
  </si>
  <si>
    <t>Final pildun yg seru dibanding edisi sebelumnya, 2 tim yg emg pantas ke finalüëèüèª</t>
  </si>
  <si>
    <t>final pildun seru dibanding edisi sebelumnya tim emg pantas final</t>
  </si>
  <si>
    <t>['final', 'piala dunia', 'seru', 'dibanding', 'edisi', 'sebelumnya', 'tim', 'memang', 'pantas', 'final']</t>
  </si>
  <si>
    <t>@kemalpalevi Messi juara pildun dan mbape cetak hetrik di final dan mendapat sepatu emas. Dil paling bagus. Negosiasi yang keren</t>
  </si>
  <si>
    <t>messi juara pildun dan mbape cetak hetrik final dan mendapat sepatu emas dil paling bagus negosiasi yang keren</t>
  </si>
  <si>
    <t>['messi', 'juara', 'piala dunia', 'mbape', 'cetak', 'hetrik', 'final', 'mendapat', 'sepatu', 'emas', 'dil', 'paling', 'bagus', 'negosiasi', 'keren']</t>
  </si>
  <si>
    <t>Doi doang dah yg bisa no look penalty di final pildun</t>
  </si>
  <si>
    <t>doi doang dah bisa look penalty final pildun</t>
  </si>
  <si>
    <t>['doi', 'doang', 'dah', 'look', 'penalty', 'final', 'piala dunia']</t>
  </si>
  <si>
    <t>@Cristiano_time7 @idextratime juara kok kenapa gabole sombong dek? emangnya penaldog banyak bacot ko di pildun gaperna ampe final dek!! apalagi fansnya hadehhhh, udah songong banyak bacot goblok pulaa!!</t>
  </si>
  <si>
    <t>time juara kok kenapa gabole sombong dek emangnya penaldog banyak bacot pildun gaperna ampe final dek apalagi fansnya hadehhhh udah songong banyak bacot goblok pulaa</t>
  </si>
  <si>
    <t>['time', 'juara', 'kok', 'gabole', 'sombong', 'dek', 'emangnya', 'penaldog', 'banyak', 'bacot', 'piala dunia', 'gaperna', 'sampai', 'final', 'dek', 'fansnya', 'hadehhhh', 'udah', 'songong', 'banyak', 'bacot', 'goblok', 'pulaa']</t>
  </si>
  <si>
    <t>Final pildun = piala madun :)</t>
  </si>
  <si>
    <t>final pildun piala madun</t>
  </si>
  <si>
    <t>['final', 'piala dunia', 'piala', 'madun']</t>
  </si>
  <si>
    <t>@bintangemon Klo korupnya ga tau sih bang. Tp untuk pildun ketolong karena final ga bgt sih bang, banyak pertandingan yg seru. Bahkan pertandingan yg katanya ga tontonable bikin nyesel udh ga nonton</t>
  </si>
  <si>
    <t>klo korupnya tau sih bang untuk pildun ketolong karena final bgt sih bang banyak pertandingan seru bahkan pertandingan katanya tontonable bikin nyesel udh nonton</t>
  </si>
  <si>
    <t>['korupnya', 'bang', 'piala dunia', 'ketolong', 'final', 'banget', 'bang', 'banyak', 'pertandingan', 'seru', 'bahkan', 'pertandingan', 'katanya', 'tontonable', 'nyesel', 'sudah', 'nonton']</t>
  </si>
  <si>
    <t>@WidasSatyo aneh bgt opini tolol ngatain Pildun Qatar Ketolong Final doang.  Ga nonton Brazil vs Kroasia? Ga nonton Arab vs Argentina?  Ga nonton Maroko vs Belgia? Ga nonton Belanda vs Argentina? Ga nonton Inggris vs Perancis?  ga nonton ya mending diem s</t>
  </si>
  <si>
    <t>aneh bgt opini tolol ngatain pildun qatar ketolong final doang nonton brazil kroasia nonton arab argentina nonton maroko belgia nonton belanda argentina nonton inggris perancis nonton mending diem</t>
  </si>
  <si>
    <t>['aneh', 'banget', 'opini', 'tolol', 'ngatain', 'piala dunia', 'qatar', 'ketolong', 'final', 'doang', 'nonton', 'brazil', 'kroasia', 'nonton', 'arab', 'argentina', 'nonton', 'maroko', 'belgia', 'nonton', 'belanda', 'argentina', 'nonton', 'inggris', 'perancis', 'nonton', 'mending', 'diem']</t>
  </si>
  <si>
    <t>efek nonton final pildun, kelar jam 1, jam set 4 udah bangun lagi, terus pas istirahat makan siang nggak bisa tidur nyenyak, ngantuk agak2 pusing dikit -_-</t>
  </si>
  <si>
    <t>efek nonton final pildun kelar jam jam set udah bangun lagi terus pas istirahat makan siang nggak bisa tidur nyenyak ngantuk agak pusing dikit</t>
  </si>
  <si>
    <t>['efek', 'nonton', 'final', 'piala dunia', 'kelar', 'jam', 'jam', 'set', 'udah', 'bangun', 'terus', 'pas', 'istirahat', 'makan', 'siang', 'tidur', 'nyenyak', 'ngantuk', 'pusing', 'dikit']</t>
  </si>
  <si>
    <t>*hq CONTAINS Pair M/M UshiTen  drama final pildun where tendou stan for france while ushijima stan for argentina  mau jadi short au nii, drop ur @ üòÑ‚òùÔ∏è  https://t.co/mz6YdJdlvK</t>
  </si>
  <si>
    <t>contains pair ushiten drama final pildun where tendou stan for france while ushijima stan for argentina mau jadi short nii drop</t>
  </si>
  <si>
    <t>['contains', 'pair', 'ushiten', 'drama', 'final', 'piala dunia', 'where', 'tendou', 'stan', 'for', 'france', 'while', 'ushijima', 'stan', 'for', 'argentina', 'mau', 'jadi', 'short', 'nii', 'drop']</t>
  </si>
  <si>
    <t>@bintangemon Dulu awal menjelang penyelenggaraannya biasa aja. Gak kyk pildun sblmnya.  Ternyata mulai fase grup sampai final mantap.</t>
  </si>
  <si>
    <t>dulu awal menjelang penyelenggaraannya biasa aja gak kyk pildun sblmnya ternyata mulai fase grup sampai final mantap</t>
  </si>
  <si>
    <t>['dulu', 'awal', 'menjelang', 'penyelenggaraannya', 'biasa', 'seperti', 'piala dunia', 'sblmnya', 'ternyata', 'mulai', 'fase', 'grup', 'final', 'mantap']</t>
  </si>
  <si>
    <t>Gw kurang setuju sama kata kata "pildun qatar ketolong banget finalnya begini". Pdhl kalo nonton dari awal tournament sampe final banyak yg seru loh, bnyk yg diluar dugaan, dll. Kalo masalah fifa korup mungkin bisa jadi</t>
  </si>
  <si>
    <t>kurang setuju sama kata kata pildun qatar ketolong banget finalnya begini pdhl kalo nonton dari awal tournament sampe final banyak seru loh bnyk diluar dugaan dll kalo masalah fifa korup mungkin bisa jadi</t>
  </si>
  <si>
    <t>['kurang', 'setuju', 'sama', 'kata', 'kata', 'piala dunia', 'qatar', 'ketolong', 'banget', 'finalnya', 'begini', 'pdhl', 'nonton', 'awal', 'tournament', 'sampai', 'final', 'banyak', 'seru', 'bnyk', 'diluar', 'dugaan', 'masalah', 'fifa', 'korup', 'mungkin', 'jadi']</t>
  </si>
  <si>
    <t>@mr_abcx Udah bang makanya suju abis kelar konser tetep liat final pildun sambil check in tiket üò≠üò≠üò≠ Kasian kali sumpah</t>
  </si>
  <si>
    <t>abcx udah bang makanya suju abis kelar konser tetep liat final pildun sambil check tiket kasian kali sumpah</t>
  </si>
  <si>
    <t>['abcx', 'udah', 'bang', 'makanya', 'suju', 'abis', 'kelar', 'konser', 'tetep', 'lihat', 'final', 'piala dunia', 'check', 'tiket', 'kasian', 'kali', 'sumpah']</t>
  </si>
  <si>
    <t>Oke, efek final pildun terpantau banyak orang lari-larian berebut masuk lift dengan muka ngantuküôÉüôÇ</t>
  </si>
  <si>
    <t>oke efek final pildun terpantau banyak orang lari larian berebut masuk lift dengan muka ngantuk</t>
  </si>
  <si>
    <t>['oke', 'efek', 'final', 'piala dunia', 'terpantau', 'banyak', 'orang', 'lari', 'larian', 'berebut', 'masuk', 'lift', 'muka', 'ngantuk']</t>
  </si>
  <si>
    <t>@Rscw_ @idextratime France udah masuk final dan ada kemungkinan juara meskipun pupus wajar aja kecewa. Kroasia juga pas final pildun 2018 pasti kecewa gagal juara. Sedangkan kroasia sekarang kecewanya pas gagal final, makanya satu2nya peluang dapat medali</t>
  </si>
  <si>
    <t>france udah masuk final dan ada kemungkinan juara meskipun pupus wajar aja kecewa kroasia juga pas final pildun pasti kecewa gagal juara sedangkan kroasia sekarang kecewanya pas gagal final makanya satu nya peluang dapat medali</t>
  </si>
  <si>
    <t>['france', 'udah', 'masuk', 'final', 'kemungkinan', 'juara', 'meskipun', 'pupus', 'wajar', 'kecewa', 'kroasia', 'pas', 'final', 'piala dunia', 'kecewa', 'gagal', 'juara', 'kroasia', 'sekarang', 'kecewanya', 'pas', 'gagal', 'final', 'makanya', 'satu', 'peluang', 'medali']</t>
  </si>
  <si>
    <t>@garagarabola_ Iwan bule aja kontribusi buat kemenangan Argentina di final pildun. Apalagi AFF. Yang ngangkat Thropy Pertama pasti Iwan bule üóø</t>
  </si>
  <si>
    <t>iwan bule aja kontribusi buat kemenangan argentina final pildun apalagi aff yang ngangkat thropy pertama pasti iwan bule</t>
  </si>
  <si>
    <t>['iwan', 'bule', 'kontribusi', 'buat', 'kemenangan', 'argentina', 'final', 'piala dunia', 'aff', 'ngangkat', 'thropy', 'pertama', 'iwan', 'bule']</t>
  </si>
  <si>
    <t>@TrollFootball Final pildun 4taun sekali, karo bojone iso bendino üòÇüòÇ</t>
  </si>
  <si>
    <t>final pildun taun sekali karo bojone iso bendino</t>
  </si>
  <si>
    <t>['final', 'piala dunia', 'taun', 'sekali', 'karo', 'bojone', 'iso', 'bendino']</t>
  </si>
  <si>
    <t>Bela belain sebulanan ga keluar malam karna nonton pildun, sekarang udah selesai aja. Terima kasih piala dunia  Jujurly si ini final yang paling epic selama gua nonton bola sumpah.</t>
  </si>
  <si>
    <t>bela belain sebulanan keluar malam karna nonton pildun sekarang udah selesai aja terima kasih piala dunia jujurly ini final yang paling epic selama gua nonton bola sumpah</t>
  </si>
  <si>
    <t>['bela', 'belain', 'sebulanan', 'keluar', 'malam', 'karna', 'nonton', 'piala dunia', 'sekarang', 'udah', 'selesai', 'terima', 'kasih', 'piala', 'dunia', 'jujurly', 'final', 'paling', 'epic', 'selama', 'gua', 'nonton', 'bola', 'sumpah']</t>
  </si>
  <si>
    <t>@registaco Itu hattrick mbappe adalah hattrick pertama di final pildun??? Gak salah lu min?? Kualitas lu makin menurun aja min..</t>
  </si>
  <si>
    <t>itu hattrick mbappe adalah hattrick pertama final pildun gak salah min kualitas makin menurun aja min</t>
  </si>
  <si>
    <t>['hattrick', 'mbappe', 'hattrick', 'pertama', 'final', 'piala dunia', 'salah', 'min', 'kualitas', 'makin', 'menurun', 'min']</t>
  </si>
  <si>
    <t>Ketolong final? Pildun Qatar udah seru sejak Arab menang lawan Argentina, Jepang juara grup ngalahin Spanyol dan mulangin Jerman, Korea Selatan lolos ke babak knockout, Maroko sampai ke semi final, 3 kiper ajaib (Bonou, Livakovic, Emi Martinez), dan ditutup sama final epic.</t>
  </si>
  <si>
    <t>ketolong final pildun qatar udah seru sejak arab menang lawan argentina jepang juara grup ngalahin spanyol dan mulangin jerman korea selatan lolos babak knockout maroko sampai semi final kiper ajaib bonou livakovic emi martinez dan ditutup sama final epic</t>
  </si>
  <si>
    <t>['ketolong', 'final', 'piala dunia', 'qatar', 'udah', 'seru', 'sejak', 'arab', 'menang', 'lawan', 'argentina', 'jepang', 'juara', 'grup', 'ngalahin', 'spanyol', 'mulangin', 'jerman', 'korea', 'selatan', 'lolos', 'babak', 'knockout', 'maroko', 'semi', 'final', 'kiper', 'ajaib', 'bonou', 'livakovic', 'emi', 'martinez', 'ditutup', 'sama', 'final', 'epic']</t>
  </si>
  <si>
    <t>SETUJU KALO ITU ADALAH FINAL TERSERU DI PIALA DUNIA? SELENGKAPNYA NONTON DI PILDUN FC HANYA DI SPOTIFY!  https://t.co/UKwVkQptpb</t>
  </si>
  <si>
    <t>setuju kalo itu adalah final terseru piala dunia selengkapnya nonton pildun hanya spotify</t>
  </si>
  <si>
    <t>['setuju', 'final', 'terseru', 'piala', 'dunia', 'selengkapnya', 'nonton', 'piala dunia', 'spotify']</t>
  </si>
  <si>
    <t>Baru ini nonton final pildun jagoan gw kalah.. tapi tetep seneng liat Messi jadi the real GOAT !!! Congrats Argentina</t>
  </si>
  <si>
    <t>baru ini nonton final pildun jagoan kalah tapi tetep seneng liat messi jadi the real goat congrats argentina</t>
  </si>
  <si>
    <t>['baru', 'nonton', 'final', 'piala dunia', 'jagoan', 'kalah', 'tetep', 'seneng', 'lihat', 'messi', 'jadi', 'the', 'real', 'goat', 'congrats', 'argentina']</t>
  </si>
  <si>
    <t>pildun qatar ketolong final? i dont think so</t>
  </si>
  <si>
    <t>pildun qatar ketolong final dont think</t>
  </si>
  <si>
    <t>['piala dunia', 'qatar', 'ketolong', 'final', 'dont', 'think']</t>
  </si>
  <si>
    <t>PILDUN FC: Kegilaan 120 Menit  Gila sekaligus melelahkan. Final Piala Dunia 2022 adalah salah satu final terbaik yang pernah ada. Argentina jadi juara, Lionel Messi pun bahagia. Simak pembahasannya di Pildun FC kali ini bareng @abdurarsyad    https://t.co/Q3zataDqNR  https://t.co/Q9GPLLaWLK</t>
  </si>
  <si>
    <t>pildun kegilaan menit gila sekaligus melelahkan final piala dunia adalah salah satu final terbaik yang pernah ada argentina jadi juara lionel messi pun bahagia simak pembahasannya pildun kali ini bareng</t>
  </si>
  <si>
    <t>['piala dunia', 'kegilaan', 'menit', 'gila', 'sekaligus', 'melelahkan', 'final', 'piala', 'dunia', 'salah', 'satu', 'final', 'terbaik', 'pernah', 'argentina', 'jadi', 'juara', 'lionel', 'messi', 'bahagia', 'simak', 'pembahasannya', 'piala dunia', 'kali', 'bareng']</t>
  </si>
  <si>
    <t>@vidialdiano smlm g bs tdr, gegara final pildun</t>
  </si>
  <si>
    <t>smlm tdr gegara final pildun</t>
  </si>
  <si>
    <t>['smlm', 'tdr', 'gegara', 'final', 'piala dunia']</t>
  </si>
  <si>
    <t>opini lo kali ini jelek bgt jujur, baru lo doang yg gue liat pildun thn ini ketolong di finalüòÇ ngaco sih! krn mostly org2 tuh pada blg best world cup loh 2022 ini wkwkwkwk</t>
  </si>
  <si>
    <t>opini kali ini jelek bgt jujur baru doang gue liat pildun thn ini ketolong final ngaco sih krn mostly org tuh pada blg best world cup loh ini wkwkwkwk</t>
  </si>
  <si>
    <t>['opini', 'kali', 'jelek', 'banget', 'jujur', 'baru', 'doang', 'gue', 'lihat', 'piala dunia', 'thn', 'ketolong', 'final', 'ngaco', 'mostly', 'org', 'blg', 'best', 'world', 'cup', 'wkwkwkwk']</t>
  </si>
  <si>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</si>
  <si>
    <t>hampir semua match pildun ini seru kecuali semifinal agak membosankan terbaik adalah babak final penyisihan byk kejutan argentina kalah lawan arab jerman kalah lawan jepang cameron serbia ditutup dgn final gila pildun paling sulit dilupakan terbaik</t>
  </si>
  <si>
    <t>['hampir', 'semua', 'match', 'piala dunia', 'seru', 'semifinal', 'membosankan', 'terbaik', 'babak', 'final', 'penyisihan', 'byk', 'kejutan', 'argentina', 'kalah', 'lawan', 'arab', 'jerman', 'kalah', 'lawan', 'jepang', 'cameron', 'serbia', 'ditutup', 'final', 'gila', 'piala dunia', 'paling', 'sulit', 'dilupakan', 'terbaik']</t>
  </si>
  <si>
    <t>Terakhir kali gw nonton final Piala Dunia tergila itu saat 2006. Lagi liburan sekolah ke Bali, nonton ramean di atas bus. Apalagi saat itu yg juara Italia‚Äîyup, gw fans sepak bola Italia. Finalnya pun dramatis.  Akhirnya gw merasakan kegilaan yg sama di final pildun 2022 semalem.</t>
  </si>
  <si>
    <t>terakhir kali nonton final piala dunia tergila itu saat lagi liburan sekolah bali nonton ramean atas bus apalagi saat itu juara italia yup fans sepak bola italia finalnya pun dramatis akhirnya merasakan kegilaan sama final pildun semalem</t>
  </si>
  <si>
    <t>['terakhir', 'kali', 'nonton', 'final', 'piala', 'dunia', 'tergila', 'liburan', 'sekolah', 'bali', 'nonton', 'ramean', 'atas', 'bus', 'juara', 'italia', 'yup', 'fans', 'sepak', 'bola', 'italia', 'finalnya', 'dramatis', 'akhirnya', 'merasakan', 'kegilaan', 'sama', 'final', 'piala dunia', 'semalam']</t>
  </si>
  <si>
    <t>@convomfs maap final pildun 4 taun sekali ya anjing</t>
  </si>
  <si>
    <t>maap final pildun taun sekali anjing</t>
  </si>
  <si>
    <t>['maap', 'final', 'piala dunia', 'taun', 'sekali', 'anjing']</t>
  </si>
  <si>
    <t>curiga gue anak enha pasang taruhan gara2 final pildun kemarin, oiya kakak km ikut taruhan jg apa cuma duduk minum smoothie???</t>
  </si>
  <si>
    <t>curiga gue anak enha pasang taruhan gara final pildun kemarin oiya kakak ikut taruhan apa cuma duduk minum smoothie</t>
  </si>
  <si>
    <t>['curiga', 'gue', 'anak', 'enha', 'pasang', 'taruhan', 'gara', 'final', 'piala dunia', 'kemarin', 'oiya', 'kakak', 'ikut', 'taruhan', 'apa', 'cuma', 'duduk', 'minum', 'smoothie']</t>
  </si>
  <si>
    <t>Jangan ganggu lah, final pildun nih.....  @yusufryandi @daniellegowo @the_investor @arieffajarcom @RianEkkyP</t>
  </si>
  <si>
    <t>jangan ganggu lah final pildun nih investor</t>
  </si>
  <si>
    <t>['jangan', 'ganggu', 'lah', 'final', 'piala dunia', 'investor']</t>
  </si>
  <si>
    <t>Final pildun yg luar biasa penuh dengan dramatis Aksi Messi dan Mbappe yg sangat fantastis  #WorldCupFinal  #ArgentinaVsFrance  #MessiìÉµ  https://t.co/GNLC8bQCTN</t>
  </si>
  <si>
    <t>final pildun luar biasa penuh dengan dramatis aksi messi dan mbappe sangat fantastis</t>
  </si>
  <si>
    <t>['final', 'piala dunia', 'luar', 'biasa', 'penuh', 'dramatis', 'aksi', 'messi', 'mbappe', 'sangat', 'fantastis']</t>
  </si>
  <si>
    <t>@idextratime Tapi yg tdi malam emang wasitnya top bgt pntas mimpin final pildun.</t>
  </si>
  <si>
    <t>tapi tdi malam emang wasitnya top bgt pntas mimpin final pildun</t>
  </si>
  <si>
    <t>['tdi', 'malam', 'emang', 'wasitnya', 'top', 'banget', 'pntas', 'mimpin', 'final', 'piala dunia']</t>
  </si>
  <si>
    <t>@jihayuk @Fandom_ID Overhated aja bang sebetulnya, talentnya harus diakui top banget. Umur 23 hatrick final, pildun lagi. Bener¬≤ single carry. Tinggal d'or, ucl, sama pildun satu lagi. Udah bisa kali masuk kategori goat üòÇ</t>
  </si>
  <si>
    <t>overhated aja bang sebetulnya talentnya harus diakui top banget umur hatrick final pildun lagi bener single carry tinggal ucl sama pildun satu lagi udah bisa kali masuk kategori goat</t>
  </si>
  <si>
    <t>['overhated', 'bang', 'talentnya', 'diakui', 'top', 'banget', 'umur', 'hatrick', 'final', 'piala dunia', 'benar', 'single', 'carry', 'tinggal', 'ucl', 'sama', 'piala dunia', 'satu', 'udah', 'kali', 'masuk', 'kategori', 'goat']</t>
  </si>
  <si>
    <t>@convomfs kamu aja kali, akumah enggaüòã tetep chatingan dan bahasnya juga final pildunüëç</t>
  </si>
  <si>
    <t>kamu aja kali akumah engga tetep chatingan dan bahasnya juga final pildun</t>
  </si>
  <si>
    <t>['kamu', 'kali', 'akumah', 'tidak', 'tetep', 'chatingan', 'bahasnya', 'final', 'piala dunia']</t>
  </si>
  <si>
    <t>Final pildun semalam kaya  "Mbappe vs everybody"</t>
  </si>
  <si>
    <t>final pildun semalam kaya mbappe everybody</t>
  </si>
  <si>
    <t>['final', 'piala dunia', 'semalam', 'kaya', 'mbappe', 'everybody']</t>
  </si>
  <si>
    <t>Mulai nonton final pildun dari 2002. Kemudian 2006, 2010, 2014, 2018, dan semalem 2022. Iya sih semalem yg paling seru, kedua tim main terbuka, skuat kedua tim dihuni bintang top, dan skornya kejar-kejaran.</t>
  </si>
  <si>
    <t>mulai nonton final pildun dari kemudian dan semalem iya sih semalem paling seru kedua tim main terbuka skuat kedua tim dihuni bintang top dan skornya kejar kejaran</t>
  </si>
  <si>
    <t>['mulai', 'nonton', 'final', 'piala dunia', 'kemudian', 'semalam', 'iya', 'semalam', 'paling', 'seru', 'kedua', 'tim', 'main', 'terbuka', 'skuat', 'kedua', 'tim', 'dihuni', 'bintang', 'top', 'skornya', 'kejar', 'kejaran']</t>
  </si>
  <si>
    <t>@idextratime UCL gak punya, Pildun gak punya (CumaNumpang) Cama salah apa coyy, bocah 19 thn kalah di Final terbesar di dunia, jantungan pula wkwk cukup diam aja #GakRespect</t>
  </si>
  <si>
    <t>ucl gak punya pildun gak punya cumanumpang cama salah apa coyy bocah thn kalah final terbesar dunia jantungan pula wkwk cukup diam aja</t>
  </si>
  <si>
    <t>['ucl', 'punya', 'piala dunia', 'punya', 'cumanumpang', 'cama', 'salah', 'apa', 'coyy', 'bocah', 'thn', 'kalah', 'final', 'terbesar', 'dunia', 'jantungan', 'cukup', 'diam']</t>
  </si>
  <si>
    <t>semalem nobar final pildun sama temen temen trs lucu bgt anjirr kyk ngeliat gue lg fangirling bujang kpop</t>
  </si>
  <si>
    <t>semalem nobar final pildun sama temen temen trs lucu bgt anjirr kyk ngeliat gue fangirling bujang kpop</t>
  </si>
  <si>
    <t>['semalam', 'nonton bareng', 'final', 'piala dunia', 'sama', 'temen', 'temen', 'terus', 'lucu', 'banget', 'anjirr', 'seperti', 'ngeliat', 'gue', 'fangirling', 'bujang', 'kpop']</t>
  </si>
  <si>
    <t>Tranding w ko gk ky biasanya isinya final pildun semua üòÇ  #MessiìÉµ #WorldCupFinal #Qatar2022 #Argentina</t>
  </si>
  <si>
    <t>tranding biasanya isinya final pildun semua</t>
  </si>
  <si>
    <t>['tranding', 'biasanya', 'isinya', 'final', 'piala dunia', 'semua']</t>
  </si>
  <si>
    <t>@Weirdofiend @ginanjarfauz @7ckngNeg @FansNerazzurri bhuakakakkkk nah kan, bener keliatan tolol asliü§£, gw bahas pildun cmn ada giroud sama theo aja yg jadi sampah tim perancis yg ngampas di final tolol boleh, cmn kasihan melernista yg udah tolol jdi ma</t>
  </si>
  <si>
    <t>bhuakakakkkk nah kan bener keliatan tolol asli bahas pildun cmn ada giroud sama theo aja jadi sampah tim perancis ngampas final tolol boleh cmn kasihan melernista udah tolol jdi</t>
  </si>
  <si>
    <t>['bhuakakakkkk', 'nah', 'kan', 'benar', 'keliatan', 'tolol', 'asli', 'bahas', 'piala dunia', 'cmn', 'giroud', 'sama', 'theo', 'jadi', 'sampah', 'tim', 'perancis', 'ngampas', 'final', 'tolol', 'cmn', 'kasihan', 'melernista', 'udah', 'tolol', 'jdi']</t>
  </si>
  <si>
    <t>@Faisal94Imam @Cristiano_time7 Yaudah, cba liat pildun 2018. Usia fia kan 33 tahun, apa bsa bwa Portugal ke final?</t>
  </si>
  <si>
    <t>time yaudah cba liat pildun usia fia kan tahun apa bsa bwa portugal final</t>
  </si>
  <si>
    <t>['time', 'yaudah', 'cba', 'lihat', 'piala dunia', 'usia', 'fia', 'kan', 'tahun', 'apa', 'bsa', 'bwa', 'portugal', 'final']</t>
  </si>
  <si>
    <t>@_detectiveloki @rivanmandalap @bintangemon Iya fifa korup bener, tapi kalo perkara pildun Qatar cuma ketolong final. Itu salah besar. Match2nya banyak bgt yg seru dari awal penyisihan group.</t>
  </si>
  <si>
    <t>iya fifa korup bener tapi kalo perkara pildun qatar cuma ketolong final itu salah besar match nya banyak bgt seru dari awal penyisihan group</t>
  </si>
  <si>
    <t>['iya', 'fifa', 'korup', 'benar', 'perkara', 'piala dunia', 'qatar', 'cuma', 'ketolong', 'final', 'salah', 'besar', 'match', 'banyak', 'banget', 'seru', 'awal', 'penyisihan', 'group']</t>
  </si>
  <si>
    <t>Kayanya diantara temen2 gue, cuma w doang yg ga upload euforia final pildun. Ya gimana dong w ga ngerti dan ga ngikutin bola juga si üòÖ</t>
  </si>
  <si>
    <t>kayanya diantara temen gue cuma doang upload euforia final pildun gimana dong ngerti dan ngikutin bola juga</t>
  </si>
  <si>
    <t>['kayanya', 'diantara', 'temen', 'gue', 'cuma', 'doang', 'upload', 'euforia', 'final', 'piala dunia', 'gimana', 'dong', 'ngerti', 'ngikutin', 'bola']</t>
  </si>
  <si>
    <t>Dan sampe keluar statement 'pildun tahun ini KETOLONG sama final' dari jari gue ya karna emang gue baru sadar kalo PILDUN STILL EXIST tuh gegara rame final semalem wkwkw knp yg fans garis keras jadi ketrigger dan gak terima dah wkwkw pdhl gue gak nyenggol siapa2 wkwk</t>
  </si>
  <si>
    <t>dan sampe keluar statement pildun tahun ini ketolong sama final dari jari gue karna emang gue baru sadar kalo pildun still exist tuh gegara rame final semalem wkwkw knp fans garis keras jadi ketrigger dan gak terima dah wkwkw pdhl gue gak nyenggol siapa wkwk</t>
  </si>
  <si>
    <t>['sampai', 'keluar', 'statement', 'piala dunia', 'tahun', 'ketolong', 'sama', 'final', 'jari', 'gue', 'karna', 'emang', 'gue', 'baru', 'sadar', 'piala dunia', 'still', 'exist', 'gegara', 'ramai', 'final', 'semalam', 'wkwkw', 'kenapa', 'fans', 'garis', 'keras', 'jadi', 'ketrigger', 'terima', 'dah', 'wkwkw', 'pdhl', 'gue', 'nyenggol', 'siapa']</t>
  </si>
  <si>
    <t>Pildun 2022 final.  https://t.co/tBivJuSzyD</t>
  </si>
  <si>
    <t>pildun final</t>
  </si>
  <si>
    <t>['piala dunia', 'final']</t>
  </si>
  <si>
    <t>&lt;FreqDist with 2 samples and 2 outcomes&gt;</t>
  </si>
  <si>
    <t>ok nih ya buat netizen teraneh. kl klean wondering ‚Äúkok dr yg gasuka bola tb-tb jadi suka bola‚Äù YA KRN INI FINAL ANJ???? plus pildun jg 4 taun sekali????????</t>
  </si>
  <si>
    <t>nih buat netizen teraneh klean wondering kok gasuka bola jadi suka bola krn ini final anj plus pildun taun sekali</t>
  </si>
  <si>
    <t>['buat', 'netizen', 'teraneh', 'klean', 'wondering', 'kok', 'gasuka', 'bola', 'jadi', 'suka', 'bola', 'final', 'anj', 'plus', 'piala dunia', 'taun', 'sekali']</t>
  </si>
  <si>
    <t>wkwk cowo gue juga nanya mulu haechan dukung siapa grgr gue kasih tau haechan nonton final pildunüò≠ si haechan malah ngilang abis ngasih tau skor 2-2üò≠üôèüèª</t>
  </si>
  <si>
    <t>wkwk cowo gue juga nanya mulu haechan dukung siapa grgr gue kasih tau haechan nonton final pildun haechan malah ngilang abis ngasih tau skor</t>
  </si>
  <si>
    <t>['cowo', 'gue', 'nanya', 'mulu', 'haechan', 'dukung', 'siapa', 'grgr', 'gue', 'kasih', 'haechan', 'nonton', 'final', 'piala dunia', 'haechan', 'malah', 'ngilang', 'abis', 'ngasih', 'skor']</t>
  </si>
  <si>
    <t>@bintangemon Makanya nonton pildun jangan pas final doang tolol</t>
  </si>
  <si>
    <t>makanya nonton pildun jangan pas final doang tolol</t>
  </si>
  <si>
    <t>['makanya', 'nonton', 'piala dunia', 'jangan', 'pas', 'final', 'doang', 'tolol']</t>
  </si>
  <si>
    <t>Emang udah paling bener Messi yang jadi juara semalem, anak2 muda ini termasuk Saliba masih banyak waktu buat menangin final pildun nantinya.  https://t.co/lY14mqBibS</t>
  </si>
  <si>
    <t>emang udah paling bener messi yang jadi juara semalem anak muda ini termasuk saliba masih banyak waktu buat menangin final pildun nantinya</t>
  </si>
  <si>
    <t>['emang', 'udah', 'paling', 'benar', 'messi', 'jadi', 'juara', 'semalam', 'anak', 'muda', 'termasuk', 'saliba', 'banyak', 'waktu', 'buat', 'menangin', 'final', 'piala dunia', 'nantinya']</t>
  </si>
  <si>
    <t>@ChelseafanIndo @Cristiano Argentina wajar menang,tim solid kompak dri segi permainan, beda sma portugal yg msih tinggi Ego nya para pemain. Dri permainan melawan maroko aj masih bnyk ngebuang¬≤ bola, kalo tim solid psti bkl melaju ke perempat final. Eman</t>
  </si>
  <si>
    <t>argentina wajar menang tim solid kompak dri segi permainan beda sma portugal msih tinggi ego nya para pemain dri permainan melawan maroko masih bnyk ngebuang bola kalo tim solid psti bkl melaju perempat final eman</t>
  </si>
  <si>
    <t>['argentina', 'wajar', 'menang', 'tim', 'solid', 'kompak', 'dri', 'segi', 'permainan', 'beda', 'sma', 'portugal', 'msih', 'tinggi', 'ego', 'pemain', 'dri', 'permainan', 'melawan', 'maroko', 'bnyk', 'ngebuang', 'bola', 'tim', 'solid', 'psti', 'bkl', 'melaju', 'perempat', 'final', 'eman']</t>
  </si>
  <si>
    <t>Disclaimer dulu ini opini y, tapi tentunya dalam pertandingan ini mesti ada pihak yg kalah dan pihak yg menang...sehingga hasil akhirlah yg menjawab. Lose in penalty? Not bad. Penalti jg tidak mudah loh apalagi final pildun :v</t>
  </si>
  <si>
    <t>disclaimer dulu ini opini tapi tentunya dalam pertandingan ini mesti ada pihak kalah dan pihak menang sehingga hasil akhirlah menjawab lose penalty not bad penalti tidak mudah loh apalagi final pildun</t>
  </si>
  <si>
    <t>['disclaimer', 'dulu', 'opini', 'tentunya', 'pertandingan', 'mesti', 'pihak', 'kalah', 'pihak', 'menang', 'hasil', 'akhirlah', 'menjawab', 'lose', 'penalty', 'not', 'bad', 'penalti', 'mudah', 'final', 'piala dunia']</t>
  </si>
  <si>
    <t>@Partono_ADjem Final pildun 94 pragmatis semua gak berani nyerang. Final paling membosankan.Beda kayak kemarin.Gilak gilak pokoknya.</t>
  </si>
  <si>
    <t>adjem final pildun pragmatis semua gak berani nyerang final paling membosankan beda kayak kemarin gilak gilak pokoknya</t>
  </si>
  <si>
    <t>['adjem', 'final', 'piala dunia', 'pragmatis', 'semua', 'berani', 'nyerang', 'final', 'paling', 'membosankan', 'beda', 'seperti', 'kemarin', 'gilak', 'gilak', 'pokoknya']</t>
  </si>
  <si>
    <t>@bintangemon Mohon maaf bang tapi, arab saudi ngalahin argentina, jepang ngalahin spanyol dan jerman + jadi juara grup di grup neraka, korea selatan ngalahin portugal, tunisia ngalahin france dan maroko sampe semi-final. Terus lu bilang pildun qatar ketol</t>
  </si>
  <si>
    <t>mohon maaf bang tapi arab saudi ngalahin argentina jepang ngalahin spanyol dan jerman jadi juara grup grup neraka korea selatan ngalahin portugal tunisia ngalahin france dan maroko sampe semi final terus bilang pildun qatar ketol</t>
  </si>
  <si>
    <t>['mohon', 'maaf', 'bang', 'arab', 'saudi', 'ngalahin', 'argentina', 'jepang', 'ngalahin', 'spanyol', 'jerman', 'jadi', 'juara', 'grup', 'grup', 'neraka', 'korea', 'selatan', 'ngalahin', 'portugal', 'tunisia', 'ngalahin', 'france', 'maroko', 'sampai', 'semi', 'final', 'terus', 'piala dunia', 'qatar', 'ketol']</t>
  </si>
  <si>
    <t>Yang semalem begadang nonton final pildun, yuk semangat lagi kerjanyaüî•üî• ¬† Inget anak, istri (kalau ada)~ ¬† #CuitanKaryawan  https://t.co/7JpxLuDu5j</t>
  </si>
  <si>
    <t>yang semalem begadang nonton final pildun yuk semangat lagi kerjanya inget anak istri kalau ada</t>
  </si>
  <si>
    <t>['semalam', 'begadang', 'nonton', 'final', 'piala dunia', 'yuk', 'semangat', 'kerjanya', 'inget', 'anak', 'istri', 'kalau']</t>
  </si>
  <si>
    <t>Sekarang giliran messi bantu mbappe buat juara UCL. Usia 23 tahun udah dapet gelar pildun, euro, hattrick di final pildun, top skor pildun. What a player ü´°ü´°</t>
  </si>
  <si>
    <t>sekarang giliran messi bantu mbappe buat juara ucl usia tahun udah dapet gelar pildun euro hattrick final pildun top skor pildun what player</t>
  </si>
  <si>
    <t>['sekarang', 'giliran', 'messi', 'bantu', 'mbappe', 'buat', 'juara', 'ucl', 'usia', 'tahun', 'udah', 'dapat', 'gelar', 'piala dunia', 'euro', 'hattrick', 'final', 'piala dunia', 'top', 'skor', 'piala dunia', 'what', 'player']</t>
  </si>
  <si>
    <t>selain itu ini messi yg masuk final, which is kesukaan ku di barcelona, jaman dmn anak kecil umur 9-10 tahun suka pake jersey barcelona dan ikut ngehype pildun dimasanyaüò≥</t>
  </si>
  <si>
    <t>selain itu ini messi masuk final which kesukaan barcelona jaman dmn anak kecil umur tahun suka pake jersey barcelona dan ikut ngehype pildun dimasanya</t>
  </si>
  <si>
    <t>['messi', 'masuk', 'final', 'which', 'kesukaan', 'barcelona', 'jaman', 'dmn', 'anak', 'kecil', 'umur', 'tahun', 'suka', 'pake', 'jersey', 'barcelona', 'ikut', 'ngehype', 'piala dunia', 'dimasanya']</t>
  </si>
  <si>
    <t>@convomf lupakan sesaat final pildun, kita harus fokus sore ini buat menggalau bersama @zhafirayunitaa</t>
  </si>
  <si>
    <t>lupakan sesaat final pildun kita harus fokus sore ini buat menggalau bersama</t>
  </si>
  <si>
    <t>['lupakan', 'sesaat', 'final', 'piala dunia', 'fokus', 'sore', 'buat', 'menggalau', 'bersama']</t>
  </si>
  <si>
    <t>Serunya Nobar Final Pildun di Lereng Gunung Raung Banyuwangi  https://t.co/M0efFTXkCX</t>
  </si>
  <si>
    <t>serunya nobar final pildun lereng gunung raung banyuwangi</t>
  </si>
  <si>
    <t>['serunya', 'nonton bareng', 'final', 'piala dunia', 'lereng', 'gunung', 'raung', 'banyuwangi']</t>
  </si>
  <si>
    <t>@GODDESSISYOU @idextratime Bayangin aja..negara lain yg menang pildun..kt yang pawai besar2 an..bayangkan klo kt masuk di putaran final pildun..bisa akur kita sm DPR..</t>
  </si>
  <si>
    <t>bayangin aja negara lain menang pildun yang pawai besar bayangkan klo masuk putaran final pildun bisa akur kita dpr</t>
  </si>
  <si>
    <t>['bayangin', 'negara', 'menang', 'piala dunia', 'pawai', 'besar', 'bayangkan', 'masuk', 'putaran', 'final', 'piala dunia', 'akur', 'dpr']</t>
  </si>
  <si>
    <t>Ada yg bertengkar gara2 final Pildun, ada yg tersenyum bahagia di final pildun, inti nya nikmatin aja pertunjukkan nya ü§£üòÅ</t>
  </si>
  <si>
    <t>ada bertengkar gara final pildun ada tersenyum bahagia final pildun inti nya nikmatin aja pertunjukkan nya</t>
  </si>
  <si>
    <t>['bertengkar', 'gara', 'final', 'piala dunia', 'tersenyum', 'bahagia', 'final', 'piala dunia', 'inti', 'nikmatin', 'pertunjukkan']</t>
  </si>
  <si>
    <t>Exol Argentina rayain kemenangan dgn lagu Power Lagu power pernah diplay di pildun 2018 lalu Kai prediksi Argentina, France, Brazil lolos final dari pertanyaan fans 1 thn yg lalu (?) Kai hype pildun &amp;amp; Messi Mungkin itu alasannya, mantab üëç‚ú®</t>
  </si>
  <si>
    <t>exol argentina rayain kemenangan dgn lagu power lagu power pernah diplay pildun lalu kai prediksi argentina france brazil lolos final dari pertanyaan fans thn lalu kai hype pildun messi mungkin itu alasannya mantab</t>
  </si>
  <si>
    <t>['exol', 'argentina', 'rayain', 'kemenangan', 'lagu', 'power', 'lagu', 'power', 'pernah', 'diplay', 'piala dunia', 'lalu', 'kai', 'prediksi', 'argentina', 'france', 'brazil', 'lolos', 'final', 'pertanyaan', 'fans', 'thn', 'lalu', 'kai', 'hype', 'piala dunia', 'messi', 'mungkin', 'alasannya', 'mantab']</t>
  </si>
  <si>
    <t>Sisa kopdar + nobar final pildun , bareng single partner tadi malam  https://t.co/OJSqry2B5I</t>
  </si>
  <si>
    <t>sisa kopdar nobar final pildun bareng single partner tadi malam</t>
  </si>
  <si>
    <t>['sisa', 'kopdar', 'nonton bareng', 'final', 'piala dunia', 'bareng', 'single', 'partner', 'tadi', 'malam']</t>
  </si>
  <si>
    <t>Euphoria final pildun gila ya, cowo-cewe tanpa batas gender. Ga Twitter ga IGs terkait pildun semua. Gile gile gile.</t>
  </si>
  <si>
    <t>euphoria final pildun gila cowo cewe tanpa batas gender twitter igs terkait pildun semua gile gile gile</t>
  </si>
  <si>
    <t>['euphoria', 'final', 'piala dunia', 'gila', 'cowo', 'cewe', 'batas', 'gender', 'twitter', 'igs', 'terkait', 'piala dunia', 'semua', 'gile', 'gile', 'gile']</t>
  </si>
  <si>
    <t>@convomfs 100000/10 final pildun paling gokillllüî• mbappe lo keren bgt coy</t>
  </si>
  <si>
    <t>final pildun paling gokillll mbappe keren bgt coy</t>
  </si>
  <si>
    <t>['final', 'piala dunia', 'paling', 'gokillll', 'mbappe', 'keren', 'banget', 'coy']</t>
  </si>
  <si>
    <t>Minggu pertama istirahat fisik (dan mental) trus nton bola sampe final pildun. No worries kesiangan karena begadang. Hhhh .. I think I rest well enough. Time to get another job. Wish me luck üòå‚ú®</t>
  </si>
  <si>
    <t>minggu pertama istirahat fisik dan mental trus nton bola sampe final pildun worries kesiangan karena begadang hhhh think rest well enough time get another job wish luck</t>
  </si>
  <si>
    <t>['minggu', 'pertama', 'istirahat', 'fisik', 'mental', 'trus', 'nton', 'bola', 'sampai', 'final', 'piala dunia', 'worries', 'kesiangan', 'begadang', 'hhhh', 'think', 'rest', 'well', 'enough', 'time', 'get', 'another', 'job', 'wish', 'luck']</t>
  </si>
  <si>
    <t>@FidelitatSense @SeputarMadrid Lo sok asik. Aguero Dateng jadi fans dan ga masuk roster buat pildun dan die mocking bocah 19 tahun yg maen di final? Goblok emng</t>
  </si>
  <si>
    <t>sok asik aguero dateng jadi fans dan masuk roster buat pildun dan die mocking bocah tahun maen final goblok emng</t>
  </si>
  <si>
    <t>['sok', 'asik', 'aguero', 'dateng', 'jadi', 'fans', 'masuk', 'roster', 'buat', 'piala dunia', 'die', 'mocking', 'bocah', 'tahun', 'maen', 'final', 'goblok', 'memang']</t>
  </si>
  <si>
    <t>Ini gak salah Argentina di final ngelawan 1 orang doang?  Ini pildun atau anime isekai?</t>
  </si>
  <si>
    <t>ini gak salah argentina final ngelawan orang doang ini pildun atau anime isekai</t>
  </si>
  <si>
    <t>['salah', 'argentina', 'final', 'ngelawan', 'orang', 'doang', 'piala dunia', 'anime', 'isekai']</t>
  </si>
  <si>
    <t>@Askrlfess Iyadeh si paling superior wkwk, lagian terserah individu masing" dong mau nghype pas final pildun atau pas dari awal juga, emng ngerugiin Lo?wkwkkw kontol</t>
  </si>
  <si>
    <t>iyadeh paling superior wkwk lagian terserah individu masing dong mau nghype pas final pildun atau pas dari awal juga emng ngerugiin wkwkkw kontol</t>
  </si>
  <si>
    <t>['iyadeh', 'paling', 'superior', 'lagian', 'terserah', 'individu', 'masing', 'dong', 'mau', 'nghype', 'pas', 'final', 'piala dunia', 'pas', 'awal', 'memang', 'ngerugiin', 'wkwkkw', 'kontol']</t>
  </si>
  <si>
    <t>@idextratime Msh muda, msh byk yg bs dicapai sm mbappe, ini aja dia udh pegang rekor sndri, hattrick di final pildun, dah prnh juara pildun, dah prnh jd pemain muda  terbaik di pildun... So let's see... Semoga karirnya bs panjang dan trs main bagus</t>
  </si>
  <si>
    <t>msh muda msh byk dicapai mbappe ini aja dia udh pegang rekor sndri hattrick final pildun dah prnh juara pildun dah prnh pemain muda terbaik pildun let see semoga karirnya panjang dan trs main bagus</t>
  </si>
  <si>
    <t>['msh', 'muda', 'msh', 'byk', 'dicapai', 'mbappe', 'sudah', 'pegang', 'rekor', 'sndri', 'hattrick', 'final', 'piala dunia', 'dah', 'prnh', 'juara', 'piala dunia', 'dah', 'prnh', 'pemain', 'muda', 'terbaik', 'piala dunia', 'let', 'see', 'semoga', 'karirnya', 'panjang', 'terus', 'main', 'bagus']</t>
  </si>
  <si>
    <t>ini clear handball prancis dulu sebelum penalti kedua mbappe. tapi terlepas dari kontroversinya, final pildun semalem tetep yang tergokil. siapa yang nonton sambil tepok-tepok meja? ‚òù‚òù</t>
  </si>
  <si>
    <t>ini clear handball prancis dulu sebelum penalti kedua mbappe tapi terlepas dari kontroversinya final pildun semalem tetep yang tergokil siapa yang nonton sambil tepok tepok meja</t>
  </si>
  <si>
    <t>['clear', 'handball', 'prancis', 'dulu', 'penalti', 'kedua', 'mbappe', 'terlepas', 'kontroversinya', 'final', 'piala dunia', 'semalam', 'tetep', 'tergokil', 'siapa', 'nonton', 'tepok', 'tepok', 'meja']</t>
  </si>
  <si>
    <t>@idextratime Si mbappe jadi orang pertama yang bikin hattrick di laga final pildun kah? Atau ada pemain yang sebelumnya pernah hattrick di final pildun juga</t>
  </si>
  <si>
    <t>mbappe jadi orang pertama yang bikin hattrick laga final pildun kah atau ada pemain yang sebelumnya pernah hattrick final pildun juga</t>
  </si>
  <si>
    <t>['mbappe', 'jadi', 'orang', 'pertama', 'hattrick', 'laga', 'final', 'piala dunia', 'pemain', 'sebelumnya', 'pernah', 'hattrick', 'final', 'piala dunia']</t>
  </si>
  <si>
    <t>Pildun Qatar udah seru sejak Saudi Arabia hampir mulangin Messi di group stage. Bahkan match dgn hasil akhir 0-0 aja intens banget bang. US vs Inggris misalnya.   FIFA korup sih iya, tapi Pildun Qatar cuman ketolong final? I dont think so üòÜ</t>
  </si>
  <si>
    <t>pildun qatar udah seru sejak saudi arabia hampir mulangin messi group stage bahkan match dgn hasil akhir aja intens banget bang inggris misalnya fifa korup sih iya tapi pildun qatar cuman ketolong final dont think</t>
  </si>
  <si>
    <t>['piala dunia', 'qatar', 'udah', 'seru', 'sejak', 'saudi', 'arabia', 'hampir', 'mulangin', 'messi', 'group', 'stage', 'bahkan', 'match', 'hasil', 'akhir', 'intens', 'banget', 'bang', 'inggris', 'misalnya', 'fifa', 'korup', 'iya', 'piala dunia', 'qatar', 'cuman', 'ketolong', 'final', 'dont', 'think']</t>
  </si>
  <si>
    <t>@MySumatera seru final pildun tahun ini</t>
  </si>
  <si>
    <t>seru final pildun tahun ini</t>
  </si>
  <si>
    <t>['seru', 'final', 'piala dunia', 'tahun']</t>
  </si>
  <si>
    <t>Ko bs final pildun corner cmn 7x  https://t.co/KfCg0nACUP</t>
  </si>
  <si>
    <t>final pildun corner cmn</t>
  </si>
  <si>
    <t>['final', 'piala dunia', 'corner', 'cmn']</t>
  </si>
  <si>
    <t>@bintangemon Ya emang seruan pildun kemane2 lah, masa seruan final suca lu ü§£</t>
  </si>
  <si>
    <t>emang seruan pildun kemane lah masa seruan final suca</t>
  </si>
  <si>
    <t>['emang', 'seruan', 'piala dunia', 'kemane', 'lah', 'masa', 'seruan', 'final', 'suca']</t>
  </si>
  <si>
    <t>Total share final pildun SCTV &amp;amp; Indosiar capai 70%++</t>
  </si>
  <si>
    <t>total share final pildun sctv indosiar capai</t>
  </si>
  <si>
    <t>['total', 'share', 'final', 'piala dunia', 'sctv', 'indosiar', 'capai']</t>
  </si>
  <si>
    <t>@convomfs infinity/100. awalnya cm nemenin ayah nonton final pildun, tp ternyata WOW. GA NYESELLLL SERU BGT ASLI</t>
  </si>
  <si>
    <t>infinity awalnya nemenin ayah nonton final pildun ternyata wow nyesellll seru bgt asli</t>
  </si>
  <si>
    <t>['infinity', 'awalnya', 'nemenin', 'ayah', 'nonton', 'final', 'piala dunia', 'ternyata', 'wow', 'nyesellll', 'seru', 'banget', 'asli']</t>
  </si>
  <si>
    <t>@bintangemon Bacot banget mending liat final pildun lah dripada stand up cringe lu</t>
  </si>
  <si>
    <t>bacot banget mending liat final pildun lah dripada stand cringe</t>
  </si>
  <si>
    <t>['bacot', 'banget', 'mending', 'lihat', 'final', 'piala dunia', 'lah', 'dripada', 'stand', 'cringe']</t>
  </si>
  <si>
    <t>lah iya semalem final ya pildun</t>
  </si>
  <si>
    <t>lah iya semalem final pildun</t>
  </si>
  <si>
    <t>['lah', 'iya', 'semalam', 'final', 'piala dunia']</t>
  </si>
  <si>
    <t>btw lupa mo tweet ini semalem wkwk, berkat final pildun semalem, minggu malem jalanan sepi dan ga macet awowkwk alias orang pada nobarüòÇ setiap liat cafe di jalan isinya orang nobar semua</t>
  </si>
  <si>
    <t>btw lupa tweet ini semalem wkwk berkat final pildun semalem minggu malem jalanan sepi dan macet awowkwk alias orang pada nobar setiap liat cafe jalan isinya orang nobar semua</t>
  </si>
  <si>
    <t>['by the way', 'lupa', 'tweet', 'semalam', 'berkat', 'final', 'piala dunia', 'semalam', 'minggu', 'malem', 'jalanan', 'sepi', 'macet', 'awowkwk', 'alias', 'orang', 'nonton bareng', 'lihat', 'cafe', 'jalan', 'isinya', 'orang', 'nonton bareng', 'semua']</t>
  </si>
  <si>
    <t>Dulu awal2 kritis keren, tapi sekarang jadi caper. üòÇ Ketahuan tidak ikut pildun dari awal, nontonnya cuman final. ü§£ü§£</t>
  </si>
  <si>
    <t>dulu awal kritis keren tapi sekarang jadi caper ketahuan tidak ikut pildun dari awal nontonnya cuman final</t>
  </si>
  <si>
    <t>['dulu', 'awal', 'kritis', 'keren', 'sekarang', 'jadi', 'caper', 'ketahuan', 'ikut', 'piala dunia', 'awal', 'nontonnya', 'cuman', 'final']</t>
  </si>
  <si>
    <t xml:space="preserve">@SwipeMatch @lin666a @The_RedsIndo Nah makanya, ga semua orang ngikutin perkembangan klub yg ga dia gemari, tapi pildun beda cerita, festive period nya lebih berasa drpd final UCL. Mungkin beberapa pemain bersedia menukar torehan juara CL nya untuk piala </t>
  </si>
  <si>
    <t>redsindo nah makanya semua orang ngikutin perkembangan klub dia gemari tapi pildun beda cerita festive period nya lebih berasa drpd final ucl mungkin beberapa pemain bersedia menukar torehan juara nya untuk piala</t>
  </si>
  <si>
    <t>['redsindo', 'nah', 'makanya', 'semua', 'orang', 'ngikutin', 'perkembangan', 'klub', 'gemari', 'piala dunia', 'beda', 'cerita', 'festive', 'period', 'lebih', 'berasa', 'drpd', 'final', 'ucl', 'mungkin', 'beberapa', 'pemain', 'bersedia', 'menukar', 'torehan', 'juara', 'piala']</t>
  </si>
  <si>
    <t>Selamat pagi warga warnet yang lagi di kantor padahal kurang tidur abis nonton final pildun~  https://t.co/9NEzdBJsCc</t>
  </si>
  <si>
    <t>selamat pagi warga warnet yang lagi kantor padahal kurang tidur abis nonton final pildun</t>
  </si>
  <si>
    <t>['selamat', 'pagi', 'warga', 'warnet', 'kantor', 'padahal', 'kurang', 'tidur', 'abis', 'nonton', 'final', 'piala dunia']</t>
  </si>
  <si>
    <t>@hapeje semalam pada begadang nonton final pildun, belum pd bangun</t>
  </si>
  <si>
    <t>semalam pada begadang nonton final pildun belum bangun</t>
  </si>
  <si>
    <t>['semalam', 'begadang', 'nonton', 'final', 'piala dunia', 'bangun']</t>
  </si>
  <si>
    <t>@convomfs Apasi babi, nonton final pildun 3 jam doang. Bukan ditinggal mati. Lebay banget</t>
  </si>
  <si>
    <t>apasi babi nonton final pildun jam doang bukan ditinggal mati lebay banget</t>
  </si>
  <si>
    <t>['apasi', 'babi', 'nonton', 'final', 'piala dunia', 'jam', 'doang', 'bukan', 'ditinggal', 'mati', 'lebay', 'banget']</t>
  </si>
  <si>
    <t>Ngakak banget temen cerita lagi live streaming di yt final pildun, udah lama2 nontonnya malah ternyata love streaming PS wkwkwk üò≠</t>
  </si>
  <si>
    <t>ngakak banget temen cerita lagi live streaming final pildun udah lama nontonnya malah ternyata love streaming wkwkwk</t>
  </si>
  <si>
    <t>['ngakak', 'banget', 'temen', 'cerita', 'live', 'streaming', 'final', 'piala dunia', 'udah', 'lama', 'nontonnya', 'malah', 'ternyata', 'love', 'streaming', 'wkwkwk']</t>
  </si>
  <si>
    <t>Suara habis gegara nonton final pildunü§£</t>
  </si>
  <si>
    <t>suara habis gegara nonton final pildun</t>
  </si>
  <si>
    <t>['suara', 'habis', 'gegara', 'nonton', 'final', 'piala dunia']</t>
  </si>
  <si>
    <t>kocak, ah yg bener lu? dari fase grup aja udah keliatan unexpected kok. jepang yg bisa kalahin spain, german gak lolos, maroko yg bisa sampe semi final, belanda yg harus nelan kalah di pinalty, dan lainnya itu udah seru banget dibanding pildun sebelumnya yg pernah gua tonton.</t>
  </si>
  <si>
    <t>kocak bener dari fase grup aja udah keliatan unexpected kok jepang bisa kalahin spain german gak lolos maroko bisa sampe semi final belanda harus nelan kalah pinalty dan lainnya itu udah seru banget dibanding pildun sebelumnya pernah gua tonton</t>
  </si>
  <si>
    <t>['kocak', 'benar', 'fase', 'grup', 'udah', 'keliatan', 'unexpected', 'kok', 'jepang', 'kalahin', 'spain', 'german', 'lolos', 'maroko', 'sampai', 'semi', 'final', 'belanda', 'nelan', 'kalah', 'pinalty', 'lainnya', 'udah', 'seru', 'banget', 'dibanding', 'piala dunia', 'sebelumnya', 'pernah', 'gua', 'tonton']</t>
  </si>
  <si>
    <t>Udh capek2 carry negara nya, ttp aja kalah üòîüòî next pildun kita final lagi yh kylian syg,,, bareng uruguay nanti</t>
  </si>
  <si>
    <t>udh capek carry negara nya ttp aja kalah next pildun kita final lagi kylian syg bareng uruguay nanti</t>
  </si>
  <si>
    <t>['sudah', 'lelah', 'carry', 'negara', 'ttp', 'kalah', 'next', 'piala dunia', 'final', 'kylian', 'syg', 'bareng', 'uruguay']</t>
  </si>
  <si>
    <t>@ayeeshaye aseliiii pd wfh kli yak grgr semalem final pildun</t>
  </si>
  <si>
    <t>aseliiii wfh kli yak grgr semalem final pildun</t>
  </si>
  <si>
    <t>['aseliiii', 'wfh', 'kli', 'yak', 'grgr', 'semalam', 'final', 'piala dunia']</t>
  </si>
  <si>
    <t>baru tau semalem teh final pildun</t>
  </si>
  <si>
    <t>['baru', 'semalam', 'teh', 'final', 'piala dunia']</t>
  </si>
  <si>
    <t>Smlm gegara pildun suami ngambek wkwk dia dkung argentina krn mengidolakan messi, terus aku iseng nih pas argen unggul 2-0, aduh ga seru kalau final ga ada drama seri deh 3-3 pasti seru, eh bneran seri njir, eh dia diem katanya makanya kalau ngmng jgn smbrangan, heh untung menang</t>
  </si>
  <si>
    <t>smlm gegara pildun suami ngambek wkwk dia dkung argentina krn mengidolakan messi terus aku iseng nih pas argen unggul aduh seru kalau final ada drama seri deh pasti seru bneran seri njir dia diem katanya makanya kalau ngmng jgn smbrangan heh untung menang</t>
  </si>
  <si>
    <t>['smlm', 'gegara', 'piala dunia', 'suami', 'ngambek', 'dkung', 'argentina', 'mengidolakan', 'messi', 'terus', 'aku', 'iseng', 'pas', 'argen', 'unggul', 'aduh', 'seru', 'kalau', 'final', 'drama', 'seri', 'deh', 'seru', 'bneran', 'seri', 'njir', 'diem', 'katanya', 'makanya', 'kalau', 'ngmng', 'smbrangan', 'heh', 'untung', 'menang']</t>
  </si>
  <si>
    <t>Ô∏è Ô∏è Ô∏è Asik banget ya kayanya orang-orang rame ngebahas final Pildun tadi malam. Jadi agak nyesel (dikit sih) karena aku tidurnya cepat. Ô∏è Ô∏è Ô∏è</t>
  </si>
  <si>
    <t>asik banget kayanya orang orang rame ngebahas final pildun tadi malam jadi agak nyesel dikit sih karena aku tidurnya cepat</t>
  </si>
  <si>
    <t>['asik', 'banget', 'kayanya', 'orang', 'orang', 'ramai', 'ngebahas', 'final', 'piala dunia', 'tadi', 'malam', 'jadi', 'nyesel', 'dikit', 'aku', 'tidurnya', 'cepat']</t>
  </si>
  <si>
    <t>@idextratime Dodolovers said:   Opening: "Mari kita bktkan di final"  FirstMatch: "Sama ArabSaudi aja kalah"  Portugal kalah: "fix pildun udah disetting"  Semi Final: "Makin kesini makin kliatn kalo ini semua udah disettng."üò≠  Final:"udah lah fix setin</t>
  </si>
  <si>
    <t>dodolovers said opening mari kita bktkan final firstmatch sama arabsaudi aja kalah portugal kalah fix pildun udah disetting semi final makin kesini makin kliatn kalo ini semua udah disettng final udah lah fix setin</t>
  </si>
  <si>
    <t>['dodolovers', 'said', 'opening', 'bktkan', 'final', 'firstmatch', 'sama', 'arabsaudi', 'kalah', 'portugal', 'kalah', 'fix', 'piala dunia', 'udah', 'disetting', 'semi', 'final', 'makin', 'kesini', 'makin', 'kliatn', 'semua', 'udah', 'disettng', 'final', 'udah', 'lah', 'fix', 'setin']</t>
  </si>
  <si>
    <t>Hebooh huru hara senin pagi, udah mana masih ngantuk abis nonton final pildun. Pagi udah asign sana sini inputin dashboard ehh email kelog out dan lupa password. Sampai siang ini terpantau belum log in dan dichat orang mulu. Sabaar yaa bunda bundaaa~</t>
  </si>
  <si>
    <t>hebooh huru hara senin pagi udah mana masih ngantuk abis nonton final pildun pagi udah asign sana sini inputin dashboard ehh email kelog out dan lupa password sampai siang ini terpantau belum log dan dichat orang mulu sabaar yaa bunda bundaaa</t>
  </si>
  <si>
    <t>['hebooh', 'huru', 'hara', 'senin', 'pagi', 'udah', 'mana', 'ngantuk', 'abis', 'nonton', 'final', 'piala dunia', 'pagi', 'udah', 'asign', 'sana', 'sini', 'inputin', 'dashboard', 'ehh', 'email', 'kelog', 'out', 'lupa', 'password', 'siang', 'terpantau', 'log', 'dichat', 'orang', 'mulu', 'sabaar', 'ya', 'bunda', 'bundaaa']</t>
  </si>
  <si>
    <t>Setelah nonton final pildun, nanti malam gantian nonton regulatory sandboxnya Malaysia di AeHIN hour, yang diselenggarakan oleh @WeAreAeHIN  https://t.co/oSQd7pA1bk</t>
  </si>
  <si>
    <t>setelah nonton final pildun nanti malam gantian nonton regulatory sandboxnya malaysia aehin hour yang diselenggarakan oleh</t>
  </si>
  <si>
    <t>['nonton', 'final', 'piala dunia', 'malam', 'gantian', 'nonton', 'regulatory', 'sandboxnya', 'malaysia', 'aehin', 'hour', 'diselenggarakan']</t>
  </si>
  <si>
    <t>@Davidzioso @SerieA_Lawas Komentar melon dongo gini nih, ga liat penalty vs Belanda di quarter final siapa penentunya? Terus gol ke 3 Argentina di final yg bikin chance createnya andil siapa?  Di tambah Lautaro itu top skor Argentina selama kualifikasi pi</t>
  </si>
  <si>
    <t>lawas komentar melon dongo gini nih liat penalty belanda quarter final siapa penentunya terus gol argentina final bikin chance createnya andil siapa tambah lautaro itu top skor argentina selama kualifikasi</t>
  </si>
  <si>
    <t>['lawas', 'komentar', 'melon', 'dongo', 'gini', 'lihat', 'penalty', 'belanda', 'quarter', 'final', 'siapa', 'penentunya', 'terus', 'gol', 'argentina', 'final', 'chance', 'createnya', 'andil', 'siapa', 'tambah', 'lautaro', 'top', 'skor', 'argentina', 'selama', 'kualifikasi']</t>
  </si>
  <si>
    <t>Penonton liga jelek sosoan ngomen final pildun jelek. Liga yg penontonnya masi suka ga trima klo kalah kok komen2 sie mniez</t>
  </si>
  <si>
    <t>penonton liga jelek sosoan ngomen final pildun jelek liga penontonnya masi suka trima klo kalah kok komen sie mniez</t>
  </si>
  <si>
    <t>['penonton', 'liga', 'jelek', 'sosoan', 'ngomen', 'final', 'piala dunia', 'jelek', 'liga', 'penontonnya', 'masi', 'suka', 'trima', 'kalah', 'kok', 'komen', 'sie', 'mniez']</t>
  </si>
  <si>
    <t>Episode blue lock minggu ini sepertinya menggambarkan final pildun  https://t.co/AOiz0upb19</t>
  </si>
  <si>
    <t>episode blue lock minggu ini sepertinya menggambarkan final pildun</t>
  </si>
  <si>
    <t>['episode', 'blue', 'lock', 'minggu', 'sepertinya', 'menggambarkan', 'final', 'piala dunia']</t>
  </si>
  <si>
    <t>tidur jam 3 gegara final pildun, subuh hrs bangun lg buat masak trs ke kantor wkwk #ecakurangtidur</t>
  </si>
  <si>
    <t>tidur jam gegara final pildun subuh hrs bangun buat masak trs kantor wkwk</t>
  </si>
  <si>
    <t>['tidur', 'jam', 'gegara', 'final', 'piala dunia', 'subuh', 'hrs', 'bangun', 'buat', 'masak', 'terus', 'kantor']</t>
  </si>
  <si>
    <t>final pildun ter debest semalem, terharu, senang beh, kalau km ngerti bola dan melewatkan pertandingan final ini fix km akan menyesal seumur hidupüò≠üò≠üò≠</t>
  </si>
  <si>
    <t>final pildun ter debest semalem terharu senang beh kalau ngerti bola dan melewatkan pertandingan final ini fix akan menyesal seumur hidup</t>
  </si>
  <si>
    <t>['final', 'piala dunia', 'ter', 'debest', 'semalam', 'terharu', 'senang', 'beh', 'kalau', 'ngerti', 'bola', 'melewatkan', 'pertandingan', 'final', 'fix', 'menyesal', 'seumur', 'hidup']</t>
  </si>
  <si>
    <t>Definisi berjuang sendirian itu ya nnton Final Pildun 2022</t>
  </si>
  <si>
    <t>definisi berjuang sendirian itu nnton final pildun</t>
  </si>
  <si>
    <t>['definisi', 'berjuang', 'sendirian', 'nnton', 'final', 'piala dunia']</t>
  </si>
  <si>
    <t>@ekaliajajodoh @convomfs Emangnya udh nonton final pildun brapa kali mba sampe ratenya segitu?</t>
  </si>
  <si>
    <t>emangnya udh nonton final pildun brapa kali mba sampe ratenya segitu</t>
  </si>
  <si>
    <t>['emangnya', 'sudah', 'nonton', 'final', 'piala dunia', 'brapa', 'kali', 'mba', 'sampai', 'ratenya', 'segitu']</t>
  </si>
  <si>
    <t>ga kober ndelok final pildun soale murrrusssss sampe lemes</t>
  </si>
  <si>
    <t>kober ndelok final pildun soale murrrusssss sampe lemes</t>
  </si>
  <si>
    <t>['kober', 'ndelok', 'final', 'piala dunia', 'soale', 'murrrusssss', 'sampai', 'lemes']</t>
  </si>
  <si>
    <t>Dibalik itu smua gua pernah ngalamin yg namanya rungkad di euro kmaren utgnya di final gua menang, dri situ gua bljr baca pasar bola negara hasilnya ini deh pildun ini kemenangan gua 85-90% msih ada match pildun yg menang tp ga gua post mlesüï∫</t>
  </si>
  <si>
    <t>dibalik itu smua gua pernah ngalamin namanya rungkad euro kmaren utgnya final gua menang dri situ gua bljr baca pasar bola negara hasilnya ini deh pildun ini kemenangan gua msih ada match pildun menang gua post mles</t>
  </si>
  <si>
    <t>['dibalik', 'smua', 'gua', 'pernah', 'ngalamin', 'namanya', 'rungkad', 'euro', 'kmaren', 'utgnya', 'final', 'gua', 'menang', 'dri', 'situ', 'gua', 'bljr', 'baca', 'pasar', 'bola', 'negara', 'hasilnya', 'deh', 'piala dunia', 'kemenangan', 'gua', 'msih', 'match', 'piala dunia', 'menang', 'gua', 'post', 'mles']</t>
  </si>
  <si>
    <t>ini orang orang dikantor mengeluhnya ngantukm habis pada nobar final pildun, yaa aku juga wkwk :")</t>
  </si>
  <si>
    <t>ini orang orang dikantor mengeluhnya ngantukm habis pada nobar final pildun yaa aku juga wkwk</t>
  </si>
  <si>
    <t>['orang', 'orang', 'dikantor', 'mengeluhnya', 'ngantukm', 'habis', 'nonton bareng', 'final', 'piala dunia', 'ya', 'aku']</t>
  </si>
  <si>
    <t>Semalam ntn Final Pildun tu sebenarnya netral tp agak condong dikit ke France, pas babak 1 kalah 2-0 matiin TV, chating ama temen2 bilang ya siapa tahu plot twist, pas subuh tahu Argent yg menang tp penuh drama mana pakai adu pinalti..jd nyesel woiii gw gak ntn üòÖü§£ü§£</t>
  </si>
  <si>
    <t>semalam ntn final pildun sebenarnya netral agak condong dikit france pas babak kalah matiin chating ama temen bilang siapa tahu plot twist pas subuh tahu argent menang penuh drama mana pakai adu pinalti nyesel woiii gak ntn</t>
  </si>
  <si>
    <t>['semalam', 'ntn', 'final', 'piala dunia', 'sebenarnya', 'netral', 'condong', 'dikit', 'france', 'pas', 'babak', 'kalah', 'matiin', 'chating', 'ama', 'temen', 'siapa', 'tahu', 'plot', 'twist', 'pas', 'subuh', 'tahu', 'argent', 'menang', 'penuh', 'drama', 'mana', 'pakai', 'adu', 'penalti', 'nyesel', 'woiii', 'ntn']</t>
  </si>
  <si>
    <t>sekarang ngantuk banget gara gara nonton final pildun, udah skip skincare malem nonton france etaunya kalahüòå‚ò∫Ô∏è</t>
  </si>
  <si>
    <t>sekarang ngantuk banget gara gara nonton final pildun udah skip skincare malem nonton france etaunya kalah</t>
  </si>
  <si>
    <t>['sekarang', 'ngantuk', 'banget', 'gara', 'gara', 'nonton', 'final', 'piala dunia', 'udah', 'skip', 'skincare', 'malem', 'nonton', 'france', 'etaunya', 'kalah']</t>
  </si>
  <si>
    <t>@convomfs ngga tuh. yang lain nobar final pildun,gw wiken seharian kelonan ma suami tuhü§≠</t>
  </si>
  <si>
    <t>ngga tuh yang lain nobar final pildun wiken seharian kelonan suami tuh</t>
  </si>
  <si>
    <t>['ngga', 'nonton bareng', 'final', 'piala dunia', 'wiken', 'seharian', 'kelonan', 'suami']</t>
  </si>
  <si>
    <t>Hahaha apa aing doang yg ga nnton final pildun ampe kudet argentina juara</t>
  </si>
  <si>
    <t>hahaha apa aing doang nnton final pildun ampe kudet argentina juara</t>
  </si>
  <si>
    <t>['hahaha', 'apa', 'aing', 'doang', 'nnton', 'final', 'piala dunia', 'sampai', 'kudet', 'argentina', 'juara']</t>
  </si>
  <si>
    <t>@NarasiNewsroom @FIFAWorldCup ga sia¬≤ ngefavoritin messi sedari awal pildun 2022, min.  entertainment, adrenaline rush, tense, dramatic. u name it during the final game.  finally, magical messi la pulga deserves to be one of the goat of football. mission</t>
  </si>
  <si>
    <t>sia ngefavoritin messi sedari awal pildun min entertainment adrenaline rush tense dramatic name during the final game finally magical messi pulga deserves one the goat football mission</t>
  </si>
  <si>
    <t>['sia', 'ngefavoritin', 'messi', 'sedari', 'awal', 'piala dunia', 'min', 'entertainment', 'adrenaline', 'rush', 'tense', 'dramatic', 'name', 'during', 'the', 'final', 'game', 'finally', 'magical', 'messi', 'pulga', 'deserves', 'one', 'the', 'goat', 'football', 'mission']</t>
  </si>
  <si>
    <t>@ScherazadeMS Kamu ketinggalan final pildun paling seru mbak</t>
  </si>
  <si>
    <t>kamu ketinggalan final pildun paling seru mbak</t>
  </si>
  <si>
    <t>['kamu', 'ketinggalan', 'final', 'piala dunia', 'paling', 'seru', 'mbak']</t>
  </si>
  <si>
    <t>@convomfs t-tapi final pildun semalem seru bgt jd worth to watch gitu XIXIXI</t>
  </si>
  <si>
    <t>tapi final pildun semalem seru bgt worth watch gitu xixixi</t>
  </si>
  <si>
    <t>['final', 'piala dunia', 'semalam', 'seru', 'banget', 'worth', 'watch', 'gitu', 'xixixi']</t>
  </si>
  <si>
    <t>ini adalah skenario sepakbola paling klimaks untuk pendukung messi. sudah terlalu banyak kegagalan kegagalan messi, kalah final pildun 2014, kalah copa america berkali kali, sampe titik terendahnya adalah pensiun, foto nangis kekalahan messi dan balik lagi.</t>
  </si>
  <si>
    <t>ini adalah skenario sepakbola paling klimaks untuk pendukung messi sudah terlalu banyak kegagalan kegagalan messi kalah final pildun kalah copa america berkali kali sampe titik terendahnya adalah pensiun foto nangis kekalahan messi dan balik lagi</t>
  </si>
  <si>
    <t>['skenario', 'sepakbola', 'paling', 'klimaks', 'pendukung', 'messi', 'terlalu', 'banyak', 'kegagalan', 'kegagalan', 'messi', 'kalah', 'final', 'piala dunia', 'kalah', 'copa', 'america', 'berkali', 'kali', 'sampai', 'titik', 'terendahnya', 'pensiun', 'foto', 'nangis', 'kekalahan', 'messi', 'balik']</t>
  </si>
  <si>
    <t>Suka nonton bola cuma final pildun itulah aku.</t>
  </si>
  <si>
    <t>suka nonton bola cuma final pildun itulah aku</t>
  </si>
  <si>
    <t>['suka', 'nonton', 'bola', 'cuma', 'final', 'piala dunia', 'aku']</t>
  </si>
  <si>
    <t>Cok mbappe umur 23 hattrick di final pildun, 4 taun sebelumnya udah ngangkat piala lagi</t>
  </si>
  <si>
    <t>cok mbappe umur hattrick final pildun taun sebelumnya udah ngangkat piala lagi</t>
  </si>
  <si>
    <t>['cok', 'mbappe', 'umur', 'hattrick', 'final', 'piala dunia', 'taun', 'sebelumnya', 'udah', 'ngangkat', 'piala']</t>
  </si>
  <si>
    <t>Uas Tidak Perlu nonton final pildun nomer satu üòÖüôè</t>
  </si>
  <si>
    <t>uas tidak perlu nonton final pildun nomer satu</t>
  </si>
  <si>
    <t>['uas', 'perlu', 'nonton', 'final', 'piala dunia', 'nomer', 'satu']</t>
  </si>
  <si>
    <t>@FaktaSepakbola walau lm10 raih pildun ttp cr7 yg terbaik krn gk prnh kalah di final pildun  https://t.co/mnO1QGlmda</t>
  </si>
  <si>
    <t>walau raih pildun ttp terbaik krn prnh kalah final pildun</t>
  </si>
  <si>
    <t>['raih', 'piala dunia', 'ttp', 'terbaik', 'prnh', 'kalah', 'final', 'piala dunia']</t>
  </si>
  <si>
    <t>@idextratime walaupun lm10 raih pildun ttp yg terbaik cr7 krn gk prnh kalah di final pildun  https://t.co/mnO1QGlmda</t>
  </si>
  <si>
    <t>walaupun raih pildun ttp terbaik krn prnh kalah final pildun</t>
  </si>
  <si>
    <t>['walaupun', 'raih', 'piala dunia', 'ttp', 'terbaik', 'prnh', 'kalah', 'final', 'piala dunia']</t>
  </si>
  <si>
    <t>@Cristiano_time7 @idextratime AIWKWKWKWKWKWK MINIMAL 7 BALON DOOR,6 GOLDEN BOOT,5 MOTM WORLD CUP,2 MVP WORLD CUP,MASOK FINAL 2x PLUS JUARA PILDUN LA DEK BARU MAU NYENGGOL MESSIü§≠ü§´ YAKIN PENALDOG MAU NYENGGOL MESSI GATAKUT MALU LAGI APA AJJENG</t>
  </si>
  <si>
    <t>time aiwkwkwkwkwkwk minimal balon door golden boot motm world cup mvp world cup masok final plus juara pildun dek baru mau nyenggol messi yakin penaldog mau nyenggol messi gatakut malu lagi apa ajjeng</t>
  </si>
  <si>
    <t>['time', 'aiwkwkwkwkwkwk', 'minimal', 'balon', 'door', 'golden', 'boot', 'motm', 'world', 'cup', 'mvp', 'world', 'cup', 'masok', 'final', 'plus', 'juara', 'piala dunia', 'dek', 'baru', 'mau', 'nyenggol', 'messi', 'yakin', 'penaldog', 'mau', 'nyenggol', 'messi', 'gatakut', 'malu', 'apa', 'ajjeng']</t>
  </si>
  <si>
    <t>@Uthaismyname @benakribo Iya habis ikut closing ceremony final pildun ya</t>
  </si>
  <si>
    <t>iya habis ikut closing ceremony final pildun</t>
  </si>
  <si>
    <t>['iya', 'habis', 'ikut', 'closing', 'ceremony', 'final', 'piala dunia']</t>
  </si>
  <si>
    <t>Final Pildun 2018 juga hujan gol</t>
  </si>
  <si>
    <t>final pildun juga hujan gol</t>
  </si>
  <si>
    <t>['final', 'piala dunia', 'hujan', 'gol']</t>
  </si>
  <si>
    <t>padahall argen well deserve bngt pildun kali ini semenjak kalah dri arab maennya cukup stabil sampe final tadi gua juga terheran heran sekelas perancis ampe g dikasih shoot sama sekali</t>
  </si>
  <si>
    <t>padahall argen well deserve bngt pildun kali ini semenjak kalah dri arab maennya cukup stabil sampe final tadi gua juga terheran heran sekelas perancis ampe dikasih shoot sama sekali</t>
  </si>
  <si>
    <t>['padahall', 'argen', 'well', 'deserve', 'bngt', 'piala dunia', 'kali', 'semenjak', 'kalah', 'dri', 'arab', 'maennya', 'cukup', 'stabil', 'sampai', 'final', 'tadi', 'gua', 'terheran', 'heran', 'sekelas', 'perancis', 'sampai', 'dikasih', 'shoot', 'sama', 'sekali']</t>
  </si>
  <si>
    <t>Final PilDun emg keren tibaknya üòéüòÅ  Ini lagi liat siaran ulangnya Gol Messi k3 ü§ôüèªü§ôüèªü§ôüèªüíú</t>
  </si>
  <si>
    <t>final pildun emg keren tibaknya ini lagi liat siaran ulangnya gol messi</t>
  </si>
  <si>
    <t>['final', 'piala dunia', 'memang', 'keren', 'tibaknya', 'lihat', 'siaran', 'ulangnya', 'gol', 'messi']</t>
  </si>
  <si>
    <t>@Seputar_LFC Sudah bagus bagus ini nonton final pildun yg seru dan enak dinikmati. Balik lagi ke liga inggris, jan sampai main ngaco yah pul..</t>
  </si>
  <si>
    <t>lfc sudah bagus bagus ini nonton final pildun seru dan enak dinikmati balik lagi liga inggris jan sampai main ngaco yah pul</t>
  </si>
  <si>
    <t>['lfc', 'bagus', 'bagus', 'nonton', 'final', 'piala dunia', 'seru', 'enak', 'dinikmati', 'balik', 'liga', 'inggris', 'jan', 'main', 'ngaco', 'pul']</t>
  </si>
  <si>
    <t>Ahiya kmrn nonton ini sambil nunggu final pildun. Super kocak dan action-nya oke banget. Salut bgt film ini keren dan 2.5 jam gak berasa lama. ü§£ü§£ü§£üëçüëçüëçüëçüëç</t>
  </si>
  <si>
    <t>ahiya kmrn nonton ini sambil nunggu final pildun super kocak dan action nya oke banget salut bgt film ini keren dan jam gak berasa lama</t>
  </si>
  <si>
    <t>['ahiya', 'kmrn', 'nonton', 'nunggu', 'final', 'piala dunia', 'super', 'kocak', 'action', 'oke', 'banget', 'salut', 'banget', 'film', 'keren', 'jam', 'berasa', 'lama']</t>
  </si>
  <si>
    <t>@Gerindra Final pildun semalem dukung siapa min?</t>
  </si>
  <si>
    <t>final pildun semalem dukung siapa min</t>
  </si>
  <si>
    <t>['final', 'piala dunia', 'semalam', 'dukung', 'siapa', 'min']</t>
  </si>
  <si>
    <t>@Askrlfess loyo, ngantuk. ggr nonton final pildun semalem</t>
  </si>
  <si>
    <t>loyo ngantuk ggr nonton final pildun semalem</t>
  </si>
  <si>
    <t>['loyo', 'ngantuk', 'ggr', 'nonton', 'final', 'piala dunia', 'semalam']</t>
  </si>
  <si>
    <t>@me_loneee @realmadridindo1 iya bang gua akuin pedri udah masuk final pildun 10 kali, kalah cuanmani itu, ampun bang</t>
  </si>
  <si>
    <t>loneee iya bang gua akuin pedri udah masuk final pildun kali kalah cuanmani itu ampun bang</t>
  </si>
  <si>
    <t>['loneee', 'iya', 'bang', 'gua', 'akuin', 'pedri', 'udah', 'masuk', 'final', 'piala dunia', 'kali', 'kalah', 'cuanmani', 'ampun', 'bang']</t>
  </si>
  <si>
    <t>Keren bgt kai udah tebak dri thn lalu pildun ini yg masuk final antara argentina, prancis sm brazil dan 2 diantara nya bnrn masuk wkwkw idolanya, messi disitu jga menang üòÜ semalam nangis ga ya dia üòÇüòÇ  https://t.co/TlI3jPp0vP</t>
  </si>
  <si>
    <t>keren bgt kai udah tebak dri thn lalu pildun ini masuk final antara argentina prancis brazil dan diantara nya bnrn masuk wkwkw idolanya messi disitu jga menang semalam nangis dia</t>
  </si>
  <si>
    <t>['keren', 'banget', 'kai', 'udah', 'tebak', 'dri', 'thn', 'lalu', 'piala dunia', 'masuk', 'final', 'argentina', 'prancis', 'brazil', 'diantara', 'bnrn', 'masuk', 'wkwkw', 'idolanya', 'messi', 'disitu', 'jga', 'menang', 'semalam', 'nangis']</t>
  </si>
  <si>
    <t>@badidding GUE SEMALAM NONTONIN FANCAM (jiakh fancam) GUESUNG DIBANDING FINAL PILDUN</t>
  </si>
  <si>
    <t>gue semalam nontonin fancam jiakh fancam guesung dibanding final pildun</t>
  </si>
  <si>
    <t>['gue', 'semalam', 'nontonin', 'fancam', 'jiakh', 'fancam', 'guesung', 'dibanding', 'final', 'piala dunia']</t>
  </si>
  <si>
    <t>Enak juga final pildun netral, ga terlalu deg2an, siapapun yg menang ikut seneng üòÇ</t>
  </si>
  <si>
    <t>enak juga final pildun netral terlalu deg siapapun menang ikut seneng</t>
  </si>
  <si>
    <t>['enak', 'final', 'piala dunia', 'netral', 'terlalu', 'deg', 'siapapun', 'menang', 'ikut', 'seneng']</t>
  </si>
  <si>
    <t>de paul ini gua rasa demam panggung, karna dia kalo dipress dikit langsung jatoh, padahal ga diapa-apain anjgüò≠üò≠ cuma ya wajar lah ya, itu final pildun. tangan dingin kaki geter pasti wkwkwk</t>
  </si>
  <si>
    <t>paul ini gua rasa demam panggung karna dia kalo dipress dikit langsung jatoh padahal diapa apain anjg cuma wajar lah itu final pildun tangan dingin kaki geter pasti wkwkwk</t>
  </si>
  <si>
    <t>['paul', 'gua', 'rasa', 'demam', 'panggung', 'karna', 'dipress', 'dikit', 'langsung', 'jatoh', 'padahal', 'diapa', 'apain', 'anjg', 'cuma', 'wajar', 'lah', 'final', 'piala dunia', 'tangan', 'dingin', 'kaki', 'geter', 'wkwkwk']</t>
  </si>
  <si>
    <t>@idextratime Partai final terbaik semenjak nonton pildun 1986</t>
  </si>
  <si>
    <t>partai final terbaik semenjak nonton pildun</t>
  </si>
  <si>
    <t>['partai', 'final', 'terbaik', 'semenjak', 'nonton', 'piala dunia']</t>
  </si>
  <si>
    <t>Ferdy Sambo semalem nonton final Pildun gak, ya? ü§î</t>
  </si>
  <si>
    <t>ferdy sambo semalem nonton final pildun gak</t>
  </si>
  <si>
    <t>['ferdy', 'sambo', 'semalam', 'nonton', 'final', 'piala dunia']</t>
  </si>
  <si>
    <t>Pemain prancis yg main malam tadi banyak yg golden age di pildun 2026. Masuk final lagi keknya next World Cup</t>
  </si>
  <si>
    <t>pemain prancis main malam tadi banyak golden age pildun masuk final lagi keknya next world cup</t>
  </si>
  <si>
    <t>['pemain', 'prancis', 'main', 'malam', 'tadi', 'banyak', 'golden', 'age', 'piala dunia', 'masuk', 'final', 'sepertinya', 'next', 'world', 'cup']</t>
  </si>
  <si>
    <t>Final pildun paling seru tahun 2022 di Qatar, dan kita dipertunjukkan tontonan yg tidak membosankan sd akhir peluit panjang dibunyikan  #FIFAWorldCup  #WorldCupFinal  #ArgentinaVsFrance  #VamosArgentina  #ArgentinaCampeon</t>
  </si>
  <si>
    <t>final pildun paling seru tahun qatar dan kita dipertunjukkan tontonan tidak membosankan akhir peluit panjang dibunyikan</t>
  </si>
  <si>
    <t>['final', 'piala dunia', 'paling', 'seru', 'tahun', 'qatar', 'dipertunjukkan', 'tontonan', 'membosankan', 'akhir', 'peluit', 'panjang', 'dibunyikan']</t>
  </si>
  <si>
    <t>setelah final pildun semalem keliatan mana yg jadi kaya mendadak wkwkwk</t>
  </si>
  <si>
    <t>setelah final pildun semalem keliatan mana jadi kaya mendadak wkwkwk</t>
  </si>
  <si>
    <t>['final', 'piala dunia', 'semalam', 'keliatan', 'mana', 'jadi', 'kaya', 'mendadak', 'wkwkwk']</t>
  </si>
  <si>
    <t>@convomfs aku cewe juga, tp mmf mbak, INI FINAL PILDUNüò≠üò≠‚òùüèª‚òùüèª</t>
  </si>
  <si>
    <t>aku cewe juga mmf mbak ini final pildun</t>
  </si>
  <si>
    <t>['aku', 'cewe', 'mmf', 'mbak', 'final', 'piala dunia']</t>
  </si>
  <si>
    <t>@bintangemon Lebih rame final pildun daripada final suca, garing</t>
  </si>
  <si>
    <t>lebih rame final pildun daripada final suca garing</t>
  </si>
  <si>
    <t>['lebih', 'ramai', 'final', 'piala dunia', 'final', 'suca', 'garing']</t>
  </si>
  <si>
    <t>@alexasaffira Wajarlah klo France kalah di Final Pildun, Krn Pemain France bukan asli orang Eropa. Pemainnya Kebanyakan 99% Impor dari Afrika. ü§£ü§£</t>
  </si>
  <si>
    <t>wajarlah klo france kalah final pildun krn pemain france bukan asli orang eropa pemainnya kebanyakan impor dari afrika</t>
  </si>
  <si>
    <t>['wajarlah', 'france', 'kalah', 'final', 'piala dunia', 'pemain', 'france', 'bukan', 'asli', 'orang', 'eropa', 'pemainnya', 'kebanyakan', 'impor', 'afrika']</t>
  </si>
  <si>
    <t>Tp final pildun lbih seru dari final suca lho bang üôèüèª</t>
  </si>
  <si>
    <t>final pildun lbih seru dari final suca lho bang</t>
  </si>
  <si>
    <t>['final', 'piala dunia', 'lbih', 'seru', 'final', 'suca', 'lho', 'bang']</t>
  </si>
  <si>
    <t>bukannya fomo atau apa tp baru kmrn nonton live pertandingan pildun final sm deda dan ternyata seru wkwk nyesel knp ga dr kmrn kmrn aja nonton huhu gue ngiranya sepakbola tuh persib persija, tawuran gt anjg tolol lah pemikiran gue</t>
  </si>
  <si>
    <t>bukannya fomo atau apa baru kmrn nonton live pertandingan pildun final deda dan ternyata seru wkwk nyesel knp kmrn kmrn aja nonton huhu gue ngiranya sepakbola tuh persib persija tawuran anjg tolol lah pemikiran gue</t>
  </si>
  <si>
    <t>['bukannya', 'fomo', 'apa', 'baru', 'kmrn', 'nonton', 'live', 'pertandingan', 'piala dunia', 'final', 'deda', 'ternyata', 'seru', 'nyesel', 'kenapa', 'kmrn', 'kmrn', 'nonton', 'huhu', 'gue', 'ngiranya', 'sepakbola', 'persib', 'persija', 'tawuran', 'anjg', 'tolol', 'lah', 'pemikiran', 'gue']</t>
  </si>
  <si>
    <t>Tensi gw naik tadi malem. Final tergila dari 5 pildun yang gw ikutin</t>
  </si>
  <si>
    <t>tensi naik tadi malem final tergila dari pildun yang ikutin</t>
  </si>
  <si>
    <t>['tensi', 'naik', 'tadi', 'malem', 'final', 'tergila', 'piala dunia', 'ikutin']</t>
  </si>
  <si>
    <t>Jalin Silaturahmi dan Jaga Kamtibmas, Polsek Batuaji Gelar Nobar Final Pildun  https://t.co/rCwmmFxAvJ</t>
  </si>
  <si>
    <t>jalin silaturahmi dan jaga kamtibmas polsek batuaji gelar nobar final pildun</t>
  </si>
  <si>
    <t>['jalin', 'silaturahmi', 'jaga', 'kamtibmas', 'polsek', 'batuaji', 'gelar', 'nonton bareng', 'final', 'piala dunia']</t>
  </si>
  <si>
    <t>Lagi nungguin data nih, berapa banyak perputaran uang final PILDUN hihi..</t>
  </si>
  <si>
    <t>lagi nungguin data nih berapa banyak perputaran uang final pildun hihi</t>
  </si>
  <si>
    <t>['nungguin', 'data', 'berapa', 'banyak', 'perputaran', 'uang', 'final', 'piala dunia', 'hihi']</t>
  </si>
  <si>
    <t>efek semalem nonton final pildun, senin ini luar biasa berat mata‚Ä¶ untung rame!</t>
  </si>
  <si>
    <t>efek semalem nonton final pildun senin ini luar biasa berat mata untung rame</t>
  </si>
  <si>
    <t>['efek', 'semalam', 'nonton', 'final', 'piala dunia', 'senin', 'luar', 'biasa', 'berat', 'mata', 'untung', 'ramai']</t>
  </si>
  <si>
    <t>@ShofiPhoti @SerieA_Lawas @IFTVofficial Kalau mau ke final pildun minimal ada pemain internya üòÅ</t>
  </si>
  <si>
    <t>lawas kalau mau final pildun minimal ada pemain internya</t>
  </si>
  <si>
    <t>['lawas', 'kalau', 'mau', 'final', 'piala dunia', 'minimal', 'pemain', 'internya']</t>
  </si>
  <si>
    <t>bah judi dipildun kah maksutnya drake (15,3 m kalo masuk final) (42 kalo juara pildun)</t>
  </si>
  <si>
    <t>bah judi dipildun kah maksutnya drake kalo masuk final kalo juara pildun</t>
  </si>
  <si>
    <t>['bah', 'judi', 'dipildun', 'maksutnya', 'drake', 'masuk', 'final', 'juara', 'piala dunia']</t>
  </si>
  <si>
    <t>Opo mek aku thok warga jamaah twiteriyah sing ga ndelok final pildun üòÅ</t>
  </si>
  <si>
    <t>opo mek aku thok warga jamaah twiteriyah sing ndelok final pildun</t>
  </si>
  <si>
    <t>['opo', 'mek', 'aku', 'thok', 'warga', 'jamaah', 'twiteriyah', 'sing', 'ndelok', 'final', 'piala dunia']</t>
  </si>
  <si>
    <t>Masih terngiang ngiang suasana final pildun ü´†</t>
  </si>
  <si>
    <t>masih terngiang ngiang suasana final pildun</t>
  </si>
  <si>
    <t>['terngiang', 'ngiang', 'suasana', 'final', 'piala dunia']</t>
  </si>
  <si>
    <t>@bintangemon ya seruan final pildun sih ketimbang final suca ü§£ü§£ü§£</t>
  </si>
  <si>
    <t>seruan final pildun sih ketimbang final suca</t>
  </si>
  <si>
    <t>['seruan', 'final', 'piala dunia', 'ketimbang', 'final', 'suca']</t>
  </si>
  <si>
    <t>@CNNIndonesia Menjelang final banyak warga Argentina baik yg muslim dan non muslim dgn spontan ber-bondong2 masuk kedalam Masjid sambil berdoa ternyata doanya dijabah Alloh Argentina juara pildun 2022</t>
  </si>
  <si>
    <t>menjelang final banyak warga argentina baik muslim dan non muslim dgn spontan ber bondong masuk kedalam masjid sambil berdoa ternyata doanya dijabah alloh argentina juara pildun</t>
  </si>
  <si>
    <t>['menjelang', 'final', 'banyak', 'warga', 'argentina', 'baik', 'muslim', 'non', 'muslim', 'spontan', 'ber', 'bondong', 'masuk', 'kedalam', 'masjid', 'berdoa', 'ternyata', 'doanya', 'dijabah', 'alloh', 'argentina', 'juara', 'piala dunia']</t>
  </si>
  <si>
    <t>Memasuki waktu bagian mengulang pertandingan final pildun semalem secara verbal di kantor üòÇ</t>
  </si>
  <si>
    <t>memasuki waktu bagian mengulang pertandingan final pildun semalem secara verbal kantor</t>
  </si>
  <si>
    <t>['memasuki', 'waktu', 'bagian', 'mengulang', 'pertandingan', 'final', 'piala dunia', 'semalam', 'verbal', 'kantor']</t>
  </si>
  <si>
    <t>@UcupCarrick Emang kaga level ini bang ucup ngobrol sama kite‚Ä¶ gatau nyari engagement atau gmana masa ego. 3x deschamps di final pildun nih ü•π</t>
  </si>
  <si>
    <t>emang kaga level ini bang ucup ngobrol sama kite gatau nyari engagement atau gmana masa ego deschamps final pildun nih</t>
  </si>
  <si>
    <t>['emang', 'kaga', 'level', 'bang', 'ucup', 'ngobrol', 'sama', 'kite', 'gatau', 'nyari', 'engagement', 'gmana', 'masa', 'ego', 'deschamps', 'final', 'piala dunia']</t>
  </si>
  <si>
    <t>GG Prancis  GG Argen  Final termantap sepanjang nonton Pildun... sayangnya buka Oranda yang Final...</t>
  </si>
  <si>
    <t>prancis argen final termantap sepanjang nonton pildun sayangnya buka oranda yang final</t>
  </si>
  <si>
    <t>['prancis', 'argen', 'final', 'termantap', 'sepanjang', 'nonton', 'piala dunia', 'sayangnya', 'buka', 'oranda', 'final']</t>
  </si>
  <si>
    <t>@vidio Sempet ngalamin mau nonton persib ngebelain beli dulu paketnya vidio malah ribet banyak drama, penonton persib yg "ga seberapa" aja servernya payah, apalagi ini final pildun Untung sahabat sctv finalnya üòÇ</t>
  </si>
  <si>
    <t>sempet ngalamin mau nonton persib ngebelain beli dulu paketnya vidio malah ribet banyak drama penonton persib seberapa aja servernya payah apalagi ini final pildun untung sahabat sctv finalnya</t>
  </si>
  <si>
    <t>['sempet', 'ngalamin', 'mau', 'nonton', 'persib', 'ngebelain', 'beli', 'dulu', 'paketnya', 'vidio', 'malah', 'ribet', 'banyak', 'drama', 'penonton', 'persib', 'seberapa', 'servernya', 'payah', 'final', 'piala dunia', 'untung', 'sahabat', 'sctv', 'finalnya']</t>
  </si>
  <si>
    <t>@alysfr_ Kalo ga salah, waktu dia ngetweet ini, tanggal final pildun udah keluar dan udah fix. Sampe sekarang tanggalnya ga berubah, dan mungkin aja dia sekedar pendukung Argentina/Messi. Messi taun itu juga udah duel sama CR buat jadi GOAT, make sense si</t>
  </si>
  <si>
    <t>kalo salah waktu dia ngetweet ini tanggal final pildun udah keluar dan udah fix sampe sekarang tanggalnya berubah dan mungkin aja dia sekedar pendukung argentina messi messi taun itu juga udah duel sama buat jadi goat make sense</t>
  </si>
  <si>
    <t>['salah', 'waktu', 'ngetweet', 'tanggal', 'final', 'piala dunia', 'udah', 'keluar', 'udah', 'fix', 'sampai', 'sekarang', 'tanggalnya', 'berubah', 'mungkin', 'sekedar', 'pendukung', 'argentina', 'messi', 'messi', 'taun', 'udah', 'duel', 'sama', 'buat', 'jadi', 'goat', 'make', 'sense']</t>
  </si>
  <si>
    <t>@seojimkim04 Gausa harap banyak dari orang edgy, opininya harus selalu paling beda dan kontroversial. Paling selain final semalem ga pernah nonton pildun tuh orang ü§°</t>
  </si>
  <si>
    <t>gausa harap banyak dari orang edgy opininya harus selalu paling beda dan kontroversial paling selain final semalem pernah nonton pildun tuh orang</t>
  </si>
  <si>
    <t>['gausa', 'harap', 'banyak', 'orang', 'edgy', 'opininya', 'selalu', 'paling', 'beda', 'kontroversial', 'paling', 'final', 'semalam', 'pernah', 'nonton', 'piala dunia', 'orang']</t>
  </si>
  <si>
    <t>bisa aja tuhan emg kasi tonton final pildun terbaik krna bntar lgi kiamat</t>
  </si>
  <si>
    <t>['tuhan', 'memang', 'kasi', 'tonton', 'final', 'piala dunia', 'terbaik', 'krna', 'bntar', 'lgi', 'kiamat']</t>
  </si>
  <si>
    <t>@welldrone pagi kak saya wts tiket final pildun day 3. dm aj kalo minat</t>
  </si>
  <si>
    <t>pagi kak saya wts tiket final pildun day kalo minat</t>
  </si>
  <si>
    <t>['pagi', 'kak', 'wts', 'tiket', 'final', 'piala dunia', 'day', 'minat']</t>
  </si>
  <si>
    <t>Tah eta! Td pagi jalanan kosong melompong. Sangat tidak wajar untuk hari Senin di Jakarta. Masa pada telat ngantor gara-gara final pildun üòÇ</t>
  </si>
  <si>
    <t>tah eta pagi jalanan kosong melompong sangat tidak wajar untuk hari senin jakarta masa pada telat ngantor gara gara final pildun</t>
  </si>
  <si>
    <t>['tah', 'eta', 'pagi', 'jalanan', 'kosong', 'melompong', 'sangat', 'wajar', 'hari', 'senin', 'jakarta', 'masa', 'telat', 'ngantor', 'gara', 'gara', 'final', 'piala dunia']</t>
  </si>
  <si>
    <t>final pildun semalem kacau banget detak jantung sampe ga beraturan</t>
  </si>
  <si>
    <t>final pildun semalem kacau banget detak jantung sampe beraturan</t>
  </si>
  <si>
    <t>['final', 'piala dunia', 'semalam', 'kacau', 'banget', 'detak', 'jantung', 'sampai', 'beraturan']</t>
  </si>
  <si>
    <t>Secara tidak sadar bahwa final pildun akhirnya membawa dikotomi di grup keluarga saya  Akhirnya grup keluarga saya toxic juga  Pic berisi salah satu contoh  https://t.co/kjE22nrnqT</t>
  </si>
  <si>
    <t>secara tidak sadar bahwa final pildun akhirnya membawa dikotomi grup keluarga saya akhirnya grup keluarga saya toxic juga pic berisi salah satu contoh</t>
  </si>
  <si>
    <t>['sadar', 'final', 'piala dunia', 'akhirnya', 'membawa', 'dikotomi', 'grup', 'keluarga', 'akhirnya', 'grup', 'keluarga', 'toxic', 'pic', 'berisi', 'salah', 'satu', 'contoh']</t>
  </si>
  <si>
    <t>Tebak juara final pildun, yg menang boleh co barang.  Tapi monmaap kenapa jadi yg menang harganya yg paling murah yaa dibanding yg kalahü´†</t>
  </si>
  <si>
    <t>tebak juara final pildun menang boleh barang tapi monmaap kenapa jadi menang harganya paling murah yaa dibanding kalah</t>
  </si>
  <si>
    <t>['tebak', 'juara', 'final', 'piala dunia', 'menang', 'barang', 'monmaap', 'jadi', 'menang', 'harganya', 'paling', 'murah', 'ya', 'dibanding', 'kalah']</t>
  </si>
  <si>
    <t>@aimrod Salah satu momen shitpost final pildun, best final ever</t>
  </si>
  <si>
    <t>salah satu momen shitpost final pildun best final ever</t>
  </si>
  <si>
    <t>['salah', 'satu', 'momen', 'shitpost', 'final', 'piala dunia', 'best', 'final', 'ever']</t>
  </si>
  <si>
    <t>Sejak pertama kali nonton Pildun tahun 2010, tidak ada final setegang dan semenarik final 2022. Bener-bener final ideal.</t>
  </si>
  <si>
    <t>sejak pertama kali nonton pildun tahun tidak ada final setegang dan semenarik final bener bener final ideal</t>
  </si>
  <si>
    <t>['sejak', 'pertama', 'kali', 'nonton', 'piala dunia', 'tahun', 'final', 'setegang', 'semenarik', 'final', 'benar', 'benar', 'final', 'ideal']</t>
  </si>
  <si>
    <t>@simamaung Tibra miiin, dugika hilap aya final pildun.. Jadi kangge abdi sepak bola itu persib, sanes pildunü§£</t>
  </si>
  <si>
    <t>tibra miiin dugika hilap aya final pildun jadi kangge abdi sepak bola itu persib sanes pildun</t>
  </si>
  <si>
    <t>['tibra', 'miiin', 'dugika', 'hilap', 'aya', 'final', 'piala dunia', 'jadi', 'kangge', 'abdi', 'sepak', 'bola', 'persib', 'sanes', 'piala dunia']</t>
  </si>
  <si>
    <t>Tapi waktu awal pildun kita pilih 2 negara yang bisa masuk final trus yang bener aldi doang wkwk 1 negara pilihan dia masuk finalü•≥  https://t.co/cYiIEPhC2z</t>
  </si>
  <si>
    <t>tapi waktu awal pildun kita pilih negara yang bisa masuk final trus yang bener aldi doang wkwk negara pilihan dia masuk final</t>
  </si>
  <si>
    <t>['waktu', 'awal', 'piala dunia', 'pilih', 'negara', 'masuk', 'final', 'trus', 'benar', 'aldi', 'doang', 'negara', 'pilihan', 'masuk', 'final']</t>
  </si>
  <si>
    <t>Pertama kali nobar lagi baru tahun ini pas final UCL 2022, bener aja banyak yang lebih milih nonton dari HP masing-masing, tapi ini karena force majeure juga sih. Terus nobar lagi pas Pildun ini, sama aja ternyata. Kayaknya better nobar dirumah aja. üëç</t>
  </si>
  <si>
    <t>pertama kali nobar lagi baru tahun ini pas final ucl bener aja banyak yang lebih milih nonton dari masing masing tapi ini karena force majeure juga sih terus nobar lagi pas pildun ini sama aja ternyata kayaknya better nobar dirumah aja</t>
  </si>
  <si>
    <t>['pertama', 'kali', 'nonton bareng', 'baru', 'tahun', 'pas', 'final', 'ucl', 'benar', 'banyak', 'lebih', 'milih', 'nonton', 'masing', 'masing', 'force', 'majeure', 'terus', 'nonton bareng', 'pas', 'piala dunia', 'sama', 'ternyata', 'kayaknya', 'better', 'nonton bareng', 'dirumah']</t>
  </si>
  <si>
    <t>Terlepas dari siapa yang jadi juara, #Final Pildun tadi malam adalah final yang bener-bener terbaik.</t>
  </si>
  <si>
    <t>terlepas dari siapa yang jadi juara pildun tadi malam adalah final yang bener bener terbaik</t>
  </si>
  <si>
    <t>['terlepas', 'siapa', 'jadi', 'juara', 'piala dunia', 'tadi', 'malam', 'final', 'benar', 'benar', 'terbaik']</t>
  </si>
  <si>
    <t>@Askrlfess kalo emg gak suka ya gpp lah. ngikutin pildun bukan kewajiban. cuman ketinggalan moment epic aja. soalnya final semalem beneran final terbagusssss. epic bgt</t>
  </si>
  <si>
    <t>kalo emg gak suka gpp lah ngikutin pildun bukan kewajiban cuman ketinggalan moment epic aja soalnya final semalem beneran final terbagusssss epic bgt</t>
  </si>
  <si>
    <t>['memang', 'suka', 'gapapa', 'lah', 'ngikutin', 'piala dunia', 'bukan', 'kewajiban', 'cuman', 'ketinggalan', 'moment', 'epic', 'soalnya', 'final', 'semalam', 'beneran', 'final', 'terbagusssss', 'epic', 'banget']</t>
  </si>
  <si>
    <t>saya telah mengirimkan  #shopeepaythr üßßayo, ambil di sini sebelum habis üëâüëâ   https://t.co/KrrMULULuD   messi dybala argentina penalti mbappe madrid Higuain Perancis all in france dimaria final #FIFAWorldCup ronaldo dembele pildun drake</t>
  </si>
  <si>
    <t>saya telah mengirimkan ayo ambil sini sebelum habis messi dybala argentina penalti mbappe madrid higuain perancis all france dimaria final ronaldo dembele pildun drake</t>
  </si>
  <si>
    <t>['mengirimkan', 'ayo', 'ambil', 'sini', 'habis', 'messi', 'dybala', 'argentina', 'penalti', 'mbappe', 'madrid', 'higuain', 'perancis', 'all', 'france', 'dimaria', 'final', 'ronaldo', 'dembele', 'piala dunia', 'drake']</t>
  </si>
  <si>
    <t>Edisi Senin Pagi....  Mata ngantuk efek bgadang final pildun, maag kumat, rapat pagi dan siang, gasskan lur ü§≠üòÑüòÅ @ DINSOSNAKERTRANS JOMBANG  https://t.co/423WzKfsj4</t>
  </si>
  <si>
    <t>edisi senin pagi mata ngantuk efek bgadang final pildun maag kumat rapat pagi dan siang gasskan lur dinsosnakertrans jombang</t>
  </si>
  <si>
    <t>['edisi', 'senin', 'pagi', 'mata', 'ngantuk', 'efek', 'bgadang', 'final', 'piala dunia', 'maag', 'kumat', 'rapat', 'pagi', 'siang', 'gasskan', 'lur', 'dinsosnakertrans', 'jombang']</t>
  </si>
  <si>
    <t>@hamam_fahrudin @ebong_07 @iIhamzada Wong kementus...sok2 an paling ngerti bola ya iku mas....jelas di bahas Final 2014...eee di SS Pildun 2010...g nyambung...hadeeh...</t>
  </si>
  <si>
    <t>fahrudin wong kementus sok paling ngerti bola iku mas jelas bahas final eee pildun nyambung hadeeh</t>
  </si>
  <si>
    <t>['fahrudin', 'wong', 'kementus', 'sok', 'paling', 'ngerti', 'bola', 'iku', 'mas', 'jelas', 'bahas', 'final', 'eee', 'piala dunia', 'nyambung', 'hadeeh']</t>
  </si>
  <si>
    <t>@realmadridindo1 Ada juga yg udah 37thn belom pernah ngerasain final apalagi ngangkat tropy pildun.</t>
  </si>
  <si>
    <t>ada juga udah thn belom pernah ngerasain final apalagi ngangkat tropy pildun</t>
  </si>
  <si>
    <t>['udah', 'thn', 'belom', 'pernah', 'ngerasain', 'final', 'ngangkat', 'tropy', 'piala dunia']</t>
  </si>
  <si>
    <t>final pildun semalem seru bgt ternyata üò≠üò≠ tp guenya ngantukkkk bgttt</t>
  </si>
  <si>
    <t>final pildun semalem seru bgt ternyata guenya ngantukkkk bgttt</t>
  </si>
  <si>
    <t>['final', 'piala dunia', 'semalam', 'seru', 'banget', 'ternyata', 'guenya', 'ngantukkkk', 'bgttt']</t>
  </si>
  <si>
    <t>Setelah kehilangan uang dan merasa dipermainkan oleh permainan judi online ini, masih tersisa hype karena hati dan pikiran sudah memilih argentina sejak 2 hari sebelum final. Ditutup dengan kemenangan argentina. Final pildun yang ter epic selama iniüëç  https://t.co/lboQhTeyOF</t>
  </si>
  <si>
    <t>setelah kehilangan uang dan merasa dipermainkan oleh permainan judi online ini masih tersisa hype karena hati dan pikiran sudah memilih argentina sejak hari sebelum final ditutup dengan kemenangan argentina final pildun yang ter epic selama ini</t>
  </si>
  <si>
    <t>['kehilangan', 'uang', 'merasa', 'dipermainkan', 'permainan', 'judi', 'online', 'tersisa', 'hype', 'hati', 'pikiran', 'memilih', 'argentina', 'sejak', 'hari', 'final', 'ditutup', 'kemenangan', 'argentina', 'final', 'piala dunia', 'ter', 'epic', 'selama']</t>
  </si>
  <si>
    <t>pertama kali sejak 2010, ga nonton final pildun</t>
  </si>
  <si>
    <t>pertama kali sejak nonton final pildun</t>
  </si>
  <si>
    <t>['pertama', 'kali', 'sejak', 'nonton', 'final', 'piala dunia']</t>
  </si>
  <si>
    <t>@deacon09719930 @Suckmebabyy69 @FaktaSepakbola Lu lebih tolol goblok,bernando,bruno,cancelo,ruben dias,leao lu kira dari tim kecil,itu dari tim gede semua goblok,pdhl disini yang ga guna tuh ronaldo,lu bilang dari dulu squad argentina bagus?,ga terlalu be</t>
  </si>
  <si>
    <t>lebih tolol goblok bernando bruno cancelo ruben dias leao kira dari tim kecil itu dari tim gede semua goblok pdhl disini yang guna tuh ronaldo bilang dari dulu squad argentina bagus terlalu</t>
  </si>
  <si>
    <t>['lebih', 'tolol', 'goblok', 'bernando', 'bruno', 'cancelo', 'ruben', 'dias', 'leao', 'kira', 'tim', 'kecil', 'tim', 'gede', 'semua', 'goblok', 'pdhl', 'disini', 'ronaldo', 'dulu', 'squad', 'argentina', 'bagus', 'terlalu']</t>
  </si>
  <si>
    <t>kemarin di mobil terombang ambing soale pakku pengen ndelok final pildun tp bukku ga gelem nggenteni nyetir awowkwokwowk</t>
  </si>
  <si>
    <t>kemarin mobil terombang ambing soale pakku pengen ndelok final pildun bukku gelem nggenteni nyetir awowkwokwowk</t>
  </si>
  <si>
    <t>['kemarin', 'mobil', 'terombang', 'ambing', 'soale', 'pakku', 'pengen', 'ndelok', 'final', 'piala dunia', 'bukku', 'gelem', 'nggenteni', 'nyetir', 'awowkwokwowk']</t>
  </si>
  <si>
    <t>Pildun terbaik 2010 Final terbaik 2022</t>
  </si>
  <si>
    <t>pildun terbaik final terbaik</t>
  </si>
  <si>
    <t>['piala dunia', 'terbaik', 'final', 'terbaik']</t>
  </si>
  <si>
    <t>do all in final pildun, aku tak parlay NBA modal 25k wae ü§ë</t>
  </si>
  <si>
    <t>all final pildun aku tak parlay nba modal wae</t>
  </si>
  <si>
    <t>['all', 'final', 'piala dunia', 'aku', 'tak', 'parlay', 'nba', 'modal', 'wae']</t>
  </si>
  <si>
    <t>kata ayang pas nobar final pildun "semangat yang tahan dulu ngantuknyaa, inget ini piala dunia pertama kita yang" sambil menggenggam tanganku dengan sok romantis</t>
  </si>
  <si>
    <t>kata ayang pas nobar final pildun semangat yang tahan dulu ngantuknyaa inget ini piala dunia pertama kita yang sambil menggenggam tanganku dengan sok romantis</t>
  </si>
  <si>
    <t>['kata', 'ayang', 'pas', 'nonton bareng', 'final', 'piala dunia', 'semangat', 'tahan', 'dulu', 'ngantuknyaa', 'inget', 'piala', 'dunia', 'pertama', 'menggenggam', 'tanganku', 'sok', 'romantis']</t>
  </si>
  <si>
    <t>Dari awal juga ni pildun seru. Banyak plot twist nya juga, drama2 nya juga seru. Jadi rada kurang tepat sih kalau bilang ketolong finalü§î</t>
  </si>
  <si>
    <t>dari awal juga pildun seru banyak plot twist nya juga drama nya juga seru jadi rada kurang tepat sih kalau bilang ketolong final</t>
  </si>
  <si>
    <t>['awal', 'piala dunia', 'seru', 'banyak', 'plot', 'twist', 'drama', 'seru', 'jadi', 'rada', 'kurang', 'tepat', 'kalau', 'ketolong', 'final']</t>
  </si>
  <si>
    <t>Begadang nonton final pildun, bangun kesiangan, belum belanja belum masak eh bumer udah dateng aja üò© oalah buk buk, nggarai mantune mati kutu ae, iyaa i know aku mantu yg buruk soalnya blm nyiapin sarapan buat anak tercintanya dan cucu kesayangannya üò≠</t>
  </si>
  <si>
    <t>begadang nonton final pildun bangun kesiangan belum belanja belum masak bumer udah dateng aja oalah buk buk nggarai mantune mati kutu iyaa know aku mantu buruk soalnya blm nyiapin sarapan buat anak tercintanya dan cucu kesayangannya</t>
  </si>
  <si>
    <t>['begadang', 'nonton', 'final', 'piala dunia', 'bangun', 'kesiangan', 'belanja', 'masak', 'bumer', 'udah', 'dateng', 'oalah', 'buk', 'buk', 'nggarai', 'mantune', 'mati', 'kutu', 'iyaa', 'know', 'aku', 'mantu', 'buruk', 'soalnya', 'blm', 'nyiapin', 'sarapan', 'buat', 'anak', 'tercintanya', 'cucu', 'kesayangannya']</t>
  </si>
  <si>
    <t>@bintangemon Bang nonton dari awal dulu baru buat statement. Kalau nonton cuman final mah gini nih. Dari pembukaan, fase grup, knock out, sampe final semuanya sukses loh. Lebih keren dari pildun sebelum sebelumnya</t>
  </si>
  <si>
    <t>bang nonton dari awal dulu baru buat statement kalau nonton cuman final mah gini nih dari pembukaan fase grup knock out sampe final semuanya sukses loh lebih keren dari pildun sebelum sebelumnya</t>
  </si>
  <si>
    <t>['bang', 'nonton', 'awal', 'dulu', 'baru', 'buat', 'statement', 'kalau', 'nonton', 'cuman', 'final', 'mah', 'gini', 'pembukaan', 'fase', 'grup', 'knock', 'out', 'sampai', 'final', 'semuanya', 'sukses', 'lebih', 'keren', 'piala dunia', 'sebelumnya']</t>
  </si>
  <si>
    <t>-guys tunjukin idol kalian yang wasweswos nonton final pildun tadi malem dong  https://t.co/bHwMS1XZKH</t>
  </si>
  <si>
    <t>guys tunjukin idol kalian yang wasweswos nonton final pildun tadi malem dong</t>
  </si>
  <si>
    <t>['guys', 'tunjukin', 'idol', 'kalian', 'wasweswos', 'nonton', 'final', 'piala dunia', 'tadi', 'malem', 'dong']</t>
  </si>
  <si>
    <t>@alexasaffira Final terbaik sepanjang sejarah pildun</t>
  </si>
  <si>
    <t>final terbaik sepanjang sejarah pildun</t>
  </si>
  <si>
    <t>['final', 'terbaik', 'sepanjang', 'sejarah', 'piala dunia']</t>
  </si>
  <si>
    <t>"ketolong bgt finalnya begini." sorry tp pildun qatar dr awal udh bagus, unexpected games plot twist yg gak disangka2 dan final semalam jd penutup yg sempurna. blundernya cuman krn isu2 HAMnya qatar di awal tp secara penyelenggaraan mereka juara, wc 2022 gk kalah dr wc 2010.</t>
  </si>
  <si>
    <t>ketolong bgt finalnya begini sorry pildun qatar awal udh bagus unexpected games plot twist gak disangka dan final semalam penutup sempurna blundernya cuman krn isu hamnya qatar awal secara penyelenggaraan mereka juara kalah</t>
  </si>
  <si>
    <t>['ketolong', 'banget', 'finalnya', 'begini', 'sorry', 'piala dunia', 'qatar', 'awal', 'sudah', 'bagus', 'unexpected', 'games', 'plot', 'twist', 'disangka', 'final', 'semalam', 'penutup', 'sempurna', 'blundernya', 'cuman', 'isu', 'hamnya', 'qatar', 'awal', 'penyelenggaraan', 'juara', 'kalah']</t>
  </si>
  <si>
    <t>gk ikutin samsek pildun tp tweets final td malem lucu-lucu üëçüèº</t>
  </si>
  <si>
    <t>ikutin samsek pildun tweets final malem lucu lucu</t>
  </si>
  <si>
    <t>['ikutin', 'samsek', 'piala dunia', 'tweets', 'final', 'malem', 'lucu', 'lucu']</t>
  </si>
  <si>
    <t>@DavidAriefUSA @FaktaSepakbola Messi emang GOAT bang, 2014 pildun ga dapat, 2015 &amp;amp; 2016 copa ga dapat, dibully abis2an, sampe pensiun timnas dan balik lagi masih dibully, 2021 dapat Copa + Finalissima, 2022 final udah 2-0 jadi 2-2, unggul lagi trus im</t>
  </si>
  <si>
    <t>messi emang goat bang pildun dapat copa dapat dibully abis sampe pensiun timnas dan balik lagi masih dibully dapat copa finalissima final udah jadi unggul lagi trus</t>
  </si>
  <si>
    <t>['messi', 'emang', 'goat', 'bang', 'piala dunia', 'copa', 'dibully', 'abis', 'sampai', 'pensiun', 'timnas', 'balik', 'dibully', 'copa', 'finalissima', 'final', 'udah', 'jadi', 'unggul', 'trus']</t>
  </si>
  <si>
    <t>setelah final pildun semalem, sekarang gue tau messi yg mana</t>
  </si>
  <si>
    <t>setelah final pildun semalem sekarang gue tau messi mana</t>
  </si>
  <si>
    <t>['final', 'piala dunia', 'semalam', 'sekarang', 'gue', 'messi', 'mana']</t>
  </si>
  <si>
    <t>semangat hari senin, buat yg semalem begadang nonton final pildun  https://t.co/ALSwkHM3F9</t>
  </si>
  <si>
    <t>semangat hari senin buat semalem begadang nonton final pildun</t>
  </si>
  <si>
    <t>['semangat', 'hari', 'senin', 'buat', 'semalam', 'begadang', 'nonton', 'final', 'piala dunia']</t>
  </si>
  <si>
    <t>sosmed penuh sama messi, sama final pildun, sam mbappe</t>
  </si>
  <si>
    <t>sosmed penuh sama messi sama final pildun sam mbappe</t>
  </si>
  <si>
    <t>['sosmed', 'penuh', 'sama', 'messi', 'sama', 'final', 'piala dunia', 'sam', 'mbappe']</t>
  </si>
  <si>
    <t>üòÇ  biasanya Messi yg jdi tulang punggung Barca dan Argen, tp semalem emang final pildun ter-epiküëåüèºüëåüèºüëåüèºüëåüèº</t>
  </si>
  <si>
    <t>biasanya messi jdi tulang punggung barca dan argen semalem emang final pildun ter epik</t>
  </si>
  <si>
    <t>['biasanya', 'messi', 'jdi', 'tulang', 'punggung', 'barca', 'argen', 'semalam', 'emang', 'final', 'piala dunia', 'ter', 'epik']</t>
  </si>
  <si>
    <t>Anjeeng total win dua digit dong parahh wkwkwkk final pildun hoki mulu ü•∞ dah berhenti w judi titik üôè</t>
  </si>
  <si>
    <t>anjeeng total win dua digit dong parahh wkwkwkk final pildun hoki mulu dah berhenti judi titik</t>
  </si>
  <si>
    <t>['anjeeng', 'total', 'win', 'digit', 'dong', 'parahh', 'wkwkwkk', 'final', 'piala dunia', 'hoki', 'mulu', 'dah', 'berhenti', 'judi', 'titik']</t>
  </si>
  <si>
    <t>Final piala dunia menarik dibanding pildun sebelumnya ü§Ø</t>
  </si>
  <si>
    <t>final piala dunia menarik dibanding pildun sebelumnya</t>
  </si>
  <si>
    <t>['final', 'piala', 'dunia', 'menarik', 'dibanding', 'piala dunia', 'sebelumnya']</t>
  </si>
  <si>
    <t>@theo12_ini GOAT final pildun dan messi valid, kalo GOAT pildun tetep 2002</t>
  </si>
  <si>
    <t>ini goat final pildun dan messi valid kalo goat pildun tetep</t>
  </si>
  <si>
    <t>['goat', 'final', 'piala dunia', 'messi', 'valid', 'goat', 'piala dunia', 'tetep']</t>
  </si>
  <si>
    <t>Mimpiku random bgt abis nonton final pildunüòÇ</t>
  </si>
  <si>
    <t>mimpiku random bgt abis nonton final pildun</t>
  </si>
  <si>
    <t>['mimpiku', 'random', 'banget', 'abis', 'nonton', 'final', 'piala dunia']</t>
  </si>
  <si>
    <t>Bagi sebagian orang, percaya pildun kali ini sengaja di setting di final argen vs prancis,krn ada 2 pemain hebat messi vs mbape dr klub yg sama yaitu PSG.. dan sepertinya ke depan bakal ada pemisahan klub demi viralitas personal dan sepak bola itu sendiri.</t>
  </si>
  <si>
    <t>bagi sebagian orang percaya pildun kali ini sengaja setting final argen prancis krn ada pemain hebat messi mbape klub sama yaitu psg dan sepertinya depan bakal ada pemisahan klub demi viralitas personal dan sepak bola itu sendiri</t>
  </si>
  <si>
    <t>['sebagian', 'orang', 'percaya', 'piala dunia', 'kali', 'sengaja', 'setting', 'final', 'argen', 'prancis', 'pemain', 'hebat', 'messi', 'mbape', 'klub', 'sama', 'psg', 'sepertinya', 'depan', 'bakal', 'pemisahan', 'klub', 'viralitas', 'personal', 'sepak', 'bola', 'sendiri']</t>
  </si>
  <si>
    <t>@selestit final pildun</t>
  </si>
  <si>
    <t>final pildun</t>
  </si>
  <si>
    <t>['final', 'piala dunia']</t>
  </si>
  <si>
    <t>nonton final pildun 2022 berasa naik roller coaster.</t>
  </si>
  <si>
    <t>nonton final pildun berasa naik roller coaster</t>
  </si>
  <si>
    <t>['nonton', 'final', 'piala dunia', 'berasa', 'naik', 'roller', 'coaster']</t>
  </si>
  <si>
    <t>Momen ter deg deg i final pildun. Ketika pakde Di Maria digantikan Acuna Celeng yang ga bisa belok</t>
  </si>
  <si>
    <t>momen ter deg deg final pildun ketika pakde maria digantikan acuna celeng yang bisa belok</t>
  </si>
  <si>
    <t>['momen', 'ter', 'deg', 'deg', 'final', 'piala dunia', 'pakde', 'maria', 'digantikan', 'acuna', 'celeng', 'belok']</t>
  </si>
  <si>
    <t>@tolongdibukain semalem w nonton reborn rich sambil nemenin laki w nonton final pildun ü§£</t>
  </si>
  <si>
    <t>semalem nonton reborn rich sambil nemenin laki nonton final pildun</t>
  </si>
  <si>
    <t>['semalam', 'nonton', 'reborn', 'rich', 'nemenin', 'laki', 'nonton', 'final', 'piala dunia']</t>
  </si>
  <si>
    <t>Hari ini jalanan lancar banget, keknya orang2 pada cuti semua karena ada final pildun</t>
  </si>
  <si>
    <t>hari ini jalanan lancar banget keknya orang pada cuti semua karena ada final pildun</t>
  </si>
  <si>
    <t>['hari', 'jalanan', 'lancar', 'banget', 'sepertinya', 'orang', 'cuti', 'semua', 'final', 'piala dunia']</t>
  </si>
  <si>
    <t>final pildun malah bablas tidur dari jam 8‚Ä¶ the real jompo emg ü¶≠üò≠</t>
  </si>
  <si>
    <t>final pildun malah bablas tidur dari jam the real jompo emg</t>
  </si>
  <si>
    <t>['final', 'piala dunia', 'malah', 'bablas', 'tidur', 'jam', 'the', 'real', 'jompo', 'memang']</t>
  </si>
  <si>
    <t>semua orang nonton final pildun nha gw, anak gw puput puser pagi ini, semalem rewelnya bukan main mintanya digendong terus gamau ditaro, boro2 nyalain TV, bisa naro lengen aja Alhamdulillah its okay, enjoy parenthood ü§ç</t>
  </si>
  <si>
    <t>semua orang nonton final pildun nha anak puput puser pagi ini semalem rewelnya bukan main mintanya digendong terus gamau ditaro boro nyalain bisa naro lengen aja alhamdulillah its okay enjoy parenthood</t>
  </si>
  <si>
    <t>['semua', 'orang', 'nonton', 'final', 'piala dunia', 'nha', 'anak', 'puput', 'puser', 'pagi', 'semalam', 'rewelnya', 'bukan', 'main', 'mintanya', 'digendong', 'terus', 'gamau', 'ditaro', 'boro', 'nyalain', 'naro', 'lengen', 'alhamdulillah', 'its', 'okay', 'enjoy', 'parenthood']</t>
  </si>
  <si>
    <t>gw td malam abis nntn final pildun, lgsg nntn alchemy, dr yg gregetan ampe mules2 ke yg mumet liat kisah cinta org laen üòÖüòÖüòÖüòÖüòÖüòÖ</t>
  </si>
  <si>
    <t>malam abis nntn final pildun lgsg nntn alchemy gregetan ampe mules mumet liat kisah cinta org laen</t>
  </si>
  <si>
    <t>['malam', 'abis', 'nonton', 'final', 'piala dunia', 'lgsg', 'nonton', 'alchemy', 'gregetan', 'sampai', 'mules', 'mumet', 'lihat', 'kisah', 'cinta', 'org', 'laen']</t>
  </si>
  <si>
    <t>I admit it, final pildun semalem bikin degdegan, padahal gue yg ga trlalunsuka sama bola, tp td malem epic sekali sodara2 üëçüèª</t>
  </si>
  <si>
    <t>admit final pildun semalem bikin degdegan padahal gue trlalunsuka sama bola malem epic sekali sodara</t>
  </si>
  <si>
    <t>['admit', 'final', 'piala dunia', 'semalam', 'degdegan', 'padahal', 'gue', 'trlalunsuka', 'sama', 'bola', 'malem', 'epic', 'sekali', 'sodara']</t>
  </si>
  <si>
    <t>Setelah final pildun, muncullah emyu vs barca yang bakalan ga kalah rame</t>
  </si>
  <si>
    <t>setelah final pildun muncullah emyu barca yang bakalan kalah rame</t>
  </si>
  <si>
    <t>['final', 'piala dunia', 'muncullah', 'emyu', 'barca', 'bakalan', 'kalah', 'ramai']</t>
  </si>
  <si>
    <t>@HammersBois Indonesia bisa masuk pildun ngalahin Brazil Zerman argentina tapi pas udah final kalah lawan Thailand</t>
  </si>
  <si>
    <t>indonesia bisa masuk pildun ngalahin brazil zerman argentina tapi pas udah final kalah lawan thailand</t>
  </si>
  <si>
    <t>['indonesia', 'masuk', 'piala dunia', 'ngalahin', 'brazil', 'zerman', 'argentina', 'pas', 'udah', 'final', 'kalah', 'lawan', 'thailand']</t>
  </si>
  <si>
    <t>@convomfs Ya jelas lah, piala dunia 4 tahun sekali. Lah ketemu sama lu bisa tiap hari. Sangat amat rugi kalo final pildun terlewatkan hanya cuma untuk ketemu lu. Prik bgt njs.</t>
  </si>
  <si>
    <t>jelas lah piala dunia tahun sekali lah ketemu sama bisa tiap hari sangat amat rugi kalo final pildun terlewatkan hanya cuma untuk ketemu prik bgt njs</t>
  </si>
  <si>
    <t>['jelas', 'lah', 'piala', 'dunia', 'tahun', 'sekali', 'lah', 'ketemu', 'sama', 'tiap', 'hari', 'sangat', 'rugi', 'final', 'piala dunia', 'terlewatkan', 'cuma', 'ketemu', 'prik', 'banget', 'njs']</t>
  </si>
  <si>
    <t>lucu lucu bgt dah tweet ttg final pildunüò≠ü§£</t>
  </si>
  <si>
    <t>lucu lucu bgt dah tweet ttg final pildun</t>
  </si>
  <si>
    <t>['lucu', 'lucu', 'banget', 'dah', 'tweet', 'ttg', 'final', 'piala dunia']</t>
  </si>
  <si>
    <t>wah ketinggalan final pildun, kayanya seru padahal.</t>
  </si>
  <si>
    <t>wah ketinggalan final pildun kayanya seru padahal</t>
  </si>
  <si>
    <t>['wah', 'ketinggalan', 'final', 'piala dunia', 'kayanya', 'seru', 'padahal']</t>
  </si>
  <si>
    <t>Ini mirip kejadian final pildun semalam alurnyeüòÜ Di classical jak ni Hikaru belom ngalahin Magnus</t>
  </si>
  <si>
    <t>ini mirip kejadian final pildun semalam alurnye classical jak hikaru belom ngalahin magnus</t>
  </si>
  <si>
    <t>['mirip', 'kejadian', 'final', 'piala dunia', 'semalam', 'alurnye', 'classical', 'jak', 'hikaru', 'belom', 'ngalahin', 'magnus']</t>
  </si>
  <si>
    <t>Kegiatan pagi senin: Nonton highlight final pildun ‚ùå Nonton Reborn Rich Ep 14 ‚úÖ</t>
  </si>
  <si>
    <t>kegiatan pagi senin nonton highlight final pildun nonton reborn rich</t>
  </si>
  <si>
    <t>['kegiatan', 'pagi', 'senin', 'nonton', 'highlight', 'final', 'piala dunia', 'nonton', 'reborn', 'rich']</t>
  </si>
  <si>
    <t>@asepsaeful_m @idextratime Pas itu tim argen lagi op op nya cuk, dan lagi sial nya argen bukan pas final pildun, pas final coppa juga sial mana 2 tahun berturut turut lawannya cuma chille dan kalah pinalti semua</t>
  </si>
  <si>
    <t>pas itu tim argen lagi nya cuk dan lagi sial nya argen bukan pas final pildun pas final coppa juga sial mana tahun berturut turut lawannya cuma chille dan kalah pinalti semua</t>
  </si>
  <si>
    <t>['pas', 'tim', 'argen', 'cuk', 'sial', 'argen', 'bukan', 'pas', 'final', 'piala dunia', 'pas', 'final', 'coppa', 'sial', 'mana', 'tahun', 'berturut', 'turut', 'lawannya', 'cuma', 'chille', 'kalah', 'penalti', 'semua']</t>
  </si>
  <si>
    <t>[askrl] apa cuma aku cewek yang engga ngikutin final pildun semalemüò≠ aku ke tiduran dan pasti diledekin sama temen cowok di tongkronganü•∫</t>
  </si>
  <si>
    <t>askrl apa cuma aku cewek yang engga ngikutin final pildun semalem aku tiduran dan pasti diledekin sama temen cowok tongkrongan</t>
  </si>
  <si>
    <t>['askrl', 'apa', 'cuma', 'aku', 'cewek', 'tidak', 'ngikutin', 'final', 'piala dunia', 'semalam', 'aku', 'tiduran', 'diledekin', 'sama', 'temen', 'cowok', 'tongkrongan']</t>
  </si>
  <si>
    <t>TAPI, GIMANA CERITANYA UMUR 23 TAHUN BISA 8 GOL DARI 7 LAGA PILDUN DAN HATTRICK DI FINAL LAWAN ARGENTINAü§Øü§Øü§Ø</t>
  </si>
  <si>
    <t>tapi gimana ceritanya umur tahun bisa gol dari laga pildun dan hattrick final lawan argentina</t>
  </si>
  <si>
    <t>['gimana', 'ceritanya', 'umur', 'tahun', 'gol', 'laga', 'piala dunia', 'hattrick', 'final', 'lawan', 'argentina']</t>
  </si>
  <si>
    <t>@Hafidh310 @idextratime Ya ga gitu dong, pas argentina nyampe final di pildun 2014 jg udh keitung bagus. Yg bikin sial itu higuain bapaknya si lautaro ü§£</t>
  </si>
  <si>
    <t>gitu dong pas argentina nyampe final pildun udh keitung bagus bikin sial itu higuain bapaknya lautaro</t>
  </si>
  <si>
    <t>['gitu', 'dong', 'pas', 'argentina', 'sampai', 'final', 'piala dunia', 'sudah', 'keitung', 'bagus', 'sial', 'higuain', 'bapaknya', 'lautaro']</t>
  </si>
  <si>
    <t>tbtb keinget banyak bgt vendor yang ngajakin nobar final pildun. maaf bapak bapak saya kaga ngarti bola</t>
  </si>
  <si>
    <t>tbtb keinget banyak bgt vendor yang ngajakin nobar final pildun maaf bapak bapak saya kaga ngarti bola</t>
  </si>
  <si>
    <t>['tbtb', 'keinget', 'banyak', 'banget', 'vendor', 'ngajakin', 'nonton bareng', 'final', 'piala dunia', 'maaf', 'bapak', 'bapak', 'kaga', 'ngarti', 'bola']</t>
  </si>
  <si>
    <t>seru bgt atasan gue karena kerja di isat jadi dapet tiket final pildun gratis. what a privilej ü•≤</t>
  </si>
  <si>
    <t>seru bgt atasan gue karena kerja isat jadi dapet tiket final pildun gratis what privilej</t>
  </si>
  <si>
    <t>['seru', 'banget', 'atasan', 'gue', 'kerja', 'isat', 'jadi', 'dapat', 'tiket', 'final', 'piala dunia', 'gratis', 'what', 'privilej']</t>
  </si>
  <si>
    <t>ok msup wishlist sy nnton final pildun sm pcar 4 thn lgi</t>
  </si>
  <si>
    <t>msup wishlist nnton final pildun pcar thn lgi</t>
  </si>
  <si>
    <t>['msup', 'wishlist', 'nnton', 'final', 'piala dunia', 'pcar', 'thn', 'lgi']</t>
  </si>
  <si>
    <t>Walaupun belum pernah nonton/nobar bola sebelumnya tapi rasanya final pildun 2022 ini pertandingan paling seru sih</t>
  </si>
  <si>
    <t>walaupun belum pernah nonton nobar bola sebelumnya tapi rasanya final pildun ini pertandingan paling seru sih</t>
  </si>
  <si>
    <t>['walaupun', 'pernah', 'nonton', 'nonton bareng', 'bola', 'sebelumnya', 'rasanya', 'final', 'piala dunia', 'pertandingan', 'paling', 'seru']</t>
  </si>
  <si>
    <t>Pagi2 papa jelasin hasil final pildun semalam ke mama, padahal mama ga ngerti bola. Lucu aja dengernya. Sehat2 selalu yaa papa mama</t>
  </si>
  <si>
    <t>pagi papa jelasin hasil final pildun semalam mama padahal mama ngerti bola lucu aja dengernya sehat selalu yaa papa mama</t>
  </si>
  <si>
    <t>['pagi', 'papa', 'jelasin', 'hasil', 'final', 'piala dunia', 'semalam', 'mama', 'padahal', 'mama', 'ngerti', 'bola', 'lucu', 'dengernya', 'sehat', 'selalu', 'ya', 'papa', 'mama']</t>
  </si>
  <si>
    <t>Ya wlopun rungkad, semalam final pildun terbaik sepanjang masa spertinya</t>
  </si>
  <si>
    <t>wlopun rungkad semalam final pildun terbaik sepanjang masa spertinya</t>
  </si>
  <si>
    <t>['wlopun', 'rungkad', 'semalam', 'final', 'piala dunia', 'terbaik', 'sepanjang', 'masa', 'spertinya']</t>
  </si>
  <si>
    <t>@idextratime Respect ke Ronaldo iya, tp ke fansnya big no. Masih inget bgt Messi gagal di final pildun &amp;amp; Copa America sampe sampe foto nangisnya di bikin meme bertahun-tahun. Julukan messiun pun dikampanyekan dodo lovers. Sekarang Messi udah juara wor</t>
  </si>
  <si>
    <t>respect ronaldo iya fansnya big masih inget bgt messi gagal final pildun copa america sampe sampe foto nangisnya bikin meme bertahun tahun julukan messiun pun dikampanyekan dodo lovers sekarang messi udah juara wor</t>
  </si>
  <si>
    <t>['respect', 'ronaldo', 'iya', 'fansnya', 'big', 'inget', 'banget', 'messi', 'gagal', 'final', 'piala dunia', 'copa', 'america', 'sampai', 'sampai', 'foto', 'nangisnya', 'meme', 'bertahun', 'tahun', 'julukan', 'messiun', 'dikampanyekan', 'dodo', 'lovers', 'sekarang', 'messi', 'udah', 'juara', 'wor']</t>
  </si>
  <si>
    <t>Seru bgt ya semalem final piala Dunia, sayang si w ga terlalu suka bola skrng, terakhir ngikutin bgt pildun thn 2010 pas di Afrika Selatan</t>
  </si>
  <si>
    <t>seru bgt semalem final piala dunia sayang terlalu suka bola skrng terakhir ngikutin bgt pildun thn pas afrika selatan</t>
  </si>
  <si>
    <t>['seru', 'banget', 'semalam', 'final', 'piala', 'dunia', 'sayang', 'terlalu', 'suka', 'bola', 'skrng', 'terakhir', 'ngikutin', 'banget', 'piala dunia', 'thn', 'pas', 'afrika', 'selatan']</t>
  </si>
  <si>
    <t>Tadi sore diajak mereka nonton final pildun di Coffee shop, tapi aku menolak. Beberapa kali nonton di Coffee shop, nyatanya club yang aku dukung berakhir tragis. Ini bukan "khurofat", ini hanya sekedar "istiqro' naqis" Selamat buat Messi atas World cup-nya Eh, Argentina maksudnya</t>
  </si>
  <si>
    <t>tadi sore diajak mereka nonton final pildun coffee shop tapi aku menolak beberapa kali nonton coffee shop nyatanya club yang aku dukung berakhir tragis ini bukan khurofat ini hanya sekedar istiqro naqis selamat buat messi atas world cup nya argentina maksudnya</t>
  </si>
  <si>
    <t>['tadi', 'sore', 'diajak', 'nonton', 'final', 'piala dunia', 'coffee', 'shop', 'aku', 'menolak', 'beberapa', 'kali', 'nonton', 'coffee', 'shop', 'nyatanya', 'club', 'aku', 'dukung', 'berakhir', 'tragis', 'bukan', 'khurofat', 'sekedar', 'istiqro', 'naqis', 'selamat', 'buat', 'messi', 'atas', 'world', 'cup', 'argentina', 'maksudnya']</t>
  </si>
  <si>
    <t>Final tergokil di gelaran pildun..üëç Final terbaik setelah champions cup Liverpool-Milan.  LM10 üá¶üá∑ü•á‚úÖ</t>
  </si>
  <si>
    <t>final tergokil gelaran pildun final terbaik setelah champions cup liverpool milan</t>
  </si>
  <si>
    <t>['final', 'tergokil', 'gelaran', 'piala dunia', 'final', 'terbaik', 'champions', 'cup', 'liverpool', 'milan']</t>
  </si>
  <si>
    <t>@idextratime Ga mungkin dia ga nonton final pildun semalem, ga mungkin dia tiba-tiba amnesia, tiba-tiba masa dodo ama sepak bola, ga mungkin. Pasti dah jungkirbalik tau prancis nyamain kedudukan, eh malah kalah penalti. Kesalipnya sakit banget pasti</t>
  </si>
  <si>
    <t>mungkin dia nonton final pildun semalem mungkin dia tiba tiba amnesia tiba tiba masa dodo ama sepak bola mungkin pasti dah jungkirbalik tau prancis nyamain kedudukan malah kalah penalti kesalipnya sakit banget pasti</t>
  </si>
  <si>
    <t>['mungkin', 'nonton', 'final', 'piala dunia', 'semalam', 'mungkin', 'tiba', 'tiba', 'amnesia', 'tiba', 'tiba', 'masa', 'dodo', 'ama', 'sepak', 'bola', 'mungkin', 'dah', 'jungkirbalik', 'prancis', 'nyamain', 'kedudukan', 'malah', 'kalah', 'penalti', 'kesalipnya', 'sakit', 'banget']</t>
  </si>
  <si>
    <t>oooo jadi final pildun tadi malem seru bgt ye ni kita liat2 di tl, w di babak kedua tinggal tidur karena ngantuk + sakit perut period</t>
  </si>
  <si>
    <t>oooo jadi final pildun tadi malem seru bgt kita liat babak kedua tinggal tidur karena ngantuk sakit perut period</t>
  </si>
  <si>
    <t>['oooo', 'jadi', 'final', 'piala dunia', 'tadi', 'malem', 'seru', 'banget', 'lihat', 'babak', 'kedua', 'tinggal', 'tidur', 'ngantuk', 'sakit', 'perut', 'period']</t>
  </si>
  <si>
    <t>@TheaRizkyyy @theflankerID Federasi prancis nargetin kalo juara agak ekstrem. Krn ada semacam "kutukan" kan yg udh pernah juara pildun gaakan bisa back to back juara. Sampe final aja udh hebat sih</t>
  </si>
  <si>
    <t>federasi prancis nargetin kalo juara agak ekstrem krn ada semacam kutukan kan udh pernah juara pildun gaakan bisa back back juara sampe final aja udh hebat sih</t>
  </si>
  <si>
    <t>['federasi', 'prancis', 'nargetin', 'juara', 'ekstrem', 'semacam', 'kutukan', 'kan', 'sudah', 'pernah', 'juara', 'piala dunia', 'gaakan', 'back', 'back', 'juara', 'sampai', 'final', 'sudah', 'hebat']</t>
  </si>
  <si>
    <t>Selamat pagi jiwa-jiwa pekerja yang ngantuk abis nonton final pildun ü§ß</t>
  </si>
  <si>
    <t>selamat pagi jiwa jiwa pekerja yang ngantuk abis nonton final pildun</t>
  </si>
  <si>
    <t>['selamat', 'pagi', 'jiwa', 'jiwa', 'pekerja', 'ngantuk', 'abis', 'nonton', 'final', 'piala dunia']</t>
  </si>
  <si>
    <t>Pagi ni tdk jadi ya jogging dikarenakan begadang nntn final pildun, bismillah nnti sore kl cuacanya bagus yyyyüôèüèª</t>
  </si>
  <si>
    <t>pagi tdk jadi jogging dikarenakan begadang nntn final pildun bismillah nnti sore cuacanya bagus yyyy</t>
  </si>
  <si>
    <t>['pagi', 'jadi', 'jogging', 'dikarenakan', 'begadang', 'nonton', 'final', 'piala dunia', 'bismillah', 'nnti', 'sore', 'cuacanya', 'bagus', 'yyyy']</t>
  </si>
  <si>
    <t>2 hari lalu sempet ditanya final piala dunia megang siapa antara argentina vs prancis, berhubung ga ngikutin dunia pildun jd reflek jawab argentina karena keinget oikawa after timeskip üòπ</t>
  </si>
  <si>
    <t>hari lalu sempet ditanya final piala dunia megang siapa antara argentina prancis berhubung ngikutin dunia pildun reflek jawab argentina karena keinget oikawa after timeskip</t>
  </si>
  <si>
    <t>['hari', 'lalu', 'sempet', 'ditanya', 'final', 'piala', 'dunia', 'megang', 'siapa', 'argentina', 'prancis', 'berhubung', 'ngikutin', 'dunia', 'piala dunia', 'reflek', 'jawab', 'argentina', 'keinget', 'oikawa', 'after', 'timeskip']</t>
  </si>
  <si>
    <t>urip iku abot, makane keturon pas final pildun</t>
  </si>
  <si>
    <t>urip iku abot makane keturon pas final pildun</t>
  </si>
  <si>
    <t>['urip', 'iku', 'abot', 'makane', 'keturon', 'pas', 'final', 'piala dunia']</t>
  </si>
  <si>
    <t>dari kemaren mantau pildun, prediksi final yang ideal, terus berharap argentina aja yg menang wkwk. Padahal aku gak suka bola.</t>
  </si>
  <si>
    <t>dari kemaren mantau pildun prediksi final yang ideal terus berharap argentina aja menang wkwk padahal aku gak suka bola</t>
  </si>
  <si>
    <t>['kemarin', 'mantau', 'piala dunia', 'prediksi', 'final', 'ideal', 'terus', 'berharap', 'argentina', 'menang', 'padahal', 'aku', 'suka', 'bola']</t>
  </si>
  <si>
    <t>weh cepet banget jem 8 udah di lebak bulus. pada wfh ya ngana semua abis final pildun semalem?!?!</t>
  </si>
  <si>
    <t>weh cepet banget jem udah lebak bulus pada wfh ngana semua abis final pildun semalem</t>
  </si>
  <si>
    <t>['weh', 'cepet', 'banget', 'jem', 'udah', 'lebak', 'bulus', 'wfh', 'ngana', 'semua', 'abis', 'final', 'piala dunia', 'semalam']</t>
  </si>
  <si>
    <t>Tolong jangan ajak saya buat ngobrol soal final pildun.</t>
  </si>
  <si>
    <t>tolong jangan ajak saya buat ngobrol soal final pildun</t>
  </si>
  <si>
    <t>['jangan', 'ajak', 'buat', 'ngobrol', 'soal', 'final', 'piala dunia']</t>
  </si>
  <si>
    <t>@convomfs rugi banget si, final pildun semalem ga nonton</t>
  </si>
  <si>
    <t>rugi banget final pildun semalem nonton</t>
  </si>
  <si>
    <t>['rugi', 'banget', 'final', 'piala dunia', 'semalam', 'nonton']</t>
  </si>
  <si>
    <t>wah ternyata semalem bnyk jg idol dan actor yg nnton final pildun</t>
  </si>
  <si>
    <t>wah ternyata semalem bnyk idol dan actor nnton final pildun</t>
  </si>
  <si>
    <t>['wah', 'ternyata', 'semalam', 'bnyk', 'idol', 'actor', 'nnton', 'final', 'piala dunia']</t>
  </si>
  <si>
    <t>@convomfs ya gimana ya, pildun empat tahun sekali doang adanya. mana kemaren juga udah final, sayang kalo skip. euforianya bener bener akabjanskama soalnya pildun kali ini</t>
  </si>
  <si>
    <t>gimana pildun empat tahun sekali doang adanya mana kemaren juga udah final sayang kalo skip euforianya bener bener akabjanskama soalnya pildun kali ini</t>
  </si>
  <si>
    <t>['gimana', 'piala dunia', 'empat', 'tahun', 'sekali', 'doang', 'adanya', 'mana', 'kemarin', 'udah', 'final', 'sayang', 'skip', 'euforianya', 'benar', 'benar', 'akabjanskama', 'soalnya', 'piala dunia', 'kali']</t>
  </si>
  <si>
    <t>Ada yg hanya menunggu hasil akhir final Pildun tadi malam?</t>
  </si>
  <si>
    <t>ada hanya menunggu hasil akhir final pildun tadi malam</t>
  </si>
  <si>
    <t>['menunggu', 'hasil', 'akhir', 'final', 'piala dunia', 'tadi', 'malam']</t>
  </si>
  <si>
    <t>teruntuk abang-abang supir angkot jaklingko yang ikut nonton final pildun sewaktu di jalan pulang, saya tunggu janji anda untuk traktir makan-makan ke saya üôè</t>
  </si>
  <si>
    <t>teruntuk abang abang supir angkot jaklingko yang ikut nonton final pildun sewaktu jalan pulang saya tunggu janji anda untuk traktir makan makan saya</t>
  </si>
  <si>
    <t>['teruntuk', 'abang', 'abang', 'supir', 'angkot', 'jaklingko', 'ikut', 'nonton', 'final', 'piala dunia', 'sewaktu', 'jalan', 'pulang', 'tunggu', 'janji', 'traktir', 'makan', 'makan']</t>
  </si>
  <si>
    <t>Asik menang taruhan final pildun semalem sm ayang, hadiahnya ditraktir seumur hidup katanya @ReinaldiMC  (¬¥‚å£` É∆™)‚ô°</t>
  </si>
  <si>
    <t>asik menang taruhan final pildun semalem ayang hadiahnya ditraktir seumur hidup katanya</t>
  </si>
  <si>
    <t>['asik', 'menang', 'taruhan', 'final', 'piala dunia', 'semalam', 'ayang', 'hadiahnya', 'ditraktir', 'seumur', 'hidup', 'katanya']</t>
  </si>
  <si>
    <t>Gimana taruhan final pildun semalam ?  Kalian termasuk yang kalah atau menang nih ?  üòÑ #FIFAWorldCup</t>
  </si>
  <si>
    <t>gimana taruhan final pildun semalam kalian termasuk yang kalah atau menang nih</t>
  </si>
  <si>
    <t>['gimana', 'taruhan', 'final', 'piala dunia', 'semalam', 'kalian', 'termasuk', 'kalah', 'menang']</t>
  </si>
  <si>
    <t>Baru inget pildun final, semalem malah nonton Connect. Si fiksi kampret</t>
  </si>
  <si>
    <t>baru inget pildun final semalem malah nonton connect fiksi kampret</t>
  </si>
  <si>
    <t>['baru', 'inget', 'piala dunia', 'final', 'semalam', 'malah', 'nonton', 'connect', 'fiksi', 'kampret']</t>
  </si>
  <si>
    <t>üßïterus pildun udah sampe mana yah? üßëmbuh aku ra ngikuti üßïudah mw final kl itung2an bulannya nih üßëwoiyo ternyata malam ini final (scroll2 hp)  lanjut tidur</t>
  </si>
  <si>
    <t>terus pildun udah sampe mana yah mbuh aku ngikuti udah final itung bulannya nih woiyo ternyata malam ini final scroll lanjut tidur</t>
  </si>
  <si>
    <t>['terus', 'piala dunia', 'udah', 'sampai', 'mana', 'mbuh', 'aku', 'ngikuti', 'udah', 'final', 'itung', 'bulannya', 'woiyo', 'ternyata', 'malam', 'final', 'scroll', 'lanjut', 'tidur']</t>
  </si>
  <si>
    <t>sangking seru e final pildun iki sampe ndak ngetwit, selamat argentina üéâüèÜ untuk mbappe nanti balas di liga dangdut</t>
  </si>
  <si>
    <t>sangking seru final pildun iki sampe ndak ngetwit selamat argentina untuk mbappe nanti balas liga dangdut</t>
  </si>
  <si>
    <t>['sangking', 'seru', 'final', 'piala dunia', 'iki', 'sampai', 'ndak', 'ngetwit', 'selamat', 'argentina', 'mbappe', 'balas', 'liga', 'dangdut']</t>
  </si>
  <si>
    <t>Karena final pildun, depok (sawangan) - jakarta (antasari) lancar jaya udah kaya minggu pagi ü§©</t>
  </si>
  <si>
    <t>karena final pildun depok sawangan jakarta antasari lancar jaya udah kaya minggu pagi</t>
  </si>
  <si>
    <t>['final', 'piala dunia', 'depok', 'sawangan', 'jakarta', 'antasari', 'lancar', 'jaya', 'udah', 'kaya', 'minggu', 'pagi']</t>
  </si>
  <si>
    <t>Udah pagi aja anjir ga nonton final pildun üò≠ lelah bgt jm 8 udh tidurü•≤</t>
  </si>
  <si>
    <t>udah pagi aja anjir nonton final pildun lelah bgt udh tidur</t>
  </si>
  <si>
    <t>['udah', 'pagi', 'anjir', 'nonton', 'final', 'piala dunia', 'lelah', 'banget', 'sudah', 'tidur']</t>
  </si>
  <si>
    <t>Pada cuti final pildun</t>
  </si>
  <si>
    <t>pada cuti final pildun</t>
  </si>
  <si>
    <t>['cuti', 'final', 'piala dunia']</t>
  </si>
  <si>
    <t>Lolos test mengemudi 1st try üòé Ga rugi nonton final pildun semalam.</t>
  </si>
  <si>
    <t>lolos test mengemudi try rugi nonton final pildun semalam</t>
  </si>
  <si>
    <t>['lolos', 'test', 'mengemudi', 'try', 'rugi', 'nonton', 'final', 'piala dunia', 'semalam']</t>
  </si>
  <si>
    <t>Pildun 2026, final hari senin jam 8 pagi ü§£</t>
  </si>
  <si>
    <t>pildun final hari senin jam pagi</t>
  </si>
  <si>
    <t>['piala dunia', 'final', 'hari', 'senin', 'jam', 'pagi']</t>
  </si>
  <si>
    <t>1. Ini adlh ajang pildun pertama yg menyajikan potret berbeda islam dr apa yg "disangkakan" dunia barat (europa dan amrik).  2. Partai Final yg penuh tensi dan adrenalin menyudahi perdebatan G.O.A.T antara messi dan ronaldo, fix, messi adalah sang legenda.</t>
  </si>
  <si>
    <t>ini adlh ajang pildun pertama menyajikan potret berbeda islam apa disangkakan dunia barat europa dan amrik partai final penuh tensi dan adrenalin menyudahi perdebatan antara messi dan ronaldo fix messi adalah sang legenda</t>
  </si>
  <si>
    <t>['adalah', 'ajang', 'piala dunia', 'pertama', 'menyajikan', 'potret', 'berbeda', 'islam', 'apa', 'disangkakan', 'dunia', 'barat', 'europa', 'amrik', 'partai', 'final', 'penuh', 'tensi', 'adrenalin', 'menyudahi', 'perdebatan', 'messi', 'ronaldo', 'fix', 'messi', 'sang', 'legenda']</t>
  </si>
  <si>
    <t>@HusinShihab Setuju karena final Pildun Afrika vs ArgentinaüòÄ</t>
  </si>
  <si>
    <t>setuju karena final pildun afrika argentina</t>
  </si>
  <si>
    <t>['setuju', 'final', 'piala dunia', 'afrika', 'argentina']</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</si>
  <si>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</si>
  <si>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t>
  </si>
  <si>
    <t>['semalam', 'nonton', 'final', 'piala dunia', 'perasaan', 'udah', 'campur', 'baur', 'babak', 'pertama', 'bahagia', 'babak', 'kedua', 'mau', 'nangis', 'perpanjangan', 'waktu', 'pertama', 'lesu', 'cemas', 'perpanjangan', 'waktu', 'kedua', 'awalnya', 'semangat', 'penalti', 'mbappe', 'malah', 'pengen', 'mewek', 'berdoa', 'sepanjang', 'malam', 'sama', 'adek', 'semua', 'messi']</t>
  </si>
  <si>
    <t>&lt;FreqDist with 32 samples and 37 outcomes&gt;</t>
  </si>
  <si>
    <t>Rating final pildun 2022 ‚Äú10/10‚Äù no debatüôè  https://t.co/YeUglB0YgW</t>
  </si>
  <si>
    <t>rating final pildun debat</t>
  </si>
  <si>
    <t>['rating', 'final', 'piala dunia', 'debat']</t>
  </si>
  <si>
    <t>Abis nonton final pildun ü•≤  https://t.co/7SgJN6mnZM</t>
  </si>
  <si>
    <t>abis nonton final pildun</t>
  </si>
  <si>
    <t>['abis', 'nonton', 'final', 'piala dunia']</t>
  </si>
  <si>
    <t>Fulll ra dong Final pildun.  Keturon</t>
  </si>
  <si>
    <t>fulll dong final pildun keturon</t>
  </si>
  <si>
    <t>['fulll', 'dong', 'final', 'piala dunia', 'keturon']</t>
  </si>
  <si>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</si>
  <si>
    <t>match yang anti klimaks untuk perancis secara performa hasil next pildun mungkin bisa</t>
  </si>
  <si>
    <t>['match', 'anti', 'klimaks', 'perancis', 'performa', 'hasil', 'next', 'piala dunia', 'mungkin']</t>
  </si>
  <si>
    <t>Efek final pildun, buset gembrong lancar jaya!!!</t>
  </si>
  <si>
    <t>efek final pildun buset gembrong lancar jaya</t>
  </si>
  <si>
    <t>['efek', 'final', 'piala dunia', 'buset', 'gembrong', 'lancar', 'jaya']</t>
  </si>
  <si>
    <t>Ampun dah, minggu depan rupanya, otak ngeblank habis final pildun, terus hari ini masuk cepet buat apa!?</t>
  </si>
  <si>
    <t>ampun dah minggu depan rupanya otak ngeblank habis final pildun terus hari ini masuk cepet buat apa</t>
  </si>
  <si>
    <t>['ampun', 'dah', 'minggu', 'depan', 'rupanya', 'otak', 'ngeblank', 'habis', 'final', 'piala dunia', 'terus', 'hari', 'masuk', 'cepet', 'buat', 'apa']</t>
  </si>
  <si>
    <t>@Bustednut1969 @utdfocusid kira lu pildun itu cmn final doang hahaha</t>
  </si>
  <si>
    <t>kira pildun itu cmn final doang hahaha</t>
  </si>
  <si>
    <t>['kira', 'piala dunia', 'cmn', 'final', 'doang', 'hahaha']</t>
  </si>
  <si>
    <t>Yaampun, masa udh final pildun doi masi ga update igs?üò≠üò≠ pdhl gue udh nontonin smua igs cowo cowo yg isinya pildun itu tp punya doi kok tetep ga adaüòîüíî</t>
  </si>
  <si>
    <t>yaampun masa udh final pildun doi masi update igs pdhl gue udh nontonin smua igs cowo cowo isinya pildun itu punya doi kok tetep ada</t>
  </si>
  <si>
    <t>['yaampun', 'masa', 'sudah', 'final', 'piala dunia', 'doi', 'masi', 'update', 'igs', 'pdhl', 'gue', 'sudah', 'nontonin', 'smua', 'igs', 'cowo', 'cowo', 'isinya', 'piala dunia', 'punya', 'doi', 'kok', 'tetep']</t>
  </si>
  <si>
    <t>@kridobram Suami nonton final pildun, istri ngapain? Ya tidurlah ü•µüôè</t>
  </si>
  <si>
    <t>suami nonton final pildun istri ngapain tidurlah</t>
  </si>
  <si>
    <t>['suami', 'nonton', 'final', 'piala dunia', 'istri', 'ngapain', 'tidurlah']</t>
  </si>
  <si>
    <t>@Ibshanter Predikisi awal pildun memang argentina yg menang karna kejar messi yg pensiun tahun ini. Hanya portugal yg tidak bisa masuk ke final</t>
  </si>
  <si>
    <t>predikisi awal pildun memang argentina menang karna kejar messi pensiun tahun ini hanya portugal tidak bisa masuk final</t>
  </si>
  <si>
    <t>['predikisi', 'awal', 'piala dunia', 'memang', 'argentina', 'menang', 'karna', 'kejar', 'messi', 'pensiun', 'tahun', 'portugal', 'masuk', 'final']</t>
  </si>
  <si>
    <t>sedih betul gabisa nonton final pildun</t>
  </si>
  <si>
    <t>['sedih', 'betul', 'gabisa', 'nonton', 'final', 'piala dunia']</t>
  </si>
  <si>
    <t>Best pildun, mulai dari grup stage ter-plot twist sampe final yang terseru tergokil terdegdeganüî•üî•üî• Rating? 100 / 10</t>
  </si>
  <si>
    <t>best pildun mulai dari grup stage ter plot twist sampe final yang terseru tergokil terdegdegan rating</t>
  </si>
  <si>
    <t>['best', 'piala dunia', 'mulai', 'grup', 'stage', 'ter', 'plot', 'twist', 'sampai', 'final', 'terseru', 'tergokil', 'terdegdegan', 'rating']</t>
  </si>
  <si>
    <t>@FaktaSepakbola Momen berkelas dari Qatar yg mampu menyelipkan nilai Islam dalam pildun dgn profesional. Negara Arab yg mampu menonjol Final yg luar biasa</t>
  </si>
  <si>
    <t>momen berkelas dari qatar mampu menyelipkan nilai islam dalam pildun dgn profesional negara arab mampu menonjol final luar biasa</t>
  </si>
  <si>
    <t>['momen', 'berkelas', 'qatar', 'mampu', 'menyelipkan', 'nilai', 'islam', 'piala dunia', 'profesional', 'negara', 'arab', 'mampu', 'menonjol', 'final', 'luar', 'biasa']</t>
  </si>
  <si>
    <t>Gue sekalinya nonton pildun cuma pas final doang, dan ngeliatnya ngakak campur sedih wkwkwkwküò≠üò≠</t>
  </si>
  <si>
    <t>gue sekalinya nonton pildun cuma pas final doang dan ngeliatnya ngakak campur sedih wkwkwkwk</t>
  </si>
  <si>
    <t>['gue', 'sekalinya', 'nonton', 'piala dunia', 'cuma', 'pas', 'final', 'doang', 'ngeliatnya', 'ngakak', 'campur', 'sedih', 'wkwkwkwk']</t>
  </si>
  <si>
    <t>kaget bgt semalem berisik2 apaan. taunya ada final pildun ye anjirüò¶</t>
  </si>
  <si>
    <t>kaget bgt semalem berisik apaan taunya ada final pildun anjir</t>
  </si>
  <si>
    <t>['kaget', 'banget', 'semalam', 'berisik', 'apaan', 'taunya', 'final', 'piala dunia', 'anjir']</t>
  </si>
  <si>
    <t>Orang orang pada ngomongin final pildun pildun, ga terkecuali para akhowat.  W yang tiap pertandingan pildun tidur:  https://t.co/WOouYztYD9</t>
  </si>
  <si>
    <t>orang orang pada ngomongin final pildun pildun terkecuali para akhowat yang tiap pertandingan pildun tidur</t>
  </si>
  <si>
    <t>['orang', 'orang', 'ngomongin', 'final', 'piala dunia', 'piala dunia', 'terkecuali', 'akhowat', 'tiap', 'pertandingan', 'piala dunia', 'tidur']</t>
  </si>
  <si>
    <t>@RaniKancana__ @Legit_duren @elonmusk ü§£ü§£ü§£ü§£ü§£ Kalau 2 hari lg recovery berarti pembatasan nya untuk final PilDun....? üòú</t>
  </si>
  <si>
    <t>duren kalau hari recovery berarti pembatasan nya untuk final pildun</t>
  </si>
  <si>
    <t>['duren', 'kalau', 'hari', 'recovery', 'berarti', 'pembatasan', 'final', 'piala dunia']</t>
  </si>
  <si>
    <t>Ini senin kan? Tumben bener jalanan sepi, pda kesiangan kali ya abis begadang nonton final pildun</t>
  </si>
  <si>
    <t>ini senin kan tumben bener jalanan sepi pda kesiangan kali abis begadang nonton final pildun</t>
  </si>
  <si>
    <t>['senin', 'kan', 'tumben', 'benar', 'jalanan', 'sepi', 'pda', 'kesiangan', 'kali', 'abis', 'begadang', 'nonton', 'final', 'piala dunia']</t>
  </si>
  <si>
    <t>Good morning djiwa djiwa yang kurang tidur grgr nonton final pildun tadi pagi wkwkw  https://t.co/bf1LskX6XJ</t>
  </si>
  <si>
    <t>good morning djiwa djiwa yang kurang tidur grgr nonton final pildun tadi pagi wkwkw</t>
  </si>
  <si>
    <t>['good', 'morning', 'djiwa', 'djiwa', 'kurang', 'tidur', 'grgr', 'nonton', 'final', 'piala dunia', 'tadi', 'pagi', 'wkwkw']</t>
  </si>
  <si>
    <t>Chat mesi ke mamah selepas final pildun  https://t.co/jbgjcWpfiA</t>
  </si>
  <si>
    <t>chat mesi mamah selepas final pildun</t>
  </si>
  <si>
    <t>['chat', 'mesi', 'mamah', 'selepas', 'final', 'piala dunia']</t>
  </si>
  <si>
    <t>Bwat yang kehilangan uang, Hp, motor, mobil, rumah dan bahkan ganti agama karena final Pildun, semoga diberikan ketabahan dan kesabaran ü§≤ü§≤</t>
  </si>
  <si>
    <t>bwat yang kehilangan uang motor mobil rumah dan bahkan ganti agama karena final pildun semoga diberikan ketabahan dan kesabaran</t>
  </si>
  <si>
    <t>['bwat', 'kehilangan', 'uang', 'motor', 'mobil', 'rumah', 'bahkan', 'ganti', 'agama', 'final', 'piala dunia', 'semoga', 'diberikan', 'ketabahan', 'kesabaran']</t>
  </si>
  <si>
    <t>Tp final pildun emg seseruuu ituu sihhh woyy ü§ßü§ß</t>
  </si>
  <si>
    <t>final pildun emg seseruuu ituu sihhh woyy</t>
  </si>
  <si>
    <t>['final', 'piala dunia', 'memang', 'seseruuu', 'ituu', 'sihhh', 'woyy']</t>
  </si>
  <si>
    <t>Ya kadung mesesangi beli jersey messi argentina final pildun 2022  sy benci messi sbnrnya kalo di klub sumpah  Seneng seneng dulu sm goat argentina sblm dibikin gedeg di klub lagi</t>
  </si>
  <si>
    <t>kadung mesesangi beli jersey messi argentina final pildun benci messi sbnrnya kalo klub sumpah seneng seneng dulu goat argentina sblm dibikin gedeg klub lagi</t>
  </si>
  <si>
    <t>['kadung', 'mesesangi', 'beli', 'jersey', 'messi', 'argentina', 'final', 'piala dunia', 'benci', 'messi', 'sebenarnya', 'klub', 'sumpah', 'seneng', 'seneng', 'dulu', 'goat', 'argentina', 'sebelum', 'dibikin', 'gedeg', 'klub']</t>
  </si>
  <si>
    <t>Bangun kesiangan karena abis nonton final pildun gak mengecewakan sih hehe kanggoin masak kilat aja  dan anak anak belum pada bangun biar dah mumpung libur juga hehe   Selamat pagi teman teman tweetland  Semangat ya...   Ingat sarapan ya...  https://t.co/Ika8R09Qli</t>
  </si>
  <si>
    <t>bangun kesiangan karena abis nonton final pildun gak mengecewakan sih hehe kanggoin masak kilat aja dan anak anak belum pada bangun biar dah mumpung libur juga hehe selamat pagi teman teman tweetland semangat ingat sarapan</t>
  </si>
  <si>
    <t>['bangun', 'kesiangan', 'abis', 'nonton', 'final', 'piala dunia', 'mengecewakan', 'kanggoin', 'masak', 'kilat', 'anak', 'anak', 'bangun', 'dah', 'mumpung', 'libur', 'selamat', 'pagi', 'teman', 'teman', 'tweetland', 'semangat', 'ingat', 'sarapan']</t>
  </si>
  <si>
    <t>Alhamdulillah...argentina menang, Rafathar full senyum &amp;amp; ga disalahin lagi krn pake jersey argentina pas nonton final pildun.</t>
  </si>
  <si>
    <t>alhamdulillah argentina menang rafathar full senyum disalahin lagi krn pake jersey argentina pas nonton final pildun</t>
  </si>
  <si>
    <t>['alhamdulillah', 'argentina', 'menang', 'rafathar', 'full', 'senyum', 'disalahin', 'pake', 'jersey', 'argentina', 'pas', 'nonton', 'final', 'piala dunia']</t>
  </si>
  <si>
    <t>Obrolan pagi di kantor ngebahas final pildun</t>
  </si>
  <si>
    <t>obrolan pagi kantor ngebahas final pildun</t>
  </si>
  <si>
    <t>['obrolan', 'pagi', 'kantor', 'ngebahas', 'final', 'piala dunia']</t>
  </si>
  <si>
    <t>Orang lemah itu adalah yang izin kerja masuk siang karena habis nonton final pildun.</t>
  </si>
  <si>
    <t>orang lemah itu adalah yang izin kerja masuk siang karena habis nonton final pildun</t>
  </si>
  <si>
    <t>['orang', 'lemah', 'izin', 'kerja', 'masuk', 'siang', 'habis', 'nonton', 'final', 'piala dunia']</t>
  </si>
  <si>
    <t>Hattrick di final pildun. GG</t>
  </si>
  <si>
    <t>hattrick final pildun</t>
  </si>
  <si>
    <t>['hattrick', 'final', 'piala dunia']</t>
  </si>
  <si>
    <t>Alasan nonton final pildun karena penasaran sama Dybala Alasan dukung Messi karena bf nya Neymar Alasan gak suka Mbappe karena lagi berseteru sama Neymar</t>
  </si>
  <si>
    <t>alasan nonton final pildun karena penasaran sama dybala alasan dukung messi karena nya neymar alasan gak suka mbappe karena lagi berseteru sama neymar</t>
  </si>
  <si>
    <t>['alasan', 'nonton', 'final', 'piala dunia', 'penasaran', 'sama', 'dybala', 'alasan', 'dukung', 'messi', 'neymar', 'alasan', 'suka', 'mbappe', 'berseteru', 'sama', 'neymar']</t>
  </si>
  <si>
    <t>Pertama musim ini ga nonton game Eagles full karna nonton final pildun. Fair trade to witnessing Messi legendary moment ü§ù</t>
  </si>
  <si>
    <t>pertama musim ini nonton game eagles full karna nonton final pildun fair trade witnessing messi legendary moment</t>
  </si>
  <si>
    <t>['pertama', 'musim', 'nonton', 'game', 'eagles', 'full', 'karna', 'nonton', 'final', 'piala dunia', 'fair', 'trade', 'witnessing', 'messi', 'legendary', 'moment']</t>
  </si>
  <si>
    <t>Mpabbe, 23th. Hattrick di Stage Final pildun. Gokil!</t>
  </si>
  <si>
    <t>mpabbe hattrick stage final pildun gokil</t>
  </si>
  <si>
    <t>['mpabbe', 'hattrick', 'stage', 'final', 'piala dunia', 'gila']</t>
  </si>
  <si>
    <t>w gak ngerti pildunüò≠ bukannya argentina pernah kalah sama arab ya? kok bisa maju ke final, penasaranüßê atau w yg ngehiwal</t>
  </si>
  <si>
    <t>gak ngerti pildun bukannya argentina pernah kalah sama arab kok bisa maju final penasaran atau ngehiwal</t>
  </si>
  <si>
    <t>['ngerti', 'piala dunia', 'bukannya', 'argentina', 'pernah', 'kalah', 'sama', 'arab', 'kok', 'maju', 'final', 'penasaran', 'ngehiwal']</t>
  </si>
  <si>
    <t>Nonton final pildun di tv‚ùé Nonton final pildun di au‚òëÔ∏è üò≠üëåüèª</t>
  </si>
  <si>
    <t>nonton final pildun nonton final pildun</t>
  </si>
  <si>
    <t>['nonton', 'final', 'piala dunia', 'nonton', 'final', 'piala dunia']</t>
  </si>
  <si>
    <t>&lt;FreqDist with 3 samples and 6 outcomes&gt;</t>
  </si>
  <si>
    <t>Final Pildun paling tunduh. Lg kurang tidur jadi pas menit 90 sudah hilang ingatan. Bangun2 udah selebrasi. Saatnya nonton highlights</t>
  </si>
  <si>
    <t>final pildun paling tunduh kurang tidur jadi pas menit sudah hilang ingatan bangun udah selebrasi saatnya nonton highlights</t>
  </si>
  <si>
    <t>['final', 'piala dunia', 'paling', 'tunduh', 'kurang', 'tidur', 'jadi', 'pas', 'menit', 'hilang', 'ingatan', 'bangun', 'udah', 'selebrasi', 'saatnya', 'nonton', 'highlights']</t>
  </si>
  <si>
    <t>Lu emang ga main di final bang tapi sebelum masuk final lu udh berusaha sangat keras bang jagain pertahanan argentina... pildun depan jd benteng utama argen bangüò≠üòòüëç  https://t.co/2zomPTu0yH</t>
  </si>
  <si>
    <t>emang main final bang tapi sebelum masuk final udh berusaha sangat keras bang jagain pertahanan argentina pildun depan benteng utama argen bang</t>
  </si>
  <si>
    <t>['emang', 'main', 'final', 'bang', 'masuk', 'final', 'sudah', 'berusaha', 'sangat', 'keras', 'bang', 'jagain', 'pertahanan', 'argentina', 'piala dunia', 'depan', 'benteng', 'utama', 'argen', 'bang']</t>
  </si>
  <si>
    <t>@FaktaSepakbola momen dmna byk orang bacot ttg pildun d qatar kagak mau nntn krna blabla  tp stlh mulai ttp nntn smpek final.</t>
  </si>
  <si>
    <t>momen dmna byk orang bacot ttg pildun qatar kagak mau nntn krna blabla stlh mulai ttp nntn smpek final</t>
  </si>
  <si>
    <t>['momen', 'dmna', 'byk', 'orang', 'bacot', 'ttg', 'piala dunia', 'qatar', 'kagak', 'mau', 'nonton', 'krna', 'blabla', 'stlh', 'mulai', 'ttp', 'nonton', 'smpek', 'final']</t>
  </si>
  <si>
    <t>jongin nonton final pildun lucu deh :(</t>
  </si>
  <si>
    <t>jongin nonton final pildun lucu deh</t>
  </si>
  <si>
    <t>['jongin', 'nonton', 'final', 'piala dunia', 'lucu', 'deh']</t>
  </si>
  <si>
    <t>@Martabakmatcha @Jafar_Bahloul @txtdrjkt Iyaa maap typo.. soale sambil nonton final pildun.. üòÅüá¶üá∑</t>
  </si>
  <si>
    <t>bahloul iyaa maap typo soale sambil nonton final pildun</t>
  </si>
  <si>
    <t>['bahloul', 'iyaa', 'maap', 'typo', 'soale', 'nonton', 'final', 'piala dunia']</t>
  </si>
  <si>
    <t>bang nobar final pildun ga @OhMyDayomi</t>
  </si>
  <si>
    <t>bang nobar final pildun</t>
  </si>
  <si>
    <t>['bang', 'nonton bareng', 'final', 'piala dunia']</t>
  </si>
  <si>
    <t>Sebelum pildun ada yg ngebayangin main di final lawan Messi, eh doi malah kalah di 8 besar üòÇ  https://t.co/SpstJIYWIL</t>
  </si>
  <si>
    <t>sebelum pildun ada ngebayangin main final lawan messi doi malah kalah besar</t>
  </si>
  <si>
    <t>['piala dunia', 'ngebayangin', 'main', 'final', 'lawan', 'messi', 'doi', 'malah', 'kalah', 'besar']</t>
  </si>
  <si>
    <t>‚ö†Ô∏è Muchas Gracias Content ‚ö†Ô∏è  Tweet Senin pagi bapak-bapak Band Teng sehabis nobar dan taruhan final pildun.  Andreas-Jordy (ARG) VS Martin-Vian (FRN) üôÇ  https://t.co/7A36GoP4LC</t>
  </si>
  <si>
    <t>muchas gracias content tweet senin pagi bapak bapak band teng sehabis nobar dan taruhan final pildun andreas jordy arg martin vian frn</t>
  </si>
  <si>
    <t>['muchas', 'gracias', 'content', 'tweet', 'senin', 'pagi', 'bapak', 'bapak', 'band', 'teng', 'sehabis', 'nonton bareng', 'taruhan', 'final', 'piala dunia', 'andreas', 'jordy', 'arg', 'martin', 'vian', 'frn']</t>
  </si>
  <si>
    <t>@celiwn IYAAA, aku gapernah ngikutin pildun giliran semalem ngikutin soalnya final ternyata seruuu jg nyesel ga nonton dr awalüò≠üëç</t>
  </si>
  <si>
    <t>iyaaa aku gapernah ngikutin pildun giliran semalem ngikutin soalnya final ternyata seruuu nyesel nonton awal</t>
  </si>
  <si>
    <t>['iyaaa', 'aku', 'gapernah', 'ngikutin', 'piala dunia', 'giliran', 'semalam', 'ngikutin', 'soalnya', 'final', 'ternyata', 'seruuu', 'nyesel', 'nonton', 'awal']</t>
  </si>
  <si>
    <t>final pildun teroke dengan rungkad tergede üèÜ</t>
  </si>
  <si>
    <t>final pildun teroke dengan rungkad tergede</t>
  </si>
  <si>
    <t>['final', 'piala dunia', 'teroke', 'rungkad', 'tergede']</t>
  </si>
  <si>
    <t>Deg deg an sama pacar‚ùå Deg deg an final pildun ‚úÖ</t>
  </si>
  <si>
    <t>deg deg sama pacar deg deg final pildun</t>
  </si>
  <si>
    <t>['deg', 'deg', 'sama', 'pacar', 'deg', 'deg', 'final', 'piala dunia']</t>
  </si>
  <si>
    <t>&lt;FreqDist with 5 samples and 8 outcomes&gt;</t>
  </si>
  <si>
    <t>Puas banget sama final pildun 2022. What a game. Congrats Argentina. GOAT messi!! Great game, France.#WorldCupFinal  https://t.co/l2VVrUZpAJ</t>
  </si>
  <si>
    <t>puas banget sama final pildun what game congrats argentina goat messi great game france</t>
  </si>
  <si>
    <t>['puas', 'banget', 'sama', 'final', 'piala dunia', 'what', 'game', 'congrats', 'argentina', 'goat', 'messi', 'great', 'game', 'france']</t>
  </si>
  <si>
    <t>Pertama x nonton pildun th 1994 sampe skrg 2022, pildun 2022 ini yg the best, penuh kejutan dr babak penyisihan sampe partai final yg enak di tonton, cos final2 pildun sebelumnya membosankan</t>
  </si>
  <si>
    <t>pertama nonton pildun sampe skrg pildun ini the best penuh kejutan babak penyisihan sampe partai final enak tonton cos final pildun sebelumnya membosankan</t>
  </si>
  <si>
    <t>['pertama', 'nonton', 'piala dunia', 'sampai', 'skrg', 'piala dunia', 'the', 'best', 'penuh', 'kejutan', 'babak', 'penyisihan', 'sampai', 'partai', 'final', 'enak', 'tonton', 'cos', 'final', 'piala dunia', 'sebelumnya', 'membosankan']</t>
  </si>
  <si>
    <t>Harus diakui ini final pildun paling rame yg pernah ditonton. Congratulations #ARG Entertainment value go brrrrrrr #WorldCup</t>
  </si>
  <si>
    <t>harus diakui ini final pildun paling rame pernah ditonton congratulations entertainment value brrrrrrr</t>
  </si>
  <si>
    <t>['diakui', 'final', 'piala dunia', 'paling', 'ramai', 'pernah', 'ditonton', 'congratulations', 'entertainment', 'value', 'brrrrrrr']</t>
  </si>
  <si>
    <t>aku yg pengen liat messi vs ronaldo di final pildun ternyata malah liat messi vs fans ronaldo</t>
  </si>
  <si>
    <t>aku pengen liat messi ronaldo final pildun ternyata malah liat messi fans ronaldo</t>
  </si>
  <si>
    <t>['aku', 'pengen', 'lihat', 'messi', 'ronaldo', 'final', 'piala dunia', 'ternyata', 'malah', 'lihat', 'messi', 'fans', 'ronaldo']</t>
  </si>
  <si>
    <t>Jelas. Kapan lagi nonton final pildun berasa naik rollercoaster? Dari seneng, tegang, panik, seneng lagi, panik lagiüòÇ  Bahkan ngecek BPM nyampe angka 132 wkwkwkwk</t>
  </si>
  <si>
    <t>jelas kapan lagi nonton final pildun berasa naik rollercoaster dari seneng tegang panik seneng lagi panik lagi bahkan ngecek bpm nyampe angka wkwkwkwk</t>
  </si>
  <si>
    <t>['jelas', 'kapan', 'nonton', 'final', 'piala dunia', 'berasa', 'naik', 'rollercoaster', 'seneng', 'tegang', 'panik', 'seneng', 'panik', 'bahkan', 'ngecek', 'bpm', 'sampai', 'angka', 'wkwkwkwk']</t>
  </si>
  <si>
    <t xml:space="preserve">@idextratime Ini ni yang tidak orang suka dari fans Messi. Mereka lupa kalau Messi ya Messi emang udah yang terbaik. Yang perlu diingat pahlawan kemenangan segenap sebenarnya dalam pildun 2022 terutama final. Jangan hanya messa Messi. Saya fans Messi dan </t>
  </si>
  <si>
    <t>ini yang tidak orang suka dari fans messi mereka lupa kalau messi messi emang udah yang terbaik yang perlu diingat pahlawan kemenangan segenap sebenarnya dalam pildun terutama final jangan hanya messa messi saya fans messi dan</t>
  </si>
  <si>
    <t>['orang', 'suka', 'fans', 'messi', 'lupa', 'kalau', 'messi', 'messi', 'emang', 'udah', 'terbaik', 'perlu', 'diingat', 'pahlawan', 'kemenangan', 'segenap', 'sebenarnya', 'piala dunia', 'terutama', 'final', 'jangan', 'messa', 'messi', 'fans', 'messi']</t>
  </si>
  <si>
    <t>Tapi asli lega bgt sattt, kek hidup dn mati ini final pildun</t>
  </si>
  <si>
    <t>tapi asli lega bgt sattt kek hidup mati ini final pildun</t>
  </si>
  <si>
    <t>['asli', 'lega', 'banget', 'sattt', 'kek', 'hidup', 'mati', 'final', 'piala dunia']</t>
  </si>
  <si>
    <t>@idextratime Giliran argentina dikasih pinalty dikatain curang, prncs dikasih 2 pinalty, Argentina tetep dibilang curang settingan ü§£ü§£ü§£ü§£ kocak geming</t>
  </si>
  <si>
    <t>giliran argentina dikasih pinalty dikatain curang prncs dikasih pinalty argentina tetep dibilang curang settingan kocak geming</t>
  </si>
  <si>
    <t>['giliran', 'argentina', 'dikasih', 'pinalty', 'dikatain', 'curang', 'prncs', 'dikasih', 'pinalty', 'argentina', 'tetep', 'dibilang', 'curang', 'settingan', 'kocak', 'geming']</t>
  </si>
  <si>
    <t>@idextratime Nah kalau argentina yang dapat 2 pinalti itu di anggap curang, giliran prancis yang dapat di anggap layak.  Argentina kalah lawan arab, menang lawan polandia, mexico, australia tanpa bantuan penalty, lawan belanda &amp;amp; prancis adu nasib (adu</t>
  </si>
  <si>
    <t>nah kalau argentina yang dapat pinalti itu anggap curang giliran prancis yang dapat anggap layak argentina kalah lawan arab menang lawan polandia mexico australia tanpa bantuan penalty lawan belanda prancis adu nasib adu</t>
  </si>
  <si>
    <t>['nah', 'kalau', 'argentina', 'penalti', 'anggap', 'curang', 'giliran', 'prancis', 'anggap', 'layak', 'argentina', 'kalah', 'lawan', 'arab', 'menang', 'lawan', 'polandia', 'mexico', 'australia', 'bantuan', 'penalty', 'lawan', 'belanda', 'prancis', 'adu', 'nasib', 'adu']</t>
  </si>
  <si>
    <t>@gaarapasir77 @GOAL_ID Apa karna argentina dapat penalty di bilang curang? Gimana dgn prancis juara 2018 4/5 penalty kok di anggap layak?</t>
  </si>
  <si>
    <t>apa karna argentina dapat penalty bilang curang gimana dgn prancis juara penalty kok anggap layak</t>
  </si>
  <si>
    <t>['apa', 'karna', 'argentina', 'penalty', 'curang', 'gimana', 'prancis', 'juara', 'penalty', 'kok', 'anggap', 'layak']</t>
  </si>
  <si>
    <t>Masyarakat Prancis membuat sebuah petisi online di laman MesOpinions. Mereka menginginkan agar pertandingan diulang karena wasit dianggap curang. Komentar kalian? ü§î #pialadunia2022 #prancis #argentina #petisi  https://t.co/KriabzdrtT</t>
  </si>
  <si>
    <t>masyarakat prancis membuat sebuah petisi online laman mesopinions mereka menginginkan agar pertandingan diulang karena wasit dianggap curang komentar kalian</t>
  </si>
  <si>
    <t>['masyarakat', 'prancis', 'membuat', 'sebuah', 'petisi', 'online', 'laman', 'mesopinions', 'menginginkan', 'pertandingan', 'diulang', 'wasit', 'dianggap', 'curang', 'komentar', 'kalian']</t>
  </si>
  <si>
    <t>@FaktaSepakbola Hay kawan ia sh emang argentina curang... Tapi y sudah udah terjadi biarkan argentina merayakan kemenangan yg menurut mereka membanggakan...</t>
  </si>
  <si>
    <t>hay kawan emang argentina curang tapi sudah udah terjadi biarkan argentina merayakan kemenangan menurut mereka membanggakan</t>
  </si>
  <si>
    <t>['hay', 'kawan', 'emang', 'argentina', 'curang', 'udah', 'terjadi', 'biarkan', 'argentina', 'merayakan', 'kemenangan', 'membanggakan']</t>
  </si>
  <si>
    <t>Timnas Argentina Dituding Curang di Piala Dunia 2022 Qatar  https://t.co/wvXaPJZOXY</t>
  </si>
  <si>
    <t>timnas argentina dituding curang piala dunia qatar</t>
  </si>
  <si>
    <t>['timnas', 'argentina', 'dituding', 'curang', 'piala', 'dunia', 'qatar']</t>
  </si>
  <si>
    <t>Pandit Mesiko Tuduh Argentina Jadi Juara Piala Dunia dengan Curang, Ada yang Sengaja Ingin Memenangkan Messi  #PanditMesiko #PialaDunia2022 #leomessi   https://t.co/3pzVO2sFXW</t>
  </si>
  <si>
    <t>pandit mesiko tuduh argentina jadi juara piala dunia dengan curang ada yang sengaja ingin memenangkan messi</t>
  </si>
  <si>
    <t>['pandit', 'mesiko', 'tuduh', 'argentina', 'jadi', 'juara', 'piala', 'dunia', 'curang', 'sengaja', 'memenangkan', 'messi']</t>
  </si>
  <si>
    <t>Argentina Dituduh Curang di Piala Dunia 2022 #Argentina #PialaDunia2022 #WorldCup #WorldCupFinal   https://t.co/Mf45S9qCIS lewat @Holopis.com</t>
  </si>
  <si>
    <t>argentina dituduh curang piala dunia lewat com</t>
  </si>
  <si>
    <t>['argentina', 'dituduh', 'curang', 'piala', 'dunia', 'lewat', 'com']</t>
  </si>
  <si>
    <t>@j_a_nadhir @a12em4 @penerbitfandom iya curang banget, sebelum pemain argentina handball pemain prancis udah handball duluan</t>
  </si>
  <si>
    <t>nadhir iya curang banget sebelum pemain argentina handball pemain prancis udah handball duluan</t>
  </si>
  <si>
    <t>['nadhir', 'iya', 'curang', 'banget', 'pemain', 'argentina', 'handball', 'pemain', 'prancis', 'udah', 'handball', 'duluan']</t>
  </si>
  <si>
    <t>@detiksport Harus nya foto theo hernandez di mistar itu. Yg megang piala nya itu harus nya Giroud.  Final nya udh disetting utk argentina. Wasit curang. Xixixixixi</t>
  </si>
  <si>
    <t>harus nya foto theo hernandez mistar itu megang piala nya itu harus nya giroud final nya udh disetting utk argentina wasit curang xixixixixi</t>
  </si>
  <si>
    <t>['foto', 'theo', 'hernandez', 'mistar', 'megang', 'piala', 'giroud', 'final', 'sudah', 'disetting', 'argentina', 'wasit', 'curang', 'xixixixixi']</t>
  </si>
  <si>
    <t>@idextratime Yg blng Argentina menang curang sebagian besar fans CR7,ternyata fans CR7 otakny isiny taik semua,GK bisa mengakui keberhasilan rival CR7</t>
  </si>
  <si>
    <t>blng argentina menang curang sebagian besar fans ternyata fans otakny isiny taik semua bisa mengakui keberhasilan rival</t>
  </si>
  <si>
    <t>['blng', 'argentina', 'menang', 'curang', 'sebagian', 'besar', 'fans', 'ternyata', 'fans', 'otakny', 'isiny', 'taik', 'semua', 'mengakui', 'keberhasilan', 'rival']</t>
  </si>
  <si>
    <t>Orang-orang Argentina, punya DNA Italia, ibunya Maradona orang italia, italia punya pakem seni bermain sepak bola 'Curang' disebut Furbizia, ditulis sama Gianluca Vialli di bukunya The Italian Job, nggak salah kalo disebut 'Punya DNA Curang' ya emang gitu kenyataannya üòÇ</t>
  </si>
  <si>
    <t>orang orang argentina punya dna italia ibunya maradona orang italia italia punya pakem seni bermain sepak bola curang disebut furbizia ditulis sama gianluca vialli bukunya the italian job nggak salah kalo disebut punya dna curang emang gitu kenyataannya</t>
  </si>
  <si>
    <t>['orang', 'orang', 'argentina', 'punya', 'dna', 'italia', 'ibunya', 'maradona', 'orang', 'italia', 'italia', 'punya', 'pakem', 'seni', 'bermain', 'sepak', 'bola', 'curang', 'disebut', 'furbizia', 'ditulis', 'sama', 'gianluca', 'vialli', 'bukunya', 'the', 'italian', 'job', 'salah', 'disebut', 'punya', 'dna', 'curang', 'emang', 'gitu', 'kenyataannya']</t>
  </si>
  <si>
    <t>@desiloyuda laaah curang iki jenenge. lek argentina vs arab gapapa wes mas aku ngalah pilih arab. sek kurang? tak pur setengah wes mas  ancen apikan aku uwonge</t>
  </si>
  <si>
    <t>laaah curang iki jenenge lek argentina arab gapapa wes mas aku ngalah pilih arab sek kurang tak pur setengah wes mas ancen apikan aku uwonge</t>
  </si>
  <si>
    <t>['laaah', 'curang', 'iki', 'jenenge', 'lek', 'argentina', 'arab', 'gapapa', 'wes', 'mas', 'aku', 'ngalah', 'pilih', 'arab', 'sek', 'kurang', 'tak', 'pur', 'setengah', 'wes', 'mas', 'ancen', 'apikan', 'aku', 'uwonge']</t>
  </si>
  <si>
    <t>@HusinShihab Jangan kaya kadrun otaknya ya,pak Jokowi menang bilang curang, Argentina menang bilang wasit curang.</t>
  </si>
  <si>
    <t>jangan kaya kadrun otaknya pak jokowi menang bilang curang argentina menang bilang wasit curang</t>
  </si>
  <si>
    <t>['jangan', 'kaya', 'kadrun', 'otaknya', 'pak', 'jokowi', 'menang', 'curang', 'argentina', 'menang', 'wasit', 'curang']</t>
  </si>
  <si>
    <t>@dazaiose gue tadi ke rumah bapak gue, ancrit blio bilang argentina menang curang, sakit hati gue mau mendebat tapi segan</t>
  </si>
  <si>
    <t>gue tadi rumah bapak gue ancrit blio bilang argentina menang curang sakit hati gue mau mendebat tapi segan</t>
  </si>
  <si>
    <t>['gue', 'tadi', 'rumah', 'bapak', 'gue', 'ancrit', 'blio', 'argentina', 'menang', 'curang', 'sakit', 'hati', 'gue', 'mau', 'mendebat', 'segan']</t>
  </si>
  <si>
    <t>@Cristiano_time7 @idextratime Manusia itu mahluk materi ü•π, mau curang atau tidak fakta sejarah Argentina juara, tangan setan Maradona saja ga bisa dirubah fakta dia juara. Mo nipu atau kagak sultan2 tetap saja dipuja dimana2.  Di bumi ga ada Ga ada pia</t>
  </si>
  <si>
    <t>time manusia itu mahluk materi mau curang atau tidak fakta sejarah argentina juara tangan setan maradona saja bisa dirubah fakta dia juara nipu atau kagak sultan tetap saja dipuja dimana bumi ada ada pia</t>
  </si>
  <si>
    <t>['time', 'manusia', 'mahluk', 'materi', 'mau', 'curang', 'fakta', 'sejarah', 'argentina', 'juara', 'tangan', 'setan', 'maradona', 'dirubah', 'fakta', 'juara', 'nipu', 'kagak', 'sultan', 'tetap', 'dipuja', 'bumi', 'pia']</t>
  </si>
  <si>
    <t>@memefess kenapa ga argentina vs portugal aja di final kalo emang curang/settingan?</t>
  </si>
  <si>
    <t>kenapa argentina portugal aja final kalo emang curang settingan</t>
  </si>
  <si>
    <t>['argentina', 'portugal', 'final', 'emang', 'curang', 'settingan']</t>
  </si>
  <si>
    <t xml:space="preserve">@alisyarief mendingan ga usah bertanding, jika takut kalah  nantinya akan begitu banyak alasan; wasit (KPU) &amp;amp; pengawas pertandingan (Bawaslu) dianggap tak adil, capres lainnya dituduh curang dan tak mau menerima kekalahan  mari belajar pada pendukung </t>
  </si>
  <si>
    <t>mendingan usah bertanding jika takut kalah nantinya akan begitu banyak alasan wasit kpu pengawas pertandingan bawaslu dianggap tak adil capres lainnya dituduh curang dan tak mau menerima kekalahan mari belajar pada pendukung</t>
  </si>
  <si>
    <t>['mendingan', 'usah', 'bertanding', 'takut', 'kalah', 'nantinya', 'banyak', 'alasan', 'wasit', 'kpu', 'pengawas', 'pertandingan', 'bawaslu', 'dianggap', 'tak', 'adil', 'capres', 'lainnya', 'dituduh', 'curang', 'tak', 'mau', 'menerima', 'kekalahan', 'belajar', 'pendukung']</t>
  </si>
  <si>
    <t>@upiregret70 @_rewhy @idextratime Wkwkwkwk bang Cruyff nolak main pas 1978 waktu itu rumornya lebih ke arah Cruyff yang boikot Presiden Argentina saat itu karena isu HAM. Dia vocal bgt sblmnya soal itu. Trs seinget gua, dia sempet buka suara, klo slh satu</t>
  </si>
  <si>
    <t>wkwkwkwk bang cruyff nolak main pas waktu itu rumornya lebih arah cruyff yang boikot presiden argentina saat itu karena isu ham dia vocal bgt sblmnya soal itu trs seinget gua dia sempet buka suara klo slh satu</t>
  </si>
  <si>
    <t>['wkwkwkwk', 'bang', 'cruyff', 'nolak', 'main', 'pas', 'waktu', 'rumornya', 'lebih', 'arah', 'cruyff', 'boikot', 'presiden', 'argentina', 'isu', 'ham', 'vocal', 'banget', 'sblmnya', 'soal', 'terus', 'seinget', 'gua', 'sempet', 'buka', 'suara', 'salah', 'satu']</t>
  </si>
  <si>
    <t>@idextratime Ya sih menang sih menang tapi menang dengan jalur curang/settingan kaya gimana gitu tapi tetep respect sih buat Argentina, vamos Messi, Ronaldo&amp;gt;Messi All Time</t>
  </si>
  <si>
    <t>sih menang sih menang tapi menang dengan jalur curang settingan kaya gimana gitu tapi tetep respect sih buat argentina vamos messi ronaldo messi all time</t>
  </si>
  <si>
    <t>['menang', 'menang', 'menang', 'jalur', 'curang', 'settingan', 'kaya', 'gimana', 'gitu', 'tetep', 'respect', 'buat', 'argentina', 'vamos', 'messi', 'ronaldo', 'messi', 'all', 'time']</t>
  </si>
  <si>
    <t>@stadiuvm @dslksn @andiiskndr_ @idextratime itu namanya respect goblok, jadi mau lu gw ngamuk2 Argentina curang? sementara matchnya uda selesai üò≠ sampah banged pemikiran kekgitu. lagian dari awal gw respect ke messi dan gw ngebacod trus itu, lu sadar g</t>
  </si>
  <si>
    <t>itu namanya respect goblok jadi mau ngamuk argentina curang sementara matchnya uda selesai sampah banged pemikiran kekgitu lagian dari awal respect messi dan ngebacod trus itu sadar</t>
  </si>
  <si>
    <t>['namanya', 'respect', 'goblok', 'jadi', 'mau', 'ngamuk', 'argentina', 'curang', 'matchnya', 'uda', 'selesai', 'sampah', 'banged', 'pemikiran', 'kekgitu', 'lagian', 'awal', 'respect', 'messi', 'ngebacod', 'trus', 'sadar']</t>
  </si>
  <si>
    <t>@_rewhy @idextratime Yak bener cuy. Yang juara 78 aja curang pas lawan belanda. Gue inget banget itu. Cruyf aja ampe gamau berangkat ke argentina. Hilih</t>
  </si>
  <si>
    <t>yak bener cuy yang juara aja curang pas lawan belanda gue inget banget itu cruyf aja ampe gamau berangkat argentina hilih</t>
  </si>
  <si>
    <t>['yak', 'benar', 'juara', 'curang', 'pas', 'lawan', 'belanda', 'gue', 'inget', 'banget', 'cruyf', 'sampai', 'gamau', 'berangkat', 'argentina', 'hilih']</t>
  </si>
  <si>
    <t>@ROOXTBEER curang itu argentina main dukun üò≠</t>
  </si>
  <si>
    <t>curang itu argentina main dukun</t>
  </si>
  <si>
    <t>['curang', 'argentina', 'main', 'dukun']</t>
  </si>
  <si>
    <t>rejeki udah diatur sedemikian rupa. mau berjuang sampe curang juga kalo bukan waktunya ya belum bisa dapet.  kira-kira begitu kata2 motivator menyikapi fenomena argentina juara dunia.</t>
  </si>
  <si>
    <t>rejeki udah diatur sedemikian rupa mau berjuang sampe curang juga kalo bukan waktunya belum bisa dapet kira kira begitu kata motivator menyikapi fenomena argentina juara dunia</t>
  </si>
  <si>
    <t>['rejeki', 'udah', 'diatur', 'sedemikian', 'rupa', 'mau', 'berjuang', 'sampai', 'curang', 'bukan', 'waktunya', 'dapat', 'kira', 'kira', 'kata', 'motivator', 'menyikapi', 'fenomena', 'argentina', 'juara', 'dunia']</t>
  </si>
  <si>
    <t>daripada maradona yang sengaja curang bikin handball buat menangin wc mending messi yang layak jadi tuhan buat orang argentina</t>
  </si>
  <si>
    <t>daripada maradona yang sengaja curang bikin handball buat menangin mending messi yang layak jadi tuhan buat orang argentina</t>
  </si>
  <si>
    <t>['maradona', 'sengaja', 'curang', 'handball', 'buat', 'menangin', 'mending', 'messi', 'layak', 'jadi', 'tuhan', 'buat', 'orang', 'argentina']</t>
  </si>
  <si>
    <t>@ndagels Curang Argentina pake mage</t>
  </si>
  <si>
    <t>curang argentina pake mage</t>
  </si>
  <si>
    <t>['curang', 'argentina', 'pake', 'mage']</t>
  </si>
  <si>
    <t>Messi ini curang bgt ya semuanya dia menangin, Congrats Argentina. #TheRealGoat  #PialaDunia2022  https://t.co/Iv4Uhkd1XC</t>
  </si>
  <si>
    <t>messi ini curang bgt semuanya dia menangin congrats argentina</t>
  </si>
  <si>
    <t>['messi', 'curang', 'banget', 'semuanya', 'menangin', 'congrats', 'argentina']</t>
  </si>
  <si>
    <t>Intinya messi dan argentina curang üòÑüòÖ  Entar lah besok gue cerita-in Sekarang gue ngantuk, mo bobo ‚ò∫</t>
  </si>
  <si>
    <t>intinya messi dan argentina curang entar lah besok gue cerita sekarang gue ngantuk bobo</t>
  </si>
  <si>
    <t>['intinya', 'messi', 'argentina', 'curang', 'entar', 'lah', 'besok', 'gue', 'cerita', 'sekarang', 'gue', 'ngantuk', 'bobo']</t>
  </si>
  <si>
    <t>Lucu deh di tumblr, ada yg jelekin argentina, jelekin prancis, bilang wasitnya curang semua, nyerang presiden fifa, jelekin qatar dan ngungkit soal human right lagi</t>
  </si>
  <si>
    <t>lucu deh tumblr ada jelekin argentina jelekin prancis bilang wasitnya curang semua nyerang presiden fifa jelekin qatar dan ngungkit soal human right lagi</t>
  </si>
  <si>
    <t>['lucu', 'deh', 'tumblr', 'jelekin', 'argentina', 'jelekin', 'prancis', 'wasitnya', 'curang', 'semua', 'nyerang', 'presiden', 'fifa', 'jelekin', 'qatar', 'ngungkit', 'soal', 'human', 'right']</t>
  </si>
  <si>
    <t>Maradona di Alam Kubur bangga sama Juniornya ü§£ Kalo dulu menang cara curang, kali ini Argentina yg kena curang walaupun endingnya tetep menang üëçüèº</t>
  </si>
  <si>
    <t>maradona alam kubur bangga sama juniornya kalo dulu menang cara curang kali ini argentina kena curang walaupun endingnya tetep menang</t>
  </si>
  <si>
    <t>['maradona', 'alam', 'kubur', 'bangga', 'sama', 'juniornya', 'dulu', 'menang', 'cara', 'curang', 'kali', 'argentina', 'kena', 'curang', 'walaupun', 'endingnya', 'tetep', 'menang']</t>
  </si>
  <si>
    <t>Pas adu pinalti Argentina curang pake kiper</t>
  </si>
  <si>
    <t>pas adu pinalti argentina curang pake kiper</t>
  </si>
  <si>
    <t>['pas', 'adu', 'penalti', 'argentina', 'curang', 'pake', 'kiper']</t>
  </si>
  <si>
    <t>ARGENTINA CURANG AJG GA MAU TAU! #ronaldogoat</t>
  </si>
  <si>
    <t>argentina curang ajg mau tau</t>
  </si>
  <si>
    <t>['argentina', 'curang', 'ajg', 'mau']</t>
  </si>
  <si>
    <t>Hanya di masa pk @jokowi Argentina bisa menang #PialaDunia2022 ..Hebatt !!</t>
  </si>
  <si>
    <t>hanya masa argentina bisa menang hebatt</t>
  </si>
  <si>
    <t>['masa', 'argentina', 'menang', 'hebatt']</t>
  </si>
  <si>
    <t>argentina pasti belajar sm mal4y kan dulu pake laser buat nyerang pemain france huh curang</t>
  </si>
  <si>
    <t>argentina pasti belajar mal kan dulu pake laser buat nyerang pemain france huh curang</t>
  </si>
  <si>
    <t>['argentina', 'belajar', 'mal', 'kan', 'dulu', 'pake', 'laser', 'buat', 'nyerang', 'pemain', 'france', 'huh', 'curang']</t>
  </si>
  <si>
    <t>@idextratime Argentina sengaja mainin jantung supaya ga dibilang curang</t>
  </si>
  <si>
    <t>argentina sengaja mainin jantung supaya dibilang curang</t>
  </si>
  <si>
    <t>['argentina', 'sengaja', 'mainin', 'jantung', 'dibilang', 'curang']</t>
  </si>
  <si>
    <t>@bellatdwp penalti argentina yg pernah iya itu dicurangin karna minim kontak dari dembele, malahan cuman kena senggol ayunan tangan si dembele.   jawab dlu pertanyaan gw, paham sampe sini kenapa penalti ngaruh kali? apalagi kalau penalti hasil dari curang</t>
  </si>
  <si>
    <t>penalti argentina pernah iya itu dicurangin karna minim kontak dari dembele malahan cuman kena senggol ayunan tangan dembele jawab dlu pertanyaan paham sampe sini kenapa penalti ngaruh kali apalagi kalau penalti hasil dari curang</t>
  </si>
  <si>
    <t>['penalti', 'argentina', 'pernah', 'iya', 'dicurangin', 'karna', 'minim', 'kontak', 'dembele', 'malahan', 'cuman', 'kena', 'senggol', 'ayunan', 'tangan', 'dembele', 'jawab', 'dlu', 'pertanyaan', 'paham', 'sampai', 'sini', 'penalti', 'ngaruh', 'kali', 'kalau', 'penalti', 'hasil', 'curang']</t>
  </si>
  <si>
    <t>argentina curang, messinya ada 2</t>
  </si>
  <si>
    <t>argentina curang messinya ada</t>
  </si>
  <si>
    <t>['argentina', 'curang', 'messinya']</t>
  </si>
  <si>
    <t>@idextratime Kalo Argentina menang, aku menang taruhan ü§£ pdhl Argentina mainan curang, manja dikit2 jatoh tp ya itulah kekuatan orang dalam ü§£üç∫</t>
  </si>
  <si>
    <t>kalo argentina menang aku menang taruhan pdhl argentina mainan curang manja dikit jatoh itulah kekuatan orang dalam</t>
  </si>
  <si>
    <t>['argentina', 'menang', 'aku', 'menang', 'taruhan', 'pdhl', 'argentina', 'mainan', 'curang', 'manja', 'dikit', 'jatoh', 'kekuatan', 'orang']</t>
  </si>
  <si>
    <t>Argentina emang dari awal turnamen menangnya menang curang</t>
  </si>
  <si>
    <t>argentina emang dari awal turnamen menangnya menang curang</t>
  </si>
  <si>
    <t>['argentina', 'emang', 'awal', 'turnamen', 'menangnya', 'menang', 'curang']</t>
  </si>
  <si>
    <t>Curang Argentina bawa Bunda Maria</t>
  </si>
  <si>
    <t>curang argentina bawa bunda maria</t>
  </si>
  <si>
    <t>['curang', 'argentina', 'bawa', 'bunda', 'maria']</t>
  </si>
  <si>
    <t>Ini curang ini, Argentina musuhnya anak SSB, gak dikasih Bola</t>
  </si>
  <si>
    <t>ini curang ini argentina musuhnya anak ssb gak dikasih bola</t>
  </si>
  <si>
    <t>['curang', 'argentina', 'musuhnya', 'anak', 'ssb', 'dikasih', 'bola']</t>
  </si>
  <si>
    <t>@idextratime ini kejadiannya persis kayak Argentina v kroasia. penaltina dapat penalti curang trus mental kroasia down akhirnya mereka uda ga semangat. semoga france ttp fokus ngalahin tim curang ini</t>
  </si>
  <si>
    <t>ini kejadiannya persis kayak argentina kroasia penaltina dapat penalti curang trus mental kroasia down akhirnya mereka uda semangat semoga france ttp fokus ngalahin tim curang ini</t>
  </si>
  <si>
    <t>['kejadiannya', 'persis', 'seperti', 'argentina', 'kroasia', 'penaltina', 'penalti', 'curang', 'trus', 'mental', 'kroasia', 'down', 'akhirnya', 'uda', 'semangat', 'semoga', 'france', 'ttp', 'fokus', 'ngalahin', 'tim', 'curang']</t>
  </si>
  <si>
    <t>Argentina curang anjing lebay lu</t>
  </si>
  <si>
    <t>argentina curang anjing lebay</t>
  </si>
  <si>
    <t>['argentina', 'curang', 'anjing', 'lebay']</t>
  </si>
  <si>
    <t>Jokowi pemimpin berhasil  Mbappe | Messi | France | Argentina | Final | Live Streaming | Piala Dunia 2022 | Qatar | Juara | Bobo | Amanda Zahra | Pinalti | Gol | Goal | Diving | curang  https://t.co/pNh00Q1pPj</t>
  </si>
  <si>
    <t>jokowi pemimpin berhasil mbappe messi france argentina final live streaming piala dunia qatar juara bobo amanda zahra pinalti gol goal diving curang</t>
  </si>
  <si>
    <t>['jokowi', 'pemimpin', 'berhasil', 'mbappe', 'messi', 'france', 'argentina', 'final', 'live', 'streaming', 'piala', 'dunia', 'qatar', 'juara', 'bobo', 'amanda', 'zahra', 'penalti', 'gol', 'goal', 'diving', 'curang']</t>
  </si>
  <si>
    <t>eh no 13 Argentina kontol curang main body</t>
  </si>
  <si>
    <t>argentina kontol curang main body</t>
  </si>
  <si>
    <t>['argentina', 'kontol', 'curang', 'main', 'body']</t>
  </si>
  <si>
    <t>Argentina curang brooo</t>
  </si>
  <si>
    <t>argentina curang brooo</t>
  </si>
  <si>
    <t>['argentina', 'curang', 'brooo']</t>
  </si>
  <si>
    <t>@meilovematcha Curang, perancis dong jgn argentina</t>
  </si>
  <si>
    <t>curang perancis dong jgn argentina</t>
  </si>
  <si>
    <t>['curang', 'perancis', 'dong', 'argentina']</t>
  </si>
  <si>
    <t>#Fifaconspiracy argentina dibuat mulus jalanya. Messi anak kesayangan. Messi emang jago banget anjing. tapi fifa curang. fifa gaadil. messi goat. ronaldo juga goat</t>
  </si>
  <si>
    <t>argentina dibuat mulus jalanya messi anak kesayangan messi emang jago banget anjing tapi fifa curang fifa gaadil messi goat ronaldo juga goat</t>
  </si>
  <si>
    <t>['argentina', 'dibuat', 'mulus', 'jalanya', 'messi', 'anak', 'kesayangan', 'messi', 'emang', 'jago', 'banget', 'anjing', 'fifa', 'curang', 'fifa', 'gaadil', 'messi', 'goat', 'ronaldo', 'goat']</t>
  </si>
  <si>
    <t>@ChelseafanIndo Jangan liat kakinya, lu liat tuh tangan doi aktif..  Yaudah sih lagian Argentina udh juara juga, kek nya masih belom terima banget üòÇ</t>
  </si>
  <si>
    <t>jangan liat kakinya liat tuh tangan doi aktif yaudah sih lagian argentina udh juara juga kek nya masih belom terima banget</t>
  </si>
  <si>
    <t>['jangan', 'lihat', 'kakinya', 'lihat', 'tangan', 'doi', 'aktif', 'yaudah', 'lagian', 'argentina', 'sudah', 'juara', 'kek', 'belom', 'terima', 'banget']</t>
  </si>
  <si>
    <t>Higuita... Itu Pumpido yg bawa Argentina juara dunia '86?</t>
  </si>
  <si>
    <t>higuita itu pumpido bawa argentina juara dunia</t>
  </si>
  <si>
    <t>['higuita', 'pumpido', 'bawa', 'argentina', 'juara', 'dunia']</t>
  </si>
  <si>
    <t>@balance__sheet @idextratime Yg bawa juara dunia buat argentina bukan messi njing, tapi FIFA üòÇüòÇüòÇ</t>
  </si>
  <si>
    <t>sheet bawa juara dunia buat argentina bukan messi njing tapi fifa</t>
  </si>
  <si>
    <t>['sheet', 'bawa', 'juara', 'dunia', 'buat', 'argentina', 'bukan', 'messi', 'njing', 'fifa']</t>
  </si>
  <si>
    <t>@BacksapceAlt @idextratime .. statistik hasil editan lu itu dek, tahun segitu prime nya Ronaldo dengan hattrick ucl, Treble tahun 2016, juara euro , sedangkan pessi dibantai As Roma, gagal penalti di final lawan Chili, pemain sampah bikin Argentina sialü</t>
  </si>
  <si>
    <t>statistik hasil editan itu dek tahun segitu prime nya ronaldo dengan hattrick ucl treble tahun juara euro sedangkan pessi dibantai roma gagal penalti final lawan chili pemain sampah bikin argentina sial</t>
  </si>
  <si>
    <t>['statistik', 'hasil', 'editan', 'dek', 'tahun', 'segitu', 'prime', 'ronaldo', 'hattrick', 'ucl', 'treble', 'tahun', 'juara', 'euro', 'pessi', 'dibantai', 'roma', 'gagal', 'penalti', 'final', 'lawan', 'chili', 'pemain', 'sampah', 'argentina', 'sial']</t>
  </si>
  <si>
    <t>@idextratime Di level nasional saja, jngankan trophy juara, penghargaan runer up saja messi punya.. Si dodo punya gak gelar runer up bersama negaranya????  Nah loh bingung kan? Wong pencapaian tertinggi sampai 8 besar saja.. Susah amat nerima klo argentin</t>
  </si>
  <si>
    <t>level nasional saja jngankan trophy juara penghargaan runer saja messi punya dodo punya gak gelar runer bersama negaranya nah loh bingung kan wong pencapaian tertinggi sampai besar saja susah amat nerima klo argentin</t>
  </si>
  <si>
    <t>['level', 'nasional', 'jngankan', 'trophy', 'juara', 'penghargaan', 'runer', 'messi', 'punya', 'dodo', 'punya', 'gelar', 'runer', 'bersama', 'negaranya', 'nah', 'bingung', 'kan', 'wong', 'pencapaian', 'tertinggi', 'besar', 'susah', 'nerima', 'argentin']</t>
  </si>
  <si>
    <t>(Leaked) Adidas akan rilis Jersey Spesial untuk Argentina terinspirasi Bisht yang dipakai Messi saat perayaan gelar Juara Piala Dunia üá¶üá∑ ‚≠ê‚≠ê‚≠ê  https://t.co/tzgS2UG4r0</t>
  </si>
  <si>
    <t>leaked adidas akan rilis jersey spesial untuk argentina terinspirasi bisht yang dipakai messi saat perayaan gelar juara piala dunia</t>
  </si>
  <si>
    <t>['leaked', 'adidas', 'rilis', 'jersey', 'spesial', 'argentina', 'terinspirasi', 'bisht', 'dipakai', 'messi', 'perayaan', 'gelar', 'juara', 'piala', 'dunia']</t>
  </si>
  <si>
    <t>@csamola13 @CoachJustinL argentina emang juara settingan hahahaha</t>
  </si>
  <si>
    <t>argentina emang juara settingan hahahaha</t>
  </si>
  <si>
    <t>['argentina', 'emang', 'juara', 'settingan', 'hahahaha']</t>
  </si>
  <si>
    <t>Salah satu alasan kenapa Argentina bisa juara yaa karena mostly pemainnya main di Eropa macem Messi,Di Maria,Enzo,Emi . Kalau mereka gak main di eropa juga mereka gak sebagus sekarang wkwkwk</t>
  </si>
  <si>
    <t>salah satu alasan kenapa argentina bisa juara yaa karena mostly pemainnya main eropa macem messi maria enzo emi kalau mereka gak main eropa juga mereka gak sebagus sekarang wkwkwk</t>
  </si>
  <si>
    <t>['salah', 'satu', 'alasan', 'argentina', 'juara', 'ya', 'mostly', 'pemainnya', 'main', 'eropa', 'macem', 'messi', 'maria', 'enzo', 'emi', 'kalau', 'main', 'eropa', 'sebagus', 'sekarang', 'wkwkwk']</t>
  </si>
  <si>
    <t>Selebrasi Emiliano Martinez coreng kesuksesan juara Argentina.   https://t.co/WRrfo8nDDU</t>
  </si>
  <si>
    <t>selebrasi emiliano martinez coreng kesuksesan juara argentina</t>
  </si>
  <si>
    <t>['selebrasi', 'emiliano', 'martinez', 'coreng', 'kesuksesan', 'juara', 'argentina']</t>
  </si>
  <si>
    <t>Masih menunggu Hakimi apakah post Merry Christmas üòÇ</t>
  </si>
  <si>
    <t>masih menunggu hakimi apakah post merry christmas</t>
  </si>
  <si>
    <t>['menunggu', 'hakimi', 'post', 'merry', 'christmas']</t>
  </si>
  <si>
    <t>Natal kurang sempurna tanpa postingan Salah</t>
  </si>
  <si>
    <t>natal kurang sempurna tanpa postingan salah</t>
  </si>
  <si>
    <t>['natal', 'kurang', 'sempurna', 'postingan', 'salah']</t>
  </si>
  <si>
    <t>@GOAL_ID ARGENTINA JUARA HOREEE</t>
  </si>
  <si>
    <t>argentina juara horeee</t>
  </si>
  <si>
    <t>['argentina', 'juara', 'horeee']</t>
  </si>
  <si>
    <t>@panca66 itu perayaan negara argentina bodoh menyambut juara piala dunia üñï</t>
  </si>
  <si>
    <t>itu perayaan negara argentina bodoh menyambut juara piala dunia</t>
  </si>
  <si>
    <t>['perayaan', 'negara', 'argentina', 'bodoh', 'menyambut', 'juara', 'piala', 'dunia']</t>
  </si>
  <si>
    <t>@SaifuddinSay @Odhe231 Kalo lihatnya dr sini ya gk keliatan lah druen. Klo jalan jgn pake keledai dan onta, di upgrade dgn teknologi. Ane kagak pergi ke Qatar buat nonton bola, tapi ane tau juara 1 nya Argentina. Tapi 1 yg jgn di upgarde druen,Naik Haji.</t>
  </si>
  <si>
    <t>kalo lihatnya sini keliatan lah druen klo jalan jgn pake keledai dan onta upgrade dgn teknologi ane kagak pergi qatar buat nonton bola tapi ane tau juara nya argentina tapi jgn upgarde druen naik haji</t>
  </si>
  <si>
    <t>['lihatnya', 'sini', 'keliatan', 'lah', 'druen', 'jalan', 'pake', 'keledai', 'onta', 'upgrade', 'teknologi', 'ane', 'kagak', 'pergi', 'qatar', 'buat', 'nonton', 'bola', 'ane', 'juara', 'argentina', 'upgarde', 'druen', 'naik', 'haji']</t>
  </si>
  <si>
    <t>Seminggu masih ngambang kyak ini beneran argentina juara kan Setelah berkali-kali liat mereka jatuh bangun, dan akhirnya berhasil jadi saksi 2 dari 3 kompetisi yg mereka lalui berujung trophy dalam kurun waktu 1.5 tahun</t>
  </si>
  <si>
    <t>seminggu masih ngambang kyak ini beneran argentina juara kan setelah berkali kali liat mereka jatuh bangun dan akhirnya berhasil jadi saksi dari kompetisi mereka lalui berujung trophy dalam kurun waktu tahun</t>
  </si>
  <si>
    <t>['seminggu', 'ngambang', 'kyak', 'beneran', 'argentina', 'juara', 'kan', 'berkali', 'kali', 'lihat', 'jatuh', 'bangun', 'akhirnya', 'berhasil', 'jadi', 'saksi', 'kompetisi', 'lalui', 'berujung', 'trophy', 'kurun', 'waktu', 'tahun']</t>
  </si>
  <si>
    <t>@R_min80 @aniesbaswedan Kalo mau hoax setidaknya di rapiin dulu editannya om. Yg om pasang di tweetnya pak anies itu suasana kota buenos aries rayain argentina juara piala dunia.</t>
  </si>
  <si>
    <t>min kalo mau hoax setidaknya rapiin dulu editannya pasang tweetnya pak anies itu suasana kota buenos aries rayain argentina juara piala dunia</t>
  </si>
  <si>
    <t>['min', 'mau', 'hoax', 'rapiin', 'dulu', 'editannya', 'pasang', 'tweetnya', 'pak', 'anies', 'suasana', 'kota', 'buenos', 'aries', 'rayain', 'argentina', 'juara', 'piala', 'dunia']</t>
  </si>
  <si>
    <t>denger denger argentina juara dunia ya?</t>
  </si>
  <si>
    <t>denger denger argentina juara dunia</t>
  </si>
  <si>
    <t>['denger', 'denger', 'argentina', 'juara', 'dunia']</t>
  </si>
  <si>
    <t>@ikiinya @idextratime Yg juara argentina, yg kalah prancis, yg sakit hati fans dodo.  Amat sangat tidak nyambung ü§£ü§£ü§£ü§£ü§£</t>
  </si>
  <si>
    <t>juara argentina kalah prancis sakit hati fans dodo amat sangat tidak nyambung</t>
  </si>
  <si>
    <t>['juara', 'argentina', 'kalah', 'prancis', 'sakit', 'hati', 'fans', 'dodo', 'sangat', 'nyambung']</t>
  </si>
  <si>
    <t>Novak Djokovic Sanjung Lionel Messi Usai Bawa Timnas Argentina Juara Piala Dunia 2022  https://t.co/GWeZmzKzOR</t>
  </si>
  <si>
    <t>novak djokovic sanjung lionel messi usai bawa timnas argentina juara piala dunia</t>
  </si>
  <si>
    <t>['novak', 'djokovic', 'sanjung', 'lionel', 'messi', 'usai', 'bawa', 'timnas', 'argentina', 'juara', 'piala', 'dunia']</t>
  </si>
  <si>
    <t>@idextratime Juara Pildun di spanyol vibesnya bakaln kalah sama pas juara di Argentina.. kecintaan para pemain Argentina dan dukungan luar biasa dari suporter Argentina. Apalagi Messi dijajarkan sama Maradona itu yg berkesan</t>
  </si>
  <si>
    <t>juara pildun spanyol vibesnya bakaln kalah sama pas juara argentina kecintaan para pemain argentina dan dukungan luar biasa dari suporter argentina apalagi messi dijajarkan sama maradona itu berkesan</t>
  </si>
  <si>
    <t>['juara', 'piala dunia', 'spanyol', 'vibesnya', 'bakaln', 'kalah', 'sama', 'pas', 'juara', 'argentina', 'kecintaan', 'pemain', 'argentina', 'dukungan', 'luar', 'biasa', 'suporter', 'argentina', 'messi', 'dijajarkan', 'sama', 'maradona', 'berkesan']</t>
  </si>
  <si>
    <t>Media Prancis masih belum menerima status Argentina sebagai Juara Piala Dunia 2022. Mereka bahkan gencar mengkritik keputusan Wasit.... #layarnews #referensi #berita #news   https://t.co/y03ypwiXVg</t>
  </si>
  <si>
    <t>media prancis masih belum menerima status argentina sebagai juara piala dunia mereka bahkan gencar mengkritik keputusan wasit</t>
  </si>
  <si>
    <t>['media', 'prancis', 'menerima', 'status', 'argentina', 'juara', 'piala', 'dunia', 'bahkan', 'gencar', 'mengkritik', 'keputusan', 'wasit']</t>
  </si>
  <si>
    <t>1 week anniversary Lisandro Mart√≠nez dan Argentina juara dunia. DNA juaranya juga nular ternyata ke fansnya. selamat @gregorius_egi menang turnamen hore  https://t.co/zAjOAA1tha</t>
  </si>
  <si>
    <t>week anniversary lisandro mart nez dan argentina juara dunia dna juaranya juga nular ternyata fansnya selamat egi menang turnamen hore</t>
  </si>
  <si>
    <t>['week', 'anniversary', 'lisandro', 'mart', 'nez', 'argentina', 'juara', 'dunia', 'dna', 'juaranya', 'nular', 'ternyata', 'fansnya', 'selamat', 'egi', 'menang', 'turnamen', 'hore']</t>
  </si>
  <si>
    <t>@idextratime Nunggu siapa juara dunia ü§£ eh ternyata thread mu berhasil argentina juara dan yang all in France rungkad</t>
  </si>
  <si>
    <t>nunggu siapa juara dunia ternyata thread berhasil argentina juara dan yang all france rungkad</t>
  </si>
  <si>
    <t>['nunggu', 'siapa', 'juara', 'dunia', 'ternyata', 'thread', 'berhasil', 'argentina', 'juara', 'all', 'france', 'rungkad']</t>
  </si>
  <si>
    <t>Messi itu penuh imajinasi. Makin kalian tutup peluang juara, imajinasi Messi makin menjadi-jadi. Dan apa yang bisa menghalangi imajinasi? Takdir dan imajinasi telah bersekongkol memenangkan Argentina. #ghereh  #Messi  https://t.co/lL0pAs3fsp</t>
  </si>
  <si>
    <t>messi itu penuh imajinasi makin kalian tutup peluang juara imajinasi messi makin menjadi jadi dan apa yang bisa menghalangi imajinasi takdir dan imajinasi telah bersekongkol memenangkan argentina</t>
  </si>
  <si>
    <t>['messi', 'penuh', 'imajinasi', 'makin', 'kalian', 'tutup', 'peluang', 'juara', 'imajinasi', 'messi', 'makin', 'menjadi', 'jadi', 'apa', 'menghalangi', 'imajinasi', 'takdir', 'imajinasi', 'bersekongkol', 'memenangkan', 'argentina']</t>
  </si>
  <si>
    <t>@idextratime Barusan ketemu pens penaldongo di lapak GOAL dia komen intinya dia gak terima lah kalo Argentina juara sebelum nya bisa dibales lewat komen eh sekarang gak bisa dibales emang pengecut pens dongo tolol kek dodolopers nih  https://t.co/4WSJz0Gg</t>
  </si>
  <si>
    <t>barusan ketemu pens penaldongo lapak goal dia komen intinya dia gak terima lah kalo argentina juara sebelum nya bisa dibales lewat komen sekarang gak bisa dibales emang pengecut pens dongo tolol kek dodolopers nih</t>
  </si>
  <si>
    <t>['barusan', 'ketemu', 'pens', 'penaldongo', 'lapak', 'goal', 'komen', 'intinya', 'terima', 'lah', 'argentina', 'juara', 'dibales', 'lewat', 'komen', 'sekarang', 'dibales', 'emang', 'pengecut', 'pens', 'dongo', 'tolol', 'kek', 'dodolopers']</t>
  </si>
  <si>
    <t>@cowobangkit abi piknik ka argentina merayakan juara om.</t>
  </si>
  <si>
    <t>abi piknik argentina merayakan juara</t>
  </si>
  <si>
    <t>['abi', 'piknik', 'argentina', 'merayakan', 'juara']</t>
  </si>
  <si>
    <t>@HafidzNug Cuma mau kasih tau pis, Argentina juara pildun</t>
  </si>
  <si>
    <t>cuma mau kasih tau pis argentina juara pildun</t>
  </si>
  <si>
    <t>['cuma', 'mau', 'kasih', 'pis', 'argentina', 'juara', 'piala dunia']</t>
  </si>
  <si>
    <t>@ndagels Merayakan Argentina juara pildun</t>
  </si>
  <si>
    <t>merayakan argentina juara pildun</t>
  </si>
  <si>
    <t>['merayakan', 'argentina', 'juara', 'piala dunia']</t>
  </si>
  <si>
    <t>@GOAL_ID Tanpa D'Maria Argentina gak bakalan bisa juara</t>
  </si>
  <si>
    <t>tanpa maria argentina gak bakalan bisa juara</t>
  </si>
  <si>
    <t>['maria', 'argentina', 'bakalan', 'juara']</t>
  </si>
  <si>
    <t>@R_min80 @aniesbaswedan 11 Desember mah Argentina belum juara üôÉ</t>
  </si>
  <si>
    <t>min desember mah argentina belum juara</t>
  </si>
  <si>
    <t>['min', 'desember', 'mah', 'argentina', 'juara']</t>
  </si>
  <si>
    <t>Novak Djokovic Sanjung Lionel Messi Usai Bawa Timnas Argentina Juara Piala Dunia 2022 #LengkapCepatBeritanya #Olahraga #Sport #Bulutangkis #Netting #Badminton .  https://t.co/LDm6OJDVaS</t>
  </si>
  <si>
    <t>@idextratime Kan waktu itu Spanyol juga belum punya histori juara piala dunia, mending Argentina Lah</t>
  </si>
  <si>
    <t>kan waktu itu spanyol juga belum punya histori juara piala dunia mending argentina lah</t>
  </si>
  <si>
    <t>['kan', 'waktu', 'spanyol', 'punya', 'histori', 'juara', 'piala', 'dunia', 'mending', 'argentina', 'lah']</t>
  </si>
  <si>
    <t>@tololmeroket Deni nanya serius, Fajar juga jawabnya serius üòÇüòÇüòÇ situasi....</t>
  </si>
  <si>
    <t>deni nanya serius fajar juga jawabnya serius situasi</t>
  </si>
  <si>
    <t>['deni', 'nanya', 'serius', 'fajar', 'jawabnya', 'serius', 'situasi']</t>
  </si>
  <si>
    <t>@benerbenero @idextratime @Santi_J_FM Wht the fuck mennn,mario kempes yg bawa pertama argentina juara piala dunia, lo bilang ga bersinar,, gua yqn lo fans nya ronaldo yg ga tau bolaa ikut ikutan debat gua yqn 100%, ciri2 nya juga sma</t>
  </si>
  <si>
    <t>wht the fuck mennn mario kempes bawa pertama argentina juara piala dunia bilang bersinar gua yqn fans nya ronaldo tau bolaa ikut ikutan debat gua yqn ciri nya juga sma</t>
  </si>
  <si>
    <t>['wht', 'the', 'fuck', 'mennn', 'mario', 'kempes', 'bawa', 'pertama', 'argentina', 'juara', 'piala', 'dunia', 'bersinar', 'gua', 'yqn', 'fans', 'ronaldo', 'bolaa', 'ikut', 'ikutan', 'debat', 'gua', 'yqn', 'ciri', 'sma']</t>
  </si>
  <si>
    <t>@DenBagus123789 Selamat atas Argentina juara piala dunia 2022</t>
  </si>
  <si>
    <t>selamat atas argentina juara piala dunia</t>
  </si>
  <si>
    <t>['selamat', 'atas', 'argentina', 'juara', 'piala', 'dunia']</t>
  </si>
  <si>
    <t>#kaleidoskop #Bola #internasional 2022: Dari Real Madrid Juara Liga Champions Sampai¬† Argentina Juara Dunia. Kunjungi  https://t.co/W7Vqj8xh7O .  https://t.co/uIWIFQfhox</t>
  </si>
  <si>
    <t>dari real madrid juara liga champions sampai argentina juara dunia kunjungi</t>
  </si>
  <si>
    <t>['real', 'madrid', 'juara', 'liga', 'champions', 'argentina', 'juara', 'dunia', 'kunjungi']</t>
  </si>
  <si>
    <t>Usai Juara Dunia, Wajah Lionel Messi Bakal Dicetak di Mata Uang Argentina  https://t.co/gLzsF2S398</t>
  </si>
  <si>
    <t>usai juara dunia wajah lionel messi bakal dicetak mata uang argentina</t>
  </si>
  <si>
    <t>['usai', 'juara', 'dunia', 'wajah', 'lionel', 'messi', 'bakal', 'dicetak', 'mata', 'uang', 'argentina']</t>
  </si>
  <si>
    <t>Emiliano Martinez 'membully' Kylian Mbappe usai membawa Argentina juara Piala Dunia - perilakunya dinilai kelewatan oleh bos #AstonVilla, Unai Emery!  KLIK üëá  https://t.co/jRmTzyFWKJ  https://t.co/US4VKU6mMz</t>
  </si>
  <si>
    <t>emiliano martinez membully kylian mbappe usai membawa argentina juara piala dunia perilakunya dinilai kelewatan oleh bos unai emery klik</t>
  </si>
  <si>
    <t>['emiliano', 'martinez', 'membully', 'kylian', 'mbappe', 'usai', 'membawa', 'argentina', 'juara', 'piala', 'dunia', 'perilakunya', 'dinilai', 'kelewatan', 'bos', 'unai', 'emery', 'klik']</t>
  </si>
  <si>
    <t>Viera Sebut Kelakukan Emiliano Martinez Bodoh Setelah Membawa Argentina Juara Piala Dunia 2022  https://t.co/C20L4CB6QY</t>
  </si>
  <si>
    <t>viera sebut kelakukan emiliano martinez bodoh setelah membawa argentina juara piala dunia</t>
  </si>
  <si>
    <t>['viera', 'sebut', 'kelakukan', 'emiliano', 'martinez', 'bodoh', 'membawa', 'argentina', 'juara', 'piala', 'dunia']</t>
  </si>
  <si>
    <t>Momen perayaan natal dari beberapa skuat juara dunia ArgentinaüéÑüá¶üá∑  Keluarga Leo Messi, Angel Di Maria, Dibu Martinez, dan Alexis Mac Allisterü•≥  https://t.co/oNyuCy8EU0</t>
  </si>
  <si>
    <t>momen perayaan natal dari beberapa skuat juara dunia argentina keluarga leo messi angel maria dibu martinez dan alexis mac allister</t>
  </si>
  <si>
    <t>['momen', 'perayaan', 'natal', 'beberapa', 'skuat', 'juara', 'dunia', 'argentina', 'keluarga', 'leo', 'messi', 'angel', 'maria', 'dibu', 'martinez', 'alexis', 'mac', 'allister']</t>
  </si>
  <si>
    <t>@DancingBlade69 @mahas1sw4 @Dennysiregar7 Mengucapkan selamat tanpa ada arti itu malah munafik, artinya toleransi lo bohong belaka...contoh francis ngucapin selamat kpd argentina artinya membenarkan dan meyakini kehebatan juara 1,, dan artinya juga lo mey</t>
  </si>
  <si>
    <t>mengucapkan selamat tanpa ada arti itu malah munafik artinya toleransi bohong belaka contoh francis ngucapin selamat kpd argentina artinya membenarkan dan meyakini kehebatan juara dan artinya juga mey</t>
  </si>
  <si>
    <t>['mengucapkan', 'selamat', 'arti', 'malah', 'munafik', 'artinya', 'toleransi', 'bohong', 'belaka', 'contoh', 'francis', 'ngucapin', 'selamat', 'kpd', 'argentina', 'artinya', 'membenarkan', 'meyakini', 'kehebatan', 'juara', 'artinya', 'mey']</t>
  </si>
  <si>
    <t>Angel Di Maria mengabadikan kesuksesan¬†Timnas Argentina¬†juara¬†Piala Dunia 2022 dengan sebuah tato.  #bolaskorcom #dimaria #tato #argentina #qatar2022    https://t.co/wz03rvB4TM</t>
  </si>
  <si>
    <t>angel maria mengabadikan kesuksesan timnas argentina juara piala dunia dengan sebuah tato</t>
  </si>
  <si>
    <t>['angel', 'maria', 'mengabadikan', 'kesuksesan', 'timnas', 'argentina', 'juara', 'piala', 'dunia', 'sebuah', 'tato']</t>
  </si>
  <si>
    <t>Trezeguet, yang dulu membela Timnas Prancis, sedih melihat Les Bleus kalah di final. Namun ia senang melihat Argentina, negeri asal orang tuanya, menjadi juara.  https://t.co/oJ5Ep0auZ0</t>
  </si>
  <si>
    <t>trezeguet yang dulu membela timnas prancis sedih melihat les bleus kalah final namun senang melihat argentina negeri asal orang tuanya menjadi juara</t>
  </si>
  <si>
    <t>['trezeguet', 'dulu', 'membela', 'timnas', 'prancis', 'sedih', 'melihat', 'les', 'bleus', 'kalah', 'final', 'senang', 'melihat', 'argentina', 'negeri', 'asal', 'orang', 'tuanya', 'menjadi', 'juara']</t>
  </si>
  <si>
    <t>@helloanxiety17 @blockeduser_UwU @innercrx @Miniongoldlane @idextratime Georgina kemarin itu ngata-ngatain Fernando Santos yg kena getahnya Ronaldo  Udah fix mata-mata Argentina</t>
  </si>
  <si>
    <t>uwu georgina kemarin itu ngata ngatain fernando santos kena getahnya ronaldo udah fix mata mata argentina</t>
  </si>
  <si>
    <t>['uwu', 'georgina', 'kemarin', 'ngata', 'ngatain', 'fernando', 'santos', 'kena', 'getahnya', 'ronaldo', 'udah', 'fix', 'mata', 'mata', 'argentina']</t>
  </si>
  <si>
    <t>Angel Di Maria sudah bawa Argentina juara Piala Dunia 2022. Kini, Juventus juga berharap Di Maria bisa terus main bagus!   https://t.co/v9QvOs31Iv</t>
  </si>
  <si>
    <t>angel maria sudah bawa argentina juara piala dunia kini juventus juga berharap maria bisa terus main bagus</t>
  </si>
  <si>
    <t>['angel', 'maria', 'bawa', 'argentina', 'juara', 'piala', 'dunia', 'kini', 'juventus', 'berharap', 'maria', 'terus', 'main', 'bagus']</t>
  </si>
  <si>
    <t>@R_min80 @aniesbaswedan Argentina juara dunia tanggal 12 Desember....  Hebat tanggal 11 sudah dirayakan</t>
  </si>
  <si>
    <t>min argentina juara dunia tanggal desember hebat tanggal sudah dirayakan</t>
  </si>
  <si>
    <t>['min', 'argentina', 'juara', 'dunia', 'tanggal', 'desember', 'hebat', 'tanggal', 'dirayakan']</t>
  </si>
  <si>
    <t>Pesta pembukaan yang megah, penutupan yang meriah, jadi catatan manis Qatar sebagai tuan rumah Piala Dunia 2022.  Lionel Messi akhirnya mengakhiri penantian juara Argentina 36 tahun lamanya, sekaligus gelar piala dunia pertamanya.  https://t.co/lGrq6e24zb</t>
  </si>
  <si>
    <t>pesta pembukaan yang megah penutupan yang meriah jadi catatan manis qatar sebagai tuan rumah piala dunia lionel messi akhirnya mengakhiri penantian juara argentina tahun lamanya sekaligus gelar piala dunia pertamanya</t>
  </si>
  <si>
    <t>['pesta', 'pembukaan', 'megah', 'penutupan', 'meriah', 'jadi', 'catatan', 'manis', 'qatar', 'tuan', 'rumah', 'piala', 'dunia', 'lionel', 'messi', 'akhirnya', 'mengakhiri', 'penantian', 'juara', 'argentina', 'tahun', 'lamanya', 'sekaligus', 'gelar', 'piala', 'dunia', 'pertamanya']</t>
  </si>
  <si>
    <t>@ID_Albiceleste @Mniin3 bener min, jika nanti memang rezekinya juara aff saya senang tapi senangnya biasa aja tapi kalau sampai indonesia juara piala asia baru saya seneng bgt kek argentina juara piala dunia tahun ini</t>
  </si>
  <si>
    <t>albiceleste bener min jika nanti memang rezekinya juara aff saya senang tapi senangnya biasa aja tapi kalau sampai indonesia juara piala asia baru saya seneng bgt kek argentina juara piala dunia tahun ini</t>
  </si>
  <si>
    <t>['albiceleste', 'benar', 'min', 'memang', 'rezekinya', 'juara', 'aff', 'senang', 'senangnya', 'biasa', 'kalau', 'indonesia', 'juara', 'piala', 'asia', 'baru', 'seneng', 'banget', 'kek', 'argentina', 'juara', 'piala', 'dunia', 'tahun']</t>
  </si>
  <si>
    <t>Messi nya sudah juara di Argentina. Saatnya kembali mendukung Jerman üëç  Tapi tidak untuk support LGBT nya ya.  https://t.co/MwVsEl0MeB</t>
  </si>
  <si>
    <t>messi nya sudah juara argentina saatnya kembali mendukung jerman tapi tidak untuk support lgbt nya</t>
  </si>
  <si>
    <t>['messi', 'juara', 'argentina', 'saatnya', 'mendukung', 'jerman', 'support', 'lgbt']</t>
  </si>
  <si>
    <t>Selebrasi Emiliano Martinez dianggap noda dalam perayaan gelar juara Argentina.  https://t.co/wwzzG7o9z1</t>
  </si>
  <si>
    <t>selebrasi emiliano martinez dianggap noda dalam perayaan gelar juara argentina</t>
  </si>
  <si>
    <t>['selebrasi', 'emiliano', 'martinez', 'dianggap', 'noda', 'perayaan', 'gelar', 'juara', 'argentina']</t>
  </si>
  <si>
    <t>@idextratime Sadarkah kalian Kalau Ronaldo juga Juara Dunia? Pasangan Ronaldo, Georgina Rodriguez adalah Orang Argentina. Kakek buyut Georgina, adalah kerabat dekat kakek buyut Messi. Piala Dunia ini adalah kemenangan bagi Argentina, trmasuk Ronaldo yg is</t>
  </si>
  <si>
    <t>sadarkah kalian kalau ronaldo juga juara dunia pasangan ronaldo georgina rodriguez adalah orang argentina kakek buyut georgina adalah kerabat dekat kakek buyut messi piala dunia ini adalah kemenangan bagi argentina trmasuk ronaldo</t>
  </si>
  <si>
    <t>['sadarkah', 'kalian', 'kalau', 'ronaldo', 'juara', 'dunia', 'pasangan', 'ronaldo', 'georgina', 'rodriguez', 'orang', 'argentina', 'kakek', 'buyut', 'georgina', 'kerabat', 'dekat', 'kakek', 'buyut', 'messi', 'piala', 'dunia', 'kemenangan', 'argentina', 'trmasuk', 'ronaldo']</t>
  </si>
  <si>
    <t>&lt;FreqDist with 19 samples and 26 outcomes&gt;</t>
  </si>
  <si>
    <t>Juara Piala Dunia 2022, Bank Central Argentina akan monetisasi citra Lionel Messi pada uang kertas 1.000 peso. #LionelMessiìÉµ #Messi #MessiìÉµday  https://t.co/Ey5dpibPz0</t>
  </si>
  <si>
    <t>juara piala dunia bank central argentina akan monetisasi citra lionel messi pada uang kertas peso day</t>
  </si>
  <si>
    <t>['juara', 'piala', 'dunia', 'bank', 'central', 'argentina', 'monetisasi', 'citra', 'lionel', 'messi', 'uang', 'kertas', 'peso', 'day']</t>
  </si>
  <si>
    <t>Angel Di Maria sudah bawa Argentina juara Piala Dunia 2022. Kini, Juventus juga berharap Di Maria bisa terus main bagus!  https://t.co/LuTbkqgEx0</t>
  </si>
  <si>
    <t>Kelewatan...itu gambar warga Argentina menyambut kemenangan tim sepakbola nya jadi juara dunia world cup..kemarin...kok diakui warga Pangkep... keterlaluan</t>
  </si>
  <si>
    <t>kelewatan itu gambar warga argentina menyambut kemenangan tim sepakbola nya jadi juara dunia world cup kemarin kok diakui warga pangkep keterlaluan</t>
  </si>
  <si>
    <t>['kelewatan', 'gambar', 'warga', 'argentina', 'menyambut', 'kemenangan', 'tim', 'sepakbola', 'jadi', 'juara', 'dunia', 'world', 'cup', 'kemarin', 'kok', 'diakui', 'warga', 'pangkep', 'keterlaluan']</t>
  </si>
  <si>
    <t>Merasa cringe melihat Argentina juara Mickey mouse cup</t>
  </si>
  <si>
    <t>merasa cringe melihat argentina juara mickey mouse cup</t>
  </si>
  <si>
    <t>['merasa', 'cringe', 'melihat', 'argentina', 'juara', 'mickey', 'mouse', 'cup']</t>
  </si>
  <si>
    <t>@R_min80 @aniesbaswedan Hebatnya Anies, ngetwit tanggal 11 Desember tapi videonya Argentina juara world cup tanggal 18 desember, gimana bisa upload video yang belum terjadi?</t>
  </si>
  <si>
    <t>min hebatnya anies ngetwit tanggal desember tapi videonya argentina juara world cup tanggal desember gimana bisa upload video yang belum terjadi</t>
  </si>
  <si>
    <t>['min', 'hebatnya', 'anies', 'ngetwit', 'tanggal', 'desember', 'videonya', 'argentina', 'juara', 'world', 'cup', 'tanggal', 'desember', 'gimana', 'upload', 'video', 'terjadi']</t>
  </si>
  <si>
    <t>Trezeguet Sedih Prancis Gagal Menang, tapi Senang Argentina Juara  https://t.co/ulTp33KLz5</t>
  </si>
  <si>
    <t>trezeguet sedih prancis gagal menang tapi senang argentina juara</t>
  </si>
  <si>
    <t>['trezeguet', 'sedih', 'prancis', 'gagal', 'menang', 'senang', 'argentina', 'juara']</t>
  </si>
  <si>
    <t>Trezeguet, yang dulu membela Timnas Prancis, sedih melihat Les Bleus kalah di final. Namun ia senang melihat Argentina, negeri asal orang tuanya, menjadi juara.  https://t.co/kps4iAIfqZ</t>
  </si>
  <si>
    <t>Trezeguet, yang dulu membela Timnas Prancis, sedih melihat Les Bleus kalah di final. Namun ia senang melihat Argentina, negeri asal orang tuanya, menjadi juara.  https://t.co/3efyppsEbT</t>
  </si>
  <si>
    <t>@Ajie_Febriyant0 @idextratime Cocoklogi tumbal maksudnya kek Maradona wafat Argentina juaraüëÄ</t>
  </si>
  <si>
    <t>febriyant cocoklogi tumbal maksudnya kek maradona wafat argentina juara</t>
  </si>
  <si>
    <t>['febriyant', 'cocoklogi', 'tumbal', 'maksudnya', 'kek', 'maradona', 'wafat', 'argentina', 'juara']</t>
  </si>
  <si>
    <t>@FaktaSepakbola Karena Giroud nenek buyutnya asli Italia. Orang Italia baik &amp;amp; ramah. Karena itu juga mereka kasih kesempatan anak cucunya, Argentina juara Pildun 2022 dgn gak sengaja gak lolos ke Qatar. Teorinya udah benar belum, was? @SerieA_Lawas</t>
  </si>
  <si>
    <t>karena giroud nenek buyutnya asli italia orang italia baik ramah karena itu juga mereka kasih kesempatan anak cucunya argentina juara pildun dgn gak sengaja gak lolos qatar teorinya udah benar belum was lawas</t>
  </si>
  <si>
    <t>['giroud', 'nenek', 'buyutnya', 'asli', 'italia', 'orang', 'italia', 'baik', 'ramah', 'kasih', 'kesempatan', 'anak', 'cucunya', 'argentina', 'juara', 'piala dunia', 'sengaja', 'lolos', 'qatar', 'teorinya', 'udah', 'benar', 'was', 'lawas']</t>
  </si>
  <si>
    <t>@Singgih_permdi @SiAlanLoe2 @BiLLRaY2019 @R_min80 @aniesbaswedan Ini aslinya, kamu korban editan grub Cebong. Lihat di foto tertanggal 11 Desember 2022, tanggal segitu Argentina belum juara.  https://t.co/PXJEs14Dw8</t>
  </si>
  <si>
    <t>permdi min ini aslinya kamu korban editan grub cebong lihat foto tertanggal desember tanggal segitu argentina belum juara</t>
  </si>
  <si>
    <t>['permdi', 'min', 'aslinya', 'kamu', 'korban', 'editan', 'grub', 'cebong', 'lihat', 'foto', 'tertanggal', 'desember', 'tanggal', 'segitu', 'argentina', 'juara']</t>
  </si>
  <si>
    <t>@R_min80 @aniesbaswedan Tololnya lagi..  Tgl 11 itu Argentina belum juara eboong goblok..!</t>
  </si>
  <si>
    <t>min tololnya lagi tgl itu argentina belum juara eboong goblok</t>
  </si>
  <si>
    <t>['min', 'tololnya', 'tgl', 'argentina', 'juara', 'eboong', 'goblok']</t>
  </si>
  <si>
    <t>@Ajie_Febriyant0 @idextratime Biasanya sih lgsg juara kyk argentina waktu maradona dead üò≠</t>
  </si>
  <si>
    <t>febriyant biasanya sih lgsg juara kyk argentina waktu maradona dead</t>
  </si>
  <si>
    <t>['febriyant', 'biasanya', 'lgsg', 'juara', 'seperti', 'argentina', 'waktu', 'maradona', 'dead']</t>
  </si>
  <si>
    <t>@dev_desnug @idextratime gelar 30 tahun lebihhhh... wlaupun udh prnh sblm masa messi argentina juara, tpi saat masanya messi semua butuh proses sm halnya portugal sebelum dpt tropi, mereka berproses jg.</t>
  </si>
  <si>
    <t>desnug gelar tahun lebihhhh wlaupun udh prnh sblm masa messi argentina juara tpi saat masanya messi semua butuh proses halnya portugal sebelum dpt tropi mereka berproses</t>
  </si>
  <si>
    <t>['desnug', 'gelar', 'tahun', 'lebihhhh', 'wlaupun', 'sudah', 'prnh', 'sebelum', 'masa', 'messi', 'argentina', 'juara', 'tpi', 'masanya', 'messi', 'semua', 'butuh', 'proses', 'halnya', 'portugal', 'dpt', 'trofi', 'berproses']</t>
  </si>
  <si>
    <t>@SiaranBolaLive gatau kenapa, golden gloves diberikan kepada kiper argentina agak kurang setuju aja, karena menurutku kiper maroko is the best, walaupun saya pendukung prancis tapi saya akui kiper maroko juara sih</t>
  </si>
  <si>
    <t>gatau kenapa golden gloves diberikan kepada kiper argentina agak kurang setuju aja karena menurutku kiper maroko the best walaupun saya pendukung prancis tapi saya akui kiper maroko juara sih</t>
  </si>
  <si>
    <t>['gatau', 'golden', 'gloves', 'diberikan', 'kiper', 'argentina', 'kurang', 'setuju', 'menurutku', 'kiper', 'maroko', 'the', 'best', 'walaupun', 'pendukung', 'prancis', 'akui', 'kiper', 'maroko', 'juara']</t>
  </si>
  <si>
    <t>@IndraSukmadi Lah, ngomongin diri sendiri? Logikanya dipake dong, Argentina juara kapan? Apa Pak Anies punya mesin waktu? Jelas foto tempelan, Sukmadi gausah main twitter, malu maluin</t>
  </si>
  <si>
    <t>lah ngomongin diri sendiri logikanya dipake dong argentina juara kapan apa pak anies punya mesin waktu jelas foto tempelan sukmadi gausah main twitter malu maluin</t>
  </si>
  <si>
    <t>['lah', 'ngomongin', 'diri', 'sendiri', 'logikanya', 'dipake', 'dong', 'argentina', 'juara', 'kapan', 'apa', 'pak', 'anies', 'punya', 'mesin', 'waktu', 'jelas', 'foto', 'tempelan', 'sukmadi', 'gausah', 'main', 'twitter', 'malu', 'maluin']</t>
  </si>
  <si>
    <t>@STUDSGUY @72Gar7 @OposisiCerdas @Sigiwarmada Pake logikamu, nama akun ga sinkron. Pak Anies ini time traveler ya? Udh dpt foto perayaan juara sebelum Argentina juara. Mantap bener.</t>
  </si>
  <si>
    <t>pake logikamu nama akun sinkron pak anies ini time traveler udh dpt foto perayaan juara sebelum argentina juara mantap bener</t>
  </si>
  <si>
    <t>['pake', 'logikamu', 'nama', 'akun', 'sinkron', 'pak', 'anies', 'time', 'traveler', 'sudah', 'dpt', 'foto', 'perayaan', 'juara', 'argentina', 'juara', 'mantap', 'benar']</t>
  </si>
  <si>
    <t>@ridwan0726 Hahaha, gampang bgt dibohongi, apa udh terlalu sering dibohongi trus jd kebal? Argentina tgl 11 udh juara ya? Jago bgt Pak Anies udh dpt foto perayaan Argentina sebelum resmi jd juara</t>
  </si>
  <si>
    <t>hahaha gampang bgt dibohongi apa udh terlalu sering dibohongi trus kebal argentina tgl udh juara jago bgt pak anies udh dpt foto perayaan argentina sebelum resmi juara</t>
  </si>
  <si>
    <t>['hahaha', 'gampang', 'banget', 'dibohongi', 'apa', 'sudah', 'terlalu', 'sering', 'dibohongi', 'trus', 'kebal', 'argentina', 'tgl', 'sudah', 'juara', 'jago', 'banget', 'pak', 'anies', 'sudah', 'dpt', 'foto', 'perayaan', 'argentina', 'resmi', 'juara']</t>
  </si>
  <si>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</si>
  <si>
    <t>nato muka pemain argentina nato muka ketua federasi beberapa suporter mentato dirinya dengan gambar chiqui tapia presiden afa wajar sih gelar juara untuk tim senior hanya dalam waktu kurang dari tahun ini argentina lho</t>
  </si>
  <si>
    <t>['nato', 'muka', 'pemain', 'argentina', 'nato', 'muka', 'ketua', 'federasi', 'beberapa', 'suporter', 'mentato', 'dirinya', 'gambar', 'chiqui', 'tapia', 'presiden', 'afa', 'wajar', 'gelar', 'juara', 'tim', 'senior', 'waktu', 'kurang', 'tahun', 'argentina', 'lho']</t>
  </si>
  <si>
    <t>@Pemersa790 @aniesbaswedan Org goblog jg tau itu warga Argentina, org goblog jg tau klo Argentina juara tgl 18. Tinggal mikirnya aja bisa kagak, atau jgn jgn gapernah mikir. Anda jg kuat Nahan malu sepertinya ü§£</t>
  </si>
  <si>
    <t>org goblog tau itu warga argentina org goblog tau klo argentina juara tgl tinggal mikirnya aja bisa kagak atau jgn jgn gapernah mikir anda kuat nahan malu sepertinya</t>
  </si>
  <si>
    <t>['org', 'goblog', 'warga', 'argentina', 'org', 'goblog', 'argentina', 'juara', 'tgl', 'tinggal', 'mikirnya', 'kagak', 'gapernah', 'mikir', 'kuat', 'nahan', 'malu', 'sepertinya']</t>
  </si>
  <si>
    <t>@ndorokakung Hebat memang Kemenkeu, tidak hanya masalah bonus tapi sampe2 staf Menkeu berani menyinggung masalah "politik" mengenai Argentina yang juara dunia sepakbola, juga juara pinjaman (hutang). Beraninya kasih komen diluar kewenangannya.</t>
  </si>
  <si>
    <t>hebat memang kemenkeu tidak hanya masalah bonus tapi sampe staf menkeu berani menyinggung masalah politik mengenai argentina yang juara dunia sepakbola juga juara pinjaman hutang beraninya kasih komen diluar kewenangannya</t>
  </si>
  <si>
    <t>['hebat', 'memang', 'kemenkeu', 'masalah', 'bonus', 'sampai', 'staf', 'menkeu', 'berani', 'menyinggung', 'masalah', 'politik', 'mengenai', 'argentina', 'juara', 'dunia', 'sepakbola', 'juara', 'pinjaman', 'hutang', 'beraninya', 'kasih', 'komen', 'diluar', 'kewenangannya']</t>
  </si>
  <si>
    <t>Angel Di Maria sudah bawa Argentina juara Piala Dunia 2022. Kini, Juventus juga berharap Di Maria bisa terus main bagus!  https://t.co/6f1c89FHwg</t>
  </si>
  <si>
    <t>@RadenKasep_2 Potret org yg gampang dibodohi, Argentina juara ya maju ya? Tgl 11 udh juara?</t>
  </si>
  <si>
    <t>potret org gampang dibodohi argentina juara maju tgl udh juara</t>
  </si>
  <si>
    <t>['potret', 'org', 'gampang', 'dibodohi', 'argentina', 'juara', 'maju', 'tgl', 'sudah', 'juara']</t>
  </si>
  <si>
    <t>@hank_jkt Masih percaya sm hoax? Katanya paling nkri, katanya pinter. Logikanya dipake dong, Argentina juara tgl brp? Postingan tgl brp? Apa finalnya dimajuin klo dikalendermu?</t>
  </si>
  <si>
    <t>jkt masih percaya hoax katanya paling nkri katanya pinter logikanya dipake dong argentina juara tgl brp postingan tgl brp apa finalnya dimajuin klo dikalendermu</t>
  </si>
  <si>
    <t>['jkt', 'percaya', 'hoax', 'katanya', 'paling', 'nkri', 'katanya', 'pinter', 'logikanya', 'dipake', 'dong', 'argentina', 'juara', 'tgl', 'brp', 'postingan', 'tgl', 'brp', 'apa', 'finalnya', 'dimajuin', 'dikalendermu']</t>
  </si>
  <si>
    <t>@Gie_ALEANOAM Sekali dibodohi, gampang bgt dibodohi, otaknya ga dipake lagi, Argentina juara tgl brp? Itu postingan tgl brp? Foto tempelan Jelas bgt.</t>
  </si>
  <si>
    <t>aleanoam sekali dibodohi gampang bgt dibodohi otaknya dipake lagi argentina juara tgl brp itu postingan tgl brp foto tempelan jelas bgt</t>
  </si>
  <si>
    <t>['aleanoam', 'sekali', 'dibodohi', 'gampang', 'banget', 'dibodohi', 'otaknya', 'dipake', 'argentina', 'juara', 'tgl', 'brp', 'postingan', 'tgl', 'brp', 'foto', 'tempelan', 'jelas', 'banget']</t>
  </si>
  <si>
    <t>@daunkelor01 Sekali dibodohi, gampang bgt dibodohi, otaknya ga dipake lagi, Argentina juara tgl brp? Itu postingan tgl brp? Foto tempelan Jelas bgt, sipaling nkri kok gampang dibodohi.</t>
  </si>
  <si>
    <t>sekali dibodohi gampang bgt dibodohi otaknya dipake lagi argentina juara tgl brp itu postingan tgl brp foto tempelan jelas bgt sipaling nkri kok gampang dibodohi</t>
  </si>
  <si>
    <t>['sekali', 'dibodohi', 'gampang', 'banget', 'dibodohi', 'otaknya', 'dipake', 'argentina', 'juara', 'tgl', 'brp', 'postingan', 'tgl', 'brp', 'foto', 'tempelan', 'jelas', 'banget', 'sipaling', 'nkri', 'kok', 'gampang', 'dibodohi']</t>
  </si>
  <si>
    <t>@affanusman Sekali dibodohi, gampang bgt dibodohi,  Argentina juara tgl brp? Itu postingan tgl brp? Foto tempelan Jelas bgt, sipaling nkri kok gampang dibodohi.</t>
  </si>
  <si>
    <t>sekali dibodohi gampang bgt dibodohi argentina juara tgl brp itu postingan tgl brp foto tempelan jelas bgt sipaling nkri kok gampang dibodohi</t>
  </si>
  <si>
    <t>['sekali', 'dibodohi', 'gampang', 'banget', 'dibodohi', 'argentina', 'juara', 'tgl', 'brp', 'postingan', 'tgl', 'brp', 'foto', 'tempelan', 'jelas', 'banget', 'sipaling', 'nkri', 'kok', 'gampang', 'dibodohi']</t>
  </si>
  <si>
    <t>&lt;FreqDist with 15 samples and 21 outcomes&gt;</t>
  </si>
  <si>
    <t>@MardinasMarshel Konon Ada org yg gampang dibodohi, gapernah mikir, Argentina juara tgl 18, itu postingan tgl 11. Ntah org itu punya otak atau gak</t>
  </si>
  <si>
    <t>konon ada org gampang dibodohi gapernah mikir argentina juara tgl itu postingan tgl ntah org itu punya otak atau gak</t>
  </si>
  <si>
    <t>['konon', 'org', 'gampang', 'dibodohi', 'gapernah', 'mikir', 'argentina', 'juara', 'tgl', 'postingan', 'tgl', 'ntah', 'org', 'punya', 'otak']</t>
  </si>
  <si>
    <t>Seminggu yang lalu ketar-ketir berharap Argentina jadi juara dunia</t>
  </si>
  <si>
    <t>seminggu yang lalu ketar ketir berharap argentina jadi juara dunia</t>
  </si>
  <si>
    <t>['seminggu', 'lalu', 'ketar', 'ketir', 'berharap', 'argentina', 'jadi', 'juara', 'dunia']</t>
  </si>
  <si>
    <t>@ms_ve3r Sipaling nkri tp ga mikir, Argentina juara tgl brp? Apa karna udh sering dibohongi jd ga sadar ü§£</t>
  </si>
  <si>
    <t>sipaling nkri mikir argentina juara tgl brp apa karna udh sering dibohongi sadar</t>
  </si>
  <si>
    <t>['sipaling', 'nkri', 'mikir', 'argentina', 'juara', 'tgl', 'brp', 'apa', 'karna', 'sudah', 'sering', 'dibohongi', 'sadar']</t>
  </si>
  <si>
    <t>@tsu_basha @NasDem @PemudaNasDem Udh cek postingan asli, logika dipake. Argentina juara tgl brp? 11 desember? Seneng bgt ente dibodohi</t>
  </si>
  <si>
    <t>basha udh cek postingan asli logika dipake argentina juara tgl brp desember seneng bgt ente dibodohi</t>
  </si>
  <si>
    <t>['basha', 'sudah', 'cek', 'postingan', 'asli', 'logika', 'dipake', 'argentina', 'juara', 'tgl', 'brp', 'desember', 'seneng', 'banget', 'ente', 'dibodohi']</t>
  </si>
  <si>
    <t>@DilanDaewokas Kok anda gampang bgt dibodohi, mikir ga, tgl 11 Argentina udh juara?</t>
  </si>
  <si>
    <t>kok anda gampang bgt dibodohi mikir tgl argentina udh juara</t>
  </si>
  <si>
    <t>['kok', 'gampang', 'banget', 'dibodohi', 'mikir', 'tgl', 'argentina', 'sudah', 'juara']</t>
  </si>
  <si>
    <t>@AntoMusdianto crosscheck dulu twit aslinya sipaling telorasin gampang bnr dibodohi, Jelas gambar tempelan, Argentina tgl 11 udh juara? Mikirrr</t>
  </si>
  <si>
    <t>crosscheck dulu twit aslinya sipaling telorasin gampang bnr dibodohi jelas gambar tempelan argentina tgl udh juara mikirrr</t>
  </si>
  <si>
    <t>['crosscheck', 'dulu', 'twit', 'aslinya', 'sipaling', 'telorasin', 'gampang', 'bnr', 'dibodohi', 'jelas', 'gambar', 'tempelan', 'argentina', 'tgl', 'sudah', 'juara', 'mikirrr']</t>
  </si>
  <si>
    <t>@R_min80 @aniesbaswedan Jaman jokowi Puncak kejayaan orang2 goblok.. Tweet cuma modal scrnshotan editannya kasar, tweet aslinya ada, tggl 11 desember argentina belom juara tapi banyak yg percaya üòÇüòÇ</t>
  </si>
  <si>
    <t>min jaman jokowi puncak kejayaan orang goblok tweet cuma modal scrnshotan editannya kasar tweet aslinya ada tggl desember argentina belom juara tapi banyak percaya</t>
  </si>
  <si>
    <t>['min', 'jaman', 'jokowi', 'puncak', 'kejayaan', 'orang', 'goblok', 'tweet', 'cuma', 'modal', 'scrnshotan', 'editannya', 'kasar', 'tweet', 'aslinya', 'tggl', 'desember', 'argentina', 'belom', 'juara', 'banyak', 'percaya']</t>
  </si>
  <si>
    <t>sudah-sudahlah kambing terima kenyataan argentina juara dunia‚Ä¶</t>
  </si>
  <si>
    <t>sudah sudahlah kambing terima kenyataan argentina juara dunia</t>
  </si>
  <si>
    <t>['sudahlah', 'kambing', 'terima', 'kenyataan', 'argentina', 'juara', 'dunia']</t>
  </si>
  <si>
    <t>@WARRENwithU @JAEHYUNSwithU @YERIwithU @SUNGHOONwithU @JENOwithU MAAF MAAF KLO ADA GW KITA BISA JUARA 1 HIKS JANGAN BAWA BAWA ARGENTINA GW GAK SUKA</t>
  </si>
  <si>
    <t>maaf maaf klo ada kita bisa juara hiks jangan bawa bawa argentina gak suka</t>
  </si>
  <si>
    <t>['maaf', 'maaf', 'juara', 'hiks', 'jangan', 'bawa', 'bawa', 'argentina', 'suka']</t>
  </si>
  <si>
    <t>@poka_polka @idextratime Yg masalah knpa iri Argentina juara piala dunia</t>
  </si>
  <si>
    <t>polka masalah knpa iri argentina juara piala dunia</t>
  </si>
  <si>
    <t>['polka', 'masalah', 'knpa', 'iri', 'argentina', 'juara', 'piala', 'dunia']</t>
  </si>
  <si>
    <t>Masih heboh soal koki terkenal, Salt Bae yang ikut perayaan Argentina juara Piala Dunia 2022. Fakta terbaru, ada gestur Lionel Messi yang nggak suka dengannya!   https://t.co/TCjukKA35r</t>
  </si>
  <si>
    <t>masih heboh soal koki terkenal salt bae yang ikut perayaan argentina juara piala dunia fakta terbaru ada gestur lionel messi yang nggak suka dengannya</t>
  </si>
  <si>
    <t>['heboh', 'soal', 'koki', 'terkenal', 'salt', 'bae', 'ikut', 'perayaan', 'argentina', 'juara', 'piala', 'dunia', 'fakta', 'terbaru', 'gestur', 'lionel', 'messi', 'suka', 'dengannya']</t>
  </si>
  <si>
    <t>Faktor luar lapangan yg bikin Argentina juara: - Aguero teman sekamar Messi - De Paul bodyguard, Paredes admin grup WA - Tak ada lagi La mesa chica  - Pilih kampus jadi base camp, bukan hotel - Menu steak favorit dari Antonia Farias  https://t.co/Cf8f4sewPC</t>
  </si>
  <si>
    <t>faktor luar lapangan bikin argentina juara aguero teman sekamar messi paul bodyguard paredes admin grup tak ada lagi mesa chica pilih kampus jadi base camp bukan hotel menu steak favorit dari antonia farias</t>
  </si>
  <si>
    <t>['faktor', 'luar', 'lapangan', 'argentina', 'juara', 'aguero', 'teman', 'sekamar', 'messi', 'paul', 'bodyguard', 'paredes', 'admin', 'grup', 'tak', 'mesa', 'chica', 'pilih', 'kampus', 'jadi', 'base', 'camp', 'bukan', 'hotel', 'menu', 'steak', 'favorit', 'antonia', 'farias']</t>
  </si>
  <si>
    <t>Angel Di Maria sudah bawa Argentina juara Piala Dunia 2022. Kini, Juventus juga berharap Di Maria bisa terus main bagus!  https://t.co/POsVbs3oNa</t>
  </si>
  <si>
    <t>Masih heboh soal koki terkenal, Salt Bae yang ikut perayaan Argentina juara Piala Dunia 2022. Fakta terbaru, ada gestur Lionel Messi yang nggak suka dengannya!   https://t.co/HH1qMrsCDF</t>
  </si>
  <si>
    <t>Baru 3 Bulan Juara Piala Dunia, Argentina Akan Main di Kualifikasi PD 2026  https://t.co/XfjwxYSOor</t>
  </si>
  <si>
    <t>baru bulan juara piala dunia argentina akan main kualifikasi</t>
  </si>
  <si>
    <t>['baru', 'bulan', 'juara', 'piala', 'dunia', 'argentina', 'main', 'kualifikasi']</t>
  </si>
  <si>
    <t>@R_min80 @aniesbaswedan Hmm baru tahu saya tanggal 11 Desember piala dunia sudah menetapkan Argentina juara.. hebat Anda!</t>
  </si>
  <si>
    <t>min hmm baru tahu saya tanggal desember piala dunia sudah menetapkan argentina juara hebat anda</t>
  </si>
  <si>
    <t>['min', 'hmm', 'baru', 'tahu', 'tanggal', 'desember', 'piala', 'dunia', 'menetapkan', 'argentina', 'juara', 'hebat']</t>
  </si>
  <si>
    <t>Walaupun mereka tidak memiliki tropi piala dunia. Setelah Argentina juara, seolah-olah pencapaian tropi piala dunia menjadi sangat penting. Bukan salah Cristiano dia tidak lahir di negara besar sepak bola.</t>
  </si>
  <si>
    <t>walaupun mereka tidak memiliki tropi piala dunia setelah argentina juara seolah olah pencapaian tropi piala dunia menjadi sangat penting bukan salah cristiano dia tidak lahir negara besar sepak bola</t>
  </si>
  <si>
    <t>['walaupun', 'memiliki', 'trofi', 'piala', 'dunia', 'argentina', 'juara', 'olah', 'pencapaian', 'trofi', 'piala', 'dunia', 'menjadi', 'sangat', 'penting', 'bukan', 'salah', 'cristiano', 'lahir', 'negara', 'besar', 'sepak', 'bola']</t>
  </si>
  <si>
    <t>Mario Bola Judi Online Tepercaya Se Asia Ikut Bawa Argentina Juara Piala Dunia 2022, Alexis Mac Allister Langsung Jadi Incaran 5 Raksasa  Baca Selengkapnya :  https://t.co/fnMgtbEMV0 Daftar &amp;amp; Mainkan Sekarang juga !! WA : +855 96 800 7629 Link :  https://t.co/dvlteaoBk0  https://t.co/BPFyqTapX2</t>
  </si>
  <si>
    <t>mario bola judi online tepercaya asia ikut bawa argentina juara piala dunia alexis mac allister langsung jadi incaran raksasa baca selengkapnya daftar mainkan sekarang juga link</t>
  </si>
  <si>
    <t>['mario', 'bola', 'judi', 'online', 'tepercaya', 'asia', 'ikut', 'bawa', 'argentina', 'juara', 'piala', 'dunia', 'alexis', 'mac', 'allister', 'langsung', 'jadi', 'incaran', 'raksasa', 'baca', 'selengkapnya', 'daftar', 'mainkan', 'sekarang', 'link']</t>
  </si>
  <si>
    <t>Messi juara dunia dan seolah-olah Ronaldo bukan apa-apa. Media memiliki recency bias dan nostalgia bias yang sangat besar. Bagaimana mungkin Beckenbauer, Cruyf atau R9 di atas Ronaldo. Sebelum Argentina juara, orang-orang mendebatkan Messi dan Ronaldo sebagai no.1 dan 2 the GOAT</t>
  </si>
  <si>
    <t>messi juara dunia dan seolah olah ronaldo bukan apa apa media memiliki recency bias dan nostalgia bias yang sangat besar bagaimana mungkin beckenbauer cruyf atau atas ronaldo sebelum argentina juara orang orang mendebatkan messi dan ronaldo sebagai dan the goat</t>
  </si>
  <si>
    <t>['messi', 'juara', 'dunia', 'olah', 'ronaldo', 'bukan', 'apa', 'apa', 'media', 'memiliki', 'recency', 'bias', 'nostalgia', 'bias', 'sangat', 'besar', 'bagaimana', 'mungkin', 'beckenbauer', 'cruyf', 'atas', 'ronaldo', 'argentina', 'juara', 'orang', 'orang', 'mendebatkan', 'messi', 'ronaldo', 'the', 'goat']</t>
  </si>
  <si>
    <t>@kilik_panji @R_min80 @aniesbaswedan Manusia tolol.. Itu postingan 11 desember.. Emang argentina juara sblm 11 desember</t>
  </si>
  <si>
    <t>panji min manusia tolol itu postingan desember emang argentina juara sblm desember</t>
  </si>
  <si>
    <t>['panji', 'min', 'manusia', 'tolol', 'postingan', 'desember', 'emang', 'argentina', 'juara', 'sebelum', 'desember']</t>
  </si>
  <si>
    <t>@JeanAprilia96 Saya sih gak terlalu berharap banyak dengan timnas indonesia.yg penting Argentina juara idola mesi saya ngangkat tropiüèÜ.</t>
  </si>
  <si>
    <t>saya sih gak terlalu berharap banyak dengan timnas indonesia penting argentina juara idola mesi saya ngangkat tropi</t>
  </si>
  <si>
    <t>['terlalu', 'berharap', 'banyak', 'timnas', 'indonesia', 'penting', 'argentina', 'juara', 'idola', 'mesi', 'ngangkat', 'trofi']</t>
  </si>
  <si>
    <t>Masih heboh soal koki terkenal, Salt Bae yang ikut perayaan Argentina juara Piala Dunia 2022. Fakta terbaru, ada gestur Lionel Messi yang nggak suka dengannya!  https://t.co/khFgZ9dZiX</t>
  </si>
  <si>
    <t>Di antara hingar-bingar PD 2022, Argentina juara dan soal Pekerja migran di sana, konten ini diajak belajar cara melihat persoalan lebih utuh dan jernih, bersama Mas @wahyususilo, semua jd lebih jelas dan terpilah-pilah. Gamblang!!!</t>
  </si>
  <si>
    <t>antara hingar bingar argentina juara dan soal pekerja migran sana konten ini diajak belajar cara melihat persoalan lebih utuh dan jernih bersama mas semua lebih jelas dan terpilah pilah gamblang</t>
  </si>
  <si>
    <t>['hingar', 'bingar', 'argentina', 'juara', 'soal', 'pekerja', 'migran', 'sana', 'konten', 'diajak', 'belajar', 'cara', 'melihat', 'persoalan', 'lebih', 'utuh', 'jernih', 'bersama', 'mas', 'semua', 'lebih', 'jelas', 'terpilah', 'pilah', 'gamblang']</t>
  </si>
  <si>
    <t>@idextratime Gue bukan fans messi, tapi sumpah fans ronaldo kok ga terima banget ya argentina juara? Wkwkwk</t>
  </si>
  <si>
    <t>gue bukan fans messi tapi sumpah fans ronaldo kok terima banget argentina juara wkwkwk</t>
  </si>
  <si>
    <t>['gue', 'bukan', 'fans', 'messi', 'sumpah', 'fans', 'ronaldo', 'kok', 'terima', 'banget', 'argentina', 'juara', 'wkwkwk']</t>
  </si>
  <si>
    <t>@R_min80 @aniesbaswedan Oiya bonus lagi buat nambah kedunguan kalian: tgl 11 Desember Argentina belum juara world cup bong.</t>
  </si>
  <si>
    <t>min oiya bonus lagi buat nambah kedunguan kalian tgl desember argentina belum juara world cup bong</t>
  </si>
  <si>
    <t>['min', 'oiya', 'bonus', 'buat', 'nambah', 'kedunguan', 'kalian', 'tgl', 'desember', 'argentina', 'juara', 'world', 'cup', 'bong']</t>
  </si>
  <si>
    <t>@R_min80 @aniesbaswedan Goblok lu ya, akun lu pake bendera Indonesia tp lu nyebar hoax, SS yg lu kirim tgl 11 Desember, sementara itu foto perayaan Argentina jadi juara dunia, tgl 18 Desember, kan ketahuan lu yg ngedit</t>
  </si>
  <si>
    <t>min goblok akun pake bendera indonesia nyebar hoax kirim tgl desember sementara itu foto perayaan argentina jadi juara dunia tgl desember kan ketahuan ngedit</t>
  </si>
  <si>
    <t>['min', 'goblok', 'akun', 'pake', 'bendera', 'indonesia', 'nyebar', 'hoax', 'kirim', 'tgl', 'desember', 'foto', 'perayaan', 'argentina', 'jadi', 'juara', 'dunia', 'tgl', 'desember', 'kan', 'ketahuan', 'ngedit']</t>
  </si>
  <si>
    <t>@R_min80 @aniesbaswedan Rupanya Otak itu ga bisa dirubah, Kalau otak rusak, apa yg di harapan dari Pemilih Bodoh? Jelas2 Anies posting tgl 11 Dec dg foto Pangkep, trus R Min80 rubah dengan foto Perayaan juara Argentina, postingan hoax koq masih jg diperca</t>
  </si>
  <si>
    <t>min rupanya otak itu bisa dirubah kalau otak rusak apa harapan dari pemilih bodoh jelas anies posting tgl dec foto pangkep trus min rubah dengan foto perayaan juara argentina postingan hoax koq masih diperca</t>
  </si>
  <si>
    <t>['min', 'rupanya', 'otak', 'dirubah', 'kalau', 'otak', 'rusak', 'apa', 'harapan', 'pemilih', 'bodoh', 'jelas', 'anies', 'posting', 'tgl', 'dec', 'foto', 'pangkep', 'trus', 'min', 'rubah', 'foto', 'perayaan', 'juara', 'argentina', 'postingan', 'hoax', 'koq', 'diperca']</t>
  </si>
  <si>
    <t>@arivpermana @Sauki_Futaki @R_min80 @aniesbaswedan Lu yg goblok, emang tanggal 11 Desember argentina udah juara piala Dunia?</t>
  </si>
  <si>
    <t>futaki min goblok emang tanggal desember argentina udah juara piala dunia</t>
  </si>
  <si>
    <t>['futaki', 'min', 'goblok', 'emang', 'tanggal', 'desember', 'argentina', 'udah', 'juara', 'piala', 'dunia']</t>
  </si>
  <si>
    <t>@AmbarBaw @Info_Ronaldo7 @idextratime Jelas lah. WC tu ada Brazil dan Argentina. 2 negara itu asalnya 2 goat Pele dan Maradona. Brazil kl WC msh no 1 sbg negara terbanyak juara WC</t>
  </si>
  <si>
    <t>ronaldo jelas lah ada brazil dan argentina negara itu asalnya goat pele dan maradona brazil msh sbg negara terbanyak juara</t>
  </si>
  <si>
    <t>['ronaldo', 'jelas', 'lah', 'brazil', 'argentina', 'negara', 'asalnya', 'goat', 'pele', 'maradona', 'brazil', 'msh', 'sbg', 'negara', 'terbanyak', 'juara']</t>
  </si>
  <si>
    <t>@R_min80 @aniesbaswedan Ini loh foto twitt anies tgl 11 Desember 2022.  Twit tgl 11 Desember 2022, argentina juara 18 Desember 2022.  Ngehoaxx terniat.  https://t.co/PYp2Sc1D4B</t>
  </si>
  <si>
    <t>min ini loh foto twitt anies tgl desember twit tgl desember argentina juara desember ngehoaxx terniat</t>
  </si>
  <si>
    <t>['min', 'foto', 'twitt', 'anies', 'tgl', 'desember', 'twit', 'tgl', 'desember', 'argentina', 'juara', 'desember', 'ngehoaxx', 'terniat']</t>
  </si>
  <si>
    <t>@R_min80 @aniesbaswedan Ini mah editn elu,kasar cuk...!!! Argentina juara tgl berapa kok bisa nempel di acara tgl 11?</t>
  </si>
  <si>
    <t>min ini mah editn elu kasar cuk argentina juara tgl berapa kok bisa nempel acara tgl</t>
  </si>
  <si>
    <t>['min', 'mah', 'editn', 'elu', 'kasar', 'cuk', 'argentina', 'juara', 'tgl', 'berapa', 'kok', 'nempel', 'acara', 'tgl']</t>
  </si>
  <si>
    <t>Hari ketujuh Argentina juara #WorldcupQatar2022</t>
  </si>
  <si>
    <t>hari ketujuh argentina juara</t>
  </si>
  <si>
    <t>['hari', 'ketujuh', 'argentina', 'juara']</t>
  </si>
  <si>
    <t>@Miniongoldlane @idextratime Justru Dodo tau kalau kalau Argentina bakalan juara dunia.. makannya macaron orang Argentina. Biar kedata Dodo pacarnya orang Argentina yg bisa juara dunia</t>
  </si>
  <si>
    <t>justru dodo tau kalau kalau argentina bakalan juara dunia makannya macaron orang argentina biar kedata dodo pacarnya orang argentina bisa juara dunia</t>
  </si>
  <si>
    <t>['justru', 'dodo', 'kalau', 'kalau', 'argentina', 'bakalan', 'juara', 'dunia', 'makannya', 'macaron', 'orang', 'argentina', 'kedata', 'dodo', 'pacarnya', 'orang', 'argentina', 'juara', 'dunia']</t>
  </si>
  <si>
    <t>@GOAL_ID yg juara argentina yg dengki (three maskeeters)üòÜüòÜ</t>
  </si>
  <si>
    <t>juara argentina dengki three maskeeters</t>
  </si>
  <si>
    <t>['juara', 'argentina', 'dengki', 'three', 'maskeeters']</t>
  </si>
  <si>
    <t>@R_min80 @aniesbaswedan Akun bendera gobloknya paripurna y? Emang tanggal 11 argentina udah ngerayain juara? Eh lupa kalo pendukung tukang dusta emang rerata gitu.</t>
  </si>
  <si>
    <t>min akun bendera gobloknya paripurna emang tanggal argentina udah ngerayain juara lupa kalo pendukung tukang dusta emang rerata gitu</t>
  </si>
  <si>
    <t>['min', 'akun', 'bendera', 'gobloknya', 'paripurna', 'emang', 'tanggal', 'argentina', 'udah', 'ngerayain', 'juara', 'lupa', 'pendukung', 'tukang', 'dusta', 'emang', 'rerata', 'gitu']</t>
  </si>
  <si>
    <t>Rambut baru pasca Argentina juara dari Enzo Fernandezüî•  Oooo jadi ini, si rambut putih yang banyak memikirkan rakyat?üòú   https://t.co/FEnJxrkDn8</t>
  </si>
  <si>
    <t>rambut baru pasca argentina juara dari enzo fernandez oooo jadi ini rambut putih yang banyak memikirkan rakyat</t>
  </si>
  <si>
    <t>['rambut', 'baru', 'pasca', 'argentina', 'juara', 'enzo', 'fernandez', 'oooo', 'jadi', 'rambut', 'putih', 'banyak', 'memikirkan', 'rakyat']</t>
  </si>
  <si>
    <t>@Info_Ronaldo7 @idextratime Lo mau nyepong ronaldo terus ge yg juara ttp argentinaü§£</t>
  </si>
  <si>
    <t>ronaldo mau nyepong ronaldo terus juara ttp argentina</t>
  </si>
  <si>
    <t>['ronaldo', 'mau', 'nyepong', 'ronaldo', 'terus', 'juara', 'ttp', 'argentina']</t>
  </si>
  <si>
    <t>@cahh_keplek Bener loh,,,, kemarin aq ngucapin selamat ke argentina juara sepakbola, auto jadi warga argentina üòúüòúüòúüòúüòÅüí¶</t>
  </si>
  <si>
    <t>keplek bener loh kemarin ngucapin selamat argentina juara sepakbola auto jadi warga argentina</t>
  </si>
  <si>
    <t>['keplek', 'benar', 'kemarin', 'ngucapin', 'selamat', 'argentina', 'juara', 'sepakbola', 'auto', 'jadi', 'warga', 'argentina']</t>
  </si>
  <si>
    <t>Apa itu Super Ballon d‚ÄôOr?  Usai Argentina menjadi juara Piala Dunia 2022. Topik tentang trofi Super Ballon d‚ÄôOr yang dikaitkan dengan Lionel Messi sang kapten tim ramai dibincangkan nih.  Foto: FIFA  https://t.co/4RGYWgle8a</t>
  </si>
  <si>
    <t>apa itu super ballon usai argentina menjadi juara piala dunia topik tentang trofi super ballon yang dikaitkan dengan lionel messi sang kapten tim ramai dibincangkan nih foto fifa</t>
  </si>
  <si>
    <t>['apa', 'super', 'ballon', 'usai', 'argentina', 'menjadi', 'juara', 'piala', 'dunia', 'topik', 'trofi', 'super', 'ballon', 'dikaitkan', 'lionel', 'messi', 'sang', 'kapten', 'tim', 'ramai', 'dibincangkan', 'foto', 'fifa']</t>
  </si>
  <si>
    <t>@Box2BoxBola Ketika membantu MU meraih spot UCL lebih sulit daripada menjadi juara dunia dengan Argentina üòÇüòÇ</t>
  </si>
  <si>
    <t>ketika membantu meraih spot ucl lebih sulit daripada menjadi juara dunia dengan argentina</t>
  </si>
  <si>
    <t>['membantu', 'meraih', 'spot', 'ucl', 'lebih', 'sulit', 'menjadi', 'juara', 'dunia', 'argentina']</t>
  </si>
  <si>
    <t>@R_min80 @aniesbaswedan Dl sy blm percaya bhw cebong itu goblok, tp setelah baca narasimu, ternyata faktanya mmng cebong goblok bin tolol.  Emang argentina juara dunia tgl brp oon? Hahaha</t>
  </si>
  <si>
    <t>min blm percaya bhw cebong itu goblok setelah baca narasimu ternyata faktanya mmng cebong goblok bin tolol emang argentina juara dunia tgl brp oon hahaha</t>
  </si>
  <si>
    <t>['min', 'blm', 'percaya', 'bhw', 'cebong', 'goblok', 'baca', 'narasimu', 'ternyata', 'faktanya', 'mmng', 'cebong', 'goblok', 'bin', 'tolol', 'emang', 'argentina', 'juara', 'dunia', 'tgl', 'brp', 'oon', 'hahaha']</t>
  </si>
  <si>
    <t>@R_min80 @aniesbaswedan Bloon, emang argentina juara pildun tgl 11 des ? bego dipamerin bong</t>
  </si>
  <si>
    <t>min bloon emang argentina juara pildun tgl des bego dipamerin bong</t>
  </si>
  <si>
    <t>['min', 'bloon', 'emang', 'argentina', 'juara', 'piala dunia', 'tgl', 'des', 'bego', 'dipamerin', 'bong']</t>
  </si>
  <si>
    <t>@idextratime Biar fans ronaldongo ga malu sama fans tessi  Portugal bukan tradisi juara dunia atau eropa Tapi ronaldongo mengubah negara nya menjadi juara eropa walaupun bukan tradisi Beda sm aegentina yg punya tradisi juara dunia sebelumnya, kecuali tess</t>
  </si>
  <si>
    <t>biar fans ronaldongo malu sama fans tessi portugal bukan tradisi juara dunia atau eropa tapi ronaldongo mengubah negara nya menjadi juara eropa walaupun bukan tradisi beda aegentina punya tradisi juara dunia sebelumnya kecuali tess</t>
  </si>
  <si>
    <t>['fans', 'ronaldongo', 'malu', 'sama', 'fans', 'tessi', 'portugal', 'bukan', 'tradisi', 'juara', 'dunia', 'eropa', 'ronaldongo', 'mengubah', 'negara', 'menjadi', 'juara', 'eropa', 'walaupun', 'bukan', 'tradisi', 'beda', 'aegentina', 'punya', 'tradisi', 'juara', 'dunia', 'sebelumnya', 'tess']</t>
  </si>
  <si>
    <t>&lt;FreqDist with 20 samples and 29 outcomes&gt;</t>
  </si>
  <si>
    <t>@garistengah_id Contoh pemain dg hoki besar.Main di klub kecil,skuad inti di argentina,dan juara dunia.</t>
  </si>
  <si>
    <t>contoh pemain hoki besar main klub kecil skuad inti argentina dan juara dunia</t>
  </si>
  <si>
    <t>['contoh', 'pemain', 'hoki', 'besar', 'main', 'klub', 'kecil', 'skuad', 'inti', 'argentina', 'juara', 'dunia']</t>
  </si>
  <si>
    <t>@spideyifan @SiaranBolaLive ah bisa ae lu penyepong dodog yg pura2 all in prancis n gamau liat messi angkat tropi pildun  kalo neal maupay ga cederain bernd leno, si emil gabakal dipanggil ke timnas argentina + bikin save krusial biar argentina juara lah,</t>
  </si>
  <si>
    <t>bisa penyepong dodog pura all prancis gamau liat messi angkat tropi pildun kalo neal maupay cederain bernd leno emil gabakal dipanggil timnas argentina bikin save krusial biar argentina juara lah</t>
  </si>
  <si>
    <t>['penyepong', 'dodog', 'pura', 'all', 'prancis', 'gamau', 'lihat', 'messi', 'angkat', 'trofi', 'piala dunia', 'neal', 'maupay', 'cederain', 'bernd', 'leno', 'emil', 'gabakal', 'dipanggil', 'timnas', 'argentina', 'save', 'krusial', 'argentina', 'juara', 'lah']</t>
  </si>
  <si>
    <t>19x Piala Dunia, hanya 8 negara yg pernah jd juara: Brasil (5), Italia (4), Jerman (3), Argentina &amp;amp; Uruguay (2), Inggris, Prancis, &amp;amp; Spanyol</t>
  </si>
  <si>
    <t>piala dunia hanya negara pernah juara brasil italia jerman argentina uruguay inggris prancis spanyol</t>
  </si>
  <si>
    <t>['piala', 'dunia', 'negara', 'pernah', 'juara', 'brasil', 'italia', 'jerman', 'argentina', 'uruguay', 'inggris', 'prancis', 'spanyol']</t>
  </si>
  <si>
    <t>@R_min80 @aniesbaswedan Nempel foto aja nggak beres lu, sekolah jadi buzzer dulu sana üòù Lagian argentina juara tgl 18 desember. Segitu nya pengen jelek2in orang. Kasihan kalian yg percaya sama foto editan burik kayak gini. üòÇüòÇ</t>
  </si>
  <si>
    <t>min nempel foto aja nggak beres sekolah jadi buzzer dulu sana lagian argentina juara tgl desember segitu nya pengen jelek orang kasihan kalian percaya sama foto editan burik kayak gini</t>
  </si>
  <si>
    <t>['min', 'nempel', 'foto', 'beres', 'sekolah', 'jadi', 'buzzer', 'dulu', 'sana', 'lagian', 'argentina', 'juara', 'tgl', 'desember', 'segitu', 'pengen', 'jelek', 'orang', 'kasihan', 'kalian', 'percaya', 'sama', 'foto', 'editan', 'burik', 'seperti', 'gini']</t>
  </si>
  <si>
    <t>@819uta @indosupporter Gua juga berharap vietnam juara , omongan suporter sini tuh high banget usut tuntas mash aja ada yg nonton ke stadion bilang nasionalis lah apa,trus juga suporter sini ngurusin argentina emi yg rasis ke mbape,orang disini aja msh ba</t>
  </si>
  <si>
    <t>gua juga berharap vietnam juara omongan suporter sini tuh high banget usut tuntas mash aja ada nonton stadion bilang nasionalis lah apa trus juga suporter sini ngurusin argentina emi rasis mbape orang disini aja msh</t>
  </si>
  <si>
    <t>['gua', 'berharap', 'vietnam', 'juara', 'omongan', 'suporter', 'sini', 'high', 'banget', 'usut', 'tuntas', 'mash', 'nonton', 'stadion', 'nasionalis', 'lah', 'apa', 'trus', 'suporter', 'sini', 'ngurusin', 'argentina', 'emi', 'rasis', 'mbape', 'orang', 'disini', 'msh']</t>
  </si>
  <si>
    <t>@ommi_siregar @R_min80 @aniesbaswedan Harap maklum,tukang editan pemula. Jelas¬≤ beda tgl 11  desember dan argentina bru juara tgl 18 desember.</t>
  </si>
  <si>
    <t>siregar min harap maklum tukang editan pemula jelas beda tgl desember dan argentina bru juara tgl desember</t>
  </si>
  <si>
    <t>['siregar', 'min', 'harap', 'maklum', 'tukang', 'editan', 'pemula', 'jelas', 'beda', 'tgl', 'desember', 'argentina', 'bru', 'juara', 'tgl', 'desember']</t>
  </si>
  <si>
    <t>@indosupporter Semoga bisa ikuti jejak Ayahnya. Belum ada kata terlambat. Mark Schwarzer juga dulunya bersinar di EPL bareng Boro saat usia 25 tahun ke atas</t>
  </si>
  <si>
    <t>semoga bisa ikuti jejak ayahnya belum ada kata terlambat mark schwarzer juga dulunya bersinar epl bareng boro saat usia tahun atas</t>
  </si>
  <si>
    <t>['semoga', 'ikuti', 'jejak', 'ayahnya', 'kata', 'terlambat', 'mark', 'schwarzer', 'bersinar', 'epl', 'bareng', 'boro', 'usia', 'tahun', 'atas']</t>
  </si>
  <si>
    <t>@R_min80 @aniesbaswedan Elu @R_min80 anak LONTE bpk MUCIKARI isi kepala cuma LENDIR yg bikin elu @R_min80  jd TOLOL 7 turunan.  Anies posting twitnya tgl 11 Des, sementara Argentina jd juara tgl 18 Des.   Trus menurut elu @R_min80 yg IDIOT lbh dulu mana a</t>
  </si>
  <si>
    <t>min elu min anak lonte bpk mucikari isi kepala cuma lendir bikin elu min tolol turunan anies posting twitnya tgl des sementara argentina juara tgl des trus menurut elu min idiot lbh dulu mana</t>
  </si>
  <si>
    <t>['min', 'elu', 'min', 'anak', 'lonte', 'bapak', 'mucikari', 'isi', 'kepala', 'cuma', 'lendir', 'elu', 'min', 'tolol', 'turunan', 'anies', 'posting', 'twitnya', 'tgl', 'des', 'argentina', 'juara', 'tgl', 'des', 'trus', 'elu', 'min', 'idiot', 'lbh', 'dulu', 'mana']</t>
  </si>
  <si>
    <t>Ingat Licha! Misi sesungguhnya adalah membawa Manchester United ke zona Champions League, bukan bawa Argentina juara üôèüèª  https://t.co/Sr3dB0bPGc</t>
  </si>
  <si>
    <t>ingat licha misi sesungguhnya adalah membawa manchester united zona champions league bukan bawa argentina juara</t>
  </si>
  <si>
    <t>['ingat', 'licha', 'misi', 'sesungguhnya', 'membawa', 'manchester', 'united', 'zona', 'champions', 'league', 'bukan', 'bawa', 'argentina', 'juara']</t>
  </si>
  <si>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</si>
  <si>
    <t>argentine national team road qatar perjalanan timnas argentina sejak copa america hingga menjelang mendarat doha dikupas dlm eps tak seimpres serial all nothing lain melewati banyak laga tanggung krn blm klimaks juara dunia</t>
  </si>
  <si>
    <t>['argentine', 'national', 'team', 'road', 'qatar', 'perjalanan', 'timnas', 'argentina', 'sejak', 'copa', 'america', 'hingga', 'menjelang', 'mendarat', 'doha', 'dikupas', 'dlm', 'eps', 'tak', 'seimpres', 'serial', 'all', 'nothing', 'melewati', 'banyak', 'laga', 'tanggung', 'blm', 'klimaks', 'juara', 'dunia']</t>
  </si>
  <si>
    <t>@deathknockk @SiaranBolaLive Argentina game pertama juga bapuk dulu baru juara.</t>
  </si>
  <si>
    <t>argentina game pertama juga bapuk dulu baru juara</t>
  </si>
  <si>
    <t>['argentina', 'game', 'pertama', 'bapuk', 'dulu', 'baru', 'juara']</t>
  </si>
  <si>
    <t>@ylmfntk @WibbiWpro2 @diskoninajah @LaGrandeIndo argentina kehilangan maradona tapi pesta pas argen juara pildun. Parah emang</t>
  </si>
  <si>
    <t>argentina kehilangan maradona tapi pesta pas argen juara pildun parah emang</t>
  </si>
  <si>
    <t>['argentina', 'kehilangan', 'maradona', 'pesta', 'pas', 'argen', 'juara', 'piala dunia', 'parah', 'emang']</t>
  </si>
  <si>
    <t>@R_min80 @aniesbaswedan Emang 11 Desember 2022 Argentina sudah juara dunia kah???</t>
  </si>
  <si>
    <t>min emang desember argentina sudah juara dunia kah</t>
  </si>
  <si>
    <t>['min', 'emang', 'desember', 'argentina', 'juara', 'dunia']</t>
  </si>
  <si>
    <t>hari hari masih ga nyangka argentina juara</t>
  </si>
  <si>
    <t>hari hari masih nyangka argentina juara</t>
  </si>
  <si>
    <t>['hari', 'hari', 'nyangka', 'argentina', 'juara']</t>
  </si>
  <si>
    <t>Juara Piala Dunia, Begini Pesan Natal Timnas Argentina  https://t.co/SLTCZT9vXZ</t>
  </si>
  <si>
    <t>juara piala dunia begini pesan natal timnas argentina</t>
  </si>
  <si>
    <t>['juara', 'piala', 'dunia', 'begini', 'pesan', 'natal', 'timnas', 'argentina']</t>
  </si>
  <si>
    <t>@idextratime Aguero ganti kewarganegaraan setelah argentina juara dunia? @Rahmatdarmawa</t>
  </si>
  <si>
    <t>aguero ganti kewarganegaraan setelah argentina juara dunia</t>
  </si>
  <si>
    <t>['aguero', 'ganti', 'kewarganegaraan', 'argentina', 'juara', 'dunia']</t>
  </si>
  <si>
    <t>meskipun sempet liat Liverpool juara liga lagi setelah nunggu 30 tahun lamanya, tapi sayang bgt dia belum sempet liat Argentina juara dunia lagi setelah 35 tahun. yah, Argentina juara juga akhirnya hahahah (meskipun aku gak suka), this one‚Äôs for you.  Happy birthday, Dad. ü§é</t>
  </si>
  <si>
    <t>meskipun sempet liat liverpool juara liga lagi setelah nunggu tahun lamanya tapi sayang bgt dia belum sempet liat argentina juara dunia lagi setelah tahun yah argentina juara juga akhirnya hahahah meskipun aku gak suka this one for you happy birthday dad</t>
  </si>
  <si>
    <t>['meskipun', 'sempet', 'lihat', 'liverpool', 'juara', 'liga', 'nunggu', 'tahun', 'lamanya', 'sayang', 'banget', 'sempet', 'lihat', 'argentina', 'juara', 'dunia', 'tahun', 'argentina', 'juara', 'akhirnya', 'hahahah', 'meskipun', 'aku', 'suka', 'this', 'one', 'for', 'you', 'happy', 'birthday', 'dad']</t>
  </si>
  <si>
    <t>@DenBagus123789 Terserahkaulah mau ucp mau gak ...gak sekalian kau ucapkan ke negara argentina  tuk raihan juara ..berpegangbtegulah pda keyakinnmu</t>
  </si>
  <si>
    <t>terserahkaulah mau ucp mau gak gak sekalian kau ucapkan negara argentina tuk raihan juara berpegangbtegulah pda keyakinnmu</t>
  </si>
  <si>
    <t>['terserahkaulah', 'mau', 'ucp', 'mau', 'sekalian', 'kau', 'ucapkan', 'negara', 'argentina', 'tuk', 'raihan', 'juara', 'berpegangbtegulah', 'pda', 'keyakinnmu']</t>
  </si>
  <si>
    <t>Emang tgl 11 Argentina sudah juara kah tong,?</t>
  </si>
  <si>
    <t>emang tgl argentina sudah juara kah tong</t>
  </si>
  <si>
    <t>['emang', 'tgl', 'argentina', 'juara', 'tong']</t>
  </si>
  <si>
    <t>@SiaranBolaLive TERPANTAU PARA BARISAN SAKIT HATI IRI DENGKI MELIHAT MESSI DAN ARGENTINA JUARA PILDUN AWOWOWOWOOWWK, TEBAK FANS INISIAL KIMNALDO ASSIST KOREA &amp;amp; PIALA BANGKU CADANGAN EMAS AWOWOOWOWOWOKü§£ü§£ü§£ü§£ü§£ü§£</t>
  </si>
  <si>
    <t>terpantau para barisan sakit hati iri dengki melihat messi dan argentina juara pildun awowowowoowwk tebak fans inisial kimnaldo assist korea piala bangku cadangan emas awowoowowowok</t>
  </si>
  <si>
    <t>['terpantau', 'barisan', 'sakit', 'hati', 'iri', 'dengki', 'melihat', 'messi', 'argentina', 'juara', 'piala dunia', 'awowowowoowwk', 'tebak', 'fans', 'inisial', 'kimnaldo', 'assist', 'korea', 'piala', 'bangku', 'cadangan', 'emas', 'awowoowowowok']</t>
  </si>
  <si>
    <t>@BiLLRaY2019 @R_min80 @aniesbaswedan Kalo goblok jangan diborong sendiri donk. Emangnya Argentina juara piala dunia tgl berapa? Itu punya otak dipake donk buat mikir. Manusia dan hewan itu sama-sama punya otak lho. Tapi ada bedanya antara manusia dan hewa</t>
  </si>
  <si>
    <t>min kalo goblok jangan diborong sendiri donk emangnya argentina juara piala dunia tgl berapa itu punya otak dipake donk buat mikir manusia dan hewan itu sama sama punya otak lho tapi ada bedanya antara manusia dan hewa</t>
  </si>
  <si>
    <t>['min', 'goblok', 'jangan', 'diborong', 'sendiri', 'donk', 'emangnya', 'argentina', 'juara', 'piala', 'dunia', 'tgl', 'berapa', 'punya', 'otak', 'dipake', 'donk', 'buat', 'mikir', 'manusia', 'hewan', 'sama', 'sama', 'punya', 'otak', 'lho', 'bedanya', 'manusia', 'hewa']</t>
  </si>
  <si>
    <t>Argentina juara dunia Napoli Scudetto  Maradona bahagia di surga  Selamat pagi Edmundo  https://t.co/HVsZyrZd7H</t>
  </si>
  <si>
    <t>argentina juara dunia napoli scudetto maradona bahagia surga selamat pagi edmundo</t>
  </si>
  <si>
    <t>['argentina', 'juara', 'dunia', 'napoli', 'scudetto', 'maradona', 'bahagia', 'surga', 'selamat', 'pagi', 'edmundo']</t>
  </si>
  <si>
    <t>@ID_Albiceleste Sebetulnya bukan karena gelar juaranya, tapi menang meyakinkannya 3-0 melawan italy. Datang lagi juara piala dunia, jelas yang terlihat beda mentalitasnya dari squad2 yang ada sebelumnya. Kemudian datanglah akun @ID_Albiceleste jago bahasa</t>
  </si>
  <si>
    <t>albiceleste sebetulnya bukan karena gelar juaranya tapi menang meyakinkannya melawan italy datang lagi juara piala dunia jelas yang terlihat beda mentalitasnya dari squad yang ada sebelumnya kemudian datanglah akun albiceleste jago bahasa</t>
  </si>
  <si>
    <t>['albiceleste', 'bukan', 'gelar', 'juaranya', 'menang', 'meyakinkannya', 'melawan', 'italy', 'datang', 'juara', 'piala', 'dunia', 'jelas', 'terlihat', 'beda', 'mentalitasnya', 'squad', 'sebelumnya', 'kemudian', 'datanglah', 'akun', 'albiceleste', 'jago', 'bahasa']</t>
  </si>
  <si>
    <t>@NasDem @aniesbaswedan Mengganggu dari mananya.!? Bacapres koh suka ngeklaim kerumunan yg di luar hajatnya ssndiri. ( komunitas rx king dan pesta juara dunia argentina ). Bahaya klo indonesia di pimpin oleh org tukang ngibul yg tnp malu di pertontonkan.</t>
  </si>
  <si>
    <t>mengganggu dari mananya bacapres koh suka ngeklaim kerumunan luar hajatnya ssndiri komunitas king dan pesta juara dunia argentina bahaya klo indonesia pimpin oleh org tukang ngibul tnp malu pertontonkan</t>
  </si>
  <si>
    <t>['mengganggu', 'mananya', 'bacapres', 'koh', 'suka', 'ngeklaim', 'kerumunan', 'luar', 'hajatnya', 'ssndiri', 'komunitas', 'king', 'pesta', 'juara', 'dunia', 'argentina', 'bahaya', 'indonesia', 'pimpin', 'org', 'tukang', 'ngibul', 'tnp', 'malu', 'pertontonkan']</t>
  </si>
  <si>
    <t>Terpopuler Sepekan: Argentina Juara hingga Kantor Khofifah Digeledah KPK  https://t.co/VDb77097D1</t>
  </si>
  <si>
    <t>terpopuler sepekan argentina juara hingga kantor khofifah digeledah kpk</t>
  </si>
  <si>
    <t>['terpopuler', 'sepekan', 'argentina', 'juara', 'hingga', 'kantor', 'khofifah', 'digeledah', 'kpk']</t>
  </si>
  <si>
    <t>@R_min80 @aniesbaswedan Cok bego ! Tgl 11 Desember itu argentina belum masuk final apalagi juara ! Otak dipakai jangan dikunyah !</t>
  </si>
  <si>
    <t>min cok bego tgl desember itu argentina belum masuk final apalagi juara otak dipakai jangan dikunyah</t>
  </si>
  <si>
    <t>['min', 'cok', 'bego', 'tgl', 'desember', 'argentina', 'masuk', 'final', 'juara', 'otak', 'dipakai', 'jangan', 'dikunyah']</t>
  </si>
  <si>
    <t>@R_min80 @aniesbaswedan 11 Des Argentina sudah juara?.. dan msh kelihatan sedikit gambar lama yg ditimpa. Belajar lg ngeditnya.ü§£ü§£</t>
  </si>
  <si>
    <t>min des argentina sudah juara dan msh kelihatan sedikit gambar lama ditimpa belajar ngeditnya</t>
  </si>
  <si>
    <t>['min', 'des', 'argentina', 'juara', 'msh', 'kelihatan', 'sedikit', 'gambar', 'lama', 'ditimpa', 'belajar', 'ngeditnya']</t>
  </si>
  <si>
    <t>@R_min80 @aniesbaswedan Pendukung pak Dhe emang rerata ky gni, tukang Hoax...Pak Anies ngtweet tgl 11 Des argentina juara pildun tgl 18 Des ü§£ü§£  Klo mau nipu yg cerdas jg donk Bong   #AsuBeudDaah</t>
  </si>
  <si>
    <t>min pendukung pak dhe emang rerata gni tukang hoax pak anies ngtweet tgl des argentina juara pildun tgl des klo mau nipu cerdas donk bong</t>
  </si>
  <si>
    <t>['min', 'pendukung', 'pak', 'dhe', 'emang', 'rerata', 'gni', 'tukang', 'hoax', 'pak', 'anies', 'ngtweet', 'tgl', 'des', 'argentina', 'juara', 'piala dunia', 'tgl', 'des', 'mau', 'nipu', 'cerdas', 'donk', 'bong']</t>
  </si>
  <si>
    <t>5 Alasan Lionel Messi Bakal Raih Trofi Ballon dOr 2023, Nomor 1 Sukses Antar Argentina Juara Piala Dunia 2022 #LengkapCepatBeritanya #Bola #SepakBola #SepakbolaDunia #BolaDunia .  https://t.co/w8qWGaWfYt</t>
  </si>
  <si>
    <t>alasan lionel messi bakal raih trofi ballon dor nomor sukses antar argentina juara piala dunia</t>
  </si>
  <si>
    <t>['alasan', 'lionel', 'messi', 'bakal', 'raih', 'trofi', 'ballon', 'dor', 'nomor', 'sukses', 'antar', 'argentina', 'juara', 'piala', 'dunia']</t>
  </si>
  <si>
    <t>@_siiiiiuuuuu @faz_hrp @SiaranBolaLive Salt Bae ketua PSSA Argentina?</t>
  </si>
  <si>
    <t>hrp salt bae ketua pssa argentina</t>
  </si>
  <si>
    <t>['hrp', 'salt', 'bae', 'ketua', 'pssa', 'argentina']</t>
  </si>
  <si>
    <t>@R_min80 @aniesbaswedan Tanggal 11 Desember Argentina belum jadi juara bro, masih 8 besar, yang teliti ah kalo bikin tweet biar gak malu</t>
  </si>
  <si>
    <t>min tanggal desember argentina belum jadi juara bro masih besar yang teliti kalo bikin tweet biar gak malu</t>
  </si>
  <si>
    <t>['min', 'tanggal', 'desember', 'argentina', 'jadi', 'juara', 'bro', 'besar', 'teliti', 'tweet', 'malu']</t>
  </si>
  <si>
    <t>Juara di Piala Dunia, Allegri Harap Angel Di Maria Tularkan Spirit Timnas Argentina ke Juventus  https://t.co/yM3w36Naax</t>
  </si>
  <si>
    <t>juara piala dunia allegri harap angel maria tularkan spirit timnas argentina juventus</t>
  </si>
  <si>
    <t>['juara', 'piala', 'dunia', 'allegri', 'harap', 'angel', 'maria', 'tularkan', 'spirit', 'timnas', 'argentina', 'juventus']</t>
  </si>
  <si>
    <t>@Askrlfess Wingi pas argentina juara ü•∞</t>
  </si>
  <si>
    <t>wingi pas argentina juara</t>
  </si>
  <si>
    <t>['wingi', 'pas', 'argentina', 'juara']</t>
  </si>
  <si>
    <t>jika piala dunia di setting argentina juara lah ko ga semua umat megang argentina, kan jadi sultan ya. kaya pasti.lah wong dah tau siapa yg juara. lh ko masih ada yg megang bahkan banyak yg all in megang musuh argentina. akal akalan pens dodo</t>
  </si>
  <si>
    <t>jika piala dunia setting argentina juara lah semua umat megang argentina kan jadi sultan kaya pasti lah wong dah tau siapa juara masih ada megang bahkan banyak all megang musuh argentina akal akalan pens dodo</t>
  </si>
  <si>
    <t>['piala', 'dunia', 'setting', 'argentina', 'juara', 'lah', 'semua', 'umat', 'megang', 'argentina', 'kan', 'jadi', 'sultan', 'kaya', 'lah', 'wong', 'dah', 'siapa', 'juara', 'megang', 'bahkan', 'banyak', 'all', 'megang', 'musuh', 'argentina', 'akal', 'akalan', 'pens', 'dodo']</t>
  </si>
  <si>
    <t>Wkwk bener gua udah tau kalo juaranya bakal Argentina. Awal2 pildun dimulai pun game fifa mobile juara bikin ilustrasi juara nya Argentina dan ternyata kenyataan ü§£ Bandar nya menang besar karena pada masang Argen wkwk</t>
  </si>
  <si>
    <t>wkwk bener gua udah tau kalo juaranya bakal argentina awal pildun dimulai pun game fifa mobile juara bikin ilustrasi juara nya argentina dan ternyata kenyataan bandar nya menang besar karena pada masang argen wkwk</t>
  </si>
  <si>
    <t>['benar', 'gua', 'udah', 'juaranya', 'bakal', 'argentina', 'awal', 'piala dunia', 'dimulai', 'game', 'fifa', 'mobile', 'juara', 'ilustrasi', 'juara', 'argentina', 'ternyata', 'kenyataan', 'bandar', 'menang', 'besar', 'masang', 'argen']</t>
  </si>
  <si>
    <t>@Andini988_ 11 Desember Argentina belum juara Bong cebong</t>
  </si>
  <si>
    <t>desember argentina belum juara bong cebong</t>
  </si>
  <si>
    <t>['desember', 'argentina', 'juara', 'bong', 'cebong']</t>
  </si>
  <si>
    <t>@SiaranBolaLive Yg juara bukan argentina, tp bangladesh, mereka lebih meriah dr warga argentina itu sendiri. Atau memang bangladesh bisaya hanya mengakui negara lain apa?</t>
  </si>
  <si>
    <t>juara bukan argentina bangladesh mereka lebih meriah warga argentina itu sendiri atau memang bangladesh bisaya hanya mengakui negara lain apa</t>
  </si>
  <si>
    <t>['juara', 'bukan', 'argentina', 'bangladesh', 'lebih', 'meriah', 'warga', 'argentina', 'sendiri', 'memang', 'bangladesh', 'bisaya', 'mengakui', 'negara', 'apa']</t>
  </si>
  <si>
    <t>Argentina Juara Piala Dunia, Angel Di Maria Abadikan Trofi di Tubuhnya   #Sindonews #BukanBeritaBiasa . https://t.co/UGcSsLewCk</t>
  </si>
  <si>
    <t>argentina juara piala dunia angel maria abadikan trofi tubuhnya</t>
  </si>
  <si>
    <t>['argentina', 'juara', 'piala', 'dunia', 'angel', 'maria', 'abadikan', 'trofi', 'tubuhnya']</t>
  </si>
  <si>
    <t>Argentina Juara Piala Dunia, Angel Di Maria Abadikan Trofi di Tubuhnya   #Sindonews #BukanBeritaBiasa . https://t.co/bEKutJoDHF</t>
  </si>
  <si>
    <t>Bgsd ü§£ Sipaling berdarah-darah bawa Argentina juara</t>
  </si>
  <si>
    <t>bgsd sipaling berdarah darah bawa argentina juara</t>
  </si>
  <si>
    <t>['bgsd', 'sipaling', 'berdarah', 'darah', 'bawa', 'argentina', 'juara']</t>
  </si>
  <si>
    <t>@gagaldottt @SiaranBolaLive Mending kamu tidur aja dh mas dan mengikhlaskan tahkhta juara ada ditangan argentina ü§≠, krena smua komen mu itu g berbobot walaupun udh usaha dibobot bobotin, prcuma gw jelasin klo otakmu udh mentok ü§£</t>
  </si>
  <si>
    <t>mending kamu tidur aja mas dan mengikhlaskan tahkhta juara ada ditangan argentina krena smua komen itu berbobot walaupun udh usaha dibobot bobotin prcuma jelasin klo otakmu udh mentok</t>
  </si>
  <si>
    <t>['mending', 'kamu', 'tidur', 'mas', 'mengikhlaskan', 'tahkhta', 'juara', 'ditangan', 'argentina', 'krena', 'smua', 'komen', 'berbobot', 'walaupun', 'sudah', 'usaha', 'dibobot', 'bobotin', 'prcuma', 'jelasin', 'otakmu', 'sudah', 'mentok']</t>
  </si>
  <si>
    <t>@SiaranBolaLive wkwk ga ngaruh bor argentina ttp juara</t>
  </si>
  <si>
    <t>wkwk ngaruh bor argentina ttp juara</t>
  </si>
  <si>
    <t>['ngaruh', 'bor', 'argentina', 'ttp', 'juara']</t>
  </si>
  <si>
    <t>@HansenAdriell @idextratime Knapa nangis cokkk ,pertandingan masih tersisa 10-15menit dan Argentina masih ada kesempatan pergantian pemain. Jadi kans juara nya masih terbuka</t>
  </si>
  <si>
    <t>knapa nangis cokkk pertandingan masih tersisa menit dan argentina masih ada kesempatan pergantian pemain jadi kans juara nya masih terbuka</t>
  </si>
  <si>
    <t>['kenapa', 'nangis', 'cokkk', 'pertandingan', 'tersisa', 'menit', 'argentina', 'kesempatan', 'pergantian', 'pemain', 'jadi', 'kans', 'juara', 'terbuka']</t>
  </si>
  <si>
    <t>merayakan argentina juara pildun pluss kras ucapin slmt natal PLUS YG PLG UTAMA ULTAHNYA TUHAN YESUSüíã</t>
  </si>
  <si>
    <t>merayakan argentina juara pildun pluss kras ucapin slmt natal plus plg utama ultahnya tuhan yesus</t>
  </si>
  <si>
    <t>['merayakan', 'argentina', 'juara', 'piala dunia', 'pluss', 'kras', 'ucapin', 'slmt', 'natal', 'plus', 'plg', 'utama', 'ultahnya', 'tuhan', 'yesus']</t>
  </si>
  <si>
    <t>Di argentina ad ribuan bayi yg dinamai messi sblum argentina juara pildun utk ketiga kalinya, cma dr ribuan bayi messi tersebut gaada yg dinamain slamet</t>
  </si>
  <si>
    <t>argentina ribuan bayi dinamai messi sblum argentina juara pildun utk ketiga kalinya cma ribuan bayi messi tersebut gaada dinamain slamet</t>
  </si>
  <si>
    <t>['argentina', 'ribuan', 'bayi', 'dinamai', 'messi', 'sblum', 'argentina', 'juara', 'piala dunia', 'ketiga', 'kalinya', 'cma', 'ribuan', 'bayi', 'messi', 'tersebut', 'gaada', 'dinamain', 'slamet']</t>
  </si>
  <si>
    <t>@SiaranBolaLive udhlah wahai supporter perancis,terima kenyataan aja.faktanya argentina kampium copa america.trs ngalahin italia yg jawaranya euro.dan skr keluar jd juara world cupa.sirik bilang bos</t>
  </si>
  <si>
    <t>udhlah wahai supporter perancis terima kenyataan aja faktanya argentina kampium copa america trs ngalahin italia jawaranya euro dan skr keluar juara world cupa sirik bilang bos</t>
  </si>
  <si>
    <t>['udhlah', 'wahai', 'supporter', 'perancis', 'terima', 'kenyataan', 'faktanya', 'argentina', 'kampium', 'copa', 'america', 'terus', 'ngalahin', 'italia', 'jawaranya', 'euro', 'skr', 'keluar', 'juara', 'world', 'cupa', 'sirik', 'bos']</t>
  </si>
  <si>
    <t>@VladimirAnyek RIP onot,. Argentina wes juaraüá¶üá∑</t>
  </si>
  <si>
    <t>rip onot argentina wes juara</t>
  </si>
  <si>
    <t>['rip', 'onot', 'argentina', 'wes', 'juara']</t>
  </si>
  <si>
    <t>@setiaonebudhi @idextratime Tololnya udah lama ngab, cuma menurut gue kelihatannya pas podkes sama si morgan, dan makin kelihatan jelas lagi ketika argentina juara pildun</t>
  </si>
  <si>
    <t>tololnya udah lama ngab cuma menurut gue kelihatannya pas podkes sama morgan dan makin kelihatan jelas lagi ketika argentina juara pildun</t>
  </si>
  <si>
    <t>['tololnya', 'udah', 'lama', 'ngab', 'cuma', 'gue', 'kelihatannya', 'pas', 'podkes', 'sama', 'morgan', 'makin', 'kelihatan', 'jelas', 'argentina', 'juara', 'piala dunia']</t>
  </si>
  <si>
    <t>@radom_co @ZETHWAROUW @Yudhaprmnptr1 Pd wkt Indonesia tampil Saudi bahkan timnasnya blm mumpuni, tapi mlh pernah tampil lbh byk dari Indo, berarti kan peningkatan?  Meski hbs menang dari Argentina dia kalah dari Mexico, tp pernah ngalahin juara dunia seka</t>
  </si>
  <si>
    <t>wkt indonesia tampil saudi bahkan timnasnya blm mumpuni tapi mlh pernah tampil lbh byk dari indo berarti kan peningkatan meski hbs menang dari argentina dia kalah dari mexico pernah ngalahin juara dunia seka</t>
  </si>
  <si>
    <t>['wkt', 'indonesia', 'tampil', 'saudi', 'bahkan', 'timnasnya', 'blm', 'mumpuni', 'mlh', 'pernah', 'tampil', 'lbh', 'byk', 'indo', 'berarti', 'kan', 'peningkatan', 'meski', 'hbs', 'menang', 'argentina', 'kalah', 'mexico', 'pernah', 'ngalahin', 'juara', 'dunia', 'seka']</t>
  </si>
  <si>
    <t>Gelaran Jember Pesta Bola sudah selesai, drama adu pinalti antara Argentina dan Perancis melahirkan juara dunia baru. Selama 30 hari penuh Alun-alun Jember menorehkan ceritanya masing-masing ke setiap pengunjung yang datang.  https://t.co/Z5je4zWMUb</t>
  </si>
  <si>
    <t>gelaran jember pesta bola sudah selesai drama adu pinalti antara argentina dan perancis melahirkan juara dunia baru selama hari penuh alun alun jember menorehkan ceritanya masing masing setiap pengunjung yang datang</t>
  </si>
  <si>
    <t>['gelaran', 'jember', 'pesta', 'bola', 'selesai', 'drama', 'adu', 'penalti', 'argentina', 'perancis', 'melahirkan', 'juara', 'dunia', 'baru', 'selama', 'hari', 'penuh', 'alun', 'alun', 'jember', 'menorehkan', 'ceritanya', 'masing', 'masing', 'pengunjung', 'datang']</t>
  </si>
  <si>
    <t>@Sarah__Faida @Arrof11 Aduh SEDIH BANGET lihat PROFIL mu. Jangan MENANGIS klo SEDANG Nulis. DON'T CRY FOR ME ARGENTINA..üé∂üé∂ Skrg kamu menjadi JUARA DUNIA ..üé∂üé∂üé∂</t>
  </si>
  <si>
    <t>faida aduh sedih banget lihat profil jangan menangis klo sedang nulis don cry for argentina skrg kamu menjadi juara dunia</t>
  </si>
  <si>
    <t>['faida', 'aduh', 'sedih', 'banget', 'lihat', 'profil', 'jangan', 'menangis', 'sedang', 'nulis', 'don', 'cry', 'for', 'argentina', 'skrg', 'kamu', 'menjadi', 'juara', 'dunia']</t>
  </si>
  <si>
    <t>Legenda Prancis Ungkap Sisi Gelap Argentina Juara Piala¬†Dunia  https://t.co/FNDY8U6b3L</t>
  </si>
  <si>
    <t>legenda prancis ungkap sisi gelap argentina juara piala dunia</t>
  </si>
  <si>
    <t>['legenda', 'prancis', 'ungkap', 'sisi', 'gelap', 'argentina', 'juara', 'piala', 'dunia']</t>
  </si>
  <si>
    <t>@syaldifadillah Cuma kayanya Argentina ini spesial sih karena faktor Messi menjual banget, apalagi banyak yang ga kebagian edisi 2* bisa jadi ini kesempatan ke 2 buat dapetin design Jersey juara meski beda jumlah bintang dan ada tambahan logo wcc</t>
  </si>
  <si>
    <t>cuma kayanya argentina ini spesial sih karena faktor messi menjual banget apalagi banyak yang kebagian edisi bisa jadi ini kesempatan buat dapetin design jersey juara meski beda jumlah bintang dan ada tambahan logo wcc</t>
  </si>
  <si>
    <t>['cuma', 'kayanya', 'argentina', 'spesial', 'faktor', 'messi', 'menjual', 'banget', 'banyak', 'kebagian', 'edisi', 'jadi', 'kesempatan', 'buat', 'dapetin', 'design', 'jersey', 'juara', 'meski', 'beda', 'jumlah', 'bintang', 'tambahan', 'logo', 'wcc']</t>
  </si>
  <si>
    <t>@MardinasMarshel Konon bukan bodoh namanya, tapi kok mudah sekali anda dibohongi si Rimba dgn gambar editan. Tgl 11 Argentina sudah juara pak?</t>
  </si>
  <si>
    <t>konon bukan bodoh namanya tapi kok mudah sekali anda dibohongi rimba dgn gambar editan tgl argentina sudah juara pak</t>
  </si>
  <si>
    <t>['konon', 'bukan', 'bodoh', 'namanya', 'kok', 'mudah', 'sekali', 'dibohongi', 'rimba', 'gambar', 'editan', 'tgl', 'argentina', 'juara', 'pak']</t>
  </si>
  <si>
    <t>@seycila @gate0fsky Tau ga? Pas kamu pake AVA ril, aku tuh seneng banget bukan karna Argentina juara piala dunia. Tapi karna aku bisa melihat bidadari Sunda :(</t>
  </si>
  <si>
    <t>tau pas kamu pake ava ril aku tuh seneng banget bukan karna argentina juara piala dunia tapi karna aku bisa melihat bidadari sunda</t>
  </si>
  <si>
    <t>['pas', 'kamu', 'pake', 'ava', 'ril', 'aku', 'seneng', 'banget', 'bukan', 'karna', 'argentina', 'juara', 'piala', 'dunia', 'karna', 'aku', 'melihat', 'bidadari', 'sunda']</t>
  </si>
  <si>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</si>
  <si>
    <t>selamat tinggal santa claus nggak lagi deh mulai sekarang maunya santa lionel dia memberikan kita hadiah yang terhebat feliz navidad untuk semua rekan rekan yang merayakan kadonya natalnya tahun ini datang dari argentina yang jadi juara dunia</t>
  </si>
  <si>
    <t>['selamat', 'tinggal', 'santa', 'claus', 'deh', 'mulai', 'sekarang', 'maunya', 'santa', 'lionel', 'memberikan', 'hadiah', 'terhebat', 'feliz', 'navidad', 'semua', 'rekan', 'rekan', 'merayakan', 'kadonya', 'natalnya', 'tahun', 'datang', 'argentina', 'jadi', 'juara', 'dunia']</t>
  </si>
  <si>
    <t>@democrazymedia Kek piala dunia aj.. Argentina juara settinganüòÖüòÜ</t>
  </si>
  <si>
    <t>kek piala dunia argentina juara settingan</t>
  </si>
  <si>
    <t>['kek', 'piala', 'dunia', 'argentina', 'juara', 'settingan']</t>
  </si>
  <si>
    <t>@R_min80 @aniesbaswedan Owgh argentina juara tgl 11 desember yak? Yang hoks makin jelas aja dah‚Ä¶ dicekokin editan aja lgsg telen‚Ä¶ jadinya situ yg ngehoks  https://t.co/706Wk6KmhD</t>
  </si>
  <si>
    <t>min owgh argentina juara tgl desember yak yang hoks makin jelas aja dah dicekokin editan aja lgsg telen jadinya situ ngehoks</t>
  </si>
  <si>
    <t>['min', 'owgh', 'argentina', 'juara', 'tgl', 'desember', 'yak', 'hoks', 'makin', 'jelas', 'dah', 'dicekokin', 'editan', 'lgsg', 'telen', 'jadinya', 'situ', 'ngehoks']</t>
  </si>
  <si>
    <t>@zzsecretra Masyaallah kakakk cantikkk beutttü•∞ü•∞ü•∞ü•∞</t>
  </si>
  <si>
    <t>masyaallah kakakk cantikkk beuttt</t>
  </si>
  <si>
    <t>['masyaallah', 'kakakk', 'cantikkk', 'beuttt']</t>
  </si>
  <si>
    <t>@B_hundred_Hyun KANNNNNN KANNNNN BUATTT JANTUNGANNNNü•∞ü•∞ü•∞ü•∞ü•∞ü•∞</t>
  </si>
  <si>
    <t>hundred hyun kannnnnn kannnnn buattt jantungannnn</t>
  </si>
  <si>
    <t>['hundred', 'hyun', 'kannnnnn', 'kannnnn', 'buattt', 'jantungannnn']</t>
  </si>
  <si>
    <t>@aswanreiga @idextratime Mentang2 Argentina juara piala dunia, semua tentang Argentina :(</t>
  </si>
  <si>
    <t>mentang argentina juara piala dunia semua tentang argentina</t>
  </si>
  <si>
    <t>['mentang', 'argentina', 'juara', 'piala', 'dunia', 'semua', 'argentina']</t>
  </si>
  <si>
    <t>@AbdulKhalit18 @TitipLawas @adidasfootball Liat di postingan cfs Adidas lagi produksi Jersey Argentina home away design juara tapi 3*+wcc taun depan kayanya udah di sebar ke seluruh dunia tunggu aja ü§£</t>
  </si>
  <si>
    <t>liat postingan cfs adidas lagi produksi jersey argentina home away design juara tapi wcc taun depan kayanya udah sebar seluruh dunia tunggu aja</t>
  </si>
  <si>
    <t>['lihat', 'postingan', 'cfs', 'adidas', 'produksi', 'jersey', 'argentina', 'home', 'away', 'design', 'juara', 'wcc', 'taun', 'depan', 'kayanya', 'udah', 'sebar', 'seluruh', 'dunia', 'tunggu']</t>
  </si>
  <si>
    <t>@OxDyanA @NgkongRoses Mungkin ini menenggelamkan berita Kesebelasan Argentina jadi juara dunia sepakbola.</t>
  </si>
  <si>
    <t>mungkin ini menenggelamkan berita kesebelasan argentina jadi juara dunia sepakbola</t>
  </si>
  <si>
    <t>['mungkin', 'menenggelamkan', 'berita', 'kesebelasan', 'argentina', 'jadi', 'juara', 'dunia', 'sepakbola']</t>
  </si>
  <si>
    <t>@celestialswiftt üñ§üñ§üñ§  https://t.co/qvUBBZ7uTJ</t>
  </si>
  <si>
    <t>[]</t>
  </si>
  <si>
    <t>&lt;FreqDist with 0 samples and 0 outcomes&gt;</t>
  </si>
  <si>
    <t>@idextratime Ada dua tipe seseorang yang mendapatkan juara jalur settingan, 1 Argentina, 2 Messi</t>
  </si>
  <si>
    <t>ada dua tipe seseorang yang mendapatkan juara jalur settingan argentina messi</t>
  </si>
  <si>
    <t>['tipe', 'seseorang', 'mendapatkan', 'juara', 'jalur', 'settingan', 'argentina', 'messi']</t>
  </si>
  <si>
    <t>@txtdrkuliner Sangat tendensius</t>
  </si>
  <si>
    <t>sangat tendensius</t>
  </si>
  <si>
    <t>['sangat', 'tendensius']</t>
  </si>
  <si>
    <t>@BangEdiii sy jg nebak prancis vs argentina cm milih prancis juaraüòÖ</t>
  </si>
  <si>
    <t>nebak prancis argentina milih prancis juara</t>
  </si>
  <si>
    <t>['nebak', 'prancis', 'argentina', 'milih', 'prancis', 'juara']</t>
  </si>
  <si>
    <t>@kavitamedia Banyak banget yg dateng,kaya pas argentina juara pildun ü§£</t>
  </si>
  <si>
    <t>banyak banget dateng kaya pas argentina juara pildun</t>
  </si>
  <si>
    <t>['banyak', 'banget', 'dateng', 'kaya', 'pas', 'argentina', 'juara', 'piala dunia']</t>
  </si>
  <si>
    <t>Emiliano Martinez terus mencibir pemain-pemain Prancis usai Argentina juara Piala Dunia 2022. Kiper Tim Tango itu dinilai membuat tindakan bodoh.  https://t.co/yoPNth5mJ8</t>
  </si>
  <si>
    <t>emiliano martinez terus mencibir pemain pemain prancis usai argentina juara piala dunia kiper tim tango itu dinilai membuat tindakan bodoh</t>
  </si>
  <si>
    <t>['emiliano', 'martinez', 'terus', 'mencibir', 'pemain', 'pemain', 'prancis', 'usai', 'argentina', 'juara', 'piala', 'dunia', 'kiper', 'tim', 'tango', 'dinilai', 'membuat', 'tindakan', 'bodoh']</t>
  </si>
  <si>
    <t>@indosupporter Kmren messi di vc ketua PSSI argentina ga ya pas juara, sama dijanjiin jd pns</t>
  </si>
  <si>
    <t>kmren messi ketua pssi argentina pas juara sama dijanjiin pns</t>
  </si>
  <si>
    <t>['kmren', 'messi', 'ketua', 'pssi', 'argentina', 'pas', 'juara', 'sama', 'dijanjiin', 'pns']</t>
  </si>
  <si>
    <t>Sergio Aguero meresap aura Argentina yang baharu menjadi juara Piala Dunia FIFA Qatar 2022  #HarimauMalaya #AFFMitsubishiElectricCup2022</t>
  </si>
  <si>
    <t>sergio aguero meresap aura argentina yang baharu menjadi juara piala dunia fifa qatar</t>
  </si>
  <si>
    <t>['sergio', 'aguero', 'meresap', 'aura', 'argentina', 'baharu', 'menjadi', 'juara', 'piala', 'dunia', 'fifa', 'qatar']</t>
  </si>
  <si>
    <t>Dalam seminggu terakhir: - Argentina juara - Emyu menang 2-0 - Indonesia menang 2-1 - Persebaya menang 2-1  WHAT A WEEK. ü§©</t>
  </si>
  <si>
    <t>dalam seminggu terakhir argentina juara emyu menang indonesia menang persebaya menang what week</t>
  </si>
  <si>
    <t>['seminggu', 'terakhir', 'argentina', 'juara', 'emyu', 'menang', 'indonesia', 'menang', 'persebaya', 'menang', 'what', 'week']</t>
  </si>
  <si>
    <t>@idextratime semenjak argentina juara piala dunia,fans dodo makin menjadi jadi mencari alasan yg tidak manuk akal</t>
  </si>
  <si>
    <t>semenjak argentina juara piala dunia fans dodo makin menjadi jadi mencari alasan tidak manuk akal</t>
  </si>
  <si>
    <t>['semenjak', 'argentina', 'juara', 'piala', 'dunia', 'fans', 'dodo', 'makin', 'menjadi', 'jadi', 'mencari', 'alasan', 'manuk', 'akal']</t>
  </si>
  <si>
    <t>@R_min80 @aniesbaswedan Cerdas sekali anda, 11 desember emang argentina udah juara? Pakailah akal, pikiran dan hati kau bung. Benci silahkan saja tapi jangan sebar kebohongan</t>
  </si>
  <si>
    <t>min cerdas sekali anda desember emang argentina udah juara pakailah akal pikiran dan hati kau bung benci silahkan saja tapi jangan sebar kebohongan</t>
  </si>
  <si>
    <t>['min', 'cerdas', 'sekali', 'desember', 'emang', 'argentina', 'udah', 'juara', 'pakailah', 'akal', 'pikiran', 'hati', 'kau', 'bung', 'benci', 'silahkan', 'jangan', 'sebar', 'kebohongan']</t>
  </si>
  <si>
    <t>@SiaranBolaLive Prasaan dulu prancis juara ejek2 messi argentina selow ae... padahal messi itu dah bagai dewa bagi masyarakat argentina</t>
  </si>
  <si>
    <t>prasaan dulu prancis juara ejek messi argentina selow padahal messi itu dah bagai dewa bagi masyarakat argentina</t>
  </si>
  <si>
    <t>['prasaan', 'dulu', 'prancis', 'juara', 'ejek', 'messi', 'argentina', 'santai', 'padahal', 'messi', 'dah', 'bagai', 'dewa', 'masyarakat', 'argentina']</t>
  </si>
  <si>
    <t>@R_min80 @aniesbaswedan Goblok, Argentina juara pildun tgl 11 Des?</t>
  </si>
  <si>
    <t>min goblok argentina juara pildun tgl des</t>
  </si>
  <si>
    <t>['min', 'goblok', 'argentina', 'juara', 'piala dunia', 'tgl', 'des']</t>
  </si>
  <si>
    <t>@BangAlo @FazlaviF @idextratime Lha otak lu yg bilang argentina udah di setting juara dan anak fifa gimana?? otak kok goblok</t>
  </si>
  <si>
    <t>lha otak bilang argentina udah setting juara dan anak fifa gimana otak kok goblok</t>
  </si>
  <si>
    <t>['lha', 'otak', 'argentina', 'udah', 'setting', 'juara', 'anak', 'fifa', 'gimana', 'otak', 'kok', 'goblok']</t>
  </si>
  <si>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</si>
  <si>
    <t>feliz cumple ale hari ini alexis mac allister berulang tahun yang pemain yang memberikan magisnya piala dunia kemarin bagi argentina merayakan ultah dengan gelar juara dunia semoga sukses terus karirnya dan bahagia selalu ale</t>
  </si>
  <si>
    <t>['feliz', 'cumple', 'ale', 'hari', 'alexis', 'mac', 'allister', 'berulang', 'tahun', 'pemain', 'memberikan', 'magisnya', 'piala', 'dunia', 'kemarin', 'argentina', 'merayakan', 'ultah', 'gelar', 'juara', 'dunia', 'semoga', 'sukses', 'terus', 'karirnya', 'bahagia', 'selalu', 'ale']</t>
  </si>
  <si>
    <t>Salah satu esai sepakbola terbaik tahun ini dari penulis Tanah Air. Matur nuwun cak @wartokemplung   Tiga Hari Setelah Argentina Juara  https://t.co/VxQVlKPLIU via @jurno_id</t>
  </si>
  <si>
    <t>salah satu esai sepakbola terbaik tahun ini dari penulis tanah air matur nuwun cak tiga hari setelah argentina juara via</t>
  </si>
  <si>
    <t>['salah', 'satu', 'esai', 'sepakbola', 'terbaik', 'tahun', 'penulis', 'tanah', 'air', 'matur', 'nuwun', 'cak', 'tiga', 'hari', 'argentina', 'juara', 'via']</t>
  </si>
  <si>
    <t>Ten Hag: "Licha masih merayakan gelar juara di Argentina, awak paham kek mana lha bahagianya dia. Tp dia juga mesti ingat, tgl 27 liga dah jalan lagi."  Kode keras kau disuruh buruan balik lae, @LisandrMartinez üòÇ  https://t.co/5TEB19iKhe</t>
  </si>
  <si>
    <t>ten hag licha masih merayakan gelar juara argentina awak paham kek mana lha bahagianya dia dia juga mesti ingat tgl liga dah jalan lagi kode keras kau disuruh buruan balik lae</t>
  </si>
  <si>
    <t>['ten', 'hag', 'licha', 'merayakan', 'gelar', 'juara', 'argentina', 'awak', 'paham', 'kek', 'mana', 'lha', 'bahagianya', 'mesti', 'ingat', 'tgl', 'liga', 'dah', 'jalan', 'kode', 'keras', 'kau', 'disuruh', 'buruan', 'balik', 'lae']</t>
  </si>
  <si>
    <t>@ice_creameee @idextratime Fans argentina &amp;amp; fans pionel pessi emang nggak tau diri. Harusnya kalian malu tim &amp;amp; idola kalian juara piala karena bantuan fifa, bukan malah membully &amp;amp; mencaci maki sana-sini seolah2 tim &amp;amp; idola kalian hebat, bl</t>
  </si>
  <si>
    <t>creameee fans argentina fans pionel pessi emang nggak tau diri harusnya kalian malu tim idola kalian juara piala karena bantuan fifa bukan malah membully mencaci maki sana sini seolah tim idola kalian hebat</t>
  </si>
  <si>
    <t>['creameee', 'fans', 'argentina', 'fans', 'pionel', 'pessi', 'emang', 'diri', 'harusnya', 'kalian', 'malu', 'tim', 'idola', 'kalian', 'juara', 'piala', 'bantuan', 'fifa', 'bukan', 'malah', 'membully', 'mencaci', 'maki', 'sana', 'sini', 'tim', 'idola', 'kalian', 'hebat']</t>
  </si>
  <si>
    <t>@Cocokbuatkamuuu Argentina (JUARA) üèÜ</t>
  </si>
  <si>
    <t>argentina juara</t>
  </si>
  <si>
    <t>['argentina', 'juara']</t>
  </si>
  <si>
    <t>@CNNIndonesia Setuju. Tapi status juara tetap argentina.  Seru permainannya.  Pengen juga di ulang pertandingan prancis maroko</t>
  </si>
  <si>
    <t>setuju tapi status juara tetap argentina seru permainannya pengen juga ulang pertandingan prancis maroko</t>
  </si>
  <si>
    <t>['setuju', 'status', 'juara', 'tetap', 'argentina', 'seru', 'permainannya', 'pengen', 'ulang', 'pertandingan', 'prancis', 'maroko']</t>
  </si>
  <si>
    <t>@registaco @Argentina Messi juara dunia bang dodo juara aff aja gih sono</t>
  </si>
  <si>
    <t>messi juara dunia bang dodo juara aff aja gih sono</t>
  </si>
  <si>
    <t>['messi', 'juara', 'dunia', 'bang', 'dodo', 'juara', 'aff', 'gih', 'sono']</t>
  </si>
  <si>
    <t>@BiLLRaY2019 @R_min80 @aniesbaswedan Argentina juara dunia tgl berapa? Itu pak anies bikin twit tgl berapa? Jangan bego2 amat dong jadi orang. Kasihan keluarga mu</t>
  </si>
  <si>
    <t>min argentina juara dunia tgl berapa itu pak anies bikin twit tgl berapa jangan bego amat dong jadi orang kasihan keluarga</t>
  </si>
  <si>
    <t>['min', 'argentina', 'juara', 'dunia', 'tgl', 'berapa', 'pak', 'anies', 'twit', 'tgl', 'berapa', 'jangan', 'bego', 'dong', 'jadi', 'orang', 'kasihan', 'keluarga']</t>
  </si>
  <si>
    <t>@domu_hutagalung @R_min80 @aniesbaswedan Emang Argentina juara piala dunia tanggal berapa? Kalau goblok jangan nanggung nanggung. Bego dipiara.</t>
  </si>
  <si>
    <t>hutagalung min emang argentina juara piala dunia tanggal berapa kalau goblok jangan nanggung nanggung bego dipiara</t>
  </si>
  <si>
    <t>['hutagalung', 'min', 'emang', 'argentina', 'juara', 'piala', 'dunia', 'tanggal', 'berapa', 'kalau', 'goblok', 'jangan', 'nanggung', 'nanggung', 'bego', 'dipiara']</t>
  </si>
  <si>
    <t>Semenjak Piala Dunia selesai, Argentina dan Messi nya menjadi juara, kenapa banyak sekali fans Cristiano Ronaldo yang tolol, ajg lah</t>
  </si>
  <si>
    <t>semenjak piala dunia selesai argentina dan messi nya menjadi juara kenapa banyak sekali fans cristiano ronaldo yang tolol ajg lah</t>
  </si>
  <si>
    <t>['semenjak', 'piala', 'dunia', 'selesai', 'argentina', 'messi', 'menjadi', 'juara', 'banyak', 'sekali', 'fans', 'cristiano', 'ronaldo', 'tolol', 'ajg', 'lah']</t>
  </si>
  <si>
    <t>@LexCalvin7 @thannathannn @SiaranBolaLive Ya berarti bener kan kalo Mbappe merendahkan sepal bola Amerika Latin? kalo negara¬≤ eropa lebih maju sepak bolanya, kenapa juara dunianya Argentina? Juara eropa juga kalah sama Argentina btw...</t>
  </si>
  <si>
    <t>berarti bener kan kalo mbappe merendahkan sepal bola amerika latin kalo negara eropa lebih maju sepak bolanya kenapa juara dunianya argentina juara eropa juga kalah sama argentina btw</t>
  </si>
  <si>
    <t>['berarti', 'benar', 'kan', 'mbappe', 'merendahkan', 'sepal', 'bola', 'amerika', 'latin', 'negara', 'eropa', 'lebih', 'maju', 'sepak', 'bolanya', 'juara', 'dunianya', 'argentina', 'juara', 'eropa', 'kalah', 'sama', 'argentina', 'by the way']</t>
  </si>
  <si>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</si>
  <si>
    <t>enzo fernandez pemain berusia tahun ini baru mendapatkan caps pertamanya bersama argentina jeda internasional terakhir sebelum piala dunia namun enzo berhasil menjadi salah satu pemain kunci skuad argentina dan berhasil membawa argentina menjadi juara dunia</t>
  </si>
  <si>
    <t>['enzo', 'fernandez', 'pemain', 'berusia', 'tahun', 'baru', 'mendapatkan', 'caps', 'pertamanya', 'bersama', 'argentina', 'jeda', 'internasional', 'terakhir', 'piala', 'dunia', 'enzo', 'berhasil', 'menjadi', 'salah', 'satu', 'pemain', 'kunci', 'skuad', 'argentina', 'berhasil', 'membawa', 'argentina', 'menjadi', 'juara', 'dunia']</t>
  </si>
  <si>
    <t>@IrfanMa92641613 @akbar_ludiya @Bayy0705 @idextratime terus contoh nih, saya komen di ig nya argentina menang juara dunia, apa itu mempresentasikan kalau saya orang argentina ya mass?</t>
  </si>
  <si>
    <t>ludiya terus contoh nih saya komen nya argentina menang juara dunia apa itu mempresentasikan kalau saya orang argentina mass</t>
  </si>
  <si>
    <t>['ludiya', 'terus', 'contoh', 'komen', 'argentina', 'menang', 'juara', 'dunia', 'apa', 'mempresentasikan', 'kalau', 'orang', 'argentina', 'mass']</t>
  </si>
  <si>
    <t>juara piala dunia sebelumnya ngga ada yang setengil argentina sekarang</t>
  </si>
  <si>
    <t>['juara', 'piala', 'dunia', 'sebelumnya', 'ngga', 'setengil', 'argentina', 'sekarang']</t>
  </si>
  <si>
    <t>Kisah Lionel Messi yang Sempat Ditawari Bela Timnas Spanyol Sebelum Juara Piala Dunia Bersama Argentina #LengkapCepatBeritanya #Bola #SepakBola #SepakbolaDunia #BolaDunia .  https://t.co/uybdd0u8GB</t>
  </si>
  <si>
    <t>kisah lionel messi yang sempat ditawari bela timnas spanyol sebelum juara piala dunia bersama argentina</t>
  </si>
  <si>
    <t>['kisah', 'lionel', 'messi', 'sempat', 'ditawari', 'bela', 'timnas', 'spanyol', 'juara', 'piala', 'dunia', 'bersama', 'argentina']</t>
  </si>
  <si>
    <t>@SatpamGlacier @numberrs_ @heydeww_ @idextratime sudah bang mau kasih tau jutaan kali juga percuma orang dia ga mau Argentina juara mau Argentina menang 20-0 juga dicari" kesalahannya wkwk</t>
  </si>
  <si>
    <t>sudah bang mau kasih tau jutaan kali juga percuma orang dia mau argentina juara mau argentina menang juga dicari kesalahannya wkwk</t>
  </si>
  <si>
    <t>['bang', 'mau', 'kasih', 'jutaan', 'kali', 'percuma', 'orang', 'mau', 'argentina', 'juara', 'mau', 'argentina', 'menang', 'dicari', 'kesalahannya']</t>
  </si>
  <si>
    <t>@registaco mungkin saja bang sama sama juara piala dunia sama sama dari brazil dan argentina tinggal nunggu aja kapan waktu nya ronaldo R9 dan messi bertemu</t>
  </si>
  <si>
    <t>mungkin saja bang sama sama juara piala dunia sama sama dari brazil dan argentina tinggal nunggu aja kapan waktu nya ronaldo dan messi bertemu</t>
  </si>
  <si>
    <t>['mungkin', 'bang', 'sama', 'sama', 'juara', 'piala', 'dunia', 'sama', 'sama', 'brazil', 'argentina', 'tinggal', 'nunggu', 'kapan', 'waktu', 'ronaldo', 'messi', 'bertemu']</t>
  </si>
  <si>
    <t>Anies yg gini aja ngibul. Warga Argentina yg menyambut  sang juara dunia di catut di beritakan warga Pangkep. Wan mangkrak muga badak raja ngibul.‚ÄºÔ∏èüëá  https://t.co/TXMkHhJ4wU</t>
  </si>
  <si>
    <t>anies gini aja ngibul warga argentina menyambut sang juara dunia catut beritakan warga pangkep wan mangkrak muga badak raja ngibul</t>
  </si>
  <si>
    <t>['anies', 'gini', 'ngibul', 'warga', 'argentina', 'menyambut', 'sang', 'juara', 'dunia', 'catut', 'beritakan', 'warga', 'pangkep', 'wan', 'mangkrak', 'muga', 'badak', 'raja', 'ngibul']</t>
  </si>
  <si>
    <t>@kaylapuspasari Editan kayaknya, acara anis di pangkep tgl 11 Des 22, Argentina blm juara. Udah kita jgn ketularan mrk yg nyebar berita bohong.</t>
  </si>
  <si>
    <t>editan kayaknya acara anis pangkep tgl des argentina blm juara udah kita jgn ketularan mrk nyebar berita bohong</t>
  </si>
  <si>
    <t>['editan', 'kayaknya', 'acara', 'anis', 'pangkep', 'tgl', 'des', 'argentina', 'blm', 'juara', 'udah', 'ketularan', 'mrk', 'nyebar', 'berita', 'bohong']</t>
  </si>
  <si>
    <t>Legenda Prancis Ungkap Sisi Gelap Argentina Juara Piala Dunia ‚Äì CNN Indonesia ‚Äì Google Berita Olahraga ‚Äì  https://t.co/raB9FZC1lr ‚Äì #Arenanews #Kamidi #Opsiminfo- https://t.co/K4NzTJGPoX</t>
  </si>
  <si>
    <t>legenda prancis ungkap sisi gelap argentina juara piala dunia cnn indonesia google berita olahraga</t>
  </si>
  <si>
    <t>['legenda', 'prancis', 'ungkap', 'sisi', 'gelap', 'argentina', 'juara', 'piala', 'dunia', 'cnn', 'indonesia', 'google', 'berita', 'olahraga']</t>
  </si>
  <si>
    <t>@R_min80 @aniesbaswedan Cebong emang otak keledai auto tolol idiots. Argentina juara kapan, anies posting kapanü§£ü§£ü§£ü§£</t>
  </si>
  <si>
    <t>min cebong emang otak keledai auto tolol idiots argentina juara kapan anies posting kapan</t>
  </si>
  <si>
    <t>['min', 'cebong', 'emang', 'otak', 'keledai', 'auto', 'tolol', 'idiots', 'argentina', 'juara', 'kapan', 'anies', 'posting', 'kapan']</t>
  </si>
  <si>
    <t>Sisi Gelap Argentina Juara Piala Dunia 2022 Diungkap Legenda Prancis  https://t.co/VVNJeA5Sn0</t>
  </si>
  <si>
    <t>sisi gelap argentina juara piala dunia diungkap legenda prancis</t>
  </si>
  <si>
    <t>['sisi', 'gelap', 'argentina', 'juara', 'piala', 'dunia', 'diungkap', 'legenda', 'prancis']</t>
  </si>
  <si>
    <t>Fans Portugal sehabis lihat WORLDCUP2022 QATAR AIRWAYS yang juara Argentina  https://t.co/2tjNPJJ126</t>
  </si>
  <si>
    <t>fans portugal sehabis lihat worldcup qatar airways yang juara argentina</t>
  </si>
  <si>
    <t>['fans', 'portugal', 'sehabis', 'lihat', 'worldcup', 'qatar', 'airways', 'juara', 'argentina']</t>
  </si>
  <si>
    <t>2022 diiringi PPG dan Argentina Juara Piala Dunia</t>
  </si>
  <si>
    <t>diiringi ppg dan argentina juara piala dunia</t>
  </si>
  <si>
    <t>['diiringi', 'ppg', 'argentina', 'juara', 'piala', 'dunia']</t>
  </si>
  <si>
    <t>@ID_Albiceleste pada sadar ga sih setiap argentina juara itu di final selalu mencetak 3 gol, 1978 3-1 netherlands, 1986 3-2 germany dan 2022 3-3(4-2 pk) France</t>
  </si>
  <si>
    <t>albiceleste pada sadar sih setiap argentina juara itu final selalu mencetak gol netherlands germany dan france</t>
  </si>
  <si>
    <t>['albiceleste', 'sadar', 'argentina', 'juara', 'final', 'selalu', 'mencetak', 'gol', 'netherlands', 'germany', 'france']</t>
  </si>
  <si>
    <t>Kalo bangsat tukang ngibul bawaan dari orok, ya gitu! Masa Argentina menyambut kedatangan sang juara dunia kok tega-teganya di catut menjadi masyarakat Pangkep???  Oalah drun-drun.ü§£ Ambisi jadi presiden sampai segitunya ngibulüòÜ  https://t.co/ULc0C8nvYH</t>
  </si>
  <si>
    <t>kalo bangsat tukang ngibul bawaan dari orok gitu masa argentina menyambut kedatangan sang juara dunia kok tega teganya catut menjadi masyarakat pangkep oalah drun drun ambisi jadi presiden sampai segitunya ngibul</t>
  </si>
  <si>
    <t>['bangsat', 'tukang', 'ngibul', 'bawaan', 'orok', 'gitu', 'masa', 'argentina', 'menyambut', 'kedatangan', 'sang', 'juara', 'dunia', 'kok', 'tega', 'teganya', 'catut', 'menjadi', 'masyarakat', 'pangkep', 'oalah', 'drun', 'drun', 'ambisi', 'jadi', 'presiden', 'segitunya', 'ngibul']</t>
  </si>
  <si>
    <t>Legenda Prancis Ungkap Sisi Gelap Argentina Juara Piala Dunia ‚Äì CNN Indonesia ‚Äì Google Berita Olahraga ‚Äì  https://t.co/0EIdo2uKz2 ‚Äì #Arenanews #Kamidi¬†#Opsiminfo  https://t.co/gBUjcg0Lti</t>
  </si>
  <si>
    <t>@SiaranBolaLive Juara yang kelakuannya norak dengan ngejek lawan yah cuma argentina. Masih dendam bangat sama perancis</t>
  </si>
  <si>
    <t>juara yang kelakuannya norak dengan ngejek lawan yah cuma argentina masih dendam bangat sama perancis</t>
  </si>
  <si>
    <t>['juara', 'kelakuannya', 'norak', 'ngejek', 'lawan', 'cuma', 'argentina', 'dendam', 'bangat', 'sama', 'perancis']</t>
  </si>
  <si>
    <t>@tanyakanrl Zinedine</t>
  </si>
  <si>
    <t>zinedine</t>
  </si>
  <si>
    <t>['zinedine']</t>
  </si>
  <si>
    <t>&lt;FreqDist with 1 samples and 1 outcomes&gt;</t>
  </si>
  <si>
    <t>Sempat kalah 1-2 dari Arab Saudi, Argentina kemudian bangkit mengalahkan Meksiko dengan skor 2-0. Pada laga pamungkas penyisihan grup, Argentina sukses mengalahkan Polandia dan menyegel status juara grup. Pada fase Round 16, Argentina sukses mengalahkan Australia dengan skor 2-1.</t>
  </si>
  <si>
    <t>sempat kalah dari arab saudi argentina kemudian bangkit mengalahkan meksiko dengan skor pada laga pamungkas penyisihan grup argentina sukses mengalahkan polandia dan menyegel status juara grup pada fase round argentina sukses mengalahkan australia dengan skor</t>
  </si>
  <si>
    <t>['sempat', 'kalah', 'arab', 'saudi', 'argentina', 'kemudian', 'bangkit', 'mengalahkan', 'meksiko', 'skor', 'laga', 'pamungkas', 'penyisihan', 'grup', 'argentina', 'sukses', 'mengalahkan', 'polandia', 'menyegel', 'status', 'juara', 'grup', 'fase', 'round', 'argentina', 'sukses', 'mengalahkan', 'australia', 'skor']</t>
  </si>
  <si>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</si>
  <si>
    <t>lionel scaloni pelatih yang berhasil membawa argentina juara world cup qatar minggu desember jadi hari bersejarah bagi timnas argentina albiceleste julukan timnas argentina sukses mengangkat trofi piala dunia untuk ketiga kalinya sepanjang sejarah</t>
  </si>
  <si>
    <t>['lionel', 'scaloni', 'pelatih', 'berhasil', 'membawa', 'argentina', 'juara', 'world', 'cup', 'qatar', 'minggu', 'desember', 'jadi', 'hari', 'bersejarah', 'timnas', 'argentina', 'albiceleste', 'julukan', 'timnas', 'argentina', 'sukses', 'mengangkat', 'trofi', 'piala', 'dunia', 'ketiga', 'kalinya', 'sepanjang', 'sejarah']</t>
  </si>
  <si>
    <t>@mamas386 @AkmaluddingN @Sport77Official wkwk kmren argentina jg sperti itu kalah lawan arab perdana akhirnya juara piala dunia kalem aj ngab biasa netizen +62</t>
  </si>
  <si>
    <t>wkwk kmren argentina sperti itu kalah lawan arab perdana akhirnya juara piala dunia kalem ngab biasa netizen</t>
  </si>
  <si>
    <t>['kmren', 'argentina', 'sperti', 'kalah', 'lawan', 'arab', 'perdana', 'akhirnya', 'juara', 'piala', 'dunia', 'kalem', 'ngab', 'biasa', 'netizen']</t>
  </si>
  <si>
    <t>Enzo Fernandez Bikin Manchester United dan Liverpool Sikut-sikutan Usai Bawa Argentina Juara Piala Dunia.</t>
  </si>
  <si>
    <t>enzo fernandez bikin manchester united dan liverpool sikut sikutan usai bawa argentina juara piala dunia</t>
  </si>
  <si>
    <t>['enzo', 'fernandez', 'manchester', 'united', 'liverpool', 'sikut', 'sikutan', 'usai', 'bawa', 'argentina', 'juara', 'piala', 'dunia']</t>
  </si>
  <si>
    <t>@WongIndonesiaOK @SiaranBolaLive Cuy argentina aj juara pdahal kalah sm team asia dpertandingan pertama..</t>
  </si>
  <si>
    <t>cuy argentina juara pdahal kalah team asia dpertandingan pertama</t>
  </si>
  <si>
    <t>['argentina', 'juara', 'pdahal', 'kalah', 'team', 'asia', 'dpertandingan', 'pertama']</t>
  </si>
  <si>
    <t>Winger Timnas Argentina, Angel Di Maria, memamerkan tato barunya bergambar trofi Piala Dunia. Maklum saja, pasalnya Di Maria baru saja mengantarkan Argentina juara Piala Dunia 2022.  https://t.co/19JSdF4jRQ</t>
  </si>
  <si>
    <t>winger timnas argentina angel maria memamerkan tato barunya bergambar trofi piala dunia maklum saja pasalnya maria baru saja mengantarkan argentina juara piala dunia</t>
  </si>
  <si>
    <t>['winger', 'timnas', 'argentina', 'angel', 'maria', 'memamerkan', 'tato', 'barunya', 'bergambar', 'trofi', 'piala', 'dunia', 'maklum', 'pasalnya', 'maria', 'baru', 'mengantarkan', 'argentina', 'juara', 'piala', 'dunia']</t>
  </si>
  <si>
    <t>Enzo Fernandez Bikin Manchester United dan Liverpool Sikut-sikutan Usai Bawa Argentina Juara Piala Dunia #LengkapCepatBeritanya #Bola #SepakBola #SepakbolaDunia #BolaDunia .  https://t.co/yzBZX9osoU</t>
  </si>
  <si>
    <t>Emiliano Martinez terus mencibir pemain-pemain Prancis usai Argentina juara Piala Dunia 2022. Kiper Tim Tango itu dinilai membuat tindakan bodoh.  https://t.co/fQieyTWPFi</t>
  </si>
  <si>
    <t>2022 berjalan lumayan krn Argentina juara piala dunia</t>
  </si>
  <si>
    <t>berjalan lumayan krn argentina juara piala dunia</t>
  </si>
  <si>
    <t>['berjalan', 'lumayan', 'argentina', 'juara', 'piala', 'dunia']</t>
  </si>
  <si>
    <t>Emiliano Martinez terus mencibir pemain-pemain Prancis usai Argentina juara Piala Dunia 2022. Kiper Tim Tango itu dinilai membuat tindakan bodoh.  https://t.co/fQieyUeYTq</t>
  </si>
  <si>
    <t>Emiliano Martinez terus mencibir pemain-pemain Prancis usai Argentina juara Piala Dunia 2022. Kiper Tim Tango itu dinilai membuat tindakan bodoh.  https://t.co/D9NLlP8uCi</t>
  </si>
  <si>
    <t xml:space="preserve"> https://t.co/dKvge0jeNs : Kisah Mario Gotze Kegirangan Lihat Argentina Juara Piala Dunia 2022, Sikap Lionel Messi Jadi Alasannya  https://t.co/NFBKog53l0</t>
  </si>
  <si>
    <t>kisah mario gotze kegirangan lihat argentina juara piala dunia sikap lionel messi jadi alasannya</t>
  </si>
  <si>
    <t>['kisah', 'mario', 'gotze', 'kegirangan', 'lihat', 'argentina', 'juara', 'piala', 'dunia', 'sikap', 'lionel', 'messi', 'jadi', 'alasannya']</t>
  </si>
  <si>
    <t>aku bahagia karena messi dan argentina meraih juara piala dunia, tp aku juga sedih karena kamu memilih yg lain</t>
  </si>
  <si>
    <t>aku bahagia karena messi dan argentina meraih juara piala dunia aku juga sedih karena kamu memilih lain</t>
  </si>
  <si>
    <t>['aku', 'bahagia', 'messi', 'argentina', 'meraih', 'juara', 'piala', 'dunia', 'aku', 'sedih', 'kamu', 'memilih']</t>
  </si>
  <si>
    <t>jika ada yg lebih bahagia daripada 'argentina juara piala dunia', mungkin itu 'bisa memiliki mu'</t>
  </si>
  <si>
    <t>jika ada lebih bahagia daripada argentina juara piala dunia mungkin itu bisa memiliki</t>
  </si>
  <si>
    <t>['lebih', 'bahagia', 'argentina', 'juara', 'piala', 'dunia', 'mungkin', 'memiliki']</t>
  </si>
  <si>
    <t>BUKAN ARGENTINA !! Jurnalis Barat ini Sebut Juara Piala Dunia Qatar Adal...  https://t.co/Tghb1y6uBq via @YouTube</t>
  </si>
  <si>
    <t>bukan argentina jurnalis barat ini sebut juara piala dunia qatar adal via</t>
  </si>
  <si>
    <t>['bukan', 'argentina', 'jurnalis', 'barat', 'sebut', 'juara', 'piala', 'dunia', 'qatar', 'adal', 'via']</t>
  </si>
  <si>
    <t>Kisah Mario Gotze Kegirangan Lihat Argentina Juara Piala Dunia 2022, Sikap Lionel Messi Jadi Alasannya.</t>
  </si>
  <si>
    <t>@KING__VALDEZ @kartarahardja tgl 11 apa Argentina sudah juara?</t>
  </si>
  <si>
    <t>valdez tgl apa argentina sudah juara</t>
  </si>
  <si>
    <t>['valdez', 'tgl', 'apa', 'argentina', 'juara']</t>
  </si>
  <si>
    <t>FIFA Selidiki Tingkah Laku Salt Bae di Perayaan Argentina Juara Piala Dunia 2022  https://t.co/9DkbxV9YaE</t>
  </si>
  <si>
    <t>fifa selidiki tingkah laku salt bae perayaan argentina juara piala dunia</t>
  </si>
  <si>
    <t>['fifa', 'selidiki', 'tingkah', 'laku', 'salt', 'bae', 'perayaan', 'argentina', 'juara', 'piala', 'dunia']</t>
  </si>
  <si>
    <t>Legenda Prancis Ungkap Sisi Gelap Argentina Juara Piala Dunia  https://t.co/7nHUFPSZay</t>
  </si>
  <si>
    <t>@BangEdiii Yg penting prediksi jitu argentina vs Prancis sudah waktunya messi juara..</t>
  </si>
  <si>
    <t>penting prediksi jitu argentina prancis sudah waktunya messi juara</t>
  </si>
  <si>
    <t>['penting', 'prediksi', 'jitu', 'argentina', 'prancis', 'waktunya', 'messi', 'juara']</t>
  </si>
  <si>
    <t>Juara dunia dan ekonomi Argentina yg terpuruk</t>
  </si>
  <si>
    <t>juara dunia dan ekonomi argentina terpuruk</t>
  </si>
  <si>
    <t>['juara', 'dunia', 'ekonomi', 'argentina', 'terpuruk']</t>
  </si>
  <si>
    <t>@SiaranBolaLive YG SETUJU DAN MENDUKUNG KELAKUAN KIPER INI BERARTI SAMA, KALO JADI PEMENANG PASTI RENDAHIN ORANG. JUARA MEMANG BEBAS, TP KELAKUAN JANGAN JADI SEENAK NDAS E DWE. SELAMAT ARGENTINA ATAS JUARANYA, WLPN ADU PENALTY TP MEMANG PANTAS JD JUARA.</t>
  </si>
  <si>
    <t>setuju dan mendukung kelakuan kiper ini berarti sama kalo jadi pemenang pasti rendahin orang juara memang bebas kelakuan jangan jadi seenak ndas dwe selamat argentina atas juaranya wlpn adu penalty memang pantas juara</t>
  </si>
  <si>
    <t>['setuju', 'mendukung', 'kelakuan', 'kiper', 'berarti', 'sama', 'jadi', 'pemenang', 'rendahin', 'orang', 'juara', 'memang', 'bebas', 'kelakuan', 'jangan', 'jadi', 'seenak', 'ndas', 'dwe', 'selamat', 'argentina', 'atas', 'juaranya', 'wlpn', 'adu', 'penalty', 'memang', 'pantas', 'juara']</t>
  </si>
  <si>
    <t>Patrick Vieira: Selebrasi Bodoh Emi Martinez Rusak Esensi Juara Argentina Di Piala Dunia! ‚Äì  https://t.co/aBNyMHUYaw ‚Äì Google Berita Olahraga ‚Äì  https://t.co/EXBK8DHBBD ‚Äì #Arenanews #Kamidi #Opsiminfo- https://t.co/tWNxxRPA6g</t>
  </si>
  <si>
    <t>patrick vieira selebrasi bodoh emi martinez rusak esensi juara argentina piala dunia google berita olahraga</t>
  </si>
  <si>
    <t>['patrick', 'vieira', 'selebrasi', 'bodoh', 'emi', 'martinez', 'rusak', 'esensi', 'juara', 'argentina', 'piala', 'dunia', 'google', 'berita', 'olahraga']</t>
  </si>
  <si>
    <t>@adelboys @Quvvatt @panca66 @yunartowijaya @TaufikRendusara Jaman SBY, Argentina blm pernah juara Piala Dunia. Tapi di jaman JKW hal tsb bisa terjadi. Dampaknya untuk dunia bahkan...</t>
  </si>
  <si>
    <t>jaman sby argentina blm pernah juara piala dunia tapi jaman jkw hal tsb bisa terjadi dampaknya untuk dunia bahkan</t>
  </si>
  <si>
    <t>['jaman', 'sby', 'argentina', 'blm', 'pernah', 'juara', 'piala', 'dunia', 'jaman', 'jkw', 'tsb', 'terjadi', 'dampaknya', 'dunia', 'bahkan']</t>
  </si>
  <si>
    <t>@Info_Ronaldo7 Gmna kalau uda diulang Argentina tetap juara ü§£</t>
  </si>
  <si>
    <t>ronaldo gmna kalau uda diulang argentina tetap juara</t>
  </si>
  <si>
    <t>['ronaldo', 'gmna', 'kalau', 'uda', 'diulang', 'argentina', 'tetap', 'juara']</t>
  </si>
  <si>
    <t>Kisah Mario Gotze Kegirangan Lihat Argentina Juara Piala Dunia 2022, Sikap Lionel Messi Jadi Alasannya #LengkapCepatBeritanya #Bola #SepakBola #SepakbolaDunia #BolaDunia .  https://t.co/Xj6krZ4KYP</t>
  </si>
  <si>
    <t>Patrick Vieira: Selebrasi Bodoh Emi Martinez Rusak Esensi Juara Argentina Di Piala Dunia! ‚Äì  https://t.co/bgZvgecAQ6 ‚Äì Google Berita Olahraga ‚Äì  https://t.co/z641A0ezgC ‚Äì #Arenanews #Kamidi¬†#Opsiminfo  https://t.co/0C2lx48qUy</t>
  </si>
  <si>
    <t>@kartarahardja Nama orang orang suka berbohong inilah jadinya.di Argentina tidak ada kadrun anies itu merayakan juara piala dunia sepakbola.diakui di pangkep kamu waras Anies....?</t>
  </si>
  <si>
    <t>nama orang orang suka berbohong inilah jadinya argentina tidak ada kadrun anies itu merayakan juara piala dunia sepakbola diakui pangkep kamu waras anies</t>
  </si>
  <si>
    <t>['nama', 'orang', 'orang', 'suka', 'berbohong', 'inilah', 'jadinya', 'argentina', 'kadrun', 'anies', 'merayakan', 'juara', 'piala', 'dunia', 'sepakbola', 'diakui', 'pangkep', 'kamu', 'waras', 'anies']</t>
  </si>
  <si>
    <t>@BiLLRaY2019 @R_min80 @aniesbaswedan jgn ikutan nyebarin hoax bro... foto di argentina terjadi tgl 20/12 sdg tuit wan got tgl 11/12 artinya argentina blm Juara Dunia  cak @R_min80 anda bukan penyusup khan??? bkn utk menjerumuskan akun NKRI khan</t>
  </si>
  <si>
    <t>min jgn ikutan nyebarin hoax bro foto argentina terjadi tgl sdg tuit wan got tgl artinya argentina blm juara dunia cak min anda bukan penyusup khan bkn utk menjerumuskan akun nkri khan</t>
  </si>
  <si>
    <t>['min', 'ikutan', 'nyebarin', 'hoax', 'bro', 'foto', 'argentina', 'terjadi', 'tgl', 'sdg', 'tuit', 'wan', 'got', 'tgl', 'artinya', 'argentina', 'blm', 'juara', 'dunia', 'cak', 'min', 'bukan', 'penyusup', 'khan', 'bkn', 'menjerumuskan', 'akun', 'nkri', 'khan']</t>
  </si>
  <si>
    <t>@SugengMesdianto @FaktaSepakbola Nama pemainnya siapa sih? Brengsek bener tuh bahaya kalau kena bagian vital orang apalagi lagi ga reflek</t>
  </si>
  <si>
    <t>nama pemainnya siapa sih brengsek bener tuh bahaya kalau kena bagian vital orang apalagi lagi reflek</t>
  </si>
  <si>
    <t>['nama', 'pemainnya', 'siapa', 'brengsek', 'benar', 'bahaya', 'kalau', 'kena', 'bagian', 'vital', 'orang', 'reflek']</t>
  </si>
  <si>
    <t>@idextratime Santai France baru kemaren 2018 juara, sekarang bisa backtoback ke Final lagi jadi runner-up cmn lewat adu penalty udah hebat banget, masih ada kesempatan lagi di 2026 nanti‚Ä¶ Kalo Argentina dan Messi mungkin memang satu satunya kesempatan y</t>
  </si>
  <si>
    <t>santai france baru kemaren juara sekarang bisa backtoback final lagi jadi runner cmn lewat adu penalty udah hebat banget masih ada kesempatan lagi nanti kalo argentina dan messi mungkin memang satu satunya kesempatan</t>
  </si>
  <si>
    <t>['santai', 'france', 'baru', 'kemarin', 'juara', 'sekarang', 'backtoback', 'final', 'jadi', 'runner', 'cmn', 'lewat', 'adu', 'penalty', 'udah', 'hebat', 'banget', 'kesempatan', 'argentina', 'messi', 'mungkin', 'memang', 'satu', 'satunya', 'kesempatan']</t>
  </si>
  <si>
    <t>3 Kesamaan Timnas Indonesia di Piala AFF 2022 dan Timnas Argentina saat Juara Piala Dunia 2022, Nomor 1 Bawa-Bawa Lionel Messi #LengkapCepatBeritanya #Bola #SepakBola #SepakbolaDunia #BolaDunia .  https://t.co/FeIfoAtJYT</t>
  </si>
  <si>
    <t>kesamaan timnas indonesia piala aff dan timnas argentina saat juara piala dunia nomor bawa bawa lionel messi</t>
  </si>
  <si>
    <t>['kesamaan', 'timnas', 'indonesia', 'piala', 'aff', 'timnas', 'argentina', 'juara', 'piala', 'dunia', 'nomor', 'bawa', 'bawa', 'lionel', 'messi']</t>
  </si>
  <si>
    <t>@Nndw22 Yakinn ??</t>
  </si>
  <si>
    <t>yakinn</t>
  </si>
  <si>
    <t>['yakinn']</t>
  </si>
  <si>
    <t>Meski Pernah Dikalahkan Arab Saudi, Argentina Berhasil Juara Piala Dunia Qatar 2022  https://t.co/fpbkHQwpqm  https://t.co/AsJ3IZRp0W</t>
  </si>
  <si>
    <t>meski pernah dikalahkan arab saudi argentina berhasil juara piala dunia qatar</t>
  </si>
  <si>
    <t>['meski', 'pernah', 'dikalahkan', 'arab', 'saudi', 'argentina', 'berhasil', 'juara', 'piala', 'dunia', 'qatar']</t>
  </si>
  <si>
    <t>@fendyboys1 @SiaranBolaLive Pointnya argentina tetep juara kan  Gausa bertele tele</t>
  </si>
  <si>
    <t>pointnya argentina tetep juara kan gausa bertele tele</t>
  </si>
  <si>
    <t>['pointnya', 'argentina', 'tetep', 'juara', 'kan', 'gausa', 'bertele', 'tele']</t>
  </si>
  <si>
    <t>sing juara Argentina, sing ndem-ndeman Kerala. üòÅüòÅ   https://t.co/v8YPz1C0Aw</t>
  </si>
  <si>
    <t>sing juara argentina sing ndem ndeman kerala</t>
  </si>
  <si>
    <t>['sing', 'juara', 'argentina', 'sing', 'ndem', 'ndeman', 'kerala']</t>
  </si>
  <si>
    <t>@GOAL_ID Aib buat peracis ga aib buat Argentina juara bebas</t>
  </si>
  <si>
    <t>aib buat peracis aib buat argentina juara bebas</t>
  </si>
  <si>
    <t>['aib', 'buat', 'peracis', 'aib', 'buat', 'argentina', 'juara', 'bebas']</t>
  </si>
  <si>
    <t>Jubah bisht yang dipakai kapten Timnas Argentina, Lionel Messi, saat seremoni juara Piala Dunia 2022 ditawar oleh pengacara kaya asal Oman.   https://t.co/z751B2W4GS</t>
  </si>
  <si>
    <t>jubah bisht yang dipakai kapten timnas argentina lionel messi saat seremoni juara piala dunia ditawar oleh pengacara kaya asal oman</t>
  </si>
  <si>
    <t>['jubah', 'bisht', 'dipakai', 'kapten', 'timnas', 'argentina', 'lionel', 'messi', 'seremoni', 'juara', 'piala', 'dunia', 'ditawar', 'pengacara', 'kaya', 'asal', 'oman']</t>
  </si>
  <si>
    <t>@R_min80 @aniesbaswedan Beritanya tanggal 11 Desember sedangkan final PD tanggal 18 Desember, fotonya perayaan setelah argentina juara, fitnahnya kurang canggih....</t>
  </si>
  <si>
    <t>min beritanya tanggal desember sedangkan final tanggal desember fotonya perayaan setelah argentina juara fitnahnya kurang canggih</t>
  </si>
  <si>
    <t>['min', 'beritanya', 'tanggal', 'desember', 'final', 'tanggal', 'desember', 'fotonya', 'perayaan', 'argentina', 'juara', 'fitnahnya', 'kurang', 'canggih']</t>
  </si>
  <si>
    <t>@kaylapuspasari Argentina juara tanggal 18 ko di tweet itu tertulis tgl 11</t>
  </si>
  <si>
    <t>argentina juara tanggal tweet itu tertulis tgl</t>
  </si>
  <si>
    <t>['argentina', 'juara', 'tanggal', 'tweet', 'tertulis', 'tgl']</t>
  </si>
  <si>
    <t>Vamos Argentina  Jadi Juara Piala Dunia 2022 QATAR  https://t.co/StSUtQEvc1</t>
  </si>
  <si>
    <t>vamos argentina jadi juara piala dunia qatar</t>
  </si>
  <si>
    <t>['vamos', 'argentina', 'jadi', 'juara', 'piala', 'dunia', 'qatar']</t>
  </si>
  <si>
    <t>@Muhammadsabriqu @bachrum_achmadi Penyambutan team argentina juara piala di buono aires sj di buat hoaxs klu itu penyambutan anis di  https://t.co/lYGiQnn5mN spt ini jadi penguasa di indonesia bisa hancur. Bangsa dan negara indonesia.  https://t.co/fbknAr</t>
  </si>
  <si>
    <t>achmadi penyambutan team argentina juara piala buono aires buat hoaxs klu itu penyambutan anis spt ini jadi penguasa indonesia bisa hancur bangsa dan negara indonesia</t>
  </si>
  <si>
    <t>['achmadi', 'penyambutan', 'team', 'argentina', 'juara', 'piala', 'buono', 'aires', 'buat', 'hoaxs', 'klu', 'penyambutan', 'anis', 'spt', 'jadi', 'penguasa', 'indonesia', 'hancur', 'bangsa', 'negara', 'indonesia']</t>
  </si>
  <si>
    <t>üì∑ Untuk mengapresiasi jasanya, Pemerintah Argentina baru saja mengeluarkan mata uang dengan wajah Lionel Messi serta Squad Argentina saat selebrasi juara Piala Dunia 2022. - Follow juga kami di : - Instagram ¬†: @ekingsnews - Facebook ¬†:...  https://t.co/HwIvGxBukp</t>
  </si>
  <si>
    <t>untuk mengapresiasi jasanya pemerintah argentina baru saja mengeluarkan mata uang dengan wajah lionel messi serta squad argentina saat selebrasi juara piala dunia follow juga kami instagram facebook</t>
  </si>
  <si>
    <t>['mengapresiasi', 'jasanya', 'pemerintah', 'argentina', 'baru', 'mengeluarkan', 'mata', 'uang', 'wajah', 'lionel', 'messi', 'squad', 'argentina', 'selebrasi', 'juara', 'piala', 'dunia', 'follow', 'instagram', 'facebook']</t>
  </si>
  <si>
    <t>@cowobangkit Argentina om sigana nu juara na</t>
  </si>
  <si>
    <t>argentina sigana juara</t>
  </si>
  <si>
    <t>['argentina', 'sigana', 'juara']</t>
  </si>
  <si>
    <t>@IxNdheso @pembela_rakyat_ @aniesbaswedan @Relawananies @sobat_anies @aniesmania @Rinaimoutz @SuaraAnies Coba kita brfikir sejenak, Tweet Pak Anies Baswedan yg tertera digambar tanggal berapa kisanak??? Trus Argentina Juara PILDUN tanggal berapa kisanak??</t>
  </si>
  <si>
    <t>rakyat anies coba kita brfikir sejenak tweet pak anies baswedan tertera digambar tanggal berapa kisanak trus argentina juara pildun tanggal berapa kisanak</t>
  </si>
  <si>
    <t>['rakyat', 'anies', 'coba', 'brfikir', 'sejenak', 'tweet', 'pak', 'anies', 'baswedan', 'tertera', 'digambar', 'tanggal', 'berapa', 'kisanak', 'trus', 'argentina', 'juara', 'piala dunia', 'tanggal', 'berapa', 'kisanak']</t>
  </si>
  <si>
    <t>@FWBESS Bekasi Summarecon nih, tapi susah sih klo bakal di pick sm sendernya. Yaudah lah yaa Padahal Mayan kuat nih stamina</t>
  </si>
  <si>
    <t>bekasi summarecon nih tapi susah sih klo bakal pick sendernya yaudah lah yaa padahal mayan kuat nih stamina</t>
  </si>
  <si>
    <t>['bekasi', 'summarecon', 'susah', 'bakal', 'pick', 'sendernya', 'yaudah', 'lah', 'ya', 'padahal', 'mayan', 'kuat', 'stamina']</t>
  </si>
  <si>
    <t>@FWBESS Kalo Nemu cewe gini di Tj atau KRL boleh gak sih diajak kenalan? Sayang bgt klo gk kenalan</t>
  </si>
  <si>
    <t>kalo nemu cewe gini atau krl boleh gak sih diajak kenalan sayang bgt klo kenalan</t>
  </si>
  <si>
    <t>['nemu', 'cewe', 'gini', 'krl', 'diajak', 'kenalan', 'sayang', 'banget', 'kenalan']</t>
  </si>
  <si>
    <t>@BangAlo @idextratime Walaupun gw dukung Perancis tapi emang Argentina jago sih, wajar juara. Mental juara, pinalti gak drop mental nya, malah Perancis yg drop, tapi liat skuad Perancis masih banyak yg muda2, boleh lah sampai final lagi di 2026</t>
  </si>
  <si>
    <t>walaupun dukung perancis tapi emang argentina jago sih wajar juara mental juara pinalti gak drop mental nya malah perancis drop tapi liat skuad perancis masih banyak muda boleh lah sampai final lagi</t>
  </si>
  <si>
    <t>['walaupun', 'dukung', 'perancis', 'emang', 'argentina', 'jago', 'wajar', 'juara', 'mental', 'juara', 'penalti', 'drop', 'mental', 'malah', 'perancis', 'drop', 'lihat', 'skuad', 'perancis', 'banyak', 'muda', 'lah', 'final']</t>
  </si>
  <si>
    <t>@kartarahardja Hobi kok fitnah, itu tweetnya ABW di screenshoot, terus ditimpa foto yg Argentina juara. Cek panah merah, keliatan banget. ü§£ü§£ü§£ü§£  https://t.co/eks1deRQMx</t>
  </si>
  <si>
    <t>hobi kok fitnah itu tweetnya abw screenshoot terus ditimpa foto argentina juara cek panah merah keliatan banget</t>
  </si>
  <si>
    <t>['hobi', 'kok', 'fitnah', 'tweetnya', 'abw', 'screenshoot', 'terus', 'ditimpa', 'foto', 'argentina', 'juara', 'cek', 'panah', 'merah', 'keliatan', 'banget']</t>
  </si>
  <si>
    <t>@PostinusGul Selamat Natal Pastor üåù</t>
  </si>
  <si>
    <t>selamat natal pastor</t>
  </si>
  <si>
    <t>['selamat', 'natal', 'pastor']</t>
  </si>
  <si>
    <t>Ga kerasa bentar lagi 2022 usai. Tahun 2022 buatku banyak sedihnya, tapi untung semua sedih itu hilang ketika Messi membawa Argentina juara piala dunia. Seperti peribahasa...  "Hujan sehari menghapus kemarau setahun"</t>
  </si>
  <si>
    <t>kerasa bentar lagi usai tahun buatku banyak sedihnya tapi untung semua sedih itu hilang ketika messi membawa argentina juara piala dunia seperti peribahasa hujan sehari menghapus kemarau setahun</t>
  </si>
  <si>
    <t>['kerasa', 'bentar', 'usai', 'tahun', 'buatku', 'banyak', 'sedihnya', 'untung', 'semua', 'sedih', 'hilang', 'messi', 'membawa', 'argentina', 'juara', 'piala', 'dunia', 'peribahasa', 'hujan', 'sehari', 'menghapus', 'kemarau', 'setahun']</t>
  </si>
  <si>
    <t>Ahli Parlimen Oman menawarkan Lionel Messi AS$1 juta (RM4.42 juta) untuk jubah dipakainya selepas Argentina muncul juara Piala Dunia Qatar 2022 mengalahkan Perancis.   https://t.co/LQ9TJKHsPQ</t>
  </si>
  <si>
    <t>ahli parlimen oman menawarkan lionel messi juta juta untuk jubah dipakainya selepas argentina muncul juara piala dunia qatar mengalahkan perancis</t>
  </si>
  <si>
    <t>['ahli', 'parlimen', 'oman', 'menawarkan', 'lionel', 'messi', 'juta', 'juta', 'jubah', 'dipakainya', 'selepas', 'argentina', 'muncul', 'juara', 'piala', 'dunia', 'qatar', 'mengalahkan', 'perancis']</t>
  </si>
  <si>
    <t>@riliv_app argentina juara piala dunia</t>
  </si>
  <si>
    <t>app argentina juara piala dunia</t>
  </si>
  <si>
    <t>['app', 'argentina', 'juara', 'piala', 'dunia']</t>
  </si>
  <si>
    <t>Kaleidoskop Bola Internasional 2022: Indonesia Lolos Piala Asia, Argentina Juara Dunia  https://t.co/I70znwuVIJ</t>
  </si>
  <si>
    <t>kaleidoskop bola internasional indonesia lolos piala asia argentina juara dunia</t>
  </si>
  <si>
    <t>['kaleidoskop', 'bola', 'internasional', 'indonesia', 'lolos', 'piala', 'asia', 'argentina', 'juara', 'dunia']</t>
  </si>
  <si>
    <t>Brighton Beri Tambahan Libur untuk Alexis Mac Allister Usai Bawa Argentina Juara Piala Dunia  https://t.co/U6ngEqOCs7</t>
  </si>
  <si>
    <t>brighton beri tambahan libur untuk alexis mac allister usai bawa argentina juara piala dunia</t>
  </si>
  <si>
    <t>['brighton', 'beri', 'tambahan', 'libur', 'alexis', 'mac', 'allister', 'usai', 'bawa', 'argentina', 'juara', 'piala', 'dunia']</t>
  </si>
  <si>
    <t>Patrick Vieira menyebut bahwa selebrasi penjaga gawang Emiliano Martinez menjadi aib dalam gelar juara dunia #Argentina! üò±   #FIFAWorldCup   https://t.co/RlsZtPxK3k</t>
  </si>
  <si>
    <t>patrick vieira menyebut bahwa selebrasi penjaga gawang emiliano martinez menjadi aib dalam gelar juara dunia</t>
  </si>
  <si>
    <t>['patrick', 'vieira', 'menyebut', 'selebrasi', 'penjaga', 'gawang', 'emiliano', 'martinez', 'menjadi', 'aib', 'gelar', 'juara', 'dunia']</t>
  </si>
  <si>
    <t>@P_ysf @kaylapuspasari Anis posting tgl 11 argentina juara tgl 18, sekonyol itukah pikiran anda?</t>
  </si>
  <si>
    <t>ysf anis posting tgl argentina juara tgl sekonyol itukah pikiran anda</t>
  </si>
  <si>
    <t>['ysf', 'anis', 'posting', 'tgl', 'argentina', 'juara', 'tgl', 'sekonyol', 'itukah', 'pikiran']</t>
  </si>
  <si>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</si>
  <si>
    <t>another argentine departure setelah diego valeri kali ini giliran maxi moralez selaku legenda argentina mls yang pulang kampung dengan dipinang oleh racing club enam tahun new york city dia menjadi bagian skuad nycfc juara mls albiceleste</t>
  </si>
  <si>
    <t>['another', 'argentine', 'departure', 'diego', 'valeri', 'kali', 'giliran', 'maxi', 'moralez', 'selaku', 'legenda', 'argentina', 'mls', 'pulang', 'kampung', 'dipinang', 'racing', 'club', 'enam', 'tahun', 'new', 'york', 'city', 'menjadi', 'bagian', 'skuad', 'nycfc', 'juara', 'mls', 'albiceleste']</t>
  </si>
  <si>
    <t>@IxNdheso @aniesbaswedan @Relawananies @sobat_anies @aniesmania @Rinaimoutz @SuaraAnies Argentina itu juara tgl 18 desember 22 oi, twet lo tgl 11 des</t>
  </si>
  <si>
    <t>anies argentina itu juara tgl desember twet tgl des</t>
  </si>
  <si>
    <t>['anies', 'argentina', 'juara', 'tgl', 'desember', 'twet', 'tgl', 'des']</t>
  </si>
  <si>
    <t>@Komangtrisilaa @PSSI Lhaa main kaya gtu kok mau juara bos . Jgn samain sama pemain argentina juh mase .</t>
  </si>
  <si>
    <t>lhaa main kaya gtu kok mau juara bos jgn samain sama pemain argentina juh mase</t>
  </si>
  <si>
    <t>['lhaa', 'main', 'kaya', 'gtu', 'kok', 'mau', 'juara', 'bos', 'samain', 'sama', 'pemain', 'argentina', 'juh', 'mase']</t>
  </si>
  <si>
    <t>@R_min80 @aniesbaswedan Yang tolol lu bong. Anies kirim tweet tgl 11 desember. Argentina kapan juara piala dunia? Menang aja tgl 18 desember. Perayaan nya paling tidak 1- 2 hari kemudian. Lain kali di edit dulu tgl tweet Anies biar cebong2 lain percaya</t>
  </si>
  <si>
    <t>min yang tolol bong anies kirim tweet tgl desember argentina kapan juara piala dunia menang aja tgl desember perayaan nya paling tidak hari kemudian lain kali edit dulu tgl tweet anies biar cebong lain percaya</t>
  </si>
  <si>
    <t>['min', 'tolol', 'bong', 'anies', 'kirim', 'tweet', 'tgl', 'desember', 'argentina', 'kapan', 'juara', 'piala', 'dunia', 'menang', 'tgl', 'desember', 'perayaan', 'paling', 'hari', 'kemudian', 'kali', 'edit', 'dulu', 'tgl', 'tweet', 'anies', 'cebong', 'percaya']</t>
  </si>
  <si>
    <t>@kaylapuspasari Argentina juara tgl 18, twit tgl 11 üòå</t>
  </si>
  <si>
    <t>argentina juara tgl twit tgl</t>
  </si>
  <si>
    <t>['argentina', 'juara', 'tgl', 'twit', 'tgl']</t>
  </si>
  <si>
    <t xml:space="preserve">@mlgcollective @idextratime @DivHumas_Polri kebaya merah kebaya ijo gercep tanpa laporan. viral di medsos aja.  Kanjuruhan viral sedunia, ga lanjut alasan berkas tak lengkap. ga ada tanggung jawab juga dari polisi sbg pelaku pelaksana.  jangan2 nih, kalo </t>
  </si>
  <si>
    <t>polri kebaya merah kebaya ijo gercep tanpa laporan viral medsos aja kanjuruhan viral sedunia lanjut alasan berkas tak lengkap ada tanggung jawab juga dari polisi sbg pelaku pelaksana jangan nih kalo</t>
  </si>
  <si>
    <t>['polri', 'kebaya', 'merah', 'kebaya', 'ijo', 'gerak cepat', 'laporan', 'viral', 'medsos', 'kanjuruhan', 'viral', 'sedunia', 'lanjut', 'alasan', 'berkas', 'tak', 'lengkap', 'tanggung', 'jawab', 'polisi', 'sbg', 'pelaku', 'pelaksana', 'jangan']</t>
  </si>
  <si>
    <t>FWC 2022: Pencetak gol Arab Saudi ke gawang Argentina berawalan dengan huruf S FWC 2022: Argentina juara Piala Dunia  AFF 2022: Pencetak gol Kamboja ke gawang Indonesia beawalan dengan huruf S AFF 2022: Indonesia juara Piala AFF??  https://t.co/nQKdUylWUt</t>
  </si>
  <si>
    <t>fwc pencetak gol arab saudi gawang argentina berawalan dengan huruf fwc argentina juara piala dunia aff pencetak gol kamboja gawang indonesia beawalan dengan huruf aff indonesia juara piala aff</t>
  </si>
  <si>
    <t>['fwc', 'pencetak', 'gol', 'arab', 'saudi', 'gawang', 'argentina', 'berawalan', 'huruf', 'fwc', 'argentina', 'juara', 'piala', 'dunia', 'aff', 'pencetak', 'gol', 'kamboja', 'gawang', 'indonesia', 'beawalan', 'huruf', 'aff', 'indonesia', 'juara', 'piala', 'aff']</t>
  </si>
  <si>
    <t>&lt;FreqDist with 16 samples and 27 outcomes&gt;</t>
  </si>
  <si>
    <t>FWC 2022: Pertandingan pertama grup Argentina berkesudahan dengan skor 2-1 FWC 2022: Argentina juara Piala Dunia  AFF 2022: Pertandingan pertama grup Indonesia berkesudahan dengan skor 2-1 AFF 2022: Indonesia juara Piala AFF?  https://t.co/F3LrHBH0yX</t>
  </si>
  <si>
    <t>fwc pertandingan pertama grup argentina berkesudahan dengan skor fwc argentina juara piala dunia aff pertandingan pertama grup indonesia berkesudahan dengan skor aff indonesia juara piala aff</t>
  </si>
  <si>
    <t>['fwc', 'pertandingan', 'pertama', 'grup', 'argentina', 'berkesudahan', 'skor', 'fwc', 'argentina', 'juara', 'piala', 'dunia', 'aff', 'pertandingan', 'pertama', 'grup', 'indonesia', 'berkesudahan', 'skor', 'aff', 'indonesia', 'juara', 'piala', 'aff']</t>
  </si>
  <si>
    <t>&lt;FreqDist with 12 samples and 24 outcomes&gt;</t>
  </si>
  <si>
    <t>Paraaah banget loe wkwk. Bikin hoaks itu pake kira2 lah. Anies di Pangkep Sulsel itu tgl 11 Des 2022, Argentina Juara PD tgl 19 Des 2022.  Jelas foto yg kalian upload hoaks</t>
  </si>
  <si>
    <t>paraaah banget loe wkwk bikin hoaks itu pake kira lah anies pangkep sulsel itu tgl des argentina juara tgl des jelas foto kalian upload hoaks</t>
  </si>
  <si>
    <t>['paraaah', 'banget', 'loe', 'hoaks', 'pake', 'kira', 'lah', 'anies', 'pangkep', 'sulsel', 'tgl', 'des', 'argentina', 'juara', 'tgl', 'des', 'jelas', 'foto', 'kalian', 'upload', 'hoaks']</t>
  </si>
  <si>
    <t>FWC 2022: Gol pertama Argentina dicetak oleh Lionel Messi FWC 2022: Argentina juara Piala Dunia  AFF 2022: Gol pertama Indonesia dicetak oleh Egy "Messi" AFF 2022: Indonesia juara Piala AFF??  https://t.co/nUL9151b8I</t>
  </si>
  <si>
    <t>fwc gol pertama argentina dicetak oleh lionel messi fwc argentina juara piala dunia aff gol pertama indonesia dicetak oleh egy messi aff indonesia juara piala aff</t>
  </si>
  <si>
    <t>['fwc', 'gol', 'pertama', 'argentina', 'dicetak', 'lionel', 'messi', 'fwc', 'argentina', 'juara', 'piala', 'dunia', 'aff', 'gol', 'pertama', 'indonesia', 'dicetak', 'egy', 'messi', 'aff', 'indonesia', 'juara', 'piala', 'aff']</t>
  </si>
  <si>
    <t>&lt;FreqDist with 13 samples and 24 outcomes&gt;</t>
  </si>
  <si>
    <t>@kaylapuspasari Anis habis akal..terang terangan bohongi publik nyomot perayaan juara pildun di argentina</t>
  </si>
  <si>
    <t>anis habis akal terang terangan bohongi publik nyomot perayaan juara pildun argentina</t>
  </si>
  <si>
    <t>['anis', 'habis', 'akal', 'terang', 'terangan', 'bohongi', 'publik', 'nyomot', 'perayaan', 'juara', 'piala dunia', 'argentina']</t>
  </si>
  <si>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</si>
  <si>
    <t>fwc pertandingan pertama argentina melawan arab saudi kiper arab saudi menjadi man the match fwc argentina juara piala dunia aff pertandingan pertandingan indonesia melawan kamboja kiper kamboja menjadi man the match aff indonesia juara piala aff</t>
  </si>
  <si>
    <t>['fwc', 'pertandingan', 'pertama', 'argentina', 'melawan', 'arab', 'saudi', 'kiper', 'arab', 'saudi', 'menjadi', 'man', 'the', 'match', 'fwc', 'argentina', 'juara', 'piala', 'dunia', 'aff', 'pertandingan', 'pertandingan', 'indonesia', 'melawan', 'kamboja', 'kiper', 'kamboja', 'menjadi', 'man', 'the', 'match', 'aff', 'indonesia', 'juara', 'piala', 'aff']</t>
  </si>
  <si>
    <t>&lt;FreqDist with 18 samples and 36 outcomes&gt;</t>
  </si>
  <si>
    <t>Waktu Argentina juara dunia wkwkwk</t>
  </si>
  <si>
    <t>waktu argentina juara dunia wkwkwk</t>
  </si>
  <si>
    <t>['waktu', 'argentina', 'juara', 'dunia', 'wkwkwk']</t>
  </si>
  <si>
    <t>FWC 2022: Argentina tampil kurang maksimal di laga pertama grup FWC 2022: Argentina juara Piala Dunia  AFF 2022: Indonesia tampil kurang maksimal di laga pertama grup AFF 2022: Indonesia juara Piala AFF??  https://t.co/f7qdwmznOs</t>
  </si>
  <si>
    <t>fwc argentina tampil kurang maksimal laga pertama grup fwc argentina juara piala dunia aff indonesia tampil kurang maksimal laga pertama grup aff indonesia juara piala aff</t>
  </si>
  <si>
    <t>['fwc', 'argentina', 'tampil', 'kurang', 'maksimal', 'laga', 'pertama', 'grup', 'fwc', 'argentina', 'juara', 'piala', 'dunia', 'aff', 'indonesia', 'tampil', 'kurang', 'maksimal', 'laga', 'pertama', 'grup', 'aff', 'indonesia', 'juara', 'piala', 'aff']</t>
  </si>
  <si>
    <t>&lt;FreqDist with 13 samples and 26 outcomes&gt;</t>
  </si>
  <si>
    <t>@Indostransfer Tenang aj Argentina juga kalah dulu di match grup pertama, endingnya juara</t>
  </si>
  <si>
    <t>tenang argentina juga kalah dulu match grup pertama endingnya juara</t>
  </si>
  <si>
    <t>['tenang', 'argentina', 'kalah', 'dulu', 'match', 'grup', 'pertama', 'endingnya', 'juara']</t>
  </si>
  <si>
    <t>Argentina Juara Piala Dunia 2022, Angel Di Maria Bikin Tato Jumbo  https://t.co/6rDBMHZ4pL</t>
  </si>
  <si>
    <t>argentina juara piala dunia angel maria bikin tato jumbo</t>
  </si>
  <si>
    <t>['argentina', 'juara', 'piala', 'dunia', 'angel', 'maria', 'tato', 'jumbo']</t>
  </si>
  <si>
    <t>Argentina Juara Piala Dunia 2022, Angel Di Maria Bikin Tato Jumbo  https://t.co/0DaKzLbQOz</t>
  </si>
  <si>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</si>
  <si>
    <t>dorongan pertumbuhan ekonomi utamanya krn meningkatnya ekspor akibat sorotan internasional sedang tinggi argentina dunia akan cenderung membeli kedelai jagung gandum mereka bayangkan ditawari ayo dibeli ini kedelai argentina lho sang juara dunia kedelai messi</t>
  </si>
  <si>
    <t>['dorongan', 'pertumbuhan', 'ekonomi', 'utamanya', 'meningkatnya', 'ekspor', 'akibat', 'sorotan', 'internasional', 'sedang', 'tinggi', 'argentina', 'dunia', 'cenderung', 'membeli', 'kedelai', 'jagung', 'gandum', 'bayangkan', 'ditawari', 'ayo', 'dibeli', 'kedelai', 'argentina', 'lho', 'sang', 'juara', 'dunia', 'kedelai', 'messi']</t>
  </si>
  <si>
    <t>5)  Namun sang juara tentu membawa oleh2 yg lebih baik. Selain hadiah uang US$42juta, Argentina juga akan mendapatkan dorongan pertumbuhan ekonomi setidaknya 0,25% untuk dua kuartal ke depan (Mello, 2022). Ini sama seperti yg dialami Brazil ketika menjuarai Piala Dunia 2002.</t>
  </si>
  <si>
    <t>namun sang juara tentu membawa oleh lebih baik selain hadiah uang juta argentina juga akan mendapatkan dorongan pertumbuhan ekonomi setidaknya untuk dua kuartal depan mello ini sama seperti dialami brazil ketika menjuarai piala dunia</t>
  </si>
  <si>
    <t>['sang', 'juara', 'membawa', 'lebih', 'baik', 'hadiah', 'uang', 'juta', 'argentina', 'mendapatkan', 'dorongan', 'pertumbuhan', 'ekonomi', 'kuartal', 'depan', 'mello', 'sama', 'dialami', 'brazil', 'menjuarai', 'piala', 'dunia']</t>
  </si>
  <si>
    <t>2)  Terkait inflasi ada fakta menarik, di tahun2 mereka berhasil juara (1978, 1986, 2022), Argentina selalu sedang mengalami inflasi yg luar biasa (Bloomberg). Ini tentu utak-atik gathuk, tak perlu kita contoh. Namun sepakbola sungguh jadi penghiburan yg luar biasa.  https://t.co/hWrHc8PtII</t>
  </si>
  <si>
    <t>terkait inflasi ada fakta menarik tahun mereka berhasil juara argentina selalu sedang mengalami inflasi luar biasa bloomberg ini tentu utak atik gathuk tak perlu kita contoh namun sepakbola sungguh jadi penghiburan luar biasa</t>
  </si>
  <si>
    <t>['terkait', 'inflasi', 'fakta', 'menarik', 'tahun', 'berhasil', 'juara', 'argentina', 'selalu', 'sedang', 'mengalami', 'inflasi', 'luar', 'biasa', 'bloomberg', 'utak', 'atik', 'gathuk', 'tak', 'perlu', 'contoh', 'sepakbola', 'sungguh', 'jadi', 'penghiburan', 'luar', 'biasa']</t>
  </si>
  <si>
    <t>Resep Argentina Juara Piala Dunia 2022 #Short Video  https://t.co/TmQzL79ve5</t>
  </si>
  <si>
    <t>resep argentina juara piala dunia video</t>
  </si>
  <si>
    <t>['resep', 'argentina', 'juara', 'piala', 'dunia', 'video']</t>
  </si>
  <si>
    <t>Resep Argentina Juara Piala Dunia 2022  https://t.co/vSUIw372YD</t>
  </si>
  <si>
    <t>resep argentina juara piala dunia</t>
  </si>
  <si>
    <t>['resep', 'argentina', 'juara', 'piala', 'dunia']</t>
  </si>
  <si>
    <t>Misteri Gadis Tanpa Baju Hebohkan Parade Argentina Juara Piala Dunia 2022   #Sindonews #BukanBeritaBiasa . https://t.co/nug3g9jZaK</t>
  </si>
  <si>
    <t>misteri gadis tanpa baju hebohkan parade argentina juara piala dunia</t>
  </si>
  <si>
    <t>['misteri', 'gadis', 'baju', 'hebohkan', 'parade', 'argentina', 'juara', 'piala', 'dunia']</t>
  </si>
  <si>
    <t>@pojokstats @MikaelDewabrata @Be_TED @bwf1927 Padahal salah satu aspek juara yaitu adanya analisis pertandingan di tim kepelatihan Argentina</t>
  </si>
  <si>
    <t>ted padahal salah satu aspek juara yaitu adanya analisis pertandingan tim kepelatihan argentina</t>
  </si>
  <si>
    <t>['ted', 'padahal', 'salah', 'satu', 'aspek', 'juara', 'adanya', 'analisis', 'pertandingan', 'tim', 'kepelatihan', 'argentina']</t>
  </si>
  <si>
    <t>Misteri Gadis Tanpa Baju Hebohkan Parade Argentina Juara Piala Dunia 2022   #Sindonews #BukanBeritaBiasa . https://t.co/NyxbMjLFim</t>
  </si>
  <si>
    <t>@muhhussen @beINSPORTSid Y Argentina ngk bisa juara piala dunia dunk nyet</t>
  </si>
  <si>
    <t>argentina ngk bisa juara piala dunia dunk nyet</t>
  </si>
  <si>
    <t>['argentina', 'ngk', 'juara', 'piala', 'dunia', 'dunk', 'nyet']</t>
  </si>
  <si>
    <t>Cocoklogi Argentina Juara, Indonesia Juga Berjaya  https://t.co/mGesfrRULc</t>
  </si>
  <si>
    <t>cocoklogi argentina juara indonesia juga berjaya</t>
  </si>
  <si>
    <t>['cocoklogi', 'argentina', 'juara', 'indonesia', 'berjaya']</t>
  </si>
  <si>
    <t>Misteri Gadis Tanpa Baju Hebohkan Parade Argentina Juara Piala Dunia 2022   #Sindonews #BukanBeritaBiasa . https://t.co/scpa1ADauZ</t>
  </si>
  <si>
    <t>Perbedaan Lionel Messi dan Maradona Saat Bawa Timnas Argentina Juara Piala Dunia   #Sindonews #BukanBeritaBiasa . https://t.co/4A9E5VfjpQ</t>
  </si>
  <si>
    <t>perbedaan lionel messi dan maradona saat bawa timnas argentina juara piala dunia</t>
  </si>
  <si>
    <t>['perbedaan', 'lionel', 'messi', 'maradona', 'bawa', 'timnas', 'argentina', 'juara', 'piala', 'dunia']</t>
  </si>
  <si>
    <t>Emiliano Martinez dinilai kelewatan terkait selebrasinya saat Argentina juara Piala Dunia 2022. Manajer Aston Villa Unai Emery akan menasihatinya.  https://t.co/yarrYYQDxG</t>
  </si>
  <si>
    <t>emiliano martinez dinilai kelewatan terkait selebrasinya saat argentina juara piala dunia manajer aston villa unai emery akan menasihatinya</t>
  </si>
  <si>
    <t>['emiliano', 'martinez', 'dinilai', 'kelewatan', 'terkait', 'selebrasinya', 'argentina', 'juara', 'piala', 'dunia', 'manajer', 'aston', 'villa', 'unai', 'emery', 'menasihatinya']</t>
  </si>
  <si>
    <t>@idextratime Sementara Argentina udah keburu rusuh pasca perayaan juara di buenos aires. Mau diulang juga? üòë</t>
  </si>
  <si>
    <t>sementara argentina udah keburu rusuh pasca perayaan juara buenos aires mau diulang juga</t>
  </si>
  <si>
    <t>['argentina', 'udah', 'keburu', 'rusuh', 'pasca', 'perayaan', 'juara', 'buenos', 'aires', 'mau', 'diulang']</t>
  </si>
  <si>
    <t>Bukti Tunjukkan Lionel Messi Seharusnya Jadi Top Skor Piala Dunia 2022 dan Jadi Penentu Argentina Juara #LengkapCepatBeritanya #Bola #SepakBola #SepakbolaDunia #BolaDunia .  https://t.co/EET7PrGvoH</t>
  </si>
  <si>
    <t>bukti tunjukkan lionel messi seharusnya jadi top skor piala dunia dan jadi penentu argentina juara</t>
  </si>
  <si>
    <t>['bukti', 'tunjukkan', 'lionel', 'messi', 'jadi', 'top', 'skor', 'piala', 'dunia', 'jadi', 'penentu', 'argentina', 'juara']</t>
  </si>
  <si>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</si>
  <si>
    <t>kalau buzzer nya ngibul msh bisa dimaklumi kali ini ngibul justru sendiri masa kerumunan rakyat argentina menyambut tim sepak bola nya sebagai juara dunia qatar diklaim sbgi masyarakat pangkep menyambut kedatangan dirinya sih</t>
  </si>
  <si>
    <t>['kalau', 'buzzer', 'ngibul', 'msh', 'dimaklumi', 'kali', 'ngibul', 'justru', 'sendiri', 'masa', 'kerumunan', 'rakyat', 'argentina', 'menyambut', 'tim', 'sepak', 'bola', 'juara', 'dunia', 'qatar', 'diklaim', 'sbgi', 'masyarakat', 'pangkep', 'menyambut', 'kedatangan', 'dirinya']</t>
  </si>
  <si>
    <t>@narkosun__ Ini perayaan warga Argentina karena timnya lolos final. Bukan perayaan juara. Ni beritanya, fix ya foto anies hoax. Lagian tugu yg begituan adanya di Surabaya aja dech klo di Indonesiaü§≠ü§≠  https://t.co/XLumchT0Zf</t>
  </si>
  <si>
    <t>ini perayaan warga argentina karena timnya lolos final bukan perayaan juara beritanya fix foto anies hoax lagian tugu begituan adanya surabaya aja dech klo indonesia</t>
  </si>
  <si>
    <t>['perayaan', 'warga', 'argentina', 'timnya', 'lolos', 'final', 'bukan', 'perayaan', 'juara', 'beritanya', 'fix', 'foto', 'anies', 'hoax', 'lagian', 'tugu', 'begituan', 'adanya', 'surabaya', 'dech', 'indonesia']</t>
  </si>
  <si>
    <t>Kalah mah kalah aja... Argentina layak jadi juara ...</t>
  </si>
  <si>
    <t>kalah mah kalah aja argentina layak jadi juara</t>
  </si>
  <si>
    <t>['kalah', 'mah', 'kalah', 'argentina', 'layak', 'jadi', 'juara']</t>
  </si>
  <si>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</si>
  <si>
    <t>prediksi taruhan terbaik juara piala dunia allegri harap angel maria tularkan spirit timnas argentina juventus</t>
  </si>
  <si>
    <t>['prediksi', 'taruhan', 'terbaik', 'juara', 'piala', 'dunia', 'allegri', 'harap', 'angel', 'maria', 'tularkan', 'spirit', 'timnas', 'argentina', 'juventus']</t>
  </si>
  <si>
    <t>@adtyaws @ndang_tangi @Vickih_worsnop @ovrthinkillsyou @idextratime @GFFN ngga, kalau kipernya org lain juga mereka bisa juara.. Messi yg gendong Argentina</t>
  </si>
  <si>
    <t>tangi worsnop ngga kalau kipernya org lain juga mereka bisa juara messi gendong argentina</t>
  </si>
  <si>
    <t>['tangi', 'worsnop', 'ngga', 'kalau', 'kipernya', 'org', 'juara', 'messi', 'gendong', 'argentina']</t>
  </si>
  <si>
    <t>@liputan6dotcom Di gile lu ndro,udah aja sih gak lucu wong argentina udah juara ko di gugatüòÅüòÅü§≠</t>
  </si>
  <si>
    <t>gile ndro udah aja sih gak lucu wong argentina udah juara gugat</t>
  </si>
  <si>
    <t>['gile', 'ndro', 'udah', 'lucu', 'wong', 'argentina', 'udah', 'juara', 'gugat']</t>
  </si>
  <si>
    <t>Argentina dg leo messi aja kalah dri arab saat laga pembuka piala dunia tp akhirnya juara dunia. Lha timnas indonesia tertatih tatih saat menang dg kamboja, ngalamat opo ya?!!! #TimnasIndonesia</t>
  </si>
  <si>
    <t>argentina leo messi aja kalah dri arab saat laga pembuka piala dunia akhirnya juara dunia lha timnas indonesia tertatih tatih saat menang kamboja ngalamat opo</t>
  </si>
  <si>
    <t>['argentina', 'leo', 'messi', 'kalah', 'dri', 'arab', 'laga', 'pembuka', 'piala', 'dunia', 'akhirnya', 'juara', 'dunia', 'lha', 'timnas', 'indonesia', 'tertatih', 'tatih', 'menang', 'kamboja', 'ngalamat', 'opo']</t>
  </si>
  <si>
    <t>@SiaranBolaLive Gw dari universe lain tepatnya planet Gliese 667Cc, di sini Portugal juara dunia dan Argentina runner upüôèüèª terima kasih.  https://t.co/wha3fEVG0u</t>
  </si>
  <si>
    <t>dari universe lain tepatnya planet gliese sini portugal juara dunia dan argentina runner terima kasih</t>
  </si>
  <si>
    <t>['universe', 'tepatnya', 'planet', 'gliese', 'sini', 'portugal', 'juara', 'dunia', 'argentina', 'runner', 'terima', 'kasih']</t>
  </si>
  <si>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</si>
  <si>
    <t>info main bola habis jadi juara piala dunia emiliano martinez bakal jadi kiper manchester united ada gosip baru beredar mengenai masa depan emiliano martinez kiper timnas argentina itu dilaporkan jadi target transfer yang serius bagi manchester</t>
  </si>
  <si>
    <t>['info', 'main', 'bola', 'habis', 'jadi', 'juara', 'piala', 'dunia', 'emiliano', 'martinez', 'bakal', 'jadi', 'kiper', 'manchester', 'united', 'gosip', 'baru', 'beredar', 'mengenai', 'masa', 'depan', 'emiliano', 'martinez', 'kiper', 'timnas', 'argentina', 'dilaporkan', 'jadi', 'target', 'transfer', 'serius', 'manchester']</t>
  </si>
  <si>
    <t>@idextratime Gw dari universe lain tepatnya planet Gliese 667Cc, di sini Portugal juara dunia dan Argentina runner upüôèüèª terima kasih.  https://t.co/jYJ1CpcECT</t>
  </si>
  <si>
    <t>@_Meganthropus @BangAlo @idextratime Bkn itu, begonya dia kalau tau argentina juara disetting dan udh fix, kenapa gk taruhan jual rumah, tanah, motor, buat all in argentina. Ini kesempatan menjadi kaya di depan mata, kok gk digunain, kan tolol</t>
  </si>
  <si>
    <t>bkn itu begonya dia kalau tau argentina juara disetting dan udh fix kenapa taruhan jual rumah tanah motor buat all argentina ini kesempatan menjadi kaya depan mata kok digunain kan tolol</t>
  </si>
  <si>
    <t>['bkn', 'begonya', 'kalau', 'argentina', 'juara', 'disetting', 'sudah', 'fix', 'taruhan', 'jual', 'rumah', 'tanah', 'motor', 'buat', 'all', 'argentina', 'kesempatan', 'menjadi', 'kaya', 'depan', 'mata', 'kok', 'digunain', 'kan', 'tolol']</t>
  </si>
  <si>
    <t>@darzzz8 @realmadridindo1 ko sakit hati? gaada urusannya bro, gua yg fans madrid pun pengen argentina yg juara.. yg jd masalah decul so soan mau goreng madrid pake bahan messi yg juara pildun, pdhl itu gaada hubungannya, dan messi juga udh bukan pemain ba</t>
  </si>
  <si>
    <t>sakit hati gaada urusannya bro gua fans madrid pun pengen argentina juara masalah decul soan mau goreng madrid pake bahan messi juara pildun pdhl itu gaada hubungannya dan messi juga udh bukan pemain</t>
  </si>
  <si>
    <t>['sakit', 'hati', 'gaada', 'urusannya', 'bro', 'gua', 'fans', 'madrid', 'pengen', 'argentina', 'juara', 'masalah', 'decul', 'soan', 'mau', 'goreng', 'madrid', 'pake', 'bahan', 'messi', 'juara', 'piala dunia', 'pdhl', 'gaada', 'hubungannya', 'messi', 'sudah', 'bukan', 'pemain']</t>
  </si>
  <si>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</si>
  <si>
    <t>juara piala dunia allegri harap angel maria tularkan spirit timnas argentina juventus whatsapp</t>
  </si>
  <si>
    <t>['juara', 'piala', 'dunia', 'allegri', 'harap', 'angel', 'maria', 'tularkan', 'spirit', 'timnas', 'argentina', 'juventus', 'whatsapp']</t>
  </si>
  <si>
    <t>Ntar tanding ulang trus argentina juara lagi, bikin petisi lagi trus tanding ulang lagi dan argentina juara lagi, bikin petisi lagi minta tanding ulang sampe argentina kalah  Intinya mah gak senang argentina dan terlebih gak senang messi angkat trophy üòÑüòÑ</t>
  </si>
  <si>
    <t>ntar tanding ulang trus argentina juara lagi bikin petisi lagi trus tanding ulang lagi dan argentina juara lagi bikin petisi lagi minta tanding ulang sampe argentina kalah intinya mah gak senang argentina dan terlebih gak senang messi angkat trophy</t>
  </si>
  <si>
    <t>['ntar', 'tanding', 'ulang', 'trus', 'argentina', 'juara', 'petisi', 'trus', 'tanding', 'ulang', 'argentina', 'juara', 'petisi', 'minta', 'tanding', 'ulang', 'sampai', 'argentina', 'kalah', 'intinya', 'mah', 'senang', 'argentina', 'terlebih', 'senang', 'messi', 'angkat', 'trophy']</t>
  </si>
  <si>
    <t>&lt;FreqDist with 17 samples and 28 outcomes&gt;</t>
  </si>
  <si>
    <t>Bawa Argentina Juara Piala Dunia 2022, Emiliano Martinez Laris Manis Jelang Bursa Transfer ‚Äì Semua Halaman ‚Äì Bolasport ‚Äì  https://t.co/hRfWFeUjor ‚Äì #Arenanews #Kamidi #Opsiminfo- https://t.co/q7YMwKzGSx</t>
  </si>
  <si>
    <t>bawa argentina juara piala dunia emiliano martinez laris manis jelang bursa transfer semua halaman bolasport</t>
  </si>
  <si>
    <t>['bawa', 'argentina', 'juara', 'piala', 'dunia', 'emiliano', 'martinez', 'laris', 'manis', 'jelang', 'bursa', 'transfer', 'semua', 'halaman', 'bolasport']</t>
  </si>
  <si>
    <t>Percaya Gak Percaya, Grup Dukun Ini Ngaku Kawal Argentina Jadi Juara  https://t.co/NlbixakNeP</t>
  </si>
  <si>
    <t>percaya gak percaya grup dukun ini ngaku kawal argentina jadi juara</t>
  </si>
  <si>
    <t>['percaya', 'percaya', 'grup', 'dukun', 'ngaku', 'kawal', 'argentina', 'jadi', 'juara']</t>
  </si>
  <si>
    <t>Rekor Baru Lionel Messi Usai Bawa Argentina Jadi Juara Piala Dunia¬†2022  https://t.co/5NNYt0I5HL</t>
  </si>
  <si>
    <t>rekor baru lionel messi usai bawa argentina jadi juara piala dunia</t>
  </si>
  <si>
    <t>['rekor', 'baru', 'lionel', 'messi', 'usai', 'bawa', 'argentina', 'jadi', 'juara', 'piala', 'dunia']</t>
  </si>
  <si>
    <t>Bawa Argentina Juara Piala Dunia 2022, Emiliano Martinez Laris Manis Jelang Bursa Transfer ‚Äì Semua Halaman ‚Äì Bolasport ‚Äì  https://t.co/woJnSb5WR9 ‚Äì #Arenanews #Kamidi¬†#Opsiminfo  https://t.co/wThYB18MN7</t>
  </si>
  <si>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</si>
  <si>
    <t>capres ini benar gak punya malu sama sekali atau memang watak dustanya belum waras hingga ada istilah anies itu diamnya saja dusta apalagi bicara sebagai capres masa sampai senajis ini pesta kemenangan juara dunia argentina diposting sebagai penyanbutan dirinya</t>
  </si>
  <si>
    <t>['capres', 'benar', 'punya', 'malu', 'sama', 'sekali', 'memang', 'watak', 'dustanya', 'waras', 'hingga', 'istilah', 'anies', 'diamnya', 'dusta', 'bicara', 'capres', 'masa', 'senajis', 'pesta', 'kemenangan', 'juara', 'dunia', 'argentina', 'diposting', 'penyanbutan', 'dirinya']</t>
  </si>
  <si>
    <t>Emiliano Martinez dinilai kelewatan terkait selebrasinya Argentina juara Piala Dunia 2022. Manajer Aston Villa Unai Emery akan menasihatinya.  https://t.co/7m6k2yZzXw</t>
  </si>
  <si>
    <t>emiliano martinez dinilai kelewatan terkait selebrasinya argentina juara piala dunia manajer aston villa unai emery akan menasihatinya</t>
  </si>
  <si>
    <t>@idextratime Andai kata petisinya dilaksanain, kayaknya pemain Prancis tetep ga mau, deh. Ngga tau malu kalau mereka mau soalnya ga nerima kekalahan. Lagian babak pertama kemarin, Prancis kek ga niat juara. Argentina jelas sebelum final keliatan bener-ben</t>
  </si>
  <si>
    <t>andai kata petisinya dilaksanain kayaknya pemain prancis tetep mau deh ngga tau malu kalau mereka mau soalnya nerima kekalahan lagian babak pertama kemarin prancis kek niat juara argentina jelas sebelum final keliatan bener ben</t>
  </si>
  <si>
    <t>['andai', 'kata', 'petisinya', 'dilaksanain', 'kayaknya', 'pemain', 'prancis', 'tetep', 'mau', 'deh', 'ngga', 'malu', 'kalau', 'mau', 'soalnya', 'nerima', 'kekalahan', 'lagian', 'babak', 'pertama', 'kemarin', 'prancis', 'kek', 'niat', 'juara', 'argentina', 'jelas', 'final', 'keliatan', 'benar', 'ben']</t>
  </si>
  <si>
    <t>@idextratime @GFFN Kenapa ya timnas argentina juara kok banyak yg iri üòÇüòÇ</t>
  </si>
  <si>
    <t>kenapa timnas argentina juara kok banyak iri</t>
  </si>
  <si>
    <t>['timnas', 'argentina', 'juara', 'kok', 'banyak', 'iri']</t>
  </si>
  <si>
    <t>Argentina juara</t>
  </si>
  <si>
    <t>Emiliano Martinez dinilai kelewatan terkait selebrasinya Argentina juara Piala Dunia 2022. Manajer Aston Villa Unai Emery akan menasihatinya.  https://t.co/SxV3QCk1x0</t>
  </si>
  <si>
    <t>@idextratime @brunoandrd Argentina juara settingan, terlihat dari sikap ketumnya yang malu sampai ngga mau ikut selebrasi juara</t>
  </si>
  <si>
    <t>argentina juara settingan terlihat dari sikap ketumnya yang malu sampai ngga mau ikut selebrasi juara</t>
  </si>
  <si>
    <t>['argentina', 'juara', 'settingan', 'terlihat', 'sikap', 'ketumnya', 'malu', 'ngga', 'mau', 'ikut', 'selebrasi', 'juara']</t>
  </si>
  <si>
    <t>Timnas argentina aja jelek awal turnamen kalah lgi sma arab saudi, Ini #TimnasIndonesia menang dan main jelek malah banyak yg buly  Ttp semngat untuk timnas indonesia Yakin kalian akan juara #PialaAFF2022</t>
  </si>
  <si>
    <t>timnas argentina aja jelek awal turnamen kalah lgi sma arab saudi ini menang dan main jelek malah banyak buly ttp semngat untuk timnas indonesia yakin kalian akan juara</t>
  </si>
  <si>
    <t>['timnas', 'argentina', 'jelek', 'awal', 'turnamen', 'kalah', 'lgi', 'sma', 'arab', 'saudi', 'menang', 'main', 'jelek', 'malah', 'banyak', 'buly', 'ttp', 'semngat', 'timnas', 'indonesia', 'yakin', 'kalian', 'juara']</t>
  </si>
  <si>
    <t>Argentina Juara Piala Dunia, Presiden Sibuk Balas Twit Pemimpin Dunia  https://t.co/KRiu3dVcyB</t>
  </si>
  <si>
    <t>argentina juara piala dunia presiden sibuk balas twit pemimpin dunia</t>
  </si>
  <si>
    <t>['argentina', 'juara', 'piala', 'dunia', 'presiden', 'sibuk', 'balas', 'twit', 'pemimpin', 'dunia']</t>
  </si>
  <si>
    <t>Fans Argentina saat merayakan gelar juara   https://t.co/bY8N3ATCCa</t>
  </si>
  <si>
    <t>fans argentina saat merayakan gelar juara</t>
  </si>
  <si>
    <t>['fans', 'argentina', 'merayakan', 'gelar', 'juara']</t>
  </si>
  <si>
    <t>seperti argentina  krisis kepercayaan di Indonesia akan membuatnya juara AFF amin #UsutTuntasTragediKanjuruhan #UsutTuntas #kanjuruhan #kanjuruhandisaster</t>
  </si>
  <si>
    <t>seperti argentina krisis kepercayaan indonesia akan membuatnya juara aff amin</t>
  </si>
  <si>
    <t>['argentina', 'krisis', 'kepercayaan', 'indonesia', 'membuatnya', 'juara', 'aff', 'amin']</t>
  </si>
  <si>
    <t>@halfffsatan Kurang ah mi. Giant killing aja kalo manga. Kalo anime ya ao ashi. Lebih realte. Lha wong sing juara piala dunia argentina ora jepang.</t>
  </si>
  <si>
    <t>kurang giant killing aja kalo manga kalo anime ashi lebih realte lha wong sing juara piala dunia argentina ora jepang</t>
  </si>
  <si>
    <t>['kurang', 'giant', 'killing', 'manga', 'anime', 'ashi', 'lebih', 'realte', 'lha', 'wong', 'sing', 'juara', 'piala', 'dunia', 'argentina', 'ora', 'jepang']</t>
  </si>
  <si>
    <t>@PSSI Target juara harga mati harus terus membara... Argentina aja kalah dari arab.....</t>
  </si>
  <si>
    <t>target juara harga mati harus terus membara argentina aja kalah dari arab</t>
  </si>
  <si>
    <t>['target', 'juara', 'harga', 'mati', 'terus', 'membara', 'argentina', 'kalah', 'arab']</t>
  </si>
  <si>
    <t>@GOAL_ID Kalau Argentina katanya menang 'arisan' piala dunia, kenapa teori yang sama gak diterapin ke Indonesia? Udah lama nih gak juara.</t>
  </si>
  <si>
    <t>kalau argentina katanya menang arisan piala dunia kenapa teori yang sama gak diterapin indonesia udah lama nih gak juara</t>
  </si>
  <si>
    <t>['kalau', 'argentina', 'katanya', 'menang', 'arisan', 'piala', 'dunia', 'teori', 'sama', 'diterapin', 'indonesia', 'udah', 'lama', 'juara']</t>
  </si>
  <si>
    <t>Argentina 2006 skuad mewah yang tak bisa juara?</t>
  </si>
  <si>
    <t>argentina skuad mewah yang tak bisa juara</t>
  </si>
  <si>
    <t>['argentina', 'skuad', 'mewah', 'tak', 'juara']</t>
  </si>
  <si>
    <t>Lionel Messi Juara Piala Dunia 2022, Cristiano Ronaldo: Lebih Susah Raih Trofi bersama Portugal daripada Argentina ‚Äì Bolasport ‚Äì Pilihan Google Berita- https://t.co/yysoFQQLAG ‚Äì  https://t.co/iaM489PDPB ‚Äì #Opsiin #Kamidi¬†#Opsiminfo  https://t.co/ZJJVTG2d2x</t>
  </si>
  <si>
    <t>lionel messi juara piala dunia cristiano ronaldo lebih susah raih trofi bersama portugal daripada argentina bolasport pilihan google berita</t>
  </si>
  <si>
    <t>['lionel', 'messi', 'juara', 'piala', 'dunia', 'cristiano', 'ronaldo', 'lebih', 'susah', 'raih', 'trofi', 'bersama', 'portugal', 'argentina', 'bolasport', 'pilihan', 'google', 'berita']</t>
  </si>
  <si>
    <t>@OposisiCerdas Argentina apa juga didesain jadi juara ?</t>
  </si>
  <si>
    <t>argentina apa juga didesain jadi juara</t>
  </si>
  <si>
    <t>['argentina', 'apa', 'didesain', 'jadi', 'juara']</t>
  </si>
  <si>
    <t>Juara di Piala Dunia, Allegri Harap Angel Di Maria Tularkan Spirit Timnas Argentina ke Juventus  https://t.co/qhjI43mbtY</t>
  </si>
  <si>
    <t>@BangAlo @idextratime Bang mau tau gimna pendapat temen2 lu di tongkrongan ya klo lu bahas piala dunia kali ini settingan untuk Argentina juara, videoin ya nanti. Jangan lupa!</t>
  </si>
  <si>
    <t>bang mau tau gimna pendapat temen tongkrongan klo bahas piala dunia kali ini settingan untuk argentina juara videoin nanti jangan lupa</t>
  </si>
  <si>
    <t>['bang', 'mau', 'gimna', 'pendapat', 'temen', 'tongkrongan', 'bahas', 'piala', 'dunia', 'kali', 'settingan', 'argentina', 'juara', 'videoin', 'jangan', 'lupa']</t>
  </si>
  <si>
    <t>Maunya dpr iaannnn penn punyaa suami kaya dpr iann dpr ian dpr iann dpr ian ya allah</t>
  </si>
  <si>
    <t>maunya dpr iaannnn penn punyaa suami kaya dpr iann dpr ian dpr iann dpr ian allah</t>
  </si>
  <si>
    <t>['maunya', 'dpr', 'iaannnn', 'penn', 'punyaa', 'suami', 'kaya', 'dpr', 'iann', 'dpr', 'ian', 'dpr', 'iann', 'dpr', 'ian', 'allah']</t>
  </si>
  <si>
    <t>&lt;FreqDist with 10 samples and 16 outcomes&gt;</t>
  </si>
  <si>
    <t>Mau suami kaya drp iannn</t>
  </si>
  <si>
    <t>mau suami kaya drp iannn</t>
  </si>
  <si>
    <t>['mau', 'suami', 'kaya', 'drp', 'iannn']</t>
  </si>
  <si>
    <t>Pennnn jodohh kaya dpr iann</t>
  </si>
  <si>
    <t>pennnn jodohh kaya dpr iann</t>
  </si>
  <si>
    <t>['pennnn', 'jodohh', 'kaya', 'dpr', 'iann']</t>
  </si>
  <si>
    <t>Maunya kek dpr ian ya allah maunya kaya dia ya allah, nggak bule tapi kayaa dpr iann ya allah</t>
  </si>
  <si>
    <t>maunya kek dpr ian allah maunya kaya dia allah nggak bule tapi kayaa dpr iann allah</t>
  </si>
  <si>
    <t>['maunya', 'kek', 'dpr', 'ian', 'allah', 'maunya', 'kaya', 'allah', 'bule', 'kayaa', 'dpr', 'iann', 'allah']</t>
  </si>
  <si>
    <t>&lt;FreqDist with 9 samples and 13 outcomes&gt;</t>
  </si>
  <si>
    <t>Maunyaa kekk drp iannn orientall tapi westernnn, kaya dpr iannnn kek dpr iannn</t>
  </si>
  <si>
    <t>maunyaa kekk drp iannn orientall tapi westernnn kaya dpr iannnn kek dpr iannn</t>
  </si>
  <si>
    <t>['maunyaa', 'kekk', 'drp', 'iannn', 'orientall', 'westernnn', 'kaya', 'dpr', 'iannnn', 'kek', 'dpr', 'iannn']</t>
  </si>
  <si>
    <t>Prnn punyaa jodohhh kek dpr iaan ya allahhh</t>
  </si>
  <si>
    <t>prnn punyaa jodohhh kek dpr iaan allahhh</t>
  </si>
  <si>
    <t>['prnn', 'punyaa', 'jodohhh', 'kek', 'dpr', 'iaan', 'allahhh']</t>
  </si>
  <si>
    <t>Juara di Piala Dunia, Allegri Harap Angel Di Maria Tularkan Spirit Timnas Argentina ke Juventus !!  Baca Selengkapnya di &amp;gt;&amp;gt;&amp;gt;  https://t.co/HPeu7Akdic Daftarkan sekarang juga! Link :  https://t.co/XROb5m5Ktn WA : +6282169213327  https://t.co/GpRJZQlPUM</t>
  </si>
  <si>
    <t>juara piala dunia allegri harap angel maria tularkan spirit timnas argentina juventus baca selengkapnya daftarkan sekarang juga link</t>
  </si>
  <si>
    <t>['juara', 'piala', 'dunia', 'allegri', 'harap', 'angel', 'maria', 'tularkan', 'spirit', 'timnas', 'argentina', 'juventus', 'baca', 'selengkapnya', 'daftarkan', 'sekarang', 'link']</t>
  </si>
  <si>
    <t>@vinoant argentina juara dunia gak masuk itungan?</t>
  </si>
  <si>
    <t>argentina juara dunia gak masuk itungan</t>
  </si>
  <si>
    <t>['argentina', 'juara', 'dunia', 'masuk', 'itungan']</t>
  </si>
  <si>
    <t>Meski Argentina Juara Piala Dunia 2022  Tapi Brasil Tetap No 1 Peringkat FIFA, Begini Alasannya  https://t.co/0G6H1wGZrX</t>
  </si>
  <si>
    <t>meski argentina juara piala dunia tapi brasil tetap peringkat fifa begini alasannya</t>
  </si>
  <si>
    <t>['meski', 'argentina', 'juara', 'piala', 'dunia', 'brasil', 'tetap', 'peringkat', 'fifa', 'begini', 'alasannya']</t>
  </si>
  <si>
    <t>@thobahusain @PerselaFC @LA_Mania Aing uga dah mutusken sejak sebulan yang lalu ba, cuman nunggu momen pas Argentina selesai juara aja aku postingnya</t>
  </si>
  <si>
    <t>mania aing uga dah mutusken sejak sebulan yang lalu cuman nunggu momen pas argentina selesai juara aja aku postingnya</t>
  </si>
  <si>
    <t>['mania', 'aing', 'uga', 'dah', 'mutusken', 'sejak', 'sebulan', 'lalu', 'cuman', 'nunggu', 'momen', 'pas', 'argentina', 'selesai', 'juara', 'aku', 'postingnya']</t>
  </si>
  <si>
    <t>@FWBESS Coba dm sendernya</t>
  </si>
  <si>
    <t>coba sendernya</t>
  </si>
  <si>
    <t>['coba', 'sendernya']</t>
  </si>
  <si>
    <t>@FWBESS Dari pada kita gabut malam natal kan, mending kita having fun. Coba dong sender mana</t>
  </si>
  <si>
    <t>dari pada kita gabut malam natal kan mending kita having fun coba dong sender mana</t>
  </si>
  <si>
    <t>['gabut', 'malam', 'natal', 'kan', 'mending', 'having', 'fun', 'coba', 'dong', 'sender', 'mana']</t>
  </si>
  <si>
    <t>BolaNet: Juara di Piala Dunia, Allegri Harap Angel Di Maria Tularkan Spirit Timnas Argentina ke Juventus  https://t.co/93Q5rQweUz</t>
  </si>
  <si>
    <t>bolanet juara piala dunia allegri harap angel maria tularkan spirit timnas argentina juventus</t>
  </si>
  <si>
    <t>['bolanet', 'juara', 'piala', 'dunia', 'allegri', 'harap', 'angel', 'maria', 'tularkan', 'spirit', 'timnas', 'argentina', 'juventus']</t>
  </si>
  <si>
    <t>@PSSI Tenang jangan nilai jelek dulu permainan Timnas Indonesia. Juara Dunia Argentina saja kalah dari Arab Saudi saat di penyisihan grup. Meski main jelek, Indonesia masih tetap menang lawan Kamboja.</t>
  </si>
  <si>
    <t>tenang jangan nilai jelek dulu permainan timnas indonesia juara dunia argentina saja kalah dari arab saudi saat penyisihan grup meski main jelek indonesia masih tetap menang lawan kamboja</t>
  </si>
  <si>
    <t>['tenang', 'jangan', 'nilai', 'jelek', 'dulu', 'permainan', 'timnas', 'indonesia', 'juara', 'dunia', 'argentina', 'kalah', 'arab', 'saudi', 'penyisihan', 'grup', 'meski', 'main', 'jelek', 'indonesia', 'tetap', 'menang', 'lawan', 'kamboja']</t>
  </si>
  <si>
    <t>@numberrs_ @ysrmyns @pesensurya16 @heydeww_ @idextratime Terus juga lu ngirim video tentang katanya goal Argentina kontroversial juga percuma. Argen udah juara</t>
  </si>
  <si>
    <t>terus juga ngirim video tentang katanya goal argentina kontroversial juga percuma argen udah juara</t>
  </si>
  <si>
    <t>['terus', 'ngirim', 'video', 'katanya', 'goal', 'argentina', 'kontroversial', 'percuma', 'argen', 'udah', 'juara']</t>
  </si>
  <si>
    <t>Aku bisa mengerti kenapa sudah mendapatkan semua gelar tapi Messi dan dimaria ingin trus bermain. Mereka ingin menikmati permainan bersama timnas argentina sebagai status juara dunia  Lagian jg mrk berdua masih jago, dimaria walau sudah 34 tapi jago banget . Messi jg masih jago</t>
  </si>
  <si>
    <t>aku bisa mengerti kenapa sudah mendapatkan semua gelar tapi messi dan dimaria ingin trus bermain mereka ingin menikmati permainan bersama timnas argentina sebagai status juara dunia lagian mrk berdua masih jago dimaria walau sudah tapi jago banget messi masih jago</t>
  </si>
  <si>
    <t>['aku', 'mengerti', 'mendapatkan', 'semua', 'gelar', 'messi', 'dimaria', 'trus', 'bermain', 'menikmati', 'permainan', 'bersama', 'timnas', 'argentina', 'status', 'juara', 'dunia', 'lagian', 'mrk', 'berdua', 'jago', 'dimaria', 'jago', 'banget', 'messi', 'jago']</t>
  </si>
  <si>
    <t>Messi dan dimaria memutuskan untuk terus bermain, mereka belum pensiun  Sebelum nya kan Messi dan dimaria akan pensiun setelah Piala Dunia 2022 apalgi ini argentina juara jadi biar pensi dgn indah . Cuma skr mrk memutuskan belum pensiun dan Akan terus bermain</t>
  </si>
  <si>
    <t>messi dan dimaria memutuskan untuk terus bermain mereka belum pensiun sebelum nya kan messi dan dimaria akan pensiun setelah piala dunia apalgi ini argentina juara jadi biar pensi dgn indah cuma skr mrk memutuskan belum pensiun dan akan terus bermain</t>
  </si>
  <si>
    <t>['messi', 'dimaria', 'memutuskan', 'terus', 'bermain', 'pensiun', 'kan', 'messi', 'dimaria', 'pensiun', 'piala', 'dunia', 'apalgi', 'argentina', 'juara', 'jadi', 'pensi', 'indah', 'cuma', 'skr', 'mrk', 'memutuskan', 'pensiun', 'terus', 'bermain']</t>
  </si>
  <si>
    <t>Pembicaraan soal prestasi Messi belum usai, sejak Argentina juara di Piala Dunia 2022 Qatar. Ia sukses menggeser 5 pemegang rekor like IG terbanyak.  https://t.co/qhMU9ijOKa</t>
  </si>
  <si>
    <t>pembicaraan soal prestasi messi belum usai sejak argentina juara piala dunia qatar sukses menggeser pemegang rekor like terbanyak</t>
  </si>
  <si>
    <t>['pembicaraan', 'soal', 'prestasi', 'messi', 'usai', 'sejak', 'argentina', 'juara', 'piala', 'dunia', 'qatar', 'sukses', 'menggeser', 'pemegang', 'rekor', 'like', 'terbanyak']</t>
  </si>
  <si>
    <t>Juara di Piala Dunia, Allegri Harap Angel Di Maria Tularkan Spirit Timnas Argentina ke Juventus   Angel Di Maria mampu tampil cemerlang sehingga ia dapat kesuksesan bersama timnas Argentina dengan juara di Piala Dunia 2022.  https://t.co/Wlr6rqxU5C</t>
  </si>
  <si>
    <t>juara piala dunia allegri harap angel maria tularkan spirit timnas argentina juventus angel maria mampu tampil cemerlang sehingga dapat kesuksesan bersama timnas argentina dengan juara piala dunia</t>
  </si>
  <si>
    <t>['juara', 'piala', 'dunia', 'allegri', 'harap', 'angel', 'maria', 'tularkan', 'spirit', 'timnas', 'argentina', 'juventus', 'angel', 'maria', 'mampu', 'tampil', 'cemerlang', 'kesuksesan', 'bersama', 'timnas', 'argentina', 'juara', 'piala', 'dunia']</t>
  </si>
  <si>
    <t>Argentina menang dan juara dunia</t>
  </si>
  <si>
    <t>argentina menang dan juara dunia</t>
  </si>
  <si>
    <t>['argentina', 'menang', 'juara', 'dunia']</t>
  </si>
  <si>
    <t>@numberrs_ @mhmdgilangg @heydeww_ @idextratime Kasian? wkwk emng yang tanda tangan ngasihani sampean om? Wkwk  Kasihan gak rela kalo argentina juara</t>
  </si>
  <si>
    <t>kasian wkwk emng yang tanda tangan ngasihani sampean wkwk kasihan gak rela kalo argentina juara</t>
  </si>
  <si>
    <t>['kasian', 'memang', 'tanda', 'tangan', 'ngasihani', 'sampean', 'kasihan', 'rela', 'argentina', 'juara']</t>
  </si>
  <si>
    <t>yah listrik padam</t>
  </si>
  <si>
    <t>['listrik', 'padam']</t>
  </si>
  <si>
    <t>@numberrs_ @heydeww_ @idextratime MAU DISEBAR KEPENJURU DUNIA MANA PUN VIDEO INI,,GAK AKAN MENGUBAH FAKTA KALAU MESSI CS DAN ARGENTINA JUARA PIALA DUNIA 2022 TITIK</t>
  </si>
  <si>
    <t>mau disebar kepenjuru dunia mana pun video ini gak akan mengubah fakta kalau messi dan argentina juara piala dunia titik</t>
  </si>
  <si>
    <t>['mau', 'disebar', 'kepenjuru', 'dunia', 'mana', 'video', 'mengubah', 'fakta', 'kalau', 'messi', 'argentina', 'juara', 'piala', 'dunia', 'titik']</t>
  </si>
  <si>
    <t>intervensi penguasa</t>
  </si>
  <si>
    <t>['intervensi', 'penguasa']</t>
  </si>
  <si>
    <t>@numberrs_ @SatpamGlacier @heydeww_ @idextratime yauda klw gtu mah terima aja klw argentina juara masih aja dipermasalahkan hadeh barisan fans sakit hati dan iri nih</t>
  </si>
  <si>
    <t>yauda klw gtu mah terima aja klw argentina juara masih aja dipermasalahkan hadeh barisan fans sakit hati dan iri nih</t>
  </si>
  <si>
    <t>['yauda', 'klw', 'gtu', 'mah', 'terima', 'klw', 'argentina', 'juara', 'dipermasalahkan', 'hadeh', 'barisan', 'fans', 'sakit', 'hati', 'iri']</t>
  </si>
  <si>
    <t>@trizaldiqi Argentina juara</t>
  </si>
  <si>
    <t>@iwanowuse @garagarabola_ Kadang lucu +62 pintar berkomentar, tidak semua diatas kertas gampang nyatanya benar. Toh Argentina yg juara jg bs kalah kan, Sepak bola tontonan hiburan jangan berlebihan nanti #UsutTuntasTragediKanjuruhan lagi</t>
  </si>
  <si>
    <t>kadang lucu pintar berkomentar tidak semua diatas kertas gampang nyatanya benar toh argentina juara kalah kan sepak bola tontonan hiburan jangan berlebihan nanti lagi</t>
  </si>
  <si>
    <t>['kadang', 'lucu', 'pintar', 'berkomentar', 'semua', 'diatas', 'kertas', 'gampang', 'nyatanya', 'benar', 'argentina', 'juara', 'kalah', 'kan', 'sepak', 'bola', 'tontonan', 'hiburan', 'jangan', 'berlebihan']</t>
  </si>
  <si>
    <t>BUKAN ARGENTINA!! Jurnalis Barat ini Sebut Juara Piala Dunia Qatar adalah ISLAM !!  https://t.co/DBAdkEd8Fe</t>
  </si>
  <si>
    <t>bukan argentina jurnalis barat ini sebut juara piala dunia qatar adalah islam</t>
  </si>
  <si>
    <t>['bukan', 'argentina', 'jurnalis', 'barat', 'sebut', 'juara', 'piala', 'dunia', 'qatar', 'islam']</t>
  </si>
  <si>
    <t>@jogmfs PUTUS nder</t>
  </si>
  <si>
    <t>putus nder</t>
  </si>
  <si>
    <t>['putus', 'nder']</t>
  </si>
  <si>
    <t>Ini Alasan Kenapa Brasil Kukuh di Peringkat Satu FIFA meskipun Argentina Juara Piala Dunia 2022 #LengkapCepatBeritanya #Bola #SepakBola #SepakbolaDunia #BolaDunia .  https://t.co/uWUBPAf1Jg</t>
  </si>
  <si>
    <t>ini alasan kenapa brasil kukuh peringkat satu fifa meskipun argentina juara piala dunia</t>
  </si>
  <si>
    <t>['alasan', 'brasil', 'kukuh', 'peringkat', 'satu', 'fifa', 'meskipun', 'argentina', 'juara', 'piala', 'dunia']</t>
  </si>
  <si>
    <t>@_clafthecat sama ik  hahaha</t>
  </si>
  <si>
    <t>sama hahaha</t>
  </si>
  <si>
    <t>['sama', 'hahaha']</t>
  </si>
  <si>
    <t>Juara di Piala Dunia, Allegri Harap Angel Di Maria Tularkan Spirit Timnas Argentina ke Juventus  https://t.co/xH9TiKdcME | BolaNet</t>
  </si>
  <si>
    <t>juara piala dunia allegri harap angel maria tularkan spirit timnas argentina juventus bolanet</t>
  </si>
  <si>
    <t>['juara', 'piala', 'dunia', 'allegri', 'harap', 'angel', 'maria', 'tularkan', 'spirit', 'timnas', 'argentina', 'juventus', 'bolanet']</t>
  </si>
  <si>
    <t>@Daeng_Info Biasaji beng, bisa jadi sengaja supaya kayak Argentina, kalah dari Arab Saudi akhirnya juara, Indonesia maen buruk InshaaAllah nanti juga juara mi.</t>
  </si>
  <si>
    <t>info biasaji beng bisa jadi sengaja supaya kayak argentina kalah dari arab saudi akhirnya juara indonesia maen buruk inshaaallah nanti juga juara</t>
  </si>
  <si>
    <t>['info', 'biasaji', 'beng', 'jadi', 'sengaja', 'seperti', 'argentina', 'kalah', 'arab', 'saudi', 'akhirnya', 'juara', 'indonesia', 'maen', 'buruk', 'inshaaallah', 'juara']</t>
  </si>
  <si>
    <t>@iamkalong @FaktaSepakbola Knp sih ngeributin sesuatu yg ga perlu? Pemain timnas nya Argentina yg juara juga ga ada yg protes üòÇüòÇ</t>
  </si>
  <si>
    <t>knp sih ngeributin sesuatu perlu pemain timnas nya argentina juara juga ada protes</t>
  </si>
  <si>
    <t>['kenapa', 'ngeributin', 'perlu', 'pemain', 'timnas', 'argentina', 'juara', 'protes']</t>
  </si>
  <si>
    <t>@Indostransfer Timnas harus meniru argentina klw mw juara selalu dpt pinalti dr awal smpaina Juara ‚òùüòÄüòÄ</t>
  </si>
  <si>
    <t>timnas harus meniru argentina klw juara selalu dpt pinalti awal smpaina juara</t>
  </si>
  <si>
    <t>['timnas', 'meniru', 'argentina', 'klw', 'juara', 'selalu', 'dpt', 'penalti', 'awal', 'smpaina', 'juara']</t>
  </si>
  <si>
    <t>Salt Bae Diinvestigasi FIFA Gara-gara Bisa Turun ke Lapangan saat Perayaan Argentina Jadi Juara Piala Dunia 2022 -  https://t.co/kpmQt1cweG  https://t.co/CYpkKwIiR0 via @bolanet  https://t.co/aNzDFA3v8E . . . #m88mansion #m88mansionindo #m88indo #m88laliga</t>
  </si>
  <si>
    <t>salt bae diinvestigasi fifa gara gara bisa turun lapangan saat perayaan argentina jadi juara piala dunia via</t>
  </si>
  <si>
    <t>['salt', 'bae', 'diinvestigasi', 'fifa', 'gara', 'gara', 'turun', 'lapangan', 'perayaan', 'argentina', 'jadi', 'juara', 'piala', 'dunia', 'via']</t>
  </si>
  <si>
    <t>@DaniPudlian @okkyoktariyadi @idextratime @GFFN Wawancara Mbappe ttg sepakbola Eropa juga tidak menghina Argentina kok. Justru sebaliknya menunjukkan Argentina hebat bisa juara, sebagaimana banyak bintang lahir dari Conmebol. Tapi yg dilakukan Emi pada Mb</t>
  </si>
  <si>
    <t>wawancara mbappe ttg sepakbola eropa juga tidak menghina argentina kok justru sebaliknya menunjukkan argentina hebat bisa juara sebagaimana banyak bintang lahir dari conmebol tapi dilakukan emi pada</t>
  </si>
  <si>
    <t>['wawancara', 'mbappe', 'ttg', 'sepakbola', 'eropa', 'menghina', 'argentina', 'kok', 'justru', 'sebaliknya', 'menunjukkan', 'argentina', 'hebat', 'juara', 'sebagaimana', 'banyak', 'bintang', 'lahir', 'conmebol', 'dilakukan', 'emi']</t>
  </si>
  <si>
    <t>Juara di Piala Dunia, Allegri Harap Angel Di Maria Tularkan Spirit Timnas Argentina ke Juventus -  https://t.co/kpmQt1cweG  https://t.co/RlUlRsL6aB via @bolanet  https://t.co/aNzDFA3v8E . . #m88mansion #m88mansionindo #m88indo #jackpotslot #habanero #slotkasino</t>
  </si>
  <si>
    <t>juara piala dunia allegri harap angel maria tularkan spirit timnas argentina juventus via</t>
  </si>
  <si>
    <t>['juara', 'piala', 'dunia', 'allegri', 'harap', 'angel', 'maria', 'tularkan', 'spirit', 'timnas', 'argentina', 'juventus', 'via']</t>
  </si>
  <si>
    <t>@idextratime Gas dah paling argentina lagi juara ü•±</t>
  </si>
  <si>
    <t>gas dah paling argentina lagi juara</t>
  </si>
  <si>
    <t>['gas', 'dah', 'paling', 'argentina', 'juara']</t>
  </si>
  <si>
    <t>4 Peraih Juara Piala Dunia 2022 Bersama Timnas Argentina yang Berasal dari Liga Italia, Nomor 1 Bintang Juventus! #LengkapCepatBeritanya #Bola #SepakBola #SepakbolaDunia #BolaDunia .  https://t.co/3ne8jEnMXw</t>
  </si>
  <si>
    <t>peraih juara piala dunia bersama timnas argentina yang berasal dari liga italia nomor bintang juventus</t>
  </si>
  <si>
    <t>['peraih', 'juara', 'piala', 'dunia', 'bersama', 'timnas', 'argentina', 'berasal', 'liga', 'italia', 'nomor', 'bintang', 'juventus']</t>
  </si>
  <si>
    <t>@idextratime @GFFN Ngapain sih protes wkwk, namanya aja banter, ceng2 dah biasa, selama gak rasis ya gak masalah, lupa apa ya, dulu pas Prancis juara world cup, kalian ngebanter Argentina sama Messi, jd ya kalau dibanter balik, jangan merengut wkwk  https</t>
  </si>
  <si>
    <t>ngapain sih protes wkwk namanya aja banter ceng dah biasa selama gak rasis gak masalah lupa apa dulu pas prancis juara world cup kalian ngebanter argentina sama messi kalau dibanter balik jangan merengut wkwk https</t>
  </si>
  <si>
    <t>['ngapain', 'protes', 'namanya', 'banter', 'ceng', 'dah', 'biasa', 'selama', 'rasis', 'masalah', 'lupa', 'apa', 'dulu', 'pas', 'prancis', 'juara', 'world', 'cup', 'kalian', 'ngebanter', 'argentina', 'sama', 'messi', 'kalau', 'dibanter', 'balik', 'jangan', 'merengut', 'https']</t>
  </si>
  <si>
    <t>kalo kante main di final kemaren, argentina ga mungkin juara ü§£ü§£ü§£ @BettrCallMessi</t>
  </si>
  <si>
    <t>kalo kante main final kemaren argentina mungkin juara</t>
  </si>
  <si>
    <t>['kante', 'main', 'final', 'kemarin', 'argentina', 'mungkin', 'juara']</t>
  </si>
  <si>
    <t>@numberrs_ @ayunk194 @humanwanted @idextratime Waktu saya nongton, yg juara Argentina deh....ü§î</t>
  </si>
  <si>
    <t>waktu saya nongton juara argentina deh</t>
  </si>
  <si>
    <t>['waktu', 'nongton', 'juara', 'argentina', 'deh']</t>
  </si>
  <si>
    <t>Jika ada yang lebih indah dari bisa jadi juara kelas, mungkin itu adalah Argentina juara World Cup Qatar 2022.</t>
  </si>
  <si>
    <t>jika ada yang lebih indah dari bisa jadi juara kelas mungkin itu adalah argentina juara world cup qatar</t>
  </si>
  <si>
    <t>['lebih', 'indah', 'jadi', 'juara', 'kelas', 'mungkin', 'argentina', 'juara', 'world', 'cup', 'qatar']</t>
  </si>
  <si>
    <t>Semoga makin banyak, biar bisa liat Argentina juara dunia lagi ehehe</t>
  </si>
  <si>
    <t>semoga makin banyak biar bisa liat argentina juara dunia lagi ehehe</t>
  </si>
  <si>
    <t>['semoga', 'makin', 'banyak', 'lihat', 'argentina', 'juara', 'dunia', 'ehehe']</t>
  </si>
  <si>
    <t>@IKIAE_MAS Kalo ga ada Heru, Argentina mana bisa jadi Juara Piala Dunia. Selama 5 tahun Anies mimpin Jakarta ga ada sejarahnya tuh Argentina menang World Cup! Cocok?</t>
  </si>
  <si>
    <t>mas kalo ada heru argentina mana bisa jadi juara piala dunia selama tahun anies mimpin jakarta ada sejarahnya tuh argentina menang world cup cocok</t>
  </si>
  <si>
    <t>['mas', 'heru', 'argentina', 'mana', 'jadi', 'juara', 'piala', 'dunia', 'selama', 'tahun', 'anies', 'mimpin', 'jakarta', 'sejarahnya', 'argentina', 'menang', 'world', 'cup', 'cocok']</t>
  </si>
  <si>
    <t>@idextratime Coba Barca ini punya mental juara kayak Argentinaüò≠</t>
  </si>
  <si>
    <t>coba barca ini punya mental juara kayak argentina</t>
  </si>
  <si>
    <t>['coba', 'barca', 'punya', 'mental', 'juara', 'seperti', 'argentina']</t>
  </si>
  <si>
    <t>@DaniPudlian @okkyoktariyadi @idextratime @GFFN Ada lagi sih. Yg bilang Brazil dan Argentina GK punya level di Amerika latin. Di bales dibu jangan sok tau.dia belum rasain aja lawan Bolivia maen di ketinggian. Dan Eropa juga baru 1x juara di tanah Amerika</t>
  </si>
  <si>
    <t>ada lagi sih bilang brazil dan argentina punya level amerika latin bales dibu jangan sok tau dia belum rasain aja lawan bolivia maen ketinggian dan eropa juga baru juara tanah amerika</t>
  </si>
  <si>
    <t>['brazil', 'argentina', 'punya', 'level', 'amerika', 'latin', 'bales', 'dibu', 'jangan', 'sok', 'rasain', 'lawan', 'bolivia', 'maen', 'ketinggian', 'eropa', 'baru', 'juara', 'tanah', 'amerika']</t>
  </si>
  <si>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</si>
  <si>
    <t>skenario qatar ini messi memenangkan piala dunia pertamanya bersama argentina kemenangan piala dunia pertama untuk kroasia kemenangan piala dunia pertama untuk maroko afrika prancis menjadi juara piala dunia berturut turut</t>
  </si>
  <si>
    <t>['skenario', 'qatar', 'messi', 'memenangkan', 'piala', 'dunia', 'pertamanya', 'bersama', 'argentina', 'kemenangan', 'piala', 'dunia', 'pertama', 'kroasia', 'kemenangan', 'piala', 'dunia', 'pertama', 'maroko', 'afrika', 'prancis', 'menjadi', 'juara', 'piala', 'dunia', 'berturut', 'turut']</t>
  </si>
  <si>
    <t>&lt;FreqDist with 19 samples and 27 outcomes&gt;</t>
  </si>
  <si>
    <t>@SerieA_Lawas Yaa berarti gabisa ngungkit apa apa was. Kan sedetik yang lalu juga udah jadi sejarah... Argentina Juara juga udah 5 hari.</t>
  </si>
  <si>
    <t>lawas yaa berarti gabisa ngungkit apa apa was kan sedetik yang lalu juga udah jadi sejarah argentina juara juga udah hari</t>
  </si>
  <si>
    <t>['lawas', 'ya', 'berarti', 'gabisa', 'ngungkit', 'apa', 'apa', 'was', 'kan', 'sedetik', 'lalu', 'udah', 'jadi', 'sejarah', 'argentina', 'juara', 'udah', 'hari']</t>
  </si>
  <si>
    <t>@JantunGPiisanG @AdelyArgentiana Baru nyadar kak Adel akunnya hilang. Padahal Argentina baru juara.</t>
  </si>
  <si>
    <t>baru nyadar kak adel akunnya hilang padahal argentina baru juara</t>
  </si>
  <si>
    <t>['baru', 'nyadar', 'kak', 'adel', 'akunnya', 'hilang', 'padahal', 'argentina', 'baru', 'juara']</t>
  </si>
  <si>
    <t>@humanwanted @idextratime Setauku gk pernah sih kalau yang berhubungan sepak bola. Tetep aja gak bisa merubah kalau argentina juara</t>
  </si>
  <si>
    <t>setauku pernah sih kalau yang berhubungan sepak bola tetep aja gak bisa merubah kalau argentina juara</t>
  </si>
  <si>
    <t>['setauku', 'pernah', 'kalau', 'berhubungan', 'sepak', 'bola', 'tetep', 'merubah', 'kalau', 'argentina', 'juara']</t>
  </si>
  <si>
    <t>@idextratime banyak yang iri argentina juara pildun, banyak yang iri messi pegang trophy pildun</t>
  </si>
  <si>
    <t>banyak yang iri argentina juara pildun banyak yang iri messi pegang trophy pildun</t>
  </si>
  <si>
    <t>['banyak', 'iri', 'argentina', 'juara', 'piala dunia', 'banyak', 'iri', 'messi', 'pegang', 'trophy', 'piala dunia']</t>
  </si>
  <si>
    <t>@idextratime Dan Argentina batal jadi juara.. Hehehe..</t>
  </si>
  <si>
    <t>dan argentina batal jadi juara hehehe</t>
  </si>
  <si>
    <t>['argentina', 'batal', 'jadi', 'juara', 'hehehe']</t>
  </si>
  <si>
    <t>@_alamsyahhh @DwiPrasetyaSan1 @idextratime @GFFN Tar messi dijual kek neymar, dah paling bener argentina yang juara</t>
  </si>
  <si>
    <t>tar messi dijual kek neymar dah paling bener argentina yang juara</t>
  </si>
  <si>
    <t>['tar', 'messi', 'dijual', 'kek', 'neymar', 'dah', 'paling', 'benar', 'argentina', 'juara']</t>
  </si>
  <si>
    <t>@FaktaSepakbola Biasanya kita di grup bantai2 lolos sampe final anti klimaks, skrg menang tp memble, akan kah???? Ingat argentina kemarin kn, akan kah indonesia juara?????? Akan kah???????</t>
  </si>
  <si>
    <t>biasanya kita grup bantai lolos sampe final anti klimaks skrg menang memble akan kah ingat argentina kemarin akan kah indonesia juara akan kah</t>
  </si>
  <si>
    <t>['biasanya', 'grup', 'bantai', 'lolos', 'sampai', 'final', 'anti', 'klimaks', 'skrg', 'menang', 'memble', 'ingat', 'argentina', 'kemarin', 'indonesia', 'juara']</t>
  </si>
  <si>
    <t>Vibes argentina yo bisa timnas juara</t>
  </si>
  <si>
    <t>vibes argentina bisa timnas juara</t>
  </si>
  <si>
    <t>['vibes', 'argentina', 'timnas', 'juara']</t>
  </si>
  <si>
    <t xml:space="preserve">@vivo_indonesia #vivoV25e HP dengan Performa Juara layaknya ARGENTINA yang terbukti jadi yang terbaik di event sepakbola terbesar di dunia üá¶üá∑‚öΩÔ∏èüèÜ Berikut pendapat versi hemat saya kesamaan fitur unggulan vivo V25e dengan beberapa pemain kunci </t>
  </si>
  <si>
    <t>indonesia dengan performa juara layaknya argentina yang terbukti jadi yang terbaik event sepakbola terbesar dunia berikut pendapat versi hemat saya kesamaan fitur unggulan vivo dengan beberapa pemain kunci</t>
  </si>
  <si>
    <t>['indonesia', 'performa', 'juara', 'layaknya', 'argentina', 'terbukti', 'jadi', 'terbaik', 'event', 'sepakbola', 'terbesar', 'dunia', 'berikut', 'pendapat', 'versi', 'hemat', 'kesamaan', 'fitur', 'unggulan', 'vivo', 'beberapa', 'pemain', 'kunci']</t>
  </si>
  <si>
    <t>FIFA Selidiki Tingkah Laku Salt Bae di Perayaan Argentina Juara Piala Dunia 2022  https://t.co/CUHcIWVPgj</t>
  </si>
  <si>
    <t>@The_RedsIndo üòÇüòÇüòÇüòÇüòÇüòÇ</t>
  </si>
  <si>
    <t>redsindo</t>
  </si>
  <si>
    <t>['redsindo']</t>
  </si>
  <si>
    <t>Video HANIF, KOCI and Bung HELMY YAHYA bener2 keren dan mendidik</t>
  </si>
  <si>
    <t>video hanif koci and bung helmy yahya bener keren dan mendidik</t>
  </si>
  <si>
    <t>['video', 'hanif', 'koci', 'and', 'bung', 'helmy', 'yahya', 'benar', 'keren', 'mendidik']</t>
  </si>
  <si>
    <t>@arsenal_areaa @GOAL_ID Woi,ngaca lu.Emi Martinez itu kiper terbaik di piala dunia 2022,mendapat golden glove &amp;amp; bisa bawa Argentina menjadi juara dunia utk yg ketiga kalinya.Bonou?ü§£Who is Bonou? Where is Bonou?Emi Martinez bisa dpt golden glove,Bon</t>
  </si>
  <si>
    <t>areaa woi ngaca emi martinez itu kiper terbaik piala dunia mendapat golden glove bisa bawa argentina menjadi juara dunia utk ketiga kalinya bonou who bonou where bonou emi martinez bisa dpt golden glove bon</t>
  </si>
  <si>
    <t>['areaa', 'ngaca', 'emi', 'martinez', 'kiper', 'terbaik', 'piala', 'dunia', 'mendapat', 'golden', 'glove', 'bawa', 'argentina', 'menjadi', 'juara', 'dunia', 'ketiga', 'kalinya', 'bonou', 'who', 'bonou', 'where', 'bonou', 'emi', 'martinez', 'dpt', 'golden', 'glove', 'bon']</t>
  </si>
  <si>
    <t>@FWBESS Yg gini2 kalo malem jd naughty nih</t>
  </si>
  <si>
    <t>gini kalo malem naughty nih</t>
  </si>
  <si>
    <t>['gini', 'malem', 'naughty']</t>
  </si>
  <si>
    <t>#vivoV25e HP dengan Performa Juara layaknya ARGENTINA yang terbukti jadi yang terbaik di event sepakbola terbesar di dunia üá¶üá∑‚öΩÔ∏èüèÜ Berikut pendapat versi hemat saya kesamaan fitur unggulan vivo V25e dengan beberapa pemain kunci Abiceleste ;</t>
  </si>
  <si>
    <t>dengan performa juara layaknya argentina yang terbukti jadi yang terbaik event sepakbola terbesar dunia berikut pendapat versi hemat saya kesamaan fitur unggulan vivo dengan beberapa pemain kunci abiceleste</t>
  </si>
  <si>
    <t>['performa', 'juara', 'layaknya', 'argentina', 'terbukti', 'jadi', 'terbaik', 'event', 'sepakbola', 'terbesar', 'dunia', 'berikut', 'pendapat', 'versi', 'hemat', 'kesamaan', 'fitur', 'unggulan', 'vivo', 'beberapa', 'pemain', 'kunci', 'abiceleste']</t>
  </si>
  <si>
    <t>Salah satu kunci Argentina juara itu adalah membangun tim yang solid.  Jangankan pemain, Scaloni pun bahkan dioper nih sama De PaulüòÇüòÇüòÇ  https://t.co/eZACwClM9z</t>
  </si>
  <si>
    <t>salah satu kunci argentina juara itu adalah membangun tim yang solid jangankan pemain scaloni pun bahkan dioper nih sama paul</t>
  </si>
  <si>
    <t>['salah', 'satu', 'kunci', 'argentina', 'juara', 'membangun', 'tim', 'solid', 'jangankan', 'pemain', 'scaloni', 'bahkan', 'dioper', 'sama', 'paul']</t>
  </si>
  <si>
    <t>@kaydoph Info2 cara bisa isep nyaa</t>
  </si>
  <si>
    <t>info cara bisa isep nyaa</t>
  </si>
  <si>
    <t>['info', 'cara', 'isep', 'nyaa']</t>
  </si>
  <si>
    <t>@lazanoorca Mencetak sejarah sekali saja teramat sulit, oleh karena itu mereka yang punya sejarah prestasi tentu akan diungkit2 ... Lihat Argentina yang mempunyai bakat sepak bola yang melimpah dan dia baru berhasil kembali juara setelah 36 tahun.. yaa it</t>
  </si>
  <si>
    <t>mencetak sejarah sekali saja teramat sulit oleh karena itu mereka yang punya sejarah prestasi tentu akan diungkit lihat argentina yang mempunyai bakat sepak bola yang melimpah dan dia baru berhasil kembali juara setelah tahun yaa</t>
  </si>
  <si>
    <t>['mencetak', 'sejarah', 'sekali', 'teramat', 'sulit', 'punya', 'sejarah', 'prestasi', 'diungkit', 'lihat', 'argentina', 'mempunyai', 'bakat', 'sepak', 'bola', 'melimpah', 'baru', 'berhasil', 'juara', 'tahun', 'ya']</t>
  </si>
  <si>
    <t>Kok, malah Brasil yang abadikan? #ARGENTINAS  #Lionel_Messi   Berhasil Antarkan Argentina Meraih Gelar Juara di Piala Dunia 2022, Nama Lionel Messi Diabadikan di Brasil!  https://t.co/PVuhWcwsr3</t>
  </si>
  <si>
    <t>kok malah brasil yang abadikan messi berhasil antarkan argentina meraih gelar juara piala dunia nama lionel messi diabadikan brasil</t>
  </si>
  <si>
    <t>['kok', 'malah', 'brasil', 'abadikan', 'messi', 'berhasil', 'antarkan', 'argentina', 'meraih', 'gelar', 'juara', 'piala', 'dunia', 'nama', 'lionel', 'messi', 'diabadikan', 'brasil']</t>
  </si>
  <si>
    <t>@rio_andikawrr @reizaditra @Fauzansudutkiri @onlyvvan @budakkorporat07 @madmoron33 @ardynshufi Udah tenang. Juara nya udah pasti argentina</t>
  </si>
  <si>
    <t>andikawrr udah tenang juara nya udah pasti argentina</t>
  </si>
  <si>
    <t>['andikawrr', 'udah', 'tenang', 'juara', 'udah', 'argentina']</t>
  </si>
  <si>
    <t>@FT_IDN Setuju min. Argentina aja bisa juara dunia menelan kekalahan dulu dr arab</t>
  </si>
  <si>
    <t>idn setuju min argentina aja bisa juara dunia menelan kekalahan dulu arab</t>
  </si>
  <si>
    <t>['idn', 'setuju', 'min', 'argentina', 'juara', 'dunia', 'menelan', 'kekalahan', 'dulu', 'arab']</t>
  </si>
  <si>
    <t>@PSSI Pertandingan pertama memang berat garuda argentina aja kalah dulu sama arab saudi sebelum juara dunia</t>
  </si>
  <si>
    <t>pertandingan pertama memang berat garuda argentina aja kalah dulu sama arab saudi sebelum juara dunia</t>
  </si>
  <si>
    <t>['pertandingan', 'pertama', 'memang', 'berat', 'garuda', 'argentina', 'kalah', 'dulu', 'sama', 'arab', 'saudi', 'juara', 'dunia']</t>
  </si>
  <si>
    <t>@erickthohir @PSSI Tidak sebagai penyenggaraan saja pak tapi harus juara# üèÜdunia boleh ke Argentina sedang üèÜAFF harus ke Indonesia</t>
  </si>
  <si>
    <t>tidak sebagai penyenggaraan saja pak tapi harus juara dunia boleh argentina sedang aff harus indonesia</t>
  </si>
  <si>
    <t>['penyenggaraan', 'pak', 'juara', 'dunia', 'argentina', 'sedang', 'aff', 'indonesia']</t>
  </si>
  <si>
    <t>@FT_IDN babak 1 okelah mainnya, disayangkan yg 1v1 kiper gak gol, tp ya gimana yaaa tetep support!  argentina aja juara dunia kalah dulu lawan arab dilaga perdana üòÇ</t>
  </si>
  <si>
    <t>idn babak okelah mainnya disayangkan kiper gak gol gimana yaaa tetep support argentina aja juara dunia kalah dulu lawan arab dilaga perdana</t>
  </si>
  <si>
    <t>['idn', 'babak', 'okelah', 'mainnya', 'disayangkan', 'kiper', 'gol', 'gimana', 'yaaa', 'tetep', 'support', 'argentina', 'juara', 'dunia', 'kalah', 'dulu', 'lawan', 'arab', 'dilaga', 'perdana']</t>
  </si>
  <si>
    <t>Sukses Bawa Argentina Juara Piala Dunia 2022, Wajah Messi Diusulkan Tampil di Uang Kertas Peso  https://t.co/dG5RBtXO3j #TempoDunia</t>
  </si>
  <si>
    <t>sukses bawa argentina juara piala dunia wajah messi diusulkan tampil uang kertas peso</t>
  </si>
  <si>
    <t>['sukses', 'bawa', 'argentina', 'juara', 'piala', 'dunia', 'wajah', 'messi', 'diusulkan', 'tampil', 'uang', 'kertas', 'peso']</t>
  </si>
  <si>
    <t>@idextratime Apakah camboja bakal juara kalah 2-1 di awal kayak Argentina juga, harusnya ada who is camboja</t>
  </si>
  <si>
    <t>apakah camboja bakal juara kalah awal kayak argentina juga harusnya ada who camboja</t>
  </si>
  <si>
    <t>['camboja', 'bakal', 'juara', 'kalah', 'awal', 'seperti', 'argentina', 'harusnya', 'who', 'camboja']</t>
  </si>
  <si>
    <t>@dfvckss @gerryprstyo @dpskazuha1 @rain_dejavu @idextratime Kapan mau maju klo ngurusin negara lain mlu ü§≠ Itu Argentina gak ada ngurusin Palestina juara dunia bungü§≠</t>
  </si>
  <si>
    <t>dejavu kapan mau maju klo ngurusin negara lain mlu itu argentina gak ada ngurusin palestina juara dunia bung</t>
  </si>
  <si>
    <t>['dejavu', 'kapan', 'mau', 'maju', 'ngurusin', 'negara', 'mlu', 'argentina', 'ngurusin', 'palestina', 'juara', 'dunia', 'bung']</t>
  </si>
  <si>
    <t>@PSSI Timnas Argentina ja kalah dulu lawab KSA tapi akhirnya jadi Juara, semangat Garuda</t>
  </si>
  <si>
    <t>timnas argentina kalah dulu lawab ksa tapi akhirnya jadi juara semangat garuda</t>
  </si>
  <si>
    <t>['timnas', 'argentina', 'kalah', 'dulu', 'lawab', 'ksa', 'akhirnya', 'jadi', 'juara', 'semangat', 'garuda']</t>
  </si>
  <si>
    <t>Piala Dunia 2022, Argentina raih juara dunia.  https://t.co/SPpe9Hp56E</t>
  </si>
  <si>
    <t>piala dunia argentina raih juara dunia</t>
  </si>
  <si>
    <t>['piala', 'dunia', 'argentina', 'raih', 'juara', 'dunia']</t>
  </si>
  <si>
    <t>@SusanthyNatalia @rubyjendugi @idextratime Tapi yg ini menang.argentina kalah..siapa tau main pertama bapuk ending nya juara..bisa jadi kan..argentina juara setelah nunggu 36 tahun.semoga aja indonesia pecah telor</t>
  </si>
  <si>
    <t>tapi ini menang argentina kalah siapa tau main pertama bapuk ending nya juara bisa jadi kan argentina juara setelah nunggu tahun semoga aja indonesia pecah telor</t>
  </si>
  <si>
    <t>['menang', 'argentina', 'kalah', 'siapa', 'main', 'pertama', 'bapuk', 'ending', 'juara', 'jadi', 'kan', 'argentina', 'juara', 'nunggu', 'tahun', 'semoga', 'indonesia', 'pecah', 'telor']</t>
  </si>
  <si>
    <t>Salt Bae diinvestigasi FIFA gara-gara bisa turun ke lapangan di Perayaan Juara Argentina!  https://t.co/qxyPimrGpS</t>
  </si>
  <si>
    <t>salt bae diinvestigasi fifa gara gara bisa turun lapangan perayaan juara argentina</t>
  </si>
  <si>
    <t>['salt', 'bae', 'diinvestigasi', 'fifa', 'gara', 'gara', 'turun', 'lapangan', 'perayaan', 'juara', 'argentina']</t>
  </si>
  <si>
    <t>Terimakasih atas orderannya kakak Jika anda malas tapi tugas menumpuk tenang kita ada solusinya   @gastugasid1 ü§©  Nyari joki tugas terpecaya solusinya @gastugasid   Argentina. Timnasday. Indomie. Juara dunia. AFF.   Bisa langsung klik bio yah kak ü§ó  https://t.co/SMVGjOhE72</t>
  </si>
  <si>
    <t>terimakasih atas orderannya kakak jika anda malas tapi tugas menumpuk tenang kita ada solusinya nyari joki tugas terpecaya solusinya argentina timnasday indomie juara dunia aff bisa langsung klik bio yah kak</t>
  </si>
  <si>
    <t>['terimakasih', 'atas', 'orderannya', 'kakak', 'malas', 'tugas', 'menumpuk', 'tenang', 'solusinya', 'nyari', 'joki', 'tugas', 'terpecaya', 'solusinya', 'argentina', 'timnasday', 'indomie', 'juara', 'dunia', 'aff', 'langsung', 'klik', 'bio', 'kak']</t>
  </si>
  <si>
    <t>Terimakasih atas orderannya kakak Jika anda malas tapi tugas menumpuk tenang kita ada solusinya   @gastugasid1ü•∞  Nyari joki tugas terpecaya solusinya @gastugasid ü§ó   Argentina. Timnasday. Indomie. Juara dunia. AFF.  Bisa langsung klik bio yah kak ü§ó</t>
  </si>
  <si>
    <t>Argentina juara karena mereka bekerja dengan tim. Kompak &amp;amp; tentunya semangat yang tidak ada putusnya. Ber Organisasi juga harus seperti itu agar bisa berhasil seperti Argentina.</t>
  </si>
  <si>
    <t>argentina juara karena mereka bekerja dengan tim kompak tentunya semangat yang tidak ada putusnya ber organisasi juga harus seperti itu agar bisa berhasil seperti argentina</t>
  </si>
  <si>
    <t>['argentina', 'juara', 'bekerja', 'tim', 'kompak', 'tentunya', 'semangat', 'putusnya', 'ber', 'organisasi', 'berhasil', 'argentina']</t>
  </si>
  <si>
    <t>Usai membawa Argentina juara Piala Dunia 2022, popularitas Lionel Messi semakin bersinar, bahkan Cristiano Ronaldo yang ada di urutan kedua kalah jauh.  https://t.co/jdqYWAp6MK</t>
  </si>
  <si>
    <t>usai membawa argentina juara piala dunia popularitas lionel messi semakin bersinar bahkan cristiano ronaldo yang ada urutan kedua kalah jauh</t>
  </si>
  <si>
    <t>['usai', 'membawa', 'argentina', 'juara', 'piala', 'dunia', 'popularitas', 'lionel', 'messi', 'semakin', 'bersinar', 'bahkan', 'cristiano', 'ronaldo', 'urutan', 'kedua', 'kalah', 'jauh']</t>
  </si>
  <si>
    <t>@SiaranBolaLive Jelek di laga pertama, semoga bisa juara kaya Argentina</t>
  </si>
  <si>
    <t>jelek laga pertama semoga bisa juara kaya argentina</t>
  </si>
  <si>
    <t>['jelek', 'laga', 'pertama', 'semoga', 'juara', 'kaya', 'argentina']</t>
  </si>
  <si>
    <t>Lionel Messi Juara Piala Dunia 2022, Cristiano Ronaldo: Lebih Susah Raih Trofi bersama Portugal daripada Argentina  https://t.co/WHJk6w3XH9  Download aplikasi  https://t.co/NxkJWIS5AV untuk akses berita lebih mudah dan cepat: Android:  https://t.co/Zq9oT2de6B</t>
  </si>
  <si>
    <t>lionel messi juara piala dunia cristiano ronaldo lebih susah raih trofi bersama portugal daripada argentina download aplikasi untuk akses berita lebih mudah dan cepat android</t>
  </si>
  <si>
    <t>['lionel', 'messi', 'juara', 'piala', 'dunia', 'cristiano', 'ronaldo', 'lebih', 'susah', 'raih', 'trofi', 'bersama', 'portugal', 'argentina', 'download', 'aplikasi', 'akses', 'berita', 'lebih', 'mudah', 'cepat', 'android']</t>
  </si>
  <si>
    <t>top global game bot telegram</t>
  </si>
  <si>
    <t>['top', 'global', 'game', 'bot', 'telegram']</t>
  </si>
  <si>
    <t>@PSSI Efek kompetisi vakum 2 bulan+gak adanya ujicoba membuat permainan menjadi kurang memuaskan. Argentina yg ingin juara dunia &amp;amp; sekarang udah jadi juara saja harus melakukan serangkaian ujicoba. Nah, timnas Indonesia gak ada sama sekali ujicoba. Ja</t>
  </si>
  <si>
    <t>efek kompetisi vakum bulan gak adanya ujicoba membuat permainan menjadi kurang memuaskan argentina ingin juara dunia sekarang udah jadi juara saja harus melakukan serangkaian ujicoba nah timnas indonesia gak ada sama sekali ujicoba</t>
  </si>
  <si>
    <t>['efek', 'kompetisi', 'vakum', 'bulan', 'adanya', 'ujicoba', 'membuat', 'permainan', 'menjadi', 'kurang', 'memuaskan', 'argentina', 'juara', 'dunia', 'sekarang', 'udah', 'jadi', 'juara', 'melakukan', 'serangkaian', 'ujicoba', 'nah', 'timnas', 'indonesia', 'sama', 'sekali', 'ujicoba']</t>
  </si>
  <si>
    <t>@GOAL_ID Dah lebihin argentina juara gils</t>
  </si>
  <si>
    <t>dah lebihin argentina juara gils</t>
  </si>
  <si>
    <t>['dah', 'lebihin', 'argentina', 'juara', 'gils']</t>
  </si>
  <si>
    <t>@halupulisi Argentina juga match pertama kalah dgn saudi. Bisa laah Indonesia juara</t>
  </si>
  <si>
    <t>argentina juga match pertama kalah dgn saudi bisa laah indonesia juara</t>
  </si>
  <si>
    <t>['argentina', 'match', 'pertama', 'kalah', 'saudi', 'laah', 'indonesia', 'juara']</t>
  </si>
  <si>
    <t>@MIRHibim_ Lah argentina malah kalah tp bs juara ü§£ü§£</t>
  </si>
  <si>
    <t>lah argentina malah kalah juara</t>
  </si>
  <si>
    <t>['lah', 'argentina', 'malah', 'kalah', 'juara']</t>
  </si>
  <si>
    <t>@WKamase13 @idextratime @PSSI World cup 2022 Pertandingan pertama si juara Argentina vs Saudi Arabia dimainkan di stadion utama tuan rumah  AFF 2022 Pertandingan pertama Indonesia dimainkan di stadion utama tuan rumah  Lanjutkan</t>
  </si>
  <si>
    <t>world cup pertandingan pertama juara argentina saudi arabia dimainkan stadion utama tuan rumah aff pertandingan pertama indonesia dimainkan stadion utama tuan rumah lanjutkan</t>
  </si>
  <si>
    <t>['world', 'cup', 'pertandingan', 'pertama', 'juara', 'argentina', 'saudi', 'arabia', 'dimainkan', 'stadion', 'utama', 'tuan', 'rumah', 'aff', 'pertandingan', 'pertama', 'indonesia', 'dimainkan', 'stadion', 'utama', 'tuan', 'rumah', 'lanjutkan']</t>
  </si>
  <si>
    <t>&lt;FreqDist with 16 samples and 23 outcomes&gt;</t>
  </si>
  <si>
    <t>Di Piala Dunia gol pertama Argentina dicetak oleh Lionel Messi dengan no punggung 10 Argentina Juara Piala Dunia  Di Piala AFF Gol pertama Indonesia dicetak oleh Egi MV dengan no punggung 10 Indonesia juara AFF?</t>
  </si>
  <si>
    <t>piala dunia gol pertama argentina dicetak oleh lionel messi dengan punggung argentina juara piala dunia piala aff gol pertama indonesia dicetak oleh egi dengan punggung indonesia juara aff</t>
  </si>
  <si>
    <t>['piala', 'dunia', 'gol', 'pertama', 'argentina', 'dicetak', 'lionel', 'messi', 'punggung', 'argentina', 'juara', 'piala', 'dunia', 'piala', 'aff', 'gol', 'pertama', 'indonesia', 'dicetak', 'egi', 'punggung', 'indonesia', 'juara', 'aff']</t>
  </si>
  <si>
    <t>Timnas Argentina menjadi juara Piala Dunia Qatar 2022. Pesta tanpa henti pun dilangsungkan demi merayakan keberhasilan Argentina menjadi juara Piala Dunia untuk ketiga kalinya.  https://t.co/sp4Rp8raTi</t>
  </si>
  <si>
    <t>timnas argentina menjadi juara piala dunia qatar pesta tanpa henti pun dilangsungkan demi merayakan keberhasilan argentina menjadi juara piala dunia untuk ketiga kalinya</t>
  </si>
  <si>
    <t>['timnas', 'argentina', 'menjadi', 'juara', 'piala', 'dunia', 'qatar', 'pesta', 'henti', 'dilangsungkan', 'merayakan', 'keberhasilan', 'argentina', 'menjadi', 'juara', 'piala', 'dunia', 'ketiga', 'kalinya']</t>
  </si>
  <si>
    <t>&lt;FreqDist with 14 samples and 19 outcomes&gt;</t>
  </si>
  <si>
    <t>Argentina 1 - 2 Arab Saudi Indonesia 2 - 1 Kamboja  Kamboja Juara piala aff ?</t>
  </si>
  <si>
    <t>argentina arab saudi indonesia kamboja kamboja juara piala aff</t>
  </si>
  <si>
    <t>['argentina', 'arab', 'saudi', 'indonesia', 'kamboja', 'kamboja', 'juara', 'piala', 'aff']</t>
  </si>
  <si>
    <t>@SiaranBolaLive Gpp argentina aja kalah dulu match 1 trus juara.. eh..</t>
  </si>
  <si>
    <t>gpp argentina aja kalah dulu match trus juara</t>
  </si>
  <si>
    <t>['gapapa', 'argentina', 'kalah', 'dulu', 'match', 'trus', 'juara']</t>
  </si>
  <si>
    <t>Bawa Argentina Juara Piala Dunia, Wajah Messi Mejeng di Uang Peso  https://t.co/FXnUOHtnE1</t>
  </si>
  <si>
    <t>bawa argentina juara piala dunia wajah messi mejeng uang peso</t>
  </si>
  <si>
    <t>['bawa', 'argentina', 'juara', 'piala', 'dunia', 'wajah', 'messi', 'mejeng', 'uang', 'peso']</t>
  </si>
  <si>
    <t>@JJMario13 @idextratime @PSSI Ayok keluarkan cocoklogi kalian  World cup 2022: No. 10 Argentina jadi pencetak gol pertama Argentina juara pildun 2022  AFF 2022: No. 10 Indonesia jadi pencetak gol pertama Juara??</t>
  </si>
  <si>
    <t>ayok keluarkan cocoklogi kalian world cup argentina jadi pencetak gol pertama argentina juara pildun aff indonesia jadi pencetak gol pertama juara</t>
  </si>
  <si>
    <t>['ayok', 'keluarkan', 'cocoklogi', 'kalian', 'world', 'cup', 'argentina', 'jadi', 'pencetak', 'gol', 'pertama', 'argentina', 'juara', 'piala dunia', 'aff', 'indonesia', 'jadi', 'pencetak', 'gol', 'pertama', 'juara']</t>
  </si>
  <si>
    <t>@panditfootball Gpp. Argentina juga awalnya g bagus tapi jadi juara</t>
  </si>
  <si>
    <t>gpp argentina juga awalnya bagus tapi jadi juara</t>
  </si>
  <si>
    <t>['gapapa', 'argentina', 'awalnya', 'bagus', 'jadi', 'juara']</t>
  </si>
  <si>
    <t>@idextratime Tenang cokk.. argentina aja maen pertama bapuk. Tp bisa juara dunia</t>
  </si>
  <si>
    <t>tenang cokk argentina aja maen pertama bapuk bisa juara dunia</t>
  </si>
  <si>
    <t>['tenang', 'cokk', 'argentina', 'maen', 'pertama', 'bapuk', 'juara', 'dunia']</t>
  </si>
  <si>
    <t>@Indostransfer Ingat, Argentina dan Spanyol aja kalah di laga pertama menuju juara Piala Dunia.</t>
  </si>
  <si>
    <t>ingat argentina dan spanyol aja kalah laga pertama menuju juara piala dunia</t>
  </si>
  <si>
    <t>['ingat', 'argentina', 'spanyol', 'kalah', 'laga', 'pertama', 'menuju', 'juara', 'piala', 'dunia']</t>
  </si>
  <si>
    <t>Main pertama kurang maksimal #TimnasDay, itu wajar. Contoh Argentina. Di laga pembuka takluk oleh pasukan Saudi. Toh akhirnya juara.  Indonesia vs Kamboja, 2 - 1.</t>
  </si>
  <si>
    <t>main pertama kurang maksimal itu wajar contoh argentina laga pembuka takluk oleh pasukan saudi toh akhirnya juara indonesia kamboja</t>
  </si>
  <si>
    <t>['main', 'pertama', 'kurang', 'maksimal', 'wajar', 'contoh', 'argentina', 'laga', 'pembuka', 'takluk', 'pasukan', 'saudi', 'akhirnya', 'juara', 'indonesia', 'kamboja']</t>
  </si>
  <si>
    <t>#TimnasDay yang koar2 indonesia maennya bapuk atau apalah.. gak liat apa argentinA maen awal sama arab saudi aja  https://t.co/vHIbGLwJBz juara dunia.. jd santuy aja kawan @PSSI  insya allah juara aff. #kambuaya</t>
  </si>
  <si>
    <t>yang koar indonesia maennya bapuk atau apalah gak liat apa argentina maen awal sama arab saudi aja juara dunia santuy aja kawan insya allah juara aff</t>
  </si>
  <si>
    <t>['koar', 'indonesia', 'maennya', 'bapuk', 'apalah', 'lihat', 'apa', 'argentina', 'maen', 'awal', 'sama', 'arab', 'saudi', 'juara', 'dunia', 'santuy', 'kawan', 'insya', 'allah', 'juara', 'aff']</t>
  </si>
  <si>
    <t>@idextratime Argentina: Match pertama kalah 2-1 Argen Juara dunia Indonesia: Match pertama menang 2-1 Indo juara Aff?  https://t.co/yWmJYk12Gt</t>
  </si>
  <si>
    <t>argentina match pertama kalah argen juara dunia indonesia match pertama menang indo juara aff</t>
  </si>
  <si>
    <t>['argentina', 'match', 'pertama', 'kalah', 'argen', 'juara', 'dunia', 'indonesia', 'match', 'pertama', 'menang', 'indo', 'juara', 'aff']</t>
  </si>
  <si>
    <t>@desega_w ingat, argentina saja kalah di laga perdana tp juara üôè</t>
  </si>
  <si>
    <t>ingat argentina saja kalah laga perdana juara</t>
  </si>
  <si>
    <t>['ingat', 'argentina', 'kalah', 'laga', 'perdana', 'juara']</t>
  </si>
  <si>
    <t>@garagarabola_ Calon juara nih bos mainnya keren bgt kaya argentina.</t>
  </si>
  <si>
    <t>calon juara nih bos mainnya keren bgt kaya argentina</t>
  </si>
  <si>
    <t>['calon', 'juara', 'bos', 'mainnya', 'keren', 'banget', 'kaya', 'argentina']</t>
  </si>
  <si>
    <t>Timnas Argentina Juara Piala Dunia 2022, Cristiano Ronaldo: Bersama Portugal Lebih Sulit ‚Äì inews ‚Äì  https://t.co/cVN7ryZ06e ‚Äì #Arenanews #Kamidi #Opsiminfo- https://t.co/PhY9aqJSxY</t>
  </si>
  <si>
    <t>timnas argentina juara piala dunia cristiano ronaldo bersama portugal lebih sulit inews</t>
  </si>
  <si>
    <t>['timnas', 'argentina', 'juara', 'piala', 'dunia', 'cristiano', 'ronaldo', 'bersama', 'portugal', 'lebih', 'sulit', 'inews']</t>
  </si>
  <si>
    <t>@idextratime Ini yang pada misuh2 timnas , ga inget apa ya kalo argentina sblm jdi juara pildun , match pertama kalah lawan arab. Ini teori real</t>
  </si>
  <si>
    <t>ini yang pada misuh timnas inget apa kalo argentina sblm jdi juara pildun match pertama kalah lawan arab ini teori real</t>
  </si>
  <si>
    <t>['misuh', 'timnas', 'inget', 'apa', 'argentina', 'sebelum', 'jdi', 'juara', 'piala dunia', 'match', 'pertama', 'kalah', 'lawan', 'arab', 'teori', 'real']</t>
  </si>
  <si>
    <t>Mengapa Argentina Tidak Menempati Peringkat 1 FIFA Setelah Juara Piala Dunia 2022  https://t.co/nzEckvmZa5  https://t.co/n75e4iMdWn</t>
  </si>
  <si>
    <t>mengapa argentina tidak menempati peringkat fifa setelah juara piala dunia</t>
  </si>
  <si>
    <t>['argentina', 'menempati', 'peringkat', 'fifa', 'juara', 'piala', 'dunia']</t>
  </si>
  <si>
    <t>Timnas Argentina Juara Piala Dunia 2022, Cristiano Ronaldo: Bersama Portugal Lebih Sulit ‚Äì inews ‚Äì  https://t.co/JfHgZ1W8hO ‚Äì #Arenanews #Kamidi¬†#Opsiminfo  https://t.co/pSzELzNu2J</t>
  </si>
  <si>
    <t>@MnViqri @idextratime Argentina di match 1 aja kalah üåù eh ternyata final juga malah juara 1</t>
  </si>
  <si>
    <t>argentina match aja kalah ternyata final juga malah juara</t>
  </si>
  <si>
    <t>['argentina', 'match', 'kalah', 'ternyata', 'final', 'malah', 'juara']</t>
  </si>
  <si>
    <t>Sebelumnya Pua‚Äô Raju viral di sosial media setelah merubah keseluruhan warna cat rumahnya dengan nuansa¬†Argentina.  Pua‚Äô Raju ternyata memiliki Nazar jika¬†Argentina¬†juara, akan memberi nama cucunya dengan Muhammad¬†Messi.</t>
  </si>
  <si>
    <t>sebelumnya pua raju viral sosial media setelah merubah keseluruhan warna cat rumahnya dengan nuansa argentina pua raju ternyata memiliki nazar jika argentina juara akan memberi nama cucunya dengan muhammad messi</t>
  </si>
  <si>
    <t>['sebelumnya', 'pua', 'raju', 'viral', 'sosial', 'media', 'merubah', 'keseluruhan', 'warna', 'cat', 'rumahnya', 'nuansa', 'argentina', 'pua', 'raju', 'ternyata', 'memiliki', 'nazar', 'argentina', 'juara', 'memberi', 'nama', 'cucunya', 'muhammad', 'messi']</t>
  </si>
  <si>
    <t>Maaf, tapi popularitas Cristiano Ronaldo di Twitter jadi kalah jauh usai Lionel Messi membawa Argentina juara Piala Dunia 2022. Popularitas Messi jadi makin bersinar.  https://t.co/yPYdM9mYCE</t>
  </si>
  <si>
    <t>maaf tapi popularitas cristiano ronaldo twitter jadi kalah jauh usai lionel messi membawa argentina juara piala dunia popularitas messi jadi makin bersinar</t>
  </si>
  <si>
    <t>['maaf', 'popularitas', 'cristiano', 'ronaldo', 'twitter', 'jadi', 'kalah', 'jauh', 'usai', 'lionel', 'messi', 'membawa', 'argentina', 'juara', 'piala', 'dunia', 'popularitas', 'messi', 'jadi', 'makin', 'bersinar']</t>
  </si>
  <si>
    <t>@DanangSetyaBud3 @PSSI Yg juara Argentina aja dia angkat piala. Apalagi kita. Siapa kitaaaa? ü§™</t>
  </si>
  <si>
    <t>juara argentina aja dia angkat piala apalagi kita siapa kitaaaa</t>
  </si>
  <si>
    <t>['juara', 'argentina', 'angkat', 'piala', 'siapa', 'kitaaaa']</t>
  </si>
  <si>
    <t>@MnViqri @idextratime "yakin juara...?" Dejavu, Itu yang pertama dikatakan orang pas Argentina lawan Arab Saudi sebulan lalu....</t>
  </si>
  <si>
    <t>yakin juara dejavu itu yang pertama dikatakan orang pas argentina lawan arab saudi sebulan lalu</t>
  </si>
  <si>
    <t>['yakin', 'juara', 'dejavu', 'pertama', 'dikatakan', 'orang', 'pas', 'argentina', 'lawan', 'arab', 'saudi', 'sebulan', 'lalu']</t>
  </si>
  <si>
    <t>@idextratime Pinginnya juara kayak argentina malah ketularan lautaro</t>
  </si>
  <si>
    <t>pinginnya juara kayak argentina malah ketularan lautaro</t>
  </si>
  <si>
    <t>['pinginnya', 'juara', 'seperti', 'argentina', 'malah', 'ketularan', 'lautaro']</t>
  </si>
  <si>
    <t>FIFA Selidiki Momen Chef Salt Bae Ngegerecokin Selebrasi Juara Dunia Argentina!   https://t.co/I2yqMQeg2a #SaltBaeWorldCup #SaltBae #NusretGokce #FIFA #LionelMessi</t>
  </si>
  <si>
    <t>fifa selidiki momen chef salt bae ngegerecokin selebrasi juara dunia argentina</t>
  </si>
  <si>
    <t>['fifa', 'selidiki', 'momen', 'chef', 'salt', 'bae', 'ngegerecokin', 'selebrasi', 'juara', 'dunia', 'argentina']</t>
  </si>
  <si>
    <t>2014 Brasil (yang juara Jerman) 2018 Rusia (yang juara Perancis) 2022 Qatar (yang juara Argentina)</t>
  </si>
  <si>
    <t>brasil yang juara jerman rusia yang juara perancis qatar yang juara argentina</t>
  </si>
  <si>
    <t>['brasil', 'juara', 'jerman', 'rusia', 'juara', 'perancis', 'qatar', 'juara', 'argentina']</t>
  </si>
  <si>
    <t>@idextratime owh pantasan final 2014 tendang pemain argentina melenceng semua ..owh jadi gini harus nya udh juara dunia dari 2014</t>
  </si>
  <si>
    <t>owh pantasan final tendang pemain argentina melenceng semua owh jadi gini harus nya udh juara dunia dari</t>
  </si>
  <si>
    <t>['owh', 'pantasan', 'final', 'tendang', 'pemain', 'argentina', 'melenceng', 'semua', 'owh', 'jadi', 'gini', 'sudah', 'juara', 'dunia']</t>
  </si>
  <si>
    <t>1962 Chile (yang juara Brasil) 1966 Inggris (yang juara Inggris) 1970 Meksiko (yang juara Brasil) 1974 Jerman Barat (yang juara Jerman Barat) 1978 Argentina (yang juara Argentina) 1982 Spanyol (yang juara Italia) 1986 Meksiko (yang juara Argentina)</t>
  </si>
  <si>
    <t>chile yang juara brasil inggris yang juara inggris meksiko yang juara brasil jerman barat yang juara jerman barat argentina yang juara argentina spanyol yang juara italia meksiko yang juara argentina</t>
  </si>
  <si>
    <t>['chile', 'juara', 'brasil', 'inggris', 'juara', 'inggris', 'meksiko', 'juara', 'brasil', 'jerman', 'barat', 'juara', 'jerman', 'barat', 'argentina', 'juara', 'argentina', 'spanyol', 'juara', 'italia', 'meksiko', 'juara', 'argentina']</t>
  </si>
  <si>
    <t>BUKAN ARGENTINA !! Jurnalis Barat ini Sebut Juara Piala Dunia Qatar Adal...  https://t.co/ZMlLyoc4iC via @YouTube</t>
  </si>
  <si>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</si>
  <si>
    <t>celebrity chef asal turki salt bae dilaporkan akan segera diperiksa oleh fifa hal itu lantaran pria bernama asli nusret gokce itu memegang trofi piala dunia seenaknya ketika argentina sedang berselebrasi merayakan gelar juara edisi</t>
  </si>
  <si>
    <t>['celebrity', 'chef', 'asal', 'turki', 'salt', 'bae', 'dilaporkan', 'segera', 'diperiksa', 'fifa', 'lantaran', 'pria', 'bernama', 'asli', 'nusret', 'gokce', 'memegang', 'trofi', 'piala', 'dunia', 'seenaknya', 'argentina', 'sedang', 'berselebrasi', 'merayakan', 'gelar', 'juara', 'edisi']</t>
  </si>
  <si>
    <t>FIFA Selidiki Momen Chef Salt Bae Ngegerecokin Selebrasi Juara Dunia Argentina!  https://t.co/kO2vmz799M</t>
  </si>
  <si>
    <t>Dari nonton Argentina vs Perancis, atau nonton Maroko, ke nonton Indonesia is a bit downgrading, you know... tapi mudah2an tahun ini bisa juara AFF lah... bosen nt melulu...</t>
  </si>
  <si>
    <t>dari nonton argentina perancis atau nonton maroko nonton indonesia bit downgrading you know tapi mudah tahun ini bisa juara aff lah bosen melulu</t>
  </si>
  <si>
    <t>['nonton', 'argentina', 'perancis', 'nonton', 'maroko', 'nonton', 'indonesia', 'bit', 'downgrading', 'you', 'know', 'mudah', 'tahun', 'juara', 'aff', 'lah', 'bosen', 'melulu']</t>
  </si>
  <si>
    <t>Perhelatan Presidensi Indonesia G20 di Bali sudah. Argentina Juara Pildun 2022 sudah. Tp knp kasus ini blm jg kelar2, dan nampak msh byk kabut yg selimutinya.  Sesungguhnya mulai kami lelah pebirsah üòû</t>
  </si>
  <si>
    <t>perhelatan presidensi indonesia bali sudah argentina juara pildun sudah knp kasus ini blm kelar dan nampak msh byk kabut selimutinya sesungguhnya mulai kami lelah pebirsah</t>
  </si>
  <si>
    <t>['perhelatan', 'presidensi', 'indonesia', 'bali', 'argentina', 'juara', 'piala dunia', 'kenapa', 'kasus', 'blm', 'kelar', 'nampak', 'msh', 'byk', 'kabut', 'selimutinya', 'sesungguhnya', 'mulai', 'lelah', 'pebirsah']</t>
  </si>
  <si>
    <t>Salt Bae Diinvestigasi FIFA Gara-gara Bisa Turun ke Lapangan saat Perayaan Argentina Jadi Juara Piala Dunia 2022  https://t.co/RQsLpuvNYA</t>
  </si>
  <si>
    <t>salt bae diinvestigasi fifa gara gara bisa turun lapangan saat perayaan argentina jadi juara piala dunia</t>
  </si>
  <si>
    <t>['salt', 'bae', 'diinvestigasi', 'fifa', 'gara', 'gara', 'turun', 'lapangan', 'perayaan', 'argentina', 'jadi', 'juara', 'piala', 'dunia']</t>
  </si>
  <si>
    <t xml:space="preserve"> https://t.co/yvocKvU4Io  Usai membawa Argentina juara Piala Dunia 2022, popularitas Lionel Messi semakin bersinar, bahkan Cristiano Ronaldo yang ada di urutan kedua kalah jauh.</t>
  </si>
  <si>
    <t>@AdelyArgentiana @Twitter @TwitterSupport Yuhuuuuüñêüñêü§£ü§£ü§£  Nyari¬≤ akun ka adel mau selamatin waktu argentina juara, eh agak taunya kena suspend si elonüòå syang sekali yaüòå pdhl Acara selmatanya ada di TLü§£ü§£ü§£ü§£ü§£  ehüòå Bdw Sl</t>
  </si>
  <si>
    <t>yuhuuuu nyari akun adel mau selamatin waktu argentina juara agak taunya kena suspend elon syang sekali pdhl acara selmatanya ada bdw</t>
  </si>
  <si>
    <t>['yuhuuuu', 'nyari', 'akun', 'adel', 'mau', 'selamatin', 'waktu', 'argentina', 'juara', 'taunya', 'kena', 'suspend', 'elon', 'syang', 'sekali', 'pdhl', 'acara', 'selmatanya', 'bdw']</t>
  </si>
  <si>
    <t>Down 2 üåé bang Martinez, abis juara pildun tetep tempat makan siangnya di Wargen (Warung Argentina)</t>
  </si>
  <si>
    <t>down bang martinez abis juara pildun tetep tempat makan siangnya wargen warung argentina</t>
  </si>
  <si>
    <t>['down', 'bang', 'martinez', 'abis', 'juara', 'piala dunia', 'tetep', 'tempat', 'makan', 'siangnya', 'wargen', 'warung', 'argentina']</t>
  </si>
  <si>
    <t>@idextratime Inget ya kawan2. Argentina bisa juara pildun krena kalah pertandingn pertama.</t>
  </si>
  <si>
    <t>inget kawan argentina bisa juara pildun krena kalah pertandingn pertama</t>
  </si>
  <si>
    <t>['inget', 'kawan', 'argentina', 'juara', 'piala dunia', 'krena', 'kalah', 'pertandingn', 'pertama']</t>
  </si>
  <si>
    <t>Argentina Juara Dunia, naga-naganya Indonesia Juara AFF nie #TimnasDay #indonesia #Arg  https://t.co/GaauZv3T2C</t>
  </si>
  <si>
    <t>argentina juara dunia naga naganya indonesia juara aff nie</t>
  </si>
  <si>
    <t>['argentina', 'juara', 'dunia', 'naga', 'naganya', 'indonesia', 'juara', 'aff', 'nie']</t>
  </si>
  <si>
    <t>FIFA Selidiki Momen Chef Salt Bae Ngegerecokin Selebrasi Juara Dunia Argentina!  https://t.co/7sVmGMDFZ7</t>
  </si>
  <si>
    <t>Argentina aja yang gagal juara terus aja bisa, Indonesia bisa juga yok.</t>
  </si>
  <si>
    <t>argentina aja yang gagal juara terus aja bisa indonesia bisa juga yok</t>
  </si>
  <si>
    <t>['argentina', 'gagal', 'juara', 'terus', 'indonesia', 'yok']</t>
  </si>
  <si>
    <t>@mchlrs_ @SiaranBolaLive Argentina yang spesialis runner up aja bisa juara tahun ini</t>
  </si>
  <si>
    <t>argentina yang spesialis runner aja bisa juara tahun ini</t>
  </si>
  <si>
    <t>['argentina', 'spesialis', 'runner', 'juara', 'tahun']</t>
  </si>
  <si>
    <t>Salt Bae Diinvestigasi FIFA Gara-gara Bisa Turun ke Lapangan saat Perayaan Argentina Jadi Juara Piala Dunia 2022  https://t.co/5dZOHEd3hr</t>
  </si>
  <si>
    <t>2 hari ini gw hampir jajan Rp 5 juta ü•≤, gak apa apa lah fans sejati tim nasional Argentina juara World Cup 2022  VAMOS ARGENTINA üá¶üá∑  https://t.co/QCl5arYZbT</t>
  </si>
  <si>
    <t>hari ini hampir jajan juta gak apa apa lah fans sejati tim nasional argentina juara world cup vamos argentina</t>
  </si>
  <si>
    <t>['hari', 'hampir', 'jajan', 'juta', 'apa', 'apa', 'lah', 'fans', 'sejati', 'tim', 'nasional', 'argentina', 'juara', 'world', 'cup', 'vamos', 'argentina']</t>
  </si>
  <si>
    <t>Mengapa Argentina Tidak Menempati Peringkat 1 FIFA Setelah Juara Piala Dunia 2022   https://t.co/7MlqHnZ0KM</t>
  </si>
  <si>
    <t>Lionel Messi, Pemain Terkenal dari Argentina yang Menjadi Juara Piala Dunia Qatar 2022  https://t.co/9qqN39tOH0</t>
  </si>
  <si>
    <t>lionel messi pemain terkenal dari argentina yang menjadi juara piala dunia qatar</t>
  </si>
  <si>
    <t>['lionel', 'messi', 'pemain', 'terkenal', 'argentina', 'menjadi', 'juara', 'piala', 'dunia', 'qatar']</t>
  </si>
  <si>
    <t>Salt Bae masuk dan ikut dlm pesta juara Argentina, gak ada yg seorang pun yg mati krn kelakuannya, hanya citra tercoreng dikit, FIFA akan melakukan investigasi. Di Kanjuruhan, lbh 150 org meninggal stlah nonton bola, investigasinya sangat minor, FIFA maupun PSSI biasa aja.</t>
  </si>
  <si>
    <t>salt bae masuk dan ikut dlm pesta juara argentina gak ada seorang pun mati krn kelakuannya hanya citra tercoreng dikit fifa akan melakukan investigasi kanjuruhan lbh org meninggal stlah nonton bola investigasinya sangat minor fifa maupun pssi biasa aja</t>
  </si>
  <si>
    <t>['salt', 'bae', 'masuk', 'ikut', 'dlm', 'pesta', 'juara', 'argentina', 'seorang', 'mati', 'kelakuannya', 'citra', 'tercoreng', 'dikit', 'fifa', 'melakukan', 'investigasi', 'kanjuruhan', 'lbh', 'org', 'meninggal', 'stlah', 'nonton', 'bola', 'investigasinya', 'sangat', 'minor', 'fifa', 'maupun', 'pssi', 'biasa']</t>
  </si>
  <si>
    <t>@f1speed_indo jiah jangan ngomong tangisan loh, kemarin argentina dibilang pulang pulang, ehh beneran pulang juara dunia, ntar pas sekalinya kejadian beneran wdc 8x disuruh bilang respect lagi wkwk</t>
  </si>
  <si>
    <t>indo jiah jangan ngomong tangisan loh kemarin argentina dibilang pulang pulang ehh beneran pulang juara dunia ntar pas sekalinya kejadian beneran wdc disuruh bilang respect lagi wkwk</t>
  </si>
  <si>
    <t>['indo', 'jiah', 'jangan', 'ngomong', 'tangisan', 'kemarin', 'argentina', 'dibilang', 'pulang', 'pulang', 'ehh', 'beneran', 'pulang', 'juara', 'dunia', 'ntar', 'pas', 'sekalinya', 'kejadian', 'beneran', 'wdc', 'disuruh', 'respect']</t>
  </si>
  <si>
    <t>#Foto Intip Megahnya Masjid Terbesar di Argentina, Negara Juara Piala Dunia 2022.  Foto: istock   #detikcom #Argentina  https://t.co/KDKICQhpru</t>
  </si>
  <si>
    <t>intip megahnya masjid terbesar argentina negara juara piala dunia foto istock</t>
  </si>
  <si>
    <t>['intip', 'megahnya', 'masjid', 'terbesar', 'argentina', 'negara', 'juara', 'piala', 'dunia', 'foto', 'istock']</t>
  </si>
  <si>
    <t>Prediksi Skor Argentina Vs Prancis, Susunan Pemain, Siapa Juara Piala Dunia 2022?   https://t.co/1KRUdaur5j</t>
  </si>
  <si>
    <t>prediksi skor argentina prancis susunan pemain siapa juara piala dunia</t>
  </si>
  <si>
    <t>['prediksi', 'skor', 'argentina', 'prancis', 'susunan', 'pemain', 'siapa', 'juara', 'piala', 'dunia']</t>
  </si>
  <si>
    <t>Media Malaysia memprediksi Timnas Indonesia mustahil juarai AFF.  Lah kita pendukung setianya aja kagak sudi timnas Juara!  Mending bahas siapa ketum PSSI-nya Argentina? pada kagak tahu kan?  ü•±‚òï</t>
  </si>
  <si>
    <t>media malaysia memprediksi timnas indonesia mustahil juarai aff lah kita pendukung setianya aja kagak sudi timnas juara mending bahas siapa ketum pssi nya argentina pada kagak tahu kan</t>
  </si>
  <si>
    <t>['media', 'malaysia', 'memprediksi', 'timnas', 'indonesia', 'mustahil', 'juarai', 'aff', 'lah', 'pendukung', 'setianya', 'kagak', 'sudi', 'timnas', 'juara', 'mending', 'bahas', 'siapa', 'ketum', 'pssi', 'argentina', 'kagak', 'tahu', 'kan']</t>
  </si>
  <si>
    <t>FIFA akhirnya buka suara terkait aksi Salt Bae yang merecoki selebrasi juara dunia Argentina.  FIFA menegaskan apa yang dilakukan Salt Bae (pegang dan cium trofi) sudah melanggar aturan dan kini akan melakukan investigasi bagaimana ia bisa masuk ke lapangan.  https://t.co/vJnvkXsJA3</t>
  </si>
  <si>
    <t>fifa akhirnya buka suara terkait aksi salt bae yang merecoki selebrasi juara dunia argentina fifa menegaskan apa yang dilakukan salt bae pegang dan cium trofi sudah melanggar aturan dan kini akan melakukan investigasi bagaimana bisa masuk lapangan</t>
  </si>
  <si>
    <t>['fifa', 'akhirnya', 'buka', 'suara', 'terkait', 'aksi', 'salt', 'bae', 'merecoki', 'selebrasi', 'juara', 'dunia', 'argentina', 'fifa', 'menegaskan', 'apa', 'dilakukan', 'salt', 'bae', 'pegang', 'cium', 'trofi', 'melanggar', 'aturan', 'kini', 'melakukan', 'investigasi', 'bagaimana', 'masuk', 'lapangan']</t>
  </si>
  <si>
    <t>Argentina juara Piala Dunia 2022 setelah  https://t.co/ek7AhHXNz9</t>
  </si>
  <si>
    <t>argentina juara piala dunia setelah</t>
  </si>
  <si>
    <t>['argentina', 'juara', 'piala', 'dunia']</t>
  </si>
  <si>
    <t>Prediksi Argentina vs Prancis versi Erick Thohir, Amerika Latin Juara karena Messi   https://t.co/GdnwHcK2ri</t>
  </si>
  <si>
    <t>prediksi argentina prancis versi erick thohir amerika latin juara karena messi</t>
  </si>
  <si>
    <t>['prediksi', 'argentina', 'prancis', 'versi', 'erick', 'thohir', 'amerika', 'latin', 'juara', 'messi']</t>
  </si>
  <si>
    <t>@panditfootball Juara sih jelas hampir pasti, tinggal gimana proses dan caranya üòéüòé..gak perlu juga kalah dl lawan Cambodia di partai pembuka spt Argentina.</t>
  </si>
  <si>
    <t>juara sih jelas hampir pasti tinggal gimana proses dan caranya gak perlu juga kalah lawan cambodia partai pembuka spt argentina</t>
  </si>
  <si>
    <t>['juara', 'jelas', 'hampir', 'tinggal', 'gimana', 'proses', 'caranya', 'perlu', 'kalah', 'lawan', 'cambodia', 'partai', 'pembuka', 'spt', 'argentina']</t>
  </si>
  <si>
    <t>Pesta Juara Argentina Berujung Bentrok  https://t.co/VSWyUFe2xk  https://t.co/kOwUcPPCrM</t>
  </si>
  <si>
    <t>pesta juara argentina berujung bentrok</t>
  </si>
  <si>
    <t>['pesta', 'juara', 'argentina', 'berujung', 'bentrok']</t>
  </si>
  <si>
    <t>Argentina Juara Dunia, Bayi di Sulawesi Diberi Nama Messi  https://t.co/7uBwXNNGOM</t>
  </si>
  <si>
    <t>argentina juara dunia bayi sulawesi diberi nama messi</t>
  </si>
  <si>
    <t>['argentina', 'juara', 'dunia', 'bayi', 'sulawesi', 'diberi', 'nama', 'messi']</t>
  </si>
  <si>
    <t>@Memoria_Bola Aamiin...Indonesia harus tiru semangat Argentina baik pemain maupun suporter nya. Negara yg fanantik sepakbola yg sudah lama juga tidak juara...</t>
  </si>
  <si>
    <t>bola aamiin indonesia harus tiru semangat argentina baik pemain maupun suporter nya negara fanantik sepakbola sudah lama juga tidak juara</t>
  </si>
  <si>
    <t>['bola', 'aamiin', 'indonesia', 'tiru', 'semangat', 'argentina', 'baik', 'pemain', 'maupun', 'suporter', 'negara', 'fanantik', 'sepakbola', 'lama', 'juara']</t>
  </si>
  <si>
    <t>Argentina sdh juara piala duniaüá¶üá∑ Sekarang saatnya indonesia juara AFF...üáÆüá© Gasssssss</t>
  </si>
  <si>
    <t>argentina sdh juara piala dunia sekarang saatnya indonesia juara aff gasssssss</t>
  </si>
  <si>
    <t>['argentina', 'juara', 'piala', 'dunia', 'sekarang', 'saatnya', 'indonesia', 'juara', 'aff', 'gasssssss']</t>
  </si>
  <si>
    <t>@adenlevine @BrigadirCurva @idextratime prancis ngampas tapi edisi sebelumnya udah juara, argentina ngampas tapi edisi skrg juara lagi, brazil ngampas tapi udah 5 kali juara, spanyol ama inggris ngampas tapi pernah sekali juara..  negara si rinaldi ama ri</t>
  </si>
  <si>
    <t>prancis ngampas tapi edisi sebelumnya udah juara argentina ngampas tapi edisi skrg juara lagi brazil ngampas tapi udah kali juara spanyol ama inggris ngampas tapi pernah sekali juara negara rinaldi ama</t>
  </si>
  <si>
    <t>['prancis', 'ngampas', 'edisi', 'sebelumnya', 'udah', 'juara', 'argentina', 'ngampas', 'edisi', 'skrg', 'juara', 'brazil', 'ngampas', 'udah', 'kali', 'juara', 'spanyol', 'ama', 'inggris', 'ngampas', 'pernah', 'sekali', 'juara', 'negara', 'rinaldi', 'ama']</t>
  </si>
  <si>
    <t>&lt;FreqDist with 17 samples and 26 outcomes&gt;</t>
  </si>
  <si>
    <t>@idaiteseverlarc The legendary messi as a keeper, makanya argentina jadi juara</t>
  </si>
  <si>
    <t>the legendary messi keeper makanya argentina jadi juara</t>
  </si>
  <si>
    <t>['the', 'legendary', 'messi', 'keeper', 'makanya', 'argentina', 'jadi', 'juara']</t>
  </si>
  <si>
    <t>@macaiphbabi @Bossbm17 @RameshRaoAKS @piesmile2007 @Alamurni @Ayahanda_MD @zlk69 @fikhwanBait @umnoonline @HamdanRukun @hamimahothman4 @romonicastro @BNrasmi @PASPusat @abdulhadiawang 92 bilion utk kempen jatuhkan UMNO &amp;amp; BN. Allah swt tak benarkan. Ib</t>
  </si>
  <si>
    <t>bilion utk kempen jatuhkan umno allah swt tak benarkan</t>
  </si>
  <si>
    <t>['bilion', 'kempen', 'jatuhkan', 'umno', 'allah', 'swt', 'tak', 'benarkan']</t>
  </si>
  <si>
    <t>Berhasil Antarkan Argentina Meraih Gelar Juara di Piala Dunia 2022, Nama Lionel Messi Diabadikan di Brasil!  https://t.co/ITE6ZjPjec</t>
  </si>
  <si>
    <t>berhasil antarkan argentina meraih gelar juara piala dunia nama lionel messi diabadikan brasil</t>
  </si>
  <si>
    <t>['berhasil', 'antarkan', 'argentina', 'meraih', 'gelar', 'juara', 'piala', 'dunia', 'nama', 'lionel', 'messi', 'diabadikan', 'brasil']</t>
  </si>
  <si>
    <t>Kalau diatas kertas, mbappe akan jauh lebih unggul di level internasional (Timnas)</t>
  </si>
  <si>
    <t>kalau diatas kertas mbappe akan jauh lebih unggul level internasional timnas</t>
  </si>
  <si>
    <t>['kalau', 'diatas', 'kertas', 'mbappe', 'jauh', 'lebih', 'unggul', 'level', 'internasional', 'timnas']</t>
  </si>
  <si>
    <t>@RoyNemer Kami di flores indonesia sangat bangga karena argentina juara.saya fans argentina sangat bahagia karena messi dkk sukses menjadi juara piala dunia di qatar.Vamos argentina.salam dari flores indonesia.</t>
  </si>
  <si>
    <t>kami flores indonesia sangat bangga karena argentina juara saya fans argentina sangat bahagia karena messi dkk sukses menjadi juara piala dunia qatar vamos argentina salam dari flores indonesia</t>
  </si>
  <si>
    <t>['flores', 'indonesia', 'sangat', 'bangga', 'argentina', 'juara', 'fans', 'argentina', 'sangat', 'bahagia', 'messi', 'dkk', 'sukses', 'menjadi', 'juara', 'piala', 'dunia', 'qatar', 'vamos', 'argentina', 'salam', 'flores', 'indonesia']</t>
  </si>
  <si>
    <t>@nagitulah @ihaterere Semoga hubungan nya berakhir dengan skor akhir Argentina juara piala dunia</t>
  </si>
  <si>
    <t>semoga hubungan nya berakhir dengan skor akhir argentina juara piala dunia</t>
  </si>
  <si>
    <t>['semoga', 'hubungan', 'berakhir', 'skor', 'akhir', 'argentina', 'juara', 'piala', 'dunia']</t>
  </si>
  <si>
    <t>Kenapa Argentina Tak Puncaki Ranking FIFA Usai Juara Piala Dunia?  https://t.co/8Ap1xw3g0X</t>
  </si>
  <si>
    <t>kenapa argentina tak puncaki ranking fifa usai juara piala dunia</t>
  </si>
  <si>
    <t>['argentina', 'tak', 'puncaki', 'ranking', 'fifa', 'usai', 'juara', 'piala', 'dunia']</t>
  </si>
  <si>
    <t>@caul_tanjung karena argentina juara dunia, rakyat indonesia sepakat tunda pemilu wkwkwkwk</t>
  </si>
  <si>
    <t>tanjung karena argentina juara dunia rakyat indonesia sepakat tunda pemilu wkwkwkwk</t>
  </si>
  <si>
    <t>['tanjung', 'argentina', 'juara', 'dunia', 'rakyat', 'indonesia', 'sepakat', 'tunda', 'pemilu', 'wkwkwkwk']</t>
  </si>
  <si>
    <t>@GOAL_ID Halah lewatin dulu tuh Thailand, baru bicara juara, lawan Thailand kebobolan udah kena mental gimana mau juara?üòÇü§£ Contoh tuh Argentina walaupun kalah sama tim kecil kek Arab Saudi tapi mereka bangkit dan akhirnya juara dunia</t>
  </si>
  <si>
    <t>halah lewatin dulu tuh thailand baru bicara juara lawan thailand kebobolan udah kena mental gimana mau juara contoh tuh argentina walaupun kalah sama tim kecil kek arab saudi tapi mereka bangkit dan akhirnya juara dunia</t>
  </si>
  <si>
    <t>['halah', 'lewatin', 'dulu', 'thailand', 'baru', 'bicara', 'juara', 'lawan', 'thailand', 'kebobolan', 'udah', 'kena', 'mental', 'gimana', 'mau', 'juara', 'contoh', 'argentina', 'walaupun', 'kalah', 'sama', 'tim', 'kecil', 'kek', 'arab', 'saudi', 'bangkit', 'akhirnya', 'juara', 'dunia']</t>
  </si>
  <si>
    <t>Wow! Wajah Lionel Messi Bakal Hiasi Mata Uang Argentina Peso Usai Bawa Juara di Piala Dunia 2022  https://t.co/SC3jB1Ba3F</t>
  </si>
  <si>
    <t>wow wajah lionel messi bakal hiasi mata uang argentina peso usai bawa juara piala dunia</t>
  </si>
  <si>
    <t>['wow', 'wajah', 'lionel', 'messi', 'bakal', 'hiasi', 'mata', 'uang', 'argentina', 'peso', 'usai', 'bawa', 'juara', 'piala', 'dunia']</t>
  </si>
  <si>
    <t>Timnas Argentina Juara Piala Dunia 2022, Cristiano Ronaldo: Bersama Portugal Lebih Sulit   https://t.co/qkfeia2gqR</t>
  </si>
  <si>
    <t>timnas argentina juara piala dunia cristiano ronaldo bersama portugal lebih sulit</t>
  </si>
  <si>
    <t>['timnas', 'argentina', 'juara', 'piala', 'dunia', 'cristiano', 'ronaldo', 'bersama', 'portugal', 'lebih', 'sulit']</t>
  </si>
  <si>
    <t>@IboyAlghazali @registaco Argentina juara WC+Copa America itu fakta, even itu yg lo bilang beruntung, tapi sejarah udah tercatat, sama kyk yg lo bilang kalau yg juara WC dari 2006-2018 dari eropa itu jg fakta</t>
  </si>
  <si>
    <t>argentina juara copa america itu fakta even itu bilang beruntung tapi sejarah udah tercatat sama kyk bilang kalau juara dari dari eropa itu fakta</t>
  </si>
  <si>
    <t>['argentina', 'juara', 'copa', 'america', 'fakta', 'even', 'beruntung', 'sejarah', 'udah', 'tercatat', 'sama', 'seperti', 'kalau', 'juara', 'eropa', 'fakta']</t>
  </si>
  <si>
    <t>Jadi Eks Selingkuhan Messi, 7 Potret Luciana Hadir Saat Argentina Juara  https://t.co/MStudxwOqn</t>
  </si>
  <si>
    <t>jadi eks selingkuhan messi potret luciana hadir saat argentina juara</t>
  </si>
  <si>
    <t>['jadi', 'eks', 'selingkuhan', 'messi', 'potret', 'luciana', 'hadir', 'argentina', 'juara']</t>
  </si>
  <si>
    <t>@CalonHokage9 @SiaranBolaLive Ni Argentina juara dunia sepak bola udh kyk menang perang dunia aja ü§≠üòÇüòÇüòÇ</t>
  </si>
  <si>
    <t>argentina juara dunia sepak bola udh kyk menang perang dunia aja</t>
  </si>
  <si>
    <t>['argentina', 'juara', 'dunia', 'sepak', 'bola', 'sudah', 'seperti', 'menang', 'perang', 'dunia']</t>
  </si>
  <si>
    <t>@idextratime Ni Argentina juara dunia sepak bola udh kyk menang perang dunia aja ü§≠üòÇüòÇüòÇ</t>
  </si>
  <si>
    <t>Bawa Timnas Argentina Juara Dunia, Lionel Messi Sukses Catatkan Rekor Ini  https://t.co/8pU3CSdRdU</t>
  </si>
  <si>
    <t>bawa timnas argentina juara dunia lionel messi sukses catatkan rekor ini</t>
  </si>
  <si>
    <t>['bawa', 'timnas', 'argentina', 'juara', 'dunia', 'lionel', 'messi', 'sukses', 'catatkan', 'rekor']</t>
  </si>
  <si>
    <t>@ovan_lakedo Kami ga suka, krn bnyk jd yg hilang akal, stress, ga siap liat Argentina juara.</t>
  </si>
  <si>
    <t>lakedo kami suka krn bnyk hilang akal stress siap liat argentina juara</t>
  </si>
  <si>
    <t>['lakedo', 'suka', 'bnyk', 'hilang', 'akal', 'stress', 'siap', 'lihat', 'argentina', 'juara']</t>
  </si>
  <si>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</si>
  <si>
    <t>untung argentina juara rakyat sana bisa melupakan krisis ekonomi yang lagi memburuk pesta rakyat bisa melupakan inflasi yang lagi tinggi dan utang luar negeri yang sulit dibayar</t>
  </si>
  <si>
    <t>['untung', 'argentina', 'juara', 'rakyat', 'sana', 'melupakan', 'krisis', 'ekonomi', 'memburuk', 'pesta', 'rakyat', 'melupakan', 'inflasi', 'tinggi', 'utang', 'luar', 'negeri', 'sulit', 'dibayar']</t>
  </si>
  <si>
    <t>@IboyAlghazali @registaco kurang beruntung? btw argen emang jago dalam hal adu penalti dan itu bukan keberuntungan semata, Argentina tetep keluar sebagai juara. cara mocking emi terlalu kampungan itu menurut lo aja  https://t.co/curnTSWteF</t>
  </si>
  <si>
    <t>kurang beruntung btw argen emang jago dalam hal adu penalti dan itu bukan keberuntungan semata argentina tetep keluar sebagai juara cara mocking emi terlalu kampungan itu menurut aja</t>
  </si>
  <si>
    <t>['kurang', 'beruntung', 'by the way', 'argen', 'emang', 'jago', 'adu', 'penalti', 'bukan', 'keberuntungan', 'semata', 'argentina', 'tetep', 'keluar', 'juara', 'cara', 'mocking', 'emi', 'terlalu', 'kampungan']</t>
  </si>
  <si>
    <t>@Indostransfer Cocoklogi berikutnya Messi kapten timnas Argentina pernah gagal di final dan akhirnya juara, apakah Fachrudin juga sama?üòÑ</t>
  </si>
  <si>
    <t>cocoklogi berikutnya messi kapten timnas argentina pernah gagal final dan akhirnya juara apakah fachrudin juga sama</t>
  </si>
  <si>
    <t>['cocoklogi', 'berikutnya', 'messi', 'kapten', 'timnas', 'argentina', 'pernah', 'gagal', 'final', 'akhirnya', 'juara', 'fachrudin', 'sama']</t>
  </si>
  <si>
    <t>5 Pesepakbola yang Iri Lionel Messi Bawa Argentina Juara Piala Dunia 2022, Nomor 1 Paling Sakit Hati!  https://t.co/QFWcvJiOnQ</t>
  </si>
  <si>
    <t>pesepakbola yang iri lionel messi bawa argentina juara piala dunia nomor paling sakit hati</t>
  </si>
  <si>
    <t>['pesepakbola', 'iri', 'lionel', 'messi', 'bawa', 'argentina', 'juara', 'piala', 'dunia', 'nomor', 'paling', 'sakit', 'hati']</t>
  </si>
  <si>
    <t>@Ngehaalluu @bagsboyy @therealjackler @SiaranBolaLive Yg asisten pelatih beneran kayak walter samuel , aimar pas ngerayain juara klo gak salah tetep pake jaket official ass pelatih gak ganti pake jersey argentina kayak aguero agaknya ü§£</t>
  </si>
  <si>
    <t>asisten pelatih beneran kayak walter samuel aimar pas ngerayain juara klo gak salah tetep pake jaket official ass pelatih gak ganti pake jersey argentina kayak aguero agaknya</t>
  </si>
  <si>
    <t>['asisten', 'pelatih', 'beneran', 'seperti', 'walter', 'samuel', 'aimar', 'pas', 'ngerayain', 'juara', 'salah', 'tetep', 'pake', 'jaket', 'official', 'ass', 'pelatih', 'ganti', 'pake', 'jersey', 'argentina', 'seperti', 'aguero', 'agaknya']</t>
  </si>
  <si>
    <t>FIFA akan melakukan investigasi terhadap celebrity chef asal Turki, Salt Bae. FIFA akan mencari tahu asal muasal Salt Bae bisa larut dalam perayaan juara Argentina di Piala Dunia 2022. #kumparanBOLA  https://t.co/YqCMClseR9</t>
  </si>
  <si>
    <t>fifa akan melakukan investigasi terhadap celebrity chef asal turki salt bae fifa akan mencari tahu asal muasal salt bae bisa larut dalam perayaan juara argentina piala dunia</t>
  </si>
  <si>
    <t>['fifa', 'melakukan', 'investigasi', 'celebrity', 'chef', 'asal', 'turki', 'salt', 'bae', 'fifa', 'mencari', 'tahu', 'asal', 'muasal', 'salt', 'bae', 'larut', 'perayaan', 'juara', 'argentina', 'piala', 'dunia']</t>
  </si>
  <si>
    <t>@hitacheese Hbd ya kak, semoga Argentina juara piala dunia.</t>
  </si>
  <si>
    <t>hbd kak semoga argentina juara piala dunia</t>
  </si>
  <si>
    <t>['hbd', 'kak', 'semoga', 'argentina', 'juara', 'piala', 'dunia']</t>
  </si>
  <si>
    <t>@imxyourbae @idextratime aguero aja legenda argentina ngab, udah gitu satu linting sama generasi messi,otamendi,tagliafico,dll, ya gaada salahnya, trs juga ada rumor masuk jajaran staf kepelatihan, analoginya kaya Indonesia juara dunia, terus BP angkat pi</t>
  </si>
  <si>
    <t>aguero aja legenda argentina ngab udah gitu satu linting sama generasi messi otamendi tagliafico dll gaada salahnya trs juga ada rumor masuk jajaran staf kepelatihan analoginya kaya indonesia juara dunia terus angkat</t>
  </si>
  <si>
    <t>['aguero', 'legenda', 'argentina', 'ngab', 'udah', 'gitu', 'satu', 'linting', 'sama', 'generasi', 'messi', 'otamendi', 'tagliafico', 'gaada', 'salahnya', 'terus', 'rumor', 'masuk', 'jajaran', 'staf', 'kepelatihan', 'analoginya', 'kaya', 'indonesia', 'juara', 'dunia', 'terus', 'angkat']</t>
  </si>
  <si>
    <t>@urfavbo27865006 @yaudaiyhh @ilysmlevii @idextratime @jfelixdiaz Yg ngotak dikit lah wkwk, Messi kalau ditaruh Portugal sangat kemungkinan besar juara, mengingat skuadnya Portugal gak bisa dipungkiri lebih baik dan bagus dari Argentina, kalau Ronaldo dita</t>
  </si>
  <si>
    <t>ngotak dikit lah wkwk messi kalau ditaruh portugal sangat kemungkinan besar juara mengingat skuadnya portugal gak bisa dipungkiri lebih baik dan bagus dari argentina kalau ronaldo dita</t>
  </si>
  <si>
    <t>['ngotak', 'dikit', 'lah', 'messi', 'kalau', 'ditaruh', 'portugal', 'sangat', 'kemungkinan', 'besar', 'juara', 'mengingat', 'skuadnya', 'portugal', 'dipungkiri', 'lebih', 'baik', 'bagus', 'argentina', 'kalau', 'ronaldo', 'dita']</t>
  </si>
  <si>
    <t>@SiaranBolaLive Cuma argen juara skrng. Trophy piala dunia bukan jadi barang yg mewah siapa saja bisa menyentuh asal punya kenalan pemain / staft argentina ü§£</t>
  </si>
  <si>
    <t>cuma argen juara skrng trophy piala dunia bukan jadi barang mewah siapa saja bisa menyentuh asal punya kenalan pemain staft argentina</t>
  </si>
  <si>
    <t>['cuma', 'argen', 'juara', 'skrng', 'trophy', 'piala', 'dunia', 'bukan', 'jadi', 'barang', 'mewah', 'siapa', 'menyentuh', 'asal', 'punya', 'kenalan', 'pemain', 'staft', 'argentina']</t>
  </si>
  <si>
    <t>Katanya, Ada Peran Dukun Dalam Sukses Argentina Raih Trofi Juara Piala Dunia  https://t.co/sdt4XkdcJs</t>
  </si>
  <si>
    <t>katanya ada peran dukun dalam sukses argentina raih trofi juara piala dunia</t>
  </si>
  <si>
    <t>['katanya', 'peran', 'dukun', 'sukses', 'argentina', 'raih', 'trofi', 'juara', 'piala', 'dunia']</t>
  </si>
  <si>
    <t>@cebanpertamaa @realmadridindo1 Dunia juga tau kok, siapa pemain terbaik sepanjang sejarah buat Barca, justru aneh kalo fans Barca ngga bela dia.  Tapi kami paham bnyk bgt yg stress krn Messi juara dunia, meliputi  1. Argentina juara settingan 2. Messi pe</t>
  </si>
  <si>
    <t>dunia juga tau kok siapa pemain terbaik sepanjang sejarah buat barca justru aneh kalo fans barca ngga bela dia tapi kami paham bnyk bgt stress krn messi juara dunia meliputi argentina juara settingan messi</t>
  </si>
  <si>
    <t>['dunia', 'kok', 'siapa', 'pemain', 'terbaik', 'sepanjang', 'sejarah', 'buat', 'barca', 'justru', 'aneh', 'fans', 'barca', 'ngga', 'bela', 'paham', 'bnyk', 'banget', 'stress', 'messi', 'juara', 'dunia', 'meliputi', 'argentina', 'juara', 'settingan', 'messi']</t>
  </si>
  <si>
    <t>Kerennya Isi Garasi Salt Bae yang Bikin Onar di Pesta Juara Argentina  https://t.co/OG4TtMVdCa</t>
  </si>
  <si>
    <t>kerennya isi garasi salt bae yang bikin onar pesta juara argentina</t>
  </si>
  <si>
    <t>['kerennya', 'isi', 'garasi', 'salt', 'bae', 'onar', 'pesta', 'juara', 'argentina']</t>
  </si>
  <si>
    <t>Pantes argentina juara</t>
  </si>
  <si>
    <t>pantes argentina juara</t>
  </si>
  <si>
    <t>['pantes', 'argentina', 'juara']</t>
  </si>
  <si>
    <t>Argentina juara langsung dijadiin uang, Indonesia juara langsung gatau kemana janji uangnya</t>
  </si>
  <si>
    <t>argentina juara langsung dijadiin uang indonesia juara langsung gatau kemana janji uangnya</t>
  </si>
  <si>
    <t>['argentina', 'juara', 'langsung', 'dijadiin', 'uang', 'indonesia', 'juara', 'langsung', 'gatau', 'janji', 'uangnya']</t>
  </si>
  <si>
    <t>@Dzawinur tt nya bagus</t>
  </si>
  <si>
    <t>nya bagus</t>
  </si>
  <si>
    <t>['bagus']</t>
  </si>
  <si>
    <t>FIFA akhirnya buka suara terkait aksi Salt Bae yang merecoki selebrasi juara dunia Argentina.  FIFA menegaskan apa yang dilakukan Salt Bae (pegang dan cium trofi) sudah melanggar aturan dan kini akan melakukan investigasi bagaimana ia bisa masuk ke lapangan.  https://t.co/eKCVP4wLpC</t>
  </si>
  <si>
    <t>FIFA sedang melakukan investigasi lantaran Salt Bae yang mendapatkan akses yang tidak semestinya saat selebrasi Argentina sebagai Juara Piala Dunia di Std. Lusail.  (The Athletic UK)  https://t.co/wLILU8LpyJ</t>
  </si>
  <si>
    <t>fifa sedang melakukan investigasi lantaran salt bae yang mendapatkan akses yang tidak semestinya saat selebrasi argentina sebagai juara piala dunia std lusail the athletic</t>
  </si>
  <si>
    <t>['fifa', 'sedang', 'melakukan', 'investigasi', 'lantaran', 'salt', 'bae', 'mendapatkan', 'akses', 'semestinya', 'selebrasi', 'argentina', 'juara', 'piala', 'dunia', 'std', 'lusail', 'the', 'athletic']</t>
  </si>
  <si>
    <t>FIFA akan investigasi dan tindak tegas Koki Salt Bae yang berulah pada perayaan gelar juara Argentina  https://t.co/sc1xCjQbOB</t>
  </si>
  <si>
    <t>fifa akan investigasi dan tindak tegas koki salt bae yang berulah pada perayaan gelar juara argentina</t>
  </si>
  <si>
    <t>['fifa', 'investigasi', 'tindak', 'tegas', 'koki', 'salt', 'bae', 'berulah', 'perayaan', 'gelar', 'juara', 'argentina']</t>
  </si>
  <si>
    <t>Juara Piala Dunia 2022, Lionel Messi Minta Satu Permintaan Fantastis ke PSG #lionelmessi #psg #kylianmbappe #trophy #piala #pialadunia2022 #worldcup2022 #argentina #prancis  https://t.co/V7gMC6qrBv via @YouTube</t>
  </si>
  <si>
    <t>juara piala dunia lionel messi minta satu permintaan fantastis psg via</t>
  </si>
  <si>
    <t>['juara', 'piala', 'dunia', 'lionel', 'messi', 'minta', 'satu', 'permintaan', 'fantastis', 'psg', 'via']</t>
  </si>
  <si>
    <t>Setelah Argentina Juara Dunia, Ini Waktunya Indonesia Juara AFF 2022  https://t.co/VyKXVv7ZK3</t>
  </si>
  <si>
    <t>setelah argentina juara dunia ini waktunya indonesia juara aff</t>
  </si>
  <si>
    <t>['argentina', 'juara', 'dunia', 'waktunya', 'indonesia', 'juara', 'aff']</t>
  </si>
  <si>
    <t>Nama Besar Lionel Messi Diabadikan di Brazil Setelah Juara Piala Dunia  #kabardpr #news #nasional #Argentina #Messi #MessiìÉµday #MessiWorldCup   https://t.co/NTAcsJszNx</t>
  </si>
  <si>
    <t>nama besar lionel messi diabadikan brazil setelah juara piala dunia day</t>
  </si>
  <si>
    <t>['nama', 'besar', 'lionel', 'messi', 'diabadikan', 'brazil', 'juara', 'piala', 'dunia', 'day']</t>
  </si>
  <si>
    <t>Halo Sobat!   Berhubung team yang juara Piala Dunia 2022 adalah Argentinaüá¶üá∑ #giveawayJKT kali ini akan seputar Argentinaü•≥   Yuk tulis jawabannya di kolom komentar dan ajak teman kalian untuk ikutan ya! Goodluck‚ú®  #AktivitasTanpaBatas</t>
  </si>
  <si>
    <t>halo sobat berhubung team yang juara piala dunia adalah argentina kali ini akan seputar argentina yuk tulis jawabannya kolom komentar dan ajak teman kalian untuk ikutan goodluck</t>
  </si>
  <si>
    <t>['halo', 'sobat', 'berhubung', 'team', 'juara', 'piala', 'dunia', 'argentina', 'kali', 'seputar', 'argentina', 'yuk', 'tulis', 'jawabannya', 'kolom', 'komentar', 'ajak', 'teman', 'kalian', 'ikutan', 'goodluck']</t>
  </si>
  <si>
    <t>@starfess pantes argentina juara dunia, ternyata dapet kekuatan tambahan dari manchae bocil kematian</t>
  </si>
  <si>
    <t>pantes argentina juara dunia ternyata dapet kekuatan tambahan dari manchae bocil kematian</t>
  </si>
  <si>
    <t>['pantes', 'argentina', 'juara', 'dunia', 'ternyata', 'dapat', 'kekuatan', 'tambahan', 'manchae', 'bocil', 'kematian']</t>
  </si>
  <si>
    <t>Lionel Messi berhasil membawa timnas Argentina menjuarai Piala Dunia 2022.  Cristiano Ronaldo blak-blakan mengatakan bahwa meraih trofi juara bersama timnas Portugal jauh lebih susah ketimbang timnas Argentina. üò¨  https://t.co/Z4xj5t3cyU</t>
  </si>
  <si>
    <t>lionel messi berhasil membawa timnas argentina menjuarai piala dunia cristiano ronaldo blak blakan mengatakan bahwa meraih trofi juara bersama timnas portugal jauh lebih susah ketimbang timnas argentina</t>
  </si>
  <si>
    <t>['lionel', 'messi', 'berhasil', 'membawa', 'timnas', 'argentina', 'menjuarai', 'piala', 'dunia', 'cristiano', 'ronaldo', 'blak', 'blakan', 'mengatakan', 'meraih', 'trofi', 'juara', 'bersama', 'timnas', 'portugal', 'jauh', 'lebih', 'susah', 'ketimbang', 'timnas', 'argentina']</t>
  </si>
  <si>
    <t>Lionel Messi berhasil membawa timnas Argentina menjuarai Piala Dunia 2022.  Cristiano Ronaldo blak-blakan mengatakan bahwa meraih trofi juara bersama timnas Portugal jauh lebih susah ketimbang timnas Argentina. üò¨  https://t.co/zalhulmtAL</t>
  </si>
  <si>
    <t>Indonesia Samai Juara Piala Dunia 2022, Argentina, Naik Peringkat di Ranking FIFA  https://t.co/M3tjKBqSSo</t>
  </si>
  <si>
    <t>indonesia samai juara piala dunia argentina naik peringkat ranking fifa</t>
  </si>
  <si>
    <t>['indonesia', 'samai', 'juara', 'piala', 'dunia', 'argentina', 'naik', 'peringkat', 'ranking', 'fifa']</t>
  </si>
  <si>
    <t>@today_messagee Argentina juara piala dunia . Vamoz Argentina üç∫  https://t.co/W5SXOXMP42</t>
  </si>
  <si>
    <t>messagee argentina juara piala dunia vamoz argentina</t>
  </si>
  <si>
    <t>['messagee', 'argentina', 'juara', 'piala', 'dunia', 'vamoz', 'argentina']</t>
  </si>
  <si>
    <t>FIFA mengambil tindakan internal yang tepat untuk mengatasi pelanggaran protokol World Cup oleh Chef Selebriti, Salt Bae yang memegang trofi World Cup saat perayaan juara Timnas Argentina.   https://t.co/VGnMBJ9Sr1</t>
  </si>
  <si>
    <t>fifa mengambil tindakan internal yang tepat untuk mengatasi pelanggaran protokol world cup oleh chef selebriti salt bae yang memegang trofi world cup saat perayaan juara timnas argentina</t>
  </si>
  <si>
    <t>['fifa', 'mengambil', 'tindakan', 'internal', 'tepat', 'mengatasi', 'pelanggaran', 'protokol', 'world', 'cup', 'chef', 'selebriti', 'salt', 'bae', 'memegang', 'trofi', 'world', 'cup', 'perayaan', 'juara', 'timnas', 'argentina']</t>
  </si>
  <si>
    <t>Update Ranking FIFA setelah Argentina Juara Piala Dunia 2022.  https://t.co/j0gD98LIxZ</t>
  </si>
  <si>
    <t>update ranking fifa setelah argentina juara piala dunia</t>
  </si>
  <si>
    <t>['update', 'ranking', 'fifa', 'argentina', 'juara', 'piala', 'dunia']</t>
  </si>
  <si>
    <t>@penerbitfandom Mungkin pasutri itu fans fanatik Argentina, kalo diliat dari usianya mungkin mereka sudah 2 kali liat Argentina juara World Cup.</t>
  </si>
  <si>
    <t>mungkin pasutri itu fans fanatik argentina kalo diliat dari usianya mungkin mereka sudah kali liat argentina juara world cup</t>
  </si>
  <si>
    <t>['mungkin', 'pasutri', 'fans', 'fanatik', 'argentina', 'diliat', 'usianya', 'mungkin', 'kali', 'lihat', 'argentina', 'juara', 'world', 'cup']</t>
  </si>
  <si>
    <t>Euforia kemenangan Argentina sebagai juara dunia sepakbola di Piala Dunia 2022 masih berlanjut. Seniman di Argentina kebanjiran orderan tato bergambar bintang sepakbola Lionel Messi.   https://t.co/gB3ajVfMvt</t>
  </si>
  <si>
    <t>euforia kemenangan argentina sebagai juara dunia sepakbola piala dunia masih berlanjut seniman argentina kebanjiran orderan tato bergambar bintang sepakbola lionel messi</t>
  </si>
  <si>
    <t>['euforia', 'kemenangan', 'argentina', 'juara', 'dunia', 'sepakbola', 'piala', 'dunia', 'berlanjut', 'seniman', 'argentina', 'kebanjiran', 'orderan', 'tato', 'bergambar', 'bintang', 'sepakbola', 'lionel', 'messi']</t>
  </si>
  <si>
    <t>Pesta Juara Dunia di Tengah Derita  #pialadunia #argentina   https://t.co/jhkhmC0EJ9</t>
  </si>
  <si>
    <t>pesta juara dunia tengah derita</t>
  </si>
  <si>
    <t>['pesta', 'juara', 'dunia', 'tengah', 'derita']</t>
  </si>
  <si>
    <t>@SiaranBolaLive Match pertama kalah gapapa, Argentina aja kemaren kalah di match pertama akhirnya juara... Malaysia juga pernah di AFF...</t>
  </si>
  <si>
    <t>match pertama kalah gapapa argentina aja kemaren kalah match pertama akhirnya juara malaysia juga pernah aff</t>
  </si>
  <si>
    <t>['match', 'pertama', 'kalah', 'gapapa', 'argentina', 'kemarin', 'kalah', 'match', 'pertama', 'akhirnya', 'juara', 'malaysia', 'pernah', 'aff']</t>
  </si>
  <si>
    <t>@adityafakhri Argentina sudah menjuarai piala Dunia, tapi nggak akan bisa juara AFF</t>
  </si>
  <si>
    <t>argentina sudah menjuarai piala dunia tapi nggak akan bisa juara aff</t>
  </si>
  <si>
    <t>['argentina', 'menjuarai', 'piala', 'dunia', 'juara', 'aff']</t>
  </si>
  <si>
    <t>Gk habis pikir jersey kw dijual tinggi, mentang-mentang Argentina juara. Ngentd lah gk ada otak.</t>
  </si>
  <si>
    <t>habis pikir jersey dijual tinggi mentang mentang argentina juara ngentd lah ada otak</t>
  </si>
  <si>
    <t>['habis', 'pikir', 'jersey', 'dijual', 'tinggi', 'mentang', 'mentang', 'argentina', 'juara', 'ngentd', 'lah', 'otak']</t>
  </si>
  <si>
    <t>Twitter error akeh seng keliwatan rek, mulai Argentina juara dunia. Hmm, layaklah ! Wes cocok ancene, Messi yo layak nek disebut luweh teko Maradona, tak akoni sek nggacor maine ndek Piala Dunia Qatar iki.</t>
  </si>
  <si>
    <t>twitter error akeh seng keliwatan rek mulai argentina juara dunia hmm layaklah wes cocok ancene messi layak nek disebut luweh teko maradona tak akoni sek nggacor maine ndek piala dunia qatar iki</t>
  </si>
  <si>
    <t>['twitter', 'error', 'akeh', 'seng', 'keliwatan', 'rek', 'mulai', 'argentina', 'juara', 'dunia', 'hmm', 'layaklah', 'wes', 'cocok', 'ancene', 'messi', 'layak', 'nek', 'disebut', 'luweh', 'teko', 'maradona', 'tak', 'akoni', 'sek', 'nggacor', 'maine', 'ndek', 'piala', 'dunia', 'qatar', 'iki']</t>
  </si>
  <si>
    <t>#e6e5cf, #804075, #5c4e93, #807d40 #iinun #8c5831 - (140, 88, 49) #cc0357 - (204, 3, 87) #e09938 - (224, 153, 56) #d1f213 - (209, 242, 19) #50aa0b - (80, 170, 11) ARGENTINA JUARA PIALA DUNIA 2022 - Coba cek ini deh, Twibbonize ARGENTINA JUARA PIALA DUNIA 2022 melalui (2/16)</t>
  </si>
  <si>
    <t>argentina juara piala dunia coba cek ini deh twibbonize argentina juara piala dunia melalui</t>
  </si>
  <si>
    <t>['argentina', 'juara', 'piala', 'dunia', 'coba', 'cek', 'deh', 'twibbonize', 'argentina', 'juara', 'piala', 'dunia', 'melalui']</t>
  </si>
  <si>
    <t>Dicap Sebagai Pemain Paling Dibenci setelah Juara Piala Dunia, Prancis Ajukan Keberatan Resmi Terkait Sikap Kiper Argentina Emi¬†Martinez  https://t.co/IN5OzP38xo</t>
  </si>
  <si>
    <t>dicap sebagai pemain paling dibenci setelah juara piala dunia prancis ajukan keberatan resmi terkait sikap kiper argentina emi martinez</t>
  </si>
  <si>
    <t>['dicap', 'pemain', 'paling', 'dibenci', 'juara', 'piala', 'dunia', 'prancis', 'ajukan', 'keberatan', 'resmi', 'terkait', 'sikap', 'kiper', 'argentina', 'emi', 'martinez']</t>
  </si>
  <si>
    <t>@TxtdariHI knapa gak foto skuad argentina aja,kan yg juara 1 tim üòÅüòÅ</t>
  </si>
  <si>
    <t>knapa gak foto skuad argentina aja kan juara tim</t>
  </si>
  <si>
    <t>['kenapa', 'foto', 'skuad', 'argentina', 'kan', 'juara', 'tim']</t>
  </si>
  <si>
    <t>@panggil_Zaja @TxtdariHI Diktator dan pemerintah argentina menjadikan messi tameng dari masalah krisis ekonomi karena mereka ga mau bertanggung jawab dan disalahkan rakyat makanya manfaatin messi dan momen juara pildun sebagai pengalih isu</t>
  </si>
  <si>
    <t>zaja diktator dan pemerintah argentina menjadikan messi tameng dari masalah krisis ekonomi karena mereka mau bertanggung jawab dan disalahkan rakyat makanya manfaatin messi dan momen juara pildun sebagai pengalih isu</t>
  </si>
  <si>
    <t>['zaja', 'diktator', 'pemerintah', 'argentina', 'menjadikan', 'messi', 'tameng', 'masalah', 'krisis', 'ekonomi', 'mau', 'bertanggung', 'jawab', 'disalahkan', 'rakyat', 'makanya', 'manfaatin', 'messi', 'momen', 'juara', 'piala dunia', 'pengalih', 'isu']</t>
  </si>
  <si>
    <t>Argentina keluar sebagai juara Piala Dunia 2022. Ketahui sejumlah fakta menarik tentang negara ini.   https://t.co/sDOr3T1Z2q</t>
  </si>
  <si>
    <t>argentina keluar sebagai juara piala dunia ketahui sejumlah fakta menarik tentang negara ini</t>
  </si>
  <si>
    <t>['argentina', 'keluar', 'juara', 'piala', 'dunia', 'ketahui', 'sejumlah', 'fakta', 'menarik', 'negara']</t>
  </si>
  <si>
    <t>Lionel Messi Dkk Juara Piala Dunia 2022, Pacar Cristiano Ronaldo Disebut Satu-satunya Orang Argentina yang Dilarang Selebrasi | Sepakbola Dunia -  https://t.co/sJP9Cb4hXl  https://t.co/tkPoYqBwdd</t>
  </si>
  <si>
    <t>lionel messi dkk juara piala dunia pacar cristiano ronaldo disebut satu satunya orang argentina yang dilarang selebrasi sepakbola dunia</t>
  </si>
  <si>
    <t>['lionel', 'messi', 'dkk', 'juara', 'piala', 'dunia', 'pacar', 'cristiano', 'ronaldo', 'disebut', 'satu', 'satunya', 'orang', 'argentina', 'dilarang', 'selebrasi', 'sepakbola', 'dunia']</t>
  </si>
  <si>
    <t>@idextratime üòÇüòÇüòÇüòÇüòÇüòÇ</t>
  </si>
  <si>
    <t>@idextratime argentina yg juara tapi tetap aja pemain arab saudi yg dapat hadiah lebih banyak... awokawokwok..</t>
  </si>
  <si>
    <t>argentina juara tapi tetap aja pemain arab saudi dapat hadiah lebih banyak awokawokwok</t>
  </si>
  <si>
    <t>['argentina', 'juara', 'tetap', 'pemain', 'arab', 'saudi', 'hadiah', 'lebih', 'banyak', 'awokawokwok']</t>
  </si>
  <si>
    <t>Argentina Juara Piala Dunia 2022, Ketahui 9 Fakta Negaranya  https://t.co/QlaNhWLxt2</t>
  </si>
  <si>
    <t>argentina juara piala dunia ketahui fakta negaranya</t>
  </si>
  <si>
    <t>['argentina', 'juara', 'piala', 'dunia', 'ketahui', 'fakta', 'negaranya']</t>
  </si>
  <si>
    <t>Meski Juara Dunia Argentina Masih Kalah dengan Brazil  https://t.co/yNFfOCZpfE</t>
  </si>
  <si>
    <t>meski juara dunia argentina masih kalah dengan brazil</t>
  </si>
  <si>
    <t>['meski', 'juara', 'dunia', 'argentina', 'kalah', 'brazil']</t>
  </si>
  <si>
    <t>Argentina Tak Jadi Ranking 1 FIFA meski Juara Piala Dunia 2022, Kalah sama Brasil ‚Äì inews ‚Äì  https://t.co/miNdhvyV1D ‚Äì #Arenanews #Kamidi #Opsiminfo- https://t.co/kmMz0HlPpt</t>
  </si>
  <si>
    <t>argentina tak jadi ranking fifa meski juara piala dunia kalah sama brasil inews</t>
  </si>
  <si>
    <t>['argentina', 'tak', 'jadi', 'ranking', 'fifa', 'meski', 'juara', 'piala', 'dunia', 'kalah', 'sama', 'brasil', 'inews']</t>
  </si>
  <si>
    <t>pantes argentina juara  https://t.co/o1t6K08n9O</t>
  </si>
  <si>
    <t>semoga demam juara Argentina nyampe ke Indonesia ü§≤</t>
  </si>
  <si>
    <t>semoga demam juara argentina nyampe indonesia</t>
  </si>
  <si>
    <t>['semoga', 'demam', 'juara', 'argentina', 'sampai', 'indonesia']</t>
  </si>
  <si>
    <t>Meski Juara Dunia Argentina Masih Kalah dengan Brazil  https://t.co/pf52Desm41</t>
  </si>
  <si>
    <t xml:space="preserve">@SiaranBolaLive aneh bin ajaib nih orang, orang Argentina bukan, berjasa buat Argentina pun kagaküòÇ  kalo aguero masih wajar sih, selain messi, aguero jg salah satu yg di hormati di sanaüòÇ apalagi pas gacor2nya dipildun u20, Argentina juara, plus dia </t>
  </si>
  <si>
    <t>aneh bin ajaib nih orang orang argentina bukan berjasa buat argentina pun kagak kalo aguero masih wajar sih selain messi aguero salah satu hormati sana apalagi pas gacor nya dipildun argentina juara plus dia</t>
  </si>
  <si>
    <t>['aneh', 'bin', 'ajaib', 'orang', 'orang', 'argentina', 'bukan', 'berjasa', 'buat', 'argentina', 'kagak', 'aguero', 'wajar', 'messi', 'aguero', 'salah', 'satu', 'hormati', 'sana', 'pas', 'gacor', 'dipildun', 'argentina', 'juara', 'plus']</t>
  </si>
  <si>
    <t>FIFA sedang melakukan investigasi Salt Bae lantaran mendapatkan akses yang tidak semestinya saat Argentina selebrasi sebagai Juara Piala Dunia di Std. Lusail.  (The Athletic UK)  https://t.co/0A1K1XEnqL</t>
  </si>
  <si>
    <t>fifa sedang melakukan investigasi salt bae lantaran mendapatkan akses yang tidak semestinya saat argentina selebrasi sebagai juara piala dunia std lusail the athletic</t>
  </si>
  <si>
    <t>['fifa', 'sedang', 'melakukan', 'investigasi', 'salt', 'bae', 'lantaran', 'mendapatkan', 'akses', 'semestinya', 'argentina', 'selebrasi', 'juara', 'piala', 'dunia', 'std', 'lusail', 'the', 'athletic']</t>
  </si>
  <si>
    <t>Argentina Tak Jadi Ranking 1 FIFA meski Juara Piala Dunia 2022, Kalah sama Brasil ‚Äì inews ‚Äì  https://t.co/Ue2wCTsN3Q ‚Äì #Arenanews #Kamidi¬†#Opsiminfo  https://t.co/5o7dsDEHlL</t>
  </si>
  <si>
    <t>Para Pemain Timnas Argentina Dievakuasi dari Bus Parade saat Perayaan Juara Piala Dunia 2022, Ada Apa ?  https://t.co/xjQD5t1ZqH</t>
  </si>
  <si>
    <t>para pemain timnas argentina dievakuasi dari bus parade saat perayaan juara piala dunia ada apa</t>
  </si>
  <si>
    <t>['pemain', 'timnas', 'argentina', 'dievakuasi', 'bus', 'parade', 'perayaan', 'juara', 'piala', 'dunia', 'apa']</t>
  </si>
  <si>
    <t>FIFA sedang melakukan investigasi lantaran Salt Bae yang mendapatkan akses yang tidak semestinya saat selebrasi Argentina sebagai Juara Piala Dunia di Std. Lusail.  (The Athletic UK)  https://t.co/MyIxwFvVkz</t>
  </si>
  <si>
    <t>@idextratime Tetap kawal Argentina juara pildun settingan.  (Gini ya rasanya jd pemuja dodo)</t>
  </si>
  <si>
    <t>tetap kawal argentina juara pildun settingan gini rasanya pemuja dodo</t>
  </si>
  <si>
    <t>['tetap', 'kawal', 'argentina', 'juara', 'piala dunia', 'settingan', 'gini', 'rasanya', 'pemuja', 'dodo']</t>
  </si>
  <si>
    <t>@The_RedsIndo Finishing nya finished player bgt</t>
  </si>
  <si>
    <t>redsindo finishing nya finished player bgt</t>
  </si>
  <si>
    <t>['redsindo', 'finishing', 'finished', 'player', 'banget']</t>
  </si>
  <si>
    <t>@SiaranBolaLive Piala dunia 2022 ini mestinya sejak pembukaan sudah menyatakan Argentina juara..</t>
  </si>
  <si>
    <t>piala dunia ini mestinya sejak pembukaan sudah menyatakan argentina juara</t>
  </si>
  <si>
    <t>['piala', 'dunia', 'mestinya', 'sejak', 'pembukaan', 'menyatakan', 'argentina', 'juara']</t>
  </si>
  <si>
    <t>Ups, Koleksi Trofi Lionel Messi Ternyata Belum Lengkap Usai Argentina Juara Piala Dunia 2022  https://t.co/Djyg461mbC</t>
  </si>
  <si>
    <t>ups koleksi trofi lionel messi ternyata belum lengkap usai argentina juara piala dunia</t>
  </si>
  <si>
    <t>['ups', 'koleksi', 'trofi', 'lionel', 'messi', 'ternyata', 'lengkap', 'usai', 'argentina', 'juara', 'piala', 'dunia']</t>
  </si>
  <si>
    <t>5 Cocoklogi Argentina Juara Piala Dunia 2022 Yang¬†Terwujud  https://t.co/fOFdXYr1i4</t>
  </si>
  <si>
    <t>cocoklogi argentina juara piala dunia yang terwujud</t>
  </si>
  <si>
    <t>['cocoklogi', 'argentina', 'juara', 'piala', 'dunia', 'terwujud']</t>
  </si>
  <si>
    <t>Sampai lupa tweets ini, dan sebenarnya agak ngeri karena ternyata beneran terjadi, Argentina juara + berita baru2 ini CR7 dikontrak An Nasr.   Ini mah makin jelas Ya Allah, Engkau jelas sekali menurunkan tanda, kita berjalan di penghujung kehidupan dunia.   Prepared your self..</t>
  </si>
  <si>
    <t>sampai lupa tweets ini dan sebenarnya agak ngeri karena ternyata beneran terjadi argentina juara berita baru ini dikontrak nasr ini mah makin jelas allah engkau jelas sekali menurunkan tanda kita berjalan penghujung kehidupan dunia prepared your self</t>
  </si>
  <si>
    <t>['lupa', 'tweets', 'sebenarnya', 'ngeri', 'ternyata', 'beneran', 'terjadi', 'argentina', 'juara', 'berita', 'baru', 'dikontrak', 'nasr', 'mah', 'makin', 'jelas', 'allah', 'engkau', 'jelas', 'sekali', 'menurunkan', 'tanda', 'berjalan', 'penghujung', 'kehidupan', 'dunia', 'prepared', 'your', 'self']</t>
  </si>
  <si>
    <t>5 Cocoklogi Argentina Juara Piala Dunia 2022 Yang¬†Terwujud  https://t.co/ARdbOAITWi</t>
  </si>
  <si>
    <t>Ups, Koleksi Trofi Lionel Messi Ternyata Belum Lengkap Usai Argentina Juara Piala Dunia 2022  https://t.co/5qozijtTvf</t>
  </si>
  <si>
    <t>Kisah Surat Enzo Fernandez Iringi Messi dan Argentina Juara Dunia  https://t.co/BUum65C2TJ</t>
  </si>
  <si>
    <t>kisah surat enzo fernandez iringi messi dan argentina juara dunia</t>
  </si>
  <si>
    <t>['kisah', 'surat', 'enzo', 'fernandez', 'iringi', 'messi', 'argentina', 'juara', 'dunia']</t>
  </si>
  <si>
    <t xml:space="preserve">@brockolli666 @Nard347 @milanirgi @neohistoria_id @idextratime Kecuali yg menang qatar , baru konspirasi  Lu kira argentina sekelas apaan  Seakan2 klo juara kek nda layak gitu. Masalah dpt pinalty ?, Lucu sih klo cmn itu alasannya. Padahal tinggal terima </t>
  </si>
  <si>
    <t>kecuali menang qatar baru konspirasi kira argentina sekelas apaan seakan klo juara kek nda layak gitu masalah dpt pinalty lucu sih klo cmn itu alasannya padahal tinggal terima</t>
  </si>
  <si>
    <t>['menang', 'qatar', 'baru', 'konspirasi', 'kira', 'argentina', 'sekelas', 'apaan', 'seakan', 'juara', 'kek', 'nda', 'layak', 'gitu', 'masalah', 'dpt', 'pinalty', 'lucu', 'cmn', 'alasannya', 'padahal', 'tinggal', 'terima']</t>
  </si>
  <si>
    <t>PARADE JUARA - RAKYAT ARGENTINA ( PIALA DUNIA QATAR 2022 )  https://t.co/whOsedHc1z via @YouTube</t>
  </si>
  <si>
    <t>parade juara rakyat argentina piala dunia qatar via</t>
  </si>
  <si>
    <t>['parade', 'juara', 'rakyat', 'argentina', 'piala', 'dunia', 'qatar', 'via']</t>
  </si>
  <si>
    <t>@FajarGntng2 @CoachJustinL Tetap tidak berubah portugal dan fansnya busuk.  Disirami fakta malah mencak mencak gak Terima dan ngamuk.  Makan tuh argentina juara piala Dunia üòÇüòÇüòÇ</t>
  </si>
  <si>
    <t>tetap tidak berubah portugal dan fansnya busuk disirami fakta malah mencak mencak gak terima dan ngamuk makan tuh argentina juara piala dunia</t>
  </si>
  <si>
    <t>['tetap', 'berubah', 'portugal', 'fansnya', 'busuk', 'disirami', 'fakta', 'malah', 'mencak', 'mencak', 'terima', 'ngamuk', 'makan', 'argentina', 'juara', 'piala', 'dunia']</t>
  </si>
  <si>
    <t>@oneeightytwoo @CoachJustinL Tetap tidak berubah portugal dan fansnya busuk.  Disirami fakta malah mencak mencak gak Terima dan ngamuk.  Makan tuh argentina juara piala Dunia üòÇüòÇüòÇ</t>
  </si>
  <si>
    <t>@ndhuuuu @CoachJustinL Tetap tidak berubah portugal dan fansnya busuk.  Disirami fakta malah mencak mencak gak Terima dan ngamuk.  Makan tuh argentina juara piala Dunia üòÇüòÇüòÇ</t>
  </si>
  <si>
    <t>karena penantian panjang meraih trofi ketiga Piala Dunia sejak terakhir kali juara pada Piala Dunia 1986.  Wajah Lionel Messi bakal muncul di uang kertas pecahan 1.000 peso Argentina. Kabar tersebut menyebutkan jika badan pengatur keuangan Argentina ingin menandai kemenangan</t>
  </si>
  <si>
    <t>karena penantian panjang meraih trofi ketiga piala dunia sejak terakhir kali juara pada piala dunia wajah lionel messi bakal muncul uang kertas pecahan peso argentina kabar tersebut menyebutkan jika badan pengatur keuangan argentina ingin menandai kemenangan</t>
  </si>
  <si>
    <t>['penantian', 'panjang', 'meraih', 'trofi', 'ketiga', 'piala', 'dunia', 'sejak', 'terakhir', 'kali', 'juara', 'piala', 'dunia', 'wajah', 'lionel', 'messi', 'bakal', 'muncul', 'uang', 'kertas', 'pecahan', 'peso', 'argentina', 'kabar', 'tersebut', 'menyebutkan', 'badan', 'pengatur', 'keuangan', 'argentina', 'menandai', 'kemenangan']</t>
  </si>
  <si>
    <t>FIFA Tegaskan Salt Bae Langgar Aturan saat Pesta Juara Argentina  https://t.co/LelS135zq4</t>
  </si>
  <si>
    <t>fifa tegaskan salt bae langgar aturan saat pesta juara argentina</t>
  </si>
  <si>
    <t>['fifa', 'tegaskan', 'salt', 'bae', 'langgar', 'aturan', 'pesta', 'juara', 'argentina']</t>
  </si>
  <si>
    <t>@apriyadidit @abeegr_ @andraonseven @registaco Kenyataan juga Argentina juara JUARA MAH ü§™</t>
  </si>
  <si>
    <t>kenyataan juga argentina juara juara mah</t>
  </si>
  <si>
    <t>['kenyataan', 'argentina', 'juara', 'juara', 'mah']</t>
  </si>
  <si>
    <t>@detikcom Bagiku,juara dunia bola adalah Arab Saudi.Argentina takluk dilibas Arab Saudi dgn skor 2-1. Hanya Arab Saudi yg bisa kalahkan Argentina.</t>
  </si>
  <si>
    <t>bagiku juara dunia bola adalah arab saudi argentina takluk dilibas arab saudi dgn skor hanya arab saudi bisa kalahkan argentina</t>
  </si>
  <si>
    <t>['bagiku', 'juara', 'dunia', 'bola', 'arab', 'saudi', 'argentina', 'takluk', 'dilibas', 'arab', 'saudi', 'skor', 'arab', 'saudi', 'kalahkan', 'argentina']</t>
  </si>
  <si>
    <t>@idextratime daripada ngurusin yg ke gini mending fokus buat dukung indonesia supaya juara di piala aff bro, toh mau argentina kalah atau menang jg tetep aja kita idup gini gini mulu</t>
  </si>
  <si>
    <t>daripada ngurusin gini mending fokus buat dukung indonesia supaya juara piala aff bro toh mau argentina kalah atau menang tetep aja kita idup gini gini mulu</t>
  </si>
  <si>
    <t>['ngurusin', 'gini', 'mending', 'fokus', 'buat', 'dukung', 'indonesia', 'juara', 'piala', 'aff', 'bro', 'mau', 'argentina', 'kalah', 'menang', 'tetep', 'idup', 'gini', 'gini', 'mulu']</t>
  </si>
  <si>
    <t>@TxtdariHI bulan depan gue ke Falkland nih,pengen liat mereka seneng ga ya Argentina juara</t>
  </si>
  <si>
    <t>bulan depan gue falkland nih pengen liat mereka seneng argentina juara</t>
  </si>
  <si>
    <t>['bulan', 'depan', 'gue', 'falkland', 'pengen', 'lihat', 'seneng', 'argentina', 'juara']</t>
  </si>
  <si>
    <t>Salt Bae 'Pembuat Onar' di Pesta Juara Argentina Dilarang di AS  https://t.co/22J0e8YkSs</t>
  </si>
  <si>
    <t>salt bae pembuat onar pesta juara argentina dilarang</t>
  </si>
  <si>
    <t>['salt', 'bae', 'pembuat', 'onar', 'pesta', 'juara', 'argentina', 'dilarang']</t>
  </si>
  <si>
    <t>@idextratime Messi gagal di copa tetap kalian puji2 meski ampe 2x pensiun, Ronaldo sukses di euro tetap aja kalian nyinyirin bahkan tiba2 ada finalisima dan Argentina juara kalian bangga2n padahal pas Portugal juara ga ada tuh cup lwkwkwlkwlw jd kalian aj</t>
  </si>
  <si>
    <t>messi gagal copa tetap kalian puji meski ampe pensiun ronaldo sukses euro tetap aja kalian nyinyirin bahkan tiba ada finalisima dan argentina juara kalian bangga padahal pas portugal juara ada tuh cup lwkwkwlkwlw kalian</t>
  </si>
  <si>
    <t>['messi', 'gagal', 'copa', 'tetap', 'kalian', 'puji', 'meski', 'sampai', 'pensiun', 'ronaldo', 'sukses', 'euro', 'tetap', 'kalian', 'nyinyirin', 'bahkan', 'tiba', 'finalisima', 'argentina', 'juara', 'kalian', 'bangga', 'padahal', 'pas', 'portugal', 'juara', 'cup', 'lwkwkwlkwlw', 'kalian']</t>
  </si>
  <si>
    <t>@Dzawinur Argentina juara pesta susu</t>
  </si>
  <si>
    <t>argentina juara pesta susu</t>
  </si>
  <si>
    <t>['argentina', 'juara', 'pesta', 'susu']</t>
  </si>
  <si>
    <t>@dani_putra @Kakarangge1 @registaco Klo bilang saat ini jelaslah, gw gk bisa bantah soalnya Argentina yg juara. Tp klo ngomongin kedepannya gw rasa Argentina akan kesulitan saat Messi dan DiMaria pensiun</t>
  </si>
  <si>
    <t>putra klo bilang saat ini jelaslah bisa bantah soalnya argentina juara klo ngomongin kedepannya rasa argentina akan kesulitan saat messi dan dimaria pensiun</t>
  </si>
  <si>
    <t>['putra', 'jelaslah', 'bantah', 'soalnya', 'argentina', 'juara', 'ngomongin', 'kedepannya', 'rasa', 'argentina', 'kesulitan', 'messi', 'dimaria', 'pensiun']</t>
  </si>
  <si>
    <t>Pep Guardiola Bangga Argentina Juara Dunia: Selamat untuk¬†Messi!  https://t.co/QPYXRvP77Z</t>
  </si>
  <si>
    <t>pep guardiola bangga argentina juara dunia selamat untuk messi</t>
  </si>
  <si>
    <t>['pep', 'guardiola', 'bangga', 'argentina', 'juara', 'dunia', 'selamat', 'messi']</t>
  </si>
  <si>
    <t>@Kimcimaya @drittername @TxtdariHI Memang motifnya politis. Karena kondisi politik di Argentina sana lagi kacau. Piala dunia membuat situasi sedikit lebih adem apalagi pada saat mereka jadi juara.  Lagian negara negara dia kita gak usah ikut ribet. Mendin</t>
  </si>
  <si>
    <t>memang motifnya politis karena kondisi politik argentina sana lagi kacau piala dunia membuat situasi sedikit lebih adem apalagi pada saat mereka jadi juara lagian negara negara dia kita gak usah ikut ribet mendin</t>
  </si>
  <si>
    <t>['memang', 'motifnya', 'politis', 'kondisi', 'politik', 'argentina', 'sana', 'kacau', 'piala', 'dunia', 'membuat', 'situasi', 'sedikit', 'lebih', 'adem', 'jadi', 'juara', 'lagian', 'negara', 'negara', 'usah', 'ikut', 'ribet', 'mendin']</t>
  </si>
  <si>
    <t>Fakta dibalik layar Juara Argentina Full video üëá  https://t.co/0rGoB7L5ne  #MessiìÉµ #messiworldcup #WorldcupQatar2022 #PialaDunia2022 #Argentina</t>
  </si>
  <si>
    <t>fakta dibalik layar juara argentina full video</t>
  </si>
  <si>
    <t>['fakta', 'dibalik', 'layar', 'juara', 'argentina', 'full', 'video']</t>
  </si>
  <si>
    <t>Ranking FIFA Terbaru: meski Juara Piala Dunia 2022, Argentina Belum Bisa Geser Brasil di Puncak  https://t.co/4VnAjoW0ho</t>
  </si>
  <si>
    <t>ranking fifa terbaru meski juara piala dunia argentina belum bisa geser brasil puncak</t>
  </si>
  <si>
    <t>['ranking', 'fifa', 'terbaru', 'meski', 'juara', 'piala', 'dunia', 'argentina', 'geser', 'brasil', 'puncak']</t>
  </si>
  <si>
    <t>@idextratime ooh ternyata argentina juara karena jokowi .... ü§£ü§£üòÇüòÄüòé fanatik jangan nanggung #sarkasme</t>
  </si>
  <si>
    <t>ooh ternyata argentina juara karena jokowi fanatik jangan nanggung</t>
  </si>
  <si>
    <t>['ooh', 'ternyata', 'argentina', 'juara', 'jokowi', 'fanatik', 'jangan', 'nanggung']</t>
  </si>
  <si>
    <t>mau argentina atau perancis yg jd juara, tetap saja orang lama adalah pemenangnya.</t>
  </si>
  <si>
    <t>mau argentina atau perancis juara tetap saja orang lama adalah pemenangnya</t>
  </si>
  <si>
    <t>['mau', 'argentina', 'perancis', 'juara', 'tetap', 'orang', 'lama', 'pemenangnya']</t>
  </si>
  <si>
    <t>@idextratime sakit hati bgt kaya nya argentina juara sampe ngetik sepanjang itu</t>
  </si>
  <si>
    <t>sakit hati bgt kaya nya argentina juara sampe ngetik sepanjang itu</t>
  </si>
  <si>
    <t>['sakit', 'hati', 'banget', 'kaya', 'argentina', 'juara', 'sampai', 'ngetik', 'sepanjang']</t>
  </si>
  <si>
    <t>Kasian klo Argentina yg juara yg dibully Ronaldo</t>
  </si>
  <si>
    <t>kasian klo argentina juara dibully ronaldo</t>
  </si>
  <si>
    <t>['kasian', 'argentina', 'juara', 'dibully', 'ronaldo']</t>
  </si>
  <si>
    <t>@TxtdariHI Kejayaannya argetina tuh berkat martinez, kalo bukan dia kipernya, argentina gak akan juara copa America dan Piala dunia, sayang penampilan gemilang nya kurang apresiasi karna ketutup messi</t>
  </si>
  <si>
    <t>kejayaannya argetina tuh berkat martinez kalo bukan dia kipernya argentina gak akan juara copa america dan piala dunia sayang penampilan gemilang nya kurang apresiasi karna ketutup messi</t>
  </si>
  <si>
    <t>['kejayaannya', 'argetina', 'berkat', 'martinez', 'bukan', 'kipernya', 'argentina', 'juara', 'copa', 'america', 'piala', 'dunia', 'sayang', 'penampilan', 'gemilang', 'kurang', 'apresiasi', 'karna', 'ketutup', 'messi']</t>
  </si>
  <si>
    <t>@Muthawwaaaa @The_RedsIndo Iyaa kayaknya timnas argentina gak pake sindir2n‚Ä¶ langsung ngeledek gitu, atittude juara nya kaga ada</t>
  </si>
  <si>
    <t>redsindo iyaa kayaknya timnas argentina gak pake sindir langsung ngeledek gitu atittude juara nya kaga ada</t>
  </si>
  <si>
    <t>['redsindo', 'iyaa', 'kayaknya', 'timnas', 'argentina', 'pake', 'sindir', 'langsung', 'ngeledek', 'gitu', 'atittude', 'juara', 'kaga']</t>
  </si>
  <si>
    <t>5 Cocoklogi Argentina Juara Piala Dunia 2022 yang Terwujud ‚Äì CNN Indonesia ‚Äì Google Berita Olahraga ‚Äì  https://t.co/1KHw9XIGFN ‚Äì #Arenanews #Kamidi #Opsiminfo- https://t.co/eELmKFZmPl</t>
  </si>
  <si>
    <t>cocoklogi argentina juara piala dunia yang terwujud cnn indonesia google berita olahraga</t>
  </si>
  <si>
    <t>['cocoklogi', 'argentina', 'juara', 'piala', 'dunia', 'terwujud', 'cnn', 'indonesia', 'google', 'berita', 'olahraga']</t>
  </si>
  <si>
    <t>Apalagi stlh juara itu pembuktian. Argentina tdk mmbalas isi konpers Mbappe. Bhkn sblm pertandingan Messi menghampiri dulu tim Prancis. Wajar sbg kapten. Tdk menegur Emi. Itu luapan kemenangan sekalian pembuktian. Nyata dg tindakan. Tanpa byk bicara. Saat Belanda gitu juga kan?.</t>
  </si>
  <si>
    <t>apalagi stlh juara itu pembuktian argentina tdk mmbalas isi konpers mbappe bhkn sblm pertandingan messi menghampiri dulu tim prancis wajar sbg kapten tdk menegur emi itu luapan kemenangan sekalian pembuktian nyata tindakan tanpa byk bicara saat belanda gitu juga kan</t>
  </si>
  <si>
    <t>['stlh', 'juara', 'pembuktian', 'argentina', 'mmbalas', 'isi', 'konpers', 'mbappe', 'bhkn', 'sebelum', 'pertandingan', 'messi', 'menghampiri', 'dulu', 'tim', 'prancis', 'wajar', 'sbg', 'kapten', 'menegur', 'emi', 'luapan', 'kemenangan', 'sekalian', 'pembuktian', 'nyata', 'tindakan', 'byk', 'bicara', 'belanda', 'gitu', 'kan']</t>
  </si>
  <si>
    <t>@feelmyaespa @idextratime Tapi kan kalo itu goal argentina gagal juara bang, fans dodo ga terima messi juara dunia</t>
  </si>
  <si>
    <t>tapi kan kalo itu goal argentina gagal juara bang fans dodo terima messi juara dunia</t>
  </si>
  <si>
    <t>['kan', 'goal', 'argentina', 'gagal', 'juara', 'bang', 'fans', 'dodo', 'terima', 'messi', 'juara', 'dunia']</t>
  </si>
  <si>
    <t>5 Cocoklogi Argentina Juara Piala Dunia 2022 yang Terwujud ‚Äì CNN Indonesia ‚Äì Google Berita Olahraga ‚Äì  https://t.co/zmV3ALxf5p ‚Äì #Arenanews #Kamidi¬†#Opsiminfo  https://t.co/CcCMgxHy1p</t>
  </si>
  <si>
    <t>Tato Messi Menjamur Usai Argentina Juara Dunia  https://t.co/zfvAtSAFzq  https://t.co/HgIffZk1D1</t>
  </si>
  <si>
    <t>tato messi menjamur usai argentina juara dunia</t>
  </si>
  <si>
    <t>['tato', 'messi', 'menjamur', 'usai', 'argentina', 'juara', 'dunia']</t>
  </si>
  <si>
    <t>Meraih juara #PialaDunia2022 mempertegas status Lionel Messi sebagai pemain terbaik sepanjang masa dan Pep Guardiola menilai meski Messi gagal juara, itu tak akan mengubah statusnya itu.  Setuju?  #MegaBintang #Argentina #FIFAWorldCup #Qatar2022  https://t.co/CcMVdqMpHX</t>
  </si>
  <si>
    <t>meraih juara mempertegas status lionel messi sebagai pemain terbaik sepanjang masa dan pep guardiola menilai meski messi gagal juara itu tak akan mengubah statusnya itu setuju</t>
  </si>
  <si>
    <t>['meraih', 'juara', 'mempertegas', 'status', 'lionel', 'messi', 'pemain', 'terbaik', 'sepanjang', 'masa', 'pep', 'guardiola', 'menilai', 'meski', 'messi', 'gagal', 'juara', 'tak', 'mengubah', 'statusnya', 'setuju']</t>
  </si>
  <si>
    <t>FIFA RANGKING  Inilah urutan terbaru rangking FIFA pasca Piala Dunia 2022. Brazil menduduki peringkat teratas diikuti oleh sang juara, Argentina. #FIFARangking  https://t.co/KIeH4wVRBw</t>
  </si>
  <si>
    <t>fifa rangking inilah urutan terbaru rangking fifa pasca piala dunia brazil menduduki peringkat teratas diikuti oleh sang juara argentina</t>
  </si>
  <si>
    <t>['fifa', 'rangking', 'inilah', 'urutan', 'terbaru', 'rangking', 'fifa', 'pasca', 'piala', 'dunia', 'brazil', 'menduduki', 'peringkat', 'teratas', 'diikuti', 'sang', 'juara', 'argentina']</t>
  </si>
  <si>
    <t>@thecasualultra Prediksi pildun 2026. Argentina juara</t>
  </si>
  <si>
    <t>prediksi pildun argentina juara</t>
  </si>
  <si>
    <t>['prediksi', 'piala dunia', 'argentina', 'juara']</t>
  </si>
  <si>
    <t>Pesta Juara Argentina Berujung Bentrok  https://t.co/PIP3kxyzfA</t>
  </si>
  <si>
    <t>Para pemain Argentina terus berpesta setelah jadi juara Piala Dunia 2022. Kata Paulo Dybala, dirinya dan rekan-rekannya sampai kurang tidur!  https://t.co/dlrLbpSZHd</t>
  </si>
  <si>
    <t>para pemain argentina terus berpesta setelah jadi juara piala dunia kata paulo dybala dirinya dan rekan rekannya sampai kurang tidur</t>
  </si>
  <si>
    <t>['pemain', 'argentina', 'terus', 'berpesta', 'jadi', 'juara', 'piala', 'dunia', 'kata', 'paulo', 'dybala', 'dirinya', 'rekan', 'rekannya', 'kurang', 'tidur']</t>
  </si>
  <si>
    <t>@Amrikamandaka @The_RedsIndo Ada temen gw pas debat dengan lantangnya ngomong "Tapi Argentina belum pernah juara Eropa".. gw gak tau dia serius apa becanda karna posisinya kita bener2 lagi debat ü•≤</t>
  </si>
  <si>
    <t>redsindo ada temen pas debat dengan lantangnya ngomong tapi argentina belum pernah juara eropa gak tau dia serius apa becanda karna posisinya kita bener lagi debat</t>
  </si>
  <si>
    <t>['redsindo', 'temen', 'pas', 'debat', 'lantangnya', 'ngomong', 'argentina', 'pernah', 'juara', 'eropa', 'serius', 'apa', 'becanda', 'karna', 'posisinya', 'benar', 'debat']</t>
  </si>
  <si>
    <t>@korekloob @idextratime Masih belum ngajawab fakta bahwa kontribusi alvarez di copa dan finalisima 0 sebaliknya lautato dan messi yg bawa argentina juara, btw gw objektif dan netral, disebelah gw belain alvarez, gw gak pernah ngelewatin 1 pertandingan arg</t>
  </si>
  <si>
    <t>masih belum ngajawab fakta bahwa kontribusi alvarez copa dan finalisima sebaliknya lautato dan messi bawa argentina juara btw objektif dan netral disebelah belain alvarez gak pernah ngelewatin pertandingan arg</t>
  </si>
  <si>
    <t>['ngajawab', 'fakta', 'kontribusi', 'alvarez', 'copa', 'finalisima', 'sebaliknya', 'lautato', 'messi', 'bawa', 'argentina', 'juara', 'by the way', 'objektif', 'netral', 'disebelah', 'belain', 'alvarez', 'pernah', 'ngelewatin', 'pertandingan', 'arg']</t>
  </si>
  <si>
    <t>@Andilala91 @afrizalpradito @BarcaBandidos Hahahaha emang ini akun cringe, selalu cari aman. Sebelum argentina juara, dia dukung belanda pas final juga gak terlalu mau nampak dukung argentina pas juara baru koar2 padahal yg juara gak ada pemain barca di d</t>
  </si>
  <si>
    <t>hahahaha emang ini akun cringe selalu cari aman sebelum argentina juara dia dukung belanda pas final juga gak terlalu mau nampak dukung argentina pas juara baru koar padahal juara gak ada pemain barca</t>
  </si>
  <si>
    <t>['hahahaha', 'emang', 'akun', 'cringe', 'selalu', 'cari', 'aman', 'argentina', 'juara', 'dukung', 'belanda', 'pas', 'final', 'terlalu', 'mau', 'nampak', 'dukung', 'argentina', 'pas', 'juara', 'baru', 'koar', 'padahal', 'juara', 'pemain', 'barca']</t>
  </si>
  <si>
    <t>@nextjack1995 @milanirgi @neohistoria_id @idextratime Di final gw anggap mbappe gendong prancis apa itu lu anggap gw anti messi? Padahal komen gw tentang final world cup bukan cuma mbappe gendong prancis.. Kesimpulan opini gw yg sebut argentina layak juar</t>
  </si>
  <si>
    <t>final anggap mbappe gendong prancis apa itu anggap anti messi padahal komen tentang final world cup bukan cuma mbappe gendong prancis kesimpulan opini sebut argentina layak juar</t>
  </si>
  <si>
    <t>['final', 'anggap', 'mbappe', 'gendong', 'prancis', 'apa', 'anggap', 'anti', 'messi', 'padahal', 'komen', 'final', 'world', 'cup', 'bukan', 'cuma', 'mbappe', 'gendong', 'prancis', 'kesimpulan', 'opini', 'sebut', 'argentina', 'layak', 'juar']</t>
  </si>
  <si>
    <t>Argentina Juara, Pria di Polewali Mandar Namai Cucunya Jadi Muhammad Messi #Argentina #Viral   https://t.co/Y3Erlu2R1y lewat @Holopis.com</t>
  </si>
  <si>
    <t>argentina juara pria polewali mandar namai cucunya jadi muhammad messi lewat com</t>
  </si>
  <si>
    <t>['argentina', 'juara', 'pria', 'polewali', 'mandar', 'namai', 'cucunya', 'jadi', 'muhammad', 'messi', 'lewat', 'com']</t>
  </si>
  <si>
    <t>Timnas Argentina menyabet gelar juara dunia ketiga mereka di Qatar 2022.  https://t.co/BykGVwPKBX</t>
  </si>
  <si>
    <t>timnas argentina menyabet gelar juara dunia ketiga mereka qatar</t>
  </si>
  <si>
    <t>['timnas', 'argentina', 'menyabet', 'gelar', 'juara', 'dunia', 'ketiga', 'qatar']</t>
  </si>
  <si>
    <t>@nextjack1995 @milanirgi @neohistoria_id @idextratime Cari komen gw yg sebut argentina layak juaraü§£ Masih anggap gw haters messi ya itu hak lu aja sihü§£</t>
  </si>
  <si>
    <t>cari komen sebut argentina layak juara masih anggap haters messi itu hak aja sih</t>
  </si>
  <si>
    <t>['cari', 'komen', 'sebut', 'argentina', 'layak', 'juara', 'anggap', 'haters', 'messi', 'hak']</t>
  </si>
  <si>
    <t>@kangmas_adj @idextratime Biar semua dunia tau bang.. ini g bisa d biarkan.. kita hatus nuntut PIPA utk membatalkan argentina juara.. yg juara harus ITALIA pokonya..</t>
  </si>
  <si>
    <t>adj biar semua dunia tau bang ini bisa biarkan kita hatus nuntut pipa utk membatalkan argentina juara juara harus italia pokonya</t>
  </si>
  <si>
    <t>['adj', 'semua', 'dunia', 'bang', 'biarkan', 'hatus', 'nuntut', 'pipa', 'membatalkan', 'argentina', 'juara', 'juara', 'italia', 'pokonya']</t>
  </si>
  <si>
    <t>Timnas Argentina menyabet gelar juara dunia ketiga mereka di Qatar 2022.  https://t.co/BykGVx6NDX</t>
  </si>
  <si>
    <t>@Cluzter21 @asamperklorat16 @urfavbo27865006 @yaudaiyhh @ilysmlevii @idextratime @jfelixdiaz Kalo ngomongin skuad bagusan portugal. Cuma yang bikin beda, mental juara argen lebih kental dibanding portugal karna jersey mereka ada bintang dua. Jadi orang li</t>
  </si>
  <si>
    <t>kalo ngomongin skuad bagusan portugal cuma yang bikin beda mental juara argen lebih kental dibanding portugal karna jersey mereka ada bintang dua jadi orang</t>
  </si>
  <si>
    <t>['ngomongin', 'skuad', 'bagusan', 'portugal', 'cuma', 'beda', 'mental', 'juara', 'argen', 'lebih', 'kental', 'dibanding', 'portugal', 'karna', 'jersey', 'bintang', 'jadi', 'orang']</t>
  </si>
  <si>
    <t>@dum2nd @Dimas_LOG @SiaranBolaLive Foto diatas nunjukin selebrasi Argentina selesai adu penalti, komen ku gk keluar konteks  Lagian dari sebelum laga mulai belanda yg banyak bacot, dah diem argetina udah juara</t>
  </si>
  <si>
    <t>log foto diatas nunjukin selebrasi argentina selesai adu penalti komen keluar konteks lagian dari sebelum laga mulai belanda banyak bacot dah diem argetina udah juara</t>
  </si>
  <si>
    <t>['log', 'foto', 'diatas', 'nunjukin', 'selebrasi', 'argentina', 'selesai', 'adu', 'penalti', 'komen', 'keluar', 'konteks', 'lagian', 'laga', 'mulai', 'belanda', 'banyak', 'bacot', 'dah', 'diem', 'argetina', 'udah', 'juara']</t>
  </si>
  <si>
    <t>@Bolanet entah lah ini orng gw rada kurang suka aj ama sikap nya tpi dia emang gitu sih dri dulu sayang nya france kemaren banyak yg gk absen pas final jdi argentina cukup diuntungkan kemaren tpi juara tetap lah juara wkwk  bree ada website cuan neh legit</t>
  </si>
  <si>
    <t>entah lah ini orng rada kurang suka ama sikap nya tpi dia emang gitu sih dri dulu sayang nya france kemaren banyak absen pas final jdi argentina cukup diuntungkan kemaren tpi juara tetap lah juara wkwk bree ada website cuan neh legit</t>
  </si>
  <si>
    <t>['entah', 'lah', 'orng', 'rada', 'kurang', 'suka', 'ama', 'sikap', 'tpi', 'emang', 'gitu', 'dri', 'dulu', 'sayang', 'france', 'kemarin', 'banyak', 'absen', 'pas', 'final', 'jdi', 'argentina', 'cukup', 'diuntungkan', 'kemarin', 'tpi', 'juara', 'tetap', 'lah', 'juara', 'bree', 'website', 'cuan', 'neh', 'legit']</t>
  </si>
  <si>
    <t>Argentina mungkin memang keluar sebagai juara Piala Dunia di Qatar, tapi mereka tetap di belakang rival, Brasil di peringkat dunia FIFA terbaru.  #Argentina #Brasil #FIFA   https://t.co/e4kngFAYYh</t>
  </si>
  <si>
    <t>argentina mungkin memang keluar sebagai juara piala dunia qatar tapi mereka tetap belakang rival brasil peringkat dunia fifa terbaru</t>
  </si>
  <si>
    <t>['argentina', 'mungkin', 'memang', 'keluar', 'juara', 'piala', 'dunia', 'qatar', 'tetap', 'belakang', 'rival', 'brasil', 'peringkat', 'dunia', 'fifa', 'terbaru']</t>
  </si>
  <si>
    <t>Masih kayak mimpi Messi dan Argentina Juara Dunia.</t>
  </si>
  <si>
    <t>masih kayak mimpi messi dan argentina juara dunia</t>
  </si>
  <si>
    <t>['seperti', 'mimpi', 'messi', 'argentina', 'juara', 'dunia']</t>
  </si>
  <si>
    <t>Bank Sentral Argentina akan Menempatkan Lionel Messi di Mata Uang Negara 1000 Peso Sebagai Perayaan Juara   https://t.co/JDtIn3gQBz</t>
  </si>
  <si>
    <t>bank sentral argentina akan menempatkan lionel messi mata uang negara peso sebagai perayaan juara</t>
  </si>
  <si>
    <t>['bank', 'sentral', 'argentina', 'menempatkan', 'lionel', 'messi', 'mata', 'uang', 'negara', 'peso', 'perayaan', 'juara']</t>
  </si>
  <si>
    <t>Hebat juga Indonesia, bisa menyamai peningkatan timnas Argentina yang juara dunia</t>
  </si>
  <si>
    <t>hebat juga indonesia bisa menyamai peningkatan timnas argentina yang juara dunia</t>
  </si>
  <si>
    <t>['hebat', 'indonesia', 'menyamai', 'peningkatan', 'timnas', 'argentina', 'juara', 'dunia']</t>
  </si>
  <si>
    <t>@nextjack1995 @milanirgi @neohistoria_id @idextratime Cari komen gw dong yg sebut argentina layak juaraüòÜ. Apakah gw masih dianggap haters messi?üòÜ</t>
  </si>
  <si>
    <t>cari komen dong sebut argentina layak juara apakah masih dianggap haters messi</t>
  </si>
  <si>
    <t>['cari', 'komen', 'dong', 'sebut', 'argentina', 'layak', 'juara', 'dianggap', 'haters', 'messi']</t>
  </si>
  <si>
    <t>@nextjack1995 @milanirgi @neohistoria_id @idextratime Gw nonton bangü§£. Cari lagi dong komen gw kan ada yg sebut argentina layak juaraü§£. Apakah gw masih dianggap hatersnya messi?üòÜ</t>
  </si>
  <si>
    <t>nonton bang cari lagi dong komen kan ada sebut argentina layak juara apakah masih dianggap hatersnya messi</t>
  </si>
  <si>
    <t>['nonton', 'bang', 'cari', 'dong', 'komen', 'kan', 'sebut', 'argentina', 'layak', 'juara', 'dianggap', 'hatersnya', 'messi']</t>
  </si>
  <si>
    <t>@thecasualultra @zxhusaen @adriansyahryan_ @apepkeple @QQElfy jebul iki to seng di pengenke ryan nek argentina juara</t>
  </si>
  <si>
    <t>jebul iki seng pengenke ryan nek argentina juara</t>
  </si>
  <si>
    <t>['jebul', 'iki', 'seng', 'pengenke', 'ryan', 'nek', 'argentina', 'juara']</t>
  </si>
  <si>
    <t>Bayangin dulu,Indonesia melakukan hal sama kayak Argentina Indonesia juara AFF cup tahun ini dan nerbitin uang baru Muka siapa yang nongol gede di situ ??? Jelas tau dong</t>
  </si>
  <si>
    <t>bayangin dulu indonesia melakukan hal sama kayak argentina indonesia juara aff cup tahun ini dan nerbitin uang baru muka siapa yang nongol gede situ jelas tau dong</t>
  </si>
  <si>
    <t>['bayangin', 'dulu', 'indonesia', 'melakukan', 'sama', 'seperti', 'argentina', 'indonesia', 'juara', 'aff', 'cup', 'tahun', 'nerbitin', 'uang', 'baru', 'muka', 'siapa', 'nongol', 'gede', 'situ', 'jelas', 'dong']</t>
  </si>
  <si>
    <t>@urfavbo27865006 @yaudaiyhh @ilysmlevii @idextratime @jfelixdiaz Taro Ronaldo di Argentina juga ga bakal juara aff. Soalnya Ronaldo beban + egois wokwokwok kabuur...</t>
  </si>
  <si>
    <t>taro ronaldo argentina juga bakal juara aff soalnya ronaldo beban egois wokwokwok kabuur</t>
  </si>
  <si>
    <t>['taro', 'ronaldo', 'argentina', 'bakal', 'juara', 'aff', 'soalnya', 'ronaldo', 'beban', 'egois', 'wokwokwok', 'kabuur']</t>
  </si>
  <si>
    <t>Ada Wajah Lionel Messi di Uang Kertas 1000 Peso, Buntut Argentina Juara Piala Dunia 2022  https://t.co/p0YJEehF14</t>
  </si>
  <si>
    <t>ada wajah lionel messi uang kertas peso buntut argentina juara piala dunia</t>
  </si>
  <si>
    <t>['wajah', 'lionel', 'messi', 'uang', 'kertas', 'peso', 'buntut', 'argentina', 'juara', 'piala', 'dunia']</t>
  </si>
  <si>
    <t>Tato Messi Menjamur Usai Argentina Juara Dunia  https://t.co/Oh7NlyAFos</t>
  </si>
  <si>
    <t>Gokil! Fans Ukir Wajah Lionel Messi di Rambut Usai Argentina Juara Piala Dunia 2022  https://t.co/SHlo1aRXt5</t>
  </si>
  <si>
    <t>gokil fans ukir wajah lionel messi rambut usai argentina juara piala dunia</t>
  </si>
  <si>
    <t>['gila', 'fans', 'ukir', 'wajah', 'lionel', 'messi', 'rambut', 'usai', 'argentina', 'juara', 'piala', 'dunia']</t>
  </si>
  <si>
    <t>@snailee Iya, emang dah takdirnya Argentina. Dulu pas Argentina diisi banyak pemain dari tim besar Eropa malah ga juara. Giliran diisi oleh banyak pemain muda dari tim menengah Eropa malah bisa juara wkwkwk  Bisa jadi Arsenal nyesel tapi ya waktu itu Mart</t>
  </si>
  <si>
    <t>iya emang dah takdirnya argentina dulu pas argentina diisi banyak pemain dari tim besar eropa malah juara giliran diisi oleh banyak pemain muda dari tim menengah eropa malah bisa juara wkwkwk bisa jadi arsenal nyesel tapi waktu itu mart</t>
  </si>
  <si>
    <t>['iya', 'emang', 'dah', 'takdirnya', 'argentina', 'dulu', 'pas', 'argentina', 'diisi', 'banyak', 'pemain', 'tim', 'besar', 'eropa', 'malah', 'juara', 'giliran', 'diisi', 'banyak', 'pemain', 'muda', 'tim', 'menengah', 'eropa', 'malah', 'juara', 'wkwkwk', 'jadi', 'arsenal', 'nyesel', 'waktu', 'mart']</t>
  </si>
  <si>
    <t>&lt;FreqDist with 24 samples and 32 outcomes&gt;</t>
  </si>
  <si>
    <t>masih belum terima kalo argentina yang juara, tapi seneng messi yg angkat pialaüò≠</t>
  </si>
  <si>
    <t>masih belum terima kalo argentina yang juara tapi seneng messi angkat piala</t>
  </si>
  <si>
    <t>['terima', 'argentina', 'juara', 'seneng', 'messi', 'angkat', 'piala']</t>
  </si>
  <si>
    <t>@Arrdhaa @SiaranBolaLive Ya elu juga bereaksi pas gua bilang emi, emi di argentina. Dri dulu gua bereaksi sama emi di PL. Lu jg lgsg notice krna msh atmosfer juara argen. Bro, this is simple. It‚Äôs personal. Why do you take this so serious?? ü§£ü§£</t>
  </si>
  <si>
    <t>elu juga bereaksi pas gua bilang emi emi argentina dri dulu gua bereaksi sama emi lgsg notice krna msh atmosfer juara argen bro this simple personal why you take this serious</t>
  </si>
  <si>
    <t>['elu', 'bereaksi', 'pas', 'gua', 'emi', 'emi', 'argentina', 'dri', 'dulu', 'gua', 'bereaksi', 'sama', 'emi', 'lgsg', 'notice', 'krna', 'msh', 'atmosfer', 'juara', 'argen', 'bro', 'this', 'simple', 'personal', 'why', 'you', 'take', 'this', 'serious']</t>
  </si>
  <si>
    <t>Pesta Juara Piala Dunia 2022, Pemain Argentina Sebar Uang  https://t.co/EEk7BpgQj6  https://t.co/AhyksuHnuw</t>
  </si>
  <si>
    <t>pesta juara piala dunia pemain argentina sebar uang</t>
  </si>
  <si>
    <t>['pesta', 'juara', 'piala', 'dunia', 'pemain', 'argentina', 'sebar', 'uang']</t>
  </si>
  <si>
    <t>Para pemain Argentina terus berpesta setelah jadi juara Piala Dunia 2022. Kata Paulo Dybala, dirinya dan rekan-rekannya sampai kurang tidur!  https://t.co/ukFIdzKNeg</t>
  </si>
  <si>
    <t>Pemain Timnas Argentina seperti Mau Mati Usai Juara Piala Duni 2022  https://t.co/6RdMo4IYkp</t>
  </si>
  <si>
    <t>pemain timnas argentina seperti mau mati usai juara piala duni</t>
  </si>
  <si>
    <t>['pemain', 'timnas', 'argentina', 'mau', 'mati', 'usai', 'juara', 'piala', 'duni']</t>
  </si>
  <si>
    <t>@Gaotronaldo32 @DhiBlenk @idextratime bawa sial kok juara? decul rata2 dukung argentina gblok</t>
  </si>
  <si>
    <t>bawa sial kok juara decul rata dukung argentina gblok</t>
  </si>
  <si>
    <t>['bawa', 'sial', 'kok', 'juara', 'decul', 'rata', 'dukung', 'argentina', 'gblok']</t>
  </si>
  <si>
    <t>#BHSukan Juara dunia 2022, Argentina melonjak ke tangga kedua senarai ranking terbaharu FIFA diumumkan hari ini manakala Brazil yang terkandas di suku akhir Qatar 2022 masih terus kekal di persada.   https://t.co/dT7oFXDSWg</t>
  </si>
  <si>
    <t>juara dunia argentina melonjak tangga kedua senarai ranking terbaharu fifa diumumkan hari ini manakala brazil yang terkandas suku akhir qatar masih terus kekal persada</t>
  </si>
  <si>
    <t>['juara', 'dunia', 'argentina', 'melonjak', 'tangga', 'kedua', 'senarai', 'ranking', 'terbaharu', 'fifa', 'diumumkan', 'hari', 'manakala', 'brazil', 'terkandas', 'suku', 'akhir', 'qatar', 'terus', 'kekal', 'persada']</t>
  </si>
  <si>
    <t>@idextratime Iya min presiden fifa itu Cs an sama pakde.. hanya di jaman jokowi Argentina bisa juara pildun</t>
  </si>
  <si>
    <t>iya min presiden fifa itu sama pakde hanya jaman jokowi argentina bisa juara pildun</t>
  </si>
  <si>
    <t>['iya', 'min', 'presiden', 'fifa', 'sama', 'pakde', 'jaman', 'jokowi', 'argentina', 'juara', 'piala dunia']</t>
  </si>
  <si>
    <t>@idextratime Lah masak kalian ga sadar wc qatar emg diatur buat messi juara, gameweek 1 belum diatur dn hasilnya argentina kalah</t>
  </si>
  <si>
    <t>lah masak kalian sadar qatar emg diatur buat messi juara gameweek belum diatur hasilnya argentina kalah</t>
  </si>
  <si>
    <t>['lah', 'masak', 'kalian', 'sadar', 'qatar', 'memang', 'diatur', 'buat', 'messi', 'juara', 'gameweek', 'diatur', 'hasilnya', 'argentina', 'kalah']</t>
  </si>
  <si>
    <t>@idextratime Terimakasih Iwan bule Tips nya membawa Argentina JUARA dunia lagi üëçüòé  https://t.co/FezZwBzoJp</t>
  </si>
  <si>
    <t>terimakasih iwan bule tips nya membawa argentina juara dunia lagi</t>
  </si>
  <si>
    <t>['terimakasih', 'iwan', 'bule', 'tips', 'membawa', 'argentina', 'juara', 'dunia']</t>
  </si>
  <si>
    <t>5 Cocoklogi Argentina Juara Piala Dunia 2022 yang Terwujud  https://t.co/Rc9QMIkDoS</t>
  </si>
  <si>
    <t>Kisah Greysia Polli yang Sukses Raih Medali Emas Olimpiade Mirip dengan Lionel Messi saat Antar Argentina Juara Piala Dunia 2022 #LengkapCepatBeritanya #Olahraga #Sport #Bulutangkis #Netting #Badminton .  https://t.co/RhD08bAXXl</t>
  </si>
  <si>
    <t>kisah greysia polli yang sukses raih medali emas olimpiade mirip dengan lionel messi saat antar argentina juara piala dunia</t>
  </si>
  <si>
    <t>['kisah', 'greysia', 'polli', 'sukses', 'raih', 'medali', 'emas', 'olimpiade', 'mirip', 'lionel', 'messi', 'antar', 'argentina', 'juara', 'piala', 'dunia']</t>
  </si>
  <si>
    <t>Juara Piala Dunia, Wajah Lionel Messi Bakal Jadi Gambar Mata Uang Argentina  https://t.co/nM8zqKJnoY</t>
  </si>
  <si>
    <t>juara piala dunia wajah lionel messi bakal jadi gambar mata uang argentina</t>
  </si>
  <si>
    <t>['juara', 'piala', 'dunia', 'wajah', 'lionel', 'messi', 'bakal', 'jadi', 'gambar', 'mata', 'uang', 'argentina']</t>
  </si>
  <si>
    <t>Gokil! Fans Ukir Wajah Lionel Messi di Rambut Usai Argentina Juara Piala Dunia 2022  https://t.co/0vxRYmeZl1</t>
  </si>
  <si>
    <t>Tolong argentina juara tiap hari juga gapapa asli</t>
  </si>
  <si>
    <t>tolong argentina juara tiap hari juga gapapa asli</t>
  </si>
  <si>
    <t>['argentina', 'juara', 'tiap', 'hari', 'gapapa', 'asli']</t>
  </si>
  <si>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</si>
  <si>
    <t>terbaru bukan argentina juara piala dunia maroko juara world cup perjalanan road qatar mak nyak doel anak sekolahan ajar miko ibumu selamat hari ibu ngerti split hidung alfatihah seishun girl</t>
  </si>
  <si>
    <t>['terbaru', 'bukan', 'argentina', 'juara', 'piala', 'dunia', 'maroko', 'juara', 'world', 'cup', 'perjalanan', 'road', 'qatar', 'mak', 'nyak', 'doel', 'anak', 'sekolahan', 'ajar', 'miko', 'ibumu', 'selamat', 'hari', 'ibu', 'ngerti', 'split', 'hidung', 'alfatihah', 'seishun', 'girl']</t>
  </si>
  <si>
    <t>@idextratime Katanya messi mau main di timnas portugal karna di argentina udah juara world cup  Sumber : belum pasti tapi kata katanya masuk akal</t>
  </si>
  <si>
    <t>katanya messi mau main timnas portugal karna argentina udah juara world cup sumber belum pasti tapi kata katanya masuk akal</t>
  </si>
  <si>
    <t>['katanya', 'messi', 'mau', 'main', 'timnas', 'portugal', 'karna', 'argentina', 'udah', 'juara', 'world', 'cup', 'sumber', 'kata', 'katanya', 'masuk', 'akal']</t>
  </si>
  <si>
    <t>Momen Lionel Messi dipeluk wanita misterius sampai kegirangan saat Argentina meraih gelar juara Piala Dunia 2022 Qatar jadi sorotan para penggemar.  Ternyata sosok wanita tersebut adalah...ü§îü§ó  https://t.co/YoruyomtQh</t>
  </si>
  <si>
    <t>momen lionel messi dipeluk wanita misterius sampai kegirangan saat argentina meraih gelar juara piala dunia qatar jadi sorotan para penggemar ternyata sosok wanita tersebut adalah</t>
  </si>
  <si>
    <t>['momen', 'lionel', 'messi', 'dipeluk', 'wanita', 'misterius', 'kegirangan', 'argentina', 'meraih', 'gelar', 'juara', 'piala', 'dunia', 'qatar', 'jadi', 'sorotan', 'penggemar', 'ternyata', 'sosok', 'wanita', 'tersebut']</t>
  </si>
  <si>
    <t>Momen Lionel Messi dipeluk wanita misterius sampai kegirangan saat Argentina meraih gelar juara Piala Dunia 2022 Qatar jadi sorotan para penggemar.  Ternyata sosok wanita tersebut adalah...ü§îü§ó  https://t.co/MtDgOf7xj9</t>
  </si>
  <si>
    <t>@AbbiyuHabibi @xcron8 @idextratime Belum &amp;amp; masih berstatus pemain Barca! Messi bersama Argentina juara copa america pada bulan Juli 2021, sedangkan kontraknya habis di Barca 6 Agustus 2021</t>
  </si>
  <si>
    <t>belum masih berstatus pemain barca messi bersama argentina juara copa america pada bulan juli sedangkan kontraknya habis barca agustus</t>
  </si>
  <si>
    <t>['berstatus', 'pemain', 'barca', 'messi', 'bersama', 'argentina', 'juara', 'copa', 'america', 'bulan', 'juli', 'kontraknya', 'habis', 'barca', 'agustus']</t>
  </si>
  <si>
    <t>@twentysik @idextratime Wkwk logika elu tolol soalnya,kalah ya kalah,argentina dan leo messi ttep juara dunia hahaha.</t>
  </si>
  <si>
    <t>wkwk logika elu tolol soalnya kalah kalah argentina dan leo messi ttep juara dunia hahaha</t>
  </si>
  <si>
    <t>['logika', 'elu', 'tolol', 'soalnya', 'kalah', 'kalah', 'argentina', 'leo', 'messi', 'ttep', 'juara', 'dunia', 'hahaha']</t>
  </si>
  <si>
    <t>Nonton piala Dunia yg bikin jantungan,  Tapi tetap jagoan kita juara, Argentina The best lah pokoknya  https://t.co/OXoJrHh24k</t>
  </si>
  <si>
    <t>nonton piala dunia bikin jantungan tapi tetap jagoan kita juara argentina the best lah pokoknya</t>
  </si>
  <si>
    <t>['nonton', 'piala', 'dunia', 'jantungan', 'tetap', 'jagoan', 'juara', 'argentina', 'the', 'best', 'lah', 'pokoknya']</t>
  </si>
  <si>
    <t>@skidipapap1818 @neymarj36673801 @idextratime Si tolol masih sakit hati kah liat Argentina juara ?üòÇüòÇ  https://t.co/nfv7qv5fTY</t>
  </si>
  <si>
    <t>tolol masih sakit hati kah liat argentina juara</t>
  </si>
  <si>
    <t>['tolol', 'sakit', 'hati', 'lihat', 'argentina', 'juara']</t>
  </si>
  <si>
    <t>Isi pesan teks Angel Di Maria kepada istrinya, Jorgelina Cardoso, menjadi kenyataan usai membawa timnas Argentina ke tangga juara Piala Dunia 2022. üèÜü•á  https://t.co/pcpm6eYxTv</t>
  </si>
  <si>
    <t>isi pesan teks angel maria kepada istrinya jorgelina cardoso menjadi kenyataan usai membawa timnas argentina tangga juara piala dunia</t>
  </si>
  <si>
    <t>['isi', 'pesan', 'teks', 'angel', 'maria', 'istrinya', 'jorgelina', 'cardoso', 'menjadi', 'kenyataan', 'usai', 'membawa', 'timnas', 'argentina', 'tangga', 'juara', 'piala', 'dunia']</t>
  </si>
  <si>
    <t>Isi pesan teks Angel Di Maria kepada istrinya, Jorgelina Cardoso, menjadi kenyataan usai membawa timnas Argentina ke tangga juara Piala Dunia 2022. üèÜü•á  https://t.co/JghAipraQn</t>
  </si>
  <si>
    <t>tribunnews: Jan Ethes Sri Narendra disebut mirip dengan pemain Timnas Argentina, Angel Di Maria. Mengetahui anaknya dimiripkan dengan juara Piala Dunia 2022 itu, Gibran Rakabuming Raka pun tampak bereaksi. Tampaknya, Gibran Rakabuming Raka tak terima jik‚Ä¶  https://t.co/xMiDtqlkcV</t>
  </si>
  <si>
    <t>tribunnews jan ethes sri narendra disebut mirip dengan pemain timnas argentina angel maria mengetahui anaknya dimiripkan dengan juara piala dunia itu gibran rakabuming raka pun tampak bereaksi tampaknya gibran rakabuming raka tak terima jik</t>
  </si>
  <si>
    <t>['tribunnews', 'jan', 'ethes', 'sri', 'narendra', 'disebut', 'mirip', 'pemain', 'timnas', 'argentina', 'angel', 'maria', 'mengetahui', 'anaknya', 'dimiripkan', 'juara', 'piala', 'dunia', 'gibran', 'rakabuming', 'raka', 'tampak', 'bereaksi', 'tampaknya', 'gibran', 'rakabuming', 'raka', 'tak', 'terima', 'jik']</t>
  </si>
  <si>
    <t>@Sorasachi__ @WillyRosiyandi @__AnakKolong Kadrun pikir, yg paling di sayang sama Allah cuman geng mereka.  Itulah knapa mereka yakin smua doa nya pasti dikabulkan. Ehhh....ternyata argentina nyang juara ( gk nyambung). ü§£ü§£ü§£</t>
  </si>
  <si>
    <t>kadrun pikir paling sayang sama allah cuman geng mereka itulah knapa mereka yakin smua doa nya pasti dikabulkan ehhh ternyata argentina nyang juara nyambung</t>
  </si>
  <si>
    <t>['kadrun', 'pikir', 'paling', 'sayang', 'sama', 'allah', 'cuman', 'geng', 'kenapa', 'yakin', 'smua', 'doa', 'dikabulkan', 'ehhh', 'ternyata', 'argentina', 'nyang', 'juara', 'nyambung']</t>
  </si>
  <si>
    <t>Peringkat Dunia FIFA/Cola-Cola:  Argentina Juara,  Peringkat 1 Dunia Tetap Brasil, Indonesia?  https://t.co/VOvLG52Ix2</t>
  </si>
  <si>
    <t>peringkat dunia fifa cola cola argentina juara peringkat dunia tetap brasil indonesia</t>
  </si>
  <si>
    <t>['peringkat', 'dunia', 'fifa', 'cola', 'cola', 'argentina', 'juara', 'peringkat', 'dunia', 'tetap', 'brasil', 'indonesia']</t>
  </si>
  <si>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</si>
  <si>
    <t>jan ethes sri narendra disebut mirip dengan pemain timnas argentina angel maria mengetahui anaknya dimiripkan dengan juara piala dunia itu gibran rakabuming raka pun tampak bereaksi tampaknya gibran rakabuming raka tak terima jika sang anak dimiripkan ist</t>
  </si>
  <si>
    <t>['jan', 'ethes', 'sri', 'narendra', 'disebut', 'mirip', 'pemain', 'timnas', 'argentina', 'angel', 'maria', 'mengetahui', 'anaknya', 'dimiripkan', 'juara', 'piala', 'dunia', 'gibran', 'rakabuming', 'raka', 'tampak', 'bereaksi', 'tampaknya', 'gibran', 'rakabuming', 'raka', 'tak', 'terima', 'sang', 'anak', 'dimiripkan', 'ist']</t>
  </si>
  <si>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</si>
  <si>
    <t>kiper argentina emiliano martinez dan striker prancis kylian mbappe memang kerap terlibat psywar kali ini emiliano martinez kembali menunjukkan kebahagiaannya membawa boneka bayi mbappe saat parade kemenangan timnas argentina membawa pulang trofi juara dunia ist</t>
  </si>
  <si>
    <t>['kiper', 'argentina', 'emiliano', 'martinez', 'striker', 'prancis', 'kylian', 'mbappe', 'memang', 'kerap', 'terlibat', 'psywar', 'kali', 'emiliano', 'martinez', 'menunjukkan', 'kebahagiaannya', 'membawa', 'boneka', 'bayi', 'mbappe', 'parade', 'kemenangan', 'timnas', 'argentina', 'membawa', 'pulang', 'trofi', 'juara', 'dunia', 'ist']</t>
  </si>
  <si>
    <t>gimana kalo abis Argentina juara dunia kita lihat Indonesia juara AFF agar paripurna kebahagiaan kado natal tahun ini?ü•∞ü•∞</t>
  </si>
  <si>
    <t>gimana kalo abis argentina juara dunia kita lihat indonesia juara aff agar paripurna kebahagiaan kado natal tahun ini</t>
  </si>
  <si>
    <t>['gimana', 'abis', 'argentina', 'juara', 'dunia', 'lihat', 'indonesia', 'juara', 'aff', 'paripurna', 'kebahagiaan', 'kado', 'natal', 'tahun']</t>
  </si>
  <si>
    <t>@idextratime ü§£ü§£ü§£ Bandarnya oon berarti... Taruhan banyak yg Pegang Argentina tapi Argentina yg juaraüòÅüòÅ..Bandar jebool dodol..</t>
  </si>
  <si>
    <t>bandarnya oon berarti taruhan banyak pegang argentina tapi argentina juara bandar jebool dodol</t>
  </si>
  <si>
    <t>['bandarnya', 'oon', 'berarti', 'taruhan', 'banyak', 'pegang', 'argentina', 'argentina', 'juara', 'bandar', 'jebool', 'dodol']</t>
  </si>
  <si>
    <t>@ArwahMiliter Aneh!? Kalo Argentina juara dibilang settinganlah! padahal negara¬≤ eropa kalo main diluar eropa kan emang sulit juara?üôÑ Dan Gak ada sejarahnya bisa juara 2x, kecuali pildun edisi lama</t>
  </si>
  <si>
    <t>aneh kalo argentina juara dibilang settinganlah padahal negara eropa kalo main diluar eropa kan emang sulit juara dan gak ada sejarahnya bisa juara kecuali pildun edisi lama</t>
  </si>
  <si>
    <t>['aneh', 'argentina', 'juara', 'dibilang', 'settinganlah', 'padahal', 'negara', 'eropa', 'main', 'diluar', 'eropa', 'kan', 'emang', 'sulit', 'juara', 'sejarahnya', 'juara', 'piala dunia', 'edisi', 'lama']</t>
  </si>
  <si>
    <t>@GanjaranApp Wah wah tpi yg juara Argentina yaa pak</t>
  </si>
  <si>
    <t>wah wah tpi juara argentina yaa pak</t>
  </si>
  <si>
    <t>['wah', 'wah', 'tpi', 'juara', 'argentina', 'ya', 'pak']</t>
  </si>
  <si>
    <t>@ArwahMiliter Bagi mereka(pembenci messi) Argentina gak boleh juara?üòî</t>
  </si>
  <si>
    <t>bagi mereka pembenci messi argentina gak boleh juara</t>
  </si>
  <si>
    <t>['pembenci', 'messi', 'argentina', 'juara']</t>
  </si>
  <si>
    <t>@Messinisti @Box2BoxBola Lah Argentina juara juga pasti didukung fans Barca (Messi). Ya walaupun bukan pemain Barca lagi tpi ttp aja kemanapun dia maen utk Negaranya bakal di dukung sama fans Barca. Opinimu ga valid</t>
  </si>
  <si>
    <t>lah argentina juara juga pasti didukung fans barca messi walaupun bukan pemain barca lagi tpi ttp aja kemanapun dia maen utk negaranya bakal dukung sama fans barca opinimu valid</t>
  </si>
  <si>
    <t>['lah', 'argentina', 'juara', 'didukung', 'fans', 'barca', 'messi', 'walaupun', 'bukan', 'pemain', 'barca', 'tpi', 'ttp', 'kemanapun', 'maen', 'negaranya', 'bakal', 'dukung', 'sama', 'fans', 'barca', 'opinimu', 'valid']</t>
  </si>
  <si>
    <t>Gelar juara Piala Dunia 2022 bersama Argentina berhasil menyempurnakan torehan gelar Messi dan sukses membuatnya sebagai GOAT (Greates of All Time). #Infinite  https://t.co/WoEfDZcsh2</t>
  </si>
  <si>
    <t>gelar juara piala dunia bersama argentina berhasil menyempurnakan torehan gelar messi dan sukses membuatnya sebagai goat greates all time</t>
  </si>
  <si>
    <t>['gelar', 'juara', 'piala', 'dunia', 'bersama', 'argentina', 'berhasil', 'menyempurnakan', 'torehan', 'gelar', 'messi', 'sukses', 'membuatnya', 'goat', 'greates', 'all', 'time']</t>
  </si>
  <si>
    <t>Ribuan warga Argentina menyembut kedatangan Lionel Messi dan timnas lainnya  di jalanan ibu kota dan di berbagai penjuru daerah. Pesta itu setelah tim berjuluk Tanggo ini keluar sebagai juara Piala Dunia 2022 Qatar.  https://t.co/az7OIaS6MR</t>
  </si>
  <si>
    <t>ribuan warga argentina menyembut kedatangan lionel messi dan timnas lainnya jalanan ibu kota dan berbagai penjuru daerah pesta itu setelah tim berjuluk tanggo ini keluar sebagai juara piala dunia qatar</t>
  </si>
  <si>
    <t>['ribuan', 'warga', 'argentina', 'menyembut', 'kedatangan', 'lionel', 'messi', 'timnas', 'lainnya', 'jalanan', 'ibu', 'kota', 'berbagai', 'penjuru', 'daerah', 'pesta', 'tim', 'berjuluk', 'tanggo', 'keluar', 'juara', 'piala', 'dunia', 'qatar']</t>
  </si>
  <si>
    <t>untuk menjadi pemenang adalah bangkitkan semangat perjuangan dengan meraih kemenangan, Solid Bergerak untuk tujuan menang, menang adalah tujuan kita. Selamat atas kemenangan Argentina telah menjadi Juara Fifa World Cup Qatar 2022.</t>
  </si>
  <si>
    <t>untuk menjadi pemenang adalah bangkitkan semangat perjuangan dengan meraih kemenangan solid bergerak untuk tujuan menang menang adalah tujuan kita selamat atas kemenangan argentina telah menjadi juara fifa world cup qatar</t>
  </si>
  <si>
    <t>['menjadi', 'pemenang', 'bangkitkan', 'semangat', 'perjuangan', 'meraih', 'kemenangan', 'solid', 'bergerak', 'tujuan', 'menang', 'menang', 'tujuan', 'selamat', 'atas', 'kemenangan', 'argentina', 'menjadi', 'juara', 'fifa', 'world', 'cup', 'qatar']</t>
  </si>
  <si>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</si>
  <si>
    <t>pengumuman dengan dicabutnya ppkm secara menyeluruh maka izinkan saya berpantun pergi qatar nonton pildun dukung argentina akhirnya juara walaupun aku cuma bisa pantun percayalah cintaku hanya untuk florajkt terakhir kali liat hewan lucu joget</t>
  </si>
  <si>
    <t>['pengumuman', 'dicabutnya', 'ppkm', 'menyeluruh', 'izinkan', 'berpantun', 'pergi', 'qatar', 'nonton', 'piala dunia', 'dukung', 'argentina', 'akhirnya', 'juara', 'walaupun', 'aku', 'cuma', 'pantun', 'percayalah', 'cintaku', 'florajkt', 'terakhir', 'kali', 'lihat', 'hewan', 'lucu', 'joget']</t>
  </si>
  <si>
    <t>@arbainrambey @Arnusmine prediksinya biasa saja: argentina juara dunia. tapi krn dibumbui tanggal kejadian (yg sebenarnya sdh dijadwalkan) &amp;amp; usia messi, jadinya keliatan presisi banget üò¨</t>
  </si>
  <si>
    <t>prediksinya biasa saja argentina juara dunia tapi krn dibumbui tanggal kejadian sebenarnya sdh dijadwalkan usia messi jadinya keliatan presisi banget</t>
  </si>
  <si>
    <t>['prediksinya', 'biasa', 'argentina', 'juara', 'dunia', 'dibumbui', 'tanggal', 'kejadian', 'sebenarnya', 'dijadwalkan', 'usia', 'messi', 'jadinya', 'keliatan', 'presisi', 'banget']</t>
  </si>
  <si>
    <t>ARGENTINA JUARA PIALA DUNIA 2022 HINGGA AKSI PENCULIKAN ANAK TEREKAM CCTV  #videoviral    https://t.co/hUjcJ14T8f</t>
  </si>
  <si>
    <t>argentina juara piala dunia hingga aksi penculikan anak terekam cctv</t>
  </si>
  <si>
    <t>['argentina', 'juara', 'piala', 'dunia', 'hingga', 'aksi', 'penculikan', 'anak', 'terekam', 'cctv']</t>
  </si>
  <si>
    <t>Update Rangking FIFA Terbaru!Argentina Naik Poin Setelah Jadi Juara Piala Dunia 2022, Indonesia Naik Peringkat   https://t.co/gFhWRrbyep</t>
  </si>
  <si>
    <t>update rangking fifa terbaru argentina naik poin setelah jadi juara piala dunia indonesia naik peringkat</t>
  </si>
  <si>
    <t>['update', 'rangking', 'fifa', 'terbaru', 'argentina', 'naik', 'poin', 'jadi', 'juara', 'piala', 'dunia', 'indonesia', 'naik', 'peringkat']</t>
  </si>
  <si>
    <t>Argentina dibilang nyogok biar bisa juara World Cup, inflasi aja ampir 92,4% november lalu, ampir jd negara gagal masa iye mau nyogok2, teori org2 goblok semua</t>
  </si>
  <si>
    <t>argentina dibilang nyogok biar bisa juara world cup inflasi aja ampir november lalu ampir negara gagal masa iye mau nyogok teori org goblok semua</t>
  </si>
  <si>
    <t>['argentina', 'dibilang', 'nyogok', 'juara', 'world', 'cup', 'inflasi', 'ampir', 'november', 'lalu', 'ampir', 'negara', 'gagal', 'masa', 'iye', 'mau', 'nyogok', 'teori', 'org', 'goblok', 'semua']</t>
  </si>
  <si>
    <t>Sehebat apa pun Argentina mrk gak akan pernah juara Piala AFF. Insya Allah Maroko cabang Indonesia bisa ü§∏‚Äç‚ôÇÔ∏èü§∏‚Äç‚ôÇÔ∏è.üòÇ  Besok Timnas Indonesia Vs Kamboja  https://t.co/3boPDB4Z7S</t>
  </si>
  <si>
    <t>sehebat apa pun argentina mrk gak akan pernah juara piala aff insya allah maroko cabang indonesia bisa besok timnas indonesia kamboja</t>
  </si>
  <si>
    <t>['sehebat', 'apa', 'argentina', 'mrk', 'pernah', 'juara', 'piala', 'aff', 'insya', 'allah', 'maroko', 'cabang', 'indonesia', 'besok', 'timnas', 'indonesia', 'kamboja']</t>
  </si>
  <si>
    <t>Negara¬≤ juara dunia FIFA 1 Brazil   5 kali 2 Itali     4 kali 3 Jerman  4 kali 4 Uruguay  2 kali 5 Inggris    1 kali 6 Spanyol  1 kali 7 Prancis   2 kali 8 Argentina  3 kali 9 Indonesia  Parah kali üòÅüòÅüòù</t>
  </si>
  <si>
    <t>negara juara dunia fifa brazil kali itali kali jerman kali uruguay kali inggris kali spanyol kali prancis kali argentina kali indonesia parah kali</t>
  </si>
  <si>
    <t>['negara', 'juara', 'dunia', 'fifa', 'brazil', 'kali', 'itali', 'kali', 'jerman', 'kali', 'uruguay', 'kali', 'inggris', 'kali', 'spanyol', 'kali', 'prancis', 'kali', 'argentina', 'kali', 'indonesia', 'parah', 'kali']</t>
  </si>
  <si>
    <t>Main FIFA pake Argentina ternyata enak juga ya...   Pantes aja bisa juara...</t>
  </si>
  <si>
    <t>main fifa pake argentina ternyata enak juga pantes aja bisa juara</t>
  </si>
  <si>
    <t>['main', 'fifa', 'pake', 'argentina', 'ternyata', 'enak', 'pantes', 'juara']</t>
  </si>
  <si>
    <t>Legenda Brasil Ronaldinho merasa sangat yakin kalau Lionel Messi akan memenangkan Ballon d'Or 2023 setelah berhasil membawa Argentina meraih juara Piala Dunia 2022. Akankah hal ini terjadi? üëÄ  https://t.co/6XzgcPRHvP</t>
  </si>
  <si>
    <t>legenda brasil ronaldinho merasa sangat yakin kalau lionel messi akan memenangkan ballon setelah berhasil membawa argentina meraih juara piala dunia akankah hal ini terjadi</t>
  </si>
  <si>
    <t>['legenda', 'brasil', 'ronaldinho', 'merasa', 'sangat', 'yakin', 'kalau', 'lionel', 'messi', 'memenangkan', 'ballon', 'berhasil', 'membawa', 'argentina', 'meraih', 'juara', 'piala', 'dunia', 'akankah', 'terjadi']</t>
  </si>
  <si>
    <t>Cuman mau ngasih tau yah, jagoan kita setelah ayah tinggalin : GU naik liga 2, Argentina Juara Copa, Finalisma, &amp;amp; WC. Dan yg terakhir bukan jagoanku sih tapi jagoan ayah aja, AC Milan juara Serie-A lagi yah. Tahun tahun yg indah jikalau ayah diberi kesempatan setahun lagi aja ü•∫</t>
  </si>
  <si>
    <t>cuman mau ngasih tau yah jagoan kita setelah ayah tinggalin naik liga argentina juara copa finalisma dan terakhir bukan jagoanku sih tapi jagoan ayah aja milan juara serie lagi yah tahun tahun indah jikalau ayah diberi kesempatan setahun lagi aja</t>
  </si>
  <si>
    <t>['cuman', 'mau', 'ngasih', 'jagoan', 'ayah', 'tinggalin', 'naik', 'liga', 'argentina', 'juara', 'copa', 'finalisma', 'terakhir', 'bukan', 'jagoanku', 'jagoan', 'ayah', 'milan', 'juara', 'serie', 'tahun', 'tahun', 'indah', 'jikalau', 'ayah', 'diberi', 'kesempatan', 'setahun']</t>
  </si>
  <si>
    <t>kenapa sebelah masih gabisa terima argentina juara</t>
  </si>
  <si>
    <t>['sebelah', 'gabisa', 'terima', 'argentina', 'juara']</t>
  </si>
  <si>
    <t>Bawa Argentina Juara Piala Dunia 2022, Wajah Messi Diusulkan Menempel di Mata Uang Peso   #Sindonews #BukanBeritaBiasa . https://t.co/gxP39xJefM</t>
  </si>
  <si>
    <t>bawa argentina juara piala dunia wajah messi diusulkan menempel mata uang peso</t>
  </si>
  <si>
    <t>['bawa', 'argentina', 'juara', 'piala', 'dunia', 'wajah', 'messi', 'diusulkan', 'menempel', 'mata', 'uang', 'peso']</t>
  </si>
  <si>
    <t>@TxtdariHI Kalau ini jelas momentnya juara dunia dicetak oleh bank negara of Argentina jangan sekelas bank negara cetak souvenir pernikahan sudah kayak perusahaan percetakan souvenir......</t>
  </si>
  <si>
    <t>kalau ini jelas momentnya juara dunia dicetak oleh bank negara argentina jangan sekelas bank negara cetak souvenir pernikahan sudah kayak perusahaan percetakan souvenir</t>
  </si>
  <si>
    <t>['kalau', 'jelas', 'momentnya', 'juara', 'dunia', 'dicetak', 'bank', 'negara', 'argentina', 'jangan', 'sekelas', 'bank', 'negara', 'cetak', 'souvenir', 'pernikahan', 'seperti', 'perusahaan', 'percetakan', 'souvenir']</t>
  </si>
  <si>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</si>
  <si>
    <t>dulu messi pernah dibilang selama dia ada argentina argentina akan juara krn cuma jago klub doang dulu messi konsisten banget dan tapi kesulitan untuk juara piala dunia skr messi berhasil menjawab semua kritikan jika messi bisa minion bisa masalah waktu aja</t>
  </si>
  <si>
    <t>['dulu', 'messi', 'pernah', 'dibilang', 'selama', 'argentina', 'argentina', 'juara', 'cuma', 'jago', 'klub', 'doang', 'dulu', 'messi', 'konsisten', 'banget', 'kesulitan', 'juara', 'piala', 'dunia', 'skr', 'messi', 'berhasil', 'menjawab', 'semua', 'kritikan', 'messi', 'minion', 'masalah', 'waktu']</t>
  </si>
  <si>
    <t>@urfavbo27865006 @yaudaiyhh @ilysmlevii @idextratime @jfelixdiaz Taruh Ronaldo di Argentina juga gak bakalan juara..</t>
  </si>
  <si>
    <t>taruh ronaldo argentina juga gak bakalan juara</t>
  </si>
  <si>
    <t>['taruh', 'ronaldo', 'argentina', 'bakalan', 'juara']</t>
  </si>
  <si>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</si>
  <si>
    <t>selain hadiah fantastis yang diberikan kepada tim argentina sebagai juara piala dunia mereka juga mendapat trofi yang memiliki nilai sangat berharga lho klik link</t>
  </si>
  <si>
    <t>['hadiah', 'fantastis', 'diberikan', 'tim', 'argentina', 'juara', 'piala', 'dunia', 'mendapat', 'trofi', 'memiliki', 'nilai', 'sangat', 'berharga', 'lho', 'klik', 'link']</t>
  </si>
  <si>
    <t>@gueCity @Bolanet Emqngbelum selevel.. bayangin kalau semua pemain Argentina mainnya di klub Amerika  Selatan, yakin mereka bakal juara? Mereka ditempa di sepakbola Eropa yg kompetitif.,</t>
  </si>
  <si>
    <t>emqngbelum selevel bayangin kalau semua pemain argentina mainnya klub amerika selatan yakin mereka bakal juara mereka ditempa sepakbola eropa kompetitif</t>
  </si>
  <si>
    <t>['emqngbelum', 'selevel', 'bayangin', 'kalau', 'semua', 'pemain', 'argentina', 'mainnya', 'klub', 'amerika', 'selatan', 'yakin', 'bakal', 'juara', 'ditempa', 'sepakbola', 'eropa', 'kompetitif']</t>
  </si>
  <si>
    <t>Pesta Penyambutan Timnas Argentina Juara Piala Dunia 2022, Berakhir Dengan Kerusuhan di Bounes Aires  https://t.co/aN5vNP62tF</t>
  </si>
  <si>
    <t>pesta penyambutan timnas argentina juara piala dunia berakhir dengan kerusuhan bounes aires</t>
  </si>
  <si>
    <t>['pesta', 'penyambutan', 'timnas', 'argentina', 'juara', 'piala', 'dunia', 'berakhir', 'kerusuhan', 'bounes', 'aires']</t>
  </si>
  <si>
    <t>@tearamicu Tahun ini tahun yg paling berat ,tapi setelah liat Argentina juara dengan perjuangan yg sangat keras aku jadi termotivasi jd lebih baik di tahun 2023 nantiüòÅüôè</t>
  </si>
  <si>
    <t>tahun ini tahun paling berat tapi setelah liat argentina juara dengan perjuangan sangat keras aku jadi termotivasi lebih baik tahun nanti</t>
  </si>
  <si>
    <t>['tahun', 'tahun', 'paling', 'berat', 'lihat', 'argentina', 'juara', 'perjuangan', 'sangat', 'keras', 'aku', 'jadi', 'termotivasi', 'lebih', 'baik', 'tahun']</t>
  </si>
  <si>
    <t>Argentina Juara Messi Jadi Pemain Terbaik Sepanjang Masa. Untuk Selengkapnya Klik Gambar Dibawah üëá. #lintaspikiran #lintasinfo #INFO   https://t.co/pE5L91s8dA</t>
  </si>
  <si>
    <t>argentina juara messi jadi pemain terbaik sepanjang masa untuk selengkapnya klik gambar dibawah</t>
  </si>
  <si>
    <t>['argentina', 'juara', 'messi', 'jadi', 'pemain', 'terbaik', 'sepanjang', 'masa', 'selengkapnya', 'klik', 'gambar', 'dibawah']</t>
  </si>
  <si>
    <t>@TxtdariHI Meskipun argentina juara dibawah komando messi,tp yg paling berjasa di final ya di maria</t>
  </si>
  <si>
    <t>meskipun argentina juara dibawah komando messi paling berjasa final maria</t>
  </si>
  <si>
    <t>['meskipun', 'argentina', 'juara', 'dibawah', 'komando', 'messi', 'paling', 'berjasa', 'final', 'maria']</t>
  </si>
  <si>
    <t>@urfavbo27865006 @yaudaiyhh @ilysmlevii @idextratime @jfelixdiaz taro Ronaldo argentina pun belum tentu juara ,padahal di WC kali ini materi pemain Portugal di atas Argentina wkwkwk</t>
  </si>
  <si>
    <t>taro ronaldo argentina pun belum tentu juara padahal kali ini materi pemain portugal atas argentina wkwkwk</t>
  </si>
  <si>
    <t>['taro', 'ronaldo', 'argentina', 'juara', 'padahal', 'kali', 'materi', 'pemain', 'portugal', 'atas', 'argentina', 'wkwkwk']</t>
  </si>
  <si>
    <t>Yang juara piala dunia argentina, tapi isi ig, twitter, tiktok bang dodo  üòÇ</t>
  </si>
  <si>
    <t>yang juara piala dunia argentina tapi isi twitter tiktok bang dodo</t>
  </si>
  <si>
    <t>['juara', 'piala', 'dunia', 'argentina', 'isi', 'twitter', 'tiktok', 'bang', 'dodo']</t>
  </si>
  <si>
    <t>@urfavbo27865006 @yaudaiyhh @ilysmlevii @idextratime @jfelixdiaz Taro ronaldo di argentina jg belum tentu juara wkwk, pdhal secara materi pemain portugal bagus semua</t>
  </si>
  <si>
    <t>taro ronaldo argentina belum tentu juara wkwk pdhal secara materi pemain portugal bagus semua</t>
  </si>
  <si>
    <t>['taro', 'ronaldo', 'argentina', 'juara', 'pdhal', 'materi', 'pemain', 'portugal', 'bagus', 'semua']</t>
  </si>
  <si>
    <t>@Heritanjung13 Edan tenan padahal anis tukang ngibul tapi penyambutan Messi dan teamnya atas keberhasilan menjadi juara dunia oleh rakyat Argentina luar biasa  https://t.co/Vy98TJwbGI</t>
  </si>
  <si>
    <t>edan tenan padahal anis tukang ngibul tapi penyambutan messi dan teamnya atas keberhasilan menjadi juara dunia oleh rakyat argentina luar biasa</t>
  </si>
  <si>
    <t>['edan', 'tenan', 'padahal', 'anis', 'tukang', 'ngibul', 'penyambutan', 'messi', 'teamnya', 'atas', 'keberhasilan', 'menjadi', 'juara', 'dunia', 'rakyat', 'argentina', 'luar', 'biasa']</t>
  </si>
  <si>
    <t>@argentina_juara @FWBESS Ya maksudnya kalau misalnya harga apart 3jt, si cewe sejuta sisanya yg 2jt gw, begitu loh sayang, btw dlu gw di apart dket stasiun Juanda 3,5 patungan sama teman cewek gw, dia malah 2,5 gw cuma sejuta, tp gw harus anter jemput dia</t>
  </si>
  <si>
    <t>juara maksudnya kalau misalnya harga apart cewe sejuta sisanya begitu loh sayang btw dlu apart dket stasiun juanda patungan sama teman cewek dia malah cuma sejuta harus anter jemput dia</t>
  </si>
  <si>
    <t>['juara', 'maksudnya', 'kalau', 'misalnya', 'harga', 'apart', 'cewe', 'sejuta', 'sisanya', 'sayang', 'by the way', 'dlu', 'apart', 'dket', 'stasiun', 'juanda', 'patungan', 'sama', 'teman', 'cewek', 'malah', 'cuma', 'sejuta', 'anter', 'jemput']</t>
  </si>
  <si>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</si>
  <si>
    <t>uang biru messi bank sentral argentina berencana menggunakan foto messi sebagai ikon uang cetakan terbaru untuk menghormati jasa argentina yang berhasil meraih juara pildun semoga bisa mengangkat ekonomi argentina yang sedang dilanda krisis via</t>
  </si>
  <si>
    <t>['uang', 'biru', 'messi', 'bank', 'sentral', 'argentina', 'berencana', 'menggunakan', 'foto', 'messi', 'ikon', 'uang', 'cetakan', 'terbaru', 'menghormati', 'jasa', 'argentina', 'berhasil', 'meraih', 'juara', 'piala dunia', 'semoga', 'mengangkat', 'ekonomi', 'argentina', 'sedang', 'dilanda', 'krisis', 'via']</t>
  </si>
  <si>
    <t>2k22 ketolong argentina juara aja selebihnya bad</t>
  </si>
  <si>
    <t>ketolong argentina juara aja selebihnya bad</t>
  </si>
  <si>
    <t>['ketolong', 'argentina', 'juara', 'selebihnya', 'bad']</t>
  </si>
  <si>
    <t>Juara Piala Dunia Argentina Pulang ke Buenos Aires yang Bergembira  https://t.co/dRJTPfRGOw</t>
  </si>
  <si>
    <t>juara piala dunia argentina pulang buenos aires yang bergembira</t>
  </si>
  <si>
    <t>['juara', 'piala', 'dunia', 'argentina', 'pulang', 'buenos', 'aires', 'bergembira']</t>
  </si>
  <si>
    <t>Argentina Juara Piala Dunia, Donna Agnesia Harap Anaknya Bisa Seperti Messi #Jakarta #Messi #Pialadunia #Donnaagnesia #Anaknya  https://t.co/GIjyAbhZ5d</t>
  </si>
  <si>
    <t>argentina juara piala dunia donna agnesia harap anaknya bisa seperti messi</t>
  </si>
  <si>
    <t>['argentina', 'juara', 'piala', 'dunia', 'donna', 'agnesia', 'harap', 'anaknya', 'messi']</t>
  </si>
  <si>
    <t>Timnas Argentina Akhirnya Juara Piala Dunia 2022  https://t.co/Mm8qsUNwzg</t>
  </si>
  <si>
    <t>timnas argentina akhirnya juara piala dunia</t>
  </si>
  <si>
    <t>['timnas', 'argentina', 'akhirnya', 'juara', 'piala', 'dunia']</t>
  </si>
  <si>
    <t>@iniayi__ p, yedam apa tidak mw syukuran argentina juara?</t>
  </si>
  <si>
    <t>yedam apa tidak syukuran argentina juara</t>
  </si>
  <si>
    <t>['yedam', 'apa', 'syukuran', 'argentina', 'juara']</t>
  </si>
  <si>
    <t>@creambruleei @txtdrimedia Pas Argentina juara party di rumah dia 7 hari 7 malam</t>
  </si>
  <si>
    <t>pas argentina juara party rumah dia hari malam</t>
  </si>
  <si>
    <t>['pas', 'argentina', 'juara', 'party', 'rumah', 'hari', 'malam']</t>
  </si>
  <si>
    <t>Lagi dipertimbangkan oleh BCA (bank central Argentina)  Akan ada pecahan uang Peso yang bergambar Leo Messi sebagai bentuk penghargaan sebagai juara dunia  https://t.co/4ID99kwlVQ</t>
  </si>
  <si>
    <t>lagi dipertimbangkan oleh bca bank central argentina akan ada pecahan uang peso yang bergambar leo messi sebagai bentuk penghargaan sebagai juara dunia</t>
  </si>
  <si>
    <t>['dipertimbangkan', 'bca', 'bank', 'central', 'argentina', 'pecahan', 'uang', 'peso', 'bergambar', 'leo', 'messi', 'bentuk', 'penghargaan', 'juara', 'dunia']</t>
  </si>
  <si>
    <t>@FWBESS Coba kabar2, biar di samperin</t>
  </si>
  <si>
    <t>coba kabar biar samperin</t>
  </si>
  <si>
    <t>['coba', 'kabar', 'samperin']</t>
  </si>
  <si>
    <t>@FWBESS Siniii.. gw paling jagoo</t>
  </si>
  <si>
    <t>siniii paling jagoo</t>
  </si>
  <si>
    <t>['siniii', 'paling', 'jagoo']</t>
  </si>
  <si>
    <t>@kaydoph Emg yakin bakal bisa jd sahabat tuh ?? Pasti minta lebih wkwkkw</t>
  </si>
  <si>
    <t>emg yakin bakal bisa sahabat tuh pasti minta lebih wkwkkw</t>
  </si>
  <si>
    <t>['memang', 'yakin', 'bakal', 'sahabat', 'minta', 'lebih', 'wkwkkw']</t>
  </si>
  <si>
    <t>Para Pemain yang berkontribusi besar atas Juara Argentina di Piala Dunia 2022!  https://t.co/mnf39ihkux</t>
  </si>
  <si>
    <t>para pemain yang berkontribusi besar atas juara argentina piala dunia</t>
  </si>
  <si>
    <t>['pemain', 'berkontribusi', 'besar', 'atas', 'juara', 'argentina', 'piala', 'dunia']</t>
  </si>
  <si>
    <t>Ternyata, Sejak Awal Airlangga Hartarto Menjagokan Argentina Juara Piala Dunia 2022 #airlanggahartarto #airlanggapemersatu #airlanggauntukindonesia #partaigolkar #golkarpedia #golkarsolid #AirlanggaPresiden  https://t.co/9jt1I4oqS6</t>
  </si>
  <si>
    <t>ternyata sejak awal airlangga hartarto menjagokan argentina juara piala dunia</t>
  </si>
  <si>
    <t>['ternyata', 'sejak', 'awal', 'airlangga', 'hartarto', 'menjagokan', 'argentina', 'juara', 'piala', 'dunia']</t>
  </si>
  <si>
    <t>@idextratime Halahhh ngeyel Mulu ü§£ memang gitu kalo Argentina juara</t>
  </si>
  <si>
    <t>halahhh ngeyel mulu memang gitu kalo argentina juara</t>
  </si>
  <si>
    <t>['halahhh', 'ngeyel', 'mulu', 'memang', 'gitu', 'argentina', 'juara']</t>
  </si>
  <si>
    <t>@rapijuga @FWBESS Lah elu kan bilang apartemen di jakpus, berarti fix paling mahal sejuta dong bajet cewe nya. Terus lu bilang 1jt sisanya lu yg bayar. Logikanya itu harga 2 juta menurut elu</t>
  </si>
  <si>
    <t>lah elu kan bilang apartemen jakpus berarti fix paling mahal sejuta dong bajet cewe nya terus bilang sisanya bayar logikanya itu harga juta menurut elu</t>
  </si>
  <si>
    <t>['lah', 'elu', 'kan', 'apartemen', 'jakpus', 'berarti', 'fix', 'paling', 'mahal', 'sejuta', 'dong', 'bajet', 'cewe', 'terus', 'sisanya', 'bayar', 'logikanya', 'harga', 'juta', 'elu']</t>
  </si>
  <si>
    <t>Chef viral asal Turki, Salt Bae, menerima ganjaran atas tindakan kurang eloknya yang mengangkat dan mencium trofi Piala Dunia saat Timnas Argentina juara.  https://t.co/Tj2i2QcKXH</t>
  </si>
  <si>
    <t>chef viral asal turki salt bae menerima ganjaran atas tindakan kurang eloknya yang mengangkat dan mencium trofi piala dunia saat timnas argentina juara</t>
  </si>
  <si>
    <t>['chef', 'viral', 'asal', 'turki', 'salt', 'bae', 'menerima', 'ganjaran', 'atas', 'tindakan', 'kurang', 'eloknya', 'mengangkat', 'mencium', 'trofi', 'piala', 'dunia', 'timnas', 'argentina', 'juara']</t>
  </si>
  <si>
    <t>@chameleon235 @Box2BoxBola Trofi memang kepunyaan FIFA, tapi jadi ga lucu semisalnya FIFA minta Argentina balikin trofi karena melanggar regulasinya.</t>
  </si>
  <si>
    <t>trofi memang kepunyaan fifa tapi jadi lucu semisalnya fifa minta argentina balikin trofi karena melanggar regulasinya</t>
  </si>
  <si>
    <t>['trofi', 'memang', 'kepunyaan', 'fifa', 'jadi', 'lucu', 'semisalnya', 'fifa', 'minta', 'argentina', 'balikin', 'trofi', 'melanggar', 'regulasinya']</t>
  </si>
  <si>
    <t>Juara Piala Dunia, Argentina belum mampu menggeser Brasil dari ranking 1 FIFA dalam rilis terbaru bulan Desember  https://t.co/LcmRkCix6Z</t>
  </si>
  <si>
    <t>juara piala dunia argentina belum mampu menggeser brasil dari ranking fifa dalam rilis terbaru bulan desember</t>
  </si>
  <si>
    <t>['juara', 'piala', 'dunia', 'argentina', 'mampu', 'menggeser', 'brasil', 'ranking', 'fifa', 'rilis', 'terbaru', 'bulan', 'desember']</t>
  </si>
  <si>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</si>
  <si>
    <t>gubernur bank argentina mengeluarkan uang baru dengan gambar messi sebagai penghargaan juara dunia bagi argentina messi berperan penting indonesia harusnya bukan hanya nomor seri sesuaikan dgn tanggal lahir nama dll pernikahan kaesang sekalian bikin uang baru</t>
  </si>
  <si>
    <t>['gubernur', 'bank', 'argentina', 'mengeluarkan', 'uang', 'baru', 'gambar', 'messi', 'penghargaan', 'juara', 'dunia', 'argentina', 'messi', 'berperan', 'penting', 'indonesia', 'harusnya', 'bukan', 'nomor', 'seri', 'sesuaikan', 'tanggal', 'lahir', 'nama', 'pernikahan', 'kaesang', 'sekalian', 'uang', 'baru']</t>
  </si>
  <si>
    <t>@beINSPORTSid Kirain yg diitung pemain argentina aja ternyata negara yg pernah juara lainnya jg di hitung üôÑ</t>
  </si>
  <si>
    <t>kirain diitung pemain argentina aja ternyata negara pernah juara lainnya hitung</t>
  </si>
  <si>
    <t>['kirain', 'diitung', 'pemain', 'argentina', 'ternyata', 'negara', 'pernah', 'juara', 'lainnya', 'hitung']</t>
  </si>
  <si>
    <t>Makanya ue bilang apa. Biarkan Maroko yang juara. Ngeyel üôÑ  Selebrasi PENYAMBUTAN TIMNAS ARGENTINA Pemenang PIALA DUNIA BERUJUNG TRAGIS  .  .  Pivot Telkomsel Oren Nahyan Si Doel Anak Sekolahan Soto  https://t.co/eUzxOF3tJP</t>
  </si>
  <si>
    <t>makanya bilang apa biarkan maroko yang juara ngeyel selebrasi penyambutan timnas argentina pemenang piala dunia berujung tragis pivot telkomsel oren nahyan doel anak sekolahan soto</t>
  </si>
  <si>
    <t>['makanya', 'apa', 'biarkan', 'maroko', 'juara', 'ngeyel', 'selebrasi', 'penyambutan', 'timnas', 'argentina', 'pemenang', 'piala', 'dunia', 'berujung', 'tragis', 'pivot', 'telkomsel', 'oren', 'nahyan', 'doel', 'anak', 'sekolahan', 'soto']</t>
  </si>
  <si>
    <t>Ronaldo Nazario Senang Melihat Messi dan Argentina Juara Piala Dunia 2022 Meski Tidak Terlalu Berharap |  https://t.co/vfbMPHok3A</t>
  </si>
  <si>
    <t>ronaldo nazario senang melihat messi dan argentina juara piala dunia meski tidak terlalu berharap</t>
  </si>
  <si>
    <t>['ronaldo', 'nazario', 'senang', 'melihat', 'messi', 'argentina', 'juara', 'piala', 'dunia', 'meski', 'terlalu', 'berharap']</t>
  </si>
  <si>
    <t>Pep Guardiola Puji Lionel Messi Setinggi Langit usai Argentina Juara Piala Dunia: Terbaik Sepanjang Masa #CelebritiesDotID #InfoCelebTerkini   https://t.co/ExuNWV8iks</t>
  </si>
  <si>
    <t>pep guardiola puji lionel messi setinggi langit usai argentina juara piala dunia terbaik sepanjang masa</t>
  </si>
  <si>
    <t>['pep', 'guardiola', 'puji', 'lionel', 'messi', 'setinggi', 'langit', 'usai', 'argentina', 'juara', 'piala', 'dunia', 'terbaik', 'sepanjang', 'masa']</t>
  </si>
  <si>
    <t>@detiksport Lah knapa ga mencontoh argentina aja pa yg jadi juara‚Ä¶..</t>
  </si>
  <si>
    <t>lah knapa mencontoh argentina aja jadi juara</t>
  </si>
  <si>
    <t>['lah', 'kenapa', 'mencontoh', 'argentina', 'jadi', 'juara']</t>
  </si>
  <si>
    <t>"19/12/2022" ( 02 : 00 wib ) lionel messi juara piala dunia 2022 üá¶üá∑üèÜüêê vamos messi  üëëüêê vamos argentina ‚≠ê‚≠ê‚≠ê goat ori üí•üá¶üá∑ #FIFAWorldCup  #FIFAWorldCupQatar2022  https://t.co/JwXZUa0pGq</t>
  </si>
  <si>
    <t>wib lionel messi juara piala dunia vamos messi vamos argentina goat ori</t>
  </si>
  <si>
    <t>['wib', 'lionel', 'messi', 'juara', 'piala', 'dunia', 'vamos', 'messi', 'vamos', 'argentina', 'goat', 'ori']</t>
  </si>
  <si>
    <t>Pelatih Manchester City Pep Guardiola menyebut Lionel Messi tetap menjadi pemain terbaik sepanjang masa atau 'GOAT' meski tak membawa timnas Argentina juara Piala Dunia. | 77577sports #77577sports #pepguardiola #messi #lionelmessi #worldcup #argentina  https://t.co/DMxNYic1a7</t>
  </si>
  <si>
    <t>pelatih manchester city pep guardiola menyebut lionel messi tetap menjadi pemain terbaik sepanjang masa atau goat meski tak membawa timnas argentina juara piala dunia sports</t>
  </si>
  <si>
    <t>['pelatih', 'manchester', 'city', 'pep', 'guardiola', 'menyebut', 'lionel', 'messi', 'tetap', 'menjadi', 'pemain', 'terbaik', 'sepanjang', 'masa', 'goat', 'meski', 'tak', 'membawa', 'timnas', 'argentina', 'juara', 'piala', 'dunia', 'sports']</t>
  </si>
  <si>
    <t>"19/12/2022"  ( 02 : 00 wib ) histroy! argentina juara piala dunia 2022 qatar üèÜüá¶üá∑ vamos messi üêêüí•  #Fifaworldcup2022 #Messi  https://t.co/zPyx0vISgW</t>
  </si>
  <si>
    <t>wib histroy argentina juara piala dunia qatar vamos messi</t>
  </si>
  <si>
    <t>['wib', 'histroy', 'argentina', 'juara', 'piala', 'dunia', 'qatar', 'vamos', 'messi']</t>
  </si>
  <si>
    <t>@labiebsadat Penyelamatan Emi di menit terakhir pas pawan FRA jadi kuncinya, karena mengantarkan Argentina juara dunia.</t>
  </si>
  <si>
    <t>penyelamatan emi menit terakhir pas pawan fra jadi kuncinya karena mengantarkan argentina juara dunia</t>
  </si>
  <si>
    <t>['penyelamatan', 'emi', 'menit', 'terakhir', 'pas', 'pawan', 'fra', 'jadi', 'kuncinya', 'mengantarkan', 'argentina', 'juara', 'dunia']</t>
  </si>
  <si>
    <t>@Hilmi28 Beda sama negara onoh yg jadi juara dunia,di sambut dgn anarki &amp;amp; bugil spt orang2 gila,beda kultur budaya &amp;amp; agama bs dilihat pd rakyatny.maroko negara dgn mayoritas muslim disambut dgn santun &amp;amp; beradab beda halnya dgn argentina yg may</t>
  </si>
  <si>
    <t>beda sama negara onoh jadi juara dunia sambut dgn anarki bugil spt orang gila beda kultur budaya agama dilihat rakyatny maroko negara dgn mayoritas muslim disambut dgn santun beradab beda halnya dgn argentina may</t>
  </si>
  <si>
    <t>['beda', 'sama', 'negara', 'onoh', 'jadi', 'juara', 'dunia', 'sambut', 'anarki', 'bugil', 'spt', 'orang', 'gila', 'beda', 'kultur', 'budaya', 'agama', 'dilihat', 'rakyatny', 'maroko', 'negara', 'mayoritas', 'muslim', 'disambut', 'santun', 'beradab', 'beda', 'halnya', 'argentina', 'may']</t>
  </si>
  <si>
    <t>@argentina_juara @FWBESS Emang gw ada bilang harganya 2jt ya?</t>
  </si>
  <si>
    <t>juara emang ada bilang harganya</t>
  </si>
  <si>
    <t>['juara', 'emang', 'harganya']</t>
  </si>
  <si>
    <t>@liaholyolala @IisRahm67434802 @asmanadia Seandainya Argentina bukan tim yg tdk kreatif maka tak bakalan juara dunia</t>
  </si>
  <si>
    <t>seandainya argentina bukan tim tdk kreatif maka tak bakalan juara dunia</t>
  </si>
  <si>
    <t>['seandainya', 'argentina', 'bukan', 'tim', 'kreatif', 'tak', 'bakalan', 'juara', 'dunia']</t>
  </si>
  <si>
    <t>Argentina juara Piala Dunia FIFA Qatar 2022 naik tangga kedua ranking terbaharu Persekutuan Persatuan Bola Sepak Antarabangsa (FIFA). üá¶üá∑‚≠ê‚≠ê‚≠ê  https://t.co/Iqr2y2ZOrC</t>
  </si>
  <si>
    <t>argentina juara piala dunia fifa qatar naik tangga kedua ranking terbaharu persekutuan persatuan bola sepak antarabangsa fifa</t>
  </si>
  <si>
    <t>['argentina', 'juara', 'piala', 'dunia', 'fifa', 'qatar', 'naik', 'tangga', 'kedua', 'ranking', 'terbaharu', 'persekutuan', 'persatuan', 'bola', 'sepak', 'antarabangsa', 'fifa']</t>
  </si>
  <si>
    <t>@bungebangke Kak boleh minta rr buat LC sma bo nya gak ??</t>
  </si>
  <si>
    <t>kak boleh minta buat sma nya gak</t>
  </si>
  <si>
    <t>['kak', 'minta', 'buat', 'sma']</t>
  </si>
  <si>
    <t>@ansehfeldm @thestorykids Rungkaddd rungkadddd</t>
  </si>
  <si>
    <t>rungkaddd rungkadddd</t>
  </si>
  <si>
    <t>['rungkaddd', 'rungkadddd']</t>
  </si>
  <si>
    <t>Bank Argentina Mau Rilis Uang Kertas Lionel Messi Usai Juara Dunia  https://t.co/Vq7bGp2PAJ</t>
  </si>
  <si>
    <t>bank argentina mau rilis uang kertas lionel messi usai juara dunia</t>
  </si>
  <si>
    <t>['bank', 'argentina', 'mau', 'rilis', 'uang', 'kertas', 'lionel', 'messi', 'usai', 'juara', 'dunia']</t>
  </si>
  <si>
    <t>@rapijuga @FWBESS Emang ada bang apart di jakpus sebulan 2 JT ??</t>
  </si>
  <si>
    <t>emang ada bang apart jakpus sebulan</t>
  </si>
  <si>
    <t>['emang', 'bang', 'apart', 'jakpus', 'sebulan']</t>
  </si>
  <si>
    <t>Argentina Juara Dunia, Kota Ini Larang Ortu Beri Nama Anak 'Messi'  https://t.co/GakDGaVbi2  https://t.co/rsVSStEkmr</t>
  </si>
  <si>
    <t>argentina juara dunia kota ini larang ortu beri nama anak messi</t>
  </si>
  <si>
    <t>['argentina', 'juara', 'dunia', 'kota', 'larang', 'ortu', 'beri', 'nama', 'anak', 'messi']</t>
  </si>
  <si>
    <t>nama Mbappe akan selalu menjadi catatan kaki yg tebal utk Argentina. sebab Mbappe gelar juara  itu hrs melalui adu penalti dan Mbappe mencatat Hatrick.</t>
  </si>
  <si>
    <t>nama mbappe akan selalu menjadi catatan kaki tebal utk argentina sebab mbappe gelar juara itu hrs melalui adu penalti dan mbappe mencatat hatrick</t>
  </si>
  <si>
    <t>['nama', 'mbappe', 'selalu', 'menjadi', 'catatan', 'kaki', 'tebal', 'argentina', 'mbappe', 'gelar', 'juara', 'hrs', 'melalui', 'adu', 'penalti', 'mbappe', 'mencatat', 'hatrick']</t>
  </si>
  <si>
    <t>Bank Sentral Argentina (BCRA) akan memberikan penghargaan khusus kepada Lionel Messi.  Foto Lionel Messi dikabarkan akan muncul di uang kertas Argentina setelah menjadi juara Piala Dunia 2022. üêê  https://t.co/y6fTSZCNh8</t>
  </si>
  <si>
    <t>bank sentral argentina bcra akan memberikan penghargaan khusus kepada lionel messi foto lionel messi dikabarkan akan muncul uang kertas argentina setelah menjadi juara piala dunia</t>
  </si>
  <si>
    <t>['bank', 'sentral', 'argentina', 'bcra', 'memberikan', 'penghargaan', 'khusus', 'lionel', 'messi', 'foto', 'lionel', 'messi', 'dikabarkan', 'muncul', 'uang', 'kertas', 'argentina', 'menjadi', 'juara', 'piala', 'dunia']</t>
  </si>
  <si>
    <t>Bank Sentral Argentina (BCRA) akan memberikan penghargaan khusus kepada Lionel Messi.  Foto Lionel Messi dikabarkan akan muncul di uang kertas Argentina setelah menjadi juara Piala Dunia 2022. üêê  https://t.co/iyD3Bwy2hz</t>
  </si>
  <si>
    <t>ü´°EL TULA:‚≠ê‚≠ê‚≠ê  Sosok yang menggebuk drum ini adalah Carlos Tula. Dia selalu mengikuti secara langsung perjalanan Timnas Argentina sejak Piala Dunia 1974!  Kini, pria berusia 82 tahun ini telah menjadi saksi langsung Argentina juara sebanyak tiga kaliüëë  https://t.co/McIRIiBz0h</t>
  </si>
  <si>
    <t>tula sosok yang menggebuk drum ini adalah carlos tula dia selalu mengikuti secara langsung perjalanan timnas argentina sejak piala dunia kini pria berusia tahun ini telah menjadi saksi langsung argentina juara sebanyak tiga kali</t>
  </si>
  <si>
    <t>['tula', 'sosok', 'menggebuk', 'drum', 'carlos', 'tula', 'selalu', 'mengikuti', 'langsung', 'perjalanan', 'timnas', 'argentina', 'sejak', 'piala', 'dunia', 'kini', 'pria', 'berusia', 'tahun', 'menjadi', 'saksi', 'langsung', 'argentina', 'juara', 'sebanyak', 'tiga', 'kali']</t>
  </si>
  <si>
    <t>Heboh, Wajah Lionel Messi Bakal Terpampang di Mata Uang Argentina: Setelah membawa tim nasional Argentina menjadi juara Piala Dunia 2022 di Qatar, bintang negara tersebut Lionel Messi bakal‚Ä¶  https://t.co/qUs4hHolQ9 #News #LionelMessi #parissaintgermain #juarapialadunia2022</t>
  </si>
  <si>
    <t>heboh wajah lionel messi bakal terpampang mata uang argentina setelah membawa tim nasional argentina menjadi juara piala dunia qatar bintang negara tersebut lionel messi bakal</t>
  </si>
  <si>
    <t>['heboh', 'wajah', 'lionel', 'messi', 'bakal', 'terpampang', 'mata', 'uang', 'argentina', 'membawa', 'tim', 'nasional', 'argentina', 'menjadi', 'juara', 'piala', 'dunia', 'qatar', 'bintang', 'negara', 'tersebut', 'lionel', 'messi', 'bakal']</t>
  </si>
  <si>
    <t>Harus jadi penyerang handal yang bawa negara argentina juara piala dunia wkwk</t>
  </si>
  <si>
    <t>harus jadi penyerang handal yang bawa negara argentina juara piala dunia wkwk</t>
  </si>
  <si>
    <t>['jadi', 'penyerang', 'handal', 'bawa', 'negara', 'argentina', 'juara', 'piala', 'dunia']</t>
  </si>
  <si>
    <t>@FebriYafi1 @NujYek @yousufadrian @idextratime @Alan15879866 Idih wkwkw gw fans argentina dari sebelum messi, dari jaman saviola. Lah elu ngefans dodo pas madrid juara ucl 3x kan? Skrng ngefans mbappe karna gasuka messi aja halah</t>
  </si>
  <si>
    <t>idih wkwkw fans argentina dari sebelum messi dari jaman saviola lah elu ngefans dodo pas madrid juara ucl kan skrng ngefans mbappe karna gasuka messi aja halah</t>
  </si>
  <si>
    <t>['idih', 'wkwkw', 'fans', 'argentina', 'messi', 'jaman', 'saviola', 'lah', 'elu', 'ngefans', 'dodo', 'pas', 'madrid', 'juara', 'ucl', 'kan', 'skrng', 'ngefans', 'mbappe', 'karna', 'gasuka', 'messi', 'halah']</t>
  </si>
  <si>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</si>
  <si>
    <t>sebanyak negara yang jadi tuan rumah piala dunia akan diulas okezone setelah argentina menjadi juara piala dunia pada senin november dini hari wib selanjutnya bakal digelar piala dunia jumlah negara peserta yang ambil bagian piala dunia</t>
  </si>
  <si>
    <t>['sebanyak', 'negara', 'jadi', 'tuan', 'rumah', 'piala', 'dunia', 'diulas', 'okezone', 'argentina', 'menjadi', 'juara', 'piala', 'dunia', 'senin', 'november', 'dini', 'hari', 'wib', 'selanjutnya', 'bakal', 'digelar', 'piala', 'dunia', 'jumlah', 'negara', 'peserta', 'ambil', 'bagian', 'piala', 'dunia']</t>
  </si>
  <si>
    <t>May be Cristiano Ronaldo Junior üôè</t>
  </si>
  <si>
    <t>may cristiano ronaldo junior</t>
  </si>
  <si>
    <t>['may', 'cristiano', 'ronaldo', 'junior']</t>
  </si>
  <si>
    <t>Pesta kemenangan Timnas Argentina usai juara Piala Dunia 2022 di Buenos Aires berakhir kacau hingga menimbulkan korban jiwa. #kumparanBOLA  https://t.co/rQiopLsBc5</t>
  </si>
  <si>
    <t>pesta kemenangan timnas argentina usai juara piala dunia buenos aires berakhir kacau hingga menimbulkan korban jiwa</t>
  </si>
  <si>
    <t>['pesta', 'kemenangan', 'timnas', 'argentina', 'usai', 'juara', 'piala', 'dunia', 'buenos', 'aires', 'berakhir', 'kacau', 'hingga', 'menimbulkan', 'korban', 'jiwa']</t>
  </si>
  <si>
    <t>@kontralevel1978 @idextratime Penalti juga bagiab dari sepakbola wkwkwk,argentina tetap juara dunia hahaha</t>
  </si>
  <si>
    <t>penalti juga bagiab dari sepakbola wkwkwk argentina tetap juara dunia hahaha</t>
  </si>
  <si>
    <t>['penalti', 'bagiab', 'sepakbola', 'wkwkwk', 'argentina', 'tetap', 'juara', 'dunia', 'hahaha']</t>
  </si>
  <si>
    <t>Argentina Juara Dunia, Kota Ini Larang Ortu Beri Nama Anak 'Messi'  https://t.co/y7iEJFXSDP</t>
  </si>
  <si>
    <t>Sukses Jadi Juara, Begini Perjalanan Argentina di Piala Dunia 2022  https://t.co/9X2FhM78t2  https://t.co/HSqvZTVsxL</t>
  </si>
  <si>
    <t>sukses jadi juara begini perjalanan argentina piala dunia</t>
  </si>
  <si>
    <t>['sukses', 'jadi', 'juara', 'begini', 'perjalanan', 'argentina', 'piala', 'dunia']</t>
  </si>
  <si>
    <t>@idextratime Ini bagi orang orang yang ngga terima kalo argentina juaraüí¶</t>
  </si>
  <si>
    <t>ini bagi orang orang yang ngga terima kalo argentina juara</t>
  </si>
  <si>
    <t>['orang', 'orang', 'ngga', 'terima', 'argentina', 'juara']</t>
  </si>
  <si>
    <t>#SaltBae menjadi pusat kontroversi usai ikut turun ke lapangan saat perayaan juara #Argentina di #PialaDunia2022    https://t.co/cFhcI7zafA</t>
  </si>
  <si>
    <t>menjadi pusat kontroversi usai ikut turun lapangan saat perayaan juara</t>
  </si>
  <si>
    <t>['menjadi', 'pusat', 'kontroversi', 'usai', 'ikut', 'turun', 'lapangan', 'perayaan', 'juara']</t>
  </si>
  <si>
    <t>Gw pas final world cup kmaren aslinya juga gak ntn, karena batas tayangannya berkendala dan gw pun juga asal tebak klo argentina bakal juara  Jujur, gw support tim argentina dari world cup 2006 dan 2010, yg 2014 dan 2018 gak ngikutin krna emng kecewa berat pasti gk lolos final.</t>
  </si>
  <si>
    <t>pas final world cup kmaren aslinya juga gak ntn karena batas tayangannya berkendala dan pun juga asal tebak klo argentina bakal juara jujur support tim argentina dari world cup dan dan gak ngikutin krna emng kecewa berat pasti lolos final</t>
  </si>
  <si>
    <t>['pas', 'final', 'world', 'cup', 'kmaren', 'aslinya', 'ntn', 'batas', 'tayangannya', 'berkendala', 'asal', 'tebak', 'argentina', 'bakal', 'juara', 'jujur', 'support', 'tim', 'argentina', 'world', 'cup', 'ngikutin', 'krna', 'memang', 'kecewa', 'berat', 'lolos', 'final']</t>
  </si>
  <si>
    <t>Sosok Luciana Salazar Eks Selingkuhan Lionel Messi Hadir Saat Argentina Juara  https://t.co/ktfKLEFAPc</t>
  </si>
  <si>
    <t>sosok luciana salazar eks selingkuhan lionel messi hadir saat argentina juara</t>
  </si>
  <si>
    <t>['sosok', 'luciana', 'salazar', 'eks', 'selingkuhan', 'lionel', 'messi', 'hadir', 'argentina', 'juara']</t>
  </si>
  <si>
    <t>Top 3 Berita Bola: Parade Juara Piala Dunia 2022 Dihentikan Lebih Awal, Pemain Argentina Diangkut Helikopter  https://t.co/HPwRYgj8fz</t>
  </si>
  <si>
    <t>top berita bola parade juara piala dunia dihentikan lebih awal pemain argentina diangkut helikopter</t>
  </si>
  <si>
    <t>['top', 'berita', 'bola', 'parade', 'juara', 'piala', 'dunia', 'dihentikan', 'lebih', 'awal', 'pemain', 'argentina', 'diangkut', 'helikopter']</t>
  </si>
  <si>
    <t>@Er1cMUFC @utdfocusid Mentang' bawa juara argentina üòÇ</t>
  </si>
  <si>
    <t>mentang bawa juara argentina</t>
  </si>
  <si>
    <t>['mentang', 'bawa', 'juara', 'argentina']</t>
  </si>
  <si>
    <t>@rgfauzzzz @BetaKopites 0 gol 0 assist. argentina juara cuma karena penalti. 120jt. haha lawak</t>
  </si>
  <si>
    <t>gol assist argentina juara cuma karena penalti haha lawak</t>
  </si>
  <si>
    <t>['gol', 'assist', 'argentina', 'juara', 'cuma', 'penalti', 'haha', 'lawak']</t>
  </si>
  <si>
    <t>Sukses Jadi Juara, Begini Perjalanan Argentina di Piala Dunia 2022  https://t.co/0l7gorGM6i  https://t.co/QauCl0xZPQ</t>
  </si>
  <si>
    <t>Perayaan Argentina juara jadi parade tete aka 99, Mrs.V, bahkan ada yg bugil heuheu~~~  (Dapet dari grup WA)  https://t.co/bU9ordTDCp</t>
  </si>
  <si>
    <t>perayaan argentina juara jadi parade tete aka mrs bahkan ada bugil heuheu dapet dari grup</t>
  </si>
  <si>
    <t>['perayaan', 'argentina', 'juara', 'jadi', 'parade', 'tete', 'aka', 'mrs', 'bahkan', 'bugil', 'heuheu', 'dapat', 'grup']</t>
  </si>
  <si>
    <t xml:space="preserve">@idextratime Besok bw juga mau cari2 alasan lah atau bikin fakta2 sendri kalo Argentina juara nya di setting,,,, Huft...wajarlah klo yg bikin opini2 kyk gtu bukan pendukung argentina,,, ntr maroko yg juara bikin opini inilah,,senegal yg juara bikin opini </t>
  </si>
  <si>
    <t>besok juga mau cari alasan lah atau bikin fakta sendri kalo argentina juara nya setting huft wajarlah klo bikin opini kyk gtu bukan pendukung argentina ntr maroko juara bikin opini inilah senegal juara bikin opini</t>
  </si>
  <si>
    <t>['besok', 'mau', 'cari', 'alasan', 'lah', 'fakta', 'sendri', 'argentina', 'juara', 'setting', 'huft', 'wajarlah', 'opini', 'seperti', 'gtu', 'bukan', 'pendukung', 'argentina', 'ntr', 'maroko', 'juara', 'opini', 'inilah', 'senegal', 'juara', 'opini']</t>
  </si>
  <si>
    <t>@idextratime Gw ngerti nya argentina juara dunia min tapi banyak yang sewot ü§£</t>
  </si>
  <si>
    <t>ngerti nya argentina juara dunia min tapi banyak yang sewot</t>
  </si>
  <si>
    <t>['ngerti', 'argentina', 'juara', 'dunia', 'min', 'banyak', 'sewot']</t>
  </si>
  <si>
    <t>Kenapa bukan Pak De? Sejak habibi jadi presiden, baru jaman pak De argentina biasa juara, kenapa harus messi?</t>
  </si>
  <si>
    <t>kenapa bukan pak sejak habibi jadi presiden baru jaman pak argentina biasa juara kenapa harus messi</t>
  </si>
  <si>
    <t>['bukan', 'pak', 'sejak', 'habibi', 'jadi', 'presiden', 'baru', 'jaman', 'pak', 'argentina', 'biasa', 'juara', 'messi']</t>
  </si>
  <si>
    <t>@notyourownbae juara dunia sih argentina kamu sih juara dihatiku selamanya</t>
  </si>
  <si>
    <t>juara dunia sih argentina kamu sih juara dihatiku selamanya</t>
  </si>
  <si>
    <t>['juara', 'dunia', 'argentina', 'kamu', 'juara', 'dihatiku', 'selamanya']</t>
  </si>
  <si>
    <t>Sukses Jadi Juara, Begini Perjalanan Argentina di Piala Dunia 2022  https://t.co/1BMd0470tK</t>
  </si>
  <si>
    <t>Timnas Argentina Juara Piala Dunia 2022  https://t.co/rFLmK033Be</t>
  </si>
  <si>
    <t>timnas argentina juara piala dunia</t>
  </si>
  <si>
    <t>['timnas', 'argentina', 'juara', 'piala', 'dunia']</t>
  </si>
  <si>
    <t>@Edytawang @dwioktariyadi @GagakNew @Muhadjir_M @WagimanDeep_IX @hayder_imron @KaosJayanti @setro_gm Inih di argentina Stelah perayaan juara piala dunia</t>
  </si>
  <si>
    <t>imron inih argentina stelah perayaan juara piala dunia</t>
  </si>
  <si>
    <t>['imron', 'inih', 'argentina', 'stelah', 'perayaan', 'juara', 'piala', 'dunia']</t>
  </si>
  <si>
    <t>Messi angkat Piala wujudkan impiannya, Timnas Argentina menangkan juara Piala Dunia 2022.  https://t.co/03eyTehBRU</t>
  </si>
  <si>
    <t>messi angkat piala wujudkan impiannya timnas argentina menangkan juara piala dunia</t>
  </si>
  <si>
    <t>['messi', 'angkat', 'piala', 'wujudkan', 'impiannya', 'timnas', 'argentina', 'menangkan', 'juara', 'piala', 'dunia']</t>
  </si>
  <si>
    <t>Momen Gol Lionel Messi di Piala Dunia 2022, Bawa Argentina Juara!  https://t.co/Htdcnn6JtI</t>
  </si>
  <si>
    <t>momen gol lionel messi piala dunia bawa argentina juara</t>
  </si>
  <si>
    <t>['momen', 'gol', 'lionel', 'messi', 'piala', 'dunia', 'bawa', 'argentina', 'juara']</t>
  </si>
  <si>
    <t>Naib Juara edisi lepas akan memulakan aksi mereka petang ini. Mampukah rentangan sayapnya garuda mendonia untuk edisi 2022 ini?  Argentina boleh, takkan Indonesia tak mau menang kanüáÆüá©  https://t.co/lcR3MXweWs</t>
  </si>
  <si>
    <t>naib juara edisi lepas akan memulakan aksi mereka petang ini mampukah rentangan sayapnya garuda mendonia untuk edisi ini argentina boleh takkan indonesia tak mau menang kan</t>
  </si>
  <si>
    <t>['naib', 'juara', 'edisi', 'lepas', 'memulakan', 'aksi', 'petang', 'mampukah', 'rentangan', 'sayapnya', 'garuda', 'mendonia', 'edisi', 'argentina', 'takkan', 'indonesia', 'tak', 'mau', 'menang', 'kan']</t>
  </si>
  <si>
    <t>@PNS_Ababil messi kemaren kenapa gak diangkat pns ya bil, padahal udah berjasa bawa argentina juara. üòå</t>
  </si>
  <si>
    <t>ababil messi kemaren kenapa gak diangkat pns bil padahal udah berjasa bawa argentina juara</t>
  </si>
  <si>
    <t>['ababil', 'messi', 'kemarin', 'diangkat', 'pns', 'bil', 'padahal', 'udah', 'berjasa', 'bawa', 'argentina', 'juara']</t>
  </si>
  <si>
    <t>Juara  Piala Dunia 1978, 1986, dan 2022 sama-sama pelipur lara dari kesakitan yang mengjangkit bangsa Argentina. Lalu, aku tanya saat Space 2 hari yg lalu dengan mas @HAI_INDO , "Juara pada thn brp yg lebih bermakna?", lalu dijawab oleh masnya dgn penuh kecermatan üòÅ</t>
  </si>
  <si>
    <t>juara piala dunia dan sama sama pelipur lara dari kesakitan yang mengjangkit bangsa argentina lalu aku tanya saat space hari lalu dengan mas indo juara pada thn brp lebih bermakna lalu dijawab oleh masnya dgn penuh kecermatan</t>
  </si>
  <si>
    <t>['juara', 'piala', 'dunia', 'sama', 'sama', 'pelipur', 'lara', 'kesakitan', 'mengjangkit', 'bangsa', 'argentina', 'lalu', 'aku', 'tanya', 'space', 'hari', 'lalu', 'mas', 'indo', 'juara', 'thn', 'brp', 'lebih', 'bermakna', 'lalu', 'dijawab', 'masnya', 'penuh', 'kecermatan']</t>
  </si>
  <si>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</si>
  <si>
    <t>keberhasilan argentina merengkuh juara piala dunia membuat badan pengatur keuangan argentina berencana untuk mengabadikan wajah messi dalam mata uang peso argentina wajah messi akan muncul pada uang kertas pecahan peso argentina</t>
  </si>
  <si>
    <t>['keberhasilan', 'argentina', 'merengkuh', 'juara', 'piala', 'dunia', 'membuat', 'badan', 'pengatur', 'keuangan', 'argentina', 'berencana', 'mengabadikan', 'wajah', 'messi', 'mata', 'uang', 'peso', 'argentina', 'wajah', 'messi', 'muncul', 'uang', 'kertas', 'pecahan', 'peso', 'argentina']</t>
  </si>
  <si>
    <t>Manajer Manchester City Pep Guardiola turut senang dengan keberhasilan Argentina juara Piala Dunia 2022. Sebab, Lionel Messi pantas mendapatkannya! #juaraboladunia    https://t.co/x88wESxE4h</t>
  </si>
  <si>
    <t>manajer manchester city pep guardiola turut senang dengan keberhasilan argentina juara piala dunia sebab lionel messi pantas mendapatkannya</t>
  </si>
  <si>
    <t>['manajer', 'manchester', 'city', 'pep', 'guardiola', 'turut', 'senang', 'keberhasilan', 'argentina', 'juara', 'piala', 'dunia', 'lionel', 'messi', 'pantas', 'mendapatkannya']</t>
  </si>
  <si>
    <t>@realmadridindo1 fans messi argentina juara dunia seneng (obviously), fans barsa biasanya gak seneng soalnya dukungnya timnas belanda</t>
  </si>
  <si>
    <t>fans messi argentina juara dunia seneng obviously fans barsa biasanya gak seneng soalnya dukungnya timnas belanda</t>
  </si>
  <si>
    <t>['fans', 'messi', 'argentina', 'juara', 'dunia', 'seneng', 'obviously', 'fans', 'barsa', 'biasanya', 'seneng', 'soalnya', 'dukungnya', 'timnas', 'belanda']</t>
  </si>
  <si>
    <t>Argentina Juara Piala Dunia, Fan Cukur Rambut Klien Pakai Wajah Messi  https://t.co/gCtXUMxHwL</t>
  </si>
  <si>
    <t>argentina juara piala dunia fan cukur rambut klien pakai wajah messi</t>
  </si>
  <si>
    <t>['argentina', 'juara', 'piala', 'dunia', 'fan', 'cukur', 'rambut', 'klien', 'pakai', 'wajah', 'messi']</t>
  </si>
  <si>
    <t>Kehebohan Messi Sampai Kampung Halaman Usai Jadi Juara Dunia, Disambut Seperti Pahlawan  #leomessi #Argentina #PialaDunia2022   https://t.co/khvl81MlPZ</t>
  </si>
  <si>
    <t>kehebohan messi sampai kampung halaman usai jadi juara dunia disambut seperti pahlawan</t>
  </si>
  <si>
    <t>['kehebohan', 'messi', 'kampung', 'halaman', 'usai', 'jadi', 'juara', 'dunia', 'disambut', 'pahlawan']</t>
  </si>
  <si>
    <t>Timnas Argentina Rayakan Kemenangan di Atas Bus Terbuka yang Disiapkan Qatar untuk Sang Juara  https://t.co/ZMcsCvlQJc</t>
  </si>
  <si>
    <t>timnas argentina rayakan kemenangan atas bus terbuka yang disiapkan qatar untuk sang juara</t>
  </si>
  <si>
    <t>['timnas', 'argentina', 'rayakan', 'kemenangan', 'atas', 'bus', 'terbuka', 'disiapkan', 'qatar', 'sang', 'juara']</t>
  </si>
  <si>
    <t>@realmadridindo1 Barca harusnya 13 Kan Messi juara sama Argentina?</t>
  </si>
  <si>
    <t>barca harusnya kan messi juara sama argentina</t>
  </si>
  <si>
    <t>['barca', 'harusnya', 'kan', 'messi', 'juara', 'sama', 'argentina']</t>
  </si>
  <si>
    <t>#LionelMessi saat ini tengah menikmati liburan usai juara #PialaDunia2022   #Argentina   https://t.co/pykrSEUM9U</t>
  </si>
  <si>
    <t>saat ini tengah menikmati liburan usai juara</t>
  </si>
  <si>
    <t>['tengah', 'menikmati', 'liburan', 'usai', 'juara']</t>
  </si>
  <si>
    <t>Manajer Manchester City Pep Guardiola turut senang dengan keberhasilan Argentina juara Piala Dunia 2022. Sebab, Lionel Messi pantas mendapatkannya! #juaraboladunia    https://t.co/Qv5ptxkzWi</t>
  </si>
  <si>
    <t>Manchester City punya Erling Haaland yang sudah tocker gol dan Julian Alvarez yang bawa Argentina juara Piala Dunia 2022. Kata Cesc Fabregas, nggak adil tuh!   https://t.co/b98PzUb235</t>
  </si>
  <si>
    <t>manchester city punya erling haaland yang sudah tocker gol dan julian alvarez yang bawa argentina juara piala dunia kata cesc fabregas nggak adil tuh</t>
  </si>
  <si>
    <t>['manchester', 'city', 'punya', 'erling', 'haaland', 'tocker', 'gol', 'julian', 'alvarez', 'bawa', 'argentina', 'juara', 'piala', 'dunia', 'kata', 'cesc', 'fabregas', 'adil']</t>
  </si>
  <si>
    <t>5 Pemain Berperan Besar Bawa Argentina Juara, Ternyata Main di Liga Inggris!   https://t.co/OftwggMRO9</t>
  </si>
  <si>
    <t>pemain berperan besar bawa argentina juara ternyata main liga inggris</t>
  </si>
  <si>
    <t>['pemain', 'berperan', 'besar', 'bawa', 'argentina', 'juara', 'ternyata', 'main', 'liga', 'inggris']</t>
  </si>
  <si>
    <t>Juara Piala Dunia 2022, Argentina Dapat Hadiah dan Bonus yang¬†Fantastis  https://t.co/4uoYbVoiDx</t>
  </si>
  <si>
    <t>juara piala dunia argentina dapat hadiah dan bonus yang fantastis</t>
  </si>
  <si>
    <t>['juara', 'piala', 'dunia', 'argentina', 'hadiah', 'bonus', 'fantastis']</t>
  </si>
  <si>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</si>
  <si>
    <t>kami sangat senang untuk julian alvarez selamat untuk dia dan otamendi secara pribadi untuk messi untuk argentina memang layak kami senang untuk julian dia banyak bermain kontribusinya luar biasa kami memiliki juara dunia tim kami pep guardiola</t>
  </si>
  <si>
    <t>['sangat', 'senang', 'julian', 'alvarez', 'selamat', 'otamendi', 'pribadi', 'messi', 'argentina', 'memang', 'layak', 'senang', 'julian', 'banyak', 'bermain', 'kontribusinya', 'luar', 'biasa', 'memiliki', 'juara', 'dunia', 'tim', 'pep', 'guardiola']</t>
  </si>
  <si>
    <t>Akun Twitter resmi FIFA sempat menjadi sorotan ketika mereka mengucapkan selamat kepada Lionel Messi yang telah berhasil mengantarkan Timnas Argentina juara Piala Dunia 2022.  https://t.co/oRqX4IDSH0</t>
  </si>
  <si>
    <t>akun twitter resmi fifa sempat menjadi sorotan ketika mereka mengucapkan selamat kepada lionel messi yang telah berhasil mengantarkan timnas argentina juara piala dunia</t>
  </si>
  <si>
    <t>['akun', 'twitter', 'resmi', 'fifa', 'sempat', 'menjadi', 'sorotan', 'mengucapkan', 'selamat', 'lionel', 'messi', 'berhasil', 'mengantarkan', 'timnas', 'argentina', 'juara', 'piala', 'dunia']</t>
  </si>
  <si>
    <t>Jgn minder jadi warga +62  D Argentina, juara dunia aja d arak pake mobil Damkar.</t>
  </si>
  <si>
    <t>jgn minder jadi warga argentina juara dunia aja arak pake mobil damkar</t>
  </si>
  <si>
    <t>['minder', 'jadi', 'warga', 'argentina', 'juara', 'dunia', 'arak', 'pake', 'mobil', 'damkar']</t>
  </si>
  <si>
    <t>Puang Raju warga Limboro Sulbar beri nama cucu pertamanya Muhammad Messi setelah Argentina juara Piala Dunia  https://t.co/xi9Sky0QlF</t>
  </si>
  <si>
    <t>puang raju warga limboro sulbar beri nama cucu pertamanya muhammad messi setelah argentina juara piala dunia</t>
  </si>
  <si>
    <t>['puang', 'raju', 'warga', 'limboro', 'sulbar', 'beri', 'nama', 'cucu', 'pertamanya', 'muhammad', 'messi', 'argentina', 'juara', 'piala', 'dunia']</t>
  </si>
  <si>
    <t>2022 cuma ketolong argentina juara aja</t>
  </si>
  <si>
    <t>cuma ketolong argentina juara aja</t>
  </si>
  <si>
    <t>['cuma', 'ketolong', 'argentina', 'juara']</t>
  </si>
  <si>
    <t>@idextratime gak ada faedahnya ni akun. Keliatan neh akun fans nya CR7, gak mau banget Argentina juara..</t>
  </si>
  <si>
    <t>gak ada faedahnya akun keliatan neh akun fans nya gak mau banget argentina juara</t>
  </si>
  <si>
    <t>['faedahnya', 'akun', 'keliatan', 'neh', 'akun', 'fans', 'mau', 'banget', 'argentina', 'juara']</t>
  </si>
  <si>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</si>
  <si>
    <t>mario kempes berhasil untuk kali pertama mencatatkan sejarah buat argentina menjadi juara piala dunia kemudian dilanjutkan dengan kegemilangan diego armando maradona tahun hingga kini akhirnya lionel messi kembali membikin rakyat negeri tango menangis terharu</t>
  </si>
  <si>
    <t>['mario', 'kempes', 'berhasil', 'kali', 'pertama', 'mencatatkan', 'sejarah', 'buat', 'argentina', 'menjadi', 'juara', 'piala', 'dunia', 'kemudian', 'dilanjutkan', 'kegemilangan', 'diego', 'armando', 'maradona', 'tahun', 'hingga', 'kini', 'akhirnya', 'lionel', 'messi', 'membikin', 'rakyat', 'negeri', 'tango', 'menangis', 'terharu']</t>
  </si>
  <si>
    <t>@idextratime Bisa jadi.. Selebrasi Argentina dan Messi terlalu over dan lebay.. Pakai hina2 peserta yang lain.. Brazil juara lima kali, Jerman &amp;amp; Italy 4 kali, selebrasinya biasa aja tuh..</t>
  </si>
  <si>
    <t>bisa jadi selebrasi argentina dan messi terlalu over dan lebay pakai hina peserta yang lain brazil juara lima kali jerman italy kali selebrasinya biasa aja tuh</t>
  </si>
  <si>
    <t>['jadi', 'selebrasi', 'argentina', 'messi', 'terlalu', 'over', 'lebay', 'pakai', 'hina', 'peserta', 'brazil', 'juara', 'lima', 'kali', 'jerman', 'italy', 'kali', 'selebrasinya', 'biasa']</t>
  </si>
  <si>
    <t>@BetaKopites Overprice, inget argentina juara karena dapet penalti tiap pertandingan. Bukan karena mainnya bagus ü§™</t>
  </si>
  <si>
    <t>overprice inget argentina juara karena dapet penalti tiap pertandingan bukan karena mainnya bagus</t>
  </si>
  <si>
    <t>['overprice', 'inget', 'argentina', 'juara', 'dapat', 'penalti', 'tiap', 'pertandingan', 'bukan', 'mainnya', 'bagus']</t>
  </si>
  <si>
    <t>@Bolanet Yg penting mah JUARA nya ARGENTINA</t>
  </si>
  <si>
    <t>penting mah juara nya argentina</t>
  </si>
  <si>
    <t>['penting', 'mah', 'juara', 'argentina']</t>
  </si>
  <si>
    <t>@FebriYafi1 @idextratime @Alan15879866 diberakin apanya dah kan yg juara Argentina üòÇüòÇüòÇ</t>
  </si>
  <si>
    <t>diberakin apanya dah kan juara argentina</t>
  </si>
  <si>
    <t>['diberakin', 'apanya', 'dah', 'kan', 'juara', 'argentina']</t>
  </si>
  <si>
    <t>Tapi harus diakui tampak jelas banget di World Cup 2022 beda dengan yang sebelum2nya. Messi ga lagi ngegendong Argentina, tapi semua pemain Argentina ngepush Messi, dampingi Messi, lindungin Messi, pokoknya Argentina harus juara salah satunya demi Messi</t>
  </si>
  <si>
    <t>tapi harus diakui tampak jelas banget world cup beda dengan yang sebelum nya messi lagi ngegendong argentina tapi semua pemain argentina ngepush messi dampingi messi lindungin messi pokoknya argentina harus juara salah satunya demi messi</t>
  </si>
  <si>
    <t>['diakui', 'tampak', 'jelas', 'banget', 'world', 'cup', 'beda', 'messi', 'ngegendong', 'argentina', 'semua', 'pemain', 'argentina', 'ngepush', 'messi', 'dampingi', 'messi', 'lindungin', 'messi', 'pokoknya', 'argentina', 'juara', 'salah', 'satunya', 'messi']</t>
  </si>
  <si>
    <t>Lionel Messi kini sedang dielu-elukan oleh para penggemar sepak bola di seluruh dunia. Hal ini karena Messi berhasil membawa timnas Argentina menjadi juara "Piala Dunia 2022" setelah berhasil mengalahkan Perancis.  https://t.co/3Zh0XGvjcQ</t>
  </si>
  <si>
    <t>lionel messi kini sedang dielu elukan oleh para penggemar sepak bola seluruh dunia hal ini karena messi berhasil membawa timnas argentina menjadi juara piala dunia setelah berhasil mengalahkan perancis</t>
  </si>
  <si>
    <t>['lionel', 'messi', 'kini', 'sedang', 'dielu', 'elukan', 'penggemar', 'sepak', 'bola', 'seluruh', 'dunia', 'messi', 'berhasil', 'membawa', 'timnas', 'argentina', 'menjadi', 'juara', 'piala', 'dunia', 'berhasil', 'mengalahkan', 'perancis']</t>
  </si>
  <si>
    <t>Ada 10 pemain LaLiga yang membawa Argentina juara Piala Dunia 2022.  #bolaskorcom #laliga #argentina #qatar2022        https://t.co/auLSbKgwdm</t>
  </si>
  <si>
    <t>ada pemain laliga yang membawa argentina juara piala dunia</t>
  </si>
  <si>
    <t>['pemain', 'laliga', 'membawa', 'argentina', 'juara', 'piala', 'dunia']</t>
  </si>
  <si>
    <t>Ternyata, Scaloni mampu menepis keraguan itu. Meski kesulitan di awal, akhirnya pada 2021, dia bisa membawa Argentina menjuarai Copa America. Kini, dia membawa Argentina menjuarai Piala Dunia. Dia setara dua legenda: Menotti dan Bilardo. Pelatih juara dunia.  https://t.co/Q7A4wOJ6Sp</t>
  </si>
  <si>
    <t>ternyata scaloni mampu menepis keraguan itu meski kesulitan awal akhirnya pada dia bisa membawa argentina menjuarai copa america kini dia membawa argentina menjuarai piala dunia dia setara dua legenda menotti dan bilardo pelatih juara dunia</t>
  </si>
  <si>
    <t>['ternyata', 'scaloni', 'mampu', 'menepis', 'keraguan', 'meski', 'kesulitan', 'awal', 'akhirnya', 'membawa', 'argentina', 'menjuarai', 'copa', 'america', 'kini', 'membawa', 'argentina', 'menjuarai', 'piala', 'dunia', 'setara', 'legenda', 'menotti', 'bilardo', 'pelatih', 'juara', 'dunia']</t>
  </si>
  <si>
    <t>Manchester City punya Erling Haaland yang sudah tocker gol dan Julian Alvarez yang bawa Argentina juara Piala Dunia 2022. Kata Cesc Fabregas, nggak adil tuh!   https://t.co/PkkB05Gs3n</t>
  </si>
  <si>
    <t>Makanya fans  prancis ga usah sok2 bicara tentang respect atau tersakiti kalau diejek pemain argentina.  Ngaca dulu dong waktu kalian juara piala Dunia 2018 , kalian ejek2 messi Jadi ga play victim.  Kalian yg cari masalah dluan Skrg kita balas dendam yg sempurna</t>
  </si>
  <si>
    <t>makanya fans prancis usah sok bicara tentang respect atau tersakiti kalau diejek pemain argentina ngaca dulu dong waktu kalian juara piala dunia kalian ejek messi jadi play victim kalian cari masalah dluan skrg kita balas dendam sempurna</t>
  </si>
  <si>
    <t>['makanya', 'fans', 'prancis', 'usah', 'sok', 'bicara', 'respect', 'tersakiti', 'kalau', 'diejek', 'pemain', 'argentina', 'ngaca', 'dulu', 'dong', 'waktu', 'kalian', 'juara', 'piala', 'dunia', 'kalian', 'ejek', 'messi', 'jadi', 'play', 'victim', 'kalian', 'cari', 'masalah', 'dluan', 'skrg', 'balas', 'dendam', 'sempurna']</t>
  </si>
  <si>
    <t>Argentina Juara: Belajar Politik Kompetensi Dari Piala Dunia 2022  https://t.co/HXTeaD5TtX</t>
  </si>
  <si>
    <t>argentina juara belajar politik kompetensi dari piala dunia</t>
  </si>
  <si>
    <t>['argentina', 'juara', 'belajar', 'politik', 'kompetensi', 'piala', 'dunia']</t>
  </si>
  <si>
    <t>Timnas Argentina Kebanjiran Bonus usai Juara Piala Dunia 2022  https://t.co/1uFzecRyzG</t>
  </si>
  <si>
    <t>timnas argentina kebanjiran bonus usai juara piala dunia</t>
  </si>
  <si>
    <t>['timnas', 'argentina', 'kebanjiran', 'bonus', 'usai', 'juara', 'piala', 'dunia']</t>
  </si>
  <si>
    <t>@vip_siskaeee Boleh lah kalo juara angkat piala kaya argentina</t>
  </si>
  <si>
    <t>siskaeee boleh lah kalo juara angkat piala kaya argentina</t>
  </si>
  <si>
    <t>['siskaeee', 'lah', 'juara', 'angkat', 'piala', 'kaya', 'argentina']</t>
  </si>
  <si>
    <t>besok aff cuy,di gbk!!! omg excited,yok bisa yokk Argentina udah juara,kita harus juara jugaaüáÆüá©</t>
  </si>
  <si>
    <t>besok aff cuy gbk omg excited yok bisa yokk argentina udah juara kita harus juara jugaa</t>
  </si>
  <si>
    <t>['besok', 'aff', 'gbk', 'oh my god', 'excited', 'yok', 'yokk', 'argentina', 'udah', 'juara', 'juara', 'jugaa']</t>
  </si>
  <si>
    <t>Maradona Ternyata Pernah Janji Telanjang jika Argentina Juara  https://t.co/yUYwo03egj</t>
  </si>
  <si>
    <t>maradona ternyata pernah janji telanjang jika argentina juara</t>
  </si>
  <si>
    <t>['maradona', 'ternyata', 'pernah', 'janji', 'telanjang', 'argentina', 'juara']</t>
  </si>
  <si>
    <t xml:space="preserve">@Info_Ronaldo7 @idextratime Apa iya dah Jhon, daripada marah2 iri terus mending cek ini aja deh, Messi dan timnas Argentina dalam setahunan lebih, setelah mengalami tiga kekalahan beruntun di final, langsung dibalas dgn 3 kali juara, gak pake lama, dalam </t>
  </si>
  <si>
    <t>ronaldo apa iya dah jhon daripada marah iri terus mending cek ini aja deh messi dan timnas argentina dalam setahunan lebih setelah mengalami tiga kekalahan beruntun final langsung dibalas dgn kali juara gak pake lama dalam</t>
  </si>
  <si>
    <t>['ronaldo', 'apa', 'iya', 'dah', 'jhon', 'marah', 'iri', 'terus', 'mending', 'cek', 'deh', 'messi', 'timnas', 'argentina', 'setahunan', 'lebih', 'mengalami', 'tiga', 'kekalahan', 'beruntun', 'final', 'langsung', 'dibalas', 'kali', 'juara', 'pake', 'lama']</t>
  </si>
  <si>
    <t>@polrestamakota Siap mantap, gak usah di pakein peci sam</t>
  </si>
  <si>
    <t>siap mantap gak usah pakein peci sam</t>
  </si>
  <si>
    <t>['siap', 'mantap', 'usah', 'pakein', 'peci', 'sam']</t>
  </si>
  <si>
    <t>Sambut Sang Juara, Timnas Argentina dan Trofi Nyaris Tersangkut Kabel¬†Listrik  https://t.co/B3gY6C30e9</t>
  </si>
  <si>
    <t>sambut sang juara timnas argentina dan trofi nyaris tersangkut kabel listrik</t>
  </si>
  <si>
    <t>['sambut', 'sang', 'juara', 'timnas', 'argentina', 'trofi', 'nyaris', 'tersangkut', 'kabel', 'listrik']</t>
  </si>
  <si>
    <t>@tempodotco ‚úÖ Nonton Final ‚úÖ Argentina Juara ‚úÖ Bergaya khas sultan üòÇ  https://t.co/FPdx05o7Wp</t>
  </si>
  <si>
    <t>nonton final argentina juara bergaya khas sultan</t>
  </si>
  <si>
    <t>['nonton', 'final', 'argentina', 'juara', 'bergaya', 'khas', 'sultan']</t>
  </si>
  <si>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</si>
  <si>
    <t>once upon time barcelona ada lionel messi lihat timeline barcelona habis messi argentina juara dunia mereka kayak belum bisa move dari legenda satu ini menurut kalian messi itu produk rancangan bar atau emang anugerah tuhan cuma hadir sesekali</t>
  </si>
  <si>
    <t>['once', 'upon', 'time', 'barcelona', 'lionel', 'messi', 'lihat', 'timeline', 'barcelona', 'habis', 'messi', 'argentina', 'juara', 'dunia', 'seperti', 'move', 'legenda', 'satu', 'kalian', 'messi', 'produk', 'rancangan', 'bar', 'emang', 'anugerah', 'tuhan', 'cuma', 'hadir', 'sesekali']</t>
  </si>
  <si>
    <t>@__dcky Setelah menyaksikan Argentina menjadi juara, @__dcky akan segera pulang ke Palmerah, jangan lupa oleh-oleh untuk warga Tempo yaaa! üë≥  #TempoDiQatar</t>
  </si>
  <si>
    <t>setelah menyaksikan argentina menjadi juara akan segera pulang palmerah jangan lupa oleh oleh untuk warga tempo yaaa</t>
  </si>
  <si>
    <t>['menyaksikan', 'argentina', 'menjadi', 'juara', 'segera', 'pulang', 'palmerah', 'jangan', 'lupa', 'warga', 'tempo', 'yaaa']</t>
  </si>
  <si>
    <t>@YanHarahap @Catatan_ali7 Diiih..dah kaya arakan2 Argentina juara dunia aja..ü§™ü§™ü§£ü§îüôàüôàüôà</t>
  </si>
  <si>
    <t>ali diiih dah kaya arakan argentina juara dunia aja</t>
  </si>
  <si>
    <t>['ali', 'diiih', 'dah', 'kaya', 'arakan', 'argentina', 'juara', 'dunia']</t>
  </si>
  <si>
    <t>#FOTO Timnas Argentina menggelar parade kemenangan juara Piala Dunia 2022 di kota Buenos Aires. Parade kemenangan itu berujung bentrok antara polisi dan suporter. Berikut penampakannya!  https://t.co/L82C1KVu9h</t>
  </si>
  <si>
    <t>timnas argentina menggelar parade kemenangan juara piala dunia kota buenos aires parade kemenangan itu berujung bentrok antara polisi dan suporter berikut penampakannya</t>
  </si>
  <si>
    <t>['timnas', 'argentina', 'menggelar', 'parade', 'kemenangan', 'juara', 'piala', 'dunia', 'kota', 'buenos', 'aires', 'parade', 'kemenangan', 'berujung', 'bentrok', 'polisi', 'suporter', 'berikut', 'penampakannya']</t>
  </si>
  <si>
    <t>@labiebsadat Kalo gw layak sih , Pinalti Lawan Belanda Emil Nepis 2X dan Berhasil Membawa Argen ke Semi &amp;amp; Pas Puncaknya Emill Save Brilian Di Menit akhir kalo itu gak kena Kaki Dia argentina Gak juara ,, Lagi dan Lagi Dia Nepis Pinalti 2X di Partai Pu</t>
  </si>
  <si>
    <t>kalo layak sih pinalti lawan belanda emil nepis dan berhasil membawa argen semi pas puncaknya emill save brilian menit akhir kalo itu gak kena kaki dia argentina gak juara lagi dan lagi dia nepis pinalti partai</t>
  </si>
  <si>
    <t>['layak', 'penalti', 'lawan', 'belanda', 'emil', 'nepis', 'berhasil', 'membawa', 'argen', 'semi', 'pas', 'puncaknya', 'emill', 'save', 'brilian', 'menit', 'akhir', 'kena', 'kaki', 'argentina', 'juara', 'nepis', 'penalti', 'partai']</t>
  </si>
  <si>
    <t>Magis Lionel Messi, mentalitas Emi Martinez, dan taktik jitu Lionel Scaloni adalah faktor penting dalam keberhasilan Argentina juara Piala Dunia 2022.  https://t.co/u1g3tS0bFF</t>
  </si>
  <si>
    <t>magis lionel messi mentalitas emi martinez dan taktik jitu lionel scaloni adalah faktor penting dalam keberhasilan argentina juara piala dunia</t>
  </si>
  <si>
    <t>['magis', 'lionel', 'messi', 'mentalitas', 'emi', 'martinez', 'taktik', 'jitu', 'lionel', 'scaloni', 'faktor', 'penting', 'keberhasilan', 'argentina', 'juara', 'piala', 'dunia']</t>
  </si>
  <si>
    <t>Salt Bae kedapatan masuk ke area lapangan Stadion Lusail, Minggu (18/12/2022) saat Timnas Argentina merayakan gelar juara Piala Dunia 2022.   https://t.co/93cSrOCYd2</t>
  </si>
  <si>
    <t>salt bae kedapatan masuk area lapangan stadion lusail minggu saat timnas argentina merayakan gelar juara piala dunia</t>
  </si>
  <si>
    <t>['salt', 'bae', 'kedapatan', 'masuk', 'area', 'lapangan', 'stadion', 'lusail', 'minggu', 'timnas', 'argentina', 'merayakan', 'gelar', 'juara', 'piala', 'dunia']</t>
  </si>
  <si>
    <t>10 Potret Gonzalo Montiel, Penentu Argentina Juara Piala Dunia 2022  https://t.co/6sZR5jvLad</t>
  </si>
  <si>
    <t>potret gonzalo montiel penentu argentina juara piala dunia</t>
  </si>
  <si>
    <t>['potret', 'gonzalo', 'montiel', 'penentu', 'argentina', 'juara', 'piala', 'dunia']</t>
  </si>
  <si>
    <t>FOTO: Demam Tato Messi Usai Argentina Juara Piala Dunia 2022  https://t.co/vlnmeu0U4q</t>
  </si>
  <si>
    <t>foto demam tato messi usai argentina juara piala dunia</t>
  </si>
  <si>
    <t>['foto', 'demam', 'tato', 'messi', 'usai', 'argentina', 'juara', 'piala', 'dunia']</t>
  </si>
  <si>
    <t>Gimana rasa nya liat argentina juara?</t>
  </si>
  <si>
    <t>gimana rasa nya liat argentina juara</t>
  </si>
  <si>
    <t>['gimana', 'rasa', 'lihat', 'argentina', 'juara']</t>
  </si>
  <si>
    <t>Dia dianggap telah menunjukkan provokasi berlebihan yang bahkan tidak ada hubungannya dengan gelar juara Argentina.  Martinez mungkin lupa selama partai Final kemarin gawangnya sudah dijebol Mbappe 3 kali dalam waktu normal dan sekali dalam adu penalti.</t>
  </si>
  <si>
    <t>dia dianggap telah menunjukkan provokasi berlebihan yang bahkan tidak ada hubungannya dengan gelar juara argentina martinez mungkin lupa selama partai final kemarin gawangnya sudah dijebol mbappe kali dalam waktu normal dan sekali dalam adu penalti</t>
  </si>
  <si>
    <t>['dianggap', 'menunjukkan', 'provokasi', 'berlebihan', 'bahkan', 'hubungannya', 'gelar', 'juara', 'argentina', 'martinez', 'mungkin', 'lupa', 'selama', 'partai', 'final', 'kemarin', 'gawangnya', 'dijebol', 'mbappe', 'kali', 'waktu', 'normal', 'sekali', 'adu', 'penalti']</t>
  </si>
  <si>
    <t>Mulai aksinya bernyanyi mengejek Mbappe di ruang ganti Lusail Stadium, hingga dirinya yang menggendong boneka berwajah Mbappe di parade juara Argentina.  Sikap dan provokasi Martinez ini lantas memicu reaksi negatif dari dunia sepak bola.</t>
  </si>
  <si>
    <t>mulai aksinya bernyanyi mengejek mbappe ruang ganti lusail stadium hingga dirinya yang menggendong boneka berwajah mbappe parade juara argentina sikap dan provokasi martinez ini lantas memicu reaksi negatif dari dunia sepak bola</t>
  </si>
  <si>
    <t>['mulai', 'aksinya', 'bernyanyi', 'mengejek', 'mbappe', 'ruang', 'ganti', 'lusail', 'stadium', 'hingga', 'dirinya', 'menggendong', 'boneka', 'berwajah', 'mbappe', 'parade', 'juara', 'argentina', 'sikap', 'provokasi', 'martinez', 'lantas', 'memicu', 'reaksi', 'negatif', 'dunia', 'sepak', 'bola']</t>
  </si>
  <si>
    <t>@memefess Sebelum Argentina juara koar2 Ronaldo the real G.O.A.T, sesudah Argentina juara minta respect ü§£ cih!</t>
  </si>
  <si>
    <t>sebelum argentina juara koar ronaldo the real sesudah argentina juara minta respect cih</t>
  </si>
  <si>
    <t>['argentina', 'juara', 'koar', 'ronaldo', 'the', 'real', 'argentina', 'juara', 'minta', 'respect', 'cih']</t>
  </si>
  <si>
    <t>ini alasan paling masuk akal kenapa Argentina juara. setuju min.</t>
  </si>
  <si>
    <t>ini alasan paling masuk akal kenapa argentina juara setuju min</t>
  </si>
  <si>
    <t>['alasan', 'paling', 'masuk', 'akal', 'argentina', 'juara', 'setuju', 'min']</t>
  </si>
  <si>
    <t>@idextratime Messi dan timnas Argentina dalam setahunan lebih, setelah mengalami tiga kekalahan beruntun di final, langsung dibalas dgn 3 kali juara, gak pake lama, dalam rentang waktu setahunan saja  https://t.co/wDnlvVKvhu</t>
  </si>
  <si>
    <t>messi dan timnas argentina dalam setahunan lebih setelah mengalami tiga kekalahan beruntun final langsung dibalas dgn kali juara gak pake lama dalam rentang waktu setahunan saja</t>
  </si>
  <si>
    <t>['messi', 'timnas', 'argentina', 'setahunan', 'lebih', 'mengalami', 'tiga', 'kekalahan', 'beruntun', 'final', 'langsung', 'dibalas', 'kali', 'juara', 'pake', 'lama', 'rentang', 'waktu', 'setahunan']</t>
  </si>
  <si>
    <t>gak kebayang tetangga nya messi di argentina.. Pasti di banding2in mulu tuh anaknya...  "Noh liat si messi , udh jadi pemaen top terus juara pildun"  "Elu , masih selonjoran aja drmah"  ü§£ü§£üòÇ</t>
  </si>
  <si>
    <t>gak kebayang tetangga nya messi argentina pasti banding mulu tuh anaknya noh liat messi udh jadi pemaen top terus juara pildun elu masih selonjoran aja drmah</t>
  </si>
  <si>
    <t>['kebayang', 'tetangga', 'messi', 'argentina', 'banding', 'mulu', 'anaknya', 'noh', 'lihat', 'messi', 'sudah', 'jadi', 'pemaen', 'top', 'terus', 'juara', 'piala dunia', 'elu', 'selonjoran', 'drmah']</t>
  </si>
  <si>
    <t>Resep Argentina Juara Piala Dunia 2022: Magis Messi, Mentalitas Martinez, Kecerdasan Scaloni  https://t.co/yxnCuLvEeU</t>
  </si>
  <si>
    <t>resep argentina juara piala dunia magis messi mentalitas martinez kecerdasan scaloni</t>
  </si>
  <si>
    <t>['resep', 'argentina', 'juara', 'piala', 'dunia', 'magis', 'messi', 'mentalitas', 'martinez', 'kecerdasan', 'scaloni']</t>
  </si>
  <si>
    <t>Argentina juara 2022  https://t.co/8GO1FLQUVd</t>
  </si>
  <si>
    <t>@registaco Argentina juara hoki doang dibanggain ,, menang adu pinalti doangg... francis kalah terhormat menurut gua, ga panteslah dibully kegini cukii</t>
  </si>
  <si>
    <t>argentina juara hoki doang dibanggain menang adu pinalti doangg francis kalah terhormat menurut gua panteslah dibully kegini cukii</t>
  </si>
  <si>
    <t>['argentina', 'juara', 'hoki', 'doang', 'dibanggain', 'menang', 'adu', 'penalti', 'doangg', 'francis', 'kalah', 'terhormat', 'gua', 'panteslah', 'dibully', 'kegini', 'cukii']</t>
  </si>
  <si>
    <t>Seniman Tato Dibanjiri Order Tato Messi usai Argentina Juara Piala Dunia 2022  https://t.co/ceU0Ow2lBu #TempoFoto</t>
  </si>
  <si>
    <t>seniman tato dibanjiri order tato messi usai argentina juara piala dunia</t>
  </si>
  <si>
    <t>['seniman', 'tato', 'dibanjiri', 'order', 'tato', 'messi', 'usai', 'argentina', 'juara', 'piala', 'dunia']</t>
  </si>
  <si>
    <t>Ramalan Angel Di Maria Terbukti, Argentina Juara Piala Dunia  https://t.co/z4GY7wRtqa</t>
  </si>
  <si>
    <t>ramalan angel maria terbukti argentina juara piala dunia</t>
  </si>
  <si>
    <t>['ramalan', 'angel', 'maria', 'terbukti', 'argentina', 'juara', 'piala', 'dunia']</t>
  </si>
  <si>
    <t>@thecasualultra argentina klo bisa sering2 juara yaaa</t>
  </si>
  <si>
    <t>argentina klo bisa sering juara yaaa</t>
  </si>
  <si>
    <t>['argentina', 'sering', 'juara', 'yaaa']</t>
  </si>
  <si>
    <t>Foto: 5 Pemain MU dengan Jumlah Menit Bermain Terbanyak Selama Piala Dunia 2022, Lisandro Marinez Bawa Argentina Juara  https://t.co/OwzCxBGrDU</t>
  </si>
  <si>
    <t>foto pemain dengan jumlah menit bermain terbanyak selama piala dunia lisandro marinez bawa argentina juara</t>
  </si>
  <si>
    <t>['foto', 'pemain', 'jumlah', 'menit', 'bermain', 'terbanyak', 'selama', 'piala', 'dunia', 'lisandro', 'marinez', 'bawa', 'argentina', 'juara']</t>
  </si>
  <si>
    <t>@myskill_id Pasang Arab Saudi, pas lawan Argentina. All in Argentina di Piala Dunia, pasang Mbappe di top skor PD. Kasih tau juara2 bola di liga2 Eropa, juara NBA, piala dunia Criket, juara olimpiade dll..</t>
  </si>
  <si>
    <t>pasang arab saudi pas lawan argentina all argentina piala dunia pasang mbappe top skor kasih tau juara bola liga eropa juara nba piala dunia criket juara olimpiade dll</t>
  </si>
  <si>
    <t>['pasang', 'arab', 'saudi', 'pas', 'lawan', 'argentina', 'all', 'argentina', 'piala', 'dunia', 'pasang', 'mbappe', 'top', 'skor', 'kasih', 'juara', 'bola', 'liga', 'eropa', 'juara', 'nba', 'piala', 'dunia', 'criket', 'juara', 'olimpiade']</t>
  </si>
  <si>
    <t>Pasang Arab Saudi, pas lawan Argentina. All in Argentina di Piala Dunia, pasang Mbappe di top skor PD. Kasih tau juara2 bola di liga2 Eropa, juara NBA, piala dunia Criket, juara olimpiade dll..</t>
  </si>
  <si>
    <t>Khabar berita dari Argentina beritahu Esteban Solari akan bawa masuk seorang jurulatih berstatus juara Piala Dunia ke bumi Johor. #JDT #MSL23  https://t.co/P1qWXXGUvV</t>
  </si>
  <si>
    <t>khabar berita dari argentina beritahu esteban solari akan bawa masuk seorang jurulatih berstatus juara piala dunia bumi johor</t>
  </si>
  <si>
    <t>['khabar', 'berita', 'argentina', 'beritahu', 'esteban', 'solari', 'bawa', 'masuk', 'seorang', 'jurulatih', 'berstatus', 'juara', 'piala', 'dunia', 'bumi', 'johor']</t>
  </si>
  <si>
    <t>Lautan jutaan manusia di tengah libur nasional menyambut juara Piala Dunia 2022 Argentina di Buenos Aires, Selasa (20/12), membuat bintang pujaan mereka Lionel Messi dan kawan-kawan terpaksa harus dievakuasi dengan helikopter-helikopter. #Headline  https://t.co/SdeT3JtPYd</t>
  </si>
  <si>
    <t>lautan jutaan manusia tengah libur nasional menyambut juara piala dunia argentina buenos aires selasa membuat bintang pujaan mereka lionel messi dan kawan kawan terpaksa harus dievakuasi dengan helikopter helikopter</t>
  </si>
  <si>
    <t>['lautan', 'jutaan', 'manusia', 'tengah', 'libur', 'nasional', 'menyambut', 'juara', 'piala', 'dunia', 'argentina', 'buenos', 'aires', 'selasa', 'membuat', 'bintang', 'pujaan', 'lionel', 'messi', 'kawan', 'kawan', 'terpaksa', 'dievakuasi', 'helikopter', 'helikopter']</t>
  </si>
  <si>
    <t>@SiaranBolaLive Jadi juara dibikin nama jalan‚ùå Jadi juara diabadikan jadi gambar mata uang resmi negara ‚úÖ  Argentina emang beda sih.  Kelas banget ini mah üëçüëè</t>
  </si>
  <si>
    <t>jadi juara dibikin nama jalan jadi juara diabadikan jadi gambar mata uang resmi negara argentina emang beda sih kelas banget ini mah</t>
  </si>
  <si>
    <t>['jadi', 'juara', 'dibikin', 'nama', 'jalan', 'jadi', 'juara', 'diabadikan', 'jadi', 'gambar', 'mata', 'uang', 'resmi', 'negara', 'argentina', 'emang', 'beda', 'kelas', 'banget', 'mah']</t>
  </si>
  <si>
    <t>@registaco @FIFAWorldCup Ditambah lagi selain sudah diijinkan sama federasi kalo Aguero emang orang Argentina, lah yang satu ini kan orang Turki. Urusannya apa dia di dalem lapangan?Zlatan yang bukan orang Argentina tapi pernah satu tim dan jelas ngedukun</t>
  </si>
  <si>
    <t>ditambah lagi selain sudah diijinkan sama federasi kalo aguero emang orang argentina lah yang satu ini kan orang turki urusannya apa dia dalem lapangan zlatan yang bukan orang argentina tapi pernah satu tim dan jelas ngedukun</t>
  </si>
  <si>
    <t>['ditambah', 'diijinkan', 'sama', 'federasi', 'aguero', 'emang', 'orang', 'argentina', 'lah', 'satu', 'kan', 'orang', 'turki', 'urusannya', 'apa', 'dalem', 'lapangan', 'zlatan', 'bukan', 'orang', 'argentina', 'pernah', 'satu', 'tim', 'jelas', 'ngedukun']</t>
  </si>
  <si>
    <t>"Untung¬†Argentina JUARA.  Pesta rakyat bisa melupakan inflasi yg lagi tinggi &amp;amp; utang luar negeri yg sulit dibayar.  ARGENTINA negara yg perkembangan ekonominya paling dipelajari di seluruh dunia.  Contoh negara yg ekonominya terjebak di kemacetan."  (D I)   https://t.co/Qs5yrukyHx</t>
  </si>
  <si>
    <t>untung argentina juara pesta rakyat bisa melupakan inflasi lagi tinggi utang luar negeri sulit dibayar argentina negara perkembangan ekonominya paling dipelajari seluruh dunia contoh negara ekonominya terjebak kemacetan</t>
  </si>
  <si>
    <t>['untung', 'argentina', 'juara', 'pesta', 'rakyat', 'melupakan', 'inflasi', 'tinggi', 'utang', 'luar', 'negeri', 'sulit', 'dibayar', 'argentina', 'negara', 'perkembangan', 'ekonominya', 'paling', 'dipelajari', 'seluruh', 'dunia', 'contoh', 'negara', 'ekonominya', 'terjebak', 'kemacetan']</t>
  </si>
  <si>
    <t>@DanielPither @idextratime lu tau ga kondisi 2014-2015-2016 gmna masa2 suram messi dan apa yg dilakukan fans sbelah trhadap masa2 itu? dia nyebar meme dimana2. ngata2in ga mampu bawa argentina juara lah, ronaldo GOAT lah. apa yg dilakukan fans messi skrng</t>
  </si>
  <si>
    <t>tau kondisi gmna masa suram messi dan apa dilakukan fans sbelah trhadap masa itu dia nyebar meme dimana ngata mampu bawa argentina juara lah ronaldo goat lah apa dilakukan fans messi skrng</t>
  </si>
  <si>
    <t>['kondisi', 'gmna', 'masa', 'suram', 'messi', 'apa', 'dilakukan', 'fans', 'sbelah', 'trhadap', 'masa', 'nyebar', 'meme', 'ngata', 'mampu', 'bawa', 'argentina', 'juara', 'lah', 'ronaldo', 'goat', 'lah', 'apa', 'dilakukan', 'fans', 'messi', 'skrng']</t>
  </si>
  <si>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</si>
  <si>
    <t>udah gitu gara nonton docu series argentina ini gue nangkepnya tim nya scaloni ini juara salah satunya karena faktor bonding pemain sesama pemain pemain pelatih staffs dan dari artikel komen orang gue baca semua ternyata sepemikiran</t>
  </si>
  <si>
    <t>['udah', 'gitu', 'gara', 'nonton', 'docu', 'series', 'argentina', 'gue', 'nangkepnya', 'tim', 'scaloni', 'juara', 'salah', 'satunya', 'faktor', 'bonding', 'pemain', 'sesama', 'pemain', 'pemain', 'pelatih', 'staffs', 'artikel', 'komen', 'orang', 'gue', 'baca', 'semua', 'ternyata', 'sepemikiran']</t>
  </si>
  <si>
    <t>Foto wajah Lionel Messi dipertimbangkan muncul di mata uang Argentina setelah sang megabintang sukses mengantar La Albiceleste juara Piala Dunia 2022.  https://t.co/q4GcO6yy1n</t>
  </si>
  <si>
    <t>foto wajah lionel messi dipertimbangkan muncul mata uang argentina setelah sang megabintang sukses mengantar albiceleste juara piala dunia</t>
  </si>
  <si>
    <t>['foto', 'wajah', 'lionel', 'messi', 'dipertimbangkan', 'muncul', 'mata', 'uang', 'argentina', 'sang', 'megabintang', 'sukses', 'mengantar', 'albiceleste', 'juara', 'piala', 'dunia']</t>
  </si>
  <si>
    <t>Bawa Argentina Juara Piala Dunia 2022, Messi Dipertimbangkan Muncul di Uang Kertas  https://t.co/nlUPTwXiUq</t>
  </si>
  <si>
    <t>bawa argentina juara piala dunia messi dipertimbangkan muncul uang kertas</t>
  </si>
  <si>
    <t>['bawa', 'argentina', 'juara', 'piala', 'dunia', 'messi', 'dipertimbangkan', 'muncul', 'uang', 'kertas']</t>
  </si>
  <si>
    <t>Bawa Argentina Juara Piala Dunia 2022, Wajah Messi Diusulkan Menempel di Mata Uang Peso  https://t.co/ZhugDUyI79</t>
  </si>
  <si>
    <t>@idextratime Busettt argentina juara pildun koq ga masuk, min ü§î</t>
  </si>
  <si>
    <t>busettt argentina juara pildun koq masuk min</t>
  </si>
  <si>
    <t>['busettt', 'argentina', 'juara', 'piala dunia', 'koq', 'masuk', 'min']</t>
  </si>
  <si>
    <t>Ngeri !!! Parade Juara Argentina Ricuh   https://t.co/71KjiTubC6</t>
  </si>
  <si>
    <t>ngeri parade juara argentina ricuh</t>
  </si>
  <si>
    <t>['ngeri', 'parade', 'juara', 'argentina', 'ricuh']</t>
  </si>
  <si>
    <t>Pep Guardiola: ‚ÄúKami sangat senang untuk @julianalvarezzz, selamat untuk dia dan Otamendi, secara pribadi untuk Messi. Argentina, memang layak. Kami senang untuk Julian, dia banyak bermain, kontribusinya luar biasa. Kami memiliki juara dunia di tim kami‚Ä¶‚Äù [via @_joebray]</t>
  </si>
  <si>
    <t>pep guardiola kami sangat senang untuk selamat untuk dia dan otamendi secara pribadi untuk messi argentina memang layak kami senang untuk julian dia banyak bermain kontribusinya luar biasa kami memiliki juara dunia tim kami via</t>
  </si>
  <si>
    <t>['pep', 'guardiola', 'sangat', 'senang', 'selamat', 'otamendi', 'pribadi', 'messi', 'argentina', 'memang', 'layak', 'senang', 'julian', 'banyak', 'bermain', 'kontribusinya', 'luar', 'biasa', 'memiliki', 'juara', 'dunia', 'tim', 'via']</t>
  </si>
  <si>
    <t>Messi sang idola, bawa Argentina ke juara Piala Dunia 2022. Messi wujudkan impiannya tahun ini, terlihat senyum bahagia.  https://t.co/lBXzWLVp7X</t>
  </si>
  <si>
    <t>messi sang idola bawa argentina juara piala dunia messi wujudkan impiannya tahun ini terlihat senyum bahagia</t>
  </si>
  <si>
    <t>['messi', 'sang', 'idola', 'bawa', 'argentina', 'juara', 'piala', 'dunia', 'messi', 'wujudkan', 'impiannya', 'tahun', 'terlihat', 'senyum', 'bahagia']</t>
  </si>
  <si>
    <t xml:space="preserve">@SamFerkyFers10 @SiaranBolaLive "France &amp;amp; Mbappe udh juara World Cup di 2018 dan bisa backtoback ke Final runner-up hanya lewat adu penalty di 2022. Kita liat bisa apa Argentina dan Emi Martinez di 2026 nanti?? Kalo France sih masih kanditat juara di </t>
  </si>
  <si>
    <t>france mbappe udh juara world cup dan bisa backtoback final runner hanya lewat adu penalty kita liat bisa apa argentina dan emi martinez nanti kalo france sih masih kanditat juara</t>
  </si>
  <si>
    <t>['france', 'mbappe', 'sudah', 'juara', 'world', 'cup', 'backtoback', 'final', 'runner', 'lewat', 'adu', 'penalty', 'lihat', 'apa', 'argentina', 'emi', 'martinez', 'france', 'kanditat', 'juara']</t>
  </si>
  <si>
    <t>@registaco Jangan sampe Argentina kayak Italia aja.. setelah juara 2006 bener2 periode terburuk Itali khusus utk Piala Dunia üò£üò£ - 2010 tersingkir di grup - 2014 tersingkir di grup - 2018 ga lolos - 2022 ga lolos  Gile 4x Piala Dunia hancur2an üòÆü</t>
  </si>
  <si>
    <t>jangan sampe argentina kayak italia aja setelah juara bener periode terburuk itali khusus utk piala dunia tersingkir grup tersingkir grup lolos lolos gile piala dunia hancur</t>
  </si>
  <si>
    <t>['jangan', 'sampai', 'argentina', 'seperti', 'italia', 'juara', 'benar', 'periode', 'terburuk', 'itali', 'khusus', 'piala', 'dunia', 'tersingkir', 'grup', 'tersingkir', 'grup', 'lolos', 'lolos', 'gile', 'piala', 'dunia', 'hancur']</t>
  </si>
  <si>
    <t>@Cristiano_time7 @idextratime Knp ya dodoglovers itu lawak-lawak semua? Dek-dek, juara Euro 2020 aja dibantai Argentina 0-3 dekkk. Gak malu tu negara eropa? kalah sama tim yg gagal qualified pildun 2x. Ngakak bet piala gitu dibandingin dgn Worldcupü§£ü§</t>
  </si>
  <si>
    <t>time knp dodoglovers itu lawak lawak semua dek dek juara euro aja dibantai argentina dekkk gak malu negara eropa kalah sama tim gagal qualified pildun ngakak bet piala gitu dibandingin dgn worldcup</t>
  </si>
  <si>
    <t>['time', 'kenapa', 'dodoglovers', 'lawak', 'lawak', 'semua', 'dek', 'dek', 'juara', 'euro', 'dibantai', 'argentina', 'dekkk', 'malu', 'negara', 'eropa', 'kalah', 'sama', 'tim', 'gagal', 'qualified', 'piala dunia', 'ngakak', 'bet', 'piala', 'gitu', 'dibandingin', 'worldcup']</t>
  </si>
  <si>
    <t>@BangiZulfikar @labiebsadat Fair lah namanya juga krusial di laga puncaküòÖüòÖ50% Argentina juara ya karena Martinez.</t>
  </si>
  <si>
    <t>fair lah namanya juga krusial laga puncak argentina juara karena martinez</t>
  </si>
  <si>
    <t>['fair', 'lah', 'namanya', 'krusial', 'laga', 'puncak', 'argentina', 'juara', 'martinez']</t>
  </si>
  <si>
    <t xml:space="preserve">@realmadridindo1 Sebelum ada messi argentina udah 2 kali juara piala dunia, sebelum ada cr portugal belum pernah juara, bahkan cuma 3 kali lolos piala dunia, klo messi juara ya selamat, dan klo ronaldo tdk juara bukan berarti karir sepakbolanya tdk layak </t>
  </si>
  <si>
    <t>sebelum ada messi argentina udah kali juara piala dunia sebelum ada portugal belum pernah juara bahkan cuma kali lolos piala dunia klo messi juara selamat dan klo ronaldo tdk juara bukan berarti karir sepakbolanya tdk layak</t>
  </si>
  <si>
    <t>['messi', 'argentina', 'udah', 'kali', 'juara', 'piala', 'dunia', 'portugal', 'pernah', 'juara', 'bahkan', 'cuma', 'kali', 'lolos', 'piala', 'dunia', 'messi', 'juara', 'selamat', 'ronaldo', 'juara', 'bukan', 'berarti', 'karir', 'sepakbolanya', 'layak']</t>
  </si>
  <si>
    <t>@obocha10 @rendito_ @registaco Mo dibobol 100x kalo yg juara akhirnya argentina ya bebas ~ wkwkwk</t>
  </si>
  <si>
    <t>dibobol kalo juara akhirnya argentina bebas wkwkwk</t>
  </si>
  <si>
    <t>['dibobol', 'juara', 'akhirnya', 'argentina', 'bebas', 'wkwkwk']</t>
  </si>
  <si>
    <t>Netflix atau siapapun itu.  please, cepet rilis film dokumenter Argentina juara dunia ! Gue mau nonton</t>
  </si>
  <si>
    <t>netflix atau siapapun itu please cepet rilis film dokumenter argentina juara dunia gue mau nonton</t>
  </si>
  <si>
    <t>['netflix', 'siapapun', 'please', 'cepet', 'rilis', 'film', 'dokumenter', 'argentina', 'juara', 'dunia', 'gue', 'mau', 'nonton']</t>
  </si>
  <si>
    <t>Bawa Argentina Juara Piala Dunia 2022, Wajah Messi Diusulkan Menempel di Mata Uang Peso  https://t.co/gxP39xsbdM</t>
  </si>
  <si>
    <t>Keluaran Nusantara 21 Desember 2022  Result: 4503 Shio: Tikus #PancingHoki #fyp - Prediksi Hongkong Rabu, 21 Desember 2022 AI: 0 7 4 3 2D: 96 39 93 74 4D: 3092 8295 5825 Best: 49 37 92 Shio: Harimau BBFS: 481073 #Pancingtoto #argentinajuara #akhirtahun  https://t.co/xY8fjJV7N9</t>
  </si>
  <si>
    <t>keluaran nusantara desember result shio tikus prediksi hongkong rabu desember best shio harimau bbfs</t>
  </si>
  <si>
    <t>['keluaran', 'nusantara', 'desember', 'result', 'shio', 'tikus', 'prediksi', 'hongkong', 'rabu', 'desember', 'best', 'shio', 'harimau', 'bbfs']</t>
  </si>
  <si>
    <t>Saya kira benar juga menjadi juara bersama timnas Brazil atau Argentina akan lebih mudah ketimbang juara bersama Portugal atau Inggris</t>
  </si>
  <si>
    <t>saya kira benar juga menjadi juara bersama timnas brazil atau argentina akan lebih mudah ketimbang juara bersama portugal atau inggris</t>
  </si>
  <si>
    <t>['kira', 'benar', 'menjadi', 'juara', 'bersama', 'timnas', 'brazil', 'argentina', 'lebih', 'mudah', 'ketimbang', 'juara', 'bersama', 'portugal', 'inggris']</t>
  </si>
  <si>
    <t>Sukses Bawa Argentina Juara, Lionel Messi Perpanjang Kontrak dengan PSG Hingga 2024  https://t.co/knKzErc0bi #TempoVideo</t>
  </si>
  <si>
    <t>sukses bawa argentina juara lionel messi perpanjang kontrak dengan psg hingga</t>
  </si>
  <si>
    <t>['sukses', 'bawa', 'argentina', 'juara', 'lionel', 'messi', 'perpanjang', 'kontrak', 'psg', 'hingga']</t>
  </si>
  <si>
    <t>@smilinglungs @NonsenseZeroOne @idextratime Apa kabar fans Ronaldo yg sejak 2016 selalu bawa2 piala Euro gara2 Messi gapernah juara sama Argentina? Sekarang Messi udah juara pildun dan dibalas fansnya dibilangnya ga lucu, cuih najis fans dodo munafik</t>
  </si>
  <si>
    <t>apa kabar fans ronaldo sejak selalu bawa piala euro gara messi gapernah juara sama argentina sekarang messi udah juara pildun dan dibalas fansnya dibilangnya lucu cuih najis fans dodo munafik</t>
  </si>
  <si>
    <t>['apa', 'kabar', 'fans', 'ronaldo', 'sejak', 'selalu', 'bawa', 'piala', 'euro', 'gara', 'messi', 'gapernah', 'juara', 'sama', 'argentina', 'sekarang', 'messi', 'udah', 'juara', 'piala dunia', 'dibalas', 'fansnya', 'dibilangnya', 'lucu', 'cuih', 'najis', 'fans', 'dodo', 'munafik']</t>
  </si>
  <si>
    <t>@SamFerkyFers10 @SiaranBolaLive Yg penting dah juara sama messi klo 2026 terserah dah paling yg dukung argentina di 2026 juga dikit,</t>
  </si>
  <si>
    <t>penting dah juara sama messi klo terserah dah paling dukung argentina juga dikit</t>
  </si>
  <si>
    <t>['penting', 'dah', 'juara', 'sama', 'messi', 'terserah', 'dah', 'paling', 'dukung', 'argentina', 'dikit']</t>
  </si>
  <si>
    <t>Argentina Juara Dunia, Guardiola Sanjung Alvarez dan Messi  https://t.co/jDpb7525Vw</t>
  </si>
  <si>
    <t>argentina juara dunia guardiola sanjung alvarez dan messi</t>
  </si>
  <si>
    <t>['argentina', 'juara', 'dunia', 'guardiola', 'sanjung', 'alvarez', 'messi']</t>
  </si>
  <si>
    <t>Yg juara argentina, yg sedih france, yg baper fans dodo seluruh Dunia</t>
  </si>
  <si>
    <t>juara argentina sedih france baper fans dodo seluruh dunia</t>
  </si>
  <si>
    <t>['juara', 'argentina', 'sedih', 'france', 'bawa perasaan', 'fans', 'dodo', 'seluruh', 'dunia']</t>
  </si>
  <si>
    <t>Top 3 Berita Bola: Parade Juara Piala Dunia 2022 Dihentikan Lebih Awal, Pemain Argentina Diangkut Helikopter  https://t.co/NH9vcnsqGW</t>
  </si>
  <si>
    <t>@HideTride @choniby @catom_inside @SiaranBolaLive Ya sudah gue pesimis lagi deh sbg fans France kalo gitu, kalo gitu 90% Argentina yg juara lagi</t>
  </si>
  <si>
    <t>inside sudah gue pesimis lagi deh sbg fans france kalo gitu kalo gitu argentina juara lagi</t>
  </si>
  <si>
    <t>['inside', 'gue', 'pesimis', 'deh', 'sbg', 'fans', 'france', 'gitu', 'gitu', 'argentina', 'juara']</t>
  </si>
  <si>
    <t>Lionel Messi dikabarkan masuk daftar pertimbangan ikon mata uang Argentina setelah sukses mengantar La Albiceleste juara Piala Dunia 2022.   #MGTRADIO #MGTSport #MGTPlay  https://t.co/H8FHAevJ4i</t>
  </si>
  <si>
    <t>lionel messi dikabarkan masuk daftar pertimbangan ikon mata uang argentina setelah sukses mengantar albiceleste juara piala dunia</t>
  </si>
  <si>
    <t>['lionel', 'messi', 'dikabarkan', 'masuk', 'daftar', 'pertimbangan', 'ikon', 'mata', 'uang', 'argentina', 'sukses', 'mengantar', 'albiceleste', 'juara', 'piala', 'dunia']</t>
  </si>
  <si>
    <t>@ikydp @catom_inside @travpan69 @choniby @SiaranBolaLive Ya udh deh gue pesimis lagi France bisa juara kalo gitu, kayaknya 99% Argentina lagi yg bakal juara di 2026 nanti</t>
  </si>
  <si>
    <t>inside udh deh gue pesimis lagi france bisa juara kalo gitu kayaknya argentina lagi bakal juara nanti</t>
  </si>
  <si>
    <t>['inside', 'sudah', 'deh', 'gue', 'pesimis', 'france', 'juara', 'gitu', 'kayaknya', 'argentina', 'bakal', 'juara']</t>
  </si>
  <si>
    <t>Argentina kemaren juara itu editan dari tiktok, aslinya ini</t>
  </si>
  <si>
    <t>argentina kemaren juara itu editan dari tiktok aslinya ini</t>
  </si>
  <si>
    <t>['argentina', 'kemarin', 'juara', 'editan', 'tiktok', 'aslinya']</t>
  </si>
  <si>
    <t>@labiebsadat Pantas lah. Argentina juara karena adu pinalti. Dalam adu pinalti, porsi terbesar ada pada kiper.</t>
  </si>
  <si>
    <t>pantas lah argentina juara karena adu pinalti dalam adu pinalti porsi terbesar ada pada kiper</t>
  </si>
  <si>
    <t>['pantas', 'lah', 'argentina', 'juara', 'adu', 'penalti', 'adu', 'penalti', 'porsi', 'terbesar', 'kiper']</t>
  </si>
  <si>
    <t>Kiper fenomenal Timnas Argentina itu menjadi burun Bayern Munchen setelah tampil gemilang saat mengantarkan negaranya menjadi juara Piaal Dunia.  https://t.co/euSRCxEgx6</t>
  </si>
  <si>
    <t>kiper fenomenal timnas argentina itu menjadi burun bayern munchen setelah tampil gemilang saat mengantarkan negaranya menjadi juara piaal dunia</t>
  </si>
  <si>
    <t>['kiper', 'fenomenal', 'timnas', 'argentina', 'menjadi', 'burun', 'bayern', 'munchen', 'tampil', 'gemilang', 'mengantarkan', 'negaranya', 'menjadi', 'juara', 'piaal', 'dunia']</t>
  </si>
  <si>
    <t>5 Gelar Juara Lionel Messi Bersama Timnas Argentina, Piala Dunia 2022 Te...  https://t.co/jZJFYHI62C via @YouTube</t>
  </si>
  <si>
    <t>gelar juara lionel messi bersama timnas argentina piala dunia via</t>
  </si>
  <si>
    <t>['gelar', 'juara', 'lionel', 'messi', 'bersama', 'timnas', 'argentina', 'piala', 'dunia', 'via']</t>
  </si>
  <si>
    <t>Bank Sentral Republik Argentina saat ini sedang mempertimbangkan wajah Lionel Messi untuk muncul di mata uang Peso usai keberhasilannya menjadi juara Piala Dunia 2022. #MessiìÉµ #Argentina    https://t.co/5uEc2Xfc5b</t>
  </si>
  <si>
    <t>bank sentral republik argentina saat ini sedang mempertimbangkan wajah lionel messi untuk muncul mata uang peso usai keberhasilannya menjadi juara piala dunia</t>
  </si>
  <si>
    <t>['bank', 'sentral', 'republik', 'argentina', 'sedang', 'mempertimbangkan', 'wajah', 'lionel', 'messi', 'muncul', 'mata', 'uang', 'peso', 'usai', 'keberhasilannya', 'menjadi', 'juara', 'piala', 'dunia']</t>
  </si>
  <si>
    <t>@beINSPORTSid Kalau Di Maria dan Paredes masih di PSG. Gak yakin Argentina bisa juara dunia.</t>
  </si>
  <si>
    <t>kalau maria dan paredes masih psg gak yakin argentina bisa juara dunia</t>
  </si>
  <si>
    <t>['kalau', 'maria', 'paredes', 'psg', 'yakin', 'argentina', 'juara', 'dunia']</t>
  </si>
  <si>
    <t>Do larut karo Argentina sing juara pildun nganti lali mambengi king emyu menang mlebu semifinal piala ciki</t>
  </si>
  <si>
    <t>larut karo argentina sing juara pildun nganti lali mambengi king emyu menang mlebu semifinal piala ciki</t>
  </si>
  <si>
    <t>['larut', 'karo', 'argentina', 'sing', 'juara', 'piala dunia', 'nganti', 'lali', 'mambengi', 'king', 'emyu', 'menang', 'mlebu', 'semifinal', 'piala', 'ciki']</t>
  </si>
  <si>
    <t>Sukses Bawa Argentina Juara Piala Dunia, Messi Bakal Jadi Ikon Mata Uang Peso  https://t.co/FAr7Aa6Ui8 #Argentina #JuaraDunia #LeonelMessi #PialaDunia2022</t>
  </si>
  <si>
    <t>sukses bawa argentina juara piala dunia messi bakal jadi ikon mata uang peso</t>
  </si>
  <si>
    <t>['sukses', 'bawa', 'argentina', 'juara', 'piala', 'dunia', 'messi', 'bakal', 'jadi', 'ikon', 'mata', 'uang', 'peso']</t>
  </si>
  <si>
    <t>@SantorinisSun Foto Warga Argentina kumpul di Pusat Kota merayakan kemenangan Messi dkk Juara Pildun kok dibawa2?</t>
  </si>
  <si>
    <t>foto warga argentina kumpul pusat kota merayakan kemenangan messi dkk juara pildun kok dibawa</t>
  </si>
  <si>
    <t>['foto', 'warga', 'argentina', 'kumpul', 'pusat', 'kota', 'merayakan', 'kemenangan', 'messi', 'dkk', 'juara', 'piala dunia', 'kok', 'dibawa']</t>
  </si>
  <si>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</si>
  <si>
    <t>pulang kampung pasca kemenangan argentina kemarin pemain dan pelatih argentina pulang kota kelahirannya mereka disambut bak pahlawan sebagai akamsi yang juara piala dunia pertama lionel scaloni kembali kota pujato provinsi santa</t>
  </si>
  <si>
    <t>['pulang', 'kampung', 'pasca', 'kemenangan', 'argentina', 'kemarin', 'pemain', 'pelatih', 'argentina', 'pulang', 'kota', 'kelahirannya', 'disambut', 'bak', 'pahlawan', 'akamsi', 'juara', 'piala', 'dunia', 'pertama', 'lionel', 'scaloni', 'kota', 'pujato', 'provinsi', 'santa']</t>
  </si>
  <si>
    <t>Sarat Prestasi Saat Argentina Juara  https://t.co/IXpvQE14FA</t>
  </si>
  <si>
    <t>sarat prestasi saat argentina juara</t>
  </si>
  <si>
    <t>['sarat', 'prestasi', 'argentina', 'juara']</t>
  </si>
  <si>
    <t>@rndy11 Ben Foster pernah melakukan wawancara sama Emi Martinez pasca bawa Argentina juara Copa America 2021. Ada satu pernyataan dari Emi "Sepakbola adalah permainan mental". Mungkin itu yg buat Emi skrng melakukan "mind games" pda saat penalty.</t>
  </si>
  <si>
    <t>ben foster pernah melakukan wawancara sama emi martinez pasca bawa argentina juara copa america ada satu pernyataan dari emi sepakbola adalah permainan mental mungkin itu buat emi skrng melakukan mind games pda saat penalty</t>
  </si>
  <si>
    <t>['ben', 'foster', 'pernah', 'melakukan', 'wawancara', 'sama', 'emi', 'martinez', 'pasca', 'bawa', 'argentina', 'juara', 'copa', 'america', 'satu', 'pernyataan', 'emi', 'sepakbola', 'permainan', 'mental', 'mungkin', 'buat', 'emi', 'skrng', 'melakukan', 'mind', 'games', 'pda', 'penalty']</t>
  </si>
  <si>
    <t>Parade Juara Argentina, 2 Tewas, 5 Masih Koma  https://t.co/r3FeA1EFRa #ParadeJuaraArgentina</t>
  </si>
  <si>
    <t>parade juara argentina tewas masih koma</t>
  </si>
  <si>
    <t>['parade', 'juara', 'argentina', 'tewas', 'koma']</t>
  </si>
  <si>
    <t>Sarat Prestasi Saat Argentina Juara  https://t.co/1icsWzNzWF</t>
  </si>
  <si>
    <t>@detikcom Kalau semi final sudah sering pak, bahkan sampai ke final, yang dicontoh Argentina bisa jadi juara</t>
  </si>
  <si>
    <t>kalau semi final sudah sering pak bahkan sampai final yang dicontoh argentina bisa jadi juara</t>
  </si>
  <si>
    <t>['kalau', 'semi', 'final', 'sering', 'pak', 'bahkan', 'final', 'dicontoh', 'argentina', 'jadi', 'juara']</t>
  </si>
  <si>
    <t>@Ngurahary27 @idextratime Argentina adalah kunci... Untuk bisa jadi juara dunia, Eropa harus dikuasai lebih dulu-. Diego Armando Aidit</t>
  </si>
  <si>
    <t>argentina adalah kunci untuk bisa jadi juara dunia eropa harus dikuasai lebih dulu diego armando aidit</t>
  </si>
  <si>
    <t>['argentina', 'kunci', 'jadi', 'juara', 'dunia', 'eropa', 'dikuasai', 'lebih', 'dulu', 'diego', 'armando', 'aidit']</t>
  </si>
  <si>
    <t>@TaliUdeng Ngunu kui hambok Argentina rutin juara Yo,</t>
  </si>
  <si>
    <t>ngunu kui hambok argentina rutin juara</t>
  </si>
  <si>
    <t>['ngunu', 'kui', 'hambok', 'argentina', 'rutin', 'juara']</t>
  </si>
  <si>
    <t>üì∑ Uniknya jumlah masyarakat yang ikut merayakan parade juara Argentina sama dengan total seluruh penduduk Kroasia. - Follow juga kami di : - Instagram ¬†: @ekingsnews - Facebook ¬†: ekingsnews  https://t.co/sYs3jiQU6g</t>
  </si>
  <si>
    <t>uniknya jumlah masyarakat yang ikut merayakan parade juara argentina sama dengan total seluruh penduduk kroasia follow juga kami instagram facebook ekingsnews</t>
  </si>
  <si>
    <t>['uniknya', 'jumlah', 'masyarakat', 'ikut', 'merayakan', 'parade', 'juara', 'argentina', 'sama', 'total', 'seluruh', 'penduduk', 'kroasia', 'follow', 'instagram', 'facebook', 'ekingsnews']</t>
  </si>
  <si>
    <t>Sekarang kontra sama gesture Aguero dan Emiliano Martinez diperayaan juara Piala Dunia Argentina langsung dapet cap fans Cristiano  üò≠üò≠üò≠üò≠üò≠</t>
  </si>
  <si>
    <t>sekarang kontra sama gesture aguero dan emiliano martinez diperayaan juara piala dunia argentina langsung dapet cap fans cristiano</t>
  </si>
  <si>
    <t>['sekarang', 'kontra', 'sama', 'gesture', 'aguero', 'emiliano', 'martinez', 'diperayaan', 'juara', 'piala', 'dunia', 'argentina', 'langsung', 'dapat', 'cap', 'fans', 'cristiano']</t>
  </si>
  <si>
    <t>Julian Alvarez ketika pulang ke kampung halamanannya di Calchin, Cordoba Argentina sebagai Juara Dunia menggunakan truk pemadam. üá¶üá∑üôå  https://t.co/MrF3YRk0KT</t>
  </si>
  <si>
    <t>julian alvarez ketika pulang kampung halamanannya calchin cordoba argentina sebagai juara dunia menggunakan truk pemadam</t>
  </si>
  <si>
    <t>['julian', 'alvarez', 'pulang', 'kampung', 'halamanannya', 'calchin', 'cordoba', 'argentina', 'juara', 'dunia', 'menggunakan', 'truk', 'pemadam']</t>
  </si>
  <si>
    <t>@idextratime Masa @idextratime percaya ama yg ginian, simplenya kalau banyak yg ngunggulin argentina, bandar harusnya menang besar klo prancis yg juara</t>
  </si>
  <si>
    <t>masa percaya ama ginian simplenya kalau banyak ngunggulin argentina bandar harusnya menang besar klo prancis juara</t>
  </si>
  <si>
    <t>['masa', 'percaya', 'ama', 'ginian', 'simplenya', 'kalau', 'banyak', 'ngunggulin', 'argentina', 'bandar', 'harusnya', 'menang', 'besar', 'prancis', 'juara']</t>
  </si>
  <si>
    <t>@Dityaapa @realmadridindo1 Oh ternyata Argentina bisa juara karena yang masak buat pemain kang daging salt bae</t>
  </si>
  <si>
    <t>ternyata argentina bisa juara karena yang masak buat pemain kang daging salt bae</t>
  </si>
  <si>
    <t>['ternyata', 'argentina', 'juara', 'masak', 'buat', 'pemain', 'kang', 'daging', 'salt', 'bae']</t>
  </si>
  <si>
    <t>@smilinglungs @idextratime H+ beberapa jam setelah Argentina juara</t>
  </si>
  <si>
    <t>beberapa jam setelah argentina juara</t>
  </si>
  <si>
    <t>['beberapa', 'jam', 'argentina', 'juara']</t>
  </si>
  <si>
    <t>@harra1107 @Tribalchief666 @Rifannn3 @idextratime @FabrizioRomano Messi dapet gelar, pemain argentina juara karena gaada yg di barca yg lingkungannya toxic duh</t>
  </si>
  <si>
    <t>messi dapet gelar pemain argentina juara karena gaada barca lingkungannya toxic duh</t>
  </si>
  <si>
    <t>['messi', 'dapat', 'gelar', 'pemain', 'argentina', 'juara', 'gaada', 'barca', 'lingkungannya', 'toxic', 'duh']</t>
  </si>
  <si>
    <t>@detikcom Argentina blm siap mental utk juara</t>
  </si>
  <si>
    <t>argentina blm siap mental utk juara</t>
  </si>
  <si>
    <t>['argentina', 'blm', 'siap', 'mental', 'juara']</t>
  </si>
  <si>
    <t>@MamiaDoang fakta : hanya diera jokowi tim argentina bisa kembali menjadi juara dunia  sepakbola ‚úåÔ∏è...</t>
  </si>
  <si>
    <t>fakta hanya diera jokowi tim argentina bisa kembali menjadi juara dunia sepakbola</t>
  </si>
  <si>
    <t>['fakta', 'diera', 'jokowi', 'tim', 'argentina', 'menjadi', 'juara', 'dunia', 'sepakbola']</t>
  </si>
  <si>
    <t>Pep Guardiola : Argentina Layak Juara Piala Dunia 2022 #PepGuardiola #Argentina #PialaDunia2022 #WorldCup2022  https://t.co/pGdVqKikuA lewat @Holopis.com</t>
  </si>
  <si>
    <t>pep guardiola argentina layak juara piala dunia lewat com</t>
  </si>
  <si>
    <t>['pep', 'guardiola', 'argentina', 'layak', 'juara', 'piala', 'dunia', 'lewat', 'com']</t>
  </si>
  <si>
    <t>Potret Parade Juara Piala Dunia Argentina yang Berujung Ricuh  https://t.co/xunHw2Ef42</t>
  </si>
  <si>
    <t>potret parade juara piala dunia argentina yang berujung ricuh</t>
  </si>
  <si>
    <t>['potret', 'parade', 'juara', 'piala', 'dunia', 'argentina', 'berujung', 'ricuh']</t>
  </si>
  <si>
    <t>@idextratime @hanzbrzl @_lefthandpath, pantes argentina juara</t>
  </si>
  <si>
    <t>@PssiAnjing @FaktaSepakbola Gak gitu juga, kalo kayak gitu mestinya Argentina selalu favorit juara tiap WC.  Pep objektif liat kondisi tim Argentina beberapa tahun terakhir.</t>
  </si>
  <si>
    <t>gak gitu juga kalo kayak gitu mestinya argentina selalu favorit juara tiap pep objektif liat kondisi tim argentina beberapa tahun terakhir</t>
  </si>
  <si>
    <t>['gitu', 'seperti', 'gitu', 'mestinya', 'argentina', 'selalu', 'favorit', 'juara', 'tiap', 'pep', 'objektif', 'lihat', 'kondisi', 'tim', 'argentina', 'beberapa', 'tahun', 'terakhir']</t>
  </si>
  <si>
    <t xml:space="preserve">@chester_agung @SiaranBolaLive Reply an lu kan bilang kalau disuru pilih juara atau cetak gol, nah gw ga lagi ngomongin  juara gw lagi bahas si Emi yg harusnya malu dibobol bocah 3+1, Argentina emang juara dan harusnya si Emi kalau emang mau ngejek lebih </t>
  </si>
  <si>
    <t>agung reply kan bilang kalau disuru pilih juara atau cetak gol nah lagi ngomongin juara lagi bahas emi harusnya malu dibobol bocah argentina emang juara dan harusnya emi kalau emang mau ngejek lebih</t>
  </si>
  <si>
    <t>['agung', 'reply', 'kan', 'kalau', 'disuru', 'pilih', 'juara', 'cetak', 'gol', 'nah', 'ngomongin', 'juara', 'bahas', 'emi', 'harusnya', 'malu', 'dibobol', 'bocah', 'argentina', 'emang', 'juara', 'harusnya', 'emi', 'kalau', 'emang', 'mau', 'ngejek', 'lebih']</t>
  </si>
  <si>
    <t xml:space="preserve">@rahpequeno @Cristiano_time7 @idextratime ..wajar sih itu di tweet sebelum penyelenggaraan piala dunia, dan gw saat itu mana tau kalo piala dunia kali ini yang terburuk sepanjang masa karna dari awal Argentina emang udah disetting jadi juara. Tau sendiri </t>
  </si>
  <si>
    <t>time wajar sih itu tweet sebelum penyelenggaraan piala dunia dan saat itu mana tau kalo piala dunia kali ini yang terburuk sepanjang masa karna dari awal argentina emang udah disetting jadi juara tau sendiri</t>
  </si>
  <si>
    <t>['time', 'wajar', 'tweet', 'penyelenggaraan', 'piala', 'dunia', 'mana', 'piala', 'dunia', 'kali', 'terburuk', 'sepanjang', 'masa', 'karna', 'awal', 'argentina', 'emang', 'udah', 'disetting', 'jadi', 'juara', 'sendiri']</t>
  </si>
  <si>
    <t>@Box2BoxBola Bukan masalah Aguero terdaftar atau tidak dalam ofisial tim. Jangan buat sepak bola jadi kering terlalu text book.</t>
  </si>
  <si>
    <t>bukan masalah aguero terdaftar atau tidak dalam ofisial tim jangan buat sepak bola jadi kering terlalu text book</t>
  </si>
  <si>
    <t>['bukan', 'masalah', 'aguero', 'terdaftar', 'ofisial', 'tim', 'jangan', 'buat', 'sepak', 'bola', 'jadi', 'kering', 'terlalu', 'text', 'book']</t>
  </si>
  <si>
    <t>argentina juara i</t>
  </si>
  <si>
    <t>@Box2BoxBola Andai Maradona ada saat ini, apa mungkin pemain Argentina melarang memberikan trofi kepada Maradona?  Andai Messi cedera dan namanya tidak masuk skuad, apa iya Messi tidak berhak sentuh Piala Dunia?  Jadi, kepantasan ini berlaku berdasarkan p</t>
  </si>
  <si>
    <t>andai maradona ada saat ini apa mungkin pemain argentina melarang memberikan trofi kepada maradona andai messi cedera dan namanya tidak masuk skuad apa iya messi tidak berhak sentuh piala dunia jadi kepantasan ini berlaku berdasarkan</t>
  </si>
  <si>
    <t>['andai', 'maradona', 'apa', 'mungkin', 'pemain', 'argentina', 'melarang', 'memberikan', 'trofi', 'maradona', 'andai', 'messi', 'cedera', 'namanya', 'masuk', 'skuad', 'apa', 'iya', 'messi', 'berhak', 'sentuh', 'piala', 'dunia', 'jadi', 'kepantasan', 'berlaku', 'berdasarkan']</t>
  </si>
  <si>
    <t>@Box2BoxBola Ini cuma persoalan etika. Balik aja moral orang masing-masing. Salt Bae meminta trofi dari pemain, tujuannya apalagi kalau bukan motif ekonomi meningkatkan brand dirinya.  Beda hal dengan Aguero. Pemain Argentina terdorong untuk mempersembahk</t>
  </si>
  <si>
    <t>ini cuma persoalan etika balik aja moral orang masing masing salt bae meminta trofi dari pemain tujuannya apalagi kalau bukan motif ekonomi meningkatkan brand dirinya beda hal dengan aguero pemain argentina terdorong untuk mempersembahk</t>
  </si>
  <si>
    <t>['cuma', 'persoalan', 'etika', 'balik', 'moral', 'orang', 'masing', 'masing', 'salt', 'bae', 'meminta', 'trofi', 'pemain', 'tujuannya', 'kalau', 'bukan', 'motif', 'ekonomi', 'meningkatkan', 'brand', 'dirinya', 'beda', 'aguero', 'pemain', 'argentina', 'terdorong', 'mempersembahk']</t>
  </si>
  <si>
    <t>Argentina gan√≥ 3 de los √∫ltimos 12 mundiales. Salud ü•Ç</t>
  </si>
  <si>
    <t>argentina gan los ltimos mundiales salud</t>
  </si>
  <si>
    <t>['argentina', 'juragan', 'los', 'ltimos', 'mundiales', 'salud']</t>
  </si>
  <si>
    <t>Emi Martinez dan Seni Provokasi: Jalan Hitam Argentina Juara Piala Dunia  https://t.co/wwzCCzkRt4</t>
  </si>
  <si>
    <t>emi martinez dan seni provokasi jalan hitam argentina juara piala dunia</t>
  </si>
  <si>
    <t>['emi', 'martinez', 'seni', 'provokasi', 'jalan', 'hitam', 'argentina', 'juara', 'piala', 'dunia']</t>
  </si>
  <si>
    <t>@vivaciyours Gimana perasaannya saat Argentina bisa menjadi juara dunia?</t>
  </si>
  <si>
    <t>gimana perasaannya saat argentina bisa menjadi juara dunia</t>
  </si>
  <si>
    <t>['gimana', 'perasaannya', 'argentina', 'menjadi', 'juara', 'dunia']</t>
  </si>
  <si>
    <t>@idextratime Wes pokoke benar aja,nitijen indo paling pinter Besok tolong pas WC U-20 ngikutin cara argentina aja biar jadi juara ya ges ü§£</t>
  </si>
  <si>
    <t>wes pokoke benar aja nitijen indo paling pinter besok tolong pas ngikutin cara argentina aja biar jadi juara ges</t>
  </si>
  <si>
    <t>['wes', 'pokoke', 'benar', 'nitijen', 'indo', 'paling', 'pinter', 'besok', 'pas', 'ngikutin', 'cara', 'argentina', 'jadi', 'juara', 'guys']</t>
  </si>
  <si>
    <t>@zenrs Jangan lupakan jg skandal "air suci" thn 1990 vs Brazil. Brazil juara grup akhirnya kalah sama Argentina yg statusnya cmn peringkat 3 terbaik</t>
  </si>
  <si>
    <t>jangan lupakan skandal air suci thn brazil brazil juara grup akhirnya kalah sama argentina statusnya cmn peringkat terbaik</t>
  </si>
  <si>
    <t>['jangan', 'lupakan', 'skandal', 'air', 'suci', 'thn', 'brazil', 'brazil', 'juara', 'grup', 'akhirnya', 'kalah', 'sama', 'argentina', 'statusnya', 'cmn', 'peringkat', 'terbaik']</t>
  </si>
  <si>
    <t>Ngeliat selebrasi timnas Argentina setalah juara dunia dalam hati gua kayaknya ini bakal yg terakhir dah, masalah Messi bentar lagi pensiun dan itu jadi masalah buat Argentina, karena permainan Argentina bener" Terfokus sama messi</t>
  </si>
  <si>
    <t>ngeliat selebrasi timnas argentina setalah juara dunia dalam hati gua kayaknya ini bakal terakhir dah masalah messi bentar lagi pensiun dan itu jadi masalah buat argentina karena permainan argentina bener terfokus sama messi</t>
  </si>
  <si>
    <t>['ngeliat', 'selebrasi', 'timnas', 'argentina', 'setalah', 'juara', 'dunia', 'hati', 'gua', 'kayaknya', 'bakal', 'terakhir', 'dah', 'masalah', 'messi', 'bentar', 'pensiun', 'jadi', 'masalah', 'buat', 'argentina', 'permainan', 'argentina', 'benar', 'terfokus', 'sama', 'messi']</t>
  </si>
  <si>
    <t>@idextratime Silahkan berdongeng, tapi dalam catatan Sejarah Dunia Argentina ttp Juara.üòÇ</t>
  </si>
  <si>
    <t>silahkan berdongeng tapi dalam catatan sejarah dunia argentina ttp juara</t>
  </si>
  <si>
    <t>['silahkan', 'berdongeng', 'catatan', 'sejarah', 'dunia', 'argentina', 'ttp', 'juara']</t>
  </si>
  <si>
    <t>@labiebsadat Martinez bisa bawa Argentina juara ya jelas bisa lh dia main di negara mayoritas pemain¬≤ kalas dunia semua lah bono sebagaiian orng jga baru tau kali klo maroko bisa main bola</t>
  </si>
  <si>
    <t>martinez bisa bawa argentina juara jelas bisa dia main negara mayoritas pemain kalas dunia semua lah bono sebagaiian orng jga baru tau kali klo maroko bisa main bola</t>
  </si>
  <si>
    <t>['martinez', 'bawa', 'argentina', 'juara', 'jelas', 'main', 'negara', 'mayoritas', 'pemain', 'kalas', 'dunia', 'semua', 'lah', 'bono', 'sebagaiian', 'orng', 'jga', 'baru', 'kali', 'maroko', 'main', 'bola']</t>
  </si>
  <si>
    <t>@SepertiSalju @Thoriq_Udinson @Gdmn77 @idextratime yg dibawa pulang ke argentina itu replika, yg asli tetap disimpan FIFA, kalau gak salah yg boleh bawa pulang trofi yg asli itu yg bisa juara 3 kali berturut turut</t>
  </si>
  <si>
    <t>udinson dibawa pulang argentina itu replika asli tetap disimpan fifa kalau gak salah boleh bawa pulang trofi asli itu bisa juara kali berturut turut</t>
  </si>
  <si>
    <t>['udinson', 'dibawa', 'pulang', 'argentina', 'replika', 'asli', 'tetap', 'disimpan', 'fifa', 'kalau', 'salah', 'bawa', 'pulang', 'trofi', 'asli', 'juara', 'kali', 'berturut', 'turut']</t>
  </si>
  <si>
    <t>@messinisme @JempolKejepit20 @triwantororudi @idextratime Wkwkwkwkwk dari sebelum era messi, argentina udah favorit juara, crespo, batistuta dll</t>
  </si>
  <si>
    <t>wkwkwkwkwk dari sebelum era messi argentina udah favorit juara crespo batistuta dll</t>
  </si>
  <si>
    <t>['wkwkwkwkwk', 'era', 'messi', 'argentina', 'udah', 'favorit', 'juara', 'crespo', 'batistuta']</t>
  </si>
  <si>
    <t>Legenda Timnas Argentina, Jorge Valdano, membeberkan obrolan dirinya dengan Lionel Messi. La Pulga diklaimnya mau main di Piala Dunia 2026! Messi sukses membawa Argentina menjadi juara Piala Dunia 2022  https://t.co/2SEC0YBL5M</t>
  </si>
  <si>
    <t>legenda timnas argentina jorge valdano membeberkan obrolan dirinya dengan lionel messi pulga diklaimnya mau main piala dunia messi sukses membawa argentina menjadi juara piala dunia</t>
  </si>
  <si>
    <t>['legenda', 'timnas', 'argentina', 'jorge', 'valdano', 'membeberkan', 'obrolan', 'dirinya', 'lionel', 'messi', 'pulga', 'diklaimnya', 'mau', 'main', 'piala', 'dunia', 'messi', 'sukses', 'membawa', 'argentina', 'menjadi', 'juara', 'piala', 'dunia']</t>
  </si>
  <si>
    <t>@theflankerID @FIFAWorldCup Gpp mau sapa yg rayain dan pansos di momen argentina juara ga masalah, yg penting argentina juara. Juara di akhir era mega bintangnya. Vamos argentina!!!</t>
  </si>
  <si>
    <t>gpp mau sapa rayain dan pansos momen argentina juara masalah penting argentina juara juara akhir era mega bintangnya vamos argentina</t>
  </si>
  <si>
    <t>['gapapa', 'mau', 'sapa', 'rayain', 'panjat sosial', 'momen', 'argentina', 'juara', 'masalah', 'penting', 'argentina', 'juara', 'juara', 'akhir', 'era', 'mega', 'bintangnya', 'vamos', 'argentina']</t>
  </si>
  <si>
    <t>Bawa Argentina Juara Piala Dunia 2022, Wajah Lionel Messi Bakal Muncul di Pecahan Uang Kertas Argentina! #LengkapCepatBeritanya #Bola #SepakBola #SepakbolaDunia #BolaDunia .  https://t.co/ttClNhgkHi</t>
  </si>
  <si>
    <t>bawa argentina juara piala dunia wajah lionel messi bakal muncul pecahan uang kertas argentina</t>
  </si>
  <si>
    <t>['bawa', 'argentina', 'juara', 'piala', 'dunia', 'wajah', 'lionel', 'messi', 'bakal', 'muncul', 'pecahan', 'uang', 'kertas', 'argentina']</t>
  </si>
  <si>
    <t>@tempodotco argentina menang lawan prancis... argentina juara dunia 2022. Mantap</t>
  </si>
  <si>
    <t>argentina menang lawan prancis argentina juara dunia mantap</t>
  </si>
  <si>
    <t>['argentina', 'menang', 'lawan', 'prancis', 'argentina', 'juara', 'dunia', 'mantap']</t>
  </si>
  <si>
    <t>@BacksapceAlt @idextratime ..Wajar Ronaldo post banyak kek gitu secara dia memenangkan gelar pertama buat Portugal, sedangkan Argentina sebelum ada pessi juga udah sering juara, makanya lahir di negara Portugal lebih susah juara daripada di Argentina soal</t>
  </si>
  <si>
    <t>wajar ronaldo post banyak kek gitu secara dia memenangkan gelar pertama buat portugal sedangkan argentina sebelum ada pessi juga udah sering juara makanya lahir negara portugal lebih susah juara daripada argentina soal</t>
  </si>
  <si>
    <t>['wajar', 'ronaldo', 'post', 'banyak', 'kek', 'gitu', 'memenangkan', 'gelar', 'pertama', 'buat', 'portugal', 'argentina', 'pessi', 'udah', 'sering', 'juara', 'makanya', 'lahir', 'negara', 'portugal', 'lebih', 'susah', 'juara', 'argentina', 'soal']</t>
  </si>
  <si>
    <t>@ryomahendra1987 @SiaranBolaLive Yah masak Argentina yg lagi juara‚Ä¶?? Kan udah gak ada Messi</t>
  </si>
  <si>
    <t>yah masak argentina lagi juara kan udah gak ada messi</t>
  </si>
  <si>
    <t>['masak', 'argentina', 'juara', 'kan', 'udah', 'messi']</t>
  </si>
  <si>
    <t>@KompasTV @Kiyai_MarufAmin Knp GK sekalian kyak Argentina aja pak. Jls JD juara. Kalau mau nyontoh orang itu skalian aja pak yg LBH baik ny. Jngn tanggung</t>
  </si>
  <si>
    <t>marufamin knp sekalian kyak argentina aja pak jls juara kalau mau nyontoh orang itu skalian aja pak lbh baik jngn tanggung</t>
  </si>
  <si>
    <t>['marufamin', 'kenapa', 'sekalian', 'kyak', 'argentina', 'pak', 'jls', 'juara', 'kalau', 'mau', 'nyontoh', 'orang', 'skalian', 'pak', 'lbh', 'baik', 'jngn', 'tanggung']</t>
  </si>
  <si>
    <t>@SamFerkyFers10 @SiaranBolaLive Baguslah Argentina selalu diremehkan, siap-siap 2026 Argentina lagi yang juara.</t>
  </si>
  <si>
    <t>baguslah argentina selalu diremehkan siap siap argentina lagi yang juara</t>
  </si>
  <si>
    <t>['baguslah', 'argentina', 'selalu', 'diremehkan', 'siap', 'siap', 'argentina', 'juara']</t>
  </si>
  <si>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</si>
  <si>
    <t>sbg fans france gue udh kali liat juara world cup sbg fans italy gue baru kali liat juara world cup tapi kalo seandainya gue fans brazil jerman ato argentina toh jga sama sama baru sekali jga kan liat juara world cup kok susah banget liat tim favorit kali juara world cup</t>
  </si>
  <si>
    <t>['sbg', 'fans', 'france', 'gue', 'sudah', 'kali', 'lihat', 'juara', 'world', 'cup', 'sbg', 'fans', 'italy', 'gue', 'baru', 'kali', 'lihat', 'juara', 'world', 'cup', 'seandainya', 'gue', 'fans', 'brazil', 'jerman', 'ato', 'argentina', 'jga', 'sama', 'sama', 'baru', 'sekali', 'jga', 'kan', 'lihat', 'juara', 'world', 'cup', 'kok', 'susah', 'banget', 'lihat', 'tim', 'favorit', 'kali', 'juara', 'world', 'cup']</t>
  </si>
  <si>
    <t>&lt;FreqDist with 26 samples and 48 outcomes&gt;</t>
  </si>
  <si>
    <t>Liga Indonesia cocok dihentikan sementara waktu</t>
  </si>
  <si>
    <t>liga indonesia cocok dihentikan sementara waktu</t>
  </si>
  <si>
    <t>['liga', 'indonesia', 'cocok', 'dihentikan', 'waktu']</t>
  </si>
  <si>
    <t>@catom_inside @travpan69 @choniby @SiaranBolaLive Masak tapi yg juara Argentina lagi sih??</t>
  </si>
  <si>
    <t>inside masak tapi juara argentina lagi sih</t>
  </si>
  <si>
    <t>['inside', 'masak', 'juara', 'argentina']</t>
  </si>
  <si>
    <t>@zenrs Tanda netijen mo minta nulis ttg Argentina juara itu kang wkwk</t>
  </si>
  <si>
    <t>tanda netijen minta nulis ttg argentina juara itu kang wkwk</t>
  </si>
  <si>
    <t>['tanda', 'netijen', 'minta', 'nulis', 'ttg', 'argentina', 'juara', 'kang']</t>
  </si>
  <si>
    <t>@kevinohario kaga punya duit anjaaaay</t>
  </si>
  <si>
    <t>kaga punya duit anjaaaay</t>
  </si>
  <si>
    <t>['kaga', 'punya', 'duit', 'anjaaaay']</t>
  </si>
  <si>
    <t>@achmadi_7 @TxtdariHI Udah all in portugal, argentina yg juara wkwkw makin gila</t>
  </si>
  <si>
    <t>udah all portugal argentina juara wkwkw makin gila</t>
  </si>
  <si>
    <t>['udah', 'all', 'portugal', 'argentina', 'juara', 'wkwkw', 'makin', 'gila']</t>
  </si>
  <si>
    <t>ChatGPT oleng dengan menyebut Cristiano Ronaldo pernah bermain di klub Ligue 1 üòÇ  https://t.co/KsQtlsovDD</t>
  </si>
  <si>
    <t>chatgpt oleng dengan menyebut cristiano ronaldo pernah bermain klub ligue</t>
  </si>
  <si>
    <t>['chatgpt', 'oleng', 'menyebut', 'cristiano', 'ronaldo', 'pernah', 'bermain', 'klub', 'ligue']</t>
  </si>
  <si>
    <t>@iIhamzada Tipikal kebanyakan fans Argentina gak diluar gak yang Indonesia‚Ä¶. Rata rata kenapa pada senggol bacok semua ya?? Apa karena mayoritas baru pada pertama kalinya liat Argentina juara World Cup dalam 36 tahun terakhir??</t>
  </si>
  <si>
    <t>tipikal kebanyakan fans argentina gak diluar gak yang indonesia rata rata kenapa pada senggol bacok semua apa karena mayoritas baru pada pertama kalinya liat argentina juara world cup dalam tahun terakhir</t>
  </si>
  <si>
    <t>['tipikal', 'kebanyakan', 'fans', 'argentina', 'diluar', 'indonesia', 'rata', 'rata', 'senggol', 'bacok', 'semua', 'apa', 'mayoritas', 'baru', 'pertama', 'kalinya', 'lihat', 'argentina', 'juara', 'world', 'cup', 'tahun', 'terakhir']</t>
  </si>
  <si>
    <t>@Nugstriamdans @ainurohman Sama seperti argentina yang sebagaian penduduknya gak pingin juara pildun karena takut menutupi pemerintahannya yang lagi bobrok secara ekonomi</t>
  </si>
  <si>
    <t>sama seperti argentina yang sebagaian penduduknya gak pingin juara pildun karena takut menutupi pemerintahannya yang lagi bobrok secara ekonomi</t>
  </si>
  <si>
    <t>['sama', 'argentina', 'sebagaian', 'penduduknya', 'pingin', 'juara', 'piala dunia', 'takut', 'menutupi', 'pemerintahannya', 'bobrok', 'ekonomi']</t>
  </si>
  <si>
    <t>@idextratime sebenernya mau gimana pun juga argentina udah juara gua yang dukung prancis juga ga jadi masalah karna emang udah waktunya lionel messi angkat pialaü§û</t>
  </si>
  <si>
    <t>sebenernya mau gimana pun juga argentina udah juara gua yang dukung prancis juga jadi masalah karna emang udah waktunya lionel messi angkat piala</t>
  </si>
  <si>
    <t>['sebenernya', 'mau', 'gimana', 'argentina', 'udah', 'juara', 'gua', 'dukung', 'prancis', 'jadi', 'masalah', 'karna', 'emang', 'udah', 'waktunya', 'lionel', 'messi', 'angkat', 'piala']</t>
  </si>
  <si>
    <t>anjai si bilingual  bahasa inggris dari "4 juta orang tumpah ruah ke jalan saat pawai argentina juara" adalah chaos üëç</t>
  </si>
  <si>
    <t>anjai bilingual bahasa inggris dari juta orang tumpah ruah jalan saat pawai argentina juara adalah chaos</t>
  </si>
  <si>
    <t>['anjai', 'bilingual', 'bahasa', 'inggris', 'juta', 'orang', 'tumpah', 'ruah', 'jalan', 'pawai', 'argentina', 'juara', 'chaos']</t>
  </si>
  <si>
    <t>@idextratime kalo gk terima Argentina juara ya suruh aja ulang laga finalnya wkwk.. kentara banget fans militan CR üòÇ</t>
  </si>
  <si>
    <t>kalo terima argentina juara suruh aja ulang laga finalnya wkwk kentara banget fans militan</t>
  </si>
  <si>
    <t>['terima', 'argentina', 'juara', 'suruh', 'ulang', 'laga', 'finalnya', 'kentara', 'banget', 'fans', 'militan']</t>
  </si>
  <si>
    <t>@idextratime konspirasinya terlalu lebay dan halu, tp klo ada sdikit ada settingan spy argentina juara spertinya bisa jadi, krn ada bberapa moment bisa dipertanyakan spt diving di maria, penendang pinalti francis kayak sengaja membuang bola dan gampang di</t>
  </si>
  <si>
    <t>konspirasinya terlalu lebay dan halu klo ada sdikit ada settingan spy argentina juara spertinya bisa jadi krn ada bberapa moment bisa dipertanyakan spt diving maria penendang pinalti francis kayak sengaja membuang bola dan gampang</t>
  </si>
  <si>
    <t>['konspirasinya', 'terlalu', 'lebay', 'halusinasi', 'sdikit', 'settingan', 'spy', 'argentina', 'juara', 'spertinya', 'jadi', 'bberapa', 'moment', 'dipertanyakan', 'spt', 'diving', 'maria', 'penendang', 'penalti', 'francis', 'seperti', 'sengaja', 'membuang', 'bola', 'gampang']</t>
  </si>
  <si>
    <t>@nagaa24 @masihkurang_ @idextratime Lah Pasaran lek2an alias 0-0 ngapain Pasang Argentina win.. Ya mending Pasang Argentina juara kecuali yang masang taruhan nya tolol kayak ente.. ü§£ü§£ü§£</t>
  </si>
  <si>
    <t>lah pasaran lek alias ngapain pasang argentina win mending pasang argentina juara kecuali yang masang taruhan nya tolol kayak ente</t>
  </si>
  <si>
    <t>['lah', 'pasaran', 'lek', 'alias', 'ngapain', 'pasang', 'argentina', 'win', 'mending', 'pasang', 'argentina', 'juara', 'masang', 'taruhan', 'tolol', 'seperti', 'ente']</t>
  </si>
  <si>
    <t>Argentina Juara Settingan PGS EPS 2  https://t.co/QBRrD3GEo5 #WorldCup2022  #WorldcupQatar2022  #Argentina  #Messi  #GOATìÉµ</t>
  </si>
  <si>
    <t>argentina juara settingan pgs eps</t>
  </si>
  <si>
    <t>['argentina', 'juara', 'settingan', 'pgs', 'eps']</t>
  </si>
  <si>
    <t>Banyak warganet yang memunculkan tuduhan mengenai gelaran Piala Dunia 2022 yang sudah diatur oleh FIFA agar Argentina juara.   https://t.co/1CWbdWSF2B</t>
  </si>
  <si>
    <t>banyak warganet yang memunculkan tuduhan mengenai gelaran piala dunia yang sudah diatur oleh fifa agar argentina juara</t>
  </si>
  <si>
    <t>['banyak', 'warganet', 'memunculkan', 'tuduhan', 'mengenai', 'gelaran', 'piala', 'dunia', 'diatur', 'fifa', 'argentina', 'juara']</t>
  </si>
  <si>
    <t>Juara Piala Dunia 2022, Argentina Dapat Bonus Ratusan Miliar Rupiah  https://t.co/BXqR6McrPI</t>
  </si>
  <si>
    <t>juara piala dunia argentina dapat bonus ratusan miliar rupiah</t>
  </si>
  <si>
    <t>['juara', 'piala', 'dunia', 'argentina', 'bonus', 'ratusan', 'miliar', 'rupiah']</t>
  </si>
  <si>
    <t>@thoriqatuna1 Bahan gorengan basi. Kawan saya yang nasrani nyaman-nyaman saja setiap natal. Kita datang ke rumahnya, ngobrol sana-sini....topik masih agak hangat tentu  Argentina juara piala dunia hhhhheeee. Waktu lebaran begitu juga. Hari berikutnya olah</t>
  </si>
  <si>
    <t>bahan gorengan basi kawan saya yang nasrani nyaman nyaman saja setiap natal kita datang rumahnya ngobrol sana sini topik masih agak hangat tentu argentina juara piala dunia hhhhheeee waktu lebaran begitu juga hari berikutnya olah</t>
  </si>
  <si>
    <t>['bahan', 'gorengan', 'basi', 'kawan', 'nasrani', 'nyaman', 'nyaman', 'natal', 'datang', 'rumahnya', 'ngobrol', 'sana', 'sini', 'topik', 'hangat', 'argentina', 'juara', 'piala', 'dunia', 'hhhhheeee', 'waktu', 'lebaran', 'hari', 'berikutnya', 'olah']</t>
  </si>
  <si>
    <t>WC 2022 wis rampung, saiki sing ono kari bacodan sing ga masuk akal tekan warga konoha sing gaterimo argentina juara. Marai kemekel ü§£</t>
  </si>
  <si>
    <t>wis rampung saiki sing ono kari bacodan sing masuk akal tekan warga konoha sing gaterimo argentina juara marai kemekel</t>
  </si>
  <si>
    <t>['wis', 'rampung', 'saiki', 'sing', 'ono', 'kari', 'bacodan', 'sing', 'masuk', 'akal', 'tekan', 'warga', 'konoha', 'sing', 'gaterimo', 'argentina', 'juara', 'marai', 'kemekel']</t>
  </si>
  <si>
    <t>@GOAL_ID Kesamaan dan perbedaan Argentina-Indonesia.  Argentina negara dgn hutang besar, tapi sepakbolanya juara dunia. Indonesia juga hutangnya makin besar, sepakbolanya bobrok.</t>
  </si>
  <si>
    <t>kesamaan dan perbedaan argentina indonesia argentina negara dgn hutang besar tapi sepakbolanya juara dunia indonesia juga hutangnya makin besar sepakbolanya bobrok</t>
  </si>
  <si>
    <t>['kesamaan', 'perbedaan', 'argentina', 'indonesia', 'argentina', 'negara', 'hutang', 'besar', 'sepakbolanya', 'juara', 'dunia', 'indonesia', 'hutangnya', 'makin', 'besar', 'sepakbolanya', 'bobrok']</t>
  </si>
  <si>
    <t>@idextratime Argentina juara banggg, Ronaldo bisa apaa Bisa pulang kampung</t>
  </si>
  <si>
    <t>argentina juara banggg ronaldo bisa apaa bisa pulang kampung</t>
  </si>
  <si>
    <t>['argentina', 'juara', 'banggg', 'ronaldo', 'apaa', 'pulang', 'kampung']</t>
  </si>
  <si>
    <t>@ngakakbingits @azmeeex @idextratime lawan termudah argen itu polandia yg parkir tank dam kroasia yg gk punya striker,  australia lebih greget dari mereka,  oh iya,  juara euro dibabat 3-0 sama argentina</t>
  </si>
  <si>
    <t>lawan termudah argen itu polandia parkir tank dam kroasia punya striker australia lebih greget dari mereka iya juara euro dibabat sama argentina</t>
  </si>
  <si>
    <t>['lawan', 'termudah', 'argen', 'polandia', 'parkir', 'tank', 'dam', 'kroasia', 'punya', 'striker', 'australia', 'lebih', 'greget', 'iya', 'juara', 'euro', 'dibabat', 'sama', 'argentina']</t>
  </si>
  <si>
    <t>@idextratime Ngapain anjing argentina ngabisin uang banyak banget buat juara piala dunia doang, mending kalo dipake buat perang. Kocak lu ah, diduga otak lu di taro chip pendeteksi micin karna tololü§£</t>
  </si>
  <si>
    <t>ngapain anjing argentina ngabisin uang banyak banget buat juara piala dunia doang mending kalo dipake buat perang kocak diduga otak taro chip pendeteksi micin karna tolol</t>
  </si>
  <si>
    <t>['ngapain', 'anjing', 'argentina', 'ngabisin', 'uang', 'banyak', 'banget', 'buat', 'juara', 'piala', 'dunia', 'doang', 'mending', 'dipake', 'buat', 'perang', 'kocak', 'diduga', 'otak', 'taro', 'chip', 'pendeteksi', 'micin', 'karna', 'tolol']</t>
  </si>
  <si>
    <t>Argentina memang Juara  https://t.co/6g71METANW</t>
  </si>
  <si>
    <t>argentina memang juara</t>
  </si>
  <si>
    <t>['argentina', 'memang', 'juara']</t>
  </si>
  <si>
    <t>Argentina Berpesta Setelah Juara Piala Dunia 2022, Ada Pemain Bagi-Bagi Uang #Argentina  https://t.co/assXTL0SV7</t>
  </si>
  <si>
    <t>argentina berpesta setelah juara piala dunia ada pemain bagi bagi uang</t>
  </si>
  <si>
    <t>['argentina', 'berpesta', 'juara', 'piala', 'dunia', 'pemain', 'uang']</t>
  </si>
  <si>
    <t>@a1zen_hollow @idextratime Bener kayanya bakalan kaya gini gw liat di tiktok Messi juara aja fans Dodo pada bilang bersyukur lah dikasih wasit penalti karena tanpa itu Argentina ga akan menang</t>
  </si>
  <si>
    <t>hollow bener kayanya bakalan kaya gini liat tiktok messi juara aja fans dodo pada bilang bersyukur lah dikasih wasit penalti karena tanpa itu argentina akan menang</t>
  </si>
  <si>
    <t>['hollow', 'benar', 'kayanya', 'bakalan', 'kaya', 'gini', 'lihat', 'tiktok', 'messi', 'juara', 'fans', 'dodo', 'bersyukur', 'lah', 'dikasih', 'wasit', 'penalti', 'argentina', 'menang']</t>
  </si>
  <si>
    <t>@idextratime lucu sekali, kalo banyak yg pasang argentina trus bandar bermain ya harusnya yg juara prancis kalo banyak lose bandar dpt cuan lebih banyak broo</t>
  </si>
  <si>
    <t>lucu sekali kalo banyak pasang argentina trus bandar bermain harusnya juara prancis kalo banyak lose bandar dpt cuan lebih banyak broo</t>
  </si>
  <si>
    <t>['lucu', 'sekali', 'banyak', 'pasang', 'argentina', 'trus', 'bandar', 'bermain', 'harusnya', 'juara', 'prancis', 'banyak', 'lose', 'bandar', 'dpt', 'cuan', 'lebih', 'banyak', 'broo']</t>
  </si>
  <si>
    <t>Open Order Kaos Selebrasi Juara Piala Dunia Qatar 2022 Argentina. Stok sedikit saja.  Yang cepat dia dapat. üòÄ Minta langsung chat: wa. 081238742393. @ East Nusa Tenggara  https://t.co/73MiAIblMj</t>
  </si>
  <si>
    <t>open order kaos selebrasi juara piala dunia qatar argentina stok sedikit saja yang cepat dia dapat minta langsung chat east nusa tenggara</t>
  </si>
  <si>
    <t>['open', 'order', 'kaos', 'selebrasi', 'juara', 'piala', 'dunia', 'qatar', 'argentina', 'stok', 'sedikit', 'cepat', 'minta', 'langsung', 'chat', 'east', 'nusa', 'tenggara']</t>
  </si>
  <si>
    <t>Disamping argentina keluar sebagai juara PD, ada harga jersey arab yg semakin naik üòÖ champion killer bro</t>
  </si>
  <si>
    <t>disamping argentina keluar sebagai juara ada harga jersey arab semakin naik champion killer bro</t>
  </si>
  <si>
    <t>['disamping', 'argentina', 'keluar', 'juara', 'harga', 'jersey', 'arab', 'semakin', 'naik', 'champion', 'killer', 'bro']</t>
  </si>
  <si>
    <t>@ZiiX469 @meddyDLuffy @idextratime Salah satu org yg iri Argentina juara</t>
  </si>
  <si>
    <t>salah satu org iri argentina juara</t>
  </si>
  <si>
    <t>['salah', 'satu', 'org', 'iri', 'argentina', 'juara']</t>
  </si>
  <si>
    <t>@zenrs + Jose Chamot jg y mang  Bagi saya skuad argentina 98-2008 ini misteri, semua lini pemain bagus semua, juara dunia U-20 4√ó di masa itu, juara olimpiade, tp g pernah dapet trophy apapun di level senior</t>
  </si>
  <si>
    <t>jose chamot mang bagi saya skuad argentina ini misteri semua lini pemain bagus semua juara dunia masa itu juara olimpiade pernah dapet trophy apapun level senior</t>
  </si>
  <si>
    <t>['jose', 'chamot', 'mang', 'skuad', 'argentina', 'misteri', 'semua', 'lini', 'pemain', 'bagus', 'semua', 'juara', 'dunia', 'masa', 'juara', 'olimpiade', 'pernah', 'dapat', 'trophy', 'apapun', 'level', 'senior']</t>
  </si>
  <si>
    <t>@muloyoung @registaco Tim Amerika lainnya yg mana selain Brazil? Cuma 3 negara tim Amerika latin yg pernah juara, Uruguay 2x, Argentina 3x, Brazil 5x. Tim dari Eropa pun ga ada yg nyamain jumlah juara Brazil</t>
  </si>
  <si>
    <t>tim amerika lainnya mana selain brazil cuma negara tim amerika latin pernah juara uruguay argentina brazil tim dari eropa pun ada nyamain jumlah juara brazil</t>
  </si>
  <si>
    <t>['tim', 'amerika', 'lainnya', 'mana', 'brazil', 'cuma', 'negara', 'tim', 'amerika', 'latin', 'pernah', 'juara', 'uruguay', 'argentina', 'brazil', 'tim', 'eropa', 'nyamain', 'jumlah', 'juara', 'brazil']</t>
  </si>
  <si>
    <t>Manajer Manchester City Pep Guardiola turut senang dengan keberhasilan Argentina juara Piala Dunia 2022. Sebab, Lionel Messi pantas mendapatkannya.  https://t.co/o22U7bSaom</t>
  </si>
  <si>
    <t>Hanya di era JOKOWI Argentina bisa juara dunia Lagi setelah di era Armando Maradona  Effect #JokowiMesiMaradona jadi kunci team Tango</t>
  </si>
  <si>
    <t>hanya era jokowi argentina bisa juara dunia lagi setelah era armando maradona effect jadi kunci team tango</t>
  </si>
  <si>
    <t>['era', 'jokowi', 'argentina', 'juara', 'dunia', 'era', 'armando', 'maradona', 'effect', 'jadi', 'kunci', 'team', 'tango']</t>
  </si>
  <si>
    <t>@therealbetjanda Nazaar mereka kalo Argentina juara</t>
  </si>
  <si>
    <t>nazaar mereka kalo argentina juara</t>
  </si>
  <si>
    <t>['nazaar', 'argentina', 'juara']</t>
  </si>
  <si>
    <t>Lionel Scaloni: Dulu Dianggap Pelatih Aji Mumpung, Kini Sukses Bawa Argentina Juara Dunia  https://t.co/xm2wy3sDhn</t>
  </si>
  <si>
    <t>lionel scaloni dulu dianggap pelatih aji mumpung kini sukses bawa argentina juara dunia</t>
  </si>
  <si>
    <t>['lionel', 'scaloni', 'dulu', 'dianggap', 'pelatih', 'aji', 'mumpung', 'kini', 'sukses', 'bawa', 'argentina', 'juara', 'dunia']</t>
  </si>
  <si>
    <t>@cheesyfreeze Argentina itu juara dunia sebagai master adu pinalti. Inti permainan mereka adalah permainan pikiran si emil martinez ini. Mungkin dia bangga dengan pencapaian itu dan pengen pamer ke mbappe ü§£  https://t.co/40BkEmjKWA</t>
  </si>
  <si>
    <t>argentina itu juara dunia sebagai master adu pinalti inti permainan mereka adalah permainan pikiran emil martinez ini mungkin dia bangga dengan pencapaian itu dan pengen pamer mbappe</t>
  </si>
  <si>
    <t>['argentina', 'juara', 'dunia', 'master', 'adu', 'penalti', 'inti', 'permainan', 'permainan', 'pikiran', 'emil', 'martinez', 'mungkin', 'bangga', 'pencapaian', 'pengen', 'pamer', 'mbappe']</t>
  </si>
  <si>
    <t>Manajer Manchester City Pep Guardiola turut senang dengan keberhasilan Argentina juara Piala Dunia 2022. Sebab, Lionel Messi pantas mendapatkannya.  https://t.co/GUjUJtJykQ</t>
  </si>
  <si>
    <t>Manajer Manchester City Pep Guardiola turut senang dengan keberhasilan Argentina juara Piala Dunia 2022. Sebab, Lionel Messi pantas mendapatkannya.  https://t.co/GUjUJtsviQ</t>
  </si>
  <si>
    <t>Manajer Manchester City Pep Guardiola turut senang dengan keberhasilan Argentina juara Piala Dunia 2022. Sebab, Lionel Messi pantas mendapatkannya.  https://t.co/bBr5W7CpMK</t>
  </si>
  <si>
    <t>@idextratime Apapun yang kalian katakan tak akan merubah keadaan, Argentina tetap juara dunia.  https://t.co/8PhcfYKH2N</t>
  </si>
  <si>
    <t>apapun yang kalian katakan tak akan merubah keadaan argentina tetap juara dunia</t>
  </si>
  <si>
    <t>['apapun', 'kalian', 'katakan', 'tak', 'merubah', 'keadaan', 'argentina', 'tetap', 'juara', 'dunia']</t>
  </si>
  <si>
    <t>Bawa Argentina Juara Piala Dunia 2022, Wajah Lionel Messi Diusulkan Terpampang di Mata Uang Peso  https://t.co/r7g1q1FdUr</t>
  </si>
  <si>
    <t>bawa argentina juara piala dunia wajah lionel messi diusulkan terpampang mata uang peso</t>
  </si>
  <si>
    <t>['bawa', 'argentina', 'juara', 'piala', 'dunia', 'wajah', 'lionel', 'messi', 'diusulkan', 'terpampang', 'mata', 'uang', 'peso']</t>
  </si>
  <si>
    <t>@thecasualultra @Muapaaa @dwigatot_ ternyata ini yg bikin argentina juara tot</t>
  </si>
  <si>
    <t>ternyata ini bikin argentina juara tot</t>
  </si>
  <si>
    <t>['ternyata', 'argentina', 'juara', 'tot']</t>
  </si>
  <si>
    <t>Saya baca: Asyiiiiik argentina juara bola dunia</t>
  </si>
  <si>
    <t>saya baca asyiiiiik argentina juara bola dunia</t>
  </si>
  <si>
    <t>['baca', 'asyiiiiik', 'argentina', 'juara', 'bola', 'dunia']</t>
  </si>
  <si>
    <t>Seru bgt anjir ngeliat thread ini ü§£ pada kocak¬≤ bgt warga argentina rayain juara ü§£ü§£ü§£</t>
  </si>
  <si>
    <t>seru bgt anjir ngeliat thread ini pada kocak bgt warga argentina rayain juara</t>
  </si>
  <si>
    <t>['seru', 'banget', 'anjir', 'ngeliat', 'thread', 'kocak', 'banget', 'warga', 'argentina', 'rayain', 'juara']</t>
  </si>
  <si>
    <t>Efek krisi politik Argentina, juara betul butul jadi bahan politik, standar nya bukan lg kesejahteraan masyarakat</t>
  </si>
  <si>
    <t>efek krisi politik argentina juara betul butul jadi bahan politik standar nya bukan kesejahteraan masyarakat</t>
  </si>
  <si>
    <t>['efek', 'krisi', 'politik', 'argentina', 'juara', 'betul', 'butul', 'jadi', 'bahan', 'politik', 'standar', 'bukan', 'kesejahteraan', 'masyarakat']</t>
  </si>
  <si>
    <t>Ini rill cuy..denger2 jg katanya 10 pemain Prancis selain mbappe sebenernya agen intelejen Argentina yg dididik sedari kecil jadi pemain pro buat memuluskan jalan Messi dan Argentina juara dunia ü§≠</t>
  </si>
  <si>
    <t>ini rill cuy denger katanya pemain prancis selain mbappe sebenernya agen intelejen argentina dididik sedari kecil jadi pemain pro buat memuluskan jalan messi dan argentina juara dunia</t>
  </si>
  <si>
    <t>['rill', 'denger', 'katanya', 'pemain', 'prancis', 'mbappe', 'sebenernya', 'agen', 'intelejen', 'argentina', 'dididik', 'sedari', 'kecil', 'jadi', 'pemain', 'pro', 'buat', 'memuluskan', 'jalan', 'messi', 'argentina', 'juara', 'dunia']</t>
  </si>
  <si>
    <t>@MaarifRafi @Ghifarikun1 @idextratime iya tapi yg juara mainnya kayak apa? wkwk spanyol 2010 ama 2012 jerman 2014 prancis 2018 italy euro 2020 ama kemarin argentina emang mainnya kayak gimana? kocak yg bisa lu kasi contoh cuma yunani doang awokwok itu luc</t>
  </si>
  <si>
    <t>iya tapi juara mainnya kayak apa wkwk spanyol ama jerman prancis italy euro ama kemarin argentina emang mainnya kayak gimana kocak bisa kasi contoh cuma yunani doang awokwok itu luc</t>
  </si>
  <si>
    <t>['iya', 'juara', 'mainnya', 'seperti', 'apa', 'spanyol', 'ama', 'jerman', 'prancis', 'italy', 'euro', 'ama', 'kemarin', 'argentina', 'emang', 'mainnya', 'seperti', 'gimana', 'kocak', 'kasi', 'contoh', 'cuma', 'yunani', 'doang', 'luc']</t>
  </si>
  <si>
    <t>@kevinofgame @fachrulmci9 @ibnusw @Yudariza04 @dishopra @idextratime Konyol juga ente bilang standar..lha brazil juara dunia 5 kali terus argentina prancis jerman tiap wc juga gak mesti semifinal/final..gak ada standard2 an negara negara lain juga punya s</t>
  </si>
  <si>
    <t>konyol juga ente bilang standar lha brazil juara dunia kali terus argentina prancis jerman tiap juga gak mesti semifinal final gak ada standard negara negara lain juga punya</t>
  </si>
  <si>
    <t>['konyol', 'ente', 'standar', 'lha', 'brazil', 'juara', 'dunia', 'kali', 'terus', 'argentina', 'prancis', 'jerman', 'tiap', 'mesti', 'semifinal', 'final', 'standard', 'negara', 'negara', 'punya']</t>
  </si>
  <si>
    <t>Ricuh Perayaan Kemenangan Argentina Juara Piala Dunia di Buenos Aires  https://t.co/N2o867UelX</t>
  </si>
  <si>
    <t>ricuh perayaan kemenangan argentina juara piala dunia buenos aires</t>
  </si>
  <si>
    <t>['ricuh', 'perayaan', 'kemenangan', 'argentina', 'juara', 'piala', 'dunia', 'buenos', 'aires']</t>
  </si>
  <si>
    <t>Janji Messi Jika Juara : Saya Main Sampai Piala Dunia 2026!  #MessiìÉµ #Argentina #ArgentinaVsFrance #LionelMessi #WorldcupQatar2022 #PialaDunia #Qatar2022 #QatarWorldCup2022 #WorldCup #PialaDunia2022 #WorldCup2022 #FIFAWorldCupQatar2022    https://t.co/oDcynDFUC8</t>
  </si>
  <si>
    <t>janji messi jika juara saya main sampai piala dunia</t>
  </si>
  <si>
    <t>['janji', 'messi', 'juara', 'main', 'piala', 'dunia']</t>
  </si>
  <si>
    <t>@idextratime Lama lama banyak yg gila karena frustasi liat argentina juara wkwk</t>
  </si>
  <si>
    <t>lama lama banyak gila karena frustasi liat argentina juara wkwk</t>
  </si>
  <si>
    <t>['lama', 'lama', 'banyak', 'gila', 'frustasi', 'lihat', 'argentina', 'juara']</t>
  </si>
  <si>
    <t>@kuchapippepe @MaarifRafi @Ghifarikun1 @idextratime Tapi di pildun kemaren banyak yang make strategi bertahan + counter attack. Dan hasilnya argentina juara.</t>
  </si>
  <si>
    <t>tapi pildun kemaren banyak yang make strategi bertahan counter attack dan hasilnya argentina juara</t>
  </si>
  <si>
    <t>['piala dunia', 'kemarin', 'banyak', 'make', 'strategi', 'bertahan', 'counter', 'attack', 'hasilnya', 'argentina', 'juara']</t>
  </si>
  <si>
    <t>oh Argentina jadi juara, palingan tuh timnas cepat atw lambat akan bayar tumbal pesugihanny. gaabeda jauh lah sama tim kebanggaan mereka yg barca itu wkwkwk</t>
  </si>
  <si>
    <t>argentina jadi juara palingan tuh timnas cepat atw lambat akan bayar tumbal pesugihanny gaabeda jauh lah sama tim kebanggaan mereka barca itu wkwkwk</t>
  </si>
  <si>
    <t>['argentina', 'jadi', 'juara', 'palingan', 'timnas', 'cepat', 'atw', 'lambat', 'bayar', 'tumbal', 'pesugihanny', 'gaabeda', 'jauh', 'lah', 'sama', 'tim', 'kebanggaan', 'barca', 'wkwkwk']</t>
  </si>
  <si>
    <t>banyak yang masang argentina &amp;gt; argen dibuat juara &amp;gt; bandar menang besar  logika tolol</t>
  </si>
  <si>
    <t>banyak yang masang argentina argen dibuat juara bandar menang besar logika tolol</t>
  </si>
  <si>
    <t>['banyak', 'masang', 'argentina', 'argen', 'dibuat', 'juara', 'bandar', 'menang', 'besar', 'logika', 'tolol']</t>
  </si>
  <si>
    <t>@idextratime Biarpun aku pendukung Argentina, informasi ini sangat valid. Aku kenal dengan kelompok bandar dan bersaksi sogokan itu ada. Tapi Dybala menolak sehingga membuat Scaloni menggantinya dengan Julian walau dia minim pengalaman di turnamen besar.</t>
  </si>
  <si>
    <t>biarpun aku pendukung argentina informasi ini sangat valid aku kenal dengan kelompok bandar dan bersaksi sogokan itu ada tapi dybala menolak sehingga membuat scaloni menggantinya dengan julian walau dia minim pengalaman turnamen besar</t>
  </si>
  <si>
    <t>['biarpun', 'aku', 'pendukung', 'argentina', 'informasi', 'sangat', 'valid', 'aku', 'kenal', 'kelompok', 'bandar', 'bersaksi', 'sogokan', 'dybala', 'menolak', 'membuat', 'scaloni', 'menggantinya', 'julian', 'minim', 'pengalaman', 'turnamen', 'besar']</t>
  </si>
  <si>
    <t>@EbelKemil @FaktaSepakbola iya lah FIFA kan bantu Argentina buat menyelenggarakan pildun broh, fans dodo ga pernah juara dunia gausah bacott yee</t>
  </si>
  <si>
    <t>iya lah fifa kan bantu argentina buat menyelenggarakan pildun broh fans dodo pernah juara dunia gausah bacott yee</t>
  </si>
  <si>
    <t>['iya', 'lah', 'fifa', 'kan', 'bantu', 'argentina', 'buat', 'menyelenggarakan', 'piala dunia', 'broh', 'fans', 'dodo', 'pernah', 'juara', 'dunia', 'gausah', 'bacott', 'yee']</t>
  </si>
  <si>
    <t>@Apih02 @muhshosyakhu @gueCity @Bolanet Aku yang murni fans cristiano aja bangga melihat messi juara bang dan argentina, karena mereka pantas dan layak</t>
  </si>
  <si>
    <t>aku yang murni fans cristiano aja bangga melihat messi juara bang dan argentina karena mereka pantas dan layak</t>
  </si>
  <si>
    <t>['aku', 'murni', 'fans', 'cristiano', 'bangga', 'melihat', 'messi', 'juara', 'bang', 'argentina', 'pantas', 'layak']</t>
  </si>
  <si>
    <t>@theflankerID @FIFAWorldCup Argentina yang juara aja gak keberatan, kenapa tifosi Indonesia yang timnasnya juara AFF aja susah pada keberatan??</t>
  </si>
  <si>
    <t>argentina yang juara aja gak keberatan kenapa tifosi indonesia yang timnasnya juara aff aja susah pada keberatan</t>
  </si>
  <si>
    <t>['argentina', 'juara', 'keberatan', 'tifosi', 'indonesia', 'timnasnya', 'juara', 'aff', 'susah', 'keberatan']</t>
  </si>
  <si>
    <t>@BroadcastBola Capek di wakanda di demo terus,gua ikut Argentina aja so pasti juaraü§£ü§£ü§£  https://t.co/yYxK865D4s</t>
  </si>
  <si>
    <t>capek wakanda demo terus gua ikut argentina aja pasti juara</t>
  </si>
  <si>
    <t>['lelah', 'wakanda', 'demo', 'terus', 'gua', 'ikut', 'argentina', 'juara']</t>
  </si>
  <si>
    <t>@idextratime Kocak, judi bola online mah biasanya cuma 2x45 menit ga sampe extra time apalagi penalti. Kek kasusnya si Drake, dia pegang argentina menang tapi di waktu normal, walaupun argentina juara tapi Drake tetep kalah krn pas waktu normal cuma imban</t>
  </si>
  <si>
    <t>kocak judi bola online mah biasanya cuma menit sampe extra time apalagi penalti kek kasusnya drake dia pegang argentina menang tapi waktu normal walaupun argentina juara tapi drake tetep kalah krn pas waktu normal cuma imban</t>
  </si>
  <si>
    <t>['kocak', 'judi', 'bola', 'online', 'mah', 'biasanya', 'cuma', 'menit', 'sampai', 'extra', 'time', 'penalti', 'kek', 'kasusnya', 'drake', 'pegang', 'argentina', 'menang', 'waktu', 'normal', 'walaupun', 'argentina', 'juara', 'drake', 'tetep', 'kalah', 'pas', 'waktu', 'normal', 'cuma', 'imban']</t>
  </si>
  <si>
    <t>Kalo msh ada kabel listrik brarti Argentina msh sama dgn disini, bedanya mereka juara dunia 3 kali ajaüòÇ</t>
  </si>
  <si>
    <t>kalo msh ada kabel listrik brarti argentina msh sama dgn disini bedanya mereka juara dunia kali aja</t>
  </si>
  <si>
    <t>['msh', 'kabel', 'listrik', 'brarti', 'argentina', 'msh', 'sama', 'disini', 'bedanya', 'juara', 'dunia', 'kali']</t>
  </si>
  <si>
    <t>@FaktaSepakbola pernah denger dipodcast mana ya lupa, dia bilang orang argentina itu emang paling tengil diamerika latin. tapi mungkin kalo seandainya gua jago dan juara, gua juga bakalan kaya gitu ü§£</t>
  </si>
  <si>
    <t>pernah denger dipodcast mana lupa dia bilang orang argentina itu emang paling tengil diamerika latin tapi mungkin kalo seandainya gua jago dan juara gua juga bakalan kaya gitu</t>
  </si>
  <si>
    <t>['pernah', 'denger', 'dipodcast', 'mana', 'lupa', 'orang', 'argentina', 'emang', 'paling', 'tengil', 'diamerika', 'latin', 'mungkin', 'seandainya', 'gua', 'jago', 'juara', 'gua', 'bakalan', 'kaya', 'gitu']</t>
  </si>
  <si>
    <t>@thecasualultra Barbar.. mungkin ini terakhir kali argentina juara</t>
  </si>
  <si>
    <t>barbar mungkin ini terakhir kali argentina juara</t>
  </si>
  <si>
    <t>['barbar', 'mungkin', 'terakhir', 'kali', 'argentina', 'juara']</t>
  </si>
  <si>
    <t>Pas Argentina juara banyak fans cr/mu bilang piala dunia yang terburuk. coba kalo Perancis yang juara beda lagi tuh omongannya</t>
  </si>
  <si>
    <t>pas argentina juara banyak fans bilang piala dunia yang terburuk coba kalo perancis yang juara beda lagi tuh omongannya</t>
  </si>
  <si>
    <t>['pas', 'argentina', 'juara', 'banyak', 'fans', 'piala', 'dunia', 'terburuk', 'coba', 'perancis', 'juara', 'beda', 'omongannya']</t>
  </si>
  <si>
    <t>@idextratime Ya ampun, bandar judi kalau mau untung kalau banyak yang masang argentina harusnya prancis yang juara, blooook, masih ada ya g percaya beginian ya ?</t>
  </si>
  <si>
    <t>ampun bandar judi kalau mau untung kalau banyak yang masang argentina harusnya prancis yang juara blooook masih ada percaya beginian</t>
  </si>
  <si>
    <t>['ampun', 'bandar', 'judi', 'kalau', 'mau', 'untung', 'kalau', 'banyak', 'masang', 'argentina', 'harusnya', 'prancis', 'juara', 'blooook', 'percaya', 'beginian']</t>
  </si>
  <si>
    <t>@GOAL_ID Final paling seru tahun 2022 pas Argentina vs Prancis. Tapi final paling saya suka ya 2014 waktu jerman juara dunia wkwwk</t>
  </si>
  <si>
    <t>final paling seru tahun pas argentina prancis tapi final paling saya suka waktu jerman juara dunia wkwwk</t>
  </si>
  <si>
    <t>['final', 'paling', 'seru', 'tahun', 'pas', 'argentina', 'prancis', 'final', 'paling', 'suka', 'waktu', 'jerman', 'juara', 'dunia', 'wkwwk']</t>
  </si>
  <si>
    <t>Manchester City punya Erling Haaland yang sudah tocker gol dan Julian Alvarez yang bawa Argentina juara Piala Dunia 2022. Kata Cesc Fabregas, nggak adil tuh!  https://t.co/35qNuZ01C0</t>
  </si>
  <si>
    <t>@GOAL_ID Biar apasih goreng goreng pildun udah berlalu Argentina udh juara fakta menarik apanya? gak menarik blas</t>
  </si>
  <si>
    <t>biar apasih goreng goreng pildun udah berlalu argentina udh juara fakta menarik apanya gak menarik blas</t>
  </si>
  <si>
    <t>['apasih', 'goreng', 'goreng', 'piala dunia', 'udah', 'berlalu', 'argentina', 'sudah', 'juara', 'fakta', 'menarik', 'apanya', 'menarik', 'blas']</t>
  </si>
  <si>
    <t>Manchester City punya Erling Haaland yang sudah tocker gol dan Julian Alvarez yang bawa Argentina juara Piala Dunia 2022. Kata Cesc Fabregas, nggak adil tuh!  https://t.co/qxC7R5jOmC</t>
  </si>
  <si>
    <t>@FaktaSepakbola WC2022 itu settingan? No.  Bahkan sekelas pep aja tau kalo Argentina itu salah satu kandidat favorit juara. Memang semenjak Copa America, Argentina jd tim yg berbeda dr 2018 dulu. Lbh kuat dan stabil secara mental.</t>
  </si>
  <si>
    <t>itu settingan bahkan sekelas pep aja tau kalo argentina itu salah satu kandidat favorit juara memang semenjak copa america argentina tim berbeda dulu lbh kuat dan stabil secara mental</t>
  </si>
  <si>
    <t>['settingan', 'bahkan', 'sekelas', 'pep', 'argentina', 'salah', 'satu', 'kandidat', 'favorit', 'juara', 'memang', 'semenjak', 'copa', 'america', 'argentina', 'tim', 'berbeda', 'dulu', 'lbh', 'kuat', 'stabil', 'mental']</t>
  </si>
  <si>
    <t xml:space="preserve">@registaco @FIFAWorldCup Ratusan Kilo daging yang dibawa team Argentina ke Qatar beliau yang ngatur...  Makanya dianggap seperti seorang staff atau official gak resmi team,karena dia salah satu yg menyediakan gizi pemain agar bisa tetap perform dan juara </t>
  </si>
  <si>
    <t>ratusan kilo daging yang dibawa team argentina qatar beliau yang ngatur makanya dianggap seperti seorang staff atau official gak resmi team karena dia salah satu menyediakan gizi pemain agar bisa tetap perform dan juara</t>
  </si>
  <si>
    <t>['ratusan', 'kilo', 'daging', 'dibawa', 'team', 'argentina', 'qatar', 'beliau', 'ngatur', 'makanya', 'dianggap', 'seorang', 'staff', 'official', 'resmi', 'team', 'salah', 'satu', 'menyediakan', 'gizi', 'pemain', 'tetap', 'perform', 'juara']</t>
  </si>
  <si>
    <t>@delthone @sephiaazzahran idih... gara-gara Argentina juara? -_-</t>
  </si>
  <si>
    <t>idih gara gara argentina juara</t>
  </si>
  <si>
    <t>['idih', 'gara', 'gara', 'argentina', 'juara']</t>
  </si>
  <si>
    <t>Manchester City punya Erling Haaland yang sudah tocker gol dan Julian Alvarez yang bawa Argentina juara Piala Dunia 2022. Kata Cesc Fabregas, nggak adil tuh!  https://t.co/v6aBadkswB</t>
  </si>
  <si>
    <t>@tosinibr @polyisilane @idextratime NIH BLOK GW KASIH TAU TWEET AWAL GW JUSTRU NGEBANTAH ORANG YANG BILANG FAKTANYA ARGENTINA JUARA DIBANTU WASIT, GW BANTAH ITU, GADA BUKTI WASIT MIHAK ARGEN, BISA DIBILANG GW DI PIHAK ARGEN, SM KAYA ELU, BEDANYA GW ADA KO</t>
  </si>
  <si>
    <t>nih blok kasih tau tweet awal justru ngebantah orang yang bilang faktanya argentina juara dibantu wasit bantah itu gada bukti wasit mihak argen bisa dibilang pihak argen kaya elu bedanya ada</t>
  </si>
  <si>
    <t>['blok', 'kasih', 'tweet', 'awal', 'justru', 'ngebantah', 'orang', 'faktanya', 'argentina', 'juara', 'dibantu', 'wasit', 'bantah', 'gada', 'bukti', 'wasit', 'mihak', 'argen', 'dibilang', 'pihak', 'argen', 'kaya', 'elu', 'bedanya']</t>
  </si>
  <si>
    <t>@therealbetjanda Sering sering juara dah argentina wkwk</t>
  </si>
  <si>
    <t>sering sering juara dah argentina wkwk</t>
  </si>
  <si>
    <t>['sering', 'sering', 'juara', 'dah', 'argentina']</t>
  </si>
  <si>
    <t>@podcastretropus juara 1 pildun sih oke, tapi ga berlebihan kaya gini sih. Oleh karena itu, ga dukung argentina karena attitudenya mohon maaf ga pasüôè#respectmbappe</t>
  </si>
  <si>
    <t>juara pildun sih oke tapi berlebihan kaya gini sih oleh karena itu dukung argentina karena attitudenya mohon maaf pas</t>
  </si>
  <si>
    <t>['juara', 'piala dunia', 'oke', 'berlebihan', 'kaya', 'gini', 'dukung', 'argentina', 'attitudenya', 'mohon', 'maaf', 'pas']</t>
  </si>
  <si>
    <t>Messi sukses bawa Argentina juara Piala Dunia 2022. Brasil ikutan senang, federasi sepakbola negara bagian dari Rio de Janeiro mau abadikan jejak kakinya!  https://t.co/pjMvOVVy0V</t>
  </si>
  <si>
    <t>messi sukses bawa argentina juara piala dunia brasil ikutan senang federasi sepakbola negara bagian dari rio janeiro mau abadikan jejak kakinya</t>
  </si>
  <si>
    <t>['messi', 'sukses', 'bawa', 'argentina', 'juara', 'piala', 'dunia', 'brasil', 'ikutan', 'senang', 'federasi', 'sepakbola', 'negara', 'bagian', 'rio', 'janeiro', 'mau', 'abadikan', 'jejak', 'kakinya']</t>
  </si>
  <si>
    <t>Viral, Perayaan Kemenangan Argentina di Buenos Aires Berubah Jadi Petaka: Perayaan kemenangan Argentina sebagai juara Piala Dunia 2022 di Buenos Aires berubah menjadi petaka. Perayaan itu berujung‚Ä¶  https://t.co/hdUVJaNqqW #News #pihakkepolisian #tembakangasairmata #buenosaires</t>
  </si>
  <si>
    <t>viral perayaan kemenangan argentina buenos aires berubah jadi petaka perayaan kemenangan argentina sebagai juara piala dunia buenos aires berubah menjadi petaka perayaan itu berujung</t>
  </si>
  <si>
    <t>['viral', 'perayaan', 'kemenangan', 'argentina', 'buenos', 'aires', 'berubah', 'jadi', 'petaka', 'perayaan', 'kemenangan', 'argentina', 'juara', 'piala', 'dunia', 'buenos', 'aires', 'berubah', 'menjadi', 'petaka', 'perayaan', 'berujung']</t>
  </si>
  <si>
    <t>Emiliano Martinez terus-terusan meledek Kylian Mbappe usai Argentina juara Piala Dunia 2022. Striker Prancis itu tetap tenang dan terkesan dingin menanggapinya.  https://t.co/e8niM25mgP</t>
  </si>
  <si>
    <t>emiliano martinez terus terusan meledek kylian mbappe usai argentina juara piala dunia striker prancis itu tetap tenang dan terkesan dingin menanggapinya</t>
  </si>
  <si>
    <t>['emiliano', 'martinez', 'terus', 'terusan', 'meledek', 'kylian', 'mbappe', 'usai', 'argentina', 'juara', 'piala', 'dunia', 'striker', 'prancis', 'tetap', 'tenang', 'terkesan', 'dingin', 'menanggapinya']</t>
  </si>
  <si>
    <t>Argentina akhirnya sukses menjadi juara di Piala Dunia 2022, lalu bagaimana statistik tim berjuluk La Albiceleste itu?   https://t.co/xGQltQuoKT</t>
  </si>
  <si>
    <t>argentina akhirnya sukses menjadi juara piala dunia lalu bagaimana statistik tim berjuluk albiceleste itu</t>
  </si>
  <si>
    <t>['argentina', 'akhirnya', 'sukses', 'menjadi', 'juara', 'piala', 'dunia', 'lalu', 'bagaimana', 'statistik', 'tim', 'berjuluk', 'albiceleste']</t>
  </si>
  <si>
    <t>@kopiloversoul Duh, susah jawabnya</t>
  </si>
  <si>
    <t>duh susah jawabnya</t>
  </si>
  <si>
    <t>['duh', 'susah', 'jawabnya']</t>
  </si>
  <si>
    <t>@theo_pasir @Doni_Herdians @labiebsadat Kalau gak ada satu save itu, argentina nggak juara</t>
  </si>
  <si>
    <t>pasir herdians kalau gak ada satu save itu argentina nggak juara</t>
  </si>
  <si>
    <t>['pasir', 'herdians', 'kalau', 'satu', 'save', 'argentina', 'juara']</t>
  </si>
  <si>
    <t>@GOAL_ID Finalnya seru Argentina-Perancis.. tpi Final 98 Brasil-Perancis menurutku jg menarik krn ada kejutan tpi Final yg aku suka jelas 2006 krn Azzuri Juara Dunia ü§£</t>
  </si>
  <si>
    <t>finalnya seru argentina perancis tpi final brasil perancis menurutku menarik krn ada kejutan tpi final aku suka jelas krn azzuri juara dunia</t>
  </si>
  <si>
    <t>['finalnya', 'seru', 'argentina', 'perancis', 'tpi', 'final', 'brasil', 'perancis', 'menurutku', 'menarik', 'kejutan', 'tpi', 'final', 'aku', 'suka', 'jelas', 'azzuri', 'juara', 'dunia']</t>
  </si>
  <si>
    <t>Parade Juara Piala Dunia 2022, Kiper Argentina Kembali Mengejek Kylian Mbappe  https://t.co/gszqppzpMk</t>
  </si>
  <si>
    <t>parade juara piala dunia kiper argentina kembali mengejek kylian mbappe</t>
  </si>
  <si>
    <t>['parade', 'juara', 'piala', 'dunia', 'kiper', 'argentina', 'mengejek', 'kylian', 'mbappe']</t>
  </si>
  <si>
    <t>@ID_Albiceleste apakah ada karma sepakbola untuk argentina yang lebih menyakitkan daripada melihat messi mengakhiri karirnya tanpa menjadi juara piala dunia?  untuk saya sebagai fan Messi mungkin tidaküòÅ</t>
  </si>
  <si>
    <t>albiceleste apakah ada karma sepakbola untuk argentina yang lebih menyakitkan daripada melihat messi mengakhiri karirnya tanpa menjadi juara piala dunia untuk saya sebagai fan messi mungkin tidak</t>
  </si>
  <si>
    <t>['albiceleste', 'karma', 'sepakbola', 'argentina', 'lebih', 'menyakitkan', 'melihat', 'messi', 'mengakhiri', 'karirnya', 'menjadi', 'juara', 'piala', 'dunia', 'fan', 'messi', 'mungkin']</t>
  </si>
  <si>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</si>
  <si>
    <t>info bola parade argentina juara dunia menyebabkan satu orang tewas dan lima tahun dalam keadaan koma tim dievakuasi dengan helikopter setelah para penggemar melompat bus dan membajak sebuah mobil polisi sementara jutaan orang memadati jalan untuk parade</t>
  </si>
  <si>
    <t>['info', 'bola', 'parade', 'argentina', 'juara', 'dunia', 'menyebabkan', 'satu', 'orang', 'tewas', 'lima', 'tahun', 'keadaan', 'koma', 'tim', 'dievakuasi', 'helikopter', 'penggemar', 'melompat', 'bus', 'membajak', 'sebuah', 'mobil', 'polisi', 'jutaan', 'orang', 'memadati', 'jalan', 'parade']</t>
  </si>
  <si>
    <t>Bagaimana sobat heylaw?Kemarin kalian dukung siapa nih di pildun?? Argentina atau Prancis?. Selamat untuk Argantina atas kemenangannya di Piala DuniaüèÜ. Selamat juga untuk sobat Heylaw, kalian juga juara dihati kami loh! buktinya sebanyak 117 Putusan‚Ä¶  https://t.co/gsBfxk1VAE</t>
  </si>
  <si>
    <t>bagaimana sobat heylaw kemarin kalian dukung siapa nih pildun argentina atau prancis selamat untuk argantina atas kemenangannya piala dunia selamat juga untuk sobat heylaw kalian juga juara dihati kami loh buktinya sebanyak putusan</t>
  </si>
  <si>
    <t>['bagaimana', 'sobat', 'heylaw', 'kemarin', 'kalian', 'dukung', 'siapa', 'piala dunia', 'argentina', 'prancis', 'selamat', 'argantina', 'atas', 'kemenangannya', 'piala', 'dunia', 'selamat', 'sobat', 'heylaw', 'kalian', 'juara', 'dihati', 'buktinya', 'sebanyak', 'putusan']</t>
  </si>
  <si>
    <t>Lionel Messi Bawa Argentina Juara Piala Dunia 2022, Piers Morgan: Dia Mulai Sombong! #LengkapCepatBeritanya #Bola #SepakBola #SepakbolaDunia #BolaDunia .  https://t.co/fC6bdxKNM2</t>
  </si>
  <si>
    <t>lionel messi bawa argentina juara piala dunia piers morgan dia mulai sombong</t>
  </si>
  <si>
    <t>['lionel', 'messi', 'bawa', 'argentina', 'juara', 'piala', 'dunia', 'piers', 'morgan', 'mulai', 'sombong']</t>
  </si>
  <si>
    <t>hari ini gusi gue sakit tp gapapa tetap cengar cengir soalnya argentina juara</t>
  </si>
  <si>
    <t>hari ini gusi gue sakit gapapa tetap cengar cengir soalnya argentina juara</t>
  </si>
  <si>
    <t>['hari', 'gusi', 'gue', 'sakit', 'gapapa', 'tetap', 'cengar', 'cengir', 'soalnya', 'argentina', 'juara']</t>
  </si>
  <si>
    <t>@podcastboba @AfifXavi @jerryarvino Ada bang wkwkwk, bela mati2an malah bahkan pas juara argentina kmren dibilang settinganü§£</t>
  </si>
  <si>
    <t>ada bang wkwkwk bela mati malah bahkan pas juara argentina kmren dibilang settingan</t>
  </si>
  <si>
    <t>['bang', 'wkwkwk', 'bela', 'mati', 'malah', 'bahkan', 'pas', 'juara', 'argentina', 'kmren', 'dibilang', 'settingan']</t>
  </si>
  <si>
    <t>@idextratime Saudara bukan, kenal pun tidak,, senegara bukan,, punya darah keturunan argentina pun tidak sok lebay ikut2an bahagia,, kalau indonesia juara wajar bahagia...</t>
  </si>
  <si>
    <t>saudara bukan kenal pun tidak senegara bukan punya darah keturunan argentina pun tidak sok lebay ikut bahagia kalau indonesia juara wajar bahagia</t>
  </si>
  <si>
    <t>['saudara', 'bukan', 'kenal', 'senegara', 'bukan', 'punya', 'darah', 'keturunan', 'argentina', 'sok', 'lebay', 'ikut', 'bahagia', 'kalau', 'indonesia', 'juara', 'wajar', 'bahagia']</t>
  </si>
  <si>
    <t>Emiliano Martinez terus-terusan meledek Kylian Mbappe usai Argentina juara Piala Dunia 2022. Striker Prancis itu tetap tenang dan terkesan dingin menanggapinya.  https://t.co/mUIPuja2Ev</t>
  </si>
  <si>
    <t>Aing happy messi &amp;amp; argentina juara, tapi kiperna jiga taik.</t>
  </si>
  <si>
    <t>aing happy messi argentina juara tapi kiperna jiga taik</t>
  </si>
  <si>
    <t>['aing', 'happy', 'messi', 'argentina', 'juara', 'kiperna', 'jiga', 'taik']</t>
  </si>
  <si>
    <t>Parade juara Piala Dunia 2022 di kota Buenos Aires, Argentina berujung rusuh. Para penggemar Lionel Messi cs tampak bentrok dengan polisi setempat. #bigmatch #bmpildun #bolasports #newsflash  https://t.co/OHd4eaiKEO</t>
  </si>
  <si>
    <t>parade juara piala dunia kota buenos aires argentina berujung rusuh para penggemar lionel messi tampak bentrok dengan polisi setempat</t>
  </si>
  <si>
    <t>['parade', 'juara', 'piala', 'dunia', 'kota', 'buenos', 'aires', 'argentina', 'berujung', 'rusuh', 'penggemar', 'lionel', 'messi', 'tampak', 'bentrok', 'polisi', 'setempat']</t>
  </si>
  <si>
    <t>Emiliano Martinez menggendong boneka bayi berwajah Mbappe pada perayaan gelar juara Argentina.  #bolaskorcom #emilianomartinez #mbappe #argentina      https://t.co/PFX8FXBhpF</t>
  </si>
  <si>
    <t>emiliano martinez menggendong boneka bayi berwajah mbappe pada perayaan gelar juara argentina</t>
  </si>
  <si>
    <t>['emiliano', 'martinez', 'menggendong', 'boneka', 'bayi', 'berwajah', 'mbappe', 'perayaan', 'gelar', 'juara', 'argentina']</t>
  </si>
  <si>
    <t>Emiliano Martinez terus-terusan meledek Kylian Mbappe usai Argentina juara Piala Dunia 2022. Striker Prancis itu tetap tenang dan terkesan dingin menanggapinya.  https://t.co/gea5NUEkOy</t>
  </si>
  <si>
    <t>@goal Waktu Jerman juara sama Argentina juara seruuuu</t>
  </si>
  <si>
    <t>waktu jerman juara sama argentina juara seruuuu</t>
  </si>
  <si>
    <t>['waktu', 'jerman', 'juara', 'sama', 'argentina', 'juara', 'seruuuu']</t>
  </si>
  <si>
    <t>Emiliano Martinez terus-terusan meledek Kylian Mbappe usai Argentina juara Piala Dunia 2022. Striker Prancis itu tetap tenang dan terkesan dingin menanggapinya.  https://t.co/gea5NUnhMy</t>
  </si>
  <si>
    <t>Argentina Juara Piala Dunia, Piers Morgan: Messi Sombong dan Berlebihan  https://t.co/iPfZ7DE6U5 #PiersMorgan #Argentina #PialaDunia #PialaDunia2022</t>
  </si>
  <si>
    <t>argentina juara piala dunia piers morgan messi sombong dan berlebihan</t>
  </si>
  <si>
    <t>['argentina', 'juara', 'piala', 'dunia', 'piers', 'morgan', 'messi', 'sombong', 'berlebihan']</t>
  </si>
  <si>
    <t>@ID_Albiceleste saya sendiri aja yakin Argentina juara tahun ini, apalagi pas kalah lawan Saudi gatau kenapa malah makin yakin "jagoan kalah duluan"</t>
  </si>
  <si>
    <t>albiceleste saya sendiri aja yakin argentina juara tahun ini apalagi pas kalah lawan saudi gatau kenapa malah makin yakin jagoan kalah duluan</t>
  </si>
  <si>
    <t>['albiceleste', 'sendiri', 'yakin', 'argentina', 'juara', 'tahun', 'pas', 'kalah', 'lawan', 'saudi', 'gatau', 'malah', 'makin', 'yakin', 'jagoan', 'kalah', 'duluan']</t>
  </si>
  <si>
    <t>Fakta Piala Dunia ! - Tuan rumah piala dunia dari negata Asia juaranya selalu dari Amerika Latin, Korea-Japan (Brazil), Qatar (Argentina) - Brazil telah memenangkan 5 kali juara dunia tapi tidak pernah memenangkan di Negara sendiri.</t>
  </si>
  <si>
    <t>fakta piala dunia tuan rumah piala dunia dari negata asia juaranya selalu dari amerika latin korea japan brazil qatar argentina brazil telah memenangkan kali juara dunia tapi tidak pernah memenangkan negara sendiri</t>
  </si>
  <si>
    <t>['fakta', 'piala', 'dunia', 'tuan', 'rumah', 'piala', 'dunia', 'negata', 'asia', 'juaranya', 'selalu', 'amerika', 'latin', 'korea', 'japan', 'brazil', 'qatar', 'argentina', 'brazil', 'memenangkan', 'kali', 'juara', 'dunia', 'pernah', 'memenangkan', 'negara', 'sendiri']</t>
  </si>
  <si>
    <t>Parade Juara Piala Dunia 2022, Kiper Argentina Kembali Mengejek Kylian Mbappe  https://t.co/h38Ph9M3eK</t>
  </si>
  <si>
    <t>@alfianoois seng marai argentina juara nek iki</t>
  </si>
  <si>
    <t>seng marai argentina juara nek iki</t>
  </si>
  <si>
    <t>['seng', 'marai', 'argentina', 'juara', 'nek', 'iki']</t>
  </si>
  <si>
    <t>Argentina juara Dunia, Misi Messi Selesai  https://t.co/pYKEgqo8ts</t>
  </si>
  <si>
    <t>argentina juara dunia misi messi selesai</t>
  </si>
  <si>
    <t>['argentina', 'juara', 'dunia', 'misi', 'messi', 'selesai']</t>
  </si>
  <si>
    <t>Prediksi Hongkong Rabu, 21 Desember 2022 AI: 0 7 4 3 2D: 96 39 93 74 4D: 3092 8295 5825 Best: 49 37 92 Shio: Harimau BBFS: 481073 #Pancingtoto #argentinajuara #akhirtahun  https://t.co/xY8fjKcIEH</t>
  </si>
  <si>
    <t>prediksi hongkong rabu desember best shio harimau bbfs</t>
  </si>
  <si>
    <t>['prediksi', 'hongkong', 'rabu', 'desember', 'best', 'shio', 'harimau', 'bbfs']</t>
  </si>
  <si>
    <t>Keluaran Taiwan 21 Desember 2022  Result: 0847 Shio: Naga #gatesofolympus - Prediksi Nusantara Rabu, 21 Desember 2022 AI: 9 6 0 7 2D: 51 65 54 54 4D: 9201 2626 5810 Best: 44 55 25 Shio: Kambing BBFS: 307659 #Pancingtoto #argentinajuara #akhirtahun  https://t.co/xY8fjJVFCH</t>
  </si>
  <si>
    <t>keluaran taiwan desember result shio naga prediksi nusantara rabu desember best shio kambing bbfs</t>
  </si>
  <si>
    <t>['keluaran', 'taiwan', 'desember', 'result', 'shio', 'naga', 'prediksi', 'nusantara', 'rabu', 'desember', 'best', 'shio', 'kambing', 'bbfs']</t>
  </si>
  <si>
    <t>@KelapaParuttt Masa Argentina dibilang juara settingan</t>
  </si>
  <si>
    <t>masa argentina dibilang juara settingan</t>
  </si>
  <si>
    <t>['masa', 'argentina', 'dibilang', 'juara', 'settingan']</t>
  </si>
  <si>
    <t>@eboniwatch Nama ibuku, Ibu Euis Lahirnya di bulan Desember Hobi nonton bulutangkis Dulu sangat sibuk berkarier  Juara piala dunia Argentina Bahagianya ibu sederhana Bukan ingin uang dan berlian Hanya ingin anak¬≤nya beriman  Bismillah #EBONIUNTUKIBUKU</t>
  </si>
  <si>
    <t>nama ibuku ibu euis lahirnya bulan desember hobi nonton bulutangkis dulu sangat sibuk berkarier juara piala dunia argentina bahagianya ibu sederhana bukan ingin uang dan berlian hanya ingin anak nya beriman bismillah</t>
  </si>
  <si>
    <t>['nama', 'ibuku', 'ibu', 'euis', 'lahirnya', 'bulan', 'desember', 'hobi', 'nonton', 'bulutangkis', 'dulu', 'sangat', 'sibuk', 'berkarier', 'juara', 'piala', 'dunia', 'argentina', 'bahagianya', 'ibu', 'sederhana', 'bukan', 'uang', 'berlian', 'anak', 'beriman', 'bismillah']</t>
  </si>
  <si>
    <t>@FaktaSepakbola malah kayak kontol argentina juara tp kampungan</t>
  </si>
  <si>
    <t>malah kayak kontol argentina juara kampungan</t>
  </si>
  <si>
    <t>['malah', 'seperti', 'kontol', 'argentina', 'juara', 'kampungan']</t>
  </si>
  <si>
    <t>Parade Juara Piala Dunia 2022, Kiper Argentina Kembali Mengejek Kylian Mbappe  https://t.co/I4XNcqJPIg</t>
  </si>
  <si>
    <t>@AyaniMel argentina sudah juara pildun.</t>
  </si>
  <si>
    <t>argentina sudah juara pildun</t>
  </si>
  <si>
    <t>['argentina', 'juara', 'piala dunia']</t>
  </si>
  <si>
    <t>@detiksport argentina sombong dan juara karena dibantu wasit</t>
  </si>
  <si>
    <t>argentina sombong dan juara karena dibantu wasit</t>
  </si>
  <si>
    <t>['argentina', 'sombong', 'juara', 'dibantu', 'wasit']</t>
  </si>
  <si>
    <t>@Fauzansudutkiri @maspiqi @mdalfauzan kok ga lolos pildun? awokwok dipildun 2010 ama 2014 cuma jadi sampah euro 2012 dibantai diobok obok 4-0 baru kemarin doang juara sama timnas overrated ampas inggrisü§£  finalisma kemarin pun dibantai padahal udah koa</t>
  </si>
  <si>
    <t>kok lolos pildun awokwok dipildun ama cuma jadi sampah euro dibantai diobok obok baru kemarin doang juara sama timnas overrated ampas inggris finalisma kemarin pun dibantai padahal udah koa</t>
  </si>
  <si>
    <t>['kok', 'lolos', 'piala dunia', 'dipildun', 'ama', 'cuma', 'jadi', 'sampah', 'euro', 'dibantai', 'diobok', 'obok', 'baru', 'kemarin', 'doang', 'juara', 'sama', 'timnas', 'overrated', 'ampas', 'inggris', 'finalisma', 'kemarin', 'dibantai', 'padahal', 'udah', 'koa']</t>
  </si>
  <si>
    <t>@thecasualultra juara terus plis argentinaüôèüèΩ</t>
  </si>
  <si>
    <t>juara terus plis argentina</t>
  </si>
  <si>
    <t>['juara', 'terus', 'plis', 'argentina']</t>
  </si>
  <si>
    <t>Pep Klaim Messi yang Terhebat Sepanjang Masa setelah Argentina Juara Piala Dunia¬†2022  https://t.co/40p6bh093Z</t>
  </si>
  <si>
    <t>pep klaim messi yang terhebat sepanjang masa setelah argentina juara piala dunia</t>
  </si>
  <si>
    <t>['pep', 'klaim', 'messi', 'terhebat', 'sepanjang', 'masa', 'argentina', 'juara', 'piala', 'dunia']</t>
  </si>
  <si>
    <t>brasil-minta-jejak-kaki-messi-untuk-diabadikan  https://t.co/AaDDT1h1nP  Messi sukses bawa Argentina juara Piala Dunia 2022. Brasil ikutan senang, federasi sepakbola negara bagian dari Rio de Janeiro mau abadikan jejak kakinya!</t>
  </si>
  <si>
    <t>brasil minta jejak kaki messi untuk diabadikan messi sukses bawa argentina juara piala dunia brasil ikutan senang federasi sepakbola negara bagian dari rio janeiro mau abadikan jejak kakinya</t>
  </si>
  <si>
    <t>['brasil', 'minta', 'jejak', 'kaki', 'messi', 'diabadikan', 'messi', 'sukses', 'bawa', 'argentina', 'juara', 'piala', 'dunia', 'brasil', 'ikutan', 'senang', 'federasi', 'sepakbola', 'negara', 'bagian', 'rio', 'janeiro', 'mau', 'abadikan', 'jejak', 'kakinya']</t>
  </si>
  <si>
    <t>Aksi Tengil Emi Martinez Bawa Boneka Berwajah Mbappe di Parade Juara Argentina  https://t.co/5ZMbD0qvrM</t>
  </si>
  <si>
    <t>aksi tengil emi martinez bawa boneka berwajah mbappe parade juara argentina</t>
  </si>
  <si>
    <t>['aksi', 'tengil', 'emi', 'martinez', 'bawa', 'boneka', 'berwajah', 'mbappe', 'parade', 'juara', 'argentina']</t>
  </si>
  <si>
    <t>@idextratime di maria goat, klo dia nggak jatuh Argentina gakkan juara</t>
  </si>
  <si>
    <t>maria goat klo dia nggak jatuh argentina gakkan juara</t>
  </si>
  <si>
    <t>['maria', 'goat', 'jatuh', 'argentina', 'gakkan', 'juara']</t>
  </si>
  <si>
    <t>@panduer_ @kaikifka @Chester09812830 @SiaranBolaLive Dy nyebut argentina sama brazil gak berpeluang juara , yang lebih berpeluang juara dari eropa paham ?</t>
  </si>
  <si>
    <t>nyebut argentina sama brazil gak berpeluang juara yang lebih berpeluang juara dari eropa paham</t>
  </si>
  <si>
    <t>['nyebut', 'argentina', 'sama', 'brazil', 'berpeluang', 'juara', 'lebih', 'berpeluang', 'juara', 'eropa', 'paham']</t>
  </si>
  <si>
    <t>Bawa Argentina Juara Piala Dunia 2022 dan Cetak Banyak Rekor, Messi Jadi Pensiun?  https://t.co/m5X6PA7woT</t>
  </si>
  <si>
    <t>bawa argentina juara piala dunia dan cetak banyak rekor messi jadi pensiun</t>
  </si>
  <si>
    <t>['bawa', 'argentina', 'juara', 'piala', 'dunia', 'cetak', 'banyak', 'rekor', 'messi', 'jadi', 'pensiun']</t>
  </si>
  <si>
    <t>@panduer_ @Chester09812830 @SiaranBolaLive Shut up oke  argentina Juara piala dunia ngalahin juara dunia edisi sebelumnya  argentina juara finalisima ngalahin juara eropa</t>
  </si>
  <si>
    <t>shut oke argentina juara piala dunia ngalahin juara dunia edisi sebelumnya argentina juara finalisima ngalahin juara eropa</t>
  </si>
  <si>
    <t>['shut', 'oke', 'argentina', 'juara', 'piala', 'dunia', 'ngalahin', 'juara', 'dunia', 'edisi', 'sebelumnya', 'argentina', 'juara', 'finalisima', 'ngalahin', 'juara', 'eropa']</t>
  </si>
  <si>
    <t>Drake tetap kehilangan uang senilai Rp15 Miliarnya meskipun Argentina yang dinobatkan jadi juara dalam ajang "Piala Dunia 2022" Qatar.  https://t.co/iaXTpemx9M</t>
  </si>
  <si>
    <t>drake tetap kehilangan uang senilai miliarnya meskipun argentina yang dinobatkan jadi juara dalam ajang piala dunia qatar</t>
  </si>
  <si>
    <t>['drake', 'tetap', 'kehilangan', 'uang', 'senilai', 'miliarnya', 'meskipun', 'argentina', 'dinobatkan', 'jadi', 'juara', 'ajang', 'piala', 'dunia', 'qatar']</t>
  </si>
  <si>
    <t>@kuchapippepe @mdalfauzan @Fauzansudutkiri @osamukun18 @FaktaSepakbola Liga Argentina sejago apa, si, Bang? Juara Piala Dunia Antar klub berapa Kali? Masuk 5 liga elit dunia?</t>
  </si>
  <si>
    <t>liga argentina sejago apa bang juara piala dunia antar klub berapa kali masuk liga elit dunia</t>
  </si>
  <si>
    <t>['liga', 'argentina', 'sejago', 'apa', 'bang', 'juara', 'piala', 'dunia', 'antar', 'klub', 'berapa', 'kali', 'masuk', 'liga', 'elit', 'dunia']</t>
  </si>
  <si>
    <t>@thecasualultra Argentina layak juara !!!</t>
  </si>
  <si>
    <t>argentina layak juara</t>
  </si>
  <si>
    <t>['argentina', 'layak', 'juara']</t>
  </si>
  <si>
    <t>@maspiqi @Fauzansudutkiri @osamukun18 @FaktaSepakbola lah bodoamat yg penting kemarin argentina gua juara dan ngebantai negara ampas difinalisma 3-0ü§£</t>
  </si>
  <si>
    <t>lah bodoamat penting kemarin argentina gua juara dan ngebantai negara ampas difinalisma</t>
  </si>
  <si>
    <t>['lah', 'bodoamat', 'penting', 'kemarin', 'argentina', 'gua', 'juara', 'ngebantai', 'negara', 'ampas', 'difinalisma']</t>
  </si>
  <si>
    <t xml:space="preserve"> https://t.co/E3WnHEH1dA Emiliano Martinez Ejek Mbappe di Parade Juara Argentina #EmilianoMartinez #KylianMbappe #Messi  https://t.co/5X14coeUd4</t>
  </si>
  <si>
    <t>emiliano martinez ejek mbappe parade juara argentina</t>
  </si>
  <si>
    <t>['emiliano', 'martinez', 'ejek', 'mbappe', 'parade', 'juara', 'argentina']</t>
  </si>
  <si>
    <t>@The_RedsIndo yang bisa juara dunia di Qatar adalah Liverpool dan Argentina üëä</t>
  </si>
  <si>
    <t>redsindo yang bisa juara dunia qatar adalah liverpool dan argentina</t>
  </si>
  <si>
    <t>['redsindo', 'juara', 'dunia', 'qatar', 'liverpool', 'argentina']</t>
  </si>
  <si>
    <t>Mantan Ketua Umum Partai Demokrat, Anas Urbaningrum memuji mentalitas juara yang ditunjukkan timnas Argentina. Pujian ini ditulis Anas Urbaningrum ketika dirinya saat ini masih berstatus tahanan dalam kasus korupsi wisma Atlet Hambalang.   https://t.co/VZGtDDUd1i</t>
  </si>
  <si>
    <t>mantan ketua umum partai demokrat anas urbaningrum memuji mentalitas juara yang ditunjukkan timnas argentina pujian ini ditulis anas urbaningrum ketika dirinya saat ini masih berstatus tahanan dalam kasus korupsi wisma atlet hambalang</t>
  </si>
  <si>
    <t>['mantan', 'ketua', 'umum', 'partai', 'demokrat', 'anas', 'urbaningrum', 'memuji', 'mentalitas', 'juara', 'ditunjukkan', 'timnas', 'argentina', 'pujian', 'ditulis', 'anas', 'urbaningrum', 'dirinya', 'berstatus', 'tahanan', 'kasus', 'korupsi', 'wisma', 'atlet', 'hambalang']</t>
  </si>
  <si>
    <t>@UpdateBolabola Klu mau juara contoh argentina,satukan tekat ikuti peribtah kapten,jgn bergerak sendiri-sebdiri,</t>
  </si>
  <si>
    <t>klu mau juara contoh argentina satukan tekat ikuti peribtah kapten jgn bergerak sendiri sebdiri</t>
  </si>
  <si>
    <t>['klu', 'mau', 'juara', 'contoh', 'argentina', 'satukan', 'tekat', 'ikuti', 'peribtah', 'kapten', 'bergerak', 'sendiri', 'sebdiri']</t>
  </si>
  <si>
    <t>Selamat Messi udh bawa Argentina juara piala üèÜüèÜüèÜ  https://t.co/8zPrJkll2A</t>
  </si>
  <si>
    <t>selamat messi udh bawa argentina juara piala</t>
  </si>
  <si>
    <t>['selamat', 'messi', 'sudah', 'bawa', 'argentina', 'juara', 'piala']</t>
  </si>
  <si>
    <t>Messi sukses bawa Argentina juara Piala Dunia 2022. Brasil ikutan senang, federasi sepakbola negara bagian dari Rio de Janeiro mau abadikan jejak kakinya!  https://t.co/qiJK6gIXzp</t>
  </si>
  <si>
    <t>@zenrs Salah satu pemain Argentina di Piala Dunia 1998 malah menjadi anggota tim pelatih Argentina saat ini yang menjadi juara Piala Dunia 2022. Petunjuknya adalah dia pernah main di Napoli dan Milan. üëç</t>
  </si>
  <si>
    <t>salah satu pemain argentina piala dunia malah menjadi anggota tim pelatih argentina saat ini yang menjadi juara piala dunia petunjuknya adalah dia pernah main napoli dan milan</t>
  </si>
  <si>
    <t>['salah', 'satu', 'pemain', 'argentina', 'piala', 'dunia', 'malah', 'menjadi', 'anggota', 'tim', 'pelatih', 'argentina', 'menjadi', 'juara', 'piala', 'dunia', 'petunjuknya', 'pernah', 'main', 'napoli', 'milan']</t>
  </si>
  <si>
    <t>Ternyata argentina menang juara ....üòÅüòÅüôãüëç world cup 2022 di tanah arab Qatar</t>
  </si>
  <si>
    <t>ternyata argentina menang juara world cup tanah arab qatar</t>
  </si>
  <si>
    <t>['ternyata', 'argentina', 'menang', 'juara', 'world', 'cup', 'tanah', 'arab', 'qatar']</t>
  </si>
  <si>
    <t>@LalajoPersib motm jelas, alhamdullilah jupe balik lagi perform seperti bawa persib 2014. insyallah tahun ini tim warna biru ditakdirkan juara sama seperti dengan argentina. nasib persib pun sama akan berpesta ria sepeti di buenos aires üíôüá¶üá∑</t>
  </si>
  <si>
    <t>motm jelas alhamdullilah jupe balik lagi perform seperti bawa persib insyallah tahun ini tim warna biru ditakdirkan juara sama seperti dengan argentina nasib persib pun sama akan berpesta ria sepeti buenos aires</t>
  </si>
  <si>
    <t>['motm', 'jelas', 'alhamdullilah', 'jupe', 'balik', 'perform', 'bawa', 'persib', 'insyallah', 'tahun', 'tim', 'warna', 'biru', 'ditakdirkan', 'juara', 'sama', 'argentina', 'nasib', 'persib', 'sama', 'berpesta', 'ria', 'sepeti', 'buenos', 'aires']</t>
  </si>
  <si>
    <t>gak kompeten banget jadi Ketum AFA. Gak peduli sama sepakbola. Harusnya dia yang pertama kali angkat trofi sebelum Messi &amp;amp; langsung bikin poster "Sosok dibalik kemenangan Argentina". Federasi kok dipimipin yg gak kompeten gini. Pantes nggk pernah juara Euro</t>
  </si>
  <si>
    <t>gak kompeten banget jadi ketum afa gak peduli sama sepakbola harusnya dia yang pertama kali angkat trofi sebelum messi langsung bikin poster sosok dibalik kemenangan argentina federasi kok dipimipin gak kompeten gini pantes nggk pernah juara euro</t>
  </si>
  <si>
    <t>['kompeten', 'banget', 'jadi', 'ketum', 'afa', 'peduli', 'sama', 'sepakbola', 'harusnya', 'pertama', 'kali', 'angkat', 'trofi', 'messi', 'langsung', 'poster', 'sosok', 'dibalik', 'kemenangan', 'argentina', 'federasi', 'kok', 'dipimipin', 'kompeten', 'gini', 'pantes', 'nggk', 'pernah', 'juara', 'euro']</t>
  </si>
  <si>
    <t>Lionel Messi Dkk Juara Piala Dunia 2022, Pacar Cristiano Ronaldo Disebut Satu-satunya Orang Argentina yang Dilarang Selebrasi  https://t.co/1UFDubnb3l lewat @okezonenews</t>
  </si>
  <si>
    <t>lionel messi dkk juara piala dunia pacar cristiano ronaldo disebut satu satunya orang argentina yang dilarang selebrasi lewat</t>
  </si>
  <si>
    <t>['lionel', 'messi', 'dkk', 'juara', 'piala', 'dunia', 'pacar', 'cristiano', 'ronaldo', 'disebut', 'satu', 'satunya', 'orang', 'argentina', 'dilarang', 'selebrasi', 'lewat']</t>
  </si>
  <si>
    <t>FOTO: Rusuh Pawai Argentina Juara Piala Dunia 2022  https://t.co/sBJP28eMHm</t>
  </si>
  <si>
    <t>foto rusuh pawai argentina juara piala dunia</t>
  </si>
  <si>
    <t>['foto', 'rusuh', 'pawai', 'argentina', 'juara', 'piala', 'dunia']</t>
  </si>
  <si>
    <t>OPEN ORDER KAOS SANG JUARA DUNIA, ARGENTINA ‚≠ê‚≠ê‚≠ê  Ready size S - XXXXL , yang mau order bisa chat ke Whatsapp, dengan klik link dibawah :  https://t.co/y58jT4JuEN  Atau bisa pesan lewat shopee biar gratis ongkir dan bayar COD, klik link dibawah :  https://t.co/sz0cLkHarJ  https://t.co/Sh7Ovwejct</t>
  </si>
  <si>
    <t>open order kaos sang juara dunia argentina ready size xxxxl yang mau order bisa chat whatsapp dengan klik link dibawah atau bisa pesan lewat shopee biar gratis ongkir dan bayar cod klik link dibawah</t>
  </si>
  <si>
    <t>['open', 'order', 'kaos', 'sang', 'juara', 'dunia', 'argentina', 'ready', 'size', 'xxxxl', 'mau', 'order', 'chat', 'whatsapp', 'klik', 'link', 'dibawah', 'pesan', 'lewat', 'shopee', 'gratis', 'ongkir', 'bayar', 'cod', 'klik', 'link', 'dibawah']</t>
  </si>
  <si>
    <t>@Ibnu_Thiago @elfarosy99 @idextratime Argentina juara pildun gak ngaruh, tetap generasi terbaik mereka tahun 2002. Portugal sekarang gak lebih baik dari generasi 2004. Coba bandingkan, google aj klo lupa. Malas jelasin, karakter nya gak cukup</t>
  </si>
  <si>
    <t>thiago argentina juara pildun gak ngaruh tetap generasi terbaik mereka tahun portugal sekarang gak lebih baik dari generasi coba bandingkan google klo lupa malas jelasin karakter nya gak cukup</t>
  </si>
  <si>
    <t>['thiago', 'argentina', 'juara', 'piala dunia', 'ngaruh', 'tetap', 'generasi', 'terbaik', 'tahun', 'portugal', 'sekarang', 'lebih', 'baik', 'generasi', 'coba', 'bandingkan', 'google', 'lupa', 'malas', 'jelasin', 'karakter', 'cukup']</t>
  </si>
  <si>
    <t>@rizaaaaalr argentina oge nu anyar juara pildun mun dibere kondisi kieu mah matak jangarüòÇ</t>
  </si>
  <si>
    <t>argentina oge anyar juara pildun mun dibere kondisi kieu mah matak jangar</t>
  </si>
  <si>
    <t>['argentina', 'oge', 'anyar', 'juara', 'piala dunia', 'mun', 'dibere', 'kondisi', 'kieu', 'mah', 'matak', 'jangar']</t>
  </si>
  <si>
    <t>Argentina juara tapi piala sama hadiahnya diambil sekolah ~ K4K</t>
  </si>
  <si>
    <t>argentina juara tapi piala sama hadiahnya diambil sekolah</t>
  </si>
  <si>
    <t>['argentina', 'juara', 'piala', 'sama', 'hadiahnya', 'diambil', 'sekolah']</t>
  </si>
  <si>
    <t>Delapan tahun jadi 'camat' di Arsenal, terdampar di kasta keempat sebelum berdiri di podium juara Dunia - warna-warni kisah Emi Martinez sungguh liar!  #FIFAWorldCup #Argentina   https://t.co/kqgbbCFjYR</t>
  </si>
  <si>
    <t>delapan tahun jadi camat arsenal terdampar kasta keempat sebelum berdiri podium juara dunia warna warni kisah emi martinez sungguh liar</t>
  </si>
  <si>
    <t>['delapan', 'tahun', 'jadi', 'camat', 'arsenal', 'terdampar', 'kasta', 'keempat', 'berdiri', 'podium', 'juara', 'dunia', 'warna', 'warni', 'kisah', 'emi', 'martinez', 'sungguh', 'liar']</t>
  </si>
  <si>
    <t>Lionel Messi kehilangan sandal ketika merayakan gelar juara Piala Dunia 2022 bersama rekan-rekannya di timnas Argentina.  https://t.co/95zR6G8kWi</t>
  </si>
  <si>
    <t>lionel messi kehilangan sandal ketika merayakan gelar juara piala dunia bersama rekan rekannya timnas argentina</t>
  </si>
  <si>
    <t>['lionel', 'messi', 'kehilangan', 'sandal', 'merayakan', 'gelar', 'juara', 'piala', 'dunia', 'bersama', 'rekan', 'rekannya', 'timnas', 'argentina']</t>
  </si>
  <si>
    <t>Keluaran Mongolia 21 Desember 2022  Result: 9433 Shio: Kuda #PancingHoki #situstogel  - Prediksi Taiwan Rabu, 21 Desember 2022 AI: 1 4 0 2 2D: 40 37 34 87 4D: 4936 4589 2348 Best: 83 88 33 Shio: Naga BBFS: 812504 #Pancingtoto #argentinajuara #akhirtahun  https://t.co/xY8fjJV7N9</t>
  </si>
  <si>
    <t>keluaran mongolia desember result shio kuda prediksi taiwan rabu desember best shio naga bbfs</t>
  </si>
  <si>
    <t>['keluaran', 'mongolia', 'desember', 'result', 'shio', 'kuda', 'prediksi', 'taiwan', 'rabu', 'desember', 'best', 'shio', 'naga', 'bbfs']</t>
  </si>
  <si>
    <t>Keluaran Grabpools 21 Desember 2022  Result: 6130 Shio: Ayam #PancingHoki #resulttogel - Prediksi Mongolia Rabu, 21 Desember 2022 AI: 4 5 7 3 2D: 23 96 99 19 4D: 8121 2941 9162 Best: 46 16 64 Shio: Ular BBFS: 324587 #Pancingtoto #argentinajuara #akhirtahun  https://t.co/xY8fjJV7N9</t>
  </si>
  <si>
    <t>keluaran grabpools desember result shio ayam prediksi mongolia rabu desember best shio ular bbfs</t>
  </si>
  <si>
    <t>['keluaran', 'grabpools', 'desember', 'result', 'shio', 'ayam', 'prediksi', 'mongolia', 'rabu', 'desember', 'best', 'shio', 'ular', 'bbfs']</t>
  </si>
  <si>
    <t>FOTO: Perayaan Argentina Juara Piala Dunia 2022 Berujung Rusuh  https://t.co/RGkV5XLqNQ</t>
  </si>
  <si>
    <t>foto perayaan argentina juara piala dunia berujung rusuh</t>
  </si>
  <si>
    <t>['foto', 'perayaan', 'argentina', 'juara', 'piala', 'dunia', 'berujung', 'rusuh']</t>
  </si>
  <si>
    <t>Keluaran Japan 21 Desember 2022  Result: 4757 Shio: Kuda #PancingHoki #maxwin - Prediksi Singapore Rabu, 21 Desember 2022 AI: 4 9 1 8 2D: 35 96 87 69 4D: 1078 4594 4293 Best: 76 66 39 Shio: Babi BBFS: 810439 #Pancingtoto #argentinajuara #akhirtahun  https://t.co/xY8fjJVFCH</t>
  </si>
  <si>
    <t>keluaran japan desember result shio kuda prediksi singapore rabu desember best shio babi bbfs</t>
  </si>
  <si>
    <t>['keluaran', 'japan', 'desember', 'result', 'shio', 'kuda', 'prediksi', 'singapore', 'rabu', 'desember', 'best', 'shio', 'babi', 'bbfs']</t>
  </si>
  <si>
    <t>Keluaran China 21 Desember 2022  Result: 4165 Shio: Anjing #PancingHoki #slotonline  - Prediksi Japan Rabu, 21 Desember 2022 AI: 8 9 0 3 2D: 23 99 27 38 4D: 9205 8783 9104 Best: 29 33 73 Shio: Anjing BBFS: 670938 #Pancingtoto #argentinajuara #akhirtahun  https://t.co/xY8fjJVFCH</t>
  </si>
  <si>
    <t>keluaran china desember result shio anjing prediksi japan rabu desember best shio anjing bbfs</t>
  </si>
  <si>
    <t>['keluaran', 'china', 'desember', 'result', 'shio', 'anjing', 'prediksi', 'japan', 'rabu', 'desember', 'best', 'shio', 'anjing', 'bbfs']</t>
  </si>
  <si>
    <t>Keluaran Sydney 21 Desember 2022  Result: 5179 Shio: Monyet #PancingHoki #mixparlaytips - Prediksi China Rabu, 21 Desember 2022 AI: 6 1 0 5 2D: 75 94 73 31 4D: 6383 4792 8167 Best: 98 91 37 Shio: Kerbau BBFS: 681405 #Pancingtoto #argentinajuara #akhirtahun  https://t.co/SfTMffqMOM</t>
  </si>
  <si>
    <t>keluaran sydney desember result shio monyet prediksi china rabu desember best shio kerbau bbfs</t>
  </si>
  <si>
    <t>['keluaran', 'sydney', 'desember', 'result', 'shio', 'monyet', 'prediksi', 'china', 'rabu', 'desember', 'best', 'shio', 'kerbau', 'bbfs']</t>
  </si>
  <si>
    <t>Keluaran Cambodia 21 Desember 2022  Result: 8124 Shio: Kelinci #PancingHoki #salam1jp - Prediksi Sydney Rabu, 21 Desember 2022 AI: 1 3 8 5 2D: 13 42 96 49 4D: 3129 2764 8090 Best: 26 14 19 Shio: Kerbau BBFS: 485301 #Pancingtoto #argentinajuara #akhirtahun  https://t.co/SfTMffIW2U</t>
  </si>
  <si>
    <t>keluaran cambodia desember result shio kelinci prediksi sydney rabu desember best shio kerbau bbfs</t>
  </si>
  <si>
    <t>['keluaran', 'cambodia', 'desember', 'result', 'shio', 'kelinci', 'prediksi', 'sydney', 'rabu', 'desember', 'best', 'shio', 'kerbau', 'bbfs']</t>
  </si>
  <si>
    <t>@Syil505 hallo saya dari masa depan, cuma mau ngasih tau kalo argentina udah juara pildun</t>
  </si>
  <si>
    <t>hallo saya dari masa depan cuma mau ngasih tau kalo argentina udah juara pildun</t>
  </si>
  <si>
    <t>['hallo', 'masa', 'depan', 'cuma', 'mau', 'ngasih', 'argentina', 'udah', 'juara', 'piala dunia']</t>
  </si>
  <si>
    <t>@floydian__ @detikcom Kalo gitu pemain argentina lebih rajin ngaji dan sholat dong..makanya bisa juara dunia ampe 3 X ü§™</t>
  </si>
  <si>
    <t>kalo gitu pemain argentina lebih rajin ngaji dan sholat dong makanya bisa juara dunia ampe</t>
  </si>
  <si>
    <t>['gitu', 'pemain', 'argentina', 'lebih', 'rajin', 'ngaji', 'salat', 'dong', 'makanya', 'juara', 'dunia', 'sampai']</t>
  </si>
  <si>
    <t>@kompascom nah kan kejawab, Lloris juga kalau jadi juara bakal dipakein, cuma kan juaranya Argentina, so yeah, the western media soooo butthurt to call that a cultural appropriation, sirik aja loooü§£</t>
  </si>
  <si>
    <t>nah kan kejawab lloris juga kalau jadi juara bakal dipakein cuma kan juaranya argentina yeah the western media soooo butthurt call that cultural appropriation sirik aja looo</t>
  </si>
  <si>
    <t>['nah', 'kan', 'kejawab', 'lloris', 'kalau', 'jadi', 'juara', 'bakal', 'dipakein', 'cuma', 'kan', 'juaranya', 'argentina', 'yeah', 'the', 'western', 'media', 'soooo', 'butthurt', 'call', 'that', 'cultural', 'appropriation', 'sirik', 'looo']</t>
  </si>
  <si>
    <t>Kalo aguero udah pasti gabakal bisa ikut angkat piala kalo Argentina kalah. Sedangkan salt bae, mau siapapun yg juara masih bisa ikut angkat piala.  Ada ada aja sifat chef yg blm pernah ikut pressure test</t>
  </si>
  <si>
    <t>kalo aguero udah pasti gabakal bisa ikut angkat piala kalo argentina kalah sedangkan salt bae mau siapapun juara masih bisa ikut angkat piala ada ada aja sifat chef blm pernah ikut pressure test</t>
  </si>
  <si>
    <t>['aguero', 'udah', 'gabakal', 'ikut', 'angkat', 'piala', 'argentina', 'kalah', 'salt', 'bae', 'mau', 'siapapun', 'juara', 'ikut', 'angkat', 'piala', 'sifat', 'chef', 'blm', 'pernah', 'ikut', 'pressure', 'test']</t>
  </si>
  <si>
    <t>@GustiJovie @firzahusainInc Gampang mas. Simpel aja. Argentina juara dunia ngalahin Perancis 4-2..itu artinya Argentina Surplus 2 gol atas Perancis. Syg mereka ngak nonton..Sepakbola pan haram...ü§îü§î</t>
  </si>
  <si>
    <t>gampang mas simpel aja argentina juara dunia ngalahin perancis itu artinya argentina surplus gol atas perancis syg mereka ngak nonton sepakbola pan haram</t>
  </si>
  <si>
    <t>['gampang', 'mas', 'simpel', 'argentina', 'juara', 'dunia', 'ngalahin', 'perancis', 'artinya', 'argentina', 'surplus', 'gol', 'atas', 'perancis', 'syg', 'ngak', 'nonton', 'sepakbola', 'pan', 'haram']</t>
  </si>
  <si>
    <t>Pawai Juara Piala Dunia 2022 di Argentina Ricuh, Nekat Lompat ke Bis, Sa...  https://t.co/8BveFbFfUA via @YouTube</t>
  </si>
  <si>
    <t>pawai juara piala dunia argentina ricuh nekat lompat bis via</t>
  </si>
  <si>
    <t>['pawai', 'juara', 'piala', 'dunia', 'argentina', 'ricuh', 'nekat', 'lompat', 'bis', 'via']</t>
  </si>
  <si>
    <t>Pinjem sound Argentina. Optimis juara!  #AFFMitsubishiElectricCup2022  https://t.co/L8duPZhDFz</t>
  </si>
  <si>
    <t>pinjem sound argentina optimis juara</t>
  </si>
  <si>
    <t>['pinjem', 'sound', 'argentina', 'optimis', 'juara']</t>
  </si>
  <si>
    <t>Meski ketutupan Messi karena sama posisi, keberadaan Dybala di waktu yg singkat dan tepat ikut mengatarkan Argentina juara piala dunia tahun ini.  Bismillah, 2026 nanti Dybala  dh masuk starting line up Argentina. üòáüá¶üá∑</t>
  </si>
  <si>
    <t>meski ketutupan messi karena sama posisi keberadaan dybala waktu singkat dan tepat ikut mengatarkan argentina juara piala dunia tahun ini bismillah nanti dybala masuk starting line argentina</t>
  </si>
  <si>
    <t>['meski', 'ketutupan', 'messi', 'sama', 'posisi', 'keberadaan', 'dybala', 'waktu', 'singkat', 'tepat', 'ikut', 'mengatarkan', 'argentina', 'juara', 'piala', 'dunia', 'tahun', 'bismillah', 'dybala', 'masuk', 'starting', 'line', 'argentina']</t>
  </si>
  <si>
    <t>@PantauManCity Infonya messi bermain bagus karena sekamar sama aguero yang selalu memtivasi dan menjaga mood messi. So, secara tidak langsung aguero mempunyai andil sangat besar bagi argentina bisa juara. Jangan alergi fakta yah</t>
  </si>
  <si>
    <t>infonya messi bermain bagus karena sekamar sama aguero yang selalu memtivasi dan menjaga mood messi secara tidak langsung aguero mempunyai andil sangat besar bagi argentina bisa juara jangan alergi fakta yah</t>
  </si>
  <si>
    <t>['infonya', 'messi', 'bermain', 'bagus', 'sekamar', 'sama', 'aguero', 'selalu', 'memtivasi', 'menjaga', 'mood', 'messi', 'langsung', 'aguero', 'mempunyai', 'andil', 'sangat', 'besar', 'argentina', 'juara', 'jangan', 'alergi', 'fakta']</t>
  </si>
  <si>
    <t>@arutaditia @boemiputra1 @ipul_ipulll @zenrs Iya, di Finalissima 2022 alias Piala UEFA-Conmebol (Juara Euro vs Juara Copa America) musim panas kemarin, Italia kalah 0-3 lawan Argentina.</t>
  </si>
  <si>
    <t>ipulll iya finalissima alias piala uefa conmebol juara euro juara copa america musim panas kemarin italia kalah lawan argentina</t>
  </si>
  <si>
    <t>['ipulll', 'iya', 'finalissima', 'alias', 'piala', 'uefa', 'conmebol', 'juara', 'euro', 'juara', 'copa', 'america', 'musim', 'panas', 'kemarin', 'italia', 'kalah', 'lawan', 'argentina']</t>
  </si>
  <si>
    <t>Menurut Wapres contoh lah Maroko sang juara ke empat  Menurut saya contohlah Argentina sang juara pertama.  Beda pemikiran Wapres dan pemikiran rakyat.  Jangan dibanding2 ke.</t>
  </si>
  <si>
    <t>menurut wapres contoh lah maroko sang juara empat menurut saya contohlah argentina sang juara pertama beda pemikiran wapres dan pemikiran rakyat jangan dibanding</t>
  </si>
  <si>
    <t>['wapres', 'contoh', 'lah', 'maroko', 'sang', 'juara', 'empat', 'contohlah', 'argentina', 'sang', 'juara', 'pertama', 'beda', 'pemikiran', 'wapres', 'pemikiran', 'rakyat', 'jangan', 'dibanding']</t>
  </si>
  <si>
    <t>Argentina Juara dunia  Piala Dunia 2022  https://t.co/otU4GgDrzP</t>
  </si>
  <si>
    <t>argentina juara dunia piala dunia</t>
  </si>
  <si>
    <t>['argentina', 'juara', 'dunia', 'piala', 'dunia']</t>
  </si>
  <si>
    <t>Argentina Juara Dunia, Conmebol Beri Bonus 10 Juta Dolar untuk AFA  https://t.co/XQop9knBRF</t>
  </si>
  <si>
    <t>argentina juara dunia conmebol beri bonus juta dolar untuk afa</t>
  </si>
  <si>
    <t>['argentina', 'juara', 'dunia', 'conmebol', 'beri', 'bonus', 'juta', 'dolar', 'afa']</t>
  </si>
  <si>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</si>
  <si>
    <t>makanya kemarin sempat terpikir nobar tapi untungnya tempat nobar pada penuh jadi nonton dirumah baru kali ini menangis karena bola dan argentina jersey pertama yang dibeli dan dipake badan akhirnya juara juga seumur umur fans sama barcelona belum pernah nangis hahaha</t>
  </si>
  <si>
    <t>['makanya', 'kemarin', 'sempat', 'terpikir', 'nonton bareng', 'untungnya', 'tempat', 'nonton bareng', 'penuh', 'jadi', 'nonton', 'dirumah', 'baru', 'kali', 'menangis', 'bola', 'argentina', 'jersey', 'pertama', 'dibeli', 'dipake', 'badan', 'akhirnya', 'juara', 'seumur', 'umur', 'fans', 'sama', 'barcelona', 'pernah', 'nangis', 'hahaha']</t>
  </si>
  <si>
    <t>Messi Disambut bak Pahlawan Tiba di Kampung Halaman, Bawa Timnas Argentina Juara Piala Dunia 2022 #CelebritiesDotID #InfoCelebTerkini   https://t.co/X8tDwZGIWq</t>
  </si>
  <si>
    <t>messi disambut bak pahlawan tiba kampung halaman bawa timnas argentina juara piala dunia</t>
  </si>
  <si>
    <t>['messi', 'disambut', 'bak', 'pahlawan', 'tiba', 'kampung', 'halaman', 'bawa', 'timnas', 'argentina', 'juara', 'piala', 'dunia']</t>
  </si>
  <si>
    <t>Momen Ricuh Parade Juara Argentina, Penjarahan Hingga Duel Jalanan  https://t.co/TmxP6rTRVZ</t>
  </si>
  <si>
    <t>momen ricuh parade juara argentina penjarahan hingga duel jalanan</t>
  </si>
  <si>
    <t>['momen', 'ricuh', 'parade', 'juara', 'argentina', 'penjarahan', 'hingga', 'duel', 'jalanan']</t>
  </si>
  <si>
    <t>Bukannya gw gak punya rasa kemanusaiaan, tapi mbappe juga dulu ngeledek haaland pake niruin selebrasinya orang2 nganggepnya oke aja tuh, prancis juga ngolok2 messi waktu juara biasa aja. Giliran pemain argentina yg ngelakuin gitu dipermasalahin ü•¥</t>
  </si>
  <si>
    <t>bukannya gak punya rasa kemanusaiaan tapi mbappe juga dulu ngeledek haaland pake niruin selebrasinya orang nganggepnya oke aja tuh prancis juga ngolok messi waktu juara biasa aja giliran pemain argentina ngelakuin gitu dipermasalahin</t>
  </si>
  <si>
    <t>['bukannya', 'punya', 'rasa', 'kemanusaiaan', 'mbappe', 'dulu', 'ngeledek', 'haaland', 'pake', 'niruin', 'selebrasinya', 'orang', 'nganggepnya', 'oke', 'prancis', 'ngolok', 'messi', 'waktu', 'juara', 'biasa', 'giliran', 'pemain', 'argentina', 'ngelakuin', 'gitu', 'dipermasalahin']</t>
  </si>
  <si>
    <t>[TERBARU]  Messi boleh jadi buah bibir usai Argentina juara, tetapi kepiawaian Martinez di bawah gawang tak boleh dilupakan. Selain itu, aksi-aksi tengilnya sepanjang dan sesudah Piala Dunia juga membuatnya makin jadi sorotan.  Tulisan soal Emi Martinez.üëáüèª  https://t.co/yTPvQizwpl</t>
  </si>
  <si>
    <t>terbaru messi boleh jadi buah bibir usai argentina juara tetapi kepiawaian martinez bawah gawang tak boleh dilupakan selain itu aksi aksi tengilnya sepanjang dan sesudah piala dunia juga membuatnya makin jadi sorotan tulisan soal emi martinez</t>
  </si>
  <si>
    <t>['terbaru', 'messi', 'jadi', 'buah', 'bibir', 'usai', 'argentina', 'juara', 'kepiawaian', 'martinez', 'bawah', 'gawang', 'tak', 'dilupakan', 'aksi', 'aksi', 'tengilnya', 'sepanjang', 'piala', 'dunia', 'membuatnya', 'makin', 'jadi', 'sorotan', 'tulisan', 'soal', 'emi', 'martinez']</t>
  </si>
  <si>
    <t>@head_hunters07 @elfarosy99 @idextratime Argentina juara dunia dengan midfielder yan main di Brighton, Benfica dan Atletico Madrid. Portugal secara skuad gak bisa dibilang bronze. No excuse.</t>
  </si>
  <si>
    <t>hunters argentina juara dunia dengan midfielder yan main brighton benfica dan atletico madrid portugal secara skuad gak bisa dibilang bronze excuse</t>
  </si>
  <si>
    <t>['hunters', 'argentina', 'juara', 'dunia', 'midfielder', 'yan', 'main', 'brighton', 'benfica', 'atletico', 'madrid', 'portugal', 'skuad', 'dibilang', 'bronze', 'excuse']</t>
  </si>
  <si>
    <t>@ndagels Ouhh.. ini yang Bikin Argentina Juara World Cup 2022 Diduga Rafi Ahmad menyogok FIFA untuk mmenangkan Argentina agar bisa menghibur Hati Anak Sulungnya.. *Teori_Konspirasi</t>
  </si>
  <si>
    <t>ouhh ini yang bikin argentina juara world cup diduga rafi ahmad menyogok fifa untuk mmenangkan argentina agar bisa menghibur hati anak sulungnya teori konspirasi</t>
  </si>
  <si>
    <t>['ouhh', 'argentina', 'juara', 'world', 'cup', 'diduga', 'rafi', 'ahmad', 'menyogok', 'fifa', 'mmenangkan', 'argentina', 'menghibur', 'hati', 'anak', 'sulungnya', 'teori', 'konspirasi']</t>
  </si>
  <si>
    <t>@Gdmn77 @idextratime Ya faktanya emang begitu, kalau sepakbola Eropa gak maju pemain Argentina gak nyari nafkah di Eropa</t>
  </si>
  <si>
    <t>faktanya emang begitu kalau sepakbola eropa gak maju pemain argentina gak nyari nafkah eropa</t>
  </si>
  <si>
    <t>['faktanya', 'emang', 'kalau', 'sepakbola', 'eropa', 'maju', 'pemain', 'argentina', 'nyari', 'nafkah', 'eropa']</t>
  </si>
  <si>
    <t xml:space="preserve">@detikcom Ini dinegara muslim bermaksiat  jelas dipenjara Lebih baik pulang aja kenegaramu klu mau bermaksiat. mantap Argentina juara baru sejarah baru nanti 2024 presiden baru ya. akhirnya Messi bisa tidur nyenyak,kekalahan 2014 dr Jerman Messi gak bisa </t>
  </si>
  <si>
    <t>ini dinegara muslim bermaksiat jelas dipenjara lebih baik pulang aja kenegaramu klu mau bermaksiat mantap argentina juara baru sejarah baru nanti presiden baru akhirnya messi bisa tidur nyenyak kekalahan jerman messi gak bisa</t>
  </si>
  <si>
    <t>['dinegara', 'muslim', 'bermaksiat', 'jelas', 'dipenjara', 'lebih', 'baik', 'pulang', 'kenegaramu', 'klu', 'mau', 'bermaksiat', 'mantap', 'argentina', 'juara', 'baru', 'sejarah', 'baru', 'presiden', 'baru', 'akhirnya', 'messi', 'tidur', 'nyenyak', 'kekalahan', 'jerman', 'messi']</t>
  </si>
  <si>
    <t>Resmikan Rumah  ‚úÖ Bahas Argentina Juara Dunia  ‚úÖ  #MartenTaha #Argentina #PialaDunia #Gorontalo  https://t.co/Lynfallfk3</t>
  </si>
  <si>
    <t>resmikan rumah bahas argentina juara dunia</t>
  </si>
  <si>
    <t>['resmikan', 'rumah', 'bahas', 'argentina', 'juara', 'dunia']</t>
  </si>
  <si>
    <t xml:space="preserve">@MarshmeloPaul @zeddyyzzz @CoachJustinL @YouTube Jerman 2014 setelah juara disrespect kultur argentina orang pada diem. Muller disrespect barca, orang2 pada ikut ketawa. Giliran orang argentina kek gini dibilang kampungan. Standard ganda emang orang indo </t>
  </si>
  <si>
    <t>jerman setelah juara disrespect kultur argentina orang pada diem muller disrespect barca orang pada ikut ketawa giliran orang argentina kek gini dibilang kampungan standard ganda emang orang indo</t>
  </si>
  <si>
    <t>['jerman', 'juara', 'disrespect', 'kultur', 'argentina', 'orang', 'diem', 'muller', 'disrespect', 'barca', 'orang', 'ikut', 'ketawa', 'giliran', 'orang', 'argentina', 'kek', 'gini', 'dibilang', 'kampungan', 'standard', 'ganda', 'emang', 'orang', 'indo']</t>
  </si>
  <si>
    <t>Liat tweet perayaan juara di argentina, gilak, parah, kacau</t>
  </si>
  <si>
    <t>liat tweet perayaan juara argentina gilak parah kacau</t>
  </si>
  <si>
    <t>['lihat', 'tweet', 'perayaan', 'juara', 'argentina', 'gilak', 'parah', 'kacau']</t>
  </si>
  <si>
    <t>Ke nak tiru argentina tau2 juara?</t>
  </si>
  <si>
    <t>nak tiru argentina tau juara</t>
  </si>
  <si>
    <t>['nak', 'tiru', 'argentina', 'juara']</t>
  </si>
  <si>
    <t>VIDEO: Selebrasi Juara Argentina, Pemuda Ini Malah Cium Kepala Pak Polisi  https://t.co/N62NaRYiE2</t>
  </si>
  <si>
    <t>video selebrasi juara argentina pemuda ini malah cium kepala pak polisi</t>
  </si>
  <si>
    <t>['video', 'selebrasi', 'juara', 'argentina', 'pemuda', 'malah', 'cium', 'kepala', 'pak', 'polisi']</t>
  </si>
  <si>
    <t>@gilangseva1 @izzypeazy_ @false10s @FaktaSepakbola Ya lu bawa2 ronaldo soalnya ya gue bilang penyepong lah wkwk mereka juara gue dikasih kebahagiaan dong ü§£ kalo lu bilang emi salah trus jerman apaan di 2014 sampe disrespect kultur argentina? Itu baru n</t>
  </si>
  <si>
    <t>bawa ronaldo soalnya gue bilang penyepong lah wkwk mereka juara gue dikasih kebahagiaan dong kalo bilang emi salah trus jerman apaan sampe disrespect kultur argentina itu baru</t>
  </si>
  <si>
    <t>['bawa', 'ronaldo', 'soalnya', 'gue', 'penyepong', 'lah', 'juara', 'gue', 'dikasih', 'kebahagiaan', 'dong', 'emi', 'salah', 'trus', 'jerman', 'apaan', 'sampai', 'disrespect', 'kultur', 'argentina', 'baru']</t>
  </si>
  <si>
    <t>lah parade juara pildun argentina jadi bentrok yaa emg ud pada punya niat kalee yak</t>
  </si>
  <si>
    <t>lah parade juara pildun argentina jadi bentrok yaa emg pada punya niat kalee yak</t>
  </si>
  <si>
    <t>['lah', 'parade', 'juara', 'piala dunia', 'argentina', 'jadi', 'bentrok', 'ya', 'memang', 'punya', 'niat', 'kalee', 'yak']</t>
  </si>
  <si>
    <t>@FRSFRSFRSFRS91 @celotehmhsw @rizalfatkhurikh @false10s @FaktaSepakbola Lah Argentina juara bukan karena emi semua kontol bersaing ama leno aa kaga mamp di arsenalü§£ü§£ü§£ü§£ü§£ü§£ü§£ü§£ü§£ü§£</t>
  </si>
  <si>
    <t>lah argentina juara bukan karena emi semua kontol bersaing ama leno kaga mamp arsenal</t>
  </si>
  <si>
    <t>['lah', 'argentina', 'juara', 'bukan', 'emi', 'semua', 'kontol', 'bersaing', 'ama', 'leno', 'kaga', 'mamp', 'arsenal']</t>
  </si>
  <si>
    <t>Pesta Juara Argentina Berujung Bentrok  https://t.co/L0I8dEygHF  https://t.co/FZSQqeNJzE</t>
  </si>
  <si>
    <t>@FUTholic @izzypeazy_ @false10s @FaktaSepakbola Kontol beda pendapat di bilang pengepong dll kontol lu bela bela Argentina kaga ngaruh juga dlm hidup lu jdi gak usab ngebelain gila gilaan sama orang yg udah jelas" Salah toh merka juara lu gk di kasih apa"</t>
  </si>
  <si>
    <t>kontol beda pendapat bilang pengepong dll kontol bela bela argentina kaga ngaruh juga dlm hidup jdi gak usab ngebelain gila gilaan sama orang udah jelas salah toh merka juara kasih apa</t>
  </si>
  <si>
    <t>['kontol', 'beda', 'pendapat', 'pengepong', 'kontol', 'bela', 'bela', 'argentina', 'kaga', 'ngaruh', 'dlm', 'hidup', 'jdi', 'usab', 'ngebelain', 'gila', 'gilaan', 'sama', 'orang', 'udah', 'jelas', 'salah', 'merka', 'juara', 'kasih', 'apa']</t>
  </si>
  <si>
    <t>@FUTholic @RevoNugroho @Mrvarianttt @orrshktse @registaco Bayang lagu suporter argentina yang ngeremehin brazil, nyebut beberapa kali maracana, tapi setelah argentina juara brazil ngajak messi ke maracana buat ngabadiin momentnyaüí©üí©ü§£ü§£ hal hal r</t>
  </si>
  <si>
    <t>bayang lagu suporter argentina yang ngeremehin brazil nyebut beberapa kali maracana tapi setelah argentina juara brazil ngajak messi maracana buat ngabadiin momentnya hal hal</t>
  </si>
  <si>
    <t>['bayang', 'lagu', 'suporter', 'argentina', 'ngeremehin', 'brazil', 'nyebut', 'beberapa', 'kali', 'maracana', 'argentina', 'juara', 'brazil', 'ngajak', 'messi', 'maracana', 'buat', 'ngabadiin', 'momentnya']</t>
  </si>
  <si>
    <t>@izzamzanna @FaktaSepakbola kiper medioker dengan dua save menyelamatkan mimpi Argentina untuk juara dunia.</t>
  </si>
  <si>
    <t>kiper medioker dengan dua save menyelamatkan mimpi argentina untuk juara dunia</t>
  </si>
  <si>
    <t>['kiper', 'medioker', 'save', 'menyelamatkan', 'mimpi', 'argentina', 'juara', 'dunia']</t>
  </si>
  <si>
    <t>@1705D43372412 @utdfocusid Lah lu ngpa cul? Kalo gda Martinez bisa jadi "ga juara" itu Argentina.. block¬≤ krusialnya beberapa kali nyelamatin gawa Argentina</t>
  </si>
  <si>
    <t>lah ngpa cul kalo gda martinez bisa jadi juara itu argentina block krusialnya beberapa kali nyelamatin gawa argentina</t>
  </si>
  <si>
    <t>['lah', 'ngpa', 'cul', 'gda', 'martinez', 'jadi', 'juara', 'argentina', 'block', 'krusialnya', 'beberapa', 'kali', 'nyelamatin', 'gawa', 'argentina']</t>
  </si>
  <si>
    <t>@S_AshelJKT48 @A_FionyJKT48 konser seminggu tiga kali, hmm.... baiknya itu duit dipakai ke Argentina buat menghadiri Syukuran Juara Piala Dunia :-)) biasanya sih sampai 7 hari</t>
  </si>
  <si>
    <t>asheljkt fionyjkt konser seminggu tiga kali hmm baiknya itu duit dipakai argentina buat menghadiri syukuran juara piala dunia biasanya sih sampai hari</t>
  </si>
  <si>
    <t>['asheljkt', 'fionyjkt', 'konser', 'seminggu', 'tiga', 'kali', 'hmm', 'baiknya', 'duit', 'dipakai', 'argentina', 'buat', 'menghadiri', 'syukuran', 'juara', 'piala', 'dunia', 'biasanya', 'hari']</t>
  </si>
  <si>
    <t>@registaco Beliau bukan sembarang beliau. Hanya di zaman beliau Argentina bisa juara Piala Dunia.</t>
  </si>
  <si>
    <t>beliau bukan sembarang beliau hanya zaman beliau argentina bisa juara piala dunia</t>
  </si>
  <si>
    <t>['beliau', 'bukan', 'sembarang', 'beliau', 'zaman', 'beliau', 'argentina', 'juara', 'piala', 'dunia']</t>
  </si>
  <si>
    <t>Kelakuan Menjengkelkan Salt Bae pada Perayaan Argentina Jadi Juara Piala Dunia 2022: Cium Trofi dan Ganggu Lionel Messi -  https://t.co/kpmQt1cweG  https://t.co/aXIzvc3Yde via @bolanet  https://t.co/aNzDFA3v8E . . . #m88mansion #m88mansionindo #m88indo #m88laliga</t>
  </si>
  <si>
    <t>kelakuan menjengkelkan salt bae pada perayaan argentina jadi juara piala dunia cium trofi dan ganggu lionel messi via</t>
  </si>
  <si>
    <t>['kelakuan', 'menjengkelkan', 'salt', 'bae', 'perayaan', 'argentina', 'jadi', 'juara', 'piala', 'dunia', 'cium', 'trofi', 'ganggu', 'lionel', 'messi', 'via']</t>
  </si>
  <si>
    <t>Ricuh Parade Gelar Juara Dunia Argentina, Satu Warga Tewas  https://t.co/93DLUCKNSt</t>
  </si>
  <si>
    <t>ricuh parade gelar juara dunia argentina satu warga tewas</t>
  </si>
  <si>
    <t>['ricuh', 'parade', 'gelar', 'juara', 'dunia', 'argentina', 'satu', 'warga', 'tewas']</t>
  </si>
  <si>
    <t xml:space="preserve">@idextratime Anton mulu, gay ya, daripada kek gitu mending, ngeliat Messi dan timnas Argentina dalam setahunan lebih, setelah mengalami tiga kekalahan beruntun di final, langsung dibalas dgn 3 kali juara, gak pake lama, dalam rentang waktu setahunan saja </t>
  </si>
  <si>
    <t>anton mulu gay daripada kek gitu mending ngeliat messi dan timnas argentina dalam setahunan lebih setelah mengalami tiga kekalahan beruntun final langsung dibalas dgn kali juara gak pake lama dalam rentang waktu setahunan saja</t>
  </si>
  <si>
    <t>['anton', 'mulu', 'gay', 'kek', 'gitu', 'mending', 'ngeliat', 'messi', 'timnas', 'argentina', 'setahunan', 'lebih', 'mengalami', 'tiga', 'kekalahan', 'beruntun', 'final', 'langsung', 'dibalas', 'kali', 'juara', 'pake', 'lama', 'rentang', 'waktu', 'setahunan']</t>
  </si>
  <si>
    <t>2 hari lalu argentina, barusan yana 1 3 juara futsal dan basketüòéüòéüòé</t>
  </si>
  <si>
    <t>hari lalu argentina barusan yana juara futsal dan basket</t>
  </si>
  <si>
    <t>['hari', 'lalu', 'argentina', 'barusan', 'yana', 'juara', 'futsal', 'basket']</t>
  </si>
  <si>
    <t>"Saya akan menjadi juara cinta" &amp;amp; Angel Di Maria Prediksi akan Cetak Gol dan Argentina Menangkan Piala Dunia 2022 |  https://t.co/muKMW36soW</t>
  </si>
  <si>
    <t>saya akan menjadi juara cinta angel maria prediksi akan cetak gol dan argentina menangkan piala dunia</t>
  </si>
  <si>
    <t>['menjadi', 'juara', 'cinta', 'angel', 'maria', 'prediksi', 'cetak', 'gol', 'argentina', 'menangkan', 'piala', 'dunia']</t>
  </si>
  <si>
    <t>Masih memantau orang orang yang gak trima argentina juara, apa lagi fans penaldo üòÇ, mau bikin konspirasi apa pun bebas, winner is still winner</t>
  </si>
  <si>
    <t>masih memantau orang orang yang gak trima argentina juara apa lagi fans penaldo mau bikin konspirasi apa pun bebas winner still winner</t>
  </si>
  <si>
    <t>['memantau', 'orang', 'orang', 'trima', 'argentina', 'juara', 'apa', 'fans', 'penaldo', 'mau', 'konspirasi', 'apa', 'bebas', 'winner', 'still', 'winner']</t>
  </si>
  <si>
    <t>@FaktaSepakbola Kefanatikan membutakan segalanya, Norak Suporter Argentina, mungkin gara2 sudah 36 tahun lamanya tidak juara Dunia</t>
  </si>
  <si>
    <t>kefanatikan membutakan segalanya norak suporter argentina mungkin gara sudah tahun lamanya tidak juara dunia</t>
  </si>
  <si>
    <t>['kefanatikan', 'membutakan', 'segalanya', 'norak', 'suporter', 'argentina', 'mungkin', 'gara', 'tahun', 'lamanya', 'juara', 'dunia']</t>
  </si>
  <si>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</si>
  <si>
    <t>emiliano martinez kiper terbaik piala dunia sekaligus kiper yang membawa argentina juara dia merupakan salah satu kiper yang sangat dicintai oleh lionel messi</t>
  </si>
  <si>
    <t>['emiliano', 'martinez', 'kiper', 'terbaik', 'piala', 'dunia', 'sekaligus', 'kiper', 'membawa', 'argentina', 'juara', 'merupakan', 'salah', 'satu', 'kiper', 'sangat', 'dicintai', 'lionel', 'messi']</t>
  </si>
  <si>
    <t>Argentina juara 1 dunia sepak bola, kalo kamu juara 1 melanggar perintah allah. Tq</t>
  </si>
  <si>
    <t>argentina juara dunia sepak bola kalo kamu juara melanggar perintah allah</t>
  </si>
  <si>
    <t>['argentina', 'juara', 'dunia', 'sepak', 'bola', 'kamu', 'juara', 'melanggar', 'perintah', 'allah']</t>
  </si>
  <si>
    <t>Finally we did it guyss, JUARA SATOE!!!. Udh kyk Argentina v Prancis 4-2 WKWKW. Last but not least i wanna say thanks for our god  https://t.co/BGikNq60xw</t>
  </si>
  <si>
    <t>finally did guyss juara satoe udh kyk argentina prancis wkwkw last but not least wanna say thanks for our god</t>
  </si>
  <si>
    <t>['finally', 'did', 'guyss', 'juara', 'satoe', 'sudah', 'seperti', 'argentina', 'prancis', 'wkwkw', 'last', 'but', 'not', 'least', 'wan', 'na', 'say', 'thanks', 'for', 'our', 'god']</t>
  </si>
  <si>
    <t>@jmyfps @priomada @idextratime Maradona yg th 86 membawa Argentina juara dunia sendirian, adalah bekas pemain Boca + pendukung setia Boca. Suasana di Buenos Aires saat itu jg aman2 aja kok.</t>
  </si>
  <si>
    <t>maradona membawa argentina juara dunia sendirian adalah bekas pemain boca pendukung setia boca suasana buenos aires saat itu aman aja kok</t>
  </si>
  <si>
    <t>['maradona', 'membawa', 'argentina', 'juara', 'dunia', 'sendirian', 'bekas', 'pemain', 'boca', 'pendukung', 'setia', 'boca', 'suasana', 'buenos', 'aires', 'aman', 'kok']</t>
  </si>
  <si>
    <t>@zeddyyzzz @CoachJustinL @YouTube Jerman 2014 setelah juara disrespect kultur argentina orang pada diem. Muller disrespect barca, orang2 pada ikut ketawa. Giliran orang argentina kek gini dibilang kampungan. Standard ganda emang orang indo ini</t>
  </si>
  <si>
    <t>jerman setelah juara disrespect kultur argentina orang pada diem muller disrespect barca orang pada ikut ketawa giliran orang argentina kek gini dibilang kampungan standard ganda emang orang indo ini</t>
  </si>
  <si>
    <t>Pastinya sih.  Itu Vidal aja sekampung sama 2 pemain Timnas Argentina yang juara: German Pezzella sama kesayangan netijen yang paling mulia sekalian yaitu Lautaro Martinez. Akamsi Bahia Blanca  Fergonzi sama Cattaneo juga sekampung sama Papu Gomez. Dari DKI Buenos Aires</t>
  </si>
  <si>
    <t>pastinya sih itu vidal aja sekampung sama pemain timnas argentina yang juara german pezzella sama kesayangan netijen yang paling mulia sekalian yaitu lautaro martinez akamsi bahia blanca fergonzi sama cattaneo juga sekampung sama papu gomez dari dki buenos aires</t>
  </si>
  <si>
    <t>['pastinya', 'vidal', 'sekampung', 'sama', 'pemain', 'timnas', 'argentina', 'juara', 'german', 'pezzella', 'sama', 'kesayangan', 'netijen', 'paling', 'mulia', 'sekalian', 'lautaro', 'martinez', 'akamsi', 'bahia', 'blanca', 'fergonzi', 'sama', 'cattaneo', 'sekampung', 'sama', 'papu', 'gomez', 'dki', 'buenos', 'aires']</t>
  </si>
  <si>
    <t>@SantorinisSun Laahh gambar yg sblh kanan itu gambar warga Argentina yg berkumpul merayakan kemenangan negaranya menjadi juara dunia world cup 2024</t>
  </si>
  <si>
    <t>laahh gambar sblh kanan itu gambar warga argentina berkumpul merayakan kemenangan negaranya menjadi juara dunia world cup</t>
  </si>
  <si>
    <t>['laahh', 'gambar', 'sblh', 'kanan', 'gambar', 'warga', 'argentina', 'berkumpul', 'merayakan', 'kemenangan', 'negaranya', 'menjadi', 'juara', 'dunia', 'world', 'cup']</t>
  </si>
  <si>
    <t>Suporter Argentina Loncat dari Atas Jembatan Demi Naiki Bus Parade Juara Piala Dunia | Liputan6  https://t.co/q1neC66Fpm</t>
  </si>
  <si>
    <t>suporter argentina loncat dari atas jembatan demi naiki bus parade juara piala dunia liputan</t>
  </si>
  <si>
    <t>['suporter', 'argentina', 'loncat', 'atas', 'jembatan', 'naiki', 'bus', 'parade', 'juara', 'piala', 'dunia', 'liputan']</t>
  </si>
  <si>
    <t>@nanovond @PlayersSayings nah, makanya kalo argentina mau pertahanin juara/menuju bintang 4, harus ciptain lagi org kayak Kempes, Maradona, dan Messi. kalo gada, yaa mentok di bintang 3</t>
  </si>
  <si>
    <t>nah makanya kalo argentina mau pertahanin juara menuju bintang harus ciptain lagi org kayak kempes maradona dan messi kalo gada yaa mentok bintang</t>
  </si>
  <si>
    <t>['nah', 'makanya', 'argentina', 'mau', 'pertahanin', 'juara', 'menuju', 'bintang', 'ciptain', 'org', 'seperti', 'kempes', 'maradona', 'messi', 'gada', 'ya', 'mentok', 'bintang']</t>
  </si>
  <si>
    <t>@messinisme @triwantororudi @idextratime Lah sejak kapan gw penyepong dodo? Lu liat tweet gw aj gaada gw elu-eluin dodoü§£ü§£ kalo lu sebut Dodo di Madrid numpang doang juara UCL berarti Messi di Copa America juga sama dong kan Argentina juga banyak Cop</t>
  </si>
  <si>
    <t>lah sejak kapan penyepong dodo liat tweet gaada elu eluin dodo kalo sebut dodo madrid numpang doang juara ucl berarti messi copa america juga sama dong kan argentina juga banyak cop</t>
  </si>
  <si>
    <t>['lah', 'sejak', 'kapan', 'penyepong', 'dodo', 'lihat', 'tweet', 'gaada', 'elu', 'eluin', 'dodo', 'sebut', 'dodo', 'madrid', 'numpang', 'doang', 'juara', 'ucl', 'berarti', 'messi', 'copa', 'america', 'sama', 'dong', 'kan', 'argentina', 'banyak', 'cop']</t>
  </si>
  <si>
    <t>@CulersNois @L_Giorza @h_radite @yudhaydh_ @SeputarMadrid @Romain_Molina Terakhir Argentina juara World Cup sebelum ini adalah 36 tahun yg lalu pas 1986‚Ä¶. Bahkan fans Argentina yg usia 40 thn aja mungkin kebanyakan juga belom pada liat saat itu, makanya</t>
  </si>
  <si>
    <t>giorza radite molina terakhir argentina juara world cup sebelum ini adalah tahun lalu pas bahkan fans argentina usia thn aja mungkin kebanyakan juga belom pada liat saat itu makanya</t>
  </si>
  <si>
    <t>['giorza', 'radite', 'molina', 'terakhir', 'argentina', 'juara', 'world', 'cup', 'tahun', 'lalu', 'pas', 'bahkan', 'fans', 'argentina', 'usia', 'thn', 'mungkin', 'kebanyakan', 'belom', 'lihat', 'makanya']</t>
  </si>
  <si>
    <t>Perayaan Juara Piala Dunia di Argentina Berubah Jadi Rusuh!  https://t.co/bcGYSIPb07</t>
  </si>
  <si>
    <t>perayaan juara piala dunia argentina berubah jadi rusuh</t>
  </si>
  <si>
    <t>['perayaan', 'juara', 'piala', 'dunia', 'argentina', 'berubah', 'jadi', 'rusuh']</t>
  </si>
  <si>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</si>
  <si>
    <t>soal kontroversi argentina juara juga ngakuin sedikit hal seperti pinalti layak polandia dan paredes harusnya kartu merah insiden nendang bola bench belanda tapi semua match argentina selalu unggul dalam permainan artinya mereka layak juara</t>
  </si>
  <si>
    <t>['soal', 'kontroversi', 'argentina', 'juara', 'ngakuin', 'sedikit', 'penalti', 'layak', 'polandia', 'paredes', 'harusnya', 'kartu', 'merah', 'insiden', 'nendang', 'bola', 'bench', 'belanda', 'semua', 'match', 'argentina', 'selalu', 'unggul', 'permainan', 'artinya', 'layak', 'juara']</t>
  </si>
  <si>
    <t>CR7 tetap number 1, mau Messi Juara Piala Antartika sekali pun. Lagian Argentina dari dulu pun udah menangnya Pildun. Portugal juara cuman pas Ronaldo main. Beda kelas bro.</t>
  </si>
  <si>
    <t>tetap number mau messi juara piala antartika sekali pun lagian argentina dari dulu pun udah menangnya pildun portugal juara cuman pas ronaldo main beda kelas bro</t>
  </si>
  <si>
    <t>['tetap', 'number', 'mau', 'messi', 'juara', 'piala', 'antartika', 'sekali', 'lagian', 'argentina', 'dulu', 'udah', 'menangnya', 'piala dunia', 'portugal', 'juara', 'cuman', 'pas', 'ronaldo', 'main', 'beda', 'kelas', 'bro']</t>
  </si>
  <si>
    <t>Juara Piala Dunia 2022: Argentina Dapat Hadiah Uang, Indonesia Kena Imbas  https://t.co/PtD7iG1n4P</t>
  </si>
  <si>
    <t>juara piala dunia argentina dapat hadiah uang indonesia kena imbas</t>
  </si>
  <si>
    <t>['juara', 'piala', 'dunia', 'argentina', 'hadiah', 'uang', 'indonesia', 'kena', 'imbas']</t>
  </si>
  <si>
    <t>Juara Piala Dunia 2022: Argentina Dapat Hadiah Uang, Indonesia Kena Imbas  https://t.co/cad0wm7mLy</t>
  </si>
  <si>
    <t>Parade juara Timnas Argentina diwarnai olok-olok kepada Kylian Mbappe. Fans Tim Tango hingga Emiliano Martinez pun mengejek bomber Prancis tersebut! #juaraboladunia    https://t.co/0HdboqadxU</t>
  </si>
  <si>
    <t>parade juara timnas argentina diwarnai olok olok kepada kylian mbappe fans tim tango hingga emiliano martinez pun mengejek bomber prancis tersebut</t>
  </si>
  <si>
    <t>['parade', 'juara', 'timnas', 'argentina', 'diwarnai', 'olok', 'olok', 'kylian', 'mbappe', 'fans', 'tim', 'tango', 'hingga', 'emiliano', 'martinez', 'mengejek', 'bomber', 'prancis', 'tersebut']</t>
  </si>
  <si>
    <t>Perayaan Juara Piala Dunia Kelewat Ramai, Timnas Argentina Dievakuasi Helikopter | Liputan6  https://t.co/esQuWjBNNX</t>
  </si>
  <si>
    <t>perayaan juara piala dunia kelewat ramai timnas argentina dievakuasi helikopter liputan</t>
  </si>
  <si>
    <t>['perayaan', 'juara', 'piala', 'dunia', 'kelewat', 'ramai', 'timnas', 'argentina', 'dievakuasi', 'helikopter', 'liputan']</t>
  </si>
  <si>
    <t>Pelatih timnas Vietnam, Park Hang-seo menyeret nama besar juara dunia yang baru, Argentina menjelang laga perdana melawan Laos di Piala AFF 2022. üá±üá¶üáªüá≥  https://t.co/YoAo55HigV</t>
  </si>
  <si>
    <t>pelatih timnas vietnam park hang seo menyeret nama besar juara dunia yang baru argentina menjelang laga perdana melawan laos piala aff</t>
  </si>
  <si>
    <t>['pelatih', 'timnas', 'vietnam', 'park', 'hang', 'seo', 'menyeret', 'nama', 'besar', 'juara', 'dunia', 'baru', 'argentina', 'menjelang', 'laga', 'perdana', 'melawan', 'laos', 'piala', 'aff']</t>
  </si>
  <si>
    <t>Pelatih timnas Vietnam, Park Hang-seo menyeret nama besar juara dunia yang baru, Argentina menjelang laga perdana melawan Laos di Piala AFF 2022. üá±üá¶üáªüá≥  https://t.co/fNXKhhnWKc</t>
  </si>
  <si>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</si>
  <si>
    <t>masyarakat mengekspresikan kebahagiaan mereka setelah tim tango menjadi juara dengan berbagai cara</t>
  </si>
  <si>
    <t>['masyarakat', 'mengekspresikan', 'kebahagiaan', 'tim', 'tango', 'menjadi', 'juara', 'berbagai', 'cara']</t>
  </si>
  <si>
    <t>@coipp argentina memang juara, tapi semua yang di video itu ditujukan untuk njenengan gusüôè</t>
  </si>
  <si>
    <t>argentina memang juara tapi semua yang video itu ditujukan untuk njenengan gus</t>
  </si>
  <si>
    <t>['argentina', 'memang', 'juara', 'semua', 'video', 'ditujukan', 'njenengan', 'gus']</t>
  </si>
  <si>
    <t>@Joelboom3 @zenrs Mau yang bobol bayi, nenek nenek salto, main bola itu hasil akhirnya Mas.  Mau kebobolan 100x kalau menang ya menang aja. üòÑ  Mau bilang Argentina boleh no 1, tapi Prancis tetep di hati, ya tetep aja yg diakui resmi juara Argentina.  Y</t>
  </si>
  <si>
    <t>mau yang bobol bayi nenek nenek salto main bola itu hasil akhirnya mas mau kebobolan kalau menang menang aja mau bilang argentina boleh tapi prancis tetep hati tetep aja diakui resmi juara argentina</t>
  </si>
  <si>
    <t>['mau', 'bobol', 'bayi', 'nenek', 'nenek', 'salto', 'main', 'bola', 'hasil', 'akhirnya', 'mas', 'mau', 'kebobolan', 'kalau', 'menang', 'menang', 'mau', 'argentina', 'prancis', 'tetep', 'hati', 'tetep', 'diakui', 'resmi', 'juara', 'argentina']</t>
  </si>
  <si>
    <t>Messi dan Skuad Argentina Nyaris Kecelakaan Maut saat Parade Juara, Warganet: Mereka Bisa Tewas   https://t.co/DC5YoE9gFF</t>
  </si>
  <si>
    <t>messi dan skuad argentina nyaris kecelakaan maut saat parade juara warganet mereka bisa tewas</t>
  </si>
  <si>
    <t>['messi', 'skuad', 'argentina', 'nyaris', 'kecelakaan', 'maut', 'parade', 'juara', 'warganet', 'tewas']</t>
  </si>
  <si>
    <t>@FWBESS M25/173</t>
  </si>
  <si>
    <t>@FaktaSepakbola Wkwk seru banget ngebaca komen-komen yg ga suka kalo Argentina juara üòù</t>
  </si>
  <si>
    <t>wkwk seru banget ngebaca komen komen suka kalo argentina juara</t>
  </si>
  <si>
    <t>['seru', 'banget', 'ngebaca', 'komen', 'komen', 'suka', 'argentina', 'juara']</t>
  </si>
  <si>
    <t>Sukacita masih meliputi pemain timnas Argentina setelah juara Piala Dunia 2022. Sang kapten Lionel Messi pun pamer kebersamaannya dengan trofi di tempat tidur. #juaraboladunia    https://t.co/5hiL72Uu3M</t>
  </si>
  <si>
    <t>sukacita masih meliputi pemain timnas argentina setelah juara piala dunia sang kapten lionel messi pun pamer kebersamaannya dengan trofi tempat tidur</t>
  </si>
  <si>
    <t>['sukacita', 'meliputi', 'pemain', 'timnas', 'argentina', 'juara', 'piala', 'dunia', 'sang', 'kapten', 'lionel', 'messi', 'pamer', 'kebersamaannya', 'trofi', 'tempat', 'tidur']</t>
  </si>
  <si>
    <t>@FWBESS Let's goo. Coba sendernya muncul dulu</t>
  </si>
  <si>
    <t>let goo coba sendernya muncul dulu</t>
  </si>
  <si>
    <t>['let', 'goo', 'coba', 'sendernya', 'muncul', 'dulu']</t>
  </si>
  <si>
    <t>@PrabawaHariz @RefublikAteis Lu mau bahas era pemain siapapun gak ada urusannya, kan lg bahas knp Messi layak dibilang the greatest player of all time. Inget sekali lg as a football player. Bukan karena tropi lengkap doang. Lu liat pemain gak ada yg sekon</t>
  </si>
  <si>
    <t>mau bahas era pemain siapapun gak ada urusannya kan bahas knp messi layak dibilang the greatest player all time inget sekali football player bukan karena tropi lengkap doang liat pemain gak ada sekon</t>
  </si>
  <si>
    <t>['mau', 'bahas', 'era', 'pemain', 'siapapun', 'urusannya', 'kan', 'bahas', 'kenapa', 'messi', 'layak', 'dibilang', 'the', 'greatest', 'player', 'all', 'time', 'inget', 'sekali', 'football', 'player', 'bukan', 'trofi', 'lengkap', 'doang', 'lihat', 'pemain', 'sekon']</t>
  </si>
  <si>
    <t>Alexis Mac Allister jadi bagian skuad Argentina juara Piala Dunia 2022. Setelahnya, Mac Allister jadi buruan klub-klub top Eropa dari Arsenal sampai Juve! #juaraboladunia    https://t.co/euInmmkM6J</t>
  </si>
  <si>
    <t>alexis mac allister jadi bagian skuad argentina juara piala dunia setelahnya mac allister jadi buruan klub klub top eropa dari arsenal sampai juve</t>
  </si>
  <si>
    <t>['alexis', 'mac', 'allister', 'jadi', 'bagian', 'skuad', 'argentina', 'juara', 'piala', 'dunia', 'setelahnya', 'mac', 'allister', 'jadi', 'buruan', 'klub', 'klub', 'top', 'eropa', 'arsenal', 'juve']</t>
  </si>
  <si>
    <t>@todaro_tody @awsclovvn @Gatauuaaah @rizalfatkhurikh @2ShootEspresso @false10s @FaktaSepakbola Kalo lu liat full game sih banyak save2 dia yang nyelametin nyawa argentina selama pildun ini. Menurut gw dari hasil juara ini gw yakin martinez bakal maen lebi</t>
  </si>
  <si>
    <t>tody kalo liat full game sih banyak save dia yang nyelametin nyawa argentina selama pildun ini menurut dari hasil juara ini yakin martinez bakal maen lebi</t>
  </si>
  <si>
    <t>['tody', 'lihat', 'full', 'game', 'banyak', 'save', 'nyelametin', 'nyawa', 'argentina', 'selama', 'piala dunia', 'hasil', 'juara', 'yakin', 'martinez', 'bakal', 'maen', 'lebi']</t>
  </si>
  <si>
    <t>Parade juara timnas Argentina, diperkirakan +-7jt orang hadir</t>
  </si>
  <si>
    <t>parade juara timnas argentina diperkirakan orang hadir</t>
  </si>
  <si>
    <t>['parade', 'juara', 'timnas', 'argentina', 'diperkirakan', 'orang', 'hadir']</t>
  </si>
  <si>
    <t>Jutaan Suporter Argentina Larut dalam Pesta Juara Piala Dunia  https://t.co/ZSR9zXPkuh</t>
  </si>
  <si>
    <t>jutaan suporter argentina larut dalam pesta juara piala dunia</t>
  </si>
  <si>
    <t>['jutaan', 'suporter', 'argentina', 'larut', 'pesta', 'juara', 'piala', 'dunia']</t>
  </si>
  <si>
    <t>Ricuh Pawai Juara Argentina: 1 Orang Tewas, Bocah 5 Tahun Koma   https://t.co/tLEso8KeAn  #atapnews #ArgentinaCampeonDelMundo #MessiìÉµ #COVID19 #ArgentinaVsFrance #news  https://t.co/OVPbOKqqDX</t>
  </si>
  <si>
    <t>ricuh pawai juara argentina orang tewas bocah tahun koma</t>
  </si>
  <si>
    <t>['ricuh', 'pawai', 'juara', 'argentina', 'orang', 'tewas', 'bocah', 'tahun', 'koma']</t>
  </si>
  <si>
    <t>@argentina_juara @RefublikAteis Lu bahas era pemain, tapi Lo lupa  Yang dibahas diakun tersebut pemain era mana ? Majapahit ?</t>
  </si>
  <si>
    <t>juara bahas era pemain tapi lupa yang dibahas diakun tersebut pemain era mana majapahit</t>
  </si>
  <si>
    <t>['juara', 'bahas', 'era', 'pemain', 'lupa', 'dibahas', 'diakun', 'tersebut', 'pemain', 'era', 'mana', 'majapahit']</t>
  </si>
  <si>
    <t>@FaktaSepakbola Banyak jg ya pemain timnas Argentina Juara Pildun yg bermain di EPL... üò¨</t>
  </si>
  <si>
    <t>banyak pemain timnas argentina juara pildun bermain epl</t>
  </si>
  <si>
    <t>['banyak', 'pemain', 'timnas', 'argentina', 'juara', 'piala dunia', 'bermain', 'epl']</t>
  </si>
  <si>
    <t>Pemain Argentina Dievakuasi Helikopter saat Parade Juara Baca selengkapnya di  https://t.co/r6yFGf2iy2</t>
  </si>
  <si>
    <t>pemain argentina dievakuasi helikopter saat parade juara baca selengkapnya</t>
  </si>
  <si>
    <t>['pemain', 'argentina', 'dievakuasi', 'helikopter', 'parade', 'juara', 'baca', 'selengkapnya']</t>
  </si>
  <si>
    <t>Kemarin pas Argentina juara kok Messi gak tf buat tuku kambing yo,mungkin belio lupa E-walletkuüòÇüòÇüòÇ</t>
  </si>
  <si>
    <t>kemarin pas argentina juara kok messi gak buat tuku kambing mungkin belio lupa walletku</t>
  </si>
  <si>
    <t>['kemarin', 'pas', 'argentina', 'juara', 'kok', 'messi', 'buat', 'tuku', 'kambing', 'mungkin', 'belio', 'lupa', 'walletku']</t>
  </si>
  <si>
    <t>Brazil Masih No. 1 FIFA Meski Argentina Juara Piala Dunia Baca selengkapnya di  https://t.co/Yz6TtkUez1</t>
  </si>
  <si>
    <t>brazil masih fifa meski argentina juara piala dunia baca selengkapnya</t>
  </si>
  <si>
    <t>['brazil', 'fifa', 'meski', 'argentina', 'juara', 'piala', 'dunia', 'baca', 'selengkapnya']</t>
  </si>
  <si>
    <t>Emi Martinez gendong boneka Mbappe saat Parade Juara Argentina!  https://t.co/yIwjn8yPiB</t>
  </si>
  <si>
    <t>emi martinez gendong boneka mbappe saat parade juara argentina</t>
  </si>
  <si>
    <t>['emi', 'martinez', 'gendong', 'boneka', 'mbappe', 'parade', 'juara', 'argentina']</t>
  </si>
  <si>
    <t>@thecasualultra Argentina juara @Tomi_asu_i</t>
  </si>
  <si>
    <t>argentina juara asu</t>
  </si>
  <si>
    <t>['argentina', 'juara', 'asu']</t>
  </si>
  <si>
    <t>@_kai_seR @gilangseva1 @almumtaz_ @FaktaSepakbola Iya ,  bedanya croasia gak juara setelah mulangin argentina üö¨</t>
  </si>
  <si>
    <t>iya bedanya croasia gak juara setelah mulangin argentina</t>
  </si>
  <si>
    <t>['iya', 'bedanya', 'croasia', 'juara', 'mulangin', 'argentina']</t>
  </si>
  <si>
    <t>Duh! Rumah Messi di Rosario Dikepung Fans Usai Argentina Juara Piala Dunia 2022  #PialaDunia #Messi #Argentina   https://t.co/wD7E4n1aNf</t>
  </si>
  <si>
    <t>duh rumah messi rosario dikepung fans usai argentina juara piala dunia</t>
  </si>
  <si>
    <t>['duh', 'rumah', 'messi', 'rosario', 'dikepung', 'fans', 'usai', 'argentina', 'juara', 'piala', 'dunia']</t>
  </si>
  <si>
    <t>Emi Martinez gendong boneka Mbappe saat Parade Juara Argentina!  https://t.co/6VZw2Ir2ar</t>
  </si>
  <si>
    <t>@FaktaSepakbola Dua¬≤ nya minus Ahlaq. Emang Bos Kecil g minim akhlaq? lihat aja di PSG lebih parah! Gak pernah punya respect sama yg lebih tua.  Yg penting Argentina Juara! üòÖ</t>
  </si>
  <si>
    <t>dua nya minus ahlaq emang bos kecil minim akhlaq lihat aja psg lebih parah gak pernah punya respect sama lebih tua penting argentina juara</t>
  </si>
  <si>
    <t>['minus', 'ahlaq', 'emang', 'bos', 'kecil', 'minim', 'akhlaq', 'lihat', 'psg', 'lebih', 'parah', 'pernah', 'punya', 'respect', 'sama', 'lebih', 'tua', 'penting', 'argentina', 'juara']</t>
  </si>
  <si>
    <t>Kontingen Spurs terbaru yang menjadi juara dunia üèÜ  Penampilan heroiknya di lini belakang Argentina menjadi salah satu kunci kembalinya trofi paling bergengsi ini ke Tanah Argentina #ARG  #KisahPialaDuniaSpurs ‚ö™Ô∏è #SpursID  https://t.co/esXMhuSno2</t>
  </si>
  <si>
    <t>kontingen spurs terbaru yang menjadi juara dunia penampilan heroiknya lini belakang argentina menjadi salah satu kunci kembalinya trofi paling bergengsi ini tanah argentina</t>
  </si>
  <si>
    <t>['kontingen', 'spurs', 'terbaru', 'menjadi', 'juara', 'dunia', 'penampilan', 'heroiknya', 'lini', 'belakang', 'argentina', 'menjadi', 'salah', 'satu', 'kunci', 'kembalinya', 'trofi', 'paling', 'bergengsi', 'tanah', 'argentina']</t>
  </si>
  <si>
    <t>@C_D3pp Padahal piala dunia sdh selesai dan argentina yg juara...üòÇüòÇüòÇ</t>
  </si>
  <si>
    <t>padahal piala dunia sdh selesai dan argentina juara</t>
  </si>
  <si>
    <t>['padahal', 'piala', 'dunia', 'selesai', 'argentina', 'juara']</t>
  </si>
  <si>
    <t>@idextratime Excited üî•  Karena optimis Indonesia akan Juara pada edisi kali ini üáÆüá© üèÜ  Sama seperti Argentina yg sedari awal kalah di Laga perdana tp yakin bakal Juara dan semoga keyakinan tersebut tercapai pada Timnas Indonesia di AFF Mitsubis</t>
  </si>
  <si>
    <t>excited karena optimis indonesia akan juara pada edisi kali ini sama seperti argentina sedari awal kalah laga perdana yakin bakal juara dan semoga keyakinan tersebut tercapai pada timnas indonesia aff mitsubis</t>
  </si>
  <si>
    <t>['excited', 'optimis', 'indonesia', 'juara', 'edisi', 'kali', 'sama', 'argentina', 'sedari', 'awal', 'kalah', 'laga', 'perdana', 'yakin', 'bakal', 'juara', 'semoga', 'keyakinan', 'tersebut', 'tercapai', 'timnas', 'indonesia', 'aff', 'mitsubis']</t>
  </si>
  <si>
    <t>Parade Juara Piala Dunia 2022 Argentina Dihentikan, Messi cs Dievakuasi Pakai Helikopter  https://t.co/9yBVOaURfH</t>
  </si>
  <si>
    <t>parade juara piala dunia argentina dihentikan messi dievakuasi pakai helikopter</t>
  </si>
  <si>
    <t>['parade', 'juara', 'piala', 'dunia', 'argentina', 'dihentikan', 'messi', 'dievakuasi', 'pakai', 'helikopter']</t>
  </si>
  <si>
    <t>Serba Pertama di Keberhasilan Argentina Juara Piala Dunia 2022  https://t.co/3IRiDYW5xd</t>
  </si>
  <si>
    <t>serba pertama keberhasilan argentina juara piala dunia</t>
  </si>
  <si>
    <t>['serba', 'pertama', 'keberhasilan', 'argentina', 'juara', 'piala', 'dunia']</t>
  </si>
  <si>
    <t>tl ku isine tete e awewe argentina sing merayakan juara pildun bangcattttt</t>
  </si>
  <si>
    <t>isine tete awewe argentina sing merayakan juara pildun bangcattttt</t>
  </si>
  <si>
    <t>['isine', 'tete', 'awewe', 'argentina', 'sing', 'merayakan', 'juara', 'piala dunia', 'bangcattttt']</t>
  </si>
  <si>
    <t>Parade juara Timnas Argentina diwarnai olok-olok kepada Kylian Mbappe. Fans Tim Tango hingga Emiliano Martinez pun mengejek bomber Prancis tersebut! #juaraboladunia    https://t.co/NHJHfFLqB0</t>
  </si>
  <si>
    <t>@idextratime Cuacanya cukup cerah, secerah di langit Argentina, anyway yg sekiranya masih belum bs move on sama final kemarin, bs cek disini, highlight sampai momen setelahnya, perayaan juara dsbnya  https://t.co/VbekfwAsv4</t>
  </si>
  <si>
    <t>cuacanya cukup cerah secerah langit argentina anyway sekiranya masih belum move sama final kemarin cek disini highlight sampai momen setelahnya perayaan juara dsbnya</t>
  </si>
  <si>
    <t>['cuacanya', 'cukup', 'cerah', 'secerah', 'langit', 'argentina', 'anyway', 'sekiranya', 'move', 'sama', 'final', 'kemarin', 'cek', 'disini', 'highlight', 'momen', 'setelahnya', 'perayaan', 'juara', 'dsbnya']</t>
  </si>
  <si>
    <t>prediksi gw argentina juara pildun 2022</t>
  </si>
  <si>
    <t>prediksi argentina juara pildun</t>
  </si>
  <si>
    <t>['prediksi', 'argentina', 'juara', 'piala dunia']</t>
  </si>
  <si>
    <t>Penduduk Argentina selebrasi juara pildun 2022. Merinding  https://t.co/iH8YP9BvjI</t>
  </si>
  <si>
    <t>penduduk argentina selebrasi juara pildun merinding</t>
  </si>
  <si>
    <t>['penduduk', 'argentina', 'selebrasi', 'juara', 'piala dunia', 'merinding']</t>
  </si>
  <si>
    <t>VIDEO: Enzo Fernandez Emosional usai Bawa Argentina Juara Piala Dunia  https://t.co/PQGRO4NdWX</t>
  </si>
  <si>
    <t>video enzo fernandez emosional usai bawa argentina juara piala dunia</t>
  </si>
  <si>
    <t>['video', 'enzo', 'fernandez', 'emosional', 'usai', 'bawa', 'argentina', 'juara', 'piala', 'dunia']</t>
  </si>
  <si>
    <t>Alexis Mac Allister jadi bagian skuad Argentina juara Piala Dunia 2022. Setelahnya, Mac Allister jadi buruan klub-klub top Eropa dari Arsenal sampai Juve! #juaraboladunia    https://t.co/KOhKuJxyit</t>
  </si>
  <si>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</si>
  <si>
    <t>sejumlah fans merayakan juara dengan bermain sepakbola jalanan kota buenos aires kenapa tidak</t>
  </si>
  <si>
    <t>['sejumlah', 'fans', 'merayakan', 'juara', 'bermain', 'sepakbola', 'jalanan', 'kota', 'buenos', 'aires']</t>
  </si>
  <si>
    <t>@feeanxe @FaktaSepakbola Pernah dengar istilah menang pertarungan tapi kalah perang? Ya itu si Mbappe contoh kasusnya. Untuk Argentina, istilahnya adalah: Juara adalah yang tertawa paling akhir.</t>
  </si>
  <si>
    <t>pernah dengar istilah menang pertarungan tapi kalah perang itu mbappe contoh kasusnya untuk argentina istilahnya adalah juara adalah yang tertawa paling akhir</t>
  </si>
  <si>
    <t>['pernah', 'dengar', 'istilah', 'menang', 'pertarungan', 'kalah', 'perang', 'mbappe', 'contoh', 'kasusnya', 'argentina', 'istilahnya', 'juara', 'tertawa', 'paling', 'akhir']</t>
  </si>
  <si>
    <t>Pesta besar Argentina usai memenangkan juara Piala Dunia 2022.| 77577sports #77577sports #pestabola #pildun #pestabola2022 #argentina #lionelmessi #messi #messi10 #pildun2022 #infopildun #pestaboladunia #boladunia #duniabola #infopialadunia #qatar #qatar2022 #asia #football  https://t.co/7MAVr5ugda</t>
  </si>
  <si>
    <t>pesta besar argentina usai memenangkan juara piala dunia sports</t>
  </si>
  <si>
    <t>['pesta', 'besar', 'argentina', 'usai', 'memenangkan', 'juara', 'piala', 'dunia', 'sports']</t>
  </si>
  <si>
    <t>9 Momen Rayyanza Prediksi Argentina Juara Piala Dunia 2022, Tepat!  https://t.co/zvfHsOj42z</t>
  </si>
  <si>
    <t>momen rayyanza prediksi argentina juara piala dunia tepat</t>
  </si>
  <si>
    <t>['momen', 'rayyanza', 'prediksi', 'argentina', 'juara', 'piala', 'dunia', 'tepat']</t>
  </si>
  <si>
    <t>@thecasualultra Argentina juara ots @otongkoil</t>
  </si>
  <si>
    <t>argentina juara ots</t>
  </si>
  <si>
    <t>['argentina', 'juara', 'ots']</t>
  </si>
  <si>
    <t>@DEVlLFABS ARGENTINA JUARA!!</t>
  </si>
  <si>
    <t>Juara 4 anying, pdahal scorenya sama  tapi kalah waktu adu free trowü•≤ serasa liat Prancis sm Argentina wkwkwk</t>
  </si>
  <si>
    <t>juara anying pdahal scorenya sama tapi kalah waktu adu free trow serasa liat prancis argentina wkwkwk</t>
  </si>
  <si>
    <t>['juara', 'anying', 'pdahal', 'scorenya', 'sama', 'kalah', 'waktu', 'adu', 'free', 'trow', 'serasa', 'lihat', 'prancis', 'argentina', 'wkwkwk']</t>
  </si>
  <si>
    <t>Indah nya bulan Nov dengan Dec ni ü§© DSAI jadi PM . Lepas tu Argentina juara FWC üòç</t>
  </si>
  <si>
    <t>indah nya bulan nov dengan dec dsai jadi lepas argentina juara fwc</t>
  </si>
  <si>
    <t>['indah', 'bulan', 'nov', 'dec', 'dsai', 'jadi', 'lepas', 'argentina', 'juara', 'fwc']</t>
  </si>
  <si>
    <t>Sukacita masih meliputi pemain timnas Argentina setelah juara Piala Dunia 2022. Sang kapten Lionel Messi pun pamer kebersamaannya dengan trofi di tempat tidur. #juaraboladunia    https://t.co/iVfrP5sJor</t>
  </si>
  <si>
    <t>Perayaan Juara Piala Dunia 2022 Chaos, Polisi Evakuasi Pemain Argentina dengan Helikopter  https://t.co/PBZeX9Sz8t</t>
  </si>
  <si>
    <t>perayaan juara piala dunia chaos polisi evakuasi pemain argentina dengan helikopter</t>
  </si>
  <si>
    <t>['perayaan', 'juara', 'piala', 'dunia', 'chaos', 'polisi', 'evakuasi', 'pemain', 'argentina', 'helikopter']</t>
  </si>
  <si>
    <t>Sebuah momen dalam parade juara Argentina mendapat perhatian lebih ketika Emiliano Martinez menggendong boneka yang ditutup dengan wajah Kylian Mbappe, tepat pada bagian wajahnya. . Komentar kalian?  üì∏: Twitter/heliodoroh  https://t.co/IDFwBnGH56</t>
  </si>
  <si>
    <t>sebuah momen dalam parade juara argentina mendapat perhatian lebih ketika emiliano martinez menggendong boneka yang ditutup dengan wajah kylian mbappe tepat pada bagian wajahnya komentar kalian twitter heliodoroh</t>
  </si>
  <si>
    <t>['sebuah', 'momen', 'parade', 'juara', 'argentina', 'mendapat', 'perhatian', 'lebih', 'emiliano', 'martinez', 'menggendong', 'boneka', 'ditutup', 'wajah', 'kylian', 'mbappe', 'tepat', 'bagian', 'wajahnya', 'komentar', 'kalian', 'twitter', 'heliodoroh']</t>
  </si>
  <si>
    <t>Dari momen inilah argentina juara dunia 2022!  https://t.co/MDSFJ8dSky</t>
  </si>
  <si>
    <t>dari momen inilah argentina juara dunia</t>
  </si>
  <si>
    <t>['momen', 'inilah', 'argentina', 'juara', 'dunia']</t>
  </si>
  <si>
    <t>Lionel Messi menyampaikan pesan terbaru setelah juara Piala Dunia 2022 bersama timnas Argentina.  Nama Diego Maradona hingga dedikasi Messi selama 30 tahun ikut disebut. üêê  https://t.co/xIAacQpcu8</t>
  </si>
  <si>
    <t>lionel messi menyampaikan pesan terbaru setelah juara piala dunia bersama timnas argentina nama diego maradona hingga dedikasi messi selama tahun ikut disebut</t>
  </si>
  <si>
    <t>['lionel', 'messi', 'menyampaikan', 'pesan', 'terbaru', 'juara', 'piala', 'dunia', 'bersama', 'timnas', 'argentina', 'nama', 'diego', 'maradona', 'hingga', 'dedikasi', 'messi', 'selama', 'tahun', 'ikut', 'disebut']</t>
  </si>
  <si>
    <t>Lionel Messi menyampaikan pesan terbaru setelah juara Piala Dunia 2022 bersama timnas Argentina.  Nama Diego Maradona hingga dedikasi Messi selama 30 tahun ikut disebut. üêê  https://t.co/3c7Jsnb6jl</t>
  </si>
  <si>
    <t>Emi Martinez Bertingkah Lagi, Kini Pasang Wajah Mbappe di Boneka Bayi saat Parade Juara Argentina  Follow kami untuk berita menarik lainnyaüåê  #FIFAWorldCup #Afganistan The 10 Bangtan Vanilla Messi Ditto hobi RUU PPRT Di 2023 Bobo Train Natal Taliban  https://t.co/zFgNMLk4Q1</t>
  </si>
  <si>
    <t>emi martinez bertingkah lagi kini pasang wajah mbappe boneka bayi saat parade juara argentina follow kami untuk berita menarik lainnya the bangtan vanilla messi ditto hobi ruu pprt bobo train natal taliban</t>
  </si>
  <si>
    <t>['emi', 'martinez', 'bertingkah', 'kini', 'pasang', 'wajah', 'mbappe', 'boneka', 'bayi', 'parade', 'juara', 'argentina', 'follow', 'berita', 'menarik', 'lainnya', 'the', 'bangtan', 'vanilla', 'messi', 'ditto', 'hobi', 'ruu', 'pprt', 'bobo', 'train', 'natal', 'taliban']</t>
  </si>
  <si>
    <t>@midazolamn Iya juga. Disini Argentina udah juara, disana Prancis masih mimpin.</t>
  </si>
  <si>
    <t>iya juga disini argentina udah juara disana prancis masih mimpin</t>
  </si>
  <si>
    <t>['iya', 'disini', 'argentina', 'udah', 'juara', 'disana', 'prancis', 'mimpin']</t>
  </si>
  <si>
    <t>Ada-ada saja kelakuan Emiliano Martinez. Ia mengejek Kylian Mbappe saat parade perayaan Argentina juara Piala Dunia. Apesnya, Messi yang dihujat.  https://t.co/szxAXMYPUN</t>
  </si>
  <si>
    <t>ada ada saja kelakuan emiliano martinez mengejek kylian mbappe saat parade perayaan argentina juara piala dunia apesnya messi yang dihujat</t>
  </si>
  <si>
    <t>['kelakuan', 'emiliano', 'martinez', 'mengejek', 'kylian', 'mbappe', 'parade', 'perayaan', 'argentina', 'juara', 'piala', 'dunia', 'apesnya', 'messi', 'dihujat']</t>
  </si>
  <si>
    <t>@Wendy_GIPN @mustalafin @idextratime argentina juga pernah kalah sama arab? tapi juara juga tuh negara kek gitu ga jadi patokan negara hebat tetep aja lumbung goal bagi tim laen</t>
  </si>
  <si>
    <t>gipn argentina juga pernah kalah sama arab tapi juara juga tuh negara kek gitu jadi patokan negara hebat tetep aja lumbung goal bagi tim laen</t>
  </si>
  <si>
    <t>['gipn', 'argentina', 'pernah', 'kalah', 'sama', 'arab', 'juara', 'negara', 'kek', 'gitu', 'jadi', 'patokan', 'negara', 'hebat', 'tetep', 'lumbung', 'goal', 'tim', 'laen']</t>
  </si>
  <si>
    <t>Perayaan kemenangan timnas Argentina menjadi juara Piala Dunia 2022 di Kota Buenos Aires menelan korban jiwa.  https://t.co/OjtMBNe8dx</t>
  </si>
  <si>
    <t>perayaan kemenangan timnas argentina menjadi juara piala dunia kota buenos aires menelan korban jiwa</t>
  </si>
  <si>
    <t>['perayaan', 'kemenangan', 'timnas', 'argentina', 'menjadi', 'juara', 'piala', 'dunia', 'kota', 'buenos', 'aires', 'menelan', 'korban', 'jiwa']</t>
  </si>
  <si>
    <t>Saya tim Livakovic üòÅüòÅ  Tapi Emi Martinez bisa bawa Argentina juara. Dua kali jadi pahlawan di drama adu penalti, plus beberapa saves penting khususnya di menit akhir extra time v Prancis. Kayaknya ini jadi pertimbangan khusus.  Jadi yaa wajar aja sih menurut gw..</t>
  </si>
  <si>
    <t>saya tim livakovic tapi emi martinez bisa bawa argentina juara dua kali jadi pahlawan drama adu penalti plus beberapa saves penting khususnya menit akhir extra time prancis kayaknya ini jadi pertimbangan khusus jadi yaa wajar aja sih menurut</t>
  </si>
  <si>
    <t>['tim', 'livakovic', 'emi', 'martinez', 'bawa', 'argentina', 'juara', 'kali', 'jadi', 'pahlawan', 'drama', 'adu', 'penalti', 'plus', 'beberapa', 'saves', 'penting', 'khususnya', 'menit', 'akhir', 'extra', 'time', 'prancis', 'kayaknya', 'jadi', 'pertimbangan', 'khusus', 'jadi', 'ya', 'wajar']</t>
  </si>
  <si>
    <t>Serba Pertama di Keberhasilan Argentina Juara Piala Dunia 2022  https://t.co/7gZeuyDFEX</t>
  </si>
  <si>
    <t>Tragis! Seorang Suporter Timnas Argentina Meninggal Dunia dalam Perayaan Gelar Juara Piala Dunia 2022.</t>
  </si>
  <si>
    <t>tragis seorang suporter timnas argentina meninggal dunia dalam perayaan gelar juara piala dunia</t>
  </si>
  <si>
    <t>['tragis', 'seorang', 'suporter', 'timnas', 'argentina', 'meninggal', 'dunia', 'perayaan', 'gelar', 'juara', 'piala', 'dunia']</t>
  </si>
  <si>
    <t>Kalau argentina bisa juara WC2022 indonesia juga bisa juara AEPEP2022!</t>
  </si>
  <si>
    <t>kalau argentina bisa juara indonesia juga bisa juara aepep</t>
  </si>
  <si>
    <t>['kalau', 'argentina', 'juara', 'indonesia', 'juara', 'aepep']</t>
  </si>
  <si>
    <t>Belajar dari argentina Kalah coba lagi kalah coba lagi   Akhirnya bisa juara juga. Coba mana suaranya fans argentina?  #PialaDunia2022 #WorldCup2022  #ArgentinaVsFrance</t>
  </si>
  <si>
    <t>belajar dari argentina kalah coba lagi kalah coba lagi akhirnya bisa juara juga coba mana suaranya fans argentina</t>
  </si>
  <si>
    <t>['belajar', 'argentina', 'kalah', 'coba', 'kalah', 'coba', 'akhirnya', 'juara', 'coba', 'mana', 'suaranya', 'fans', 'argentina']</t>
  </si>
  <si>
    <t>@detiksport contoh kok maroko, contoh argentina, juara</t>
  </si>
  <si>
    <t>contoh kok maroko contoh argentina juara</t>
  </si>
  <si>
    <t>['contoh', 'kok', 'maroko', 'contoh', 'argentina', 'juara']</t>
  </si>
  <si>
    <t>Alhamdulillah SAH sebagai pembela Ronaldo üôè  üìä Analisis akun Twitter  Nama di Twitter: @valdebayorr Hari di Twitter: 3665 Tweet per hari: 1.1 Jumlah kata Per Tweet: 11 Kata yang paling sering di Tweet: Ronaldo  #twitterStats #toasteed  https://t.co/k4nutG3oPU</t>
  </si>
  <si>
    <t>alhamdulillah sah sebagai pembela ronaldo analisis akun twitter nama twitter hari twitter tweet per hari jumlah kata per tweet kata yang paling sering tweet ronaldo</t>
  </si>
  <si>
    <t>['alhamdulillah', 'sah', 'pembela', 'ronaldo', 'analisis', 'akun', 'twitter', 'nama', 'twitter', 'hari', 'twitter', 'tweet', 'per', 'hari', 'jumlah', 'kata', 'per', 'tweet', 'kata', 'paling', 'sering', 'tweet', 'ronaldo']</t>
  </si>
  <si>
    <t>Parade Juara Argentina Berujung Rusuh, 31 Orang Terluka &amp;amp; 13 Ditangkap {EntryUrl}}</t>
  </si>
  <si>
    <t>parade juara argentina berujung rusuh orang terluka ditangkap entryurl</t>
  </si>
  <si>
    <t>['parade', 'juara', 'argentina', 'berujung', 'rusuh', 'orang', 'terluka', 'ditangkap', 'entryurl']</t>
  </si>
  <si>
    <t>@syxhrul99 @idextratime Harusnya ini yang di tv kemarin, heran jernih banget editannya.. masa Argentina juara sih? Orang harusnya final kemarin Portugal lawan Swedia, cr hatrick 10 x</t>
  </si>
  <si>
    <t>harusnya ini yang kemarin heran jernih banget editannya masa argentina juara sih orang harusnya final kemarin portugal lawan swedia hatrick</t>
  </si>
  <si>
    <t>['harusnya', 'kemarin', 'heran', 'jernih', 'banget', 'editannya', 'masa', 'argentina', 'juara', 'orang', 'harusnya', 'final', 'kemarin', 'portugal', 'lawan', 'swedia', 'hatrick']</t>
  </si>
  <si>
    <t>VIDEO: Perayaan Juara Piala Dunia Kelewat Ramai, Timnas Argentina Dievakuasi Helikopter  https://t.co/1uAyo7oXX6</t>
  </si>
  <si>
    <t>video perayaan juara piala dunia kelewat ramai timnas argentina dievakuasi helikopter</t>
  </si>
  <si>
    <t>['video', 'perayaan', 'juara', 'piala', 'dunia', 'kelewat', 'ramai', 'timnas', 'argentina', 'dievakuasi', 'helikopter']</t>
  </si>
  <si>
    <t>Para Pemain Timnas Argentina Dievakuasi dari Bus Parade saat Perayaan Juara Piala Dunia 2022, Ada Apa?   https://t.co/VZU9GTRh5Y</t>
  </si>
  <si>
    <t>Usai Jadi Juara Dunia Kiper Argentina Emiliano Martinez Balas Ejekan Kylian Mbappe Pakai Cara Ini   https://t.co/j8O6HUNGDO</t>
  </si>
  <si>
    <t>usai jadi juara dunia kiper argentina emiliano martinez balas ejekan kylian mbappe pakai cara ini</t>
  </si>
  <si>
    <t>['usai', 'jadi', 'juara', 'dunia', 'kiper', 'argentina', 'emiliano', 'martinez', 'balas', 'ejekan', 'kylian', 'mbappe', 'pakai', 'cara']</t>
  </si>
  <si>
    <t>Masih semangat karena Argentina juara Pildun...üòÄ</t>
  </si>
  <si>
    <t>masih semangat karena argentina juara pildun</t>
  </si>
  <si>
    <t>['semangat', 'argentina', 'juara', 'piala dunia']</t>
  </si>
  <si>
    <t>Momen prosesi penyerahan dan pengangkatan trofi juara ke Argentina, diserahkan ke Messi, selamat Argentina #FIFAWorldCup #FIFAWorldCup2022 #FIFAWorldCupFinal #WorldCup #WorldCup2022 #WorldcupQatar2022 #ArgentinaVsFrance #ARGFRA  https://t.co/cpCDjgcEcK</t>
  </si>
  <si>
    <t>momen prosesi penyerahan dan pengangkatan trofi juara argentina diserahkan messi selamat argentina</t>
  </si>
  <si>
    <t>['momen', 'prosesi', 'penyerahan', 'pengangkatan', 'trofi', 'juara', 'argentina', 'diserahkan', 'messi', 'selamat', 'argentina']</t>
  </si>
  <si>
    <t>Momen tendangan penalti penentu kemenangan Argentina oleh Montiel, sekaligus membawa Messi dkk juara #FIFAWorldCup #FIFAWorldCup2022 #FIFAWorldCupFinal #WorldCup #WorldCup2022 #WorldcupQatar2022 #ArgentinaVsFrance #ARGFRA   https://t.co/gQEpefhzPn</t>
  </si>
  <si>
    <t>momen tendangan penalti penentu kemenangan argentina oleh montiel sekaligus membawa messi dkk juara</t>
  </si>
  <si>
    <t>['momen', 'tendangan', 'penalti', 'penentu', 'kemenangan', 'argentina', 'montiel', 'sekaligus', 'membawa', 'messi', 'dkk', 'juara']</t>
  </si>
  <si>
    <t>Sebuah momen dalam parade juara Argentina mendapat perhatian lebih ketika Emiliano Martinez menggendong boneka yang ditutup dengan wajah Kylian Mbappe, tepat pada bagian wajahnya. . Komentar kalian?  üì∏: Twitter/heliodoroh  https://t.co/dJhrpHdSr6</t>
  </si>
  <si>
    <t>@detikcom Harus mencontoh argentina pak, sukses juara dunia.</t>
  </si>
  <si>
    <t>harus mencontoh argentina pak sukses juara dunia</t>
  </si>
  <si>
    <t>['mencontoh', 'argentina', 'pak', 'sukses', 'juara', 'dunia']</t>
  </si>
  <si>
    <t>Parade Juara Argentina Berujung Rusuh, 31 Orang Terluka &amp;amp; 13 Ditangkap  https://t.co/butNqrUDey</t>
  </si>
  <si>
    <t>parade juara argentina berujung rusuh orang terluka ditangkap</t>
  </si>
  <si>
    <t>['parade', 'juara', 'argentina', 'berujung', 'rusuh', 'orang', 'terluka', 'ditangkap']</t>
  </si>
  <si>
    <t>Argentina Juara idaman semua pecinta bola, ya setidaknya aku juara di hatimu.  #Argentina</t>
  </si>
  <si>
    <t>argentina juara idaman semua pecinta bola setidaknya aku juara hatimu</t>
  </si>
  <si>
    <t>['argentina', 'juara', 'idaman', 'semua', 'pecinta', 'bola', 'aku', 'juara', 'hatimu']</t>
  </si>
  <si>
    <t>Argentina sebagai Juara di Piala Dunia 2022, tentu saja menghadirkan pemain-pemain bertalenta. Berikut 6 pencetak gol Argentina di Piala Dunia 2022. | 77577sports #77577sports #pestabola #pildun #pestabola2022 #messigoat #goat #lionelmessi   https://t.co/9kK4ZxykQf</t>
  </si>
  <si>
    <t>argentina sebagai juara piala dunia tentu saja menghadirkan pemain pemain bertalenta berikut pencetak gol argentina piala dunia sports</t>
  </si>
  <si>
    <t>['argentina', 'juara', 'piala', 'dunia', 'menghadirkan', 'pemain', 'pemain', 'bertalenta', 'berikut', 'pencetak', 'gol', 'argentina', 'piala', 'dunia', 'sports']</t>
  </si>
  <si>
    <t>tribunnews: Lionel Messi dkk awalnya naik bus terbuka untuk berkeliling Buenos Aires sambil memamerkan trofi Piala Dunia 2022. Namun, para pemain timnas Argentina terpaksa melanjutkan parade juara dengan helikopter karena bus terbuka tidak bisa menembus ‚Ä¶  https://t.co/qIw7JStfa4</t>
  </si>
  <si>
    <t>tribunnews lionel messi dkk awalnya naik bus terbuka untuk berkeliling buenos aires sambil memamerkan trofi piala dunia namun para pemain timnas argentina terpaksa melanjutkan parade juara dengan helikopter karena bus terbuka tidak bisa menembus</t>
  </si>
  <si>
    <t>['tribunnews', 'lionel', 'messi', 'dkk', 'awalnya', 'naik', 'bus', 'terbuka', 'berkeliling', 'buenos', 'aires', 'memamerkan', 'trofi', 'piala', 'dunia', 'pemain', 'timnas', 'argentina', 'terpaksa', 'melanjutkan', 'parade', 'juara', 'helikopter', 'bus', 'terbuka', 'menembus']</t>
  </si>
  <si>
    <t>tribunnews: Ratusan ribu hingga jutaan rakyat Argentina merayakan kesuksesan Lionel Messi cs juara Piala Dunia 2022 di jalanan Buenos Aires. Hal ini sesuai harapan Diego Maradona, tepat 5 tahun silam. (ist)  https://t.co/6AyO9P6Wcs</t>
  </si>
  <si>
    <t>tribunnews ratusan ribu hingga jutaan rakyat argentina merayakan kesuksesan lionel messi juara piala dunia jalanan buenos aires hal ini sesuai harapan diego maradona tepat tahun silam ist</t>
  </si>
  <si>
    <t>['tribunnews', 'ratusan', 'ribu', 'hingga', 'jutaan', 'rakyat', 'argentina', 'merayakan', 'kesuksesan', 'lionel', 'messi', 'juara', 'piala', 'dunia', 'jalanan', 'buenos', 'aires', 'sesuai', 'harapan', 'diego', 'maradona', 'tepat', 'tahun', 'silam', 'ist']</t>
  </si>
  <si>
    <t>#FOTO  Parade juara timnas Argentina terpaksa dihentikan karena tidak bisa menembus lautan manusia di Buenos Aires. Messi Cs pun akhirnya diangkut dengan helikopter.  Foto: AP Photo/Getty Images  #juaraboladunia #argentina  https://t.co/8fnFYFTtrX</t>
  </si>
  <si>
    <t>parade juara timnas argentina terpaksa dihentikan karena tidak bisa menembus lautan manusia buenos aires messi pun akhirnya diangkut dengan helikopter foto photo getty images</t>
  </si>
  <si>
    <t>['parade', 'juara', 'timnas', 'argentina', 'terpaksa', 'dihentikan', 'menembus', 'lautan', 'manusia', 'buenos', 'aires', 'messi', 'akhirnya', 'diangkut', 'helikopter', 'foto', 'photo', 'getty', 'images']</t>
  </si>
  <si>
    <t>@ATM_GarisLunak @zenrs Messi meraih segalanya di klub : "Ah dia ga bisa ngasih apa2 buat negaranya" Messi kemudian bawa Argen juara Copa America &amp;amp; Piala Dunia: "Ah ya lumrah, dia kan wong Argentina". Begitulah sambung si sumbang</t>
  </si>
  <si>
    <t>garislunak messi meraih segalanya klub dia bisa ngasih apa buat negaranya messi kemudian bawa argen juara copa america piala dunia lumrah dia kan wong argentina begitulah sambung sumbang</t>
  </si>
  <si>
    <t>['garislunak', 'messi', 'meraih', 'segalanya', 'klub', 'ngasih', 'apa', 'buat', 'negaranya', 'messi', 'kemudian', 'bawa', 'argen', 'juara', 'copa', 'america', 'piala', 'dunia', 'lumrah', 'kan', 'wong', 'argentina', 'begitulah', 'sambung', 'sumbang']</t>
  </si>
  <si>
    <t>@mahfoeth @Joelboom3 Iya betul udh mah dia jelas juara, dia juga penentu kemenangan argentina. Save menit akhir dan save 2 penalti.</t>
  </si>
  <si>
    <t>iya betul udh mah dia jelas juara dia juga penentu kemenangan argentina save menit akhir dan save penalti</t>
  </si>
  <si>
    <t>['iya', 'betul', 'sudah', 'mah', 'jelas', 'juara', 'penentu', 'kemenangan', 'argentina', 'save', 'menit', 'akhir', 'save', 'penalti']</t>
  </si>
  <si>
    <t>@shizutzyy @FaktaSepakbola Iya ngerayainnya meminum yg haram2 juga ya mereka.. Tapi yg penting Argentina juara dunia üá¶üá∑üá¶üá∑üá¶üá∑üá¶üá∑üòÑüòÑüòÑ.. Para pecundang yg komplain dipersilakan üòÑ</t>
  </si>
  <si>
    <t>iya ngerayainnya meminum haram juga mereka tapi penting argentina juara dunia para pecundang komplain dipersilakan</t>
  </si>
  <si>
    <t>['iya', 'ngerayainnya', 'meminum', 'haram', 'penting', 'argentina', 'juara', 'dunia', 'pecundang', 'komplain', 'dipersilakan']</t>
  </si>
  <si>
    <t>Argentina Juara Piala Dunia, Lionel Messi Sempurna  https://t.co/VyHOZcoafR #ArgentinaVsFrance #Messi #WorldCupFinal</t>
  </si>
  <si>
    <t>argentina juara piala dunia lionel messi sempurna</t>
  </si>
  <si>
    <t>['argentina', 'juara', 'piala', 'dunia', 'lionel', 'messi', 'sempurna']</t>
  </si>
  <si>
    <t>2022 bukan tahunnya asmara,tapi setidaknya di tahun ini ngeliat messi juara world cup dan punya 6 kucing üêΩ</t>
  </si>
  <si>
    <t>bukan tahunnya asmara tapi setidaknya tahun ini ngeliat messi juara world cup dan punya kucing</t>
  </si>
  <si>
    <t>['bukan', 'tahunnya', 'asmara', 'tahun', 'ngeliat', 'messi', 'juara', 'world', 'cup', 'punya', 'kucing']</t>
  </si>
  <si>
    <t>@Joelboom3 Yo nda masalah juga to dibobol ama mbappe sampe 4 kali, tapi argentina tetep juara kok. Dua2nya fakta, ya masa hal kayak gini harus diperdebatkan sih..</t>
  </si>
  <si>
    <t>nda masalah juga dibobol ama mbappe sampe kali tapi argentina tetep juara kok dua nya fakta masa hal kayak gini harus diperdebatkan sih</t>
  </si>
  <si>
    <t>['nda', 'masalah', 'dibobol', 'ama', 'mbappe', 'sampai', 'kali', 'argentina', 'tetep', 'juara', 'kok', 'fakta', 'masa', 'seperti', 'gini', 'diperdebatkan']</t>
  </si>
  <si>
    <t>Masih banyak yg sakit hati argentina juara dengan tulisan dan gambar2 provokasi xixi cry louder kids</t>
  </si>
  <si>
    <t>masih banyak sakit hati argentina juara dengan tulisan dan gambar provokasi xixi cry louder kids</t>
  </si>
  <si>
    <t>['banyak', 'sakit', 'hati', 'argentina', 'juara', 'tulisan', 'gambar', 'provokasi', 'xixi', 'cry', 'louder', 'kids']</t>
  </si>
  <si>
    <t>#FOTO  Parade juara timnas Argentina terpaksa dihentikan karena tidak bisa menembus lautan manusia di Buenos Aires. Messi Cs pun akhirnya diangkut dengan helikopter.  Foto: AP Photo/Getty Images  #juaraboladunia #argentina  https://t.co/rQfPbOZFqo</t>
  </si>
  <si>
    <t>@idextratime Maaf. Numpang konten.  Kelakuan pendukung fanatik Argentina di Papua. Argentina Juara potong rambut botak dan borong bakso  https://t.co/CPc3rv3m6x  https://t.co/2LgwoBYUex</t>
  </si>
  <si>
    <t>maaf numpang konten kelakuan pendukung fanatik argentina papua argentina juara potong rambut botak dan borong bakso</t>
  </si>
  <si>
    <t>['maaf', 'numpang', 'konten', 'kelakuan', 'pendukung', 'fanatik', 'argentina', 'papua', 'argentina', 'juara', 'potong', 'rambut', 'botak', 'borong', 'bakso']</t>
  </si>
  <si>
    <t>@Rynv22 @Gama_Septo @Yor_yor9 @RKotangon @GunaAsri @FaktaSepakbola Maksudnya kalo sebelum match tiba2 ada omongan ga enak dari orang argentina, yg ada jg udah dikata2in sm netizen pasti. Jerman 2014 waktu juara aja mereka ngerendahin kultur argentina oran</t>
  </si>
  <si>
    <t>septo yor maksudnya kalo sebelum match tiba ada omongan enak dari orang argentina ada udah dikata netizen pasti jerman waktu juara aja mereka ngerendahin kultur argentina oran</t>
  </si>
  <si>
    <t>['septo', 'yor', 'maksudnya', 'match', 'tiba', 'omongan', 'enak', 'orang', 'argentina', 'udah', 'dikata', 'netizen', 'jerman', 'waktu', 'juara', 'ngerendahin', 'kultur', 'argentina', 'oran']</t>
  </si>
  <si>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</si>
  <si>
    <t>biasanya kita sebagai tempat healing dan berdamai apabila tim favorite kita kalah pelarian dari sedih jadi ketawa cuma untuk kali ini maaf belum nemu obatnya buat dodo lovers eps argentina juara sepak bola terlalu indah link</t>
  </si>
  <si>
    <t>['biasanya', 'tempat', 'healing', 'berdamai', 'apabila', 'tim', 'favorite', 'kalah', 'pelarian', 'sedih', 'jadi', 'ketawa', 'cuma', 'kali', 'maaf', 'nemu', 'obatnya', 'buat', 'dodo', 'lovers', 'eps', 'argentina', 'juara', 'sepak', 'bola', 'terlalu', 'indah', 'link']</t>
  </si>
  <si>
    <t>@chaeryeohng @ensiklophob1a @AriSeptianaaa @PFLS4 @Partypoisonyeah @FaktaSepakbola Lu pada kemana waktu jerman juara 2014 ngejekin kultur argentina? Orang diem2 aja karena yg ngelakuin ya orang eropa, standard ganda emang</t>
  </si>
  <si>
    <t>pada kemana waktu jerman juara ngejekin kultur argentina orang diem aja karena ngelakuin orang eropa standard ganda emang</t>
  </si>
  <si>
    <t>['waktu', 'jerman', 'juara', 'ngejekin', 'kultur', 'argentina', 'orang', 'diem', 'ngelakuin', 'orang', 'eropa', 'standard', 'ganda', 'emang']</t>
  </si>
  <si>
    <t>5 Pemain Argentina di Piala Dunia 2022 namun Tak Juara Copa America  https://t.co/5bs4dqqvH8</t>
  </si>
  <si>
    <t>pemain argentina piala dunia namun tak juara copa america</t>
  </si>
  <si>
    <t>['pemain', 'argentina', 'piala', 'dunia', 'tak', 'juara', 'copa', 'america']</t>
  </si>
  <si>
    <t>Lionel Messi Bawa Argentina Juara, Jorge Valdano Sebut Hampir Mustahil Tampil di Piala Dunia Selanjutnya #CelebritiesDotID #InfoCelebTerkini   https://t.co/rTSTRBmLMa</t>
  </si>
  <si>
    <t>lionel messi bawa argentina juara jorge valdano sebut hampir mustahil tampil piala dunia selanjutnya</t>
  </si>
  <si>
    <t>['lionel', 'messi', 'bawa', 'argentina', 'juara', 'jorge', 'valdano', 'sebut', 'hampir', 'mustahil', 'tampil', 'piala', 'dunia', 'selanjutnya']</t>
  </si>
  <si>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</si>
  <si>
    <t>lionel messi dkk awalnya naik bus terbuka untuk berkeliling buenos aires sambil memamerkan trofi piala dunia namun para pemain timnas argentina terpaksa melanjutkan parade juara dengan helikopter karena bus terbuka tidak bisa menembus lautan manusia buenos aires ist</t>
  </si>
  <si>
    <t>['lionel', 'messi', 'dkk', 'awalnya', 'naik', 'bus', 'terbuka', 'berkeliling', 'buenos', 'aires', 'memamerkan', 'trofi', 'piala', 'dunia', 'pemain', 'timnas', 'argentina', 'terpaksa', 'melanjutkan', 'parade', 'juara', 'helikopter', 'bus', 'terbuka', 'menembus', 'lautan', 'manusia', 'buenos', 'aires', 'ist']</t>
  </si>
  <si>
    <t>Ratusan ribu hingga jutaan rakyat Argentina merayakan kesuksesan Lionel Messi cs juara Piala Dunia 2022 di jalanan Buenos Aires. Hal ini sesuai harapan Diego Maradona, tepat 5 tahun silam. (ist)  https://t.co/pxwcJTs62J</t>
  </si>
  <si>
    <t>ratusan ribu hingga jutaan rakyat argentina merayakan kesuksesan lionel messi juara piala dunia jalanan buenos aires hal ini sesuai harapan diego maradona tepat tahun silam ist</t>
  </si>
  <si>
    <t>['ratusan', 'ribu', 'hingga', 'jutaan', 'rakyat', 'argentina', 'merayakan', 'kesuksesan', 'lionel', 'messi', 'juara', 'piala', 'dunia', 'jalanan', 'buenos', 'aires', 'sesuai', 'harapan', 'diego', 'maradona', 'tepat', 'tahun', 'silam', 'ist']</t>
  </si>
  <si>
    <t>Lionel Messi semakin sah ditetapkan sebagai The Greatest of All Tim atau GOAT. Sebab akhir pekan lalu, ia membawa Argentina menjadi juara di Piala Dunia 2022. Lantas kalau mau endorse Messi, tarifnya berapa ya?   https://t.co/62nrAgUU46</t>
  </si>
  <si>
    <t>lionel messi semakin sah ditetapkan sebagai the greatest all tim atau goat sebab akhir pekan lalu membawa argentina menjadi juara piala dunia lantas kalau mau endorse messi tarifnya berapa</t>
  </si>
  <si>
    <t>['lionel', 'messi', 'semakin', 'sah', 'ditetapkan', 'the', 'greatest', 'all', 'tim', 'goat', 'akhir', 'pekan', 'lalu', 'membawa', 'argentina', 'menjadi', 'juara', 'piala', 'dunia', 'lantas', 'kalau', 'mau', 'endorse', 'messi', 'tarifnya', 'berapa']</t>
  </si>
  <si>
    <t>Parade Juara Argentina Berujung Rusuh, 31 Orang Terluka &amp;amp; 13 Ditangkap  https://t.co/OAzrKKEfyV</t>
  </si>
  <si>
    <t>@labiebsadat Emi sangat layak, 2 kali menang adu pinalty smpe Argentina juara.</t>
  </si>
  <si>
    <t>emi sangat layak kali menang adu pinalty smpe argentina juara</t>
  </si>
  <si>
    <t>['emi', 'sangat', 'layak', 'kali', 'menang', 'adu', 'pinalty', 'smpe', 'argentina', 'juara']</t>
  </si>
  <si>
    <t>VIDEO: Suporter Argentina Loncat dari Atas Jembatan Demi Naiki Bus Parade Juara Piala Dunia  https://t.co/Geyg41VneJ</t>
  </si>
  <si>
    <t>video suporter argentina loncat dari atas jembatan demi naiki bus parade juara piala dunia</t>
  </si>
  <si>
    <t>['video', 'suporter', 'argentina', 'loncat', 'atas', 'jembatan', 'naiki', 'bus', 'parade', 'juara', 'piala', 'dunia']</t>
  </si>
  <si>
    <t>VIDEO: Suporter Argentina Loncat dari Atas Jembatan Demi Naiki Bus Parade Juara Piala Dunia  https://t.co/x7iNu8MQFv</t>
  </si>
  <si>
    <t>Detik-Detik Lionel Messi Nyaris Celaka di Perayaan Argentina Juara Piala Dunia 2022  https://t.co/q22wzxlHwV</t>
  </si>
  <si>
    <t>detik detik lionel messi nyaris celaka perayaan argentina juara piala dunia</t>
  </si>
  <si>
    <t>['detik', 'detik', 'lionel', 'messi', 'nyaris', 'celaka', 'perayaan', 'argentina', 'juara', 'piala', 'dunia']</t>
  </si>
  <si>
    <t>@namrejreznap @PorosHalangID Apaan sih lu iri ya Argentina juara</t>
  </si>
  <si>
    <t>apaan sih iri argentina juara</t>
  </si>
  <si>
    <t>['apaan', 'iri', 'argentina', 'juara']</t>
  </si>
  <si>
    <t>@Ramaadhy @stefanjosia19 @FaktaSepakbola Waktu jerman juara 2014 trus disrespect kultur argentina kalian kemana aja? Standard ganda kalo orang eropa yg ngelakuin dimaklumin, kalo orang non eropa dijadiin masalah</t>
  </si>
  <si>
    <t>waktu jerman juara trus disrespect kultur argentina kalian kemana aja standard ganda kalo orang eropa ngelakuin dimaklumin kalo orang non eropa dijadiin masalah</t>
  </si>
  <si>
    <t>['waktu', 'jerman', 'juara', 'trus', 'disrespect', 'kultur', 'argentina', 'kalian', 'standard', 'ganda', 'orang', 'eropa', 'ngelakuin', 'dimaklumin', 'orang', 'non', 'eropa', 'dijadiin', 'masalah']</t>
  </si>
  <si>
    <t>@warpopski @ivanlanin Meskipun Argentina yg juara dunia, tapi PORTUGALnya warpopski tetap juara di hati pelanggan.</t>
  </si>
  <si>
    <t>meskipun argentina juara dunia tapi portugalnya warpopski tetap juara hati pelanggan</t>
  </si>
  <si>
    <t>['meskipun', 'argentina', 'juara', 'dunia', 'portugalnya', 'warpopski', 'tetap', 'juara', 'hati', 'pelanggan']</t>
  </si>
  <si>
    <t>Parade juara timnas Argentina terpaksa dihentikan karena tidak bisa menembus lautan manusia di Buenos Aires. Messi Cs pun akhirnya diangkut dengan helikopter! #juaraboladunia    https://t.co/13BBSEzQjw</t>
  </si>
  <si>
    <t>parade juara timnas argentina terpaksa dihentikan karena tidak bisa menembus lautan manusia buenos aires messi pun akhirnya diangkut dengan helikopter</t>
  </si>
  <si>
    <t>['parade', 'juara', 'timnas', 'argentina', 'terpaksa', 'dihentikan', 'menembus', 'lautan', 'manusia', 'buenos', 'aires', 'messi', 'akhirnya', 'diangkut', 'helikopter']</t>
  </si>
  <si>
    <t>anjir dari kemaren pas Argentina juara World cup sampe sekarang gua belum nge like postingan Leo Messi yg tembus 60juta lebih likeüò≠üíô  males login Instagram üò©</t>
  </si>
  <si>
    <t>anjir dari kemaren pas argentina juara world cup sampe sekarang gua belum nge like postingan leo messi tembus juta lebih like males login instagram</t>
  </si>
  <si>
    <t>['anjir', 'kemarin', 'pas', 'argentina', 'juara', 'world', 'cup', 'sampai', 'sekarang', 'gua', 'nge', 'like', 'postingan', 'leo', 'messi', 'tembus', 'juta', 'lebih', 'like', 'males', 'login', 'instagram']</t>
  </si>
  <si>
    <t>Sebelum Bertanding, Di Maria Sudah Tahu Bakal Bawa Argentina Juara  https://t.co/mTxJsGiTR5</t>
  </si>
  <si>
    <t>sebelum bertanding maria sudah tahu bakal bawa argentina juara</t>
  </si>
  <si>
    <t>['bertanding', 'maria', 'tahu', 'bakal', 'bawa', 'argentina', 'juara']</t>
  </si>
  <si>
    <t>VIDEO: Perayaan Juara Piala Dunia Kelewat Ramai, Timnas Argentina Dievakuasi Helikopter  https://t.co/PitSBKlpZj</t>
  </si>
  <si>
    <t>Parade juara Argentina yang terpusat di Kota Buenos Aires pada Selasa (20/12) berujung rusuh. Puluhan orang terluka, dan belasan lainnya ditangkap petugas keamanan. #kumparanBOLA  https://t.co/nmKmEMORQG</t>
  </si>
  <si>
    <t>parade juara argentina yang terpusat kota buenos aires pada selasa berujung rusuh puluhan orang terluka dan belasan lainnya ditangkap petugas keamanan</t>
  </si>
  <si>
    <t>['parade', 'juara', 'argentina', 'terpusat', 'kota', 'buenos', 'aires', 'selasa', 'berujung', 'rusuh', 'puluhan', 'orang', 'terluka', 'belasan', 'lainnya', 'ditangkap', 'petugas', 'keamanan']</t>
  </si>
  <si>
    <t>@gilangseva1 @idtmki @false10s @FaktaSepakbola Apa kabar jerman abis juara 2014 ngejekin argentina? Ngejekin kulturnya malahan, orang sini ga ada yg bilang rasis. Standard ganda kalo yg ngelakuin orang eropa diem2 aja semua. Mou noh jg dulu pelatih proble</t>
  </si>
  <si>
    <t>apa kabar jerman abis juara ngejekin argentina ngejekin kulturnya malahan orang sini ada bilang rasis standard ganda kalo ngelakuin orang eropa diem aja semua mou noh dulu pelatih proble</t>
  </si>
  <si>
    <t>['apa', 'kabar', 'jerman', 'abis', 'juara', 'ngejekin', 'argentina', 'ngejekin', 'kulturnya', 'malahan', 'orang', 'sini', 'rasis', 'standard', 'ganda', 'ngelakuin', 'orang', 'eropa', 'diem', 'semua', 'mou', 'noh', 'dulu', 'pelatih', 'proble']</t>
  </si>
  <si>
    <t>@FaktaSepakbola Terlepas dari attitudenya ini kiper emang jago bahkan salah satu kunci argentina juara masih inget 2014-2018 argentina itu kipernya katrok banget setelah emi masuk terbukti kan argen dpt piala 3 ada sekaligus.</t>
  </si>
  <si>
    <t>terlepas dari attitudenya ini kiper emang jago bahkan salah satu kunci argentina juara masih inget argentina itu kipernya katrok banget setelah emi masuk terbukti kan argen dpt piala ada sekaligus</t>
  </si>
  <si>
    <t>['terlepas', 'attitudenya', 'kiper', 'emang', 'jago', 'bahkan', 'salah', 'satu', 'kunci', 'argentina', 'juara', 'inget', 'argentina', 'kipernya', 'katrok', 'banget', 'emi', 'masuk', 'terbukti', 'kan', 'argen', 'dpt', 'piala', 'sekaligus']</t>
  </si>
  <si>
    <t>Masih gak ngerti ngapain salt bae disitu, usaha di turki orang italia. Ini argentina juara di qatar dia ngapain si, sok asik</t>
  </si>
  <si>
    <t>masih gak ngerti ngapain salt bae disitu usaha turki orang italia ini argentina juara qatar dia ngapain sok asik</t>
  </si>
  <si>
    <t>['ngerti', 'ngapain', 'salt', 'bae', 'disitu', 'usaha', 'turki', 'orang', 'italia', 'argentina', 'juara', 'qatar', 'ngapain', 'sok', 'asik']</t>
  </si>
  <si>
    <t>Parade Juara Piala Dunia Argentina Sempat Ricuh, Messi Dkk Diangkut Helikopter  https://t.co/nQ9UZ7KYqS</t>
  </si>
  <si>
    <t>parade juara piala dunia argentina sempat ricuh messi dkk diangkut helikopter</t>
  </si>
  <si>
    <t>['parade', 'juara', 'piala', 'dunia', 'argentina', 'sempat', 'ricuh', 'messi', 'dkk', 'diangkut', 'helikopter']</t>
  </si>
  <si>
    <t>VIDEO: Perayaan Juara Piala Dunia Kelewat Ramai, Timnas Argentina Dievakuasi Helikopter  https://t.co/sT6Bfl48sf</t>
  </si>
  <si>
    <t>@Partypoisonyeah @FaktaSepakbola Jadi disini saya mengkriti tindakan unrespect Emi bukan mengkritik Timnas Argentina yg juara dunia üôÉ</t>
  </si>
  <si>
    <t>jadi disini saya mengkriti tindakan unrespect emi bukan mengkritik timnas argentina juara dunia</t>
  </si>
  <si>
    <t>['jadi', 'disini', 'mengkriti', 'tindakan', 'unrespect', 'emi', 'bukan', 'mengkritik', 'timnas', 'argentina', 'juara', 'dunia']</t>
  </si>
  <si>
    <t>Parade Juara Timnas Argentina Berujung Tragedi: 1 Orang Dewasa Tewas, Bocah Usia 5 Tahun Koma  https://t.co/0hQyp9bRp5</t>
  </si>
  <si>
    <t>parade juara timnas argentina berujung tragedi orang dewasa tewas bocah usia tahun koma</t>
  </si>
  <si>
    <t>['parade', 'juara', 'timnas', 'argentina', 'berujung', 'tragedi', 'orang', 'dewasa', 'tewas', 'bocah', 'usia', 'tahun', 'koma']</t>
  </si>
  <si>
    <t>@Partypoisonyeah @FaktaSepakbola Argentina layak juara Bg. Dan jg bukan nyalahin Messi or yg lain2. Cuma kn ini yg terlalu berlebihan Emi sendirim pemain Argentina yg lain kalem aja Bg. Toh pemain sprt Messi yg sdh memenangkan semua gelar biasa saja.</t>
  </si>
  <si>
    <t>argentina layak juara dan bukan nyalahin messi lain cuma ini terlalu berlebihan emi sendirim pemain argentina lain kalem aja toh pemain sprt messi sdh memenangkan semua gelar biasa saja</t>
  </si>
  <si>
    <t>['argentina', 'layak', 'juara', 'bukan', 'nyalahin', 'messi', 'cuma', 'terlalu', 'berlebihan', 'emi', 'sendirim', 'pemain', 'argentina', 'kalem', 'pemain', 'sprt', 'messi', 'memenangkan', 'semua', 'gelar', 'biasa']</t>
  </si>
  <si>
    <t>@Partypoisonyeah @FaktaSepakbola Ini jgn ada yg slh artikan Bg. Bkn berarti mengkritik Emi itu fans Ronaldo. Krn yg dikritik ini tindakan personal Emi yg tdk mencerminkan respek. Nilai utama sepak bola itu respek apalg thdp sama pemain. Toh yg saya kritik</t>
  </si>
  <si>
    <t>ini jgn ada slh artikan bkn berarti mengkritik emi itu fans ronaldo krn dikritik ini tindakan personal emi tdk mencerminkan respek nilai utama sepak bola itu respek apalg thdp sama pemain toh saya kritik</t>
  </si>
  <si>
    <t>['salah', 'artikan', 'bkn', 'berarti', 'mengkritik', 'emi', 'fans', 'ronaldo', 'dikritik', 'tindakan', 'personal', 'emi', 'mencerminkan', 'respek', 'nilai', 'utama', 'sepak', 'bola', 'respek', 'apalg', 'thdp', 'sama', 'pemain', 'kritik']</t>
  </si>
  <si>
    <t>Pemain Argentina wajarlah nambah libur, juara.</t>
  </si>
  <si>
    <t>pemain argentina wajarlah nambah libur juara</t>
  </si>
  <si>
    <t>['pemain', 'argentina', 'wajarlah', 'nambah', 'libur', 'juara']</t>
  </si>
  <si>
    <t>Ramalan Di Maria Terbukti, Argentina Juara Piala Dunia 2022  https://t.co/3qK3qKmsY7</t>
  </si>
  <si>
    <t>ramalan maria terbukti argentina juara piala dunia</t>
  </si>
  <si>
    <t>['ramalan', 'maria', 'terbukti', 'argentina', 'juara', 'piala', 'dunia']</t>
  </si>
  <si>
    <t>@NOTASLIMBOY Cuma di era jokowi argentina bisa juara piala dunia.</t>
  </si>
  <si>
    <t>cuma era jokowi argentina bisa juara piala dunia</t>
  </si>
  <si>
    <t>['cuma', 'era', 'jokowi', 'argentina', 'juara', 'piala', 'dunia']</t>
  </si>
  <si>
    <t>#FOTO  Parade juara timnas Argentina terpaksa dihentikan karena tidak bisa menembus lautan manusia di Buenos Aires. Messi Cs pun akhirnya diangkut dengan helikopter.  Foto: AP Photo/Getty Images  #juaraboladunia #argentina  https://t.co/8Py506RG1e</t>
  </si>
  <si>
    <t>@ATM_GarisLunak @zenrs Lah neymar yang lahir di brazil aja gak bisa juara dunia kok gimana logika lo. Apa jaminan kalo lahir dari argentina sudah pasti juara dunia? Apalagi liat timnya yang selalu medioker. Dan sangat mungkin halland akan juara dunia 15 t</t>
  </si>
  <si>
    <t>garislunak lah neymar yang lahir brazil aja gak bisa juara dunia kok gimana logika apa jaminan kalo lahir dari argentina sudah pasti juara dunia apalagi liat timnya yang selalu medioker dan sangat mungkin halland akan juara dunia</t>
  </si>
  <si>
    <t>['garislunak', 'lah', 'neymar', 'lahir', 'brazil', 'juara', 'dunia', 'kok', 'gimana', 'logika', 'apa', 'jaminan', 'lahir', 'argentina', 'juara', 'dunia', 'lihat', 'timnya', 'selalu', 'medioker', 'sangat', 'mungkin', 'halland', 'juara', 'dunia']</t>
  </si>
  <si>
    <t>@ainurohman Argentina juara soalnya wartawan disana baik mas.</t>
  </si>
  <si>
    <t>argentina juara soalnya wartawan disana baik mas</t>
  </si>
  <si>
    <t>['argentina', 'juara', 'soalnya', 'wartawan', 'disana', 'baik', 'mas']</t>
  </si>
  <si>
    <t>@The_RedsIndo Padahal pas Argentina udah bisa masuk final  kayak udah ke Argentina yg juara tetep aja masih bisa nangis yaa</t>
  </si>
  <si>
    <t>redsindo padahal pas argentina udah bisa masuk final kayak udah argentina juara tetep aja masih bisa nangis yaa</t>
  </si>
  <si>
    <t>['redsindo', 'padahal', 'pas', 'argentina', 'udah', 'masuk', 'final', 'seperti', 'udah', 'argentina', 'juara', 'tetep', 'nangis', 'ya']</t>
  </si>
  <si>
    <t>@KompasTV @Kiyai_MarufAmin Nyontoh Argentina Pak, kok Maroko. Argentina kalah di laga awal ternyata juara.</t>
  </si>
  <si>
    <t>marufamin nyontoh argentina pak kok maroko argentina kalah laga awal ternyata juara</t>
  </si>
  <si>
    <t>['marufamin', 'nyontoh', 'argentina', 'pak', 'kok', 'maroko', 'argentina', 'kalah', 'laga', 'awal', 'ternyata', 'juara']</t>
  </si>
  <si>
    <t>@shizutzyy @FaktaSepakbola Ngapain sih banyak bacod diam bisa gak.Kayak cewe aja banyak omong,udah terima argentina juara lah udah kejadian.Gak usah sok bawa haram2 kayak lo suci aja</t>
  </si>
  <si>
    <t>ngapain sih banyak bacod diam bisa gak kayak cewe aja banyak omong udah terima argentina juara lah udah kejadian gak usah sok bawa haram kayak suci aja</t>
  </si>
  <si>
    <t>['ngapain', 'banyak', 'bacod', 'diam', 'seperti', 'cewe', 'banyak', 'omong', 'udah', 'terima', 'argentina', 'juara', 'lah', 'udah', 'kejadian', 'usah', 'sok', 'bawa', 'haram', 'seperti', 'suci']</t>
  </si>
  <si>
    <t>@detikcom Kok Maroko yg dicontoh ? Argentina dong yang dicontoh karena berhasil menjadi juara Piala Dunia. üòÄ</t>
  </si>
  <si>
    <t>kok maroko dicontoh argentina dong yang dicontoh karena berhasil menjadi juara piala dunia</t>
  </si>
  <si>
    <t>['kok', 'maroko', 'dicontoh', 'argentina', 'dong', 'dicontoh', 'berhasil', 'menjadi', 'juara', 'piala', 'dunia']</t>
  </si>
  <si>
    <t>Detik-Detik Lionel Messi Nyaris Celaka di Perayaan Argentina Juara Piala Dunia 2022  https://t.co/yHaodhx1ut</t>
  </si>
  <si>
    <t>Rame bener yang ngerayain Juara Piala Dunia Sepakbola di Argentina.     https://t.co/HAv1yQl3Gl</t>
  </si>
  <si>
    <t>rame bener yang ngerayain juara piala dunia sepakbola argentina</t>
  </si>
  <si>
    <t>['ramai', 'benar', 'ngerayain', 'juara', 'piala', 'dunia', 'sepakbola', 'argentina']</t>
  </si>
  <si>
    <t>Argentina Juara, Papu Gomez Bernazar Loncat dari Balkon Istana¬†Kepresidenan  https://t.co/BfArbqb8m8</t>
  </si>
  <si>
    <t>argentina juara papu gomez bernazar loncat dari balkon istana kepresidenan</t>
  </si>
  <si>
    <t>['argentina', 'juara', 'papu', 'gomez', 'bernazar', 'loncat', 'balkon', 'istana', 'kepresidenan']</t>
  </si>
  <si>
    <t>Timnas Maroko Disambut Bak Juara, Fans: Argentina Memenangkan Piala Dunia, Kami Memenangkan¬†Dunia  https://t.co/xtsT55WNH8</t>
  </si>
  <si>
    <t>timnas maroko disambut bak juara fans argentina memenangkan piala dunia kami memenangkan dunia</t>
  </si>
  <si>
    <t>['timnas', 'maroko', 'disambut', 'bak', 'juara', 'fans', 'argentina', 'memenangkan', 'piala', 'dunia', 'memenangkan', 'dunia']</t>
  </si>
  <si>
    <t>@ayukhofREAL Argentina juara piala dunia, mantap</t>
  </si>
  <si>
    <t>argentina juara piala dunia mantap</t>
  </si>
  <si>
    <t>['argentina', 'juara', 'piala', 'dunia', 'mantap']</t>
  </si>
  <si>
    <t>Seharusnya yg dicontoh itu argentina yg juara, aneh</t>
  </si>
  <si>
    <t>seharusnya dicontoh itu argentina juara aneh</t>
  </si>
  <si>
    <t>['dicontoh', 'argentina', 'juara', 'aneh']</t>
  </si>
  <si>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</si>
  <si>
    <t>selamat untuk argentina yang berhasil raih gelar juara dunia yang ketiga setelah kalahkan prancis omg viral best actress train bobo best actor vanilla argentina world cup hobi taliban ruu pprt the natal tulus utamakan rakyat</t>
  </si>
  <si>
    <t>['selamat', 'argentina', 'berhasil', 'raih', 'gelar', 'juara', 'dunia', 'ketiga', 'kalahkan', 'prancis', 'oh my god', 'viral', 'best', 'actress', 'train', 'bobo', 'best', 'actor', 'vanilla', 'argentina', 'world', 'cup', 'hobi', 'taliban', 'ruu', 'pprt', 'the', 'natal', 'tulus', 'utamakan', 'rakyat']</t>
  </si>
  <si>
    <t>Messi Sebut Semangat Diego Maradona Turun dari Langit saat Bawa Argentina Juara Piala Dunia 2022  https://t.co/G1AXlk98bS</t>
  </si>
  <si>
    <t>messi sebut semangat diego maradona turun dari langit saat bawa argentina juara piala dunia</t>
  </si>
  <si>
    <t>['messi', 'sebut', 'semangat', 'diego', 'maradona', 'turun', 'langit', 'bawa', 'argentina', 'juara', 'piala', 'dunia']</t>
  </si>
  <si>
    <t>Lionel Messi Bawa Argentina Juara Piala Dunia 2022, Cristiano Ronaldo Pasti Marah  https://t.co/W8bhGkxLs2</t>
  </si>
  <si>
    <t>lionel messi bawa argentina juara piala dunia cristiano ronaldo pasti marah</t>
  </si>
  <si>
    <t>['lionel', 'messi', 'bawa', 'argentina', 'juara', 'piala', 'dunia', 'cristiano', 'ronaldo', 'marah']</t>
  </si>
  <si>
    <t>@labiebsadat Gw dah yakin yg juara argentina, tp beknya kurengüòÇ</t>
  </si>
  <si>
    <t>dah yakin juara argentina beknya kureng</t>
  </si>
  <si>
    <t>['dah', 'yakin', 'juara', 'argentina', 'beknya', 'kureng']</t>
  </si>
  <si>
    <t>@RadenGanz @idextratime Ya kan udah di setting biar Argentina juara dimana mana</t>
  </si>
  <si>
    <t>kan udah setting biar argentina juara dimana mana</t>
  </si>
  <si>
    <t>['kan', 'udah', 'setting', 'argentina', 'juara', 'mana']</t>
  </si>
  <si>
    <t>Salt Bae Dikecam Gara-Gara Ganggu Perayaan Pesta Juara Piala Dunia 2022 Milik Argentina, Sampai Tarik Tangan Lionel Messi!   https://t.co/WFyLfha4V2</t>
  </si>
  <si>
    <t>salt bae dikecam gara gara ganggu perayaan pesta juara piala dunia milik argentina sampai tarik tangan lionel messi</t>
  </si>
  <si>
    <t>['salt', 'bae', 'dikecam', 'gara', 'gara', 'ganggu', 'perayaan', 'pesta', 'juara', 'piala', 'dunia', 'milik', 'argentina', 'tarik', 'tangan', 'lionel', 'messi']</t>
  </si>
  <si>
    <t>Fans verpool lagi nebeng menangnya Argentina dengan cara ngecengin Mbappe dan Dodo.  Cuma buat nutupin fakta bahwa semua timnas di WC 2022 dan 2018 yg ada pemain verpoolnya terbukti gagal maju ke juara WC.  Brazil dan Belanda contohnya.</t>
  </si>
  <si>
    <t>fans verpool lagi nebeng menangnya argentina dengan cara ngecengin mbappe dan dodo cuma buat nutupin fakta bahwa semua timnas dan ada pemain verpoolnya terbukti gagal maju juara brazil dan belanda contohnya</t>
  </si>
  <si>
    <t>['fans', 'verpool', 'nebeng', 'menangnya', 'argentina', 'cara', 'ngecengin', 'mbappe', 'dodo', 'cuma', 'buat', 'nutupin', 'fakta', 'semua', 'timnas', 'pemain', 'verpoolnya', 'terbukti', 'gagal', 'maju', 'juara', 'brazil', 'belanda', 'contohnya']</t>
  </si>
  <si>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</si>
  <si>
    <t>lanjut pertandingan terakhir lawan poland karena poland cuma butuh seri buat lolos jadi poland main terlalu agresif argentina bisa nguasain pertandingan dan akhirnya menang lolos jadi juara grup untung bukan jadi runner kalo ngga ketemu prancis lgi ntar besar</t>
  </si>
  <si>
    <t>['lanjut', 'pertandingan', 'terakhir', 'lawan', 'poland', 'poland', 'cuma', 'butuh', 'seri', 'buat', 'lolos', 'jadi', 'poland', 'main', 'terlalu', 'agresif', 'argentina', 'nguasain', 'pertandingan', 'akhirnya', 'menang', 'lolos', 'jadi', 'juara', 'grup', 'untung', 'bukan', 'jadi', 'runner', 'ngga', 'ketemu', 'prancis', 'lgi', 'ntar', 'besar']</t>
  </si>
  <si>
    <t>&lt;FreqDist with 29 samples and 35 outcomes&gt;</t>
  </si>
  <si>
    <t>Fan Argentina Bakar Foto Kylian Mbappe saat Parade Juara Piala¬†Dunia  https://t.co/NBabUzbaRK</t>
  </si>
  <si>
    <t>fan argentina bakar foto kylian mbappe saat parade juara piala dunia</t>
  </si>
  <si>
    <t>['fan', 'argentina', 'bakar', 'foto', 'kylian', 'mbappe', 'parade', 'juara', 'piala', 'dunia']</t>
  </si>
  <si>
    <t>Tingkah Fans di Pawai Juara Argentina: Aksi Bugil hingga Vandalisme  https://t.co/ErvgD9JvPJ</t>
  </si>
  <si>
    <t>tingkah fans pawai juara argentina aksi bugil hingga vandalisme</t>
  </si>
  <si>
    <t>['tingkah', 'fans', 'pawai', 'juara', 'argentina', 'aksi', 'bugil', 'hingga', 'vandalisme']</t>
  </si>
  <si>
    <t>@rejarizqullah mending argentina juara 2x drpd kudengar lagu ni</t>
  </si>
  <si>
    <t>mending argentina juara drpd kudengar lagu</t>
  </si>
  <si>
    <t>['mending', 'argentina', 'juara', 'drpd', 'kudengar', 'lagu']</t>
  </si>
  <si>
    <t>@Perseus_prodigy Itulah Permainan......kalau wasit jeli tapi ya sudah Argentina sudah juara Piala Dunia 2022....the best messi</t>
  </si>
  <si>
    <t>prodigy itulah permainan kalau wasit jeli tapi sudah argentina sudah juara piala dunia the best messi</t>
  </si>
  <si>
    <t>['prodigy', 'permainan', 'kalau', 'wasit', 'jeli', 'argentina', 'juara', 'piala', 'dunia', 'the', 'best', 'messi']</t>
  </si>
  <si>
    <t>@FaktaSepakbola Tapi, missing puzzle timnas Argentina ini emang Martinez sih. Gagal juara copa kalah penalty krn gak punya Kiper yang jago nahan penalty, baru pas dia jadi kiper utama Argentina bisa juara Copa.</t>
  </si>
  <si>
    <t>tapi missing puzzle timnas argentina ini emang martinez sih gagal juara copa kalah penalty krn gak punya kiper yang jago nahan penalty baru pas dia jadi kiper utama argentina bisa juara copa</t>
  </si>
  <si>
    <t>['missing', 'puzzle', 'timnas', 'argentina', 'emang', 'martinez', 'gagal', 'juara', 'copa', 'kalah', 'penalty', 'punya', 'kiper', 'jago', 'nahan', 'penalty', 'baru', 'pas', 'jadi', 'kiper', 'utama', 'argentina', 'juara', 'copa']</t>
  </si>
  <si>
    <t>@kegblgnunfaedh Seneng lah orang Argentina juara</t>
  </si>
  <si>
    <t>seneng lah orang argentina juara</t>
  </si>
  <si>
    <t>['seneng', 'lah', 'orang', 'argentina', 'juara']</t>
  </si>
  <si>
    <t>@zenrs Nek parametere semua pencapaian prestasi, mutlak Lin Dan. Messi bahkan isa diperdebatkan karena dekne lahir sbg wong Argentina. Lha coba dia lahir sbg wong Denmark, Norwegia, atau Liberia. Syusyah juara level timnas</t>
  </si>
  <si>
    <t>nek parametere semua pencapaian prestasi mutlak lin dan messi bahkan isa diperdebatkan karena dekne lahir sbg wong argentina lha coba dia lahir sbg wong denmark norwegia atau liberia syusyah juara level timnas</t>
  </si>
  <si>
    <t>['nek', 'parametere', 'semua', 'pencapaian', 'prestasi', 'mutlak', 'lin', 'messi', 'bahkan', 'isa', 'diperdebatkan', 'dekne', 'lahir', 'sbg', 'wong', 'argentina', 'lha', 'coba', 'lahir', 'sbg', 'wong', 'denmark', 'norwegia', 'liberia', 'syusyah', 'juara', 'level', 'timnas']</t>
  </si>
  <si>
    <t>Kalau Emil Martinez kejebolan ya kalah Argentina ga juara dunia, bobotnya besaran itu lah</t>
  </si>
  <si>
    <t>kalau emil martinez kejebolan kalah argentina juara dunia bobotnya besaran itu lah</t>
  </si>
  <si>
    <t>['kalau', 'emil', 'martinez', 'kejebolan', 'kalah', 'argentina', 'juara', 'dunia', 'bobotnya', 'besaran', 'lah']</t>
  </si>
  <si>
    <t>Gamau liat konten apapun selain argentina juara</t>
  </si>
  <si>
    <t>gamau liat konten apapun selain argentina juara</t>
  </si>
  <si>
    <t>['gamau', 'lihat', 'konten', 'apapun', 'argentina', 'juara']</t>
  </si>
  <si>
    <t>@detikcom contoh argentina dong, meski postur tubuh hampir sama tp bisa juara üôè</t>
  </si>
  <si>
    <t>contoh argentina dong meski postur tubuh hampir sama bisa juara</t>
  </si>
  <si>
    <t>['contoh', 'argentina', 'dong', 'meski', 'postur', 'tubuh', 'hampir', 'sama', 'juara']</t>
  </si>
  <si>
    <t>Juara Piala Dunia 2022, Anak Buah Sri Mulyani: Argentina Tak Hanya Jago Bola, tapi Juga Utang - Pikiran Rakyat  https://t.co/INrq34FTCm via @GoogleNews</t>
  </si>
  <si>
    <t>juara piala dunia anak buah sri mulyani argentina tak hanya jago bola tapi juga utang pikiran rakyat via</t>
  </si>
  <si>
    <t>['juara', 'piala', 'dunia', 'anak', 'buah', 'sri', 'mulyani', 'argentina', 'tak', 'jago', 'bola', 'utang', 'pikiran', 'rakyat', 'via']</t>
  </si>
  <si>
    <t>#Repost @ditjen_imigrasi „Éª„Éª„Éª Selamat pagi untuk para pendukung Tim Nasional Prancis. Tetap semangat dan ga perlu menangis.  Selamat pagi pendukung Argentina, kamu layak juara dan bahagia.  https://t.co/Pj7gBFdXpN</t>
  </si>
  <si>
    <t>imigrasi selamat pagi untuk para pendukung tim nasional prancis tetap semangat dan perlu menangis selamat pagi pendukung argentina kamu layak juara dan bahagia</t>
  </si>
  <si>
    <t>['imigrasi', 'selamat', 'pagi', 'pendukung', 'tim', 'nasional', 'prancis', 'tetap', 'semangat', 'perlu', 'menangis', 'selamat', 'pagi', 'pendukung', 'argentina', 'kamu', 'layak', 'juara', 'bahagia']</t>
  </si>
  <si>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</si>
  <si>
    <t>lionel messi nyaris terlempar dari bus saat parade mini argentina juara piala dunia kejadian ini bermula saat lionel messi angel maria leandro paredes rodrigo paul dan nicolas otamendi memilih naik dan duduk atap belakang bus</t>
  </si>
  <si>
    <t>['lionel', 'messi', 'nyaris', 'terlempar', 'bus', 'parade', 'mini', 'argentina', 'juara', 'piala', 'dunia', 'kejadian', 'bermula', 'lionel', 'messi', 'angel', 'maria', 'leandro', 'paredes', 'rodrigo', 'paul', 'nicolas', 'otamendi', 'memilih', 'naik', 'duduk', 'atap', 'belakang', 'bus']</t>
  </si>
  <si>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</si>
  <si>
    <t>bayangin kalau semisal argentina kalah dan gak jadi juara uuuhhh itu sudah pasti bacotannya fans ronaldo bakalan makin menjadi dan parah banget wkwk lah menang aja bacotannya macam dan aneh apalagi kalau semisal kalau kalah uuhh bakalan makin ganas bacotan hujatannya</t>
  </si>
  <si>
    <t>['bayangin', 'kalau', 'semisal', 'argentina', 'kalah', 'jadi', 'juara', 'uuuhhh', 'bacotannya', 'fans', 'ronaldo', 'bakalan', 'makin', 'menjadi', 'parah', 'banget', 'lah', 'menang', 'bacotannya', 'macam', 'aneh', 'kalau', 'semisal', 'kalau', 'kalah', 'uuhh', 'bakalan', 'makin', 'ganas', 'bacotan', 'hujatannya']</t>
  </si>
  <si>
    <t>@elfarosy99 @idextratime Yah emang, pemain argentina masa keemasan udh lewat. Tapi bkn berarti mereka gak boleh juara</t>
  </si>
  <si>
    <t>yah emang pemain argentina masa keemasan udh lewat tapi bkn berarti mereka gak boleh juara</t>
  </si>
  <si>
    <t>['emang', 'pemain', 'argentina', 'masa', 'keemasan', 'sudah', 'lewat', 'bkn', 'berarti', 'juara']</t>
  </si>
  <si>
    <t>Hampir semua negara besar sepak bola udah pernah juara dunia selama aku hidup. Jerman, Brasil, Prancis, Italia, Spanyol, Argentina. Kurang Uruguay aja.</t>
  </si>
  <si>
    <t>hampir semua negara besar sepak bola udah pernah juara dunia selama aku hidup jerman brasil prancis italia spanyol argentina kurang uruguay aja</t>
  </si>
  <si>
    <t>['hampir', 'semua', 'negara', 'besar', 'sepak', 'bola', 'udah', 'pernah', 'juara', 'dunia', 'selama', 'aku', 'hidup', 'jerman', 'brasil', 'prancis', 'italia', 'spanyol', 'argentina', 'kurang', 'uruguay']</t>
  </si>
  <si>
    <t>Ku tanya "Kenapa foto profil di hapus?" Di jawab "Argentina udah juara, jadi mau apalagi?"  Terserah üòå</t>
  </si>
  <si>
    <t>tanya kenapa foto profil hapus jawab argentina udah juara jadi mau apalagi terserah</t>
  </si>
  <si>
    <t>['tanya', 'foto', 'profil', 'hapus', 'jawab', 'argentina', 'udah', 'juara', 'jadi', 'mau', 'terserah']</t>
  </si>
  <si>
    <t>Argentina menjadi juara tentu dari kerja keras tim dan yang paling utama adalah pemain dan pelatih, selain pelatih tim juga membutuhkan pakaian yang nyaman dan tentunya menambah percaya diri mereka. #Rekomendasisme mau ngasih info jersey yang sangat berkenang di #WorldCup2022</t>
  </si>
  <si>
    <t>argentina menjadi juara tentu dari kerja keras tim dan yang paling utama adalah pemain dan pelatih selain pelatih tim juga membutuhkan pakaian yang nyaman dan tentunya menambah percaya diri mereka mau ngasih info jersey yang sangat berkenang</t>
  </si>
  <si>
    <t>['argentina', 'menjadi', 'juara', 'kerja', 'keras', 'tim', 'paling', 'utama', 'pemain', 'pelatih', 'pelatih', 'tim', 'membutuhkan', 'pakaian', 'nyaman', 'tentunya', 'menambah', 'percaya', 'diri', 'mau', 'ngasih', 'info', 'jersey', 'sangat', 'berkenang']</t>
  </si>
  <si>
    <t>Messi bakal habis habisan buat dapetin ini trophy. Apalagi argentina punya predikat 36 match ga terkalahkan yg pasti ngebawa motivasi besar jg buat argentina jadi favorit juara di pildun ini. Tpi gua nonton dari awal match lgsg shock pas di luar dugaan kalah lawan arab saudi.-</t>
  </si>
  <si>
    <t>messi bakal habis habisan buat dapetin ini trophy apalagi argentina punya predikat match terkalahkan pasti ngebawa motivasi besar buat argentina jadi favorit juara pildun ini tpi gua nonton dari awal match lgsg shock pas luar dugaan kalah lawan arab saudi</t>
  </si>
  <si>
    <t>['messi', 'bakal', 'habis', 'habisan', 'buat', 'dapetin', 'trophy', 'argentina', 'punya', 'predikat', 'match', 'terkalahkan', 'ngebawa', 'motivasi', 'besar', 'buat', 'argentina', 'jadi', 'favorit', 'juara', 'piala dunia', 'tpi', 'gua', 'nonton', 'awal', 'match', 'lgsg', 'shock', 'pas', 'luar', 'dugaan', 'kalah', 'lawan', 'arab', 'saudi']</t>
  </si>
  <si>
    <t>@anjass67 @Fl333ur @idextratime Gw aja sebelum pildun dimulai paling serem liat skuadnya Portugal, Brazil dan Inggris karna sangat mewah dan isinya bintang semua üòÇ pas ngeliat Argentina pemain yg main di ucl aja cuman 6 orang, sempet pesimis tapi akhir</t>
  </si>
  <si>
    <t>aja sebelum pildun dimulai paling serem liat skuadnya portugal brazil dan inggris karna sangat mewah dan isinya bintang semua pas ngeliat argentina pemain main ucl aja cuman orang sempet pesimis tapi akhir</t>
  </si>
  <si>
    <t>['piala dunia', 'dimulai', 'paling', 'serem', 'lihat', 'skuadnya', 'portugal', 'brazil', 'inggris', 'karna', 'sangat', 'mewah', 'isinya', 'bintang', 'semua', 'pas', 'ngeliat', 'argentina', 'pemain', 'main', 'ucl', 'cuman', 'orang', 'sempet', 'pesimis', 'akhir']</t>
  </si>
  <si>
    <t>@DharmaZyn @timelinism @idtmki @FaktaSepakbola Lah liat aja nanti, di aston villa ae jg bapuk. Gua bkn hater messi yee, messi jelas GOAT dan argentina emg layak banget jd juara. Tp si martinez ini attitudeny gak banget. Mbappe yg katanya attitudenya jelek</t>
  </si>
  <si>
    <t>lah liat aja nanti aston villa bapuk gua bkn hater messi yee messi jelas goat dan argentina emg layak banget juara martinez ini attitudeny gak banget mbappe katanya attitudenya jelek</t>
  </si>
  <si>
    <t>['lah', 'lihat', 'aston', 'villa', 'bapuk', 'gua', 'bkn', 'hater', 'messi', 'yee', 'messi', 'jelas', 'goat', 'argentina', 'memang', 'layak', 'banget', 'juara', 'martinez', 'attitudeny', 'banget', 'mbappe', 'katanya', 'attitudenya', 'jelek']</t>
  </si>
  <si>
    <t>Lionel Messi semakin sah ditetapkan sebagai The Greatest of All Tim atau GOAT. Sebab akhir pekan lalu, ia membawa Argentina menjadi juara di Piala Dunia 2022. Lantas kalau mau endorse Messi, tarifnya berapa ya?   https://t.co/mMdIYiGTh9</t>
  </si>
  <si>
    <t>Lionel Messi semakin sah ditetapkan sebagai The Greatest of All Tim atau GOAT. Sebab akhir pekan lalu, ia membawa Argentina menjadi juara di Piala Dunia 2022. Lantas kalau mau endorse Messi, tarifnya berapa ya?   https://t.co/BhtJkmCmsS</t>
  </si>
  <si>
    <t>Ada seorang fans Messi dari Mesir yang karena saling gembiranya Argentina Juara Dunia justeru bernasib memilukan. Mengapa?  https://t.co/5SqfNHfQmn  https://t.co/l00rC5ggAt</t>
  </si>
  <si>
    <t>ada seorang fans messi dari mesir yang karena saling gembiranya argentina juara dunia justeru bernasib memilukan mengapa</t>
  </si>
  <si>
    <t>['seorang', 'fans', 'messi', 'mesir', 'saling', 'gembiranya', 'argentina', 'juara', 'dunia', 'justeru', 'bernasib', 'memilukan']</t>
  </si>
  <si>
    <t>Parade Juara Piala Dunia 2022 Timnas Argentina di Buenos Aires harus selesai lebih cepat setelah beberapa penggemar melompat ke bus atap terbuka milik Timnas Argentina.üá¶üá∑üò± https://t.co/FNWK6XvRKc</t>
  </si>
  <si>
    <t>parade juara piala dunia timnas argentina buenos aires harus selesai lebih cepat setelah beberapa penggemar melompat bus atap terbuka milik timnas argentina</t>
  </si>
  <si>
    <t>['parade', 'juara', 'piala', 'dunia', 'timnas', 'argentina', 'buenos', 'aires', 'selesai', 'lebih', 'cepat', 'beberapa', 'penggemar', 'melompat', 'bus', 'atap', 'terbuka', 'milik', 'timnas', 'argentina']</t>
  </si>
  <si>
    <t>Momen antara Rodrigo de Paul dan Lionel Messi kembali jadi sorotan. Kali ini De Paul terlihat langsung menurut apa kata Messi dalam parade juara Argentina. #juaraboladunia    https://t.co/qmTYInfuTI</t>
  </si>
  <si>
    <t>momen antara rodrigo paul dan lionel messi kembali jadi sorotan kali ini paul terlihat langsung menurut apa kata messi dalam parade juara argentina</t>
  </si>
  <si>
    <t>['momen', 'rodrigo', 'paul', 'lionel', 'messi', 'jadi', 'sorotan', 'kali', 'paul', 'terlihat', 'langsung', 'apa', 'kata', 'messi', 'parade', 'juara', 'argentina']</t>
  </si>
  <si>
    <t>Pawai juara Piala Dunia Argentina menuai petaka hingga suporter Argentina dikabarkan bentrok dengan petugas keamanan.  https://t.co/iPoPInBoud</t>
  </si>
  <si>
    <t>pawai juara piala dunia argentina menuai petaka hingga suporter argentina dikabarkan bentrok dengan petugas keamanan</t>
  </si>
  <si>
    <t>['pawai', 'juara', 'piala', 'dunia', 'argentina', 'menuai', 'petaka', 'hingga', 'suporter', 'argentina', 'dikabarkan', 'bentrok', 'petugas', 'keamanan']</t>
  </si>
  <si>
    <t>Berstatus Juara Piala Dunia 2022, Ternyata Begini Kondisi Ekonomi Argentina, Tak Disangka!  https://t.co/4tvgmckWAU</t>
  </si>
  <si>
    <t>berstatus juara piala dunia ternyata begini kondisi ekonomi argentina tak disangka</t>
  </si>
  <si>
    <t>['berstatus', 'juara', 'piala', 'dunia', 'ternyata', 'begini', 'kondisi', 'ekonomi', 'argentina', 'tak', 'disangka']</t>
  </si>
  <si>
    <t>Juara Piala Dunia 2022, Romansa Lionel Messi dan Kebanggaan Argentina  https://t.co/opnV9lOinM</t>
  </si>
  <si>
    <t>juara piala dunia romansa lionel messi dan kebanggaan argentina</t>
  </si>
  <si>
    <t>['juara', 'piala', 'dunia', 'romansa', 'lionel', 'messi', 'kebanggaan', 'argentina']</t>
  </si>
  <si>
    <t>@recehtapisayng Argentina juara world cup 2022</t>
  </si>
  <si>
    <t>argentina juara world cup</t>
  </si>
  <si>
    <t>['argentina', 'juara', 'world', 'cup']</t>
  </si>
  <si>
    <t>di TV One juara Piala Dunia kemarin juga bukan Argentina</t>
  </si>
  <si>
    <t>one juara piala dunia kemarin juga bukan argentina</t>
  </si>
  <si>
    <t>['one', 'juara', 'piala', 'dunia', 'kemarin', 'bukan', 'argentina']</t>
  </si>
  <si>
    <t>@idextratime Nggak ada nge bahas era STY yg kandaskan jerman waktu itu padahal jerman banyak pemain bintangnya... dalam sepak bola apa yg tidak mungkin... mungkin ini sudah waktunya argentina juara...</t>
  </si>
  <si>
    <t>nggak ada nge bahas era sty kandaskan jerman waktu itu padahal jerman banyak pemain bintangnya dalam sepak bola apa tidak mungkin mungkin ini sudah waktunya argentina juara</t>
  </si>
  <si>
    <t>['nge', 'bahas', 'era', 'sty', 'kandaskan', 'jerman', 'waktu', 'padahal', 'jerman', 'banyak', 'pemain', 'bintangnya', 'sepak', 'bola', 'apa', 'mungkin', 'mungkin', 'waktunya', 'argentina', 'juara']</t>
  </si>
  <si>
    <t>Reil juara adalah Arab Saudi yang menang lawan argentina  https://t.co/9BpjiO1ISx</t>
  </si>
  <si>
    <t>reil juara adalah arab saudi yang menang lawan argentina</t>
  </si>
  <si>
    <t>['reil', 'juara', 'arab', 'saudi', 'menang', 'lawan', 'argentina']</t>
  </si>
  <si>
    <t>Fans Argentina juga berusaha nutupin fakta bahwa Argentina bisa juara lagi setelah Maradona Wafat.  Artinya keberadaan Maradona pasca pensiun ga bagus buat iklim sepakbola di sana.  Mungkin karena kedekatan Maradona dengan mafia serta gaya hidupnya yg barbar.</t>
  </si>
  <si>
    <t>fans argentina juga berusaha nutupin fakta bahwa argentina bisa juara lagi setelah maradona wafat artinya keberadaan maradona pasca pensiun bagus buat iklim sepakbola sana mungkin karena kedekatan maradona dengan mafia serta gaya hidupnya barbar</t>
  </si>
  <si>
    <t>['fans', 'argentina', 'berusaha', 'nutupin', 'fakta', 'argentina', 'juara', 'maradona', 'wafat', 'artinya', 'keberadaan', 'maradona', 'pasca', 'pensiun', 'bagus', 'buat', 'iklim', 'sepakbola', 'sana', 'mungkin', 'kedekatan', 'maradona', 'mafia', 'gaya', 'hidupnya', 'barbar']</t>
  </si>
  <si>
    <t>@FaktaSepakbola Inilah alasannya ga suka Argentina juara, tengil‚Äù pemainnya</t>
  </si>
  <si>
    <t>inilah alasannya suka argentina juara tengil pemainnya</t>
  </si>
  <si>
    <t>['inilah', 'alasannya', 'suka', 'argentina', 'juara', 'tengil', 'pemainnya']</t>
  </si>
  <si>
    <t>Pawai Juara Piala 2022 Timnas Argentina Tak Lanjut, Presiden AFA Minta Maaf   https://t.co/ial9rFq1Wi</t>
  </si>
  <si>
    <t>pawai juara piala timnas argentina tak lanjut presiden afa minta maaf</t>
  </si>
  <si>
    <t>['pawai', 'juara', 'piala', 'timnas', 'argentina', 'tak', 'lanjut', 'presiden', 'afa', 'minta', 'maaf']</t>
  </si>
  <si>
    <t>Tragis buat fans Barca. Argentina bisa juara saat Messi ga lagi di Barcelona.  Tragis juga buat fans Liverpool. Squad juara WC 2018 dan 2022 gak ada pemain dari liverpool.   Wajar kalau dua fans klub ini selancar maya ke sana kemari cuma bahasa dodo vs messi.   Buat nutupin malu?</t>
  </si>
  <si>
    <t>tragis buat fans barca argentina bisa juara saat messi lagi barcelona tragis juga buat fans liverpool squad juara dan gak ada pemain dari liverpool wajar kalau dua fans klub ini selancar maya sana kemari cuma bahasa dodo messi buat nutupin malu</t>
  </si>
  <si>
    <t>['tragis', 'buat', 'fans', 'barca', 'argentina', 'juara', 'messi', 'barcelona', 'tragis', 'buat', 'fans', 'liverpool', 'squad', 'juara', 'pemain', 'liverpool', 'wajar', 'kalau', 'fans', 'klub', 'selancar', 'maya', 'sana', 'kemari', 'cuma', 'bahasa', 'dodo', 'messi', 'buat', 'nutupin', 'malu']</t>
  </si>
  <si>
    <t>@ID_Albiceleste Gua mah BODO AMATAN mau orang bilang apa juga..yang penting JUARA piala dunia..hahaah VAMOS ARGENTINA.</t>
  </si>
  <si>
    <t>albiceleste gua mah bodo amatan mau orang bilang apa juga yang penting juara piala dunia hahaah vamos argentina</t>
  </si>
  <si>
    <t>['albiceleste', 'gua', 'mah', 'bodo', 'amatan', 'mau', 'orang', 'apa', 'penting', 'juara', 'piala', 'dunia', 'hahaah', 'vamos', 'argentina']</t>
  </si>
  <si>
    <t>Rusuh Pawai Juara Argentina: 31 Orang Luka dan 13 Ditangkap  https://t.co/HkCMmFZj30</t>
  </si>
  <si>
    <t>rusuh pawai juara argentina orang luka dan ditangkap</t>
  </si>
  <si>
    <t>['rusuh', 'pawai', 'juara', 'argentina', 'orang', 'luka', 'ditangkap']</t>
  </si>
  <si>
    <t>Argentina bisa juara karena: - Messi keluar dari Barcelona - Maradona wafat - Ga ada pemain Liverpoolnya   Fakta yg sulit diterima sebagian besar fans messi dan haters MU.   üòâ</t>
  </si>
  <si>
    <t>argentina bisa juara karena messi keluar dari barcelona maradona wafat ada pemain liverpoolnya fakta sulit diterima sebagian besar fans messi dan haters</t>
  </si>
  <si>
    <t>['argentina', 'juara', 'messi', 'keluar', 'barcelona', 'maradona', 'wafat', 'pemain', 'liverpoolnya', 'fakta', 'sulit', 'diterima', 'sebagian', 'besar', 'fans', 'messi', 'haters']</t>
  </si>
  <si>
    <t>@thecasualultra otw argentina mau ikut perayaan juara pildunnya.</t>
  </si>
  <si>
    <t>otw argentina mau ikut perayaan juara pildunnya</t>
  </si>
  <si>
    <t>['on the way', 'argentina', 'mau', 'ikut', 'perayaan', 'juara', 'pildunnya']</t>
  </si>
  <si>
    <t>Jadi Juara Piala Dunia 2022, Timnas Argentina Bawa Pulang Hadiah Rp 655 Miliar</t>
  </si>
  <si>
    <t>jadi juara piala dunia timnas argentina bawa pulang hadiah miliar</t>
  </si>
  <si>
    <t>['jadi', 'juara', 'piala', 'dunia', 'timnas', 'argentina', 'bawa', 'pulang', 'hadiah', 'miliar']</t>
  </si>
  <si>
    <t>Beda Perjuangan Diego Maradona dan Lionel Messi Bawa Argentina Juara Piala Dunia  https://t.co/mDtBK8rvx6 lewat @YouTube  https://t.co/BBNbXEMSmN</t>
  </si>
  <si>
    <t>beda perjuangan diego maradona dan lionel messi bawa argentina juara piala dunia lewat</t>
  </si>
  <si>
    <t>['beda', 'perjuangan', 'diego', 'maradona', 'lionel', 'messi', 'bawa', 'argentina', 'juara', 'piala', 'dunia', 'lewat']</t>
  </si>
  <si>
    <t>@ipul_ipulll @buddis1git @idextratime Yakin lahh..Masa harus bilang argentina lebih baik yg satu 4x juara dunia yg satu baru 3x..</t>
  </si>
  <si>
    <t>ipulll yakin lahh masa harus bilang argentina lebih baik satu juara dunia satu baru</t>
  </si>
  <si>
    <t>['ipulll', 'yakin', 'lahh', 'masa', 'argentina', 'lebih', 'baik', 'satu', 'juara', 'dunia', 'satu', 'baru']</t>
  </si>
  <si>
    <t>#BHsukan ‚ÄúDia berkata 'jika saya muncul juara dunia saya akan terus menyarung jersi Argentina hingga Piala Dunia berikutnya'‚Äù   https://t.co/8U01QHYFrN  #PialaDunia2022 #Qatar2022 #WorldCup2022 #FIFA2022</t>
  </si>
  <si>
    <t>dia berkata jika saya muncul juara dunia saya akan terus menyarung jersi argentina hingga piala dunia berikutnya</t>
  </si>
  <si>
    <t>['berkata', 'muncul', 'juara', 'dunia', 'terus', 'menyarung', 'jersi', 'argentina', 'hingga', 'piala', 'dunia', 'berikutnya']</t>
  </si>
  <si>
    <t>@labiebsadat Martinez lah dia juara Dunia, lawan Belanda dan france tanpa dia Argentina gak akan juara Dunia</t>
  </si>
  <si>
    <t>martinez lah dia juara dunia lawan belanda dan france tanpa dia argentina gak akan juara dunia</t>
  </si>
  <si>
    <t>['martinez', 'lah', 'juara', 'dunia', 'lawan', 'belanda', 'france', 'argentina', 'juara', 'dunia']</t>
  </si>
  <si>
    <t>Argentina pas juara kmrn jadiin itu hari libur nasional ga ya?....</t>
  </si>
  <si>
    <t>argentina pas juara kmrn jadiin itu hari libur nasional</t>
  </si>
  <si>
    <t>['argentina', 'pas', 'juara', 'kmrn', 'jadiin', 'hari', 'libur', 'nasional']</t>
  </si>
  <si>
    <t>@pernahgantenxt @peyol @SiaranBolaLive Senang yg pasti bang, beda kalo di sini cuma ngerayain Argentina juara eh malah main tusuk¬≤ Ampe mati üòÇüòÇüòÇüòÇ</t>
  </si>
  <si>
    <t>senang pasti bang beda kalo sini cuma ngerayain argentina juara malah main tusuk ampe mati</t>
  </si>
  <si>
    <t>['senang', 'bang', 'beda', 'sini', 'cuma', 'ngerayain', 'argentina', 'juara', 'malah', 'main', 'tusuk', 'sampai', 'mati']</t>
  </si>
  <si>
    <t>@_aryodamar @mnngentot @Joelboom3 @zenrs mau gol pinalti kek atau bolanya ditendang dari rumah mbappe trus gol kek, tetep aja Argentina juara üòú</t>
  </si>
  <si>
    <t>mau gol pinalti kek atau bolanya ditendang dari rumah mbappe trus gol kek tetep aja argentina juara</t>
  </si>
  <si>
    <t>['mau', 'gol', 'penalti', 'kek', 'bolanya', 'ditendang', 'rumah', 'mbappe', 'trus', 'gol', 'kek', 'tetep', 'argentina', 'juara']</t>
  </si>
  <si>
    <t>minggu kemaren itu Argentina juara Piala Dunia,  yang ke kantor dan kerja pasti pada ngantuk ya? Tapi ngomong2 ada nggak di negara lain menteri yg hampir dua minggu ( seminggu lebih) ninggalin kerjaannya demi nonton bola?   Nah kalau di negara lain gak ada, di Indonesia ada lho</t>
  </si>
  <si>
    <t>minggu kemaren itu argentina juara piala dunia yang kantor dan kerja pasti pada ngantuk tapi ngomong ada nggak negara lain menteri hampir dua minggu seminggu lebih ninggalin kerjaannya demi nonton bola nah kalau negara lain gak ada indonesia ada lho</t>
  </si>
  <si>
    <t>['minggu', 'kemarin', 'argentina', 'juara', 'piala', 'dunia', 'kantor', 'kerja', 'ngantuk', 'ngomong', 'negara', 'menteri', 'hampir', 'minggu', 'seminggu', 'lebih', 'ninggalin', 'kerjaannya', 'nonton', 'bola', 'nah', 'kalau', 'negara', 'indonesia', 'lho']</t>
  </si>
  <si>
    <t>@_aryodamar @mnngentot @Joelboom3 @zenrs Walaupun dibobol Mbappe 4x, yang jadi juara Argentina bukan Prancis hahahaha üòÖ</t>
  </si>
  <si>
    <t>walaupun dibobol mbappe yang jadi juara argentina bukan prancis hahahaha</t>
  </si>
  <si>
    <t>['walaupun', 'dibobol', 'mbappe', 'jadi', 'juara', 'argentina', 'bukan', 'prancis', 'hahahaha']</t>
  </si>
  <si>
    <t>@chaeryeohng @AriSeptianaaa @ensiklophob1a @PFLS4 @Partypoisonyeah @FaktaSepakbola Faktanya bang.....juara finalissima antara juara copa america 2021 (argentina) lawan juara UERO 2020 (italia) dimenangkan argentina juni 2022...skor telak 3-0</t>
  </si>
  <si>
    <t>faktanya bang juara finalissima antara juara copa america argentina lawan juara uero italia dimenangkan argentina juni skor telak</t>
  </si>
  <si>
    <t>['faktanya', 'bang', 'juara', 'finalissima', 'juara', 'copa', 'america', 'argentina', 'lawan', 'juara', 'uero', 'italia', 'dimenangkan', 'argentina', 'juni', 'skor', 'telak']</t>
  </si>
  <si>
    <t>@bittzone @Hafidh310 @syaldifadillah @idextratime @FCBarcelona Argentina bisa juara setelah Messi keluar dari Barca dan Maradona wafat.</t>
  </si>
  <si>
    <t>argentina bisa juara setelah messi keluar dari barca dan maradona wafat</t>
  </si>
  <si>
    <t>['argentina', 'juara', 'messi', 'keluar', 'barca', 'maradona', 'wafat']</t>
  </si>
  <si>
    <t>Ini akun kritik aje ngapadeh? Udeh kaya buzzer politik. Aguero yang mau foto mulu lu yang ribet, pemain argentina laen aje kaga ribet ngomentar. Kecuali aguero mantan pemain dan warga negara enggres gitu terus foto bareng pemain argen yang juara. Payeh ah ampas!</t>
  </si>
  <si>
    <t>ini akun kritik aje ngapadeh udeh kaya buzzer politik aguero yang mau foto mulu yang ribet pemain argentina laen aje kaga ribet ngomentar kecuali aguero mantan pemain dan warga negara enggres gitu terus foto bareng pemain argen yang juara payeh ampas</t>
  </si>
  <si>
    <t>['akun', 'kritik', 'aje', 'ngapadeh', 'udeh', 'kaya', 'buzzer', 'politik', 'aguero', 'mau', 'foto', 'mulu', 'ribet', 'pemain', 'argentina', 'laen', 'aje', 'kaga', 'ribet', 'ngomentar', 'aguero', 'mantan', 'pemain', 'warga', 'negara', 'enggres', 'gitu', 'terus', 'foto', 'bareng', 'pemain', 'argen', 'juara', 'payeh', 'ampas']</t>
  </si>
  <si>
    <t>Diperkirakan lebih dari 4 juta orang tumpah ruah ke jalanan Buenos Aires untuk menyambut parade juara dunia Argentina. ü•≥üéâüôå  Vamos Argentina! üá¶üá∑  #FIFAWorldCup #Qatar2022 #ARG  https://t.co/pr5yyHbqSo</t>
  </si>
  <si>
    <t>diperkirakan lebih dari juta orang tumpah ruah jalanan buenos aires untuk menyambut parade juara dunia argentina vamos argentina</t>
  </si>
  <si>
    <t>['diperkirakan', 'lebih', 'juta', 'orang', 'tumpah', 'ruah', 'jalanan', 'buenos', 'aires', 'menyambut', 'parade', 'juara', 'dunia', 'argentina', 'vamos', 'argentina']</t>
  </si>
  <si>
    <t>@myskill_id beli BRIS yang banyak pas awal2 pandemi, jual pas harga di puncak, biar kaya raya. trus pasang taruhan argentina juara final lawan perancis.</t>
  </si>
  <si>
    <t>beli bris yang banyak pas awal pandemi jual pas harga puncak biar kaya raya trus pasang taruhan argentina juara final lawan perancis</t>
  </si>
  <si>
    <t>['beli', 'bris', 'banyak', 'pas', 'awal', 'pandemi', 'jual', 'pas', 'harga', 'puncak', 'kaya', 'raya', 'trus', 'pasang', 'taruhan', 'argentina', 'juara', 'final', 'lawan', 'perancis']</t>
  </si>
  <si>
    <t>Piala Dunia 2022: Tim Tango Juara, Lionel Messi Dijadikan Nama Jalan di Argentina  https://t.co/zP2AReOefd</t>
  </si>
  <si>
    <t>piala dunia tim tango juara lionel messi dijadikan nama jalan argentina</t>
  </si>
  <si>
    <t>['piala', 'dunia', 'tim', 'tango', 'juara', 'lionel', 'messi', 'dijadikan', 'nama', 'jalan', 'argentina']</t>
  </si>
  <si>
    <t>@bushtommy Meski saya orang Argentina, saya bangga kenalan dgn orang Bangkalan. Catatan: Kalau Perancis yg juara dunia, saya akan ngaku sbg orang Perancis. ü§£üòÇü§£üòÇ</t>
  </si>
  <si>
    <t>meski saya orang argentina saya bangga kenalan dgn orang bangkalan catatan kalau perancis juara dunia saya akan ngaku sbg orang perancis</t>
  </si>
  <si>
    <t>['meski', 'orang', 'argentina', 'bangga', 'kenalan', 'orang', 'bangkalan', 'catatan', 'kalau', 'perancis', 'juara', 'dunia', 'ngaku', 'sbg', 'orang', 'perancis']</t>
  </si>
  <si>
    <t>Masih aja ya argentina juara dibilang setingan..üòÅ  Kek nya yg blng getu bnr deh fans nya  cr7 ,"pokoknya gak terima klu mesi angkat tropi" ini tmn ku yg fans cr7 blng bgt (sblm final),eh mlh juara üòÄ Klu diset dr awal.prancis gk prl dkasih pinalti,2 kali lg</t>
  </si>
  <si>
    <t>masih aja argentina juara dibilang setingan kek nya blng getu bnr deh fans nya pokoknya gak terima klu mesi angkat tropi ini tmn fans blng bgt sblm final mlh juara klu diset awal prancis prl dkasih pinalti kali</t>
  </si>
  <si>
    <t>['argentina', 'juara', 'dibilang', 'settingan', 'kek', 'blng', 'getu', 'bnr', 'deh', 'fans', 'pokoknya', 'terima', 'klu', 'mesi', 'angkat', 'trofi', 'tmn', 'fans', 'blng', 'banget', 'sebelum', 'final', 'mlh', 'juara', 'klu', 'diset', 'awal', 'prancis', 'prl', 'dkasih', 'penalti', 'kali']</t>
  </si>
  <si>
    <t>@FaktaSepakbola Argentina mengalahkan Prancis as a team. Mbappe ngalahin Emi secara individu 4 gol di final wkwk "juara mah bebas" tapi Mbappuk ini udah juara. Itu yg bikin rame wkwk bola emg unik, seru kalo ada beginianü§£üòÅ</t>
  </si>
  <si>
    <t>argentina mengalahkan prancis team mbappe ngalahin emi secara individu gol final wkwk juara mah bebas tapi mbappuk ini udah juara itu bikin rame wkwk bola emg unik seru kalo ada beginian</t>
  </si>
  <si>
    <t>['argentina', 'mengalahkan', 'prancis', 'team', 'mbappe', 'ngalahin', 'emi', 'individu', 'gol', 'final', 'juara', 'mah', 'bebas', 'mbappuk', 'udah', 'juara', 'ramai', 'bola', 'memang', 'unik', 'seru', 'beginian']</t>
  </si>
  <si>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</si>
  <si>
    <t>sempat mengumumkan bahwa piala dunia akan jadi penampilan terakhirnya namun kini lionel messi memastikan tak akan gantung sepatu level internasional pasca argentina berhasil keluar sebagai juara piala dunia</t>
  </si>
  <si>
    <t>['sempat', 'mengumumkan', 'piala', 'dunia', 'jadi', 'penampilan', 'terakhirnya', 'kini', 'lionel', 'messi', 'memastikan', 'tak', 'gantung', 'sepatu', 'level', 'internasional', 'pasca', 'argentina', 'berhasil', 'keluar', 'juara', 'piala', 'dunia']</t>
  </si>
  <si>
    <t>Argentina Juara Piala Dunia, Pemuda Asal Mesir Meninggal  https://t.co/1jkvCdW4sW</t>
  </si>
  <si>
    <t>argentina juara piala dunia pemuda asal mesir meninggal</t>
  </si>
  <si>
    <t>['argentina', 'juara', 'piala', 'dunia', 'pemuda', 'asal', 'mesir', 'meninggal']</t>
  </si>
  <si>
    <t>Parade juara timnas Argentina terpaksa dihentikan karena tidak bisa menembus lautan manusia di Buenos Aires. Messi Cs pun akhirnya diangkut dengan helikopter! #juaraboladunia    https://t.co/F27dpTjCAC</t>
  </si>
  <si>
    <t>@ThomShelby007 @Tribalchief666 @SeputarMadrid @realmadridindo1 Bagi bandidos mungkin Argentina juara World Cup 2022 dianggepnya pencapaian buat Barcelona kali, ya tapi gak masuk akal juga kalo Spain gue masih ngerti lah karena banyak pemain Barca nya, Dia</t>
  </si>
  <si>
    <t>bagi bandidos mungkin argentina juara world cup dianggepnya pencapaian buat barcelona kali tapi gak masuk akal juga kalo spain gue masih ngerti lah karena banyak pemain barca nya dia</t>
  </si>
  <si>
    <t>['bandidos', 'mungkin', 'argentina', 'juara', 'world', 'cup', 'dianggepnya', 'pencapaian', 'buat', 'barcelona', 'kali', 'masuk', 'akal', 'spain', 'gue', 'ngerti', 'lah', 'banyak', 'pemain', 'barca']</t>
  </si>
  <si>
    <t>Perayaan Juara Piala Dunia 2022 di Argentina Chaos Sampai Menimbulkan Korban¬†Jiwa  https://t.co/FvgDp0j7M7</t>
  </si>
  <si>
    <t>perayaan juara piala dunia argentina chaos sampai menimbulkan korban jiwa</t>
  </si>
  <si>
    <t>['perayaan', 'juara', 'piala', 'dunia', 'argentina', 'chaos', 'menimbulkan', 'korban', 'jiwa']</t>
  </si>
  <si>
    <t>@idextratime Indonesia bagaikan Portugal yg susah juara dan Thailand Argentina nya ü§ò</t>
  </si>
  <si>
    <t>indonesia bagaikan portugal susah juara dan thailand argentina nya</t>
  </si>
  <si>
    <t>['indonesia', 'bagaikan', 'portugal', 'susah', 'juara', 'thailand', 'argentina']</t>
  </si>
  <si>
    <t>Sejak mereka petantang-petenteng, termasuk Leo yang jadi gampang ngamukan, malah makin percaya diri Argentina bakal juara.  Apalagi ditambah tuduhan settingan dll. Makin yakin.  Karena emang itu modal utama kita, yang hilang selama 36 tahun belakanganüòÇ</t>
  </si>
  <si>
    <t>sejak mereka petantang petenteng termasuk leo yang jadi gampang ngamukan malah makin percaya diri argentina bakal juara apalagi ditambah tuduhan settingan dll makin yakin karena emang itu modal utama kita yang hilang selama tahun belakangan</t>
  </si>
  <si>
    <t>['sejak', 'petantang', 'petenteng', 'termasuk', 'leo', 'jadi', 'gampang', 'ngamukan', 'malah', 'makin', 'percaya', 'diri', 'argentina', 'bakal', 'juara', 'ditambah', 'tuduhan', 'settingan', 'makin', 'yakin', 'emang', 'modal', 'utama', 'hilang', 'selama', 'tahun', 'belakangan']</t>
  </si>
  <si>
    <t>Apa yang dilakukan Lionel Messi usai Argentina juara Piala Dunia 2022? Dia tidur dengan trofinya!  https://t.co/oVQHwbKqtV</t>
  </si>
  <si>
    <t>apa yang dilakukan lionel messi usai argentina juara piala dunia dia tidur dengan trofinya</t>
  </si>
  <si>
    <t>['apa', 'dilakukan', 'lionel', 'messi', 'usai', 'argentina', 'juara', 'piala', 'dunia', 'tidur', 'trofinya']</t>
  </si>
  <si>
    <t>@fietra @Vikarlito @idextratime sepakat, argentina bisa juara tahun ini grgr ada sosok pembeda, messi. Setelah messi pensiun juga menurut gua sulit buat berbicara di WC 2026</t>
  </si>
  <si>
    <t>sepakat argentina bisa juara tahun ini grgr ada sosok pembeda messi setelah messi pensiun juga menurut gua sulit buat berbicara</t>
  </si>
  <si>
    <t>['sepakat', 'argentina', 'juara', 'tahun', 'grgr', 'sosok', 'pembeda', 'messi', 'messi', 'pensiun', 'gua', 'sulit', 'buat', 'berbicara']</t>
  </si>
  <si>
    <t>Kelakuan Menjengkelkan Salt Bae pada Perayaan Argentina Jadi Juara Piala Dunia 2022: Cium Trofi dan Ganggu Lionel Messi  https://t.co/uHaKuW53tU</t>
  </si>
  <si>
    <t>kelakuan menjengkelkan salt bae pada perayaan argentina jadi juara piala dunia cium trofi dan ganggu lionel messi</t>
  </si>
  <si>
    <t>['kelakuan', 'menjengkelkan', 'salt', 'bae', 'perayaan', 'argentina', 'jadi', 'juara', 'piala', 'dunia', 'cium', 'trofi', 'ganggu', 'lionel', 'messi']</t>
  </si>
  <si>
    <t>@MafiaWasit argentina menyematkan bintang warna emas di atas logo AFA krn juara piala dunia. klo indonesia juara aff boleh menyematkan bintang warna besi teyengen diatas logo PSSI ga mbah ?</t>
  </si>
  <si>
    <t>argentina menyematkan bintang warna emas atas logo afa krn juara piala dunia klo indonesia juara aff boleh menyematkan bintang warna besi teyengen diatas logo pssi mbah</t>
  </si>
  <si>
    <t>['argentina', 'menyematkan', 'bintang', 'warna', 'emas', 'atas', 'logo', 'afa', 'juara', 'piala', 'dunia', 'indonesia', 'juara', 'aff', 'menyematkan', 'bintang', 'warna', 'besi', 'teyengen', 'diatas', 'logo', 'pssi', 'mbah']</t>
  </si>
  <si>
    <t>Pacar Cristiano Ronaldo, Georgina Rodriguez diledek usai Messi dan Argentina juara Piala Dunia 2022 namun ia tak merayakannya.  https://t.co/kPlqBG3ljV</t>
  </si>
  <si>
    <t>pacar cristiano ronaldo georgina rodriguez diledek usai messi dan argentina juara piala dunia namun tak merayakannya</t>
  </si>
  <si>
    <t>['pacar', 'cristiano', 'ronaldo', 'georgina', 'rodriguez', 'diledek', 'usai', 'messi', 'argentina', 'juara', 'piala', 'dunia', 'tak', 'merayakannya']</t>
  </si>
  <si>
    <t>Sekitar empat juta atau lima juta fans Argentina tumpah ruah memenuhi jalanan Buenos Aires dalam parade juara Piala Dunia. Saking padatnya, para pemain pun harus diangkut pergi menggunakan helikopter.   https://t.co/X23atjQ9JX</t>
  </si>
  <si>
    <t>sekitar empat juta atau lima juta fans argentina tumpah ruah memenuhi jalanan buenos aires dalam parade juara piala dunia saking padatnya para pemain pun harus diangkut pergi menggunakan helikopter</t>
  </si>
  <si>
    <t>['empat', 'juta', 'lima', 'juta', 'fans', 'argentina', 'tumpah', 'ruah', 'memenuhi', 'jalanan', 'buenos', 'aires', 'parade', 'juara', 'piala', 'dunia', 'saking', 'padatnya', 'pemain', 'diangkut', 'pergi', 'menggunakan', 'helikopter']</t>
  </si>
  <si>
    <t xml:space="preserve"> https://t.co/LLC8stTZjn - Parade Juara Piala Dunia Argentina Dihentikan  https://t.co/oCS0abgouB  https://t.co/OOcFRzLvC2</t>
  </si>
  <si>
    <t>parade juara piala dunia argentina dihentikan</t>
  </si>
  <si>
    <t>['parade', 'juara', 'piala', 'dunia', 'argentina', 'dihentikan']</t>
  </si>
  <si>
    <t>Parade juara Timnas Argentina berujung tragedi: Satu orang dewasa tewas dan bocah usia 5 tahun koma  https://t.co/pNnu829FZG</t>
  </si>
  <si>
    <t>parade juara timnas argentina berujung tragedi satu orang dewasa tewas dan bocah usia tahun koma</t>
  </si>
  <si>
    <t>['parade', 'juara', 'timnas', 'argentina', 'berujung', 'tragedi', 'satu', 'orang', 'dewasa', 'tewas', 'bocah', 'usia', 'tahun', 'koma']</t>
  </si>
  <si>
    <t>@BmkgSobat @yangtwtwaje @idextratime Bedanya Argentina 1990 dan Brazil 1998 sbg juara bertahan World Cup di era new trophy; itu mereka runner-up kalah scoreline di match nya  Sedangkan France di 2022 ini memang runner-up juga, tapi cuman lewat adu penalty</t>
  </si>
  <si>
    <t>bedanya argentina dan brazil sbg juara bertahan world cup era new trophy itu mereka runner kalah scoreline match nya sedangkan france ini memang runner juga tapi cuman lewat adu penalty</t>
  </si>
  <si>
    <t>['bedanya', 'argentina', 'brazil', 'sbg', 'juara', 'bertahan', 'world', 'cup', 'era', 'new', 'trophy', 'runner', 'kalah', 'scoreline', 'match', 'france', 'memang', 'runner', 'cuman', 'lewat', 'adu', 'penalty']</t>
  </si>
  <si>
    <t>@salerisen @Sastri Beda bgt lah dik, juara 1 harusnya yg ga pernah kalah, dan sastri emg ga pernah kalah. Argentina pernah kalah sama Arab wkslol, jd Sastri &amp;gt;&amp;gt;&amp;gt; Argentina</t>
  </si>
  <si>
    <t>beda bgt lah dik juara harusnya pernah kalah dan sastri emg pernah kalah argentina pernah kalah sama arab wkslol sastri argentina</t>
  </si>
  <si>
    <t>['beda', 'banget', 'lah', 'dik', 'juara', 'harusnya', 'pernah', 'kalah', 'sastri', 'memang', 'pernah', 'kalah', 'argentina', 'pernah', 'kalah', 'sama', 'arab', 'wkslol', 'sastri', 'argentina']</t>
  </si>
  <si>
    <t>&lt;FreqDist with 14 samples and 20 outcomes&gt;</t>
  </si>
  <si>
    <t>@idextratime Kok bisa ya min pemain bertabur bintang gini gak bisa masuk semifinal. Sedangkan argentina dengan pemain mediokernya bisa sampe juara. Gak ngerti lagi sama messi. A magic man.</t>
  </si>
  <si>
    <t>kok bisa min pemain bertabur bintang gini gak bisa masuk semifinal sedangkan argentina dengan pemain mediokernya bisa sampe juara gak ngerti lagi sama messi magic man</t>
  </si>
  <si>
    <t>['kok', 'min', 'pemain', 'bertabur', 'bintang', 'gini', 'masuk', 'semifinal', 'argentina', 'pemain', 'mediokernya', 'sampai', 'juara', 'ngerti', 'sama', 'messi', 'magic', 'man']</t>
  </si>
  <si>
    <t>Saat diragukan, Lionel Scaloni tetap fokus. Sebab, pada akhirnya, sebagai pelatih Argentina pembuktiannya di lapangan, dari hasil kerja, bukan kata-kata. Kini, dari status diragukan oleh legenda, dia jadi legenda. Setara Menotti dan Bilardo, juara dunia.  https://t.co/H8GRDySGCY</t>
  </si>
  <si>
    <t>saat diragukan lionel scaloni tetap fokus sebab pada akhirnya sebagai pelatih argentina pembuktiannya lapangan dari hasil kerja bukan kata kata kini dari status diragukan oleh legenda dia jadi legenda setara menotti dan bilardo juara dunia</t>
  </si>
  <si>
    <t>['diragukan', 'lionel', 'scaloni', 'tetap', 'fokus', 'akhirnya', 'pelatih', 'argentina', 'pembuktiannya', 'lapangan', 'hasil', 'kerja', 'bukan', 'kata', 'kata', 'kini', 'status', 'diragukan', 'legenda', 'jadi', 'legenda', 'setara', 'menotti', 'bilardo', 'juara', 'dunia']</t>
  </si>
  <si>
    <t>Perayaan gelar juara timnas Argentina menggunakan bus dengan atap terbuka di Buenos Aires pada Selasa (20/12) pukul 11.45 waktu setempat, berujung ricuh.  More :  https://t.co/JQXgtDEaMD  #pialadunia #chaosargentina #imsport</t>
  </si>
  <si>
    <t>perayaan gelar juara timnas argentina menggunakan bus dengan atap terbuka buenos aires pada selasa pukul waktu setempat berujung ricuh more</t>
  </si>
  <si>
    <t>['perayaan', 'gelar', 'juara', 'timnas', 'argentina', 'menggunakan', 'bus', 'atap', 'terbuka', 'buenos', 'aires', 'selasa', 'pukul', 'waktu', 'setempat', 'berujung', 'ricuh', 'more']</t>
  </si>
  <si>
    <t>@fatadi7 @snickerafael @idextratime bisa jadi dia satu2nya org argentina yg gabisa ngerayain argentina juara</t>
  </si>
  <si>
    <t>bisa jadi dia satu nya org argentina gabisa ngerayain argentina juara</t>
  </si>
  <si>
    <t>['jadi', 'satu', 'org', 'argentina', 'gabisa', 'ngerayain', 'argentina', 'juara']</t>
  </si>
  <si>
    <t>@_Pangareho Allah maha penyayang, pak Jokowi merestui Argentina untuk menjadi juara!!!!! Semoga Allah juga memberi kesehatan pak Jokowi sekeluarga! Aminnnnn</t>
  </si>
  <si>
    <t>allah maha penyayang pak jokowi merestui argentina untuk menjadi juara semoga allah juga memberi kesehatan pak jokowi sekeluarga aminnnnn</t>
  </si>
  <si>
    <t>['allah', 'maha', 'penyayang', 'pak', 'jokowi', 'merestui', 'argentina', 'menjadi', 'juara', 'semoga', 'allah', 'memberi', 'kesehatan', 'pak', 'jokowi', 'sekeluarga', 'aminnnnn']</t>
  </si>
  <si>
    <t>Perayaan juara piala dunia di Argentina, dari jauh di lihat orang sperti semut. Dan itu bukan 7juta/lebih.. Di perkirakan manusia merayakan itu jumlahnya cuma puluhan ribu saja.  https://t.co/cTKuWMDl1v</t>
  </si>
  <si>
    <t>perayaan juara piala dunia argentina dari jauh lihat orang sperti semut dan itu bukan juta lebih perkirakan manusia merayakan itu jumlahnya cuma puluhan ribu saja</t>
  </si>
  <si>
    <t>['perayaan', 'juara', 'piala', 'dunia', 'argentina', 'jauh', 'lihat', 'orang', 'sperti', 'semut', 'bukan', 'juta', 'lebih', 'perkirakan', 'manusia', 'merayakan', 'jumlahnya', 'cuma', 'puluhan', 'ribu']</t>
  </si>
  <si>
    <t>Lionel Messi akhirnya sukses mempersembahkan gelar juara Piala Dunia 2022 untuk Argentina. Dia pun mempersembahkan trofi ini untuk para pendahulunya, termasuk legenda sepak bola Diego Maradona.  https://t.co/MBxdXGbRYs  https://t.co/vzTdb1wncq</t>
  </si>
  <si>
    <t>lionel messi akhirnya sukses mempersembahkan gelar juara piala dunia untuk argentina dia pun mempersembahkan trofi ini untuk para pendahulunya termasuk legenda sepak bola diego maradona</t>
  </si>
  <si>
    <t>['lionel', 'messi', 'akhirnya', 'sukses', 'mempersembahkan', 'gelar', 'juara', 'piala', 'dunia', 'argentina', 'mempersembahkan', 'trofi', 'pendahulunya', 'termasuk', 'legenda', 'sepak', 'bola', 'diego', 'maradona']</t>
  </si>
  <si>
    <t>Tingkah Fans di Pawai Juara Argentina: Aksi Bugil hingga Vandalisme  https://t.co/xbdioTT0yr</t>
  </si>
  <si>
    <t>@jurusmacan @d4nay @Pmangsud @anabeleSUNTER @idextratime Dan faktanya argentina yg dari Amerika latin juara world cup</t>
  </si>
  <si>
    <t>dan faktanya argentina dari amerika latin juara world cup</t>
  </si>
  <si>
    <t>['faktanya', 'argentina', 'amerika', 'latin', 'juara', 'world', 'cup']</t>
  </si>
  <si>
    <t>@HideTride @Mrvarianttt @RevoNugroho @registaco Itu udah paham. Kalo bodoh gausah kebangetan lah, kalo ga kompetitif ya ga bakal menjual, lu pikir liga Inggris menjual karna apa? Kompetitif kan?  Bodoh gausah diborong lah, Argentina emang tim terbaik pild</t>
  </si>
  <si>
    <t>itu udah paham kalo bodoh gausah kebangetan lah kalo kompetitif bakal menjual pikir liga inggris menjual karna apa kompetitif kan bodoh gausah diborong lah argentina emang tim terbaik pild</t>
  </si>
  <si>
    <t>['udah', 'paham', 'bodoh', 'gausah', 'kebangetan', 'lah', 'kompetitif', 'bakal', 'menjual', 'pikir', 'liga', 'inggris', 'menjual', 'karna', 'apa', 'kompetitif', 'kan', 'bodoh', 'gausah', 'diborong', 'lah', 'argentina', 'emang', 'tim', 'terbaik', 'pild']</t>
  </si>
  <si>
    <t>Pesta Gelar Juara Argentina Ricuh, Lionel Messi Cs Dievakuasi Helikopter  #Argentina #WorldCupFinal   https://t.co/6cCo1dbDBB via @YouTube</t>
  </si>
  <si>
    <t>pesta gelar juara argentina ricuh lionel messi dievakuasi helikopter via</t>
  </si>
  <si>
    <t>['pesta', 'gelar', 'juara', 'argentina', 'ricuh', 'lionel', 'messi', 'dievakuasi', 'helikopter', 'via']</t>
  </si>
  <si>
    <t>@idextratime Messi juara di timnas argentina setelah maradona meninggoy. So..........</t>
  </si>
  <si>
    <t>messi juara timnas argentina setelah maradona meninggoy</t>
  </si>
  <si>
    <t>['messi', 'juara', 'timnas', 'argentina', 'maradona', 'meninggoy']</t>
  </si>
  <si>
    <t>@gabut_mang @Mrvarianttt @RevoNugroho @registaco Pemain argentina sebagian besar baru aja pada join ke eropa sejak juara copa, sebelum juara copa dan mungking ngalahin italy di final mereka masih pemain klub lokal, atau baru saja pindah. Silahkan cek send</t>
  </si>
  <si>
    <t>mang pemain argentina sebagian besar baru aja pada join eropa sejak juara copa sebelum juara copa dan mungking ngalahin italy final mereka masih pemain klub lokal atau baru saja pindah silahkan cek send</t>
  </si>
  <si>
    <t>['mang', 'pemain', 'argentina', 'sebagian', 'besar', 'baru', 'join', 'eropa', 'sejak', 'juara', 'copa', 'juara', 'copa', 'mungking', 'ngalahin', 'italy', 'final', 'pemain', 'klub', 'lokal', 'baru', 'pindah', 'silahkan', 'cek', 'send']</t>
  </si>
  <si>
    <t>what if lautaro masukin semua peluang enak itu, mulus anjir argentina jadi juara, ga perlu penalti ama belanda, ga perlu drama lawan prancis  ya tp itulah serunya sepakbola, dengan drama-dramanya</t>
  </si>
  <si>
    <t>what lautaro masukin semua peluang enak itu mulus anjir argentina jadi juara perlu penalti ama belanda perlu drama lawan prancis itulah serunya sepakbola dengan drama dramanya</t>
  </si>
  <si>
    <t>['what', 'lautaro', 'masukin', 'semua', 'peluang', 'enak', 'mulus', 'anjir', 'argentina', 'jadi', 'juara', 'perlu', 'penalti', 'ama', 'belanda', 'perlu', 'drama', 'lawan', 'prancis', 'serunya', 'sepakbola', 'drama', 'dramanya']</t>
  </si>
  <si>
    <t>@Mrvarianttt @RevoNugroho @registaco Lu yang bangsat baca statement mbappe lagi, dia meragukan seberapa kompetitifnya persaingan negara negara amerika selatan brazil dan argentina, dalam hal ini yg dia bahas copa amerika. Faktanya juara copa amerika ngala</t>
  </si>
  <si>
    <t>yang bangsat baca statement mbappe lagi dia meragukan seberapa kompetitifnya persaingan negara negara amerika selatan brazil dan argentina dalam hal ini dia bahas copa amerika faktanya juara copa amerika ngala</t>
  </si>
  <si>
    <t>['bangsat', 'baca', 'statement', 'mbappe', 'meragukan', 'seberapa', 'kompetitifnya', 'persaingan', 'negara', 'negara', 'amerika', 'selatan', 'brazil', 'argentina', 'bahas', 'copa', 'amerika', 'faktanya', 'juara', 'copa', 'amerika', 'ngala']</t>
  </si>
  <si>
    <t>@j_arga2 @aunrrahman Iyaa emang, makanya. Ngliat 1 Almeida yg lebih inferior dr striker Argentina, gak membuat Portugal keluar dr bursa juara kn?</t>
  </si>
  <si>
    <t>arga iyaa emang makanya ngliat almeida lebih inferior striker argentina gak membuat portugal keluar bursa juara</t>
  </si>
  <si>
    <t>['arga', 'iyaa', 'emang', 'makanya', 'ngliat', 'almeida', 'lebih', 'inferior', 'striker', 'argentina', 'membuat', 'portugal', 'keluar', 'bursa', 'juara']</t>
  </si>
  <si>
    <t>@gabut_mang @Mrvarianttt @RevoNugroho @registaco Dia gak bicara soal liga di amerika selatan, dia bicara soal kompetitif amerika selatan, dia gak tau seberapa kompetitif copa amerika, faktanya argentina ngalahin juara bertahan euro dan juara bertahan pial</t>
  </si>
  <si>
    <t>mang dia gak bicara soal liga amerika selatan dia bicara soal kompetitif amerika selatan dia gak tau seberapa kompetitif copa amerika faktanya argentina ngalahin juara bertahan euro dan juara bertahan pial</t>
  </si>
  <si>
    <t>['mang', 'bicara', 'soal', 'liga', 'amerika', 'selatan', 'bicara', 'soal', 'kompetitif', 'amerika', 'selatan', 'seberapa', 'kompetitif', 'copa', 'amerika', 'faktanya', 'argentina', 'ngalahin', 'juara', 'bertahan', 'euro', 'juara', 'bertahan', 'pial']</t>
  </si>
  <si>
    <t>Detik-detik Lionel Messi Nyaris Terjatuh dari Bus saat Perayaan Argentina Juara Piala Dunia 2022  https://t.co/8MDIaqTfhR</t>
  </si>
  <si>
    <t>detik detik lionel messi nyaris terjatuh dari bus saat perayaan argentina juara piala dunia</t>
  </si>
  <si>
    <t>['detik', 'detik', 'lionel', 'messi', 'nyaris', 'terjatuh', 'bus', 'perayaan', 'argentina', 'juara', 'piala', 'dunia']</t>
  </si>
  <si>
    <t>@irzirzn Skuad terbaik argentina (seinget saya) jaman batigol veron cs kurangnya dsini kayanya deh, makanya g pernah juara</t>
  </si>
  <si>
    <t>skuad terbaik argentina seinget saya jaman batigol veron kurangnya dsini kayanya deh makanya pernah juara</t>
  </si>
  <si>
    <t>['skuad', 'terbaik', 'argentina', 'seinget', 'jaman', 'batigol', 'veron', 'kurangnya', 'dsini', 'kayanya', 'deh', 'makanya', 'pernah', 'juara']</t>
  </si>
  <si>
    <t>@RevoNugroho @mnngentot @Mrvarianttt @registaco Membela yang buruk dari yang lebih buruk itu gak buat dia jadi baik, Mbappe setim ama neymar, marquinhos, messi, kalau dia hormat gak seharusnya ngomong bgitu, liat messi saat di tanya dia unggulin prancis d</t>
  </si>
  <si>
    <t>membela yang buruk dari yang lebih buruk itu gak buat dia jadi baik mbappe setim ama neymar marquinhos messi kalau dia hormat gak seharusnya ngomong bgitu liat messi saat tanya dia unggulin prancis</t>
  </si>
  <si>
    <t>['membela', 'buruk', 'lebih', 'buruk', 'buat', 'jadi', 'baik', 'mbappe', 'setim', 'ama', 'neymar', 'marquinhos', 'messi', 'kalau', 'hormat', 'ngomong', 'bgitu', 'lihat', 'messi', 'tanya', 'unggulin', 'prancis']</t>
  </si>
  <si>
    <t>Penasaran bagaimana meriahnya arak-arakan juara #PialaDunia2022 Argentina dilihat dari udara? Tonton di sini!  #Argentina #FIFAWorldCup #Qatar2022  https://t.co/jtJx1bzra3</t>
  </si>
  <si>
    <t>penasaran bagaimana meriahnya arak arakan juara argentina dilihat dari udara tonton sini</t>
  </si>
  <si>
    <t>['penasaran', 'bagaimana', 'meriahnya', 'arak', 'arakan', 'juara', 'argentina', 'dilihat', 'udara', 'tonton', 'sini']</t>
  </si>
  <si>
    <t>@makanbolaplus Scaloni jurulatih terbaik Argentina. Juara Copa America, juara Piala Maradona vs Italy, juara piala dunia</t>
  </si>
  <si>
    <t>scaloni jurulatih terbaik argentina juara copa america juara piala maradona italy juara piala dunia</t>
  </si>
  <si>
    <t>['scaloni', 'jurulatih', 'terbaik', 'argentina', 'juara', 'copa', 'america', 'juara', 'piala', 'maradona', 'italy', 'juara', 'piala', 'dunia']</t>
  </si>
  <si>
    <t>Tim Tango keluar sebagai juara dunia melalui drama adu penalti dengan skor 4-2, di mana sebelumnya kedua tim bermain sama kuat 3-3.  Wah jago juga nih prediksi jitu Erick Thohir?   #PrediksiJitu #RamalanETHo #ErickThohir #ArgentinaJuara #PialaDunia2022  https://t.co/hcPs4b6aEZ</t>
  </si>
  <si>
    <t>tim tango keluar sebagai juara dunia melalui drama adu penalti dengan skor mana sebelumnya kedua tim bermain sama kuat wah jago juga nih prediksi jitu erick thohir</t>
  </si>
  <si>
    <t>['tim', 'tango', 'keluar', 'juara', 'dunia', 'melalui', 'drama', 'adu', 'penalti', 'skor', 'mana', 'sebelumnya', 'kedua', 'tim', 'bermain', 'sama', 'kuat', 'wah', 'jago', 'prediksi', 'jitu', 'erick', 'thohir']</t>
  </si>
  <si>
    <t>@HideTride @Mrvarianttt @RevoNugroho @registaco Belajar bahasa Inggris bro, mudah itu. Hampir semua skuad Argentina main di Eropa aja udah cukup buktiin kalo sepakbola Eropa lebih maju, toh dia juga bicara fakta kalo 20 tahun sebelum argen juara skrg, did</t>
  </si>
  <si>
    <t>belajar bahasa inggris bro mudah itu hampir semua skuad argentina main eropa aja udah cukup buktiin kalo sepakbola eropa lebih maju toh dia juga bicara fakta kalo tahun sebelum argen juara skrg did</t>
  </si>
  <si>
    <t>['belajar', 'bahasa', 'inggris', 'bro', 'mudah', 'hampir', 'semua', 'skuad', 'argentina', 'main', 'eropa', 'udah', 'cukup', 'buktiin', 'sepakbola', 'eropa', 'lebih', 'maju', 'bicara', 'fakta', 'tahun', 'argen', 'juara', 'skrg', 'did']</t>
  </si>
  <si>
    <t>Kiper Argentina, Emiliano Martinez terlihat membawa boneka bayi berwajah Kylian Mbappe saat parade Juara Piala Dunia 2022.  üîó https://t.co/I9VpD9oUXA  https://t.co/RhlC135h1z</t>
  </si>
  <si>
    <t>kiper argentina emiliano martinez terlihat membawa boneka bayi berwajah kylian mbappe saat parade juara piala dunia</t>
  </si>
  <si>
    <t>['kiper', 'argentina', 'emiliano', 'martinez', 'terlihat', 'membawa', 'boneka', 'bayi', 'berwajah', 'kylian', 'mbappe', 'parade', 'juara', 'piala', 'dunia']</t>
  </si>
  <si>
    <t>parade juara Piala Dunia 2022 bersama Timnas Argentina di Buenos Aires hanya dihadiri 5 jutaan warga Argentina.   Infonya kalah sama acara 212 di Jakarta yang dihadiri oleh 9 juta orang dan  penyambutan Pak Rizieq Shihab hingga 7 juta orang</t>
  </si>
  <si>
    <t>parade juara piala dunia bersama timnas argentina buenos aires hanya dihadiri jutaan warga argentina infonya kalah sama acara jakarta yang dihadiri oleh juta orang dan penyambutan pak rizieq shihab hingga juta orang</t>
  </si>
  <si>
    <t>['parade', 'juara', 'piala', 'dunia', 'bersama', 'timnas', 'argentina', 'buenos', 'aires', 'dihadiri', 'jutaan', 'warga', 'argentina', 'infonya', 'kalah', 'sama', 'acara', 'jakarta', 'dihadiri', 'juta', 'orang', 'penyambutan', 'pak', 'rizieq', 'shihab', 'hingga', 'juta', 'orang']</t>
  </si>
  <si>
    <t>#juarapialadunia #pildun #pialaduniaqatar2022 #argentinajuara #ekonomipolitik #prancis #maradona #kemiskinan #politikindonesia #krisisekonomi #politikinternasional #sumbupolitik</t>
  </si>
  <si>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</si>
  <si>
    <t>tengah kesengsaraan krisis rakyat argentina sambut messi dan kawan kawan dengan pesta meriah ibu kota gelar juara piala dunia bak pelipur lara kesedihan rakyat argentina yang berada jurang kemiskinan</t>
  </si>
  <si>
    <t>['tengah', 'kesengsaraan', 'krisis', 'rakyat', 'argentina', 'sambut', 'messi', 'kawan', 'kawan', 'pesta', 'meriah', 'ibu', 'kota', 'gelar', 'juara', 'piala', 'dunia', 'bak', 'pelipur', 'lara', 'kesedihan', 'rakyat', 'argentina', 'berada', 'jurang', 'kemiskinan']</t>
  </si>
  <si>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</si>
  <si>
    <t>saat pertandingan melawan belanda pemain argentina sangat tidak menunjukan rispek tinggi kepada lawan apa lagi yang dilakukan paredes asli norak nendang bola arah bench lawan dan skg saat juara emi martinez bawa boneka muka nya mbappe</t>
  </si>
  <si>
    <t>['pertandingan', 'melawan', 'belanda', 'pemain', 'argentina', 'sangat', 'menunjukan', 'rispek', 'tinggi', 'lawan', 'apa', 'dilakukan', 'paredes', 'asli', 'norak', 'nendang', 'bola', 'arah', 'bench', 'lawan', 'skg', 'juara', 'emi', 'martinez', 'bawa', 'boneka', 'muka', 'mbappe']</t>
  </si>
  <si>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</si>
  <si>
    <t>gue peduli sebenernya siapa yang juara jujur aja secara objektif gue akan bilang argentina juara tapi kalau subjektif gue pengen liat messi dkk nangis kenapa karena tindakan tindakan dari pemain argentina yang tidak menunjukan rasa rispek kepada lawan</t>
  </si>
  <si>
    <t>['gue', 'peduli', 'sebenernya', 'siapa', 'juara', 'jujur', 'objektif', 'gue', 'argentina', 'juara', 'kalau', 'subjektif', 'gue', 'pengen', 'lihat', 'messi', 'dkk', 'nangis', 'tindakan', 'tindakan', 'pemain', 'argentina', 'menunjukan', 'rasa', 'rispek', 'lawan']</t>
  </si>
  <si>
    <t>@RevoNugroho @HideTride @Mrvarianttt @registaco emang ga spesifik, tapi kan argentina termasuk amerika latin. dengan juaranya argentina ya nepis statement ampas mbappe, lu bilang kaga respect si emi bawa boneka bayi mbappe. tapi kemana elu pas 2018 peranc</t>
  </si>
  <si>
    <t>emang spesifik tapi kan argentina termasuk amerika latin dengan juaranya argentina nepis statement ampas mbappe bilang kaga respect emi bawa boneka bayi mbappe tapi kemana elu pas peranc</t>
  </si>
  <si>
    <t>['emang', 'spesifik', 'kan', 'argentina', 'termasuk', 'amerika', 'latin', 'juaranya', 'argentina', 'nepis', 'statement', 'ampas', 'mbappe', 'kaga', 'respect', 'emi', 'bawa', 'boneka', 'bayi', 'mbappe', 'elu', 'pas', 'peranc']</t>
  </si>
  <si>
    <t>Apa yang dilakukan Lionel Messi usai Argentina juara Piala Dunia 2022? Dia tidur dengan trofinya!   https://t.co/lqkKFuZc2V</t>
  </si>
  <si>
    <t xml:space="preserve">@j_arga2 @aunrrahman Yaelah. Klo dilihat gini ya kliatan lah. Tp dgn squad sprti itu, Portugal masih selalu diperhitungkan jd juara kn? Argentina yg skrng ada McAllister, Enzo Fernandez jg masuk bursa juara. Okee deh. Klo g mau disebut 'imbang', ganti.   </t>
  </si>
  <si>
    <t>arga yaelah klo dilihat gini kliatan lah dgn squad sprti itu portugal masih selalu diperhitungkan juara argentina skrng ada mcallister enzo fernandez masuk bursa juara okee deh klo mau disebut imbang ganti</t>
  </si>
  <si>
    <t>['arga', 'yaelah', 'dilihat', 'gini', 'kliatan', 'lah', 'squad', 'sprti', 'portugal', 'selalu', 'diperhitungkan', 'juara', 'argentina', 'skrng', 'mcallister', 'enzo', 'fernandez', 'masuk', 'bursa', 'juara', 'okee', 'deh', 'mau', 'disebut', 'imbang', 'ganti']</t>
  </si>
  <si>
    <t>5 Fakta Argentina Juara Piala Dunia 2022.  #PialaDunia2022 #MessiìÉµ #Argentina #FIFAWorldCup #FIFAWorldCup2022 #FIFAWorldCupQatar2022  https://t.co/dp3YMoGDSr</t>
  </si>
  <si>
    <t>fakta argentina juara piala dunia</t>
  </si>
  <si>
    <t>['fakta', 'argentina', 'juara', 'piala', 'dunia']</t>
  </si>
  <si>
    <t>@FaktaSepakbola Faktanya kiper timnas argentina rata2 punya karir medioker di eropa. Gak pernah ada yg punya karir gemilang main di top level seperti buffon,neuer,cassilas. Soal juara marco amelia juga juara dunia.</t>
  </si>
  <si>
    <t>faktanya kiper timnas argentina rata punya karir medioker eropa gak pernah ada punya karir gemilang main top level seperti buffon neuer cassilas soal juara marco amelia juga juara dunia</t>
  </si>
  <si>
    <t>['faktanya', 'kiper', 'timnas', 'argentina', 'rata', 'punya', 'karir', 'medioker', 'eropa', 'pernah', 'punya', 'karir', 'gemilang', 'main', 'top', 'level', 'buffon', 'neuer', 'cassilas', 'soal', 'juara', 'marco', 'amelia', 'juara', 'dunia']</t>
  </si>
  <si>
    <t>VIDEO: Perayaan Argentina Juara Piala Dunia 2022 Berakhir Rusuh  https://t.co/LuraGZ2RLT</t>
  </si>
  <si>
    <t>video perayaan argentina juara piala dunia berakhir rusuh</t>
  </si>
  <si>
    <t>['video', 'perayaan', 'argentina', 'juara', 'piala', 'dunia', 'berakhir', 'rusuh']</t>
  </si>
  <si>
    <t>Agun Gunandjar Sudarsa Jagokan Argentina Juara Piala Dunia Qatar 2022 #airlanggahartarto #airlanggapemersatu #airlanggauntukindonesia #partaigolkar #golkarpedia #golkarsolid #AirlanggaPresiden  https://t.co/ArQNdCEfnL</t>
  </si>
  <si>
    <t>agun gunandjar sudarsa jagokan argentina juara piala dunia qatar</t>
  </si>
  <si>
    <t>['agun', 'gunandjar', 'sudarsa', 'jagokan', 'argentina', 'juara', 'piala', 'dunia', 'qatar']</t>
  </si>
  <si>
    <t>Ketahuilah, , Juara Sejati itu Sebenarnya ARAB SAUDI, karna hanya üá∏üá¶ yang bisa menaklukkan ARGENTINA. .!!  Dan Pemain Terbaik itu jatuh Pada King Lionel Andreas Messi . . Gak ada lagi. .!!! Penonton terbaik ya Cuma Warga +62 . .haha #AyoooSetuju  https://t.co/BCcZHpRcbf</t>
  </si>
  <si>
    <t>ketahuilah juara sejati itu sebenarnya arab saudi karna hanya yang bisa menaklukkan argentina dan pemain terbaik itu jatuh pada king lionel andreas messi gak ada lagi penonton terbaik cuma warga haha</t>
  </si>
  <si>
    <t>['ketahuilah', 'juara', 'sejati', 'sebenarnya', 'arab', 'saudi', 'karna', 'menaklukkan', 'argentina', 'pemain', 'terbaik', 'jatuh', 'king', 'lionel', 'andreas', 'messi', 'penonton', 'terbaik', 'cuma', 'warga', 'haha']</t>
  </si>
  <si>
    <t>@FaktaSepakbola Komennya pada ribet2 bener, yg juara Argentina yg ribut elu elu pada wkwkwkw</t>
  </si>
  <si>
    <t>komennya pada ribet bener juara argentina ribut elu elu pada wkwkwkw</t>
  </si>
  <si>
    <t>['komennya', 'ribet', 'benar', 'juara', 'argentina', 'ribut', 'elu', 'elu', 'wkwkwkw']</t>
  </si>
  <si>
    <t>Wow pak Jokowi resmikan Bendungan terbesar se Asia Tenggara! Bendungan Semantok di Nganjuk  Messi | timun | bobo | pppk | ruu pprt | rabu | gempa malang | the big 4 | goat | argentina | juara | highlight | bkn | buka | pendaftaran  https://t.co/1rBJ3ijmHB</t>
  </si>
  <si>
    <t>wow pak jokowi resmikan bendungan terbesar asia tenggara bendungan semantok nganjuk messi timun bobo pppk ruu pprt rabu gempa malang the big goat argentina juara highlight bkn buka pendaftaran</t>
  </si>
  <si>
    <t>['wow', 'pak', 'jokowi', 'resmikan', 'bendungan', 'terbesar', 'asia', 'tenggara', 'bendungan', 'semantok', 'nganjuk', 'messi', 'timun', 'bobo', 'pppk', 'ruu', 'pprt', 'rabu', 'gempa', 'malang', 'the', 'big', 'goat', 'argentina', 'juara', 'highlight', 'bkn', 'buka', 'pendaftaran']</t>
  </si>
  <si>
    <t>@ainurohman Gmn nih pak @iriawan84 ? Masa Presiden Federasi Sepakbola Argentina gak ngepost apa-apa, padahal juara piala dunia ckck tolong diajarin pak supaya beliau bisa lebih peduli lagi dgn timnasnya üî•üî•üî•</t>
  </si>
  <si>
    <t>gmn nih pak masa presiden federasi sepakbola argentina gak ngepost apa apa padahal juara piala dunia ckck tolong diajarin pak supaya beliau bisa lebih peduli lagi dgn timnasnya</t>
  </si>
  <si>
    <t>['gmn', 'pak', 'masa', 'presiden', 'federasi', 'sepakbola', 'argentina', 'ngepost', 'apa', 'apa', 'padahal', 'juara', 'piala', 'dunia', 'ckck', 'diajarin', 'pak', 'beliau', 'lebih', 'peduli', 'timnasnya']</t>
  </si>
  <si>
    <t>Piala Dunia 2022: Kekacauan Warnai Parade Juara Argentina, 3,5 Juta Orang Turun ke Jalan  https://t.co/wTKxgDATbv</t>
  </si>
  <si>
    <t>piala dunia kekacauan warnai parade juara argentina juta orang turun jalan</t>
  </si>
  <si>
    <t>['piala', 'dunia', 'kekacauan', 'warnai', 'parade', 'juara', 'argentina', 'juta', 'orang', 'turun', 'jalan']</t>
  </si>
  <si>
    <t>@FaktaSepakbola Berisik banget fans dodo sama fans france, mau lu bacot gimana juga ga merubah fakta argentina juara wkk Kalah mah kalah aja üóø  https://t.co/F3gF5D1S8X</t>
  </si>
  <si>
    <t>berisik banget fans dodo sama fans france mau bacot gimana juga merubah fakta argentina juara wkk kalah mah kalah aja</t>
  </si>
  <si>
    <t>['berisik', 'banget', 'fans', 'dodo', 'sama', 'fans', 'france', 'mau', 'bacot', 'gimana', 'merubah', 'fakta', 'argentina', 'juara', 'wkk', 'kalah', 'mah', 'kalah']</t>
  </si>
  <si>
    <t xml:space="preserve">@dd_3388_oo @FaktaSepakbola Mmg blm ada bukti argentina dan negara2 lain yg pernah juara sdh diatur unt mjd pmnang, tp pgaturan ptdingan oleh mafia judi itu fakta, blm ada bukti bkn berarti tdk ada bukti. Dan magia judi bola itu sdh rahasia umum walaupun </t>
  </si>
  <si>
    <t>mmg blm ada bukti argentina dan negara lain pernah juara sdh diatur unt mjd pmnang pgaturan ptdingan oleh mafia judi itu fakta blm ada bukti bkn berarti tdk ada bukti dan magia judi bola itu sdh rahasia umum walaupun</t>
  </si>
  <si>
    <t>['mmg', 'blm', 'bukti', 'argentina', 'negara', 'pernah', 'juara', 'diatur', 'unt', 'mjd', 'pmnang', 'pgaturan', 'ptdingan', 'mafia', 'judi', 'fakta', 'blm', 'bukti', 'bkn', 'berarti', 'bukti', 'magia', 'judi', 'bola', 'rahasia', 'umum', 'walaupun']</t>
  </si>
  <si>
    <t>Saat parade perayaan gelar juara Argentina, Emi Martinez gendong bayi berwajah Mbappe.  https://t.co/80SuTwauiS</t>
  </si>
  <si>
    <t>saat parade perayaan gelar juara argentina emi martinez gendong bayi berwajah mbappe</t>
  </si>
  <si>
    <t>['parade', 'perayaan', 'gelar', 'juara', 'argentina', 'emi', 'martinez', 'gendong', 'bayi', 'berwajah', 'mbappe']</t>
  </si>
  <si>
    <t>Beginilah kira-kira gambaran ucapan selamat ketua Federasi Sepak Bola Argentina saat memenangkan gelar juara Piala Dunia  https://t.co/yjTf2o0Smg</t>
  </si>
  <si>
    <t>beginilah kira kira gambaran ucapan selamat ketua federasi sepak bola argentina saat memenangkan gelar juara piala dunia</t>
  </si>
  <si>
    <t>['beginilah', 'kira', 'kira', 'gambaran', 'ucapan', 'selamat', 'ketua', 'federasi', 'sepak', 'bola', 'argentina', 'memenangkan', 'gelar', 'juara', 'piala', 'dunia']</t>
  </si>
  <si>
    <t>@registaco Mau di bobol 4 gol sama tuan muda mbappe pun, toh tetap aja yg juara argentina. Suka2 emi mau pakai foto siapa. Kok malah diributin gara2 pakai foto mbappe.</t>
  </si>
  <si>
    <t>mau bobol gol sama tuan muda mbappe pun toh tetap aja juara argentina suka emi mau pakai foto siapa kok malah diributin gara pakai foto mbappe</t>
  </si>
  <si>
    <t>['mau', 'bobol', 'gol', 'sama', 'tuan', 'muda', 'mbappe', 'tetap', 'juara', 'argentina', 'suka', 'emi', 'mau', 'pakai', 'foto', 'siapa', 'kok', 'malah', 'diributin', 'gara', 'pakai', 'foto', 'mbappe']</t>
  </si>
  <si>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</si>
  <si>
    <t>world cup qatar berakhir pertandingan gol penonton juara argentina runner prancis juara kroasia juara maroko best player messi top skor mbappe best world cup ever best world cup final ever</t>
  </si>
  <si>
    <t>['world', 'cup', 'qatar', 'berakhir', 'pertandingan', 'gol', 'penonton', 'juara', 'argentina', 'runner', 'prancis', 'juara', 'kroasia', 'juara', 'maroko', 'best', 'player', 'messi', 'top', 'skor', 'mbappe', 'best', 'world', 'cup', 'ever', 'best', 'world', 'cup', 'final', 'ever']</t>
  </si>
  <si>
    <t>Prediksi Cambodia Rabu, 21 Desember 2022 AI: 0 5 2 7 2D: 54 83 53 23 4D: 5014 5686 3462 Best: 75 79 27 Shio: Tikus BBFS: 023675 #Pancingtoto #argentinajuara #akhirtahun  https://t.co/SfTMffIW2U</t>
  </si>
  <si>
    <t>prediksi cambodia rabu desember best shio tikus bbfs</t>
  </si>
  <si>
    <t>['prediksi', 'cambodia', 'rabu', 'desember', 'best', 'shio', 'tikus', 'bbfs']</t>
  </si>
  <si>
    <t>@shizutzyy @FaktaSepakbola Bodo amat anjeng, Argentina juara World Cup 2022 hahahahaha</t>
  </si>
  <si>
    <t>bodo amat anjeng argentina juara world cup hahahahaha</t>
  </si>
  <si>
    <t>['bodo', 'anjeng', 'argentina', 'juara', 'world', 'cup', 'hahahahaha']</t>
  </si>
  <si>
    <t>Kiper timnas Argentina Emiliano Martinez bawa-bawa boneka bayi Kylian Mbappe saat parade Juara Piala Dunia 2022 namun ekspresi boneka tersebut tidak bahagia   https://t.co/bynypivuXz</t>
  </si>
  <si>
    <t>kiper timnas argentina emiliano martinez bawa bawa boneka bayi kylian mbappe saat parade juara piala dunia namun ekspresi boneka tersebut tidak bahagia</t>
  </si>
  <si>
    <t>['kiper', 'timnas', 'argentina', 'emiliano', 'martinez', 'bawa', 'bawa', 'boneka', 'bayi', 'kylian', 'mbappe', 'parade', 'juara', 'piala', 'dunia', 'ekspresi', 'boneka', 'tersebut', 'bahagia']</t>
  </si>
  <si>
    <t>Lama2 muak liat kiper Argentina, songong amat. Padahal cuman keberuntungan jadi juara. Coba klo wak kaji cs gabung, bakal jadi bulan2an tu gawang  https://t.co/VtahbCMNQd</t>
  </si>
  <si>
    <t>lama muak liat kiper argentina songong amat padahal cuman keberuntungan jadi juara coba klo wak kaji gabung bakal jadi bulan gawang</t>
  </si>
  <si>
    <t>['lama', 'muak', 'lihat', 'kiper', 'argentina', 'songong', 'padahal', 'cuman', 'keberuntungan', 'jadi', 'juara', 'coba', 'wak', 'kaji', 'gabung', 'bakal', 'jadi', 'bulan', 'gawang']</t>
  </si>
  <si>
    <t>Momen antara Rodrigo de Paul dan Lionel Messi kembali jadi sorotan. Kali ini De Paul terlihat langsung menurut apa kata Messi dalam parade juara Argentina. #juaraboladunia    https://t.co/wmyQ13dONl</t>
  </si>
  <si>
    <t>@twkongko @AnggiSpasiRasta @TumbalProyekk @Chester09812830 @SiaranBolaLive Messi mah respect, temen-temennya di timnas Argentina ini yg banyak tingkah... apalagi Emi yg main di tim medioker, makanya tengil kaya begini(jarang juara soalnya)ü§£</t>
  </si>
  <si>
    <t>messi mah respect temen temennya timnas argentina ini banyak tingkah apalagi emi main tim medioker makanya tengil kaya begini jarang juara soalnya</t>
  </si>
  <si>
    <t>['messi', 'mah', 'respect', 'temen', 'temennya', 'timnas', 'argentina', 'banyak', 'tingkah', 'emi', 'main', 'tim', 'medioker', 'makanya', 'tengil', 'kaya', 'begini', 'jarang', 'juara', 'soalnya']</t>
  </si>
  <si>
    <t>@acmilan_mania @Danilone161 @riombee @idextratime @Nir12345535 yg juara Argentina, yg ngamuk minta pengakuan üòÇ  https://t.co/2SDtEWGFGw</t>
  </si>
  <si>
    <t>mania juara argentina ngamuk minta pengakuan</t>
  </si>
  <si>
    <t>['mania', 'juara', 'argentina', 'ngamuk', 'minta', 'pengakuan']</t>
  </si>
  <si>
    <t>@RidwanmuhammadX @kis10fadli @idextratime Lah brooo.... Emang skuad timnas argentina yg bawa juara WC isinya pemain bintang semua? Dari klub klub kecil brooo... Yg main di klub bintang cuma messi, de paul, sama molina</t>
  </si>
  <si>
    <t>lah brooo emang skuad timnas argentina bawa juara isinya pemain bintang semua dari klub klub kecil brooo main klub bintang cuma messi paul sama molina</t>
  </si>
  <si>
    <t>['lah', 'brooo', 'emang', 'skuad', 'timnas', 'argentina', 'bawa', 'juara', 'isinya', 'pemain', 'bintang', 'semua', 'klub', 'klub', 'kecil', 'brooo', 'main', 'klub', 'bintang', 'cuma', 'messi', 'paul', 'sama', 'molina']</t>
  </si>
  <si>
    <t>Romy dan Ury Rafael Ungkap Cara Tebak Argentina Sebagai Juara Piala Dunia Qatar 2022  https://t.co/sBD0bTeYKn</t>
  </si>
  <si>
    <t>romy dan ury rafael ungkap cara tebak argentina sebagai juara piala dunia qatar</t>
  </si>
  <si>
    <t>['romy', 'ury', 'rafael', 'ungkap', 'cara', 'tebak', 'argentina', 'juara', 'piala', 'dunia', 'qatar']</t>
  </si>
  <si>
    <t>Deretan Rekor Messi Setelah Bawa Argentina Juara Piala Dunia   https://t.co/YLShoH2NNM</t>
  </si>
  <si>
    <t>deretan rekor messi setelah bawa argentina juara piala dunia</t>
  </si>
  <si>
    <t>['deretan', 'rekor', 'messi', 'bawa', 'argentina', 'juara', 'piala', 'dunia']</t>
  </si>
  <si>
    <t>@shizutzyy @ladah1tam @FaktaSepakbola wkwkwkwk segitu sakit hatinya dik gara2 argentina juara, jangan sedih ya, jauhkan pisau, baigon, dan tali tambang darimu bahaya setan lewat nanti</t>
  </si>
  <si>
    <t>wkwkwkwk segitu sakit hatinya dik gara argentina juara jangan sedih jauhkan pisau baigon dan tali tambang darimu bahaya setan lewat nanti</t>
  </si>
  <si>
    <t>['wkwkwkwk', 'segitu', 'sakit', 'hatinya', 'dik', 'gara', 'argentina', 'juara', 'jangan', 'sedih', 'jauhkan', 'pisau', 'baigon', 'tali', 'tambang', 'darimu', 'bahaya', 'setan', 'lewat']</t>
  </si>
  <si>
    <t>@Vikarlito @idextratime Contoh Inggris ajh, ama portugal era figo, Argentina era batigol juga gitu.  Gimana ga ngeri liat squad kaya gitu tapi ga juara wkwk</t>
  </si>
  <si>
    <t>contoh inggris ajh ama portugal era figo argentina era batigol juga gitu gimana ngeri liat squad kaya gitu tapi juara wkwk</t>
  </si>
  <si>
    <t>['contoh', 'inggris', 'ajh', 'ama', 'portugal', 'era', 'figo', 'argentina', 'era', 'batigol', 'gitu', 'gimana', 'ngeri', 'lihat', 'squad', 'kaya', 'gitu', 'juara']</t>
  </si>
  <si>
    <t>Meski Juara Dunia 2022, Argentina Belum Mampu Geser Brasil di Puncak Rangking FIFA  https://t.co/wB67GsGCKp #Argentina #brasil #PialaDunia2022 #RangkingFIFA</t>
  </si>
  <si>
    <t>meski juara dunia argentina belum mampu geser brasil puncak rangking fifa</t>
  </si>
  <si>
    <t>['meski', 'juara', 'dunia', 'argentina', 'mampu', 'geser', 'brasil', 'puncak', 'rangking', 'fifa']</t>
  </si>
  <si>
    <t>Namun, para pemain timnas Argentina terpaksa melanjutkan parade juara Piala Dunia 2022 dengan helikopter karena bus terbuka tidak bisa menembus lautan manusia di Buenos Aires.   https://t.co/QGmm5fTdbo</t>
  </si>
  <si>
    <t>namun para pemain timnas argentina terpaksa melanjutkan parade juara piala dunia dengan helikopter karena bus terbuka tidak bisa menembus lautan manusia buenos aires</t>
  </si>
  <si>
    <t>['pemain', 'timnas', 'argentina', 'terpaksa', 'melanjutkan', 'parade', 'juara', 'piala', 'dunia', 'helikopter', 'bus', 'terbuka', 'menembus', 'lautan', 'manusia', 'buenos', 'aires']</t>
  </si>
  <si>
    <t>Master of Shithousery.  Emi Martinez gendong boneka bayi sambil dipasangin topeng Kylian Mbappe saat perayaan parade juara Argentina di Buenos Aires.  Juara mah bebas, dah ü§£  https://t.co/PqZ4TdW8Gj</t>
  </si>
  <si>
    <t>master shithousery emi martinez gendong boneka bayi sambil dipasangin topeng kylian mbappe saat perayaan parade juara argentina buenos aires juara mah bebas dah</t>
  </si>
  <si>
    <t>['master', 'shithousery', 'emi', 'martinez', 'gendong', 'boneka', 'bayi', 'dipasangin', 'topeng', 'kylian', 'mbappe', 'perayaan', 'parade', 'juara', 'argentina', 'buenos', 'aires', 'juara', 'mah', 'bebas', 'dah']</t>
  </si>
  <si>
    <t>Argentina menjadi juara Piala Dunia 2022 pada Minggu (18/12/2022), mengalahkan Prancis di partai pemungkas, Lusail Iconic Stadium.  Penantian 36 tahun terpenuhi dan rakyat Argentina merayakannya dengan suka cita.  https://t.co/oFRPZtm4Mc</t>
  </si>
  <si>
    <t>argentina menjadi juara piala dunia pada minggu mengalahkan prancis partai pemungkas lusail iconic stadium penantian tahun terpenuhi dan rakyat argentina merayakannya dengan suka cita</t>
  </si>
  <si>
    <t>['argentina', 'menjadi', 'juara', 'piala', 'dunia', 'minggu', 'mengalahkan', 'prancis', 'partai', 'pemungkas', 'lusail', 'iconic', 'stadium', 'penantian', 'tahun', 'terpenuhi', 'rakyat', 'argentina', 'merayakannya', 'suka', 'cita']</t>
  </si>
  <si>
    <t>VIDEO: Detik-detik Fans Nekat Lompat ke Bus Saat Pawai Juara Argentina  https://t.co/RyGLmf86eJ</t>
  </si>
  <si>
    <t>video detik detik fans nekat lompat bus saat pawai juara argentina</t>
  </si>
  <si>
    <t>['video', 'detik', 'detik', 'fans', 'nekat', 'lompat', 'bus', 'pawai', 'juara', 'argentina']</t>
  </si>
  <si>
    <t>Jutaan fans Argentina memenuhi jalanan Buenos Aires dalam parade juara Piala Dunia. Pemain Argentina pun harus diangkut pergi menggunakan helikopter karena bus terjebak di tengah tengah fans yang memenuhi jalanan.  https://t.co/hTCaOE6xx9</t>
  </si>
  <si>
    <t>jutaan fans argentina memenuhi jalanan buenos aires dalam parade juara piala dunia pemain argentina pun harus diangkut pergi menggunakan helikopter karena bus terjebak tengah tengah fans yang memenuhi jalanan</t>
  </si>
  <si>
    <t>['jutaan', 'fans', 'argentina', 'memenuhi', 'jalanan', 'buenos', 'aires', 'parade', 'juara', 'piala', 'dunia', 'pemain', 'argentina', 'diangkut', 'pergi', 'menggunakan', 'helikopter', 'bus', 'terjebak', 'tengah', 'tengah', 'fans', 'memenuhi', 'jalanan']</t>
  </si>
  <si>
    <t>PARADE Juara Piala Dunia 2022 Argentina, Penuh Lautan Manusia, Messi Cs Sampai Diangkut Helikopter    https://t.co/KOLZOWNVYZ lewat @tribunmedan</t>
  </si>
  <si>
    <t>parade juara piala dunia argentina penuh lautan manusia messi sampai diangkut helikopter lewat</t>
  </si>
  <si>
    <t>['parade', 'juara', 'piala', 'dunia', 'argentina', 'penuh', 'lautan', 'manusia', 'messi', 'diangkut', 'helikopter', 'lewat']</t>
  </si>
  <si>
    <t>@shizutzyy @ladah1tam @FaktaSepakbola lah kan jaka sembung yg mau bunuh diri gara2 kamu gak pinter pinter juga, kalau saya mah lagi happy argentina juara hahaha</t>
  </si>
  <si>
    <t>lah kan jaka sembung mau bunuh diri gara kamu gak pinter pinter juga kalau saya mah lagi happy argentina juara hahaha</t>
  </si>
  <si>
    <t>['lah', 'kan', 'jaka', 'sembung', 'mau', 'bunuh', 'diri', 'gara', 'kamu', 'pinter', 'pinter', 'kalau', 'mah', 'happy', 'argentina', 'juara', 'hahaha']</t>
  </si>
  <si>
    <t xml:space="preserve">@terabhitiya @idextratime Gue ucapin selamat dan respect ke mayoritas fans Argentina yg utk pertama kalinya bisa liat juara World Cup pertama dalam 36 thn terakhir. Tapi gue tetep bangga sbg fans Les Bleus France yg udh 2 kali liat France juara World Cup </t>
  </si>
  <si>
    <t>gue ucapin selamat dan respect mayoritas fans argentina utk pertama kalinya bisa liat juara world cup pertama dalam thn terakhir tapi gue tetep bangga sbg fans les bleus france udh kali liat france juara world cup</t>
  </si>
  <si>
    <t>['gue', 'ucapin', 'selamat', 'respect', 'mayoritas', 'fans', 'argentina', 'pertama', 'kalinya', 'lihat', 'juara', 'world', 'cup', 'pertama', 'thn', 'terakhir', 'gue', 'tetep', 'bangga', 'sbg', 'fans', 'les', 'bleus', 'france', 'sudah', 'kali', 'lihat', 'france', 'juara', 'world', 'cup']</t>
  </si>
  <si>
    <t>Kaleidoskop Berita Sepakbola Sepanjang 2022: Tragedi Kanjuruhan hingga Argentina Juara Piala Dunia 2022  https://t.co/3ArlxtRYng</t>
  </si>
  <si>
    <t>kaleidoskop berita sepakbola sepanjang tragedi kanjuruhan hingga argentina juara piala dunia</t>
  </si>
  <si>
    <t>['kaleidoskop', 'berita', 'sepakbola', 'sepanjang', 'tragedi', 'kanjuruhan', 'hingga', 'argentina', 'juara', 'piala', 'dunia']</t>
  </si>
  <si>
    <t>@RizkiW23 @radivanomercy @FaktaSepakbola Lah ngapa nangis, gw mah bodo amat yg juara prancis argentina. Gw cuma komenin tingkah EM yg tengil ga ada respek, padahal yg laen ga gitu2 amat üòÖ</t>
  </si>
  <si>
    <t>lah ngapa nangis mah bodo amat juara prancis argentina cuma komenin tingkah tengil ada respek padahal laen gitu amat</t>
  </si>
  <si>
    <t>['lah', 'ngapa', 'nangis', 'mah', 'bodo', 'juara', 'prancis', 'argentina', 'cuma', 'komenin', 'tingkah', 'tengil', 'respek', 'padahal', 'laen', 'gitu']</t>
  </si>
  <si>
    <t>@ID_Albiceleste KBRI Buenos Aires menghimbau kepada seluruh WNI untuk menghindari kerumunan saat perayaan Argentina juara Piala Dunia. Dilarang keluar rumah kalau tidak ada keperluan penting</t>
  </si>
  <si>
    <t>albiceleste kbri buenos aires menghimbau kepada seluruh wni untuk menghindari kerumunan saat perayaan argentina juara piala dunia dilarang keluar rumah kalau tidak ada keperluan penting</t>
  </si>
  <si>
    <t>['albiceleste', 'kbri', 'buenos', 'aires', 'menghimbau', 'seluruh', 'wni', 'menghindari', 'kerumunan', 'perayaan', 'argentina', 'juara', 'piala', 'dunia', 'dilarang', 'keluar', 'rumah', 'kalau', 'keperluan', 'penting']</t>
  </si>
  <si>
    <t>...Udah 3 hari nontonin video Argentina juara sampai ke parade'y.  Beneran kek sakit jiwa gw gara2 "nyembah" Messi segini'y...Hahahahahahaha... (``,)</t>
  </si>
  <si>
    <t>udah hari nontonin video argentina juara sampai parade beneran kek sakit jiwa gara nyembah messi segini hahahahahahaha</t>
  </si>
  <si>
    <t>['udah', 'hari', 'nontonin', 'video', 'argentina', 'juara', 'parade', 'beneran', 'kek', 'sakit', 'jiwa', 'gara', 'nyembah', 'messi', 'segini', 'hahahahahahaha']</t>
  </si>
  <si>
    <t>@Kirasaaa @idextratime Hanya di era Iwan Bule, Argentina bisa juara piala dunia üëèüî•üî•üî•</t>
  </si>
  <si>
    <t>hanya era iwan bule argentina bisa juara piala dunia</t>
  </si>
  <si>
    <t>['era', 'iwan', 'bule', 'argentina', 'juara', 'piala', 'dunia']</t>
  </si>
  <si>
    <t>punten emi martinez  https://t.co/xbQKb3YOQn</t>
  </si>
  <si>
    <t>punten emi martinez</t>
  </si>
  <si>
    <t>['punten', 'emi', 'martinez']</t>
  </si>
  <si>
    <t>@Zulheheee @fietra @idextratime aslii sebelumnya sebagian besar squad argentina aja gua gatau main di klub mana tapi tekad mental juara sama kekompakannya nya yang luar biasa gila sih, kalo dibandingin sama squad 2014 malah lebih mewah mnrt gua hmpr semua</t>
  </si>
  <si>
    <t>aslii sebelumnya sebagian besar squad argentina aja gua gatau main klub mana tapi tekad mental juara sama kekompakannya nya yang luar biasa gila sih kalo dibandingin sama squad malah lebih mewah mnrt gua hmpr semua</t>
  </si>
  <si>
    <t>['aslii', 'sebelumnya', 'sebagian', 'besar', 'squad', 'argentina', 'gua', 'gatau', 'main', 'klub', 'mana', 'tekad', 'mental', 'juara', 'sama', 'kekompakannya', 'luar', 'biasa', 'gila', 'dibandingin', 'sama', 'squad', 'malah', 'lebih', 'mewah', 'mnrt', 'gua', 'hmpr', 'semua']</t>
  </si>
  <si>
    <t>@putnbila_ tau aja ayangnya randomü§£</t>
  </si>
  <si>
    <t>tau aja ayangnya random</t>
  </si>
  <si>
    <t>['ayangnya', 'random']</t>
  </si>
  <si>
    <t>Pesta Gelar Juara Argentina Ricuh, Lionel Messi Cs Dievakuasi Helikopter  https://t.co/FGyfHpfWkO</t>
  </si>
  <si>
    <t>pesta gelar juara argentina ricuh lionel messi dievakuasi helikopter</t>
  </si>
  <si>
    <t>['pesta', 'gelar', 'juara', 'argentina', 'ricuh', 'lionel', 'messi', 'dievakuasi', 'helikopter']</t>
  </si>
  <si>
    <t>Argentina berhak mengangkat trofi Piala Dunia 2022 sekaligus mendapat hadiah tertinggi. Dalam laporan NBC Sports, juara Piala Dunia 2022 mendapat uang tunai sebesar US$42 juta #souja #soulofjakarata #pialadunia #worldcup2022 #argentina   https://t.co/gIMJyCx4Kq  https://t.co/ztLDz74JmL</t>
  </si>
  <si>
    <t>argentina berhak mengangkat trofi piala dunia sekaligus mendapat hadiah tertinggi dalam laporan nbc sports juara piala dunia mendapat uang tunai sebesar juta</t>
  </si>
  <si>
    <t>['argentina', 'berhak', 'mengangkat', 'trofi', 'piala', 'dunia', 'sekaligus', 'mendapat', 'hadiah', 'tertinggi', 'laporan', 'nbc', 'sports', 'juara', 'piala', 'dunia', 'mendapat', 'uang', 'tunai', 'sebesar', 'juta']</t>
  </si>
  <si>
    <t>@chaeryeohng @ensiklophob1a @PFLS4 @Partypoisonyeah @FaktaSepakbola ya udah kenyataan kan skrg Argentina juara</t>
  </si>
  <si>
    <t>udah kenyataan kan skrg argentina juara</t>
  </si>
  <si>
    <t>['udah', 'kenyataan', 'kan', 'skrg', 'argentina', 'juara']</t>
  </si>
  <si>
    <t>@Leo_sanny @FaktaSepakbola tp emang bener, baru argentina ini aja di 2022 perwakilan amerika latin yg juara sejak brazil 2002, sisanya tim eropa semua</t>
  </si>
  <si>
    <t>sanny emang bener baru argentina ini aja perwakilan amerika latin juara sejak brazil sisanya tim eropa semua</t>
  </si>
  <si>
    <t>['sanny', 'emang', 'benar', 'baru', 'argentina', 'perwakilan', 'amerika', 'latin', 'juara', 'sejak', 'brazil', 'sisanya', 'tim', 'eropa', 'semua']</t>
  </si>
  <si>
    <t>@chaeryeohng @ensiklophob1a @PFLS4 @Partypoisonyeah @FaktaSepakbola ya makanya pas Argentina juara emi puas banget goreng nya seakan buktiin yang di bilang mbappe salah wkwkk</t>
  </si>
  <si>
    <t>makanya pas argentina juara emi puas banget goreng nya seakan buktiin yang bilang mbappe salah wkwkk</t>
  </si>
  <si>
    <t>['makanya', 'pas', 'argentina', 'juara', 'emi', 'puas', 'banget', 'goreng', 'seakan', 'buktiin', 'mbappe', 'salah', 'wkwkk']</t>
  </si>
  <si>
    <t>Sedang mencari google image:  "Mbappe ejek Argentina pasca menang 4-3" "Pogba cemooh lawan setelah bawa Prancis juara Piala Dunia 2018"</t>
  </si>
  <si>
    <t>sedang mencari google image mbappe ejek argentina pasca menang pogba cemooh lawan setelah bawa prancis juara piala dunia</t>
  </si>
  <si>
    <t>['sedang', 'mencari', 'google', 'image', 'mbappe', 'ejek', 'argentina', 'pasca', 'menang', 'pogba', 'cemooh', 'lawan', 'bawa', 'prancis', 'juara', 'piala', 'dunia']</t>
  </si>
  <si>
    <t>@idextratime Kata iri secara etimologi berasal dari kata Irina Shayk ex boyfriend's fans, yang artinya Piala Dunia Qatar 2022 Settingan FIFA, Argentina Juara Dibantu FIFA dan Wasit, Piala tidak boleh dibawa Messi tidur, dan sebagainya.</t>
  </si>
  <si>
    <t>kata iri secara etimologi berasal dari kata irina shayk boyfriend fans yang artinya piala dunia qatar settingan fifa argentina juara dibantu fifa dan wasit piala tidak boleh dibawa messi tidur dan sebagainya</t>
  </si>
  <si>
    <t>['kata', 'iri', 'etimologi', 'berasal', 'kata', 'irina', 'shayk', 'boyfriend', 'fans', 'artinya', 'piala', 'dunia', 'qatar', 'settingan', 'fifa', 'argentina', 'juara', 'dibantu', 'fifa', 'wasit', 'piala', 'dibawa', 'messi', 'tidur', 'sebagainya']</t>
  </si>
  <si>
    <t>Ricuh Pawai Juara Argentina: 1 Orang Tewas, Bocah 5 Tahun Koma  https://t.co/TI0rpCXrqi</t>
  </si>
  <si>
    <t>@AriSeptianaaa @ensiklophob1a @PFLS4 @Partypoisonyeah @FaktaSepakbola Fakta? Terakhir tim amerika latin juara sebelum argentina itu kapan? 20 tahun dikuasain eropa kok wkwk bahkan pildun di amerika latin aja yg nguasain eropa wkwk dan tim terbanyak yg jua</t>
  </si>
  <si>
    <t>fakta terakhir tim amerika latin juara sebelum argentina itu kapan tahun dikuasain eropa kok wkwk bahkan pildun amerika latin aja nguasain eropa wkwk dan tim terbanyak jua</t>
  </si>
  <si>
    <t>['fakta', 'terakhir', 'tim', 'amerika', 'latin', 'juara', 'argentina', 'kapan', 'tahun', 'dikuasain', 'eropa', 'kok', 'bahkan', 'piala dunia', 'amerika', 'latin', 'nguasain', 'eropa', 'tim', 'terbanyak', 'jua']</t>
  </si>
  <si>
    <t>Momen Pemain Argentina Dievakuasi Helikopter Usai Perayaan Juara Chaos ‚Äì CNN Indonesia ‚Äì Google Berita Olahraga ‚Äì  https://t.co/sTr0gN4Ir5 ‚Äì #Arenanews #Kamidi #Opsiminfo- https://t.co/mq6dC7O62M</t>
  </si>
  <si>
    <t>momen pemain argentina dievakuasi helikopter usai perayaan juara chaos cnn indonesia google berita olahraga</t>
  </si>
  <si>
    <t>['momen', 'pemain', 'argentina', 'dievakuasi', 'helikopter', 'usai', 'perayaan', 'juara', 'chaos', 'cnn', 'indonesia', 'google', 'berita', 'olahraga']</t>
  </si>
  <si>
    <t>Walau Argentina keluar sebagai juara Piala Dunia 2022 usai menang penalti 4-2, mengapa Drake justru kehilangan uang taruhan Rp15,5 miliar? #Drake #ArgentinaVsFrance #Argentina   https://t.co/yY8PwSYKmV</t>
  </si>
  <si>
    <t>walau argentina keluar sebagai juara piala dunia usai menang penalti mengapa drake justru kehilangan uang taruhan miliar</t>
  </si>
  <si>
    <t>['argentina', 'keluar', 'juara', 'piala', 'dunia', 'usai', 'menang', 'penalti', 'drake', 'justru', 'kehilangan', 'uang', 'taruhan', 'miliar']</t>
  </si>
  <si>
    <t>Kenapa sih orang2, ya sudahlah Argentina yang juara, WC 2026 belum tentu juara lagi. Kok masih perdebatan soal C.Ronaldo dan Messi siapa GOAT yang sebenarnya. Mereka aja berteman kok kalian yang meributkan. Mbok yo dinikmati wae selagi mereka berdua masih aktif bermain</t>
  </si>
  <si>
    <t>kenapa sih orang sudahlah argentina yang juara belum tentu juara lagi kok masih perdebatan soal ronaldo dan messi siapa goat yang sebenarnya mereka aja berteman kok kalian yang meributkan mbok dinikmati wae selagi mereka berdua masih aktif bermain</t>
  </si>
  <si>
    <t>['orang', 'sudahlah', 'argentina', 'juara', 'juara', 'kok', 'perdebatan', 'soal', 'ronaldo', 'messi', 'siapa', 'goat', 'sebenarnya', 'berteman', 'kok', 'kalian', 'meributkan', 'mbok', 'dinikmati', 'wae', 'berdua', 'aktif', 'bermain']</t>
  </si>
  <si>
    <t>@samuel_giay @FaktaSepakbola tipikal pembenci messi dan argentina yg juara pildun adalah kata¬≤ "ANDAI" üòÇüòÇ ANDAI CA ANDAI CI BOLA BOLA BOLI</t>
  </si>
  <si>
    <t>giay tipikal pembenci messi dan argentina juara pildun adalah kata andai andai andai bola bola boli</t>
  </si>
  <si>
    <t>['giay', 'tipikal', 'pembenci', 'messi', 'argentina', 'juara', 'piala dunia', 'kata', 'andai', 'andai', 'andai', 'bola', 'bola', 'boli']</t>
  </si>
  <si>
    <t>Argentina juara dunia: Pele sebut Maradona pasti tersenyum di surga, Neymar ucapkan selamat untuk Lionel Messi  https://t.co/PCtrbKqYfc</t>
  </si>
  <si>
    <t>argentina juara dunia pele sebut maradona pasti tersenyum surga neymar ucapkan selamat untuk lionel messi</t>
  </si>
  <si>
    <t>['argentina', 'juara', 'dunia', 'pele', 'sebut', 'maradona', 'tersenyum', 'surga', 'neymar', 'ucapkan', 'selamat', 'lionel', 'messi']</t>
  </si>
  <si>
    <t>Momen Pemain Argentina Dievakuasi Helikopter Usai Perayaan Juara Chaos ‚Äì CNN Indonesia ‚Äì Google Berita Olahraga ‚Äì  https://t.co/n9uZfQCboV ‚Äì #Arenanews #Kamidi¬†#Opsiminfo  https://t.co/7QH2KaF9d1</t>
  </si>
  <si>
    <t>Argentina Juara, Messi Tetap Rendah Hati Meski Dinobatkan GOAT Sepakbola  https://t.co/4dQnsOOrZo</t>
  </si>
  <si>
    <t>argentina juara messi tetap rendah hati meski dinobatkan goat sepakbola</t>
  </si>
  <si>
    <t>['argentina', 'juara', 'messi', 'tetap', 'rendah', 'hati', 'meski', 'dinobatkan', 'goat', 'sepakbola']</t>
  </si>
  <si>
    <t>Selamat Argentina, Juara Piala Dunia 2022 üëèüëè  Gooll.. Gooll.. Golkaaarrr !!!  https://t.co/qvCEVQU26R</t>
  </si>
  <si>
    <t>selamat argentina juara piala dunia gooll gooll golkaaarrr</t>
  </si>
  <si>
    <t>['selamat', 'argentina', 'juara', 'piala', 'dunia', 'gooll', 'gooll', 'golkaaarrr']</t>
  </si>
  <si>
    <t>Argentina Juara, Messi Tetap Rendah Hati Meski dinobatkan GOAT Sepakbola  https://t.co/YuTUct43Cw</t>
  </si>
  <si>
    <t>Alhamdulillah akhirnya....  Sejak 1986 Argentina selalu gagal memenangkan Piala Dunia. Baru pada pemerintahan Jokowi Argentina Berhasil Juara Dunia lagi ! TERIMA KASIH PAK JOKOWI üèÜüëåüèΩ‚öΩÔ∏è @kaesangp @gibran_tweet @puanmaharani_ri</t>
  </si>
  <si>
    <t>alhamdulillah akhirnya sejak argentina selalu gagal memenangkan piala dunia baru pada pemerintahan jokowi argentina berhasil juara dunia lagi terima kasih pak jokowi tweet</t>
  </si>
  <si>
    <t>['alhamdulillah', 'akhirnya', 'sejak', 'argentina', 'selalu', 'gagal', 'memenangkan', 'piala', 'dunia', 'baru', 'pemerintahan', 'jokowi', 'argentina', 'berhasil', 'juara', 'dunia', 'terima', 'kasih', 'pak', 'jokowi', 'tweet']</t>
  </si>
  <si>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</si>
  <si>
    <t>timnas argentina gagal menjalani parade juara piala dunia dengan menggunakan bus jalanan buenos aires parade itu harus dilanjutkan menggunakan helikopter selanjutnya</t>
  </si>
  <si>
    <t>['timnas', 'argentina', 'gagal', 'menjalani', 'parade', 'juara', 'piala', 'dunia', 'menggunakan', 'bus', 'jalanan', 'buenos', 'aires', 'parade', 'dilanjutkan', 'menggunakan', 'helikopter', 'selanjutnya']</t>
  </si>
  <si>
    <t>Selamat buat Argentina juara piala dunia 2022.  Messi GOAT!ü§ùüá¶üá∑üá¶üá∑üá¶üá∑</t>
  </si>
  <si>
    <t>selamat buat argentina juara piala dunia messi goat</t>
  </si>
  <si>
    <t>['selamat', 'buat', 'argentina', 'juara', 'piala', 'dunia', 'messi', 'goat']</t>
  </si>
  <si>
    <t>apalah gunanya cetak 2 gol dalam 1 menit kalo ujung-ujungnya Argentina yang juara. big respect for Mbappe!!! ü´°ü•±</t>
  </si>
  <si>
    <t>apalah gunanya cetak gol dalam menit kalo ujung ujungnya argentina yang juara big respect for mbappe</t>
  </si>
  <si>
    <t>['apalah', 'gunanya', 'cetak', 'gol', 'menit', 'ujung', 'ujungnya', 'argentina', 'juara', 'big', 'respect', 'for', 'mbappe']</t>
  </si>
  <si>
    <t>@MafiaWasit Karena juara,  Argentina aman terkendali....  https://t.co/kJsTi7Vztx</t>
  </si>
  <si>
    <t>karena juara argentina aman terkendali</t>
  </si>
  <si>
    <t>['juara', 'argentina', 'aman', 'terkendali']</t>
  </si>
  <si>
    <t>FIFA 23 dari EA Sports berjaya ramal Argentina Juara Piala Dunia dengan tepat untuk kali keempat #EASports #FIFA23 #Argentina  https://t.co/Mez3uU1VSa</t>
  </si>
  <si>
    <t>fifa dari sports berjaya ramal argentina juara piala dunia dengan tepat untuk kali keempat</t>
  </si>
  <si>
    <t>['fifa', 'sports', 'berjaya', 'ramal', 'argentina', 'juara', 'piala', 'dunia', 'tepat', 'kali', 'keempat']</t>
  </si>
  <si>
    <t>@RevoNugroho @aqiiil17 @topansix @FaktaSepakbola Ternyata faktanya yg juara dunia Argentina ü§£ü§£</t>
  </si>
  <si>
    <t>ternyata faktanya juara dunia argentina</t>
  </si>
  <si>
    <t>['ternyata', 'faktanya', 'juara', 'dunia', 'argentina']</t>
  </si>
  <si>
    <t>Aku ketika melihat foto¬≤ Licha waktu main di lapangan : ü•∞ü•∞ü•∞ Aku ketika melihat foto¬≤ Licha waktu perayaan juara Argentina di luar lapangan : ü•µü•µü•µü§Øü§Øü§Ø alias... DAMN HE IS SO HOT!</t>
  </si>
  <si>
    <t>aku ketika melihat foto licha waktu main lapangan aku ketika melihat foto licha waktu perayaan juara argentina luar lapangan alias damn hot</t>
  </si>
  <si>
    <t>['aku', 'melihat', 'foto', 'licha', 'waktu', 'main', 'lapangan', 'aku', 'melihat', 'foto', 'licha', 'waktu', 'perayaan', 'juara', 'argentina', 'luar', 'lapangan', 'alias', 'damn', 'hot']</t>
  </si>
  <si>
    <t>Ternyata Argentina juara dan just having fun Lionel Messi sdh diprediksi oleh @MafiaWasit jauh-jauh hari lewat lagu.  https://t.co/4S2hyKLwpA</t>
  </si>
  <si>
    <t>ternyata argentina juara dan just having fun lionel messi sdh diprediksi oleh jauh jauh hari lewat lagu</t>
  </si>
  <si>
    <t>['ternyata', 'argentina', 'juara', 'just', 'having', 'fun', 'lionel', 'messi', 'diprediksi', 'jauh', 'jauh', 'hari', 'lewat', 'lagu']</t>
  </si>
  <si>
    <t>Parade Juara Piala Dunia Argentina Sempat Ricuh, Messi Dkk Diangkut Helikopter  https://t.co/6homhRhqPC  https://t.co/HwMiaZfXvX</t>
  </si>
  <si>
    <t>Jadi Juara, Argentina Libur Nasional  https://t.co/zsyPrYquga</t>
  </si>
  <si>
    <t>jadi juara argentina libur nasional</t>
  </si>
  <si>
    <t>['jadi', 'juara', 'argentina', 'libur', 'nasional']</t>
  </si>
  <si>
    <t>@RevoNugroho @aqiiil17 @topansix @FaktaSepakbola Liat statement kalimat utuh,di akhir sama aja meremehkan amerika latin bisa juara dunia yg menang negara eropa!! Wajar klo dia jadi bahan ejekan setelah Argentina juara,mbappe pemain hebat tp klo attitude d</t>
  </si>
  <si>
    <t>liat statement kalimat utuh akhir sama aja meremehkan amerika latin bisa juara dunia menang negara eropa wajar klo dia jadi bahan ejekan setelah argentina juara mbappe pemain hebat klo attitude</t>
  </si>
  <si>
    <t>['lihat', 'statement', 'kalimat', 'utuh', 'akhir', 'sama', 'meremehkan', 'amerika', 'latin', 'juara', 'dunia', 'menang', 'negara', 'eropa', 'wajar', 'jadi', 'bahan', 'ejekan', 'argentina', 'juara', 'mbappe', 'pemain', 'hebat', 'attitude']</t>
  </si>
  <si>
    <t>terowongan semanggi rasa buenos aires setelah argentina juara</t>
  </si>
  <si>
    <t>['terowongan', 'semanggi', 'rasa', 'buenos', 'aires', 'argentina', 'juara']</t>
  </si>
  <si>
    <t>Momen antara Rodrigo de Paul dan Lionel Messi kembali jadi sorotan. Kali ini De Paul terlihat langsung menurut apa kata Messi dalam parade juara Argentina.  https://t.co/OO9IAa0PBd</t>
  </si>
  <si>
    <t xml:space="preserve">@yangtwtwaje @idextratime Tapi kalo 3 edisi terakhir tetep hebatan France sih , krn juara 2018 terus bisa backtoback ke Final lagi dan runner-up cuman lewat adu penalty doank di 2022 ini Itu rekor terbaik sbg juara bertahan World Cup sejak era New trophy </t>
  </si>
  <si>
    <t>tapi kalo edisi terakhir tetep hebatan france sih krn juara terus bisa backtoback final lagi dan runner cuman lewat adu penalty doank ini itu rekor terbaik sbg juara bertahan world cup sejak era new trophy</t>
  </si>
  <si>
    <t>['edisi', 'terakhir', 'tetep', 'hebatan', 'france', 'juara', 'terus', 'backtoback', 'final', 'runner', 'cuman', 'lewat', 'adu', 'penalty', 'doank', 'rekor', 'terbaik', 'sbg', 'juara', 'bertahan', 'world', 'cup', 'sejak', 'era', 'new', 'trophy']</t>
  </si>
  <si>
    <t>Top 3 Berita Bola: Lionel Messi Hampir Alami Kecelakaan Saat Rayakan Argentina Juara Piala Dunia 2022  https://t.co/NyAzC5ZF8b</t>
  </si>
  <si>
    <t>top berita bola lionel messi hampir alami kecelakaan saat rayakan argentina juara piala dunia</t>
  </si>
  <si>
    <t>['top', 'berita', 'bola', 'lionel', 'messi', 'hampir', 'alami', 'kecelakaan', 'rayakan', 'argentina', 'juara', 'piala', 'dunia']</t>
  </si>
  <si>
    <t>@SiaranBolaLive Wajar sampai seheboh itu krn mayoritas fans Argentina baru sekali liat juara World Cup, terakhir juara 36 thn yg lalu di 1986 jadi bahkan fans Argentina yg usia 40 thn aja mungkin kebanyakan belom liat jg saat itu Kalo France kan kebanyaka</t>
  </si>
  <si>
    <t>wajar sampai seheboh itu krn mayoritas fans argentina baru sekali liat juara world cup terakhir juara thn lalu jadi bahkan fans argentina usia thn aja mungkin kebanyakan belom liat saat itu kalo france kan kebanyaka</t>
  </si>
  <si>
    <t>['wajar', 'seheboh', 'mayoritas', 'fans', 'argentina', 'baru', 'sekali', 'lihat', 'juara', 'world', 'cup', 'terakhir', 'juara', 'thn', 'lalu', 'jadi', 'bahkan', 'fans', 'argentina', 'usia', 'thn', 'mungkin', 'kebanyakan', 'belom', 'lihat', 'france', 'kan', 'kebanyaka']</t>
  </si>
  <si>
    <t>pagi ini ngomongin euforia warga Argentina habis timnasnya juara piala dunia,,negara sekelas Argentina aja perayaannya sampai segininya,, "emang Argentina terakhir juara dunia kapan sih?" "1986" dalam hati .... eh, sama ama umur gw ini mahü•≤</t>
  </si>
  <si>
    <t>pagi ini ngomongin euforia warga argentina habis timnasnya juara piala dunia negara sekelas argentina aja perayaannya sampai segininya emang argentina terakhir juara dunia kapan sih dalam hati sama ama umur ini mah</t>
  </si>
  <si>
    <t>['pagi', 'ngomongin', 'euforia', 'warga', 'argentina', 'habis', 'timnasnya', 'juara', 'piala', 'dunia', 'negara', 'sekelas', 'argentina', 'perayaannya', 'segininya', 'emang', 'argentina', 'terakhir', 'juara', 'dunia', 'kapan', 'hati', 'sama', 'ama', 'umur', 'mah']</t>
  </si>
  <si>
    <t>@FaktaSepakbola Fyi, 24 dari 26 pemain Argentina yang juara piala dunia tahun ini bermain untuk klub eropa</t>
  </si>
  <si>
    <t>fyi dari pemain argentina yang juara piala dunia tahun ini bermain untuk klub eropa</t>
  </si>
  <si>
    <t>['for your information', 'pemain', 'argentina', 'juara', 'piala', 'dunia', 'tahun', 'bermain', 'klub', 'eropa']</t>
  </si>
  <si>
    <t>brazil emg banyak talenta bola bahkan masi bocil pun banyak, argentina uda 2 WC ya emg layak juara karna pernah juara, sedangkan portugal baru juara 2 kali, itupun euro ama uefa nations league, ya bisa dibilang digendong bangdo, cuman sayang skrg lg generasi emas malah rungkad</t>
  </si>
  <si>
    <t>brazil emg banyak talenta bola bahkan masi bocil pun banyak argentina uda emg layak juara karna pernah juara sedangkan portugal baru juara kali itupun euro ama uefa nations league bisa dibilang digendong bangdo cuman sayang skrg generasi emas malah rungkad</t>
  </si>
  <si>
    <t>['brazil', 'memang', 'banyak', 'talenta', 'bola', 'bahkan', 'masi', 'bocil', 'banyak', 'argentina', 'uda', 'memang', 'layak', 'juara', 'karna', 'pernah', 'juara', 'portugal', 'baru', 'juara', 'kali', 'itupun', 'euro', 'ama', 'uefa', 'nations', 'league', 'dibilang', 'digendong', 'bangdo', 'cuman', 'sayang', 'skrg', 'generasi', 'emas', 'malah', 'rungkad']</t>
  </si>
  <si>
    <t>4 juta fans berkumpul di Buenos Aires, Argentina, untuk merayakan Gelar Juara Dunia FIFA World Cup 2022 yang ketiga ‚≠ê‚≠ê‚≠ê üá¶üá∑ Argentina.  #Argentina #FIFAWorldCup #Qatar2022 #QatarWorldCup2022 #Champion #WorldCup2022 #Messi #GOATìÉµ #GOAT #fyp #fyp„Ç∑ #viral  https://t.co/jwnYPaXE0g</t>
  </si>
  <si>
    <t>juta fans berkumpul buenos aires argentina untuk merayakan gelar juara dunia fifa world cup yang ketiga argentina</t>
  </si>
  <si>
    <t>['juta', 'fans', 'berkumpul', 'buenos', 'aires', 'argentina', 'merayakan', 'gelar', 'juara', 'dunia', 'fifa', 'world', 'cup', 'ketiga', 'argentina']</t>
  </si>
  <si>
    <t>@SichemImanuel @raihanzyx @Gdmn77 @idextratime Selamat utk gelar World Cup pertamanya sbg fans Argentina, gue respect ke Argentina tapi gue juga bangga karena udh 2 kali liat France juara World Cup.</t>
  </si>
  <si>
    <t>selamat utk gelar world cup pertamanya sbg fans argentina gue respect argentina tapi gue juga bangga karena udh kali liat france juara world cup</t>
  </si>
  <si>
    <t>['selamat', 'gelar', 'world', 'cup', 'pertamanya', 'sbg', 'fans', 'argentina', 'gue', 'respect', 'argentina', 'gue', 'bangga', 'sudah', 'kali', 'lihat', 'france', 'juara', 'world', 'cup']</t>
  </si>
  <si>
    <t>@SiaranBolaLive masih yakin  jika Indonesia Juara Dunia pasti lebih dari orang Argentina yang sedang euforia di Buenos Aires.. atau AFF besok aja mungkin bisa juara, kita lihat euforianya</t>
  </si>
  <si>
    <t>masih yakin jika indonesia juara dunia pasti lebih dari orang argentina yang sedang euforia buenos aires atau aff besok aja mungkin bisa juara kita lihat euforianya</t>
  </si>
  <si>
    <t>['yakin', 'indonesia', 'juara', 'dunia', 'lebih', 'orang', 'argentina', 'sedang', 'euforia', 'buenos', 'aires', 'aff', 'besok', 'mungkin', 'juara', 'lihat', 'euforianya']</t>
  </si>
  <si>
    <t>Emi Martinez Ejek Mbappe di Parade Juara Argentina ‚Äì detikSport ‚Äì Google Berita Olahraga ‚Äì  https://t.co/LemqW7XMMs ‚Äì #Arenanews #Kamidi #Opsiminfo- https://t.co/wfXQEzC8VF</t>
  </si>
  <si>
    <t>emi martinez ejek mbappe parade juara argentina detiksport google berita olahraga</t>
  </si>
  <si>
    <t>['emi', 'martinez', 'ejek', 'mbappe', 'parade', 'juara', 'argentina', 'detiksport', 'google', 'berita', 'olahraga']</t>
  </si>
  <si>
    <t>@namrejreznap @ajielito Kenapa harus malu?doi udh banyak kontribusi di argentina,juara pildun u20,olimpiade,copa america Wajar aja dia segitunya,apalagi dia juga bagian dari squad finalis 2014,ga heran lah dia se heboh itu</t>
  </si>
  <si>
    <t>kenapa harus malu doi udh banyak kontribusi argentina juara pildun olimpiade copa america wajar aja dia segitunya apalagi dia juga bagian dari squad finalis heran lah dia heboh itu</t>
  </si>
  <si>
    <t>['malu', 'doi', 'sudah', 'banyak', 'kontribusi', 'argentina', 'juara', 'piala dunia', 'olimpiade', 'copa', 'america', 'wajar', 'segitunya', 'bagian', 'squad', 'finalis', 'heran', 'lah', 'heboh']</t>
  </si>
  <si>
    <t>Timnas Argentina telah tiba di Buenos Aires, Argentina, pada Selasa (20/12) pagi. Kedatangan Lionel Messi dan kolega langsung disambut lautan manusia yang ingin merayakan gelar juara Piala Dunia 2022.    #IndosiarBerita   Berita lainnya:  https://t.co/wddAYjGQqE  https://t.co/cKEMnhIX3T</t>
  </si>
  <si>
    <t>timnas argentina telah tiba buenos aires argentina pada selasa pagi kedatangan lionel messi dan kolega langsung disambut lautan manusia yang ingin merayakan gelar juara piala dunia berita lainnya</t>
  </si>
  <si>
    <t>['timnas', 'argentina', 'tiba', 'buenos', 'aires', 'argentina', 'selasa', 'pagi', 'kedatangan', 'lionel', 'messi', 'kolega', 'langsung', 'disambut', 'lautan', 'manusia', 'merayakan', 'gelar', 'juara', 'piala', 'dunia', 'berita', 'lainnya']</t>
  </si>
  <si>
    <t>Masih dirasakan euphoria kebahagiaan pasca Argentina menjadi juara World Cup.  Korban Kanjuruhan apa kabar ya?</t>
  </si>
  <si>
    <t>masih dirasakan euphoria kebahagiaan pasca argentina menjadi juara world cup korban kanjuruhan apa kabar</t>
  </si>
  <si>
    <t>['dirasakan', 'euphoria', 'kebahagiaan', 'pasca', 'argentina', 'menjadi', 'juara', 'world', 'cup', 'korban', 'kanjuruhan', 'apa', 'kabar']</t>
  </si>
  <si>
    <t>Suporter Menggila di Perayaan Juara, Pemain Argentina Dievakuasi Helikopter  https://t.co/hpU52rBxmJ</t>
  </si>
  <si>
    <t>suporter menggila perayaan juara pemain argentina dievakuasi helikopter</t>
  </si>
  <si>
    <t>['suporter', 'menggila', 'perayaan', 'juara', 'pemain', 'argentina', 'dievakuasi', 'helikopter']</t>
  </si>
  <si>
    <t>Beberapa alasan Argentina bisa Juara Piala Dunia 2022: Salah satunya faktor pelatih! . #EMTEKWORLDCUP2022 #BOLANETWORLDCUP2022 #PialaDunia #PialaDunia2022  https://t.co/mMYzDDgTGu</t>
  </si>
  <si>
    <t>beberapa alasan argentina bisa juara piala dunia salah satunya faktor pelatih</t>
  </si>
  <si>
    <t>['beberapa', 'alasan', 'argentina', 'juara', 'piala', 'dunia', 'salah', 'satunya', 'faktor', 'pelatih']</t>
  </si>
  <si>
    <t>@gastonedul Argentina bakal juara lagi di edisi pildun Jerman. Entah kapan itu akan terjadi</t>
  </si>
  <si>
    <t>argentina bakal juara lagi edisi pildun jerman entah kapan itu akan terjadi</t>
  </si>
  <si>
    <t>['argentina', 'bakal', 'juara', 'edisi', 'piala dunia', 'jerman', 'entah', 'kapan', 'terjadi']</t>
  </si>
  <si>
    <t>Waduh! Messi Hampir Tersangkut Kabel Saat Pawai Juara Timnas Argentina di Buones Aires  https://t.co/LGlZGPFhb3 #Argentina #Messi #MessiTersangkutKabel #PialaDunia</t>
  </si>
  <si>
    <t>waduh messi hampir tersangkut kabel saat pawai juara timnas argentina buones aires</t>
  </si>
  <si>
    <t>['waduh', 'messi', 'hampir', 'tersangkut', 'kabel', 'pawai', 'juara', 'timnas', 'argentina', 'buones', 'aires']</t>
  </si>
  <si>
    <t>@ID_Albiceleste Keliatan Berat banget beban dia ya tuk bawa Argentina juara.. ga pernah ekspresi berlebihan setiap menang dan akhirnya baru bisa lepas setelah fix juara.. next mission : - persiapkan sistem tanpa Messi - pertahankan gelar Copa America di 2</t>
  </si>
  <si>
    <t>albiceleste keliatan berat banget beban dia tuk bawa argentina juara pernah ekspresi berlebihan setiap menang dan akhirnya baru bisa lepas setelah fix juara next mission persiapkan sistem tanpa messi pertahankan gelar copa america</t>
  </si>
  <si>
    <t>['albiceleste', 'keliatan', 'berat', 'banget', 'beban', 'tuk', 'bawa', 'argentina', 'juara', 'pernah', 'ekspresi', 'berlebihan', 'menang', 'akhirnya', 'baru', 'lepas', 'fix', 'juara', 'next', 'mission', 'persiapkan', 'sistem', 'messi', 'pertahankan', 'gelar', 'copa', 'america']</t>
  </si>
  <si>
    <t>WOW! Argentina berhasil meraih juara Piala Dunia untuk ketiga kalinya. Apa sih kunci kemenangan Argentina di Piala Dunia 2022?  #StartingEleven  #Bolapedia #TimnasArgentina  https://t.co/LB1eKM5suL</t>
  </si>
  <si>
    <t>wow argentina berhasil meraih juara piala dunia untuk ketiga kalinya apa sih kunci kemenangan argentina piala dunia</t>
  </si>
  <si>
    <t>['wow', 'argentina', 'berhasil', 'meraih', 'juara', 'piala', 'dunia', 'ketiga', 'kalinya', 'apa', 'kunci', 'kemenangan', 'argentina', 'piala', 'dunia']</t>
  </si>
  <si>
    <t>Parade juara Argentina meninggalkan banyak momen viral. Salah satunya reaksi Lionel Messi saat dilempar boneka Kura-kura Ninja.  https://t.co/fcekHOvzuo</t>
  </si>
  <si>
    <t>parade juara argentina meninggalkan banyak momen viral salah satunya reaksi lionel messi saat dilempar boneka kura kura ninja</t>
  </si>
  <si>
    <t>['parade', 'juara', 'argentina', 'meninggalkan', 'banyak', 'momen', 'viral', 'salah', 'satunya', 'reaksi', 'lionel', 'messi', 'dilempar', 'boneka', 'kura', 'kura', 'ninja']</t>
  </si>
  <si>
    <t>@faizalarca @FaktaSepakbola Tapi mainnya menurut gua masih biasa aja klau dibandingkan dgn Prancis dan Brazil. Gua udh pantengi Argentina dari copa kmren. Dgn permainan kyk gitu, emg ragu banget bisa sampe juara WC</t>
  </si>
  <si>
    <t>tapi mainnya menurut gua masih biasa aja klau dibandingkan dgn prancis dan brazil gua udh pantengi argentina dari copa kmren dgn permainan kyk gitu emg ragu banget bisa sampe juara</t>
  </si>
  <si>
    <t>['mainnya', 'gua', 'biasa', 'klau', 'dibandingkan', 'prancis', 'brazil', 'gua', 'sudah', 'pantengi', 'argentina', 'copa', 'kmren', 'permainan', 'seperti', 'gitu', 'memang', 'ragu', 'banget', 'sampai', 'juara']</t>
  </si>
  <si>
    <t>Kemenangan Argentina sebagai juara Piala Dunia 2022 patut dirayakan. Namun sayang, aksi Kiper Argentina Emiliano Martinez yang merayakan keberhasilannya meraih sarung tangan emas dengan meletakkan trofi di atas penisnya, menuai kritik tajam.  https://t.co/d6zDJ20lQS</t>
  </si>
  <si>
    <t>kemenangan argentina sebagai juara piala dunia patut dirayakan namun sayang aksi kiper argentina emiliano martinez yang merayakan keberhasilannya meraih sarung tangan emas dengan meletakkan trofi atas penisnya menuai kritik tajam</t>
  </si>
  <si>
    <t>['kemenangan', 'argentina', 'juara', 'piala', 'dunia', 'patut', 'dirayakan', 'sayang', 'aksi', 'kiper', 'argentina', 'emiliano', 'martinez', 'merayakan', 'keberhasilannya', 'meraih', 'sarung', 'tangan', 'emas', 'meletakkan', 'trofi', 'atas', 'penisnya', 'menuai', 'kritik', 'tajam']</t>
  </si>
  <si>
    <t>Pawai Juara Argentina Chaos: Fan Nekat Masuk Bus, Pemain Dievakuasi ‚Äì CNN Indonesia ‚Äì Google Berita Olahraga ‚Äì  https://t.co/qPKxOykYMP ‚Äì #Arenanews #Kamidi #Opsiminfo- https://t.co/k0Ez0E4IME</t>
  </si>
  <si>
    <t>pawai juara argentina chaos fan nekat masuk bus pemain dievakuasi cnn indonesia google berita olahraga</t>
  </si>
  <si>
    <t>['pawai', 'juara', 'argentina', 'chaos', 'fan', 'nekat', 'masuk', 'bus', 'pemain', 'dievakuasi', 'cnn', 'indonesia', 'google', 'berita', 'olahraga']</t>
  </si>
  <si>
    <t>@vakingsiit @Fasa77342812 @idextratime Tapi mayoritas fans Argentina baru pada sekali kan ya liat juara World Cup ini?? Terakhir juara 36 thn yg lalu pas 1986 berarti fans nya yang usia 40 tahun aja mungkin kebanyakan juga belom pada nonton kan pas 1986 i</t>
  </si>
  <si>
    <t>tapi mayoritas fans argentina baru pada sekali kan liat juara world cup ini terakhir juara thn lalu pas berarti fans nya yang usia tahun aja mungkin kebanyakan juga belom pada nonton kan pas</t>
  </si>
  <si>
    <t>['mayoritas', 'fans', 'argentina', 'baru', 'sekali', 'kan', 'lihat', 'juara', 'world', 'cup', 'terakhir', 'juara', 'thn', 'lalu', 'pas', 'berarti', 'fans', 'usia', 'tahun', 'mungkin', 'kebanyakan', 'belom', 'nonton', 'kan', 'pas']</t>
  </si>
  <si>
    <t>@idextratime Skuad Argentina skrng kan rata" kecilnya itu fans Messi. Dan punya cita" jadi juara untuk Messi. Bahkan scaloni sendiri kagum. Beda Portugal kayak gak ada kagumnya sama dodo</t>
  </si>
  <si>
    <t>skuad argentina skrng kan rata kecilnya itu fans messi dan punya cita jadi juara untuk messi bahkan scaloni sendiri kagum beda portugal kayak gak ada kagumnya sama dodo</t>
  </si>
  <si>
    <t>['skuad', 'argentina', 'skrng', 'kan', 'rata', 'kecilnya', 'fans', 'messi', 'punya', 'cita', 'jadi', 'juara', 'messi', 'bahkan', 'scaloni', 'sendiri', 'kagum', 'beda', 'portugal', 'seperti', 'kagumnya', 'sama', 'dodo']</t>
  </si>
  <si>
    <t>Emiliano Martinez terlihat memegang sebuah boneka dengan foto muka Kylian Mbapp√© saat melakukan parade juara Piala Dunia 2022 bersama Timnas Argentina di Buenos Aires!üá¶üá∑üò±  https://t.co/mgpQqpCRGC</t>
  </si>
  <si>
    <t>emiliano martinez terlihat memegang sebuah boneka dengan foto muka kylian mbapp saat melakukan parade juara piala dunia bersama timnas argentina buenos aires</t>
  </si>
  <si>
    <t>['emiliano', 'martinez', 'terlihat', 'memegang', 'sebuah', 'boneka', 'foto', 'muka', 'kylian', 'mbapp', 'melakukan', 'parade', 'juara', 'piala', 'dunia', 'bersama', 'timnas', 'argentina', 'buenos', 'aires']</t>
  </si>
  <si>
    <t>@JMaestr07 @Fajryfadhill19 @idextratime lah trs apa kalo bukan provok? var ga cuma argentina, hampir semua match ga fungsiin var, kalo ini konspirasi knp ga Argen v Portugal aja final biar rame/ga sekalian kaya WC 2002 korea v italy. teori goblok. ü§£ü§</t>
  </si>
  <si>
    <t>lah trs apa kalo bukan provok var cuma argentina hampir semua match fungsiin var kalo ini konspirasi knp argen portugal aja final biar rame sekalian kaya korea italy teori goblok</t>
  </si>
  <si>
    <t>['lah', 'terus', 'apa', 'bukan', 'provok', 'var', 'cuma', 'argentina', 'hampir', 'semua', 'match', 'fungsiin', 'var', 'konspirasi', 'kenapa', 'argen', 'portugal', 'final', 'ramai', 'sekalian', 'kaya', 'korea', 'italy', 'teori', 'goblok']</t>
  </si>
  <si>
    <t>FOTO: Perayaan Juara Argentina Chaos, Pemain Dievakuasi Helikopter  https://t.co/PbTxXlJtA8</t>
  </si>
  <si>
    <t>foto perayaan juara argentina chaos pemain dievakuasi helikopter</t>
  </si>
  <si>
    <t>['foto', 'perayaan', 'juara', 'argentina', 'chaos', 'pemain', 'dievakuasi', 'helikopter']</t>
  </si>
  <si>
    <t>Untuk para pendukung Tim Nasional Prancis. Tetap semangat dan ga perlu menangis. Selamat pendukung Argentina, kamu layak juara dan bahagia.  Tim manapun kamu, untuk kunjungan wisata dan bisnis ke Indonesia bisa pakai e-VOA di  https://t.co/CEnCKoMbB8  https://t.co/wPfTC0bZCM</t>
  </si>
  <si>
    <t>untuk para pendukung tim nasional prancis tetap semangat dan perlu menangis selamat pendukung argentina kamu layak juara dan bahagia tim manapun kamu untuk kunjungan wisata dan bisnis indonesia bisa pakai voa</t>
  </si>
  <si>
    <t>['pendukung', 'tim', 'nasional', 'prancis', 'tetap', 'semangat', 'perlu', 'menangis', 'selamat', 'pendukung', 'argentina', 'kamu', 'layak', 'juara', 'bahagia', 'tim', 'manapun', 'kamu', 'kunjungan', 'wisata', 'bisnis', 'indonesia', 'pakai', 'voa']</t>
  </si>
  <si>
    <t>@idextratime Sepertinya lebih emosional melihat Messi dan Argentina juara copa Amerika 2021</t>
  </si>
  <si>
    <t>sepertinya lebih emosional melihat messi dan argentina juara copa amerika</t>
  </si>
  <si>
    <t>['sepertinya', 'lebih', 'emosional', 'melihat', 'messi', 'argentina', 'juara', 'copa', 'amerika']</t>
  </si>
  <si>
    <t>@idextratime @TalkToPhillip Mana Anton min katanya kalau Argentina juara dia jilat pantat lu</t>
  </si>
  <si>
    <t>mana anton min katanya kalau argentina juara dia jilat pantat</t>
  </si>
  <si>
    <t>['mana', 'anton', 'min', 'katanya', 'kalau', 'argentina', 'juara', 'jilat', 'pantat']</t>
  </si>
  <si>
    <t xml:space="preserve">@idextratime Iya saya setuju. Messi di tim Argentina didukung semua pemain di lapangan yg bersedia berjuang buat dy.. rela mengorbankan jiwa raganya untuk Messi, itu faktor yg kuat Argentina bisa juara. Pemain lain aja pada statement, "kami akan berjuang </t>
  </si>
  <si>
    <t>iya saya setuju messi tim argentina didukung semua pemain lapangan bersedia berjuang buat rela mengorbankan jiwa raganya untuk messi itu faktor kuat argentina bisa juara pemain lain aja pada statement kami akan berjuang</t>
  </si>
  <si>
    <t>['iya', 'setuju', 'messi', 'tim', 'argentina', 'didukung', 'semua', 'pemain', 'lapangan', 'bersedia', 'berjuang', 'buat', 'rela', 'mengorbankan', 'jiwa', 'raganya', 'messi', 'faktor', 'kuat', 'argentina', 'juara', 'pemain', 'statement', 'berjuang']</t>
  </si>
  <si>
    <t>Klo argentina di perkiraan 4 juta orang tumpat ruah di jalan, maka tunggu Indonesia juara Aff libur seminggu mungkin plus lebih dr 4 juta orang turun ke jalan‚Ä¶</t>
  </si>
  <si>
    <t>klo argentina perkiraan juta orang tumpat ruah jalan maka tunggu indonesia juara aff libur seminggu mungkin plus lebih juta orang turun jalan</t>
  </si>
  <si>
    <t>['argentina', 'perkiraan', 'juta', 'orang', 'tumpat', 'ruah', 'jalan', 'tunggu', 'indonesia', 'juara', 'aff', 'libur', 'seminggu', 'mungkin', 'plus', 'lebih', 'juta', 'orang', 'turun', 'jalan']</t>
  </si>
  <si>
    <t>Sudah 50jam lebih Argentina Juara Piala Dunia, dan Penahbisan pemain no 10 nya untuk mendapatkan (mungkin) puzzle terakhir yang dicarinya sbg pemain bola, namun masih menyenangkan untuk dibahas. Salah satunya bagaimana menyikapi "kesempurnaan" seorang pesebakbola terwujud üòä</t>
  </si>
  <si>
    <t>sudah jam lebih argentina juara piala dunia dan penahbisan pemain nya untuk mendapatkan mungkin puzzle terakhir yang dicarinya sbg pemain bola namun masih menyenangkan untuk dibahas salah satunya bagaimana menyikapi kesempurnaan seorang pesebakbola terwujud</t>
  </si>
  <si>
    <t>['jam', 'lebih', 'argentina', 'juara', 'piala', 'dunia', 'penahbisan', 'pemain', 'mendapatkan', 'mungkin', 'puzzle', 'terakhir', 'dicarinya', 'sbg', 'pemain', 'bola', 'menyenangkan', 'dibahas', 'salah', 'satunya', 'bagaimana', 'menyikapi', 'kesempurnaan', 'seorang', 'pesebakbola', 'terwujud']</t>
  </si>
  <si>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</si>
  <si>
    <t>sepak bola memang memiliki daya magis yang luar biasa diperkirakan sebanyak juta orang berkumpul menyambut parade timnas argentina yang berhasil menjadi juara fifa world cup qatar hal serupa juga terjadi maroko kroasia dan tentu saja juga perancis</t>
  </si>
  <si>
    <t>['sepak', 'bola', 'memang', 'memiliki', 'daya', 'magis', 'luar', 'biasa', 'diperkirakan', 'sebanyak', 'juta', 'orang', 'berkumpul', 'menyambut', 'parade', 'timnas', 'argentina', 'berhasil', 'menjadi', 'juara', 'fifa', 'world', 'cup', 'qatar', 'serupa', 'terjadi', 'maroko', 'kroasia', 'perancis']</t>
  </si>
  <si>
    <t>@cttnbd29 @imamhabibi_ @idextratime Benarr sekali yg juara argentina,,yang tusuk tusukan sampe mati orang indo hahaha</t>
  </si>
  <si>
    <t>benarr sekali juara argentina yang tusuk tusukan sampe mati orang indo hahaha</t>
  </si>
  <si>
    <t>['benarr', 'sekali', 'juara', 'argentina', 'tusuk', 'tusukan', 'sampai', 'mati', 'orang', 'indo', 'hahaha']</t>
  </si>
  <si>
    <t>CNN Indonesia -- Pawai Argentina juara Piala Dunia 2022 terpaksa dipersingkat karena berubah menjadi kekacauan imbas dari lautan 4 juta orang memadati Buenos Aires.   https://t.co/ogFshbaVAs</t>
  </si>
  <si>
    <t>cnn indonesia pawai argentina juara piala dunia terpaksa dipersingkat karena berubah menjadi kekacauan imbas dari lautan juta orang memadati buenos aires</t>
  </si>
  <si>
    <t>['cnn', 'indonesia', 'pawai', 'argentina', 'juara', 'piala', 'dunia', 'terpaksa', 'dipersingkat', 'berubah', 'menjadi', 'kekacauan', 'imbas', 'lautan', 'juta', 'orang', 'memadati', 'buenos', 'aires']</t>
  </si>
  <si>
    <t>@idextratime Faktor pelatih Pak. Sebelum dilatih Scaloni, Argentina juga gak juara juara. Padahal skuadnya mewah.</t>
  </si>
  <si>
    <t>faktor pelatih pak sebelum dilatih scaloni argentina juga gak juara juara padahal skuadnya mewah</t>
  </si>
  <si>
    <t>['faktor', 'pelatih', 'pak', 'dilatih', 'scaloni', 'argentina', 'juara', 'juara', 'padahal', 'skuadnya', 'mewah']</t>
  </si>
  <si>
    <t>Argentina Juara Piala Dunia 2022, Lionel Messi Catat Periode Tersubur di Timnas  https://t.co/i0cZ6FtfIx</t>
  </si>
  <si>
    <t>argentina juara piala dunia lionel messi catat periode tersubur timnas</t>
  </si>
  <si>
    <t>['argentina', 'juara', 'piala', 'dunia', 'lionel', 'messi', 'catat', 'periode', 'tersubur', 'timnas']</t>
  </si>
  <si>
    <t>Parade Juara Argentina Kacau, Pemain Dievakuasi Pakai Helikopter¬†  https://t.co/WaTuhAPhlL</t>
  </si>
  <si>
    <t>parade juara argentina kacau pemain dievakuasi pakai helikopter</t>
  </si>
  <si>
    <t>['parade', 'juara', 'argentina', 'kacau', 'pemain', 'dievakuasi', 'pakai', 'helikopter']</t>
  </si>
  <si>
    <t>Penyebab Parade Bus Juara Piala Dunia 2022 Timnas Argentina Harus Diakhiri Lebih Awal #LengkapCepatBeritanya #Bola #SepakBola #SepakbolaDunia #BolaDunia .  https://t.co/zAqGbZpYxe</t>
  </si>
  <si>
    <t>penyebab parade bus juara piala dunia timnas argentina harus diakhiri lebih awal</t>
  </si>
  <si>
    <t>['penyebab', 'parade', 'bus', 'juara', 'piala', 'dunia', 'timnas', 'argentina', 'diakhiri', 'lebih', 'awal']</t>
  </si>
  <si>
    <t>Argentina Juara Piala Dunia 2022, Lionel Messi Dijadikan Nama Jalan di Argentina #LengkapCepatBeritanya #Bola #SepakBola #SepakbolaDunia #BolaDunia .  https://t.co/ucP3TL0A06</t>
  </si>
  <si>
    <t>argentina juara piala dunia lionel messi dijadikan nama jalan argentina</t>
  </si>
  <si>
    <t>['argentina', 'juara', 'piala', 'dunia', 'lionel', 'messi', 'dijadikan', 'nama', 'jalan', 'argentina']</t>
  </si>
  <si>
    <t>Hari libur nasional Argentina (Desember 2022): 8 Desember - Dikandung Tanpa Noda 20 Desember - Perayaan Argentina juara Piala Dunia 2022 25 Desember - Hari Raya Natal  @ID_Albiceleste</t>
  </si>
  <si>
    <t>hari libur nasional argentina desember desember dikandung tanpa noda desember perayaan argentina juara piala dunia desember hari raya natal albiceleste</t>
  </si>
  <si>
    <t>['hari', 'libur', 'nasional', 'argentina', 'desember', 'desember', 'dikandung', 'noda', 'desember', 'perayaan', 'argentina', 'juara', 'piala', 'dunia', 'desember', 'hari', 'raya', 'natal', 'albiceleste']</t>
  </si>
  <si>
    <t>Parade juara Piala Dunia Argentina dihentikan saat melintasi ibu kota Buenos Aires karena masalah keamanan setelah seorang suporter melompat ke dalam bus.  #Argentina #PialaDunia2022 #FIFAWorldCup #Qatar2022   https://t.co/0KLxP8ayIL</t>
  </si>
  <si>
    <t>parade juara piala dunia argentina dihentikan saat melintasi ibu kota buenos aires karena masalah keamanan setelah seorang suporter melompat dalam bus</t>
  </si>
  <si>
    <t>['parade', 'juara', 'piala', 'dunia', 'argentina', 'dihentikan', 'melintasi', 'ibu', 'kota', 'buenos', 'aires', 'masalah', 'keamanan', 'seorang', 'suporter', 'melompat', 'bus']</t>
  </si>
  <si>
    <t>Tetap bakal juara messi secara materi pemain lebih bagus.   Siapa itu mac allister?  Gua aja baru tahu ada pemain argentina namanya mac allister ü§£</t>
  </si>
  <si>
    <t>tetap bakal juara messi secara materi pemain lebih bagus siapa itu mac allister gua aja baru tahu ada pemain argentina namanya mac allister</t>
  </si>
  <si>
    <t>['tetap', 'bakal', 'juara', 'messi', 'materi', 'pemain', 'lebih', 'bagus', 'siapa', 'mac', 'allister', 'gua', 'baru', 'tahu', 'pemain', 'argentina', 'namanya', 'mac', 'allister']</t>
  </si>
  <si>
    <t>Argentina, Juara Dunia dan Krisis Ekonomi  https://t.co/NK0692EPr7</t>
  </si>
  <si>
    <t>argentina juara dunia dan krisis ekonomi</t>
  </si>
  <si>
    <t>['argentina', 'juara', 'dunia', 'krisis', 'ekonomi']</t>
  </si>
  <si>
    <t>@idextratime nnti jadi penaldo yg juara wc bareng argentina</t>
  </si>
  <si>
    <t>nnti jadi penaldo juara bareng argentina</t>
  </si>
  <si>
    <t>['nnti', 'jadi', 'penaldo', 'juara', 'bareng', 'argentina']</t>
  </si>
  <si>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</si>
  <si>
    <t>sekitar empat juta fans argentina tumpah ruah memenuhi jalanan buenos aires dalam parade juara piala dunia saking padatnya para pemain pun harus diangkut pergi menggunakan helikopter kamu tertarik sushimitra buat ikutan parade juara disana</t>
  </si>
  <si>
    <t>['empat', 'juta', 'fans', 'argentina', 'tumpah', 'ruah', 'memenuhi', 'jalanan', 'buenos', 'aires', 'parade', 'juara', 'piala', 'dunia', 'saking', 'padatnya', 'pemain', 'diangkut', 'pergi', 'menggunakan', 'helikopter', 'kamu', 'tertarik', 'sushimitra', 'buat', 'ikutan', 'parade', 'juara', 'disana']</t>
  </si>
  <si>
    <t>Momen Pemain Argentina Dievakuasi Helikopter Usai Perayaan Juara Chaos  https://t.co/oVaUM2ael8</t>
  </si>
  <si>
    <t>momen pemain argentina dievakuasi helikopter usai perayaan juara chaos</t>
  </si>
  <si>
    <t>['momen', 'pemain', 'argentina', 'dievakuasi', 'helikopter', 'usai', 'perayaan', 'juara', 'chaos']</t>
  </si>
  <si>
    <t>@mkpasaribu @dhon3adi @SiaranBolaLive yang juara argentina tetap mau ngomong apapun</t>
  </si>
  <si>
    <t>yang juara argentina tetap mau ngomong apapun</t>
  </si>
  <si>
    <t>['juara', 'argentina', 'tetap', 'mau', 'ngomong', 'apapun']</t>
  </si>
  <si>
    <t>Megahnya Masjid King Fahd di Argentina, Negara Juara Piala Dunia 2022 #LengkapCepatBeritanya .  https://t.co/yDxphZ0BYt</t>
  </si>
  <si>
    <t>megahnya masjid king fahd argentina negara juara piala dunia</t>
  </si>
  <si>
    <t>['megahnya', 'masjid', 'king', 'fahd', 'argentina', 'negara', 'juara', 'piala', 'dunia']</t>
  </si>
  <si>
    <t xml:space="preserve">@tinkyyyvol2 @PorosHalangID aguero kontribusinya gede buat argentina, sejak u20 udah gendong argentina juara WC U20 Canada. jadi wajar kalo dia dipanggil buat ngerayain juara pildun bareng ü§´ orang negaranya juara pildun mau ikut ngerayain juara pildun </t>
  </si>
  <si>
    <t>aguero kontribusinya gede buat argentina sejak udah gendong argentina juara canada jadi wajar kalo dia dipanggil buat ngerayain juara pildun bareng orang negaranya juara pildun mau ikut ngerayain juara pildun</t>
  </si>
  <si>
    <t>['aguero', 'kontribusinya', 'gede', 'buat', 'argentina', 'sejak', 'udah', 'gendong', 'argentina', 'juara', 'canada', 'jadi', 'wajar', 'dipanggil', 'buat', 'ngerayain', 'juara', 'piala dunia', 'bareng', 'orang', 'negaranya', 'juara', 'piala dunia', 'mau', 'ikut', 'ngerayain', 'juara', 'piala dunia']</t>
  </si>
  <si>
    <t>@Shai_Hullud @PorosHalangID jadi temen sekamarnya messi dari u-20 wkakakak justru dia yg gendong argentina waktu juara wc u20 üò≠  https://t.co/U5UteFR1qv</t>
  </si>
  <si>
    <t>hullud jadi temen sekamarnya messi dari wkakakak justru dia gendong argentina waktu juara</t>
  </si>
  <si>
    <t>['hullud', 'jadi', 'temen', 'sekamarnya', 'messi', 'wkakakak', 'justru', 'gendong', 'argentina', 'waktu', 'juara']</t>
  </si>
  <si>
    <t>@herunulhakim @PorosHalangID aguero kontribusinya gede buat argentina, sejak u20 udah gendong argentina juara WC U20 Canada. jadi wajar kalo dia dipanggil buat ngerayain juara pildun bareng ü§´ orang negaranya juara pildun mau ikut ngerayain juara pildun</t>
  </si>
  <si>
    <t>Argentina Juara Hanya Hoki saja, untung ada adu penalti  https://t.co/g7n0lmJLR5</t>
  </si>
  <si>
    <t>argentina juara hanya hoki saja untung ada adu penalti</t>
  </si>
  <si>
    <t>['argentina', 'juara', 'hoki', 'untung', 'adu', 'penalti']</t>
  </si>
  <si>
    <t>@Pmangsud @anabeleSUNTER @idextratime argentina juara pildun ngalahin tim eropa juga fakta</t>
  </si>
  <si>
    <t>argentina juara pildun ngalahin tim eropa juga fakta</t>
  </si>
  <si>
    <t>['argentina', 'juara', 'piala dunia', 'ngalahin', 'tim', 'eropa', 'fakta']</t>
  </si>
  <si>
    <t>@myskill_id Argentina juara World Cup 22, gas all in Argentina! üî•</t>
  </si>
  <si>
    <t>argentina juara world cup gas all argentina</t>
  </si>
  <si>
    <t>['argentina', 'juara', 'world', 'cup', 'gas', 'all', 'argentina']</t>
  </si>
  <si>
    <t>@idoasiroha wkwkwk</t>
  </si>
  <si>
    <t>wkwkwk</t>
  </si>
  <si>
    <t>['wkwkwk']</t>
  </si>
  <si>
    <t>Kiper Argentina, Emiliano Martinez, kembali mengejek Kylian Mbappe tatkala melakoni parade perayaan juara Piala Dunia 2022 di Buenos Aires. #kumparanBOLA  https://t.co/02CsS2SXGV</t>
  </si>
  <si>
    <t>kiper argentina emiliano martinez kembali mengejek kylian mbappe tatkala melakoni parade perayaan juara piala dunia buenos aires</t>
  </si>
  <si>
    <t>['kiper', 'argentina', 'emiliano', 'martinez', 'mengejek', 'kylian', 'mbappe', 'tatkala', 'melakoni', 'parade', 'perayaan', 'juara', 'piala', 'dunia', 'buenos', 'aires']</t>
  </si>
  <si>
    <t>@tinkyyyvol2 @PorosHalangID legend argentina nih bos ü§´ orang negaranya juara pildun mau ikut ngerayain juara pildun aja masih pada bacot iri dengki, nih liat pemain lain jg pada caper üò≠</t>
  </si>
  <si>
    <t>legend argentina nih bos orang negaranya juara pildun mau ikut ngerayain juara pildun aja masih pada bacot iri dengki nih liat pemain lain pada caper</t>
  </si>
  <si>
    <t>['legend', 'argentina', 'bos', 'orang', 'negaranya', 'juara', 'piala dunia', 'mau', 'ikut', 'ngerayain', 'juara', 'piala dunia', 'bacot', 'iri', 'dengki', 'lihat', 'pemain', 'caper']</t>
  </si>
  <si>
    <t>@faizalarca @imamhabibi_ @idextratime ga ngeliat waktu brazil gugur di media suporter argentina pada gembira bgt,di sisi lain Kaka,Ronaldo,Rivaldo pas final pada dukung messi dan argentina utk jd juara</t>
  </si>
  <si>
    <t>ngeliat waktu brazil gugur media suporter argentina pada gembira bgt sisi lain kaka ronaldo rivaldo pas final pada dukung messi dan argentina utk juara</t>
  </si>
  <si>
    <t>['ngeliat', 'waktu', 'brazil', 'gugur', 'media', 'suporter', 'argentina', 'gembira', 'banget', 'sisi', 'kaka', 'ronaldo', 'rivaldo', 'pas', 'final', 'dukung', 'messi', 'argentina', 'juara']</t>
  </si>
  <si>
    <t xml:space="preserve">@mcflurrydeluxee @TheMan16808645 @maspiqi @idextratime Kelemahan terbesar France emang di sisi sejarah. Tapi sejak format 32 team France bisa 4 kali ke Final &amp;amp; 2 kali juara &amp;amp; 2 kali runner-up lwt adu penalty doank. Gue sbg fans France bangga liat </t>
  </si>
  <si>
    <t>kelemahan terbesar france emang sisi sejarah tapi sejak format team france bisa kali final kali juara kali runner lwt adu penalty doank gue sbg fans france bangga liat</t>
  </si>
  <si>
    <t>['kelemahan', 'terbesar', 'france', 'emang', 'sisi', 'sejarah', 'sejak', 'format', 'team', 'france', 'kali', 'final', 'kali', 'juara', 'kali', 'runner', 'lwt', 'adu', 'penalty', 'doank', 'gue', 'sbg', 'fans', 'france', 'bangga', 'lihat']</t>
  </si>
  <si>
    <t>@TumbalProyekk @gilang__33 @SiaranBolaLive Bukan bicara bakat mas.. ini bicara tim, bakat pun dari amerika latin saya percaya banyak pemain hebat dari sana.  Terbukti dari juara piala dunia antar club, zona UEFA selalu jadi juara.  Piala dunia trakhir bra</t>
  </si>
  <si>
    <t>bukan bicara bakat mas ini bicara tim bakat pun dari amerika latin saya percaya banyak pemain hebat dari sana terbukti dari juara piala dunia antar club zona uefa selalu jadi juara piala dunia trakhir bra</t>
  </si>
  <si>
    <t>['bukan', 'bicara', 'bakat', 'mas', 'bicara', 'tim', 'bakat', 'amerika', 'latin', 'percaya', 'banyak', 'pemain', 'hebat', 'sana', 'terbukti', 'juara', 'piala', 'dunia', 'antar', 'club', 'zona', 'uefa', 'selalu', 'jadi', 'juara', 'piala', 'dunia', 'trakhir', 'bra']</t>
  </si>
  <si>
    <t>Buenos Aires Lautan Manusia Sambut Juara Piala Dunia 2022, Ini Profil Ibu Kota Argentina  https://t.co/abPZXuyqIj #TempoDunia</t>
  </si>
  <si>
    <t>buenos aires lautan manusia sambut juara piala dunia ini profil ibu kota argentina</t>
  </si>
  <si>
    <t>['buenos', 'aires', 'lautan', 'manusia', 'sambut', 'juara', 'piala', 'dunia', 'profil', 'ibu', 'kota', 'argentina']</t>
  </si>
  <si>
    <t>Parade kemenangan Argentina rebut gelar juara Piala Dunia 2022  https://t.co/WB8HeoTJef</t>
  </si>
  <si>
    <t>parade kemenangan argentina rebut gelar juara piala dunia</t>
  </si>
  <si>
    <t>['parade', 'kemenangan', 'argentina', 'rebut', 'gelar', 'juara', 'piala', 'dunia']</t>
  </si>
  <si>
    <t>Yang nyetak buat #Portugal juara EURO 2016 Eder lho Messi nyetak 2 gol dan jadi eksekutor pertama buat #Argentina juara #FIFAWorldCup 2022 @Cristiano mana kontribusi nya di laga Final?  https://t.co/HLmfoYhLO6</t>
  </si>
  <si>
    <t>yang nyetak buat juara euro eder lho messi nyetak gol dan jadi eksekutor pertama buat juara mana kontribusi nya laga final</t>
  </si>
  <si>
    <t>['nyetak', 'buat', 'juara', 'euro', 'eder', 'lho', 'messi', 'nyetak', 'gol', 'jadi', 'eksekutor', 'pertama', 'buat', 'juara', 'mana', 'kontribusi', 'laga', 'final']</t>
  </si>
  <si>
    <t>@TumbalProyekk @skinnyweird_ @17_Jendi @SiaranBolaLive Klo gw jadi emil sih malu songong ke mbappe, di final di jebol 4 kali, kalo songong karena Argentina juara, dia baru juara umur 30, mbappe umur 19 udah ngangkat piala</t>
  </si>
  <si>
    <t>jendi klo jadi emil sih malu songong mbappe final jebol kali kalo songong karena argentina juara dia baru juara umur mbappe umur udah ngangkat piala</t>
  </si>
  <si>
    <t>['jendi', 'jadi', 'emil', 'malu', 'songong', 'mbappe', 'final', 'jebol', 'kali', 'songong', 'argentina', 'juara', 'baru', 'juara', 'umur', 'mbappe', 'umur', 'udah', 'ngangkat', 'piala']</t>
  </si>
  <si>
    <t>Argentina Juara Piala Dunia 2022, Lionel Messi Catat Periode Tersubur di Timnas  https://t.co/sJ5Nq5RN4S</t>
  </si>
  <si>
    <t>@TumbalProyekk @17_Jendi @skinnyweird_ @SiaranBolaLive Klo gw jadi emil sih malu songong ke mbappe, di final di jebol 4 kali, kalo songong karena Argentina juara, dia baru juara umur 30, mbappe umur 19 udah ngangkat piala</t>
  </si>
  <si>
    <t>@okikasepp @ESPNFC Cuma Messi doang yang positif dri Argentina juara dunia mas üòå</t>
  </si>
  <si>
    <t>cuma messi doang yang positif dri argentina juara dunia mas</t>
  </si>
  <si>
    <t>['cuma', 'messi', 'doang', 'positif', 'dri', 'argentina', 'juara', 'dunia', 'mas']</t>
  </si>
  <si>
    <t>Pesta Argentina Juara Piala Dunia 2022: Emi Martinez Bawa Boneka Berwajah Mbappe  https://t.co/GdaSmqk8wY</t>
  </si>
  <si>
    <t>pesta argentina juara piala dunia emi martinez bawa boneka berwajah mbappe</t>
  </si>
  <si>
    <t>['pesta', 'argentina', 'juara', 'piala', 'dunia', 'emi', 'martinez', 'bawa', 'boneka', 'berwajah', 'mbappe']</t>
  </si>
  <si>
    <t>Emiliano Martinez tertangkap kamera membawa sebuah boneka bayi berwajah Kylian Mbappe saat mengikuti parade juara Argentina.  https://t.co/HZckjKNma6</t>
  </si>
  <si>
    <t>emiliano martinez tertangkap kamera membawa sebuah boneka bayi berwajah kylian mbappe saat mengikuti parade juara argentina</t>
  </si>
  <si>
    <t>['emiliano', 'martinez', 'tertangkap', 'kamera', 'membawa', 'sebuah', 'boneka', 'bayi', 'berwajah', 'kylian', 'mbappe', 'mengikuti', 'parade', 'juara', 'argentina']</t>
  </si>
  <si>
    <t>@TumbalProyekk @skinnyweird_ @SiaranBolaLive Udahlah bro sans aja, mau debat bagaimanapun yg juara tetap Argentina dan Emi sudah membuktikan kalo dia layak jadi kiper terbaik.</t>
  </si>
  <si>
    <t>udahlah bro sans aja mau debat bagaimanapun juara tetap argentina dan emi sudah membuktikan kalo dia layak jadi kiper terbaik</t>
  </si>
  <si>
    <t>['udahlah', 'bro', 'sans', 'mau', 'debat', 'juara', 'tetap', 'argentina', 'emi', 'membuktikan', 'layak', 'jadi', 'kiper', 'terbaik']</t>
  </si>
  <si>
    <t>@L_Giorza @h_radite @CulersNois @yudhaydh_ @SeputarMadrid @Romain_Molina Selamat utk gelar World Cup pertamanya sbg fans Argentina, gue respect ke Argentina tapi gue juga bangga karena udh 2 kali liat France juara World Cup.</t>
  </si>
  <si>
    <t>giorza radite molina selamat utk gelar world cup pertamanya sbg fans argentina gue respect argentina tapi gue juga bangga karena udh kali liat france juara world cup</t>
  </si>
  <si>
    <t>['giorza', 'radite', 'molina', 'selamat', 'gelar', 'world', 'cup', 'pertamanya', 'sbg', 'fans', 'argentina', 'gue', 'respect', 'argentina', 'gue', 'bangga', 'sudah', 'kali', 'lihat', 'france', 'juara', 'world', 'cup']</t>
  </si>
  <si>
    <t>@Fasa77342812 @idextratime Selamat utk gelar World Cup pertamanya sbg fans Argentina, gue respect ke Argentina tapi gue juga bangga karena udh 2 kali liat France juara World Cup.</t>
  </si>
  <si>
    <t>Mengenal Growth Hormone Deficiency, Penyakit Lionel Messi Sebelum Antarkan Argentina Juara Piala Dunia 2022   #Sindonews #BukanBeritaBiasa . https://t.co/b2aZBvbEzp</t>
  </si>
  <si>
    <t>mengenal growth hormone deficiency penyakit lionel messi sebelum antarkan argentina juara piala dunia</t>
  </si>
  <si>
    <t>['mengenal', 'growth', 'hormone', 'deficiency', 'penyakit', 'lionel', 'messi', 'antarkan', 'argentina', 'juara', 'piala', 'dunia']</t>
  </si>
  <si>
    <t>Setelah memecahkan banyak rekor, tampaknya sang¬†juara Timnas¬†Argentina, Lionel Messi belum¬†puas.  Hari ini, pada Selasa sore,¬†20 Desember 2022 ia kembali memecahkan rekor, yaitu menjadi foto yang paling disukai dalam sejarah Instagram.  https://t.co/jHGYcqLYrh  https://t.co/1XmwJcqHhi</t>
  </si>
  <si>
    <t>setelah memecahkan banyak rekor tampaknya sang juara timnas argentina lionel messi belum puas hari ini pada selasa sore desember kembali memecahkan rekor yaitu menjadi foto yang paling disukai dalam sejarah instagram</t>
  </si>
  <si>
    <t>['memecahkan', 'banyak', 'rekor', 'tampaknya', 'sang', 'juara', 'timnas', 'argentina', 'lionel', 'messi', 'puas', 'hari', 'selasa', 'sore', 'desember', 'memecahkan', 'rekor', 'menjadi', 'foto', 'paling', 'disukai', 'sejarah', 'instagram']</t>
  </si>
  <si>
    <t>Emi Martinez memegang boneka dengan muka Kylian Mbappe saat melakukan parade juara di Argentina. [@eurofootcom]  Ngehe banget ni orang üòÇ  https://t.co/ULWhWQOv0j</t>
  </si>
  <si>
    <t>emi martinez memegang boneka dengan muka kylian mbappe saat melakukan parade juara argentina ngehe banget orang</t>
  </si>
  <si>
    <t>['emi', 'martinez', 'memegang', 'boneka', 'muka', 'kylian', 'mbappe', 'melakukan', 'parade', 'juara', 'argentina', 'ngehe', 'banget', 'orang']</t>
  </si>
  <si>
    <t>@Fasa77342812 @rakkaustarina1 @idextratime Terakhir klub amerika latin juara dunia sebelum argentina itu brasil 2002 itu udah lama banget, sisanya? Dominasi eropa, bahkan yg bisa masuk final selain tim eropa yah cuma argentina pun 2 kali, dalam 22 tahun</t>
  </si>
  <si>
    <t>terakhir klub amerika latin juara dunia sebelum argentina itu brasil itu udah lama banget sisanya dominasi eropa bahkan bisa masuk final selain tim eropa yah cuma argentina pun kali dalam tahun</t>
  </si>
  <si>
    <t>['terakhir', 'klub', 'amerika', 'latin', 'juara', 'dunia', 'argentina', 'brasil', 'udah', 'lama', 'banget', 'sisanya', 'dominasi', 'eropa', 'bahkan', 'masuk', 'final', 'tim', 'eropa', 'cuma', 'argentina', 'kali', 'tahun']</t>
  </si>
  <si>
    <t>@raihanzyx @Gdmn77 @idextratime Selamat utk gelar World Cup pertamanya sbg fans Argentina, gue respect ke Argentina tapi gue juga bangga karena udh 2 kali liat France juara World Cup.</t>
  </si>
  <si>
    <t>@detikcom Mending Argentina kemana-mana. Daripada Konoha. Main bola gk pernah juara skadar level ASEAN, tapi urusan utang jagonya. Sampai duit simpanan warganya habis dia utangi.</t>
  </si>
  <si>
    <t>mending argentina kemana mana daripada konoha main bola pernah juara skadar level asean tapi urusan utang jagonya sampai duit simpanan warganya habis dia utangi</t>
  </si>
  <si>
    <t>['mending', 'argentina', 'mana', 'konoha', 'main', 'bola', 'pernah', 'juara', 'skadar', 'level', 'asean', 'urusan', 'utang', 'jagonya', 'duit', 'simpanan', 'warganya', 'habis', 'utangi']</t>
  </si>
  <si>
    <t>4 Juta Orang Tumpah Ruah ke Jalan Saat Pawai Argentina Juara Chaos  https://t.co/kz9gL1GH36</t>
  </si>
  <si>
    <t>juta orang tumpah ruah jalan saat pawai argentina juara chaos</t>
  </si>
  <si>
    <t>['juta', 'orang', 'tumpah', 'ruah', 'jalan', 'pawai', 'argentina', 'juara', 'chaos']</t>
  </si>
  <si>
    <t>Piers Morgan ghelihat Argentina juara dunia,  udah kayak bapak2 senior yg nyinyirin politik di timeline twitter Indonesia..  Post-power syndrome,   nafsu maksimal performa minimal...</t>
  </si>
  <si>
    <t>piers morgan ghelihat argentina juara dunia udah kayak bapak senior nyinyirin politik timeline twitter indonesia post power syndrome nafsu maksimal performa minimal</t>
  </si>
  <si>
    <t>['piers', 'morgan', 'ghelihat', 'argentina', 'juara', 'dunia', 'udah', 'seperti', 'bapak', 'senior', 'nyinyirin', 'politik', 'timeline', 'twitter', 'indonesia', 'post', 'power', 'syndrome', 'nafsu', 'maksimal', 'performa', 'minimal']</t>
  </si>
  <si>
    <t>@Nasgor_Singapur @idextratime pas Argentina juara copa amerika upload juga kah?</t>
  </si>
  <si>
    <t>singapur pas argentina juara copa amerika upload juga kah</t>
  </si>
  <si>
    <t>['singapur', 'pas', 'argentina', 'juara', 'copa', 'amerika', 'upload']</t>
  </si>
  <si>
    <t>@affanbachtiar_ @registaco @CoachJustinL Argentina ta? Wes disetting juara iku karo fifa dibayar gede karo messiun</t>
  </si>
  <si>
    <t>argentina wes disetting juara iku karo fifa dibayar gede karo messiun</t>
  </si>
  <si>
    <t>['argentina', 'wes', 'disetting', 'juara', 'iku', 'karo', 'fifa', 'dibayar', 'gede', 'karo', 'messiun']</t>
  </si>
  <si>
    <t>@UTDwib @idextratime Pemain tim lo dipantatin sama Romero &amp;amp; Otamendi yg udh tua, ga kepake sama Argentina, main cuma brp kali, bisa dibilang numpang Juara doang, klo assist yg dikasih Konate itu bukan ditendang sama Kolo Muani, Prancis udh juara menan</t>
  </si>
  <si>
    <t>pemain tim dipantatin sama romero otamendi udh tua kepake sama argentina main cuma brp kali bisa dibilang numpang juara doang klo assist dikasih konate itu bukan ditendang sama kolo muani prancis udh juara menan</t>
  </si>
  <si>
    <t>['pemain', 'tim', 'dipantatin', 'sama', 'romero', 'otamendi', 'sudah', 'tua', 'kepake', 'sama', 'argentina', 'main', 'cuma', 'brp', 'kali', 'dibilang', 'numpang', 'juara', 'doang', 'assist', 'dikasih', 'konate', 'bukan', 'ditendang', 'sama', 'kolo', 'muani', 'prancis', 'sudah', 'juara', 'menan']</t>
  </si>
  <si>
    <t>@SamFerkyFers10 @idextratime argentina 6x ke final 3x juara brazil 8x ke final 5x juara,pele maradona,ronaldo,ronaldinho mereka semua goat dari amerika latin</t>
  </si>
  <si>
    <t>argentina final juara brazil final juara pele maradona ronaldo ronaldinho mereka semua goat dari amerika latin</t>
  </si>
  <si>
    <t>['argentina', 'final', 'juara', 'brazil', 'final', 'juara', 'pele', 'maradona', 'ronaldo', 'ronaldinho', 'semua', 'goat', 'amerika', 'latin']</t>
  </si>
  <si>
    <t>Gitu gitu perayaan juara Argentina..kasihan disana inflasi nya gila gilaan</t>
  </si>
  <si>
    <t>gitu gitu perayaan juara argentina kasihan disana inflasi nya gila gilaan</t>
  </si>
  <si>
    <t>['gitu', 'gitu', 'perayaan', 'juara', 'argentina', 'kasihan', 'disana', 'inflasi', 'gila', 'gilaan']</t>
  </si>
  <si>
    <t>Jagokan Julian Alvarez bawa Argentina juara Piala Dunia, tak disangka prediksi Pep Guardiola kini jadi nyata! - Indo Insider  https://t.co/mSuglQeRuc</t>
  </si>
  <si>
    <t>jagokan julian alvarez bawa argentina juara piala dunia tak disangka prediksi pep guardiola kini jadi nyata indo insider</t>
  </si>
  <si>
    <t>['jagokan', 'julian', 'alvarez', 'bawa', 'argentina', 'juara', 'piala', 'dunia', 'tak', 'disangka', 'prediksi', 'pep', 'guardiola', 'kini', 'jadi', 'nyata', 'indo', 'insider']</t>
  </si>
  <si>
    <t>@ikramarki Maaf numpang konten . Nadzar borong bakso dan botak rambut jika Argentina Juara. Cekidot   https://t.co/CPc3rvlvkF  https://t.co/uGIKyJQgQP</t>
  </si>
  <si>
    <t>maaf numpang konten nadzar borong bakso dan botak rambut jika argentina juara cekidot</t>
  </si>
  <si>
    <t>['maaf', 'numpang', 'konten', 'nadzar', 'borong', 'bakso', 'botak', 'rambut', 'argentina', 'juara', 'cekidot']</t>
  </si>
  <si>
    <t>Timnas Argentina terpaksa diangkut menggunakan helikopter saat perayaan juara Piala Dunia 2022 pada Selasa (20/12). #kumparanBOLA  https://t.co/t79gIoOojv</t>
  </si>
  <si>
    <t>timnas argentina terpaksa diangkut menggunakan helikopter saat perayaan juara piala dunia pada selasa</t>
  </si>
  <si>
    <t>['timnas', 'argentina', 'terpaksa', 'diangkut', 'menggunakan', 'helikopter', 'perayaan', 'juara', 'piala', 'dunia', 'selasa']</t>
  </si>
  <si>
    <t>Parade Juara Piala Dunia 2022 Argentina Dihentikan, Messi cs Dievakuasi Pakai Helikopter  https://t.co/AhYLngzHE2</t>
  </si>
  <si>
    <t>@massurya65 @joshuanade @adriansyahyasin yang bikin juara Argentina, Argentina juara kan berkat bapak baju putih</t>
  </si>
  <si>
    <t>yang bikin juara argentina argentina juara kan berkat bapak baju putih</t>
  </si>
  <si>
    <t>['juara', 'argentina', 'argentina', 'juara', 'kan', 'berkat', 'bapak', 'baju', 'putih']</t>
  </si>
  <si>
    <t>@idextratime kek sama sama merasakan ‚Äúfinaly udah koplit semua ajang yg di menangkan messi‚Äù kek gw yg awal ga suka gegara barca dan messi ngalahin MU thn 2009 tapi ga tau kenapa gw berharap dari awal Argentina juara Pildun</t>
  </si>
  <si>
    <t>kek sama sama merasakan finaly udah koplit semua ajang menangkan messi kek awal suka gegara barca dan messi ngalahin thn tapi tau kenapa berharap dari awal argentina juara pildun</t>
  </si>
  <si>
    <t>['kek', 'sama', 'sama', 'merasakan', 'finaly', 'udah', 'koplit', 'semua', 'ajang', 'menangkan', 'messi', 'kek', 'awal', 'suka', 'gegara', 'barca', 'messi', 'ngalahin', 'thn', 'berharap', 'awal', 'argentina', 'juara', 'piala dunia']</t>
  </si>
  <si>
    <t>@Pmangsud @anabeleSUNTER @idextratime Fakta apanya? Juara aja argentina, finalisima aja juara eropa digoreng2 dek</t>
  </si>
  <si>
    <t>fakta apanya juara aja argentina finalisima aja juara eropa digoreng dek</t>
  </si>
  <si>
    <t>['fakta', 'apanya', 'juara', 'argentina', 'finalisima', 'juara', 'eropa', 'digoreng', 'dek']</t>
  </si>
  <si>
    <t>Pawai Juara Argentina Chaos: Fan Nekat Masuk Bus, Pemain Dievakuasi  https://t.co/fKBXcaa8v2</t>
  </si>
  <si>
    <t>pawai juara argentina chaos fan nekat masuk bus pemain dievakuasi</t>
  </si>
  <si>
    <t>['pawai', 'juara', 'argentina', 'chaos', 'fan', 'nekat', 'masuk', 'bus', 'pemain', 'dievakuasi']</t>
  </si>
  <si>
    <t>Parade Juara Argentina Lautan Manusia Penuh Sesak, Messi dkk Diangkut Helikopter  https://t.co/37Lt4IsZ6K</t>
  </si>
  <si>
    <t>parade juara argentina lautan manusia penuh sesak messi dkk diangkut helikopter</t>
  </si>
  <si>
    <t>['parade', 'juara', 'argentina', 'lautan', 'manusia', 'penuh', 'sesak', 'messi', 'dkk', 'diangkut', 'helikopter']</t>
  </si>
  <si>
    <t>Saya menjual jersey argentina juara pial... seharga Rp. Dapatkan di Shopee sekarang!  https://t.co/RekZIOMZaZ #ShopeeID  https://t.co/esiUVYGN6o</t>
  </si>
  <si>
    <t>saya menjual jersey argentina juara pial seharga dapatkan shopee sekarang</t>
  </si>
  <si>
    <t>['menjual', 'jersey', 'argentina', 'juara', 'pial', 'seharga', 'dapatkan', 'shopee', 'sekarang']</t>
  </si>
  <si>
    <t>@thecasualultra @Ilhamrizkillah5 selebrasi argentina juara</t>
  </si>
  <si>
    <t>selebrasi argentina juara</t>
  </si>
  <si>
    <t>['selebrasi', 'argentina', 'juara']</t>
  </si>
  <si>
    <t>Argentina, Juara Dunia dan Krisis Ekonomi  https://t.co/fPxbuO1PiW</t>
  </si>
  <si>
    <t>Masih bahagia dari sisa sisa Argentina juara</t>
  </si>
  <si>
    <t>masih bahagia dari sisa sisa argentina juara</t>
  </si>
  <si>
    <t>['bahagia', 'sisa', 'sisa', 'argentina', 'juara']</t>
  </si>
  <si>
    <t>@NasDem Tahukah bahwa,Arab Saudi adalah pemenang piala dunia sesungguhnya.Maka pantaslah King Saud Langsung beri Hadiah Timnasnya. Sebab Timnas Saudi satu2nya yg bisa mengalahkan sang Juara, Argentina.</t>
  </si>
  <si>
    <t>tahukah bahwa arab saudi adalah pemenang piala dunia sesungguhnya maka pantaslah king saud langsung beri hadiah timnasnya sebab timnas saudi satu nya bisa mengalahkan sang juara argentina</t>
  </si>
  <si>
    <t>['tahukah', 'arab', 'saudi', 'pemenang', 'piala', 'dunia', 'sesungguhnya', 'pantaslah', 'king', 'saud', 'langsung', 'beri', 'hadiah', 'timnasnya', 'timnas', 'saudi', 'satu', 'mengalahkan', 'sang', 'juara', 'argentina']</t>
  </si>
  <si>
    <t>@CoachJustinL Hahahhahhaa sengaja dukung Argentina menang biar gak juara ehh nyatanya si botak hoki menang taruhan ngatain klub orang doang hoki dia juga hoki</t>
  </si>
  <si>
    <t>hahahhahhaa sengaja dukung argentina menang biar gak juara ehh nyatanya botak hoki menang taruhan ngatain klub orang doang hoki dia juga hoki</t>
  </si>
  <si>
    <t>['hahahhahhaa', 'sengaja', 'dukung', 'argentina', 'menang', 'juara', 'ehh', 'nyatanya', 'botak', 'hoki', 'menang', 'taruhan', 'ngatain', 'klub', 'orang', 'doang', 'hoki', 'hoki']</t>
  </si>
  <si>
    <t>Saya senang Argentina juara . Tapi kiper nya bangsat #emimartinez #ArgentinaVsFrance #Argentina #FIFAWorldCupFinal #final #PialaDunia2022  https://t.co/71XCGphpMq</t>
  </si>
  <si>
    <t>saya senang argentina juara tapi kiper nya bangsat</t>
  </si>
  <si>
    <t>['senang', 'argentina', 'juara', 'kiper', 'bangsat']</t>
  </si>
  <si>
    <t>Lionel Messi Bawa Argentina Juara Piala Dunia 2022, Cristiano Ronaldo Pasti Marah  https://t.co/LeQwbVqvYE</t>
  </si>
  <si>
    <t>21 December 2022 Ketika orang masih euforia Argentina juara worldcup  Tapi gue udah mau 10 tahun masih mencari dia dimana saat ini Semoga di 2023 buluan January tuhan masih ngasih kesempatan buat gue tau kabar dia. 2013-2023 Cerita dari matraman jakarta -</t>
  </si>
  <si>
    <t>december ketika orang masih euforia argentina juara worldcup tapi gue udah mau tahun masih mencari dia dimana saat ini semoga buluan january tuhan masih ngasih kesempatan buat gue tau kabar dia cerita dari matraman jakarta</t>
  </si>
  <si>
    <t>['december', 'orang', 'euforia', 'argentina', 'juara', 'worldcup', 'gue', 'udah', 'mau', 'tahun', 'mencari', 'semoga', 'buluan', 'january', 'tuhan', 'ngasih', 'kesempatan', 'buat', 'gue', 'kabar', 'cerita', 'matraman', 'jakarta']</t>
  </si>
  <si>
    <t>Semoga timnas Garuda Indonesia edisi thn ini 2022 aff tropi,juara seperti argentina..faigtink</t>
  </si>
  <si>
    <t>semoga timnas garuda indonesia edisi thn ini aff tropi juara seperti argentina faigtink</t>
  </si>
  <si>
    <t>['semoga', 'timnas', 'garuda', 'indonesia', 'edisi', 'thn', 'aff', 'trofi', 'juara', 'argentina', 'faigtink']</t>
  </si>
  <si>
    <t>Walaupun Argentina juara, tapi salut untuk timnas Indonesia. Timnas Indonesia tidak pernah kalah pada turnamen piala Dunia kali ini.. Mantap.</t>
  </si>
  <si>
    <t>walaupun argentina juara tapi salut untuk timnas indonesia timnas indonesia tidak pernah kalah pada turnamen piala dunia kali ini mantap</t>
  </si>
  <si>
    <t>['walaupun', 'argentina', 'juara', 'salut', 'timnas', 'indonesia', 'timnas', 'indonesia', 'pernah', 'kalah', 'turnamen', 'piala', 'dunia', 'kali', 'mantap']</t>
  </si>
  <si>
    <t>Misteri Aguero Ikut Rayakan Argentina Juara Piala Dunia 2022 ‚Äì CNN Indonesia ‚Äì Google Berita Olahraga ‚Äì  https://t.co/NP93X8WGIR ‚Äì #Arenanews #Kamidi #Opsiminfo- https://t.co/yJAIzJo6LA</t>
  </si>
  <si>
    <t>misteri aguero ikut rayakan argentina juara piala dunia cnn indonesia google berita olahraga</t>
  </si>
  <si>
    <t>['misteri', 'aguero', 'ikut', 'rayakan', 'argentina', 'juara', 'piala', 'dunia', 'cnn', 'indonesia', 'google', 'berita', 'olahraga']</t>
  </si>
  <si>
    <t>@idextratime busettt ngelihat sambutan maroko trus argentina kek gitu ya meriahnya!!ga kebayang kalo sampe king indo juara Aepep nanti</t>
  </si>
  <si>
    <t>busettt ngelihat sambutan maroko trus argentina kek gitu meriahnya kebayang kalo sampe king indo juara aepep nanti</t>
  </si>
  <si>
    <t>['busettt', 'ngelihat', 'sambutan', 'maroko', 'trus', 'argentina', 'kek', 'gitu', 'meriahnya', 'kebayang', 'sampai', 'king', 'indo', 'juara', 'aepep']</t>
  </si>
  <si>
    <t>@registaco Negara pencitraan. Argentina habis juara aja ga ada ketua konfederasi nya foto2 sama Messi atau video call Messi.</t>
  </si>
  <si>
    <t>negara pencitraan argentina habis juara aja ada ketua konfederasi nya foto sama messi atau video call messi</t>
  </si>
  <si>
    <t>['negara', 'pencitraan', 'argentina', 'habis', 'juara', 'ketua', 'konfederasi', 'foto', 'sama', 'messi', 'video', 'call', 'messi']</t>
  </si>
  <si>
    <t>Air mata bahagia. Jutaan warga Argentina larut dalam suka cita. Euforia pasca 36 tahun menanti pulangnya Piala Dunia. Tapi, menjadi juara bukanlah panasea. Saat ini krisis ekonomi mengancam Argentina. Inflasi 88% dalam setahun &amp;amp; devaluasi mata uang bisa menyebabkan malapetaka.</t>
  </si>
  <si>
    <t>air mata bahagia jutaan warga argentina larut dalam suka cita euforia pasca tahun menanti pulangnya piala dunia tapi menjadi juara bukanlah panasea saat ini krisis ekonomi mengancam argentina inflasi dalam setahun devaluasi mata uang bisa menyebabkan malapetaka</t>
  </si>
  <si>
    <t>['air', 'mata', 'bahagia', 'jutaan', 'warga', 'argentina', 'larut', 'suka', 'cita', 'euforia', 'pasca', 'tahun', 'menanti', 'pulangnya', 'piala', 'dunia', 'menjadi', 'juara', 'bukanlah', 'panasea', 'krisis', 'ekonomi', 'mengancam', 'argentina', 'inflasi', 'setahun', 'devaluasi', 'mata', 'uang', 'menyebabkan', 'malapetaka']</t>
  </si>
  <si>
    <t>@agugngmlng @AlwaysBeSmart1 @idextratime Ngakuin kok bang, tp kalau ada tambahan jelekin ronaldo dll, ya jng gitu lah, jng bandingin Portugal sm Argentina, ya jauh, Ronaldo gendong Portugal aja kurang lebih 16thn loh, udh juara euro sm nation league juga,</t>
  </si>
  <si>
    <t>ngakuin kok bang kalau ada tambahan jelekin ronaldo dll jng gitu lah jng bandingin portugal argentina jauh ronaldo gendong portugal aja kurang lebih thn loh udh juara euro nation league juga</t>
  </si>
  <si>
    <t>['ngakuin', 'kok', 'bang', 'kalau', 'tambahan', 'jelekin', 'ronaldo', 'jng', 'gitu', 'lah', 'jng', 'bandingin', 'portugal', 'argentina', 'jauh', 'ronaldo', 'gendong', 'portugal', 'kurang', 'lebih', 'thn', 'sudah', 'juara', 'euro', 'nation', 'league']</t>
  </si>
  <si>
    <t>@AlwaysBeSmart1 @idextratime Wow, keren bang statement anda, orang pd jelekin Ronaldo banding in sma messi, Heee...lo2 semua kmn aja pas ronaldo gendong Portugal, juara euro dan nation league, haaa... Heran gue Portugal dibanding in sm Argentina</t>
  </si>
  <si>
    <t>wow keren bang statement anda orang jelekin ronaldo banding sma messi heee semua kmn aja pas ronaldo gendong portugal juara euro dan nation league haaa heran gue portugal dibanding argentina</t>
  </si>
  <si>
    <t>['wow', 'keren', 'bang', 'statement', 'orang', 'jelekin', 'ronaldo', 'banding', 'sma', 'messi', 'heee', 'semua', 'kmn', 'pas', 'ronaldo', 'gendong', 'portugal', 'juara', 'euro', 'nation', 'league', 'haaa', 'heran', 'gue', 'portugal', 'dibanding', 'argentina']</t>
  </si>
  <si>
    <t>@SamFerkyFers10 @Axvielz @YonoBakrie Itu mah bukan fans perancis tapi penyefong dodo. Mereka pasti ngebela tim lawan dari argentina. Biar messi gk juara. Kalem2 kepala otak mu kalem.</t>
  </si>
  <si>
    <t>itu mah bukan fans perancis tapi penyefong dodo mereka pasti ngebela tim lawan dari argentina biar messi juara kalem kepala otak kalem</t>
  </si>
  <si>
    <t>['mah', 'bukan', 'fans', 'perancis', 'penyefong', 'dodo', 'ngebela', 'tim', 'lawan', 'argentina', 'messi', 'juara', 'kalem', 'kepala', 'otak', 'kalem']</t>
  </si>
  <si>
    <t>@ikysiko @1971Andidarni @Dennysiregar7 Yang pasti Argentina Juara, Perancis runner up. Maroko keok, doa tak terkabulkan, kadrun makin begok ajah...</t>
  </si>
  <si>
    <t>yang pasti argentina juara perancis runner maroko keok doa tak terkabulkan kadrun makin begok ajah</t>
  </si>
  <si>
    <t>['argentina', 'juara', 'perancis', 'runner', 'maroko', 'keok', 'doa', 'tak', 'terkabulkan', 'kadrun', 'makin', 'begok', 'ajah']</t>
  </si>
  <si>
    <t>@lagi_mece Udh nadzar kemarin, klo Argentina juara mau potong rambut :'D</t>
  </si>
  <si>
    <t>mece udh nadzar kemarin klo argentina juara mau potong rambut</t>
  </si>
  <si>
    <t>['mece', 'sudah', 'nadzar', 'kemarin', 'argentina', 'juara', 'mau', 'potong', 'rambut']</t>
  </si>
  <si>
    <t>suka heran sama warga bang dodo yang masih ga terima argentina juara world cup üòÇ</t>
  </si>
  <si>
    <t>suka heran sama warga bang dodo yang masih terima argentina juara world cup</t>
  </si>
  <si>
    <t>['suka', 'heran', 'sama', 'warga', 'bang', 'dodo', 'terima', 'argentina', 'juara', 'world', 'cup']</t>
  </si>
  <si>
    <t>ngeliat argentina juara WC tuh kayak ngeliat sastri juara OLIM UI deh, yagasih @sastri</t>
  </si>
  <si>
    <t>ngeliat argentina juara tuh kayak ngeliat sastri juara olim deh yagasih</t>
  </si>
  <si>
    <t>['ngeliat', 'argentina', 'juara', 'seperti', 'ngeliat', 'sastri', 'juara', 'olim', 'deh', 'yagasih']</t>
  </si>
  <si>
    <t>@kopiloversoul Lagu yang selalu mengingatkan kata-kata indah lenyap tidak bermakna tanpa kehadiran dia. Yuhuuu ü§≠ü§≠</t>
  </si>
  <si>
    <t>lagu yang selalu mengingatkan kata kata indah lenyap tidak bermakna tanpa kehadiran dia yuhuuu</t>
  </si>
  <si>
    <t>['lagu', 'selalu', 'mengingatkan', 'kata', 'kata', 'indah', 'lenyap', 'bermakna', 'kehadiran', 'yuhuuu']</t>
  </si>
  <si>
    <t>Akhirnya setelah penantian panjang, Leo Messi membawa Argentina juara Piala Dunia yang merupakan Piala Dunia terakhir untuk Messi üëèüèÜüá¶üá∑  Dream Come True Leo! üò≠  #VamosMessi #BarcelonaFans #ForcaBarca #ViscaBarca  https://t.co/zDX9wIL3U9</t>
  </si>
  <si>
    <t>akhirnya setelah penantian panjang leo messi membawa argentina juara piala dunia yang merupakan piala dunia terakhir untuk messi dream come true leo</t>
  </si>
  <si>
    <t>['akhirnya', 'penantian', 'panjang', 'leo', 'messi', 'membawa', 'argentina', 'juara', 'piala', 'dunia', 'merupakan', 'piala', 'dunia', 'terakhir', 'messi', 'dream', 'come', 'true', 'leo']</t>
  </si>
  <si>
    <t>@sweetberryp0p senyum senyum aja kan argentina juara</t>
  </si>
  <si>
    <t>senyum senyum aja kan argentina juara</t>
  </si>
  <si>
    <t>['senyum', 'senyum', 'kan', 'argentina', 'juara']</t>
  </si>
  <si>
    <t>Jadi inget ada yg bilang,   Arab Saudi bakalan juara, kalo lawannya Argentina terus.</t>
  </si>
  <si>
    <t>jadi inget ada bilang arab saudi bakalan juara kalo lawannya argentina terus</t>
  </si>
  <si>
    <t>['jadi', 'inget', 'arab', 'saudi', 'bakalan', 'juara', 'lawannya', 'argentina', 'terus']</t>
  </si>
  <si>
    <t>@idextratime 5. Argentina(kalau LM10 masih main) -&amp;gt; Messi bisa cetak sejarah juara 2 kali beruntun baik untuk Argentina maupum untuk dia dan bisa mengalahkan CR7 sebagai GOAT Sekarang belum ketebak karena masih lama tapi diperkirakan 5 tim itu yang bak</t>
  </si>
  <si>
    <t>argentina kalau masih main messi bisa cetak sejarah juara kali beruntun baik untuk argentina maupum untuk dia dan bisa mengalahkan sebagai goat sekarang belum ketebak karena masih lama tapi diperkirakan tim itu yang bak</t>
  </si>
  <si>
    <t>['argentina', 'kalau', 'main', 'messi', 'cetak', 'sejarah', 'juara', 'kali', 'beruntun', 'baik', 'argentina', 'maupum', 'mengalahkan', 'goat', 'sekarang', 'ketebak', 'lama', 'diperkirakan', 'tim', 'bak']</t>
  </si>
  <si>
    <t>@kimdeyoo17 @FaktaSepakbola Ketebak sebenernya, argentina. Karna 2 kali juara beruntun. Cuma kalah pas md1 jadi kacau prediksinya.</t>
  </si>
  <si>
    <t>ketebak sebenernya argentina karna kali juara beruntun cuma kalah pas jadi kacau prediksinya</t>
  </si>
  <si>
    <t>['ketebak', 'sebenernya', 'argentina', 'karna', 'kali', 'juara', 'beruntun', 'cuma', 'kalah', 'pas', 'jadi', 'kacau', 'prediksinya']</t>
  </si>
  <si>
    <t>Crazy Nitro World Games - BMX Best Trick  2022  https://t.co/arNkUZ0qEv via @YouTube   #argentina #delmundo #delmundoparatuso√≠dos #parade #juara #worldcup2022 #messi #fans #fansclub #gilabolanews #pubg #pubgmobile #viral #viralvideos #trending #trendingvideos #TrendingNews #bmx</t>
  </si>
  <si>
    <t>crazy nitro world games bmx best trick via dos</t>
  </si>
  <si>
    <t>['crazy', 'nitro', 'world', 'games', 'bmx', 'best', 'trick', 'via', 'dos']</t>
  </si>
  <si>
    <t>Misteri Aguero Ikut Rayakan Argentina Juara Piala Dunia 2022  https://t.co/famZkUawPL</t>
  </si>
  <si>
    <t>misteri aguero ikut rayakan argentina juara piala dunia</t>
  </si>
  <si>
    <t>['misteri', 'aguero', 'ikut', 'rayakan', 'argentina', 'juara', 'piala', 'dunia']</t>
  </si>
  <si>
    <t>Misteri Aguero Ikut Rayakan Argentina Juara Piala Dunia 2022  https://t.co/vKaD2usPAj</t>
  </si>
  <si>
    <t>Argentina Juara Piala Dunia 2022, Toni Kroos Acungi Jempol Kualitas Lionel Messi  https://t.co/uEAtgWgpB3</t>
  </si>
  <si>
    <t>argentina juara piala dunia toni kroos acungi jempol kualitas lionel messi</t>
  </si>
  <si>
    <t>['argentina', 'juara', 'piala', 'dunia', 'toni', 'kroos', 'acungi', 'jempol', 'kualitas', 'lionel', 'messi']</t>
  </si>
  <si>
    <t>Efek Argentina Juara Piala Dunia: Kaus Resmi Lionel Messi Sold Out   #Sindonews #BukanBeritaBiasa . https://t.co/KQcsAWzrgl</t>
  </si>
  <si>
    <t>efek argentina juara piala dunia kaus resmi lionel messi sold out</t>
  </si>
  <si>
    <t>['efek', 'argentina', 'juara', 'piala', 'dunia', 'kaus', 'resmi', 'lionel', 'messi', 'sold', 'out']</t>
  </si>
  <si>
    <t>@SamFerkyFers10 @YonoBakrie Kayanya emang mereka nunggu momennya dan percaya kalau bakalan liat argentina juara. Apalagi mereka 2014 hampir juara, jadi final kemarin jadi ajang balas dendam untuk kegagalan mereka sebelumnya</t>
  </si>
  <si>
    <t>kayanya emang mereka nunggu momennya dan percaya kalau bakalan liat argentina juara apalagi mereka hampir juara jadi final kemarin jadi ajang balas dendam untuk kegagalan mereka sebelumnya</t>
  </si>
  <si>
    <t>['kayanya', 'emang', 'nunggu', 'momennya', 'percaya', 'kalau', 'bakalan', 'lihat', 'argentina', 'juara', 'hampir', 'juara', 'jadi', 'final', 'kemarin', 'jadi', 'ajang', 'balas', 'dendam', 'kegagalan', 'sebelumnya']</t>
  </si>
  <si>
    <t>Kasian ya sama timnas argentina. Kocak. Bisa tembus final dan Juara karena di kasih panitia aja bangga. Upsss. Fans nya Pessi ntar ngamuk malah hahahha</t>
  </si>
  <si>
    <t>kasian sama timnas argentina kocak bisa tembus final dan juara karena kasih panitia aja bangga upsss fans nya pessi ntar ngamuk malah hahahha</t>
  </si>
  <si>
    <t>['kasian', 'sama', 'timnas', 'argentina', 'kocak', 'tembus', 'final', 'juara', 'kasih', 'panitia', 'bangga', 'upsss', 'fans', 'pessi', 'ntar', 'ngamuk', 'malah', 'hahahha']</t>
  </si>
  <si>
    <t>Juara Piala Dunia 2022 Argentina üá¶üá∑‚öΩÔ∏èü•áüèÜ‚≠ê  Juara 3 kali Jadi ‚≠ê‚≠ê‚≠ê  #FIFAWorldCup  #Qatar2022  https://t.co/uBHuZMkB2d</t>
  </si>
  <si>
    <t>juara piala dunia argentina juara kali jadi</t>
  </si>
  <si>
    <t>['juara', 'piala', 'dunia', 'argentina', 'juara', 'kali', 'jadi']</t>
  </si>
  <si>
    <t>@Aceh Sedikit hiburan untuk Argentina,bagus Argentina jadi juara, setidaknya tidak terlalu di pikirkan soal kemelaratan ekonomi nya saat ini.</t>
  </si>
  <si>
    <t>sedikit hiburan untuk argentina bagus argentina jadi juara setidaknya tidak terlalu pikirkan soal kemelaratan ekonomi nya saat ini</t>
  </si>
  <si>
    <t>['sedikit', 'hiburan', 'argentina', 'bagus', 'argentina', 'jadi', 'juara', 'terlalu', 'pikirkan', 'soal', 'kemelaratan', 'ekonomi']</t>
  </si>
  <si>
    <t>@ecaesarp @panditfootball Lautaro Martinez, pemain paling berkontribusi dalam gelar juara Argentina kali ini. ü§≠</t>
  </si>
  <si>
    <t>lautaro martinez pemain paling berkontribusi dalam gelar juara argentina kali ini</t>
  </si>
  <si>
    <t>['lautaro', 'martinez', 'pemain', 'paling', 'berkontribusi', 'gelar', 'juara', 'argentina', 'kali']</t>
  </si>
  <si>
    <t>@CoachJustinL tokped be like : gue ucapin argentina selamat juara grup, di fase knockout? belom tentu, lawan belanda, gue sedikit unggulkan argentina, di semi-final ketemu antara kroasia atau brazil, gue berani tarohan ig gue, selesai tuh argentina, palin</t>
  </si>
  <si>
    <t>tokped like gue ucapin argentina selamat juara grup fase knockout belom tentu lawan belanda gue sedikit unggulkan argentina semi final ketemu antara kroasia atau brazil gue berani tarohan gue selesai tuh argentina palin</t>
  </si>
  <si>
    <t>['tokped', 'like', 'gue', 'ucapin', 'argentina', 'selamat', 'juara', 'grup', 'fase', 'knockout', 'belom', 'lawan', 'belanda', 'gue', 'sedikit', 'unggulkan', 'argentina', 'semi', 'final', 'ketemu', 'kroasia', 'brazil', 'gue', 'berani', 'tarohan', 'gue', 'selesai', 'argentina', 'palin']</t>
  </si>
  <si>
    <t>@senogp @MoooiPustaka Saya udah baca Raden Mandasia. Jadi, saya pilih Kura-kura Berjanggut. Sebenarnya saya sebal Messi jadi juara bersama Argentina, tapi kisah¬≤ heroik legendaris harus ada buat diceritakan ke penggemar sepak bola di masa depan, karena s</t>
  </si>
  <si>
    <t>saya udah baca raden mandasia jadi saya pilih kura kura berjanggut sebenarnya saya sebal messi jadi juara bersama argentina tapi kisah heroik legendaris harus ada buat diceritakan penggemar sepak bola masa depan karena</t>
  </si>
  <si>
    <t>['udah', 'baca', 'raden', 'mandasia', 'jadi', 'pilih', 'kura', 'kura', 'berjanggut', 'sebenarnya', 'sebal', 'messi', 'jadi', 'juara', 'bersama', 'argentina', 'kisah', 'heroik', 'legendaris', 'buat', 'diceritakan', 'penggemar', 'sepak', 'bola', 'masa', 'depan']</t>
  </si>
  <si>
    <t>@bintangdcp_ @idextratime nggak usah melebar kemana2, jawab dulu seandainya lawan prancis argentina nggak di kasih pinalti, siapa yg jadi juara? jawab bro üòÇ</t>
  </si>
  <si>
    <t>nggak usah melebar kemana jawab dulu seandainya lawan prancis argentina nggak kasih pinalti siapa jadi juara jawab bro</t>
  </si>
  <si>
    <t>['usah', 'melebar', 'jawab', 'dulu', 'seandainya', 'lawan', 'prancis', 'argentina', 'kasih', 'penalti', 'siapa', 'jadi', 'juara', 'jawab', 'bro']</t>
  </si>
  <si>
    <t>@mfliesd Hbd ya kak, semoga Argentina juara piala dunia.</t>
  </si>
  <si>
    <t>@bintangdcp_ @idextratime Sekarang gue tanya, kalau lawan prancis argentina nggak di kasih pinalti, siapa yg menang? siapa yg jadi juara? jawab bro,hahaha... lagi2 pinalti kan yg nyelametin argentina, fakta üòÇ</t>
  </si>
  <si>
    <t>sekarang gue tanya kalau lawan prancis argentina nggak kasih pinalti siapa menang siapa jadi juara jawab bro hahaha lagi pinalti kan nyelametin argentina fakta</t>
  </si>
  <si>
    <t>['sekarang', 'gue', 'tanya', 'kalau', 'lawan', 'prancis', 'argentina', 'kasih', 'penalti', 'siapa', 'menang', 'siapa', 'jadi', 'juara', 'jawab', 'bro', 'hahaha', 'penalti', 'kan', 'nyelametin', 'argentina', 'fakta']</t>
  </si>
  <si>
    <t>@The_RedsIndo @CoachJustinL Ga yakin gw prediksi bung helmy sama botak itu argentina yg juara, secara waktu ketemu belanda dia bilang belanda pasti menang. Mau aja lu domba di kibulin</t>
  </si>
  <si>
    <t>redsindo yakin prediksi bung helmy sama botak itu argentina juara secara waktu ketemu belanda dia bilang belanda pasti menang mau aja domba kibulin</t>
  </si>
  <si>
    <t>['redsindo', 'yakin', 'prediksi', 'bung', 'helmy', 'sama', 'botak', 'argentina', 'juara', 'waktu', 'ketemu', 'belanda', 'belanda', 'menang', 'mau', 'domba', 'kibulin']</t>
  </si>
  <si>
    <t>Jersey Argentina Laku Keras Usai Juara Piala Dunia 2022, Terjual Hingga Rp 78 Juta di Toko Online  https://t.co/VUUWtVE4OE</t>
  </si>
  <si>
    <t>jersey argentina laku keras usai juara piala dunia terjual hingga juta toko online</t>
  </si>
  <si>
    <t>['jersey', 'argentina', 'laku', 'keras', 'usai', 'juara', 'piala', 'dunia', 'terjual', 'hingga', 'juta', 'toko', 'online']</t>
  </si>
  <si>
    <t>@YonoBakrie Baca lagi yg bener, mayoritas fans Argentina itu baru pertama kali liat Argentina juara WC‚Ä¶ Terakhir Argentina juara itu 36 thn yg lalu 1986, emang lo udh liat??  Bahkan fans Argentina yg usia 40 tahun aja mungkin belom pernah liat... Jadi m</t>
  </si>
  <si>
    <t>baca lagi bener mayoritas fans argentina itu baru pertama kali liat argentina juara terakhir argentina juara itu thn lalu emang udh liat bahkan fans argentina usia tahun aja mungkin belom pernah liat jadi</t>
  </si>
  <si>
    <t>['baca', 'benar', 'mayoritas', 'fans', 'argentina', 'baru', 'pertama', 'kali', 'lihat', 'argentina', 'juara', 'terakhir', 'argentina', 'juara', 'thn', 'lalu', 'emang', 'sudah', 'lihat', 'bahkan', 'fans', 'argentina', 'usia', 'tahun', 'mungkin', 'belom', 'pernah', 'lihat', 'jadi']</t>
  </si>
  <si>
    <t>@anshttngrh Hbd ya kak, semoga Argentina juara piala dunia.</t>
  </si>
  <si>
    <t>3 tahun 5 bulan 18 hari lagi Argentina juara world cup utk keempat kalinya</t>
  </si>
  <si>
    <t>tahun bulan hari lagi argentina juara world cup utk keempat kalinya</t>
  </si>
  <si>
    <t>['tahun', 'bulan', 'hari', 'argentina', 'juara', 'world', 'cup', 'keempat', 'kalinya']</t>
  </si>
  <si>
    <t>Piala Dunia 2022: Kekacauan Warnai Parade Juara Argentina, 3,5 Juta Orang Turun ke Jalan  https://t.co/jtbX2D6I0H</t>
  </si>
  <si>
    <t>Feeling gua gaenak bet setelah argentina juara keknya man city bakal juara ucl deh amit amit city sampe juara ucl naudzubillah</t>
  </si>
  <si>
    <t>feeling gua gaenak bet setelah argentina juara keknya man city bakal juara ucl deh amit amit city sampe juara ucl naudzubillah</t>
  </si>
  <si>
    <t>['feeling', 'gua', 'gaenak', 'bet', 'argentina', 'juara', 'sepertinya', 'man', 'city', 'bakal', 'juara', 'ucl', 'deh', 'amit', 'amit', 'city', 'sampai', 'juara', 'ucl', 'naudzubillah']</t>
  </si>
  <si>
    <t>Diestimasikan terdapat lebih dari 4 juta manusia yang ikut perayaan juara Piala Dunia dari Timnas Argentina.  Lebih dari 4 juta. Manusia semua.  üìù @TyCSports  https://t.co/xx9VIKLfpf</t>
  </si>
  <si>
    <t>diestimasikan terdapat lebih dari juta manusia yang ikut perayaan juara piala dunia dari timnas argentina lebih dari juta manusia semua</t>
  </si>
  <si>
    <t>['diestimasikan', 'terdapat', 'lebih', 'juta', 'manusia', 'ikut', 'perayaan', 'juara', 'piala', 'dunia', 'timnas', 'argentina', 'lebih', 'juta', 'manusia', 'semua']</t>
  </si>
  <si>
    <t>@ckseewhat Rayakan atuh pesta rakyat yeuh argentina juara teh</t>
  </si>
  <si>
    <t>rayakan atuh pesta rakyat yeuh argentina juara teh</t>
  </si>
  <si>
    <t>['rayakan', 'atuh', 'pesta', 'rakyat', 'yeuh', 'argentina', 'juara', 'teh']</t>
  </si>
  <si>
    <t>@TXXRZZD @ZitBahar @bintangdcp_ @idextratime Naaahh kan akhirnya ngaku juga kalau argentina juara berkat settingan FIFA, yg penting juara yg penting messi jadi goat, nggak peduli menang lewat pinalti juga, yg penting angkat piala wkwkwk... paraaahhh ü§£</t>
  </si>
  <si>
    <t>naaahh kan akhirnya ngaku juga kalau argentina juara berkat settingan fifa penting juara penting messi jadi goat nggak peduli menang lewat pinalti juga penting angkat piala wkwkwk paraaahhh</t>
  </si>
  <si>
    <t>['naaahh', 'kan', 'akhirnya', 'ngaku', 'kalau', 'argentina', 'juara', 'berkat', 'settingan', 'fifa', 'penting', 'juara', 'penting', 'messi', 'jadi', 'goat', 'peduli', 'menang', 'lewat', 'penalti', 'penting', 'angkat', 'piala', 'wkwkwk', 'paraaahhh']</t>
  </si>
  <si>
    <t>@nicestbxstard @FebriYafi1 @Y59753211 @AnandoLikum @SiaranBolaLive Ngapain bilangin masalah konsisten sih? Di setiap tim pasti ada masa yang ga konsisten lah, kaya city sekarang sering kalah ama liverpool tapi tetap juara, ky barusan arab bisa menang lawa</t>
  </si>
  <si>
    <t>ngapain bilangin masalah konsisten sih setiap tim pasti ada masa yang konsisten lah kaya city sekarang sering kalah ama liverpool tapi tetap juara barusan arab bisa menang lawa</t>
  </si>
  <si>
    <t>['ngapain', 'bilangin', 'masalah', 'konsisten', 'tim', 'masa', 'konsisten', 'lah', 'kaya', 'city', 'sekarang', 'sering', 'kalah', 'ama', 'liverpool', 'tetap', 'juara', 'barusan', 'arab', 'menang', 'lawa']</t>
  </si>
  <si>
    <t>Inilah Akhir Cerita yang Menakjubkan Dari Lionel Messi Hingga Argentina Juara Piala Dunia 2022  https://t.co/UMjhhyeltG #ZonaFakta #ZonaFaktaSport #ZonaFaktaOlahraga #LionelMessi @detikcom</t>
  </si>
  <si>
    <t>inilah akhir cerita yang menakjubkan dari lionel messi hingga argentina juara piala dunia</t>
  </si>
  <si>
    <t>['inilah', 'akhir', 'cerita', 'menakjubkan', 'lionel', 'messi', 'hingga', 'argentina', 'juara', 'piala', 'dunia']</t>
  </si>
  <si>
    <t>Situasi terkini di Jalan 25 Mei-Jalan 9 Juli, Buenos Aires, Argentina.  Pusat perayaan gelar juara La Albiceleste   https://t.co/WsLa6AvrIK</t>
  </si>
  <si>
    <t>situasi terkini jalan mei jalan juli buenos aires argentina pusat perayaan gelar juara albiceleste</t>
  </si>
  <si>
    <t>['situasi', 'terkini', 'jalan', 'mei', 'jalan', 'juli', 'buenos', 'aires', 'argentina', 'pusat', 'perayaan', 'gelar', 'juara', 'albiceleste']</t>
  </si>
  <si>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</si>
  <si>
    <t>postingan lionel messi usai menjadi juara piala dunia bersama argentina memecahkan rekor likes terbanyak instagram messi mengunggah sederet momen bahagia dalam perayaan juara argentina setelah menyabet trofi piala dunia pada senin dini hari wib jumla</t>
  </si>
  <si>
    <t>['postingan', 'lionel', 'messi', 'usai', 'menjadi', 'juara', 'piala', 'dunia', 'bersama', 'argentina', 'memecahkan', 'rekor', 'likes', 'terbanyak', 'instagram', 'messi', 'mengunggah', 'sederet', 'momen', 'bahagia', 'perayaan', 'juara', 'argentina', 'menyabet', 'trofi', 'piala', 'dunia', 'senin', 'dini', 'hari', 'wib', 'jumla']</t>
  </si>
  <si>
    <t>@NUgarislucu Masi perayaan argentina juara</t>
  </si>
  <si>
    <t>masi perayaan argentina juara</t>
  </si>
  <si>
    <t>['masi', 'perayaan', 'argentina', 'juara']</t>
  </si>
  <si>
    <t>Topik argentina juara masih sgt hangat sampe hari ini, huft</t>
  </si>
  <si>
    <t>topik argentina juara masih sgt hangat sampe hari ini huft</t>
  </si>
  <si>
    <t>['topik', 'argentina', 'juara', 'sangat', 'hangat', 'sampai', 'hari', 'huft']</t>
  </si>
  <si>
    <t>Kenapa negata argentina mjd juara dunia sepakbola 2022m ?  Karena presiden nya pakde JOKOWI, spt nya masuk akal sekali yaaa</t>
  </si>
  <si>
    <t>kenapa negata argentina mjd juara dunia sepakbola karena presiden nya pakde jokowi spt nya masuk akal sekali yaaa</t>
  </si>
  <si>
    <t>['negata', 'argentina', 'mjd', 'juara', 'dunia', 'sepakbola', 'presiden', 'pakde', 'jokowi', 'spt', 'masuk', 'akal', 'sekali', 'yaaa']</t>
  </si>
  <si>
    <t>Pertama kali dalam sejarah. Ngobrol panjang lebar sama kang gojek. Topiknya? Argentina juara üá¶üá∑‚≠ê‚≠ê‚≠ê</t>
  </si>
  <si>
    <t>pertama kali dalam sejarah ngobrol panjang lebar sama kang gojek topiknya argentina juara</t>
  </si>
  <si>
    <t>['pertama', 'kali', 'sejarah', 'ngobrol', 'panjang', 'lebar', 'sama', 'kang', 'gojek', 'topiknya', 'argentina', 'juara']</t>
  </si>
  <si>
    <t>@Box2BoxBola Pemerintah Argentina lg ketolong timnas yg juara piala Dunia buat meredakan keresahan masyarakat akibat inflasi, setidaknya sampai 40 hari kedepan</t>
  </si>
  <si>
    <t>pemerintah argentina ketolong timnas juara piala dunia buat meredakan keresahan masyarakat akibat inflasi setidaknya sampai hari kedepan</t>
  </si>
  <si>
    <t>['pemerintah', 'argentina', 'ketolong', 'timnas', 'juara', 'piala', 'dunia', 'buat', 'meredakan', 'keresahan', 'masyarakat', 'akibat', 'inflasi', 'hari', 'kedepan']</t>
  </si>
  <si>
    <t>i'm glad Argentina won the cup, at least it puts Messi in peace. Gila, temen2 angkatan dia tuh udah pada gak ada di timnas dan yang se klub dia dulu juga udah pernah jadi juara.</t>
  </si>
  <si>
    <t>glad argentina won the cup least puts messi peace gila temen angkatan dia tuh udah pada gak ada timnas dan yang klub dia dulu juga udah pernah jadi juara</t>
  </si>
  <si>
    <t>['glad', 'argentina', 'won', 'the', 'cup', 'least', 'puts', 'messi', 'peace', 'gila', 'temen', 'angkatan', 'udah', 'timnas', 'klub', 'dulu', 'udah', 'pernah', 'jadi', 'juara']</t>
  </si>
  <si>
    <t>Ketua DPR Argentina udah bikin twibon ucapan selamat dan sukses juara pildun 2022, belom?</t>
  </si>
  <si>
    <t>ketua dpr argentina udah bikin twibon ucapan selamat dan sukses juara pildun belom</t>
  </si>
  <si>
    <t>['ketua', 'dpr', 'argentina', 'udah', 'twibon', 'ucapan', 'selamat', 'sukses', 'juara', 'piala dunia', 'belom']</t>
  </si>
  <si>
    <t>@PorosHalangID Ini orng yang bacotannya kayak ibuk ibuk.... Yaa sok sok an ikut angkat piala... Hey aguero argentina juara itu karena lo pensiun dini..</t>
  </si>
  <si>
    <t>ini orng yang bacotannya kayak ibuk ibuk yaa sok sok ikut angkat piala hey aguero argentina juara itu karena pensiun dini</t>
  </si>
  <si>
    <t>['orng', 'bacotannya', 'seperti', 'ibuk', 'ibuk', 'ya', 'sok', 'sok', 'ikut', 'angkat', 'piala', 'hey', 'aguero', 'argentina', 'juara', 'pensiun', 'dini']</t>
  </si>
  <si>
    <t>@thepopoh @bukanbijiganja @warpopski Tenang Portugal tetep dihati bang walaupun argentina yang juara</t>
  </si>
  <si>
    <t>tenang portugal tetep dihati bang walaupun argentina yang juara</t>
  </si>
  <si>
    <t>['tenang', 'portugal', 'tetep', 'dihati', 'bang', 'walaupun', 'argentina', 'juara']</t>
  </si>
  <si>
    <t>Kenapa argentina di pildun juara 1? Soalnya klo di hatiku cuman kamu juara 1 nya  Wleowleowleo üòù</t>
  </si>
  <si>
    <t>kenapa argentina pildun juara soalnya klo hatiku cuman kamu juara nya wleowleowleo</t>
  </si>
  <si>
    <t>['argentina', 'piala dunia', 'juara', 'soalnya', 'hatiku', 'cuman', 'kamu', 'juara', 'wleowleowleo']</t>
  </si>
  <si>
    <t>Waah akhirnya argentina menang, france kalah. Salut gue sama negara argentina pemain bola nya jago-jago semua udah gitu dari dulu juara terus piala dunia, pemain messi dan lainnya memang keren üëè</t>
  </si>
  <si>
    <t>waah akhirnya argentina menang france kalah salut gue sama negara argentina pemain bola nya jago jago semua udah gitu dari dulu juara terus piala dunia pemain messi dan lainnya memang keren</t>
  </si>
  <si>
    <t>['waah', 'akhirnya', 'argentina', 'menang', 'france', 'kalah', 'salut', 'gue', 'sama', 'negara', 'argentina', 'pemain', 'bola', 'jago', 'jago', 'semua', 'udah', 'gitu', 'dulu', 'juara', 'terus', 'piala', 'dunia', 'pemain', 'messi', 'lainnya', 'memang', 'keren']</t>
  </si>
  <si>
    <t>@PorosHalangID Apa salahnya sih? Dia bangga negaranya juara, dia jg legend sepakbola argentina yg harus pensiun dini krn penyakit. Dia jg kontribusi banyak buat timnas argentina, yg diliat pildun qatar doang. Gw yakin orang‚Äù argentina pun pada bangga sm</t>
  </si>
  <si>
    <t>apa salahnya sih dia bangga negaranya juara dia legend sepakbola argentina harus pensiun dini krn penyakit dia kontribusi banyak buat timnas argentina diliat pildun qatar doang yakin orang argentina pun pada bangga</t>
  </si>
  <si>
    <t>['apa', 'salahnya', 'bangga', 'negaranya', 'juara', 'legend', 'sepakbola', 'argentina', 'pensiun', 'dini', 'penyakit', 'kontribusi', 'banyak', 'buat', 'timnas', 'argentina', 'diliat', 'piala dunia', 'qatar', 'doang', 'yakin', 'orang', 'argentina', 'bangga']</t>
  </si>
  <si>
    <t>[butterfly effect]  dua foto yang berada dibawah adalah salah satu bukti nyata bahwa butterfly effect benar adanya. secara tidak langsung kita dapat berasumsi bahwa orang prancis lah yang membuat argentina juara pada piala dunia kali ini (neal maupay)  https://t.co/HxWy0kjlZe</t>
  </si>
  <si>
    <t>butterfly effect dua foto yang berada dibawah adalah salah satu bukti nyata bahwa butterfly effect benar adanya secara tidak langsung kita dapat berasumsi bahwa orang prancis lah yang membuat argentina juara pada piala dunia kali ini neal maupay</t>
  </si>
  <si>
    <t>['butterfly', 'effect', 'foto', 'berada', 'dibawah', 'salah', 'satu', 'bukti', 'nyata', 'butterfly', 'effect', 'benar', 'adanya', 'langsung', 'berasumsi', 'orang', 'prancis', 'lah', 'membuat', 'argentina', 'juara', 'piala', 'dunia', 'kali', 'neal', 'maupay']</t>
  </si>
  <si>
    <t>Dompet Digital Terbaik di Indonesia  https://t.co/GiefllrzmF  Dua tiga sepakbola, selamat argentina juara piala dunia. Jangan lupa buat cek dompet digital terbaik di 2023.</t>
  </si>
  <si>
    <t>dompet digital terbaik indonesia dua tiga sepakbola selamat argentina juara piala dunia jangan lupa buat cek dompet digital terbaik</t>
  </si>
  <si>
    <t>['dompet', 'digital', 'terbaik', 'indonesia', 'tiga', 'sepakbola', 'selamat', 'argentina', 'juara', 'piala', 'dunia', 'jangan', 'lupa', 'buat', 'cek', 'dompet', 'digital', 'terbaik']</t>
  </si>
  <si>
    <t>@zzzzzzzzzzyyzz @yusril_mlyd @Lenny_diary Kebiasaan bersepeda bisa saja tumbuh. Menurutku lebih cocok untuk aktivitas jarak dekat. Kalau diterapkan langsung ke pekerja di Jakarta, misalnya, harus pulang-pergi belasan sampai puluhan km, pasti hanya jadi sl</t>
  </si>
  <si>
    <t>mlyd diary kebiasaan bersepeda bisa saja tumbuh menurutku lebih cocok untuk aktivitas jarak dekat kalau diterapkan langsung pekerja jakarta misalnya harus pulang pergi belasan sampai puluhan pasti hanya jadi</t>
  </si>
  <si>
    <t>['mlyd', 'diary', 'kebiasaan', 'bersepeda', 'tumbuh', 'menurutku', 'lebih', 'cocok', 'aktivitas', 'jarak', 'dekat', 'kalau', 'diterapkan', 'langsung', 'pekerja', 'jakarta', 'misalnya', 'pulang', 'pergi', 'belasan', 'puluhan', 'jadi']</t>
  </si>
  <si>
    <t>@vickyh23_ @idextratime kalo obrolan suami n temen2nya, isu argentina n messi disetting jd juara pildun mngkin ada benernya.. krn klub yg menaungi messi punya kluarga al thani, qatar sports investment ü§≠ü§ê</t>
  </si>
  <si>
    <t>kalo obrolan suami temen nya isu argentina messi disetting juara pildun mngkin ada benernya krn klub menaungi messi punya kluarga thani qatar sports investment</t>
  </si>
  <si>
    <t>['obrolan', 'suami', 'temen', 'isu', 'argentina', 'messi', 'disetting', 'juara', 'piala dunia', 'mngkin', 'benernya', 'klub', 'menaungi', 'messi', 'punya', 'kluarga', 'thani', 'qatar', 'sports', 'investment']</t>
  </si>
  <si>
    <t>@OnetrickYasuo @idextratime Rio de janeiro itu di brazil,,, itu perayaan juara di buenos aires argentina...klu kota kelahiran messi di rosario argentinaüòÅüòÅ‚öΩÔ∏è</t>
  </si>
  <si>
    <t>rio janeiro itu brazil itu perayaan juara buenos aires argentina klu kota kelahiran messi rosario argentina</t>
  </si>
  <si>
    <t>['rio', 'janeiro', 'brazil', 'perayaan', 'juara', 'buenos', 'aires', 'argentina', 'klu', 'kota', 'kelahiran', 'messi', 'rosario', 'argentina']</t>
  </si>
  <si>
    <t>Klo kemaren argentina gagal juara, w jg kasian sama messi udah main habis2an malah ga juara. Eh begitu juara belagunya minta ampun‚Ä¶pendukungnyaaaa. üòåüòåüòå</t>
  </si>
  <si>
    <t>klo kemaren argentina gagal juara kasian sama messi udah main habis malah juara begitu juara belagunya minta ampun pendukungnyaaaa</t>
  </si>
  <si>
    <t>['kemarin', 'argentina', 'gagal', 'juara', 'kasian', 'sama', 'messi', 'udah', 'main', 'habis', 'malah', 'juara', 'juara', 'belagunya', 'minta', 'ampun', 'pendukungnyaaaa']</t>
  </si>
  <si>
    <t>Argentina menjadi juara piala dunia 2022.  https://t.co/1xE1HwAHSC</t>
  </si>
  <si>
    <t>argentina menjadi juara piala dunia</t>
  </si>
  <si>
    <t>['argentina', 'menjadi', 'juara', 'piala', 'dunia']</t>
  </si>
  <si>
    <t>Argentina Juara, Pria Parubaya di Polman Tunaikan Nazar Jalan Kaki 6 Km  https://t.co/wQxOcz4EZ9</t>
  </si>
  <si>
    <t>argentina juara pria parubaya polman tunaikan nazar jalan kaki</t>
  </si>
  <si>
    <t>['argentina', 'juara', 'pria', 'parubaya', 'polman', 'tunaikan', 'nazar', 'jalan', 'kaki']</t>
  </si>
  <si>
    <t>Kemarin arab saudi libur nasional ketika mengalahkan argentina. Tebak siapa yg sekarang mendapatkan libur nasional... argentina ketika juara piala dunia. Mari berlibur dan berpesta</t>
  </si>
  <si>
    <t>kemarin arab saudi libur nasional ketika mengalahkan argentina tebak siapa sekarang mendapatkan libur nasional argentina ketika juara piala dunia mari berlibur dan berpesta</t>
  </si>
  <si>
    <t>['kemarin', 'arab', 'saudi', 'libur', 'nasional', 'mengalahkan', 'argentina', 'tebak', 'siapa', 'sekarang', 'mendapatkan', 'libur', 'nasional', 'argentina', 'juara', 'piala', 'dunia', 'berlibur', 'berpesta']</t>
  </si>
  <si>
    <t>Tadi pas baca berita di tv, judulnya begini: ARGENTINA JUARA PIALA DUNIA, INDONESIA KAPAN?  Anu, soalnya gelar pertama argentina kan copa America di tahun 1921. Di tahun itu saja sumpah pemuda belum terbentuk. Naar De Republiek Indonesia belum tertulis, mereka udah juara.</t>
  </si>
  <si>
    <t>tadi pas baca berita judulnya begini argentina juara piala dunia indonesia kapan anu soalnya gelar pertama argentina kan copa america tahun tahun itu saja sumpah pemuda belum terbentuk naar republiek indonesia belum tertulis mereka udah juara</t>
  </si>
  <si>
    <t>['tadi', 'pas', 'baca', 'berita', 'judulnya', 'begini', 'argentina', 'juara', 'piala', 'dunia', 'indonesia', 'kapan', 'soalnya', 'gelar', 'pertama', 'argentina', 'kan', 'copa', 'america', 'tahun', 'tahun', 'sumpah', 'pemuda', 'terbentuk', 'naar', 'republiek', 'indonesia', 'tertulis', 'udah', 'juara']</t>
  </si>
  <si>
    <t>@DeanLutzey Messi di Argentina juga kebantu sama rekan yang percaya dia sampai all out gitu mainnya untuk jd kan Messi juara dunia, sedangkan di Portugal jelas Cristiano kalah power semenjak buat podcast itu, keliatan mulai ngga dipercaya apalagi sama Bru</t>
  </si>
  <si>
    <t>messi argentina juga kebantu sama rekan yang percaya dia sampai all out gitu mainnya untuk kan messi juara dunia sedangkan portugal jelas cristiano kalah power semenjak buat podcast itu keliatan mulai ngga dipercaya apalagi sama bru</t>
  </si>
  <si>
    <t>['messi', 'argentina', 'kebantu', 'sama', 'rekan', 'percaya', 'all', 'out', 'gitu', 'mainnya', 'kan', 'messi', 'juara', 'dunia', 'portugal', 'jelas', 'cristiano', 'kalah', 'power', 'semenjak', 'buat', 'podcast', 'keliatan', 'mulai', 'ngga', 'dipercaya', 'sama', 'bru']</t>
  </si>
  <si>
    <t>Semua sudah punya takdir hidup masing2 jadi ga ada istilah andai benzema main di final pasti Prancis juara kmrn.  Aku jg bisa kuk blg andai final 2014 dimaria tidak cedera, jg pasti Argentina juara  Tapi semua sudah jalan hidup masing2 Jadi stop blg andai ini main itu main.</t>
  </si>
  <si>
    <t>semua sudah punya takdir hidup masing jadi ada istilah andai benzema main final pasti prancis juara kmrn aku bisa kuk blg andai final dimaria tidak cedera pasti argentina juara tapi semua sudah jalan hidup masing jadi stop blg andai ini main itu main</t>
  </si>
  <si>
    <t>['semua', 'punya', 'takdir', 'hidup', 'masing', 'jadi', 'istilah', 'andai', 'benzema', 'main', 'final', 'prancis', 'juara', 'kmrn', 'aku', 'kuk', 'blg', 'andai', 'final', 'dimaria', 'cedera', 'argentina', 'juara', 'semua', 'jalan', 'hidup', 'masing', 'jadi', 'stop', 'blg', 'andai', 'main', 'main']</t>
  </si>
  <si>
    <t>&lt;FreqDist with 22 samples and 33 outcomes&gt;</t>
  </si>
  <si>
    <t>Argentina Juara Tumbalnya Inflasi</t>
  </si>
  <si>
    <t>argentina juara tumbalnya inflasi</t>
  </si>
  <si>
    <t>['argentina', 'juara', 'tumbalnya', 'inflasi']</t>
  </si>
  <si>
    <t>@vickyh23_ @idextratime Hanyaaa Orang TOLOL yg benci Argentina Juara... Settingan dengkulmu kopong... Otak gda isi.. Kaya keledai bodohnya kebangetan... Klo ga suka bola ga usah nton,, kebnyakan nton kartun Sincan, jdi Bego otaknya kaya SIRO!!!!  üòÇüòÇ</t>
  </si>
  <si>
    <t>hanyaaa orang tolol benci argentina juara settingan dengkulmu kopong otak gda isi kaya keledai bodohnya kebangetan klo suka bola usah nton kebnyakan nton kartun sincan jdi bego otaknya kaya siro</t>
  </si>
  <si>
    <t>['hanyaaa', 'orang', 'tolol', 'benci', 'argentina', 'juara', 'settingan', 'dengkulmu', 'kopong', 'otak', 'gda', 'isi', 'kaya', 'keledai', 'bodohnya', 'kebangetan', 'suka', 'bola', 'usah', 'nton', 'kebnyakan', 'nton', 'kartun', 'sincan', 'jdi', 'bego', 'otaknya', 'kaya', 'siro']</t>
  </si>
  <si>
    <t>Nabung koin buat beli pack Argentina juga tapi cadangannya belum lengkap. Untung jadi juara kemarin.  https://t.co/LsrzOuCfEf</t>
  </si>
  <si>
    <t>nabung koin buat beli pack argentina juga tapi cadangannya belum lengkap untung jadi juara kemarin</t>
  </si>
  <si>
    <t>['nabung', 'koin', 'buat', 'beli', 'pack', 'argentina', 'cadangannya', 'lengkap', 'untung', 'jadi', 'juara', 'kemarin']</t>
  </si>
  <si>
    <t>@fdhlfs @ujarkhalil_ @yogach_ Sad but true</t>
  </si>
  <si>
    <t>sad but true</t>
  </si>
  <si>
    <t>['sad', 'but', 'true']</t>
  </si>
  <si>
    <t>Pahlawan Argentina yang Bawa Juara Tak Hanya Lionel Messi!  https://t.co/KdoR7eUWnN</t>
  </si>
  <si>
    <t>pahlawan argentina yang bawa juara tak hanya lionel messi</t>
  </si>
  <si>
    <t>['pahlawan', 'argentina', 'bawa', 'juara', 'tak', 'lionel', 'messi']</t>
  </si>
  <si>
    <t>Bukan pendukung ke 2nya, tp sedikit condong ke prancis, diluar itu sudah dengar desas-desus pas perempat final yg juara Argentina, melihat final kemaren seperti tidak yakin bahwa jumlah goal sampai 6 goal, dan berakhir di drama penalti. Ya seperti berita, Argentina lah yg juara.</t>
  </si>
  <si>
    <t>bukan pendukung nya sedikit condong prancis diluar itu sudah dengar desas desus pas perempat final juara argentina melihat final kemaren seperti tidak yakin bahwa jumlah goal sampai goal dan berakhir drama penalti seperti berita argentina lah juara</t>
  </si>
  <si>
    <t>['bukan', 'pendukung', 'sedikit', 'condong', 'prancis', 'diluar', 'dengar', 'desas', 'desus', 'pas', 'perempat', 'final', 'juara', 'argentina', 'melihat', 'final', 'kemarin', 'yakin', 'jumlah', 'goal', 'goal', 'berakhir', 'drama', 'penalti', 'berita', 'argentina', 'lah', 'juara']</t>
  </si>
  <si>
    <t>@WeAreMessi Buenos Aires beberapa jam lalu. Tumpahnya rakyat di jalanan merayakan juara dunia telah menyatukan masyarakat yg terbelah gara2 wapres (juga ex presiden) Cristina Fernandez Kirchner ditahan. Cristina adalah Lula-nya Argentina. Progresif yg dib</t>
  </si>
  <si>
    <t>buenos aires beberapa jam lalu tumpahnya rakyat jalanan merayakan juara dunia telah menyatukan masyarakat terbelah gara wapres juga presiden cristina fernandez kirchner ditahan cristina adalah lula nya argentina progresif dib</t>
  </si>
  <si>
    <t>['buenos', 'aires', 'beberapa', 'jam', 'lalu', 'tumpahnya', 'rakyat', 'jalanan', 'merayakan', 'juara', 'dunia', 'menyatukan', 'masyarakat', 'terbelah', 'gara', 'wapres', 'presiden', 'cristina', 'fernandez', 'kirchner', 'ditahan', 'cristina', 'lula', 'argentina', 'progresif', 'dib']</t>
  </si>
  <si>
    <t>Lionel Messi memang tiada tanding di Piala Dunia 2022. Tak cuma membawa Argentina juara, Messi juga membukukan rekor demi rekor.  https://t.co/F2oIHVhBTM</t>
  </si>
  <si>
    <t>lionel messi memang tiada tanding piala dunia tak cuma membawa argentina juara messi juga membukukan rekor demi rekor</t>
  </si>
  <si>
    <t>['lionel', 'messi', 'memang', 'tiada', 'tanding', 'piala', 'dunia', 'tak', 'cuma', 'membawa', 'argentina', 'juara', 'messi', 'membukukan', 'rekor', 'rekor']</t>
  </si>
  <si>
    <t>Lionel Messi memang tiada tanding di Piala Dunia 2022. Tak cuma membawa Argentina juara, Messi juga membukukan rekor demi rekor.  https://t.co/Qklwx3LoAv</t>
  </si>
  <si>
    <t>#PSG menyadari bahwa mulai 1 Januari 2023, juara Piala Dunia 2022 bersama #Argentina, Lionel Messi akan bisa bebas untuk bernegosiasi kontrak dengan klub lain.   https://t.co/PbU3KgNmPA</t>
  </si>
  <si>
    <t>menyadari bahwa mulai januari juara piala dunia bersama lionel messi akan bisa bebas untuk bernegosiasi kontrak dengan klub lain</t>
  </si>
  <si>
    <t>['menyadari', 'mulai', 'januari', 'juara', 'piala', 'dunia', 'bersama', 'lionel', 'messi', 'bebas', 'bernegosiasi', 'kontrak', 'klub']</t>
  </si>
  <si>
    <t>@SiaranBolaLive Argentina 2022 Juara  2026 Juara lagi ü§ó Vamos Argentinaüá¶üá∑üëç</t>
  </si>
  <si>
    <t>argentina juara juara lagi vamos argentina</t>
  </si>
  <si>
    <t>['argentina', 'juara', 'juara', 'vamos', 'argentina']</t>
  </si>
  <si>
    <t>&lt;FreqDist with 3 samples and 5 outcomes&gt;</t>
  </si>
  <si>
    <t>Argentina Juara Piala Dunia 2022: Tuah Kertas Ramalan di Kamar Messi  https://t.co/xHAZwKzNk0</t>
  </si>
  <si>
    <t>argentina juara piala dunia tuah kertas ramalan kamar messi</t>
  </si>
  <si>
    <t>['argentina', 'juara', 'piala', 'dunia', 'tuah', 'kertas', 'ramalan', 'kamar', 'messi']</t>
  </si>
  <si>
    <t>@cakimiNOW Horeee Argentina juara</t>
  </si>
  <si>
    <t>horeee argentina juara</t>
  </si>
  <si>
    <t>['horeee', 'argentina', 'juara']</t>
  </si>
  <si>
    <t>Argentina Juara World Cup 2022, Perdebatan The Greatest Of All Time Selesai  https://t.co/YyPG2oIsWw</t>
  </si>
  <si>
    <t>argentina juara world cup perdebatan the greatest all time selesai</t>
  </si>
  <si>
    <t>['argentina', 'juara', 'world', 'cup', 'perdebatan', 'the', 'greatest', 'all', 'time', 'selesai']</t>
  </si>
  <si>
    <t>@vickyh23_ @idextratime Semua finalis sdh siapin bisnya gt aja ko repot. Nampak kali gk terima argentina juara hhhhh</t>
  </si>
  <si>
    <t>semua finalis sdh siapin bisnya aja repot nampak kali terima argentina juara hhhhh</t>
  </si>
  <si>
    <t>['semua', 'finalis', 'siapin', 'bisnya', 'repot', 'nampak', 'kali', 'terima', 'argentina', 'juara', 'hhhhh']</t>
  </si>
  <si>
    <t>Momen Pemain Argentina Merayakan Keberhasilan Juara Piala Dunia 2022 Bersama Keluarga  https://t.co/daDTHyThkD</t>
  </si>
  <si>
    <t>momen pemain argentina merayakan keberhasilan juara piala dunia bersama keluarga</t>
  </si>
  <si>
    <t>['momen', 'pemain', 'argentina', 'merayakan', 'keberhasilan', 'juara', 'piala', 'dunia', 'bersama', 'keluarga']</t>
  </si>
  <si>
    <t>@Humaira922 He..he..iya itu betul dan benar sekali krna Yg bisa mengalahkan tim Argentina itu cuma Arab Saudi he..he..pasti' pemain2 Arab Saudi merasa bangga bisa mengalahkan Argentina sang juara dunia Qatar 2022.</t>
  </si>
  <si>
    <t>iya itu betul dan benar sekali krna bisa mengalahkan tim argentina itu cuma arab saudi pasti pemain arab saudi merasa bangga bisa mengalahkan argentina sang juara dunia qatar</t>
  </si>
  <si>
    <t>['iya', 'betul', 'benar', 'sekali', 'krna', 'mengalahkan', 'tim', 'argentina', 'cuma', 'arab', 'saudi', 'pemain', 'arab', 'saudi', 'merasa', 'bangga', 'mengalahkan', 'argentina', 'sang', 'juara', 'dunia', 'qatar']</t>
  </si>
  <si>
    <t>Argentina Juara World Cup 2022, Perdebatan The Greatest Of All Time Selesai  https://t.co/BSDy5Sz9HT</t>
  </si>
  <si>
    <t>@Box2BoxBola @_BangFu @dexglenniza @Rossifinza @jerryarvino Bang fuad salah kaprah, argentina bilang mengalah lawan saudi biar  g ketemu brazil, itupun jdi juara grup dan ketemu satu bagan ama brazil. Dan kalo lawan saudi menang justru udah jelas bgt baka</t>
  </si>
  <si>
    <t>bang fuad salah kaprah argentina bilang mengalah lawan saudi biar ketemu brazil itupun jdi juara grup dan ketemu satu bagan ama brazil dan kalo lawan saudi menang justru udah jelas bgt baka</t>
  </si>
  <si>
    <t>['bang', 'fuad', 'salah', 'kaprah', 'argentina', 'mengalah', 'lawan', 'saudi', 'ketemu', 'brazil', 'itupun', 'jdi', 'juara', 'grup', 'ketemu', 'satu', 'bagan', 'ama', 'brazil', 'lawan', 'saudi', 'menang', 'justru', 'udah', 'jelas', 'banget', 'baka']</t>
  </si>
  <si>
    <t>@FBAwayDays @EPLBible Di Argentina aja begini, bayangin aja kalo Indonesia yang juara Piala Dunia</t>
  </si>
  <si>
    <t>argentina aja begini bayangin aja kalo indonesia yang juara piala dunia</t>
  </si>
  <si>
    <t>['argentina', 'begini', 'bayangin', 'indonesia', 'juara', 'piala', 'dunia']</t>
  </si>
  <si>
    <t>@frengki_17 Iya, tapi ada juga yang exchange-nya agak pake paksaan. Pas PD 1930, Mussolini ngirim mata¬≤ ke Argentina buat narik Luis Monti balik ke Italia. Di Italia, Monti ditampung Juventus dan akhirnya bawa Italia juara dunia 1934.</t>
  </si>
  <si>
    <t>iya tapi ada juga yang exchange nya agak pake paksaan pas mussolini ngirim mata argentina buat narik luis monti balik italia italia monti ditampung juventus dan akhirnya bawa italia juara dunia</t>
  </si>
  <si>
    <t>['iya', 'exchange', 'pake', 'paksaan', 'pas', 'mussolini', 'ngirim', 'mata', 'argentina', 'buat', 'narik', 'luis', 'monti', 'balik', 'italia', 'italia', 'monti', 'ditampung', 'juventus', 'akhirnya', 'bawa', 'italia', 'juara', 'dunia']</t>
  </si>
  <si>
    <t>Internet Explorer: Semoga malam ini Argentina juara</t>
  </si>
  <si>
    <t>internet explorer semoga malam ini argentina juara</t>
  </si>
  <si>
    <t>['internet', 'explorer', 'semoga', 'malam', 'argentina', 'juara']</t>
  </si>
  <si>
    <t>@cakimiNOW Horeeee Argentina juara dunia sesuai dengan prediksiku</t>
  </si>
  <si>
    <t>horeeee argentina juara dunia sesuai dengan prediksiku</t>
  </si>
  <si>
    <t>['horeeee', 'argentina', 'juara', 'dunia', 'sesuai', 'prediksiku']</t>
  </si>
  <si>
    <t>Argentina beruntung aja bisa juara #Argentina</t>
  </si>
  <si>
    <t>argentina beruntung aja bisa juara</t>
  </si>
  <si>
    <t>['argentina', 'beruntung', 'juara']</t>
  </si>
  <si>
    <t>@recehtapisayng Hei, Argentina juara dunia mas,</t>
  </si>
  <si>
    <t>hei argentina juara dunia mas</t>
  </si>
  <si>
    <t>['hei', 'argentina', 'juara', 'dunia', 'mas']</t>
  </si>
  <si>
    <t>Masyarakat Argentina begitu antusias menyambut para pahlawan mereka di Piala Dunia yang pulang membawa trofi juara!  #FIFAWorldCup #ARG   https://t.co/V76IuNrRuB</t>
  </si>
  <si>
    <t>masyarakat argentina begitu antusias menyambut para pahlawan mereka piala dunia yang pulang membawa trofi juara</t>
  </si>
  <si>
    <t>['masyarakat', 'argentina', 'antusias', 'menyambut', 'pahlawan', 'piala', 'dunia', 'pulang', 'membawa', 'trofi', 'juara']</t>
  </si>
  <si>
    <t>@convomfs Ngeliat argentina juara</t>
  </si>
  <si>
    <t>ngeliat argentina juara</t>
  </si>
  <si>
    <t>['ngeliat', 'argentina', 'juara']</t>
  </si>
  <si>
    <t>@cakimiNOW @sudjiwotedjo Horeeee Argentina juara sesuai prediksiku</t>
  </si>
  <si>
    <t>horeeee argentina juara sesuai prediksiku</t>
  </si>
  <si>
    <t>['horeeee', 'argentina', 'juara', 'sesuai', 'prediksiku']</t>
  </si>
  <si>
    <t>@lifRKY @idextratime Tadinya itu saya maksudkan buat jadi joke yang perspektifnya "Ketua PSSI ikut megang piala juara"  Makanya saya pilih frase "Persatuan Sepak Bola Argentina" (PSSA) ketimbang AFA, supaya bisa relate sama kata PSSI  Demikian informasiny</t>
  </si>
  <si>
    <t>tadinya itu saya maksudkan buat jadi joke yang perspektifnya ketua pssi ikut megang piala juara makanya saya pilih frase persatuan sepak bola argentina pssa ketimbang afa supaya bisa relate sama kata pssi demikian informasiny</t>
  </si>
  <si>
    <t>['tadinya', 'maksudkan', 'buat', 'jadi', 'joke', 'perspektifnya', 'ketua', 'pssi', 'ikut', 'megang', 'piala', 'juara', 'makanya', 'pilih', 'frase', 'persatuan', 'sepak', 'bola', 'argentina', 'pssa', 'ketimbang', 'afa', 'relate', 'sama', 'kata', 'pssi', 'informasiny']</t>
  </si>
  <si>
    <t>Argentina Juara, Papu Bernazar Loncat dari Balkon Istana Kepresidenan  https://t.co/pTT1gVliJe</t>
  </si>
  <si>
    <t>argentina juara papu bernazar loncat dari balkon istana kepresidenan</t>
  </si>
  <si>
    <t>['argentina', 'juara', 'papu', 'bernazar', 'loncat', 'balkon', 'istana', 'kepresidenan']</t>
  </si>
  <si>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</si>
  <si>
    <t>ramai orang cakap messi adalah punca argentina juara world cup tapi bagi aku kalau kau suruh pilih antara emi martinez dgn messi jadi faktor besar aku akan pilih emi even aku team messi dia punya saves bukan biasa biasa semua time crucial like penalty shootout and that one</t>
  </si>
  <si>
    <t>['ramai', 'orang', 'cakap', 'messi', 'punca', 'argentina', 'juara', 'world', 'cup', 'aku', 'kalau', 'kau', 'suruh', 'pilih', 'emi', 'martinez', 'messi', 'jadi', 'faktor', 'besar', 'aku', 'pilih', 'emi', 'even', 'aku', 'team', 'messi', 'punya', 'saves', 'bukan', 'biasa', 'biasa', 'semua', 'time', 'crucial', 'like', 'penalty', 'shootout', 'and', 'that', 'one']</t>
  </si>
  <si>
    <t>&lt;FreqDist with 34 samples and 41 outcomes&gt;</t>
  </si>
  <si>
    <t>@KaKa01175473 @FaktaSepakbola wah kaya dong anda..pasti all in buat Argentina karena udah tau bakal juara</t>
  </si>
  <si>
    <t>wah kaya dong anda pasti all buat argentina karena udah tau bakal juara</t>
  </si>
  <si>
    <t>['wah', 'kaya', 'dong', 'all', 'buat', 'argentina', 'udah', 'bakal', 'juara']</t>
  </si>
  <si>
    <t>@idextratime 1986 Argentina juara, 1987 Indonesia juara 1 sea games  2022 Argentina juara, 2023 Indonesia?ü§îü§îü§î</t>
  </si>
  <si>
    <t>argentina juara indonesia juara sea games argentina juara indonesia</t>
  </si>
  <si>
    <t>['argentina', 'juara', 'indonesia', 'juara', 'sea', 'games', 'argentina', 'juara', 'indonesia']</t>
  </si>
  <si>
    <t>@idextratime akwokwokwok</t>
  </si>
  <si>
    <t>akwokwokwok</t>
  </si>
  <si>
    <t>['akwokwokwok']</t>
  </si>
  <si>
    <t>Juara Piala Dunia 2022, Pemerintah Argentina Tetapkan 20 Desember sebagai Hari Libur Nasional  https://t.co/tfqckLvYVv</t>
  </si>
  <si>
    <t>juara piala dunia pemerintah argentina tetapkan desember sebagai hari libur nasional</t>
  </si>
  <si>
    <t>['juara', 'piala', 'dunia', 'pemerintah', 'argentina', 'tetapkan', 'desember', 'hari', 'libur', 'nasional']</t>
  </si>
  <si>
    <t>Juara Piala Dunia 2022, Pemerintah Argentina Tetapkan 20 Desember sebagai Hari Libur Nasional  https://t.co/3RqnfotAge</t>
  </si>
  <si>
    <t>Juara Piala Dunia 2022, Pemerintah Argentina Tetapkan 20 Desember sebagai Hari Libur Nasional  https://t.co/yQEazt2NS2</t>
  </si>
  <si>
    <t>Juara Piala Dunia 2022, Pemerintah Argentina Tetapkan 20 Desember sebagai Hari Libur Nasional  https://t.co/IcNaN6T3mK</t>
  </si>
  <si>
    <t>@stanmenfess raden kanjeng</t>
  </si>
  <si>
    <t>raden kanjeng</t>
  </si>
  <si>
    <t>['raden', 'kanjeng']</t>
  </si>
  <si>
    <t>Di balik gegap gempita karena jadi juara Piala Dunia 2022, kondisi ekonomi Argentina lagi enggak baik-baik aja.   | Buka Data  https://t.co/yKRoS3iQ8Z</t>
  </si>
  <si>
    <t>balik gegap gempita karena jadi juara piala dunia kondisi ekonomi argentina lagi enggak baik baik aja buka data</t>
  </si>
  <si>
    <t>['balik', 'gegap', 'gempita', 'jadi', 'juara', 'piala', 'dunia', 'kondisi', 'ekonomi', 'argentina', 'enggak', 'baik', 'baik', 'buka', 'data']</t>
  </si>
  <si>
    <t>Argentina ini cukup norak ya, sekali juara semua dibiarin pegang piala. Mirip bgt kyk negara konoha.</t>
  </si>
  <si>
    <t>argentina ini cukup norak sekali juara semua dibiarin pegang piala mirip bgt kyk negara konoha</t>
  </si>
  <si>
    <t>['argentina', 'cukup', 'norak', 'sekali', 'juara', 'semua', 'dibiarin', 'pegang', 'piala', 'mirip', 'banget', 'seperti', 'negara', 'konoha']</t>
  </si>
  <si>
    <t>Terakhir kali ada yang juara piala dunia beruntun, gelaran berikutnya ditiadakan karena perang. Tapi karena kemarin yang juara Argentina, aman lah ya.</t>
  </si>
  <si>
    <t>terakhir kali ada yang juara piala dunia beruntun gelaran berikutnya ditiadakan karena perang tapi karena kemarin yang juara argentina aman lah</t>
  </si>
  <si>
    <t>['terakhir', 'kali', 'juara', 'piala', 'dunia', 'beruntun', 'gelaran', 'berikutnya', 'ditiadakan', 'perang', 'kemarin', 'juara', 'argentina', 'aman', 'lah']</t>
  </si>
  <si>
    <t>Terungkap! Ini Alasan Lionel Messi Dikenakan Jubah Hitam Bisht Saat Argentina Juara Piala Dunia  https://t.co/Lsb8rbv1Jt</t>
  </si>
  <si>
    <t>terungkap ini alasan lionel messi dikenakan jubah hitam bisht saat argentina juara piala dunia</t>
  </si>
  <si>
    <t>['terungkap', 'alasan', 'lionel', 'messi', 'dikenakan', 'jubah', 'hitam', 'bisht', 'argentina', 'juara', 'piala', 'dunia']</t>
  </si>
  <si>
    <t>EMILIANO Martinez menjadin salah satu sosok yang mencuri perhatian di Piala Dunia 2022. Kiper timnas Argentina itu tampil apik dan membawa negaranya merebut gelar juara.   https://t.co/VmdUbLym4T</t>
  </si>
  <si>
    <t>emiliano martinez menjadin salah satu sosok yang mencuri perhatian piala dunia kiper timnas argentina itu tampil apik dan membawa negaranya merebut gelar juara</t>
  </si>
  <si>
    <t>['emiliano', 'martinez', 'menjadin', 'salah', 'satu', 'sosok', 'mencuri', 'perhatian', 'piala', 'dunia', 'kiper', 'timnas', 'argentina', 'tampil', 'apik', 'membawa', 'negaranya', 'merebut', 'gelar', 'juara']</t>
  </si>
  <si>
    <t>@vickyh23_ @idextratime Iya bang jelas settingan, masa rakyat argentina udah ngumpul di buenos aries padahal argentina belum tentu juara, ini cara fifa buat jatuhin marwah ronaldo jelas</t>
  </si>
  <si>
    <t>iya bang jelas settingan masa rakyat argentina udah ngumpul buenos aries padahal argentina belum tentu juara ini cara fifa buat jatuhin marwah ronaldo jelas</t>
  </si>
  <si>
    <t>['iya', 'bang', 'jelas', 'settingan', 'masa', 'rakyat', 'argentina', 'udah', 'ngumpul', 'buenos', 'aries', 'padahal', 'argentina', 'juara', 'cara', 'fifa', 'buat', 'jatuhin', 'marwah', 'ronaldo', 'jelas']</t>
  </si>
  <si>
    <t>@PantauCityXtra Aguero Juara Piala Dunia Bersama Argentina üá¶üá∑ Vamossssss....</t>
  </si>
  <si>
    <t>aguero juara piala dunia bersama argentina vamossssss</t>
  </si>
  <si>
    <t>['aguero', 'juara', 'piala', 'dunia', 'bersama', 'argentina', 'vamossssss']</t>
  </si>
  <si>
    <t>@komedigelaap Argentina yang juara tapi yang pesta malah fans madrid</t>
  </si>
  <si>
    <t>argentina yang juara tapi yang pesta malah fans madrid</t>
  </si>
  <si>
    <t>['argentina', 'juara', 'pesta', 'malah', 'fans', 'madrid']</t>
  </si>
  <si>
    <t>Kenapa fans barca seneng Argentina juara? Pdhl gaada pemain barca di Argentina.</t>
  </si>
  <si>
    <t>kenapa fans barca seneng argentina juara pdhl gaada pemain barca argentina</t>
  </si>
  <si>
    <t>['fans', 'barca', 'seneng', 'argentina', 'juara', 'pdhl', 'gaada', 'pemain', 'barca', 'argentina']</t>
  </si>
  <si>
    <t>Argentina bisa juara di era Pak Jokowi</t>
  </si>
  <si>
    <t>argentina bisa juara era pak jokowi</t>
  </si>
  <si>
    <t>['argentina', 'juara', 'era', 'pak', 'jokowi']</t>
  </si>
  <si>
    <t>Berapa Jumlah Uang yang Didapat Argentina Usai Jadi Juara Piala Dunia 2022 Qatar ?</t>
  </si>
  <si>
    <t>berapa jumlah uang yang didapat argentina usai jadi juara piala dunia qatar</t>
  </si>
  <si>
    <t>['berapa', 'jumlah', 'uang', 'didapat', 'argentina', 'usai', 'jadi', 'juara', 'piala', 'dunia', 'qatar']</t>
  </si>
  <si>
    <t>Argentina Juara Piala Dunia 2022, Toni Kroos Acungi Jempol Kualitas Lionel Messi  https://t.co/S5GYduTN6q</t>
  </si>
  <si>
    <t xml:space="preserve"> https://t.co/3IIQgxUaze  Apa yang dilakukan pesepakbola Lionel Messi usai Argentina juara Piala Dunia 2022? Dia tidur dengan trofinya!</t>
  </si>
  <si>
    <t>apa yang dilakukan pesepakbola lionel messi usai argentina juara piala dunia dia tidur dengan trofinya</t>
  </si>
  <si>
    <t>['apa', 'dilakukan', 'pesepakbola', 'lionel', 'messi', 'usai', 'argentina', 'juara', 'piala', 'dunia', 'tidur', 'trofinya']</t>
  </si>
  <si>
    <t>Semua Diam saat Argentina menjadi Juara Dunia, dikarenakan Argentina layak menyandang gelar Juara ü§£ü§£ü§£</t>
  </si>
  <si>
    <t>semua diam saat argentina menjadi juara dunia dikarenakan argentina layak menyandang gelar juara</t>
  </si>
  <si>
    <t>['semua', 'diam', 'argentina', 'menjadi', 'juara', 'dunia', 'dikarenakan', 'argentina', 'layak', 'menyandang', 'gelar', 'juara']</t>
  </si>
  <si>
    <t>instrumen time lapse tuh top notch terus the whole synth bass piano pas masuk chorus tuh argentina bgt alias juara dunia</t>
  </si>
  <si>
    <t>['instrumen', 'time', 'lapse', 'top', 'notch', 'terus', 'the', 'whole', 'synth', 'bass', 'piano', 'pas', 'masuk', 'chorus', 'argentina', 'banget', 'alias', 'juara', 'dunia']</t>
  </si>
  <si>
    <t>Gara2 Argentina juara piala Dunia, aku sampai dgr2 lagu Argentina ü§£ü§£ enak jg woi lagu Argentina. Ga kalah bagus sama lagu Spanyol</t>
  </si>
  <si>
    <t>gara argentina juara piala dunia aku sampai dgr lagu argentina enak woi lagu argentina kalah bagus sama lagu spanyol</t>
  </si>
  <si>
    <t>['gara', 'argentina', 'juara', 'piala', 'dunia', 'aku', 'dgr', 'lagu', 'argentina', 'enak', 'lagu', 'argentina', 'kalah', 'bagus', 'sama', 'lagu', 'spanyol']</t>
  </si>
  <si>
    <t>Perbedaan Messi dan Maradona Saat Bawa Argentina Juara Piala Dunia  https://t.co/SAkVMcHMgD</t>
  </si>
  <si>
    <t>perbedaan messi dan maradona saat bawa argentina juara piala dunia</t>
  </si>
  <si>
    <t>['perbedaan', 'messi', 'maradona', 'bawa', 'argentina', 'juara', 'piala', 'dunia']</t>
  </si>
  <si>
    <t>@idextratime Mana itu trophy asli lg.. 3x juara bisa simpan trophy asli ygy.. dan itu trophy ke 3 nya argentina</t>
  </si>
  <si>
    <t>mana itu trophy asli juara bisa simpan trophy asli ygy dan itu trophy nya argentina</t>
  </si>
  <si>
    <t>['mana', 'trophy', 'asli', 'juara', 'simpan', 'trophy', 'asli', 'ygy', 'trophy', 'argentina']</t>
  </si>
  <si>
    <t>@doniprbd @registaco Gpp sih kan opini bebas, tapi jelas emi jadi kunci kemenangan argentina bahkan kiper croatia lebih bagus daripada bono selama WC terbukti di partai perebutan juara ke 3, bahkan kiper croatia maih sangat bagus sebelum ketemu messi</t>
  </si>
  <si>
    <t>gpp sih kan opini bebas tapi jelas emi jadi kunci kemenangan argentina bahkan kiper croatia lebih bagus daripada bono selama terbukti partai perebutan juara bahkan kiper croatia maih sangat bagus sebelum ketemu messi</t>
  </si>
  <si>
    <t>['gapapa', 'kan', 'opini', 'bebas', 'jelas', 'emi', 'jadi', 'kunci', 'kemenangan', 'argentina', 'bahkan', 'kiper', 'croatia', 'lebih', 'bagus', 'bono', 'selama', 'terbukti', 'partai', 'perebutan', 'juara', 'bahkan', 'kiper', 'croatia', 'maih', 'sangat', 'bagus', 'ketemu', 'messi']</t>
  </si>
  <si>
    <t>ARGENTINA JUARA</t>
  </si>
  <si>
    <t>Mac Allister Sang gelandang petarung yg membantu Argentina juara Dunia! bisa nih diangkut ü§´ü§´</t>
  </si>
  <si>
    <t>mac allister sang gelandang petarung membantu argentina juara dunia bisa nih diangkut</t>
  </si>
  <si>
    <t>['mac', 'allister', 'sang', 'gelandang', 'petarung', 'membantu', 'argentina', 'juara', 'dunia', 'diangkut']</t>
  </si>
  <si>
    <t>Pildun mengajarkan kita bahwa motivasi adalah sebenar-benarnya bensin kehidupan.   Maroko, bikin bangga emak dan surprise semua orang.  Argentina, bahagiain Messi dan balas dendam 2014.  Prancis, back-to-back juara.</t>
  </si>
  <si>
    <t>pildun mengajarkan kita bahwa motivasi adalah sebenar benarnya bensin kehidupan maroko bikin bangga emak dan surprise semua orang argentina bahagiain messi dan balas dendam prancis back back juara</t>
  </si>
  <si>
    <t>['piala dunia', 'mengajarkan', 'motivasi', 'sebenar', 'benarnya', 'bensin', 'kehidupan', 'maroko', 'bangga', 'emak', 'surprise', 'semua', 'orang', 'argentina', 'bahagiain', 'messi', 'balas', 'dendam', 'prancis', 'back', 'back', 'juara']</t>
  </si>
  <si>
    <t>@bubleteah argentina juara bro</t>
  </si>
  <si>
    <t>argentina juara bro</t>
  </si>
  <si>
    <t>['argentina', 'juara', 'bro']</t>
  </si>
  <si>
    <t>Juara Piala Dunia 2022, Anak Buah Sri Mulyani: Argentina Tak Hanya Jago Bola, tapi Juga Utang #Argentina #Messi #Utang  Selengkapnya:  https://t.co/KGCPm4RQIg via @YouTube</t>
  </si>
  <si>
    <t>juara piala dunia anak buah sri mulyani argentina tak hanya jago bola tapi juga utang selengkapnya via</t>
  </si>
  <si>
    <t>['juara', 'piala', 'dunia', 'anak', 'buah', 'sri', 'mulyani', 'argentina', 'tak', 'jago', 'bola', 'utang', 'selengkapnya', 'via']</t>
  </si>
  <si>
    <t>Balik ke Argentina, terus menangin Liga Clausura/Apertura lanjut juara Copa Libertadores. Baru komplit</t>
  </si>
  <si>
    <t>balik argentina terus menangin liga clausura apertura lanjut juara copa libertadores baru komplit</t>
  </si>
  <si>
    <t>['balik', 'argentina', 'terus', 'menangin', 'liga', 'clausura', 'apertura', 'lanjut', 'juara', 'copa', 'libertadores', 'baru', 'komplit']</t>
  </si>
  <si>
    <t>Keluaran Taiwan 20 Desember 2022  Result: 6707 Shio: Monyet #PancingHoki  - Prediksi Nusantara Selasa, 20 Desember 2022 AI: 5 4 3 7 2D: 16 41 87 69 4D: 7832 8060 4684 Best: 97 14 91 Shio: Harimau BBFS: 107345 #Pancingtoto #argentinajuara #akhirtahun  https://t.co/SfTMffIW2U</t>
  </si>
  <si>
    <t>keluaran taiwan desember result shio monyet prediksi nusantara selasa desember best shio harimau bbfs</t>
  </si>
  <si>
    <t>['keluaran', 'taiwan', 'desember', 'result', 'shio', 'monyet', 'prediksi', 'nusantara', 'selasa', 'desember', 'best', 'shio', 'harimau', 'bbfs']</t>
  </si>
  <si>
    <t xml:space="preserve"> https://t.co/LLC8stTZjn - Sah Argentina Juara Piala Dunia 2022  https://t.co/ADfJIgRmGR  https://t.co/pL5DYXYzf4</t>
  </si>
  <si>
    <t>sah argentina juara piala dunia</t>
  </si>
  <si>
    <t>['sah', 'argentina', 'juara', 'piala', 'dunia']</t>
  </si>
  <si>
    <t>Contoh ketua federasi yg baik karena selalu ada, gk kyk ketua federasi argentina masa timnasnya juara dunia dia gk ikut angkat piala</t>
  </si>
  <si>
    <t>contoh ketua federasi baik karena selalu ada kyk ketua federasi argentina masa timnasnya juara dunia dia ikut angkat piala</t>
  </si>
  <si>
    <t>['contoh', 'ketua', 'federasi', 'baik', 'selalu', 'seperti', 'ketua', 'federasi', 'argentina', 'masa', 'timnasnya', 'juara', 'dunia', 'ikut', 'angkat', 'piala']</t>
  </si>
  <si>
    <t>Argentina juara Dunia, Misi Messi Selesai  https://t.co/pYKEgq75rs</t>
  </si>
  <si>
    <t>@Dihandri1 hanya di era jokowi, argentina kembali meraih titel juara dunia sepakbola ‚úåÔ∏è</t>
  </si>
  <si>
    <t>hanya era jokowi argentina kembali meraih titel juara dunia sepakbola</t>
  </si>
  <si>
    <t>['era', 'jokowi', 'argentina', 'meraih', 'titel', 'juara', 'dunia', 'sepakbola']</t>
  </si>
  <si>
    <t>@SiaranBolaLive Argentina Tetap Juara Dunia wkwkwk</t>
  </si>
  <si>
    <t>argentina tetap juara dunia wkwkwk</t>
  </si>
  <si>
    <t>['argentina', 'tetap', 'juara', 'dunia', 'wkwkwk']</t>
  </si>
  <si>
    <t>@vickyh23_ @idextratime busettt, panas bgt kyknya bang Argentina juara WKWKWK</t>
  </si>
  <si>
    <t>busettt panas bgt kyknya bang argentina juara wkwkwk</t>
  </si>
  <si>
    <t>['busettt', 'panas', 'banget', 'sepertinya', 'bang', 'argentina', 'juara', 'wkwkwk']</t>
  </si>
  <si>
    <t>@pblescbr__ Teganing 1 wae bang, ben koyo argentina juara 1 üôèüèº</t>
  </si>
  <si>
    <t>teganing wae bang ben koyo argentina juara</t>
  </si>
  <si>
    <t>['teganing', 'wae', 'bang', 'ben', 'koyo', 'argentina', 'juara']</t>
  </si>
  <si>
    <t>Argentina 22 tanpa Messi masih tetep jadi tim kuda hitam karena pelatih dan support-nya Messi bagus2. Tapi, gak bisa juara sih. Top 4 kena.  Portugal 22 ini ganti pelatih dan minus Ronaldo bisa lebih serem sih.</t>
  </si>
  <si>
    <t>argentina tanpa messi masih tetep jadi tim kuda hitam karena pelatih dan support nya messi bagus tapi gak bisa juara sih top kena portugal ini ganti pelatih dan minus ronaldo bisa lebih serem sih</t>
  </si>
  <si>
    <t>['argentina', 'messi', 'tetep', 'jadi', 'tim', 'kuda', 'hitam', 'pelatih', 'support', 'messi', 'bagus', 'juara', 'top', 'kena', 'portugal', 'ganti', 'pelatih', 'minus', 'ronaldo', 'lebih', 'serem']</t>
  </si>
  <si>
    <t>@merisselfs Dalam rangka Argentina juara wkwk</t>
  </si>
  <si>
    <t>dalam rangka argentina juara wkwk</t>
  </si>
  <si>
    <t>['rangka', 'argentina', 'juara']</t>
  </si>
  <si>
    <t>@FWBESS Lucu anjirrr</t>
  </si>
  <si>
    <t>lucu anjirrr</t>
  </si>
  <si>
    <t>['lucu', 'anjirrr']</t>
  </si>
  <si>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</si>
  <si>
    <t>berita bola selasa lansir dari beritamedia penampilana emi martinez piala dunia menjadi kunci besar keberhasilan argentina menjadi juara penampilan emiliano martinez selama piala dunia telah membuka spekulasi untuk cabut dari aston</t>
  </si>
  <si>
    <t>['berita', 'bola', 'selasa', 'lansir', 'beritamedia', 'penampilana', 'emi', 'martinez', 'piala', 'dunia', 'menjadi', 'kunci', 'besar', 'keberhasilan', 'argentina', 'menjadi', 'juara', 'penampilan', 'emiliano', 'martinez', 'selama', 'piala', 'dunia', 'membuka', 'spekulasi', 'pergi', 'aston']</t>
  </si>
  <si>
    <t>@theflankerID Benzema emang sengaja ga diajak biar rencana argentina juara ga ada yg gagalin, terbukti pas final cuma mbampe yang mau prancis menang</t>
  </si>
  <si>
    <t>benzema emang sengaja diajak biar rencana argentina juara ada gagalin terbukti pas final cuma mbampe yang mau prancis menang</t>
  </si>
  <si>
    <t>['benzema', 'emang', 'sengaja', 'diajak', 'rencana', 'argentina', 'juara', 'gagalin', 'terbukti', 'pas', 'final', 'cuma', 'mbampe', 'mau', 'prancis', 'menang']</t>
  </si>
  <si>
    <t>Kelakar Netizen: Bokong Varane Bantu Argentina Juara Piala Dunia 2022 ‚Äì detikSport ‚Äì Google Berita Olahraga ‚Äì  https://t.co/Q9T4wXhgAU ‚Äì #Arenanews #Kamidi #Opsiminfo- https://t.co/p51gVJ4tcf</t>
  </si>
  <si>
    <t>kelakar netizen bokong varane bantu argentina juara piala dunia detiksport google berita olahraga</t>
  </si>
  <si>
    <t>['kelakar', 'netizen', 'bokong', 'varane', 'bantu', 'argentina', 'juara', 'piala', 'dunia', 'detiksport', 'google', 'berita', 'olahraga']</t>
  </si>
  <si>
    <t>Reaksi Kakak Cristiano Ronaldo Usai Argentina Juara: Piala Dunia Terburuk   https://t.co/mYTpvpLsje   #reaksi #kakak #cristiano #ronaldo #argentina #juara #pialadunia #messi #indonesia #nasional #prmn #pikiranrakyat #prmnsahabatumkm #pikiranrakyatmedianetwork</t>
  </si>
  <si>
    <t>reaksi kakak cristiano ronaldo usai argentina juara piala dunia terburuk</t>
  </si>
  <si>
    <t>['reaksi', 'kakak', 'cristiano', 'ronaldo', 'usai', 'argentina', 'juara', 'piala', 'dunia', 'terburuk']</t>
  </si>
  <si>
    <t>@RamliRizal Politik itu kan ibarat permainan sepakbola jg, awalnya Argentina kalah lawan Arab Saudi...tak taunya skrg juara dunia</t>
  </si>
  <si>
    <t>politik itu kan ibarat permainan sepakbola awalnya argentina kalah lawan arab saudi tak taunya skrg juara dunia</t>
  </si>
  <si>
    <t>['politik', 'kan', 'ibarat', 'permainan', 'sepakbola', 'awalnya', 'argentina', 'kalah', 'lawan', 'arab', 'saudi', 'tak', 'taunya', 'skrg', 'juara', 'dunia']</t>
  </si>
  <si>
    <t>Epect Argentina juara sampai hari ini ancamannya masih sama, tidak makan layak dua Minggu kedepan</t>
  </si>
  <si>
    <t>epect argentina juara sampai hari ini ancamannya masih sama tidak makan layak dua minggu kedepan</t>
  </si>
  <si>
    <t>['epect', 'argentina', 'juara', 'hari', 'ancamannya', 'sama', 'makan', 'layak', 'minggu', 'kedepan']</t>
  </si>
  <si>
    <t>Lionel Messi dan skuad Argentina sudah pulang, dan langsung menggelar arak trofi juara Piala Dunia 2022. Ada momen La Pulga nyaris tersangkut kabel listrik! #juaraboladunia    https://t.co/qfoX5OIZDS</t>
  </si>
  <si>
    <t>lionel messi dan skuad argentina sudah pulang dan langsung menggelar arak trofi juara piala dunia ada momen pulga nyaris tersangkut kabel listrik</t>
  </si>
  <si>
    <t>['lionel', 'messi', 'skuad', 'argentina', 'pulang', 'langsung', 'menggelar', 'arak', 'trofi', 'juara', 'piala', 'dunia', 'momen', 'pulga', 'nyaris', 'tersangkut', 'kabel', 'listrik']</t>
  </si>
  <si>
    <t>@idextratime Kok tinggian CR sih daripada lautaro? Lautaro masih berguna itu min Buat ekse pinalti Tanpa baginda lautaro argentina mungkin ga juara kali Kalo CR kan... ahh sudahlah üòÇ</t>
  </si>
  <si>
    <t>kok tinggian sih daripada lautaro lautaro masih berguna itu min buat ekse pinalti tanpa baginda lautaro argentina mungkin juara kali kalo kan ahh sudahlah</t>
  </si>
  <si>
    <t>['kok', 'tinggian', 'lautaro', 'lautaro', 'berguna', 'min', 'buat', 'ekse', 'penalti', 'baginda', 'lautaro', 'argentina', 'mungkin', 'juara', 'kali', 'kan', 'ahh', 'sudahlah']</t>
  </si>
  <si>
    <t>@kisbet_ @meltdownbytori Argentina juara Piala Dunia 3 kali. 1. Piala Dunia 1978 di Argentina. Top Scorer: Mario Kempes.  2. Piala Dunia 1986 di Mexico. Top Scorer: Diego Maradona.  3. Piala Dunia 2022 di Qatar. Top Scorer: Lionel Messi.</t>
  </si>
  <si>
    <t>argentina juara piala dunia kali piala dunia argentina top scorer mario kempes piala dunia mexico top scorer diego maradona piala dunia qatar top scorer lionel messi</t>
  </si>
  <si>
    <t>['argentina', 'juara', 'piala', 'dunia', 'kali', 'piala', 'dunia', 'argentina', 'top', 'scorer', 'mario', 'kempes', 'piala', 'dunia', 'mexico', 'top', 'scorer', 'diego', 'maradona', 'piala', 'dunia', 'qatar', 'top', 'scorer', 'lionel', 'messi']</t>
  </si>
  <si>
    <t>&lt;FreqDist with 15 samples and 26 outcomes&gt;</t>
  </si>
  <si>
    <t>Video Detik-detik Messi Nyaris Tersangkut Kabel saat Pawai Juara Argentina  https://t.co/gLFJOLMqPi</t>
  </si>
  <si>
    <t>video detik detik messi nyaris tersangkut kabel saat pawai juara argentina</t>
  </si>
  <si>
    <t>['video', 'detik', 'detik', 'messi', 'nyaris', 'tersangkut', 'kabel', 'pawai', 'juara', 'argentina']</t>
  </si>
  <si>
    <t>@FaktaSepakbola bagaimana pun, juara sejatinya ,,,, Arab Saudi,,, karena Argentina kalah 2-1 sama Arab Saudi, tak terbantahkan ü§£ü§£ü§£</t>
  </si>
  <si>
    <t>bagaimana pun juara sejatinya arab saudi karena argentina kalah sama arab saudi tak terbantahkan</t>
  </si>
  <si>
    <t>['bagaimana', 'juara', 'sejatinya', 'arab', 'saudi', 'argentina', 'kalah', 'sama', 'arab', 'saudi', 'tak', 'terbantahkan']</t>
  </si>
  <si>
    <t>Timnas Argentina menerima hadiah sebesar USD 440 juta (Rp 6,8 triliun) setelah menjadi juara Piala Dunia 2022.  #merahputihcom #Argentina #hadiah #PialaDunia2022    https://t.co/LRxIsWJgdO</t>
  </si>
  <si>
    <t>timnas argentina menerima hadiah sebesar usd juta triliun setelah menjadi juara piala dunia</t>
  </si>
  <si>
    <t>['timnas', 'argentina', 'menerima', 'hadiah', 'sebesar', 'usd', 'juta', 'triliun', 'menjadi', 'juara', 'piala', 'dunia']</t>
  </si>
  <si>
    <t>Lionel Messi membawa Timnas Argentina menjadi juara Piala Dunia Qatar 2022. Dia pun mengunggah fotonya tengah tidur dengan trofi Piala Dunia.  https://t.co/a340t0n6q8</t>
  </si>
  <si>
    <t>lionel messi membawa timnas argentina menjadi juara piala dunia qatar dia pun mengunggah fotonya tengah tidur dengan trofi piala dunia</t>
  </si>
  <si>
    <t>['lionel', 'messi', 'membawa', 'timnas', 'argentina', 'menjadi', 'juara', 'piala', 'dunia', 'qatar', 'mengunggah', 'fotonya', 'tengah', 'tidur', 'trofi', 'piala', 'dunia']</t>
  </si>
  <si>
    <t>Timnas Prancis paling gacor di Piala Dunia 2022  Paling banyak cetak gol mengalahkan sang Juara Argentina.   #audioleak #ThankYouQatar  https://t.co/VUIRzyXzZo</t>
  </si>
  <si>
    <t>timnas prancis paling gacor piala dunia paling banyak cetak gol mengalahkan sang juara argentina</t>
  </si>
  <si>
    <t>['timnas', 'prancis', 'paling', 'gacor', 'piala', 'dunia', 'paling', 'banyak', 'cetak', 'gol', 'mengalahkan', 'sang', 'juara', 'argentina']</t>
  </si>
  <si>
    <t>@03___nakula @antonsujarno25 Mnurut saya,Bukan Argentina sih yg juara, tapi si Onel Essi slh satu pria berjenggot warga kota Buenos Aires yg terima piala emas di Qatar World Cup Championship 2022. Gmn..Kang Mbappe..nyengir sambil garuk2 kepala sambil nyan</t>
  </si>
  <si>
    <t>nakula mnurut saya bukan argentina sih juara tapi onel essi slh satu pria berjenggot warga kota buenos aires terima piala emas qatar world cup championship gmn kang mbappe nyengir sambil garuk kepala sambil nyan</t>
  </si>
  <si>
    <t>['nakula', 'mnurut', 'bukan', 'argentina', 'juara', 'onel', 'essi', 'salah', 'satu', 'pria', 'berjenggot', 'warga', 'kota', 'buenos', 'aires', 'terima', 'piala', 'emas', 'qatar', 'world', 'cup', 'championship', 'gmn', 'kang', 'mbappe', 'nyengir', 'garuk', 'kepala', 'nyan']</t>
  </si>
  <si>
    <t>Momen tersulit dan pahit pernah dilaluinya, hingga pada akhirnya Di Maria berhasil antarkan Argentina juara piala dunia 2022.  https://t.co/kZ6dqxQuza</t>
  </si>
  <si>
    <t>momen tersulit dan pahit pernah dilaluinya hingga pada akhirnya maria berhasil antarkan argentina juara piala dunia</t>
  </si>
  <si>
    <t>['momen', 'tersulit', 'pahit', 'pernah', 'dilaluinya', 'hingga', 'akhirnya', 'maria', 'berhasil', 'antarkan', 'argentina', 'juara', 'piala', 'dunia']</t>
  </si>
  <si>
    <t>Angel Di Maria, Anak Penjual Arang yang Antarkan Argentina Juara Piala Dunia.  https://t.co/PFJCV61ecG</t>
  </si>
  <si>
    <t>angel maria anak penjual arang yang antarkan argentina juara piala dunia</t>
  </si>
  <si>
    <t>['angel', 'maria', 'anak', 'penjual', 'arang', 'antarkan', 'argentina', 'juara', 'piala', 'dunia']</t>
  </si>
  <si>
    <t>@twitrandomku @korantempo Waktu ngalahin belum jadi juara pildun yah. Lagian mending akhirnya jadi juara pildun dari pada juara ngalahin argentina   saja.</t>
  </si>
  <si>
    <t>waktu ngalahin belum jadi juara pildun yah lagian mending akhirnya jadi juara pildun dari pada juara ngalahin argentina saja</t>
  </si>
  <si>
    <t>['waktu', 'ngalahin', 'jadi', 'juara', 'piala dunia', 'lagian', 'mending', 'akhirnya', 'jadi', 'juara', 'piala dunia', 'juara', 'ngalahin', 'argentina']</t>
  </si>
  <si>
    <t>Semua orang memuji Messi... Padahal Argentina juara karena adu pinalti  Martinez lah pahlawan sebenarnya  https://t.co/mwJNjFyWzd</t>
  </si>
  <si>
    <t>semua orang memuji messi padahal argentina juara karena adu pinalti martinez lah pahlawan sebenarnya</t>
  </si>
  <si>
    <t>['semua', 'orang', 'memuji', 'messi', 'padahal', 'argentina', 'juara', 'adu', 'penalti', 'martinez', 'lah', 'pahlawan', 'sebenarnya']</t>
  </si>
  <si>
    <t>Kasian temen temennya Messi, Yg Juara Argentina yang dibahas cuma Messi.   Sabar ya nak.</t>
  </si>
  <si>
    <t>kasian temen temennya messi juara argentina yang dibahas cuma messi sabar nak</t>
  </si>
  <si>
    <t>['kasian', 'temen', 'temennya', 'messi', 'juara', 'argentina', 'dibahas', 'cuma', 'messi', 'sabar', 'nak']</t>
  </si>
  <si>
    <t>Lionel Messi dan skuad Argentina sudah pulang, dan langsung menggelar arak trofi juara Piala Dunia 2022. Ada momen La Pulga nyaris tersangkut kabel listrik! #juaraboladunia    https://t.co/yPUePFuht0</t>
  </si>
  <si>
    <t>8 Potret Perayaan Juara Argentina di Buenos Aires  https://t.co/BwesVJtXsS</t>
  </si>
  <si>
    <t>potret perayaan juara argentina buenos aires</t>
  </si>
  <si>
    <t>['potret', 'perayaan', 'juara', 'argentina', 'buenos', 'aires']</t>
  </si>
  <si>
    <t>Penonton Wanita Nekat Buka Baju Begitu Argentina Juara Piala Dunia 2022 Qatar, Baca Juga Jalannya Pertandingan  https://t.co/lPEKkkHxa7 lewat @semarak.co</t>
  </si>
  <si>
    <t>penonton wanita nekat buka baju begitu argentina juara piala dunia qatar baca juga jalannya pertandingan lewat</t>
  </si>
  <si>
    <t>['penonton', 'wanita', 'nekat', 'buka', 'baju', 'argentina', 'juara', 'piala', 'dunia', 'qatar', 'baca', 'jalannya', 'pertandingan', 'lewat']</t>
  </si>
  <si>
    <t>@zenrs Padahal dia satu satunya pemain yg juara piala dunia untuk argentina 2 kali  https://t.co/GmPRNOjYVl</t>
  </si>
  <si>
    <t>padahal dia satu satunya pemain juara piala dunia untuk argentina kali</t>
  </si>
  <si>
    <t>['padahal', 'satu', 'satunya', 'pemain', 'juara', 'piala', 'dunia', 'argentina', 'kali']</t>
  </si>
  <si>
    <t>Dan gue cuma bisa jawab "hehe tapi jerman keok, argentina juara" wkwkwk</t>
  </si>
  <si>
    <t>dan gue cuma bisa jawab hehe tapi jerman keok argentina juara wkwkwk</t>
  </si>
  <si>
    <t>['gue', 'cuma', 'jawab', 'jerman', 'keok', 'argentina', 'juara', 'wkwkwk']</t>
  </si>
  <si>
    <t>meh seng juara argentina,france, brazil,tapi aku tetep england</t>
  </si>
  <si>
    <t>meh seng juara argentina france brazil tapi aku tetep england</t>
  </si>
  <si>
    <t>['meh', 'seng', 'juara', 'argentina', 'france', 'brazil', 'aku', 'tetep', 'england']</t>
  </si>
  <si>
    <t>@taurunians Huhu iyaaa, apes banget pas mau pildun cidera, mana juara lagi Argentina nya ü•≤</t>
  </si>
  <si>
    <t>huhu iyaaa apes banget pas mau pildun cidera mana juara lagi argentina nya</t>
  </si>
  <si>
    <t>['huhu', 'iyaaa', 'apes', 'banget', 'pas', 'mau', 'piala dunia', 'cidera', 'mana', 'juara', 'argentina']</t>
  </si>
  <si>
    <t>Pacar Cristiano Ronaldo Disorot Netizen usai Argentina Juara Piala Dunia 2022, Ada Apa?  https://t.co/6P8eFHuF1n</t>
  </si>
  <si>
    <t>pacar cristiano ronaldo disorot netizen usai argentina juara piala dunia ada apa</t>
  </si>
  <si>
    <t>['pacar', 'cristiano', 'ronaldo', 'disorot', 'netizen', 'usai', 'argentina', 'juara', 'piala', 'dunia', 'apa']</t>
  </si>
  <si>
    <t>Argentina Juara, Kakak Cristiano Ronaldo: Piala Dunia Terburuk  https://t.co/jc07YxaFO0</t>
  </si>
  <si>
    <t>argentina juara kakak cristiano ronaldo piala dunia terburuk</t>
  </si>
  <si>
    <t>['argentina', 'juara', 'kakak', 'cristiano', 'ronaldo', 'piala', 'dunia', 'terburuk']</t>
  </si>
  <si>
    <t>Keluaran Mongolia 20 Desember 2022  Result: 5286 Shio: Kerbau #PancingHoki #sn - Prediksi Taiwan Selasa, 20 Desember 2022 AI: 7 9 6 0 2D: 34 82 97 45 4D: 5916 6538 3613 Best: 47 79 48 Shio: Naga BBFS: 946170 #Pancingtoto #argentinajuara #akhirtahun  https://t.co/SfTMffIW2U</t>
  </si>
  <si>
    <t>keluaran mongolia desember result shio kerbau prediksi taiwan selasa desember best shio naga bbfs</t>
  </si>
  <si>
    <t>['keluaran', 'mongolia', 'desember', 'result', 'shio', 'kerbau', 'prediksi', 'taiwan', 'selasa', 'desember', 'best', 'shio', 'naga', 'bbfs']</t>
  </si>
  <si>
    <t>@SCTV Apapun itu argentina yg juara</t>
  </si>
  <si>
    <t>apapun itu argentina juara</t>
  </si>
  <si>
    <t>['apapun', 'argentina', 'juara']</t>
  </si>
  <si>
    <t>@_riverflows @memefess pasti ngalahin pesta juara argentina nih</t>
  </si>
  <si>
    <t>pasti ngalahin pesta juara argentina nih</t>
  </si>
  <si>
    <t>['ngalahin', 'pesta', 'juara', 'argentina']</t>
  </si>
  <si>
    <t>Paulo Dybala memang jarang dimainkan saat mengantarkan Argentina juara Piala Dunia 2022. Namun penyerang AS Roma itu juga punya andil dalam kejayaan Albiceleste. #kumparanBOLA  https://t.co/M64ncwGsSk</t>
  </si>
  <si>
    <t>paulo dybala memang jarang dimainkan saat mengantarkan argentina juara piala dunia namun penyerang roma itu juga punya andil dalam kejayaan albiceleste</t>
  </si>
  <si>
    <t>['paulo', 'dybala', 'memang', 'jarang', 'dimainkan', 'mengantarkan', 'argentina', 'juara', 'piala', 'dunia', 'penyerang', 'roma', 'punya', 'andil', 'kejayaan', 'albiceleste']</t>
  </si>
  <si>
    <t>@bayuanggara08 @intermilanstory @registaco Untungnya aja argentina juara, klo sampe gagal juara pasti lutaro martines yg bakal disalah2in sama fans argentina üòå</t>
  </si>
  <si>
    <t>untungnya aja argentina juara klo sampe gagal juara pasti lutaro martines bakal disalah sama fans argentina</t>
  </si>
  <si>
    <t>['untungnya', 'argentina', 'juara', 'sampai', 'gagal', 'juara', 'lutaro', 'martines', 'bakal', 'disalah', 'sama', 'fans', 'argentina']</t>
  </si>
  <si>
    <t>Argentina Juara Dunia.  ‚≠êÔ∏è‚≠êÔ∏è‚≠êÔ∏è  #Qatar2022 #MessiìÉµ  https://t.co/6FCjjk8HNC</t>
  </si>
  <si>
    <t>argentina juara dunia</t>
  </si>
  <si>
    <t>['argentina', 'juara', 'dunia']</t>
  </si>
  <si>
    <t>hawa ne kroso sumuk ket argentina juara</t>
  </si>
  <si>
    <t>hawa kroso sumuk ket argentina juara</t>
  </si>
  <si>
    <t>['hawa', 'kroso', 'sumuk', 'ket', 'argentina', 'juara']</t>
  </si>
  <si>
    <t>Berita Bola Terkini Nova88 Indonesia Klik  https://t.co/VsbRjz8w7o : Kakak Ronaldo Usai Lihat Messi Juara bersama Argentina: Ini Piala Dunia Terburuk  https://t.co/CzLzOharsY  https://t.co/slKNPRwpJ1</t>
  </si>
  <si>
    <t>berita bola terkini nova indonesia klik kakak ronaldo usai lihat messi juara bersama argentina ini piala dunia terburuk</t>
  </si>
  <si>
    <t>['berita', 'bola', 'terkini', 'nova', 'indonesia', 'klik', 'kakak', 'ronaldo', 'usai', 'lihat', 'messi', 'juara', 'bersama', 'argentina', 'piala', 'dunia', 'terburuk']</t>
  </si>
  <si>
    <t>Momen Argentina juara #GempitaBolaDunia2022 menjadi buah bibir masyarakat dunia. Terdapat sejumlah alasan, salah satunya duel sengit dalam partai puncak yang memaksa pertandingan ke babak adu penalti.  https://t.co/sRP9TBrL2i #CNNIndonesia  https://t.co/9Zc4gwuSkx</t>
  </si>
  <si>
    <t>momen argentina juara menjadi buah bibir masyarakat dunia terdapat sejumlah alasan salah satunya duel sengit dalam partai puncak yang memaksa pertandingan babak adu penalti</t>
  </si>
  <si>
    <t>['momen', 'argentina', 'juara', 'menjadi', 'buah', 'bibir', 'masyarakat', 'dunia', 'terdapat', 'sejumlah', 'alasan', 'salah', 'satunya', 'duel', 'sengit', 'partai', 'puncak', 'memaksa', 'pertandingan', 'babak', 'adu', 'penalti']</t>
  </si>
  <si>
    <t>Reaksi Kakak Cristiano Ronaldo Usai Argentina Juara: Piala Dunia Terburuk  https://t.co/6N4Ca74yl2</t>
  </si>
  <si>
    <t>Juara Piala Dunia 2022, Anak Buah Sri Mulyani: Argentina Tak Hanya Jago Bola, tapi Juga Utang  https://t.co/5pi6U831x3</t>
  </si>
  <si>
    <t>juara piala dunia anak buah sri mulyani argentina tak hanya jago bola tapi juga utang</t>
  </si>
  <si>
    <t>['juara', 'piala', 'dunia', 'anak', 'buah', 'sri', 'mulyani', 'argentina', 'tak', 'jago', 'bola', 'utang']</t>
  </si>
  <si>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</si>
  <si>
    <t>inflasi nov masih relatif baik ini tentu prestasi saat dunia menghadapi kenaikan harga pangan dan energi kita bisa kendalikan dgn menjaga suplai pangan serta subsidi energi bahkan inflasi negara lain sampai double digit termasuk juara dunia argentina</t>
  </si>
  <si>
    <t>['inflasi', 'nov', 'relatif', 'baik', 'prestasi', 'dunia', 'menghadapi', 'kenaikan', 'harga', 'pangan', 'energi', 'kendalikan', 'menjaga', 'suplai', 'pangan', 'subsidi', 'energi', 'bahkan', 'inflasi', 'negara', 'double', 'digit', 'termasuk', 'juara', 'dunia', 'argentina']</t>
  </si>
  <si>
    <t>ARGENTINA JUARA PIALA DUNIA, MESSI PEMAIN TERBAIK SEPANJANG MASA  #golkar2024 #pialadunia2022 #sepakbola #messi #argentina #ARGENTINAVSFRANCE  https://t.co/0701lSApNl</t>
  </si>
  <si>
    <t>argentina juara piala dunia messi pemain terbaik sepanjang masa</t>
  </si>
  <si>
    <t>['argentina', 'juara', 'piala', 'dunia', 'messi', 'pemain', 'terbaik', 'sepanjang', 'masa']</t>
  </si>
  <si>
    <t>üî•üî• PENGUMUMAN PEMENANG EVENT TEBAK JUARA üî•üî•  Pesta olahraga terbesar di Dunia yang diadakan 4 tahun sekali, FIFA WORLD CUP telah selesai dan Timnas Argentina berhasil keluar sebagai Juara Piala Dunia 2022.  Selengkapnya&amp;gt;&amp;gt;  https://t.co/CB4DxUrKY3  https://t.co/XzVqGveg7x</t>
  </si>
  <si>
    <t>pengumuman pemenang event tebak juara pesta olahraga terbesar dunia yang diadakan tahun sekali fifa world cup telah selesai dan timnas argentina berhasil keluar sebagai juara piala dunia selengkapnya</t>
  </si>
  <si>
    <t>['pengumuman', 'pemenang', 'event', 'tebak', 'juara', 'pesta', 'olahraga', 'terbesar', 'dunia', 'diadakan', 'tahun', 'sekali', 'fifa', 'world', 'cup', 'selesai', 'timnas', 'argentina', 'berhasil', 'keluar', 'juara', 'piala', 'dunia', 'selengkapnya']</t>
  </si>
  <si>
    <t>@cursedkidd Mbabpe masih muda 23 tahun. Jalannya masih panjang. Ini Messi bisa bawa Argentina  juara dunia setelah ikut 4 kali. Kalau Ronaldo ya jelas sudah selesai</t>
  </si>
  <si>
    <t>mbabpe masih muda tahun jalannya masih panjang ini messi bisa bawa argentina juara dunia setelah ikut kali kalau ronaldo jelas sudah selesai</t>
  </si>
  <si>
    <t>['mbabpe', 'muda', 'tahun', 'jalannya', 'panjang', 'messi', 'bawa', 'argentina', 'juara', 'dunia', 'ikut', 'kali', 'kalau', 'ronaldo', 'jelas', 'selesai']</t>
  </si>
  <si>
    <t>Argentina berhasil menjuarai piala dunia, sedang aku di hatimu menjadi juara kedua. Akulah Prancis itu, lelah berjuang namun tetap berujung terkikis.</t>
  </si>
  <si>
    <t>argentina berhasil menjuarai piala dunia sedang aku hatimu menjadi juara kedua akulah prancis itu lelah berjuang namun tetap berujung terkikis</t>
  </si>
  <si>
    <t>['argentina', 'berhasil', 'menjuarai', 'piala', 'dunia', 'sedang', 'aku', 'hatimu', 'menjadi', 'juara', 'kedua', 'akulah', 'prancis', 'lelah', 'berjuang', 'tetap', 'berujung', 'terkikis']</t>
  </si>
  <si>
    <t>Makasih udah nepatin janjinya....di bilangin yg juara Argentina ngak percaya, ... Hahaha..mantap dek üòÄüòÄüòÄ  https://t.co/VumpYDmeUX</t>
  </si>
  <si>
    <t>makasih udah nepatin janjinya bilangin juara argentina ngak percaya hahaha mantap dek</t>
  </si>
  <si>
    <t>['makasih', 'udah', 'nepatin', 'janjinya', 'bilangin', 'juara', 'argentina', 'ngak', 'percaya', 'hahaha', 'mantap', 'dek']</t>
  </si>
  <si>
    <t>Sulit, argentina berhasil menjuarai piala dunia, sedangkan aku dihatimu juara kedua, akulah si prancis itu, sudah mencoba berjuang namun berujung terkikis.</t>
  </si>
  <si>
    <t>sulit argentina berhasil menjuarai piala dunia sedangkan aku dihatimu juara kedua akulah prancis itu sudah mencoba berjuang namun berujung terkikis</t>
  </si>
  <si>
    <t>['sulit', 'argentina', 'berhasil', 'menjuarai', 'piala', 'dunia', 'aku', 'dihatimu', 'juara', 'kedua', 'akulah', 'prancis', 'mencoba', 'berjuang', 'berujung', 'terkikis']</t>
  </si>
  <si>
    <t>Piala Dunia 2022 resmi berakhir, ditandai dengan Argentina menjadi juara. Nah, Sahabat Pedooli Qatar sebagai tuan rumah Piala Dunia 2022 sukses mempertontonkan kehidupan muslim yang ideal. Namun tidak hanya Qatar, supporter hingga pemain pun turut mempertontonkan hal tersebut.‚ú®</t>
  </si>
  <si>
    <t>piala dunia resmi berakhir ditandai dengan argentina menjadi juara nah sahabat pedooli qatar sebagai tuan rumah piala dunia sukses mempertontonkan kehidupan muslim yang ideal namun tidak hanya qatar supporter hingga pemain pun turut mempertontonkan hal tersebut</t>
  </si>
  <si>
    <t>['piala', 'dunia', 'resmi', 'berakhir', 'ditandai', 'argentina', 'menjadi', 'juara', 'nah', 'sahabat', 'pedooli', 'qatar', 'tuan', 'rumah', 'piala', 'dunia', 'sukses', 'mempertontonkan', 'kehidupan', 'muslim', 'ideal', 'qatar', 'supporter', 'hingga', 'pemain', 'turut', 'mempertontonkan', 'tersebut']</t>
  </si>
  <si>
    <t>Timnas Argentina kembali ke negaranya pada Selasa (20/12/2022) pagi waktu setempat. Lionel Messi dan kawan-kawan sudah disambut oleh warga di penjuru jalan. Obelisco, Buenos Aires, menjadi pusat perayaan gelar juara #PialaDunia2022.  https://t.co/lNFKwWk24F #PestadiQatar  https://t.co/bDvGCnSpvy</t>
  </si>
  <si>
    <t>timnas argentina kembali negaranya pada selasa pagi waktu setempat lionel messi dan kawan kawan sudah disambut oleh warga penjuru jalan obelisco buenos aires menjadi pusat perayaan gelar juara</t>
  </si>
  <si>
    <t>['timnas', 'argentina', 'negaranya', 'selasa', 'pagi', 'waktu', 'setempat', 'lionel', 'messi', 'kawan', 'kawan', 'disambut', 'warga', 'penjuru', 'jalan', 'obelisco', 'buenos', 'aires', 'menjadi', 'pusat', 'perayaan', 'gelar', 'juara']</t>
  </si>
  <si>
    <t>karna argentina juara, mau nonton film Argentina 1985 ah, semoga apik</t>
  </si>
  <si>
    <t>karna argentina juara mau nonton film argentina semoga apik</t>
  </si>
  <si>
    <t>['karna', 'argentina', 'juara', 'mau', 'nonton', 'film', 'argentina', 'semoga', 'apik']</t>
  </si>
  <si>
    <t>Berkat Pak Jokowi, Argentina tahun ini juara piala duniaüëç</t>
  </si>
  <si>
    <t>berkat pak jokowi argentina tahun ini juara piala dunia</t>
  </si>
  <si>
    <t>['berkat', 'pak', 'jokowi', 'argentina', 'tahun', 'juara', 'piala', 'dunia']</t>
  </si>
  <si>
    <t xml:space="preserve">@messinisme @MalikAh300902 @The_RedsIndo Nah itu ngerti kan maksud gue. Madrid, Barca, Big4 Inggris, pasti di ekspetasikan juara. Nah argentina juga kaya gitu. Ga peduli isi squadnya siapa. Yg mereka tau Argen itu tim seperti itu.   Portugal mah karna CR </t>
  </si>
  <si>
    <t>redsindo nah itu ngerti kan maksud gue madrid barca big inggris pasti ekspetasikan juara nah argentina juga kaya gitu peduli isi squadnya siapa mereka tau argen itu tim seperti itu portugal mah karna</t>
  </si>
  <si>
    <t>['redsindo', 'nah', 'ngerti', 'kan', 'maksud', 'gue', 'madrid', 'barca', 'big', 'inggris', 'ekspetasikan', 'juara', 'nah', 'argentina', 'kaya', 'gitu', 'peduli', 'isi', 'squadnya', 'siapa', 'argen', 'tim', 'portugal', 'mah', 'karna']</t>
  </si>
  <si>
    <t>@idextratime Layak mendapatkan apresiasi besar membawa Argentina juara Copa dan pildunüëèüëèüëè</t>
  </si>
  <si>
    <t>layak mendapatkan apresiasi besar membawa argentina juara copa dan pildun</t>
  </si>
  <si>
    <t>['layak', 'mendapatkan', 'apresiasi', 'besar', 'membawa', 'argentina', 'juara', 'copa', 'piala dunia']</t>
  </si>
  <si>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</si>
  <si>
    <t>takdir juara argentina agaknya berjodoh momen saat bangsa mereka kehilangan kebanggaan passarella dkk menjuarai piala dunia dlm tekanan junta militer maradona juara piala dunia setelah kekalahan dlm perang malvinas lionel messi juara dlm kondisi krisis ekonomi</t>
  </si>
  <si>
    <t>['takdir', 'juara', 'argentina', 'agaknya', 'berjodoh', 'momen', 'bangsa', 'kehilangan', 'kebanggaan', 'passarella', 'dkk', 'menjuarai', 'piala', 'dunia', 'dlm', 'tekanan', 'junta', 'militer', 'maradona', 'juara', 'piala', 'dunia', 'kekalahan', 'dlm', 'perang', 'malvinas', 'lionel', 'messi', 'juara', 'dlm', 'kondisi', 'krisis', 'ekonomi']</t>
  </si>
  <si>
    <t>Messi berkali-kali gagal membawa Argentina menjadi juara. Sempat ingin berhenti, tapi akhirnya kembali.   Tahun ini, kita lihat ia mengangkat trofi piala dunia setinggi-tingginya. Buah kerja keras dan kerja samanya dengan seluruh pemain Argentina.    https://t.co/SU7bBgEbH2</t>
  </si>
  <si>
    <t>messi berkali kali gagal membawa argentina menjadi juara sempat ingin berhenti tapi akhirnya kembali tahun ini kita lihat mengangkat trofi piala dunia setinggi tingginya buah kerja keras dan kerja samanya dengan seluruh pemain argentina</t>
  </si>
  <si>
    <t>['messi', 'berkali', 'kali', 'gagal', 'membawa', 'argentina', 'menjadi', 'juara', 'sempat', 'berhenti', 'akhirnya', 'tahun', 'lihat', 'mengangkat', 'trofi', 'piala', 'dunia', 'setinggi', 'tingginya', 'buah', 'kerja', 'keras', 'kerja', 'samanya', 'seluruh', 'pemain', 'argentina']</t>
  </si>
  <si>
    <t>ARGENTINA JUARA PIALA DUNIA, MESSI PEMAIN TERBAIK SEPANJANG MASA  #golkar2024 #pialadunia2022 #sepakbola #messi #argentina #ARGENTINAVSFRANCE  https://t.co/T5G7B0g7Yb</t>
  </si>
  <si>
    <t>@vickyh23_ @idextratime Omong kosong, gak ada tuh settingan apalagi kedua tim sama2 kuat seimbang. Pikir aja gimana cara settingnya, disaksikan ratusan juta penonton seluruh dunia. Argentina menang sah, bahkan andai Prancis yg juara pun rasanya juga pante</t>
  </si>
  <si>
    <t>omong kosong gak ada tuh settingan apalagi kedua tim sama kuat seimbang pikir aja gimana cara settingnya disaksikan ratusan juta penonton seluruh dunia argentina menang sah bahkan andai prancis juara pun rasanya juga pante</t>
  </si>
  <si>
    <t>['omong', 'kosong', 'settingan', 'kedua', 'tim', 'sama', 'kuat', 'seimbang', 'pikir', 'gimana', 'cara', 'settingnya', 'disaksikan', 'ratusan', 'juta', 'penonton', 'seluruh', 'dunia', 'argentina', 'menang', 'sah', 'bahkan', 'andai', 'prancis', 'juara', 'rasanya', 'pante']</t>
  </si>
  <si>
    <t>Argentina juara sesuai dg feeling as always üòÄüëç</t>
  </si>
  <si>
    <t>argentina juara sesuai feeling always</t>
  </si>
  <si>
    <t>['argentina', 'juara', 'sesuai', 'feeling', 'always']</t>
  </si>
  <si>
    <t>@diksmamba tak perlu juara seperti argentina untuk mengumpulkan massa seperti diatas. Namun, cukup ......</t>
  </si>
  <si>
    <t>tak perlu juara seperti argentina untuk mengumpulkan massa seperti diatas namun cukup</t>
  </si>
  <si>
    <t>['tak', 'perlu', 'juara', 'argentina', 'mengumpulkan', 'massa', 'diatas', 'cukup']</t>
  </si>
  <si>
    <t>Sebelum piala dunia berlangsung, sempat mampir ke PT. Alpen Food Industry di kawasan MM2100, Cikarang dikasih oleh Pak Agung es krim ini dan gambarnya Lionel Messi dan beliau membawa Argentina juara kali ini wow  https://t.co/cUlBsPNhGm</t>
  </si>
  <si>
    <t>sebelum piala dunia berlangsung sempat mampir alpen food industry kawasan cikarang dikasih oleh pak agung krim ini dan gambarnya lionel messi dan beliau membawa argentina juara kali ini wow</t>
  </si>
  <si>
    <t>['piala', 'dunia', 'berlangsung', 'sempat', 'mampir', 'alpen', 'food', 'industry', 'kawasan', 'cikarang', 'dikasih', 'pak', 'agung', 'krim', 'gambarnya', 'lionel', 'messi', 'beliau', 'membawa', 'argentina', 'juara', 'kali', 'wow']</t>
  </si>
  <si>
    <t>@AfifXavi Argentina juara Georgina senang apa sedih yak</t>
  </si>
  <si>
    <t>argentina juara georgina senang apa sedih yak</t>
  </si>
  <si>
    <t>['argentina', 'juara', 'georgina', 'senang', 'apa', 'sedih', 'yak']</t>
  </si>
  <si>
    <t>2 Alasan Argentina Berhasil Menjadi Juara Piala Dunia 2022 -  https://t.co/kpmQt1cweG  https://t.co/KQ2j2sGRoq via @bolanet  https://t.co/aNzDFA3v8E . . . #m88mansion #m88mansionindo #m88indo #m88laliga</t>
  </si>
  <si>
    <t>alasan argentina berhasil menjadi juara piala dunia via</t>
  </si>
  <si>
    <t>['alasan', 'argentina', 'berhasil', 'menjadi', 'juara', 'piala', 'dunia', 'via']</t>
  </si>
  <si>
    <t>Pemerintah Argentina Tetapkan Libur Nasional Satu Hari untuk Parade Juara Piala Dunia -  https://t.co/kpmQt1cweG  https://t.co/CYkaCJDsJE via @bolanet  https://t.co/aNzDFA3v8E . . . #m88mansion #m88mansionindo #m88indo #m88laliga</t>
  </si>
  <si>
    <t>pemerintah argentina tetapkan libur nasional satu hari untuk parade juara piala dunia via</t>
  </si>
  <si>
    <t>['pemerintah', 'argentina', 'tetapkan', 'libur', 'nasional', 'satu', 'hari', 'parade', 'juara', 'piala', 'dunia', 'via']</t>
  </si>
  <si>
    <t>Percaya atau Tidak, Argentina Juara Piala Dunia 2022 Karena Jimat Gelang Merah yang Pernah Dipakai Cristian Gonzales! -  https://t.co/kpmQt1cweG  https://t.co/JDRLGj6Iwj via @bolanet  https://t.co/aNzDFA3v8E . . . #m88mansion #m88mansionindo #m88indo #m88laliga</t>
  </si>
  <si>
    <t>percaya atau tidak argentina juara piala dunia karena jimat gelang merah yang pernah dipakai cristian gonzales via</t>
  </si>
  <si>
    <t>['percaya', 'argentina', 'juara', 'piala', 'dunia', 'jimat', 'gelang', 'merah', 'pernah', 'dipakai', 'cristian', 'gonzales', 'via']</t>
  </si>
  <si>
    <t>Lah iya random aja tbtb keingetan rafathar mesti full senyum ini argentina juara dunia wkwkwküò≠</t>
  </si>
  <si>
    <t>lah iya random aja tbtb keingetan rafathar mesti full senyum ini argentina juara dunia wkwkwk</t>
  </si>
  <si>
    <t>['lah', 'iya', 'random', 'tbtb', 'keingetan', 'rafathar', 'mesti', 'full', 'senyum', 'argentina', 'juara', 'dunia', 'wkwkwk']</t>
  </si>
  <si>
    <t>@sbyfess bersyukur argentina juara world cupüôå</t>
  </si>
  <si>
    <t>bersyukur argentina juara world cup</t>
  </si>
  <si>
    <t>['bersyukur', 'argentina', 'juara', 'world', 'cup']</t>
  </si>
  <si>
    <t>@rofikabdul_6324 @ibnu_ard @idextratime @Inter Sebenernya ada kemiripin antara lautaro sama Giroud ini. 2018 prancis juara dunia sementera dia 0 GOL. Dsama sprti lautaro di pildun thn ini.  Yg bedain adlh giroud pemain andalan prancis(sejak pildun 2018),s</t>
  </si>
  <si>
    <t>ard sebenernya ada kemiripin antara lautaro sama giroud ini prancis juara dunia sementera dia gol dsama sprti lautaro pildun thn ini bedain adlh giroud pemain andalan prancis sejak pildun</t>
  </si>
  <si>
    <t>['ard', 'sebenernya', 'kemiripin', 'lautaro', 'sama', 'giroud', 'prancis', 'juara', 'dunia', 'sementera', 'gol', 'dsama', 'sprti', 'lautaro', 'piala dunia', 'thn', 'bedain', 'adalah', 'giroud', 'pemain', 'andalan', 'prancis', 'sejak', 'piala dunia']</t>
  </si>
  <si>
    <t>ARGENTINA JUARA PIALA DUNIA, MESSI PEMAIN TERBAIK SEPANJANG MASA  #golkar2024 #pialadunia2022 #sepakbola #messi #argentina #ARGENTINAVSFRANCE  https://t.co/ujyhGWwdUD</t>
  </si>
  <si>
    <t>Argentina tak akan menduduki puncak peringkat FIFA bulan ini meski juara Piala Dunia 2022. Brasil masih bertahan sejak Februari lalu.  https://t.co/gtKOy2riRk</t>
  </si>
  <si>
    <t>argentina tak akan menduduki puncak peringkat fifa bulan ini meski juara piala dunia brasil masih bertahan sejak februari lalu</t>
  </si>
  <si>
    <t>['argentina', 'tak', 'menduduki', 'puncak', 'peringkat', 'fifa', 'bulan', 'meski', 'juara', 'piala', 'dunia', 'brasil', 'bertahan', 'sejak', 'februari', 'lalu']</t>
  </si>
  <si>
    <t>Nyaris, Lionel Messi Selamat dari Kecelakaan di Parade Mini Argentina Juara Piala Dunia 2022  https://t.co/gUvG6b3UXg</t>
  </si>
  <si>
    <t>nyaris lionel messi selamat dari kecelakaan parade mini argentina juara piala dunia</t>
  </si>
  <si>
    <t>['nyaris', 'lionel', 'messi', 'selamat', 'kecelakaan', 'parade', 'mini', 'argentina', 'juara', 'piala', 'dunia']</t>
  </si>
  <si>
    <t>Argentina juara Piala Dunia 2022 usai mengalahkan Prancis. Sebuah momen krusial di laga itu bikin netizen berkelakar mengenai ukuran bokong Raphael Varane.  https://t.co/MJfTEJbiXl</t>
  </si>
  <si>
    <t>argentina juara piala dunia usai mengalahkan prancis sebuah momen krusial laga itu bikin netizen berkelakar mengenai ukuran bokong raphael varane</t>
  </si>
  <si>
    <t>['argentina', 'juara', 'piala', 'dunia', 'usai', 'mengalahkan', 'prancis', 'sebuah', 'momen', 'krusial', 'laga', 'netizen', 'berkelakar', 'mengenai', 'ukuran', 'bokong', 'raphael', 'varane']</t>
  </si>
  <si>
    <t>Messi sekarang sudah ga ada beban lagi. Selama ini messi menderita di argentina walaupun bahagia di barcelona. Soalnya tiap dia gagal bawa argentina juara , messi selalu dihujat sama warga argentina.  Skrg sudah juara piala Dunia   Makanya messi skr ga punya  beban lagi</t>
  </si>
  <si>
    <t>messi sekarang sudah ada beban lagi selama ini messi menderita argentina walaupun bahagia barcelona soalnya tiap dia gagal bawa argentina juara messi selalu dihujat sama warga argentina skrg sudah juara piala dunia makanya messi skr punya beban lagi</t>
  </si>
  <si>
    <t>['messi', 'sekarang', 'beban', 'selama', 'messi', 'menderita', 'argentina', 'walaupun', 'bahagia', 'barcelona', 'soalnya', 'tiap', 'gagal', 'bawa', 'argentina', 'juara', 'messi', 'selalu', 'dihujat', 'sama', 'warga', 'argentina', 'skrg', 'juara', 'piala', 'dunia', 'makanya', 'messi', 'skr', 'punya', 'beban']</t>
  </si>
  <si>
    <t>Apa yang dilakukan pesepakbola Lionel Messi usai Argentina juara Piala Dunia 2022? Dia tidur dengan trofinya!  https://t.co/DKGVqDwBGw</t>
  </si>
  <si>
    <t>@mrbintang2020 @AMarsha_K @idextratime lah itu satu timnas argentina terinspirasi sama messi sampe pengen juara dunia bareng messi goblok</t>
  </si>
  <si>
    <t>lah itu satu timnas argentina terinspirasi sama messi sampe pengen juara dunia bareng messi goblok</t>
  </si>
  <si>
    <t>['lah', 'satu', 'timnas', 'argentina', 'terinspirasi', 'sama', 'messi', 'sampai', 'pengen', 'juara', 'dunia', 'bareng', 'messi', 'goblok']</t>
  </si>
  <si>
    <t>@idextratime Yang juara argentina yg ngelonin piala cuma messi aja</t>
  </si>
  <si>
    <t>yang juara argentina ngelonin piala cuma messi aja</t>
  </si>
  <si>
    <t>['juara', 'argentina', 'ngelonin', 'piala', 'cuma', 'messi']</t>
  </si>
  <si>
    <t>@bintangbete Ahaha padahal pas Liga Inggris kemarin yang sampe minggu terakhir masih menentukan club yang juara, Liverpool dan City udah nyiapin baju perayaan juara tapi kan cuma 1 yang berhasil. Prancis juga udah nyiapin dong, cuma yaaa gak dipake kan ya</t>
  </si>
  <si>
    <t>ahaha padahal pas liga inggris kemarin yang sampe minggu terakhir masih menentukan club yang juara liverpool dan city udah nyiapin baju perayaan juara tapi kan cuma yang berhasil prancis juga udah nyiapin dong cuma yaaa gak dipake kan</t>
  </si>
  <si>
    <t>['ahaha', 'padahal', 'pas', 'liga', 'inggris', 'kemarin', 'sampai', 'minggu', 'terakhir', 'menentukan', 'club', 'juara', 'liverpool', 'city', 'udah', 'nyiapin', 'baju', 'perayaan', 'juara', 'kan', 'cuma', 'berhasil', 'prancis', 'udah', 'nyiapin', 'dong', 'cuma', 'yaaa', 'dipake', 'kan']</t>
  </si>
  <si>
    <t>@idextratime JUJUR MASIH GA NYANGKA, GARA GARA ANTON SUJARNO MAU JILAT PANTAT ETI. ARGENTINA JUARA PIALA DUNIA.</t>
  </si>
  <si>
    <t>jujur masih nyangka gara gara anton sujarno mau jilat pantat eti argentina juara piala dunia</t>
  </si>
  <si>
    <t>['jujur', 'nyangka', 'gara', 'gara', 'anton', 'sujarno', 'mau', 'jilat', 'pantat', 'eti', 'argentina', 'juara', 'piala', 'dunia']</t>
  </si>
  <si>
    <t>improve teros bosss</t>
  </si>
  <si>
    <t>['improve', 'teros', 'bosss']</t>
  </si>
  <si>
    <t>Astaga! Kepala Lionel Messi Nyaris Tersangkut Kabel Listrik saat Kirab Argentina Juara Piala Dunia 2022  https://t.co/FVBmEShkGB</t>
  </si>
  <si>
    <t>astaga kepala lionel messi nyaris tersangkut kabel listrik saat kirab argentina juara piala dunia</t>
  </si>
  <si>
    <t>['astaga', 'kepala', 'lionel', 'messi', 'nyaris', 'tersangkut', 'kabel', 'listrik', 'kirab', 'argentina', 'juara', 'piala', 'dunia']</t>
  </si>
  <si>
    <t>Tuh kaaan....argentina juara piala dunia yg disalahin pak @jokowi lagi....‚ò∫Ô∏è</t>
  </si>
  <si>
    <t>tuh kaaan argentina juara piala dunia disalahin pak lagi</t>
  </si>
  <si>
    <t>['kaaan', 'argentina', 'juara', 'piala', 'dunia', 'disalahin', 'pak']</t>
  </si>
  <si>
    <t>Argentina jadi juara Piala Dunia 2022 setelah kalahkan Prancis lewat adu penalti. Bawa pulang hingga ratusan miliar, ini daftar hadiah yang mereka dapatkan. #juaraboladunia   https://t.co/bKslwkq1X5</t>
  </si>
  <si>
    <t>argentina jadi juara piala dunia setelah kalahkan prancis lewat adu penalti bawa pulang hingga ratusan miliar ini daftar hadiah yang mereka dapatkan</t>
  </si>
  <si>
    <t>['argentina', 'jadi', 'juara', 'piala', 'dunia', 'kalahkan', 'prancis', 'lewat', 'adu', 'penalti', 'bawa', 'pulang', 'hingga', 'ratusan', 'miliar', 'daftar', 'hadiah', 'dapatkan']</t>
  </si>
  <si>
    <t>Kakak Ronaldo Usai Lihat Messi Juara bersama Argentina: Ini Piala Dunia Terburuk  https://t.co/KEjF5PaUpl</t>
  </si>
  <si>
    <t>kakak ronaldo usai lihat messi juara bersama argentina ini piala dunia terburuk</t>
  </si>
  <si>
    <t>['kakak', 'ronaldo', 'usai', 'lihat', 'messi', 'juara', 'bersama', 'argentina', 'piala', 'dunia', 'terburuk']</t>
  </si>
  <si>
    <t>@ferdiysambo @idextratime Bayangin tanpa messi kemarin Argentina ga bakal juara wkwkwk, banyak" makasih sama pemain Barcelona bosss</t>
  </si>
  <si>
    <t>bayangin tanpa messi kemarin argentina bakal juara wkwkwk banyak makasih sama pemain barcelona bosss</t>
  </si>
  <si>
    <t>['bayangin', 'messi', 'kemarin', 'argentina', 'bakal', 'juara', 'wkwkwk', 'banyak', 'makasih', 'sama', 'pemain', 'barcelona', 'bosss']</t>
  </si>
  <si>
    <t>@WagimanDeep_IX Yo kalo anis gk fi daftar gpp Kalo di daftar yo kelebihan opo jal..... wira wiri rono rene,  Sambutan di argentina meluap lho... juara</t>
  </si>
  <si>
    <t>kalo anis daftar gpp kalo daftar kelebihan opo jal wira wiri rono rene sambutan argentina meluap lho juara</t>
  </si>
  <si>
    <t>['anis', 'daftar', 'gapapa', 'daftar', 'kelebihan', 'opo', 'jal', 'wira', 'wiri', 'rono', 'rene', 'sambutan', 'argentina', 'meluap', 'lho', 'juara']</t>
  </si>
  <si>
    <t>@idextratime Percuma...Argentina ttp juara ü§ì</t>
  </si>
  <si>
    <t>percuma argentina ttp juara</t>
  </si>
  <si>
    <t>['percuma', 'argentina', 'ttp', 'juara']</t>
  </si>
  <si>
    <t>piala dunia Qatar telah berakhir dan telah melahirkan Argentina sebagai juara Piala Dunia 2022 yang telah di nantikan selama 36tahun sejak Piala Dunia 1986  https://t.co/9jxiZUCxna</t>
  </si>
  <si>
    <t>piala dunia qatar telah berakhir dan telah melahirkan argentina sebagai juara piala dunia yang telah nantikan selama tahun sejak piala dunia</t>
  </si>
  <si>
    <t>['piala', 'dunia', 'qatar', 'berakhir', 'melahirkan', 'argentina', 'juara', 'piala', 'dunia', 'nantikan', 'selama', 'tahun', 'sejak', 'piala', 'dunia']</t>
  </si>
  <si>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</si>
  <si>
    <t>selamat kepada timnas argentina yang berhasil menjadi juara pesta sepak bola dunia</t>
  </si>
  <si>
    <t>['selamat', 'timnas', 'argentina', 'berhasil', 'menjadi', 'juara', 'pesta', 'sepak', 'bola', 'dunia']</t>
  </si>
  <si>
    <t>Awalnya Pelatih Sementara, tapi Sukses Bawa Argentina Juara Copa America dan Piala Dunia! #EMTEKWORLDCUP2022 #BOLANETWORLDCUP2022 #PialaDunia #PialaDunia2022  https://t.co/scCzOM1HAq</t>
  </si>
  <si>
    <t>awalnya pelatih sementara tapi sukses bawa argentina juara copa america dan piala dunia</t>
  </si>
  <si>
    <t>['awalnya', 'pelatih', 'sukses', 'bawa', 'argentina', 'juara', 'copa', 'america', 'piala', 'dunia']</t>
  </si>
  <si>
    <t>Sejarah Trofi Piala Dunia Piala dunia sudah resmi berakhir pada hari Minggu, 18 Desember 2022 dengan Argentina sebagai juara di tahun ini.  #sepakbola #pialadunia2022 #olahraga #qatar #g24 #golkar2024  https://t.co/guiZO8p9E2</t>
  </si>
  <si>
    <t>sejarah trofi piala dunia piala dunia sudah resmi berakhir pada hari minggu desember dengan argentina sebagai juara tahun ini</t>
  </si>
  <si>
    <t>['sejarah', 'trofi', 'piala', 'dunia', 'piala', 'dunia', 'resmi', 'berakhir', 'hari', 'minggu', 'desember', 'argentina', 'juara', 'tahun']</t>
  </si>
  <si>
    <t>Argentina juara pildun, sementara indonesia:</t>
  </si>
  <si>
    <t>argentina juara pildun sementara indonesia</t>
  </si>
  <si>
    <t>['argentina', 'juara', 'piala dunia', 'indonesia']</t>
  </si>
  <si>
    <t>@SamFerkyFers10 @YonoBakrie Yaudah iya yg penting Argentina udh juara, ga kaya yg ngaku pengen juara pildun tpi jadi pemain cadangan terus ü§£</t>
  </si>
  <si>
    <t>yaudah iya penting argentina udh juara kaya ngaku pengen juara pildun tpi jadi pemain cadangan terus</t>
  </si>
  <si>
    <t>['yaudah', 'iya', 'penting', 'argentina', 'sudah', 'juara', 'kaya', 'ngaku', 'pengen', 'juara', 'piala dunia', 'tpi', 'jadi', 'pemain', 'cadangan', 'terus']</t>
  </si>
  <si>
    <t>@nessiejudge Argentina juara  #NessieLostInKorea</t>
  </si>
  <si>
    <t>Awalnya Pelatih Sementara, tapi Sukses Bawa Argentina Juara Copa America dan Piala Dunia! #EMTEKWORLDCUP2022 #BOLANETWORLDCUP2022 #PialaDunia #PialaDunia2022  https://t.co/vE7rcp3fHf</t>
  </si>
  <si>
    <t>@detiksport Karena Argentina yang juara üòÇüòÇüòÇ</t>
  </si>
  <si>
    <t>karena argentina yang juara</t>
  </si>
  <si>
    <t>ARGENTINA JUARA PIALA DUNIA, MESSI PEMAIN TERBAIK SEPANJANG MASA #golkar2024 #pialadunia2022 #sepakbola #messi #argentina #ARGENTINAVSFRANCE  https://t.co/AmUxEJHbRd</t>
  </si>
  <si>
    <t>Naah kan, kmrin lantang bgt dukung inggris abg ini @_BangFu giliran argentina juara, malah ikutan angkat piala ü§î</t>
  </si>
  <si>
    <t>naah kan kmrin lantang bgt dukung inggris abg ini giliran argentina juara malah ikutan angkat piala</t>
  </si>
  <si>
    <t>['naah', 'kan', 'kmrin', 'lantang', 'banget', 'dukung', 'inggris', 'abg', 'giliran', 'argentina', 'juara', 'malah', 'ikutan', 'angkat', 'piala']</t>
  </si>
  <si>
    <t>Xavi Hernandez mengapresiasi keberhasilan Lionel Messi mengantarkan Argentina juara Piala Dunia 2022. Menurutnya La Pulga pantas mendapat gelar tersebut. #juaraboladunia    https://t.co/3dpnypFMm4</t>
  </si>
  <si>
    <t>xavi hernandez mengapresiasi keberhasilan lionel messi mengantarkan argentina juara piala dunia menurutnya pulga pantas mendapat gelar tersebut</t>
  </si>
  <si>
    <t>['xavi', 'hernandez', 'mengapresiasi', 'keberhasilan', 'lionel', 'messi', 'mengantarkan', 'argentina', 'juara', 'piala', 'dunia', 'menurutnya', 'pulga', 'pantas', 'mendapat', 'gelar', 'tersebut']</t>
  </si>
  <si>
    <t>MESSI SAFARI KEMENANGAN  https://t.co/3hKB7GaGhR  Lionel Messi dan skuad Argentina sudah pulang, dan langsung menggelar arak trofi juara Piala Dunia 2022. Ada momen La Pulga nyaris tersangkut kabel listrik.</t>
  </si>
  <si>
    <t>messi safari kemenangan lionel messi dan skuad argentina sudah pulang dan langsung menggelar arak trofi juara piala dunia ada momen pulga nyaris tersangkut kabel listrik</t>
  </si>
  <si>
    <t>['messi', 'safari', 'kemenangan', 'lionel', 'messi', 'skuad', 'argentina', 'pulang', 'langsung', 'menggelar', 'arak', 'trofi', 'juara', 'piala', 'dunia', 'momen', 'pulga', 'nyaris', 'tersangkut', 'kabel', 'listrik']</t>
  </si>
  <si>
    <t>MESSI SAFARI KEMENANGAN   https://t.co/3hKB7GaGhR  Lionel Messi dan skuad Argentina sudah pulang, dan langsung menggelar arak trofi juara Piala Dunia 2022. Ada momen La Pulga nyaris tersangkut kabel listrik.</t>
  </si>
  <si>
    <t>Ada gosip beredar kalau messi meminta ke PSG agar argentina bisa menjuarai WorldCup 2022 di Qatar waktu negoisasi messi dari barca ke PSG, katanya ada tuh di dalam kontrak syarat argentina juara di Qatar agar messi mau pindah ke PSG, secara PSG kan milik Qatar üòÅ</t>
  </si>
  <si>
    <t>ada gosip beredar kalau messi meminta psg agar argentina bisa menjuarai worldcup qatar waktu negoisasi messi dari barca psg katanya ada tuh dalam kontrak syarat argentina juara qatar agar messi mau pindah psg secara psg kan milik qatar</t>
  </si>
  <si>
    <t>['gosip', 'beredar', 'kalau', 'messi', 'meminta', 'psg', 'argentina', 'menjuarai', 'worldcup', 'qatar', 'waktu', 'negoisasi', 'messi', 'barca', 'psg', 'katanya', 'kontrak', 'syarat', 'argentina', 'juara', 'qatar', 'messi', 'mau', 'pindah', 'psg', 'psg', 'kan', 'milik', 'qatar']</t>
  </si>
  <si>
    <t>Kisah Mario Gotze Pernah Bikin Lionel Messi Patah Hati, Kini Semringah Argentina Juara Piala Dunia 2022.</t>
  </si>
  <si>
    <t>kisah mario gotze pernah bikin lionel messi patah hati kini semringah argentina juara piala dunia</t>
  </si>
  <si>
    <t>['kisah', 'mario', 'gotze', 'pernah', 'lionel', 'messi', 'patah', 'hati', 'kini', 'semringah', 'argentina', 'juara', 'piala', 'dunia']</t>
  </si>
  <si>
    <t>Argentina juara Piala Dunia 2022 usai mengalahkan Prancis. Sebuah momen krusial di laga itu bikin netizen berkelakar mengenai ukuran bokong Raphael Varane.  https://t.co/XoP5yZqjfo</t>
  </si>
  <si>
    <t>@ManaluFernando @memefess Banyakan di monas menurut gua si, gmn indo juara pildun kek argentina ya</t>
  </si>
  <si>
    <t>banyakan monas menurut gua gmn indo juara pildun kek argentina</t>
  </si>
  <si>
    <t>['banyakan', 'monas', 'gua', 'gmn', 'indo', 'juara', 'piala dunia', 'kek', 'argentina']</t>
  </si>
  <si>
    <t>Gw liat Greysia Polii/Apriyani Rahayu juara olimpik kemaren aja  ikut nangis, apalagi dia yg bawa Argentina juara WC setelah 36tahun.</t>
  </si>
  <si>
    <t>liat greysia polii apriyani rahayu juara olimpik kemaren aja ikut nangis apalagi dia bawa argentina juara setelah tahun</t>
  </si>
  <si>
    <t>['lihat', 'greysia', 'polii', 'apriyani', 'rahayu', 'juara', 'olimpik', 'kemarin', 'ikut', 'nangis', 'bawa', 'argentina', 'juara', 'tahun']</t>
  </si>
  <si>
    <t>itu kan Argentina jadi juara, hadiahnya buat para pemain apa buat Sekolah?</t>
  </si>
  <si>
    <t>itu kan argentina jadi juara hadiahnya buat para pemain apa buat sekolah</t>
  </si>
  <si>
    <t>['kan', 'argentina', 'jadi', 'juara', 'hadiahnya', 'buat', 'pemain', 'apa', 'buat', 'sekolah']</t>
  </si>
  <si>
    <t>"Skuad juara dunia akan berangkat pada Selasa siang ke Obelisk untuk merayakan pergelaran juara dunia bersama para penggemarnya," demikian pernyataan resmi akun twitter Federasi Sepakbola @Argentina.</t>
  </si>
  <si>
    <t>skuad juara dunia akan berangkat pada selasa siang obelisk untuk merayakan pergelaran juara dunia bersama para penggemarnya demikian pernyataan resmi akun twitter federasi sepakbola</t>
  </si>
  <si>
    <t>['skuad', 'juara', 'dunia', 'berangkat', 'selasa', 'siang', 'obelisk', 'merayakan', 'pergelaran', 'juara', 'dunia', 'bersama', 'penggemarnya', 'pernyataan', 'resmi', 'akun', 'twitter', 'federasi', 'sepakbola']</t>
  </si>
  <si>
    <t>Pemerintah Argentina üá¶üá∑ menetapkan hari Selasa tanggal 20 Desember sebagai Hari Libur Nasional, untuk merayakan kesuksesan timnas #Argentina setelah menjadi Juara #PialaDunia2022 Qatar. ü•≥üçæ  https://t.co/2vO1qcH3sj</t>
  </si>
  <si>
    <t>pemerintah argentina menetapkan hari selasa tanggal desember sebagai hari libur nasional untuk merayakan kesuksesan timnas setelah menjadi juara qatar</t>
  </si>
  <si>
    <t>['pemerintah', 'argentina', 'menetapkan', 'hari', 'selasa', 'tanggal', 'desember', 'hari', 'libur', 'nasional', 'merayakan', 'kesuksesan', 'timnas', 'menjadi', 'juara', 'qatar']</t>
  </si>
  <si>
    <t>Selamat buat Messi dan Argentina jadi juara dunia! ‚öΩüèÜ  Eits tapi kalo Messi sama Mbappe bisa ‚Äòdiadu‚Äô lagi, yang pas emang adu mobil. Dari Ferrarri sampe VW, mewahnya bukan main!  #UnderstandsYou #PerformaLebihBaik #PercayaFastron  https://t.co/ZE28UvijKy</t>
  </si>
  <si>
    <t>selamat buat messi dan argentina jadi juara dunia eits tapi kalo messi sama mbappe bisa diadu lagi yang pas emang adu mobil dari ferrarri sampe mewahnya bukan main</t>
  </si>
  <si>
    <t>['selamat', 'buat', 'messi', 'argentina', 'jadi', 'juara', 'dunia', 'eits', 'messi', 'sama', 'mbappe', 'diadu', 'pas', 'emang', 'adu', 'mobil', 'ferrarri', 'sampai', 'mewahnya', 'bukan', 'main']</t>
  </si>
  <si>
    <t>DI MARIA PAS FINAL EMANG GAADA OBAT MAINNYA GG BANGET ANJIM,2 GOL PERTAMA ARGENTINA KARENA KONTRIBUSI DIA SEKARANG DIA BISA MERASAKAN MENJADI JUARA DUNIA</t>
  </si>
  <si>
    <t>maria pas final emang gaada obat mainnya banget anjim gol pertama argentina karena kontribusi dia sekarang dia bisa merasakan menjadi juara dunia</t>
  </si>
  <si>
    <t>['maria', 'pas', 'final', 'emang', 'gaada', 'obat', 'mainnya', 'banget', 'anjim', 'gol', 'pertama', 'argentina', 'kontribusi', 'sekarang', 'merasakan', 'menjadi', 'juara', 'dunia']</t>
  </si>
  <si>
    <t>Baru senang Argentina juara, 2 hari baru. Draw Malaysia open sudah membuat ku tertampar buat tidak boleh bahagia sejenak üôÉ</t>
  </si>
  <si>
    <t>baru senang argentina juara hari baru draw malaysia open sudah membuat tertampar buat tidak boleh bahagia sejenak</t>
  </si>
  <si>
    <t>['baru', 'senang', 'argentina', 'juara', 'hari', 'baru', 'draw', 'malaysia', 'open', 'membuat', 'tertampar', 'buat', 'bahagia', 'sejenak']</t>
  </si>
  <si>
    <t>@AR_AnindyaJKT48 argentina yang juara</t>
  </si>
  <si>
    <t>anindyajkt argentina yang juara</t>
  </si>
  <si>
    <t>['anindyajkt', 'argentina', 'juara']</t>
  </si>
  <si>
    <t>Argentina Kembali Raih Juara Dunia Pasca Mengalahkan Prancis 4-2  https://t.co/8JYpzZuJkl</t>
  </si>
  <si>
    <t>argentina kembali raih juara dunia pasca mengalahkan prancis</t>
  </si>
  <si>
    <t>['argentina', 'raih', 'juara', 'dunia', 'pasca', 'mengalahkan', 'prancis']</t>
  </si>
  <si>
    <t>Arab Saudi juara dunia sejatinya yang mampu mengalahkan argentina  https://t.co/62cA0suA80</t>
  </si>
  <si>
    <t>arab saudi juara dunia sejatinya yang mampu mengalahkan argentina</t>
  </si>
  <si>
    <t>['arab', 'saudi', 'juara', 'dunia', 'sejatinya', 'mampu', 'mengalahkan', 'argentina']</t>
  </si>
  <si>
    <t>@PorosHalangID Iya ngga rela pasti Argentina juara</t>
  </si>
  <si>
    <t>iya ngga rela pasti argentina juara</t>
  </si>
  <si>
    <t>['iya', 'ngga', 'rela', 'argentina', 'juara']</t>
  </si>
  <si>
    <t>Sang juara diarak keliling Buenos Aires usai tiba di Argentina.  #EmtekWorldCup2022 #BolacomWorldCup2022 #PialaDunia2022 #PialaDunia   https://t.co/s1SMciJlrh</t>
  </si>
  <si>
    <t>sang juara diarak keliling buenos aires usai tiba argentina</t>
  </si>
  <si>
    <t>['sang', 'juara', 'diarak', 'keliling', 'buenos', 'aires', 'usai', 'tiba', 'argentina']</t>
  </si>
  <si>
    <t>@dd9966 Hebatnya Indonesia, Argentina aja yg juara dunia blm pernah ngalahin Indonesia,ga percaya ,coba cari üòÅüòÇü§≠</t>
  </si>
  <si>
    <t>hebatnya indonesia argentina aja juara dunia blm pernah ngalahin indonesia percaya coba cari</t>
  </si>
  <si>
    <t>['hebatnya', 'indonesia', 'argentina', 'juara', 'dunia', 'blm', 'pernah', 'ngalahin', 'indonesia', 'percaya', 'coba', 'cari']</t>
  </si>
  <si>
    <t>Argentina Juara Piala Dunia 2022, Satu Negara Rayakan Libur Nasional  https://t.co/gw30nSZO7W</t>
  </si>
  <si>
    <t>argentina juara piala dunia satu negara rayakan libur nasional</t>
  </si>
  <si>
    <t>['argentina', 'juara', 'piala', 'dunia', 'satu', 'negara', 'rayakan', 'libur', 'nasional']</t>
  </si>
  <si>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</si>
  <si>
    <t>hai pecinta bola khususnya yang telah juara world cup kini hadir jersey argentina world cup import tersedia berbagai ukuran dan tentunya menjadi pilihan yang pas buat kamu merayakan kemenangan argentina buruan cek</t>
  </si>
  <si>
    <t>['hai', 'pecinta', 'bola', 'khususnya', 'juara', 'world', 'cup', 'kini', 'hadir', 'jersey', 'argentina', 'world', 'cup', 'import', 'tersedia', 'berbagai', 'ukuran', 'tentunya', 'menjadi', 'pilihan', 'pas', 'buat', 'kamu', 'merayakan', 'kemenangan', 'argentina', 'buruan', 'cek']</t>
  </si>
  <si>
    <t>selain berhasil meraih juara piala dunia bersama argentina, @leomessi juga akhirnya memecahkan rekor likes instagram.  Messi sah menjadi pemilik konten dengan jumlah likes terbanyak di dunia, memecahkan rekor yang sebelumnya dimiliki @world_record_egg.  https://t.co/18W45yQnYu</t>
  </si>
  <si>
    <t>selain berhasil meraih juara piala dunia bersama argentina juga akhirnya memecahkan rekor likes instagram messi sah menjadi pemilik konten dengan jumlah likes terbanyak dunia memecahkan rekor yang sebelumnya dimiliki record egg</t>
  </si>
  <si>
    <t>['berhasil', 'meraih', 'juara', 'piala', 'dunia', 'bersama', 'argentina', 'akhirnya', 'memecahkan', 'rekor', 'likes', 'instagram', 'messi', 'sah', 'menjadi', 'pemilik', 'konten', 'jumlah', 'likes', 'terbanyak', 'dunia', 'memecahkan', 'rekor', 'sebelumnya', 'dimiliki', 'record', 'egg']</t>
  </si>
  <si>
    <t>Aku kasihan sama aguero. Dia sebenarnya masih bagus Cuma krn sakit makanya harus pensiun Ya mau gimana pun kesehatan di atas segalanya.   Jadi pas aguero turun merayakan argentina juara. Ya senang banget lah</t>
  </si>
  <si>
    <t>aku kasihan sama aguero dia sebenarnya masih bagus cuma krn sakit makanya harus pensiun mau gimana pun kesehatan atas segalanya jadi pas aguero turun merayakan argentina juara senang banget lah</t>
  </si>
  <si>
    <t>['aku', 'kasihan', 'sama', 'aguero', 'sebenarnya', 'bagus', 'cuma', 'sakit', 'makanya', 'pensiun', 'mau', 'gimana', 'kesehatan', 'atas', 'segalanya', 'jadi', 'pas', 'aguero', 'turun', 'merayakan', 'argentina', 'juara', 'senang', 'banget', 'lah']</t>
  </si>
  <si>
    <t>Kylian Mbappe sudah berupaya keras, tapi Lionel Messi yang menentukan jalan Argentina jadi juara Piala Dunia 2022. Keduanya pun saling berpelukan usai laga! #juaraboladunia    https://t.co/wF4OfOFKPS</t>
  </si>
  <si>
    <t>kylian mbappe sudah berupaya keras tapi lionel messi yang menentukan jalan argentina jadi juara piala dunia keduanya pun saling berpelukan usai laga</t>
  </si>
  <si>
    <t>['kylian', 'mbappe', 'berupaya', 'keras', 'lionel', 'messi', 'menentukan', 'jalan', 'argentina', 'jadi', 'juara', 'piala', 'dunia', 'keduanya', 'saling', 'berpelukan', 'usai', 'laga']</t>
  </si>
  <si>
    <t>Argentina diperkirakan akan naik di peringkat FIFA usai juara Piala Dunia 2022. Tapi diperkirakan sukses itu belum cukup untuk menggeser Brasil di puncak. Ini alasannya. #juaraboladunia    https://t.co/2wrJgj66A3</t>
  </si>
  <si>
    <t>argentina diperkirakan akan naik peringkat fifa usai juara piala dunia tapi diperkirakan sukses itu belum cukup untuk menggeser brasil puncak ini alasannya</t>
  </si>
  <si>
    <t>['argentina', 'diperkirakan', 'naik', 'peringkat', 'fifa', 'usai', 'juara', 'piala', 'dunia', 'diperkirakan', 'sukses', 'cukup', 'menggeser', 'brasil', 'puncak', 'alasannya']</t>
  </si>
  <si>
    <t>Sekarang senang-ku bukan prihal tentang mu lagi, Tetapi senangku ketika argentina bisa bawa pulang juara piala dunia tahun ini</t>
  </si>
  <si>
    <t>sekarang senang bukan prihal tentang lagi tetapi senangku ketika argentina bisa bawa pulang juara piala dunia tahun ini</t>
  </si>
  <si>
    <t>['sekarang', 'senang', 'bukan', 'prihal', 'senangku', 'argentina', 'bawa', 'pulang', 'juara', 'piala', 'dunia', 'tahun']</t>
  </si>
  <si>
    <t>@gakusahdicariin auto naik gaji</t>
  </si>
  <si>
    <t>auto naik gaji</t>
  </si>
  <si>
    <t>['auto', 'naik', 'gaji']</t>
  </si>
  <si>
    <t>Pemerintah Argentina Tetapkan Libur Nasional untuk Pesta Perayaan Juara Piala Duia 2022  https://t.co/NcSbCCt0Pq</t>
  </si>
  <si>
    <t>pemerintah argentina tetapkan libur nasional untuk pesta perayaan juara piala duia</t>
  </si>
  <si>
    <t>['pemerintah', 'argentina', 'tetapkan', 'libur', 'nasional', 'pesta', 'perayaan', 'juara', 'piala', 'duia']</t>
  </si>
  <si>
    <t>Jersey Argentina Laku Keras Usai Juara Piala Dunia 2022, Terjual Hingga Rp 78 Juta di Toko Online  https://t.co/BOvg55loi1</t>
  </si>
  <si>
    <t>@_hniidaa Argentina juara kambing??</t>
  </si>
  <si>
    <t>argentina juara kambing</t>
  </si>
  <si>
    <t>['argentina', 'juara', 'kambing']</t>
  </si>
  <si>
    <t>Klo Indonesia juara aff, Argentina pasti lewat..</t>
  </si>
  <si>
    <t>klo indonesia juara aff argentina pasti lewat</t>
  </si>
  <si>
    <t>['indonesia', 'juara', 'aff', 'argentina', 'lewat']</t>
  </si>
  <si>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</si>
  <si>
    <t>unggahan messi merayakan juara akun instgram nya kini sudah mendapat juta likes unggahan tersebut berisi kolase foto yang berjumlah foto yang salah satunya selebrasi seperti saat maradona membawa argentina juara piala dunia</t>
  </si>
  <si>
    <t>['unggahan', 'messi', 'merayakan', 'juara', 'akun', 'instgram', 'kini', 'mendapat', 'juta', 'likes', 'unggahan', 'tersebut', 'berisi', 'kolase', 'foto', 'berjumlah', 'foto', 'salah', 'satunya', 'selebrasi', 'maradona', 'membawa', 'argentina', 'juara', 'piala', 'dunia']</t>
  </si>
  <si>
    <t>Andai Argentina ga juara World Cup pun, dia masih paling yang terbaik diantara yang terbaik  üëè  Sangat bersyukur bisa hidup di era hebatnya.</t>
  </si>
  <si>
    <t>andai argentina juara world cup pun dia masih paling yang terbaik diantara yang terbaik sangat bersyukur bisa hidup era hebatnya</t>
  </si>
  <si>
    <t>['andai', 'argentina', 'juara', 'world', 'cup', 'paling', 'terbaik', 'diantara', 'terbaik', 'sangat', 'bersyukur', 'hidup', 'era', 'hebatnya']</t>
  </si>
  <si>
    <t>Nobar Juara Piala Dunia FIFA World Cup Qatar 2022, Argentina vs Prancis  https://t.co/aUktUeRZjX</t>
  </si>
  <si>
    <t>nobar juara piala dunia fifa world cup qatar argentina prancis</t>
  </si>
  <si>
    <t>['nonton bareng', 'juara', 'piala', 'dunia', 'fifa', 'world', 'cup', 'qatar', 'argentina', 'prancis']</t>
  </si>
  <si>
    <t>@WforWatash1t @idextratime Lah inikan buat manasin kaum2 dodolovers karena portugal sama argentina 1 turnamen. Dodo juara euro sama unl ya ga kerasalah damagenya buat fans messi, orang argentina ga ikut disana</t>
  </si>
  <si>
    <t>lah inikan buat manasin kaum dodolovers karena portugal sama argentina turnamen dodo juara euro sama unl kerasalah damagenya buat fans messi orang argentina ikut disana</t>
  </si>
  <si>
    <t>['lah', 'inikan', 'buat', 'manasin', 'kaum', 'dodolovers', 'portugal', 'sama', 'argentina', 'turnamen', 'dodo', 'juara', 'euro', 'sama', 'unl', 'kerasalah', 'damagenya', 'buat', 'fans', 'messi', 'orang', 'argentina', 'ikut', 'disana']</t>
  </si>
  <si>
    <t>@SiaranBolaLive Mau di pakai buat keset, lap, apalah, ga bakalan ngerubah kenyataan kalau yg juara dunia 2022 itu argentina ü§£</t>
  </si>
  <si>
    <t>mau pakai buat keset lap apalah bakalan ngerubah kenyataan kalau juara dunia itu argentina</t>
  </si>
  <si>
    <t>['mau', 'pakai', 'buat', 'keset', 'lap', 'apalah', 'bakalan', 'ngerubah', 'kenyataan', 'kalau', 'juara', 'dunia', 'argentina']</t>
  </si>
  <si>
    <t>punya tim org brazil, knp dia libur, kan yg juara argentina wkwk</t>
  </si>
  <si>
    <t>punya tim org brazil knp dia libur kan juara argentina wkwk</t>
  </si>
  <si>
    <t>['punya', 'tim', 'org', 'brazil', 'kenapa', 'libur', 'kan', 'juara', 'argentina']</t>
  </si>
  <si>
    <t>@kisbet_ @meltdownbytori Bismillah semoga beruntung #arg Juara Piala Dunia 3X 1. Piala Dunia 1978 Argentina. Top Scorer Mario Kempes - 6 gol 2. Piala Dunia 1986 Mexico, Top Scorer, Diego Armando Maradona - 5 gol 3. Piala Dunia 2022 Qatar, Top Scorer Lione</t>
  </si>
  <si>
    <t>bismillah semoga beruntung juara piala dunia piala dunia argentina top scorer mario kempes gol piala dunia mexico top scorer diego armando maradona gol piala dunia qatar top scorer lione</t>
  </si>
  <si>
    <t>['bismillah', 'semoga', 'beruntung', 'juara', 'piala', 'dunia', 'piala', 'dunia', 'argentina', 'top', 'scorer', 'mario', 'kempes', 'gol', 'piala', 'dunia', 'mexico', 'top', 'scorer', 'diego', 'armando', 'maradona', 'gol', 'piala', 'dunia', 'qatar', 'top', 'scorer', 'lione']</t>
  </si>
  <si>
    <t>@idextratime bgmn membaningkan ronaldo dgn messi. sementara negara berbeda jauh kualitasnya. argentina sdh sering juara piala dunia. lah portugal, itupun juara piala eropa krn ada cr7</t>
  </si>
  <si>
    <t>bgmn membaningkan ronaldo dgn messi sementara negara berbeda jauh kualitasnya argentina sdh sering juara piala dunia lah portugal itupun juara piala eropa krn ada</t>
  </si>
  <si>
    <t>['bgmn', 'membaningkan', 'ronaldo', 'messi', 'negara', 'berbeda', 'jauh', 'kualitasnya', 'argentina', 'sering', 'juara', 'piala', 'dunia', 'lah', 'portugal', 'itupun', 'juara', 'piala', 'eropa']</t>
  </si>
  <si>
    <t>Sejarah Trofi Piala Dunia Piala dunia sudah resmi berakhir pada hari Minggu, 18 Desember 2022 dengan Argentina sebagai juara di tahun ini.  #sepakbola #pialadunia2022 #olahraga #qatar #g24 #golkar2024  https://t.co/ZiQEfhu26w</t>
  </si>
  <si>
    <t>Juara Piala Dunia 2022, Argentina Belum Teratas di FIFA #messi  https://t.co/mgBlLgHvIe</t>
  </si>
  <si>
    <t>juara piala dunia argentina belum teratas fifa</t>
  </si>
  <si>
    <t>['juara', 'piala', 'dunia', 'argentina', 'teratas', 'fifa']</t>
  </si>
  <si>
    <t>Messi Nyaris Tersangkut Kabel saat Pawai Juara Argentina  https://t.co/SvaTHrSmaO</t>
  </si>
  <si>
    <t>messi nyaris tersangkut kabel saat pawai juara argentina</t>
  </si>
  <si>
    <t>['messi', 'nyaris', 'tersangkut', 'kabel', 'pawai', 'juara', 'argentina']</t>
  </si>
  <si>
    <t>Kylian Mbappe sudah berupaya keras, tapi Lionel Messi yang menentukan jalan Argentina jadi juara Piala Dunia 2022. Keduanya pun saling berpelukan usai laga! #juaraboladunia    https://t.co/9wUYxLBzvZ</t>
  </si>
  <si>
    <t>Penantian membuahkan hasil üí™  Walau empat edisi Piala Dunia gagal, Lionel Messi tetap yakin Tuhan akan memberikan jalan üôå Ia pun akhirnya pimpin Argentina juara dunia pada usia 35 tahun üëë  #beINFWC2022  https://t.co/szc2azgsAv</t>
  </si>
  <si>
    <t>penantian membuahkan hasil walau empat edisi piala dunia gagal lionel messi tetap yakin tuhan akan memberikan jalan pun akhirnya pimpin argentina juara dunia pada usia tahun</t>
  </si>
  <si>
    <t>['penantian', 'membuahkan', 'hasil', 'empat', 'edisi', 'piala', 'dunia', 'gagal', 'lionel', 'messi', 'tetap', 'yakin', 'tuhan', 'memberikan', 'jalan', 'akhirnya', 'pimpin', 'argentina', 'juara', 'dunia', 'usia', 'tahun']</t>
  </si>
  <si>
    <t>Feeling sih Indonesia bisa juara AFF edisi kali ini, semoga bisa tercapai kaya pas jagoin Argentina üòÅ</t>
  </si>
  <si>
    <t>feeling sih indonesia bisa juara aff edisi kali ini semoga bisa tercapai kaya pas jagoin argentina</t>
  </si>
  <si>
    <t>['feeling', 'indonesia', 'juara', 'aff', 'edisi', 'kali', 'semoga', 'tercapai', 'kaya', 'pas', 'jagoin', 'argentina']</t>
  </si>
  <si>
    <t>@Axvielz @YonoBakrie Baca lagi yg bener, mayoritas fans Argentina itu baru pertama kali liat Argentina juara WC‚Ä¶ Terakhir Argentina juara itu 36 thn yg lalu 1986, emang lo udh liat??  Bahkan fans Argentina yg usia 40 tahun aja mungkin belom pernah liat.</t>
  </si>
  <si>
    <t>baca lagi bener mayoritas fans argentina itu baru pertama kali liat argentina juara terakhir argentina juara itu thn lalu emang udh liat bahkan fans argentina usia tahun aja mungkin belom pernah liat</t>
  </si>
  <si>
    <t>['baca', 'benar', 'mayoritas', 'fans', 'argentina', 'baru', 'pertama', 'kali', 'lihat', 'argentina', 'juara', 'terakhir', 'argentina', 'juara', 'thn', 'lalu', 'emang', 'sudah', 'lihat', 'bahkan', 'fans', 'argentina', 'usia', 'tahun', 'mungkin', 'belom', 'pernah', 'lihat']</t>
  </si>
  <si>
    <t>Keluaran China 20 Desember 2022  Result: 9895 Shio: Naga #PancingHoki #mobilwuling - Prediksi Japan Selasa, 20 Desember 2022 AI: 9 3 2 5 2D: 96 11 39 57 4D: 6794 8787 3852 Best: 77 17 91 Shio: Anjing BBFS: 952783 #Pancingtoto #argentinajuara #akhirtahun  https://t.co/SfTMffIW2U</t>
  </si>
  <si>
    <t>keluaran china desember result shio naga prediksi japan selasa desember best shio anjing bbfs</t>
  </si>
  <si>
    <t>['keluaran', 'china', 'desember', 'result', 'shio', 'naga', 'prediksi', 'japan', 'selasa', 'desember', 'best', 'shio', 'anjing', 'bbfs']</t>
  </si>
  <si>
    <t>Berita Bola Terkini Nova88 Indonesia Klik  https://t.co/VsbRjz8w7o : Argentina Juara Piala Dunia, Brighton Harap Bisa Pertahankan Mac Allister Selama Mungkin  https://t.co/OmftkhdLfi  https://t.co/9TmYTL63nG</t>
  </si>
  <si>
    <t>berita bola terkini nova indonesia klik argentina juara piala dunia brighton harap bisa pertahankan mac allister selama mungkin</t>
  </si>
  <si>
    <t>['berita', 'bola', 'terkini', 'nova', 'indonesia', 'klik', 'argentina', 'juara', 'piala', 'dunia', 'brighton', 'harap', 'pertahankan', 'mac', 'allister', 'selama', 'mungkin']</t>
  </si>
  <si>
    <t>Berita Bola Terkini Nova88 Indonesia Klik  https://t.co/VsbRjz8w7o : Scaloni Usai Argentina Juara Piala Dunia: Saya Harap Maradona Menikmatinya dari Atas  https://t.co/ZbwlPV2zEY  https://t.co/6GLC6Ql9ld</t>
  </si>
  <si>
    <t>berita bola terkini nova indonesia klik scaloni usai argentina juara piala dunia saya harap maradona menikmatinya dari atas</t>
  </si>
  <si>
    <t>['berita', 'bola', 'terkini', 'nova', 'indonesia', 'klik', 'scaloni', 'usai', 'argentina', 'juara', 'piala', 'dunia', 'harap', 'maradona', 'menikmatinya', 'atas']</t>
  </si>
  <si>
    <t>perayaan Argentina juara dunia</t>
  </si>
  <si>
    <t>perayaan argentina juara dunia</t>
  </si>
  <si>
    <t>['perayaan', 'argentina', 'juara', 'dunia']</t>
  </si>
  <si>
    <t>@penerbitfandom @Indostransfer Juara biar bisa libur nasional kayak argentina</t>
  </si>
  <si>
    <t>juara biar bisa libur nasional kayak argentina</t>
  </si>
  <si>
    <t>['juara', 'libur', 'nasional', 'seperti', 'argentina']</t>
  </si>
  <si>
    <t>@GOAL_ID yang bilang rakyat argentina gapengen argentina juara piala dunia siapa ya</t>
  </si>
  <si>
    <t>yang bilang rakyat argentina gapengen argentina juara piala dunia siapa</t>
  </si>
  <si>
    <t>['rakyat', 'argentina', 'gapengen', 'argentina', 'juara', 'piala', 'dunia', 'siapa']</t>
  </si>
  <si>
    <t>@PantauManCity Orang-orang gak ngerti kerja tim, taunya cuma messi yang bawa argentina juara.</t>
  </si>
  <si>
    <t>orang orang gak ngerti kerja tim taunya cuma messi yang bawa argentina juara</t>
  </si>
  <si>
    <t>['orang', 'orang', 'ngerti', 'kerja', 'tim', 'taunya', 'cuma', 'messi', 'bawa', 'argentina', 'juara']</t>
  </si>
  <si>
    <t>design Argentina juara segera, jangan berkedip nanti kelewat xixixi</t>
  </si>
  <si>
    <t>design argentina juara segera jangan berkedip nanti kelewat xixixi</t>
  </si>
  <si>
    <t>['design', 'argentina', 'juara', 'segera', 'jangan', 'berkedip', 'kelewat', 'xixixi']</t>
  </si>
  <si>
    <t>@saya_adalah2468 @LiaoFelix @TumbalProyekk @zhannxfx1005 @The_RedsIndo lah lu trus ngapain ngurusin banget bang? orang itu negara dia, dia yg ngerayain dan dia jg mantan pemain timnas argentina ya wajar lah dia ikut ngerayain seantusias itu apalagi argent</t>
  </si>
  <si>
    <t>adalah redsindo lah trus ngapain ngurusin banget bang orang itu negara dia dia ngerayain dan dia mantan pemain timnas argentina wajar lah dia ikut ngerayain seantusias itu apalagi argent</t>
  </si>
  <si>
    <t>['redsindo', 'lah', 'trus', 'ngapain', 'ngurusin', 'banget', 'bang', 'orang', 'negara', 'ngerayain', 'mantan', 'pemain', 'timnas', 'argentina', 'wajar', 'lah', 'ikut', 'ngerayain', 'seantusias', 'argent']</t>
  </si>
  <si>
    <t>Lionel Messi nyaris tersangkut di kabel yang melintang saat perayaan timnas Argentina juara Piala Dunia 2022. #77577sports #messi #dimaria #argentina #martinez #pildun #dybala #leandro #rodrigo  https://t.co/BmpZdv0XA0</t>
  </si>
  <si>
    <t>lionel messi nyaris tersangkut kabel yang melintang saat perayaan timnas argentina juara piala dunia</t>
  </si>
  <si>
    <t>['lionel', 'messi', 'nyaris', 'tersangkut', 'kabel', 'melintang', 'perayaan', 'timnas', 'argentina', 'juara', 'piala', 'dunia']</t>
  </si>
  <si>
    <t>@idextratime 2 benar prediksiku Juara : argentina  Pemain terbaik : messi Top skor hampir benar beda 1 sama kura2 ninja brazil dan belgia nda bisa diharap. Brazil ada2 mo sampai 8 besar. Belgia fase grup nda lolos ü§£</t>
  </si>
  <si>
    <t>benar prediksiku juara argentina pemain terbaik messi top skor hampir benar beda sama kura ninja brazil dan belgia nda bisa diharap brazil ada sampai besar belgia fase grup nda lolos</t>
  </si>
  <si>
    <t>['benar', 'prediksiku', 'juara', 'argentina', 'pemain', 'terbaik', 'messi', 'top', 'skor', 'hampir', 'benar', 'beda', 'sama', 'kura', 'ninja', 'brazil', 'belgia', 'nda', 'diharap', 'brazil', 'besar', 'belgia', 'fase', 'grup', 'nda', 'lolos']</t>
  </si>
  <si>
    <t>@KaKa01175473 @FaktaSepakbola Klo bisa prediksi Argentina juara mending buat judi GBLK</t>
  </si>
  <si>
    <t>klo bisa prediksi argentina juara mending buat judi gblk</t>
  </si>
  <si>
    <t>['prediksi', 'argentina', 'juara', 'mending', 'buat', 'judi', 'gblk']</t>
  </si>
  <si>
    <t>@vickyh23_ @idextratime Itu mah gampang tinggal siapin aja 2 bus, satu argentina satunya prancis, siapa yg juara tinggal pake. Masing masing tim juga udah siapin kostum juara, krn runner up ya prancis gak jadi pake jersey juara.</t>
  </si>
  <si>
    <t>itu mah gampang tinggal siapin aja bus satu argentina satunya prancis siapa juara tinggal pake masing masing tim juga udah siapin kostum juara krn runner prancis gak jadi pake jersey juara</t>
  </si>
  <si>
    <t>['mah', 'gampang', 'tinggal', 'siapin', 'bus', 'satu', 'argentina', 'satunya', 'prancis', 'siapa', 'juara', 'tinggal', 'pake', 'masing', 'masing', 'tim', 'udah', 'siapin', 'kostum', 'juara', 'runner', 'prancis', 'jadi', 'pake', 'jersey', 'juara']</t>
  </si>
  <si>
    <t>Di argentina dapet cuti juara pildun ga ya warganya</t>
  </si>
  <si>
    <t>argentina dapet cuti juara pildun warganya</t>
  </si>
  <si>
    <t>['argentina', 'dapat', 'cuti', 'juara', 'piala dunia', 'warganya']</t>
  </si>
  <si>
    <t>Jersey Argentina Laku Keras Usai Juara Piala Dunia 2022, Terjual Hingga Rp 78 Juta di Toko Online  https://t.co/2w3Rs7l6hB</t>
  </si>
  <si>
    <t>[VIDEO] Usai Juara, Pemain Argentina Gunting Jaring Gawang  https://t.co/ohdenwhSDR #vlix</t>
  </si>
  <si>
    <t>video usai juara pemain argentina gunting jaring gawang</t>
  </si>
  <si>
    <t>['video', 'usai', 'juara', 'pemain', 'argentina', 'gunting', 'jaring', 'gawang']</t>
  </si>
  <si>
    <t>Argentina Kembali Raih Juara Dunia Pasca Mengalahkan Prancis 4-2  https://t.co/4XNMRYzsj3</t>
  </si>
  <si>
    <t>Argentina Juara Piala Dunia, Brighton Harap Bisa Pertahankan Mac Allister Selama Mungkin  https://t.co/d1JszA9cdN</t>
  </si>
  <si>
    <t>argentina juara piala dunia brighton harap bisa pertahankan mac allister selama mungkin</t>
  </si>
  <si>
    <t>['argentina', 'juara', 'piala', 'dunia', 'brighton', 'harap', 'pertahankan', 'mac', 'allister', 'selama', 'mungkin']</t>
  </si>
  <si>
    <t>Aku blum kena kopi sore... Aku galau...  Aku sedih...  Tapi biarlah... yang penting Argentina juara...</t>
  </si>
  <si>
    <t>aku blum kena kopi sore aku galau aku sedih tapi biarlah yang penting argentina juara</t>
  </si>
  <si>
    <t>['aku', 'blum', 'kena', 'kopi', 'sore', 'aku', 'galau', 'aku', 'sedih', 'biarlah', 'penting', 'argentina', 'juara']</t>
  </si>
  <si>
    <t>Usai Juara, Pemain dan Suporter Argentina Gunting Jaring Gawang  https://t.co/WIJ1mFkWsd  https://t.co/DdWj8rPWde</t>
  </si>
  <si>
    <t>usai juara pemain dan suporter argentina gunting jaring gawang</t>
  </si>
  <si>
    <t>['usai', 'juara', 'pemain', 'suporter', 'argentina', 'gunting', 'jaring', 'gawang']</t>
  </si>
  <si>
    <t>@MafiaWasit Mbah, Ketum federasi sepakbola Argentina dapat duit berapa dolar dari hadiah juara piala dunia?...</t>
  </si>
  <si>
    <t>mbah ketum federasi sepakbola argentina dapat duit berapa dolar dari hadiah juara piala dunia</t>
  </si>
  <si>
    <t>['mbah', 'ketum', 'federasi', 'sepakbola', 'argentina', 'duit', 'berapa', 'dolar', 'hadiah', 'juara', 'piala', 'dunia']</t>
  </si>
  <si>
    <t>ARGENTINA JUARA PIALA DUNIA, MESSI PEMAIN TERBAIK SEPANJANG MASA #golkar2024 #pialadunia2022 #sepakbola #messi #argentina #ARGENTINAVSFRANCE  https://t.co/mpXsKr8r5h</t>
  </si>
  <si>
    <t>Miris! Usai Argentina Juara Piala Dunia 2022, Georgina Rodriguez Dilarang Ikut Selebrasi  https://t.co/l53tD6IEVQ</t>
  </si>
  <si>
    <t>miris usai argentina juara piala dunia georgina rodriguez dilarang ikut selebrasi</t>
  </si>
  <si>
    <t>['miris', 'usai', 'argentina', 'juara', 'piala', 'dunia', 'georgina', 'rodriguez', 'dilarang', 'ikut', 'selebrasi']</t>
  </si>
  <si>
    <t>Terungkap! Ini Rahasia Argentina Juara Piala Dunia 2022 Kalahkan Prancis #CelebritiesDotID #InfoCelebTerkini   https://t.co/xfeG0J7sSe</t>
  </si>
  <si>
    <t>terungkap ini rahasia argentina juara piala dunia kalahkan prancis</t>
  </si>
  <si>
    <t>['terungkap', 'rahasia', 'argentina', 'juara', 'piala', 'dunia', 'kalahkan', 'prancis']</t>
  </si>
  <si>
    <t>@KompasTV Argentina sangat layak juara dibanding Francis mereka gagal membuktikan kata kata mereka karena benar benar bisa dibungkam oleh Messi dan Timnya Argentina. Seharusnya Argentina jg dpt 2x penalti. Pemain Ferancis pintar menipu wasit dan diving, M</t>
  </si>
  <si>
    <t>argentina sangat layak juara dibanding francis mereka gagal membuktikan kata kata mereka karena benar benar bisa dibungkam oleh messi dan timnya argentina seharusnya argentina dpt penalti pemain ferancis pintar menipu wasit dan diving</t>
  </si>
  <si>
    <t>['argentina', 'sangat', 'layak', 'juara', 'dibanding', 'francis', 'gagal', 'membuktikan', 'kata', 'kata', 'benar', 'benar', 'dibungkam', 'messi', 'timnya', 'argentina', 'argentina', 'dpt', 'penalti', 'pemain', 'ferancis', 'pintar', 'menipu', 'wasit', 'diving']</t>
  </si>
  <si>
    <t>@SamFerkyFers10 @YonoBakrie Argentina udh juara world cup 3 kali bro ngelebihin Perancis kali wkwk</t>
  </si>
  <si>
    <t>argentina udh juara world cup kali bro ngelebihin perancis kali wkwk</t>
  </si>
  <si>
    <t>['argentina', 'sudah', 'juara', 'world', 'cup', 'kali', 'bro', 'ngelebihin', 'perancis', 'kali']</t>
  </si>
  <si>
    <t>@FWBESS M25/16cm jkt</t>
  </si>
  <si>
    <t>jkt</t>
  </si>
  <si>
    <t>['jkt']</t>
  </si>
  <si>
    <t>@BorjaMbah @idextratime ga gagal2 bgt sih, scaloni, aimar, sm samuel kan punggawa argentina u-20 saat juara di pildun u-20 1997 malaysia</t>
  </si>
  <si>
    <t>gagal bgt sih scaloni aimar samuel kan punggawa argentina saat juara pildun malaysia</t>
  </si>
  <si>
    <t>['gagal', 'banget', 'scaloni', 'aimar', 'samuel', 'kan', 'punggawa', 'argentina', 'juara', 'piala dunia', 'malaysia']</t>
  </si>
  <si>
    <t>@PolJokesID Argentina juara pildun di era iwan Bule factos</t>
  </si>
  <si>
    <t>argentina juara pildun era iwan bule factos</t>
  </si>
  <si>
    <t>['argentina', 'juara', 'piala dunia', 'era', 'iwan', 'bule', 'factos']</t>
  </si>
  <si>
    <t>Argentina Tetapkan Libur Nasional Gelar Parade Juara Piala¬†Dunia  https://t.co/VKma7cqQhA</t>
  </si>
  <si>
    <t>argentina tetapkan libur nasional gelar parade juara piala dunia</t>
  </si>
  <si>
    <t>['argentina', 'tetapkan', 'libur', 'nasional', 'gelar', 'parade', 'juara', 'piala', 'dunia']</t>
  </si>
  <si>
    <t xml:space="preserve"> https://t.co/6qXyrsToDA  Kylian Mbappe sudah berupaya keras, tapi Lionel Messi yang menentukan jalan Argentina jadi juara Piala Dunia 2022. Keduanya saling berpelukan usai laga.</t>
  </si>
  <si>
    <t>kylian mbappe sudah berupaya keras tapi lionel messi yang menentukan jalan argentina jadi juara piala dunia keduanya saling berpelukan usai laga</t>
  </si>
  <si>
    <t xml:space="preserve">@andikamalreza Kalau masih mau mengkomplitkan raihan trofi, sebaiknya memertimbangkan pindah ke salah satu klub yang main di Europa League, atau sekalian balik ke Amerika Selatan, khususnya Argentina, menarget juara liga di sana maupun Copa Libertadores. </t>
  </si>
  <si>
    <t>kalau masih mau mengkomplitkan raihan trofi sebaiknya memertimbangkan pindah salah satu klub yang main europa league atau sekalian balik amerika selatan khususnya argentina menarget juara liga sana maupun copa libertadores</t>
  </si>
  <si>
    <t>['kalau', 'mau', 'mengkomplitkan', 'raihan', 'trofi', 'sebaiknya', 'memertimbangkan', 'pindah', 'salah', 'satu', 'klub', 'main', 'europa', 'league', 'sekalian', 'balik', 'amerika', 'selatan', 'khususnya', 'argentina', 'menarget', 'juara', 'liga', 'sana', 'maupun', 'copa', 'libertadores']</t>
  </si>
  <si>
    <t>Selamat buat pendukung Messi Argentina, timnya jadi juara Piala Dunia dan kalian beruntung jadi pemenang TEBAK-TEBAKAN BERHADIAH  Monggo segera DM kami, Relawan Muhaimin Garis Keras  https://t.co/kL01PhYiMo</t>
  </si>
  <si>
    <t>selamat buat pendukung messi argentina timnya jadi juara piala dunia dan kalian beruntung jadi pemenang tebak tebakan berhadiah monggo segera kami relawan muhaimin garis keras</t>
  </si>
  <si>
    <t>['selamat', 'buat', 'pendukung', 'messi', 'argentina', 'timnya', 'jadi', 'juara', 'piala', 'dunia', 'kalian', 'beruntung', 'jadi', 'pemenang', 'tebak', 'tebakan', 'berhadiah', 'monggo', 'segera', 'relawan', 'muhaimin', 'garis', 'keras']</t>
  </si>
  <si>
    <t>@idextratime ‚úÖAlumni Generasi emas argentina yg gagal menjadi juara saat di lapangan,menebusnya dgn membawa argentina menjadi juara dari pinggir lapangan.  ‚ùåalumni Generasi emas inggris yg gagal membawa inggris menjadi juara, menebusnya dgn menjadi ba</t>
  </si>
  <si>
    <t>alumni generasi emas argentina gagal menjadi juara saat lapangan menebusnya dgn membawa argentina menjadi juara dari pinggir lapangan alumni generasi emas inggris gagal membawa inggris menjadi juara menebusnya dgn menjadi</t>
  </si>
  <si>
    <t>['alumni', 'generasi', 'emas', 'argentina', 'gagal', 'menjadi', 'juara', 'lapangan', 'menebusnya', 'membawa', 'argentina', 'menjadi', 'juara', 'pinggir', 'lapangan', 'alumni', 'generasi', 'emas', 'inggris', 'gagal', 'membawa', 'inggris', 'menjadi', 'juara', 'menebusnya', 'menjadi']</t>
  </si>
  <si>
    <t>@PantauManCity Aguerolah yg telah berjasa membawa Argentina juara.  Vamos Aguero!</t>
  </si>
  <si>
    <t>aguerolah telah berjasa membawa argentina juara vamos aguero</t>
  </si>
  <si>
    <t>['aguerolah', 'berjasa', 'membawa', 'argentina', 'juara', 'vamos', 'aguero']</t>
  </si>
  <si>
    <t>VIDEO: Timnas Argentina Diarak Usai Raih Gelar Juara Piala Dunia 2022 di Qatar  https://t.co/zenALhkxNm</t>
  </si>
  <si>
    <t>video timnas argentina diarak usai raih gelar juara piala dunia qatar</t>
  </si>
  <si>
    <t>['video', 'timnas', 'argentina', 'diarak', 'usai', 'raih', 'gelar', 'juara', 'piala', 'dunia', 'qatar']</t>
  </si>
  <si>
    <t>@Tribalchief666 @idextratime nunez 3 match pildun 0 goal, pemain cadangan city alvarez 6 match pildun 4 goal + bawa argentina juara.</t>
  </si>
  <si>
    <t>nunez match pildun goal pemain cadangan city alvarez match pildun goal bawa argentina juara</t>
  </si>
  <si>
    <t>['nunez', 'match', 'piala dunia', 'goal', 'pemain', 'cadangan', 'city', 'alvarez', 'match', 'piala dunia', 'goal', 'bawa', 'argentina', 'juara']</t>
  </si>
  <si>
    <t>aEmiliano Martinez tampil gemilang untuk membawa Argentina juara Piala Dunia 2022. Hanya saja polahnya dinilai menutupi performanya itu! #juaraboladunia    https://t.co/nuaejLizZG</t>
  </si>
  <si>
    <t>aemiliano martinez tampil gemilang untuk membawa argentina juara piala dunia hanya saja polahnya dinilai menutupi performanya itu</t>
  </si>
  <si>
    <t>['aemiliano', 'martinez', 'tampil', 'gemilang', 'membawa', 'argentina', 'juara', 'piala', 'dunia', 'polahnya', 'dinilai', 'menutupi', 'performanya']</t>
  </si>
  <si>
    <t>@idextratime Argentina juara apa dong???</t>
  </si>
  <si>
    <t>argentina juara apa dong</t>
  </si>
  <si>
    <t>['argentina', 'juara', 'apa', 'dong']</t>
  </si>
  <si>
    <t>Messi juara 2022 berkat Indonesia?   https://t.co/AoYsxsItyk  #argentina #pialaduniaqatar2022 #euforia #politisi #poster #ucapanselamat #pinterpolitik #politikindonesia #beritapolitik #beritapolitikterkini #beritapolitikterbaru #suarapolitikmilenials</t>
  </si>
  <si>
    <t>messi juara berkat indonesia</t>
  </si>
  <si>
    <t>['messi', 'juara', 'berkat', 'indonesia']</t>
  </si>
  <si>
    <t>Scaloni Usai Argentina Juara Piala Dunia: Saya Harap Maradona Menikmatinya dari Atas  https://t.co/bdWeCSuRuV</t>
  </si>
  <si>
    <t>scaloni usai argentina juara piala dunia saya harap maradona menikmatinya dari atas</t>
  </si>
  <si>
    <t>['scaloni', 'usai', 'argentina', 'juara', 'piala', 'dunia', 'harap', 'maradona', 'menikmatinya', 'atas']</t>
  </si>
  <si>
    <t>Ada sejumlah hal harus diketahui: - Argentina kembali meraih juara dunia. - Ukraina (masih) dalam bahaya - Odong-odong dan Bentor, dilema di jalanan</t>
  </si>
  <si>
    <t>ada sejumlah hal harus diketahui argentina kembali meraih juara dunia ukraina masih dalam bahaya odong odong dan bentor dilema jalanan</t>
  </si>
  <si>
    <t>['sejumlah', 'diketahui', 'argentina', 'meraih', 'juara', 'dunia', 'ukraina', 'bahaya', 'odong', 'odong', 'bentor', 'dilema', 'jalanan']</t>
  </si>
  <si>
    <t>Berapa Hadiah yang Diterima Argentina Usai Juara Piala Dunia 2022? #FIFAWorldCup   üîó https://t.co/ZRucYrOSl3  https://t.co/qnSHdWrquO</t>
  </si>
  <si>
    <t>berapa hadiah yang diterima argentina usai juara piala dunia</t>
  </si>
  <si>
    <t>['berapa', 'hadiah', 'diterima', 'argentina', 'usai', 'juara', 'piala', 'dunia']</t>
  </si>
  <si>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</si>
  <si>
    <t>para penggemar bersorak menangis berpelukan dan mengibarkan bendera argentina saat mereka berkumpul untuk menonton pertandingan final para penggemar merasa senang argentina bisa menjadi juara untuk yang ketiga kalinya</t>
  </si>
  <si>
    <t>['penggemar', 'bersorak', 'menangis', 'berpelukan', 'mengibarkan', 'bendera', 'argentina', 'berkumpul', 'menonton', 'pertandingan', 'final', 'penggemar', 'merasa', 'senang', 'argentina', 'menjadi', 'juara', 'ketiga', 'kalinya']</t>
  </si>
  <si>
    <t>@VIVAcoid Argentina kalah di awal, juara di akhir.... Maju pa aniss üí™</t>
  </si>
  <si>
    <t>argentina kalah awal juara akhir maju aniss</t>
  </si>
  <si>
    <t>['argentina', 'kalah', 'awal', 'juara', 'akhir', 'maju', 'aniss']</t>
  </si>
  <si>
    <t>"karena Argentina juara nilai kalian saya tambah", terima kasih Messi.</t>
  </si>
  <si>
    <t>karena argentina juara nilai kalian saya tambah terima kasih messi</t>
  </si>
  <si>
    <t>['argentina', 'juara', 'nilai', 'kalian', 'tambah', 'terima', 'kasih', 'messi']</t>
  </si>
  <si>
    <t>anjir bahkan w udah milih Argentina sebelum pertandingan mulaiüòÇ gataunya jadi juara wew banget  https://t.co/jif7wbW2hx</t>
  </si>
  <si>
    <t>anjir bahkan udah milih argentina sebelum pertandingan mulai gataunya jadi juara wew banget</t>
  </si>
  <si>
    <t>['anjir', 'bahkan', 'udah', 'milih', 'argentina', 'pertandingan', 'mulai', 'gataunya', 'jadi', 'juara', 'wew', 'banget']</t>
  </si>
  <si>
    <t>@ridwanfadilah @SiaranBolaLive kan kalau ngab üòÅ siapa tau "kalau" dia ikut malah ngga juara..  yg pasti aja dia ga ikut, dan Argentina sudah jadi juara piala dunia..</t>
  </si>
  <si>
    <t>kan kalau ngab siapa tau kalau dia ikut malah ngga juara pasti aja dia ikut dan argentina sudah jadi juara piala dunia</t>
  </si>
  <si>
    <t>['kan', 'kalau', 'ngab', 'siapa', 'kalau', 'ikut', 'malah', 'ngga', 'juara', 'ikut', 'argentina', 'jadi', 'juara', 'piala', 'dunia']</t>
  </si>
  <si>
    <t>@kisbet_ @meltdownbytori 1. 3x juara piala dunia  2. Juara Piala Dunia di argentina 1978, Mexico 1986 dan Qatar 2022  3. 1978 Mario Kempes 6 gol      1986 Diego Maradona 5 gol      2022 Lionel Messi 7 gol</t>
  </si>
  <si>
    <t>juara piala dunia juara piala dunia argentina mexico dan qatar mario kempes gol diego maradona gol lionel messi gol</t>
  </si>
  <si>
    <t>['juara', 'piala', 'dunia', 'juara', 'piala', 'dunia', 'argentina', 'mexico', 'qatar', 'mario', 'kempes', 'gol', 'diego', 'maradona', 'gol', 'lionel', 'messi', 'gol']</t>
  </si>
  <si>
    <t>&lt;FreqDist with 13 samples and 18 outcomes&gt;</t>
  </si>
  <si>
    <t>aEmiliano Martinez tampil gemilang untuk membawa Argentina juara Piala Dunia 2022. Hanya saja polahnya dinilai menutupi performanya itu! #juaraboladunia    https://t.co/QgqVl67lBs</t>
  </si>
  <si>
    <t>@txtdarigajelas Iya Argentina juara tapi ga jadi Avatar dong..</t>
  </si>
  <si>
    <t>iya argentina juara tapi jadi avatar dong</t>
  </si>
  <si>
    <t>['iya', 'argentina', 'juara', 'jadi', 'avatar', 'dong']</t>
  </si>
  <si>
    <t>argentina juara, perancis runner up</t>
  </si>
  <si>
    <t>argentina juara perancis runner</t>
  </si>
  <si>
    <t>['argentina', 'juara', 'perancis', 'runner']</t>
  </si>
  <si>
    <t>@ruhutsitompul Alhamdulillah akhirnya....‚úä  Sejak 1986 Argentina selalu gagal memenangkan Piala Dunia. Baru pada pemerintahan Jokowi Argentina Berhasil Juara Dunia lagi ! TERIMA KASIH JOKOWI üèÜüëåüèΩ‚öΩÔ∏èü§üüòÅ  Mirip logikanya si opung</t>
  </si>
  <si>
    <t>alhamdulillah akhirnya sejak argentina selalu gagal memenangkan piala dunia baru pada pemerintahan jokowi argentina berhasil juara dunia lagi terima kasih jokowi mirip logikanya opung</t>
  </si>
  <si>
    <t>['alhamdulillah', 'akhirnya', 'sejak', 'argentina', 'selalu', 'gagal', 'memenangkan', 'piala', 'dunia', 'baru', 'pemerintahan', 'jokowi', 'argentina', 'berhasil', 'juara', 'dunia', 'terima', 'kasih', 'jokowi', 'mirip', 'logikanya', 'opung']</t>
  </si>
  <si>
    <t>Xavi Hernandez mengapresiasi keberhasilan Lionel Messi mengantarkan Argentina juara Piala Dunia 2022. Menurutnya La Pulga pantas mendapat gelar tersebut. #juaraboladunia    https://t.co/uQpWRoOh3c</t>
  </si>
  <si>
    <t xml:space="preserve"> https://t.co/dKvge0jeNs : Terbongkar! Ini Rahasia di Balik Sukses Argentina Juara Piala Dunia 2022  https://t.co/FFZyAudQVl</t>
  </si>
  <si>
    <t>terbongkar ini rahasia balik sukses argentina juara piala dunia</t>
  </si>
  <si>
    <t>['terbongkar', 'rahasia', 'balik', 'sukses', 'argentina', 'juara', 'piala', 'dunia']</t>
  </si>
  <si>
    <t>Berita Bola Terkini Nova88 Indonesia Klik  https://t.co/VsbRjz8w7o : Berawal dari Obrolan Motivasi Scaloni-Messi, Argentina Juara Dunia untuk Ketiga Kali  https://t.co/2Sox3ReaIt  https://t.co/43gYScmV5P</t>
  </si>
  <si>
    <t>berita bola terkini nova indonesia klik berawal dari obrolan motivasi scaloni messi argentina juara dunia untuk ketiga kali</t>
  </si>
  <si>
    <t>['berita', 'bola', 'terkini', 'nova', 'indonesia', 'klik', 'berawal', 'obrolan', 'motivasi', 'scaloni', 'messi', 'argentina', 'juara', 'dunia', 'ketiga', 'kali']</t>
  </si>
  <si>
    <t>@S_AshelJKT48 Kemarin argentina juara dunia, sekarang kamu juara dihatiku cel.</t>
  </si>
  <si>
    <t>asheljkt kemarin argentina juara dunia sekarang kamu juara dihatiku cel</t>
  </si>
  <si>
    <t>['asheljkt', 'kemarin', 'argentina', 'juara', 'dunia', 'sekarang', 'kamu', 'juara', 'dihatiku', 'cel']</t>
  </si>
  <si>
    <t>@vickyh23_ @tbayuindriansah @idextratime itu setingan pipa. emang pipa pengen argentina juara ü§£ü§£ü§£</t>
  </si>
  <si>
    <t>itu setingan pipa emang pipa pengen argentina juara</t>
  </si>
  <si>
    <t>['settingan', 'pipa', 'emang', 'pipa', 'pengen', 'argentina', 'juara']</t>
  </si>
  <si>
    <t>Aku fans messi tapi sangat menghargai Ronaldo. Di piala Dunia 2026 jelas aku dukung argentina tapi jk argentina gagal mempertahankan gelar juara di 2026,aku akan senang jika Portugal yg juara. Cuma Ronaldo di 2026 usia 41 tahun aku ga yakin dia bisa main di PD2026</t>
  </si>
  <si>
    <t>aku fans messi tapi sangat menghargai ronaldo piala dunia jelas aku dukung argentina tapi argentina gagal mempertahankan gelar juara aku akan senang jika portugal juara cuma ronaldo usia tahun aku yakin dia bisa main</t>
  </si>
  <si>
    <t>['aku', 'fans', 'messi', 'sangat', 'menghargai', 'ronaldo', 'piala', 'dunia', 'jelas', 'aku', 'dukung', 'argentina', 'argentina', 'gagal', 'mempertahankan', 'gelar', 'juara', 'aku', 'senang', 'portugal', 'juara', 'cuma', 'ronaldo', 'usia', 'tahun', 'aku', 'yakin', 'main']</t>
  </si>
  <si>
    <t>Argentina Juara Dunia, Scaloni Kenang Momen Manis di Malaysia ‚Äì CNN Indonesia ‚Äì Google Berita Olahraga ‚Äì  https://t.co/wNQJES2alK ‚Äì #Arenanews #Kamidi #Opsiminfo- https://t.co/e0bVq4yL7c</t>
  </si>
  <si>
    <t>argentina juara dunia scaloni kenang momen manis malaysia cnn indonesia google berita olahraga</t>
  </si>
  <si>
    <t>['argentina', 'juara', 'dunia', 'scaloni', 'kenang', 'momen', 'manis', 'malaysia', 'cnn', 'indonesia', 'google', 'berita', 'olahraga']</t>
  </si>
  <si>
    <t>Argentina Masih di Bawah Brasil Meski Jadi Juara Piala Dunia  https://t.co/DA5nxkITaY</t>
  </si>
  <si>
    <t>argentina masih bawah brasil meski jadi juara piala dunia</t>
  </si>
  <si>
    <t>['argentina', 'bawah', 'brasil', 'meski', 'jadi', 'juara', 'piala', 'dunia']</t>
  </si>
  <si>
    <t>Sukses Argentina juara Piala Dunia 2022 membuat Adidas untung besar karena jerseynya ludes. Bahkan ada berani menjual sampai Rp 78 juta! #juaraboladunia    https://t.co/3n1OF3tqVf</t>
  </si>
  <si>
    <t>sukses argentina juara piala dunia membuat adidas untung besar karena jerseynya ludes bahkan ada berani menjual sampai juta</t>
  </si>
  <si>
    <t>['sukses', 'argentina', 'juara', 'piala', 'dunia', 'membuat', 'adidas', 'untung', 'besar', 'jerseynya', 'ludes', 'bahkan', 'berani', 'menjual', 'juta']</t>
  </si>
  <si>
    <t>@IbnuNasir8 @idextratime Arab Saudi gak sia sia ngeliburin besoknya pas kalahin argen. Argentina jadi juara skrg wkwk</t>
  </si>
  <si>
    <t>arab saudi gak sia sia ngeliburin besoknya pas kalahin argen argentina jadi juara skrg wkwk</t>
  </si>
  <si>
    <t>['arab', 'saudi', 'sia', 'sia', 'ngeliburin', 'besoknya', 'pas', 'kalahin', 'argen', 'argentina', 'jadi', 'juara', 'skrg']</t>
  </si>
  <si>
    <t>@h_radite @yudhaydh_ @SeputarMadrid @Romain_Molina Argentina 1990 dan Brazil 1998 runner-up nya kalah secara scoreline   France 2022 runner-up tapi gak kalah secara scoreline, cuman runner-up hanya lewat adu penalty doank  Makanya gue bilang France 2022 i</t>
  </si>
  <si>
    <t>radite molina argentina dan brazil runner nya kalah secara scoreline france runner tapi gak kalah secara scoreline cuman runner hanya lewat adu penalty doank makanya gue bilang france</t>
  </si>
  <si>
    <t>['radite', 'molina', 'argentina', 'brazil', 'runner', 'kalah', 'scoreline', 'france', 'runner', 'kalah', 'scoreline', 'cuman', 'runner', 'lewat', 'adu', 'penalty', 'doank', 'makanya', 'gue', 'france']</t>
  </si>
  <si>
    <t>aEmiliano Martinez tampil gemilang untuk membawa Argentina juara Piala Dunia 2022. Hanya saja polahnya dinilai menutupi performanya itu! #juaraboladunia    https://t.co/CMudgLRLZF</t>
  </si>
  <si>
    <t>Percaya atau Tidak, Argentina Juara Piala Dunia 2022 Karena Jimat Gelang Merah yang Pernah Dipakai Cristian Gonzales! #EMTEKWORLDCUP2022 #BOLANETWORLDCUP2022 #PialaDunia #PialaDunia2022  https://t.co/AU4rDPipNu</t>
  </si>
  <si>
    <t>percaya atau tidak argentina juara piala dunia karena jimat gelang merah yang pernah dipakai cristian gonzales</t>
  </si>
  <si>
    <t>['percaya', 'argentina', 'juara', 'piala', 'dunia', 'jimat', 'gelang', 'merah', 'pernah', 'dipakai', 'cristian', 'gonzales']</t>
  </si>
  <si>
    <t>@SamFerkyFers10 @yudhaydh_ @SeputarMadrid @Romain_Molina Gak tau argentina di PD 86 dan 90 itu udah masuk era modern atau belum, tapi argen pun sama tuh, juara di 86 masuk final lagi di 90. Jerman Barat final di 86 juara di 90. Brasil malah sadis lagi tuh</t>
  </si>
  <si>
    <t>molina gak tau argentina dan itu udah masuk era modern atau belum tapi argen pun sama tuh juara masuk final lagi jerman barat final juara brasil malah sadis lagi tuh</t>
  </si>
  <si>
    <t>['molina', 'argentina', 'udah', 'masuk', 'era', 'modern', 'argen', 'sama', 'juara', 'masuk', 'final', 'jerman', 'barat', 'final', 'juara', 'brasil', 'malah', 'sadis']</t>
  </si>
  <si>
    <t>Andaikata Indonesia yang juara dunia, libur sepekan kayaknya. #juaraboladunia #Argentina   https://t.co/jjhIaSj8iQ</t>
  </si>
  <si>
    <t>andaikata indonesia yang juara dunia libur sepekan kayaknya</t>
  </si>
  <si>
    <t>['andaikata', 'indonesia', 'juara', 'dunia', 'libur', 'sepekan', 'kayaknya']</t>
  </si>
  <si>
    <t>@PantauManCity Final WC qatar 2022 yang menang argentina, yang kalah prancis, kenapa yang paling ribut justru orang indonesia.? ada yang bilang argentina juara krn settingan, krn wasit bepihak, bahkan sampai aguero ikut merayakan kememangan saja jadi baha</t>
  </si>
  <si>
    <t>final qatar yang menang argentina yang kalah prancis kenapa yang paling ribut justru orang indonesia ada yang bilang argentina juara krn settingan krn wasit bepihak bahkan sampai aguero ikut merayakan kememangan saja jadi baha</t>
  </si>
  <si>
    <t>['final', 'qatar', 'menang', 'argentina', 'kalah', 'prancis', 'paling', 'ribut', 'justru', 'orang', 'indonesia', 'argentina', 'juara', 'settingan', 'wasit', 'bepihak', 'bahkan', 'aguero', 'ikut', 'merayakan', 'kememangan', 'jadi', 'baha']</t>
  </si>
  <si>
    <t>Terbongkar! Ini Rahasia di Balik Sukses Argentina Juara Piala Dunia 2022  https://t.co/fwG8pYUhd3</t>
  </si>
  <si>
    <t>Jangan remehkan dan main-main sama Messi, jadi Juara Piala Dunia 2022 kan.. | 77577sports #77577sports #pestabola #pildun #pestabola2022 #argentina #lionelmessi #messi #messi10 #pildun2022 #infopildun #pestaboladunia #boladunia #duniabola #infopialadunia #qatar #qatar2022 #asia  https://t.co/b5idwlOLfi</t>
  </si>
  <si>
    <t>jangan remehkan dan main main sama messi jadi juara piala dunia kan sports</t>
  </si>
  <si>
    <t>['jangan', 'remehkan', 'main', 'main', 'sama', 'messi', 'jadi', 'juara', 'piala', 'dunia', 'kan', 'sports']</t>
  </si>
  <si>
    <t>@KaKa01175473 @Gaotronaldo32 @idextratime Gosip atau hoax dasar ogeb klausul kontrak messi itu untuk prioritasin main buat argentina bukan minta syarat juara pildun. Kenapa bukan brazil yg juara secara neymar pindah ke PSG duluan?</t>
  </si>
  <si>
    <t>gosip atau hoax dasar ogeb klausul kontrak messi itu untuk prioritasin main buat argentina bukan minta syarat juara pildun kenapa bukan brazil juara secara neymar pindah psg duluan</t>
  </si>
  <si>
    <t>['gosip', 'hoax', 'dasar', 'ogeb', 'klausul', 'kontrak', 'messi', 'prioritasin', 'main', 'buat', 'argentina', 'bukan', 'minta', 'syarat', 'juara', 'piala dunia', 'bukan', 'brazil', 'juara', 'neymar', 'pindah', 'psg', 'duluan']</t>
  </si>
  <si>
    <t>@tanyarlfes  https://t.co/Ps50w1TWqv</t>
  </si>
  <si>
    <t>Nu bade konvoi argentina juara mangga kempel di sidolig, rute ka tamblong ngamandian patung maradona.</t>
  </si>
  <si>
    <t>bade konvoi argentina juara mangga kempel sidolig rute tamblong ngamandian patung maradona</t>
  </si>
  <si>
    <t>['bade', 'konvoi', 'argentina', 'juara', 'mangga', 'kempel', 'sidolig', 'rute', 'tamblong', 'ngamandian', 'patung', 'maradona']</t>
  </si>
  <si>
    <t>Berawal dari Obrolan Motivasi Scaloni-Messi, Argentina Juara Dunia untuk Ketiga Kali  https://t.co/7twnLPk8DY</t>
  </si>
  <si>
    <t>berawal dari obrolan motivasi scaloni messi argentina juara dunia untuk ketiga kali</t>
  </si>
  <si>
    <t>['berawal', 'obrolan', 'motivasi', 'scaloni', 'messi', 'argentina', 'juara', 'dunia', 'ketiga', 'kali']</t>
  </si>
  <si>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</si>
  <si>
    <t>angel maria jadi pemain pertama dalam sejarah yang nyetak gol empat final kompetisi berbeda dan semuanya argentina jadi juara gaes emang bener bener super rasanya jadi malaikat kemenangan selamat maria</t>
  </si>
  <si>
    <t>['angel', 'maria', 'jadi', 'pemain', 'pertama', 'sejarah', 'nyetak', 'gol', 'empat', 'final', 'kompetisi', 'berbeda', 'semuanya', 'argentina', 'jadi', 'juara', 'guys', 'emang', 'benar', 'benar', 'super', 'rasanya', 'jadi', 'malaikat', 'kemenangan', 'selamat', 'maria']</t>
  </si>
  <si>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</si>
  <si>
    <t>negara dan perolehan juara piala dunia fifa brazil kali italia kali jerman kali uruguay kali argentina kali perancis kali inggris kali spanyol kali indonesia lain kali</t>
  </si>
  <si>
    <t>['negara', 'perolehan', 'juara', 'piala', 'dunia', 'fifa', 'brazil', 'kali', 'italia', 'kali', 'jerman', 'kali', 'uruguay', 'kali', 'argentina', 'kali', 'perancis', 'kali', 'inggris', 'kali', 'spanyol', 'kali', 'indonesia', 'kali']</t>
  </si>
  <si>
    <t>@Cidanaiskadar Selamat Argentina juara!</t>
  </si>
  <si>
    <t>selamat argentina juara</t>
  </si>
  <si>
    <t>['selamat', 'argentina', 'juara']</t>
  </si>
  <si>
    <t>Siapa nih yang belum bisa move on dari Piala Dunia 2022?üëÄ  Setelah penantian 36 tahun, Argentina akhirnya juara Pesta Bola Dunia 2022!üòç  Eits, walaupun Prancis gak juara, tapi Mbappe berhasil menarik perhatian dunia, lho!  https://t.co/ODIYnDMB1N</t>
  </si>
  <si>
    <t>siapa nih yang belum bisa move dari piala dunia setelah penantian tahun argentina akhirnya juara pesta bola dunia eits walaupun prancis gak juara tapi mbappe berhasil menarik perhatian dunia lho</t>
  </si>
  <si>
    <t>['siapa', 'move', 'piala', 'dunia', 'penantian', 'tahun', 'argentina', 'akhirnya', 'juara', 'pesta', 'bola', 'dunia', 'eits', 'walaupun', 'prancis', 'juara', 'mbappe', 'berhasil', 'menarik', 'perhatian', 'dunia', 'lho']</t>
  </si>
  <si>
    <t>Argentina Juara... #FIFAWorldCup #MessiìÉµ Klik untuk lihat kontennyaüëáüèºüëáüèºüëáüèº  https://t.co/rQpcTIoraw  https://t.co/rGyEoL1pDE</t>
  </si>
  <si>
    <t>argentina juara klik untuk lihat kontennya</t>
  </si>
  <si>
    <t>['argentina', 'juara', 'klik', 'lihat', 'kontennya']</t>
  </si>
  <si>
    <t>Gol Kedua Messi Dianggap Tak Sah, Argentina Bisa Gagal Juara  https://t.co/lypjbBbe4M</t>
  </si>
  <si>
    <t>gol kedua messi dianggap tak sah argentina bisa gagal juara</t>
  </si>
  <si>
    <t>['gol', 'kedua', 'messi', 'dianggap', 'tak', 'sah', 'argentina', 'gagal', 'juara']</t>
  </si>
  <si>
    <t>VIDEO: Bikin Haru, Fans Argentina Ajak Pria Buta Rasakan Selebrasi Juara Dunia Lewat Nyanyian  https://t.co/oZfvlxFQ5I</t>
  </si>
  <si>
    <t>video bikin haru fans argentina ajak pria buta rasakan selebrasi juara dunia lewat nyanyian</t>
  </si>
  <si>
    <t>['video', 'haru', 'fans', 'argentina', 'ajak', 'pria', 'buta', 'rasakan', 'selebrasi', 'juara', 'dunia', 'lewat', 'nyanyian']</t>
  </si>
  <si>
    <t>VIDEO: Timnas Argentina Diarak Usai Raih Gelar Juara Piala Dunia 2022 di Qatar  https://t.co/xKjLgLviwt</t>
  </si>
  <si>
    <t>VIDEO: Bikin Haru, Fans Argentina Ajak Pria Buta Rasakan Selebrasi Juara Dunia Lewat Nyanyian  https://t.co/w4GUpM2aV9</t>
  </si>
  <si>
    <t>@vickyh23_ @idextratime Ya dia nyiapin bus 2 lah goblok, lu bilang setingan setingan  kalo di seting ya ketemu aja portugal lawan argentina di final. Atau lu dodolover ya makanya kepanasan liat argen juara?</t>
  </si>
  <si>
    <t>dia nyiapin bus lah goblok bilang setingan setingan kalo seting ketemu aja portugal lawan argentina final atau dodolover makanya kepanasan liat argen juara</t>
  </si>
  <si>
    <t>['nyiapin', 'bus', 'lah', 'goblok', 'settingan', 'settingan', 'seting', 'ketemu', 'portugal', 'lawan', 'argentina', 'final', 'dodolover', 'makanya', 'kepanasan', 'lihat', 'argen', 'juara']</t>
  </si>
  <si>
    <t>Sukses Argentina juara Piala Dunia 2022 membuat Adidas untung besar karena jerseynya ludes. Bahkan ada berani menjual sampai Rp 78 juta! #juaraboladunia    https://t.co/L2cz8l0CHC</t>
  </si>
  <si>
    <t>@KaKa01175473 @Gaotronaldo32 @idextratime Logikanya.. Kalo ini bener settingan, masa bikin Argentina juara World Cup bisa, tapi bikin PSG juara UCL aja ga bisaü§£ atau minimal Qatar disetting lolos grup deh ü§£</t>
  </si>
  <si>
    <t>logikanya kalo ini bener settingan masa bikin argentina juara world cup bisa tapi bikin psg juara ucl aja bisa atau minimal qatar disetting lolos grup deh</t>
  </si>
  <si>
    <t>['logikanya', 'benar', 'settingan', 'masa', 'argentina', 'juara', 'world', 'cup', 'psg', 'juara', 'ucl', 'minimal', 'qatar', 'disetting', 'lolos', 'grup', 'deh']</t>
  </si>
  <si>
    <t>Nyaris, Lionel Messi Selamat dari Kecelakaan di Parade Mini Argentina Juara Piala Dunia 2022  https://t.co/WIDUHnoJII</t>
  </si>
  <si>
    <t>Jakarta, CNN Indonesia -- Lionel Messi dan kawan-kawan sudah tiba di Argentina sepulang dari Piala Dunia 2022 Qatar dengan membawa trofi juara.   https://t.co/iiUpKhKqqo</t>
  </si>
  <si>
    <t>jakarta cnn indonesia lionel messi dan kawan kawan sudah tiba argentina sepulang dari piala dunia qatar dengan membawa trofi juara</t>
  </si>
  <si>
    <t>['jakarta', 'cnn', 'indonesia', 'lionel', 'messi', 'kawan', 'kawan', 'tiba', 'argentina', 'sepulang', 'piala', 'dunia', 'qatar', 'membawa', 'trofi', 'juara']</t>
  </si>
  <si>
    <t>ARGENTINA JUARA PIALA DUNIA, MESSI PEMAIN TERBAIK SEPANJANG MASA  #golkar2024 #pialadunia2022 #sepakbola #messi #argentina #ARGENTINAVSFRANCE  https://t.co/CuoVFMKGpV</t>
  </si>
  <si>
    <t>Detik-detik Lionel Messi Tiba di Argentina: Angkat Trofi ke Publik, Disambut Karpet Merah   https://t.co/rzawaWDbWI   #detikdetik #lionelmessi #messi #argentina #psg #trofi #juara #pialadunia #redcarpet #karpetmerah #sepakbola #prmn #pikiranrakyat #prmnsahabatumkm</t>
  </si>
  <si>
    <t>detik detik lionel messi tiba argentina angkat trofi publik disambut karpet merah</t>
  </si>
  <si>
    <t>['detik', 'detik', 'lionel', 'messi', 'tiba', 'argentina', 'angkat', 'trofi', 'publik', 'disambut', 'karpet', 'merah']</t>
  </si>
  <si>
    <t>Pria yang baru antarkan Argentina jadi juara Piala Dunia 2022 ini punya penghasilan mencapai ratusan juta dolar, lho! Segini penghasilan dan total hartanya.   https://t.co/a9i1IWEI78</t>
  </si>
  <si>
    <t>pria yang baru antarkan argentina jadi juara piala dunia ini punya penghasilan mencapai ratusan juta dolar lho segini penghasilan dan total hartanya</t>
  </si>
  <si>
    <t>['pria', 'baru', 'antarkan', 'argentina', 'jadi', 'juara', 'piala', 'dunia', 'punya', 'penghasilan', 'mencapai', 'ratusan', 'juta', 'dolar', 'lho', 'segini', 'penghasilan', 'total', 'hartanya']</t>
  </si>
  <si>
    <t>Mikir-mikir kalau bukan Argentina yang juara pasti gak bakalan se-hype ini puncaknya.</t>
  </si>
  <si>
    <t>mikir mikir kalau bukan argentina yang juara pasti gak bakalan hype ini puncaknya</t>
  </si>
  <si>
    <t>['mikir', 'mikir', 'kalau', 'bukan', 'argentina', 'juara', 'bakalan', 'hype', 'puncaknya']</t>
  </si>
  <si>
    <t xml:space="preserve">@idextratime Ini kejadian terulang ketika Maradona di masa emas bersama Napoli berhasil bawa Napoli juara liga, satu tahun berikut nya pildun di Italia, dan Argentina berhasil bekuk Italia di kandang Napoli , langsung jadi cibiran buat Maradona, emang ga </t>
  </si>
  <si>
    <t>ini kejadian terulang ketika maradona masa emas bersama napoli berhasil bawa napoli juara liga satu tahun berikut nya pildun italia dan argentina berhasil bekuk italia kandang napoli langsung jadi cibiran buat maradona emang</t>
  </si>
  <si>
    <t>['kejadian', 'terulang', 'maradona', 'masa', 'emas', 'bersama', 'napoli', 'berhasil', 'bawa', 'napoli', 'juara', 'liga', 'satu', 'tahun', 'berikut', 'piala dunia', 'italia', 'argentina', 'berhasil', 'bekuk', 'italia', 'kandang', 'napoli', 'langsung', 'jadi', 'cibiran', 'buat', 'maradona', 'emang']</t>
  </si>
  <si>
    <t>VIDEO: Argentina Juara Dunia, Lionel Messi Buktikan Diri ‚ÄòGOAT‚Äô Dibanding Cristiano Ronaldo?  https://t.co/A1ayRPiQNu</t>
  </si>
  <si>
    <t>video argentina juara dunia lionel messi buktikan diri goat dibanding cristiano ronaldo</t>
  </si>
  <si>
    <t>['video', 'argentina', 'juara', 'dunia', 'lionel', 'messi', 'buktikan', 'diri', 'goat', 'dibanding', 'cristiano', 'ronaldo']</t>
  </si>
  <si>
    <t>@Gaotronaldo32 @idextratime Ada gosip beredar kalau messi meminta ke PSG agar argentina bisa menjuarai WorldCup 2022 di Qatar waktu negoisasi messi dari barca ke PSG, katanya ada tuh di dalam kontrak syarat argentina juara di Qatar agar messi mau pindah k</t>
  </si>
  <si>
    <t>ada gosip beredar kalau messi meminta psg agar argentina bisa menjuarai worldcup qatar waktu negoisasi messi dari barca psg katanya ada tuh dalam kontrak syarat argentina juara qatar agar messi mau pindah</t>
  </si>
  <si>
    <t>['gosip', 'beredar', 'kalau', 'messi', 'meminta', 'psg', 'argentina', 'menjuarai', 'worldcup', 'qatar', 'waktu', 'negoisasi', 'messi', 'barca', 'psg', 'katanya', 'kontrak', 'syarat', 'argentina', 'juara', 'qatar', 'messi', 'mau', 'pindah']</t>
  </si>
  <si>
    <t>@idextratime 3M yg bisa bawa Argentina juara pildun: MARIO Kempes MARADONA Lautaro MARTINEZ üòÇ</t>
  </si>
  <si>
    <t>bisa bawa argentina juara pildun mario kempes maradona lautaro martinez</t>
  </si>
  <si>
    <t>['bawa', 'argentina', 'juara', 'piala dunia', 'mario', 'kempes', 'maradona', 'lautaro', 'martinez']</t>
  </si>
  <si>
    <t>@triwantororudi @racheldunar @SiaranBolaLive Ini lagi lebih lucu, nih gw kasih lu cth ya, timnas negara lu juara AFF terus lu ikut turun ke lapangan ikut selebrasi, terus salahnya dimana?  Anggap Aguero suporter Argentina yg ikut selebrasi, it's simple ü</t>
  </si>
  <si>
    <t>ini lagi lebih lucu nih kasih cth timnas negara juara aff terus ikut turun lapangan ikut selebrasi terus salahnya dimana anggap aguero suporter argentina ikut selebrasi simple</t>
  </si>
  <si>
    <t>['lebih', 'lucu', 'kasih', 'cth', 'timnas', 'negara', 'juara', 'aff', 'terus', 'ikut', 'turun', 'lapangan', 'ikut', 'selebrasi', 'terus', 'salahnya', 'anggap', 'aguero', 'suporter', 'argentina', 'ikut', 'selebrasi', 'simple']</t>
  </si>
  <si>
    <t>@Oxbigwin_satrio kontol argentina juara gblok</t>
  </si>
  <si>
    <t>satrio kontol argentina juara gblok</t>
  </si>
  <si>
    <t>['satrio', 'kontol', 'argentina', 'juara', 'gblok']</t>
  </si>
  <si>
    <t>Terbongkar! Ini Rahasia di Balik Sukses Argentina Juara Piala Dunia 2022</t>
  </si>
  <si>
    <t>Rayakan Argentina Juara Piala Dunia, Warga Maluku Utara Konvoi di Jalan!  https://t.co/6Rym1OjVpf</t>
  </si>
  <si>
    <t>rayakan argentina juara piala dunia warga maluku utara konvoi jalan</t>
  </si>
  <si>
    <t>['rayakan', 'argentina', 'juara', 'piala', 'dunia', 'warga', 'maluku', 'utara', 'konvoi', 'jalan']</t>
  </si>
  <si>
    <t>Orang Argentina menanti juara Argentina hingga nangis, kita juga menanti juara piala aff‚Ä¶</t>
  </si>
  <si>
    <t>orang argentina menanti juara argentina hingga nangis kita juga menanti juara piala aff</t>
  </si>
  <si>
    <t>['orang', 'argentina', 'menanti', 'juara', 'argentina', 'hingga', 'nangis', 'menanti', 'juara', 'piala', 'aff']</t>
  </si>
  <si>
    <t>Kabarnya, tak kurang dari 300 dukun diklaim membantu Argentina juara Piala Dunia. #kumparanBOLA  https://t.co/qXs9kVPOvp</t>
  </si>
  <si>
    <t>kabarnya tak kurang dari dukun diklaim membantu argentina juara piala dunia</t>
  </si>
  <si>
    <t>['kabarnya', 'tak', 'kurang', 'dukun', 'diklaim', 'membantu', 'argentina', 'juara', 'piala', 'dunia']</t>
  </si>
  <si>
    <t>Argentina menjadi juara Piala Dunia untuk ketiga kalinya setelah pertandingan yang luar biasa akhir minggu lalu, berapa hadiah yang mereka menangkan?  https://t.co/HUP6uThpTV</t>
  </si>
  <si>
    <t>argentina menjadi juara piala dunia untuk ketiga kalinya setelah pertandingan yang luar biasa akhir minggu lalu berapa hadiah yang mereka menangkan</t>
  </si>
  <si>
    <t>['argentina', 'menjadi', 'juara', 'piala', 'dunia', 'ketiga', 'kalinya', 'pertandingan', 'luar', 'biasa', 'akhir', 'minggu', 'lalu', 'berapa', 'hadiah', 'menangkan']</t>
  </si>
  <si>
    <t>#PUBG Mobile Rayakan Argentina Juara Piala Dunia 2022 dengan Event Messi #1 WWCD! - Ligagame Esports  https://t.co/WztMIx3893 #gambar</t>
  </si>
  <si>
    <t>mobile rayakan argentina juara piala dunia dengan event messi wwcd ligagame esports</t>
  </si>
  <si>
    <t>['mobile', 'rayakan', 'argentina', 'juara', 'piala', 'dunia', 'event', 'messi', 'wwcd', 'ligagame', 'esports']</t>
  </si>
  <si>
    <t>@idextratime nggk ada italia untung ada argentina juara wkwkw</t>
  </si>
  <si>
    <t>nggk ada italia untung ada argentina juara wkwkw</t>
  </si>
  <si>
    <t>['nggk', 'italia', 'untung', 'argentina', 'juara', 'wkwkw']</t>
  </si>
  <si>
    <t>Top story: Lionel Messi dan Tim Argentina Makan Malam Rayakan Juara Piala Dunia 2022  https://t.co/Pqt9aMzXSo, see more  https://t.co/3gwVLRUk5C</t>
  </si>
  <si>
    <t>top story lionel messi dan tim argentina makan malam rayakan juara piala dunia see more</t>
  </si>
  <si>
    <t>['top', 'story', 'lionel', 'messi', 'tim', 'argentina', 'makan', 'malam', 'rayakan', 'juara', 'piala', 'dunia', 'see', 'more']</t>
  </si>
  <si>
    <t>FOTO: Momen Argentina Rayakan Gelar Juara Piala Dunia 2022  https://t.co/4PB35lTr9B</t>
  </si>
  <si>
    <t>foto momen argentina rayakan gelar juara piala dunia</t>
  </si>
  <si>
    <t>['foto', 'momen', 'argentina', 'rayakan', 'gelar', 'juara', 'piala', 'dunia']</t>
  </si>
  <si>
    <t>Argentina Juara Piala Dunia 2022, Bagaimana Ranking FIFA Terkini, Argentina danamp; Brasil Selisih 2 Poin  https://t.co/q0rk3qyT6N</t>
  </si>
  <si>
    <t>argentina juara piala dunia bagaimana ranking fifa terkini argentina danamp brasil selisih poin</t>
  </si>
  <si>
    <t>['argentina', 'juara', 'piala', 'dunia', 'bagaimana', 'ranking', 'fifa', 'terkini', 'argentina', 'danamp', 'brasil', 'selisih', 'poin']</t>
  </si>
  <si>
    <t>Juara Piala Dunia, Messi: Saya Ingin Terus Bermain Untuk Argentina  https://t.co/1yUtIx2bYC</t>
  </si>
  <si>
    <t>juara piala dunia messi saya ingin terus bermain untuk argentina</t>
  </si>
  <si>
    <t>['juara', 'piala', 'dunia', 'messi', 'terus', 'bermain', 'argentina']</t>
  </si>
  <si>
    <t>Percaya atau Tidak, Argentina Juara Piala Dunia 2022 Karena Jimat Gelang Merah yang Pernah Dipakai Cristian Gonzales! #EMTEKWORLDCUP2022 #BOLANETWORLDCUP2022 #PialaDunia #PialaDunia2022  https://t.co/ZcswQrpUpf</t>
  </si>
  <si>
    <t>Pada ngomel squad argentina isinya  pemain medioker di klubnya, padahal mentalnya yg siap mati demi messi ngangkat piala pildun itulah yg buat juara #sipalingbola #sipalingtau</t>
  </si>
  <si>
    <t>pada ngomel squad argentina isinya pemain medioker klubnya padahal mentalnya siap mati demi messi ngangkat piala pildun itulah buat juara</t>
  </si>
  <si>
    <t>['ngomel', 'squad', 'argentina', 'isinya', 'pemain', 'medioker', 'klubnya', 'padahal', 'mentalnya', 'siap', 'mati', 'messi', 'ngangkat', 'piala', 'piala dunia', 'buat', 'juara']</t>
  </si>
  <si>
    <t>Prediksi Argentina Juara, Romy Rafael dan Ury Dijuluki Duo Mentalist Indonesia  https://t.co/MQBST4oyC8</t>
  </si>
  <si>
    <t>prediksi argentina juara romy rafael dan ury dijuluki duo mentalist indonesia</t>
  </si>
  <si>
    <t>['prediksi', 'argentina', 'juara', 'romy', 'rafael', 'ury', 'dijuluki', 'duo', 'mentalist', 'indonesia']</t>
  </si>
  <si>
    <t>Berita Bola Terkini Nova88 Indonesia Klik  https://t.co/VsbRjz8w7o : Argentina Juara Piala Dunia 2022, Suarez Langsung Telepon Messi  https://t.co/byHJNVyapc  https://t.co/TdB2w8XkGF</t>
  </si>
  <si>
    <t>berita bola terkini nova indonesia klik argentina juara piala dunia suarez langsung telepon messi</t>
  </si>
  <si>
    <t>['berita', 'bola', 'terkini', 'nova', 'indonesia', 'klik', 'argentina', 'juara', 'piala', 'dunia', 'suarez', 'langsung', 'telepon', 'messi']</t>
  </si>
  <si>
    <t>Antusiasme warga Argentina juga nggak bisa lepas dari penantian panjang mereka selama 36 tahun sejak gelar juara dunia kedua edisi Maradona. Emang harus Messi dulu yang bisa membawa trophy Piala Dunia pulang ke Buenos Aires.   https://t.co/m4ZniB7iAb</t>
  </si>
  <si>
    <t>antusiasme warga argentina juga nggak bisa lepas dari penantian panjang mereka selama tahun sejak gelar juara dunia kedua edisi maradona emang harus messi dulu yang bisa membawa trophy piala dunia pulang buenos aires</t>
  </si>
  <si>
    <t>['antusiasme', 'warga', 'argentina', 'lepas', 'penantian', 'panjang', 'selama', 'tahun', 'sejak', 'gelar', 'juara', 'dunia', 'kedua', 'edisi', 'maradona', 'emang', 'messi', 'dulu', 'membawa', 'trophy', 'piala', 'dunia', 'pulang', 'buenos', 'aires']</t>
  </si>
  <si>
    <t>Hal ini terlihat dari warga Buenos Aires yang tumpah ruah di jalanan. Penasaran gimana suasana penyambutan timnas Argentina sepulangnya mereka dari Qatar. Kira-kira gimana jadinya Jakarta kalo Indonesia juara piala dunia, ya?  https://t.co/RchuvqNESJ</t>
  </si>
  <si>
    <t>hal ini terlihat dari warga buenos aires yang tumpah ruah jalanan penasaran gimana suasana penyambutan timnas argentina sepulangnya mereka dari qatar kira kira gimana jadinya jakarta kalo indonesia juara piala dunia</t>
  </si>
  <si>
    <t>['terlihat', 'warga', 'buenos', 'aires', 'tumpah', 'ruah', 'jalanan', 'penasaran', 'gimana', 'suasana', 'penyambutan', 'timnas', 'argentina', 'sepulangnya', 'qatar', 'kira', 'kira', 'gimana', 'jadinya', 'jakarta', 'indonesia', 'juara', 'piala', 'dunia']</t>
  </si>
  <si>
    <t>Buddies, sukacita masyarakat Argentina masih berlanjut seiring keberhasilan Argentina merengkuh gelar juara dunia untuk ketiga kalinya.  https://t.co/cCLN6YEfaS</t>
  </si>
  <si>
    <t>buddies sukacita masyarakat argentina masih berlanjut seiring keberhasilan argentina merengkuh gelar juara dunia untuk ketiga kalinya</t>
  </si>
  <si>
    <t>['buddies', 'sukacita', 'masyarakat', 'argentina', 'berlanjut', 'seiring', 'keberhasilan', 'argentina', 'merengkuh', 'gelar', 'juara', 'dunia', 'ketiga', 'kalinya']</t>
  </si>
  <si>
    <t>@vickyh23_ @idextratime Apa benar ada gosip beredar kalau messi meminta ke PSG agar argentina bisa menjuarai WorldCup 2022 di Qatar waktu negoisasi messi dari barca ke PSG, katanya ada tuh di dalam kontrak syarat argentina juara di Qatar agar messi mau pi</t>
  </si>
  <si>
    <t>apa benar ada gosip beredar kalau messi meminta psg agar argentina bisa menjuarai worldcup qatar waktu negoisasi messi dari barca psg katanya ada tuh dalam kontrak syarat argentina juara qatar agar messi mau</t>
  </si>
  <si>
    <t>['apa', 'benar', 'gosip', 'beredar', 'kalau', 'messi', 'meminta', 'psg', 'argentina', 'menjuarai', 'worldcup', 'qatar', 'waktu', 'negoisasi', 'messi', 'barca', 'psg', 'katanya', 'kontrak', 'syarat', 'argentina', 'juara', 'qatar', 'messi', 'mau']</t>
  </si>
  <si>
    <t>Wonderkid Argentina, Julian Alvarez bersinar di Piala Dunia 2022. Berkat penampilannya yang apik ia berhasil membawa La Albiceleste meraih gelar juara untuk kali ketiga.   https://t.co/MLSny3PVhT</t>
  </si>
  <si>
    <t>wonderkid argentina julian alvarez bersinar piala dunia berkat penampilannya yang apik berhasil membawa albiceleste meraih gelar juara untuk kali ketiga</t>
  </si>
  <si>
    <t>['wonderkid', 'argentina', 'julian', 'alvarez', 'bersinar', 'piala', 'dunia', 'berkat', 'penampilannya', 'apik', 'berhasil', 'membawa', 'albiceleste', 'meraih', 'gelar', 'juara', 'kali', 'ketiga']</t>
  </si>
  <si>
    <t>Argentina Juara Piala Dunia, Brasil Tetap Anteng di Ranking Pertama FIFA  https://t.co/yq6uAI8iIe</t>
  </si>
  <si>
    <t>argentina juara piala dunia brasil tetap anteng ranking pertama fifa</t>
  </si>
  <si>
    <t>['argentina', 'juara', 'piala', 'dunia', 'brasil', 'tetap', 'anteng', 'ranking', 'pertama', 'fifa']</t>
  </si>
  <si>
    <t>Argentina diperkirakan akan naik di peringkat FIFA usai juara Piala Dunia 2022. Tapi diperkirakan sukses itu belum cukup untuk menggeser Brasil di puncak. Ini alasannya. #juaraboladunia    https://t.co/cKXy6Fi6He</t>
  </si>
  <si>
    <t>@txtdrimedia Merayakan Argentina juara di neraka</t>
  </si>
  <si>
    <t>merayakan argentina juara neraka</t>
  </si>
  <si>
    <t>['merayakan', 'argentina', 'juara', 'neraka']</t>
  </si>
  <si>
    <t>Argentina Juara Piala Dunia, Kado Terbaik Scaloni untuk Messi  https://t.co/H0gsQJZ4aj</t>
  </si>
  <si>
    <t>argentina juara piala dunia kado terbaik scaloni untuk messi</t>
  </si>
  <si>
    <t>['argentina', 'juara', 'piala', 'dunia', 'kado', 'terbaik', 'scaloni', 'messi']</t>
  </si>
  <si>
    <t>Yang juara Argentina yang pelukan mulu mereka ya üò≠üò≠üò≠  https://t.co/1IGdkTZUEd</t>
  </si>
  <si>
    <t>yang juara argentina yang pelukan mulu mereka</t>
  </si>
  <si>
    <t>['juara', 'argentina', 'pelukan', 'mulu']</t>
  </si>
  <si>
    <t>2 Alasan Argentina Berhasil Menjadi Juara Piala Dunia 2022  https://t.co/oKcBOTYIBB</t>
  </si>
  <si>
    <t>alasan argentina berhasil menjadi juara piala dunia</t>
  </si>
  <si>
    <t>['alasan', 'argentina', 'berhasil', 'menjadi', 'juara', 'piala', 'dunia']</t>
  </si>
  <si>
    <t>@Dennysiregar7 haha...kadrun kena prank @Dennysiregar7 biar kepanasan, denny itu fans argentina, dan menjagokanya jd juara dunia</t>
  </si>
  <si>
    <t>haha kadrun kena prank biar kepanasan denny itu fans argentina dan menjagokanya juara dunia</t>
  </si>
  <si>
    <t>['haha', 'kadrun', 'kena', 'prank', 'kepanasan', 'denny', 'fans', 'argentina', 'menjagokanya', 'juara', 'dunia']</t>
  </si>
  <si>
    <t>warga argentina emang selalu gokil wkwkw</t>
  </si>
  <si>
    <t>['warga', 'argentina', 'emang', 'selalu', 'gila', 'wkwkw']</t>
  </si>
  <si>
    <t>1990 harusnya argentina juara jg ketika di final vs jerman barat, byk dicurangi argentina.. Fifa n eropa memusuhi maradona saat itu.. Kata bokap lwoh y..gw belum lahir..üòö</t>
  </si>
  <si>
    <t>harusnya argentina juara ketika final jerman barat byk dicurangi argentina fifa eropa memusuhi maradona saat itu kata bokap lwoh belum lahir</t>
  </si>
  <si>
    <t>['harusnya', 'argentina', 'juara', 'final', 'jerman', 'barat', 'byk', 'dicurangi', 'argentina', 'fifa', 'eropa', 'memusuhi', 'maradona', 'kata', 'bokap', 'lwoh', 'lahir']</t>
  </si>
  <si>
    <t>Wakil Presiden (Wapres) Ma‚Äôruf Amin berpandangan, sepak bola Indonesia harus menjadikan tim nasional Maroko sebagai inspirasi meski tim yang menjadi juara dan runner-up Piala Dunia 2022 adalah Argentina dan Perancis.  https://t.co/3G5oiMWOX5</t>
  </si>
  <si>
    <t>wakil presiden wapres ruf amin berpandangan sepak bola indonesia harus menjadikan tim nasional maroko sebagai inspirasi meski tim yang menjadi juara dan runner piala dunia adalah argentina dan perancis</t>
  </si>
  <si>
    <t>['wakil', 'presiden', 'wapres', 'ruf', 'amin', 'berpandangan', 'sepak', 'bola', 'indonesia', 'menjadikan', 'tim', 'nasional', 'maroko', 'inspirasi', 'meski', 'tim', 'menjadi', 'juara', 'runner', 'piala', 'dunia', 'argentina', 'perancis']</t>
  </si>
  <si>
    <t>Masyarakat Argentina sebenarnya sudah merayakan gelar juara Piala Dunia di jalan-jalan sejak Lionel Messi cs berhasil menjadi juara.  https://t.co/ERkFqebfj6</t>
  </si>
  <si>
    <t>masyarakat argentina sebenarnya sudah merayakan gelar juara piala dunia jalan jalan sejak lionel messi berhasil menjadi juara</t>
  </si>
  <si>
    <t>['masyarakat', 'argentina', 'sebenarnya', 'merayakan', 'gelar', 'juara', 'piala', 'dunia', 'jalan', 'jalan', 'sejak', 'lionel', 'messi', 'berhasil', 'menjadi', 'juara']</t>
  </si>
  <si>
    <t>Ini profil 3 kapten Argentina yang berhasil membuat tim tango juara Piala Dunia: Mario Kempes , Diego Armando Maradona , dan Lionel Messi.  https://t.co/bjh0DkdMvA</t>
  </si>
  <si>
    <t>ini profil kapten argentina yang berhasil membuat tim tango juara piala dunia mario kempes diego armando maradona dan lionel messi</t>
  </si>
  <si>
    <t>['profil', 'kapten', 'argentina', 'berhasil', 'membuat', 'tim', 'tango', 'juara', 'piala', 'dunia', 'mario', 'kempes', 'diego', 'armando', 'maradona', 'lionel', 'messi']</t>
  </si>
  <si>
    <t>Bawa Nama Argentina Meraih Juara Dunia, Inilah 3 Faktor Lionel Messi Bisa Main di Piala Dunia 2026!  https://t.co/gTGqIS3BXS</t>
  </si>
  <si>
    <t>bawa nama argentina meraih juara dunia inilah faktor lionel messi bisa main piala dunia</t>
  </si>
  <si>
    <t>['bawa', 'nama', 'argentina', 'meraih', 'juara', 'dunia', 'inilah', 'faktor', 'lionel', 'messi', 'main', 'piala', 'dunia']</t>
  </si>
  <si>
    <t>ampun suhu gegara main dari pola admin bisa begini di hujani petir petir merah nya dan X-an super semua yang turun #Messi #Argentina #juara #dunia #tahun2022 #Pemimpin #Sukses #Airdrops #VERNON #Susanti #FIFAWORLDCUP2022 #selasa  https://t.co/jFvjwPNAgE</t>
  </si>
  <si>
    <t>ampun suhu gegara main dari pola admin bisa begini hujani petir petir merah nya dan super semua yang turun</t>
  </si>
  <si>
    <t>['ampun', 'suhu', 'gegara', 'main', 'pola', 'admin', 'begini', 'hujani', 'petir', 'petir', 'merah', 'super', 'semua', 'turun']</t>
  </si>
  <si>
    <t>Reaksi Selebriti Dunia Melihat Argentina dan Messi Juara Piala Dunia 2022    https://t.co/bMBMzxVb1j</t>
  </si>
  <si>
    <t>reaksi selebriti dunia melihat argentina dan messi juara piala dunia</t>
  </si>
  <si>
    <t>['reaksi', 'selebriti', 'dunia', 'melihat', 'argentina', 'messi', 'juara', 'piala', 'dunia']</t>
  </si>
  <si>
    <t>@inilahdotcom Arab aj begitu mengalahkan argentina langsung libur nasional jg, apalagi ini juara dunia...</t>
  </si>
  <si>
    <t>arab begitu mengalahkan argentina langsung libur nasional apalagi ini juara dunia</t>
  </si>
  <si>
    <t>['arab', 'mengalahkan', 'argentina', 'langsung', 'libur', 'nasional', 'juara', 'dunia']</t>
  </si>
  <si>
    <t>Argentina Juara, Saudara Perempuan Cristiano Ronaldo Sebut Ini Piala Dunia Terburuk  https://t.co/HG9Aa9ERs9</t>
  </si>
  <si>
    <t>argentina juara saudara perempuan cristiano ronaldo sebut ini piala dunia terburuk</t>
  </si>
  <si>
    <t>['argentina', 'juara', 'saudara', 'perempuan', 'cristiano', 'ronaldo', 'sebut', 'piala', 'dunia', 'terburuk']</t>
  </si>
  <si>
    <t>Info Viral :  Rayakan Juara Piala Dunia 2022, Argentina Libur Nasional  Sang Juara Dunia  Info Viral:  https://t.co/7ld7TYnXUg #beritaviral #satuviral #infoviral #trendingviral #satuberitasejutaviral</t>
  </si>
  <si>
    <t>info viral rayakan juara piala dunia argentina libur nasional sang juara dunia info viral</t>
  </si>
  <si>
    <t>['info', 'viral', 'rayakan', 'juara', 'piala', 'dunia', 'argentina', 'libur', 'nasional', 'sang', 'juara', 'dunia', 'info', 'viral']</t>
  </si>
  <si>
    <t>Kemaren Argentina habis jadi juara piala dunia, jadi aku kapan jadi juara di hatimuüòÅ #FIFAWorldCup</t>
  </si>
  <si>
    <t>kemaren argentina habis jadi juara piala dunia jadi aku kapan jadi juara hatimu</t>
  </si>
  <si>
    <t>['kemarin', 'argentina', 'habis', 'jadi', 'juara', 'piala', 'dunia', 'jadi', 'aku', 'kapan', 'jadi', 'juara', 'hatimu']</t>
  </si>
  <si>
    <t xml:space="preserve"> https://t.co/wPPmSZpEC4  Sukses Argentina juara Piala Dunia 2022 membuat Adidas untung besar karena jerseynya ludes. Bahkan ada berani menjual sampai Rp 78 juta!</t>
  </si>
  <si>
    <t>@idextratime Claudio Tapia ini jelas jelas sangat aneh,  Argentina juara, harusnya dia disana dan ikut angkat piala.  Nggak ngerti lagi.</t>
  </si>
  <si>
    <t>claudio tapia ini jelas jelas sangat aneh argentina juara harusnya dia disana dan ikut angkat piala nggak ngerti lagi</t>
  </si>
  <si>
    <t>['claudio', 'tapia', 'jelas', 'jelas', 'sangat', 'aneh', 'argentina', 'juara', 'harusnya', 'disana', 'ikut', 'angkat', 'piala', 'ngerti']</t>
  </si>
  <si>
    <t>@Faiquddin8 @idextratime ini lucu nih, prancis aja gabisa menang adu penalti lawan argentina gimana mau juara ü§£ü§£ü§£</t>
  </si>
  <si>
    <t>ini lucu nih prancis aja gabisa menang adu penalti lawan argentina gimana mau juara</t>
  </si>
  <si>
    <t>['lucu', 'prancis', 'gabisa', 'menang', 'adu', 'penalti', 'lawan', 'argentina', 'gimana', 'mau', 'juara']</t>
  </si>
  <si>
    <t>syukuran Argentina juara pildun  https://t.co/jXv6b0GlXZ</t>
  </si>
  <si>
    <t>syukuran argentina juara pildun</t>
  </si>
  <si>
    <t>['syukuran', 'argentina', 'juara', 'piala dunia']</t>
  </si>
  <si>
    <t>Iseh apalan bapak bapak iki timbang pemain pemain e argentina seng juara wingi..</t>
  </si>
  <si>
    <t>iseh apalan bapak bapak iki timbang pemain pemain argentina seng juara wingi</t>
  </si>
  <si>
    <t>['iseh', 'apalan', 'bapak', 'bapak', 'iki', 'timbang', 'pemain', 'pemain', 'argentina', 'seng', 'juara', 'wingi']</t>
  </si>
  <si>
    <t>Argentina Juara Dunia, Scaloni Kenang Momen Manis di Malaysia  https://t.co/sj52s8snuq</t>
  </si>
  <si>
    <t>argentina juara dunia scaloni kenang momen manis malaysia</t>
  </si>
  <si>
    <t>['argentina', 'juara', 'dunia', 'scaloni', 'kenang', 'momen', 'manis', 'malaysia']</t>
  </si>
  <si>
    <t>2 Alasan Argentina Berhasil Menjadi Juara Piala Dunia 2022  https://t.co/2RmT7yG7Vo</t>
  </si>
  <si>
    <t>VIDEO: Akhir Manis Lionel Messi Bawa Argentina Juara Piala Dunia 2022, Kylian Mbappe Pewaris Takhta?  https://t.co/OOhvblRrZj</t>
  </si>
  <si>
    <t>video akhir manis lionel messi bawa argentina juara piala dunia kylian mbappe pewaris takhta</t>
  </si>
  <si>
    <t>['video', 'akhir', 'manis', 'lionel', 'messi', 'bawa', 'argentina', 'juara', 'piala', 'dunia', 'kylian', 'mbappe', 'pewaris', 'takhta']</t>
  </si>
  <si>
    <t>Tak penting manifesting itu bekerja atau tidak bagi kita, baginya itu memberi celah jalan saat mencari rasa. Argentina memang juara dunia, namun adu pinalti seperti merampas rasa digdaya itu.  https://t.co/gshhrh8AdP</t>
  </si>
  <si>
    <t>tak penting manifesting itu bekerja atau tidak bagi kita baginya itu memberi celah jalan saat mencari rasa argentina memang juara dunia namun adu pinalti seperti merampas rasa digdaya itu</t>
  </si>
  <si>
    <t>['tak', 'penting', 'manifesting', 'bekerja', 'baginya', 'memberi', 'celah', 'jalan', 'mencari', 'rasa', 'argentina', 'memang', 'juara', 'dunia', 'adu', 'penalti', 'merampas', 'rasa', 'digdaya']</t>
  </si>
  <si>
    <t>Kasian murid gue berharap kita Juara 3 Piala Dunia. Argentina ü•á Perancis ü•à Indonesia ü•â  üò≠üò≠  https://t.co/QP7ZllTebV</t>
  </si>
  <si>
    <t>kasian murid gue berharap kita juara piala dunia argentina perancis indonesia</t>
  </si>
  <si>
    <t>['kasian', 'murid', 'gue', 'berharap', 'juara', 'piala', 'dunia', 'argentina', 'perancis', 'indonesia']</t>
  </si>
  <si>
    <t>Kemana Messi Berlabuh Pasca Sukses Bawa Argentina jadi Juara Dunia, Tawaran Menarik Mengemuka #Argentina #Messi  https://t.co/CdmLbm3lyF</t>
  </si>
  <si>
    <t>kemana messi berlabuh pasca sukses bawa argentina jadi juara dunia tawaran menarik mengemuka</t>
  </si>
  <si>
    <t>['messi', 'berlabuh', 'pasca', 'sukses', 'bawa', 'argentina', 'jadi', 'juara', 'dunia', 'tawaran', 'menarik', 'mengemuka']</t>
  </si>
  <si>
    <t>Juara Piala Dunia 2022, Pemerintah Argentina Umumkan Hari Libur Nasional  https://t.co/Ckg81zBLOr</t>
  </si>
  <si>
    <t>juara piala dunia pemerintah argentina umumkan hari libur nasional</t>
  </si>
  <si>
    <t>['juara', 'piala', 'dunia', 'pemerintah', 'argentina', 'umumkan', 'hari', 'libur', 'nasional']</t>
  </si>
  <si>
    <t>Argentina Juara Piala Dunia 2022, Suarez Langsung Telepon Messi  https://t.co/PJJ5qmvCRT</t>
  </si>
  <si>
    <t>argentina juara piala dunia suarez langsung telepon messi</t>
  </si>
  <si>
    <t>['argentina', 'juara', 'piala', 'dunia', 'suarez', 'langsung', 'telepon', 'messi']</t>
  </si>
  <si>
    <t>@idextratime Menporanya argentina kok gak ikutan memberikan throphy di podium jg ya lumayan loh buat portofolio kalau mau nyaleg atau nyagub. "Pernah membawa argentina juara piala dunia"</t>
  </si>
  <si>
    <t>menporanya argentina kok gak ikutan memberikan throphy podium lumayan loh buat portofolio kalau mau nyaleg atau nyagub pernah membawa argentina juara piala dunia</t>
  </si>
  <si>
    <t>['menporanya', 'argentina', 'kok', 'ikutan', 'memberikan', 'throphy', 'podium', 'lumayan', 'buat', 'portofolio', 'kalau', 'mau', 'nyaleg', 'nyagub', 'pernah', 'membawa', 'argentina', 'juara', 'piala', 'dunia']</t>
  </si>
  <si>
    <t>Pria yang baru antarkan Argentina jadi juara Piala Dunia 2022 ini punya penghasilan mencapai ratusan juta dolar, lho! Segini penghasilan dan total hartanya.   https://t.co/njipL8NRxM</t>
  </si>
  <si>
    <t>Dua bulan sebelum Piala Dunia dimulai, Rodrigo de Paul sudah prediksi Argentina juara.  #EmtekWorldCup2022 #BolacomWorldCup2022 #PialaDunia2022 #PialaDunia   https://t.co/WfoQm00jyC</t>
  </si>
  <si>
    <t>dua bulan sebelum piala dunia dimulai rodrigo paul sudah prediksi argentina juara</t>
  </si>
  <si>
    <t>['bulan', 'piala', 'dunia', 'dimulai', 'rodrigo', 'paul', 'prediksi', 'argentina', 'juara']</t>
  </si>
  <si>
    <t>VIDEO: Akhir Manis Lionel Messi Bawa Argentina Juara Piala Dunia 2022, Kylian Mbappe Pewaris Takhta?  https://t.co/gmzW3IWQtq</t>
  </si>
  <si>
    <t>Piala Dunia, Argentina Kembali Berhasil Raih Juara Dunia  https://t.co/WIu4GesIJa</t>
  </si>
  <si>
    <t>piala dunia argentina kembali berhasil raih juara dunia</t>
  </si>
  <si>
    <t>['piala', 'dunia', 'argentina', 'berhasil', 'raih', 'juara', 'dunia']</t>
  </si>
  <si>
    <t>Argentina akhirnya memutus puasa 36 tahun dengan menjadi juara Piala Dunia 2022. Anak mendiang Diego Maradona pun memberikan ucapan selamat. #juaraboladunia    https://t.co/trS1TgnTm8</t>
  </si>
  <si>
    <t>argentina akhirnya memutus puasa tahun dengan menjadi juara piala dunia anak mendiang diego maradona pun memberikan ucapan selamat</t>
  </si>
  <si>
    <t>['argentina', 'akhirnya', 'memutus', 'puasa', 'tahun', 'menjadi', 'juara', 'piala', 'dunia', 'anak', 'mendiang', 'diego', 'maradona', 'memberikan', 'ucapan', 'selamat']</t>
  </si>
  <si>
    <t>Mengingat, Argentina menjadi juara Piala Dunia 2022. Bersamaan dengan itu, kapten Albiceleste, Lionel Messi, juga meraih penghargaan sebagai pemain terbaik, dengan menerima Golden Gall.   https://t.co/uiilAzWWVC  #Argentina #Messi #WorldCup #FifaWorldCup #Indosport</t>
  </si>
  <si>
    <t>mengingat argentina menjadi juara piala dunia bersamaan dengan itu kapten albiceleste lionel messi juga meraih penghargaan sebagai pemain terbaik dengan menerima golden gall</t>
  </si>
  <si>
    <t>['mengingat', 'argentina', 'menjadi', 'juara', 'piala', 'dunia', 'bersamaan', 'kapten', 'albiceleste', 'lionel', 'messi', 'meraih', 'penghargaan', 'pemain', 'terbaik', 'menerima', 'golden', 'gall']</t>
  </si>
  <si>
    <t>@vickyh23_ @idextratime Gw informasikan yah bro, jadi gini setiap acara besar apapun pihak penyelenggara sudah menyaipakan dua properti untuk perayaan juara, seperti bus untuk Argentina dan bus untuk Prancis, dan properti juara lainnya juga sama panitia p</t>
  </si>
  <si>
    <t>informasikan yah bro jadi gini setiap acara besar apapun pihak penyelenggara sudah menyaipakan dua properti untuk perayaan juara seperti bus untuk argentina dan bus untuk prancis dan properti juara lainnya juga sama panitia</t>
  </si>
  <si>
    <t>['informasikan', 'bro', 'jadi', 'gini', 'acara', 'besar', 'apapun', 'pihak', 'penyelenggara', 'menyaipakan', 'properti', 'perayaan', 'juara', 'bus', 'argentina', 'bus', 'prancis', 'properti', 'juara', 'lainnya', 'sama', 'panitia']</t>
  </si>
  <si>
    <t>Tanpa Ragu Barack Obama Sebut Messi sebagai GOAT, Buntut Argentina Juara Piala Dunia 2022  https://t.co/60uIOGJnot #Messi #GOATìÉµ #Argentina #ArgentinaVsFrance</t>
  </si>
  <si>
    <t>tanpa ragu barack obama sebut messi sebagai goat buntut argentina juara piala dunia</t>
  </si>
  <si>
    <t>['ragu', 'barack', 'obama', 'sebut', 'messi', 'goat', 'buntut', 'argentina', 'juara', 'piala', 'dunia']</t>
  </si>
  <si>
    <t>Impian ngeliat Italia juara Euro Championship bareng Argentina juara Copa America sudah terwujud tahun lalu. Impian ngeliat Italia dan Argentina ketemu di final #FIFAWorldCup belum terwujud.   Forza Italia, Vamos Argentina.</t>
  </si>
  <si>
    <t>impian ngeliat italia juara euro championship bareng argentina juara copa america sudah terwujud tahun lalu impian ngeliat italia dan argentina ketemu final belum terwujud forza italia vamos argentina</t>
  </si>
  <si>
    <t>['impian', 'ngeliat', 'italia', 'juara', 'euro', 'championship', 'bareng', 'argentina', 'juara', 'copa', 'america', 'terwujud', 'tahun', 'lalu', 'impian', 'ngeliat', 'italia', 'argentina', 'ketemu', 'final', 'terwujud', 'forza', 'italia', 'vamos', 'argentina']</t>
  </si>
  <si>
    <t>&lt;FreqDist with 17 samples and 25 outcomes&gt;</t>
  </si>
  <si>
    <t>Pria yang baru antarkan Argentina jadi juara Piala Dunia 2022 ini punya penghasilan mencapai ratusan juta dolar, lho! Segini penghasilan dan total hartanya.   https://t.co/klOCb60ggl</t>
  </si>
  <si>
    <t>@vickyh23_ @idextratime terkadang melihat fans¬≤ ronaldog ini kasian, aku rasa hal seperti ini akan dibahas sampai WC selanjutnya. mereka ini benar¬≤ mencari topik dan sampai kapanpun tidak akan bisa menerima fakta bahwa Argentina juara. Cry more puszy, c</t>
  </si>
  <si>
    <t>terkadang melihat fans ronaldog ini kasian aku rasa hal seperti ini akan dibahas sampai selanjutnya mereka ini benar mencari topik dan sampai kapanpun tidak akan bisa menerima fakta bahwa argentina juara cry more puszy</t>
  </si>
  <si>
    <t>['terkadang', 'melihat', 'fans', 'ronaldog', 'kasian', 'aku', 'rasa', 'dibahas', 'selanjutnya', 'benar', 'mencari', 'topik', 'kapanpun', 'menerima', 'fakta', 'argentina', 'juara', 'cry', 'more', 'puszy']</t>
  </si>
  <si>
    <t>Pelatih Argentina, Lionel Scaloni, membeberkan percakapannya dengan Lionel Messi.  Dia yakin obrolan itulah yang menjadi pemicu timnya juara Piala Dunia 2022. üèÜü•áüá¶üá∑  https://t.co/bOLMTY7Mcm</t>
  </si>
  <si>
    <t>pelatih argentina lionel scaloni membeberkan percakapannya dengan lionel messi dia yakin obrolan itulah yang menjadi pemicu timnya juara piala dunia</t>
  </si>
  <si>
    <t>['pelatih', 'argentina', 'lionel', 'scaloni', 'membeberkan', 'percakapannya', 'lionel', 'messi', 'yakin', 'obrolan', 'menjadi', 'pemicu', 'timnya', 'juara', 'piala', 'dunia']</t>
  </si>
  <si>
    <t>Pelatih Argentina, Lionel Scaloni, membeberkan percakapannya dengan Lionel Messi.  Dia yakin obrolan itulah yang menjadi pemicu timnya juara Piala Dunia 2022. üèÜü•áüá¶üá∑  https://t.co/NHoR8nKy2o</t>
  </si>
  <si>
    <t>@ArnoldPoernomo Tenggelam sama berita Argentina juara piala dunia</t>
  </si>
  <si>
    <t>tenggelam sama berita argentina juara piala dunia</t>
  </si>
  <si>
    <t>['tenggelam', 'sama', 'berita', 'argentina', 'juara', 'piala', 'dunia']</t>
  </si>
  <si>
    <t>Saya setuju pak Jokowi 3 periode. Karena sejak jaman Jokowi lah Argentina bisa juara piala dunia. Dah cocok belum nih jadi direktur?ü§™üòúüòÇ</t>
  </si>
  <si>
    <t>saya setuju pak jokowi periode karena sejak jaman jokowi lah argentina bisa juara piala dunia dah cocok belum nih jadi direktur</t>
  </si>
  <si>
    <t>['setuju', 'pak', 'jokowi', 'periode', 'sejak', 'jaman', 'jokowi', 'lah', 'argentina', 'juara', 'piala', 'dunia', 'dah', 'cocok', 'jadi', 'direktur']</t>
  </si>
  <si>
    <t>@Brozholic Yg juara Argentina yg kepanasan fans merdaü§£</t>
  </si>
  <si>
    <t>juara argentina kepanasan fans merda</t>
  </si>
  <si>
    <t>['juara', 'argentina', 'kepanasan', 'fans', 'merda']</t>
  </si>
  <si>
    <t>@wiranagara Sulit, Argentina berhasil menjuarai piala dunia, sedang aku di hatimu menjadi juara kedua. Akulah si Prancis itu, lelah berjuang namun tetap berujung terkikis.</t>
  </si>
  <si>
    <t>sulit argentina berhasil menjuarai piala dunia sedang aku hatimu menjadi juara kedua akulah prancis itu lelah berjuang namun tetap berujung terkikis</t>
  </si>
  <si>
    <t>['sulit', 'argentina', 'berhasil', 'menjuarai', 'piala', 'dunia', 'sedang', 'aku', 'hatimu', 'menjadi', 'juara', 'kedua', 'akulah', 'prancis', 'lelah', 'berjuang', 'tetap', 'berujung', 'terkikis']</t>
  </si>
  <si>
    <t>Keberhasilan Argentina memenangi Piala Dunia 2022 membuat Juventus tetap berada di urutan teratas sebagai klub dengan pemilik juara dunia terbanyak!   https://t.co/2x9vxj0BxU</t>
  </si>
  <si>
    <t>keberhasilan argentina memenangi piala dunia membuat juventus tetap berada urutan teratas sebagai klub dengan pemilik juara dunia terbanyak</t>
  </si>
  <si>
    <t>['keberhasilan', 'argentina', 'memenangi', 'piala', 'dunia', 'membuat', 'juventus', 'tetap', 'berada', 'urutan', 'teratas', 'klub', 'pemilik', 'juara', 'dunia', 'terbanyak']</t>
  </si>
  <si>
    <t>Pemerintah Argentina menetapkan hari ini, Selasa, 20 Desember 2022 sebagai hari libur nasional. Hal ini diputuskan usai Lionel Messi dkk berhasil menjadi juara di Piala Dunia 2022.   https://t.co/OqJ46dbCqm</t>
  </si>
  <si>
    <t>pemerintah argentina menetapkan hari ini selasa desember sebagai hari libur nasional hal ini diputuskan usai lionel messi dkk berhasil menjadi juara piala dunia</t>
  </si>
  <si>
    <t>['pemerintah', 'argentina', 'menetapkan', 'hari', 'selasa', 'desember', 'hari', 'libur', 'nasional', 'diputuskan', 'usai', 'lionel', 'messi', 'dkk', 'berhasil', 'menjadi', 'juara', 'piala', 'dunia']</t>
  </si>
  <si>
    <t>@DennySeggssegar @afifurrohman82 @Gdmn77 @idextratime Lah portugal mewah kok gk bisa juara bro??. Padahal pemain Argentina gk ada yg terkenal. Terkenal pun yg tua tua udahan. Kyk Messi, di maria, dybala. Gitu doang.??? Alasan apalagi??</t>
  </si>
  <si>
    <t>lah portugal mewah kok bisa juara bro padahal pemain argentina ada terkenal terkenal pun tua tua udahan kyk messi maria dybala gitu doang alasan apalagi</t>
  </si>
  <si>
    <t>['lah', 'portugal', 'mewah', 'kok', 'juara', 'bro', 'padahal', 'pemain', 'argentina', 'terkenal', 'terkenal', 'tua', 'tua', 'udahan', 'seperti', 'messi', 'maria', 'dybala', 'gitu', 'doang', 'alasan']</t>
  </si>
  <si>
    <t>@The_RedsIndo itu yang duduknya di atas pemain kunci juara Argentina atau bodyguard Messi ?</t>
  </si>
  <si>
    <t>redsindo itu yang duduknya atas pemain kunci juara argentina atau bodyguard messi</t>
  </si>
  <si>
    <t>['redsindo', 'duduknya', 'atas', 'pemain', 'kunci', 'juara', 'argentina', 'bodyguard', 'messi']</t>
  </si>
  <si>
    <t>Ucapan dari pemimpin üá∫üá∏üá∑üá∫üá´üá∑üáÆüá≥ atas keberhasilan Argentina menjadi juara Piala Dunia Qatar 2022  https://t.co/TZ3FPuhaJ7</t>
  </si>
  <si>
    <t>ucapan dari pemimpin atas keberhasilan argentina menjadi juara piala dunia qatar</t>
  </si>
  <si>
    <t>['ucapan', 'pemimpin', 'atas', 'keberhasilan', 'argentina', 'menjadi', 'juara', 'piala', 'dunia', 'qatar']</t>
  </si>
  <si>
    <t>@dum2nd @The_RedsIndo Begonya dimana?  Yg juara argentina negara nya bos, juara bebas lah</t>
  </si>
  <si>
    <t>redsindo begonya dimana juara argentina negara nya bos juara bebas lah</t>
  </si>
  <si>
    <t>['redsindo', 'begonya', 'juara', 'argentina', 'negara', 'bos', 'juara', 'bebas', 'lah']</t>
  </si>
  <si>
    <t>Keluaran Sydney 20 Desember 2022  Result: 9235 Shio: Naga #PancingHoki #situspulsa - Prediksi China Selasa, 20 Desember 2022 AI: 5 2 3 4 2D: 52 84 93 87 4D: 2397 7847 9879 Best: 48 78 37 Shio: Kelinci BBFS: 725430 #Pancingtoto #argentinajuara #akhirtahun  https://t.co/SfTMffIW2U</t>
  </si>
  <si>
    <t>keluaran sydney desember result shio naga prediksi china selasa desember best shio kelinci bbfs</t>
  </si>
  <si>
    <t>['keluaran', 'sydney', 'desember', 'result', 'shio', 'naga', 'prediksi', 'china', 'selasa', 'desember', 'best', 'shio', 'kelinci', 'bbfs']</t>
  </si>
  <si>
    <t>Usai mendarat, skuad juara Argentina akan menaiki bus terbuka untuk memulai parade kemenangan menuju monumen Obelisk, siang waktu setempat.</t>
  </si>
  <si>
    <t>usai mendarat skuad juara argentina akan menaiki bus terbuka untuk memulai parade kemenangan menuju monumen obelisk siang waktu setempat</t>
  </si>
  <si>
    <t>['usai', 'mendarat', 'skuad', 'juara', 'argentina', 'menaiki', 'bus', 'terbuka', 'memulai', 'parade', 'kemenangan', 'menuju', 'monumen', 'obelisk', 'siang', 'waktu', 'setempat']</t>
  </si>
  <si>
    <t>Timnas Argentina pada Selasa (20/12/2022) dini hari, mendarat di Bandara Internasional Ministro Pistarini, Ezeiza, Buenos Aires.  Lionel Messi dan kawan-kawan disambut lautan warga Argentina yang menantikan kehadiran juara Piala Dunia Qatar 2022.</t>
  </si>
  <si>
    <t>timnas argentina pada selasa dini hari mendarat bandara internasional ministro pistarini ezeiza buenos aires lionel messi dan kawan kawan disambut lautan warga argentina yang menantikan kehadiran juara piala dunia qatar</t>
  </si>
  <si>
    <t>['timnas', 'argentina', 'selasa', 'dini', 'hari', 'mendarat', 'bandara', 'internasional', 'ministro', 'pistarini', 'ezeiza', 'buenos', 'aires', 'lionel', 'messi', 'kawan', 'kawan', 'disambut', 'lautan', 'warga', 'argentina', 'menantikan', 'kehadiran', 'juara', 'piala', 'dunia', 'qatar']</t>
  </si>
  <si>
    <t>4 Politisi Partai Golkar Yang Jagokan Argentina Juara Piala Dunia Qatar 2022  1. Dedi Mulyadi (Anggota DPR RI) 2. Indah Putri Indriani (Bupati Luwu Utara) 3. Ahmed Zaki Iskandar (Bupati Tangerang) 4. Agun Gunandjar Sudarsa (Anggota DPR RI)  #partaigolkar #golkarpedia  https://t.co/4iwdnSrfYk</t>
  </si>
  <si>
    <t>politisi partai golkar yang jagokan argentina juara piala dunia qatar dedi mulyadi anggota dpr indah putri indriani bupati luwu utara ahmed zaki iskandar bupati tangerang agun gunandjar sudarsa anggota dpr</t>
  </si>
  <si>
    <t>['politisi', 'partai', 'golkar', 'jagokan', 'argentina', 'juara', 'piala', 'dunia', 'qatar', 'dedi', 'mulyadi', 'anggota', 'dpr', 'indah', 'putri', 'indriani', 'bupati', 'luwu', 'utara', 'ahmed', 'zaki', 'iskandar', 'bupati', 'tangerang', 'agun', 'gunandjar', 'sudarsa', 'anggota', 'dpr']</t>
  </si>
  <si>
    <t>Juara mah bebas! üá¶üá∑üèÜ  ‚úÖPresiden Argentina Alberto Fernandez umumkan tanggal 20 Desember sebagia hari libur nasional usai Lionel Messi dkk juara Piala Dunia 2022 Qatar.  https://t.co/bH4BkK5jH5</t>
  </si>
  <si>
    <t>juara mah bebas presiden argentina alberto fernandez umumkan tanggal desember sebagia hari libur nasional usai lionel messi dkk juara piala dunia qatar</t>
  </si>
  <si>
    <t>['juara', 'mah', 'bebas', 'presiden', 'argentina', 'alberto', 'fernandez', 'umumkan', 'tanggal', 'desember', 'sebagia', 'hari', 'libur', 'nasional', 'usai', 'lionel', 'messi', 'dkk', 'juara', 'piala', 'dunia', 'qatar']</t>
  </si>
  <si>
    <t>@caniagobulls @idextratime Blog diem,,, argentina juara,,,, kbnykan nonton larva ya kek gni</t>
  </si>
  <si>
    <t>blog diem argentina juara kbnykan nonton larva kek gni</t>
  </si>
  <si>
    <t>['blog', 'diem', 'argentina', 'juara', 'kbnykan', 'nonton', 'larva', 'kek', 'gni']</t>
  </si>
  <si>
    <t>Suka nonton film tpi kadang suka juga nonton anime jepang yang lucu lucu, selamat juga untuk argentina atas juara di piala dunia pasti dapat iphone   https://t.co/mbM55RfvmE  https://t.co/fGHORMuLFY  https://t.co/lhgAG4Si8H  https://t.co/skNzDHY3fF  https://t.co/N1opRkJbqR #Netflix  https://t.co/jbpGqUwk8g</t>
  </si>
  <si>
    <t>suka nonton film tpi kadang suka juga nonton anime jepang yang lucu lucu selamat juga untuk argentina atas juara piala dunia pasti dapat iphone</t>
  </si>
  <si>
    <t>['suka', 'nonton', 'film', 'tpi', 'kadang', 'suka', 'nonton', 'anime', 'jepang', 'lucu', 'lucu', 'selamat', 'argentina', 'atas', 'juara', 'piala', 'dunia', 'iphone']</t>
  </si>
  <si>
    <t>Jadi sebenarnya Fifa World cup 2022 Qatar sudah di setting,  Wasit dibayar FIFA Mbappe jadi Top Skor Argentina jadi juara Messi sudah memberikan banyak keuntungan kepada FIFA Dan kampanye LGBT sukses Seterusnya gue gk tau soalnya gue ngarang.</t>
  </si>
  <si>
    <t>jadi sebenarnya fifa world cup qatar sudah setting wasit dibayar fifa mbappe jadi top skor argentina jadi juara messi sudah memberikan banyak keuntungan kepada fifa dan kampanye lgbt sukses seterusnya gue tau soalnya gue ngarang</t>
  </si>
  <si>
    <t>['jadi', 'sebenarnya', 'fifa', 'world', 'cup', 'qatar', 'setting', 'wasit', 'dibayar', 'fifa', 'mbappe', 'jadi', 'top', 'skor', 'argentina', 'jadi', 'juara', 'messi', 'memberikan', 'banyak', 'keuntungan', 'fifa', 'kampanye', 'lgbt', 'sukses', 'gue', 'soalnya', 'gue', 'ngarang']</t>
  </si>
  <si>
    <t>@vickyh23_ @idextratime bego. ya namanya udah masuk final semua sudah prepare lah untuk jadi juara. itu pemain argentina juga pakai jersey khusus saat penyerahan trofi, itu settingan juga? ntar lw liat dah kalo tim2 di liga2 gede udah hampir dipastikan ju</t>
  </si>
  <si>
    <t>bego namanya udah masuk final semua sudah prepare lah untuk jadi juara itu pemain argentina juga pakai jersey khusus saat penyerahan trofi itu settingan juga ntar liat dah kalo tim liga gede udah hampir dipastikan</t>
  </si>
  <si>
    <t>['bego', 'namanya', 'udah', 'masuk', 'final', 'semua', 'prepare', 'lah', 'jadi', 'juara', 'pemain', 'argentina', 'pakai', 'jersey', 'khusus', 'penyerahan', 'trofi', 'settingan', 'ntar', 'lihat', 'dah', 'tim', 'liga', 'gede', 'udah', 'hampir', 'dipastikan']</t>
  </si>
  <si>
    <t>Timnas Argentina pada Selasa (20/12/2022) dini hari, mendarat di Bandara Internasional Ministro Pistarini, Ezeiza, Buenos Aires. Dengan Pesawat Airbus 330-200, Lionel Messi dan kawan-kawan disambut lautan warga Argentina yang menantikan kehadiran juara‚Ä¶  https://t.co/iijtye6p3q</t>
  </si>
  <si>
    <t>timnas argentina pada selasa dini hari mendarat bandara internasional ministro pistarini ezeiza buenos aires dengan pesawat airbus lionel messi dan kawan kawan disambut lautan warga argentina yang menantikan kehadiran juara</t>
  </si>
  <si>
    <t>['timnas', 'argentina', 'selasa', 'dini', 'hari', 'mendarat', 'bandara', 'internasional', 'ministro', 'pistarini', 'ezeiza', 'buenos', 'aires', 'pesawat', 'airbus', 'lionel', 'messi', 'kawan', 'kawan', 'disambut', 'lautan', 'warga', 'argentina', 'menantikan', 'kehadiran', 'juara']</t>
  </si>
  <si>
    <t>@Nobody__oz @Pung_pratamaaa @mybenexttime @Box2BoxBola Faktanya hampir semua fans barca kemaren dukung Argentina buat liat messi juara, sebaliknya mayoritas fans Madrid dukung prancis krn gamau messi juara, gamau rival GAOT nya juara wkwk Liat bedanya?  F</t>
  </si>
  <si>
    <t>pratamaaa faktanya hampir semua fans barca kemaren dukung argentina buat liat messi juara sebaliknya mayoritas fans madrid dukung prancis krn gamau messi juara gamau rival gaot nya juara wkwk liat bedanya</t>
  </si>
  <si>
    <t>['pratamaaa', 'faktanya', 'hampir', 'semua', 'fans', 'barca', 'kemarin', 'dukung', 'argentina', 'buat', 'lihat', 'messi', 'juara', 'sebaliknya', 'mayoritas', 'fans', 'madrid', 'dukung', 'prancis', 'gamau', 'messi', 'juara', 'gamau', 'rival', 'gaot', 'juara', 'lihat', 'bedanya']</t>
  </si>
  <si>
    <t>@vickyh23_ @idextratime Jdi org jgn bego" banget, sebelum partai final baik Perancis ataupun Argentina udah di sediakan FIFA Bus, Jersey, dll. Jika salah satu dri mereka juara tinggal pakai, contoh lain bisa lihat dri rider" MotoGP ketika mereka juara pas</t>
  </si>
  <si>
    <t>jdi org jgn bego banget sebelum partai final baik perancis ataupun argentina udah sediakan fifa bus jersey dll jika salah satu dri mereka juara tinggal pakai contoh lain bisa lihat dri rider motogp ketika mereka juara pas</t>
  </si>
  <si>
    <t>['jdi', 'org', 'bego', 'banget', 'partai', 'final', 'baik', 'perancis', 'ataupun', 'argentina', 'udah', 'sediakan', 'fifa', 'bus', 'jersey', 'salah', 'satu', 'dri', 'juara', 'tinggal', 'pakai', 'contoh', 'lihat', 'dri', 'rider', 'motogp', 'juara', 'pas']</t>
  </si>
  <si>
    <t>@detikcom Serius? Tpi paling gak kan timnas argentina juara dunia,klo timnas kita...level asia tenggara masih ngos2an. Dan kita juga CETAK UTANG BANYAK loh</t>
  </si>
  <si>
    <t>serius tpi paling gak kan timnas argentina juara dunia klo timnas kita level asia tenggara masih ngos dan kita juga cetak utang banyak loh</t>
  </si>
  <si>
    <t>['serius', 'tpi', 'paling', 'kan', 'timnas', 'argentina', 'juara', 'dunia', 'timnas', 'level', 'asia', 'tenggara', 'ngos', 'cetak', 'utang', 'banyak']</t>
  </si>
  <si>
    <t>@realmadridindo1 salt bae aja nimbrung argentina juara, masa @aguerosergiokun ga boleh?  https://t.co/VicHxLATSG</t>
  </si>
  <si>
    <t>salt bae aja nimbrung argentina juara masa boleh</t>
  </si>
  <si>
    <t>['salt', 'bae', 'nimbrung', 'argentina', 'juara', 'masa']</t>
  </si>
  <si>
    <t>@Cidanaiskadar selamat kakak Argentina juara ü§ó</t>
  </si>
  <si>
    <t>selamat kakak argentina juara</t>
  </si>
  <si>
    <t>['selamat', 'kakak', 'argentina', 'juara']</t>
  </si>
  <si>
    <t>FIFA WORD CUP 2022 SUDAH SELESAI DAN ARGENTINA üá¶üá∑ YANG BERHASIL MENJADI JUARA ! Semoga FIFA WORD CUP 2026 nanti KITA nontonnya bareng ya DIRUMAH ü§≠üòä</t>
  </si>
  <si>
    <t>fifa word cup sudah selesai dan argentina yang berhasil menjadi juara semoga fifa word cup nanti kita nontonnya bareng dirumah</t>
  </si>
  <si>
    <t>['fifa', 'word', 'cup', 'selesai', 'argentina', 'berhasil', 'menjadi', 'juara', 'semoga', 'fifa', 'word', 'cup', 'nontonnya', 'bareng', 'dirumah']</t>
  </si>
  <si>
    <t>Udah siang waktunya apa? Makan enaaak  Argentina udah jadi juara pildun. Aku kapan juara dihati kamu?  https://t.co/6syHx3ez57</t>
  </si>
  <si>
    <t>udah siang waktunya apa makan enaaak argentina udah jadi juara pildun aku kapan juara dihati kamu</t>
  </si>
  <si>
    <t>['udah', 'siang', 'waktunya', 'apa', 'makan', 'enaaak', 'argentina', 'udah', 'jadi', 'juara', 'piala dunia', 'aku', 'kapan', 'juara', 'dihati', 'kamu']</t>
  </si>
  <si>
    <t>@Cidanaiskadar sama kak, aku juga seneng Argentina juara üòÉ</t>
  </si>
  <si>
    <t>sama kak aku juga seneng argentina juara</t>
  </si>
  <si>
    <t>['sama', 'kak', 'aku', 'seneng', 'argentina', 'juara']</t>
  </si>
  <si>
    <t>ARGENTINA JUARA PIALA DUNIAAA  üá¶üá∑ üèÜ üá¶üá∑  https://t.co/lozXuNMiGS</t>
  </si>
  <si>
    <t>argentina juara piala duniaaa</t>
  </si>
  <si>
    <t>['argentina', 'juara', 'piala', 'duniaaa']</t>
  </si>
  <si>
    <t>Rayakan Juara Piala Dunia, Argentina Umumkan Libur Nasional #NewsRCTIPlus @RCTIPlus  https://t.co/bvCU1Mw2Jg</t>
  </si>
  <si>
    <t>rayakan juara piala dunia argentina umumkan libur nasional</t>
  </si>
  <si>
    <t>['rayakan', 'juara', 'piala', 'dunia', 'argentina', 'umumkan', 'libur', 'nasional']</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</si>
  <si>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</si>
  <si>
    <t>momen momen perhelatan akbar seperti even world cup memang tidak dapat sepenuhnya dihindarkan dari menjadi ajang pemuatan pesan pesan dan propaganda politik sbg turnamen argentina sang juara world cup qatar namun secara politik palestina adalah pemenangnya sana</t>
  </si>
  <si>
    <t>['momen', 'momen', 'perhelatan', 'akbar', 'even', 'world', 'cup', 'memang', 'sepenuhnya', 'dihindarkan', 'menjadi', 'ajang', 'pemuatan', 'pesan', 'pesan', 'propaganda', 'politik', 'sbg', 'turnamen', 'argentina', 'sang', 'juara', 'world', 'cup', 'qatar', 'politik', 'palestina', 'pemenangnya', 'sana']</t>
  </si>
  <si>
    <t>@korantempo Karakter nya sdh bgtu om dimaklumi sj...  Pdhal fakta Esemka sdh jelas tapi ya masyarakat kita memang senang di Janji...  Keberhasilan pak Jokowi yg terbaru adalah :"Argentina juara piala dunia setelah 36 tahun", hanya dijaman pak Jokowi...bgm</t>
  </si>
  <si>
    <t>karakter nya sdh bgtu dimaklumi pdhal fakta esemka sdh jelas tapi masyarakat kita memang senang janji keberhasilan pak jokowi terbaru adalah argentina juara piala dunia setelah tahun hanya dijaman pak jokowi bgm</t>
  </si>
  <si>
    <t>['karakter', 'bgtu', 'dimaklumi', 'pdhal', 'fakta', 'esemka', 'jelas', 'masyarakat', 'memang', 'senang', 'janji', 'keberhasilan', 'pak', 'jokowi', 'terbaru', 'argentina', 'juara', 'piala', 'dunia', 'tahun', 'dijaman', 'pak', 'jokowi', 'bgm']</t>
  </si>
  <si>
    <t>Lionel Messi dan Tim Argentina Makan Malam Rayakan Juara Piala Dunia 2022  https://t.co/g8ptxgJnyn</t>
  </si>
  <si>
    <t>lionel messi dan tim argentina makan malam rayakan juara piala dunia</t>
  </si>
  <si>
    <t>['lionel', 'messi', 'tim', 'argentina', 'makan', 'malam', 'rayakan', 'juara', 'piala', 'dunia']</t>
  </si>
  <si>
    <t>@idextratime Poster yang nampilin Argentina juara + foto pribadi aja lebih banyak di negara Gotham kayaknya</t>
  </si>
  <si>
    <t>poster yang nampilin argentina juara foto pribadi aja lebih banyak negara gotham kayaknya</t>
  </si>
  <si>
    <t>['poster', 'nampilin', 'argentina', 'juara', 'foto', 'pribadi', 'lebih', 'banyak', 'negara', 'gotham', 'kayaknya']</t>
  </si>
  <si>
    <t>@Cidanaiskadar selamat kak Argentina juara ‚ú®</t>
  </si>
  <si>
    <t>selamat kak argentina juara</t>
  </si>
  <si>
    <t>['selamat', 'kak', 'argentina', 'juara']</t>
  </si>
  <si>
    <t>Di Kota Buenos Aires, jutaan warga Argentina berpesta di monumen terkenal, Obeliks. Pemandangan drone yang menakjubkan menggambarkan rasa gembira warga Argentina yang telah lama menanti gelar juara.   #Liputan6SCTV   Berita lainnya:  https://t.co/qb6lW4Vzxl  https://t.co/5wLzoLW2Zk</t>
  </si>
  <si>
    <t>kota buenos aires jutaan warga argentina berpesta monumen terkenal obeliks pemandangan drone yang menakjubkan menggambarkan rasa gembira warga argentina yang telah lama menanti gelar juara berita lainnya</t>
  </si>
  <si>
    <t>['kota', 'buenos', 'aires', 'jutaan', 'warga', 'argentina', 'berpesta', 'monumen', 'terkenal', 'obeliks', 'pemandangan', 'drone', 'menakjubkan', 'menggambarkan', 'rasa', 'gembira', 'warga', 'argentina', 'lama', 'menanti', 'gelar', 'juara', 'berita', 'lainnya']</t>
  </si>
  <si>
    <t>@rianinurrlaras Love care bisa kapan kak ?</t>
  </si>
  <si>
    <t>love care bisa kapan kak</t>
  </si>
  <si>
    <t>['love', 'care', 'kapan', 'kak']</t>
  </si>
  <si>
    <t>@Herwinwijaya14 @registaco @adidasfootball Portugal gak punya warisan sepakbola? Terus Eusebio dulu yang bikin Portugal bisa finish ke 3 di PD 1966 gak diitung? Terus lupa sama Luis Figo ama Deco? Pas Argentina terakhir juara, Messi aja belom lahir cuy.</t>
  </si>
  <si>
    <t>portugal gak punya warisan sepakbola terus eusebio dulu yang bikin portugal bisa finish gak diitung terus lupa sama luis figo ama deco pas argentina terakhir juara messi aja belom lahir cuy</t>
  </si>
  <si>
    <t>['portugal', 'punya', 'warisan', 'sepakbola', 'terus', 'eusebio', 'dulu', 'portugal', 'finish', 'diitung', 'terus', 'lupa', 'sama', 'luis', 'figo', 'ama', 'deco', 'pas', 'argentina', 'terakhir', 'juara', 'messi', 'belom', 'lahir']</t>
  </si>
  <si>
    <t>Juara Piala Dunia 2022, Pemerintah Argentina Umumkan Hari Libur Nasional  https://t.co/p9ybBT34EU</t>
  </si>
  <si>
    <t>@meirzaluthfi wassswww hampir saja akan ada berita "argentina kehilangan sang messi saat perayaan juara dunia" üò≠ü§£</t>
  </si>
  <si>
    <t>wassswww hampir saja akan ada berita argentina kehilangan sang messi saat perayaan juara dunia</t>
  </si>
  <si>
    <t>['wassswww', 'hampir', 'berita', 'argentina', 'kehilangan', 'sang', 'messi', 'perayaan', 'juara', 'dunia']</t>
  </si>
  <si>
    <t>@FaktaSepakbola @The_RedsIndo salt bae aja nimbrung argentina juara, masa  aguero ga boleh nimbrung.</t>
  </si>
  <si>
    <t>redsindo salt bae aja nimbrung argentina juara masa aguero boleh nimbrung</t>
  </si>
  <si>
    <t>['redsindo', 'salt', 'bae', 'nimbrung', 'argentina', 'juara', 'masa', 'aguero', 'nimbrung']</t>
  </si>
  <si>
    <t>@fajriabdillah93 @pelaksanaSini @ariffuadi79 @idextratime Loh kurang apa dlu playmaker Argentina, ada Riquelme, Aimar, veron. Emg nasibnya ga juara aja üòÖ</t>
  </si>
  <si>
    <t>loh kurang apa dlu playmaker argentina ada riquelme aimar veron emg nasibnya juara aja</t>
  </si>
  <si>
    <t>['kurang', 'apa', 'dlu', 'playmaker', 'argentina', 'riquelme', 'aimar', 'veron', 'memang', 'nasibnya', 'juara']</t>
  </si>
  <si>
    <t>pemain bola selain Zidane yg bikin gue ngikutin bola... sayangnya dia ngga pernah juara piala dunia bersama timnas Argentina..  https://t.co/9kHv73hNXX</t>
  </si>
  <si>
    <t>pemain bola selain zidane bikin gue ngikutin bola sayangnya dia ngga pernah juara piala dunia bersama timnas argentina</t>
  </si>
  <si>
    <t>['pemain', 'bola', 'zidane', 'gue', 'ngikutin', 'bola', 'sayangnya', 'ngga', 'pernah', 'juara', 'piala', 'dunia', 'bersama', 'timnas', 'argentina']</t>
  </si>
  <si>
    <t>dia nggak tau aja BTS emang sakti beneran, sukses pake ilmu sihir. noh lu liat aja jin perform di Argentina lsg jadi juara world cup, sakti mandraguna woyyy idol gwüòÇ your idols can't relateü§£ü§£üí™</t>
  </si>
  <si>
    <t>dia nggak tau aja bts emang sakti beneran sukses pake ilmu sihir noh liat aja jin perform argentina lsg jadi juara world cup sakti mandraguna woyyy idol your idols can relate</t>
  </si>
  <si>
    <t>['bts', 'emang', 'sakti', 'beneran', 'sukses', 'pake', 'ilmu', 'sihir', 'noh', 'lihat', 'jin', 'perform', 'argentina', 'lsg', 'jadi', 'juara', 'world', 'cup', 'sakti', 'mandraguna', 'woyyy', 'idol', 'your', 'idols', 'can', 'relate']</t>
  </si>
  <si>
    <t>@jimxaszh Merasakan kalo suasananya asik banget, apalagi pas Argentina juara, beuhüòÉ</t>
  </si>
  <si>
    <t>merasakan kalo suasananya asik banget apalagi pas argentina juara beuh</t>
  </si>
  <si>
    <t>['merasakan', 'suasananya', 'asik', 'banget', 'pas', 'argentina', 'juara', 'beuh']</t>
  </si>
  <si>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</si>
  <si>
    <t>presiden barcelona joan laporta ucapkan selamat lionel messi usai membawa argentina juara piala dunia dia mengatakan sepak bola utang budi pada pulga frz selengkapnya</t>
  </si>
  <si>
    <t>['presiden', 'barcelona', 'joan', 'laporta', 'ucapkan', 'selamat', 'lionel', 'messi', 'usai', 'membawa', 'argentina', 'juara', 'piala', 'dunia', 'mengatakan', 'sepak', 'bola', 'utang', 'budi', 'pulga', 'frz', 'selengkapnya']</t>
  </si>
  <si>
    <t>@FWBESS Mana sih sendernya, ??</t>
  </si>
  <si>
    <t>mana sih sendernya</t>
  </si>
  <si>
    <t>['mana', 'sendernya']</t>
  </si>
  <si>
    <t>ARGENTINA JUARA PIALA DUNIA, MESSI PEMAIN TERBAIK SEPANJANG MASA  #golkar2024 #pialadunia2022 #sepakbola #messi #argentina #ARGENTINAVSFRANCE  https://t.co/7whu5TW1wg</t>
  </si>
  <si>
    <t>Masih berasa moment malam Argentina juara &amp;amp; pada waktu yg sama gua lagi ngetake musik dengan hasil yg memuaskan. DOUBLE MERINDINGNYA ü•∂</t>
  </si>
  <si>
    <t>masih berasa moment malam argentina juara pada waktu sama gua lagi ngetake musik dengan hasil memuaskan double merindingnya</t>
  </si>
  <si>
    <t>['berasa', 'moment', 'malam', 'argentina', 'juara', 'waktu', 'sama', 'gua', 'ngetake', 'musik', 'hasil', 'memuaskan', 'double', 'merindingnya']</t>
  </si>
  <si>
    <t>Argentina juara, harga jersey nya langsung ‚¨ÜÔ∏è</t>
  </si>
  <si>
    <t>argentina juara harga jersey nya langsung</t>
  </si>
  <si>
    <t>['argentina', 'juara', 'harga', 'jersey', 'langsung']</t>
  </si>
  <si>
    <t>Lionel Messi membawa Argentina juara Piala Dunia 2022. Betapa beruntungnya Tim Tango, punya talenta hebat lagi setelah era Diego Maradona! #juaraboladunia    https://t.co/IXJEPsH7WH</t>
  </si>
  <si>
    <t>lionel messi membawa argentina juara piala dunia betapa beruntungnya tim tango punya talenta hebat lagi setelah era diego maradona</t>
  </si>
  <si>
    <t>['lionel', 'messi', 'membawa', 'argentina', 'juara', 'piala', 'dunia', 'betapa', 'beruntungnya', 'tim', 'tango', 'punya', 'talenta', 'hebat', 'era', 'diego', 'maradona']</t>
  </si>
  <si>
    <t>maroko posisi 4 kroasia juara 3 perancis juara 2  argentina juara 1  kamu juara mengecewakan ortu</t>
  </si>
  <si>
    <t>maroko posisi kroasia juara perancis juara argentina juara kamu juara mengecewakan ortu</t>
  </si>
  <si>
    <t>['maroko', 'posisi', 'kroasia', 'juara', 'perancis', 'juara', 'argentina', 'juara', 'kamu', 'juara', 'mengecewakan', 'ortu']</t>
  </si>
  <si>
    <t>@ridwankamil Padat merayap..... Tahu keramaian penduduk argentina ketika juara piala dunia 2022 di qatar...  https://t.co/I5d79XpsUK</t>
  </si>
  <si>
    <t>padat merayap tahu keramaian penduduk argentina ketika juara piala dunia qatar</t>
  </si>
  <si>
    <t>['padat', 'merayap', 'tahu', 'keramaian', 'penduduk', 'argentina', 'juara', 'piala', 'dunia', 'qatar']</t>
  </si>
  <si>
    <t>@inihernyyy @convomfs Lebih enak liat argentina juaraüá¶üá∑üòù</t>
  </si>
  <si>
    <t>lebih enak liat argentina juara</t>
  </si>
  <si>
    <t>['lebih', 'enak', 'lihat', 'argentina', 'juara']</t>
  </si>
  <si>
    <t>Prediksi Duo Mentalist Indonesia Romy dan Ury Rafael Ternyata Tepat Menebak Argentina Jadi Juara  https://t.co/8geDflvJjB</t>
  </si>
  <si>
    <t>prediksi duo mentalist indonesia romy dan ury rafael ternyata tepat menebak argentina jadi juara</t>
  </si>
  <si>
    <t>['prediksi', 'duo', 'mentalist', 'indonesia', 'romy', 'ury', 'rafael', 'ternyata', 'tepat', 'menebak', 'argentina', 'jadi', 'juara']</t>
  </si>
  <si>
    <t>@CindyLauw apalagi semenjak argentina juara ya ci haha</t>
  </si>
  <si>
    <t>apalagi semenjak argentina juara haha</t>
  </si>
  <si>
    <t>['semenjak', 'argentina', 'juara', 'haha']</t>
  </si>
  <si>
    <t>Messi akhirnya bisa menyamai pencapaian Maradona dengan membawa Argentina üá¶üá∑ menjadi juara dunia.  Menurut Jebreeeteam, udah sah ini berarti Messi jadi the real GOAT?  https://t.co/r9CRKOzb4q</t>
  </si>
  <si>
    <t>messi akhirnya bisa menyamai pencapaian maradona dengan membawa argentina menjadi juara dunia menurut jebreeeteam udah sah ini berarti messi jadi the real goat</t>
  </si>
  <si>
    <t>['messi', 'akhirnya', 'menyamai', 'pencapaian', 'maradona', 'membawa', 'argentina', 'menjadi', 'juara', 'dunia', 'jebreeeteam', 'udah', 'sah', 'berarti', 'messi', 'jadi', 'the', 'real', 'goat']</t>
  </si>
  <si>
    <t>Buenos Aires beberapa jam lalu. Tumpahnya rakyat di jalanan merayakan juara dunia telah menyatukan masyarakat yg terbelah gara2 wapres (juga ex presiden) Cristina Fernandez Kirchner ditahan. Cristina adalah Lula-nya Argentina. Progresif yg dibenci lawan2nya  https://t.co/KGuNAGAEgd</t>
  </si>
  <si>
    <t>buenos aires beberapa jam lalu tumpahnya rakyat jalanan merayakan juara dunia telah menyatukan masyarakat terbelah gara wapres juga presiden cristina fernandez kirchner ditahan cristina adalah lula nya argentina progresif dibenci lawan nya</t>
  </si>
  <si>
    <t>['buenos', 'aires', 'beberapa', 'jam', 'lalu', 'tumpahnya', 'rakyat', 'jalanan', 'merayakan', 'juara', 'dunia', 'menyatukan', 'masyarakat', 'terbelah', 'gara', 'wapres', 'presiden', 'cristina', 'fernandez', 'kirchner', 'ditahan', 'cristina', 'lula', 'argentina', 'progresif', 'dibenci', 'lawan']</t>
  </si>
  <si>
    <t>Ranking FIFA usai Argentina Juara Piala Dunia 2022  https://t.co/5CaBul8AS0</t>
  </si>
  <si>
    <t>ranking fifa usai argentina juara piala dunia</t>
  </si>
  <si>
    <t>['ranking', 'fifa', 'usai', 'argentina', 'juara', 'piala', 'dunia']</t>
  </si>
  <si>
    <t>@vickyh23_ @idextratime Busnya emang disetting FIFA untuk dua kandidat juara. Satu bus argentina satu bus prancis. Ngga ada bus portugal ngga ada sumpah ngga ada ajg!!!</t>
  </si>
  <si>
    <t>busnya emang disetting fifa untuk dua kandidat juara satu bus argentina satu bus prancis ngga ada bus portugal ngga ada sumpah ngga ada ajg</t>
  </si>
  <si>
    <t>['busnya', 'emang', 'disetting', 'fifa', 'kandidat', 'juara', 'satu', 'bus', 'argentina', 'satu', 'bus', 'prancis', 'ngga', 'bus', 'portugal', 'ngga', 'sumpah', 'ngga', 'ajg']</t>
  </si>
  <si>
    <t>8  Tahun Bagi Messi membawa Argentina Juara Dunia  https://t.co/Phr2c3Loae</t>
  </si>
  <si>
    <t>tahun bagi messi membawa argentina juara dunia</t>
  </si>
  <si>
    <t>['tahun', 'messi', 'membawa', 'argentina', 'juara', 'dunia']</t>
  </si>
  <si>
    <t>@idextratime Selain Piala, Argentina sebagai juara 1 Piala Dunia Qatar 2022 mendapat hadiah uang sebesar 655 Milyar  #FIFAWorldCup</t>
  </si>
  <si>
    <t>selain piala argentina sebagai juara piala dunia qatar mendapat hadiah uang sebesar milyar</t>
  </si>
  <si>
    <t>['piala', 'argentina', 'juara', 'piala', 'dunia', 'qatar', 'mendapat', 'hadiah', 'uang', 'sebesar', 'milyar']</t>
  </si>
  <si>
    <t>@FWBESS Kalo juga itu konten dia asli, malah banyak yg jual2 in konten orang wkkwkw Emg gak ada malunya</t>
  </si>
  <si>
    <t>kalo juga itu konten dia asli malah banyak jual konten orang wkkwkw emg gak ada malunya</t>
  </si>
  <si>
    <t>['konten', 'asli', 'malah', 'banyak', 'jual', 'konten', 'orang', 'wkkwkw', 'memang', 'malunya']</t>
  </si>
  <si>
    <t>@AfifXavi Pemain yg memulai karir sepakbola dengan kondisi fisik yg kurang sempurna, ditampung Barca, disulap Barca jd monster. Tapi kalo soal mentalitas &amp;amp; leadership, Pemain yg ngga ada obat-nya di timnas, dari dibully, disorakin supporter Argentina,</t>
  </si>
  <si>
    <t>pemain memulai karir sepakbola dengan kondisi fisik kurang sempurna ditampung barca disulap barca monster tapi kalo soal mentalitas leadership pemain ngga ada obat nya timnas dari dibully disorakin supporter argentina</t>
  </si>
  <si>
    <t>['pemain', 'memulai', 'karir', 'sepakbola', 'kondisi', 'fisik', 'kurang', 'sempurna', 'ditampung', 'barca', 'disulap', 'barca', 'monster', 'soal', 'mentalitas', 'leadership', 'pemain', 'ngga', 'obat', 'timnas', 'dibully', 'disorakin', 'supporter', 'argentina']</t>
  </si>
  <si>
    <t>Foto Messi menjulang trofi Piala Dunia sambil meraikan kemenangan gemilang Argentina ke atas juara bertahan Perancis mendapat lebih 49.8 juta ‚Äòlike‚Äô di platform media sosial  https://t.co/RrySI18Wtb</t>
  </si>
  <si>
    <t>foto messi menjulang trofi piala dunia sambil meraikan kemenangan gemilang argentina atas juara bertahan perancis mendapat lebih juta like platform media sosial</t>
  </si>
  <si>
    <t>['foto', 'messi', 'menjulang', 'trofi', 'piala', 'dunia', 'meraikan', 'kemenangan', 'gemilang', 'argentina', 'atas', 'juara', 'bertahan', 'perancis', 'mendapat', 'lebih', 'juta', 'like', 'platform', 'media', 'sosial']</t>
  </si>
  <si>
    <t>@FWBESS Cuman mau bilang, coba mana sendernya</t>
  </si>
  <si>
    <t>cuman mau bilang coba mana sendernya</t>
  </si>
  <si>
    <t>['cuman', 'mau', 'coba', 'mana', 'sendernya']</t>
  </si>
  <si>
    <t>@idextratime Argentina juara mungkin karena federasi sepakbola isinya bukan orang2 goblok kayak di negara ‚Ä¶‚Ä¶.</t>
  </si>
  <si>
    <t>argentina juara mungkin karena federasi sepakbola isinya bukan orang goblok kayak negara</t>
  </si>
  <si>
    <t>['argentina', 'juara', 'mungkin', 'federasi', 'sepakbola', 'isinya', 'bukan', 'orang', 'goblok', 'seperti', 'negara']</t>
  </si>
  <si>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</si>
  <si>
    <t>sang juara dunia timnas argentina telah tiba bandara ezeiza buenos aires masyarakat akan menggelar pesta perayaan juara piala dunia bersama messi dkkdi monumen obelisk pemerintah argentina telah menetapkan selasa ini sbg hari libur nasional</t>
  </si>
  <si>
    <t>['sang', 'juara', 'dunia', 'timnas', 'argentina', 'tiba', 'bandara', 'ezeiza', 'buenos', 'aires', 'masyarakat', 'menggelar', 'pesta', 'perayaan', 'juara', 'piala', 'dunia', 'bersama', 'messi', 'dkkdi', 'monumen', 'obelisk', 'pemerintah', 'argentina', 'menetapkan', 'selasa', 'sbg', 'hari', 'libur', 'nasional']</t>
  </si>
  <si>
    <t>Argentina Juara!  yang lain hanya buih-buih kerumunan</t>
  </si>
  <si>
    <t>argentina juara yang lain hanya buih buih kerumunan</t>
  </si>
  <si>
    <t>['argentina', 'juara', 'buih', 'buih', 'kerumunan']</t>
  </si>
  <si>
    <t>Argentina menamatkan penantian selama 36 tahun untuk menjulang trofi Piala Dunia, mengatasi Perancis 4-2 menerusi penentuan sepakan penalti. Tahniah Argentina Juara Piala Dunia 2022! üëèüèª  Ikuti kupasan kami di  https://t.co/Fjy3WsAySv  #pendapatanda #pendapatMalaysiaüá≤üáæ</t>
  </si>
  <si>
    <t>argentina menamatkan penantian selama tahun untuk menjulang trofi piala dunia mengatasi perancis menerusi penentuan sepakan penalti tahniah argentina juara piala dunia ikuti kupasan kami</t>
  </si>
  <si>
    <t>['argentina', 'menamatkan', 'penantian', 'selama', 'tahun', 'menjulang', 'trofi', 'piala', 'dunia', 'mengatasi', 'perancis', 'menerusi', 'penentuan', 'sepakan', 'penalti', 'tahniah', 'argentina', 'juara', 'piala', 'dunia', 'ikuti', 'kupasan']</t>
  </si>
  <si>
    <t>Argentina akhirnya memutus puasa 36 tahun dengan menjadi juara Piala Dunia 2022. Anak mendiang Diego Maradona pun memberikan ucapan selamat. #juaraboladunia    https://t.co/nOzGYYUMrp</t>
  </si>
  <si>
    <t>Meski tidak pernah merasakan juara Pildun, sosok Pablo Aimar dan Juan Roman Riquelme di Tim Tango, Argentina, tidak akan pernah aku lupakan... Gaya main, kesederhanaan dan kerendahan hati merekalah yang membuat aku jatuh hati untuk mengidolai mereka...</t>
  </si>
  <si>
    <t>meski tidak pernah merasakan juara pildun sosok pablo aimar dan juan roman riquelme tim tango argentina tidak akan pernah aku lupakan gaya main kesederhanaan dan kerendahan hati merekalah yang membuat aku jatuh hati untuk mengidolai mereka</t>
  </si>
  <si>
    <t>['meski', 'pernah', 'merasakan', 'juara', 'piala dunia', 'sosok', 'pablo', 'aimar', 'juan', 'roman', 'riquelme', 'tim', 'tango', 'argentina', 'pernah', 'aku', 'lupakan', 'gaya', 'main', 'kesederhanaan', 'kerendahan', 'hati', 'merekalah', 'membuat', 'aku', 'jatuh', 'hati', 'mengidolai']</t>
  </si>
  <si>
    <t>Messi Nantikan Pesta Gila di Buenos Aires Usai Argentina Juara Piala Dunia 2022  https://t.co/fx1w5P9DW6</t>
  </si>
  <si>
    <t>messi nantikan pesta gila buenos aires usai argentina juara piala dunia</t>
  </si>
  <si>
    <t>['messi', 'nantikan', 'pesta', 'gila', 'buenos', 'aires', 'usai', 'argentina', 'juara', 'piala', 'dunia']</t>
  </si>
  <si>
    <t>@vickyh23_ @idextratime Gatauuu nih aneh nih FIFA.. kan pdahal blm tau yak juara nya siapa kok ya udah ada gtu tulisan Argentina Champione ...</t>
  </si>
  <si>
    <t>gatauuu nih aneh nih fifa kan pdahal blm tau yak juara nya siapa kok udah ada gtu tulisan argentina champione</t>
  </si>
  <si>
    <t>['gatauuu', 'aneh', 'fifa', 'kan', 'pdahal', 'blm', 'yak', 'juara', 'siapa', 'kok', 'udah', 'gtu', 'tulisan', 'argentina', 'champione']</t>
  </si>
  <si>
    <t>@ID_Albiceleste Piala asli piala dunia boleh dibawa ke Argentina karena udh juara 3√ó bener gak Min?</t>
  </si>
  <si>
    <t>albiceleste piala asli piala dunia boleh dibawa argentina karena udh juara bener gak min</t>
  </si>
  <si>
    <t>['albiceleste', 'piala', 'asli', 'piala', 'dunia', 'dibawa', 'argentina', 'sudah', 'juara', 'benar', 'min']</t>
  </si>
  <si>
    <t>Pacar  1   https://t.co/9VbDaTRCS5 Cewek 2  https://t.co/sgWcEI1qdY Temen  https://t.co/4qLlu5D0F2 Cewek Indo  https://t.co/ZgUhDhhPfx  Suka Nonton Film tpi kadang suka juga nonton anime jepang yang lucu lucu, selamat juga untuk argentina atas juara di piala dunia pasti dapat iphone</t>
  </si>
  <si>
    <t>pacar cewek temen cewek indo suka nonton film tpi kadang suka juga nonton anime jepang yang lucu lucu selamat juga untuk argentina atas juara piala dunia pasti dapat iphone</t>
  </si>
  <si>
    <t>['pacar', 'cewek', 'temen', 'cewek', 'indo', 'suka', 'nonton', 'film', 'tpi', 'kadang', 'suka', 'nonton', 'anime', 'jepang', 'lucu', 'lucu', 'selamat', 'argentina', 'atas', 'juara', 'piala', 'dunia', 'iphone']</t>
  </si>
  <si>
    <t>Lionel Messi bersama pemain Argentina lainnya mengangkat trofi Piala Dunia setelah menjadi juara di Piala Dunia 2022 yg berlangsung di Lusail Stadium, Qatar, Senin 19/12/2022  https://t.co/intH0IGyne</t>
  </si>
  <si>
    <t>lionel messi bersama pemain argentina lainnya mengangkat trofi piala dunia setelah menjadi juara piala dunia berlangsung lusail stadium qatar senin</t>
  </si>
  <si>
    <t>['lionel', 'messi', 'bersama', 'pemain', 'argentina', 'lainnya', 'mengangkat', 'trofi', 'piala', 'dunia', 'menjadi', 'juara', 'piala', 'dunia', 'berlangsung', 'lusail', 'stadium', 'qatar', 'senin']</t>
  </si>
  <si>
    <t>Gebyar pesta sepak bola di Qatar selesai dengan Argentina tampil sebagai juara. Selanjutnya, Piala Dunia edisi ke-23 akan digelar pada 2026 mendatang.  https://t.co/8lMPAlhkWN</t>
  </si>
  <si>
    <t>gebyar pesta sepak bola qatar selesai dengan argentina tampil sebagai juara selanjutnya piala dunia edisi akan digelar pada mendatang</t>
  </si>
  <si>
    <t>['gebyar', 'pesta', 'sepak', 'bola', 'qatar', 'selesai', 'argentina', 'tampil', 'juara', 'selanjutnya', 'piala', 'dunia', 'edisi', 'digelar', 'mendatang']</t>
  </si>
  <si>
    <t>@commaditya Apalagi belgia, belum apa2 dah bilang kalo terlalu tua. Wkkkk Dasar mental tempe. Sebelum adu penalti di laga final dimulai, sudah jelas argentina akan juara karena track record mereka saat adu penalti sebelumnya bahkan di copa amerika.</t>
  </si>
  <si>
    <t>apalagi belgia belum apa dah bilang kalo terlalu tua wkkkk dasar mental tempe sebelum adu penalti laga final dimulai sudah jelas argentina akan juara karena track record mereka saat adu penalti sebelumnya bahkan copa amerika</t>
  </si>
  <si>
    <t>['belgia', 'apa', 'dah', 'terlalu', 'tua', 'wkkkk', 'dasar', 'mental', 'tempe', 'adu', 'penalti', 'laga', 'final', 'dimulai', 'jelas', 'argentina', 'juara', 'track', 'record', 'adu', 'penalti', 'sebelumnya', 'bahkan', 'copa', 'amerika']</t>
  </si>
  <si>
    <t>Haduh, kalian baru juara hampir aja celaka ü´£ #Argentina  https://t.co/1yUbWXHWEe</t>
  </si>
  <si>
    <t>haduh kalian baru juara hampir aja celaka</t>
  </si>
  <si>
    <t>['haduh', 'kalian', 'baru', 'juara', 'hampir', 'celaka']</t>
  </si>
  <si>
    <t>@lafyustobeli Hbd ya kak, semoga Argentina juara piala dunia.</t>
  </si>
  <si>
    <t>Sambut Messi Cs Sebagai Juara Piala Dunia 2022, Argentina Agendakan Libur NasionalÔøº  https://t.co/i4xNRK9NmhÔøº/ #Argentina #JuaraPialaDunia2022 #LiburNasional #Messi</t>
  </si>
  <si>
    <t>sambut messi sebagai juara piala dunia argentina agendakan libur nasional</t>
  </si>
  <si>
    <t>['sambut', 'messi', 'juara', 'piala', 'dunia', 'argentina', 'agendakan', 'libur', 'nasional']</t>
  </si>
  <si>
    <t>Pele: Argentina Juara, Maradona Pasti Tersenyum Sekarang  https://t.co/U2d6NrEKG0</t>
  </si>
  <si>
    <t>pele argentina juara maradona pasti tersenyum sekarang</t>
  </si>
  <si>
    <t>['pele', 'argentina', 'juara', 'maradona', 'tersenyum', 'sekarang']</t>
  </si>
  <si>
    <t>@SiaranBolaLive Wahh Jerman juara 1 wilayah Barat, Argentina juara 1 wilayah timur. Keren banget Jerman</t>
  </si>
  <si>
    <t>wahh jerman juara wilayah barat argentina juara wilayah timur keren banget jerman</t>
  </si>
  <si>
    <t>['wahh', 'jerman', 'juara', 'wilayah', 'barat', 'argentina', 'juara', 'wilayah', 'timur', 'keren', 'banget', 'jerman']</t>
  </si>
  <si>
    <t>@vickyh23_ @idextratime Lu gblk ya squad prancia bgtu jg model mobilnya bukan cuman argentina doang gini ni fans dodo belum trima kalo messi juara wkwkwk</t>
  </si>
  <si>
    <t>gblk squad prancia bgtu model mobilnya bukan cuman argentina doang gini fans dodo belum trima kalo messi juara wkwkwk</t>
  </si>
  <si>
    <t>['gblk', 'squad', 'prancia', 'bgtu', 'model', 'mobilnya', 'bukan', 'cuman', 'argentina', 'doang', 'gini', 'fans', 'dodo', 'trima', 'messi', 'juara', 'wkwkwk']</t>
  </si>
  <si>
    <t>Mau menggarisbawahi bahwa Argentina mutlak juara dari semua performa 120 menit berjalan menjadi juara memegang piala. Apa mau bacot lagiü§£ü§£ kalah ya kalah. Gak usah ngelist.</t>
  </si>
  <si>
    <t>mau menggarisbawahi bahwa argentina mutlak juara dari semua performa menit berjalan menjadi juara memegang piala apa mau bacot lagi kalah kalah gak usah ngelist</t>
  </si>
  <si>
    <t>['mau', 'menggarisbawahi', 'argentina', 'mutlak', 'juara', 'semua', 'performa', 'menit', 'berjalan', 'menjadi', 'juara', 'memegang', 'piala', 'apa', 'mau', 'bacot', 'kalah', 'kalah', 'usah', 'ngelist']</t>
  </si>
  <si>
    <t>Sejarah Trofi Piala Dunia  Piala dunia sudah resmi berakhir pada hari Minggu, 18 Desember 2022 dengan Argentina sebagai juara di tahun ini.  #sepakbola #pialadunia2022 #olahraga #qatar #g24 #golkar2024  https://t.co/HnQD9rxSs9</t>
  </si>
  <si>
    <t>@detiksport Faktanya argentina bisa juara di era messi setelah strikernya lautaro martinez</t>
  </si>
  <si>
    <t>faktanya argentina bisa juara era messi setelah strikernya lautaro martinez</t>
  </si>
  <si>
    <t>['faktanya', 'argentina', 'juara', 'era', 'messi', 'strikernya', 'lautaro', 'martinez']</t>
  </si>
  <si>
    <t>Banyak sebenarnya alasan dari teman-teman gak terima atas kemenangan Argentina. Karena dia pendukung dari tim yang kalah Bicara soal menang Argentina tetap juara. Gak usah ngelist karena adupinalti. Adupinalti itu sebagian dari menguji cerdasnya sang kiper.</t>
  </si>
  <si>
    <t>banyak sebenarnya alasan dari teman teman gak terima atas kemenangan argentina karena dia pendukung dari tim yang kalah bicara soal menang argentina tetap juara gak usah ngelist karena adupinalti adupinalti itu sebagian dari menguji cerdasnya sang kiper</t>
  </si>
  <si>
    <t>['banyak', 'sebenarnya', 'alasan', 'teman', 'teman', 'terima', 'atas', 'kemenangan', 'argentina', 'pendukung', 'tim', 'kalah', 'bicara', 'soal', 'menang', 'argentina', 'tetap', 'juara', 'usah', 'ngelist', 'adupinalti', 'adupinalti', 'sebagian', 'menguji', 'cerdasnya', 'sang', 'kiper']</t>
  </si>
  <si>
    <t>@idextratime Karena settingannya dari presiden PSG buat janjiin Argentina juara biar Messi bertahan di PSG next year</t>
  </si>
  <si>
    <t>karena settingannya dari presiden psg buat janjiin argentina juara biar messi bertahan psg next year</t>
  </si>
  <si>
    <t>['settingannya', 'presiden', 'psg', 'buat', 'janjiin', 'argentina', 'juara', 'messi', 'bertahan', 'psg', 'next', 'year']</t>
  </si>
  <si>
    <t>@idextratime Cuma di era Iwan Bule Argentina bisa juara dunia  https://t.co/WpqNCfhOud</t>
  </si>
  <si>
    <t>cuma era iwan bule argentina bisa juara dunia</t>
  </si>
  <si>
    <t>['cuma', 'era', 'iwan', 'bule', 'argentina', 'juara', 'dunia']</t>
  </si>
  <si>
    <t>Argentina katanya juara piala dunia 2022 tapi ternyata kalah sama arab saudi, berarti juara sejati qatar 2022 itu Arab Saudi</t>
  </si>
  <si>
    <t>argentina katanya juara piala dunia tapi ternyata kalah sama arab saudi berarti juara sejati qatar itu arab saudi</t>
  </si>
  <si>
    <t>['argentina', 'katanya', 'juara', 'piala', 'dunia', 'ternyata', 'kalah', 'sama', 'arab', 'saudi', 'berarti', 'juara', 'sejati', 'qatar', 'arab', 'saudi']</t>
  </si>
  <si>
    <t>Lionel Messi membawa Argentina juara Piala Dunia 2022. Betapa beruntungnya Tim Tango, punya talenta hebat lagi setelah era Diego Maradona! #juaraboladunia    https://t.co/nFs8Ax8PeD</t>
  </si>
  <si>
    <t>@idextratime Min  Diary reminder Argentina juara piala dunia min</t>
  </si>
  <si>
    <t>min diary reminder argentina juara piala dunia min</t>
  </si>
  <si>
    <t>['min', 'diary', 'reminder', 'argentina', 'juara', 'piala', 'dunia', 'min']</t>
  </si>
  <si>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</si>
  <si>
    <t>menebak piala dunia kartu nama tim tebak hadiah snapshot distribusi kumpulan hadiah total uwct kartu juara tim nasional argentina kartu tim nasional runner prancis kartu tim nasional peringkat dan kroasia dan maroko</t>
  </si>
  <si>
    <t>['menebak', 'piala', 'dunia', 'kartu', 'nama', 'tim', 'tebak', 'hadiah', 'snapshot', 'distribusi', 'kumpulan', 'hadiah', 'total', 'uwct', 'kartu', 'juara', 'tim', 'nasional', 'argentina', 'kartu', 'tim', 'nasional', 'runner', 'prancis', 'kartu', 'tim', 'nasional', 'peringkat', 'kroasia', 'maroko']</t>
  </si>
  <si>
    <t>@vickyh23_ @idextratime Kandidat juara pasti sudah di siapkan bus masing" argentina maupun prancis ,contoh baju champion pasti udah di siapin buat konsestan final . Jadi paham kan?</t>
  </si>
  <si>
    <t>kandidat juara pasti sudah siapkan bus masing argentina maupun prancis contoh baju champion pasti udah siapin buat konsestan final jadi paham kan</t>
  </si>
  <si>
    <t>['kandidat', 'juara', 'siapkan', 'bus', 'masing', 'argentina', 'maupun', 'prancis', 'contoh', 'baju', 'champion', 'udah', 'siapin', 'buat', 'konsestan', 'final', 'jadi', 'paham', 'kan']</t>
  </si>
  <si>
    <t>@nodoubt_88 @idextratime Ini rill yah adik adik Sebenarnya aguero itu pelatih argentina malah  Scaloni cuma boneka aja, otak di balik juara Argentina itu Sergio kun aguero Paling berjasa  Hal yg tidak di cerita kan media</t>
  </si>
  <si>
    <t>ini rill yah adik adik sebenarnya aguero itu pelatih argentina malah scaloni cuma boneka aja otak balik juara argentina itu sergio kun aguero paling berjasa hal tidak cerita kan media</t>
  </si>
  <si>
    <t>['rill', 'adik', 'adik', 'sebenarnya', 'aguero', 'pelatih', 'argentina', 'malah', 'scaloni', 'cuma', 'boneka', 'otak', 'balik', 'juara', 'argentina', 'sergio', 'kun', 'aguero', 'paling', 'berjasa', 'cerita', 'kan', 'media']</t>
  </si>
  <si>
    <t>@txtdrimedia Yg juara Argentina, yg kalah Prancis, yg jadi bulan-bulanan Portugal. Yang ricuh, baper, bentrok, dan koid orang indo wkwkw</t>
  </si>
  <si>
    <t>juara argentina kalah prancis jadi bulan bulanan portugal yang ricuh baper bentrok dan koid orang indo wkwkw</t>
  </si>
  <si>
    <t>['juara', 'argentina', 'kalah', 'prancis', 'jadi', 'bulan', 'bulanan', 'portugal', 'ricuh', 'bawa perasaan', 'bentrok', 'koid', 'orang', 'indo', 'wkwkw']</t>
  </si>
  <si>
    <t>@Mniin3 @barcastuff_idn Saya sempat berpikir gitu saat Argentina gagal juara Piala Dunia 2014. Coba saja Messi bela Spanyol waktu itu. Soalnya dari tahun 2008-2012 masa prime Timnas Spanyol. Messi bisa bergelimang tropi piala Eropa 2 X dan Piala Dunia 1 X</t>
  </si>
  <si>
    <t>idn saya sempat berpikir gitu saat argentina gagal juara piala dunia coba saja messi bela spanyol waktu itu soalnya dari tahun masa prime timnas spanyol messi bisa bergelimang tropi piala eropa dan piala dunia</t>
  </si>
  <si>
    <t>['idn', 'sempat', 'berpikir', 'gitu', 'argentina', 'gagal', 'juara', 'piala', 'dunia', 'coba', 'messi', 'bela', 'spanyol', 'waktu', 'soalnya', 'tahun', 'masa', 'prime', 'timnas', 'spanyol', 'messi', 'bergelimang', 'trofi', 'piala', 'eropa', 'piala', 'dunia']</t>
  </si>
  <si>
    <t>Ini kalo ada thread tentang kontribusi per pemain di semua pertandingan Argentina sampe jd juara si mantep bgt. Kalo gue liat semua pemain punya momen penting baik itu buat menyerang atau bertahan.</t>
  </si>
  <si>
    <t>ini kalo ada thread tentang kontribusi per pemain semua pertandingan argentina sampe juara mantep bgt kalo gue liat semua pemain punya momen penting baik itu buat menyerang atau bertahan</t>
  </si>
  <si>
    <t>['thread', 'kontribusi', 'per', 'pemain', 'semua', 'pertandingan', 'argentina', 'sampai', 'juara', 'mantap', 'banget', 'gue', 'lihat', 'semua', 'pemain', 'punya', 'momen', 'penting', 'baik', 'buat', 'menyerang', 'bertahan']</t>
  </si>
  <si>
    <t>@messinisme @MalikAh300902 @The_RedsIndo Perasaan dari dulu Argentina ga pernah diremehkan. Selalu di ekspetasikan juara</t>
  </si>
  <si>
    <t>redsindo perasaan dari dulu argentina pernah diremehkan selalu ekspetasikan juara</t>
  </si>
  <si>
    <t>['redsindo', 'perasaan', 'dulu', 'argentina', 'pernah', 'diremehkan', 'selalu', 'ekspetasikan', 'juara']</t>
  </si>
  <si>
    <t>Penyebab argentina juara. Salah satu ikannya ini jadi nenek moyangnya maupay!!!!!!!</t>
  </si>
  <si>
    <t>penyebab argentina juara salah satu ikannya ini jadi nenek moyangnya maupay</t>
  </si>
  <si>
    <t>['penyebab', 'argentina', 'juara', 'salah', 'satu', 'ikannya', 'jadi', 'nenek', 'moyangnya', 'maupay']</t>
  </si>
  <si>
    <t>Meski kalah dari Argentina dan gagal menjadi Juara Piala Dunia 2022 tapi para Pemain dan Pelatih Prancis tetap diapresiasi oleh Presiden Emmanuel Macron dan disambut meriah oleh warga Prancis di Paris üëèüëç.   Messi  https://t.co/BT0KXRA6Y2</t>
  </si>
  <si>
    <t>meski kalah dari argentina dan gagal menjadi juara piala dunia tapi para pemain dan pelatih prancis tetap diapresiasi oleh presiden emmanuel macron dan disambut meriah oleh warga prancis paris messi</t>
  </si>
  <si>
    <t>['meski', 'kalah', 'argentina', 'gagal', 'menjadi', 'juara', 'piala', 'dunia', 'pemain', 'pelatih', 'prancis', 'tetap', 'diapresiasi', 'presiden', 'emmanuel', 'macron', 'disambut', 'meriah', 'warga', 'prancis', 'paris', 'messi']</t>
  </si>
  <si>
    <t>kalian semua terlalu sibuk dengan juara dunia argentina sampe lupa kalo susanti ga jadi pindah ü•π</t>
  </si>
  <si>
    <t>kalian semua terlalu sibuk dengan juara dunia argentina sampe lupa kalo susanti jadi pindah</t>
  </si>
  <si>
    <t>['kalian', 'semua', 'terlalu', 'sibuk', 'juara', 'dunia', 'argentina', 'sampai', 'lupa', 'susanti', 'jadi', 'pindah']</t>
  </si>
  <si>
    <t>@idextratime itu mungkin dia ngelag sama kaya gua pas pinalti terkahir masuk, kek anjir berasa mimpi liat argentina dan messi juara world cupü•∞</t>
  </si>
  <si>
    <t>itu mungkin dia ngelag sama kaya gua pas pinalti terkahir masuk kek anjir berasa mimpi liat argentina dan messi juara world cup</t>
  </si>
  <si>
    <t>['mungkin', 'ngelag', 'sama', 'kaya', 'gua', 'pas', 'penalti', 'terkahir', 'masuk', 'kek', 'anjir', 'berasa', 'mimpi', 'lihat', 'argentina', 'messi', 'juara', 'world', 'cup']</t>
  </si>
  <si>
    <t>Tidak cukup hanya satu, butuh dua "Lion-El" bagi #ARG untuk akhirnya menjadi juara dunia #FIFAWorldCup lagi. üôÇ  Felicitaciones Argentina, Gracias Lionel Scaloni. üò≠ #Qatar2022</t>
  </si>
  <si>
    <t>tidak cukup hanya satu butuh dua lion bagi untuk akhirnya menjadi juara dunia lagi felicitaciones argentina gracias lionel scaloni</t>
  </si>
  <si>
    <t>['cukup', 'satu', 'butuh', 'lion', 'akhirnya', 'menjadi', 'juara', 'dunia', 'felicitaciones', 'argentina', 'gracias', 'lionel', 'scaloni']</t>
  </si>
  <si>
    <t>Keberhasilan Argentina memenangi Piala Dunia 2022 membuat Juventus tetap berada di urutan teratas sebagai klub dengan pemilik juara dunia terbanyak!   https://t.co/0H3poJxzYA</t>
  </si>
  <si>
    <t>@idextratime keren ini pelatih, di kritik pedes sama maradona hampir mau mundurin diri. hey alm maradona lihat lah pasti kau bangga argentina juara dunia tahun ini di tangan lionel scaloni.</t>
  </si>
  <si>
    <t>keren ini pelatih kritik pedes sama maradona hampir mau mundurin diri hey alm maradona lihat lah pasti kau bangga argentina juara dunia tahun ini tangan lionel scaloni</t>
  </si>
  <si>
    <t>['keren', 'pelatih', 'kritik', 'pedes', 'sama', 'maradona', 'hampir', 'mau', 'mundurin', 'diri', 'hey', 'alm', 'maradona', 'lihat', 'lah', 'kau', 'bangga', 'argentina', 'juara', 'dunia', 'tahun', 'tangan', 'lionel', 'scaloni']</t>
  </si>
  <si>
    <t>@realmadridindo1 Ronaldo membuat portugal sukses yg sebelumnya belum pernah dicapai. Sementara argentina sudah pernah juara pildun sebelum meshit ada.   Ibarat kata gimana mau bandingin mbappe ama haland di pildun, secara haland dr norway yg agak mustahil</t>
  </si>
  <si>
    <t>ronaldo membuat portugal sukses sebelumnya belum pernah dicapai sementara argentina sudah pernah juara pildun sebelum meshit ada ibarat kata gimana mau bandingin mbappe ama haland pildun secara haland norway agak mustahil</t>
  </si>
  <si>
    <t>['ronaldo', 'membuat', 'portugal', 'sukses', 'sebelumnya', 'pernah', 'dicapai', 'argentina', 'pernah', 'juara', 'piala dunia', 'meshit', 'ibarat', 'kata', 'gimana', 'mau', 'bandingin', 'mbappe', 'ama', 'haland', 'piala dunia', 'haland', 'norway', 'mustahil']</t>
  </si>
  <si>
    <t>Di LinkedIn posting Argentina juara World Cup teh buat apaaaa siiii, lu teh kerjanya apaaaa , ngapaainnnn dan biar apaaaaaa</t>
  </si>
  <si>
    <t>linkedin posting argentina juara world cup teh buat apaaaa siiii teh kerjanya apaaaa ngapaainnnn dan biar apaaaaaa</t>
  </si>
  <si>
    <t>['linkedin', 'posting', 'argentina', 'juara', 'world', 'cup', 'teh', 'buat', 'apaaaa', 'siiii', 'teh', 'kerjanya', 'apaaaa', 'ngapaainnnn', 'apaaaaaa']</t>
  </si>
  <si>
    <t>@TumbalProyekk @LiaoFelix @zhannxfx1005 @The_RedsIndo ada jaminan ngga kalau Aguero main Argentina bakalan juara üòÇ?</t>
  </si>
  <si>
    <t>redsindo ada jaminan ngga kalau aguero main argentina bakalan juara</t>
  </si>
  <si>
    <t>['redsindo', 'jaminan', 'ngga', 'kalau', 'aguero', 'main', 'argentina', 'bakalan', 'juara']</t>
  </si>
  <si>
    <t>Argentina sudah resmi menjadi juara #FIFAWorldCup , namun gol ketiga dari Messi is the GOAT masih susah di terima oleh para fans seberang... hadeuh!!  sumber ‚Üí  https://t.co/Vh1wYA0RKg  Di Maria | selasa  #WorldCupFinal  https://t.co/oPGMDfAKO2</t>
  </si>
  <si>
    <t>argentina sudah resmi menjadi juara namun gol ketiga dari messi the goat masih susah terima oleh para fans seberang hadeuh sumber maria selasa</t>
  </si>
  <si>
    <t>['argentina', 'resmi', 'menjadi', 'juara', 'gol', 'ketiga', 'messi', 'the', 'goat', 'susah', 'terima', 'fans', 'seberang', 'hadeuh', 'sumber', 'maria', 'selasa']</t>
  </si>
  <si>
    <t>Sudah argentina juara. Angsuran masih ada waktu. Difolbek folbek..  Jadi pingin investasi di @ikn_id deh.  https://t.co/rS8XpcP54X</t>
  </si>
  <si>
    <t>sudah argentina juara angsuran masih ada waktu difolbek folbek jadi pingin investasi deh</t>
  </si>
  <si>
    <t>['argentina', 'juara', 'angsuran', 'waktu', 'difolbek', 'folbek', 'jadi', 'pingin', 'investasi', 'deh']</t>
  </si>
  <si>
    <t>@gibran_tweet mas sampean ga ngucapin selamat ke argentina kemaren juara piala dunia</t>
  </si>
  <si>
    <t>tweet mas sampean ngucapin selamat argentina kemaren juara piala dunia</t>
  </si>
  <si>
    <t>['tweet', 'mas', 'sampean', 'ngucapin', 'selamat', 'argentina', 'kemarin', 'juara', 'piala', 'dunia']</t>
  </si>
  <si>
    <t>Jutaan warga Argentina akan menggelar pesta perayaan juara Piala Dunia bersama Messi dan kawan-kawan di Monumen Obelisk, Buenos Aires. Pemerintah Argentina telah menetapkan Selasa ini sebagai hari libur nasional. #Olahraga #AdadiKompas  https://t.co/Eu5aZYsJmg</t>
  </si>
  <si>
    <t>jutaan warga argentina akan menggelar pesta perayaan juara piala dunia bersama messi dan kawan kawan monumen obelisk buenos aires pemerintah argentina telah menetapkan selasa ini sebagai hari libur nasional</t>
  </si>
  <si>
    <t>['jutaan', 'warga', 'argentina', 'menggelar', 'pesta', 'perayaan', 'juara', 'piala', 'dunia', 'bersama', 'messi', 'kawan', 'kawan', 'monumen', 'obelisk', 'buenos', 'aires', 'pemerintah', 'argentina', 'menetapkan', 'selasa', 'hari', 'libur', 'nasional']</t>
  </si>
  <si>
    <t>Oh, pelatihnya gue pilih Scaloni. Menurut gue, adaptability-nya dia faktor penting Argentina bisa juara.</t>
  </si>
  <si>
    <t>pelatihnya gue pilih scaloni menurut gue adaptability nya dia faktor penting argentina bisa juara</t>
  </si>
  <si>
    <t>['pelatihnya', 'gue', 'pilih', 'scaloni', 'gue', 'adaptability', 'faktor', 'penting', 'argentina', 'juara']</t>
  </si>
  <si>
    <t>Lionel Messi mengeluarkan isi hatinya usai membawa Argentina juara Piala Dunia 2022.  #bolaskorcom #messi #argentina #qatar2022     https://t.co/FJ8fP51VCv</t>
  </si>
  <si>
    <t>lionel messi mengeluarkan isi hatinya usai membawa argentina juara piala dunia</t>
  </si>
  <si>
    <t>['lionel', 'messi', 'mengeluarkan', 'isi', 'hatinya', 'usai', 'membawa', 'argentina', 'juara', 'piala', 'dunia']</t>
  </si>
  <si>
    <t>juara pildun qatar 2022 #Argentina #Messi #MESSIDAY #messigoat  https://t.co/ES1WFJ6bMQ</t>
  </si>
  <si>
    <t>juara pildun qatar</t>
  </si>
  <si>
    <t>['juara', 'piala dunia', 'qatar']</t>
  </si>
  <si>
    <t>Nggak ada hubungan dan peran di timnas Argentina aja begitu‚Ä¶kebayangkan kalau timnas senior kita juara (di kejuaraan apapun) bisa dibawa kabur itu piala sama dia</t>
  </si>
  <si>
    <t>nggak ada hubungan dan peran timnas argentina aja begitu kebayangkan kalau timnas senior kita juara kejuaraan apapun bisa dibawa kabur itu piala sama dia</t>
  </si>
  <si>
    <t>['hubungan', 'peran', 'timnas', 'argentina', 'kebayangkan', 'kalau', 'timnas', 'senior', 'juara', 'kejuaraan', 'apapun', 'dibawa', 'kabur', 'piala', 'sama']</t>
  </si>
  <si>
    <t>ARGENTINA Juara Dunia 2022, Pemerintah Umumkan Libur Nasional, Lionel Messi Tak Sabar Pesta    https://t.co/dXdYaCDeEd lewat @tribunmedan</t>
  </si>
  <si>
    <t>argentina juara dunia pemerintah umumkan libur nasional lionel messi tak sabar pesta lewat</t>
  </si>
  <si>
    <t>['argentina', 'juara', 'dunia', 'pemerintah', 'umumkan', 'libur', 'nasional', 'lionel', 'messi', 'tak', 'sabar', 'pesta', 'lewat']</t>
  </si>
  <si>
    <t>Jutaan warga Argentina akan menggelar pesta perayaan juara Piala Dunia bersama Messi dan kawan-kawan di Monumen Obelisk, Buenos Aires. Pemerintah Argentina telah menetapkan Selasa ini sebagai hari libur nasional. #Olahraga #AdadiKompas   https://t.co/ggcZY0ZmVa</t>
  </si>
  <si>
    <t>Viral! Dukun Argentina Lakukan Ritual Lindungi Messi, Ingin Timnas Argentina Juara Piala Dunia 2022 #CelebritiesDotID #InfoCelebTerkini   https://t.co/h34Hs8sTbY</t>
  </si>
  <si>
    <t>viral dukun argentina lakukan ritual lindungi messi ingin timnas argentina juara piala dunia</t>
  </si>
  <si>
    <t>['viral', 'dukun', 'argentina', 'lakukan', 'ritual', 'lindungi', 'messi', 'timnas', 'argentina', 'juara', 'piala', 'dunia']</t>
  </si>
  <si>
    <t>Aksi menggunting jaring gawang ini ternyata sudah menjadi tradisi bagi si juara Piala Dunia, Argentina.   Tradisi dilakukan oleh Lionel Scaloni setelah melakukan selebrasi. Seperti Nicolas Otamendi dan Paulo Dybala.  https://t.co/CyZzXmEEPw</t>
  </si>
  <si>
    <t>aksi menggunting jaring gawang ini ternyata sudah menjadi tradisi bagi juara piala dunia argentina tradisi dilakukan oleh lionel scaloni setelah melakukan selebrasi seperti nicolas otamendi dan paulo dybala</t>
  </si>
  <si>
    <t>['aksi', 'menggunting', 'jaring', 'gawang', 'ternyata', 'menjadi', 'tradisi', 'juara', 'piala', 'dunia', 'argentina', 'tradisi', 'dilakukan', 'lionel', 'scaloni', 'melakukan', 'selebrasi', 'nicolas', 'otamendi', 'paulo', 'dybala']</t>
  </si>
  <si>
    <t>@idextratime @alfiiito ini yang asli di qatar, yang kemaren kita nonton itu ulah media yang mensetting argentina sebagai juara</t>
  </si>
  <si>
    <t>ini yang asli qatar yang kemaren kita nonton itu ulah media yang mensetting argentina sebagai juara</t>
  </si>
  <si>
    <t>['asli', 'qatar', 'kemarin', 'nonton', 'ulah', 'media', 'mensetting', 'argentina', 'juara']</t>
  </si>
  <si>
    <t>Hasil pertandingan tersebut meletakkan Argentina sebagai juara untuk pertama kalinya selama 36 tahun terakhir, Perancis menjadi runner-up, dan Kroasia pada peringkat ketiga. 29 tim lainnya menempati peringkat 4 hingga 32 dengan detil pada gambar berikut.  https://t.co/cUy8veRS0w</t>
  </si>
  <si>
    <t>hasil pertandingan tersebut meletakkan argentina sebagai juara untuk pertama kalinya selama tahun terakhir perancis menjadi runner dan kroasia pada peringkat ketiga tim lainnya menempati peringkat hingga dengan detil pada gambar berikut</t>
  </si>
  <si>
    <t>['hasil', 'pertandingan', 'tersebut', 'meletakkan', 'argentina', 'juara', 'pertama', 'kalinya', 'selama', 'tahun', 'terakhir', 'perancis', 'menjadi', 'runner', 'kroasia', 'peringkat', 'ketiga', 'tim', 'lainnya', 'menempati', 'peringkat', 'hingga', 'detil', 'gambar', 'berikut']</t>
  </si>
  <si>
    <t>@thepopoh Ini bapaknya pasti kalau mini soccer sepatu nike/adidas ori, kaos kaki nike/adidas ori, kit argentina, messi 10 ori karena abis juara, pas passing bola/ngeshoot kocak, ketauan dari nendang anak nya.</t>
  </si>
  <si>
    <t>ini bapaknya pasti kalau mini soccer sepatu nike adidas ori kaos kaki nike adidas ori kit argentina messi ori karena abis juara pas passing bola ngeshoot kocak ketauan dari nendang anak nya</t>
  </si>
  <si>
    <t>['bapaknya', 'kalau', 'mini', 'soccer', 'sepatu', 'nike', 'adidas', 'ori', 'kaos', 'kaki', 'nike', 'adidas', 'ori', 'kit', 'argentina', 'messi', 'ori', 'abis', 'juara', 'pas', 'passing', 'bola', 'ngeshoot', 'kocak', 'ketauan', 'nendang', 'anak']</t>
  </si>
  <si>
    <t>@WatchmenID Slide 1, Daniel Craig pake jersey Argentina dalam rangka juara Piala Dunia?</t>
  </si>
  <si>
    <t>slide daniel craig pake jersey argentina dalam rangka juara piala dunia</t>
  </si>
  <si>
    <t>['slide', 'daniel', 'craig', 'pake', 'jersey', 'argentina', 'rangka', 'juara', 'piala', 'dunia']</t>
  </si>
  <si>
    <t>Kan argentina juara nih ya nah kira kira messi ngadain syukuran kaga yak dirumahnya</t>
  </si>
  <si>
    <t>kan argentina juara nih nah kira kira messi ngadain syukuran kaga yak dirumahnya</t>
  </si>
  <si>
    <t>['kan', 'argentina', 'juara', 'nah', 'kira', 'kira', 'messi', 'ngadain', 'syukuran', 'kaga', 'yak', 'dirumahnya']</t>
  </si>
  <si>
    <t>Padahal mungkin sebenarnya bukan itu alasannya Argentina ga cocok juara bagi mereka-mereka yg tidak terima. Tapi karena orang ini yg membawa pulang pialanya! Hahah  https://t.co/QRzTzEVO2g</t>
  </si>
  <si>
    <t>padahal mungkin sebenarnya bukan itu alasannya argentina cocok juara bagi mereka mereka tidak terima tapi karena orang ini membawa pulang pialanya hahah</t>
  </si>
  <si>
    <t>['padahal', 'mungkin', 'sebenarnya', 'bukan', 'alasannya', 'argentina', 'cocok', 'juara', 'terima', 'orang', 'membawa', 'pulang', 'pialanya', 'hahah']</t>
  </si>
  <si>
    <t>Di dm Instagram ada yg bilang kalau Argentina ga cocok juara karena mereka main urakan. Like come on bro, it's the grand finals of the biggest stage in football, what do you expect?</t>
  </si>
  <si>
    <t>instagram ada bilang kalau argentina cocok juara karena mereka main urakan like come bro the grand finals the biggest stage football what you expect</t>
  </si>
  <si>
    <t>['instagram', 'kalau', 'argentina', 'cocok', 'juara', 'main', 'urakan', 'like', 'come', 'bro', 'the', 'grand', 'finals', 'the', 'biggest', 'stage', 'football', 'what', 'you', 'expect']</t>
  </si>
  <si>
    <t>@EazyMathapakinE @Kontolgabenn @The_RedsIndo Generasi emas Argentina di era 2000an juga menurut gue pas Messi Muda. Gue ngeliat after kalah di 2018, Messi jadi lebih legowo, gak terlalu berambisi lagi juara internasional untuk Argentina. Kelegowoan itu ya</t>
  </si>
  <si>
    <t>redsindo generasi emas argentina era juga menurut gue pas messi muda gue ngeliat after kalah messi jadi lebih legowo gak terlalu berambisi lagi juara internasional untuk argentina kelegowoan itu</t>
  </si>
  <si>
    <t>['redsindo', 'generasi', 'emas', 'argentina', 'era', 'gue', 'pas', 'messi', 'muda', 'gue', 'ngeliat', 'after', 'kalah', 'messi', 'jadi', 'lebih', 'legowo', 'terlalu', 'berambisi', 'juara', 'internasional', 'argentina', 'kelegowoan']</t>
  </si>
  <si>
    <t>1. Sudah 3 Kali Juara Dunia Dalam Piala Dunia 1978, Argentina pertama kali meraih gelar juara, kemudian pada tahun 1986 di Meksiko mendapatkan gelar juara dan Terakhir, Argentina baru saja menjuarai Piala Dunia 2022 di Qatar.</t>
  </si>
  <si>
    <t>sudah kali juara dunia dalam piala dunia argentina pertama kali meraih gelar juara kemudian pada tahun meksiko mendapatkan gelar juara dan terakhir argentina baru saja menjuarai piala dunia qatar</t>
  </si>
  <si>
    <t>['kali', 'juara', 'dunia', 'piala', 'dunia', 'argentina', 'pertama', 'kali', 'meraih', 'gelar', 'juara', 'kemudian', 'tahun', 'meksiko', 'mendapatkan', 'gelar', 'juara', 'terakhir', 'argentina', 'baru', 'menjuarai', 'piala', 'dunia', 'qatar']</t>
  </si>
  <si>
    <t>@BadriNasution @zy_and20 @uusbiasaaja Bola bukan soal pemain bintang bos, tapi keseluruhan tim yang utuh dan solid. Argentina secara jam terbang sudah punya sejarah bola yang baik, punya catatan 3 kali juara dunia. Sementara Portugal baru muncul kepermuka</t>
  </si>
  <si>
    <t>and bola bukan soal pemain bintang bos tapi keseluruhan tim yang utuh dan solid argentina secara jam terbang sudah punya sejarah bola yang baik punya catatan kali juara dunia sementara portugal baru muncul kepermuka</t>
  </si>
  <si>
    <t>['and', 'bola', 'bukan', 'soal', 'pemain', 'bintang', 'bos', 'keseluruhan', 'tim', 'utuh', 'solid', 'argentina', 'jam', 'terbang', 'punya', 'sejarah', 'bola', 'baik', 'punya', 'catatan', 'kali', 'juara', 'dunia', 'portugal', 'baru', 'muncul', 'kepermuka']</t>
  </si>
  <si>
    <t>Lebih baik jago cetak gol sembari ngutang @KemenkeuRI, ketimbang RI di bawah @jokowi yang cuma bisa ngutang ketimbang cetak gol. Apalagi jadi Juara Dunia. Pokoknya Messi is the Goat. Ini juga menyinggung Argentina sebagai sebuah bangsa hebat @detikcom    https://t.co/wPPTSRQXuE</t>
  </si>
  <si>
    <t>lebih baik jago cetak gol sembari ngutang ketimbang bawah yang cuma bisa ngutang ketimbang cetak gol apalagi jadi juara dunia pokoknya messi the goat ini juga menyinggung argentina sebagai sebuah bangsa hebat</t>
  </si>
  <si>
    <t>['lebih', 'baik', 'jago', 'cetak', 'gol', 'sembari', 'ngutang', 'ketimbang', 'bawah', 'cuma', 'ngutang', 'ketimbang', 'cetak', 'gol', 'jadi', 'juara', 'dunia', 'pokoknya', 'messi', 'the', 'goat', 'menyinggung', 'argentina', 'sebuah', 'bangsa', 'hebat']</t>
  </si>
  <si>
    <t>Messi akhirnya berhasil meraih world cup bersama Argentina. Melawan juara bertahan, Argentina mampu unggul lebih dulu &amp;amp; mampu persulit Prancis khususnya di babak pertama. Bagaimana jalannya laga?  Big thanks buat yg sudah retweet  https://t.co/oAYF2BzZ89</t>
  </si>
  <si>
    <t>messi akhirnya berhasil meraih world cup bersama argentina melawan juara bertahan argentina mampu unggul lebih dulu mampu persulit prancis khususnya babak pertama bagaimana jalannya laga big thanks buat sudah retweet</t>
  </si>
  <si>
    <t>['messi', 'akhirnya', 'berhasil', 'meraih', 'world', 'cup', 'bersama', 'argentina', 'melawan', 'juara', 'bertahan', 'argentina', 'mampu', 'unggul', 'lebih', 'dulu', 'mampu', 'persulit', 'prancis', 'khususnya', 'babak', 'pertama', 'bagaimana', 'jalannya', 'laga', 'big', 'thanks', 'buat', 'retweet']</t>
  </si>
  <si>
    <t>Argentina Juara Piala Dunia, Peringkat 1 FIFA Masih Di Pegang Brazil, Maroko Naik Drastis ! #Maroko #Morocco #WorldcupQatar2022 #WorldCup2022 #Argentina #fifa #FIFARatings #FIFARankings   https://t.co/pejGnuaQpR</t>
  </si>
  <si>
    <t>argentina juara piala dunia peringkat fifa masih pegang brazil maroko naik drastis</t>
  </si>
  <si>
    <t>['argentina', 'juara', 'piala', 'dunia', 'peringkat', 'fifa', 'pegang', 'brazil', 'maroko', 'naik', 'drastis']</t>
  </si>
  <si>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</si>
  <si>
    <t>pemerintah argentina menetapkan libur nasional selama satu hari untuk melaksanakan parade juara piala dunia</t>
  </si>
  <si>
    <t>['pemerintah', 'argentina', 'menetapkan', 'libur', 'nasional', 'selama', 'satu', 'hari', 'melaksanakan', 'parade', 'juara', 'piala', 'dunia']</t>
  </si>
  <si>
    <t>@GOAL_ID WOW IYA PERAN NYA KETUA PSSI SANGATLAH PENTING CUMA DI ERA DIA ARGENTINA JUARA PIALA DUNIA WOW PAK IRIAWAN KEREN</t>
  </si>
  <si>
    <t>wow iya peran nya ketua pssi sangatlah penting cuma era dia argentina juara piala dunia wow pak iriawan keren</t>
  </si>
  <si>
    <t>['wow', 'iya', 'peran', 'ketua', 'pssi', 'sangatlah', 'penting', 'cuma', 'era', 'argentina', 'juara', 'piala', 'dunia', 'wow', 'pak', 'iriawan', 'keren']</t>
  </si>
  <si>
    <t>Insting Rungkad dan Rahasia di Balik Argentina Juara!  https://t.co/eIHCnOhppf</t>
  </si>
  <si>
    <t>insting rungkad dan rahasia balik argentina juara</t>
  </si>
  <si>
    <t>['insting', 'rungkad', 'rahasia', 'balik', 'argentina', 'juara']</t>
  </si>
  <si>
    <t>Insting Rungkad dan Rahasia di Balik Argentina Juara!  https://t.co/7lwoCkb2Mp</t>
  </si>
  <si>
    <t>Argentina Juara Piala Dunia, Politisi Indonesia Ucapkan Selamat Pake Poster. Netizen: Apa Hubungannya Dah  https://t.co/7g4N7p9w2Z</t>
  </si>
  <si>
    <t>argentina juara piala dunia politisi indonesia ucapkan selamat pake poster netizen apa hubungannya dah</t>
  </si>
  <si>
    <t>['argentina', 'juara', 'piala', 'dunia', 'politisi', 'indonesia', 'ucapkan', 'selamat', 'pake', 'poster', 'netizen', 'apa', 'hubungannya', 'dah']</t>
  </si>
  <si>
    <t>*Sambut Messi Dkk, Lautan Manusia di Buenos Aires Ibukota Argentina Siap Sambut Sang Juara Dunia*   https://t.co/1JscB1Dr6n</t>
  </si>
  <si>
    <t>sambut messi dkk lautan manusia buenos aires ibukota argentina siap sambut sang juara dunia</t>
  </si>
  <si>
    <t>['sambut', 'messi', 'dkk', 'lautan', 'manusia', 'buenos', 'aires', 'ibukota', 'argentina', 'siap', 'sambut', 'sang', 'juara', 'dunia']</t>
  </si>
  <si>
    <t>Berhasil antarkan Argentina juara Piala Dunia 2022, Martinez angkat bicara soal selebrasi kontroversialnya   https://t.co/J3Mw6ZOBmE</t>
  </si>
  <si>
    <t>berhasil antarkan argentina juara piala dunia martinez angkat bicara soal selebrasi kontroversialnya</t>
  </si>
  <si>
    <t>['berhasil', 'antarkan', 'argentina', 'juara', 'piala', 'dunia', 'martinez', 'angkat', 'bicara', 'soal', 'selebrasi', 'kontroversialnya']</t>
  </si>
  <si>
    <t>rasanya campur aduk, satu sisi bahagia banget akhirnya argentina bisa juara pildun setelah sekian tahun, sisi lain sedih karena messi akan pensiun</t>
  </si>
  <si>
    <t>rasanya campur aduk satu sisi bahagia banget akhirnya argentina bisa juara pildun setelah sekian tahun sisi lain sedih karena messi akan pensiun</t>
  </si>
  <si>
    <t>['rasanya', 'campur', 'aduk', 'satu', 'sisi', 'bahagia', 'banget', 'akhirnya', 'argentina', 'juara', 'piala dunia', 'sekian', 'tahun', 'sisi', 'sedih', 'messi', 'pensiun']</t>
  </si>
  <si>
    <t>Kita Bersuara, Sarana Berdemokrasi.  Pesta Juara,  Argentina Berprestasi.   #FIFAWorldCup #Qatar2022  https://t.co/3vidqRT87e</t>
  </si>
  <si>
    <t>kita bersuara sarana berdemokrasi pesta juara argentina berprestasi</t>
  </si>
  <si>
    <t>['bersuara', 'sarana', 'berdemokrasi', 'pesta', 'juara', 'argentina', 'berprestasi']</t>
  </si>
  <si>
    <t>masih vibes terharu karena argentina juara pildun tahun iniü•∫</t>
  </si>
  <si>
    <t>masih vibes terharu karena argentina juara pildun tahun ini</t>
  </si>
  <si>
    <t>['vibes', 'terharu', 'argentina', 'juara', 'piala dunia', 'tahun']</t>
  </si>
  <si>
    <t>Gw jadi ilfill sama Salt Bae gara¬≤ kelakuannya di stadion setelah Argentina juara.</t>
  </si>
  <si>
    <t>jadi ilfill sama salt bae gara kelakuannya stadion setelah argentina juara</t>
  </si>
  <si>
    <t>['jadi', 'ilfill', 'sama', 'salt', 'bae', 'gara', 'kelakuannya', 'stadion', 'argentina', 'juara']</t>
  </si>
  <si>
    <t>Paling ngga Indonesia ama Argentina masih ada kesamaan, Sama¬≤ belum pernah juara Piala AFF</t>
  </si>
  <si>
    <t>paling ngga indonesia ama argentina masih ada kesamaan sama belum pernah juara piala aff</t>
  </si>
  <si>
    <t>['paling', 'ngga', 'indonesia', 'ama', 'argentina', 'kesamaan', 'sama', 'pernah', 'juara', 'piala', 'aff']</t>
  </si>
  <si>
    <t>@Indostransfer aelah ada ada aja fans negara berkembang ini ya, namanya juga masih berproses ya harus sabar. Argentina aja buat juara piala Dunia lagi butuh waktu lama ya anggap saja kita hari ini masih melalui proses yg panjang untuk bisa liat garuda asi</t>
  </si>
  <si>
    <t>aelah ada ada aja fans negara berkembang ini namanya juga masih berproses harus sabar argentina aja buat juara piala dunia lagi butuh waktu lama anggap saja kita hari ini masih melalui proses panjang untuk bisa liat garuda asi</t>
  </si>
  <si>
    <t>['aelah', 'fans', 'negara', 'berkembang', 'namanya', 'berproses', 'sabar', 'argentina', 'buat', 'juara', 'piala', 'dunia', 'butuh', 'waktu', 'lama', 'anggap', 'hari', 'melalui', 'proses', 'panjang', 'lihat', 'garuda', 'asi']</t>
  </si>
  <si>
    <t>Insting Rungkad dan Rahasia dibalik Argentina Juara!  https://t.co/nSeO1Z5Q4n</t>
  </si>
  <si>
    <t>insting rungkad dan rahasia dibalik argentina juara</t>
  </si>
  <si>
    <t>['insting', 'rungkad', 'rahasia', 'dibalik', 'argentina', 'juara']</t>
  </si>
  <si>
    <t>udah hari kedua sejak argentina juara, belum ada fliyer ucapan dari pejabat yang suka cari muka</t>
  </si>
  <si>
    <t>udah hari kedua sejak argentina juara belum ada fliyer ucapan dari pejabat yang suka cari muka</t>
  </si>
  <si>
    <t>['udah', 'hari', 'kedua', 'sejak', 'argentina', 'juara', 'fliyer', 'ucapan', 'pejabat', 'suka', 'cari', 'muka']</t>
  </si>
  <si>
    <t>Alhamdulillah. Argentina juara dunia dan Messi kini  "resmi" jadi pemain terbaik dunia sepanjang masa..  https://t.co/nhONjyjgNr</t>
  </si>
  <si>
    <t>alhamdulillah argentina juara dunia dan messi kini resmi jadi pemain terbaik dunia sepanjang masa</t>
  </si>
  <si>
    <t>['alhamdulillah', 'argentina', 'juara', 'dunia', 'messi', 'kini', 'resmi', 'jadi', 'pemain', 'terbaik', 'dunia', 'sepanjang', 'masa']</t>
  </si>
  <si>
    <t>@deIightfullhugg @Vahmis @TxtdariHI Kenapa malah ke bola? Bola bagus gak menjamin negaranya bisa jadi standar. Lihat Inggris sekarang lagi krisis, Argentina yang juara Piala Dunia juga ekonominya lagi inflasi 82%, negara2 Afrika yang lolos Piala Dunia kek</t>
  </si>
  <si>
    <t>kenapa malah bola bola bagus gak menjamin negaranya bisa jadi standar lihat inggris sekarang lagi krisis argentina yang juara piala dunia juga ekonominya lagi inflasi negara afrika yang lolos piala dunia kek</t>
  </si>
  <si>
    <t>['malah', 'bola', 'bola', 'bagus', 'menjamin', 'negaranya', 'jadi', 'standar', 'lihat', 'inggris', 'sekarang', 'krisis', 'argentina', 'juara', 'piala', 'dunia', 'ekonominya', 'inflasi', 'negara', 'afrika', 'lolos', 'piala', 'dunia', 'kek']</t>
  </si>
  <si>
    <t>#BangkitBersamaET  Perhelatan piala dunia Qatar telah usai dan Argentina keluar sebagai juara dunia 2022. Menteri BUMN @erickthohir ingin contoh Qatar dalam penyelenggaraan World cup U-20 di Indonesia.  https://t.co/yuWBcitrA2</t>
  </si>
  <si>
    <t>perhelatan piala dunia qatar telah usai dan argentina keluar sebagai juara dunia menteri bumn ingin contoh qatar dalam penyelenggaraan world cup indonesia</t>
  </si>
  <si>
    <t>['perhelatan', 'piala', 'dunia', 'qatar', 'usai', 'argentina', 'keluar', 'juara', 'dunia', 'menteri', 'bumn', 'contoh', 'qatar', 'penyelenggaraan', 'world', 'cup', 'indonesia']</t>
  </si>
  <si>
    <t>@FWBESS Ayokkkk</t>
  </si>
  <si>
    <t>ayokkkk</t>
  </si>
  <si>
    <t>['ayokkkk']</t>
  </si>
  <si>
    <t>ARGENTINA JUARA PIALA DUNIA, MESSI PEMAIN TERBAIK SEPANJANG MASA #golkar2024 #pialadunia2022 #sepakbola #messi #argentina #ARGENTINAVSFRANCE  https://t.co/XADYvD3hO9</t>
  </si>
  <si>
    <t>Italia gak lolos Piala Dunia tapi Argentina, alias "Italia Kecil", jadi juara dunia. Hehehehehehe.  ---Klaar---</t>
  </si>
  <si>
    <t>italia gak lolos piala dunia tapi argentina alias italia kecil jadi juara dunia hehehehehehe klaar</t>
  </si>
  <si>
    <t>['italia', 'lolos', 'piala', 'dunia', 'argentina', 'alias', 'italia', 'kecil', 'jadi', 'juara', 'dunia', 'hehehehehehe', 'klaar']</t>
  </si>
  <si>
    <t>Banyak dari orang Italia-Argentina yang jadi atlet terkenal. Scaloni, Messi, Dybala, Batistuta, Simeone, Di Maria, Maradona, Ginobili, dll.  Gak heran kalau di PD kemarin banyak orang Italia dukung Argentina jadi juara. Apalagi musuhnya Prancis di final, wkwkwk.</t>
  </si>
  <si>
    <t>banyak dari orang italia argentina yang jadi atlet terkenal scaloni messi dybala batistuta simeone maria maradona ginobili dll gak heran kalau kemarin banyak orang italia dukung argentina jadi juara apalagi musuhnya prancis final wkwkwk</t>
  </si>
  <si>
    <t>['banyak', 'orang', 'italia', 'argentina', 'jadi', 'atlet', 'terkenal', 'scaloni', 'messi', 'dybala', 'batistuta', 'simeone', 'maria', 'maradona', 'ginobili', 'heran', 'kalau', 'kemarin', 'banyak', 'orang', 'italia', 'dukung', 'argentina', 'jadi', 'juara', 'musuhnya', 'prancis', 'final', 'wkwkwk']</t>
  </si>
  <si>
    <t>Rina &amp;amp; Rita,  Para Wanita.  Argentina Berpesta,  Juara Semesta.   #FIFAWorldCup #Qatar2022  https://t.co/Ynfi7srUt8</t>
  </si>
  <si>
    <t>rina rita para wanita argentina berpesta juara semesta</t>
  </si>
  <si>
    <t>['rina', 'rita', 'wanita', 'argentina', 'berpesta', 'juara', 'semesta']</t>
  </si>
  <si>
    <t>3 Kontroversi Argentina Juara Piala Dunia 2022 ‚Äì CNN Indonesia ‚Äì Google Berita Olahraga ‚Äì  https://t.co/zn8xQudrhP ‚Äì #Arenanews #Kamidi #Opsiminfo- https://t.co/SOdRzBPnew</t>
  </si>
  <si>
    <t>kontroversi argentina juara piala dunia cnn indonesia google berita olahraga</t>
  </si>
  <si>
    <t>['kontroversi', 'argentina', 'juara', 'piala', 'dunia', 'cnn', 'indonesia', 'google', 'berita', 'olahraga']</t>
  </si>
  <si>
    <t>@18fesss Iri wajar, tapi cuman sebatas rasa iri doang. Jgn Sampe lu nya nge push cowo lu terlalu berlebihan. Asal gak minta2 lah</t>
  </si>
  <si>
    <t>iri wajar tapi cuman sebatas rasa iri doang jgn sampe nya nge push cowo terlalu berlebihan asal gak minta lah</t>
  </si>
  <si>
    <t>['iri', 'wajar', 'cuman', 'sebatas', 'rasa', 'iri', 'doang', 'sampai', 'nge', 'push', 'cowo', 'terlalu', 'berlebihan', 'asal', 'minta', 'lah']</t>
  </si>
  <si>
    <t>Sing juara Argentina sing seneng meh sak dunyo</t>
  </si>
  <si>
    <t>sing juara argentina sing seneng meh sak dunyo</t>
  </si>
  <si>
    <t>['sing', 'juara', 'argentina', 'sing', 'seneng', 'meh', 'sak', 'dunyo']</t>
  </si>
  <si>
    <t>@TumbalProyekk @LiaoFelix @zhannxfx1005 @The_RedsIndo ya selebrasi sewajarnya ajalah, yakali pensiunan timnas dan alumni Copa America tapi gayanya berasa ikutan berkeringat di gelar juara Argentina ü§£  bahkan staff pelatih yg lebih layak aja ngga banyak</t>
  </si>
  <si>
    <t>redsindo selebrasi sewajarnya ajalah yakali pensiunan timnas dan alumni copa america tapi gayanya berasa ikutan berkeringat gelar juara argentina bahkan staff pelatih lebih layak aja ngga banyak</t>
  </si>
  <si>
    <t>['redsindo', 'selebrasi', 'sewajarnya', 'ajalah', 'yakali', 'pensiunan', 'timnas', 'alumni', 'copa', 'america', 'gayanya', 'berasa', 'ikutan', 'berkeringat', 'gelar', 'juara', 'argentina', 'bahkan', 'staff', 'pelatih', 'lebih', 'layak', 'ngga', 'banyak']</t>
  </si>
  <si>
    <t>Melihat Lokasi Pesta Juara Argentina di Buenos Aires, Monumen Obelisk  https://t.co/jfwQcK8eGT</t>
  </si>
  <si>
    <t>melihat lokasi pesta juara argentina buenos aires monumen obelisk</t>
  </si>
  <si>
    <t>['melihat', 'lokasi', 'pesta', 'juara', 'argentina', 'buenos', 'aires', 'monumen', 'obelisk']</t>
  </si>
  <si>
    <t>Rayakan Juara Piala Dunia 2022, Argentina Tetapkan Hari Libur Nasional  https://t.co/3nc0cPmV8Y</t>
  </si>
  <si>
    <t>rayakan juara piala dunia argentina tetapkan hari libur nasional</t>
  </si>
  <si>
    <t>['rayakan', 'juara', 'piala', 'dunia', 'argentina', 'tetapkan', 'hari', 'libur', 'nasional']</t>
  </si>
  <si>
    <t>Bawa Argentina Juara Piala Dunia 2022, Kiper Emiliano Martinez Berpeluang ke Serie A  https://t.co/scadscwImD</t>
  </si>
  <si>
    <t>bawa argentina juara piala dunia kiper emiliano martinez berpeluang serie</t>
  </si>
  <si>
    <t>['bawa', 'argentina', 'juara', 'piala', 'dunia', 'kiper', 'emiliano', 'martinez', 'berpeluang', 'serie']</t>
  </si>
  <si>
    <t>Alhamdulillah. Argentina juara dunia dan Messi kini  "resmi" jadi pemain terbaik dunia sepanjang masa..  https://t.co/OSaABRyNWG</t>
  </si>
  <si>
    <t>@laperpedia 2 tahun lagi siap¬≤ konvoi lagi, siapa tau Argentina bisa juara Euro</t>
  </si>
  <si>
    <t>tahun lagi siap konvoi lagi siapa tau argentina bisa juara euro</t>
  </si>
  <si>
    <t>['tahun', 'siap', 'konvoi', 'siapa', 'argentina', 'juara', 'euro']</t>
  </si>
  <si>
    <t>KAKANWIL KEMENKUMHAM JATENG A. YUSPAHRUDDIN: Argentina Juara Piala Dunia 2022, Kepala Rutan Salatiga Minta Jajaran Teladani Semangat Lionel Messi -  https://t.co/mI720CZdzY</t>
  </si>
  <si>
    <t>kakanwil kemenkumham jateng yuspahruddin argentina juara piala dunia kepala rutan salatiga minta jajaran teladani semangat lionel messi</t>
  </si>
  <si>
    <t>['kakanwil', 'kemenkumham', 'jateng', 'yuspahruddin', 'argentina', 'juara', 'piala', 'dunia', 'kepala', 'rutan', 'salatiga', 'minta', 'jajaran', 'teladani', 'semangat', 'lionel', 'messi']</t>
  </si>
  <si>
    <t>ARGENTINA JUARA PIALA DUNIA, MESSI PEMAIN TERBAIK SEPANJANG MASA #golkar2024 #pialadunia2022 #sepakbola #messi #argentina #ARGENTINAVSFRANCE  https://t.co/4rH2MFECkA</t>
  </si>
  <si>
    <t>#Argentina #Prancis #JuaraPialaDunia2022  Pejabat Dukung Prancis Dicebur Ke Laut, Fans Argentina Rayakan Juara Piala Dunia 2022   https://t.co/2myFsZx560</t>
  </si>
  <si>
    <t>pejabat dukung prancis dicebur laut fans argentina rayakan juara piala dunia</t>
  </si>
  <si>
    <t>['pejabat', 'dukung', 'prancis', 'dicebur', 'laut', 'fans', 'argentina', 'rayakan', 'juara', 'piala', 'dunia']</t>
  </si>
  <si>
    <t>Menang Adu Penalti 4-2 atas Prancis, Argentina Juara Piala Dunia 2022  https://t.co/psp7yI5FnA</t>
  </si>
  <si>
    <t>menang adu penalti atas prancis argentina juara piala dunia</t>
  </si>
  <si>
    <t>['menang', 'adu', 'penalti', 'atas', 'prancis', 'argentina', 'juara', 'piala', 'dunia']</t>
  </si>
  <si>
    <t>Kenapa yang juara Piala Dunia itu Argentina? Kenapa bukan Indonesia, atau Srilanka, atau Timor Leste?  Karena semua hal pasti akan dimenangkan oleh yang memang ahli di bidangnya.  Kalo kita kan ahlinya caci maki...</t>
  </si>
  <si>
    <t>kenapa yang juara piala dunia itu argentina kenapa bukan indonesia atau srilanka atau timor leste karena semua hal pasti akan dimenangkan oleh yang memang ahli bidangnya kalo kita kan ahlinya caci maki</t>
  </si>
  <si>
    <t>['juara', 'piala', 'dunia', 'argentina', 'bukan', 'indonesia', 'srilanka', 'timor', 'leste', 'semua', 'dimenangkan', 'memang', 'ahli', 'bidangnya', 'kan', 'ahlinya', 'caci', 'maki']</t>
  </si>
  <si>
    <t>Top 3 Berita Bola: Sikap Emiliano Mart√≠nez Usai Argentina Jadi Juara Piala Dunia 2022 Dikecam Roy Keane  https://t.co/rIUS2IaFe7</t>
  </si>
  <si>
    <t>top berita bola sikap emiliano mart nez usai argentina jadi juara piala dunia dikecam roy keane</t>
  </si>
  <si>
    <t>['top', 'berita', 'bola', 'sikap', 'emiliano', 'mart', 'nez', 'usai', 'argentina', 'jadi', 'juara', 'piala', 'dunia', 'dikecam', 'roy', 'keane']</t>
  </si>
  <si>
    <t>@zoldyk45 @dum2nd @IDGoonerscom Lah, pemain Argentina yg juara WC 2022 juga gak semewah france dan portugal juga kok, tapi kok juara?</t>
  </si>
  <si>
    <t>lah pemain argentina juara juga gak semewah france dan portugal juga kok tapi kok juara</t>
  </si>
  <si>
    <t>['lah', 'pemain', 'argentina', 'juara', 'semewah', 'france', 'portugal', 'kok', 'kok', 'juara']</t>
  </si>
  <si>
    <t>Timnas Prancis gagal juara Piala Dunia 2022 setelah dikalahkan oleh Argentina di partai puncak. Ironisnya, sederet pemain Prancis seperti Aurelien Tchouameni, Kolo Muani, hingga Kingsley Coman langsung mendapat perlakuan rasis dari para fans.  https://t.co/eQbWG05Qdn</t>
  </si>
  <si>
    <t>timnas prancis gagal juara piala dunia setelah dikalahkan oleh argentina partai puncak ironisnya sederet pemain prancis seperti aurelien tchouameni kolo muani hingga kingsley coman langsung mendapat perlakuan rasis dari para fans</t>
  </si>
  <si>
    <t>['timnas', 'prancis', 'gagal', 'juara', 'piala', 'dunia', 'dikalahkan', 'argentina', 'partai', 'puncak', 'ironisnya', 'sederet', 'pemain', 'prancis', 'aurelien', 'tchouameni', 'kolo', 'muani', 'hingga', 'kingsley', 'coman', 'langsung', 'mendapat', 'perlakuan', 'rasis', 'fans']</t>
  </si>
  <si>
    <t>Merayakan messi dan argentina juara dunia  https://t.co/gjEPkJpynn</t>
  </si>
  <si>
    <t>merayakan messi dan argentina juara dunia</t>
  </si>
  <si>
    <t>['merayakan', 'messi', 'argentina', 'juara', 'dunia']</t>
  </si>
  <si>
    <t>@Ieomessiok Selamat Messi ini pencapaian terbaik selama karirmu menjadi pesepakbola..selamat untuk Argentina juara piala dunia 2022..salam hangat dari Indonesia üáÆüá©üíôüá¶üá∑</t>
  </si>
  <si>
    <t>selamat messi ini pencapaian terbaik selama karirmu menjadi pesepakbola selamat untuk argentina juara piala dunia salam hangat dari indonesia</t>
  </si>
  <si>
    <t>['selamat', 'messi', 'pencapaian', 'terbaik', 'selama', 'karirmu', 'menjadi', 'pesepakbola', 'selamat', 'argentina', 'juara', 'piala', 'dunia', 'salam', 'hangat', 'indonesia']</t>
  </si>
  <si>
    <t>Politikus PDI Perjuangan Budiman Sudjatmiko menyebut cara yang indah untuk 'mengakhiri' sebuah era manakala melihat Lionel Messi mengantarkan Argentina menjadi juara Piala Dunia 2022. #FIFAWorldCup  https://t.co/umZ7QYZHfY</t>
  </si>
  <si>
    <t>politikus pdi perjuangan budiman sudjatmiko menyebut cara yang indah untuk mengakhiri sebuah era manakala melihat lionel messi mengantarkan argentina menjadi juara piala dunia</t>
  </si>
  <si>
    <t>['politikus', 'pdi', 'perjuangan', 'budiman', 'sudjatmiko', 'menyebut', 'cara', 'indah', 'mengakhiri', 'sebuah', 'era', 'manakala', 'melihat', 'lionel', 'messi', 'mengantarkan', 'argentina', 'menjadi', 'juara', 'piala', 'dunia']</t>
  </si>
  <si>
    <t>Argentina Juara Dunia, Satu Negara Rayakan Libur Nasional  https://t.co/Ghs7oA7NV3</t>
  </si>
  <si>
    <t>argentina juara dunia satu negara rayakan libur nasional</t>
  </si>
  <si>
    <t>['argentina', 'juara', 'dunia', 'satu', 'negara', 'rayakan', 'libur', 'nasional']</t>
  </si>
  <si>
    <t>@LiaoFelix @gilangseva1 @zhannxfx1005 @The_RedsIndo tapi dia ga pinjem medali orang terus ikutan konvoi juara kan ü§£? udahlah, faktanya memang Aguero ini bukan bagian dari timnas Argentina yang juara piala dunia 2022!  kalau nanti Presiden Argentina und</t>
  </si>
  <si>
    <t>redsindo tapi dia pinjem medali orang terus ikutan konvoi juara kan udahlah faktanya memang aguero ini bukan bagian dari timnas argentina yang juara piala dunia kalau nanti presiden argentina und</t>
  </si>
  <si>
    <t>['redsindo', 'pinjem', 'medali', 'orang', 'terus', 'ikutan', 'konvoi', 'juara', 'kan', 'udahlah', 'faktanya', 'memang', 'aguero', 'bukan', 'bagian', 'timnas', 'argentina', 'juara', 'piala', 'dunia', 'kalau', 'presiden', 'argentina', 'und']</t>
  </si>
  <si>
    <t>World cup nya udah beres, siapa yang punya najar kalau argentina juara mau Nikah? Cepetan dah nikah keburu World war 3  https://t.co/WttA28bkuO</t>
  </si>
  <si>
    <t>world cup nya udah beres siapa yang punya najar kalau argentina juara mau nikah cepetan dah nikah keburu world war</t>
  </si>
  <si>
    <t>['world', 'cup', 'udah', 'beres', 'siapa', 'punya', 'najar', 'kalau', 'argentina', 'juara', 'mau', 'nikah', 'cepetan', 'dah', 'nikah', 'keburu', 'world', 'war']</t>
  </si>
  <si>
    <t>gue kemarin ada nazar sesuatu kalau argentina juara, syukur udah lunas hari iniüòÖ</t>
  </si>
  <si>
    <t>gue kemarin ada nazar sesuatu kalau argentina juara syukur udah lunas hari ini</t>
  </si>
  <si>
    <t>['gue', 'kemarin', 'nazar', 'kalau', 'argentina', 'juara', 'syukur', 'udah', 'lunas', 'hari']</t>
  </si>
  <si>
    <t>Tirai kompetisi sepakbola terbesar di dunia resmi ditutup. Piala Dunia FIFA Qatar 2022 selesai, Argentina juara. Ada beberapa hikmah yg bisa kita petik berhubungan erat dengan kehidupan.  Sebuah Utas  https://t.co/5yLRXSLXfi</t>
  </si>
  <si>
    <t>tirai kompetisi sepakbola terbesar dunia resmi ditutup piala dunia fifa qatar selesai argentina juara ada beberapa hikmah bisa kita petik berhubungan erat dengan kehidupan sebuah utas</t>
  </si>
  <si>
    <t>['tirai', 'kompetisi', 'sepakbola', 'terbesar', 'dunia', 'resmi', 'ditutup', 'piala', 'dunia', 'fifa', 'qatar', 'selesai', 'argentina', 'juara', 'beberapa', 'hikmah', 'petik', 'berhubungan', 'erat', 'kehidupan', 'sebuah', 'utas']</t>
  </si>
  <si>
    <t>@iIhamzada Lionel Messi mampu membawa Argentina juara dunia hanya terjadi pada masa Jokowi, presiden yang laen ngapain ajah?  Hidup Jokowi!</t>
  </si>
  <si>
    <t>lionel messi mampu membawa argentina juara dunia hanya terjadi pada masa jokowi presiden yang laen ngapain ajah hidup jokowi</t>
  </si>
  <si>
    <t>['lionel', 'messi', 'mampu', 'membawa', 'argentina', 'juara', 'dunia', 'terjadi', 'masa', 'jokowi', 'presiden', 'laen', 'ngapain', 'ajah', 'hidup', 'jokowi']</t>
  </si>
  <si>
    <t>Kontroversi selebriti chef,¬†Salt Bae, memegang dan mengangkat trofi¬†Piala Dunia di momen selebrasi juara Argentina. #kumparanBOLA  https://t.co/qJNAuuc2x9</t>
  </si>
  <si>
    <t>kontroversi selebriti chef salt bae memegang dan mengangkat trofi piala dunia momen selebrasi juara argentina</t>
  </si>
  <si>
    <t>['kontroversi', 'selebriti', 'chef', 'salt', 'bae', 'memegang', 'mengangkat', 'trofi', 'piala', 'dunia', 'momen', 'selebrasi', 'juara', 'argentina']</t>
  </si>
  <si>
    <t>Budiman Ungkap soal Messi Bawa Argentina Juara Piala Dunia  https://t.co/4Y5SJU8SS8</t>
  </si>
  <si>
    <t>budiman ungkap soal messi bawa argentina juara piala dunia</t>
  </si>
  <si>
    <t>['budiman', 'ungkap', 'soal', 'messi', 'bawa', 'argentina', 'juara', 'piala', 'dunia']</t>
  </si>
  <si>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</si>
  <si>
    <t>takdir juara argentina agaknya berjodoh momen ketika negeri mereka kehilangan kebanggaan maradona membawa pulang trofi piala dunia pada setelah kekalahan memalukan dalam perang malvinas daniel passarella dkk menjuarai piala dunia dalam tekanan junta militer</t>
  </si>
  <si>
    <t>['takdir', 'juara', 'argentina', 'agaknya', 'berjodoh', 'momen', 'negeri', 'kehilangan', 'kebanggaan', 'maradona', 'membawa', 'pulang', 'trofi', 'piala', 'dunia', 'kekalahan', 'memalukan', 'perang', 'malvinas', 'daniel', 'passarella', 'dkk', 'menjuarai', 'piala', 'dunia', 'tekanan', 'junta', 'militer']</t>
  </si>
  <si>
    <t>Bawa Argentina Juara Dunia, Tidak Membuat Messi Jadi GOAT Sepakbola  https://t.co/DfpmqvfIys</t>
  </si>
  <si>
    <t>bawa argentina juara dunia tidak membuat messi jadi goat sepakbola</t>
  </si>
  <si>
    <t>['bawa', 'argentina', 'juara', 'dunia', 'membuat', 'messi', 'jadi', 'goat', 'sepakbola']</t>
  </si>
  <si>
    <t>Lionel Messi membawa Argentina juara Piala Dunia tatkala negaranya kalut mengatasi krisis ekonomi akut. Sejenak warga Argentina lupa akan kemiskinan yg mengancam. Saat ini semua bahagia &amp;amp; berpesta. Biasanya, ini momentum politisi bikin banner dan spanduk.  https://t.co/BLBkC7YboV</t>
  </si>
  <si>
    <t>lionel messi membawa argentina juara piala dunia tatkala negaranya kalut mengatasi krisis ekonomi akut sejenak warga argentina lupa akan kemiskinan mengancam saat ini semua bahagia berpesta biasanya ini momentum politisi bikin banner dan spanduk</t>
  </si>
  <si>
    <t>['lionel', 'messi', 'membawa', 'argentina', 'juara', 'piala', 'dunia', 'tatkala', 'negaranya', 'kalut', 'mengatasi', 'krisis', 'ekonomi', 'akut', 'sejenak', 'warga', 'argentina', 'lupa', 'kemiskinan', 'mengancam', 'semua', 'bahagia', 'berpesta', 'biasanya', 'momentum', 'politisi', 'banner', 'spanduk']</t>
  </si>
  <si>
    <t>@idextratime SUDAH FIX ARGENTINA JUARA PIALA DUNIA 2022 QOTAR DAN MESSI RESMI JADI NEW LEGEND. Question: UNTUNGNYA APA KALIAN RIBUT2, APA BIAR VIRAL TERUS KALO SUDAH VIRAL BISA MENCOPOT GELAR TERSEBUT üòÇüòÇüòÇ.</t>
  </si>
  <si>
    <t>sudah fix argentina juara piala dunia qotar dan messi resmi jadi new legend question untungnya apa kalian ribut apa biar viral terus kalo sudah viral bisa mencopot gelar tersebut</t>
  </si>
  <si>
    <t>['fix', 'argentina', 'juara', 'piala', 'dunia', 'qotar', 'messi', 'resmi', 'jadi', 'new', 'legend', 'question', 'untungnya', 'apa', 'kalian', 'ribut', 'apa', 'viral', 'terus', 'viral', 'mencopot', 'gelar', 'tersebut']</t>
  </si>
  <si>
    <t>Argentina Libur Nasional Rayakan Juara Piala Dunia 2022, Parade Sambut Messi dkk, Argentina Jadi Lautan Manusia!  https://t.co/ygP0QUGeTm  #PialaDunia2022 #argentina #lionelmessi #prancis  Ehsan  Percy Jackson  Panglima TNI  Ngasih  https://t.co/zrpxpN7fpS</t>
  </si>
  <si>
    <t>argentina libur nasional rayakan juara piala dunia parade sambut messi dkk argentina jadi lautan manusia ehsan percy jackson panglima tni ngasih</t>
  </si>
  <si>
    <t>['argentina', 'libur', 'nasional', 'rayakan', 'juara', 'piala', 'dunia', 'parade', 'sambut', 'messi', 'dkk', 'argentina', 'jadi', 'lautan', 'manusia', 'ehsan', 'percy', 'jackson', 'panglima', 'tni', 'ngasih']</t>
  </si>
  <si>
    <t>Jersey Argentina Player Issue bisa kena 350K gegara juara wkwkw</t>
  </si>
  <si>
    <t>jersey argentina player issue bisa kena gegara juara wkwkw</t>
  </si>
  <si>
    <t>['jersey', 'argentina', 'player', 'issue', 'kena', 'gegara', 'juara', 'wkwkw']</t>
  </si>
  <si>
    <t>@Dennysiregar7 Bang Dennysiregar meleset harapannya. Tapi gpp, namanya juga ramalan.  Argentina memang layak juara piala dunia.  Messi memang Raja.</t>
  </si>
  <si>
    <t>bang dennysiregar meleset harapannya tapi gpp namanya juga ramalan argentina memang layak juara piala dunia messi memang raja</t>
  </si>
  <si>
    <t>['bang', 'dennysiregar', 'meleset', 'harapannya', 'gapapa', 'namanya', 'ramalan', 'argentina', 'memang', 'layak', 'juara', 'piala', 'dunia', 'messi', 'memang', 'raja']</t>
  </si>
  <si>
    <t>Usai Juara Piala Dunia 2022 Bersama Argentina, Messi Berpeluang Raih Ballon d'Or Kedelapannya: Lionel Messi baru saja usai meraih juara Piala Dunia 2022 bersama Argentina, Messi kini berpeluang meraih Ballon d'or‚Ä¶  https://t.co/jlxU24ZcNg #Bola #LionelMessi #juarapialadunia2022</t>
  </si>
  <si>
    <t>usai juara piala dunia bersama argentina messi berpeluang raih ballon kedelapannya lionel messi baru saja usai meraih juara piala dunia bersama argentina messi kini berpeluang meraih ballon</t>
  </si>
  <si>
    <t>['usai', 'juara', 'piala', 'dunia', 'bersama', 'argentina', 'messi', 'berpeluang', 'raih', 'ballon', 'kedelapannya', 'lionel', 'messi', 'baru', 'usai', 'meraih', 'juara', 'piala', 'dunia', 'bersama', 'argentina', 'messi', 'kini', 'berpeluang', 'meraih', 'ballon']</t>
  </si>
  <si>
    <t>Argentina Juara Piala Dunia 2022 Setelah 36 Tahun Lamanya  https://t.co/wFqZ7qJt4B</t>
  </si>
  <si>
    <t>argentina juara piala dunia setelah tahun lamanya</t>
  </si>
  <si>
    <t>['argentina', 'juara', 'piala', 'dunia', 'tahun', 'lamanya']</t>
  </si>
  <si>
    <t>Top News Koran Rakyat Merdeka  Argentina Juara Piala Dunia Fernandez Sibuk Balas Twitter Ucapan Selamat  https://t.co/UwCrAs2pSz</t>
  </si>
  <si>
    <t>top news koran rakyat merdeka argentina juara piala dunia fernandez sibuk balas twitter ucapan selamat</t>
  </si>
  <si>
    <t>['top', 'news', 'koran', 'rakyat', 'merdeka', 'argentina', 'juara', 'piala', 'dunia', 'fernandez', 'sibuk', 'balas', 'twitter', 'ucapan', 'selamat']</t>
  </si>
  <si>
    <t xml:space="preserve">@FaktaSepakbola @gastypm Nahh gini baru bener..udh resmi juara baru kasih libur nasional, engga kayak negara itu loh,bru sekali menang aja udah lebay wkwk,malu sendiri kan jadinya wkwk kcuali mreka menang lwan argentina saat itu dan buat mreka lolos fase </t>
  </si>
  <si>
    <t>nahh gini baru bener udh resmi juara baru kasih libur nasional engga kayak negara itu loh bru sekali menang aja udah lebay wkwk malu sendiri kan jadinya wkwk kcuali mreka menang lwan argentina saat itu dan buat mreka lolos fase</t>
  </si>
  <si>
    <t>['nahh', 'gini', 'baru', 'benar', 'sudah', 'resmi', 'juara', 'baru', 'kasih', 'libur', 'nasional', 'tidak', 'seperti', 'negara', 'bru', 'sekali', 'menang', 'udah', 'lebay', 'malu', 'sendiri', 'kan', 'jadinya', 'kcuali', 'mreka', 'menang', 'lwan', 'argentina', 'buat', 'mreka', 'lolos', 'fase']</t>
  </si>
  <si>
    <t>Bawa Argentina Juara Dunia, Tidak Membuat Messi Jadi GOAT Sepakbola  https://t.co/lOQKtPmkpe</t>
  </si>
  <si>
    <t>yang juara kan argentina, yang ngucapin tetep aja orang dengan logo partai politik wkwk meni nyarambung</t>
  </si>
  <si>
    <t>yang juara kan argentina yang ngucapin tetep aja orang dengan logo partai politik wkwk meni nyarambung</t>
  </si>
  <si>
    <t>['juara', 'kan', 'argentina', 'ngucapin', 'tetep', 'orang', 'logo', 'partai', 'politik', 'meni', 'nyarambung']</t>
  </si>
  <si>
    <t>@Rii1yu @_dpn22 @SeputarMadrid @Romain_Molina Argentina di 1990 kalah secara scoreline Brazil di 1998 kalah secara scoreline  Cuman France yg setelah juara 2018 terus backtoback ke final runner-up cmn lwt adu penalty   Kalo itung era lama Jules Rimet baru</t>
  </si>
  <si>
    <t>molina argentina kalah secara scoreline brazil kalah secara scoreline cuman france setelah juara terus backtoback final runner cmn lwt adu penalty kalo itung era lama jules rimet baru</t>
  </si>
  <si>
    <t>['molina', 'argentina', 'kalah', 'scoreline', 'brazil', 'kalah', 'scoreline', 'cuman', 'france', 'juara', 'terus', 'backtoback', 'final', 'runner', 'cmn', 'lwt', 'adu', 'penalty', 'itung', 'era', 'lama', 'jules', 'rimet', 'baru']</t>
  </si>
  <si>
    <t>aku kirim WA ke Messi sesaat setelah Argentina menang melawan Perancis dan jadi juara. dalam bahasa asing tentunya  https://t.co/FHp81cgTlr</t>
  </si>
  <si>
    <t>aku kirim messi sesaat setelah argentina menang melawan perancis dan jadi juara dalam bahasa asing tentunya</t>
  </si>
  <si>
    <t>['aku', 'kirim', 'messi', 'sesaat', 'argentina', 'menang', 'melawan', 'perancis', 'jadi', 'juara', 'bahasa', 'asing', 'tentunya']</t>
  </si>
  <si>
    <t>Parade Juara Piala Dunia Ditetapkan Pemerintah Argentina Sebagai Libur Nasional  https://t.co/QR6jyb3J9G</t>
  </si>
  <si>
    <t>parade juara piala dunia ditetapkan pemerintah argentina sebagai libur nasional</t>
  </si>
  <si>
    <t>['parade', 'juara', 'piala', 'dunia', 'ditetapkan', 'pemerintah', 'argentina', 'libur', 'nasional']</t>
  </si>
  <si>
    <t>Pasukan Penyihir, Sosok di Balik Gelar Juara Dunia Argentina  https://t.co/NAgsLucHyg</t>
  </si>
  <si>
    <t>pasukan penyihir sosok balik gelar juara dunia argentina</t>
  </si>
  <si>
    <t>['pasukan', 'penyihir', 'sosok', 'balik', 'gelar', 'juara', 'dunia', 'argentina']</t>
  </si>
  <si>
    <t>#Argentina #FIFAWorldCup #Messi #juaradunia  Juara Dunia! Begini Ungkapan Perasaan Istri Lionel Messi, Antonela Roccuzzo  https://t.co/jhPG6Tv8NG</t>
  </si>
  <si>
    <t>juara dunia begini ungkapan perasaan istri lionel messi antonela roccuzzo</t>
  </si>
  <si>
    <t>['juara', 'dunia', 'begini', 'ungkapan', 'perasaan', 'istri', 'lionel', 'messi', 'antonela', 'roccuzzo']</t>
  </si>
  <si>
    <t>Lionel Messi Ogah Pensiun Usai Angkat Trofi Emas Piala Dunia 2022 | Fokus Pasca meraih gelar juara Piala Dunia 2022 bersama tim Argentina, Lionel Messi pun menepis kabar dirinya akan pensiun ... @IndosiarTV  https://t.co/LeqA91RJmm</t>
  </si>
  <si>
    <t>lionel messi ogah pensiun usai angkat trofi emas piala dunia fokus pasca meraih gelar juara piala dunia bersama tim argentina lionel messi pun menepis kabar dirinya akan pensiun</t>
  </si>
  <si>
    <t>['lionel', 'messi', 'ogah', 'pensiun', 'usai', 'angkat', 'trofi', 'emas', 'piala', 'dunia', 'fokus', 'pasca', 'meraih', 'gelar', 'juara', 'piala', 'dunia', 'bersama', 'tim', 'argentina', 'lionel', 'messi', 'menepis', 'kabar', 'dirinya', 'pensiun']</t>
  </si>
  <si>
    <t>Konvoi Kemenangan Argentina Pakai Motor Berknalpot Bising, Pemuda Ditusuk hingga Tewas | Fokus Rayakan kemenangan tim kesayangannya sebagai juara di Piala Dunia, seorang remaja di Manado, Sulawesi Utara, malah ... @IndosiarTV  https://t.co/PHyoOUQv8o</t>
  </si>
  <si>
    <t>konvoi kemenangan argentina pakai motor berknalpot bising pemuda ditusuk hingga tewas fokus rayakan kemenangan tim kesayangannya sebagai juara piala dunia seorang remaja manado sulawesi utara malah</t>
  </si>
  <si>
    <t>['konvoi', 'kemenangan', 'argentina', 'pakai', 'motor', 'berknalpot', 'bising', 'pemuda', 'ditusuk', 'hingga', 'tewas', 'fokus', 'rayakan', 'kemenangan', 'tim', 'kesayangannya', 'juara', 'piala', 'dunia', 'seorang', 'remaja', 'manado', 'sulawesi', 'utara', 'malah']</t>
  </si>
  <si>
    <t>Daftar Juara Piala Dunia, Argentina Tambah Gelar, Brasil Masih Teratas  https://t.co/igOiLv5NRY</t>
  </si>
  <si>
    <t>daftar juara piala dunia argentina tambah gelar brasil masih teratas</t>
  </si>
  <si>
    <t>['daftar', 'juara', 'piala', 'dunia', 'argentina', 'tambah', 'gelar', 'brasil', 'teratas']</t>
  </si>
  <si>
    <t>@FWBESS Ayokkk</t>
  </si>
  <si>
    <t>ayokkk</t>
  </si>
  <si>
    <t>['ayokkk']</t>
  </si>
  <si>
    <t>@foosha_eastblue @yusufgunawan wakakakaka... apakah memang karena argentina juara .... wakakaka gak kepikiran sampai sini saya... hehehee</t>
  </si>
  <si>
    <t>eastblue wakakakaka apakah memang karena argentina juara wakakaka gak kepikiran sampai sini saya hehehee</t>
  </si>
  <si>
    <t>['eastblue', 'wakakakaka', 'memang', 'argentina', 'juara', 'wakakaka', 'kepikiran', 'sini', 'hehehee']</t>
  </si>
  <si>
    <t>Yang juara Argentina, yang trending 1 di YouTube @persib üíôüëè  https://t.co/2t4RiVTaIB</t>
  </si>
  <si>
    <t>yang juara argentina yang trending youtube</t>
  </si>
  <si>
    <t>['juara', 'argentina', 'trending', 'youtube']</t>
  </si>
  <si>
    <t>@ID_Albiceleste Sampe sekarang masih merinding liat Argentina juara world cup, liat satu2 pemainnya nyamperin dan meluk messi ü•∫ü•∫</t>
  </si>
  <si>
    <t>albiceleste sampe sekarang masih merinding liat argentina juara world cup liat satu pemainnya nyamperin dan meluk messi</t>
  </si>
  <si>
    <t>['albiceleste', 'sampai', 'sekarang', 'merinding', 'lihat', 'argentina', 'juara', 'world', 'cup', 'lihat', 'satu', 'pemainnya', 'nyamperin', 'meluk', 'messi']</t>
  </si>
  <si>
    <t>Argentina Juara! Fifa World Cup 2022 Qatar  Timnas Argentina resmi jadi juara Piala Dunia 2022 setelah di partai final mengalahkan Prancis.  Simak berita selengkapnya klik link berikut  https://t.co/AhJQVmYh62</t>
  </si>
  <si>
    <t>argentina juara fifa world cup qatar timnas argentina resmi jadi juara piala dunia setelah partai final mengalahkan prancis simak berita selengkapnya klik link berikut</t>
  </si>
  <si>
    <t>['argentina', 'juara', 'fifa', 'world', 'cup', 'qatar', 'timnas', 'argentina', 'resmi', 'jadi', 'juara', 'piala', 'dunia', 'partai', 'final', 'mengalahkan', 'prancis', 'simak', 'berita', 'selengkapnya', 'klik', 'link', 'berikut']</t>
  </si>
  <si>
    <t>Top 3 Tekno: Game FIFA 23 Prediksi Argentina Juara Piala Dunia 2022  https://t.co/Ml3zsOr7g4</t>
  </si>
  <si>
    <t>top tekno game fifa prediksi argentina juara piala dunia</t>
  </si>
  <si>
    <t>['top', 'tekno', 'game', 'fifa', 'prediksi', 'argentina', 'juara', 'piala', 'dunia']</t>
  </si>
  <si>
    <t>Carlo Ancelotti memuji kinerja Lionel Scaloni yang mampu mengantarkan Argentina menjadi juara dunia. Ia menilai Scaloni melakukan pekerjaan yang luar biasa! #juaraboladunia    https://t.co/Da5FqyMVsp</t>
  </si>
  <si>
    <t>carlo ancelotti memuji kinerja lionel scaloni yang mampu mengantarkan argentina menjadi juara dunia menilai scaloni melakukan pekerjaan yang luar biasa</t>
  </si>
  <si>
    <t>['carlo', 'ancelotti', 'memuji', 'kinerja', 'lionel', 'scaloni', 'mampu', 'mengantarkan', 'argentina', 'menjadi', 'juara', 'dunia', 'menilai', 'scaloni', 'melakukan', 'pekerjaan', 'luar', 'biasa']</t>
  </si>
  <si>
    <t>Argentina Menjadi Juara Piala Dunia 2022, Pele Berikan Komentar  Follow kami untuk berita menarik lainnyaüåê  #FIFAWorldCup Argentina seokjin Sarapan Messi Dybala Aguero Lautaro Ehsan Republic Churchill Swiss Drake  https://t.co/wg4Hs8I1Wc</t>
  </si>
  <si>
    <t>argentina menjadi juara piala dunia pele berikan komentar follow kami untuk berita menarik lainnya argentina seokjin sarapan messi dybala aguero lautaro ehsan republic churchill swiss drake</t>
  </si>
  <si>
    <t>['argentina', 'menjadi', 'juara', 'piala', 'dunia', 'pele', 'berikan', 'komentar', 'follow', 'berita', 'menarik', 'lainnya', 'argentina', 'seokjin', 'sarapan', 'messi', 'dybala', 'aguero', 'lautaro', 'ehsan', 'republic', 'churchill', 'swiss', 'drake']</t>
  </si>
  <si>
    <t>@Interisti_STAN @mulaka_ Ga ada Il Toro, Argentina ga juara Copa dan WC</t>
  </si>
  <si>
    <t>stan ada toro argentina juara copa dan</t>
  </si>
  <si>
    <t>['stan', 'toro', 'argentina', 'juara', 'copa']</t>
  </si>
  <si>
    <t>Insta story keliatan biasa2 aja sampe ada 1 orang yg masih repost2 kalo Argentina juara itu settingan wkwkwkwkwk ngakak bgt</t>
  </si>
  <si>
    <t>insta story keliatan biasa aja sampe ada orang masih repost kalo argentina juara itu settingan wkwkwkwkwk ngakak bgt</t>
  </si>
  <si>
    <t>['insta', 'story', 'keliatan', 'biasa', 'sampai', 'orang', 'repost', 'argentina', 'juara', 'settingan', 'wkwkwkwkwk', 'ngakak', 'banget']</t>
  </si>
  <si>
    <t>Argentina Bersiap Sambut Kepulangan Lionel Messi Cs, Gelar Parade Juara Piala Dunia 2022?  https://t.co/w3GzQ1bQ9i</t>
  </si>
  <si>
    <t>argentina bersiap sambut kepulangan lionel messi gelar parade juara piala dunia</t>
  </si>
  <si>
    <t>['argentina', 'bersiap', 'sambut', 'kepulangan', 'lionel', 'messi', 'gelar', 'parade', 'juara', 'piala', 'dunia']</t>
  </si>
  <si>
    <t>Sebelum Piala Dunia 2022 dimulai, Rodrigo De Paul telah memiliki firasat Argentina bakal keluar sebagai juara. #kumparanBOLA  https://t.co/3vUcAWDQ21</t>
  </si>
  <si>
    <t>sebelum piala dunia dimulai rodrigo paul telah memiliki firasat argentina bakal keluar sebagai juara</t>
  </si>
  <si>
    <t>['piala', 'dunia', 'dimulai', 'rodrigo', 'paul', 'memiliki', 'firasat', 'argentina', 'bakal', 'keluar', 'juara']</t>
  </si>
  <si>
    <t>Top 3 Berita Bola: Sikap Emiliano Mart√≠nez Usai Argentina Jadi Juara Piala Dunia 2022 Dikecam Roy Keane  https://t.co/GwTqroW4xm</t>
  </si>
  <si>
    <t xml:space="preserve"> https://t.co/uc1vuptfux   UPDATE Rangking FIFA Setelah Argentina Jadi Juara Piala Dunia 2022, Tim Tango Bukan Urutan Teratas !  #RangkingFIFA  #FIFAWorldCup  #Argentina  #Brasil  #Prancis  #Viral</t>
  </si>
  <si>
    <t>update rangking fifa setelah argentina jadi juara piala dunia tim tango bukan urutan teratas</t>
  </si>
  <si>
    <t>['update', 'rangking', 'fifa', 'argentina', 'jadi', 'juara', 'piala', 'dunia', 'tim', 'tango', 'bukan', 'urutan', 'teratas']</t>
  </si>
  <si>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</si>
  <si>
    <t>argentina sukses menjadi juara piala dunia itu berarti tim tango sudah kali menjuarai piala dunia kira kira kapan yah sob ada bendera indonesia daftar pemenang piala dunia</t>
  </si>
  <si>
    <t>['argentina', 'sukses', 'menjadi', 'juara', 'piala', 'dunia', 'berarti', 'tim', 'tango', 'kali', 'menjuarai', 'piala', 'dunia', 'kira', 'kira', 'kapan', 'sob', 'bendera', 'indonesia', 'daftar', 'pemenang', 'piala', 'dunia']</t>
  </si>
  <si>
    <t>#FOTO Gempita kemenangan Argentina jadi juara di Piala Dunia 2022 membuat jutaan warga berkumpul di Buenos Aires. Begini penampakannya dari udara.   https://t.co/b8s7Z4hesJ</t>
  </si>
  <si>
    <t>gempita kemenangan argentina jadi juara piala dunia membuat jutaan warga berkumpul buenos aires begini penampakannya dari udara</t>
  </si>
  <si>
    <t>['gempita', 'kemenangan', 'argentina', 'jadi', 'juara', 'piala', 'dunia', 'membuat', 'jutaan', 'warga', 'berkumpul', 'buenos', 'aires', 'begini', 'penampakannya', 'udara']</t>
  </si>
  <si>
    <t>hahaa, siapa yang dendam sama messi????  justru gua dendam sama mario gotze, gara2 dia bikin gol, 2014 messi &amp;amp; argentina ga juara.  oya satu lagi, dendam gua sama wiltord &amp;amp; trezeguet di final euro 2000</t>
  </si>
  <si>
    <t>hahaa siapa yang dendam sama messi justru gua dendam sama mario gotze gara dia bikin gol messi argentina juara oya satu lagi dendam gua sama wiltord trezeguet final euro</t>
  </si>
  <si>
    <t>['hahaa', 'siapa', 'dendam', 'sama', 'messi', 'justru', 'gua', 'dendam', 'sama', 'mario', 'gotze', 'gara', 'gol', 'messi', 'argentina', 'juara', 'oya', 'satu', 'dendam', 'gua', 'sama', 'wiltord', 'trezeguet', 'final', 'euro']</t>
  </si>
  <si>
    <t>Semoga Indonesia juara AFF biar libur nasional juga kaya Argentina  @PSSI @jokowi</t>
  </si>
  <si>
    <t>semoga indonesia juara aff biar libur nasional juga kaya argentina</t>
  </si>
  <si>
    <t>['semoga', 'indonesia', 'juara', 'aff', 'libur', 'nasional', 'kaya', 'argentina']</t>
  </si>
  <si>
    <t>@persib Yang juara Argentina, yang trending 1 di YouTube PERSIB üíôüëè</t>
  </si>
  <si>
    <t>yang juara argentina yang trending youtube persib</t>
  </si>
  <si>
    <t>['juara', 'argentina', 'trending', 'youtube', 'persib']</t>
  </si>
  <si>
    <t>@GOAL_ID Enek bang kaji 5 ae  maen kabeh argentina tetep juara lur ü§£</t>
  </si>
  <si>
    <t>enek bang kaji maen kabeh argentina tetep juara lur</t>
  </si>
  <si>
    <t>['enek', 'bang', 'kaji', 'maen', 'kabeh', 'argentina', 'tetep', 'juara', 'lur']</t>
  </si>
  <si>
    <t>Prediksi Cambodia Selasa, 20 Desember 2022 AI: 0 8 6 1 2D: 85 88 14 69 4D: 9470 1359 3048 Best: 87 84 17 Shio: Tikus BBFS: 612850 #Pancingtoto #argentinajuara #akhirtahun  https://t.co/SfTMffIW2U</t>
  </si>
  <si>
    <t>prediksi cambodia selasa desember best shio tikus bbfs</t>
  </si>
  <si>
    <t>['prediksi', 'cambodia', 'selasa', 'desember', 'best', 'shio', 'tikus', 'bbfs']</t>
  </si>
  <si>
    <t>Messi üòçüòçüòçüòçpertaruangan yg dramatis .Selamat buat team Argentina sebagai juara piala dunia 2022  https://t.co/JWZumdP8bZ</t>
  </si>
  <si>
    <t>messi pertaruangan dramatis selamat buat team argentina sebagai juara piala dunia</t>
  </si>
  <si>
    <t>['messi', 'pertaruangan', 'dramatis', 'selamat', 'buat', 'team', 'argentina', 'juara', 'piala', 'dunia']</t>
  </si>
  <si>
    <t>@idextratime padahal juara kelompok umur kenapa ketua federasi bola argentina gak ikut foto ?</t>
  </si>
  <si>
    <t>padahal juara kelompok umur kenapa ketua federasi bola argentina gak ikut foto</t>
  </si>
  <si>
    <t>['padahal', 'juara', 'kelompok', 'umur', 'ketua', 'federasi', 'bola', 'argentina', 'ikut', 'foto']</t>
  </si>
  <si>
    <t>@idextratime Pendapat mereka yang tidak suka Argentina Juara</t>
  </si>
  <si>
    <t>pendapat mereka yang tidak suka argentina juara</t>
  </si>
  <si>
    <t>['pendapat', 'suka', 'argentina', 'juara']</t>
  </si>
  <si>
    <t>@LiaoFelix @zhannxfx1005 @The_RedsIndo ngga ada yg salah sih, emang Agueronya aja yg ga tau malu üòÇ sampai pakai medali orang dan ikut-ikutan konvoi juara serasa dia bagian dari tim.. gue yakin ini orang bakalan ikutan saat seluruh tim(pemain, pelatih d</t>
  </si>
  <si>
    <t>redsindo ngga ada salah sih emang agueronya aja tau malu sampai pakai medali orang dan ikut ikutan konvoi juara serasa dia bagian dari tim gue yakin ini orang bakalan ikutan saat seluruh tim pemain pelatih</t>
  </si>
  <si>
    <t>['redsindo', 'ngga', 'salah', 'emang', 'agueronya', 'malu', 'pakai', 'medali', 'orang', 'ikut', 'ikutan', 'konvoi', 'juara', 'serasa', 'bagian', 'tim', 'gue', 'yakin', 'orang', 'bakalan', 'ikutan', 'seluruh', 'tim', 'pemain', 'pelatih']</t>
  </si>
  <si>
    <t>tulisan dari empat tahun lalu ini harus direvisi karena messi telah membawa argentina juara copa america dan kemudian piala dunia. mengukuhkan diri sebagai (mungkin) pemain terbaik di dunia. walau sikap saya tetap sama, maradona garis keras üôÇ üôÇ üôÇ  https://t.co/qnJBCbvZuO</t>
  </si>
  <si>
    <t>tulisan dari empat tahun lalu ini harus direvisi karena messi telah membawa argentina juara copa america dan kemudian piala dunia mengukuhkan diri sebagai mungkin pemain terbaik dunia walau sikap saya tetap sama maradona garis keras</t>
  </si>
  <si>
    <t>['tulisan', 'empat', 'tahun', 'lalu', 'direvisi', 'messi', 'membawa', 'argentina', 'juara', 'copa', 'america', 'kemudian', 'piala', 'dunia', 'mengukuhkan', 'diri', 'mungkin', 'pemain', 'terbaik', 'dunia', 'sikap', 'tetap', 'sama', 'maradona', 'garis', 'keras']</t>
  </si>
  <si>
    <t>Negara yang merana meski jadi juara piala dunia.. Kenapa ya?  [A THREAD]  #pialadunia #argentina #finance #portofolioindonesia  https://t.co/Ne3BOsy7nl</t>
  </si>
  <si>
    <t>negara yang merana meski jadi juara piala dunia kenapa thread</t>
  </si>
  <si>
    <t>['negara', 'merana', 'meski', 'jadi', 'juara', 'piala', 'dunia', 'thread']</t>
  </si>
  <si>
    <t>@kingnyamjoon Kapten Argentina Lionel Messi üá¶üá∑  Berasa bgt senengnya sampe sekarang, tiap bangun tidur senyum¬≤ sendiri inget argen jd juara pildun 2022 ü§© Congrats! y'all deserve it üíô  https://t.co/x4uTiApXzO</t>
  </si>
  <si>
    <t>kapten argentina lionel messi berasa bgt senengnya sampe sekarang tiap bangun tidur senyum sendiri inget argen juara pildun congrats all deserve</t>
  </si>
  <si>
    <t>['kapten', 'argentina', 'lionel', 'messi', 'berasa', 'banget', 'senengnya', 'sampai', 'sekarang', 'tiap', 'bangun', 'tidur', 'senyum', 'sendiri', 'inget', 'argen', 'juara', 'piala dunia', 'congrats', 'all', 'deserve']</t>
  </si>
  <si>
    <t>Foto Terpopuler: Argentina Juara Piala Dunia hingga Jokowi Serahkan KUR  https://t.co/eRjo2WVkj6  https://t.co/HAB1pWYM1G</t>
  </si>
  <si>
    <t>foto terpopuler argentina juara piala dunia hingga jokowi serahkan kur</t>
  </si>
  <si>
    <t>['foto', 'terpopuler', 'argentina', 'juara', 'piala', 'dunia', 'hingga', 'jokowi', 'serahkan', 'kur']</t>
  </si>
  <si>
    <t>Pasca meraih gelar juara Piala Dunia 2022 bersama tim Argentina, Lionel Messi pun menepis kabar dirinya akan pensiun setelah mengangkat trofi emas di Qatar.   #IndosiarBerita   Berita lainnya:  https://t.co/wddAYjpNoE  https://t.co/73RgsL7OAu</t>
  </si>
  <si>
    <t>pasca meraih gelar juara piala dunia bersama tim argentina lionel messi pun menepis kabar dirinya akan pensiun setelah mengangkat trofi emas qatar berita lainnya</t>
  </si>
  <si>
    <t>['pasca', 'meraih', 'gelar', 'juara', 'piala', 'dunia', 'bersama', 'tim', 'argentina', 'lionel', 'messi', 'menepis', 'kabar', 'dirinya', 'pensiun', 'mengangkat', 'trofi', 'emas', 'qatar', 'berita', 'lainnya']</t>
  </si>
  <si>
    <t>Satu bulan mengawal Argentina ke tangga juara. Kini saatnya kembali ke barak sebagai fans Italia. Saya pamit @ArikArjuna @susiloraharjo3  https://t.co/WMdIUeE1xg</t>
  </si>
  <si>
    <t>satu bulan mengawal argentina tangga juara kini saatnya kembali barak sebagai fans italia saya pamit</t>
  </si>
  <si>
    <t>['satu', 'bulan', 'mengawal', 'argentina', 'tangga', 'juara', 'kini', 'saatnya', 'barak', 'fans', 'italia', 'pamit']</t>
  </si>
  <si>
    <t>Carlo Ancelotti memuji kinerja Lionel Scaloni yang mampu mengantarkan Argentina menjadi juara dunia. Ia menilai Scaloni melakukan pekerjaan yang luar biasa! #juaraboladunia    https://t.co/WQYQMdC8Jh</t>
  </si>
  <si>
    <t>Itu argentina langsung ada tanggal merah baru engga yaa abis juara pildun dunia??</t>
  </si>
  <si>
    <t>itu argentina langsung ada tanggal merah baru engga yaa abis juara pildun dunia</t>
  </si>
  <si>
    <t>['argentina', 'langsung', 'tanggal', 'merah', 'baru', 'tidak', 'ya', 'abis', 'juara', 'piala dunia', 'dunia']</t>
  </si>
  <si>
    <t>@TukangDagang12 @SiaranBolaLive Kalau Argentina juara semua orang Argentina punya hak untuk ngerayain.</t>
  </si>
  <si>
    <t>kalau argentina juara semua orang argentina punya hak untuk ngerayain</t>
  </si>
  <si>
    <t>['kalau', 'argentina', 'juara', 'semua', 'orang', 'argentina', 'punya', 'hak', 'ngerayain']</t>
  </si>
  <si>
    <t>@yudhaydh_ @SeputarMadrid @Romain_Molina Bek Argentina dri spurs juara</t>
  </si>
  <si>
    <t>molina bek argentina dri spurs juara</t>
  </si>
  <si>
    <t>['molina', 'bek', 'argentina', 'dri', 'spurs', 'juara']</t>
  </si>
  <si>
    <t>@idextratime Argentina juara settingan, buktinya Mbappe cuma cetak 3 gol, padahal dia bisa lebih banyak lagi.  Jika, setuju dgn teori ini. Fix, Mbappe jauh di atas Ronaldo. üòÇ</t>
  </si>
  <si>
    <t>argentina juara settingan buktinya mbappe cuma cetak gol padahal dia bisa lebih banyak lagi jika setuju dgn teori ini fix mbappe jauh atas ronaldo</t>
  </si>
  <si>
    <t>['argentina', 'juara', 'settingan', 'buktinya', 'mbappe', 'cuma', 'cetak', 'gol', 'padahal', 'lebih', 'banyak', 'setuju', 'teori', 'fix', 'mbappe', 'jauh', 'atas', 'ronaldo']</t>
  </si>
  <si>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</si>
  <si>
    <t>yeayyy argentina jadi juara piala dunia qatar prediksi dan jagoan pak nih pak erick thohir mengaku terinspirasi qatar jadi tuan rumah dan akan diterapkan juga nanti pas indonesia jadi tuan rumah world cup tahun depan</t>
  </si>
  <si>
    <t>['yeayyy', 'argentina', 'jadi', 'juara', 'piala', 'dunia', 'qatar', 'prediksi', 'jagoan', 'pak', 'pak', 'erick', 'thohir', 'mengaku', 'terinspirasi', 'qatar', 'jadi', 'tuan', 'rumah', 'diterapkan', 'pas', 'indonesia', 'jadi', 'tuan', 'rumah', 'world', 'cup', 'tahun', 'depan']</t>
  </si>
  <si>
    <t>@Cristiano_time7 @idextratime Yang tuan rumah World Cup Qatar ‚Äî&amp;gt; Qatar punya klub PSG ‚Äî&amp;gt; di PSG ada Messi ‚Äî&amp;gt; Mbappe pernah juara dunia bareng Perancis sedangkan Messi belum ‚Äî&amp;gt; Messi bersama Timnas Argentina juara World Cup di Qatar ‚Äî</t>
  </si>
  <si>
    <t>time yang tuan rumah world cup qatar qatar punya klub psg psg ada messi mbappe pernah juara dunia bareng perancis sedangkan messi belum messi bersama timnas argentina juara world cup qatar</t>
  </si>
  <si>
    <t>['time', 'tuan', 'rumah', 'world', 'cup', 'qatar', 'qatar', 'punya', 'klub', 'psg', 'psg', 'messi', 'mbappe', 'pernah', 'juara', 'dunia', 'bareng', 'perancis', 'messi', 'messi', 'bersama', 'timnas', 'argentina', 'juara', 'world', 'cup', 'qatar']</t>
  </si>
  <si>
    <t>#FOTO Gempita kemenangan Argentina jadi juara di Piala Dunia 2022 membuat jutaan warga berkumpul di Buenos Aires. Begini penampakannya dari udara.   https://t.co/x9Ck758cWK</t>
  </si>
  <si>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</si>
  <si>
    <t>piala dunia sudah selesai timnas argentina berhasil menjadi juara setelah mengalahkan timnas perancis lewat adu pinalti tahukah kamu ada fakta yang terjadi dalam piala dunia berikut informasinya</t>
  </si>
  <si>
    <t>['piala', 'dunia', 'selesai', 'timnas', 'argentina', 'berhasil', 'menjadi', 'juara', 'mengalahkan', 'timnas', 'perancis', 'lewat', 'adu', 'penalti', 'tahukah', 'kamu', 'fakta', 'terjadi', 'piala', 'dunia', 'berikut', 'informasinya']</t>
  </si>
  <si>
    <t>masih ga ikhlas argentina juara -_-</t>
  </si>
  <si>
    <t>masih ikhlas argentina juara</t>
  </si>
  <si>
    <t>['ikhlas', 'argentina', 'juara']</t>
  </si>
  <si>
    <t>@neovaan @pantungalimar Lah kok jumawa.. di mana jumawanya? kan timnas Argentina yang juara, emang yang boleh angkat pialanya yang golin doang? aneh benerüòÖ</t>
  </si>
  <si>
    <t>lah kok jumawa mana jumawanya kan timnas argentina yang juara emang yang boleh angkat pialanya yang golin doang aneh bener</t>
  </si>
  <si>
    <t>['lah', 'kok', 'jumawa', 'mana', 'jumawanya', 'kan', 'timnas', 'argentina', 'juara', 'emang', 'angkat', 'pialanya', 'golin', 'doang', 'aneh', 'benar']</t>
  </si>
  <si>
    <t>Setelah Lionel Messi Berhasil Bawa Argentina Juara Piala Dunia 2022, Cristiano Ronaldo Dapat Ejekan Dari Netizen #pialadunia2022 #pialadunia #cristianoronaldo #lionelmessi   https://t.co/bdxbwI792P</t>
  </si>
  <si>
    <t>setelah lionel messi berhasil bawa argentina juara piala dunia cristiano ronaldo dapat ejekan dari netizen</t>
  </si>
  <si>
    <t>['lionel', 'messi', 'berhasil', 'bawa', 'argentina', 'juara', 'piala', 'dunia', 'cristiano', 'ronaldo', 'ejekan', 'netizen']</t>
  </si>
  <si>
    <t>@GOAL_ID Itu yg juara skuad nya pada elit/mewah smua dimasanya. Argentina aj ni yg bkin terheran heran, skuad antah berantah bsa juara hnya brmodalkan messi</t>
  </si>
  <si>
    <t>itu juara skuad nya pada elit mewah smua dimasanya argentina bkin terheran heran skuad antah berantah bsa juara hnya brmodalkan messi</t>
  </si>
  <si>
    <t>['juara', 'skuad', 'elit', 'mewah', 'smua', 'dimasanya', 'argentina', 'bkin', 'terheran', 'heran', 'skuad', 'antah', 'berantah', 'bsa', 'juara', 'hnya', 'brmodalkan', 'messi']</t>
  </si>
  <si>
    <t>Pemain Pengganti Kunci Sukses Argentina Juara Piala Dunia 2022  https://t.co/SaOdZhOLYY</t>
  </si>
  <si>
    <t>pemain pengganti kunci sukses argentina juara piala dunia</t>
  </si>
  <si>
    <t>['pemain', 'pengganti', 'kunci', 'sukses', 'argentina', 'juara', 'piala', 'dunia']</t>
  </si>
  <si>
    <t>Ronaldo Sanjung Lionel Messi Usai Bawa Argentina Juara Piala Dunia 2022 #pialadunia #pialadunia2022 #ronaldo #lionelmessi   https://t.co/m3D5hJRFnn</t>
  </si>
  <si>
    <t>ronaldo sanjung lionel messi usai bawa argentina juara piala dunia</t>
  </si>
  <si>
    <t>['ronaldo', 'sanjung', 'lionel', 'messi', 'usai', 'bawa', 'argentina', 'juara', 'piala', 'dunia']</t>
  </si>
  <si>
    <t>Jerman juara piala Dunia 2014 Reus ga masuk skuad krn cedera  Prancis juara piala Dunia 2018 Benzema ga masuk skuad keknya masalah internal  Argentina juara 2022, lo celso cedera jadi gak masuk skuad  Kasihan banget nasib reus, benzema dan lo celso</t>
  </si>
  <si>
    <t>jerman juara piala dunia reus masuk skuad krn cedera prancis juara piala dunia benzema masuk skuad keknya masalah internal argentina juara celso cedera jadi gak masuk skuad kasihan banget nasib reus benzema dan celso</t>
  </si>
  <si>
    <t>['jerman', 'juara', 'piala', 'dunia', 'reus', 'masuk', 'skuad', 'cedera', 'prancis', 'juara', 'piala', 'dunia', 'benzema', 'masuk', 'skuad', 'sepertinya', 'masalah', 'internal', 'argentina', 'juara', 'celso', 'cedera', 'jadi', 'masuk', 'skuad', 'kasihan', 'banget', 'nasib', 'reus', 'benzema', 'celso']</t>
  </si>
  <si>
    <t>Argentina Juara Piala Dunia. Parawisatanya Juga Lagi Oke  https://t.co/4e0Y2syVTP</t>
  </si>
  <si>
    <t>argentina juara piala dunia parawisatanya juga lagi oke</t>
  </si>
  <si>
    <t>['argentina', 'juara', 'piala', 'dunia', 'parawisatanya', 'oke']</t>
  </si>
  <si>
    <t>Buenos Aires üá¶üá∑üò±  Pemerintah secara resmi meliburkan seluruh kegiatan di Argentina untuk merayakan gelar juara Tim Tango di #FIFAWorldCup   #ARG  https://t.co/MP0DAOcty4</t>
  </si>
  <si>
    <t>buenos aires pemerintah secara resmi meliburkan seluruh kegiatan argentina untuk merayakan gelar juara tim tango</t>
  </si>
  <si>
    <t>['buenos', 'aires', 'pemerintah', 'resmi', 'meliburkan', 'seluruh', 'kegiatan', 'argentina', 'merayakan', 'gelar', 'juara', 'tim', 'tango']</t>
  </si>
  <si>
    <t>Tulis Pesan di Kamar Lionel Messi, Rodrigo De Paul Sudah Ramalkan Argentina Juara Piala Dunia 2022  https://t.co/qYsmHolENr</t>
  </si>
  <si>
    <t>tulis pesan kamar lionel messi rodrigo paul sudah ramalkan argentina juara piala dunia</t>
  </si>
  <si>
    <t>['tulis', 'pesan', 'kamar', 'lionel', 'messi', 'rodrigo', 'paul', 'ramalkan', 'argentina', 'juara', 'piala', 'dunia']</t>
  </si>
  <si>
    <t>Piala Dunia 2026 Digelar di Tiga Negara: Gebyar Piala Dunia 2022 Qatar sudah berakhir dengan Argentina¬†meraih gelar juara usai menundukkan Prancis lewat adu penalti di Stadion Lusail, Minggu (18/12/2022). ...  https://t.co/r2PDWQNi3Y #beritabaik #timesindonesia #ketahananinformasi</t>
  </si>
  <si>
    <t>piala dunia digelar tiga negara gebyar piala dunia qatar sudah berakhir dengan argentina meraih gelar juara usai menundukkan prancis lewat adu penalti stadion lusail minggu</t>
  </si>
  <si>
    <t>['piala', 'dunia', 'digelar', 'tiga', 'negara', 'gebyar', 'piala', 'dunia', 'qatar', 'berakhir', 'argentina', 'meraih', 'gelar', 'juara', 'usai', 'menundukkan', 'prancis', 'lewat', 'adu', 'penalti', 'stadion', 'lusail', 'minggu']</t>
  </si>
  <si>
    <t>@SeputarMadrid @Romain_Molina Kemarin difinal mbappe bener2 gendong Perancis, bedanya dengan Argentina ,pemaen Argentina mati Matian buat Messi jadi juara dunia</t>
  </si>
  <si>
    <t>molina kemarin difinal mbappe bener gendong perancis bedanya dengan argentina pemaen argentina mati matian buat messi jadi juara dunia</t>
  </si>
  <si>
    <t>['molina', 'kemarin', 'difinal', 'mbappe', 'benar', 'gendong', 'perancis', 'bedanya', 'argentina', 'pemaen', 'argentina', 'mati', 'matian', 'buat', 'messi', 'jadi', 'juara', 'dunia']</t>
  </si>
  <si>
    <t>Argentina Juara Piala Dunia 2022, Brasil Masih Nomor Satu di Ranking FIFA  https://t.co/8KSgpNk3Rt</t>
  </si>
  <si>
    <t>argentina juara piala dunia brasil masih nomor satu ranking fifa</t>
  </si>
  <si>
    <t>['argentina', 'juara', 'piala', 'dunia', 'brasil', 'nomor', 'satu', 'ranking', 'fifa']</t>
  </si>
  <si>
    <t>argentina gabakal juara kalo neal maupay ga bikin cedera bernd leno</t>
  </si>
  <si>
    <t>argentina gabakal juara kalo neal maupay bikin cedera bernd leno</t>
  </si>
  <si>
    <t>['argentina', 'gabakal', 'juara', 'neal', 'maupay', 'cedera', 'bernd', 'leno']</t>
  </si>
  <si>
    <t xml:space="preserve">@DennySeggssegar @Gdmn77 @idextratime Messi kalah di 2014 bikin banyak player argentina usaha keras buat juara wc, kebukti player skrng 5-6 muda Nah warga portugal ngapain aja? Ga ada yg usaha buat jadi atlit buat bantu cr juara kah? Afk doang? Apa emang </t>
  </si>
  <si>
    <t>messi kalah bikin banyak player argentina usaha keras buat juara kebukti player skrng muda nah warga portugal ngapain aja ada usaha buat jadi atlit buat bantu juara kah afk doang apa emang</t>
  </si>
  <si>
    <t>['messi', 'kalah', 'banyak', 'player', 'argentina', 'usaha', 'keras', 'buat', 'juara', 'kebukti', 'player', 'skrng', 'muda', 'nah', 'warga', 'portugal', 'ngapain', 'usaha', 'buat', 'jadi', 'atlit', 'buat', 'bantu', 'juara', 'afk', 'doang', 'apa', 'emang']</t>
  </si>
  <si>
    <t>Ha.?! Presiden Argentina cuma selfie di depan TV? Nggak ikutan tampil di podium juara kayak Ketua PSSW (Persatuan Sepakbola Seluruh Wakanda)? Katroook...!</t>
  </si>
  <si>
    <t>presiden argentina cuma selfie depan nggak ikutan tampil podium juara kayak ketua pssw persatuan sepakbola seluruh wakanda katroook</t>
  </si>
  <si>
    <t>['presiden', 'argentina', 'cuma', 'selfie', 'depan', 'ikutan', 'tampil', 'podium', 'juara', 'seperti', 'ketua', 'pssw', 'persatuan', 'sepakbola', 'seluruh', 'wakanda', 'katroook']</t>
  </si>
  <si>
    <t>@helmi__mr Yen lautaro raono lho argentina rak juara soale goal k3 messi kan seko shoot e lautaro. Lautaro emang finishing e elek, tp pergerakane joss, soale cocoke ning second striker.</t>
  </si>
  <si>
    <t>yen lautaro raono lho argentina rak juara soale goal messi kan seko shoot lautaro lautaro emang finishing elek pergerakane joss soale cocoke ning second striker</t>
  </si>
  <si>
    <t>['yen', 'lautaro', 'raono', 'lho', 'argentina', 'rak', 'juara', 'soale', 'goal', 'messi', 'kan', 'seko', 'shoot', 'lautaro', 'lautaro', 'emang', 'finishing', 'elek', 'pergerakane', 'joss', 'soale', 'cocoke', 'ning', 'second', 'striker']</t>
  </si>
  <si>
    <t>Hadiah Uang Juara Piala Dunia 2022 yang Didapat Argentina   Simak infografis selengkapnya!  #iNews #Hadiah #Infografis #Juara #Argentina #PialaDunia2022 #Final #PialaDuniaQatar2022  https://t.co/EJljIz2h73</t>
  </si>
  <si>
    <t>hadiah uang juara piala dunia yang didapat argentina simak infografis selengkapnya</t>
  </si>
  <si>
    <t>['hadiah', 'uang', 'juara', 'piala', 'dunia', 'didapat', 'argentina', 'simak', 'infografis', 'selengkapnya']</t>
  </si>
  <si>
    <t>@The_RedsIndo Lho2. Dia kan ada kontribusinya tri. Sebelum pildun kamar messi kan sendiri. Pas MD 1 kalah lawan Arab Saudi, trs MD 2 dia dateng trs jd temen 1 kamar Messi. Alhasil, Argentina bisa melesat jauh smpe juara.</t>
  </si>
  <si>
    <t>redsindo lho dia kan ada kontribusinya tri sebelum pildun kamar messi kan sendiri pas kalah lawan arab saudi trs dia dateng trs temen kamar messi alhasil argentina bisa melesat jauh smpe juara</t>
  </si>
  <si>
    <t>['redsindo', 'lho', 'kan', 'kontribusinya', 'tri', 'piala dunia', 'kamar', 'messi', 'kan', 'sendiri', 'pas', 'kalah', 'lawan', 'arab', 'saudi', 'terus', 'dateng', 'terus', 'temen', 'kamar', 'messi', 'alhasil', 'argentina', 'melesat', 'jauh', 'smpe', 'juara']</t>
  </si>
  <si>
    <t>@hategovernmen @HasimBaktiSetio @AnnaBel41261357 @idextratime Udah jelas jelas Argentina yg juara masih diributin, kurang tolol apa coba ü§£ü§£</t>
  </si>
  <si>
    <t>udah jelas jelas argentina juara masih diributin kurang tolol apa coba</t>
  </si>
  <si>
    <t>['udah', 'jelas', 'jelas', 'argentina', 'juara', 'diributin', 'kurang', 'tolol', 'apa', 'coba']</t>
  </si>
  <si>
    <t>Cipung sapaannya saat itu memilih Argentina keluar sebagai juara.   https://t.co/fHftz4XpVQ</t>
  </si>
  <si>
    <t>cipung sapaannya saat itu memilih argentina keluar sebagai juara</t>
  </si>
  <si>
    <t>['cipung', 'sapaannya', 'memilih', 'argentina', 'keluar', 'juara']</t>
  </si>
  <si>
    <t>secuil variabel yg membuat Argentina juara</t>
  </si>
  <si>
    <t>secuil variabel membuat argentina juara</t>
  </si>
  <si>
    <t>['secuil', 'variabel', 'membuat', 'argentina', 'juara']</t>
  </si>
  <si>
    <t>Bawa Argentina Juara Piala Dunia 2022, Messi Dekati Ballon d‚ÄôOr ke-8 ‚Äì CNN Indonesia ‚Äì Google Berita Olahraga ‚Äì  https://t.co/VckdMQTRAU ‚Äì #Arenanews #Kamidi #Opsiminfo- https://t.co/79OjG1QBJ2</t>
  </si>
  <si>
    <t>bawa argentina juara piala dunia messi dekati ballon cnn indonesia google berita olahraga</t>
  </si>
  <si>
    <t>['bawa', 'argentina', 'juara', 'piala', 'dunia', 'messi', 'dekati', 'ballon', 'cnn', 'indonesia', 'google', 'berita', 'olahraga']</t>
  </si>
  <si>
    <t>Keberuntungan: Berhasil Menukik tajam dan Menganulir Juara untuk Argentina  https://t.co/fiJLK9Rkmx</t>
  </si>
  <si>
    <t>keberuntungan berhasil menukik tajam dan menganulir juara untuk argentina</t>
  </si>
  <si>
    <t>['keberuntungan', 'berhasil', 'menukik', 'tajam', 'menganulir', 'juara', 'argentina']</t>
  </si>
  <si>
    <t>lagi di buenos aires Argentina. jablay nya kaga nahan .... gratis kek, kan lg juara piala dunia üòúüòú</t>
  </si>
  <si>
    <t>lagi buenos aires argentina jablay nya kaga nahan gratis kek kan juara piala dunia</t>
  </si>
  <si>
    <t>['buenos', 'aires', 'argentina', 'jablay', 'kaga', 'nahan', 'gratis', 'kek', 'kan', 'juara', 'piala', 'dunia']</t>
  </si>
  <si>
    <t>@aguspriyanto01 @adriansyahyasin Apa hubungannya mereka ini ama argentina juara anj</t>
  </si>
  <si>
    <t>apa hubungannya mereka ini ama argentina juara anj</t>
  </si>
  <si>
    <t>['apa', 'hubungannya', 'ama', 'argentina', 'juara', 'anj']</t>
  </si>
  <si>
    <t>Kalau üòÇ Kalau dia masuk squad Argentina ga bakal juara.. kan kalau wkwkwkwk</t>
  </si>
  <si>
    <t>kalau kalau dia masuk squad argentina bakal juara kan kalau wkwkwkwk</t>
  </si>
  <si>
    <t>['kalau', 'kalau', 'masuk', 'squad', 'argentina', 'bakal', 'juara', 'kan', 'kalau', 'wkwkwkwk']</t>
  </si>
  <si>
    <t xml:space="preserve"> https://t.co/6ew7C74xxY  Argentina sukses meraih trofi juara Piala Dunia 2022. Dari luar lapangan, suporter mendukung dengan berbagai cara, datang ke Qatar hingga menjalankan ritual.</t>
  </si>
  <si>
    <t>argentina sukses meraih trofi juara piala dunia dari luar lapangan suporter mendukung dengan berbagai cara datang qatar hingga menjalankan ritual</t>
  </si>
  <si>
    <t>['argentina', 'sukses', 'meraih', 'trofi', 'juara', 'piala', 'dunia', 'luar', 'lapangan', 'suporter', 'mendukung', 'berbagai', 'cara', 'datang', 'qatar', 'hingga', 'menjalankan', 'ritual']</t>
  </si>
  <si>
    <t>Pemerintah Argentina Tetapkan Libur Nasional Satu Hari untuk Parade Juara Piala Dunia  https://t.co/72l1SwkeTF</t>
  </si>
  <si>
    <t>pemerintah argentina tetapkan libur nasional satu hari untuk parade juara piala dunia</t>
  </si>
  <si>
    <t>['pemerintah', 'argentina', 'tetapkan', 'libur', 'nasional', 'satu', 'hari', 'parade', 'juara', 'piala', 'dunia']</t>
  </si>
  <si>
    <t>Saat Lautaro Martinez Lebih Tinggi daripada Messi, "Ganggu" Momen Juara Argentina...  https://t.co/Zin3aTGMjq</t>
  </si>
  <si>
    <t>saat lautaro martinez lebih tinggi daripada messi ganggu momen juara argentina</t>
  </si>
  <si>
    <t>['lautaro', 'martinez', 'lebih', 'tinggi', 'messi', 'ganggu', 'momen', 'juara', 'argentina']</t>
  </si>
  <si>
    <t>3 Kontroversi Argentina Juara Piala Dunia 2022  https://t.co/7CyLgMvlu6</t>
  </si>
  <si>
    <t>kontroversi argentina juara piala dunia</t>
  </si>
  <si>
    <t>['kontroversi', 'argentina', 'juara', 'piala', 'dunia']</t>
  </si>
  <si>
    <t>@idextratime @Romain_Molina @MadridXtra .. seandainya Benzema ikut piala dunia pasti Prancis bakal easy win lawan Argentina, emang FIFA memudahkan pessi buat juara</t>
  </si>
  <si>
    <t>molina seandainya benzema ikut piala dunia pasti prancis bakal easy win lawan argentina emang fifa memudahkan pessi buat juara</t>
  </si>
  <si>
    <t>['molina', 'seandainya', 'benzema', 'ikut', 'piala', 'dunia', 'prancis', 'bakal', 'easy', 'win', 'lawan', 'argentina', 'emang', 'fifa', 'memudahkan', 'pessi', 'buat', 'juara']</t>
  </si>
  <si>
    <t>@rifftyaditya @Davidzioso @psychicmew2 @SerieA_Lawas Selama Aguero maen di timnas, Argentina udah juara apa aja? Sedangkan Lautaro 4 tahun udah 3 gelar.ü§£  https://t.co/TZ0ZAM5FA6</t>
  </si>
  <si>
    <t>lawas selama aguero maen timnas argentina udah juara apa aja sedangkan lautaro tahun udah gelar</t>
  </si>
  <si>
    <t>['lawas', 'selama', 'aguero', 'maen', 'timnas', 'argentina', 'udah', 'juara', 'apa', 'lautaro', 'tahun', 'udah', 'gelar']</t>
  </si>
  <si>
    <t>Argentina Tetapkan Libur Nasional Rayakan Sukses Lionel Messi Cs Juara Piala Dunia 2022  https://t.co/CbgjwKRh8d</t>
  </si>
  <si>
    <t>argentina tetapkan libur nasional rayakan sukses lionel messi juara piala dunia</t>
  </si>
  <si>
    <t>['argentina', 'tetapkan', 'libur', 'nasional', 'rayakan', 'sukses', 'lionel', 'messi', 'juara', 'piala', 'dunia']</t>
  </si>
  <si>
    <t>@nurbintangainun nggak bang, argentina juara</t>
  </si>
  <si>
    <t>nggak bang argentina juara</t>
  </si>
  <si>
    <t>['bang', 'argentina', 'juara']</t>
  </si>
  <si>
    <t>@YonoBakrie Mayoritas fans Argentina mungkin pada selebay ini karena ini baru pertama kalinya mereka liat Argentina juara World Cup. Kalo mayoritas fans France kan rata rata udah pada pernah 2 kali liat France juara World Cup‚Ä¶</t>
  </si>
  <si>
    <t>mayoritas fans argentina mungkin pada selebay ini karena ini baru pertama kalinya mereka liat argentina juara world cup kalo mayoritas fans france kan rata rata udah pada pernah kali liat france juara world cup</t>
  </si>
  <si>
    <t>['mayoritas', 'fans', 'argentina', 'mungkin', 'selebay', 'baru', 'pertama', 'kalinya', 'lihat', 'argentina', 'juara', 'world', 'cup', 'mayoritas', 'fans', 'france', 'kan', 'rata', 'rata', 'udah', 'pernah', 'kali', 'lihat', 'france', 'juara', 'world', 'cup']</t>
  </si>
  <si>
    <t>&lt;FreqDist with 18 samples and 27 outcomes&gt;</t>
  </si>
  <si>
    <t>Kiper Argentina itu sukses mengawinkan gelar kiper terbaik dan juara Piala Dunia 2022   https://t.co/b4rxJh8QeS</t>
  </si>
  <si>
    <t>kiper argentina itu sukses mengawinkan gelar kiper terbaik dan juara piala dunia</t>
  </si>
  <si>
    <t>['kiper', 'argentina', 'sukses', 'mengawinkan', 'gelar', 'kiper', 'terbaik', 'juara', 'piala', 'dunia']</t>
  </si>
  <si>
    <t>Argentina Juara Dunia 2022#Short Video  https://t.co/pgbiMxmSBN</t>
  </si>
  <si>
    <t>argentina juara dunia video</t>
  </si>
  <si>
    <t>['argentina', 'juara', 'dunia', 'video']</t>
  </si>
  <si>
    <t>Bagi Messi, gelar juara dunia bagi Argentina ini ibarat utang yang dibayar lunas. #Opini #AdadiKompas  https://t.co/9FHVsPRtCw</t>
  </si>
  <si>
    <t>bagi messi gelar juara dunia bagi argentina ini ibarat utang yang dibayar lunas</t>
  </si>
  <si>
    <t>['messi', 'gelar', 'juara', 'dunia', 'argentina', 'ibarat', 'utang', 'dibayar', 'lunas']</t>
  </si>
  <si>
    <t>Bagi Messi, gelar juara dunia bagi Argentina ini ibarat utang yang dibayar lunas. #TajukRencana #AdadiKompas   https://t.co/OmCtBfFTmB</t>
  </si>
  <si>
    <t>Argentina Juara Dunia 2022  https://t.co/XkmxE5jxrl</t>
  </si>
  <si>
    <t>kiper utama Timnas Argentina, Emiliano Martinez, kini sedang menjadi sorotan setelah Argentina juara Piala Dunia 2022 dengan mengalahkan Prancis 4-2 (3-3) dalam adu penalti di Stadion Lusail Iconic, Minggu (18/12). #ArgentinaVsFrance #Martinez    https://t.co/OrX6yCatBr</t>
  </si>
  <si>
    <t>kiper utama timnas argentina emiliano martinez kini sedang menjadi sorotan setelah argentina juara piala dunia dengan mengalahkan prancis dalam adu penalti stadion lusail iconic minggu</t>
  </si>
  <si>
    <t>['kiper', 'utama', 'timnas', 'argentina', 'emiliano', 'martinez', 'kini', 'sedang', 'menjadi', 'sorotan', 'argentina', 'juara', 'piala', 'dunia', 'mengalahkan', 'prancis', 'adu', 'penalti', 'stadion', 'lusail', 'iconic', 'minggu']</t>
  </si>
  <si>
    <t>@Themann__98 @idextratime Fakta yg bagus, fakta yg lebih bagus argentina juara.</t>
  </si>
  <si>
    <t>fakta bagus fakta lebih bagus argentina juara</t>
  </si>
  <si>
    <t>['fakta', 'bagus', 'fakta', 'lebih', 'bagus', 'argentina', 'juara']</t>
  </si>
  <si>
    <t>*JUARA WORLD CUP*  Selamat Bagi _Argentina_  Namun Ingatlah : ‚ÄúDua rakaat fajar (shalat sunnah qabliyah shubuh) lebih baik daripada dunia dan seisinya.‚Äù (HR. Muslim no. 725) dan itu Pasti Kalian Dapatkan Apabila selalu dikerjakan. Amin   https://t.co/mjsjdnb4M1  https://t.co/HvBSePtQ2k</t>
  </si>
  <si>
    <t>juara world cup selamat bagi argentina namun ingatlah dua rakaat fajar shalat sunnah qabliyah shubuh lebih baik daripada dunia dan seisinya muslim dan itu pasti kalian dapatkan apabila selalu dikerjakan amin</t>
  </si>
  <si>
    <t>['juara', 'world', 'cup', 'selamat', 'argentina', 'ingatlah', 'rakaat', 'fajar', 'shalat', 'sunnah', 'qabliyah', 'subuh', 'lebih', 'baik', 'dunia', 'seisinya', 'muslim', 'kalian', 'dapatkan', 'apabila', 'selalu', 'dikerjakan', 'amin']</t>
  </si>
  <si>
    <t>@kribo_official @Ferpedik @Tege2nd @satosi64 @PantauManCity Lu smua gk tau argentina juara krna fifa</t>
  </si>
  <si>
    <t>official smua tau argentina juara krna fifa</t>
  </si>
  <si>
    <t>['official', 'smua', 'argentina', 'juara', 'krna', 'fifa']</t>
  </si>
  <si>
    <t>@txtdrimedia Tah kituuu atuh, kembae nu juara na argentina ge.</t>
  </si>
  <si>
    <t>tah kituuu atuh kembae juara argentina</t>
  </si>
  <si>
    <t>['tah', 'kituuu', 'atuh', 'kembae', 'juara', 'argentina']</t>
  </si>
  <si>
    <t>Juara Piala Dunia 2022, Bawa Hadiah Hampir Rp 1 Triliun, Argentina Libur Nasional Sambut Messi dkk    https://t.co/r5GQan88Lz via @tribunnews</t>
  </si>
  <si>
    <t>juara piala dunia bawa hadiah hampir triliun argentina libur nasional sambut messi dkk via</t>
  </si>
  <si>
    <t>['juara', 'piala', 'dunia', 'bawa', 'hadiah', 'hampir', 'triliun', 'argentina', 'libur', 'nasional', 'sambut', 'messi', 'dkk', 'via']</t>
  </si>
  <si>
    <t>Keberuntungan: Berhasil Menukik tajam dan Menganulir Juara untuk Argentina  https://t.co/ENEizdKWC0</t>
  </si>
  <si>
    <t>Argentina Memang Juara Dunia, namun Kondisinya Cukup Mengenaskan!  https://t.co/g7IIIJooys #1minggu1cerita</t>
  </si>
  <si>
    <t>argentina memang juara dunia namun kondisinya cukup mengenaskan</t>
  </si>
  <si>
    <t>['argentina', 'memang', 'juara', 'dunia', 'kondisinya', 'cukup', 'mengenaskan']</t>
  </si>
  <si>
    <t>Btw, selamat Argentina udah jadi juara!  Untuk info lebih lanjut kunjungi  https://t.co/BPoDhw2SvZ atau hubungi Contact Center BTN 1500286  #BankBTN #HGCTHI #BUMNUntukIndonesia #SahabatKeluargaIndonesia #BTNProperti</t>
  </si>
  <si>
    <t>btw selamat argentina udah jadi juara untuk info lebih lanjut kunjungi atau hubungi contact center btn</t>
  </si>
  <si>
    <t>['by the way', 'selamat', 'argentina', 'udah', 'jadi', 'juara', 'info', 'lebih', 'lanjut', 'kunjungi', 'hubungi', 'contact', 'center', 'btn']</t>
  </si>
  <si>
    <t>@idextratime Argentina 2014 yg kalah di final melahirkan bibit bibit unggul timnas buat skuat argentina di 2022 Cr maen lama di portugal gitu gitu aja? Ga ngebangkitin orang portugal buat jago? Apa emang orang portugal pada bodo amat ga mau bantuin cr jua</t>
  </si>
  <si>
    <t>argentina kalah final melahirkan bibit bibit unggul timnas buat skuat argentina maen lama portugal gitu gitu aja ngebangkitin orang portugal buat jago apa emang orang portugal pada bodo amat mau bantuin jua</t>
  </si>
  <si>
    <t>['argentina', 'kalah', 'final', 'melahirkan', 'bibit', 'bibit', 'unggul', 'timnas', 'buat', 'skuat', 'argentina', 'maen', 'lama', 'portugal', 'gitu', 'gitu', 'ngebangkitin', 'orang', 'portugal', 'buat', 'jago', 'apa', 'emang', 'orang', 'portugal', 'bodo', 'mau', 'bantuin', 'jua']</t>
  </si>
  <si>
    <t>@PantauManCity Ah biarin aja menurut saya mah... Selagi skuad argentina gk keberatan yasudah... Mw dia dianggap juara pildun juga gpp... Toh klo gk penyakit jantung ini org hampir pasti masuk skuad..</t>
  </si>
  <si>
    <t>biarin aja menurut saya mah selagi skuad argentina keberatan yasudah dia dianggap juara pildun juga gpp toh klo penyakit jantung ini org hampir pasti masuk skuad</t>
  </si>
  <si>
    <t>['biarin', 'mah', 'skuad', 'argentina', 'keberatan', 'yasudah', 'dianggap', 'juara', 'piala dunia', 'gapapa', 'penyakit', 'jantung', 'org', 'hampir', 'masuk', 'skuad']</t>
  </si>
  <si>
    <t>si yang paling nda bisa buat argentina juara.. *katanyaü§™  COPA AMERICA (2021)‚úÖ FINALISSIMA (2022)‚úÖ WORLD CUP (2022)‚úÖ  masuk treble international major trophy ga nihh, dos @BarcaBandidos ?ü•∂ü•∂</t>
  </si>
  <si>
    <t>yang paling nda bisa buat argentina juara katanya copa america finalissima world cup masuk treble international major trophy nihh dos</t>
  </si>
  <si>
    <t>['paling', 'nda', 'buat', 'argentina', 'juara', 'katanya', 'copa', 'america', 'finalissima', 'world', 'cup', 'masuk', 'treble', 'international', 'major', 'trophy', 'nihh', 'dos']</t>
  </si>
  <si>
    <t>Trivia - Jubah tradisional 'Bisht' dihadiahkan kepada Lionel Messi sebagai tanda 'pahlawan' yang berjaya membantu Argentina muncul juara Piala Dunia Qatar 2022   #WorldCup   #WorldCupQatar   #WorldCup2022  https://t.co/eB7YcHlmfU</t>
  </si>
  <si>
    <t>trivia jubah tradisional bisht dihadiahkan kepada lionel messi sebagai tanda pahlawan yang berjaya membantu argentina muncul juara piala dunia qatar</t>
  </si>
  <si>
    <t>['trivia', 'jubah', 'tradisional', 'bisht', 'dihadiahkan', 'lionel', 'messi', 'tanda', 'pahlawan', 'berjaya', 'membantu', 'argentina', 'muncul', 'juara', 'piala', 'dunia', 'qatar']</t>
  </si>
  <si>
    <t>Bagi Messi, gelar juara dunia bagi Argentina ini ibarat utang yang dibayar lunas. #Opini #AdadiKompas  https://t.co/KFzr9ldUeT</t>
  </si>
  <si>
    <t>@johanrhoedy Nggak ada, tp alasan e bukan itu. padahal ya menjagokan, mungkin udh cukup aja porsinya menang ya uwis, balik kerjo maneh gak enek hubungan e karo Argentina JuaraüòÄüòÄ</t>
  </si>
  <si>
    <t>nggak ada alasan bukan itu padahal menjagokan mungkin udh cukup aja porsinya menang uwis balik kerjo maneh gak enek hubungan karo argentina juara</t>
  </si>
  <si>
    <t>['alasan', 'bukan', 'padahal', 'menjagokan', 'mungkin', 'sudah', 'cukup', 'porsinya', 'menang', 'uwis', 'balik', 'kerjo', 'maneh', 'enek', 'hubungan', 'karo', 'argentina', 'juara']</t>
  </si>
  <si>
    <t>Hasilnya pun pasti mengikuti, copa amerika, dan sekarang piala dunia. Gue pun lihatnya jadi respect juga dan merasa wajar mereka juara. Selamat Argentina,intinya gue suka skuad lo kali ini, semoga kedepannya semakin kompak lagi ya.</t>
  </si>
  <si>
    <t>hasilnya pun pasti mengikuti copa amerika dan sekarang piala dunia gue pun lihatnya jadi respect juga dan merasa wajar mereka juara selamat argentina intinya gue suka skuad kali ini semoga kedepannya semakin kompak lagi</t>
  </si>
  <si>
    <t>['hasilnya', 'mengikuti', 'copa', 'amerika', 'sekarang', 'piala', 'dunia', 'gue', 'lihatnya', 'jadi', 'respect', 'merasa', 'wajar', 'juara', 'selamat', 'argentina', 'intinya', 'gue', 'suka', 'skuad', 'kali', 'semoga', 'kedepannya', 'semakin', 'kompak']</t>
  </si>
  <si>
    <t>Setelah 30 tahun lebi gak juara, akhirnya Argentina bisa keluar sebagai Juara di Era Messi. Dengan perjalanan yang terseok-seok, namun akhirnya keluar sebagai Juara.  Pertandingan seru berhasil disuguhkan oleh ke-2 tim, Prancis bakal tetep menjadi tim besar yang harus di waspadai</t>
  </si>
  <si>
    <t>setelah tahun lebi gak juara akhirnya argentina bisa keluar sebagai juara era messi dengan perjalanan yang terseok seok namun akhirnya keluar sebagai juara pertandingan seru berhasil disuguhkan oleh tim prancis bakal tetep menjadi tim besar yang harus waspadai</t>
  </si>
  <si>
    <t>['tahun', 'lebi', 'juara', 'akhirnya', 'argentina', 'keluar', 'juara', 'era', 'messi', 'perjalanan', 'terseok', 'seok', 'akhirnya', 'keluar', 'juara', 'pertandingan', 'seru', 'berhasil', 'disuguhkan', 'tim', 'prancis', 'bakal', 'tetep', 'menjadi', 'tim', 'besar', 'waspadai']</t>
  </si>
  <si>
    <t>@idextratime Excited sampe indo bisa angkat piala ciki itu, liat argentina bisa juara pildun gw rasa indo juga bisa bgd sih harusnya!</t>
  </si>
  <si>
    <t>excited sampe indo bisa angkat piala ciki itu liat argentina bisa juara pildun rasa indo juga bisa bgd sih harusnya</t>
  </si>
  <si>
    <t>['excited', 'sampai', 'indo', 'angkat', 'piala', 'ciki', 'lihat', 'argentina', 'juara', 'piala dunia', 'rasa', 'indo', 'bgd', 'harusnya']</t>
  </si>
  <si>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</si>
  <si>
    <t>menjadi juara piala dunia qatar argentina datang dipermalukan pulang bawa piala situs slot online parlay</t>
  </si>
  <si>
    <t>['menjadi', 'juara', 'piala', 'dunia', 'qatar', 'argentina', 'datang', 'dipermalukan', 'pulang', 'bawa', 'piala', 'situs', 'slot', 'online', 'parlay']</t>
  </si>
  <si>
    <t>@AghnestHandika9 Kenapa gua bisa bilang generasi Argentina udah punya mental juara? Dari sejarah yang di ciptakan legenda nya dulu, 2 world Cup, terus 15 juara Copa, otomatis generasi baru Argentina bakal mempertahankan tahta Argentina dan meningkatkan ny</t>
  </si>
  <si>
    <t>kenapa gua bisa bilang generasi argentina udah punya mental juara dari sejarah yang ciptakan legenda nya dulu world cup terus juara copa otomatis generasi baru argentina bakal mempertahankan tahta argentina dan meningkatkan</t>
  </si>
  <si>
    <t>['gua', 'generasi', 'argentina', 'udah', 'punya', 'mental', 'juara', 'sejarah', 'ciptakan', 'legenda', 'dulu', 'world', 'cup', 'terus', 'juara', 'copa', 'otomatis', 'generasi', 'baru', 'argentina', 'bakal', 'mempertahankan', 'tahta', 'argentina', 'meningkatkan']</t>
  </si>
  <si>
    <t>@PantauManCity Ini rill yah adik adik Sebenarnya aguero itu pelatih argentina malah  Scaloni cuma boneka aja, otak di balik juara Argentina itu Sergio kun aguero Paling berjasa  Hal yg tidak di cerita kan media</t>
  </si>
  <si>
    <t>5 Mitos Kutukan Drake di Dunia Olahraga, Akhirnya Resmi Patah Setelah Argentina Juara!  https://t.co/F1CXZU5lMB  https://t.co/ihJKLofkrh</t>
  </si>
  <si>
    <t>mitos kutukan drake dunia olahraga akhirnya resmi patah setelah argentina juara</t>
  </si>
  <si>
    <t>['mitos', 'kutukan', 'drake', 'dunia', 'olahraga', 'akhirnya', 'resmi', 'patah', 'argentina', 'juara']</t>
  </si>
  <si>
    <t>@AghnestHandika9 Ya emang ada nama nama itu di legend Portugal tapi yang bisa menguasai Eropa? Cuma Ronaldo, Portugal bisa dapet dua gelar? Di era Ronaldo, squad emas belum tentu juara karena apa? Ga ada mental juaranya, Argentina saat ini juara karena ge</t>
  </si>
  <si>
    <t>emang ada nama nama itu legend portugal tapi yang bisa menguasai eropa cuma ronaldo portugal bisa dapet dua gelar era ronaldo squad emas belum tentu juara karena apa ada mental juaranya argentina saat ini juara karena</t>
  </si>
  <si>
    <t>['emang', 'nama', 'nama', 'legend', 'portugal', 'menguasai', 'eropa', 'cuma', 'ronaldo', 'portugal', 'dapat', 'gelar', 'era', 'ronaldo', 'squad', 'emas', 'juara', 'apa', 'mental', 'juaranya', 'argentina', 'juara']</t>
  </si>
  <si>
    <t>@OMahdavika @Beginibegitulah @appletomdr @realmadridindo1 Kaum mendang mending, padahal point gw Eusebio &amp;amp; CR hebat dlm hal individu bersama klub tapi tidak bersama timnas. Juara Euro pun bkn CR yg jd penentu. Ketika skrg banyak talenta berbakat di Po</t>
  </si>
  <si>
    <t>kaum mendang mending padahal point eusebio hebat dlm hal individu bersama klub tapi tidak bersama timnas juara euro pun bkn penentu ketika skrg banyak talenta berbakat</t>
  </si>
  <si>
    <t>['kaum', 'mendang', 'mending', 'padahal', 'point', 'eusebio', 'hebat', 'dlm', 'individu', 'bersama', 'klub', 'bersama', 'timnas', 'juara', 'euro', 'bkn', 'penentu', 'skrg', 'banyak', 'talenta', 'berbakat']</t>
  </si>
  <si>
    <t>Lionel Messi Jadi Olahragawan dengan Like Terbanyak di Dunia Usai Unggah Momen Argentina Juara Piala Dunia 2022 di Instagram | Sepakbola Dunia -  https://t.co/qtNF8aiuZB  https://t.co/Mr0EMVyIq9</t>
  </si>
  <si>
    <t>lionel messi jadi olahragawan dengan like terbanyak dunia usai unggah momen argentina juara piala dunia instagram sepakbola dunia</t>
  </si>
  <si>
    <t>['lionel', 'messi', 'jadi', 'olahragawan', 'like', 'terbanyak', 'dunia', 'usai', 'unggah', 'momen', 'argentina', 'juara', 'piala', 'dunia', 'instagram', 'sepakbola', 'dunia']</t>
  </si>
  <si>
    <t>@indigoblok @idextratime Tahun 1990 waktu Argentina kalah sama Jerman, dan gagal juara. Maradona juga marah dan mengklaim bahwa semua sudah disetting agar Argentina kalah dan Jerman jadi juara.  Yah, intinya semua masih susah untuk bersikap fair.</t>
  </si>
  <si>
    <t>tahun waktu argentina kalah sama jerman dan gagal juara maradona juga marah dan mengklaim bahwa semua sudah disetting agar argentina kalah dan jerman jadi juara yah intinya semua masih susah untuk bersikap fair</t>
  </si>
  <si>
    <t>['tahun', 'waktu', 'argentina', 'kalah', 'sama', 'jerman', 'gagal', 'juara', 'maradona', 'marah', 'mengklaim', 'semua', 'disetting', 'argentina', 'kalah', 'jerman', 'jadi', 'juara', 'intinya', 'semua', 'susah', 'bersikap', 'fair']</t>
  </si>
  <si>
    <t>Yang juara tuh Argentina Mas Bud.. bukan Spanyol. üòå</t>
  </si>
  <si>
    <t>yang juara tuh argentina mas bud bukan spanyol</t>
  </si>
  <si>
    <t>['juara', 'argentina', 'mas', 'bud', 'bukan', 'spanyol']</t>
  </si>
  <si>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</si>
  <si>
    <t>goat simpelnya gini messi warisi sejarah oleh maradona membuat generasi muda argentina terinspirasi memiliki mental juara lebih awal sedangkan ronaldo mewariskan semuanya dari kerja keras sosok pantang menyerah mental juara kepada generasi muda portugal</t>
  </si>
  <si>
    <t>['goat', 'simpelnya', 'gini', 'messi', 'warisi', 'sejarah', 'maradona', 'membuat', 'generasi', 'muda', 'argentina', 'terinspirasi', 'memiliki', 'mental', 'juara', 'lebih', 'awal', 'ronaldo', 'mewariskan', 'semuanya', 'kerja', 'keras', 'sosok', 'pantang', 'menyerah', 'mental', 'juara', 'generasi', 'muda', 'portugal']</t>
  </si>
  <si>
    <t>@gusbaster87 mbak e selebrasi kemenangan argentina juara piala dunia üò≠</t>
  </si>
  <si>
    <t>mbak selebrasi kemenangan argentina juara piala dunia</t>
  </si>
  <si>
    <t>['mbak', 'selebrasi', 'kemenangan', 'argentina', 'juara', 'piala', 'dunia']</t>
  </si>
  <si>
    <t>Congratulation Argentina üéâ Juara worldcup 2022 setelah berhadapan dengan france</t>
  </si>
  <si>
    <t>congratulation argentina juara worldcup setelah berhadapan dengan france</t>
  </si>
  <si>
    <t>['congratulation', 'argentina', 'juara', 'worldcup', 'berhadapan', 'france']</t>
  </si>
  <si>
    <t>Infografis Argentina Juara, Messi Terbaik dan Mbappe Terbanyak, Hujan Cuan Piala Dunia 2022  https://t.co/kDcWHsRyYn</t>
  </si>
  <si>
    <t>infografis argentina juara messi terbaik dan mbappe terbanyak hujan cuan piala dunia</t>
  </si>
  <si>
    <t>['infografis', 'argentina', 'juara', 'messi', 'terbaik', 'mbappe', 'terbanyak', 'hujan', 'cuan', 'piala', 'dunia']</t>
  </si>
  <si>
    <t>Negaranya Juara Piala Dunia, Presiden Argentina Pamer Selfie di Depan TV  https://t.co/IgmKvvFHpr  https://t.co/2KVypWZn4B</t>
  </si>
  <si>
    <t>negaranya juara piala dunia presiden argentina pamer selfie depan</t>
  </si>
  <si>
    <t>['negaranya', 'juara', 'piala', 'dunia', 'presiden', 'argentina', 'pamer', 'selfie', 'depan']</t>
  </si>
  <si>
    <t>Puji Tuhan, setelah 36 tahun Argentina selalu gagal memenangkan Piala Dunia, akhirnya baru pada pemerintahan Bapak @jokowi Argentina Berhasil Juara Dunia lagi TERIMA KASIH BANYAK BAPAK  JOKOWI üòÑüòÑüòÑ</t>
  </si>
  <si>
    <t>puji tuhan setelah tahun argentina selalu gagal memenangkan piala dunia akhirnya baru pada pemerintahan bapak argentina berhasil juara dunia lagi terima kasih banyak bapak jokowi</t>
  </si>
  <si>
    <t>['puji', 'tuhan', 'tahun', 'argentina', 'selalu', 'gagal', 'memenangkan', 'piala', 'dunia', 'akhirnya', 'baru', 'pemerintahan', 'bapak', 'argentina', 'berhasil', 'juara', 'dunia', 'terima', 'kasih', 'banyak', 'bapak', 'jokowi']</t>
  </si>
  <si>
    <t>[VIDEO] Negaranya Juara, Presiden Argentina Pamer Selfie di Depan TV  https://t.co/c6Nq6eUEwU #vlix</t>
  </si>
  <si>
    <t>video negaranya juara presiden argentina pamer selfie depan</t>
  </si>
  <si>
    <t>['video', 'negaranya', 'juara', 'presiden', 'argentina', 'pamer', 'selfie', 'depan']</t>
  </si>
  <si>
    <t>Lagi viral sebuah potongan video yang menjabarkan Messi berpelukan dengan ibunya di tengah lapangan usai membawa Argentina juara Piala Dunia. Ibu-ibu yang memeluk Messi tersebut adalah koki di timnas Argentina.  Sumber @elgourmet  https://t.co/Ej3EKNEF4e</t>
  </si>
  <si>
    <t>lagi viral sebuah potongan video yang menjabarkan messi berpelukan dengan ibunya tengah lapangan usai membawa argentina juara piala dunia ibu ibu yang memeluk messi tersebut adalah koki timnas argentina sumber</t>
  </si>
  <si>
    <t>['viral', 'sebuah', 'potongan', 'video', 'menjabarkan', 'messi', 'berpelukan', 'ibunya', 'tengah', 'lapangan', 'usai', 'membawa', 'argentina', 'juara', 'piala', 'dunia', 'ibu', 'ibu', 'memeluk', 'messi', 'tersebut', 'koki', 'timnas', 'argentina', 'sumber']</t>
  </si>
  <si>
    <t>Percaya atau Tidak, Argentina Juara Piala Dunia 2022 Karena Jimat Gelang Merah yang Pernah Dipakai Cristian Gonzales!  https://t.co/NMIsInZWBZ</t>
  </si>
  <si>
    <t>@satosi64 @PantauManCity Lu ga tau, argentina bs juara karna dia ga ikut maen ü§£ü§£ü§£ü§£</t>
  </si>
  <si>
    <t>tau argentina juara karna dia ikut maen</t>
  </si>
  <si>
    <t>['argentina', 'juara', 'karna', 'ikut', 'maen']</t>
  </si>
  <si>
    <t>@StefanAntonio__ thanks sudah di fb üòÅ..Argentina üá¶üá∑ kan yg juara bang üòÇüòÇ</t>
  </si>
  <si>
    <t>thanks sudah argentina kan juara bang</t>
  </si>
  <si>
    <t>['thanks', 'argentina', 'kan', 'juara', 'bang']</t>
  </si>
  <si>
    <t>@Thunderpens219 giliran argentina yg juara org2 jadi pada detail soal peratutan yah wkwkwkw, keren keren</t>
  </si>
  <si>
    <t>giliran argentina juara org jadi pada detail soal peratutan yah wkwkwkw keren keren</t>
  </si>
  <si>
    <t>['giliran', 'argentina', 'juara', 'org', 'jadi', 'detail', 'soal', 'peratutan', 'wkwkwkw', 'keren', 'keren']</t>
  </si>
  <si>
    <t>Ancelotti Puji Kinerja Scaloni Bawa Argentina Juara Piala Dunia ‚Äì detikSport ‚Äì Google Berita Olahraga ‚Äì  https://t.co/WcM3SyiVs2 ‚Äì #Arenanews #Kamidi #Opsiminfo- https://t.co/dDMeRR0gBG</t>
  </si>
  <si>
    <t>ancelotti puji kinerja scaloni bawa argentina juara piala dunia detiksport google berita olahraga</t>
  </si>
  <si>
    <t>['ancelotti', 'puji', 'kinerja', 'scaloni', 'bawa', 'argentina', 'juara', 'piala', 'dunia', 'detiksport', 'google', 'berita', 'olahraga']</t>
  </si>
  <si>
    <t>Alhir tahun yang membahagiakan. Messi sukses membawa Argentina juara di FIFA World Cup Qatar 2022 dan buku baru saya: Dari Mercusuar, Cafe, hingga ke Ruang Kelas diluncurkan oleh SIP Publishing di Purwokerto. Penutup tahun yang indah.  https://t.co/XTZmD2SL5X</t>
  </si>
  <si>
    <t>alhir tahun yang membahagiakan messi sukses membawa argentina juara fifa world cup qatar dan buku baru saya dari mercusuar cafe hingga ruang kelas diluncurkan oleh sip publishing purwokerto penutup tahun yang indah</t>
  </si>
  <si>
    <t>['alhir', 'tahun', 'membahagiakan', 'messi', 'sukses', 'membawa', 'argentina', 'juara', 'fifa', 'world', 'cup', 'qatar', 'buku', 'baru', 'mercusuar', 'cafe', 'hingga', 'ruang', 'kelas', 'diluncurkan', 'sip', 'publishing', 'purwokerto', 'penutup', 'tahun', 'indah']</t>
  </si>
  <si>
    <t>Argentina Juara Piala Dunia  https://t.co/n1bskKP2r7</t>
  </si>
  <si>
    <t>argentina juara piala dunia</t>
  </si>
  <si>
    <t>@SiaranBolaLive Btw kenapa Finalissima cuma ada pas yg juara regionnya Argentina sama Italia aja ya? Sejarahnya gimana ya? Serius baru tau karna pas kemarin Argentina menang</t>
  </si>
  <si>
    <t>btw kenapa finalissima cuma ada pas juara regionnya argentina sama italia aja sejarahnya gimana serius baru tau karna pas kemarin argentina menang</t>
  </si>
  <si>
    <t>['by the way', 'finalissima', 'cuma', 'pas', 'juara', 'regionnya', 'argentina', 'sama', 'italia', 'sejarahnya', 'gimana', 'serius', 'baru', 'karna', 'pas', 'kemarin', 'argentina', 'menang']</t>
  </si>
  <si>
    <t>@idextratime kalo piala dunia ini settingan, ,pasti yg juara prancis dong,soalnya orang2 pada all in di argentina , ,masak bandar judi mau kalah ü§£</t>
  </si>
  <si>
    <t>kalo piala dunia ini settingan pasti juara prancis dong soalnya orang pada all argentina masak bandar judi mau kalah</t>
  </si>
  <si>
    <t>['piala', 'dunia', 'settingan', 'juara', 'prancis', 'dong', 'soalnya', 'orang', 'all', 'argentina', 'masak', 'bandar', 'judi', 'mau', 'kalah']</t>
  </si>
  <si>
    <t>@utdfocusid ARGENTINA bisa juara, slh satu faktor nya Mike Maignan cedera. Hugo Lloris gabisa nepis Penalty</t>
  </si>
  <si>
    <t>argentina bisa juara slh satu faktor nya mike maignan cedera hugo lloris gabisa nepis penalty</t>
  </si>
  <si>
    <t>['argentina', 'juara', 'salah', 'satu', 'faktor', 'mike', 'maignan', 'cedera', 'hugo', 'lloris', 'gabisa', 'nepis', 'penalty']</t>
  </si>
  <si>
    <t>Tau ga si.  Prancis kalah di final lawan Argentina. Tapi kamu tetep juara bertahan di hatiku  Wa wa ea ea ea wkwk</t>
  </si>
  <si>
    <t>tau prancis kalah final lawan argentina tapi kamu tetep juara bertahan hatiku wkwk</t>
  </si>
  <si>
    <t>['prancis', 'kalah', 'final', 'lawan', 'argentina', 'kamu', 'tetep', 'juara', 'bertahan', 'hatiku']</t>
  </si>
  <si>
    <t>@Argentina Tambah cakep jersinya pake patch juara dunia #kultuitjersi | #jersibagus</t>
  </si>
  <si>
    <t>tambah cakep jersinya pake patch juara dunia</t>
  </si>
  <si>
    <t>['tambah', 'cakep', 'jersinya', 'pake', 'patch', 'juara', 'dunia']</t>
  </si>
  <si>
    <t>Rayakan Gelar Juara Dunia, Argentina Tetapkan Hari Libur Nasional Pada Selasa 20 Desember 2022 Ini  https://t.co/qDqyu7OtmT</t>
  </si>
  <si>
    <t>rayakan gelar juara dunia argentina tetapkan hari libur nasional pada selasa desember ini</t>
  </si>
  <si>
    <t>['rayakan', 'gelar', 'juara', 'dunia', 'argentina', 'tetapkan', 'hari', 'libur', 'nasional', 'selasa', 'desember']</t>
  </si>
  <si>
    <t>dlvr: Lagi, Roy Keane Serang Brasil Usai Argentina Juara Piala Dunia 2022  https://t.co/9HghHvdpx9</t>
  </si>
  <si>
    <t>dlvr lagi roy keane serang brasil usai argentina juara piala dunia</t>
  </si>
  <si>
    <t>['dlvr', 'roy', 'keane', 'serang', 'brasil', 'usai', 'argentina', 'juara', 'piala', 'dunia']</t>
  </si>
  <si>
    <t>@barcastuff_idn UEL bisa lah juara, asal mainnya NGOTOT DAN KOMPAK. Jgn kebanyakan diem, Contoh Argentina dehh. Para pemainnya ngotot semua</t>
  </si>
  <si>
    <t>idn uel bisa lah juara asal mainnya ngotot dan kompak jgn kebanyakan diem contoh argentina dehh para pemainnya ngotot semua</t>
  </si>
  <si>
    <t>['idn', 'uel', 'lah', 'juara', 'asal', 'mainnya', 'ngotot', 'kompak', 'kebanyakan', 'diem', 'contoh', 'argentina', 'dehh', 'pemainnya', 'ngotot', 'semua']</t>
  </si>
  <si>
    <t>8 Fakta Menarik Usai Argentina Juara Piala Dunia 2022: Momennya Lionel Messi  https://t.co/V9OeyJn7NT</t>
  </si>
  <si>
    <t>fakta menarik usai argentina juara piala dunia momennya lionel messi</t>
  </si>
  <si>
    <t>['fakta', 'menarik', 'usai', 'argentina', 'juara', 'piala', 'dunia', 'momennya', 'lionel', 'messi']</t>
  </si>
  <si>
    <t>@PolJokesID Cuman di masa kepimpinan iwan bule Argentina bisa juara piala dunia</t>
  </si>
  <si>
    <t>cuman masa kepimpinan iwan bule argentina bisa juara piala dunia</t>
  </si>
  <si>
    <t>['cuman', 'masa', 'kepimpinan', 'iwan', 'bule', 'argentina', 'juara', 'piala', 'dunia']</t>
  </si>
  <si>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</si>
  <si>
    <t>suporter argentina yang berada jalanan kota lusail doha menyambut parade juara para pemain argentina seluruh para pemain berada atas bus terbuka dengan membawa trofi piala yang baru saja mereka raih gimana rasanya</t>
  </si>
  <si>
    <t>['suporter', 'argentina', 'berada', 'jalanan', 'kota', 'lusail', 'doha', 'menyambut', 'parade', 'juara', 'pemain', 'argentina', 'seluruh', 'pemain', 'berada', 'atas', 'bus', 'terbuka', 'membawa', 'trofi', 'piala', 'baru', 'raih', 'gimana', 'rasanya']</t>
  </si>
  <si>
    <t>Argentina lagi resesi ekonomi tapi bisa juara ya ü§Ø</t>
  </si>
  <si>
    <t>argentina lagi resesi ekonomi tapi bisa juara</t>
  </si>
  <si>
    <t>['argentina', 'resesi', 'ekonomi', 'juara']</t>
  </si>
  <si>
    <t>KAKANWIL KEMENKUMHAM JATENG A. YUSPAHRUDDIN: Argentina Juara Dunia, Andri Lesmano : Kerjasama, Kekompakan dan Semangat Jadi Kunci Kesuksesan -  https:///salatiga.xpos.co.id/argentina-juara-dunia-andri-lesmano-kerjasama-kekompakan-dan-semangat-jadi-kunci-kesuksesan</t>
  </si>
  <si>
    <t>kakanwil kemenkumham jateng yuspahruddin argentina juara dunia andri lesmano kerjasama kekompakan dan semangat jadi kunci kesuksesan</t>
  </si>
  <si>
    <t>['kakanwil', 'kemenkumham', 'jateng', 'yuspahruddin', 'argentina', 'juara', 'dunia', 'andri', 'lesmano', 'kerjasama', 'kekompakan', 'semangat', 'jadi', 'kunci', 'kesuksesan']</t>
  </si>
  <si>
    <t>MENCENGANGKAN ; Ini... Bonus Luar Biasa untuk Timnas Sepak Bola Argentina   #sagaranesia #PialaDunia2022 #Luarbiasa #Bonus #Timnas #Argentina #Juara #Qatar2022   https://t.co/cr640VTRyj</t>
  </si>
  <si>
    <t>mencengangkan ini bonus luar biasa untuk timnas sepak bola argentina</t>
  </si>
  <si>
    <t>['mencengangkan', 'bonus', 'luar', 'biasa', 'timnas', 'sepak', 'bola', 'argentina']</t>
  </si>
  <si>
    <t>Juara Piala Dunia, Argentina Tetapkan Hari Libur Nasional 20¬†Desember  https://t.co/Gwg5qZSZLf</t>
  </si>
  <si>
    <t>juara piala dunia argentina tetapkan hari libur nasional desember</t>
  </si>
  <si>
    <t>['juara', 'piala', 'dunia', 'argentina', 'tetapkan', 'hari', 'libur', 'nasional', 'desember']</t>
  </si>
  <si>
    <t>@idextratime Argentina juara ini hanya mimpi, kita semua sebenarnya hidup dalam pengaruh genjutsu</t>
  </si>
  <si>
    <t>argentina juara ini hanya mimpi kita semua sebenarnya hidup dalam pengaruh genjutsu</t>
  </si>
  <si>
    <t>['argentina', 'juara', 'mimpi', 'semua', 'sebenarnya', 'hidup', 'pengaruh', 'genjutsu']</t>
  </si>
  <si>
    <t>@SiaranBolaLive ya biarin aja sih dia mantan pesepak bola pro, dia warga negara argentina, dia mantan pemain argentina, dia legend argentina kecuali dia warga argen biasa yg ga terkenal dan bukan pesepak bola juga trus ikut ikutan ngerayain juara bareng p</t>
  </si>
  <si>
    <t>biarin aja sih dia mantan pesepak bola pro dia warga negara argentina dia mantan pemain argentina dia legend argentina kecuali dia warga argen biasa terkenal dan bukan pesepak bola juga trus ikut ikutan ngerayain juara bareng</t>
  </si>
  <si>
    <t>['biarin', 'mantan', 'pesepak', 'bola', 'pro', 'warga', 'negara', 'argentina', 'mantan', 'pemain', 'argentina', 'legend', 'argentina', 'warga', 'argen', 'biasa', 'terkenal', 'bukan', 'pesepak', 'bola', 'trus', 'ikut', 'ikutan', 'ngerayain', 'juara', 'bareng']</t>
  </si>
  <si>
    <t>Setelah lelah bermain n Juara FIFA, Messi ke Indonesia utk merasakan Indonesian Traditional Massage üòä Selamat buat Argentina  https://t.co/5xbiWEOtHp</t>
  </si>
  <si>
    <t>setelah lelah bermain juara fifa messi indonesia utk merasakan indonesian traditional massage selamat buat argentina</t>
  </si>
  <si>
    <t>['lelah', 'bermain', 'juara', 'fifa', 'messi', 'indonesia', 'merasakan', 'indonesian', 'traditional', 'massage', 'selamat', 'buat', 'argentina']</t>
  </si>
  <si>
    <t>@SoundOfYogi @ikiinya Skrang argentina dan messi sudah jd juara.</t>
  </si>
  <si>
    <t>skrang argentina dan messi sudah juara</t>
  </si>
  <si>
    <t>['skrang', 'argentina', 'messi', 'juara']</t>
  </si>
  <si>
    <t>Argentina Juara Piala Dunia 2022, Berikut Rekor Lionel Messi   https://t.co/QNU0Ll0bsX</t>
  </si>
  <si>
    <t>argentina juara piala dunia berikut rekor lionel messi</t>
  </si>
  <si>
    <t>['argentina', 'juara', 'piala', 'dunia', 'berikut', 'rekor', 'lionel', 'messi']</t>
  </si>
  <si>
    <t>Rakyat Argentina bakal berpesta dengan para pemain di Buenos Aires merayakan gelar juara Piala Dunia 2022. Lionel Messi tak sabar menantikan momen itu.  https://t.co/b4vQRqzt27</t>
  </si>
  <si>
    <t>rakyat argentina bakal berpesta dengan para pemain buenos aires merayakan gelar juara piala dunia lionel messi tak sabar menantikan momen itu</t>
  </si>
  <si>
    <t>['rakyat', 'argentina', 'bakal', 'berpesta', 'pemain', 'buenos', 'aires', 'merayakan', 'gelar', 'juara', 'piala', 'dunia', 'lionel', 'messi', 'tak', 'sabar', 'menantikan', 'momen']</t>
  </si>
  <si>
    <t>Messi Bawa Argentina Juara Dunia, Ronaldo Masih Bungkam  https://t.co/8G1VI10OuV</t>
  </si>
  <si>
    <t>messi bawa argentina juara dunia ronaldo masih bungkam</t>
  </si>
  <si>
    <t>['messi', 'bawa', 'argentina', 'juara', 'dunia', 'ronaldo', 'bungkam']</t>
  </si>
  <si>
    <t>WKWKWKW I GOT THE JOKE</t>
  </si>
  <si>
    <t>wkwkwkw got the joke</t>
  </si>
  <si>
    <t>['wkwkwkw', 'got', 'the', 'joke']</t>
  </si>
  <si>
    <t>Pernah Buat Messi Patah Hati, Gotze Girang Argentina Juara Dunia ‚Äì CNN Indonesia ‚Äì Google Berita Olahraga ‚Äì  https://t.co/KZEAdS8Qaw ‚Äì #Arenanews #Kamidi #Opsiminfo- https://t.co/wZQ4YAujk4</t>
  </si>
  <si>
    <t>pernah buat messi patah hati gotze girang argentina juara dunia cnn indonesia google berita olahraga</t>
  </si>
  <si>
    <t>['pernah', 'buat', 'messi', 'patah', 'hati', 'gotze', 'girang', 'argentina', 'juara', 'dunia', 'cnn', 'indonesia', 'google', 'berita', 'olahraga']</t>
  </si>
  <si>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</si>
  <si>
    <t>info main bola lionel messi juara piala dunia cristiano ronaldo masih pilih bungkam bintang portugal cristiano ronaldo hingga kini masih memilih diam menyusul kesuksesan rivalnya lionel messi menjuarai piala dunia bersama argentina</t>
  </si>
  <si>
    <t>['info', 'main', 'bola', 'lionel', 'messi', 'juara', 'piala', 'dunia', 'cristiano', 'ronaldo', 'pilih', 'bungkam', 'bintang', 'portugal', 'cristiano', 'ronaldo', 'hingga', 'kini', 'memilih', 'diam', 'menyusul', 'kesuksesan', 'rivalnya', 'lionel', 'messi', 'menjuarai', 'piala', 'dunia', 'bersama', 'argentina']</t>
  </si>
  <si>
    <t>Argentina Juara Piala Dunia 2022  https://t.co/7alzOgN0jG</t>
  </si>
  <si>
    <t>Pagi" sempet mikir, stelah 2 hari pasca lionel messi juara piala dunia bersama argentina kenapa belum banyak ucapan selamat dari elite indonesia ya? Hmmmm  https://t.co/8eysjnMD46</t>
  </si>
  <si>
    <t>pagi sempet mikir stelah hari pasca lionel messi juara piala dunia bersama argentina kenapa belum banyak ucapan selamat dari elite indonesia hmmmm</t>
  </si>
  <si>
    <t>['pagi', 'sempet', 'mikir', 'stelah', 'hari', 'pasca', 'lionel', 'messi', 'juara', 'piala', 'dunia', 'bersama', 'argentina', 'banyak', 'ucapan', 'selamat', 'elite', 'indonesia', 'hmmmm']</t>
  </si>
  <si>
    <t>@RizkyRisksky @lessandro_and @idextratime Gaperlu Lo bandingin piala Eropa dengan Copa America lagi dah, Italia juara euro kemaren dikalahin Argentina, Prancis juara dunia sebelumnya dikalahin Argentina jadi kalo Lo punya otak tinggalin pemikiran kolot Lo</t>
  </si>
  <si>
    <t>and gaperlu bandingin piala eropa dengan copa america lagi dah italia juara euro kemaren dikalahin argentina prancis juara dunia sebelumnya dikalahin argentina jadi kalo punya otak tinggalin pemikiran kolot</t>
  </si>
  <si>
    <t>['and', 'gaperlu', 'bandingin', 'piala', 'eropa', 'copa', 'america', 'dah', 'italia', 'juara', 'euro', 'kemarin', 'dikalahin', 'argentina', 'prancis', 'juara', 'dunia', 'sebelumnya', 'dikalahin', 'argentina', 'jadi', 'punya', 'otak', 'tinggalin', 'pemikiran', 'kolot']</t>
  </si>
  <si>
    <t>@The_RedsIndo Georgina juga bikin status WA selebrasi Argentina juara, tapi dodo di kecualikan üòÖ</t>
  </si>
  <si>
    <t>redsindo georgina juga bikin status selebrasi argentina juara tapi dodo kecualikan</t>
  </si>
  <si>
    <t>['redsindo', 'georgina', 'status', 'selebrasi', 'argentina', 'juara', 'dodo', 'kecualikan']</t>
  </si>
  <si>
    <t>Lionel Messi Jadi Olahragawan dengan Like Terbanyak di Dunia Usai Unggah Momen Argentina Juara Piala Dunia 2022 di Instagram | Sepakbola Dunia -  https://t.co/qtNF8azy1B  https://t.co/Mr0EMVPLs9</t>
  </si>
  <si>
    <t>8 Fakta Menarik Usai Argentina Juara Piala Dunia 2022: Momennya Lionel Messi  https://t.co/NdiuVmbseV</t>
  </si>
  <si>
    <t>Argentina Juara Piala Dunia 2022  https://t.co/lCNAcHa965</t>
  </si>
  <si>
    <t>@chppyngrha @idextratime @killitwfire Juara: Argentina Runner-Up: Prancis Ketiga: Kroasia Top Skor: Kylian Mbappe Pemain Terbaik: Lionel Messi</t>
  </si>
  <si>
    <t>juara argentina runner prancis ketiga kroasia top skor kylian mbappe pemain terbaik lionel messi</t>
  </si>
  <si>
    <t>['juara', 'argentina', 'runner', 'prancis', 'ketiga', 'kroasia', 'top', 'skor', 'kylian', 'mbappe', 'pemain', 'terbaik', 'lionel', 'messi']</t>
  </si>
  <si>
    <t>@idextratime Mantap.Argentina.udah sama.Arabsaudi.jady buat hari libut.buat rayakan.Kemenangan.dan juara World Cup 2022 Qatar..  https://t.co/Vo2sEOsCDM</t>
  </si>
  <si>
    <t>mantap argentina udah sama arabsaudi jady buat hari libut buat rayakan kemenangan dan juara world cup qatar</t>
  </si>
  <si>
    <t>['mantap', 'argentina', 'udah', 'sama', 'arabsaudi', 'jady', 'buat', 'hari', 'libut', 'buat', 'rayakan', 'kemenangan', 'juara', 'world', 'cup', 'qatar']</t>
  </si>
  <si>
    <t>Bawa Argentina Juara Piala Dunia 2022, Messi Dekati Ballon d'Or ke-8  https://t.co/rNTqQ6D8tJ</t>
  </si>
  <si>
    <t>bawa argentina juara piala dunia messi dekati ballon</t>
  </si>
  <si>
    <t>['bawa', 'argentina', 'juara', 'piala', 'dunia', 'messi', 'dekati', 'ballon']</t>
  </si>
  <si>
    <t>@sbyfess Dilema orang Argentina, juara dunia cuma hiburan bagi mereka karena kenyataannya negara mereka akan bangkrut</t>
  </si>
  <si>
    <t>dilema orang argentina juara dunia cuma hiburan bagi mereka karena kenyataannya negara mereka akan bangkrut</t>
  </si>
  <si>
    <t>['dilema', 'orang', 'argentina', 'juara', 'dunia', 'cuma', 'hiburan', 'kenyataannya', 'negara', 'bangkrut']</t>
  </si>
  <si>
    <t>Timnas Argentina Diarak Usai Raih Gelar Juara Piala Dunia 2022 di Qatar | Liputan 6  https://t.co/nTxi4D1gvn</t>
  </si>
  <si>
    <t>timnas argentina diarak usai raih gelar juara piala dunia qatar liputan</t>
  </si>
  <si>
    <t>['timnas', 'argentina', 'diarak', 'usai', 'raih', 'gelar', 'juara', 'piala', 'dunia', 'qatar', 'liputan']</t>
  </si>
  <si>
    <t>Argentina Juara Dunia, Lionel Messi Buktikan Diri ‚ÄòGOAT‚Äô Dibanding Cristiano Ronaldo? | Liputan 6  https://t.co/PTi104vstP</t>
  </si>
  <si>
    <t>argentina juara dunia lionel messi buktikan diri goat dibanding cristiano ronaldo liputan</t>
  </si>
  <si>
    <t>['argentina', 'juara', 'dunia', 'lionel', 'messi', 'buktikan', 'diri', 'goat', 'dibanding', 'cristiano', 'ronaldo', 'liputan']</t>
  </si>
  <si>
    <t>Beruntunglah kalian yang pernah merasakan negara jagoannya jadi juara dunia.  Selamat berpesta, para pendukung Argentina.</t>
  </si>
  <si>
    <t>beruntunglah kalian yang pernah merasakan negara jagoannya jadi juara dunia selamat berpesta para pendukung argentina</t>
  </si>
  <si>
    <t>['beruntunglah', 'kalian', 'pernah', 'merasakan', 'negara', 'jagoannya', 'jadi', 'juara', 'dunia', 'selamat', 'berpesta', 'pendukung', 'argentina']</t>
  </si>
  <si>
    <t>@mihrabku Berarti pantas Argentina juara dari statistik pertandingan, netizen Indo terutama pendukung Ronaldo bilangnya sudah diatur Fifa untuk Messi.</t>
  </si>
  <si>
    <t>berarti pantas argentina juara dari statistik pertandingan netizen indo terutama pendukung ronaldo bilangnya sudah diatur fifa untuk messi</t>
  </si>
  <si>
    <t>['berarti', 'pantas', 'argentina', 'juara', 'statistik', 'pertandingan', 'netizen', 'indo', 'terutama', 'pendukung', 'ronaldo', 'bilangnya', 'diatur', 'fifa', 'messi']</t>
  </si>
  <si>
    <t>noh lokit. argentina juara pas pak iwan bule menjabat. kurang apa lg coba? yu pak bisa pak jabar 1</t>
  </si>
  <si>
    <t>noh lokit argentina juara pas pak iwan bule menjabat kurang apa coba pak bisa pak jabar</t>
  </si>
  <si>
    <t>['noh', 'lokit', 'argentina', 'juara', 'pas', 'pak', 'iwan', 'bule', 'menjabat', 'kurang', 'apa', 'coba', 'pak', 'pak', 'jabar']</t>
  </si>
  <si>
    <t>@FansNerazzurri Gimana nih fans sebelah ngamukan terus, kayak berasa dia warga negara Argentina. Padahal mah kalo Perancis yg juara, kita juga biasa aja. Susah nih mental korban terussss...üòÇüòÇüòÇ @rossonerifreak</t>
  </si>
  <si>
    <t>gimana nih fans sebelah ngamukan terus kayak berasa dia warga negara argentina padahal mah kalo perancis juara kita juga biasa aja susah nih mental korban terussss</t>
  </si>
  <si>
    <t>['gimana', 'fans', 'sebelah', 'ngamukan', 'terus', 'seperti', 'berasa', 'warga', 'negara', 'argentina', 'padahal', 'mah', 'perancis', 'juara', 'biasa', 'susah', 'mental', 'korban', 'terussss']</t>
  </si>
  <si>
    <t>Ancelotti Puji Kinerja Scaloni Bawa Argentina Juara Piala Dunia  https://t.co/AdFIpMHjXl</t>
  </si>
  <si>
    <t>ancelotti puji kinerja scaloni bawa argentina juara piala dunia</t>
  </si>
  <si>
    <t>['ancelotti', 'puji', 'kinerja', 'scaloni', 'bawa', 'argentina', 'juara', 'piala', 'dunia']</t>
  </si>
  <si>
    <t>Upin Ipin apa tahu ya Argentina yang juara dunia?</t>
  </si>
  <si>
    <t>upin ipin apa tahu argentina yang juara dunia</t>
  </si>
  <si>
    <t>['upin', 'ipin', 'apa', 'tahu', 'argentina', 'juara', 'dunia']</t>
  </si>
  <si>
    <t>Stephen Chow mengunggah momen di mana anjing peliharaannya menebak siapa yang jadi juara di Piala Dunia. Dan tebakannya pun ternyata benar yakni Argentina.  https://t.co/IbTO4ap0va</t>
  </si>
  <si>
    <t>stephen chow mengunggah momen mana anjing peliharaannya menebak siapa yang jadi juara piala dunia dan tebakannya pun ternyata benar yakni argentina</t>
  </si>
  <si>
    <t>['stephen', 'chow', 'mengunggah', 'momen', 'mana', 'anjing', 'peliharaannya', 'menebak', 'siapa', 'jadi', 'juara', 'piala', 'dunia', 'tebakannya', 'ternyata', 'benar', 'argentina']</t>
  </si>
  <si>
    <t>@fanadir_ @Arya14007047 @yaelaadi @FaktaSepakbola selalu ada celah bagi barisan sakit hatiüòÇgatau sakit hati kenapaü§£ tipe orang yg gamau argentina juaraü§£ atau fans prancis,ketebak.</t>
  </si>
  <si>
    <t>selalu ada celah bagi barisan sakit hati gatau sakit hati kenapa tipe orang gamau argentina juara atau fans prancis ketebak</t>
  </si>
  <si>
    <t>['selalu', 'celah', 'barisan', 'sakit', 'hati', 'gatau', 'sakit', 'hati', 'tipe', 'orang', 'gamau', 'argentina', 'juara', 'fans', 'prancis', 'ketebak']</t>
  </si>
  <si>
    <t>@Bolanet Yang tak selevel ma Eropa apanya Bang Mbappe? Prestasinya? Brazil aja dah 5 kali juara , Argentina 3 kali juara , Prancis baru 2 kali aja ...skill nya malah lebih bagus ...cuman kalahnya di infrastrukturnya serta manajemennya aja</t>
  </si>
  <si>
    <t>yang tak selevel eropa apanya bang mbappe prestasinya brazil aja dah kali juara argentina kali juara prancis baru kali aja skill nya malah lebih bagus cuman kalahnya infrastrukturnya serta manajemennya aja</t>
  </si>
  <si>
    <t>['tak', 'selevel', 'eropa', 'apanya', 'bang', 'mbappe', 'prestasinya', 'brazil', 'dah', 'kali', 'juara', 'argentina', 'kali', 'juara', 'prancis', 'baru', 'kali', 'skill', 'malah', 'lebih', 'bagus', 'cuman', 'kalahnya', 'infrastrukturnya', 'manajemennya']</t>
  </si>
  <si>
    <t>Argentina Umumkan Hari Libur Nasional untuk Perayaan Gelar Juara Piala Dunia  https://t.co/hJwFusseye</t>
  </si>
  <si>
    <t>argentina umumkan hari libur nasional untuk perayaan gelar juara piala dunia</t>
  </si>
  <si>
    <t>['argentina', 'umumkan', 'hari', 'libur', 'nasional', 'perayaan', 'gelar', 'juara', 'piala', 'dunia']</t>
  </si>
  <si>
    <t>Mengenal Lusail Stadium, Tempat Argentina Juara Piala Dunia 2022  https://t.co/2nTuM3POO9</t>
  </si>
  <si>
    <t>mengenal lusail stadium tempat argentina juara piala dunia</t>
  </si>
  <si>
    <t>['mengenal', 'lusail', 'stadium', 'tempat', 'argentina', 'juara', 'piala', 'dunia']</t>
  </si>
  <si>
    <t>2014 dia yg bikin argentina gajadi juara langsung benci gituu pas liat dia wkwkwk tapi pas liat dia skrng dukung argentina di final kemarin jadi rispekkk</t>
  </si>
  <si>
    <t>dia bikin argentina gajadi juara langsung benci gituu pas liat dia wkwkwk tapi pas liat dia skrng dukung argentina final kemarin jadi rispekkk</t>
  </si>
  <si>
    <t>['argentina', 'gajadi', 'juara', 'langsung', 'benci', 'gituu', 'pas', 'lihat', 'wkwkwk', 'pas', 'lihat', 'skrng', 'dukung', 'argentina', 'final', 'kemarin', 'jadi', 'rispekkk']</t>
  </si>
  <si>
    <t>Lionel Messi Bantu Argentina Juara Piala Dunia 2022, Andres Iniesta: Akhir Penantian Panjang! Link :  https://t.co/erJEhi9Hck  #beritabola #beritabolahariini #beritabolaharian #beritabolaindonesia #beritabolalive #beritabolaliveharian #pokeronline #bandarpoker  #dominoqq #pkv  https://t.co/Ir5Yu19fgX</t>
  </si>
  <si>
    <t>lionel messi bantu argentina juara piala dunia andres iniesta akhir penantian panjang link</t>
  </si>
  <si>
    <t>['lionel', 'messi', 'bantu', 'argentina', 'juara', 'piala', 'dunia', 'andres', 'iniesta', 'akhir', 'penantian', 'panjang', 'link']</t>
  </si>
  <si>
    <t>@idextratime Jujur aja semangat,kek nya ini tahun gelar pertama</t>
  </si>
  <si>
    <t>jujur aja semangat kek nya ini tahun gelar pertama</t>
  </si>
  <si>
    <t>['jujur', 'semangat', 'kek', 'tahun', 'gelar', 'pertama']</t>
  </si>
  <si>
    <t>Sepurane cak @leomessi telat update #argentina Juara piala dunia #qatar 2022 . . #worldcup2022 #timnas #indonesia #sidoarjo #sikodono #kabarjogosatru #jogosatru @ Qatar  https://t.co/jyTdKEULHk</t>
  </si>
  <si>
    <t>sepurane cak telat update juara piala dunia qatar</t>
  </si>
  <si>
    <t>['sepurane', 'cak', 'telat', 'update', 'juara', 'piala', 'dunia', 'qatar']</t>
  </si>
  <si>
    <t>Juara Piala Dunia 2022, Argentina Akhiri Penantian 36 Tahun  https://t.co/yQStInGOVa</t>
  </si>
  <si>
    <t>juara piala dunia argentina akhiri penantian tahun</t>
  </si>
  <si>
    <t>['juara', 'piala', 'dunia', 'argentina', 'akhiri', 'penantian', 'tahun']</t>
  </si>
  <si>
    <t>@SmudgeStan Makanya ane lebih ngeh tentang kerja keras Martinez di Final. Penyelamatannya sampai penalti yang berperan gede nganterin Argentina juara</t>
  </si>
  <si>
    <t>makanya ane lebih ngeh tentang kerja keras martinez final penyelamatannya sampai penalti yang berperan gede nganterin argentina juara</t>
  </si>
  <si>
    <t>['makanya', 'ane', 'lebih', 'ngeh', 'kerja', 'keras', 'martinez', 'final', 'penyelamatannya', 'penalti', 'berperan', 'gede', 'nganterin', 'argentina', 'juara']</t>
  </si>
  <si>
    <t>Argentina Juara dan Rekor Epic "Messidona" Primadona Titisan Maradona  https://t.co/SPFbQ8SrT8</t>
  </si>
  <si>
    <t>argentina juara dan rekor epic messidona primadona titisan maradona</t>
  </si>
  <si>
    <t>['argentina', 'juara', 'rekor', 'epic', 'messidona', 'primadona', 'titisan', 'maradona']</t>
  </si>
  <si>
    <t>Saya sebagai pendukung Morocco. Mengucapkan selamat untuk pendukung Argentina  üá¶üá∑ karna telah Juara. Mengucapkan selamat juga untuk pendukung France üá´üá∑ , iya betul selamat ,  SELAMAT MENCOBA THREAD SAYA HIYA HIYA HIYA HIYAAAAAAAA ü§£</t>
  </si>
  <si>
    <t>saya sebagai pendukung morocco mengucapkan selamat untuk pendukung argentina karna telah juara mengucapkan selamat juga untuk pendukung france iya betul selamat selamat mencoba thread saya hiya hiya hiya hiyaaaaaaaa</t>
  </si>
  <si>
    <t>['pendukung', 'morocco', 'mengucapkan', 'selamat', 'pendukung', 'argentina', 'karna', 'juara', 'mengucapkan', 'selamat', 'pendukung', 'france', 'iya', 'betul', 'selamat', 'selamat', 'mencoba', 'thread', 'hiya', 'hiya', 'hiya', 'hiyaaaaaaaa']</t>
  </si>
  <si>
    <t>Argentina Pesta Juara Dunia di Tengah Krisis Mencekik - Riaunews  https://t.co/gM5cyUVcq6</t>
  </si>
  <si>
    <t>argentina pesta juara dunia tengah krisis mencekik riaunews</t>
  </si>
  <si>
    <t>['argentina', 'pesta', 'juara', 'dunia', 'tengah', 'krisis', 'mencekik', 'riaunews']</t>
  </si>
  <si>
    <t>@idextratime penasaran mau liat bisa gak si Messi bawa Argentina juara Piala AFF</t>
  </si>
  <si>
    <t>penasaran mau liat bisa gak messi bawa argentina juara piala aff</t>
  </si>
  <si>
    <t>['penasaran', 'mau', 'lihat', 'messi', 'bawa', 'argentina', 'juara', 'piala', 'aff']</t>
  </si>
  <si>
    <t>3 Negara yang Juara Piala Dunia Via Adu Penalti, Argentina Terbaru! #FIFAWorldCup ,#ArgentinaVsFrance ,#Brasil ,#Italy  https://t.co/xpqs0RUtbV</t>
  </si>
  <si>
    <t>negara yang juara piala dunia via adu penalti argentina terbaru</t>
  </si>
  <si>
    <t>['negara', 'juara', 'piala', 'dunia', 'via', 'adu', 'penalti', 'argentina', 'terbaru']</t>
  </si>
  <si>
    <t>‚úÖÔ∏è RESMI: Pemerintah Argentina mengumumkan bahwa hari Selasa ini adalah hari libur nasional untuk merayakan kemenangan timnas Argentina di Piala Dunia 2022! üá¶üá∑  Yok bisa yok INDONESIA juara AFF mana tau pemerintah kita mau niru gini ü§©  https://t.co/Yt3AeFnPOR</t>
  </si>
  <si>
    <t>resmi pemerintah argentina mengumumkan bahwa hari selasa ini adalah hari libur nasional untuk merayakan kemenangan timnas argentina piala dunia yok bisa yok indonesia juara aff mana tau pemerintah kita mau niru gini</t>
  </si>
  <si>
    <t>['resmi', 'pemerintah', 'argentina', 'mengumumkan', 'hari', 'selasa', 'hari', 'libur', 'nasional', 'merayakan', 'kemenangan', 'timnas', 'argentina', 'piala', 'dunia', 'yok', 'yok', 'indonesia', 'juara', 'aff', 'mana', 'pemerintah', 'mau', 'niru', 'gini']</t>
  </si>
  <si>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</si>
  <si>
    <t>perancis ternyata juara aja baru tau juga waktu bapak cerita saat nnton finalnya dgn argentina harusnya kan ragu milih argentina tapi saya sangat mendukunggg bangett ternyata mau juara mess mess gak ada firasat juara gua tetiba suka ajaaa</t>
  </si>
  <si>
    <t>['perancis', 'ternyata', 'juara', 'baru', 'waktu', 'bapak', 'cerita', 'nnton', 'finalnya', 'argentina', 'harusnya', 'kan', 'ragu', 'milih', 'argentina', 'sangat', 'mendukunggg', 'bangett', 'ternyata', 'mau', 'juara', 'mess', 'mess', 'firasat', 'juara', 'gua', 'tetiba', 'suka', 'ajaaa']</t>
  </si>
  <si>
    <t>@__dtm__ Argentina juara berkat pak Iwan Bule, mantapü§°</t>
  </si>
  <si>
    <t>argentina juara berkat pak iwan bule mantap</t>
  </si>
  <si>
    <t>['argentina', 'juara', 'berkat', 'pak', 'iwan', 'bule', 'mantap']</t>
  </si>
  <si>
    <t>@SiaranBolaLive piala dunia &amp;amp; kedengkian yg juara argentina yg sebel fans klub sampah sampe¬≤ foto lautaro diretweet mulu bhukakakakkkkkkkkü§£ü§£ü§£  https://t.co/QeH1gos30Q</t>
  </si>
  <si>
    <t>piala dunia kedengkian juara argentina sebel fans klub sampah sampe foto lautaro diretweet mulu bhukakakakkkkkkkk</t>
  </si>
  <si>
    <t>['piala', 'dunia', 'kedengkian', 'juara', 'argentina', 'sebel', 'fans', 'klub', 'sampah', 'sampai', 'foto', 'lautaro', 'diretweet', 'mulu', 'bhukakakakkkkkkkk']</t>
  </si>
  <si>
    <t>ARGENTINA JUARA DUNIA, PRANCIS TERLAMBAT PANAS, MESSI PEMAIN TERBAIK, MB...  https://t.co/q68vcKKTEB via @YouTube</t>
  </si>
  <si>
    <t>argentina juara dunia prancis terlambat panas messi pemain terbaik via</t>
  </si>
  <si>
    <t>['argentina', 'juara', 'dunia', 'prancis', 'terlambat', 'panas', 'messi', 'pemain', 'terbaik', 'via']</t>
  </si>
  <si>
    <t>@banjarbase klo mmng messi d atas ronaldo sblum argentina juara hrusnya pas juara biasa2 aj lbih bnyak diam krn sdh trbukti</t>
  </si>
  <si>
    <t>klo mmng messi atas ronaldo sblum argentina juara hrusnya pas juara biasa lbih bnyak diam krn sdh trbukti</t>
  </si>
  <si>
    <t>['mmng', 'messi', 'atas', 'ronaldo', 'sblum', 'argentina', 'juara', 'hrusnya', 'pas', 'juara', 'biasa', 'lbih', 'bnyak', 'diam', 'trbukti']</t>
  </si>
  <si>
    <t>@FaktaSepakbola suasana hati fans sampahü§£ü§£ü§£ yg juara argentina yg sebel mereka, sampe2 foto lautaro diretweet seharian bhuakakakakakkkkküòÜüòÜüòÜ #JuaraMahBebas  https://t.co/VOzWmNDdZL</t>
  </si>
  <si>
    <t>suasana hati fans sampah juara argentina sebel mereka sampe foto lautaro diretweet seharian bhuakakakakakkkkk</t>
  </si>
  <si>
    <t>['suasana', 'hati', 'fans', 'sampah', 'juara', 'argentina', 'sebel', 'sampai', 'foto', 'lautaro', 'diretweet', 'seharian', 'bhuakakakakakkkkk']</t>
  </si>
  <si>
    <t>50. KAKANWIL KEMENKUMHAM JATENG A. YUSPAHRUDDIN: Argentina Juara Piala Dunia 2022, Kepala Rutan Salatiga Minta Jajaran Teladani Semangat Lionel Messi -  https://t.co/f3NJUZpeGY</t>
  </si>
  <si>
    <t>Ironi, Timnasnya Juara Piala Dunia 2022, Argentina Terlilit Utang Ratusan Ribu Triliun Rupiah  https://t.co/IUIAfw1Ew6</t>
  </si>
  <si>
    <t>ironi timnasnya juara piala dunia argentina terlilit utang ratusan ribu triliun rupiah</t>
  </si>
  <si>
    <t>['ironi', 'timnasnya', 'juara', 'piala', 'dunia', 'argentina', 'terlilit', 'utang', 'ratusan', 'ribu', 'triliun', 'rupiah']</t>
  </si>
  <si>
    <t>Argentina Juara dan Rekor Epic "Messidona" Primadona Titisan Maradona  https://t.co/rMLutEA4QW</t>
  </si>
  <si>
    <t>Tapi memang entah kenapa, saya kemaren ini dari awal sangatttt, amat sangat mendukung Messi, Argentina‚ù§Ô∏è Gak ada pikiran bakal juara, tapi saya suka aja gitu, tetiba sangat mendukungü§≠ dia ternyata Piala dunia terakhirnya aja baru tau waktu Finalnyaü§≠ü§£üòÜüôè</t>
  </si>
  <si>
    <t>tapi memang entah kenapa saya kemaren ini dari awal sangatttt amat sangat mendukung messi argentina gak ada pikiran bakal juara tapi saya suka aja gitu tetiba sangat mendukung dia ternyata piala dunia terakhirnya aja baru tau waktu finalnya</t>
  </si>
  <si>
    <t>['memang', 'entah', 'kemarin', 'awal', 'sangatttt', 'sangat', 'mendukung', 'messi', 'argentina', 'pikiran', 'bakal', 'juara', 'suka', 'gitu', 'tetiba', 'sangat', 'mendukung', 'ternyata', 'piala', 'dunia', 'terakhirnya', 'baru', 'waktu', 'finalnya']</t>
  </si>
  <si>
    <t>@akuawan_ @ocsanthree @registaco Siriiik banget ya hidupmu...Emang Aguero pernah minjem uangmu terus gak di balikin? Suka banget ngejulidin orang yang lagi snenng karna negaranya menang pildun...Lgian dia tu Legend bg timnas dan dicintai pra pemain2 Argen</t>
  </si>
  <si>
    <t>siriiik banget hidupmu emang aguero pernah minjem uangmu terus gak balikin suka banget ngejulidin orang yang lagi snenng karna negaranya menang pildun lgian dia legend timnas dan dicintai pra pemain argen</t>
  </si>
  <si>
    <t>['siriiik', 'banget', 'hidupmu', 'emang', 'aguero', 'pernah', 'minjem', 'uangmu', 'terus', 'balikin', 'suka', 'banget', 'ngejulidin', 'orang', 'snenng', 'karna', 'negaranya', 'menang', 'piala dunia', 'lgian', 'legend', 'timnas', 'dicintai', 'pra', 'pemain', 'argen']</t>
  </si>
  <si>
    <t>Argentina Juara Dan Rekor Epic  https://t.co/vh15AIqPkM</t>
  </si>
  <si>
    <t>argentina juara dan rekor epic</t>
  </si>
  <si>
    <t>['argentina', 'juara', 'rekor', 'epic']</t>
  </si>
  <si>
    <t>Pemain Pengganti Kunci Sukses Argentina Juara Piala Dunia 2022  https://t.co/XXQkSXffyb</t>
  </si>
  <si>
    <t>@GOAL_ID seperti fans klub sampah, yg juara argentina yg sebel mereka, sampe foto lautaro yg diretweet terus üòÜüòÜüòÜ #JuaraMahBebas  bhuakakakakkkkkkkü§£ü§£ü§£  https://t.co/GO1CQ3jf6v</t>
  </si>
  <si>
    <t>seperti fans klub sampah juara argentina sebel mereka sampe foto lautaro diretweet terus bhuakakakakkkkkkk</t>
  </si>
  <si>
    <t>['fans', 'klub', 'sampah', 'juara', 'argentina', 'sebel', 'sampai', 'foto', 'lautaro', 'diretweet', 'terus', 'bhuakakakakkkkkkk']</t>
  </si>
  <si>
    <t>UNTUNG¬†Argentina juara. Rakyat di sana bisa melupakan krisis ekonomi yang lagi memburuk. Pesta rakyat bisa melupakan inflasi yang lagi tinggi dan utang luar negeri yang sulit dibayar.  Baca Selengkapnya üëá  https://t.co/82z91pYuew</t>
  </si>
  <si>
    <t>untung argentina juara rakyat sana bisa melupakan krisis ekonomi yang lagi memburuk pesta rakyat bisa melupakan inflasi yang lagi tinggi dan utang luar negeri yang sulit dibayar baca selengkapnya</t>
  </si>
  <si>
    <t>['untung', 'argentina', 'juara', 'rakyat', 'sana', 'melupakan', 'krisis', 'ekonomi', 'memburuk', 'pesta', 'rakyat', 'melupakan', 'inflasi', 'tinggi', 'utang', 'luar', 'negeri', 'sulit', 'dibayar', 'baca', 'selengkapnya']</t>
  </si>
  <si>
    <t>Carlo Ancelotti memuji kinerja Lionel Scaloni yang mampu mengantarkan Argentina menjadi juara dunia. Ia menilai Scaloni melakukan pekerjaan yang luar biasa.  https://t.co/FLvXdExWS3</t>
  </si>
  <si>
    <t>Carlo Ancelotti memuji kinerja Lionel Scaloni yang mampu mengantarkan Argentina menjadi juara dunia. Ia menilai Scaloni melakukan pekerjaan yang luar biasa.  https://t.co/pmb2EjjswF</t>
  </si>
  <si>
    <t>Carlo Ancelotti memuji kinerja Lionel Scaloni yang mampu mengantarkan Argentina menjadi juara dunia. Ia menilai Scaloni melakukan pekerjaan yang luar biasa.  https://t.co/eGzHl9xLhz</t>
  </si>
  <si>
    <t>Argentina Juara Dan Rekor Epic "Messidona" Primadona Titisan Maradona  https://t.co/m1WRrWuzzP</t>
  </si>
  <si>
    <t>Argentina juara #Qatar2022  https://t.co/u28vyhcVqU</t>
  </si>
  <si>
    <t>Timnas Argentina Pulang Bawa Tropi Juara, Parade Penyambutan Dipersiapkan  https://t.co/zTtqcXvabl</t>
  </si>
  <si>
    <t>timnas argentina pulang bawa tropi juara parade penyambutan dipersiapkan</t>
  </si>
  <si>
    <t>['timnas', 'argentina', 'pulang', 'bawa', 'trofi', 'juara', 'parade', 'penyambutan', 'dipersiapkan']</t>
  </si>
  <si>
    <t>Masyarakat #Argentina di #BuenosAires merayakan kemenangan sbg Juara Dunia Bola, di #Qatar.  https://t.co/oL5p9uKw9j</t>
  </si>
  <si>
    <t>masyarakat merayakan kemenangan sbg juara dunia bola</t>
  </si>
  <si>
    <t>['masyarakat', 'merayakan', 'kemenangan', 'sbg', 'juara', 'dunia', 'bola']</t>
  </si>
  <si>
    <t>Pelukan kemenangan, Ibu Messi lari ke lapangan dekap Putranya usai Argentina Juara Piala Dunia 2022 #LionelMessiìÉµ #Argentina #ArgentinaVsFrance #BuenosAires #PialaDunia2022 #PialaDuniaQatar2022 link video selengkapnya: https://t.co/FVHRc5U0Ro  https://t.co/tDdGHHORVP</t>
  </si>
  <si>
    <t>pelukan kemenangan ibu messi lari lapangan dekap putranya usai argentina juara piala dunia link video selengkapnya</t>
  </si>
  <si>
    <t>['pelukan', 'kemenangan', 'ibu', 'messi', 'lari', 'lapangan', 'dekap', 'putranya', 'usai', 'argentina', 'juara', 'piala', 'dunia', 'link', 'video', 'selengkapnya']</t>
  </si>
  <si>
    <t>MacAllister, abis juara bareng Messi, Minggu depan harus latihan bareng sama Welbeck Lg wkwkw</t>
  </si>
  <si>
    <t>macallister abis juara bareng messi minggu depan harus latihan bareng sama welbeck wkwkw</t>
  </si>
  <si>
    <t>['macallister', 'abis', 'juara', 'bareng', 'messi', 'minggu', 'depan', 'latihan', 'bareng', 'sama', 'welbeck', 'wkwkw']</t>
  </si>
  <si>
    <t>@Estebusachet @registaco @adidasfootball Madrid juara UCL, Argentina juara duniaü•∂ü•∂</t>
  </si>
  <si>
    <t>madrid juara ucl argentina juara dunia</t>
  </si>
  <si>
    <t>['madrid', 'juara', 'ucl', 'argentina', 'juara', 'dunia']</t>
  </si>
  <si>
    <t>Ngakak bgt liat editan2 foto/video argentina juara üòÇ</t>
  </si>
  <si>
    <t>ngakak bgt liat editan foto video argentina juara</t>
  </si>
  <si>
    <t>['ngakak', 'banget', 'lihat', 'editan', 'foto', 'video', 'argentina', 'juara']</t>
  </si>
  <si>
    <t>@PolJokesID Cuma di era pak Harto Argentina juara 2x</t>
  </si>
  <si>
    <t>cuma era pak harto argentina juara</t>
  </si>
  <si>
    <t>['cuma', 'era', 'pak', 'harto', 'argentina', 'juara']</t>
  </si>
  <si>
    <t>@stefanjosia19 @SiaranBolaLive Sepemikiran bang, messi juga harus juara pildun di negara selain argentina. Itu baru komplit üî•üî•üî•</t>
  </si>
  <si>
    <t>sepemikiran bang messi juga harus juara pildun negara selain argentina itu baru komplit</t>
  </si>
  <si>
    <t>['sepemikiran', 'bang', 'messi', 'juara', 'piala dunia', 'negara', 'argentina', 'baru', 'komplit']</t>
  </si>
  <si>
    <t>Selamat pagi untuk para pendukung Tim Nasional Prancis. Tetap semangat dan ga perlu menangis.  Selamat pagi pendukung Argentina, kamu layak juara dan bahagia.  Tim manapun kamu, untuk kunjungan wisata dan bisnis ke Indonesia bisa pakai e-VOA di  https://t.co/KjwMHGDks6  https://t.co/KX7Q4wc2wD</t>
  </si>
  <si>
    <t>selamat pagi untuk para pendukung tim nasional prancis tetap semangat dan perlu menangis selamat pagi pendukung argentina kamu layak juara dan bahagia tim manapun kamu untuk kunjungan wisata dan bisnis indonesia bisa pakai voa</t>
  </si>
  <si>
    <t>['selamat', 'pagi', 'pendukung', 'tim', 'nasional', 'prancis', 'tetap', 'semangat', 'perlu', 'menangis', 'selamat', 'pagi', 'pendukung', 'argentina', 'kamu', 'layak', 'juara', 'bahagia', 'tim', 'manapun', 'kamu', 'kunjungan', 'wisata', 'bisnis', 'indonesia', 'pakai', 'voa']</t>
  </si>
  <si>
    <t>@intermilanstory Tidak ada.. gw senang dengan argentina juara.. tp klo suruh pilih banyak pemain prancis yang pengen gw beli min. ‚úåÔ∏èüòâ</t>
  </si>
  <si>
    <t>tidak ada senang dengan argentina juara klo suruh pilih banyak pemain prancis yang pengen beli min</t>
  </si>
  <si>
    <t>['senang', 'argentina', 'juara', 'suruh', 'pilih', 'banyak', 'pemain', 'prancis', 'pengen', 'beli', 'min']</t>
  </si>
  <si>
    <t>1978  : Mario Kempes 1986 : Diego Maradona 2022 : Leonel Messi   Figur2 Man of the match Pembawa Juara World Cup bagi  Argentina...</t>
  </si>
  <si>
    <t>mario kempes diego maradona leonel messi figur man the match pembawa juara world cup bagi argentina</t>
  </si>
  <si>
    <t>['mario', 'kempes', 'diego', 'maradona', 'leonel', 'messi', 'figur', 'man', 'the', 'match', 'pembawa', 'juara', 'world', 'cup', 'argentina']</t>
  </si>
  <si>
    <t>@gibran_tweet mas kok sampean gak ngucapke argentina juara ngene iki  https://t.co/jTajA2vMGD</t>
  </si>
  <si>
    <t>tweet mas kok sampean gak ngucapke argentina juara ngene iki</t>
  </si>
  <si>
    <t>['tweet', 'mas', 'kok', 'sampean', 'ngucapke', 'argentina', 'juara', 'ngene', 'iki']</t>
  </si>
  <si>
    <t>Argentina menjadi juara. Dan banyak yang terdiam.</t>
  </si>
  <si>
    <t>argentina menjadi juara dan banyak yang terdiam</t>
  </si>
  <si>
    <t>['argentina', 'menjadi', 'juara', 'banyak', 'terdiam']</t>
  </si>
  <si>
    <t>@SiaranBolaLive Biarin ajalah, dia orang Argentina wajar ikut ngerayain negaranya juara. Yg bukan orang Argentina aja banyak yg ngerayain.</t>
  </si>
  <si>
    <t>biarin ajalah dia orang argentina wajar ikut ngerayain negaranya juara bukan orang argentina aja banyak ngerayain</t>
  </si>
  <si>
    <t>['biarin', 'ajalah', 'orang', 'argentina', 'wajar', 'ikut', 'ngerayain', 'negaranya', 'juara', 'bukan', 'orang', 'argentina', 'banyak', 'ngerayain']</t>
  </si>
  <si>
    <t>Argentina Juara Dunia, Putra Maradona Puji Messi ‚Äì detikSport ‚Äì Google Berita Olahraga ‚Äì  https://t.co/vSRTPY1aTJ ‚Äì #Arenanews #Kamidi #Opsiminfo- https://t.co/76zf9LUVkw</t>
  </si>
  <si>
    <t>argentina juara dunia putra maradona puji messi detiksport google berita olahraga</t>
  </si>
  <si>
    <t>['argentina', 'juara', 'dunia', 'putra', 'maradona', 'puji', 'messi', 'detiksport', 'google', 'berita', 'olahraga']</t>
  </si>
  <si>
    <t>@MurtadhaOne1 Cuma di zaman Jokowi Argentina bisa juara dunia.. terbuktikan</t>
  </si>
  <si>
    <t>cuma zaman jokowi argentina bisa juara dunia terbuktikan</t>
  </si>
  <si>
    <t>['cuma', 'zaman', 'jokowi', 'argentina', 'juara', 'dunia', 'terbuktikan']</t>
  </si>
  <si>
    <t>@idextratime Hari ini cuman mau ngingetin argentina juara piala dunia.</t>
  </si>
  <si>
    <t>hari ini cuman mau ngingetin argentina juara piala dunia</t>
  </si>
  <si>
    <t>['hari', 'cuman', 'mau', 'ngingetin', 'argentina', 'juara', 'piala', 'dunia']</t>
  </si>
  <si>
    <t>Argentina Juara Dunia, Ini Hasil Lengkap Seluruh Pertandingan Piala Dunia 2022!   https://t.co/KDMlC3l9uf #LionelMessi #Argentina #GOAT #HasilPertandinganPialaDunia2022</t>
  </si>
  <si>
    <t>argentina juara dunia ini hasil lengkap seluruh pertandingan piala dunia</t>
  </si>
  <si>
    <t>['argentina', 'juara', 'dunia', 'hasil', 'lengkap', 'seluruh', 'pertandingan', 'piala', 'dunia']</t>
  </si>
  <si>
    <t>@SiaranBolaLive Piala dunia yg ngebet banget Messi dan Argentina juara</t>
  </si>
  <si>
    <t>piala dunia ngebet banget messi dan argentina juara</t>
  </si>
  <si>
    <t>['piala', 'dunia', 'ngebet', 'banget', 'messi', 'argentina', 'juara']</t>
  </si>
  <si>
    <t>Prancis n jerman juara dunia orang2 biasa biasa saja... tetapi ARGENTINA juara dunia.. orang2 pada luar biasa bangganya...  entah kenapa...</t>
  </si>
  <si>
    <t>prancis jerman juara dunia orang biasa biasa saja tetapi argentina juara dunia orang pada luar biasa bangganya entah kenapa</t>
  </si>
  <si>
    <t>['prancis', 'jerman', 'juara', 'dunia', 'orang', 'biasa', 'biasa', 'argentina', 'juara', 'dunia', 'orang', 'luar', 'biasa', 'bangganya', 'entah']</t>
  </si>
  <si>
    <t>argentina 2022 sama kaya spanyol 2010,sama sama kalah di awal juara di akhir. 2010 spanyol kalah 1-0 lawan swiss 2022 argen kalah lawan arab 2-1 #VamosArgentina</t>
  </si>
  <si>
    <t>argentina sama kaya spanyol sama sama kalah awal juara akhir spanyol kalah lawan swiss argen kalah lawan arab</t>
  </si>
  <si>
    <t>['argentina', 'sama', 'kaya', 'spanyol', 'sama', 'sama', 'kalah', 'awal', 'juara', 'akhir', 'spanyol', 'kalah', 'lawan', 'swiss', 'argen', 'kalah', 'lawan', 'arab']</t>
  </si>
  <si>
    <t>&lt;FreqDist with 12 samples and 18 outcomes&gt;</t>
  </si>
  <si>
    <t>@kegblgnunfaedh Argentina yg menang, prancis yg juara 2, oramg indo yg cuma nobar modal es teh yg ribut. Bener2 goblog unfaedah üòö</t>
  </si>
  <si>
    <t>argentina menang prancis juara oramg indo cuma nobar modal teh ribut bener goblog unfaedah</t>
  </si>
  <si>
    <t>['argentina', 'menang', 'prancis', 'juara', 'oramg', 'indo', 'cuma', 'nonton bareng', 'modal', 'teh', 'ribut', 'benar', 'goblog', 'unfaedah']</t>
  </si>
  <si>
    <t>@ID_Albiceleste Fans argen saat ini bertambah krn juara dan ada messi..nanti messi pensiun baru dah bisa dilihat mana loyalis argentina atau cuma ngaku loyalis argentina krna ada messi doangü§£.. Hebat argentina..salam dri loyalis italia üáÆüáπüáÆüáπ</t>
  </si>
  <si>
    <t>albiceleste fans argen saat ini bertambah krn juara dan ada messi nanti messi pensiun baru dah bisa dilihat mana loyalis argentina atau cuma ngaku loyalis argentina krna ada messi doang hebat argentina salam dri loyalis italia</t>
  </si>
  <si>
    <t>['albiceleste', 'fans', 'argen', 'bertambah', 'juara', 'messi', 'messi', 'pensiun', 'baru', 'dah', 'dilihat', 'mana', 'loyalis', 'argentina', 'cuma', 'ngaku', 'loyalis', 'argentina', 'krna', 'messi', 'doang', 'hebat', 'argentina', 'salam', 'dri', 'loyalis', 'italia']</t>
  </si>
  <si>
    <t>Benzema tidak dipanggil ke timnas France.. Argentina juara piala dunia Qatar 2022</t>
  </si>
  <si>
    <t>benzema tidak dipanggil timnas france argentina juara piala dunia qatar</t>
  </si>
  <si>
    <t>['benzema', 'dipanggil', 'timnas', 'france', 'argentina', 'juara', 'piala', 'dunia', 'qatar']</t>
  </si>
  <si>
    <t>Suasana di Ibukota Argentina, Buenos Aires saat Gol Penalty Gonzalo Montiel berhasil membawa Argentina menjadi Juara #FIFAWorldCup Qatar 2022!üá¶üá∑ü•π‚ù§Ô∏è  https://t.co/B9f5BSiX9H</t>
  </si>
  <si>
    <t>suasana ibukota argentina buenos aires saat gol penalty gonzalo montiel berhasil membawa argentina menjadi juara qatar</t>
  </si>
  <si>
    <t>['suasana', 'ibukota', 'argentina', 'buenos', 'aires', 'gol', 'penalty', 'gonzalo', 'montiel', 'berhasil', 'membawa', 'argentina', 'menjadi', 'juara', 'qatar']</t>
  </si>
  <si>
    <t>Pernah Buat Messi Patah Hati, Gotze Girang Argentina Juara Dunia  https://t.co/gSjpOrPbnW</t>
  </si>
  <si>
    <t>pernah buat messi patah hati gotze girang argentina juara dunia</t>
  </si>
  <si>
    <t>['pernah', 'buat', 'messi', 'patah', 'hati', 'gotze', 'girang', 'argentina', 'juara', 'dunia']</t>
  </si>
  <si>
    <t>Setelah Argentina juara piala dunia, maka perdebatan telah usai soal siapa pemain terhebat era ini,.</t>
  </si>
  <si>
    <t>setelah argentina juara piala dunia maka perdebatan telah usai soal siapa pemain terhebat era ini</t>
  </si>
  <si>
    <t>['argentina', 'juara', 'piala', 'dunia', 'perdebatan', 'usai', 'soal', 'siapa', 'pemain', 'terhebat', 'era']</t>
  </si>
  <si>
    <t>@khusnul_mommy brati gara2 Jokowi jadi presiden, Argentina juara dunia ya moms üòÄ</t>
  </si>
  <si>
    <t>mommy brati gara jokowi jadi presiden argentina juara dunia moms</t>
  </si>
  <si>
    <t>['mommy', 'brati', 'gara', 'jokowi', 'jadi', 'presiden', 'argentina', 'juara', 'dunia', 'moms']</t>
  </si>
  <si>
    <t>2022 taun nya alvarez. Masuk ke City, juara Copa America &amp;amp; World Cup 2022 bersama Argentina. Gg sekalinya ikut di turnamen besar langsung gacor nih anak üëèüèºüëèüèº</t>
  </si>
  <si>
    <t>taun nya alvarez masuk city juara copa america world cup bersama argentina sekalinya ikut turnamen besar langsung gacor nih anak</t>
  </si>
  <si>
    <t>['taun', 'alvarez', 'masuk', 'city', 'juara', 'copa', 'america', 'world', 'cup', 'bersama', 'argentina', 'sekalinya', 'ikut', 'turnamen', 'besar', 'langsung', 'gacor', 'anak']</t>
  </si>
  <si>
    <t>Timnas Argentina akhirnya mengakhiri puasa gelar juara dunia. Setelah 36 tahun, Argentina kembali mengangkat trofi Piala Dunia usai mengalahkan Prancis 4-2 (2-2) lewat drama adu penalti.   https://t.co/F823dpQZEh</t>
  </si>
  <si>
    <t>timnas argentina akhirnya mengakhiri puasa gelar juara dunia setelah tahun argentina kembali mengangkat trofi piala dunia usai mengalahkan prancis lewat drama adu penalti</t>
  </si>
  <si>
    <t>['timnas', 'argentina', 'akhirnya', 'mengakhiri', 'puasa', 'gelar', 'juara', 'dunia', 'tahun', 'argentina', 'mengangkat', 'trofi', 'piala', 'dunia', 'usai', 'mengalahkan', 'prancis', 'lewat', 'drama', 'adu', 'penalti']</t>
  </si>
  <si>
    <t>50.KAKANWIL KEMENKUMHAM JATENG A. YUSPAHRUDDIN: Argentina Juara Piala Dunia 2022, Kepala Rutan Salatiga Minta Jajaran Teladani Semangat Lionel Messi -  https://t.co/X5zqYFlvHp</t>
  </si>
  <si>
    <t>Populer Global hari ini: Presiden Perancis canggung usai rangkulannya diabaikan Mbappe, hingga arti jubah Messi saat Argentina juara Piala Dunia.  https://t.co/Wukq1lWTAN</t>
  </si>
  <si>
    <t>populer global hari ini presiden perancis canggung usai rangkulannya diabaikan mbappe hingga arti jubah messi saat argentina juara piala dunia</t>
  </si>
  <si>
    <t>['populer', 'global', 'hari', 'presiden', 'perancis', 'canggung', 'usai', 'rangkulannya', 'diabaikan', 'mbappe', 'hingga', 'arti', 'jubah', 'messi', 'argentina', 'juara', 'piala', 'dunia']</t>
  </si>
  <si>
    <t>Fakta-fakta Argentina Merana di Balik Euforia Juara Piala Dunia  ~~ utas</t>
  </si>
  <si>
    <t>fakta fakta argentina merana balik euforia juara piala dunia utas</t>
  </si>
  <si>
    <t>['fakta', 'fakta', 'argentina', 'merana', 'balik', 'euforia', 'juara', 'piala', 'dunia', 'utas']</t>
  </si>
  <si>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</si>
  <si>
    <t>dulu maradona yang membuat juara dunia kini messi yang membuat juara dunia sangat beruntung sekali argentina</t>
  </si>
  <si>
    <t>['dulu', 'maradona', 'membuat', 'juara', 'dunia', 'kini', 'messi', 'membuat', 'juara', 'dunia', 'sangat', 'beruntung', 'sekali', 'argentina']</t>
  </si>
  <si>
    <t>#Terpopuler Lionel Messi sukses jadi juara Piala Dunia 2022 bersama timnya Argentina. Di bangku penonton ada sosok istrinya, Antonela Roccuzzo yang tegang hingga bahagia.  https://t.co/a6CXMhsK4Z</t>
  </si>
  <si>
    <t>lionel messi sukses jadi juara piala dunia bersama timnya argentina bangku penonton ada sosok istrinya antonela roccuzzo yang tegang hingga bahagia</t>
  </si>
  <si>
    <t>['lionel', 'messi', 'sukses', 'jadi', 'juara', 'piala', 'dunia', 'bersama', 'timnya', 'argentina', 'bangku', 'penonton', 'sosok', 'istrinya', 'antonela', 'roccuzzo', 'tegang', 'hingga', 'bahagia']</t>
  </si>
  <si>
    <t>Cikidot yaa, selalu ada yang baru! #MessiìÉµ  #Terpopuler   Terpopuler: Politik Di Tabalong Mulai Menggeliat, Argentina Juara Pildun 2022 Lionel Messi Is The Best World  https://t.co/lxKQsfhAFG</t>
  </si>
  <si>
    <t>cikidot yaa selalu ada yang baru terpopuler politik tabalong mulai menggeliat argentina juara pildun lionel messi the best world</t>
  </si>
  <si>
    <t>['cikidot', 'ya', 'selalu', 'baru', 'terpopuler', 'politik', 'tabalong', 'mulai', 'menggeliat', 'argentina', 'juara', 'piala dunia', 'lionel', 'messi', 'the', 'best', 'world']</t>
  </si>
  <si>
    <t>Urutan juara piala dunia Qatar 2022 0 Arab Saudi 1 Argentina 2 Perancis 3 Kroasia</t>
  </si>
  <si>
    <t>urutan juara piala dunia qatar arab saudi argentina perancis kroasia</t>
  </si>
  <si>
    <t>['urutan', 'juara', 'piala', 'dunia', 'qatar', 'arab', 'saudi', 'argentina', 'perancis', 'kroasia']</t>
  </si>
  <si>
    <t>Jaga Tradisi, Pemain Timnas Argentina Gunting Jaring Gawang Usai Juara Piala Dunia¬†2022  https://t.co/gkFzrE7QCf</t>
  </si>
  <si>
    <t>jaga tradisi pemain timnas argentina gunting jaring gawang usai juara piala dunia</t>
  </si>
  <si>
    <t>['jaga', 'tradisi', 'pemain', 'timnas', 'argentina', 'gunting', 'jaring', 'gawang', 'usai', 'juara', 'piala', 'dunia']</t>
  </si>
  <si>
    <t>@kisbet_ @meltdownbytori #ARG  Juara Pildun sudah 3x 1. Tahun 1978 juara di Argentina, topskor #ARG  nya Mario Kempes (6 Gol) 2. Tahun 1986 juara di Meksiko, topskor #ARG  nya Diego Maradona (5 Gol) 3. Tahun 2022 juara di Qatar, topskor #ARG  nya Lionel M</t>
  </si>
  <si>
    <t>juara pildun sudah tahun juara argentina topskor nya mario kempes gol tahun juara meksiko topskor nya diego maradona gol tahun juara qatar topskor nya lionel</t>
  </si>
  <si>
    <t>['juara', 'piala dunia', 'tahun', 'juara', 'argentina', 'topskor', 'mario', 'kempes', 'gol', 'tahun', 'juara', 'meksiko', 'topskor', 'diego', 'maradona', 'gol', 'tahun', 'juara', 'qatar', 'topskor', 'lionel']</t>
  </si>
  <si>
    <t>@argentina_juara @rahmanslenco @RefublikAteis Coba sebutkan yg setara messi ronaldo d jamanya zidane?</t>
  </si>
  <si>
    <t>juara coba sebutkan setara messi ronaldo jamanya zidane</t>
  </si>
  <si>
    <t>['juara', 'coba', 'sebutkan', 'setara', 'messi', 'ronaldo', 'jamanya', 'zidane']</t>
  </si>
  <si>
    <t>@idextratime jangan lupa, argentina juara berkat beliau minüôè  https://t.co/EElftYIE16</t>
  </si>
  <si>
    <t>jangan lupa argentina juara berkat beliau min</t>
  </si>
  <si>
    <t>['jangan', 'lupa', 'argentina', 'juara', 'berkat', 'beliau', 'min']</t>
  </si>
  <si>
    <t>Argentina Juara Piala Dunia 2022 Qatar  https://t.co/0htDUgaUQv #TempoGrafis</t>
  </si>
  <si>
    <t>argentina juara piala dunia qatar</t>
  </si>
  <si>
    <t>['argentina', 'juara', 'piala', 'dunia', 'qatar']</t>
  </si>
  <si>
    <t>Kenapa Argentina pas juara Piala Dunia keadaan sospol sama sepak bolanya selalu bertolak belakang?ü§£  Entah kebetulan atau tidak tulisanku kemarin relate</t>
  </si>
  <si>
    <t>kenapa argentina pas juara piala dunia keadaan sospol sama sepak bolanya selalu bertolak belakang entah kebetulan atau tidak tulisanku kemarin relate</t>
  </si>
  <si>
    <t>['argentina', 'pas', 'juara', 'piala', 'dunia', 'keadaan', 'sospol', 'sama', 'sepak', 'bolanya', 'selalu', 'bertolak', 'belakang', 'entah', 'kebetulan', 'tulisanku', 'kemarin', 'relate']</t>
  </si>
  <si>
    <t>Argentina Bersiap Sambut Kepulangan Lionel Messi Cs, Gelar Parade Juara Piala Dunia 2022?  https://t.co/Cj4Mji0CSj</t>
  </si>
  <si>
    <t>@idextratime Masih ga terima argentina juara? Kalah berapa juta?</t>
  </si>
  <si>
    <t>masih terima argentina juara kalah berapa juta</t>
  </si>
  <si>
    <t>['terima', 'argentina', 'juara', 'kalah', 'berapa', 'juta']</t>
  </si>
  <si>
    <t>@IlhamLu93553494 @registaco nunggu legend nya meninggal dulu baru juara. bukti nya Copa america &amp;amp; Piala dunia ( dalam kurun waktu 2 tahun ), Maradona Kutukan bagi argentina.</t>
  </si>
  <si>
    <t>nunggu legend nya meninggal dulu baru juara bukti nya copa america piala dunia dalam kurun waktu tahun maradona kutukan bagi argentina</t>
  </si>
  <si>
    <t>['nunggu', 'legend', 'meninggal', 'dulu', 'baru', 'juara', 'bukti', 'copa', 'america', 'piala', 'dunia', 'kurun', 'waktu', 'tahun', 'maradona', 'kutukan', 'argentina']</t>
  </si>
  <si>
    <t>Lionel Messi Banjir Ucapan Selamat dari Legenda dan Pembalap MotoGP Usai Bawa Argentina Juara Piala Dunia 2022 #LengkapCepatBeritanya #Olahraga #Sport #MotoGP #Grandprix .  https://t.co/LW3S55iSuw</t>
  </si>
  <si>
    <t>lionel messi banjir ucapan selamat dari legenda dan pembalap motogp usai bawa argentina juara piala dunia</t>
  </si>
  <si>
    <t>['lionel', 'messi', 'banjir', 'ucapan', 'selamat', 'legenda', 'pembalap', 'motogp', 'usai', 'bawa', 'argentina', 'juara', 'piala', 'dunia']</t>
  </si>
  <si>
    <t>Argentina akhirnya memutus puasa 36 tahun dengan menjadi juara Piala Dunia 2022. Anak mendiang Diego Maradona pun memberikan ucapan selamat.  https://t.co/8SWWcSNt6B</t>
  </si>
  <si>
    <t>Canelo Alvarez Sudahi Ribut dengan Messi, Sebut Argentina Pantas Juara  https://t.co/yXSDMwQuFC</t>
  </si>
  <si>
    <t>canelo alvarez sudahi ribut dengan messi sebut argentina pantas juara</t>
  </si>
  <si>
    <t>['canelo', 'alvarez', 'sudahi', 'ribut', 'messi', 'sebut', 'argentina', 'pantas', 'juara']</t>
  </si>
  <si>
    <t>Lionel Messi Bantu Argentina Juara Piala Dunia 2022, Andres Iniesta: Akhir Penantian Panjang! #LengkapCepatBeritanya #Bola #SepakBola #SepakbolaDunia #BolaDunia .  https://t.co/5hGuuufG35</t>
  </si>
  <si>
    <t>lionel messi bantu argentina juara piala dunia andres iniesta akhir penantian panjang</t>
  </si>
  <si>
    <t>['lionel', 'messi', 'bantu', 'argentina', 'juara', 'piala', 'dunia', 'andres', 'iniesta', 'akhir', 'penantian', 'panjang']</t>
  </si>
  <si>
    <t>Keberhasilan Argentina memenangi Piala Dunia 2022 membuat Juventus tetap berada di urutan teratas sebagai klub dengan pemilik juara dunia terbanyak.  https://t.co/D5e26OD7lK</t>
  </si>
  <si>
    <t>Argentina juara.. üá¶üá∑üá¶üá∑üá¶üá∑ Terus bagaimana nasib kadrun ini.. üëáüëá  https://t.co/wrmKGUXKQj</t>
  </si>
  <si>
    <t>argentina juara terus bagaimana nasib kadrun ini</t>
  </si>
  <si>
    <t>['argentina', 'juara', 'terus', 'bagaimana', 'nasib', 'kadrun']</t>
  </si>
  <si>
    <t>Argentina sudah juara dunia,dan keadilan untuk 135++ korban pembantaian kanjuruhan tetap masih jadi niscaya üòî #usuttuntastragedikanjuruhan</t>
  </si>
  <si>
    <t>argentina sudah juara dunia dan keadilan untuk korban pembantaian kanjuruhan tetap masih jadi niscaya</t>
  </si>
  <si>
    <t>['argentina', 'juara', 'dunia', 'keadilan', 'korban', 'pembantaian', 'kanjuruhan', 'tetap', 'jadi', 'niscaya']</t>
  </si>
  <si>
    <t>@cakimiNOW @cakimiNOW kita dukung Argentina,juara 1 PKB nomor 1</t>
  </si>
  <si>
    <t>kita dukung argentina juara pkb nomor</t>
  </si>
  <si>
    <t>['dukung', 'argentina', 'juara', 'pkb', 'nomor']</t>
  </si>
  <si>
    <t>Argentina Libur Nasional Rayakan Juara Piala Dunia 2022, Parade Sambut Messi dkk  https://t.co/C4U2Fryv1T</t>
  </si>
  <si>
    <t>argentina libur nasional rayakan juara piala dunia parade sambut messi dkk</t>
  </si>
  <si>
    <t>['argentina', 'libur', 'nasional', 'rayakan', 'juara', 'piala', 'dunia', 'parade', 'sambut', 'messi', 'dkk']</t>
  </si>
  <si>
    <t>Argentina Juara Piala Dunia 2022, Lionel Messi Lagi-Lagi Unggul dari Cristiano Ronaldo #LengkapCepatBeritanya #Bola #SepakBola #SepakbolaDunia #BolaDunia .  https://t.co/UZdjSqtQ1p</t>
  </si>
  <si>
    <t>argentina juara piala dunia lionel messi lagi lagi unggul dari cristiano ronaldo</t>
  </si>
  <si>
    <t>['argentina', 'juara', 'piala', 'dunia', 'lionel', 'messi', 'unggul', 'cristiano', 'ronaldo']</t>
  </si>
  <si>
    <t>Jutaan rakyat Argentina yang sedang menghadapi krisis ekonomi akibat inflasi merayakan keberhasilan tim nasional juara Piala Dunia Qatar 2022 atau setelah 1978 dan 1986. Sepak bola pelipur derita kehidupan ekonomi warga. #Olahraga #AdadiKompas  https://t.co/hgJaRDZyTn</t>
  </si>
  <si>
    <t>jutaan rakyat argentina yang sedang menghadapi krisis ekonomi akibat inflasi merayakan keberhasilan tim nasional juara piala dunia qatar atau setelah dan sepak bola pelipur derita kehidupan ekonomi warga</t>
  </si>
  <si>
    <t>['jutaan', 'rakyat', 'argentina', 'sedang', 'menghadapi', 'krisis', 'ekonomi', 'akibat', 'inflasi', 'merayakan', 'keberhasilan', 'tim', 'nasional', 'juara', 'piala', 'dunia', 'qatar', 'sepak', 'bola', 'pelipur', 'derita', 'kehidupan', 'ekonomi', 'warga']</t>
  </si>
  <si>
    <t>Argentina akhirnya memutus puasa 36 tahun dengan menjadi juara Piala Dunia 2022. Anak mendiang Diego Maradona pun memberikan ucapan selamat.  https://t.co/4yJmlMmQg9</t>
  </si>
  <si>
    <t>Argentina akhirnya memutus puasa 36 tahun dengan menjadi juara Piala Dunia 2022. Anak mendiang Diego Maradona pun memberikan ucapan selamat.  https://t.co/B4c7fVrIcY</t>
  </si>
  <si>
    <t>@detikcom Karna yg juara argentina nya messi...kalau bukan messi ya mgkin die bakalan diem aje..</t>
  </si>
  <si>
    <t>karna juara argentina nya messi kalau bukan messi mgkin die bakalan diem aje</t>
  </si>
  <si>
    <t>['karna', 'juara', 'argentina', 'messi', 'kalau', 'bukan', 'messi', 'mgkin', 'die', 'bakalan', 'diem', 'aje']</t>
  </si>
  <si>
    <t>Argentina akhirnya memutus puasa 36 tahun dengan menjadi juara Piala Dunia 2022. Anak mendiang Diego Maradona pun memberikan ucapan selamat.  https://t.co/B4c7fVILeY</t>
  </si>
  <si>
    <t>Jutaan rakyat Argentina yang sedang menghadapi krisis ekonomi akibat inflasi merayakan keberhasilan tim nasional juara Piala Dunia Qatar 2022 atau setelah 1978 dan 1986. Sepak bola pelipur derita kehidupan ekonomi warga. #Olahraga #AdadiKompas   https://t.co/KnuxMIJyDP</t>
  </si>
  <si>
    <t>Lionel Scaloni bersama Lionel Messi membawa Argentina juara Piala Dunia 2022. Scaloni mengungkap omongan Messi yang membuatnya mantap menatap Piala Dunia.  https://t.co/MxtqmC9t4O</t>
  </si>
  <si>
    <t>lionel scaloni bersama lionel messi membawa argentina juara piala dunia scaloni mengungkap omongan messi yang membuatnya mantap menatap piala dunia</t>
  </si>
  <si>
    <t>['lionel', 'scaloni', 'bersama', 'lionel', 'messi', 'membawa', 'argentina', 'juara', 'piala', 'dunia', 'scaloni', 'mengungkap', 'omongan', 'messi', 'membuatnya', 'mantap', 'menatap', 'piala', 'dunia']</t>
  </si>
  <si>
    <t>Canelo Alvarez Sudahi Ribut dengan Messi, Sebut Argentina Pantas Juara  https://t.co/nPlocFBmB1</t>
  </si>
  <si>
    <t>@idextratime Ronaldo pro Palestine!!! Itu kenapa gak disetting mereka juara, terus ngapain PORTUGAL main, wasit dari Argentina üôà</t>
  </si>
  <si>
    <t>ronaldo pro palestine itu kenapa gak disetting mereka juara terus ngapain portugal main wasit dari argentina</t>
  </si>
  <si>
    <t>['ronaldo', 'pro', 'palestine', 'disetting', 'juara', 'terus', 'ngapain', 'portugal', 'main', 'wasit', 'argentina']</t>
  </si>
  <si>
    <t>Kylian Mbappe lewat akun Instagramnya menuliskan kami pasti bangkit dalam fotonya melewati trofi Piala Dunia. Prancis gagal juara usai kalah dari Argentina.  https://t.co/6lIb5er0Tw</t>
  </si>
  <si>
    <t>kylian mbappe lewat akun instagramnya menuliskan kami pasti bangkit dalam fotonya melewati trofi piala dunia prancis gagal juara usai kalah dari argentina</t>
  </si>
  <si>
    <t>['kylian', 'mbappe', 'lewat', 'akun', 'instagramnya', 'menuliskan', 'bangkit', 'fotonya', 'melewati', 'trofi', 'piala', 'dunia', 'prancis', 'gagal', 'juara', 'usai', 'kalah', 'argentina']</t>
  </si>
  <si>
    <t>Bukan Hanya Messi, Pelatih Cerdas dan Tim yang Solid Bawa Argentina Juara  https://t.co/OD4eQlVvpc</t>
  </si>
  <si>
    <t>bukan hanya messi pelatih cerdas dan tim yang solid bawa argentina juara</t>
  </si>
  <si>
    <t>['bukan', 'messi', 'pelatih', 'cerdas', 'tim', 'solid', 'bawa', 'argentina', 'juara']</t>
  </si>
  <si>
    <t>Klau perasan dlm squad argentina klh ketinggian dgn team lain. Plg tinggi yg btul2 nmpk parades dgn dibu. Mse lwn belanda dgn france tgkla player dorang tinggi mcm mne. Smua team main mmg betul2 untuk juara. Tp bila haters cakp wc22 dah di set utk argentina nmpk sgt kau meroyan</t>
  </si>
  <si>
    <t>klau perasan dlm squad argentina klh ketinggian dgn team lain plg tinggi btul nmpk parades dgn dibu mse lwn belanda dgn france tgkla player dorang tinggi mcm mne smua team main mmg betul untuk juara bila haters cakp dah set utk argentina nmpk sgt kau meroyan</t>
  </si>
  <si>
    <t>['klau', 'perasan', 'dlm', 'squad', 'argentina', 'klh', 'ketinggian', 'team', 'plg', 'tinggi', 'btul', 'nmpk', 'parades', 'dibu', 'mse', 'lwn', 'belanda', 'france', 'tgkla', 'player', 'dorang', 'tinggi', 'mcm', 'mne', 'smua', 'team', 'main', 'mmg', 'betul', 'juara', 'bila', 'haters', 'cakp', 'dah', 'set', 'argentina', 'nmpk', 'sangat', 'kau', 'meroyan']</t>
  </si>
  <si>
    <t>&lt;FreqDist with 36 samples and 40 outcomes&gt;</t>
  </si>
  <si>
    <t>nmpk beza bila org yg tahu psl bola komen dgn org yg x tau psl bola. Commitment  dgn attitude la yg penting utk satu team tu betul2 layak juara. Argentina punya la struggle main wc lagi2 first game dh kalah, pstu lwn belanda mcm final, final lwn france dgn mbappe yg fresh talent</t>
  </si>
  <si>
    <t>nmpk beza bila org tahu psl bola komen dgn org tau psl bola commitment dgn attitude penting utk satu team betul layak juara argentina punya struggle main lagi first game kalah pstu lwn belanda mcm final final lwn france dgn mbappe fresh talent</t>
  </si>
  <si>
    <t>['nmpk', 'beza', 'bila', 'org', 'tahu', 'psl', 'bola', 'komen', 'org', 'psl', 'bola', 'commitment', 'attitude', 'penting', 'satu', 'team', 'betul', 'layak', 'juara', 'argentina', 'punya', 'struggle', 'main', 'first', 'game', 'kalah', 'pstu', 'lwn', 'belanda', 'mcm', 'final', 'final', 'lwn', 'france', 'mbappe', 'fresh', 'talent']</t>
  </si>
  <si>
    <t>Bawa Argentina Juara Piala Dunia 2022, Ini Deretan Prestasi Lionel Messi  https://t.co/ARtJQ1RJkP #TempoSport</t>
  </si>
  <si>
    <t>bawa argentina juara piala dunia ini deretan prestasi lionel messi</t>
  </si>
  <si>
    <t>['bawa', 'argentina', 'juara', 'piala', 'dunia', 'deretan', 'prestasi', 'lionel', 'messi']</t>
  </si>
  <si>
    <t>Bukan Hanya Messi, Pelatih Cerdas dan Tim yang Solid Bawa Argentina Juara  https://t.co/BtFrg7beFI</t>
  </si>
  <si>
    <t>Warga Argentina pesta pora usai Lionel Messi dkk menang di laga Juara Dunia 2022, usai mengalahkan juara bertahan Prancis.  https://t.co/pHBc8dZ0Ht</t>
  </si>
  <si>
    <t>warga argentina pesta pora usai lionel messi dkk menang laga juara dunia usai mengalahkan juara bertahan prancis</t>
  </si>
  <si>
    <t>['warga', 'argentina', 'pesta', 'pora', 'usai', 'lionel', 'messi', 'dkk', 'menang', 'laga', 'juara', 'dunia', 'usai', 'mengalahkan', 'juara', 'bertahan', 'prancis']</t>
  </si>
  <si>
    <t>#Argentina #PialaDunia2022 #juaraboladunia    Argentina bergemuruh gembira setelah tim nasional mereka menyabet gelar juara Piala Dunia di tengah krisis yang tengah melanda Negeri Tango    https://t.co/gnxNtFHqSl lewat @serambinews</t>
  </si>
  <si>
    <t>argentina bergemuruh gembira setelah tim nasional mereka menyabet gelar juara piala dunia tengah krisis yang tengah melanda negeri tango lewat</t>
  </si>
  <si>
    <t>['argentina', 'bergemuruh', 'gembira', 'tim', 'nasional', 'menyabet', 'gelar', 'juara', 'piala', 'dunia', 'tengah', 'krisis', 'tengah', 'melanda', 'negeri', 'tango', 'lewat']</t>
  </si>
  <si>
    <t>via @NYTimes yang bikin argentina juara piala dunia üòÇüòÇüòÇüòÇ  https://t.co/yXraZSHntf</t>
  </si>
  <si>
    <t>via yang bikin argentina juara piala dunia</t>
  </si>
  <si>
    <t>['via', 'argentina', 'juara', 'piala', 'dunia']</t>
  </si>
  <si>
    <t>#Argentina #PialaDunia2022 #juaraboladunia    Argentina bergemuruh gembira setelah tim nasional mereka menyabet gelar juara Piala Dunia di tengah krisis yang tengah melanda Negeri Tango    https://t.co/FpC7oeiVco lewat @serambinews</t>
  </si>
  <si>
    <t>Antar Argentina Juara Piala Dunia 2022, Lionel Messi Diklaim Bakal Rebut Ballon d'Or  https://t.co/RJcG5jQf8G</t>
  </si>
  <si>
    <t>antar argentina juara piala dunia lionel messi diklaim bakal rebut ballon</t>
  </si>
  <si>
    <t>['antar', 'argentina', 'juara', 'piala', 'dunia', 'lionel', 'messi', 'diklaim', 'bakal', 'rebut', 'ballon']</t>
  </si>
  <si>
    <t>Kylian Mbappe lewat akun Instagramnya menuliskan kami pasti bangkit dalam fotonya melewati trofi Piala Dunia. Prancis gagal juara usai kalah dari Argentina.  https://t.co/k6t7WX4YnH</t>
  </si>
  <si>
    <t>@GOAL_ID Bayangin jika dari 2007 itu semua disapu bersih juara sm Argentina dan messi. Mungkin gabakal ramai perdebatan antara 2 pemain terbaik</t>
  </si>
  <si>
    <t>bayangin jika dari itu semua disapu bersih juara argentina dan messi mungkin gabakal ramai perdebatan antara pemain terbaik</t>
  </si>
  <si>
    <t>['bayangin', 'semua', 'disapu', 'bersih', 'juara', 'argentina', 'messi', 'mungkin', 'gabakal', 'ramai', 'perdebatan', 'pemain', 'terbaik']</t>
  </si>
  <si>
    <t>@Andrianaidi @yaelaadi @FaktaSepakbola Ini salah satu pemain kulit hitam di skuad Argentina, namanya H√©ctor Baley main era 70-80an, berposisi kiper dan mengemas 13 caps.  Dia masuk bagian skuad Argentina yang juara Piala Dunia 1978 meski saat itu dia jad</t>
  </si>
  <si>
    <t>ini salah satu pemain kulit hitam skuad argentina namanya ctor baley main era berposisi kiper dan mengemas caps dia masuk bagian skuad argentina yang juara piala dunia meski saat itu dia jad</t>
  </si>
  <si>
    <t>['salah', 'satu', 'pemain', 'kulit', 'hitam', 'skuad', 'argentina', 'namanya', 'ctor', 'baley', 'main', 'era', 'berposisi', 'kiper', 'mengemas', 'caps', 'masuk', 'bagian', 'skuad', 'argentina', 'juara', 'piala', 'dunia', 'meski', 'jad']</t>
  </si>
  <si>
    <t>Juara Piala Dunia Argentina, juara bohong siapa?</t>
  </si>
  <si>
    <t>juara piala dunia argentina juara bohong siapa</t>
  </si>
  <si>
    <t>['juara', 'piala', 'dunia', 'argentina', 'juara', 'bohong', 'siapa']</t>
  </si>
  <si>
    <t>@panca66 @MIrvanDarwin1 Argentina juara krn kiper Prancisnya kayak org tdk semangat menangkap bola, jadi curiga nih...</t>
  </si>
  <si>
    <t>argentina juara krn kiper prancisnya kayak org tdk semangat menangkap bola jadi curiga nih</t>
  </si>
  <si>
    <t>['argentina', 'juara', 'kiper', 'prancisnya', 'seperti', 'org', 'semangat', 'menangkap', 'bola', 'jadi', 'curiga']</t>
  </si>
  <si>
    <t>Qatar piala dunia 2022 Juara Pemenang angkat piala dunia Go TENGO Tim ARGENTINA</t>
  </si>
  <si>
    <t>qatar piala dunia juara pemenang angkat piala dunia tengo tim argentina</t>
  </si>
  <si>
    <t>['qatar', 'piala', 'dunia', 'juara', 'pemenang', 'angkat', 'piala', 'dunia', 'tengo', 'tim', 'argentina']</t>
  </si>
  <si>
    <t>Pembalap MotoGP Ramai Ucapkan Selamat ke Lionel Messi dan Argentina Juara Piala Dunia 2022, Tapi Ada yang Kecewa Nih  https://t.co/idRFojoVjj</t>
  </si>
  <si>
    <t>pembalap motogp ramai ucapkan selamat lionel messi dan argentina juara piala dunia tapi ada yang kecewa nih</t>
  </si>
  <si>
    <t>['pembalap', 'motogp', 'ramai', 'ucapkan', 'selamat', 'lionel', 'messi', 'argentina', 'juara', 'piala', 'dunia', 'kecewa']</t>
  </si>
  <si>
    <t>ÔøºLionel Messi¬† ¬†Setelah mengalah kan ferancis di partai Final, Argentina memastikan diri menjadi juara piala dunia FIFA 2022, dengan melalui adu penalti 4-2 (3-3)  Di stadion Lusial, Qatar.¬†  Senin (19/12//022) dini hari. WIB¬†  Sejarah ini merupakan gelar ketiga Argentina.</t>
  </si>
  <si>
    <t>lionel messi setelah mengalah kan ferancis partai final argentina memastikan diri menjadi juara piala dunia fifa dengan melalui adu penalti stadion lusial qatar senin dini hari wib sejarah ini merupakan gelar ketiga argentina</t>
  </si>
  <si>
    <t>['lionel', 'messi', 'mengalah', 'kan', 'ferancis', 'partai', 'final', 'argentina', 'memastikan', 'diri', 'menjadi', 'juara', 'piala', 'dunia', 'fifa', 'melalui', 'adu', 'penalti', 'stadion', 'lusial', 'qatar', 'senin', 'dini', 'hari', 'wib', 'sejarah', 'merupakan', 'gelar', 'ketiga', 'argentina']</t>
  </si>
  <si>
    <t>Argentina Juara Piala Dunia 2022, Gubernur Arinal: Pelajarannya, Mereka Bisa Karena Kekuatan Dari Persatuan   https://t.co/pLkL4Fc9vs</t>
  </si>
  <si>
    <t>argentina juara piala dunia gubernur arinal pelajarannya mereka bisa karena kekuatan dari persatuan</t>
  </si>
  <si>
    <t>['argentina', 'juara', 'piala', 'dunia', 'gubernur', 'arinal', 'pelajarannya', 'kekuatan', 'persatuan']</t>
  </si>
  <si>
    <t>Drama Adu Penalti, Argentina Juara Piala Dunia 2022   https://t.co/OvkdR0j0xb</t>
  </si>
  <si>
    <t>drama adu penalti argentina juara piala dunia</t>
  </si>
  <si>
    <t>['drama', 'adu', 'penalti', 'argentina', 'juara', 'piala', 'dunia']</t>
  </si>
  <si>
    <t>kok bisa argentina juara? krena yg mletus balon hijau tpi ini bukan tntang tahu tek</t>
  </si>
  <si>
    <t>kok bisa argentina juara krena mletus balon hijau tpi ini bukan tntang tahu tek</t>
  </si>
  <si>
    <t>['kok', 'argentina', 'juara', 'krena', 'mletus', 'balon', 'hijau', 'tpi', 'bukan', 'tntang', 'tahu', 'tek']</t>
  </si>
  <si>
    <t>Argentina Juara Piala Dunia 2022, Buenos Aires menggila! . #EMTEKWORLDCUP2022 #BOLANETWORLDCUP2022  #PialaDunia #PialaDunia2022  https://t.co/Sc46d6tIZx</t>
  </si>
  <si>
    <t>argentina juara piala dunia buenos aires menggila</t>
  </si>
  <si>
    <t>['argentina', 'juara', 'piala', 'dunia', 'buenos', 'aires', 'menggila']</t>
  </si>
  <si>
    <t>"The Mainichi Shimbun" (Jepang) mewartakan #LionelMessiìÉµ dan kemenangan #Argentina meraih juara #FIFAWorldCup  https://t.co/M01YEfiSYZ</t>
  </si>
  <si>
    <t>the mainichi shimbun jepang mewartakan dan kemenangan meraih juara</t>
  </si>
  <si>
    <t>['the', 'mainichi', 'shimbun', 'jepang', 'mewartakan', 'kemenangan', 'meraih', 'juara']</t>
  </si>
  <si>
    <t>Media-media Italia ikut merayakan kemenangan #Argentina #LionelMessiìÉµ yang meraih juara #FIFAWorldCup (Beberapa pemain Argentina bermain di klub-klub Italia di Serie A)  https://t.co/Sll3Qjl4QP</t>
  </si>
  <si>
    <t>media media italia ikut merayakan kemenangan yang meraih juara beberapa pemain argentina bermain klub klub italia serie</t>
  </si>
  <si>
    <t>['media', 'media', 'italia', 'ikut', 'merayakan', 'kemenangan', 'meraih', 'juara', 'beberapa', 'pemain', 'argentina', 'bermain', 'klub', 'klub', 'italia', 'serie']</t>
  </si>
  <si>
    <t>Media Korea Selatan mewartakan juara #FIFAWorldCup #Argentina dan pahlawan #LionelMessiìÉµ  https://t.co/L4y3berTTC</t>
  </si>
  <si>
    <t>media korea selatan mewartakan juara dan pahlawan</t>
  </si>
  <si>
    <t>['media', 'korea', 'selatan', 'mewartakan', 'juara', 'pahlawan']</t>
  </si>
  <si>
    <t>@KomangSaras @faizalarca @nial_nilson @realmadridindo1 lu liat squad argentina, yg jadi starting line up pemain medioker semua kecuali messi. dimaria pun kadang main kadang ngga. semua dari keputusan pelatih mau mainin siapa. portugal ga juara kok nyalahi</t>
  </si>
  <si>
    <t>nilson liat squad argentina jadi starting line pemain medioker semua kecuali messi dimaria pun kadang main kadang ngga semua dari keputusan pelatih mau mainin siapa portugal juara kok nyalahi</t>
  </si>
  <si>
    <t>['nilson', 'lihat', 'squad', 'argentina', 'jadi', 'starting', 'line', 'pemain', 'medioker', 'semua', 'messi', 'dimaria', 'kadang', 'main', 'kadang', 'ngga', 'semua', 'keputusan', 'pelatih', 'mau', 'mainin', 'siapa', 'portugal', 'juara', 'kok', 'nyalahi']</t>
  </si>
  <si>
    <t>Argentina juara Piala Dunia, prediksi berang-berang Thailand Persis¬†#infoMenarik  https://t.co/z0xrojsI3O</t>
  </si>
  <si>
    <t>argentina juara piala dunia prediksi berang berang thailand persis</t>
  </si>
  <si>
    <t>['argentina', 'juara', 'piala', 'dunia', 'prediksi', 'berang', 'berang', 'thailand', 'persis']</t>
  </si>
  <si>
    <t>yah pada akhirnya argentina juara ketiga kalinya setelah 36 tahun dari juara terakhirnyaüèÜ itu kalo sampe gak juara gue gangerti lagi sih gmn nyeseknya, 2kali final gagal mahüò•</t>
  </si>
  <si>
    <t>yah pada akhirnya argentina juara ketiga kalinya setelah tahun dari juara terakhirnya itu kalo sampe gak juara gue gangerti lagi sih gmn nyeseknya kali final gagal mah</t>
  </si>
  <si>
    <t>['akhirnya', 'argentina', 'juara', 'ketiga', 'kalinya', 'tahun', 'juara', 'terakhirnya', 'sampai', 'juara', 'gue', 'gangerti', 'gmn', 'nyeseknya', 'kali', 'final', 'gagal', 'mah']</t>
  </si>
  <si>
    <t>Penghujung 2022 tepatnya dibulan desember, dia beraksi dipiala dunia untuk terakhir kalinya mungkin. Messi Berhasil membawa argentina kefinal dan mengalahkan sang juara edisi sebelumnya dan kemudian pulang ke argentina dengan status JUARA PIALA DUNIA.  The Greatest of All Time.</t>
  </si>
  <si>
    <t>penghujung tepatnya dibulan desember dia beraksi dipiala dunia untuk terakhir kalinya mungkin messi berhasil membawa argentina kefinal dan mengalahkan sang juara edisi sebelumnya dan kemudian pulang argentina dengan status juara piala dunia the greatest all time</t>
  </si>
  <si>
    <t>['penghujung', 'tepatnya', 'dibulan', 'desember', 'beraksi', 'dipiala', 'dunia', 'terakhir', 'kalinya', 'mungkin', 'messi', 'berhasil', 'membawa', 'argentina', 'kefinal', 'mengalahkan', 'sang', 'juara', 'edisi', 'sebelumnya', 'kemudian', 'pulang', 'argentina', 'status', 'juara', 'piala', 'dunia', 'the', 'greatest', 'all', 'time']</t>
  </si>
  <si>
    <t>@AndiRidzky @fariltesfaye @mariknyawa @16_18_1_19_19 @Amrullah_acho @idextratime Kalo lu blg Messi tua bangka dlu,harusnya messi lebih hebat krn d umur 35 ( bkn usia emas pesepakbola ) masih mampu bawa argentina juara dunia ,dgn skuad ga masuk kategori Al</t>
  </si>
  <si>
    <t>acho kalo blg messi tua bangka dlu harusnya messi lebih hebat krn umur bkn usia emas pesepakbola masih mampu bawa argentina juara dunia dgn skuad masuk kategori</t>
  </si>
  <si>
    <t>['acho', 'blg', 'messi', 'tua', 'bangka', 'dlu', 'harusnya', 'messi', 'lebih', 'hebat', 'umur', 'bkn', 'usia', 'emas', 'pesepakbola', 'mampu', 'bawa', 'argentina', 'juara', 'dunia', 'skuad', 'masuk', 'kategori']</t>
  </si>
  <si>
    <t>Carlo Ancelotti Ungkap 2 Alasan Argentina Layak Juara Piala Dunia 2022  https://t.co/PjFxukH0Tq</t>
  </si>
  <si>
    <t>carlo ancelotti ungkap alasan argentina layak juara piala dunia</t>
  </si>
  <si>
    <t>['carlo', 'ancelotti', 'ungkap', 'alasan', 'argentina', 'layak', 'juara', 'piala', 'dunia']</t>
  </si>
  <si>
    <t>Keberhasilan Argentina memenangi Piala Dunia 2022 membuat Juventus tetap berada di urutan teratas sebagai klub dengan pemilik juara dunia terbanyak.  https://t.co/xFkqJuq0dd</t>
  </si>
  <si>
    <t>@desycicyla Argentina juara</t>
  </si>
  <si>
    <t>Bintang ke-3 buat Argentina setelah Juara Piala Dunia untuk ketiga kalinya! . #EMTEKWORLDCUP2022 #BOLANETWORLDCUP2022  #PialaDunia #PialaDunia2022  https://t.co/A3QupGKvg0</t>
  </si>
  <si>
    <t>bintang buat argentina setelah juara piala dunia untuk ketiga kalinya</t>
  </si>
  <si>
    <t>['bintang', 'buat', 'argentina', 'juara', 'piala', 'dunia', 'ketiga', 'kalinya']</t>
  </si>
  <si>
    <t>@snowy_icebear @idextratime evra kan udah berkata ... kalau argentina diberi pinalty di menit awal ... udah pasti juara ! matiin ajah tv kalian ujar "evra" jadi di sini kalaian bisa pahami !</t>
  </si>
  <si>
    <t>icebear evra kan udah berkata kalau argentina diberi pinalty menit awal udah pasti juara matiin ajah kalian ujar evra jadi sini kalaian bisa pahami</t>
  </si>
  <si>
    <t>['icebear', 'evra', 'kan', 'udah', 'berkata', 'kalau', 'argentina', 'diberi', 'pinalty', 'menit', 'awal', 'udah', 'juara', 'matiin', 'ajah', 'kalian', 'ujar', 'evra', 'jadi', 'sini', 'kalaian', 'pahami']</t>
  </si>
  <si>
    <t>Kiper Juara Dunia Argentina: Mengapa Saya Tampilkan Gestur ITU!  https://t.co/qTypwheQSR</t>
  </si>
  <si>
    <t>kiper juara dunia argentina mengapa saya tampilkan gestur itu</t>
  </si>
  <si>
    <t>['kiper', 'juara', 'dunia', 'argentina', 'tampilkan', 'gestur']</t>
  </si>
  <si>
    <t>timnas sepakbola arab saudi lebih hebat karena telah mengalahkan juara dunia argentina.</t>
  </si>
  <si>
    <t>timnas sepakbola arab saudi lebih hebat karena telah mengalahkan juara dunia argentina</t>
  </si>
  <si>
    <t>['timnas', 'sepakbola', 'arab', 'saudi', 'lebih', 'hebat', 'mengalahkan', 'juara', 'dunia', 'argentina']</t>
  </si>
  <si>
    <t>@433 masih belum percaya argentina juara :((</t>
  </si>
  <si>
    <t>masih belum percaya argentina juara</t>
  </si>
  <si>
    <t>['percaya', 'argentina', 'juara']</t>
  </si>
  <si>
    <t>@Dennysiregar7 SELAMAT KEPADA ARGENTINA SEBAGAI JUARA PIALA DUNIA apakah dengan memberi selamat kita langsung jadi orang argentinaüòÇüòÇüòÇ Oalah masalah gini aja koq di perdebatkan</t>
  </si>
  <si>
    <t>selamat kepada argentina sebagai juara piala dunia apakah dengan memberi selamat kita langsung jadi orang argentina oalah masalah gini aja koq perdebatkan</t>
  </si>
  <si>
    <t>['selamat', 'argentina', 'juara', 'piala', 'dunia', 'memberi', 'selamat', 'langsung', 'jadi', 'orang', 'argentina', 'oalah', 'masalah', 'gini', 'koq', 'perdebatkan']</t>
  </si>
  <si>
    <t>Reaksi Skuad Argentina di Media Sosial usai Juara Piala Dunia 2022, begini kata Messi... . #EMTEKWORLDCUP2022 #BOLANETWORLDCUP2022  #PialaDunia #PialaDunia2022  https://t.co/fdKdSGd7nn</t>
  </si>
  <si>
    <t>reaksi skuad argentina media sosial usai juara piala dunia begini kata messi</t>
  </si>
  <si>
    <t>['reaksi', 'skuad', 'argentina', 'media', 'sosial', 'usai', 'juara', 'piala', 'dunia', 'begini', 'kata', 'messi']</t>
  </si>
  <si>
    <t>5 kali Stadion Lusail jadi saksi bisu laga Argentina di Piala Dunia 2022. Di awal Tim Tango terjungkal, tapi kemudian jadi juara di final.  https://t.co/6llTVv0aRi</t>
  </si>
  <si>
    <t>kali stadion lusail jadi saksi bisu laga argentina piala dunia awal tim tango terjungkal tapi kemudian jadi juara final</t>
  </si>
  <si>
    <t>['kali', 'stadion', 'lusail', 'jadi', 'saksi', 'bisu', 'laga', 'argentina', 'piala', 'dunia', 'awal', 'tim', 'tango', 'terjungkal', 'kemudian', 'jadi', 'juara', 'final']</t>
  </si>
  <si>
    <t>@KaKa01175473 @BilliesBaylies @abbenzino @idextratime Kemaren argentina juara gara2 diving di maria üòÇ</t>
  </si>
  <si>
    <t>kemaren argentina juara gara diving maria</t>
  </si>
  <si>
    <t>['kemarin', 'argentina', 'juara', 'gara', 'diving', 'maria']</t>
  </si>
  <si>
    <t>@fakeazka @tebssky @BangAlo @idextratime udalah kontol argentina juara dunia lu kek org tolol jga gada yg peduliüñïüòÇü§£</t>
  </si>
  <si>
    <t>udalah kontol argentina juara dunia kek org tolol jga gada peduli</t>
  </si>
  <si>
    <t>['udalah', 'kontol', 'argentina', 'juara', 'dunia', 'kek', 'org', 'tolol', 'jga', 'gada', 'peduli']</t>
  </si>
  <si>
    <t>Juara Piala Dunia 2022, Argentina Bawa Pulang Jala Gawang untuk Kenang-kenangan  https://t.co/hrosfEH75E</t>
  </si>
  <si>
    <t>juara piala dunia argentina bawa pulang jala gawang untuk kenang kenangan</t>
  </si>
  <si>
    <t>['juara', 'piala', 'dunia', 'argentina', 'bawa', 'pulang', 'jala', 'gawang', 'kenang', 'kenangan']</t>
  </si>
  <si>
    <t>Juara Piala Dunia 2022, Argentina Bawa Pulang Jala Gawang untuk Kenang-kenangan  https://t.co/mv5lMsPz6v</t>
  </si>
  <si>
    <t>Juara Piala Dunia 2022, Argentina Bawa Pulang Jala Gawang untuk Kenang-kenangan  https://t.co/MBphNA8JGv</t>
  </si>
  <si>
    <t>Juara Piala Dunia 2022, Argentina Bawa Pulang Jala Gawang untuk Kenang-kenangan  https://t.co/SZx1tyNooY</t>
  </si>
  <si>
    <t>Messi Bawa Argentina Juara Piala Dunia 2022, "The Real GOAT" Terjawab Sudah  https://t.co/0dL0Cinpku #HLKompasiana</t>
  </si>
  <si>
    <t>messi bawa argentina juara piala dunia the real goat terjawab sudah</t>
  </si>
  <si>
    <t>['messi', 'bawa', 'argentina', 'juara', 'piala', 'dunia', 'the', 'real', 'goat', 'terjawab']</t>
  </si>
  <si>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</si>
  <si>
    <t>mental juara yang miliki oleh argentina luar biasa namun yang tak kalah hebatnya mental tim prancis dan pendukungnya yang mau mengakui kekalahannya dengan legowo bandingkan dengan pendukung lawan jokowi dalam pilpres sakit hatinya tak pernah hilang sampai dibawah mati</t>
  </si>
  <si>
    <t>['mental', 'juara', 'miliki', 'argentina', 'luar', 'biasa', 'tak', 'kalah', 'hebatnya', 'mental', 'tim', 'prancis', 'pendukungnya', 'mau', 'mengakui', 'kekalahannya', 'legowo', 'bandingkan', 'pendukung', 'lawan', 'jokowi', 'pilpres', 'sakit', 'hatinya', 'tak', 'pernah', 'hilang', 'dibawah', 'mati']</t>
  </si>
  <si>
    <t>@musniumar Mental juara yang di miliki oleh Argentina dan tak kalah hebatnya mental legowo Prancis yang mengakui kekalahannya. Bandingkan dengan pendukung lawan Jokowi dalam pilpres 2019 sakit hatinya tak pernah hilang sampai sekarang Prof.</t>
  </si>
  <si>
    <t>mental juara yang miliki oleh argentina dan tak kalah hebatnya mental legowo prancis yang mengakui kekalahannya bandingkan dengan pendukung lawan jokowi dalam pilpres sakit hatinya tak pernah hilang sampai sekarang prof</t>
  </si>
  <si>
    <t>['mental', 'juara', 'miliki', 'argentina', 'tak', 'kalah', 'hebatnya', 'mental', 'legowo', 'prancis', 'mengakui', 'kekalahannya', 'bandingkan', 'pendukung', 'lawan', 'jokowi', 'pilpres', 'sakit', 'hatinya', 'tak', 'pernah', 'hilang', 'sekarang', 'prof']</t>
  </si>
  <si>
    <t>Setelah Argentina juara piala dunia 2022 Pengen ngerasain jadi fans Ronaldo atau pembenci Messi 3 hari aja gak papa, cuman pengen tau rasanya kayak gimana.</t>
  </si>
  <si>
    <t>setelah argentina juara piala dunia pengen ngerasain jadi fans ronaldo atau pembenci messi hari aja gak papa cuman pengen tau rasanya kayak gimana</t>
  </si>
  <si>
    <t>['argentina', 'juara', 'piala', 'dunia', 'pengen', 'ngerasain', 'jadi', 'fans', 'ronaldo', 'pembenci', 'messi', 'hari', 'papa', 'cuman', 'pengen', 'rasanya', 'seperti', 'gimana']</t>
  </si>
  <si>
    <t>KEMARIN ADALAH SALAH SATU MOMEN PALING BERKESAN DALAM HIDUP GUEEE,LIAT ARGENTINA JUARA,LIAT MESSI YANG BENAR" MEMENANGKAN TROPHY TERSEBUT, MATCH YANG GILA GILAAN, BERSYUKUR BANGET BISA MELIHAT DAN MENYAKSIKAN IDOLA SEJAK KECIL MEMENANGKAN TROPHY NYAAA</t>
  </si>
  <si>
    <t>kemarin adalah salah satu momen paling berkesan dalam hidup gueee liat argentina juara liat messi yang benar memenangkan trophy tersebut match yang gila gilaan bersyukur banget bisa melihat dan menyaksikan idola sejak kecil memenangkan trophy nyaaa</t>
  </si>
  <si>
    <t>['kemarin', 'salah', 'satu', 'momen', 'paling', 'berkesan', 'hidup', 'gueee', 'lihat', 'argentina', 'juara', 'lihat', 'messi', 'benar', 'memenangkan', 'trophy', 'tersebut', 'match', 'gila', 'gilaan', 'bersyukur', 'banget', 'melihat', 'menyaksikan', 'idola', 'sejak', 'kecil', 'memenangkan', 'trophy', 'nyaaa']</t>
  </si>
  <si>
    <t>@panditfootball Scaloni masuk skuad PD 2006 yang lolos 16 besar saja. 2022 dia bawa argentina juara dunia dg peran head coach. Top Scaloni</t>
  </si>
  <si>
    <t>scaloni masuk skuad yang lolos besar saja dia bawa argentina juara dunia peran head coach top scaloni</t>
  </si>
  <si>
    <t>['scaloni', 'masuk', 'skuad', 'lolos', 'besar', 'bawa', 'argentina', 'juara', 'dunia', 'peran', 'head', 'coach', 'top', 'scaloni']</t>
  </si>
  <si>
    <t>Ekspresi kegembiraan setelah Dikurung, Dibully, dan Dihantam hati saya secara sporadis baik itu oleh Prancis sendiri maupun oleh fans Prancis (lebih anti Argentina Juara). üòÇüòÇüòÇüòÇüòÇ  https://t.co/9fEwOjtBoo</t>
  </si>
  <si>
    <t>ekspresi kegembiraan setelah dikurung dibully dan dihantam hati saya secara sporadis baik itu oleh prancis sendiri maupun oleh fans prancis lebih anti argentina juara</t>
  </si>
  <si>
    <t>['ekspresi', 'kegembiraan', 'dikurung', 'dibully', 'dihantam', 'hati', 'sporadis', 'baik', 'prancis', 'sendiri', 'maupun', 'fans', 'prancis', 'lebih', 'anti', 'argentina', 'juara']</t>
  </si>
  <si>
    <t>argentina memang juara tapi semangat mbappe ga ada lawan</t>
  </si>
  <si>
    <t>argentina memang juara tapi semangat mbappe ada lawan</t>
  </si>
  <si>
    <t>['argentina', 'memang', 'juara', 'semangat', 'mbappe', 'lawan']</t>
  </si>
  <si>
    <t>Argentina juara WC idup w kek makin tenang gitu deh</t>
  </si>
  <si>
    <t>argentina juara idup kek makin tenang gitu deh</t>
  </si>
  <si>
    <t>['argentina', 'juara', 'idup', 'kek', 'makin', 'tenang', 'gitu', 'deh']</t>
  </si>
  <si>
    <t>Setelah juara timnas Argentina dikabarkan akan ziarah ke makan wali songo</t>
  </si>
  <si>
    <t>setelah juara timnas argentina dikabarkan akan ziarah makan wali songo</t>
  </si>
  <si>
    <t>['juara', 'timnas', 'argentina', 'dikabarkan', 'ziarah', 'makan', 'wali', 'songo']</t>
  </si>
  <si>
    <t>Jelang Perayaan Gelar Juara Piala Dunia 2022, Pesawat Skuad Argentina Terbanyak Diikuti  https://t.co/drlT6F7xqu  https://t.co/mCe8kYEMGF</t>
  </si>
  <si>
    <t>jelang perayaan gelar juara piala dunia pesawat skuad argentina terbanyak diikuti</t>
  </si>
  <si>
    <t>['jelang', 'perayaan', 'gelar', 'juara', 'piala', 'dunia', 'pesawat', 'skuad', 'argentina', 'terbanyak', 'diikuti']</t>
  </si>
  <si>
    <t>Argentina Juara Piala Dunia 2022, Arrigo Sacchi: Messi Tak Bisa Dibandingkan Dengan Maradona! Baca Selengkapnya di  &amp;gt;&amp;gt;&amp;gt;  https://t.co/lFR0TWa1Ak Daftarkan sekarang juga!  Link :  https://t.co/XROb5m6iiV WA : +6282169213327  https://t.co/Aa2ksEwjEP</t>
  </si>
  <si>
    <t>argentina juara piala dunia arrigo sacchi messi tak bisa dibandingkan dengan maradona baca selengkapnya daftarkan sekarang juga link</t>
  </si>
  <si>
    <t>['argentina', 'juara', 'piala', 'dunia', 'arrigo', 'sacchi', 'messi', 'tak', 'dibandingkan', 'maradona', 'baca', 'selengkapnya', 'daftarkan', 'sekarang', 'link']</t>
  </si>
  <si>
    <t>Bismillah Argentina juara</t>
  </si>
  <si>
    <t>bismillah argentina juara</t>
  </si>
  <si>
    <t>['bismillah', 'argentina', 'juara']</t>
  </si>
  <si>
    <t>ga pengen liat messi juara soalnya kasian ronaldo, disisi lain ga rela juga mbappe juara lagi wkwk, gg argentina</t>
  </si>
  <si>
    <t>pengen liat messi juara soalnya kasian ronaldo disisi lain rela juga mbappe juara lagi wkwk argentina</t>
  </si>
  <si>
    <t>['pengen', 'lihat', 'messi', 'juara', 'soalnya', 'kasian', 'ronaldo', 'disisi', 'rela', 'mbappe', 'juara', 'argentina']</t>
  </si>
  <si>
    <t>@donopradana Argentina juara berkat kerja keras pak Ibul #Respect  https://t.co/l5sazD2181</t>
  </si>
  <si>
    <t>argentina juara berkat kerja keras pak ibul</t>
  </si>
  <si>
    <t>['argentina', 'juara', 'berkat', 'kerja', 'keras', 'pak', 'ibul']</t>
  </si>
  <si>
    <t>Pele ucapkan selamat untuk Argentina usai jadi Juara Piala Dunia 2022! . #EMTEKWORLDCUP2022 #BOLANETWORLDCUP2022  #PialaDunia #PialaDunia2022  https://t.co/5hORLuRvOj</t>
  </si>
  <si>
    <t>pele ucapkan selamat untuk argentina usai jadi juara piala dunia</t>
  </si>
  <si>
    <t>['pele', 'ucapkan', 'selamat', 'argentina', 'usai', 'jadi', 'juara', 'piala', 'dunia']</t>
  </si>
  <si>
    <t>Argentina berhasil meraih juara piala dunia 2022  https://t.co/102Ch0OwWY</t>
  </si>
  <si>
    <t>argentina berhasil meraih juara piala dunia</t>
  </si>
  <si>
    <t>['argentina', 'berhasil', 'meraih', 'juara', 'piala', 'dunia']</t>
  </si>
  <si>
    <t>Argentina Juara Piala Dunia 2022, Kota Buenos Aires Dipenuhi Lautan Manusia. #Argentina #BuenosAires #ArgentinavsPrancis #PialaDunia2022 #PialaDuniaQatar2022 link video selengkapnya: https://t.co/jXDS2j6BiA  https://t.co/XjWdmn136W</t>
  </si>
  <si>
    <t>argentina juara piala dunia kota buenos aires dipenuhi lautan manusia link video selengkapnya</t>
  </si>
  <si>
    <t>['argentina', 'juara', 'piala', 'dunia', 'kota', 'buenos', 'aires', 'dipenuhi', 'lautan', 'manusia', 'link', 'video', 'selengkapnya']</t>
  </si>
  <si>
    <t>Roger Federer Ikut Terpukau dengan Kesuksesan Lionel Messi Bawa Argentina Juara Piala Dunia 2022: Istimewa dan Bersejarah!  https://t.co/2yjjkBfAqd</t>
  </si>
  <si>
    <t>roger federer ikut terpukau dengan kesuksesan lionel messi bawa argentina juara piala dunia istimewa dan bersejarah</t>
  </si>
  <si>
    <t>['roger', 'federer', 'ikut', 'terpukau', 'kesuksesan', 'lionel', 'messi', 'bawa', 'argentina', 'juara', 'piala', 'dunia', 'istimewa', 'bersejarah']</t>
  </si>
  <si>
    <t>Argentina juara gara2 ibunya maupay melahirkan maupay</t>
  </si>
  <si>
    <t>argentina juara gara ibunya maupay melahirkan maupay</t>
  </si>
  <si>
    <t>['argentina', 'juara', 'gara', 'ibunya', 'maupay', 'melahirkan', 'maupay']</t>
  </si>
  <si>
    <t>Kiper Juara Dunia Argentina Emi Martinez: Mengapa Saya Tampilkan Gestur ITU! ‚Äì  https://t.co/aBNyMHCOWo ‚Äì Google Berita Olahraga ‚Äì  https://t.co/BOLiSqKPhI ‚Äì #Arenanews #Kamidi #Opsiminfo- https://t.co/Xn5dQGsLVP</t>
  </si>
  <si>
    <t>kiper juara dunia argentina emi martinez mengapa saya tampilkan gestur itu google berita olahraga</t>
  </si>
  <si>
    <t>['kiper', 'juara', 'dunia', 'argentina', 'emi', 'martinez', 'tampilkan', 'gestur', 'google', 'berita', 'olahraga']</t>
  </si>
  <si>
    <t>masih banyak yang salty yaa argentina juaraü§≠</t>
  </si>
  <si>
    <t>masih banyak yang salty yaa argentina juara</t>
  </si>
  <si>
    <t>['banyak', 'salty', 'ya', 'argentina', 'juara']</t>
  </si>
  <si>
    <t>@GanjaranApp Salut banget sama messi, akhirnya bisa bawa juara dunia buat argentina</t>
  </si>
  <si>
    <t>salut banget sama messi akhirnya bisa bawa juara dunia buat argentina</t>
  </si>
  <si>
    <t>['salut', 'banget', 'sama', 'messi', 'akhirnya', 'bawa', 'juara', 'dunia', 'buat', 'argentina']</t>
  </si>
  <si>
    <t>@realmadridindo1 Kayanya admin ini paling sakit hati liat argentina juara ü§£</t>
  </si>
  <si>
    <t>kayanya admin ini paling sakit hati liat argentina juara</t>
  </si>
  <si>
    <t>['kayanya', 'admin', 'paling', 'sakit', 'hati', 'lihat', 'argentina', 'juara']</t>
  </si>
  <si>
    <t>@GanjaranApp Udah yakin dari awal kalo argentina pasti Juara</t>
  </si>
  <si>
    <t>udah yakin dari awal kalo argentina pasti juara</t>
  </si>
  <si>
    <t>['udah', 'yakin', 'awal', 'argentina', 'juara']</t>
  </si>
  <si>
    <t>Dengan keluarnya Argentina sebagai juara Piala Dunia 2022, sudah saatnya update info di RPAL/RPUL.</t>
  </si>
  <si>
    <t>dengan keluarnya argentina sebagai juara piala dunia sudah saatnya update info rpal rpul</t>
  </si>
  <si>
    <t>['keluarnya', 'argentina', 'juara', 'piala', 'dunia', 'saatnya', 'update', 'info', 'rpal', 'rpul']</t>
  </si>
  <si>
    <t>Presiden Prancis Emmanuel Macron mengucapkan selamat kepada Argentina yang telah menjadi juara Piala Dunia 2022.  https://t.co/98n3EL9IoD</t>
  </si>
  <si>
    <t>presiden prancis emmanuel macron mengucapkan selamat kepada argentina yang telah menjadi juara piala dunia</t>
  </si>
  <si>
    <t>['presiden', 'prancis', 'emmanuel', 'macron', 'mengucapkan', 'selamat', 'argentina', 'menjadi', 'juara', 'piala', 'dunia']</t>
  </si>
  <si>
    <t>Argentina Juara Piala Dunia 2022, Jalanan Kota Buenos Aires Dipenuhi Lautan Manusia.#Argentina #BuenosAires #Prancis #ArgentinavsPrancis #PialaDunia2022 #PialaDuniaQatar2022 link video selengkapnya: https://t.co/EytYtDQjKs  https://t.co/Gjv6ve6Ns9</t>
  </si>
  <si>
    <t>argentina juara piala dunia jalanan kota buenos aires dipenuhi lautan manusia link video selengkapnya</t>
  </si>
  <si>
    <t>['argentina', 'juara', 'piala', 'dunia', 'jalanan', 'kota', 'buenos', 'aires', 'dipenuhi', 'lautan', 'manusia', 'link', 'video', 'selengkapnya']</t>
  </si>
  <si>
    <t>Lionel Messi bawa Argentina juara Piala Dunia 2022. Betapa beruntungnya Argentina, punya talenta hebat lagi setelah era Diego Maradona.  https://t.co/esI0Mc4uFa</t>
  </si>
  <si>
    <t>lionel messi bawa argentina juara piala dunia betapa beruntungnya argentina punya talenta hebat lagi setelah era diego maradona</t>
  </si>
  <si>
    <t>['lionel', 'messi', 'bawa', 'argentina', 'juara', 'piala', 'dunia', 'betapa', 'beruntungnya', 'argentina', 'punya', 'talenta', 'hebat', 'era', 'diego', 'maradona']</t>
  </si>
  <si>
    <t>@SiaranBolaLive Ya biarin aja, yg aneh kita orang Indonesia ngurusin orang Argentina lagi ngerayain negaranya juara</t>
  </si>
  <si>
    <t>biarin aja aneh kita orang indonesia ngurusin orang argentina lagi ngerayain negaranya juara</t>
  </si>
  <si>
    <t>['biarin', 'aneh', 'orang', 'indonesia', 'ngurusin', 'orang', 'argentina', 'ngerayain', 'negaranya', 'juara']</t>
  </si>
  <si>
    <t>2022 yang nyenengin cuma Argentina juara doang</t>
  </si>
  <si>
    <t>yang nyenengin cuma argentina juara doang</t>
  </si>
  <si>
    <t>['nyenengin', 'cuma', 'argentina', 'juara', 'doang']</t>
  </si>
  <si>
    <t>Kiper Juara Dunia Argentina Emi Martinez: Mengapa Saya Tampilkan Gestur ITU! ‚Äì  https://t.co/bgZvgecAQ6 ‚Äì Google Berita Olahraga ‚Äì  https://t.co/Vl7xX40cQ5 ‚Äì #Arenanews #Kamidi¬†#Opsiminfo  https://t.co/cd5l4AlthU</t>
  </si>
  <si>
    <t>Viral! Dukun Argentina Lakukan Ritual Lindungi Messi, Ingin Timnas Argentina Juara Piala ... #viral #viralterbaru  https://t.co/WCWCoelpch</t>
  </si>
  <si>
    <t>viral dukun argentina lakukan ritual lindungi messi ingin timnas argentina juara piala</t>
  </si>
  <si>
    <t>['viral', 'dukun', 'argentina', 'lakukan', 'ritual', 'lindungi', 'messi', 'timnas', 'argentina', 'juara', 'piala']</t>
  </si>
  <si>
    <t>Viral! Sukses Lionel Messi Bawa Argentina Juara Piala Dunia 2022 Sudah Diramal pada ... #viral #viralterbaru  https://t.co/L3cd4NBwHF</t>
  </si>
  <si>
    <t>viral sukses lionel messi bawa argentina juara piala dunia sudah diramal pada</t>
  </si>
  <si>
    <t>['viral', 'sukses', 'lionel', 'messi', 'bawa', 'argentina', 'juara', 'piala', 'dunia', 'diramal']</t>
  </si>
  <si>
    <t>HEADLINE: Akhir Manis Lionel Messi Bawa Argentina Juara Piala Dunia 2022, Kylian Mbappe Pewaris Takhta?  https://t.co/5e9kA3I2xe</t>
  </si>
  <si>
    <t>headline akhir manis lionel messi bawa argentina juara piala dunia kylian mbappe pewaris takhta</t>
  </si>
  <si>
    <t>['headline', 'akhir', 'manis', 'lionel', 'messi', 'bawa', 'argentina', 'juara', 'piala', 'dunia', 'kylian', 'mbappe', 'pewaris', 'takhta']</t>
  </si>
  <si>
    <t>Juara dunia bolanya Argentina Tapi juara dunia akhiratnya kamu yang abis nonton final bisa shubuh di mesjid</t>
  </si>
  <si>
    <t>juara dunia bolanya argentina tapi juara dunia akhiratnya kamu yang abis nonton final bisa shubuh mesjid</t>
  </si>
  <si>
    <t>['juara', 'dunia', 'bolanya', 'argentina', 'juara', 'dunia', 'akhiratnya', 'kamu', 'abis', 'nonton', 'final', 'subuh', 'mesjid']</t>
  </si>
  <si>
    <t>Au ndak paham bola, kan argentina juara, tp kenapa messi yg banyak disorot? Apa karena dia kapten? Eh dia kapten kah? Ndak paham ü´† terus portugal kalah, kenapa ronaldo juga yg dibahas? Atau prancis dgn mbape? Ndak paham lagi</t>
  </si>
  <si>
    <t>ndak paham bola kan argentina juara kenapa messi banyak disorot apa karena dia kapten dia kapten kah ndak paham terus portugal kalah kenapa ronaldo juga dibahas atau prancis dgn mbape ndak paham lagi</t>
  </si>
  <si>
    <t>['ndak', 'paham', 'bola', 'kan', 'argentina', 'juara', 'messi', 'banyak', 'disorot', 'apa', 'kapten', 'kapten', 'ndak', 'paham', 'terus', 'portugal', 'kalah', 'ronaldo', 'dibahas', 'prancis', 'mbape', 'ndak', 'paham']</t>
  </si>
  <si>
    <t>@yaafiii @anggiofficiale @ardynshufi Nonton ga yg bek argen backpass pake dengkul wkwkwk jangan buta tuli lah saya juga mengakui argentina juara</t>
  </si>
  <si>
    <t>nonton bek argen backpass pake dengkul wkwkwk jangan buta tuli lah saya juga mengakui argentina juara</t>
  </si>
  <si>
    <t>['nonton', 'bek', 'argen', 'backpass', 'pake', 'dengkul', 'wkwkwk', 'jangan', 'buta', 'tuli', 'lah', 'mengakui', 'argentina', 'juara']</t>
  </si>
  <si>
    <t>Lionel Messi bawa Argentina juara Piala Dunia 2022. Betapa beruntungnya Argentina, punya talenta hebat lagi setelah era Diego Maradona.  https://t.co/HfVLD1nEhO</t>
  </si>
  <si>
    <t>@FaktaSepakbola Yups setuju.. teknologi yang sangat canggih membuat kesan elegan megah mewah.. juara sih Qatar.. tidak hanya Argentina sih yang juara.. Qatar luar biasa</t>
  </si>
  <si>
    <t>yups setuju teknologi yang sangat canggih membuat kesan elegan megah mewah juara sih qatar tidak hanya argentina sih yang juara qatar luar biasa</t>
  </si>
  <si>
    <t>['yups', 'setuju', 'teknologi', 'sangat', 'canggih', 'membuat', 'kesan', 'elegan', 'megah', 'mewah', 'juara', 'qatar', 'argentina', 'juara', 'qatar', 'luar', 'biasa']</t>
  </si>
  <si>
    <t>Walter Samuel Udah Trebel sebagai Pemain @Inter Juara WC2022 sebagai Asisten Pelatih /Staff Pelatih Argentina ü§üüòé</t>
  </si>
  <si>
    <t>walter samuel udah trebel sebagai pemain juara sebagai asisten pelatih staff pelatih argentina</t>
  </si>
  <si>
    <t>['walter', 'samuel', 'udah', 'trebel', 'pemain', 'juara', 'asisten', 'pelatih', 'staff', 'pelatih', 'argentina']</t>
  </si>
  <si>
    <t>Nyokap: "alhamdulilah ya, argentina bertahun tahun ga juara tapi semenjak kepemimpinan jokowi bisa juara."  ü§£ü§£ü§£ü§£ü§£ü§£ü§£ü§£ü§£ü§£</t>
  </si>
  <si>
    <t>nyokap alhamdulilah argentina bertahun tahun juara tapi semenjak kepemimpinan jokowi bisa juara</t>
  </si>
  <si>
    <t>['nyokap', 'alhamdulilah', 'argentina', 'bertahun', 'tahun', 'juara', 'semenjak', 'kepemimpinan', 'jokowi', 'juara']</t>
  </si>
  <si>
    <t>@cowobangkit Om punten Argentina juara üòú</t>
  </si>
  <si>
    <t>punten argentina juara</t>
  </si>
  <si>
    <t>['punten', 'argentina', 'juara']</t>
  </si>
  <si>
    <t>Setelah 2 pildun sebelumnya yang menurut saya euforia-nya tidak terasa seperti pildun‚Äù sebelumnya. Akhirnya tahun ini bisa merasakan kembali pildun dengan vibes nya yang luar biasa.  Apalagi ARGENTINA JUARA ü•≥</t>
  </si>
  <si>
    <t>setelah pildun sebelumnya yang menurut saya euforia nya tidak terasa seperti pildun sebelumnya akhirnya tahun ini bisa merasakan kembali pildun dengan vibes nya yang luar biasa apalagi argentina juara</t>
  </si>
  <si>
    <t>['piala dunia', 'sebelumnya', 'euforia', 'terasa', 'piala dunia', 'sebelumnya', 'akhirnya', 'tahun', 'merasakan', 'piala dunia', 'vibes', 'luar', 'biasa', 'argentina', 'juara']</t>
  </si>
  <si>
    <t>Yg juara: Argentina Yg jadi pahlawan: Emi  Yg dapat sorotan: Mateo   Dari tadi ada aja base yg ngebahas ketengilan ini bocah, mat mat fans lu dah banyak ini mat</t>
  </si>
  <si>
    <t>juara argentina jadi pahlawan emi dapat sorotan mateo dari tadi ada aja base ngebahas ketengilan ini bocah mat mat fans dah banyak ini mat</t>
  </si>
  <si>
    <t>['juara', 'argentina', 'jadi', 'pahlawan', 'emi', 'sorotan', 'mateo', 'tadi', 'base', 'ngebahas', 'ketengilan', 'bocah', 'mat', 'mat', 'fans', 'dah', 'banyak', 'mat']</t>
  </si>
  <si>
    <t>Gegara suara ilang, pas ngenjelasin tata tertib dan password wifi kamar pake bahasa isyarat wkwk  Gapapa yang penting Argentina juara.</t>
  </si>
  <si>
    <t>gegara suara ilang pas ngenjelasin tata tertib dan password wifi kamar pake bahasa isyarat wkwk gapapa yang penting argentina juara</t>
  </si>
  <si>
    <t>['gegara', 'suara', 'ilang', 'pas', 'ngenjelasin', 'tata', 'tertib', 'password', 'wifi', 'kamar', 'pake', 'bahasa', 'isyarat', 'gapapa', 'penting', 'argentina', 'juara']</t>
  </si>
  <si>
    <t>@Daeng_Info Tanda2 mi Pluim mo kayak Messi mi yg bawa Argentina juara, InshaaAllah Pluim bawa PSM juara.</t>
  </si>
  <si>
    <t>info tanda pluim kayak messi bawa argentina juara inshaaallah pluim bawa psm juara</t>
  </si>
  <si>
    <t>['info', 'tanda', 'pluim', 'seperti', 'messi', 'bawa', 'argentina', 'juara', 'inshaaallah', 'pluim', 'bawa', 'psm', 'juara']</t>
  </si>
  <si>
    <t>Piala Dunia 2022: Neymar Jr Beri Ucapan Kepada Messi Usai Argentina Juara  https://t.co/c1tsv58fIS</t>
  </si>
  <si>
    <t>piala dunia neymar beri ucapan kepada messi usai argentina juara</t>
  </si>
  <si>
    <t>['piala', 'dunia', 'neymar', 'beri', 'ucapan', 'messi', 'usai', 'argentina', 'juara']</t>
  </si>
  <si>
    <t>Kalo Argentina kalah di FINAL, mungkin yg Pelatih sesali adalah mengganti Dimaria dgn Acuna, padahal baiknya Dimaria di ganti lalu dgn Paredes atau Lisandro Martinez untuk menahan gempuran para pemain Prancis. Tapi untung aja semuanya baik2 aja, ARGENTINA tetap JUARA üèÜ.</t>
  </si>
  <si>
    <t>kalo argentina kalah final mungkin pelatih sesali adalah mengganti dimaria dgn acuna padahal baiknya dimaria ganti lalu dgn paredes atau lisandro martinez untuk menahan gempuran para pemain prancis tapi untung aja semuanya baik aja argentina tetap juara</t>
  </si>
  <si>
    <t>['argentina', 'kalah', 'final', 'mungkin', 'pelatih', 'sesali', 'mengganti', 'dimaria', 'acuna', 'padahal', 'baiknya', 'dimaria', 'ganti', 'lalu', 'paredes', 'lisandro', 'martinez', 'menahan', 'gempuran', 'pemain', 'prancis', 'untung', 'semuanya', 'baik', 'argentina', 'tetap', 'juara']</t>
  </si>
  <si>
    <t>@SiaranBolaLive bener ga ya ada berita masyarakat argentina doain argen ga juara?</t>
  </si>
  <si>
    <t>bener ada berita masyarakat argentina doain argen juara</t>
  </si>
  <si>
    <t>['benar', 'berita', 'masyarakat', 'argentina', 'doain', 'argen', 'juara']</t>
  </si>
  <si>
    <t>Tahun 2034 argentina juara dunia lagiüòÇ</t>
  </si>
  <si>
    <t>tahun argentina juara dunia lagi</t>
  </si>
  <si>
    <t>['tahun', 'argentina', 'juara', 'dunia']</t>
  </si>
  <si>
    <t>@sobatkapitalis @zivamagnolyeah @AlifFahru ini kl begini tandanya argentina juara ya?</t>
  </si>
  <si>
    <t>ini begini tandanya argentina juara</t>
  </si>
  <si>
    <t>['begini', 'tandanya', 'argentina', 'juara']</t>
  </si>
  <si>
    <t>@Askrlfess lah bener. perkara argentina juara  https://t.co/BfqkEni2Xb</t>
  </si>
  <si>
    <t>lah bener perkara argentina juara</t>
  </si>
  <si>
    <t>['lah', 'benar', 'perkara', 'argentina', 'juara']</t>
  </si>
  <si>
    <t>50.KAKANWIL KEMENKUMHAM JATENG A. YUSPAHRUDDIN: Argentina Juara Piala Dunia 2022, Kepala Rutan Salatiga Minta Jajaran Teladani Semangat Lionel Messi -  https://t.co/QlVcBizenx</t>
  </si>
  <si>
    <t>arab saudi sbenernya yg juara dunia kerana arab mngalahkan argen  arab &amp;gt;&amp;gt;&amp;gt;&amp;gt;&amp;gt;&amp;gt; argentina #WhereisMessi</t>
  </si>
  <si>
    <t>arab saudi sbenernya juara dunia kerana arab mngalahkan argen arab argentina</t>
  </si>
  <si>
    <t>['arab', 'saudi', 'sbenernya', 'juara', 'dunia', 'kerana', 'arab', 'mngalahkan', 'argen', 'arab', 'argentina']</t>
  </si>
  <si>
    <t>Ronaldo Puji Lionel Messi usai Argentina Juara Piala Dunia 2022, Sebut La Pulga Jenius  https://t.co/sUb71n4tCs</t>
  </si>
  <si>
    <t>ronaldo puji lionel messi usai argentina juara piala dunia sebut pulga jenius</t>
  </si>
  <si>
    <t>['ronaldo', 'puji', 'lionel', 'messi', 'usai', 'argentina', 'juara', 'piala', 'dunia', 'sebut', 'pulga', 'jenius']</t>
  </si>
  <si>
    <t>Suasana Ruang Ganti Argentina usai Juara: Messi Pesta di Atas Meja, Aguero Hina Pemain Prancis  https://t.co/2qfhkmIlHd</t>
  </si>
  <si>
    <t>suasana ruang ganti argentina usai juara messi pesta atas meja aguero hina pemain prancis</t>
  </si>
  <si>
    <t>['suasana', 'ruang', 'ganti', 'argentina', 'usai', 'juara', 'messi', 'pesta', 'atas', 'meja', 'aguero', 'hina', 'pemain', 'prancis']</t>
  </si>
  <si>
    <t>Argentina Peringkat 2 FIFA meski Juara Piala Dunia, Maroko-Australia Melesat  https://t.co/m66s7Sr5a9</t>
  </si>
  <si>
    <t>argentina peringkat fifa meski juara piala dunia maroko australia melesat</t>
  </si>
  <si>
    <t>['argentina', 'peringkat', 'fifa', 'meski', 'juara', 'piala', 'dunia', 'maroko', 'australia', 'melesat']</t>
  </si>
  <si>
    <t>HEADLINE: Akhir Manis Lionel Messi Bawa Argentina Juara Piala Dunia 2022, Kylian Mbappe Pewaris Takhta?  https://t.co/A6k48cvbgZ</t>
  </si>
  <si>
    <t>@KomangSaras @faizalarca @nial_nilson @realmadridindo1 aneh bgt pemain kayak romero, de paul, licha, mac alister disebut pemain dgn nama besar wkwkwk, kalo ngomong lautaro pemain besar masi oke lah, tp di pildun dia juga bisa apa? skuad argentina bener" b</t>
  </si>
  <si>
    <t>nilson aneh bgt pemain kayak romero paul licha mac alister disebut pemain dgn nama besar wkwkwk kalo ngomong lautaro pemain besar masi oke lah pildun dia juga bisa apa skuad argentina bener</t>
  </si>
  <si>
    <t>['nilson', 'aneh', 'banget', 'pemain', 'seperti', 'romero', 'paul', 'licha', 'mac', 'alister', 'disebut', 'pemain', 'nama', 'besar', 'wkwkwk', 'ngomong', 'lautaro', 'pemain', 'besar', 'masi', 'oke', 'lah', 'piala dunia', 'apa', 'skuad', 'argentina', 'benar']</t>
  </si>
  <si>
    <t>Udah hampir 24jam argentina juara Pssi belum juga ngasih tanggapan</t>
  </si>
  <si>
    <t>udah hampir jam argentina juara pssi belum juga ngasih tanggapan</t>
  </si>
  <si>
    <t>['udah', 'hampir', 'jam', 'argentina', 'juara', 'pssi', 'ngasih', 'tanggapan']</t>
  </si>
  <si>
    <t>Argentina Juara Piala Dunia 2022 Usai Kalahkan Prancis Lewat Adu¬†Penalti  https://t.co/t9YFNPdrk7</t>
  </si>
  <si>
    <t>argentina juara piala dunia usai kalahkan prancis lewat adu penalti</t>
  </si>
  <si>
    <t>['argentina', 'juara', 'piala', 'dunia', 'usai', 'kalahkan', 'prancis', 'lewat', 'adu', 'penalti']</t>
  </si>
  <si>
    <t>@TaufikRendusara Krn Jkw jd presiden maka Argentina juara... Luar biasa Jokowi... Mantab üëçüèº</t>
  </si>
  <si>
    <t>krn jkw presiden maka argentina juara luar biasa jokowi mantab</t>
  </si>
  <si>
    <t>['jkw', 'presiden', 'argentina', 'juara', 'luar', 'biasa', 'jokowi', 'mantab']</t>
  </si>
  <si>
    <t>@SiaranBolaLive Ini ada imam besar argentina ga ya? Yg manfaatin momentum argentina juara buat jualan di politik? üôä</t>
  </si>
  <si>
    <t>ini ada imam besar argentina manfaatin momentum argentina juara buat jualan politik</t>
  </si>
  <si>
    <t>['imam', 'besar', 'argentina', 'manfaatin', 'momentum', 'argentina', 'juara', 'buat', 'jualan', 'politik']</t>
  </si>
  <si>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</si>
  <si>
    <t>didapat yang mana menjadi bukti bahwa messi sudah melangkah lebih depan dari sang rival cristiano ronaldo sebelumnya ketika world cup ini dimulai gua dengan kawan kawan gua ketika membicarakan ini sangat berharap kalau argentina yang akan menjadi juara karena ini</t>
  </si>
  <si>
    <t>['didapat', 'mana', 'menjadi', 'bukti', 'messi', 'melangkah', 'lebih', 'depan', 'sang', 'rival', 'cristiano', 'ronaldo', 'sebelumnya', 'world', 'cup', 'dimulai', 'gua', 'kawan', 'kawan', 'gua', 'membicarakan', 'sangat', 'berharap', 'kalau', 'argentina', 'menjadi', 'juara']</t>
  </si>
  <si>
    <t>+sampai semi final dn masih beberapa plot twish world cup thn ini sampe final gokilll!! untuk juara world cup thn ini selamat argentinaüá¶üá∑üèÜ!!! sesuai dengan lagu world cup thn ini Dreamers oleh mas Jungkook kalian adalah pemimpi dan kalian udah be</t>
  </si>
  <si>
    <t>sampai semi final masih beberapa plot twish world cup thn ini sampe final gokilll untuk juara world cup thn ini selamat argentina sesuai dengan lagu world cup thn ini dreamers oleh mas jungkook kalian adalah pemimpi dan kalian udah</t>
  </si>
  <si>
    <t>['semi', 'final', 'beberapa', 'plot', 'twish', 'world', 'cup', 'thn', 'sampai', 'final', 'gokilll', 'juara', 'world', 'cup', 'thn', 'selamat', 'argentina', 'sesuai', 'lagu', 'world', 'cup', 'thn', 'dreamers', 'mas', 'jungkook', 'kalian', 'pemimpi', 'kalian', 'udah']</t>
  </si>
  <si>
    <t>Argentina Juara di Qatar, Amerika Latin Berjaya di Asia  https://t.co/aLspXOYfdg</t>
  </si>
  <si>
    <t>argentina juara qatar amerika latin berjaya asia</t>
  </si>
  <si>
    <t>['argentina', 'juara', 'qatar', 'amerika', 'latin', 'berjaya', 'asia']</t>
  </si>
  <si>
    <t>@ainurohman Hanya diera jokowi argentina bisa juara piala dunia lagi üòäüòä</t>
  </si>
  <si>
    <t>hanya diera jokowi argentina bisa juara piala dunia lagi</t>
  </si>
  <si>
    <t>['diera', 'jokowi', 'argentina', 'juara', 'piala', 'dunia']</t>
  </si>
  <si>
    <t>Argentina Juara üá¶üá∑üèÜüèÜüèÜüá¶üá∑ #FIFAWorldCupQatar2022  https://t.co/9KVx2f2QYF</t>
  </si>
  <si>
    <t>@tapiachiqui Selamat buat Argentina menjadi Juara di perhelatan Akbar Piala Dunia 2022</t>
  </si>
  <si>
    <t>selamat buat argentina menjadi juara perhelatan akbar piala dunia</t>
  </si>
  <si>
    <t>['selamat', 'buat', 'argentina', 'menjadi', 'juara', 'perhelatan', 'akbar', 'piala', 'dunia']</t>
  </si>
  <si>
    <t>Telah terbukti ARGENTINA kembali Juara Piala Dunia yg ke-3 x nya. Apa kabarnya Orang Hebat yg menjagokan Prancis jadi Juara PD th.2022 ini ?....</t>
  </si>
  <si>
    <t>telah terbukti argentina kembali juara piala dunia nya apa kabarnya orang hebat menjagokan prancis jadi juara ini</t>
  </si>
  <si>
    <t>['terbukti', 'argentina', 'juara', 'piala', 'dunia', 'apa', 'kabarnya', 'orang', 'hebat', 'menjagokan', 'prancis', 'jadi', 'juara']</t>
  </si>
  <si>
    <t>@kemalpalevi kalo FIFA mau buat Messi juara u ga nonton apa peluang Perancis di deket2 extra time itu peluang goal gede itu settingan namanya, takdir emank Uda dicatet Argentina yg juara 2022</t>
  </si>
  <si>
    <t>kalo fifa mau buat messi juara nonton apa peluang perancis deket extra time itu peluang goal gede itu settingan namanya takdir emank uda dicatet argentina juara</t>
  </si>
  <si>
    <t>['fifa', 'mau', 'buat', 'messi', 'juara', 'nonton', 'apa', 'peluang', 'perancis', 'deket', 'extra', 'time', 'peluang', 'goal', 'gede', 'settingan', 'namanya', 'takdir', 'emank', 'uda', 'dicatet', 'argentina', 'juara']</t>
  </si>
  <si>
    <t>Lionel Messi Pakai Jubah Pemberian Emir Qatar di Selebrasi Juara Piala Dunia 2022, Mantan Bek Argentina Sewot  https://t.co/w0FrvH7TRI</t>
  </si>
  <si>
    <t>lionel messi pakai jubah pemberian emir qatar selebrasi juara piala dunia mantan bek argentina sewot</t>
  </si>
  <si>
    <t>['lionel', 'messi', 'pakai', 'jubah', 'pemberian', 'emir', 'qatar', 'selebrasi', 'juara', 'piala', 'dunia', 'mantan', 'bek', 'argentina', 'sewot']</t>
  </si>
  <si>
    <t>Argentina juara tapi pialanya diambil sekolah;</t>
  </si>
  <si>
    <t>argentina juara tapi pialanya diambil sekolah</t>
  </si>
  <si>
    <t>['argentina', 'juara', 'pialanya', 'diambil', 'sekolah']</t>
  </si>
  <si>
    <t>Lionel Scaloni bersama Lionel Messi membawa Argentina juara Piala Dunia 2022. Scaloni mengungkap omongan Messi yang membuatnya mantap menatap Piala Dunia.  https://t.co/pxDVjm8FIp</t>
  </si>
  <si>
    <t>Alahhh rilex lah baru first day. Argentina awal awal, pon kalah, last2 jd juara. üòÇ</t>
  </si>
  <si>
    <t>alahhh rilex lah baru first day argentina awal awal pon kalah last juara</t>
  </si>
  <si>
    <t>['alahhh', 'rilex', 'lah', 'baru', 'first', 'day', 'argentina', 'awal', 'awal', 'pon', 'kalah', 'last', 'juara']</t>
  </si>
  <si>
    <t>@ridwankamil Ka singaparna ngala jukut Ari arit na tinggaleun d garut Argentina tos juara dunia Iraha abi juara d calon mama mertuaüò≠</t>
  </si>
  <si>
    <t>singaparna ngala jukut ari arit tinggaleun garut argentina tos juara dunia iraha abi juara calon mama mertua</t>
  </si>
  <si>
    <t>['singaparna', 'ngala', 'jukut', 'ari', 'arit', 'tinggaleun', 'garut', 'argentina', 'tos', 'juara', 'dunia', 'iraha', 'abi', 'juara', 'calon', 'mama', 'mertua']</t>
  </si>
  <si>
    <t>@JayaInd41740508 @budimandjatmiko Kenang kenangan Argentina messi juara piala dunia 2022  https://t.co/l98Ywhb99A</t>
  </si>
  <si>
    <t>kenang kenangan argentina messi juara piala dunia</t>
  </si>
  <si>
    <t>['kenang', 'kenangan', 'argentina', 'messi', 'juara', 'piala', 'dunia']</t>
  </si>
  <si>
    <t>@Faiztuen26 @rbyhidayat_ @idextratime Berarti memang bukan rezeki Prancis untuk menang dan akui Argentina sang juara kalau mau menghayal silahkan aja kasian goblok nyaü§£ü§£ü§£ü§™ü§™</t>
  </si>
  <si>
    <t>berarti memang bukan rezeki prancis untuk menang dan akui argentina sang juara kalau mau menghayal silahkan aja kasian goblok nya</t>
  </si>
  <si>
    <t>['berarti', 'memang', 'bukan', 'rezeki', 'prancis', 'menang', 'akui', 'argentina', 'sang', 'juara', 'kalau', 'mau', 'menghayal', 'silahkan', 'kasian', 'goblok']</t>
  </si>
  <si>
    <t>@tayongmbur @Mighfar @salima252lagi Ya wes, berarti kita sama sama kurang ngopi Yang penting sah Argentina juara piala dunia  Hahah</t>
  </si>
  <si>
    <t>wes berarti kita sama sama kurang ngopi yang penting sah argentina juara piala dunia hahah</t>
  </si>
  <si>
    <t>['wes', 'berarti', 'sama', 'sama', 'kurang', 'ngopi', 'penting', 'sah', 'argentina', 'juara', 'piala', 'dunia', 'hahah']</t>
  </si>
  <si>
    <t>@IndiHomeJBN Selamat Argentina, sudah jadi juara</t>
  </si>
  <si>
    <t>selamat argentina sudah jadi juara</t>
  </si>
  <si>
    <t>['selamat', 'argentina', 'jadi', 'juara']</t>
  </si>
  <si>
    <t>Lionel Scaloni bersama Lionel Messi membawa Argentina juara Piala Dunia 2022. Scaloni mengungkap omongan Messi yang membuatnya mantap menatap Piala Dunia.  https://t.co/OSogkazRYt</t>
  </si>
  <si>
    <t>Argentina juara Sleman menang Bingah!</t>
  </si>
  <si>
    <t>argentina juara sleman menang bingah</t>
  </si>
  <si>
    <t>['argentina', 'juara', 'sleman', 'menang', 'bingah']</t>
  </si>
  <si>
    <t>Meskipun Argentina Juara dan Prancis Runner Up,Mereka semuanya Tidak BRASIL.</t>
  </si>
  <si>
    <t>meskipun argentina juara dan prancis runner mereka semuanya tidak brasil</t>
  </si>
  <si>
    <t>['meskipun', 'argentina', 'juara', 'prancis', 'runner', 'semuanya', 'brasil']</t>
  </si>
  <si>
    <t>Gara2 orasi cakap tak serupa buat nya messi argentina juara... Lucu2..</t>
  </si>
  <si>
    <t>gara orasi cakap tak serupa buat nya messi argentina juara lucu</t>
  </si>
  <si>
    <t>['gara', 'orasi', 'cakap', 'tak', 'serupa', 'buat', 'messi', 'argentina', 'juara', 'lucu']</t>
  </si>
  <si>
    <t>@hrvione @Fahmi62398183 @idextratime Untung elo @hrvione  milih prancis bang kalo argentina bisa gagal juara hehehe</t>
  </si>
  <si>
    <t>untung elo milih prancis bang kalo argentina bisa gagal juara hehehe</t>
  </si>
  <si>
    <t>['untung', 'elo', 'milih', 'prancis', 'bang', 'argentina', 'gagal', 'juara', 'hehehe']</t>
  </si>
  <si>
    <t>@SiaranBolaLive Kalian semua sirik aja, maklum cuma bisa nonton tarkam, beda dong sama ketum, bisa gabung dgn tim piala dunia, sekaligus ikut bantu2, kalau bukan krn ketum, Argentina belum tentu juara.</t>
  </si>
  <si>
    <t>kalian semua sirik aja maklum cuma bisa nonton tarkam beda dong sama ketum bisa gabung dgn tim piala dunia sekaligus ikut bantu kalau bukan krn ketum argentina belum tentu juara</t>
  </si>
  <si>
    <t>['kalian', 'semua', 'sirik', 'maklum', 'cuma', 'nonton', 'tarkam', 'beda', 'dong', 'sama', 'ketum', 'gabung', 'tim', 'piala', 'dunia', 'sekaligus', 'ikut', 'bantu', 'kalau', 'bukan', 'ketum', 'argentina', 'juara']</t>
  </si>
  <si>
    <t>Lionel Scaloni bersama Lionel Messi membawa Argentina juara Piala Dunia 2022. Scaloni mengungkap omongan Messi yang membuatnya mantap menatap Piala Dunia.  https://t.co/OSogkaS1cB</t>
  </si>
  <si>
    <t>@idextratime Titik balik Argentina jd juara dunia: Scaloni, Maupay, "Where is Messi? "</t>
  </si>
  <si>
    <t>titik balik argentina juara dunia scaloni maupay where messi</t>
  </si>
  <si>
    <t>['titik', 'balik', 'argentina', 'juara', 'dunia', 'scaloni', 'maupay', 'where', 'messi']</t>
  </si>
  <si>
    <t>Presiden Argentina Unggah Foto Selfie Depan TV Usai Negaranya Juara Piala Dunia 2022  https://t.co/EXinF9glWW</t>
  </si>
  <si>
    <t>presiden argentina unggah foto selfie depan usai negaranya juara piala dunia</t>
  </si>
  <si>
    <t>['presiden', 'argentina', 'unggah', 'foto', 'selfie', 'depan', 'usai', 'negaranya', 'juara', 'piala', 'dunia']</t>
  </si>
  <si>
    <t>Emiliano Martinez bener-bener kunci juara Argentina. Suwerrr...  #EmtekWorldCup2022 #BolacomWorldCup2022 #PialaDunia2022 #PialaDunia   https://t.co/cU7eHcK0tT</t>
  </si>
  <si>
    <t>emiliano martinez bener bener kunci juara argentina suwerrr</t>
  </si>
  <si>
    <t>['emiliano', 'martinez', 'benar', 'benar', 'kunci', 'juara', 'argentina', 'suwerrr']</t>
  </si>
  <si>
    <t>gpp yg juara Argentina, yg penting madrid 14ucl</t>
  </si>
  <si>
    <t>gpp juara argentina penting madrid ucl</t>
  </si>
  <si>
    <t>['gapapa', 'juara', 'argentina', 'penting', 'madrid', 'ucl']</t>
  </si>
  <si>
    <t>Dramatis Argentina Juara Piala Dunia 2022  https://t.co/QvyBMgiltw</t>
  </si>
  <si>
    <t>dramatis argentina juara piala dunia</t>
  </si>
  <si>
    <t>['dramatis', 'argentina', 'juara', 'piala', 'dunia']</t>
  </si>
  <si>
    <t>@Bolanet Andai CR7 terlahir di Berazil atau belanda atau negara kuat lainnya bahkan semisal argentina saya sangat yakin CR7 juga bisa merasakan juara piala dunia..   Selamat untuk argentina dan lionel messi</t>
  </si>
  <si>
    <t>andai terlahir berazil atau belanda atau negara kuat lainnya bahkan semisal argentina saya sangat yakin juga bisa merasakan juara piala dunia selamat untuk argentina dan lionel messi</t>
  </si>
  <si>
    <t>['andai', 'terlahir', 'berazil', 'belanda', 'negara', 'kuat', 'lainnya', 'bahkan', 'semisal', 'argentina', 'sangat', 'yakin', 'merasakan', 'juara', 'piala', 'dunia', 'selamat', 'argentina', 'lionel', 'messi']</t>
  </si>
  <si>
    <t>Striker: Messi, Alvarez, Mbappe  Lionel Messi. Pildun kali ini emg miliknya. Sempat dikejutkan oleh Arab Saudi dimatch pertama, kontribusi Messi bikin Argentina bangkit dan menjadi juara. 7 gol dan 4 asis, 5 Motm dr 7 pertandingan. Greatest Ever. GOAT.</t>
  </si>
  <si>
    <t>striker messi alvarez mbappe lionel messi pildun kali ini emg miliknya sempat dikejutkan oleh arab saudi dimatch pertama kontribusi messi bikin argentina bangkit dan menjadi juara gol dan asis motm pertandingan greatest ever goat</t>
  </si>
  <si>
    <t>['striker', 'messi', 'alvarez', 'mbappe', 'lionel', 'messi', 'piala dunia', 'kali', 'memang', 'miliknya', 'sempat', 'dikejutkan', 'arab', 'saudi', 'dimatch', 'pertama', 'kontribusi', 'messi', 'argentina', 'bangkit', 'menjadi', 'juara', 'gol', 'asis', 'motm', 'pertandingan', 'greatest', 'ever', 'goat']</t>
  </si>
  <si>
    <t>Detik detik perubahan suasana kota Buenos Aires saat Argentina memastikan diri menjadi Juara Piala Dunia 2022 . . .</t>
  </si>
  <si>
    <t>detik detik perubahan suasana kota buenos aires saat argentina memastikan diri menjadi juara piala dunia</t>
  </si>
  <si>
    <t>['detik', 'detik', 'perubahan', 'suasana', 'kota', 'buenos', 'aires', 'argentina', 'memastikan', 'diri', 'menjadi', 'juara', 'piala', 'dunia']</t>
  </si>
  <si>
    <t>Kadrun khilafah sepak bola haram ? Saudi Maroko Prancis Argentina messi adonai elohim vs Allah ?  Kenang kenangan juara piala dunia bola 2022  https://t.co/seWqTwDpZe</t>
  </si>
  <si>
    <t>kadrun khilafah sepak bola haram saudi maroko prancis argentina messi adonai elohim allah kenang kenangan juara piala dunia bola</t>
  </si>
  <si>
    <t>['kadrun', 'khilafah', 'sepak', 'bola', 'haram', 'saudi', 'maroko', 'prancis', 'argentina', 'messi', 'adonai', 'elohim', 'allah', 'kenang', 'kenangan', 'juara', 'piala', 'dunia', 'bola']</t>
  </si>
  <si>
    <t>10 Rekor Lionel Messi yang Bawa Argentina Juara Piala Dunia 2022, Lewati Dua Nomor 10 Legendaris, Pele dan Maradona  https://t.co/W24i7CfCJF</t>
  </si>
  <si>
    <t>rekor lionel messi yang bawa argentina juara piala dunia lewati dua nomor legendaris pele dan maradona</t>
  </si>
  <si>
    <t>['rekor', 'lionel', 'messi', 'bawa', 'argentina', 'juara', 'piala', 'dunia', 'lewati', 'nomor', 'legendaris', 'pele', 'maradona']</t>
  </si>
  <si>
    <t>John Terry Sindir Sergio Aguero yang Ikut-Ikutan Selebrasi Juara Piala Dunia 2022 Bareng Argentina  https://t.co/eYm2jsFW2O</t>
  </si>
  <si>
    <t>john terry sindir sergio aguero yang ikut ikutan selebrasi juara piala dunia bareng argentina</t>
  </si>
  <si>
    <t>['john', 'terry', 'sindir', 'sergio', 'aguero', 'ikut', 'ikutan', 'selebrasi', 'juara', 'piala', 'dunia', 'bareng', 'argentina']</t>
  </si>
  <si>
    <t>Argentina Juara Piala Dunia 2022, Perdebatan Messi vs Ronaldo Selesai  #pialadunia #argentina #messi #boladunia   https://t.co/kgrlMrmNkp</t>
  </si>
  <si>
    <t>argentina juara piala dunia perdebatan messi ronaldo selesai</t>
  </si>
  <si>
    <t>['argentina', 'juara', 'piala', 'dunia', 'perdebatan', 'messi', 'ronaldo', 'selesai']</t>
  </si>
  <si>
    <t>@The_RedsIndo Maen di Timnas Argentina yg stok pemain 11-12 ama Brazil g juara ya emang payaaah‚Ä¶ Ronaldo kelasnya beda..</t>
  </si>
  <si>
    <t>redsindo maen timnas argentina stok pemain ama brazil juara emang payaaah ronaldo kelasnya beda</t>
  </si>
  <si>
    <t>['redsindo', 'maen', 'timnas', 'argentina', 'stok', 'pemain', 'ama', 'brazil', 'juara', 'emang', 'payaaah', 'ronaldo', 'kelasnya', 'beda']</t>
  </si>
  <si>
    <t>Rival Abadi, Brasil Sebut "Brother" pada Argentina yang Juara Piala Dunia  https://t.co/A4CUeaXSgV</t>
  </si>
  <si>
    <t>rival abadi brasil sebut brother pada argentina yang juara piala dunia</t>
  </si>
  <si>
    <t>['rival', 'abadi', 'brasil', 'sebut', 'brother', 'argentina', 'juara', 'piala', 'dunia']</t>
  </si>
  <si>
    <t>@SerieA yg juara Argentina, yg ngamuk minta pengakuan si anu üòÇ  https://t.co/CQ6xM5KVFC</t>
  </si>
  <si>
    <t>juara argentina ngamuk minta pengakuan anu</t>
  </si>
  <si>
    <t>['juara', 'argentina', 'ngamuk', 'minta', 'pengakuan']</t>
  </si>
  <si>
    <t>@mukaikhlas Selamat mas muklas Argentina ny juara</t>
  </si>
  <si>
    <t>selamat mas muklas argentina juara</t>
  </si>
  <si>
    <t>['selamat', 'mas', 'muklas', 'argentina', 'juara']</t>
  </si>
  <si>
    <t>Hal unik terjadi usai perayaan juara Piala Dunia 2022 di Stadion Lusail. Pemain hingga suporter Argentina memotong jaring gawang untuk kenang-kenangan.  https://t.co/tZohY4X7EL</t>
  </si>
  <si>
    <t>hal unik terjadi usai perayaan juara piala dunia stadion lusail pemain hingga suporter argentina memotong jaring gawang untuk kenang kenangan</t>
  </si>
  <si>
    <t>['unik', 'terjadi', 'usai', 'perayaan', 'juara', 'piala', 'dunia', 'stadion', 'lusail', 'pemain', 'hingga', 'suporter', 'argentina', 'memotong', 'jaring', 'gawang', 'kenang', 'kenangan']</t>
  </si>
  <si>
    <t>@adjisdoaibu Argentina juara, maka dari itu ayo pilih kami di 2024  https://t.co/n9xMQAYtgM</t>
  </si>
  <si>
    <t>argentina juara maka dari itu ayo pilih kami</t>
  </si>
  <si>
    <t>['argentina', 'juara', 'ayo', 'pilih']</t>
  </si>
  <si>
    <t>masi nunggu statmen Luis Van Gaal tentang argentina yang juaraü§î</t>
  </si>
  <si>
    <t>masi nunggu statmen luis van gaal tentang argentina yang juara</t>
  </si>
  <si>
    <t>['masi', 'nunggu', 'statmen', 'luis', 'van', 'gaal', 'argentina', 'juara']</t>
  </si>
  <si>
    <t xml:space="preserve">@Beginibegitulah @TyoKakkoii01 @WitKatSpc @envyyyy78 @dolphinisasi @idextratime Ath least itu pernah di lakuin pemain lain gk istimewa banget klo Argentina juara, sedangkan cr kya ranieri di era dia doang tim timnya bisa jadi juara dan sebelum gak pernah </t>
  </si>
  <si>
    <t>ath least itu pernah lakuin pemain lain istimewa banget klo argentina juara sedangkan kya ranieri era dia doang tim timnya bisa jadi juara dan sebelum gak pernah</t>
  </si>
  <si>
    <t>['ath', 'least', 'pernah', 'lakuin', 'pemain', 'istimewa', 'banget', 'argentina', 'juara', 'kya', 'ranieri', 'era', 'doang', 'tim', 'timnya', 'jadi', 'juara', 'pernah']</t>
  </si>
  <si>
    <t>@detotalftballer @idextratime Squad Argentina sama Portugal sama aj bagus-bagus  Portugal kurang Diogo jota aja sih  Argentina menang karena adu pinalty 2x  Tanpa adu pinalti gak akan Juara  Karena kipernya emang spesialis adu pinalti</t>
  </si>
  <si>
    <t>squad argentina sama portugal sama bagus bagus portugal kurang diogo jota aja sih argentina menang karena adu pinalty tanpa adu pinalti gak akan juara karena kipernya emang spesialis adu pinalti</t>
  </si>
  <si>
    <t>['squad', 'argentina', 'sama', 'portugal', 'sama', 'bagus', 'bagus', 'portugal', 'kurang', 'diogo', 'jota', 'argentina', 'menang', 'adu', 'pinalty', 'adu', 'penalti', 'juara', 'kipernya', 'emang', 'spesialis', 'adu', 'penalti']</t>
  </si>
  <si>
    <t>@baskaraDR @SiaranBolaLive @fullmoonfolks Argentina juara berkat kerja keras pak Ibulü•∞</t>
  </si>
  <si>
    <t>@Weirdofiend Dan gue jga berasumsi klo ketemu lu beradu argumen soal argentina juara,paling2 juga yg lu bahas "kontribusi". Mentok disana aja gada bahasan lagi. ü•±ü•±ü•±</t>
  </si>
  <si>
    <t>dan gue jga berasumsi klo ketemu beradu argumen soal argentina juara paling juga bahas kontribusi mentok disana aja gada bahasan lagi</t>
  </si>
  <si>
    <t>['gue', 'jga', 'berasumsi', 'ketemu', 'beradu', 'argumen', 'soal', 'argentina', 'juara', 'paling', 'bahas', 'kontribusi', 'mentok', 'disana', 'gada', 'bahasan']</t>
  </si>
  <si>
    <t>dari kemarin masih suka senyum2 sendiri, eh ternyata efek argentina juara masih berasa</t>
  </si>
  <si>
    <t>dari kemarin masih suka senyum sendiri ternyata efek argentina juara masih berasa</t>
  </si>
  <si>
    <t>['kemarin', 'suka', 'senyum', 'sendiri', 'ternyata', 'efek', 'argentina', 'juara', 'berasa']</t>
  </si>
  <si>
    <t>Argentina Juara Piala Dunia 2022 Tapi Brazil Masih Ada di Ranking 1 FIFA. Kok Bisa?   Jadi baru-baru ini FIFA ngerilis update ranking timnas dan Brazil masih ada di puncak. Berikut ini daftar 5 besarnya:  https://t.co/BfsT1lEHeI</t>
  </si>
  <si>
    <t>argentina juara piala dunia tapi brazil masih ada ranking fifa kok bisa jadi baru baru ini fifa ngerilis update ranking timnas dan brazil masih ada puncak berikut ini daftar besarnya</t>
  </si>
  <si>
    <t>['argentina', 'juara', 'piala', 'dunia', 'brazil', 'ranking', 'fifa', 'kok', 'jadi', 'baru', 'baru', 'fifa', 'ngerilis', 'update', 'ranking', 'timnas', 'brazil', 'puncak', 'berikut', 'daftar', 'besarnya']</t>
  </si>
  <si>
    <t xml:space="preserve">@gilangseva1 @Beginibegitulah @WitKatSpc @envyyyy78 @dolphinisasi @idextratime Kalo pun patokannya juara di benua juga sdh lama sekali itu Argentina. Terakhir juara Copa America tahun 1993. Baru juara lagi 28 tahun kemudian. Piala dunia juga begitu. Mana </t>
  </si>
  <si>
    <t>kalo pun patokannya juara benua juga sdh lama sekali itu argentina terakhir juara copa america tahun baru juara lagi tahun kemudian piala dunia juga begitu mana</t>
  </si>
  <si>
    <t>['patokannya', 'juara', 'benua', 'lama', 'sekali', 'argentina', 'terakhir', 'juara', 'copa', 'america', 'tahun', 'baru', 'juara', 'tahun', 'kemudian', 'piala', 'dunia', 'mana']</t>
  </si>
  <si>
    <t>@Beginibegitulah @TyoKakkoii01 @WitKatSpc @envyyyy78 @dolphinisasi @idextratime Lah sejelj jeleknya generasi Argentina gk ada tuh pemain yg isinya banyak medioker kya eder, eliseu, adrien silva, rafa silva, vierinha, bruno alves, wiliam Carvalho, fonte it</t>
  </si>
  <si>
    <t>lah sejelj jeleknya generasi argentina ada tuh pemain isinya banyak medioker kya eder eliseu adrien silva rafa silva vierinha bruno alves wiliam carvalho fonte</t>
  </si>
  <si>
    <t>['lah', 'sejelj', 'jeleknya', 'generasi', 'argentina', 'pemain', 'isinya', 'banyak', 'medioker', 'kya', 'eder', 'eliseu', 'adrien', 'silva', 'rafa', 'silva', 'vierinha', 'bruno', 'alves', 'wiliam', 'carvalho', 'fonte']</t>
  </si>
  <si>
    <t>Cerita Leandro Paredes soal Perjuangan hingga Kunci Utama Argentina Juara Piala Dunia 2022 - Okezone Bola  https://t.co/BcIE6giKX4 #Cerita</t>
  </si>
  <si>
    <t>cerita leandro paredes soal perjuangan hingga kunci utama argentina juara piala dunia okezone bola</t>
  </si>
  <si>
    <t>['cerita', 'leandro', 'paredes', 'soal', 'perjuangan', 'hingga', 'kunci', 'utama', 'argentina', 'juara', 'piala', 'dunia', 'okezone', 'bola']</t>
  </si>
  <si>
    <t>2020 Maradona pergi ke surga 2021 Argentina juara Copa 2022 Argentina juara Piala Dunia  https://t.co/RPoLm2WBdl</t>
  </si>
  <si>
    <t>maradona pergi surga argentina juara copa argentina juara piala dunia</t>
  </si>
  <si>
    <t>['maradona', 'pergi', 'surga', 'argentina', 'juara', 'copa', 'argentina', 'juara', 'piala', 'dunia']</t>
  </si>
  <si>
    <t>Emak gw baik bat anjer. Dapet duit gegara Argentina juara.ü§£ü§£ü§£  https://t.co/5b9crzPcat</t>
  </si>
  <si>
    <t>emak baik bat anjer dapet duit gegara argentina juara</t>
  </si>
  <si>
    <t>['emak', 'baik', 'bat', 'anjer', 'dapat', 'duit', 'gegara', 'argentina', 'juara']</t>
  </si>
  <si>
    <t>@gilangseva1 @Beginibegitulah @WitKatSpc @envyyyy78 @dolphinisasi @idextratime Argentina sblm juara piala dunia 2022 baru 2 X. Itupun terakhir juara 1985. Messi saat itu blm lahir. Juara Copa America terakhir tahun 1993. Baru tahun 2021 juara Copa America</t>
  </si>
  <si>
    <t>argentina sblm juara piala dunia baru itupun terakhir juara messi saat itu blm lahir juara copa america terakhir tahun baru tahun juara copa america</t>
  </si>
  <si>
    <t>['argentina', 'sebelum', 'juara', 'piala', 'dunia', 'baru', 'itupun', 'terakhir', 'juara', 'messi', 'blm', 'lahir', 'juara', 'copa', 'america', 'terakhir', 'tahun', 'baru', 'tahun', 'juara', 'copa', 'america']</t>
  </si>
  <si>
    <t>Argentina Juara Dunia, Neymar Panggil Messi dengan Sebutan Kakak  https://t.co/42nsK04gWH</t>
  </si>
  <si>
    <t>argentina juara dunia neymar panggil messi dengan sebutan kakak</t>
  </si>
  <si>
    <t>['argentina', 'juara', 'dunia', 'neymar', 'panggil', 'messi', 'sebutan', 'kakak']</t>
  </si>
  <si>
    <t>@gilangseva1 @Beginibegitulah @TyoKakkoii01 @envyyyy78 @dolphinisasi @idextratime Argentina terakhir juara udah puluhan tahun lalu kocakkk, udah beda generasi pemain kocakk bener dah ni orang udah dibilangin dr tadi</t>
  </si>
  <si>
    <t>argentina terakhir juara udah puluhan tahun lalu kocakkk udah beda generasi pemain kocakk bener dah orang udah dibilangin tadi</t>
  </si>
  <si>
    <t>['argentina', 'terakhir', 'juara', 'udah', 'puluhan', 'tahun', 'lalu', 'kocakkk', 'udah', 'beda', 'generasi', 'pemain', 'kocakk', 'benar', 'dah', 'orang', 'udah', 'dibilangin', 'tadi']</t>
  </si>
  <si>
    <t>@GOAL_ID Bikin akun kecil aja.  bikin tweet yg banyak. team yg bakal juara.  misal. argentina, brazil, jerman, inggris. Delete tweet klo team nya tersingkir.   Sisa nya tinggal marketing nya buat viral.</t>
  </si>
  <si>
    <t>bikin akun kecil aja bikin tweet banyak team bakal juara misal argentina brazil jerman inggris delete tweet klo team nya tersingkir sisa nya tinggal marketing nya buat viral</t>
  </si>
  <si>
    <t>['akun', 'kecil', 'tweet', 'banyak', 'team', 'bakal', 'juara', 'misal', 'argentina', 'brazil', 'jerman', 'inggris', 'delete', 'tweet', 'team', 'tersingkir', 'sisa', 'tinggal', 'marketing', 'buat', 'viral']</t>
  </si>
  <si>
    <t>Sebenarnya Arab Saudi yang juara pildun tahun ini, karena sudah kalahkan Argentina sebelumnya.  Eh gimana sih üòå  #FIFAWorldCup #FIFAWorldCup2022</t>
  </si>
  <si>
    <t>sebenarnya arab saudi yang juara pildun tahun ini karena sudah kalahkan argentina sebelumnya gimana sih</t>
  </si>
  <si>
    <t>['sebenarnya', 'arab', 'saudi', 'juara', 'piala dunia', 'tahun', 'kalahkan', 'argentina', 'sebelumnya', 'gimana']</t>
  </si>
  <si>
    <t>Juara Bukan Hanya Milik Argentina  https://t.co/gW3iCpnaZV</t>
  </si>
  <si>
    <t>juara bukan hanya milik argentina</t>
  </si>
  <si>
    <t>['juara', 'bukan', 'milik', 'argentina']</t>
  </si>
  <si>
    <t>@gilangseva1 @TyoKakkoii01 @WitKatSpc @envyyyy78 @dolphinisasi @idextratime Argentina sering juara? cuman 3x btw, dan terakhir jg sebelum Messi lahir, tahun 1986ü§£ü§£</t>
  </si>
  <si>
    <t>argentina sering juara cuman btw dan terakhir sebelum messi lahir tahun</t>
  </si>
  <si>
    <t>['argentina', 'sering', 'juara', 'cuman', 'by the way', 'terakhir', 'messi', 'lahir', 'tahun']</t>
  </si>
  <si>
    <t>Lionel Messi menulis sebuah pesan di Instagram setelah Argentina juara Piala Dunia 2022. La Pulga sempat tak percaya mimpi yang terus dipupuk akhirnya terwujud.  https://t.co/EAspRaPfLR</t>
  </si>
  <si>
    <t>lionel messi menulis sebuah pesan instagram setelah argentina juara piala dunia pulga sempat tak percaya mimpi yang terus dipupuk akhirnya terwujud</t>
  </si>
  <si>
    <t>['lionel', 'messi', 'menulis', 'sebuah', 'pesan', 'instagram', 'argentina', 'juara', 'piala', 'dunia', 'pulga', 'sempat', 'tak', 'percaya', 'mimpi', 'terus', 'dipupuk', 'akhirnya', 'terwujud']</t>
  </si>
  <si>
    <t>Tak pikir Argentina juara dunia bakal gawe moodku nggo nggarap luwih sregep.. jebul soyo ndodro lehku scroll konten Argentina üòî</t>
  </si>
  <si>
    <t>tak pikir argentina juara dunia bakal gawe moodku nggo nggarap luwih sregep jebul soyo ndodro lehku scroll konten argentina</t>
  </si>
  <si>
    <t>['tak', 'pikir', 'argentina', 'juara', 'dunia', 'bakal', 'gawe', 'moodku', 'nggo', 'nggarap', 'luwih', 'sregep', 'jebul', 'soyo', 'ndodro', 'lehku', 'scroll', 'konten', 'argentina']</t>
  </si>
  <si>
    <t>trus pak claudio tapia jadiin timnas argentina yg juara dunia + lionel messi as political tool/political transport demi  BUENOS AIRES 1</t>
  </si>
  <si>
    <t>trus pak claudio tapia jadiin timnas argentina juara dunia lionel messi political tool political transport demi buenos aires</t>
  </si>
  <si>
    <t>['trus', 'pak', 'claudio', 'tapia', 'jadiin', 'timnas', 'argentina', 'juara', 'dunia', 'lionel', 'messi', 'political', 'tool', 'political', 'transport', 'buenos', 'aires']</t>
  </si>
  <si>
    <t>Empat serangkai, Lionel Scaloni, Pablo Aimar, Walter Samuel dan Roberto Ayala...tim terbaik pelatih Argentina yg angkat Messi cs jadi juara.  https://t.co/ZaY77v5ilH</t>
  </si>
  <si>
    <t>empat serangkai lionel scaloni pablo aimar walter samuel dan roberto ayala tim terbaik pelatih argentina angkat messi jadi juara</t>
  </si>
  <si>
    <t>['empat', 'serangkai', 'lionel', 'scaloni', 'pablo', 'aimar', 'walter', 'samuel', 'roberto', 'ayala', 'tim', 'terbaik', 'pelatih', 'argentina', 'angkat', 'messi', 'jadi', 'juara']</t>
  </si>
  <si>
    <t>Rodrigo De Paul turut berjasa bawa Argentina juara Piala Dunia 2022. De Paul sungguh bagai bodyguard La Albiceleste, keras ke lawan demi lindungi wilayahnya!  https://t.co/zpUXpUqOZl</t>
  </si>
  <si>
    <t>rodrigo paul turut berjasa bawa argentina juara piala dunia paul sungguh bagai bodyguard albiceleste keras lawan demi lindungi wilayahnya</t>
  </si>
  <si>
    <t>['rodrigo', 'paul', 'turut', 'berjasa', 'bawa', 'argentina', 'juara', 'piala', 'dunia', 'paul', 'sungguh', 'bagai', 'bodyguard', 'albiceleste', 'keras', 'lawan', 'lindungi', 'wilayahnya']</t>
  </si>
  <si>
    <t>ARGENTINA LAYAK JUARA üî•üî•üî•üî•üí™  #FIFAWorldCup #ArgentinaVsFrance #LionelMessiìÉµ #MessiìÉµ   https://t.co/TbnIzm4TsT</t>
  </si>
  <si>
    <t>@ngaanuuu @Fathorz_sii15 @acuuunk @dolphinisasi @idextratime Gw dah nanya ama elu di twit ini(lu kenal nama2 ditas?)n lu gk jawab  Yg ngegas siapa?argentina juara bro gw lg happy.  https://t.co/FdlLMOBC1s</t>
  </si>
  <si>
    <t>sii dah nanya ama elu twit ini kenal nama ditas jawab ngegas siapa argentina juara bro happy</t>
  </si>
  <si>
    <t>['sii', 'dah', 'nanya', 'ama', 'elu', 'twit', 'kenal', 'nama', 'ditas', 'jawab', 'ngegas', 'siapa', 'argentina', 'juara', 'bro', 'happy']</t>
  </si>
  <si>
    <t>Prancis gagal jadi juara Piala Dunia 2022 usai dikalahkan Argentina di partai final. Hasil tersebut membuat masa depan Didier Deschamps banyak dispekulasikan.  https://t.co/waU6v7EKye</t>
  </si>
  <si>
    <t>prancis gagal jadi juara piala dunia usai dikalahkan argentina partai final hasil tersebut membuat masa depan didier deschamps banyak dispekulasikan</t>
  </si>
  <si>
    <t>['prancis', 'gagal', 'jadi', 'juara', 'piala', 'dunia', 'usai', 'dikalahkan', 'argentina', 'partai', 'final', 'hasil', 'tersebut', 'membuat', 'masa', 'depan', 'didier', 'deschamps', 'banyak', 'dispekulasikan']</t>
  </si>
  <si>
    <t>Argentina Juara Piala Dunia 2022, Ketum PSSI Iwan Bule Ikut Angkat Trofi¬†Raksasa  https://t.co/U7OPD3DG58</t>
  </si>
  <si>
    <t>argentina juara piala dunia ketum pssi iwan bule ikut angkat trofi raksasa</t>
  </si>
  <si>
    <t>['argentina', 'juara', 'piala', 'dunia', 'ketum', 'pssi', 'iwan', 'bule', 'ikut', 'angkat', 'trofi', 'raksasa']</t>
  </si>
  <si>
    <t>Argentina Juara üéÑüéÑüéÑüéÑ Dunia Qatar 2022  https://t.co/gMATHrSSOQ</t>
  </si>
  <si>
    <t>argentina juara dunia qatar</t>
  </si>
  <si>
    <t>['argentina', 'juara', 'dunia', 'qatar']</t>
  </si>
  <si>
    <t>Prancis gagal jadi juara Piala Dunia 2022 usai dikalahkan Argentina di partai final. Hasil tersebut membuat masa depan Didier Deschamps banyak dispekulasikan.  https://t.co/waU6v7nHwe</t>
  </si>
  <si>
    <t>@Beginibegitulah @TyoKakkoii01 @WitKatSpc @envyyyy78 @dolphinisasi @idextratime Ibarat kata ronaldo kya ranieri bawa Leicester juara epl itu rasanya beda yg sebelumnya tim ini blm pernah juara sama sekali beda sama Argentina yg dah sering juara  https://t</t>
  </si>
  <si>
    <t>ibarat kata ronaldo kya ranieri bawa leicester juara epl itu rasanya beda sebelumnya tim ini blm pernah juara sama sekali beda sama argentina dah sering juara</t>
  </si>
  <si>
    <t>['ibarat', 'kata', 'ronaldo', 'kya', 'ranieri', 'bawa', 'leicester', 'juara', 'epl', 'rasanya', 'beda', 'sebelumnya', 'tim', 'blm', 'pernah', 'juara', 'sama', 'sekali', 'beda', 'sama', 'argentina', 'dah', 'sering', 'juara']</t>
  </si>
  <si>
    <t>congrast untuk la pulga yang berhasil membawa argentina keluar sebagai juara piala dunia 2022.  #kaya33 #worldcup2022 #pialadunia2022 #livepialadunia2022 #maradona #worldcup #aguero #Lloris #Drake   Info-info :   https://t.co/GF1joSWd5M  https://t.co/oR6qDABvCZ</t>
  </si>
  <si>
    <t>congrast untuk pulga yang berhasil membawa argentina keluar sebagai juara piala dunia info info</t>
  </si>
  <si>
    <t>['congrast', 'pulga', 'berhasil', 'membawa', 'argentina', 'keluar', 'juara', 'piala', 'dunia', 'info', 'info']</t>
  </si>
  <si>
    <t>@cakimiNOW @sudjiwotedjo Argentina Juara Dunia..PKB berjayaüí™</t>
  </si>
  <si>
    <t>argentina juara dunia pkb berjaya</t>
  </si>
  <si>
    <t>['argentina', 'juara', 'dunia', 'pkb', 'berjaya']</t>
  </si>
  <si>
    <t>congrast untuk la pulga yang berhasil membawa argentina keluar sebagai juara piala dunia 2022.  #kaya33 #worldcup2022 #pialadunia2022 #livepialadunia2022 #maradona #worldcup #aguero #Lloris #Drake   Info-info :   https://t.co/GF1joTdg7M  https://t.co/NWPnj2Qer5</t>
  </si>
  <si>
    <t>Argentina Juara Piala Dunia 2022, Shah Rukh Khan Tulis Pesan Menyentuh untuk Lionel Messi #CelebritiesDotID #InfoCelebTerkini   https://t.co/YLVtiVdtoK</t>
  </si>
  <si>
    <t>argentina juara piala dunia shah rukh khan tulis pesan menyentuh untuk lionel messi</t>
  </si>
  <si>
    <t>['argentina', 'juara', 'piala', 'dunia', 'shah', 'rukh', 'khan', 'tulis', 'pesan', 'menyentuh', 'lionel', 'messi']</t>
  </si>
  <si>
    <t>Setelah Argentina juara dunia, mending mas admin mau nanya. Kira-kira film apa nih yang pengen banget insiders tonton di tahun 2023?</t>
  </si>
  <si>
    <t>setelah argentina juara dunia mending mas admin mau nanya kira kira film apa nih yang pengen banget insiders tonton tahun</t>
  </si>
  <si>
    <t>['argentina', 'juara', 'dunia', 'mending', 'mas', 'admin', 'mau', 'nanya', 'kira', 'kira', 'film', 'apa', 'pengen', 'banget', 'insiders', 'tonton', 'tahun']</t>
  </si>
  <si>
    <t>Selamat Argentina atas juara dunianya. Lionel Andres Messi pemain terbaik sepanjang masa, respect! üêê  https://t.co/ln9EsltS4y</t>
  </si>
  <si>
    <t>selamat argentina atas juara dunianya lionel andres messi pemain terbaik sepanjang masa respect</t>
  </si>
  <si>
    <t>['selamat', 'argentina', 'atas', 'juara', 'dunianya', 'lionel', 'andres', 'messi', 'pemain', 'terbaik', 'sepanjang', 'masa', 'respect']</t>
  </si>
  <si>
    <t>Piala Dunia 2022: Jaga Tradisi, Pemain Argentina Gunting Jaring Usai Juara  https://t.co/Z4rTO5pSnv</t>
  </si>
  <si>
    <t>piala dunia jaga tradisi pemain argentina gunting jaring usai juara</t>
  </si>
  <si>
    <t>['piala', 'dunia', 'jaga', 'tradisi', 'pemain', 'argentina', 'gunting', 'jaring', 'usai', 'juara']</t>
  </si>
  <si>
    <t>Piala Dunia Qatar Paling Bagus, Argentina Juara</t>
  </si>
  <si>
    <t>piala dunia qatar paling bagus argentina juara</t>
  </si>
  <si>
    <t>['piala', 'dunia', 'qatar', 'paling', 'bagus', 'argentina', 'juara']</t>
  </si>
  <si>
    <t>Tidak sia2 nobar  lihat argentina.. selamat om messi,,, sang Legenda n Juara.  https://t.co/ZFsXpLOEIc</t>
  </si>
  <si>
    <t>tidak sia nobar lihat argentina selamat messi sang legenda juara</t>
  </si>
  <si>
    <t>['sia', 'nonton bareng', 'lihat', 'argentina', 'selamat', 'messi', 'sang', 'legenda', 'juara']</t>
  </si>
  <si>
    <t>@The_RedsIndo Georgina senang apa sedih Argentina juara</t>
  </si>
  <si>
    <t>redsindo georgina senang apa sedih argentina juara</t>
  </si>
  <si>
    <t>['redsindo', 'georgina', 'senang', 'apa', 'sedih', 'argentina', 'juara']</t>
  </si>
  <si>
    <t>Argentina Juara Piala Dunia Qatar 2022, Presiden Alberto Fernandez Sibuk Balas Ucapan Selamat Pemimpin Dunia di¬†Medsos  https://t.co/ICFIRfM5H2</t>
  </si>
  <si>
    <t>argentina juara piala dunia qatar presiden alberto fernandez sibuk balas ucapan selamat pemimpin dunia medsos</t>
  </si>
  <si>
    <t>['argentina', 'juara', 'piala', 'dunia', 'qatar', 'presiden', 'alberto', 'fernandez', 'sibuk', 'balas', 'ucapan', 'selamat', 'pemimpin', 'dunia', 'medsos']</t>
  </si>
  <si>
    <t>Dari 5 kali perhelatan piala dunia Perancis 3 kali lolos ke final dengan 1 kali juara dunia. Sedangkan Argentina 3 kali perhelatan piala dunia bisa 2 kali menembus final dengan 1 kali menjadi juara. Dan Italia, ah sudahlah..</t>
  </si>
  <si>
    <t>dari kali perhelatan piala dunia perancis kali lolos final dengan kali juara dunia sedangkan argentina kali perhelatan piala dunia bisa kali menembus final dengan kali menjadi juara dan italia sudahlah</t>
  </si>
  <si>
    <t>['kali', 'perhelatan', 'piala', 'dunia', 'perancis', 'kali', 'lolos', 'final', 'kali', 'juara', 'dunia', 'argentina', 'kali', 'perhelatan', 'piala', 'dunia', 'kali', 'menembus', 'final', 'kali', 'menjadi', 'juara', 'italia', 'sudahlah']</t>
  </si>
  <si>
    <t>Liverpool kalau mau ikutan ngetweet hype Argentina juara bisa pake foto Mascherano aja gpp..</t>
  </si>
  <si>
    <t>liverpool kalau mau ikutan ngetweet hype argentina juara bisa pake foto mascherano aja gpp</t>
  </si>
  <si>
    <t>['liverpool', 'kalau', 'mau', 'ikutan', 'ngetweet', 'hype', 'argentina', 'juara', 'pake', 'foto', 'mascherano', 'gapapa']</t>
  </si>
  <si>
    <t>Lucu sama pendukungnya Perancis (orang Indonesia) katanya Argentina juara settingan ü§£ ini perhelatan Dunia bro, mikir ga sih? Kasihan aja sama pemikiran seperti itu wkwk</t>
  </si>
  <si>
    <t>lucu sama pendukungnya perancis orang indonesia katanya argentina juara settingan ini perhelatan dunia bro mikir sih kasihan aja sama pemikiran seperti itu wkwk</t>
  </si>
  <si>
    <t>['lucu', 'sama', 'pendukungnya', 'perancis', 'orang', 'indonesia', 'katanya', 'argentina', 'juara', 'settingan', 'perhelatan', 'dunia', 'bro', 'mikir', 'kasihan', 'sama', 'pemikiran']</t>
  </si>
  <si>
    <t>@bdngfess seneng soalnya argentina juara pildun minüòÅ</t>
  </si>
  <si>
    <t>seneng soalnya argentina juara pildun min</t>
  </si>
  <si>
    <t>['seneng', 'soalnya', 'argentina', 'juara', 'piala dunia', 'min']</t>
  </si>
  <si>
    <t>Argentina Juara Piala Dunia 2022, Berikut Rekor Lionel Messi  https://t.co/Fq2tmcDFhD</t>
  </si>
  <si>
    <t>@SidVanz @outofcontextbjr Argentina itu kalah dan Prancis lah pemenangnya Hanya saja wasit tidak memberikan tendangan finalti saat pemain Prancis terjatuh di samping gawang argen.oftimis bget Prancis lah juara sesungguhnya  https://t.co/CyEbMaocxB</t>
  </si>
  <si>
    <t>argentina itu kalah dan prancis lah pemenangnya hanya saja wasit tidak memberikan tendangan finalti saat pemain prancis terjatuh samping gawang argen oftimis bget prancis lah juara sesungguhnya</t>
  </si>
  <si>
    <t>['argentina', 'kalah', 'prancis', 'lah', 'pemenangnya', 'wasit', 'memberikan', 'tendangan', 'finalti', 'pemain', 'prancis', 'terjatuh', 'samping', 'gawang', 'argen', 'oftimis', 'bget', 'prancis', 'lah', 'juara', 'sesungguhnya']</t>
  </si>
  <si>
    <t>Argentina Juara üéÑ Piala Dunia Qatar 2022  https://t.co/4U3X2Ckgl3</t>
  </si>
  <si>
    <t>Berhasil membawa Timnas Argentina menjadi juara Piala Dunia membuat Lionel Messi ramai dapat ucapan selamat dari pembalap MotoGP  https://t.co/UMtz0fqPJh</t>
  </si>
  <si>
    <t>berhasil membawa timnas argentina menjadi juara piala dunia membuat lionel messi ramai dapat ucapan selamat dari pembalap motogp</t>
  </si>
  <si>
    <t>['berhasil', 'membawa', 'timnas', 'argentina', 'menjadi', 'juara', 'piala', 'dunia', 'membuat', 'lionel', 'messi', 'ramai', 'ucapan', 'selamat', 'pembalap', 'motogp']</t>
  </si>
  <si>
    <t>@cakimiNOW Alhamdulillah, Argentina Juara Duniaüí™</t>
  </si>
  <si>
    <t>alhamdulillah argentina juara dunia</t>
  </si>
  <si>
    <t>['alhamdulillah', 'argentina', 'juara', 'dunia']</t>
  </si>
  <si>
    <t>Argentina juara Sleman Menang sungguh hari yang berkesan</t>
  </si>
  <si>
    <t>argentina juara sleman menang sungguh hari yang berkesan</t>
  </si>
  <si>
    <t>['argentina', 'juara', 'sleman', 'menang', 'sungguh', 'hari', 'berkesan']</t>
  </si>
  <si>
    <t>Argentina JUARA + bonus PSS menang.. poin poinüôè</t>
  </si>
  <si>
    <t>argentina juara bonus pss menang poin poin</t>
  </si>
  <si>
    <t>['argentina', 'juara', 'bonus', 'pss', 'menang', 'poin', 'poin']</t>
  </si>
  <si>
    <t>Cerita Leandro Paredes soal Perjuangan hingga Kunci Utama Argentina Juara Piala Dunia 2022 #LengkapCepatBeritanya #Bola #SepakBola #SepakbolaDunia #BolaDunia .  https://t.co/kMeXRvjWKU</t>
  </si>
  <si>
    <t>cerita leandro paredes soal perjuangan hingga kunci utama argentina juara piala dunia</t>
  </si>
  <si>
    <t>['cerita', 'leandro', 'paredes', 'soal', 'perjuangan', 'hingga', 'kunci', 'utama', 'argentina', 'juara', 'piala', 'dunia']</t>
  </si>
  <si>
    <t>Bali United juara 2022 Argentina juara 2022 Manchester City juara 2022  Anak laki lahir 2022 Calon GOAT?</t>
  </si>
  <si>
    <t>bali united juara argentina juara manchester city juara anak laki lahir calon goat</t>
  </si>
  <si>
    <t>['bali', 'united', 'juara', 'argentina', 'juara', 'manchester', 'city', 'juara', 'anak', 'laki', 'lahir', 'calon', 'goat']</t>
  </si>
  <si>
    <t>mau argentina atau prancis, yang juara tetep orang lama sih kalo kata gue ma.</t>
  </si>
  <si>
    <t>mau argentina atau prancis yang juara tetep orang lama sih kalo kata gue</t>
  </si>
  <si>
    <t>['mau', 'argentina', 'prancis', 'juara', 'tetep', 'orang', 'lama', 'kata', 'gue']</t>
  </si>
  <si>
    <t>Sesungguhnya yang juara itu Prancis. mengapa wasit tidak memberikan hukuman finalti kepada argentina! saat pemain Prancis terjatuh di hadang dua pemain Argentina??  https://t.co/bl7su0oSGj</t>
  </si>
  <si>
    <t>sesungguhnya yang juara itu prancis mengapa wasit tidak memberikan hukuman finalti kepada argentina saat pemain prancis terjatuh hadang dua pemain argentina</t>
  </si>
  <si>
    <t>['sesungguhnya', 'juara', 'prancis', 'wasit', 'memberikan', 'hukuman', 'finalti', 'argentina', 'pemain', 'prancis', 'terjatuh', 'hadang', 'pemain', 'argentina']</t>
  </si>
  <si>
    <t>@tanyakanrl Aku kalo balik ke masalalu di tanggal 17 Desember 2022 bakal bilang "Argentina juara pildun" supaya aku ga all in Prancis</t>
  </si>
  <si>
    <t>aku kalo balik masalalu tanggal desember bakal bilang argentina juara pildun supaya aku all prancis</t>
  </si>
  <si>
    <t>['aku', 'balik', 'masalalu', 'tanggal', 'desember', 'bakal', 'argentina', 'juara', 'piala dunia', 'aku', 'all', 'prancis']</t>
  </si>
  <si>
    <t>@cakimiNOW @FIFAWorldCup Alhamdulillah, Argentina akhirnya juara duniaüí™</t>
  </si>
  <si>
    <t>alhamdulillah argentina akhirnya juara dunia</t>
  </si>
  <si>
    <t>['alhamdulillah', 'argentina', 'akhirnya', 'juara', 'dunia']</t>
  </si>
  <si>
    <t>@nildueniluen Saya sudah liat Argentina juara üá¶üá∑üá¶üá∑üá¶üá∑üá¶üá∑üá¶üá∑ Vamose MessiüòòüòÉü§≠</t>
  </si>
  <si>
    <t>saya sudah liat argentina juara vamose messi</t>
  </si>
  <si>
    <t>['lihat', 'argentina', 'juara', 'vamose', 'messi']</t>
  </si>
  <si>
    <t>Argentina juara Piala Dunia 2022  https://t.co/s1ga7i9Ozr</t>
  </si>
  <si>
    <t>@OMahdavika @darkestdayyss @appletomdr @realmadridindo1 Ya maka itu, juara sbnrny ga selalu jd patokan bagus atau engganya kualitas skuad btw, makanya gue blg apa kabar Prancis, PORTUGAL, Brasil, bahkan Inggris di Pildun kali ini yg gagal juara tp kualita</t>
  </si>
  <si>
    <t>maka itu juara sbnrny selalu patokan bagus atau engganya kualitas skuad btw makanya gue blg apa kabar prancis portugal brasil bahkan inggris pildun kali ini gagal juara kualita</t>
  </si>
  <si>
    <t>['juara', 'sbnrny', 'selalu', 'patokan', 'bagus', 'engganya', 'kualitas', 'skuad', 'by the way', 'makanya', 'gue', 'blg', 'apa', 'kabar', 'prancis', 'portugal', 'brasil', 'bahkan', 'inggris', 'piala dunia', 'kali', 'gagal', 'juara', 'kualita']</t>
  </si>
  <si>
    <t>Prediksi NH Argentina Juara Piala Dunia¬†Terbukti  https://t.co/DuFWUSOCss</t>
  </si>
  <si>
    <t>prediksi argentina juara piala dunia terbukti</t>
  </si>
  <si>
    <t>['prediksi', 'argentina', 'juara', 'piala', 'dunia', 'terbukti']</t>
  </si>
  <si>
    <t>Prediksi NH Argentina Juara Piala Dunia¬†Terbukti  https://t.co/HKsHKI9ArW</t>
  </si>
  <si>
    <t>Argentina juara Piala Dunia, Lionel Messi diharap bisa ikut lagi 2026   https://t.co/vJbrFSCXCW</t>
  </si>
  <si>
    <t>argentina juara piala dunia lionel messi diharap bisa ikut lagi</t>
  </si>
  <si>
    <t>['argentina', 'juara', 'piala', 'dunia', 'lionel', 'messi', 'diharap', 'ikut']</t>
  </si>
  <si>
    <t>@IdnaAnggarani @BetraPratama @AlecMaxwell1 argentina juara nya #bersamajuara #ridwankamil</t>
  </si>
  <si>
    <t>argentina juara nya</t>
  </si>
  <si>
    <t>Serba-serbi Piala Dunia 2022, Argentina Juara Tapi Malah Raul Lemos Jadi Trending di Twitter, Haa Kok Bisa?  https://t.co/scoRZI8cJq</t>
  </si>
  <si>
    <t>serba serbi piala dunia argentina juara tapi malah raul lemos jadi trending twitter haa kok bisa</t>
  </si>
  <si>
    <t>['serba', 'serbi', 'piala', 'dunia', 'argentina', 'juara', 'malah', 'raul', 'lemos', 'jadi', 'trending', 'twitter', 'haa', 'kok']</t>
  </si>
  <si>
    <t>Rodrigo De Paul turut berjasa bawa Argentina juara Piala Dunia 2022. De Paul sungguh bagai bodyguard La Albiceleste, keras ke lawan demi lindungi wilayahnya!  https://t.co/48IO2vd7X9</t>
  </si>
  <si>
    <t>@aldinorfel Saya percaya argentina juara settingan FIFA</t>
  </si>
  <si>
    <t>saya percaya argentina juara settingan fifa</t>
  </si>
  <si>
    <t>['percaya', 'argentina', 'juara', 'settingan', 'fifa']</t>
  </si>
  <si>
    <t>Sang Juara Argentina kalah di partai awal dengan Arab Saudi. Dari Argentina dan Messi, kita bisa belajar bahwa kita bisa jatuh, kalah, terpuruk dan diremehkan oleh orang lain. Namun, mental JUARA tidak pernah MENYERAH.</t>
  </si>
  <si>
    <t>sang juara argentina kalah partai awal dengan arab saudi dari argentina dan messi kita bisa belajar bahwa kita bisa jatuh kalah terpuruk dan diremehkan oleh orang lain namun mental juara tidak pernah menyerah</t>
  </si>
  <si>
    <t>['sang', 'juara', 'argentina', 'kalah', 'partai', 'awal', 'arab', 'saudi', 'argentina', 'messi', 'belajar', 'jatuh', 'kalah', 'terpuruk', 'diremehkan', 'orang', 'mental', 'juara', 'pernah', 'menyerah']</t>
  </si>
  <si>
    <t>Jadi Juara, Inilah Perjuangan Argentina di Piala Dunia 2022 Qatar  https://t.co/A2l16h53Qq</t>
  </si>
  <si>
    <t>jadi juara inilah perjuangan argentina piala dunia qatar</t>
  </si>
  <si>
    <t>['jadi', 'juara', 'inilah', 'perjuangan', 'argentina', 'piala', 'dunia', 'qatar']</t>
  </si>
  <si>
    <t>Jadi Juara, Inilah Perjuangan Argentina di Piala Dunia 2022 Qatar  https://t.co/P76hYz2q2v</t>
  </si>
  <si>
    <t>Piala Dunia 2022 Qatar tuntas sudah, Argentina keluar sebagai juara. Ada statistik menarik, Piala Dunia kali ini adalah tersubur golnya sepanjang sejarah! #juaraboladunia    https://t.co/gzSpYJsete</t>
  </si>
  <si>
    <t>piala dunia qatar tuntas sudah argentina keluar sebagai juara ada statistik menarik piala dunia kali ini adalah tersubur golnya sepanjang sejarah</t>
  </si>
  <si>
    <t>['piala', 'dunia', 'qatar', 'tuntas', 'argentina', 'keluar', 'juara', 'statistik', 'menarik', 'piala', 'dunia', 'kali', 'tersubur', 'golnya', 'sepanjang', 'sejarah']</t>
  </si>
  <si>
    <t>Menurut gue kalo prancis maen nya kaya beginu sih argentina yang juara.</t>
  </si>
  <si>
    <t>menurut gue kalo prancis maen nya kaya beginu sih argentina yang juara</t>
  </si>
  <si>
    <t>['gue', 'prancis', 'maen', 'kaya', 'beginu', 'argentina', 'juara']</t>
  </si>
  <si>
    <t>@The_RedsIndo Dapat banyak ancaman pembunuhan setelah kegagalan WC2014. Sampai Thiago nanya: "Kok mereka benci ayah?".  Ya, rakyat Argentina ga peduli UCL, La Liga atau Ballon D'Oro, mereka cuma bangga ketika Timnasnya juara. Untuk rakyat Argentina, SEPAK</t>
  </si>
  <si>
    <t>redsindo dapat banyak ancaman pembunuhan setelah kegagalan sampai thiago nanya kok mereka benci ayah rakyat argentina peduli ucl liga atau ballon oro mereka cuma bangga ketika timnasnya juara untuk rakyat argentina sepak</t>
  </si>
  <si>
    <t>['redsindo', 'banyak', 'ancaman', 'pembunuhan', 'kegagalan', 'thiago', 'nanya', 'kok', 'benci', 'ayah', 'rakyat', 'argentina', 'peduli', 'ucl', 'liga', 'ballon', 'oro', 'cuma', 'bangga', 'timnasnya', 'juara', 'rakyat', 'argentina', 'sepak']</t>
  </si>
  <si>
    <t>@SiaranBolaLive Pas argentina juara Copa kemarin dia masih ikut / engga</t>
  </si>
  <si>
    <t>pas argentina juara copa kemarin dia masih ikut engga</t>
  </si>
  <si>
    <t>['pas', 'argentina', 'juara', 'copa', 'kemarin', 'ikut', 'tidak']</t>
  </si>
  <si>
    <t>Jadi Juara, Inilah Perjuangan Argentina di Piala Dunia 2022 Qatar  https://t.co/PXMNUUMRHG</t>
  </si>
  <si>
    <t>Jadi Juara, Inilah Perjuangan Argentina di Piala Dunia 2022 Qatar  https://t.co/tuvOfxDKtS</t>
  </si>
  <si>
    <t>4 ). Dunia sepakbola sedang berduka karena kehilangan Maradona. Argentina juara bentuk dari simbol. * Clue Number 4 * . Selepas dari itu, ini hanya cocoklogi. Congrats Argentina Messi your are The Best Player Football in The Worldüëèüëèüëèüëë</t>
  </si>
  <si>
    <t>dunia sepakbola sedang berduka karena kehilangan maradona argentina juara bentuk dari simbol clue number selepas dari itu ini hanya cocoklogi congrats argentina messi your are the best player football the world</t>
  </si>
  <si>
    <t>['dunia', 'sepakbola', 'sedang', 'berduka', 'kehilangan', 'maradona', 'argentina', 'juara', 'bentuk', 'simbol', 'clue', 'number', 'selepas', 'cocoklogi', 'congrats', 'argentina', 'messi', 'your', 'are', 'the', 'best', 'player', 'football', 'the', 'world']</t>
  </si>
  <si>
    <t>@WeAreMessi Makan ketupat dan eskrim Cantina , selamat untuk Argentina. Hari Jumat makan sushi , Selamat untuk @leonelmessi10    #Worldcup  https://t.co/TreFCxIpDw</t>
  </si>
  <si>
    <t>makan ketupat dan eskrim cantina selamat untuk argentina hari jumat makan sushi selamat untuk</t>
  </si>
  <si>
    <t>['makan', 'ketupat', 'eskrim', 'cantina', 'selamat', 'argentina', 'hari', 'jumat', 'makan', 'sushi', 'selamat']</t>
  </si>
  <si>
    <t>Chef selebritas Salt Bae ikut merayakan sukses Argentina juara Piala Dunia 2022. Tapi netizen panas karena Salt Bae memegang dan mencium trofi juara!  https://t.co/AK1PweZMe2</t>
  </si>
  <si>
    <t>chef selebritas salt bae ikut merayakan sukses argentina juara piala dunia tapi netizen panas karena salt bae memegang dan mencium trofi juara</t>
  </si>
  <si>
    <t>['chef', 'selebritas', 'salt', 'bae', 'ikut', 'merayakan', 'sukses', 'argentina', 'juara', 'piala', 'dunia', 'netizen', 'panas', 'salt', 'bae', 'memegang', 'mencium', 'trofi', 'juara']</t>
  </si>
  <si>
    <t>@imamloversmania @suryadinikayam argentina juga juara #bersamajuara #ridwankamil</t>
  </si>
  <si>
    <t>argentina juga juara</t>
  </si>
  <si>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</si>
  <si>
    <t>road champion fifa world cup from time time argentina juara piala dunia fifa stadion lusail iconic qatar argentina sukses mengalahkan prancis final melalui drama adu penalti usai seri hingga lanjut tambah waktu normal pertandingan menit</t>
  </si>
  <si>
    <t>['road', 'champion', 'fifa', 'world', 'cup', 'from', 'time', 'time', 'argentina', 'juara', 'piala', 'dunia', 'fifa', 'stadion', 'lusail', 'iconic', 'qatar', 'argentina', 'sukses', 'mengalahkan', 'prancis', 'final', 'melalui', 'drama', 'adu', 'penalti', 'usai', 'seri', 'hingga', 'lanjut', 'tambah', 'waktu', 'normal', 'pertandingan', 'menit']</t>
  </si>
  <si>
    <t>@thalibhelmy @Herwinwijaya14 @PujiYudiRamdani @peppertipex @idextratime Ga bagus apaan dari zaman dulu juga Argentina fav juaraü§£</t>
  </si>
  <si>
    <t>bagus apaan dari zaman dulu juga argentina fav juara</t>
  </si>
  <si>
    <t>['bagus', 'apaan', 'zaman', 'dulu', 'argentina', 'fav', 'juara']</t>
  </si>
  <si>
    <t>Final Piala Dunia 2022: Horee Akhirnya Argentina Juara, Messi And The Boys Full¬†Seyum!  https://t.co/UJ4Cm5aZ4y</t>
  </si>
  <si>
    <t>final piala dunia horee akhirnya argentina juara messi and the boys full seyum</t>
  </si>
  <si>
    <t>['final', 'piala', 'dunia', 'horee', 'akhirnya', 'argentina', 'juara', 'messi', 'and', 'the', 'boys', 'full', 'seyum']</t>
  </si>
  <si>
    <t>Emg gasalah milih juara!!!!!  #Argentina  https://t.co/uHr3csSugx</t>
  </si>
  <si>
    <t>emg gasalah milih juara</t>
  </si>
  <si>
    <t>['memang', 'gasalah', 'milih', 'juara']</t>
  </si>
  <si>
    <t>@IdnaAnggarani @Coopee_ABCOO @ridwankamil Argentina juara, semoga kang emil kedepan maju pilpres dan menjuarai juga ya #bersamajuara #ridwankamil</t>
  </si>
  <si>
    <t>abcoo argentina juara semoga kang emil kedepan maju pilpres dan menjuarai juga</t>
  </si>
  <si>
    <t>['abcoo', 'argentina', 'juara', 'semoga', 'kang', 'emil', 'kedepan', 'maju', 'pilpres', 'menjuarai']</t>
  </si>
  <si>
    <t>Rayakan selebrasi juara Argentina di Piala Dunia 2022 dengan memakai kaos premium ini.  Order WA 085270676966   https://t.co/2pXrxDJGMj  https://t.co/ZOROtF55Hz</t>
  </si>
  <si>
    <t>rayakan selebrasi juara argentina piala dunia dengan memakai kaos premium ini order</t>
  </si>
  <si>
    <t>['rayakan', 'selebrasi', 'juara', 'argentina', 'piala', 'dunia', 'memakai', 'kaos', 'premium', 'order']</t>
  </si>
  <si>
    <t>@gilangseva1 @Beginibegitulah @WitKatSpc @envyyyy78 @dolphinisasi @idextratime Makanya Messi di Argentina berkat permainan kolektif rekan negaranya. Walaupun Messi lbh menonjol di piala dunia 2022 ini. Terus Messi juga bukan di usia muda. Messi usia 35 ta</t>
  </si>
  <si>
    <t>makanya messi argentina berkat permainan kolektif rekan negaranya walaupun messi lbh menonjol piala dunia ini terus messi juga bukan usia muda messi usia</t>
  </si>
  <si>
    <t>['makanya', 'messi', 'argentina', 'berkat', 'permainan', 'kolektif', 'rekan', 'negaranya', 'walaupun', 'messi', 'lbh', 'menonjol', 'piala', 'dunia', 'terus', 'messi', 'bukan', 'usia', 'muda', 'messi', 'usia']</t>
  </si>
  <si>
    <t>@rahmatsn_2 Kan bener, argentina juara dunia karena campur tangannya iwan bule</t>
  </si>
  <si>
    <t>kan bener argentina juara dunia karena campur tangannya iwan bule</t>
  </si>
  <si>
    <t>['kan', 'benar', 'argentina', 'juara', 'dunia', 'campur', 'tangannya', 'iwan', 'bule']</t>
  </si>
  <si>
    <t>Argentina Juara Piala Dunia 2022, Lionel Messi Dipeluk Sang Ibu -  https://t.co/kpmQt1cweG  https://t.co/5UaItqD11k via @bolanet  https://t.co/aNzDFA3v8E . . . #m88mansion #m88mansionindo #m88indo #m88laliga</t>
  </si>
  <si>
    <t>argentina juara piala dunia lionel messi dipeluk sang ibu via</t>
  </si>
  <si>
    <t>['argentina', 'juara', 'piala', 'dunia', 'lionel', 'messi', 'dipeluk', 'sang', 'ibu', 'via']</t>
  </si>
  <si>
    <t>Pele Ucapkan Selamat untuk Argentina dan Messi Usai Jadi Juara Piala Dunia 2022: Diego Pasti Tersenyum Sekarang -  https://t.co/kpmQt1cweG  https://t.co/hytvkvHUzS via @bolanet  https://t.co/aNzDFA3v8E . . . #m88mansion #m88mansionindo #m88indo #m88laliga</t>
  </si>
  <si>
    <t>pele ucapkan selamat untuk argentina dan messi usai jadi juara piala dunia diego pasti tersenyum sekarang via</t>
  </si>
  <si>
    <t>['pele', 'ucapkan', 'selamat', 'argentina', 'messi', 'usai', 'jadi', 'juara', 'piala', 'dunia', 'diego', 'tersenyum', 'sekarang', 'via']</t>
  </si>
  <si>
    <t>Jutaan warga Argentina berkumpul di Ibu Kot Buenos Aires. Mereka merayakan keberhasilan Argentina menjadi juara Piala Dunia 2022.  https://t.co/EYSLS3BpNU</t>
  </si>
  <si>
    <t>jutaan warga argentina berkumpul ibu kot buenos aires mereka merayakan keberhasilan argentina menjadi juara piala dunia</t>
  </si>
  <si>
    <t>['jutaan', 'warga', 'argentina', 'berkumpul', 'ibu', 'kot', 'buenos', 'aires', 'merayakan', 'keberhasilan', 'argentina', 'menjadi', 'juara', 'piala', 'dunia']</t>
  </si>
  <si>
    <t>Argentina Juara Piala Dunia 2022, Lionel Messi Banjir Pujian dari Mantan Pemain Sepak Bola  https://t.co/hAbiVyJqQm</t>
  </si>
  <si>
    <t>argentina juara piala dunia lionel messi banjir pujian dari mantan pemain sepak bola</t>
  </si>
  <si>
    <t>['argentina', 'juara', 'piala', 'dunia', 'lionel', 'messi', 'banjir', 'pujian', 'mantan', 'pemain', 'sepak', 'bola']</t>
  </si>
  <si>
    <t>Pengamatan gw tentang kenapa Argentina bisa juara : 1 ). Ronaldo dan Messi di sponsori oleh LV ( Prancis ) * Clue Number 1 * lalu pihak LV mengeluarkan Campaign tersebut pada saat piala dunia Qatar ingin mulai di gulirkan.</t>
  </si>
  <si>
    <t>pengamatan tentang kenapa argentina bisa juara ronaldo dan messi sponsori oleh prancis clue number lalu pihak mengeluarkan campaign tersebut pada saat piala dunia qatar ingin mulai gulirkan</t>
  </si>
  <si>
    <t>['pengamatan', 'argentina', 'juara', 'ronaldo', 'messi', 'sponsori', 'prancis', 'clue', 'number', 'lalu', 'pihak', 'mengeluarkan', 'campaign', 'tersebut', 'piala', 'dunia', 'qatar', 'mulai', 'gulirkan']</t>
  </si>
  <si>
    <t>@Mariayeolli Argentina juara cuy ü•µüèÜüî•</t>
  </si>
  <si>
    <t>argentina juara cuy</t>
  </si>
  <si>
    <t>Lionel Messi menulis sebuah pesan di Instagram setelah Argentina juara Piala Dunia 2022. La Pulga sempat tak percaya mimpi yang terus dipupuk akhirnya terwujud.  https://t.co/PQJCmpXDXw</t>
  </si>
  <si>
    <t>@SerieA_Lawas Tapi kalo masih lautaro (gak di ganti alvarez) yg starter selama Argentina maen, apa bisa juara juga gak ya ? ü§î</t>
  </si>
  <si>
    <t>lawas tapi kalo masih lautaro gak ganti alvarez starter selama argentina maen apa bisa juara juga gak</t>
  </si>
  <si>
    <t>['lawas', 'lautaro', 'ganti', 'alvarez', 'starter', 'selama', 'argentina', 'maen', 'apa', 'juara']</t>
  </si>
  <si>
    <t>@Aleynanugraha @BetraPratama @imamloversmania @ridwankamil Argentina pasti dong jadi juara #bersamajuara #ridwankamil</t>
  </si>
  <si>
    <t>argentina pasti dong jadi juara</t>
  </si>
  <si>
    <t>['argentina', 'dong', 'jadi', 'juara']</t>
  </si>
  <si>
    <t>Meme: Sergio Aguero dan Iwan Bule Muncul di Perayaan Argentina Juara Piala Dunia 2022 -  https://t.co/kpmQt1cweG  https://t.co/7I4a1GeOSy via @bolanet  https://t.co/aNzDFA3v8E . . . #m88mansion #m88mansionindo #m88indo #m88laliga</t>
  </si>
  <si>
    <t>meme sergio aguero dan iwan bule muncul perayaan argentina juara piala dunia via</t>
  </si>
  <si>
    <t>['meme', 'sergio', 'aguero', 'iwan', 'bule', 'muncul', 'perayaan', 'argentina', 'juara', 'piala', 'dunia', 'via']</t>
  </si>
  <si>
    <t>Argentina Juara Piala Dunia 2022, Buenos Aires Bergelora -  https://t.co/kpmQt1cweG  https://t.co/WJgX6gdalg via @bolanet  https://t.co/aNzDFA3v8E . . . #m88mansion #m88mansionindo #m88indo #m88laliga</t>
  </si>
  <si>
    <t>argentina juara piala dunia buenos aires bergelora via</t>
  </si>
  <si>
    <t>['argentina', 'juara', 'piala', 'dunia', 'buenos', 'aires', 'bergelora', 'via']</t>
  </si>
  <si>
    <t>@BetraPratama @imamloversmania @ridwankamil ya ga gtu juga keles, argentina emang pantas juara #bersamajuara #ridwankamil</t>
  </si>
  <si>
    <t>gtu juga keles argentina emang pantas juara</t>
  </si>
  <si>
    <t>['gtu', 'keles', 'argentina', 'emang', 'pantas', 'juara']</t>
  </si>
  <si>
    <t>Innalillahi, Pesta Juara Dunia Argentina di Manado Tumbalkan Satu Nyawa  https://t.co/TVWcCr7J81</t>
  </si>
  <si>
    <t>innalillahi pesta juara dunia argentina manado tumbalkan satu nyawa</t>
  </si>
  <si>
    <t>['innalillahi', 'pesta', 'juara', 'dunia', 'argentina', 'manado', 'tumbalkan', 'satu', 'nyawa']</t>
  </si>
  <si>
    <t>Goosebumps nontonin video video keadaan detik detik Argentina juara di buenos aires</t>
  </si>
  <si>
    <t>goosebumps nontonin video video keadaan detik detik argentina juara buenos aires</t>
  </si>
  <si>
    <t>['goosebumps', 'nontonin', 'video', 'video', 'keadaan', 'detik', 'detik', 'argentina', 'juara', 'buenos', 'aires']</t>
  </si>
  <si>
    <t>Rodrigo De Paul turut berjasa bawa Argentina juara Piala Dunia 2022. De Paul sungguh bagai bodyguard La Albiceleste, keras ke lawan demi lindungi wilayahnya!  https://t.co/ny2R3QOnrq</t>
  </si>
  <si>
    <t>@PolJokesID Alhamdulillah Argentina juara berkat Iwan Bule</t>
  </si>
  <si>
    <t>alhamdulillah argentina juara berkat iwan bule</t>
  </si>
  <si>
    <t>['alhamdulillah', 'argentina', 'juara', 'berkat', 'iwan', 'bule']</t>
  </si>
  <si>
    <t>@ardynshufi Pelanggaran pada penalty pertama Argentina tipis, diputus tanpa VAR. Aneh? Pelanggaran pemain Argentina minim kartu Ottamendi harusnya kartu merah. Bla bla.. Hanya tanggapan atas status .. Argentina layak juara, tapi wasit berperan didalamnya.</t>
  </si>
  <si>
    <t>pelanggaran pada penalty pertama argentina tipis diputus tanpa var aneh pelanggaran pemain argentina minim kartu ottamendi harusnya kartu merah bla bla hanya tanggapan atas status argentina layak juara tapi wasit berperan didalamnya</t>
  </si>
  <si>
    <t>['pelanggaran', 'penalty', 'pertama', 'argentina', 'tipis', 'diputus', 'var', 'aneh', 'pelanggaran', 'pemain', 'argentina', 'minim', 'kartu', 'ottamendi', 'harusnya', 'kartu', 'merah', 'bla', 'bla', 'tanggapan', 'atas', 'status', 'argentina', 'layak', 'juara', 'wasit', 'berperan', 'didalamnya']</t>
  </si>
  <si>
    <t>Rodrigo De Paul turut berjasa bawa Argentina juara Piala Dunia 2022. De Paul sungguh bagai bodyguard La Albiceleste, keras ke lawan demi lindungi wilayahnya!  https://t.co/ny2R3R6wFy</t>
  </si>
  <si>
    <t>Argentina udh juara, gw masih deg degan aja</t>
  </si>
  <si>
    <t>argentina udh juara masih deg degan aja</t>
  </si>
  <si>
    <t>['argentina', 'sudah', 'juara', 'deg', 'degan']</t>
  </si>
  <si>
    <t>@gilangseva1 @Beginibegitulah @WitKatSpc @envyyyy78 @dolphinisasi @idextratime Argentina terakhir juar piala dunia 1986. Sblm ada Messi Argentina juga terakhir juara Copa America tahun 1993.ü§≠ü§≠</t>
  </si>
  <si>
    <t>argentina terakhir juar piala dunia sblm ada messi argentina juga terakhir juara copa america tahun</t>
  </si>
  <si>
    <t>['argentina', 'terakhir', 'juar', 'piala', 'dunia', 'sebelum', 'messi', 'argentina', 'terakhir', 'juara', 'copa', 'america', 'tahun']</t>
  </si>
  <si>
    <t>2022 anjing bgt tapi karna argentina juara jadi anjing dikit aja</t>
  </si>
  <si>
    <t>anjing bgt tapi karna argentina juara jadi anjing dikit aja</t>
  </si>
  <si>
    <t>['anjing', 'banget', 'karna', 'argentina', 'juara', 'jadi', 'anjing', 'dikit']</t>
  </si>
  <si>
    <t>@Beginibegitulah @TyoKakkoii01 @WitKatSpc @envyyyy78 @dolphinisasi @idextratime Namanya temen"temenya hebat itu ngaruh banget Argentina permiananya cukup kolektiv dan enak di tonton lu lihat portugal era cr 2016 mainnya opurtunis dan menghandalkan spam kr</t>
  </si>
  <si>
    <t>namanya temen temenya hebat itu ngaruh banget argentina permiananya cukup kolektiv dan enak tonton lihat portugal era mainnya opurtunis dan menghandalkan spam</t>
  </si>
  <si>
    <t>['namanya', 'temen', 'temenya', 'hebat', 'ngaruh', 'banget', 'argentina', 'permiananya', 'cukup', 'kolektiv', 'enak', 'tonton', 'lihat', 'portugal', 'era', 'mainnya', 'opurtunis', 'menghandalkan', 'spam']</t>
  </si>
  <si>
    <t>Kalo kata aing sih argentina nih juara</t>
  </si>
  <si>
    <t>kalo kata aing sih argentina nih juara</t>
  </si>
  <si>
    <t>['kata', 'aing', 'argentina', 'juara']</t>
  </si>
  <si>
    <t>@Beginibegitulah @_alimuhammad1 @realmadridindo1 Argentina bisa juara dengan skuad medioker karena tim2 eropa lainnya lagi jeblok..</t>
  </si>
  <si>
    <t>argentina bisa juara dengan skuad medioker karena tim eropa lainnya lagi jeblok</t>
  </si>
  <si>
    <t>['argentina', 'juara', 'skuad', 'medioker', 'tim', 'eropa', 'lainnya', 'jeblok']</t>
  </si>
  <si>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</si>
  <si>
    <t>jokowi resmi lantik yudo jadi panglima tni prank nikah narnia susanti prancis nomin jaya jaya jaya paul maradona lloris the real goat pukis sheikh messi minji sulky haechan smini all argentina emir qatar drake dream jake sully winwin gus muhaimin teaserimage</t>
  </si>
  <si>
    <t>['jokowi', 'resmi', 'lantik', 'yudo', 'jadi', 'panglima', 'tni', 'prank', 'nikah', 'narnia', 'susanti', 'prancis', 'nomin', 'jaya', 'jaya', 'jaya', 'paul', 'maradona', 'lloris', 'the', 'real', 'goat', 'pukis', 'sheikh', 'messi', 'minji', 'sulky', 'haechan', 'smini', 'all', 'argentina', 'emir', 'qatar', 'drake', 'dream', 'jake', 'sully', 'winwin', 'gus', 'muhaimin', 'teaserimage']</t>
  </si>
  <si>
    <t>&lt;FreqDist with 39 samples and 41 outcomes&gt;</t>
  </si>
  <si>
    <t>@TyoKakkoii01 @Beginibegitulah @WitKatSpc @envyyyy78 @dolphinisasi @idextratime That's why gua bilang portugal beruntung juara se ancur ancurnya generasi Argentina lbh ancur lagi peforma portugal di saat euro 2016 dan pd 2014 walaupun mereka juara Argenti</t>
  </si>
  <si>
    <t>that why gua bilang portugal beruntung juara ancur ancurnya generasi argentina lbh ancur lagi peforma portugal saat euro dan walaupun mereka juara argenti</t>
  </si>
  <si>
    <t>['that', 'why', 'gua', 'portugal', 'beruntung', 'juara', 'ancur', 'ancurnya', 'generasi', 'argentina', 'lbh', 'ancur', 'peforma', 'portugal', 'euro', 'walaupun', 'juara', 'argenti']</t>
  </si>
  <si>
    <t>Brasil Musuh Bebuyutan Argentina, Neymar Tetap Sanjung Lionel Messi Usai Juara Piala Dunia 2022  https://t.co/vWQhhV3jDz</t>
  </si>
  <si>
    <t>brasil musuh bebuyutan argentina neymar tetap sanjung lionel messi usai juara piala dunia</t>
  </si>
  <si>
    <t>['brasil', 'musuh', 'bebuyutan', 'argentina', 'neymar', 'tetap', 'sanjung', 'lionel', 'messi', 'usai', 'juara', 'piala', 'dunia']</t>
  </si>
  <si>
    <t>Argentina juara Piala Dunia 2022 lewat adu penalti kontra Prancis. Salah satu eksekutornya, Paulo Dybala benar-benar punya nyali tempatkan bola ke tengah!  https://t.co/6jczcAfDYm</t>
  </si>
  <si>
    <t>argentina juara piala dunia lewat adu penalti kontra prancis salah satu eksekutornya paulo dybala benar benar punya nyali tempatkan bola tengah</t>
  </si>
  <si>
    <t>['argentina', 'juara', 'piala', 'dunia', 'lewat', 'adu', 'penalti', 'kontra', 'prancis', 'salah', 'satu', 'eksekutornya', 'paulo', 'dybala', 'benar', 'benar', 'punya', 'nyali', 'tempatkan', 'bola', 'tengah']</t>
  </si>
  <si>
    <t>Kalo kata gua sih argentina nih juara</t>
  </si>
  <si>
    <t>kalo kata gua sih argentina nih juara</t>
  </si>
  <si>
    <t>['kata', 'gua', 'argentina', 'juara']</t>
  </si>
  <si>
    <t>@idextratime dejavu robben vs casillas final 2010</t>
  </si>
  <si>
    <t>dejavu robben casillas final</t>
  </si>
  <si>
    <t>['dejavu', 'robben', 'casillas', 'final']</t>
  </si>
  <si>
    <t>3. Kali terakhir Portugal kalah dari Maroko, Argentina jadi juara. Itu terjadi pada 1986. Tahun ini Portugal kembali kalah dari Maroko dan Argentina kembali jadi juara dunia.  Ini udah diprediksi oleh New Boyz dari tahun 2007. Sejarah Mungkin Berulang.  https://t.co/iIWE47xZXt</t>
  </si>
  <si>
    <t>kali terakhir portugal kalah dari maroko argentina jadi juara itu terjadi pada tahun ini portugal kembali kalah dari maroko dan argentina kembali jadi juara dunia ini udah diprediksi oleh new boyz dari tahun sejarah mungkin berulang</t>
  </si>
  <si>
    <t>['kali', 'terakhir', 'portugal', 'kalah', 'maroko', 'argentina', 'jadi', 'juara', 'terjadi', 'tahun', 'portugal', 'kalah', 'maroko', 'argentina', 'jadi', 'juara', 'dunia', 'udah', 'diprediksi', 'new', 'boyz', 'tahun', 'sejarah', 'mungkin', 'berulang']</t>
  </si>
  <si>
    <t>@zoldyk45 @_alimuhammad1 @realmadridindo1 ya tapi Argentina yg lu blg medioker td jg buktinya bs juara, Pildun malah, di masa non prime Messi pula, masa CR7 enggaü§£ü§£</t>
  </si>
  <si>
    <t>tapi argentina blg medioker buktinya juara pildun malah masa non prime messi pula masa engga</t>
  </si>
  <si>
    <t>['argentina', 'blg', 'medioker', 'buktinya', 'juara', 'piala dunia', 'malah', 'masa', 'non', 'prime', 'messi', 'masa', 'tidak']</t>
  </si>
  <si>
    <t>18.12.2022 juara dunia Argentina</t>
  </si>
  <si>
    <t>juara dunia argentina</t>
  </si>
  <si>
    <t>['juara', 'dunia', 'argentina']</t>
  </si>
  <si>
    <t>Eks Striker Persib Rayakan Keberhasilan Argentina Juara Piala Dunia 2022   https://t.co/3ith8nqFFG</t>
  </si>
  <si>
    <t>eks striker persib rayakan keberhasilan argentina juara piala dunia</t>
  </si>
  <si>
    <t>['eks', 'striker', 'persib', 'rayakan', 'keberhasilan', 'argentina', 'juara', 'piala', 'dunia']</t>
  </si>
  <si>
    <t>Mmg cerita dongeng WC kali ni,   Walaupun ada ler nampak Argentina punya perjalanan jadi Juara tu seakan ada support dari belakang tabir.   Aku pun jem, tiap match manjang dpt penalty.  Tapi final semalam, mmg buktikan dorg layak.</t>
  </si>
  <si>
    <t>mmg cerita dongeng kali walaupun ada ler nampak argentina punya perjalanan jadi juara seakan ada support dari belakang tabir aku pun jem tiap match manjang dpt penalty tapi final semalam mmg buktikan dorg layak</t>
  </si>
  <si>
    <t>['mmg', 'cerita', 'dongeng', 'kali', 'walaupun', 'ler', 'nampak', 'argentina', 'punya', 'perjalanan', 'jadi', 'juara', 'seakan', 'support', 'belakang', 'tabir', 'aku', 'jem', 'tiap', 'match', 'manjang', 'dpt', 'penalty', 'final', 'semalam', 'mmg', 'buktikan', 'dorg', 'layak']</t>
  </si>
  <si>
    <t>Ya udah langsung tidur aja sekarang zee biar besok tenaganya maximal. Full senyum nih hari ini, Argentina juara+ditraktir sushi. Semangat terus ya Azizi Asadel. #ZeeLetter</t>
  </si>
  <si>
    <t>udah langsung tidur aja sekarang zee biar besok tenaganya maximal full senyum nih hari ini argentina juara ditraktir sushi semangat terus azizi asadel</t>
  </si>
  <si>
    <t>['udah', 'langsung', 'tidur', 'sekarang', 'zee', 'besok', 'tenaganya', 'maximal', 'full', 'senyum', 'hari', 'argentina', 'juara', 'ditraktir', 'sushi', 'semangat', 'terus', 'azizi', 'asadel']</t>
  </si>
  <si>
    <t>@BarcaBandidos Orang indonesia aja boleh songong boleh senang2 krn argentina juara,, masa iya seorang aguero ga boleh..</t>
  </si>
  <si>
    <t>orang indonesia aja boleh songong boleh senang krn argentina juara masa iya seorang aguero boleh</t>
  </si>
  <si>
    <t>['orang', 'indonesia', 'songong', 'senang', 'argentina', 'juara', 'masa', 'iya', 'seorang', 'aguero']</t>
  </si>
  <si>
    <t>@Beginibegitulah @TyoKakkoii01 @WitKatSpc @envyyyy78 @dolphinisasi @idextratime Faktanya portugal gk ada cr7 blm pernah juara piala apapun, dri dlu Argentina juga bersaing dgn brazil bukan di era messi doang</t>
  </si>
  <si>
    <t>faktanya portugal ada blm pernah juara piala apapun dri dlu argentina juga bersaing dgn brazil bukan era messi doang</t>
  </si>
  <si>
    <t>['faktanya', 'portugal', 'blm', 'pernah', 'juara', 'piala', 'apapun', 'dri', 'dlu', 'argentina', 'bersaing', 'brazil', 'bukan', 'era', 'messi', 'doang']</t>
  </si>
  <si>
    <t>2. Siapapun yang mengalahkan Australia di babak knockout, mereka akan jadi juara dunia.  Australia cuma 2 kali lolos ke babak 16 besar PD. Pertama 2006 dan kedua 2022. 2006 kalah dari Itali dan tahun ini kalah dari Argentina.  Itali dan Argen jadi juara. Wow!</t>
  </si>
  <si>
    <t>siapapun yang mengalahkan australia babak knockout mereka akan jadi juara dunia australia cuma kali lolos babak besar pertama dan kedua kalah dari itali dan tahun ini kalah dari argentina itali dan argen jadi juara wow</t>
  </si>
  <si>
    <t>['siapapun', 'mengalahkan', 'australia', 'babak', 'knockout', 'jadi', 'juara', 'dunia', 'australia', 'cuma', 'kali', 'lolos', 'babak', 'besar', 'pertama', 'kedua', 'kalah', 'itali', 'tahun', 'kalah', 'argentina', 'itali', 'argen', 'jadi', 'juara', 'wow']</t>
  </si>
  <si>
    <t>@mojangmajeng pada era beliau akhirnya argentina bisa juara lagi</t>
  </si>
  <si>
    <t>pada era beliau akhirnya argentina bisa juara lagi</t>
  </si>
  <si>
    <t>['era', 'beliau', 'akhirnya', 'argentina', 'juara']</t>
  </si>
  <si>
    <t>Kamu Naenyak Siapa yang Juara Kamu Bertanya-tanya SU PASTI ARGENTINA</t>
  </si>
  <si>
    <t>kamu naenyak siapa yang juara kamu bertanya tanya pasti argentina</t>
  </si>
  <si>
    <t>['kamu', 'naenyak', 'siapa', 'juara', 'kamu', 'bertanya', 'tanya', 'argentina']</t>
  </si>
  <si>
    <t>selamat timnas argentina mejadi juara trophy ke 3 kalinya  #FIFAWorldCup #PialaDunia2022 #Argentina #argentinajuara #TheLoudHouse #TheCasagrandes #TheGhostAndMollyMcGee #ojamajodoremi  https://t.co/YZSo4rfNdY</t>
  </si>
  <si>
    <t>selamat timnas argentina mejadi juara trophy kalinya</t>
  </si>
  <si>
    <t>['selamat', 'timnas', 'argentina', 'mejadi', 'juara', 'trophy', 'kalinya']</t>
  </si>
  <si>
    <t>@ikiinya Kalau Argentina juara beda dg kalau argentina menang üòÅüòÅüòÅ</t>
  </si>
  <si>
    <t>kalau argentina juara beda kalau argentina menang</t>
  </si>
  <si>
    <t>['kalau', 'argentina', 'juara', 'beda', 'kalau', 'argentina', 'menang']</t>
  </si>
  <si>
    <t>@PolJokesID salah besar. ini semua karena kita berada di era pak Iwan Bule. sejak pak Iwan Bule menjabat ketua PSSI, Argentina berhasil juara Copa America &amp;amp; Piala Dunia. Vamos pak Ibul üëèüèºüí™üèº</t>
  </si>
  <si>
    <t>salah besar ini semua karena kita berada era pak iwan bule sejak pak iwan bule menjabat ketua pssi argentina berhasil juara copa america piala dunia vamos pak ibul</t>
  </si>
  <si>
    <t>['salah', 'besar', 'semua', 'berada', 'era', 'pak', 'iwan', 'bule', 'sejak', 'pak', 'iwan', 'bule', 'menjabat', 'ketua', 'pssi', 'argentina', 'berhasil', 'juara', 'copa', 'america', 'piala', 'dunia', 'vamos', 'pak', 'ibul']</t>
  </si>
  <si>
    <t>Pertandingan tadi malam bukan hanya menyajikan semangat serta mental juara tim asuhan Didier Deschamps dalam upaya mepertahankan gelar juara dunianya. Terlebih, laga kedua finalis telah membuat sepak bola menjadi juara. Terima kasih Prancis dan Argentina!  https://t.co/sRhbTTGfON</t>
  </si>
  <si>
    <t>pertandingan tadi malam bukan hanya menyajikan semangat serta mental juara tim asuhan didier deschamps dalam upaya mepertahankan gelar juara dunianya terlebih laga kedua finalis telah membuat sepak bola menjadi juara terima kasih prancis dan argentina</t>
  </si>
  <si>
    <t>['pertandingan', 'tadi', 'malam', 'bukan', 'menyajikan', 'semangat', 'mental', 'juara', 'tim', 'asuhan', 'didier', 'deschamps', 'upaya', 'mepertahankan', 'gelar', 'juara', 'dunianya', 'terlebih', 'laga', 'kedua', 'finalis', 'membuat', 'sepak', 'bola', 'menjadi', 'juara', 'terima', 'kasih', 'prancis', 'argentina']</t>
  </si>
  <si>
    <t>yaelah mau jd atletico madrid versi negara ni tim, klo bukan karena messi juga gabakal juara tai argentina</t>
  </si>
  <si>
    <t>yaelah mau atletico madrid versi negara tim klo bukan karena messi juga gabakal juara tai argentina</t>
  </si>
  <si>
    <t>['yaelah', 'mau', 'atletico', 'madrid', 'versi', 'negara', 'tim', 'bukan', 'messi', 'gabakal', 'juara', 'tai', 'argentina']</t>
  </si>
  <si>
    <t>Profil dan Perjalanan Karir Emiliano Martinez ! Penjaga Gawang Pinjaman yang Sukses Membawa Argentina Juara  https://t.co/d0Vx4D6AWt</t>
  </si>
  <si>
    <t>profil dan perjalanan karir emiliano martinez penjaga gawang pinjaman yang sukses membawa argentina juara</t>
  </si>
  <si>
    <t>['profil', 'perjalanan', 'karir', 'emiliano', 'martinez', 'penjaga', 'gawang', 'pinjaman', 'sukses', 'membawa', 'argentina', 'juara']</t>
  </si>
  <si>
    <t>@erickthohir @KMbappe Congrats Argentina pantas juara ‚öΩÔ∏è‚öΩÔ∏è‚öΩÔ∏èPiala dunia 2022, Mentri BUMN</t>
  </si>
  <si>
    <t>congrats argentina pantas juara piala dunia mentri bumn</t>
  </si>
  <si>
    <t>['congrats', 'argentina', 'pantas', 'juara', 'piala', 'dunia', 'mentri', 'bumn']</t>
  </si>
  <si>
    <t>pildun malah tl diisi oleh muka oikawa, mentang-mentang argentina yang juara wkwkwkwk</t>
  </si>
  <si>
    <t>pildun malah diisi oleh muka oikawa mentang mentang argentina yang juara wkwkwkwk</t>
  </si>
  <si>
    <t>['piala dunia', 'malah', 'diisi', 'muka', 'oikawa', 'mentang', 'mentang', 'argentina', 'juara', 'wkwkwkwk']</t>
  </si>
  <si>
    <t>@GOAL_ID Tidak... Tu di maria diving... Di bantu wasit argentina juara</t>
  </si>
  <si>
    <t>tidak maria diving bantu wasit argentina juara</t>
  </si>
  <si>
    <t>['maria', 'diving', 'bantu', 'wasit', 'argentina', 'juara']</t>
  </si>
  <si>
    <t>@realmeindonesia Min saya nebak benar nih juara pildun Argentina, kapan dikasih hp nyüòé</t>
  </si>
  <si>
    <t>min saya nebak benar nih juara pildun argentina kapan dikasih</t>
  </si>
  <si>
    <t>['min', 'nebak', 'benar', 'juara', 'piala dunia', 'argentina', 'kapan', 'dikasih']</t>
  </si>
  <si>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</si>
  <si>
    <t>selamat untuk timnas argentina yang udah berhasil menangin piala dunia kalian bisa saksikan perjalanan tim tango menuju panggung piala dunia qatar sebelum meraih gelar juara dunia untuk ketiga kalinya argentine national team road qatar</t>
  </si>
  <si>
    <t>['selamat', 'timnas', 'argentina', 'udah', 'berhasil', 'menangin', 'piala', 'dunia', 'kalian', 'saksikan', 'perjalanan', 'tim', 'tango', 'menuju', 'panggung', 'piala', 'dunia', 'qatar', 'meraih', 'gelar', 'juara', 'dunia', 'ketiga', 'kalinya', 'argentine', 'national', 'team', 'road', 'qatar']</t>
  </si>
  <si>
    <t>Dear @SCTV  Gak mau beli hak siar Ligue 1 kah, ada 4 juara dunia yg main di @PSGindonesia loh, Brasil, Argentina, Perancis, dan Spanyol...</t>
  </si>
  <si>
    <t>dear gak mau beli hak siar ligue kah ada juara dunia main loh brasil argentina perancis dan spanyol</t>
  </si>
  <si>
    <t>['dear', 'mau', 'beli', 'hak', 'siar', 'ligue', 'juara', 'dunia', 'main', 'brasil', 'argentina', 'perancis', 'spanyol']</t>
  </si>
  <si>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</si>
  <si>
    <t>selamat argentina juara piala dunia berakhir sudah perdebatan siapa sesungguhnya antara messi ronaldo walaupun saya fans berat selamat sekali lagi sebenarnya bakal notice pihak siapapun twit saya ini sebagai rekam digital pribadi aja</t>
  </si>
  <si>
    <t>['selamat', 'argentina', 'juara', 'piala', 'dunia', 'berakhir', 'perdebatan', 'siapa', 'sesungguhnya', 'messi', 'ronaldo', 'walaupun', 'fans', 'berat', 'selamat', 'sekali', 'sebenarnya', 'bakal', 'notice', 'pihak', 'siapapun', 'twit', 'rekam', 'digital', 'pribadi']</t>
  </si>
  <si>
    <t>@idextratime Kalau Adam nggak turun ke bumi, berdasarkan law of life, Argentina nggak akan juara tahun ini. Dan akan sangat menyakitkanjika itu terjadi.</t>
  </si>
  <si>
    <t>kalau adam nggak turun bumi berdasarkan law life argentina nggak akan juara tahun ini dan akan sangat menyakitkanjika itu terjadi</t>
  </si>
  <si>
    <t>['kalau', 'adam', 'turun', 'bumi', 'berdasarkan', 'law', 'life', 'argentina', 'juara', 'tahun', 'sangat', 'menyakitkanjika', 'terjadi']</t>
  </si>
  <si>
    <t>@PSSI Hanya dimasa iwan bule argentina bisa juara, terimakasih iwan bule  https://t.co/0J6b3Pcyia</t>
  </si>
  <si>
    <t>hanya dimasa iwan bule argentina bisa juara terimakasih iwan bule</t>
  </si>
  <si>
    <t>['dimasa', 'iwan', 'bule', 'argentina', 'juara', 'terimakasih', 'iwan', 'bule']</t>
  </si>
  <si>
    <t>@cursedkidd Juara 2 ya juara 2, juara 1 tetap argentina...  Dont make france cry, argentinaaa... üé∂ (Madonna singing)</t>
  </si>
  <si>
    <t>juara juara juara tetap argentina dont make france cry argentinaaa madonna singing</t>
  </si>
  <si>
    <t>['juara', 'juara', 'juara', 'tetap', 'argentina', 'dont', 'make', 'france', 'cry', 'argentinaaa', 'madonna', 'singing']</t>
  </si>
  <si>
    <t>Sempurna! Messi dan Maradona Sama-Sama Pernah Bawa Argentina Juara Piala Dunia¬†U-20  https://t.co/ZAgbjFRGuK</t>
  </si>
  <si>
    <t>sempurna messi dan maradona sama sama pernah bawa argentina juara piala dunia</t>
  </si>
  <si>
    <t>['sempurna', 'messi', 'maradona', 'sama', 'sama', 'pernah', 'bawa', 'argentina', 'juara', 'piala', 'dunia']</t>
  </si>
  <si>
    <t>@AffiatFarid @ekybwk @MafiaWasit Iya Argentina juara üòå</t>
  </si>
  <si>
    <t>iya argentina juara</t>
  </si>
  <si>
    <t>['iya', 'argentina', 'juara']</t>
  </si>
  <si>
    <t>Sergio Aguero layak disebut 'seksi lawak'. Aksinya saat Argentina selebrasi juara Piala Dunia 2022 mengundang tawa, seperti melotot lihat Messi cek HP!  https://t.co/BsxkILIbNQ</t>
  </si>
  <si>
    <t>sergio aguero layak disebut seksi lawak aksinya saat argentina selebrasi juara piala dunia mengundang tawa seperti melotot lihat messi cek</t>
  </si>
  <si>
    <t>['sergio', 'aguero', 'layak', 'disebut', 'seksi', 'lawak', 'aksinya', 'argentina', 'selebrasi', 'juara', 'piala', 'dunia', 'mengundang', 'tawa', 'melotot', 'lihat', 'messi', 'cek']</t>
  </si>
  <si>
    <t>@nextjack1995 @fachrizzzzz @FaktaSepakbola Argentina bukan cuma messi. Ada pemain pembawa keberuntungan. Setiap kali dia cetak gol di final, Argentina pasti juara, siapa lagi kalo bukan angel di maria.</t>
  </si>
  <si>
    <t>argentina bukan cuma messi ada pemain pembawa keberuntungan setiap kali dia cetak gol final argentina pasti juara siapa lagi kalo bukan angel maria</t>
  </si>
  <si>
    <t>['argentina', 'bukan', 'cuma', 'messi', 'pemain', 'pembawa', 'keberuntungan', 'kali', 'cetak', 'gol', 'final', 'argentina', 'juara', 'siapa', 'bukan', 'angel', 'maria']</t>
  </si>
  <si>
    <t>Seronok betul uncle ini Min tengok. üòÇ Tahniah Argentina juara Piala Dunia 2022!   Kredit: TikTok/ainazamz  #DIDIKTV #DIDIKTVKPM #SaluranPendidikan  https://t.co/jtIrFrgtYQ</t>
  </si>
  <si>
    <t>seronok betul uncle ini min tengok tahniah argentina juara piala dunia kredit tiktok ainazamz</t>
  </si>
  <si>
    <t>['seronok', 'betul', 'uncle', 'min', 'tengok', 'tahniah', 'argentina', 'juara', 'piala', 'dunia', 'kredit', 'tiktok', 'ainazamz']</t>
  </si>
  <si>
    <t>Sya mari berbahagia dengan @Argentina juara world cup qatar 2022 :))</t>
  </si>
  <si>
    <t>sya mari berbahagia dengan juara world cup qatar</t>
  </si>
  <si>
    <t>['sya', 'berbahagia', 'juara', 'world', 'cup', 'qatar']</t>
  </si>
  <si>
    <t>@FaktaSepakbola Argentina itu salah satu negara yg punya sejarah panjang dalam dunia sepakbola. Sebelumnya udah 2x juara pildun. Messi itu penerus maradona yg fenomenal yg berhasil membawa negaranya juara pildun.</t>
  </si>
  <si>
    <t>argentina itu salah satu negara punya sejarah panjang dalam dunia sepakbola sebelumnya udah juara pildun messi itu penerus maradona fenomenal berhasil membawa negaranya juara pildun</t>
  </si>
  <si>
    <t>['argentina', 'salah', 'satu', 'negara', 'punya', 'sejarah', 'panjang', 'dunia', 'sepakbola', 'sebelumnya', 'udah', 'juara', 'piala dunia', 'messi', 'penerus', 'maradona', 'fenomenal', 'berhasil', 'membawa', 'negaranya', 'juara', 'piala dunia']</t>
  </si>
  <si>
    <t>Juara Piala Dunia 2022, Argentina Punya 5 Destinasi Wisata Menakjubkan ‚Äì CNN Indonesia ‚Äì  https://t.co/BwJDwtCQjo ‚Äì #Arenanews #Kamidi #Opsiminfo- https://t.co/VhsE1cMjoa</t>
  </si>
  <si>
    <t>juara piala dunia argentina punya destinasi wisata menakjubkan cnn indonesia</t>
  </si>
  <si>
    <t>['juara', 'piala', 'dunia', 'argentina', 'punya', 'destinasi', 'wisata', 'menakjubkan', 'cnn', 'indonesia']</t>
  </si>
  <si>
    <t>FINAL PIALA DUNIA 2022 ‚Äì Argentina Juara Dunia, 2 Tim Medioker Liga Inggris Ikut Catat Rekor ‚Äì Semua Halaman ‚Äì Bolasport ‚Äì  https://t.co/dSaESt7v3D ‚Äì #Arenanews #Kamidi #Opsiminfo- https://t.co/BUBXczBGLk</t>
  </si>
  <si>
    <t>final piala dunia argentina juara dunia tim medioker liga inggris ikut catat rekor semua halaman bolasport</t>
  </si>
  <si>
    <t>['final', 'piala', 'dunia', 'argentina', 'juara', 'dunia', 'tim', 'medioker', 'liga', 'inggris', 'ikut', 'catat', 'rekor', 'semua', 'halaman', 'bolasport']</t>
  </si>
  <si>
    <t>Akhir indah cerita Messi, Juara! . #argentina #messi #lionelmessi #worldchampion #worldcup2022 #qatar #infographic #infografis @ Jakarta  https://t.co/v4TaT84flf</t>
  </si>
  <si>
    <t>akhir indah cerita messi juara jakarta</t>
  </si>
  <si>
    <t>['akhir', 'indah', 'cerita', 'messi', 'juara', 'jakarta']</t>
  </si>
  <si>
    <t>@idextratime Eh berita awal kan katanya klo argentina juara bakal d politisasi sama goverment d sana ya, sekarang apa kabarnya ya</t>
  </si>
  <si>
    <t>berita awal kan katanya klo argentina juara bakal politisasi sama goverment sana sekarang apa kabarnya</t>
  </si>
  <si>
    <t>['berita', 'awal', 'kan', 'katanya', 'argentina', 'juara', 'bakal', 'politisasi', 'sama', 'goverment', 'sana', 'sekarang', 'apa', 'kabarnya']</t>
  </si>
  <si>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</si>
  <si>
    <t>aaa udah nobar lagi dehh makasii guys atas kesempatan nobar nya mulai dari bogor sampe depok alhamdulillah bisa liat argentina kesayangan kita juara next barca emyu lah wkwk kalo bisa butuh pasukan baru</t>
  </si>
  <si>
    <t>['aaa', 'udah', 'nonton bareng', 'dehh', 'makasii', 'guys', 'atas', 'kesempatan', 'nonton bareng', 'mulai', 'bogor', 'sampai', 'depok', 'alhamdulillah', 'lihat', 'argentina', 'kesayangan', 'juara', 'next', 'barca', 'emyu', 'lah', 'butuh', 'pasukan', 'baru']</t>
  </si>
  <si>
    <t>Chef selebritas Salt Bae ikut merayakan sukses Argentina juara Piala Dunia 2022. Tapi netizen panas karena Salt Bae memegang dan mencium trofi juara!  https://t.co/BOQD7Nk65t</t>
  </si>
  <si>
    <t xml:space="preserve">@zoldyk45 @_alimuhammad1 @realmadridindo1 NGAKAK masih bae penyepong dodo nyari alesan ü§£ lu kira Belanda smaa Prancis bukan tim kuat gitu? Brasil aja kalah sama Argentina di final Copa America maren. Trus Portugal waktu juara Euro2016 gimana? yg lolos </t>
  </si>
  <si>
    <t>ngakak masih bae penyepong dodo nyari alesan kira belanda smaa prancis bukan tim kuat gitu brasil aja kalah sama argentina final copa america maren trus portugal waktu juara euro gimana lolos</t>
  </si>
  <si>
    <t>['ngakak', 'bae', 'penyepong', 'dodo', 'nyari', 'alesan', 'kira', 'belanda', 'smaa', 'prancis', 'bukan', 'tim', 'kuat', 'gitu', 'brasil', 'kalah', 'sama', 'argentina', 'final', 'copa', 'america', 'maren', 'trus', 'portugal', 'waktu', 'juara', 'euro', 'gimana', 'lolos']</t>
  </si>
  <si>
    <t>prancis kalah karo argentina, prancis juara 2, sedangkan argentina kalah karo arab saudi, berarti juara 1 e arab saudi?</t>
  </si>
  <si>
    <t>prancis kalah karo argentina prancis juara sedangkan argentina kalah karo arab saudi berarti juara arab saudi</t>
  </si>
  <si>
    <t>['prancis', 'kalah', 'karo', 'argentina', 'prancis', 'juara', 'argentina', 'kalah', 'karo', 'arab', 'saudi', 'berarti', 'juara', 'arab', 'saudi']</t>
  </si>
  <si>
    <t>&lt;FreqDist with 8 samples and 15 outcomes&gt;</t>
  </si>
  <si>
    <t>Lionel Andres Messi itu adalah nama lengkap dari bintang Argentina yang berhasil membawa juara¬†Piala Dunia 2022.  Lionel Messi yang lahir pada 24 Juni 1987 biasa dikenal sebagai Leo Messi. Ia adalah pemain sepak bola profesional Argentina yang saat ini bermain  https://t.co/7G2HkSaYIm</t>
  </si>
  <si>
    <t>lionel andres messi itu adalah nama lengkap dari bintang argentina yang berhasil membawa juara piala dunia lionel messi yang lahir pada juni biasa dikenal sebagai leo messi adalah pemain sepak bola profesional argentina yang saat ini bermain</t>
  </si>
  <si>
    <t>['lionel', 'andres', 'messi', 'nama', 'lengkap', 'bintang', 'argentina', 'berhasil', 'membawa', 'juara', 'piala', 'dunia', 'lionel', 'messi', 'lahir', 'juni', 'biasa', 'dikenal', 'leo', 'messi', 'pemain', 'sepak', 'bola', 'profesional', 'argentina', 'bermain']</t>
  </si>
  <si>
    <t>@Beginibegitulah @_alimuhammad1 @realmadridindo1 pildun 2010 itu tim2 kuat lagi onfire Pildun 2022 ini tim2 kuat lagi bapuk2nya... argentina ketolong dengan tim yg medioker bisa juara...ya karena diatas</t>
  </si>
  <si>
    <t>pildun itu tim kuat lagi onfire pildun ini tim kuat lagi bapuk nya argentina ketolong dengan tim medioker bisa juara karena diatas</t>
  </si>
  <si>
    <t>['piala dunia', 'tim', 'kuat', 'onfire', 'piala dunia', 'tim', 'kuat', 'bapuk', 'argentina', 'ketolong', 'tim', 'medioker', 'juara', 'diatas']</t>
  </si>
  <si>
    <t>@zoldyk45 @_alimuhammad1 @realmadridindo1 Berarti elu gabisa kambinghitamin "kemediokeran" Portugal atas gagalnya CR7 dpt trophy Pildun pan yak, soalnya Messi jg bs bawa Argentina juara yg lu blg kelasnya medioker itu.</t>
  </si>
  <si>
    <t>berarti elu gabisa kambinghitamin kemediokeran portugal atas gagalnya dpt trophy pildun pan yak soalnya messi bawa argentina juara blg kelasnya medioker itu</t>
  </si>
  <si>
    <t>['berarti', 'elu', 'gabisa', 'kambinghitamin', 'kemediokeran', 'portugal', 'atas', 'gagalnya', 'dpt', 'trophy', 'piala dunia', 'pan', 'yak', 'soalnya', 'messi', 'bawa', 'argentina', 'juara', 'blg', 'kelasnya', 'medioker']</t>
  </si>
  <si>
    <t>@idextratime argentina juara aja anton jilat pantat admin, kl indo juara kira2 anton jilat apanya admin ya</t>
  </si>
  <si>
    <t>argentina juara aja anton jilat pantat admin indo juara kira anton jilat apanya admin</t>
  </si>
  <si>
    <t>['argentina', 'juara', 'anton', 'jilat', 'pantat', 'admin', 'indo', 'juara', 'kira', 'anton', 'jilat', 'apanya', 'admin']</t>
  </si>
  <si>
    <t>Lionel Messi menulis sebuah pesan di Instagram setelah Argentina juara Piala Dunia 2022. La Pulga sempat tak percaya mimpi yang terus dipupuk akhirnya terwujud.  https://t.co/akpzjltA8h</t>
  </si>
  <si>
    <t>Selamat kepada timnas Argentina sebagai juara Piala Dunia 2022 Qatar.  https://t.co/VuNGWfpzNc</t>
  </si>
  <si>
    <t>selamat kepada timnas argentina sebagai juara piala dunia qatar</t>
  </si>
  <si>
    <t>['selamat', 'timnas', 'argentina', 'juara', 'piala', 'dunia', 'qatar']</t>
  </si>
  <si>
    <t>@WAHYUYK_ Ke ciamis jemput si wina All in prancis yang juara argentina</t>
  </si>
  <si>
    <t>ciamis jemput wina all prancis yang juara argentina</t>
  </si>
  <si>
    <t>['ciamis', 'jemput', 'wina', 'all', 'prancis', 'juara', 'argentina']</t>
  </si>
  <si>
    <t>Lionel Messi menulis sebuah pesan di Instagram setelah Argentina juara Piala Dunia 2022. La Pulga sempat tak percaya mimpi yang terus dipupuk akhirnya terwujud.  https://t.co/akpzjlKDah</t>
  </si>
  <si>
    <t xml:space="preserve">@Beginibegitulah @_alimuhammad1 @realmadridindo1 Argentina juara karena tim lainnya kualitasnya menurun kecuali perancis isinya pemain top... brasil, jerman, spanyol, bahkan italia ngak lolos... tim seperti maroko bisa melaju ke semifinal bukti tim2 kuat </t>
  </si>
  <si>
    <t>argentina juara karena tim lainnya kualitasnya menurun kecuali perancis isinya pemain top brasil jerman spanyol bahkan italia ngak lolos tim seperti maroko bisa melaju semifinal bukti tim kuat</t>
  </si>
  <si>
    <t>['argentina', 'juara', 'tim', 'lainnya', 'kualitasnya', 'menurun', 'perancis', 'isinya', 'pemain', 'top', 'brasil', 'jerman', 'spanyol', 'bahkan', 'italia', 'ngak', 'lolos', 'tim', 'maroko', 'melaju', 'semifinal', 'bukti', 'tim', 'kuat']</t>
  </si>
  <si>
    <t>Detik-detik Argentina Juara ü•≥  #FIFAWorldCup #MessiìÉµ #Argentina #GOAT  https://t.co/SL8sAFQ1iO</t>
  </si>
  <si>
    <t>detik detik argentina juara</t>
  </si>
  <si>
    <t>['detik', 'detik', 'argentina', 'juara']</t>
  </si>
  <si>
    <t>Buenos Aires masih nunggu Messi &amp;amp; Trophy Juara Dunia yang sedang OTW ‚úàÔ∏è Flight ke Argentina  https://t.co/LDKVvhkH3n</t>
  </si>
  <si>
    <t>buenos aires masih nunggu messi trophy juara dunia yang sedang otw flight argentina</t>
  </si>
  <si>
    <t>['buenos', 'aires', 'nunggu', 'messi', 'trophy', 'juara', 'dunia', 'sedang', 'on the way', 'flight', 'argentina']</t>
  </si>
  <si>
    <t>@Themann__98 @idextratime Idup lo aja hasil give away dari Tuhan kok lo nyinyir Argentina juara yg give away dari Tuhan?</t>
  </si>
  <si>
    <t>idup aja hasil give away dari tuhan kok nyinyir argentina juara give away dari tuhan</t>
  </si>
  <si>
    <t>['idup', 'hasil', 'give', 'away', 'tuhan', 'kok', 'nyinyir', 'argentina', 'juara', 'give', 'away', 'tuhan']</t>
  </si>
  <si>
    <t>Juara piala dunia Argentina, yang pakai jubah hitam Messi, yang ribut Indonesia.</t>
  </si>
  <si>
    <t>juara piala dunia argentina yang pakai jubah hitam messi yang ribut indonesia</t>
  </si>
  <si>
    <t>['juara', 'piala', 'dunia', 'argentina', 'pakai', 'jubah', 'hitam', 'messi', 'ribut', 'indonesia']</t>
  </si>
  <si>
    <t>So...  Ingat baik2 ini.   Messi bisa angkat trophie Piala Dunia sejak: - keluar dari Barcelona - wafatnya Maradona.  Dua entitas inilah penyebab Argentina sulit juara dari 2006 padahal ada Messi.  Salam   MU    (Messi United)  https://t.co/oLznFBSQ31</t>
  </si>
  <si>
    <t>ingat baik ini messi bisa angkat trophie piala dunia sejak keluar dari barcelona wafatnya maradona dua entitas inilah penyebab argentina sulit juara dari padahal ada messi salam messi united</t>
  </si>
  <si>
    <t>['ingat', 'baik', 'messi', 'angkat', 'trophie', 'piala', 'dunia', 'sejak', 'keluar', 'barcelona', 'wafatnya', 'maradona', 'entitas', 'inilah', 'penyebab', 'argentina', 'sulit', 'juara', 'padahal', 'messi', 'salam', 'messi', 'united']</t>
  </si>
  <si>
    <t>suara abis gpp, sing penting argentina juara xixixi</t>
  </si>
  <si>
    <t>suara abis gpp sing penting argentina juara xixixi</t>
  </si>
  <si>
    <t>['suara', 'abis', 'gapapa', 'sing', 'penting', 'argentina', 'juara', 'xixixi']</t>
  </si>
  <si>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</si>
  <si>
    <t>meski imbang setelah menit tidak ada momen membosankan selama pertandingan kedua tim menyumbang total gol namun pada akhirnya hanya ada satu yang bisa menjadi juara selamat kepada argentina yang berhasil kembali menjuarai piala dunia setelah absen tahun</t>
  </si>
  <si>
    <t>['meski', 'imbang', 'menit', 'momen', 'membosankan', 'selama', 'pertandingan', 'kedua', 'tim', 'menyumbang', 'total', 'gol', 'akhirnya', 'satu', 'menjadi', 'juara', 'selamat', 'argentina', 'berhasil', 'menjuarai', 'piala', 'dunia', 'absen', 'tahun']</t>
  </si>
  <si>
    <t>Argentina juara Piala Dunia 2022 lewat adu penalti kontra Prancis. Salah satu eksekutornya, Paulo Dybala benar-benar punya nyali tempatkan bola ke tengah!  https://t.co/d6ZmWR3ZNy</t>
  </si>
  <si>
    <t>@Beginibegitulah @_alimuhammad1 @realmadridindo1 Argentina memang kelasnya medioker, klo juara memang 80% kontribusi messi</t>
  </si>
  <si>
    <t>argentina memang kelasnya medioker klo juara memang kontribusi messi</t>
  </si>
  <si>
    <t>['argentina', 'memang', 'kelasnya', 'medioker', 'juara', 'memang', 'kontribusi', 'messi']</t>
  </si>
  <si>
    <t>Argentina keluar sebagai juara Piala Dunia tahun ini,aku rasa itu adalah hasil yg terbaik.karier Kylian masih panjang dan bisa lebih hebat lagiüëç sementara Messi sudah lama bermain dgn si kulit bundar ‚öΩ selamat utk kemenangannya Argentina.Vamos!</t>
  </si>
  <si>
    <t>argentina keluar sebagai juara piala dunia tahun ini aku rasa itu adalah hasil terbaik karier kylian masih panjang dan bisa lebih hebat lagi sementara messi sudah lama bermain dgn kulit bundar selamat utk kemenangannya argentina vamos</t>
  </si>
  <si>
    <t>['argentina', 'keluar', 'juara', 'piala', 'dunia', 'tahun', 'aku', 'rasa', 'hasil', 'terbaik', 'karier', 'kylian', 'panjang', 'lebih', 'hebat', 'messi', 'lama', 'bermain', 'kulit', 'bundar', 'selamat', 'kemenangannya', 'argentina', 'vamos']</t>
  </si>
  <si>
    <t>Dari prediksi beberapa orang tentang Argentina yang bakal juara WC 2022, maka bisa disimpulkan sih bahwa hidup berjalan secara matematis...  Disimpulkan juga tentang ilusi Freewill, Freewill sbnarnya ga benar2 ada 100%..  Krn hidup harus berjalan sesuai script &amp;amp; matematis.</t>
  </si>
  <si>
    <t>dari prediksi beberapa orang tentang argentina yang bakal juara maka bisa disimpulkan sih bahwa hidup berjalan secara matematis disimpulkan juga tentang ilusi freewill freewill sbnarnya benar ada krn hidup harus berjalan sesuai script matematis</t>
  </si>
  <si>
    <t>['prediksi', 'beberapa', 'orang', 'argentina', 'bakal', 'juara', 'disimpulkan', 'hidup', 'berjalan', 'matematis', 'disimpulkan', 'ilusi', 'freewill', 'freewill', 'sbnarnya', 'benar', 'hidup', 'berjalan', 'sesuai', 'script', 'matematis']</t>
  </si>
  <si>
    <t>@SiaranBolaLive Katanya kalo argentina juara bakal inflasi menurut pakar geopolitik?</t>
  </si>
  <si>
    <t>katanya kalo argentina juara bakal inflasi menurut pakar geopolitik</t>
  </si>
  <si>
    <t>['katanya', 'argentina', 'juara', 'bakal', 'inflasi', 'pakar', 'geopolitik']</t>
  </si>
  <si>
    <t>Di jaman SBY, Maroko gak bisa masuk semifinal. Di jaman SBY juga Argentina gak jadi juara piala dunia.  Terima kasih pak Jokowi</t>
  </si>
  <si>
    <t>jaman sby maroko gak bisa masuk semifinal jaman sby juga argentina gak jadi juara piala dunia terima kasih pak jokowi</t>
  </si>
  <si>
    <t>['jaman', 'sby', 'maroko', 'masuk', 'semifinal', 'jaman', 'sby', 'argentina', 'jadi', 'juara', 'piala', 'dunia', 'terima', 'kasih', 'pak', 'jokowi']</t>
  </si>
  <si>
    <t>@zoldyk45 @_alimuhammad1 @realmadridindo1 Kalau pake pola pikir lu ya gue bakal blg skuad Argentina medioker di Pildun kali ini, krn kalah saing sama kualitas skuad PORTUGAL, Brasil, Prancis, Inggris. Tp nyatanya juaraü§£ü§£ü§£</t>
  </si>
  <si>
    <t>kalau pake pola pikir gue bakal blg skuad argentina medioker pildun kali ini krn kalah saing sama kualitas skuad portugal brasil prancis inggris nyatanya juara</t>
  </si>
  <si>
    <t>['kalau', 'pake', 'pola', 'pikir', 'gue', 'bakal', 'blg', 'skuad', 'argentina', 'medioker', 'piala dunia', 'kali', 'kalah', 'saing', 'sama', 'kualitas', 'skuad', 'portugal', 'brasil', 'prancis', 'inggris', 'nyatanya', 'juara']</t>
  </si>
  <si>
    <t>@idextratime Argentina anak kesayangan FIFA.  Juara Piala Dunia dengan gol hands ball Dan Menyuap FIFA  https://t.co/3Pz9q4Rpze</t>
  </si>
  <si>
    <t>argentina anak kesayangan fifa juara piala dunia dengan gol hands ball dan menyuap fifa</t>
  </si>
  <si>
    <t>['argentina', 'anak', 'kesayangan', 'fifa', 'juara', 'piala', 'dunia', 'gol', 'hands', 'ball', 'menyuap', 'fifa']</t>
  </si>
  <si>
    <t>segala gembar gembor argentina sama messi juara piala dunia, jangan lupa ada pemain iran yang dapet hukuman mati.</t>
  </si>
  <si>
    <t>segala gembar gembor argentina sama messi juara piala dunia jangan lupa ada pemain iran yang dapet hukuman mati</t>
  </si>
  <si>
    <t>['segala', 'gembar', 'gembor', 'argentina', 'sama', 'messi', 'juara', 'piala', 'dunia', 'jangan', 'lupa', 'pemain', 'iran', 'dapat', 'hukuman', 'mati']</t>
  </si>
  <si>
    <t>#BESTOFFERSNEIL  Argentina Home 2022 Original Replica Jersey juara!  M (Slimfit) BNWT Lebar 48  Pengiriman dari Bandung  OB 0  CLOSED 21.00 WIB 20/12/2022  Diselenggarakan di FB Ahmad Sneil Twitter @jerseysneil IG jersey.sneil  GAS GAS GAS!  https://t.co/yiOaY8gWGE</t>
  </si>
  <si>
    <t>argentina home original replica jersey juara slimfit bnwt lebar pengiriman dari bandung closed wib diselenggarakan ahmad sneil twitter jersey sneil gas gas gas</t>
  </si>
  <si>
    <t>['argentina', 'home', 'original', 'replica', 'jersey', 'juara', 'slimfit', 'bnwt', 'lebar', 'pengiriman', 'bandung', 'closed', 'wib', 'diselenggarakan', 'ahmad', 'sneil', 'twitter', 'jersey', 'sneil', 'gas', 'gas', 'gas']</t>
  </si>
  <si>
    <t>@idextratime Salah tuh. Harusnya  Argentina adalah Juara Piala Dunia Dan  Messi adalah Pemain Terbaik Dunia Sepanjang Masa. Greatest of all time.</t>
  </si>
  <si>
    <t>salah tuh harusnya argentina adalah juara piala dunia dan messi adalah pemain terbaik dunia sepanjang masa greatest all time</t>
  </si>
  <si>
    <t>['salah', 'harusnya', 'argentina', 'juara', 'piala', 'dunia', 'messi', 'pemain', 'terbaik', 'dunia', 'sepanjang', 'masa', 'greatest', 'all', 'time']</t>
  </si>
  <si>
    <t>@idextratime Sebenarnya tanda2 Argentina juara sudah nyata dari awal. Lautaro pakai jersey no 22</t>
  </si>
  <si>
    <t>sebenarnya tanda argentina juara sudah nyata dari awal lautaro pakai jersey</t>
  </si>
  <si>
    <t>['sebenarnya', 'tanda', 'argentina', 'juara', 'nyata', 'awal', 'lautaro', 'pakai', 'jersey']</t>
  </si>
  <si>
    <t>Sempat Ancam Lionel Messi, Canelo Alvarez Kini Beri Selamat untuk Argentina yang Juara Piala Dunia 2022 #LengkapCepatBeritanya #Olahraga #Sport  .  https://t.co/OmPHsdoDyF</t>
  </si>
  <si>
    <t>sempat ancam lionel messi canelo alvarez kini beri selamat untuk argentina yang juara piala dunia</t>
  </si>
  <si>
    <t>['sempat', 'ancam', 'lionel', 'messi', 'canelo', 'alvarez', 'kini', 'beri', 'selamat', 'argentina', 'juara', 'piala', 'dunia']</t>
  </si>
  <si>
    <t>Argentina juara.</t>
  </si>
  <si>
    <t>Qatar sangat sukses sebagai tuan rumah Piala Dunia 2022. Presiden FIFA sebut  sebanyak 2 milyar manusia tonton Piala Dunia. Sila baca ulasan saya bertajuk "Argentina Juara Piala Dunia 2022 Qatar, Messi Menang: Pelajaran Apa Bisa Dipetik Indonesia? -  https://t.co/9EDextBn6f</t>
  </si>
  <si>
    <t>qatar sangat sukses sebagai tuan rumah piala dunia presiden fifa sebut sebanyak milyar manusia tonton piala dunia sila baca ulasan saya bertajuk argentina juara piala dunia qatar messi menang pelajaran apa bisa dipetik indonesia</t>
  </si>
  <si>
    <t>['qatar', 'sangat', 'sukses', 'tuan', 'rumah', 'piala', 'dunia', 'presiden', 'fifa', 'sebut', 'sebanyak', 'milyar', 'manusia', 'tonton', 'piala', 'dunia', 'sila', 'baca', 'ulasan', 'bertajuk', 'argentina', 'juara', 'piala', 'dunia', 'qatar', 'messi', 'menang', 'pelajaran', 'apa', 'dipetik', 'indonesia']</t>
  </si>
  <si>
    <t>Tahun ini Juara Piala Dunia 2022 ada di tangan Argentina.   Final Piala Dunia 2022 berlangsung dramatis. Argentina dan Perancis saling membalas gol selama 120 menit dan pada akhirnya mereka memenangkan pertandingan final ini.  Selamat kepada sang juara Argentina!  https://t.co/rXpbX2LOyM</t>
  </si>
  <si>
    <t>tahun ini juara piala dunia ada tangan argentina final piala dunia berlangsung dramatis argentina dan perancis saling membalas gol selama menit dan pada akhirnya mereka memenangkan pertandingan final ini selamat kepada sang juara argentina</t>
  </si>
  <si>
    <t>['tahun', 'juara', 'piala', 'dunia', 'tangan', 'argentina', 'final', 'piala', 'dunia', 'berlangsung', 'dramatis', 'argentina', 'perancis', 'saling', 'membalas', 'gol', 'selama', 'menit', 'akhirnya', 'memenangkan', 'pertandingan', 'final', 'selamat', 'sang', 'juara', 'argentina']</t>
  </si>
  <si>
    <t>Argentina Juara !!! Messi Patahkan Pernyataan Mbappe  https://t.co/t0wUt4rgL5</t>
  </si>
  <si>
    <t>argentina juara messi patahkan pernyataan mbappe</t>
  </si>
  <si>
    <t>['argentina', 'juara', 'messi', 'patahkan', 'pernyataan', 'mbappe']</t>
  </si>
  <si>
    <t>Gelandang Argentina, Rodrigo de Paul, menegaskan jika Albiceleste memang layak keluar sebagai juara Piala Dunia 2022.  #bolaskorcom #argentina #pialadunia #qatar2022    https://t.co/RrekOp5iFX</t>
  </si>
  <si>
    <t>gelandang argentina rodrigo paul menegaskan jika albiceleste memang layak keluar sebagai juara piala dunia</t>
  </si>
  <si>
    <t>['gelandang', 'argentina', 'rodrigo', 'paul', 'menegaskan', 'albiceleste', 'memang', 'layak', 'keluar', 'juara', 'piala', 'dunia']</t>
  </si>
  <si>
    <t>Lionel Messi punya kisahnya sendiri di samping kesuksesan mengantarkan Argentina untuk jadi juara Piala Dunia 2022.  . Sumber:  https://t.co/aFg43Znvlu #dbasianews #dbasia #FIFA #UEFA #PremierLeague #Argentina #LionelMessi  https://t.co/elXMtwIL94</t>
  </si>
  <si>
    <t>lionel messi punya kisahnya sendiri samping kesuksesan mengantarkan argentina untuk jadi juara piala dunia sumber</t>
  </si>
  <si>
    <t>['lionel', 'messi', 'punya', 'kisahnya', 'sendiri', 'samping', 'kesuksesan', 'mengantarkan', 'argentina', 'jadi', 'juara', 'piala', 'dunia', 'sumber']</t>
  </si>
  <si>
    <t>Biar gk ada yg ngebacot klo Argentina juara krn settingan.</t>
  </si>
  <si>
    <t>biar ada ngebacot klo argentina juara krn settingan</t>
  </si>
  <si>
    <t>['ngebacot', 'argentina', 'juara', 'settingan']</t>
  </si>
  <si>
    <t>@dexglenniza Menpora argentina sama ketum PSSA ini gimana sih kinerjanya, masa timnasnya juara kaga ikut angkat trofi. Sangat tidak menghargai kerja keras pemain &amp;amp; staff kepelatihan timnasnya.</t>
  </si>
  <si>
    <t>menpora argentina sama ketum pssa ini gimana sih kinerjanya masa timnasnya juara kaga ikut angkat trofi sangat tidak menghargai kerja keras pemain staff kepelatihan timnasnya</t>
  </si>
  <si>
    <t>['menpora', 'argentina', 'sama', 'ketum', 'pssa', 'gimana', 'kinerjanya', 'masa', 'timnasnya', 'juara', 'kaga', 'ikut', 'angkat', 'trofi', 'sangat', 'menghargai', 'kerja', 'keras', 'pemain', 'staff', 'kepelatihan', 'timnasnya']</t>
  </si>
  <si>
    <t>Argentina yang jadi juara Piala Dunia 2022 membantu Rodrigo de Paul menepati janjinya dua bulan sebelumnya.  . Sumber:  https://t.co/aFg43Znvlu #dbasianews #dbasia #FIFA #UEFA #PremierLeague #Argentina #RodrigodePaul  https://t.co/5cr23YZIat</t>
  </si>
  <si>
    <t>argentina yang jadi juara piala dunia membantu rodrigo paul menepati janjinya dua bulan sebelumnya sumber</t>
  </si>
  <si>
    <t>['argentina', 'jadi', 'juara', 'piala', 'dunia', 'membantu', 'rodrigo', 'paul', 'menepati', 'janjinya', 'bulan', 'sebelumnya', 'sumber']</t>
  </si>
  <si>
    <t>lucu bet ini.... Untung argentina juara ya. wkwkwk</t>
  </si>
  <si>
    <t>lucu bet ini untung argentina juara wkwkwk</t>
  </si>
  <si>
    <t>['lucu', 'bet', 'untung', 'argentina', 'juara', 'wkwkwk']</t>
  </si>
  <si>
    <t>@TaufikDamas Selamat bangda Messi &amp;amp; Argentina. Salah prediksi kirain ponakan abang Mbape yg juara malah gatot üò≠üò≠</t>
  </si>
  <si>
    <t>selamat bangda messi argentina salah prediksi kirain ponakan abang mbape juara malah gatot</t>
  </si>
  <si>
    <t>['selamat', 'bangda', 'messi', 'argentina', 'salah', 'prediksi', 'kirain', 'ponakan', 'abang', 'mbape', 'juara', 'malah', 'gatot']</t>
  </si>
  <si>
    <t>Kemenangan pertama pas messi lahir dan skrg juara lagi setelah 36 tahun,bnr2 nunggu messi tuh argentina üá¶üá∑</t>
  </si>
  <si>
    <t>kemenangan pertama pas messi lahir dan skrg juara lagi setelah tahun bnr nunggu messi tuh argentina</t>
  </si>
  <si>
    <t>['kemenangan', 'pertama', 'pas', 'messi', 'lahir', 'skrg', 'juara', 'tahun', 'bnr', 'nunggu', 'messi', 'argentina']</t>
  </si>
  <si>
    <t>Argentina juara Piala Dunia 2022 setelah kalah di laga pertamanya. Tim Tango menjadi tim keempat yang menjadi kampiun usai tidak menang di partai awal.  https://t.co/K5C500hBsJ</t>
  </si>
  <si>
    <t>argentina juara piala dunia setelah kalah laga pertamanya tim tango menjadi tim keempat yang menjadi kampiun usai tidak menang partai awal</t>
  </si>
  <si>
    <t>['argentina', 'juara', 'piala', 'dunia', 'kalah', 'laga', 'pertamanya', 'tim', 'tango', 'menjadi', 'tim', 'keempat', 'menjadi', 'kampiun', 'usai', 'menang', 'partai', 'awal']</t>
  </si>
  <si>
    <t>Argentina Juara: Belajar Politik Kompetensi Dari Piala Dunia 2022  https://t.co/fSAqft3IQ8 Ada 6.710.406 Meninggal 160.424 #JokowiBiangBencana #TumbangkanPenguasaKemaruk #AniesPresiden2024 #justiceforibhrsandkm50 #bongkarkorupsibansos #batalkanuuciptakerja #FIFAWorldCup #Monday</t>
  </si>
  <si>
    <t>argentina juara belajar politik kompetensi dari piala dunia ada meninggal</t>
  </si>
  <si>
    <t>['argentina', 'juara', 'belajar', 'politik', 'kompetensi', 'piala', 'dunia', 'meninggal']</t>
  </si>
  <si>
    <t xml:space="preserve">@gilangseva1 @WitKatSpc @envyyyy78 @dolphinisasi @idextratime Walaupun blm main di wolves Rui Patricio bagus. Sblm juara Piala Eropa 2016 sdh bnyk kawan2 saya tau Rui Patricio. Bagus saat main PES di kalangan anak2. Kalo kiper Argentina Emiliano Martinez </t>
  </si>
  <si>
    <t>walaupun blm main wolves rui patricio bagus sblm juara piala eropa sdh bnyk kawan saya tau rui patricio bagus saat main pes kalangan anak kalo kiper argentina emiliano martinez</t>
  </si>
  <si>
    <t>['walaupun', 'blm', 'main', 'wolves', 'rui', 'patricio', 'bagus', 'sebelum', 'juara', 'piala', 'eropa', 'bnyk', 'kawan', 'rui', 'patricio', 'bagus', 'main', 'pes', 'kalangan', 'anak', 'kiper', 'argentina', 'emiliano', 'martinez']</t>
  </si>
  <si>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</si>
  <si>
    <t>assalamulaikum dan selamat sejahtera juara fifa world cup tahniah diucapkan kepada pasukan bola sepak argentina yang telah menjuarai piala paling berprestij dalam arena bola sepak dunia pada tahun ini pasukan argentina menjulang piala dunia setelah berjaya</t>
  </si>
  <si>
    <t>['assalamulaikum', 'selamat', 'sejahtera', 'juara', 'fifa', 'world', 'cup', 'tahniah', 'diucapkan', 'pasukan', 'bola', 'sepak', 'argentina', 'menjuarai', 'piala', 'paling', 'berprestij', 'arena', 'bola', 'sepak', 'dunia', 'tahun', 'pasukan', 'argentina', 'menjulang', 'piala', 'dunia', 'berjaya']</t>
  </si>
  <si>
    <t>@FaktaSepakbola Bedanya kalo di balik, Ronaldo di Argentina mungkin Argentina udah 3x Juara Dunia.</t>
  </si>
  <si>
    <t>bedanya kalo balik ronaldo argentina mungkin argentina udah juara dunia</t>
  </si>
  <si>
    <t>['bedanya', 'balik', 'ronaldo', 'argentina', 'mungkin', 'argentina', 'udah', 'juara', 'dunia']</t>
  </si>
  <si>
    <t>Prediksi Hongkong Senin, 19 Desember 2022 AI: 9 8 5 6 2D: 56 16 45 88 4D: 6761 2657 4531 Best: 18 14 86 Shio: Ayam BBFS: 057698 #Pancingtoto #argentinajuara #akhirtahun  https://t.co/SfTMffIW2U</t>
  </si>
  <si>
    <t>prediksi hongkong senin desember best shio ayam bbfs</t>
  </si>
  <si>
    <t>['prediksi', 'hongkong', 'senin', 'desember', 'best', 'shio', 'ayam', 'bbfs']</t>
  </si>
  <si>
    <t>Keluaran Taiwan 19 Desember 2022  Result: 8854 Shio: Ayam #PancingHoki - Prediksi Nusantara Senin, 19 Desember 2022 AI: 2 4 9 0 2D: 38 23 11 49 4D: 6463 9892 9649 Best: 12 91 14 Shio: Kelinci BBFS: 214960 #Pancingtoto #argentinajuara #akhirtahun  https://t.co/SfTMffIW2U</t>
  </si>
  <si>
    <t>keluaran taiwan desember result shio ayam prediksi nusantara senin desember best shio kelinci bbfs</t>
  </si>
  <si>
    <t>['keluaran', 'taiwan', 'desember', 'result', 'shio', 'ayam', 'prediksi', 'nusantara', 'senin', 'desember', 'best', 'shio', 'kelinci', 'bbfs']</t>
  </si>
  <si>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</si>
  <si>
    <t>fifa world cup champions argentina argentina keluar sebagai juara piala dunia setelah mengalahkan perancis babak adu penalti</t>
  </si>
  <si>
    <t>['fifa', 'world', 'cup', 'champions', 'argentina', 'argentina', 'keluar', 'juara', 'piala', 'dunia', 'mengalahkan', 'perancis', 'babak', 'adu', 'penalti']</t>
  </si>
  <si>
    <t>Prediksi Airlangga Hartarto, Argentina Menjadi Juara Tepat 100% #airlanggahartarto #golkarindonesia #suaraairlangga #pialadunia #argentina @airlangga_hrt @golkar_id  https://t.co/j3sW0jqgvz</t>
  </si>
  <si>
    <t>prediksi airlangga hartarto argentina menjadi juara tepat hrt</t>
  </si>
  <si>
    <t>['prediksi', 'airlangga', 'hartarto', 'argentina', 'menjadi', 'juara', 'tepat', 'hrt']</t>
  </si>
  <si>
    <t>Argentina Juara Piala Dunia, Akun Instagram Messi Diserbu Artis Indonesia.  https://t.co/cv81EhHBsu</t>
  </si>
  <si>
    <t>argentina juara piala dunia akun instagram messi diserbu artis indonesia</t>
  </si>
  <si>
    <t>['argentina', 'juara', 'piala', 'dunia', 'akun', 'instagram', 'messi', 'diserbu', 'artis', 'indonesia']</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</si>
  <si>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</si>
  <si>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</si>
  <si>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['piala', 'dunia', 'resmi', 'berakhir', 'ratusan', 'manusia', 'sangat', 'antusias', 'sepakbola', 'euforia', 'final', 'sangat', 'memukau', 'argentina', 'menjadi', 'juara', 'messi', 'resmi', 'menasbihkan', 'dirinya', 'dewa', 'sepakbola', 'akhir', 'karir', 'sangat', 'manis', 'perjuangan', 'sangat', 'panjang']</t>
  </si>
  <si>
    <t>@dodigamaliel Cocokloginya: Argentina terakhir juara dunia tahun 1986. Timnas senior Indonesia terakhir angkat piala akhir 80an juga. Semoga ngikut tren buka puasa gelar juga. Amin. #cocoklogi</t>
  </si>
  <si>
    <t>cocokloginya argentina terakhir juara dunia tahun timnas senior indonesia terakhir angkat piala akhir juga semoga ngikut tren buka puasa gelar juga amin</t>
  </si>
  <si>
    <t>['cocokloginya', 'argentina', 'terakhir', 'juara', 'dunia', 'tahun', 'timnas', 'senior', 'indonesia', 'terakhir', 'angkat', 'piala', 'akhir', 'semoga', 'ngikut', 'tren', 'buka', 'puasa', 'gelar', 'amin']</t>
  </si>
  <si>
    <t>@SiaranBolaLive Argentina  butuh jadi juara pildun dulu baru serame itu, Indonesia cuma butuh ahok.</t>
  </si>
  <si>
    <t>argentina butuh jadi juara pildun dulu baru serame itu indonesia cuma butuh ahok</t>
  </si>
  <si>
    <t>['argentina', 'butuh', 'jadi', 'juara', 'piala dunia', 'dulu', 'baru', 'serame', 'indonesia', 'cuma', 'butuh', 'ahok']</t>
  </si>
  <si>
    <t>L√©anel Mizuki Akhirnya juara piala dunia  @5ecretNumber  #SECRET_NUMBER #ARGENTINA #MessiìÉµ  https://t.co/qIOsXZDg52</t>
  </si>
  <si>
    <t>anel mizuki akhirnya juara piala dunia number</t>
  </si>
  <si>
    <t>['anel', 'mizuki', 'akhirnya', 'juara', 'piala', 'dunia', 'number']</t>
  </si>
  <si>
    <t>@Beginibegitulah @gilangseva1 @WitKatSpc @envyyyy78 @dolphinisasi @idextratime Asliww.... Emang buta akan fakta dia bro. Padahal nama2 itu bagus dulunya. Bandingkan dgn skuat juara Argentina skrg. Pemainnya tdk bnyk yg beken dan jadi bintang diklub besar.</t>
  </si>
  <si>
    <t>asliww emang buta akan fakta dia bro padahal nama itu bagus dulunya bandingkan dgn skuat juara argentina skrg pemainnya tdk bnyk beken dan jadi bintang diklub besar</t>
  </si>
  <si>
    <t>['asliww', 'emang', 'buta', 'fakta', 'bro', 'padahal', 'nama', 'bagus', 'bandingkan', 'skuat', 'juara', 'argentina', 'skrg', 'pemainnya', 'bnyk', 'beken', 'jadi', 'bintang', 'diklub', 'besar']</t>
  </si>
  <si>
    <t>Mau spam Argentina juara ü§£</t>
  </si>
  <si>
    <t>mau spam argentina juara</t>
  </si>
  <si>
    <t>['mau', 'spam', 'argentina', 'juara']</t>
  </si>
  <si>
    <t>Timnas Argentina juara Piala Dunia 2022. Tim Tango pun banjir ucapan selamat dari berbagai kalangan, termasuk dari MotoGP.   https://t.co/SREZP7Xm7h</t>
  </si>
  <si>
    <t>timnas argentina juara piala dunia tim tango pun banjir ucapan selamat dari berbagai kalangan termasuk dari motogp</t>
  </si>
  <si>
    <t>['timnas', 'argentina', 'juara', 'piala', 'dunia', 'tim', 'tango', 'banjir', 'ucapan', 'selamat', 'berbagai', 'kalangan', 'termasuk', 'motogp']</t>
  </si>
  <si>
    <t>Bukan nak claim ke apa .dah memang betul Pablo aimar main jdt kan .gambar pun pakai jersi jdt ..kita kena bangga sebab ilmu yang dia dapat dekat jdt la jadi punca dia berjaya bawak Argentina jadi juara piala dunia</t>
  </si>
  <si>
    <t>bukan nak claim apa dah memang betul pablo aimar main jdt kan gambar pun pakai jersi jdt kita kena bangga sebab ilmu yang dia dapat dekat jdt jadi punca dia berjaya bawak argentina jadi juara piala dunia</t>
  </si>
  <si>
    <t>['bukan', 'nak', 'claim', 'apa', 'dah', 'memang', 'betul', 'pablo', 'aimar', 'main', 'jdt', 'kan', 'gambar', 'pakai', 'jersi', 'jdt', 'kena', 'bangga', 'ilmu', 'dekat', 'jdt', 'jadi', 'punca', 'berjaya', 'bawak', 'argentina', 'jadi', 'juara', 'piala', 'dunia']</t>
  </si>
  <si>
    <t>Argentina Juara Piala Dunia, Arab Saudi Ikut Kecipratan Bangga ‚Äì CNN Indonesia ‚Äì  https://t.co/Oc0lfz8PJn ‚Äì #Arenanews #Kamidi #Opsiminfo- https://t.co/kvSEvZTlJt</t>
  </si>
  <si>
    <t>argentina juara piala dunia arab saudi ikut kecipratan bangga cnn indonesia</t>
  </si>
  <si>
    <t>['argentina', 'juara', 'piala', 'dunia', 'arab', 'saudi', 'ikut', 'kecipratan', 'bangga', 'cnn', 'indonesia']</t>
  </si>
  <si>
    <t>Cuman di era pak Jokowi, Argentina bisa juara COPA dan Piala Dunia 2022. Terimakasih pak Jokowi</t>
  </si>
  <si>
    <t>cuman era pak jokowi argentina bisa juara copa dan piala dunia terimakasih pak jokowi</t>
  </si>
  <si>
    <t>['cuman', 'era', 'pak', 'jokowi', 'argentina', 'juara', 'copa', 'piala', 'dunia', 'terimakasih', 'pak', 'jokowi']</t>
  </si>
  <si>
    <t>Bukan Maradona yang Menjadi Pahlawan Argentina Juara Dunia Sepak Bola Pertama, Ini Dia Orangnya   https://t.co/NHQwmnrTdk</t>
  </si>
  <si>
    <t>bukan maradona yang menjadi pahlawan argentina juara dunia sepak bola pertama ini dia orangnya</t>
  </si>
  <si>
    <t>['bukan', 'maradona', 'menjadi', 'pahlawan', 'argentina', 'juara', 'dunia', 'sepak', 'bola', 'pertama', 'orangnya']</t>
  </si>
  <si>
    <t>Messi juara Copa, Juara Dunia. Itu sudah jadi ke niscayaan. Karena dia di tim Argentina yang komposisi pemainnya jauh lebih baik. tapi, CR7 juara Euro dengan Portugal, itu siapa yang sangka? Itulah Gila nya Ronaldo. #GOAT #CR7</t>
  </si>
  <si>
    <t>messi juara copa juara dunia itu sudah jadi niscayaan karena dia tim argentina yang komposisi pemainnya jauh lebih baik tapi juara euro dengan portugal itu siapa yang sangka itulah gila nya ronaldo</t>
  </si>
  <si>
    <t>['messi', 'juara', 'copa', 'juara', 'dunia', 'jadi', 'niscayaan', 'tim', 'argentina', 'komposisi', 'pemainnya', 'jauh', 'lebih', 'baik', 'juara', 'euro', 'portugal', 'siapa', 'sangka', 'gila', 'ronaldo']</t>
  </si>
  <si>
    <t>Terima kasih semua yang sudah hadir meramaikan. Kami ucapkan juga selamat untuk Argentina yang keluar sebagai Juara Pesta Bola Dunia 2022 üèÜ  See you ‚ú®üôåüèº  #JNE #ConnectingHappiness #JNEBangkitBersama #PestaBolaDunia2022</t>
  </si>
  <si>
    <t>terima kasih semua yang sudah hadir meramaikan kami ucapkan juga selamat untuk argentina yang keluar sebagai juara pesta bola dunia see you</t>
  </si>
  <si>
    <t>['terima', 'kasih', 'semua', 'hadir', 'meramaikan', 'ucapkan', 'selamat', 'argentina', 'keluar', 'juara', 'pesta', 'bola', 'dunia', 'see', 'you']</t>
  </si>
  <si>
    <t>Argentina juara dunia, selamat!</t>
  </si>
  <si>
    <t>argentina juara dunia selamat</t>
  </si>
  <si>
    <t>['argentina', 'juara', 'dunia', 'selamat']</t>
  </si>
  <si>
    <t>hahah bener ya harusnya arab saudi juara 1, waktu penyisihan aja argentina kalah sama doi wkwk</t>
  </si>
  <si>
    <t>hahah bener harusnya arab saudi juara waktu penyisihan aja argentina kalah sama doi wkwk</t>
  </si>
  <si>
    <t>['hahah', 'benar', 'harusnya', 'arab', 'saudi', 'juara', 'waktu', 'penyisihan', 'argentina', 'kalah', 'sama', 'doi']</t>
  </si>
  <si>
    <t>Liat noh Argentina. Semua diawali dengan membuat senang warga Arab. Selebihnya jalannya dimudahkan sampe jadi juara.  MaasyaAllah üêê</t>
  </si>
  <si>
    <t>liat noh argentina semua diawali dengan membuat senang warga arab selebihnya jalannya dimudahkan sampe jadi juara maasyaallah</t>
  </si>
  <si>
    <t>['lihat', 'noh', 'argentina', 'semua', 'diawali', 'membuat', 'senang', 'warga', 'arab', 'selebihnya', 'jalannya', 'dimudahkan', 'sampai', 'jadi', 'juara', 'maasyaallah']</t>
  </si>
  <si>
    <t>@gilangseva1 @WitKatSpc @dolphinisasi @idextratime Sblm ada Messi Argentina terkahir juara Piala Dunia tahun 1986 bro. Juara Copa America terakhir 1993. Padahal sdh beda generasi.  Baru di tahun 2021 lalu Argentina Juara Copa America. Juara Finalisima tah</t>
  </si>
  <si>
    <t>sblm ada messi argentina terkahir juara piala dunia tahun bro juara copa america terakhir padahal sdh beda generasi baru tahun lalu argentina juara copa america juara finalisima tah</t>
  </si>
  <si>
    <t>['sebelum', 'messi', 'argentina', 'terkahir', 'juara', 'piala', 'dunia', 'tahun', 'bro', 'juara', 'copa', 'america', 'terakhir', 'padahal', 'beda', 'generasi', 'baru', 'tahun', 'lalu', 'argentina', 'juara', 'copa', 'america', 'juara', 'finalisima', 'tah']</t>
  </si>
  <si>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</si>
  <si>
    <t>laga final piala dunia antara argentina melawan juara bertahan prancis qatar mendapatkan perhatian serius penggemar sepak bola bupati kepala desa hingga masyarakat biasa menggelar nonton bareng hal ini juga berdampak pada pelaku usaha umkm</t>
  </si>
  <si>
    <t>['laga', 'final', 'piala', 'dunia', 'argentina', 'melawan', 'juara', 'bertahan', 'prancis', 'qatar', 'mendapatkan', 'perhatian', 'serius', 'penggemar', 'sepak', 'bola', 'bupati', 'kepala', 'desa', 'hingga', 'masyarakat', 'biasa', 'menggelar', 'nonton', 'bareng', 'berdampak', 'pelaku', 'usaha', 'umkm']</t>
  </si>
  <si>
    <t>Didier Deschamps gagal membawa Prancis juara Piala Dunia 2022 usai dikalahkan Argentina di partai puncak. Lantas bagaimana masa depan Deschamps?  https://t.co/NO4LScgDjQ</t>
  </si>
  <si>
    <t>didier deschamps gagal membawa prancis juara piala dunia usai dikalahkan argentina partai puncak lantas bagaimana masa depan deschamps</t>
  </si>
  <si>
    <t>['didier', 'deschamps', 'gagal', 'membawa', 'prancis', 'juara', 'piala', 'dunia', 'usai', 'dikalahkan', 'argentina', 'partai', 'puncak', 'lantas', 'bagaimana', 'masa', 'depan', 'deschamps']</t>
  </si>
  <si>
    <t>Lionel Messi mengenakan jubah hitam dalam perayaan Argentina sebagai juara Piala Dunia 2022. Apa maksudnya ya?   https://t.co/0Mv8gkAMVs</t>
  </si>
  <si>
    <t>lionel messi mengenakan jubah hitam dalam perayaan argentina sebagai juara piala dunia apa maksudnya</t>
  </si>
  <si>
    <t>['lionel', 'messi', 'mengenakan', 'jubah', 'hitam', 'perayaan', 'argentina', 'juara', 'piala', 'dunia', 'apa', 'maksudnya']</t>
  </si>
  <si>
    <t>Aneh netizen tuh, argentina juara di bilang settingan. Kalo kalah di maki-maki hmmmmm</t>
  </si>
  <si>
    <t>aneh netizen tuh argentina juara bilang settingan kalo kalah maki maki hmmmmm</t>
  </si>
  <si>
    <t>['aneh', 'netizen', 'argentina', 'juara', 'settingan', 'kalah', 'maki', 'maki', 'hmmmmm']</t>
  </si>
  <si>
    <t>Yang juara Argentina tpi fyp aink mbappe wkwkwk</t>
  </si>
  <si>
    <t>yang juara argentina tpi fyp aink mbappe wkwkwk</t>
  </si>
  <si>
    <t>['juara', 'argentina', 'tpi', 'fyp', 'aink', 'mbappe', 'wkwkwk']</t>
  </si>
  <si>
    <t>@memefess Argentina juara, jangan lupa pilih kami di 2024  https://t.co/AB5qTukPBl</t>
  </si>
  <si>
    <t>argentina juara jangan lupa pilih kami</t>
  </si>
  <si>
    <t>['argentina', 'juara', 'jangan', 'lupa', 'pilih']</t>
  </si>
  <si>
    <t>Didier Deschamps gagal membawa Prancis juara Piala Dunia 2022 usai dikalahkan Argentina di partai puncak. Lantas bagaimana masa depan Deschamps?  https://t.co/NO4LScxGlQ</t>
  </si>
  <si>
    <t>Aku fans Ronaldo dan fans Messi juga , tapi kenapa masih banyak yg bandingin mentang2 Argentina juara, padahal menurut ku dua dua nya emang goat kok.</t>
  </si>
  <si>
    <t>aku fans ronaldo dan fans messi juga tapi kenapa masih banyak bandingin mentang argentina juara padahal menurut dua dua nya emang goat kok</t>
  </si>
  <si>
    <t>['aku', 'fans', 'ronaldo', 'fans', 'messi', 'banyak', 'bandingin', 'mentang', 'argentina', 'juara', 'padahal', 'emang', 'goat', 'kok']</t>
  </si>
  <si>
    <t>So...  Ingat baik2 ini.   Messi bisa angkat trophie Piala Dunia sejak: - keluar dari Barcelona - wafatnya Maradona.  Dua entitas inilah penyebab Argentina sulit juara dari 2006 padahal ada Messi.</t>
  </si>
  <si>
    <t>ingat baik ini messi bisa angkat trophie piala dunia sejak keluar dari barcelona wafatnya maradona dua entitas inilah penyebab argentina sulit juara dari padahal ada messi</t>
  </si>
  <si>
    <t>['ingat', 'baik', 'messi', 'angkat', 'trophie', 'piala', 'dunia', 'sejak', 'keluar', 'barcelona', 'wafatnya', 'maradona', 'entitas', 'inilah', 'penyebab', 'argentina', 'sulit', 'juara', 'padahal', 'messi']</t>
  </si>
  <si>
    <t>Argentina Juara Piala Dunia: Messi Kunci Utama, Akhiri Perdebatan GOAT  https://t.co/ZVzda9WxOM</t>
  </si>
  <si>
    <t>argentina juara piala dunia messi kunci utama akhiri perdebatan goat</t>
  </si>
  <si>
    <t>['argentina', 'juara', 'piala', 'dunia', 'messi', 'kunci', 'utama', 'akhiri', 'perdebatan', 'goat']</t>
  </si>
  <si>
    <t>Argentina juara dunia 2022  https://t.co/kmclzgQ9bh</t>
  </si>
  <si>
    <t>Pasti banyak pendukung MU yg menghujat dan menyumpahi CR7 supaya tidak dapat Piala Dunia, dan apa yang terjadi? Argentina yang mana LM10 lawan nya CR7 yg menjadi juara. Jadi, maaf seribu maaf CR7,, anda sudah kehilangan respect pendukung MU</t>
  </si>
  <si>
    <t>pasti banyak pendukung menghujat dan menyumpahi supaya tidak dapat piala dunia dan apa yang terjadi argentina yang mana lawan nya menjadi juara jadi maaf seribu maaf anda sudah kehilangan respect pendukung</t>
  </si>
  <si>
    <t>['banyak', 'pendukung', 'menghujat', 'menyumpahi', 'piala', 'dunia', 'apa', 'terjadi', 'argentina', 'mana', 'lawan', 'menjadi', 'juara', 'jadi', 'maaf', 'seribu', 'maaf', 'kehilangan', 'respect', 'pendukung']</t>
  </si>
  <si>
    <t>Duh! Drake Kalah Taruhan Piala Dunia 2022 Rp15 Miliar Meski Argentina Juara  https://t.co/G6dHiwIQVi</t>
  </si>
  <si>
    <t>duh drake kalah taruhan piala dunia miliar meski argentina juara</t>
  </si>
  <si>
    <t>['duh', 'drake', 'kalah', 'taruhan', 'piala', 'dunia', 'miliar', 'meski', 'argentina', 'juara']</t>
  </si>
  <si>
    <t>Pele Ucapkan Selamat untuk Argentina dan Messi Usai Jadi Juara Piala Dunia 2022: Diego Pasti Tersenyum Sekarang  https://t.co/9aRMIpzdCT  https://t.co/g9WyXB2Tp3</t>
  </si>
  <si>
    <t>pele ucapkan selamat untuk argentina dan messi usai jadi juara piala dunia diego pasti tersenyum sekarang</t>
  </si>
  <si>
    <t>['pele', 'ucapkan', 'selamat', 'argentina', 'messi', 'usai', 'jadi', 'juara', 'piala', 'dunia', 'diego', 'tersenyum', 'sekarang']</t>
  </si>
  <si>
    <t>Duh! Drake Kalah Taruhan Piala Dunia 2022 Rp15 Miliar Meski Argentina Juara #LengkapCepatBeritanya #Celebrity #KabarArtis #Gosip .  https://t.co/RGymugyRCx</t>
  </si>
  <si>
    <t>Ronaldo Ikut Senang Lionel Messi dan Argentina Juara Piala Dunia 2022  https://t.co/9CZJY1FsMt</t>
  </si>
  <si>
    <t>ronaldo ikut senang lionel messi dan argentina juara piala dunia</t>
  </si>
  <si>
    <t>['ronaldo', 'ikut', 'senang', 'lionel', 'messi', 'argentina', 'juara', 'piala', 'dunia']</t>
  </si>
  <si>
    <t>Tadi pagi bangun tidur seketika ingat kalau Argentina semalam berhasil menjadi juara World Cup, auto ngawang nih badan sambil keluar air mata dikit. Unbelievable a.k.a sukar dipercaya. ü•∫‚ú®</t>
  </si>
  <si>
    <t>tadi pagi bangun tidur seketika ingat kalau argentina semalam berhasil menjadi juara world cup auto ngawang nih badan sambil keluar air mata dikit unbelievable sukar dipercaya</t>
  </si>
  <si>
    <t>['tadi', 'pagi', 'bangun', 'tidur', 'seketika', 'ingat', 'kalau', 'argentina', 'semalam', 'berhasil', 'menjadi', 'juara', 'world', 'cup', 'auto', 'ngawang', 'badan', 'keluar', 'air', 'mata', 'dikit', 'unbelievable', 'sukar', 'dipercaya']</t>
  </si>
  <si>
    <t>Deretan Gelar Juara Messi bersama Timnas Argentina! . #EMTEKWORLDCUP2022 #BOLANETWORLDCUP2022  #PialaDunia #PialaDunia2022  https://t.co/bzKfzjXAPo</t>
  </si>
  <si>
    <t>deretan gelar juara messi bersama timnas argentina</t>
  </si>
  <si>
    <t>['deretan', 'gelar', 'juara', 'messi', 'bersama', 'timnas', 'argentina']</t>
  </si>
  <si>
    <t>50.KAKANWIL KEMENKUMHAM JATENG A. YUSPAHRUDDIN: Argentina Juara Piala Dunia 2022, Kepala Rutan Salatiga Minta Jajaran Teladani Semangat Lionel Messi -  https://t.co/7AP9yczWYu</t>
  </si>
  <si>
    <t>aku jg nangis ü§©ü§òüèø Andr√©s Cantor (59 thn) kelahiran Buenos Aires, Argentina , bekerja dan tinggal di Amerika sbg sportscaster meluapkan tangisan kebahagiaannya setelah penalti penentu Montiel membawa Argentia Juara Dunia utk ke 3 kalinya. #FIFAWorldCup   https://t.co/1F0TkUKr0e</t>
  </si>
  <si>
    <t>aku nangis andr cantor thn kelahiran buenos aires argentina bekerja dan tinggal amerika sbg sportscaster meluapkan tangisan kebahagiaannya setelah penalti penentu montiel membawa argentia juara dunia utk kalinya</t>
  </si>
  <si>
    <t>['aku', 'nangis', 'andr', 'cantor', 'thn', 'kelahiran', 'buenos', 'aires', 'argentina', 'bekerja', 'tinggal', 'amerika', 'sbg', 'sportscaster', 'meluapkan', 'tangisan', 'kebahagiaannya', 'penalti', 'penentu', 'montiel', 'membawa', 'argentia', 'juara', 'dunia', 'kalinya']</t>
  </si>
  <si>
    <t>Sukses Antar Argentina Jadi Juara di Piala Dunia, Angel Di Maria Lewati Christiano Ronaldo dan Maradona  https://t.co/TalTZ8c3Kv</t>
  </si>
  <si>
    <t>sukses antar argentina jadi juara piala dunia angel maria lewati christiano ronaldo dan maradona</t>
  </si>
  <si>
    <t>['sukses', 'antar', 'argentina', 'jadi', 'juara', 'piala', 'dunia', 'angel', 'maria', 'lewati', 'christiano', 'ronaldo', 'maradona']</t>
  </si>
  <si>
    <t xml:space="preserve"> https://t.co/JwyNse4Qa2  ‚öΩ Argentina Juara Dunia untuk yang ke-3 Kalinya.. üëèüá¶üá∑üí™ - #shorts</t>
  </si>
  <si>
    <t>argentina juara dunia untuk yang kalinya</t>
  </si>
  <si>
    <t>['argentina', 'juara', 'dunia', 'kalinya']</t>
  </si>
  <si>
    <t>@idextratime Argentina juara karena didukung bang dodoü§ó</t>
  </si>
  <si>
    <t>argentina juara karena didukung bang dodo</t>
  </si>
  <si>
    <t>['argentina', 'juara', 'didukung', 'bang', 'dodo']</t>
  </si>
  <si>
    <t>Setelah melihat beberapa videone Argentina juara, tibak e seng seneng nemen i Kuncoro masio gak melok maenüò≠</t>
  </si>
  <si>
    <t>setelah melihat beberapa videone argentina juara tibak seng seneng nemen kuncoro masio gak melok maen</t>
  </si>
  <si>
    <t>['melihat', 'beberapa', 'videone', 'argentina', 'juara', 'tibak', 'seng', 'seneng', 'nemen', 'kuncoro', 'masio', 'melok', 'maen']</t>
  </si>
  <si>
    <t>Messi menghancurkan hatiku di tahun 2009 ketika M.U kalah di final liga champions. Sejak saat itu aku benci barcelona dan MESSI, tapi kemaren setelah melihat argentina juara turut bangga kepada beliau walaupun hati ini masih kepada C.Ronaldo. Selamat untuk messi #Respect</t>
  </si>
  <si>
    <t>messi menghancurkan hatiku tahun ketika kalah final liga champions sejak saat itu aku benci barcelona dan messi tapi kemaren setelah melihat argentina juara turut bangga kepada beliau walaupun hati ini masih kepada ronaldo selamat untuk messi</t>
  </si>
  <si>
    <t>['messi', 'menghancurkan', 'hatiku', 'tahun', 'kalah', 'final', 'liga', 'champions', 'sejak', 'aku', 'benci', 'barcelona', 'messi', 'kemarin', 'melihat', 'argentina', 'juara', 'turut', 'bangga', 'beliau', 'walaupun', 'hati', 'ronaldo', 'selamat', 'messi']</t>
  </si>
  <si>
    <t>Coretan Redaksi: Tokoh Sentral Argentina Juara Dunia 2022  https://t.co/Ejf9GUhMI8</t>
  </si>
  <si>
    <t>coretan redaksi tokoh sentral argentina juara dunia</t>
  </si>
  <si>
    <t>['coretan', 'redaksi', 'tokoh', 'sentral', 'argentina', 'juara', 'dunia']</t>
  </si>
  <si>
    <t>@etheldanodoy keep spirit win #argentinajuara üòÇüòÇ</t>
  </si>
  <si>
    <t>keep spirit win</t>
  </si>
  <si>
    <t>['keep', 'spirit', 'win']</t>
  </si>
  <si>
    <t>Dari Putin sampai Pele Beri Selamat ke Argentina atas Juara Piala Dunia 2022  https://t.co/SlgzxyNT9R #TempoDunia</t>
  </si>
  <si>
    <t>dari putin sampai pele beri selamat argentina atas juara piala dunia</t>
  </si>
  <si>
    <t>['putin', 'pele', 'beri', 'selamat', 'argentina', 'atas', 'juara', 'piala', 'dunia']</t>
  </si>
  <si>
    <t>Kota Kelahiran Lionel Messi Jadi Lautan Manusia Usai Argentina Juara Piala Dunia 2022  https://t.co/dRyubcGKtR</t>
  </si>
  <si>
    <t>kota kelahiran lionel messi jadi lautan manusia usai argentina juara piala dunia</t>
  </si>
  <si>
    <t>['kota', 'kelahiran', 'lionel', 'messi', 'jadi', 'lautan', 'manusia', 'usai', 'argentina', 'juara', 'piala', 'dunia']</t>
  </si>
  <si>
    <t>Bosen cok tl isie argentina juara tok</t>
  </si>
  <si>
    <t>bosen cok isie argentina juara tok</t>
  </si>
  <si>
    <t>['bosen', 'cok', 'isie', 'argentina', 'juara', 'tok']</t>
  </si>
  <si>
    <t>Lionel Messi baru saja membawa Timnas Argentina juara Piala Dunia 2022. Lionel Scaloni menegaskan, La Pulga sudah tak punya utang apa-apa pada Albiceleste! #juaraboladunia    https://t.co/AQnVk58oEA</t>
  </si>
  <si>
    <t>lionel messi baru saja membawa timnas argentina juara piala dunia lionel scaloni menegaskan pulga sudah tak punya utang apa apa pada albiceleste</t>
  </si>
  <si>
    <t>['lionel', 'messi', 'baru', 'membawa', 'timnas', 'argentina', 'juara', 'piala', 'dunia', 'lionel', 'scaloni', 'menegaskan', 'pulga', 'tak', 'punya', 'utang', 'apa', 'apa', 'albiceleste']</t>
  </si>
  <si>
    <t>@GOAL_ID Kapan pensi?</t>
  </si>
  <si>
    <t>kapan pensi</t>
  </si>
  <si>
    <t>['kapan', 'pensi']</t>
  </si>
  <si>
    <t>+ aksi perayaan Aguero gendong Messi nya, berasa flashback liat foto &amp;amp; video Argentina juara sama Maradona.  https://t.co/hvnscyja6l</t>
  </si>
  <si>
    <t>aksi perayaan aguero gendong messi nya berasa flashback liat foto video argentina juara sama maradona</t>
  </si>
  <si>
    <t>['aksi', 'perayaan', 'aguero', 'gendong', 'messi', 'berasa', 'flashback', 'lihat', 'foto', 'video', 'argentina', 'juara', 'sama', 'maradona']</t>
  </si>
  <si>
    <t>@PSSI Berisiiiik diem lagi euforia argentina juara...mau main di piala kaleng saja ribut mulu</t>
  </si>
  <si>
    <t>berisiiiik diem lagi euforia argentina juara mau main piala kaleng saja ribut mulu</t>
  </si>
  <si>
    <t>['berisiiiik', 'diem', 'euforia', 'argentina', 'juara', 'mau', 'main', 'piala', 'kaleng', 'ribut', 'mulu']</t>
  </si>
  <si>
    <t>perghhhhh still bau wangi di baju walau berpeluh-sorak mlm tadi Argentina Juara World Cup 2K22 .. klik üëá jer nak beli  https://t.co/isl5bf5iaA</t>
  </si>
  <si>
    <t>perghhhhh still bau wangi baju walau berpeluh sorak mlm tadi argentina juara world cup klik jer nak beli</t>
  </si>
  <si>
    <t>['perghhhhh', 'still', 'bau', 'wangi', 'baju', 'berpeluh', 'sorak', 'malam', 'tadi', 'argentina', 'juara', 'world', 'cup', 'klik', 'jer', 'nak', 'beli']</t>
  </si>
  <si>
    <t>@LisandrMartinez Congrats üî•üî•üî•</t>
  </si>
  <si>
    <t>congrats</t>
  </si>
  <si>
    <t>['congrats']</t>
  </si>
  <si>
    <t>Argentina Melewati Penderitaan Menjadi Juara Piala Dunia¬†2022  https://t.co/w8MpdUnW2J</t>
  </si>
  <si>
    <t>argentina melewati penderitaan menjadi juara piala dunia</t>
  </si>
  <si>
    <t>['argentina', 'melewati', 'penderitaan', 'menjadi', 'juara', 'piala', 'dunia']</t>
  </si>
  <si>
    <t>saat ini ada 2 kebahagiaan : argentina juara dan ternyata susanti tak jadi balek indon.</t>
  </si>
  <si>
    <t>saat ini ada kebahagiaan argentina juara dan ternyata susanti tak jadi balek indon</t>
  </si>
  <si>
    <t>['kebahagiaan', 'argentina', 'juara', 'ternyata', 'susanti', 'tak', 'jadi', 'balek', 'indon']</t>
  </si>
  <si>
    <t>@wazuddin @FajarMoenir @leomessi Tahun 2008 Messi pernah juara Olympiade sm Argentina üôè</t>
  </si>
  <si>
    <t>tahun messi pernah juara olympiade argentina</t>
  </si>
  <si>
    <t>['tahun', 'messi', 'pernah', 'juara', 'olympiade', 'argentina']</t>
  </si>
  <si>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</si>
  <si>
    <t>nyok kite pilih yang berpengalaman dan udh keliatan kerjanya kayak pak hrt semalem pada nonton final argentina emng pantes juara sih buat prancis tetap semangat selamat untuk the greatest all time messi yang udh melampaui maradona</t>
  </si>
  <si>
    <t>['nyok', 'kite', 'pilih', 'berpengalaman', 'sudah', 'keliatan', 'kerjanya', 'seperti', 'pak', 'hrt', 'semalam', 'nonton', 'final', 'argentina', 'memang', 'pantes', 'juara', 'buat', 'prancis', 'tetap', 'semangat', 'selamat', 'the', 'greatest', 'all', 'time', 'messi', 'sudah', 'melampaui', 'maradona']</t>
  </si>
  <si>
    <t>sekolah ra petukan crush rapopo sing penting Argentina juara</t>
  </si>
  <si>
    <t>sekolah petukan crush rapopo sing penting argentina juara</t>
  </si>
  <si>
    <t>['sekolah', 'petukan', 'crush', 'rapopo', 'sing', 'penting', 'argentina', 'juara']</t>
  </si>
  <si>
    <t>Gemes kali google ada kembang api argentinaüòÜüòÜ coba search "juara piala dunia"</t>
  </si>
  <si>
    <t>gemes kali google ada kembang api argentina coba search juara piala dunia</t>
  </si>
  <si>
    <t>['gemes', 'kali', 'google', 'kembang', 'api', 'argentina', 'coba', 'search', 'juara', 'piala', 'dunia']</t>
  </si>
  <si>
    <t>ARGENTINA JUARA PIALA DUNIA 2022 PENANTIAN PANJANG SEJAK 1986 ----------- ‚öΩÔ∏èüèÜEVENT TEBAK SCORE PIALA DUNIA 2022 KAPTEN69  GRAND PRIZE - ALL YOU CAN WIN !! - Apple Iphone 14 Pro 5G 1Tb  https://t.co/ufErAZ5AdV . #kapten69 #tebakskor  #slotgacor #PialaDunia2022 #argentina  https://t.co/0SkRDGXwWW</t>
  </si>
  <si>
    <t>argentina juara piala dunia penantian panjang sejak event tebak score piala dunia kapten grand prize all you can win apple iphone pro</t>
  </si>
  <si>
    <t>['argentina', 'juara', 'piala', 'dunia', 'penantian', 'panjang', 'sejak', 'event', 'tebak', 'score', 'piala', 'dunia', 'kapten', 'grand', 'prize', 'all', 'you', 'can', 'win', 'apple', 'iphone', 'pro']</t>
  </si>
  <si>
    <t>Messi memang hormat sama Maradona.  Cuma dia ga suka itu soal kecanduan alkohol dan narkobanya Maradona. Tertekan dia.    Makanya, Messi baru bisa juara setelah Maradona wafat dan ga lagi membayang-bayangi tim Argentina.  Gitu loh say...</t>
  </si>
  <si>
    <t>messi memang hormat sama maradona cuma dia suka itu soal kecanduan alkohol dan narkobanya maradona tertekan dia makanya messi baru bisa juara setelah maradona wafat dan lagi membayang bayangi tim argentina gitu loh say</t>
  </si>
  <si>
    <t>['messi', 'memang', 'hormat', 'sama', 'maradona', 'cuma', 'suka', 'soal', 'kecanduan', 'alkohol', 'narkobanya', 'maradona', 'tertekan', 'makanya', 'messi', 'baru', 'juara', 'maradona', 'wafat', 'membayang', 'bayangi', 'tim', 'argentina', 'gitu', 'say']</t>
  </si>
  <si>
    <t>Argentina berhasil menjadi juara Piala Dunia 2022 usai mengalahkan Prancis lewat drama adu penalti. Begini perjalanan Tim Tango dari fase grup hingga juara. #juaraboladunia    https://t.co/dweKW4pdQV</t>
  </si>
  <si>
    <t>argentina berhasil menjadi juara piala dunia usai mengalahkan prancis lewat drama adu penalti begini perjalanan tim tango dari fase grup hingga juara</t>
  </si>
  <si>
    <t>['argentina', 'berhasil', 'menjadi', 'juara', 'piala', 'dunia', 'usai', 'mengalahkan', 'prancis', 'lewat', 'drama', 'adu', 'penalti', 'begini', 'perjalanan', 'tim', 'tango', 'fase', 'grup', 'hingga', 'juara']</t>
  </si>
  <si>
    <t>Argentina Juara Piala Dunia, Warga Ambon dan Ternate Ikut Berpesta  https://t.co/u07xzz57YU</t>
  </si>
  <si>
    <t>argentina juara piala dunia warga ambon dan ternate ikut berpesta</t>
  </si>
  <si>
    <t>['argentina', 'juara', 'piala', 'dunia', 'warga', 'ambon', 'ternate', 'ikut', 'berpesta']</t>
  </si>
  <si>
    <t>Yang jagoin Argentina mana nih kemaren? Jagoan lo juara!  Pada nobar gak lo semalem?  #MLDSPOT #INSPIRINGLIFESTYLE #ARGENTINA #PIALADUNIA  https://t.co/BvpYDpzg2z</t>
  </si>
  <si>
    <t>yang jagoin argentina mana nih kemaren jagoan juara pada nobar gak semalem</t>
  </si>
  <si>
    <t>['jagoin', 'argentina', 'mana', 'kemarin', 'jagoan', 'juara', 'nonton bareng', 'semalam']</t>
  </si>
  <si>
    <t>Dia adalah Lionel Messi, sorot sentral di Lusail, Qatar. Dia mega star yang dinanti jutaan orang: bawa Argentina juara lagi setelah 36 tahun, gelar puncak Messi dalam aksinya di lima #PialaDunia. Simak #kolom @HardimenKoto selengkapnya.  https://t.co/jxsppsN0rW</t>
  </si>
  <si>
    <t>dia adalah lionel messi sorot sentral lusail qatar dia mega star yang dinanti jutaan orang bawa argentina juara lagi setelah tahun gelar puncak messi dalam aksinya lima simak selengkapnya</t>
  </si>
  <si>
    <t>['lionel', 'messi', 'sorot', 'sentral', 'lusail', 'qatar', 'mega', 'star', 'dinanti', 'jutaan', 'orang', 'bawa', 'argentina', 'juara', 'tahun', 'gelar', 'puncak', 'messi', 'aksinya', 'lima', 'simak', 'selengkapnya']</t>
  </si>
  <si>
    <t>Berita Bola Terkini Nova88 Indonesia Klik  https://t.co/VsbRjz8w7o : Daftar Juara Piala Dunia 1930-2022: Argentina 3 Bintang, Salip Perancis dan Uruguay  https://t.co/jA2GFfaBQa  https://t.co/SmjljvzdHR</t>
  </si>
  <si>
    <t>berita bola terkini nova indonesia klik daftar juara piala dunia argentina bintang salip perancis dan uruguay</t>
  </si>
  <si>
    <t>['berita', 'bola', 'terkini', 'nova', 'indonesia', 'klik', 'daftar', 'juara', 'piala', 'dunia', 'argentina', 'bintang', 'salip', 'perancis', 'uruguay']</t>
  </si>
  <si>
    <t>Argentina berhasil menjadi juara Piala Dunia 2022 usai mengalahkan Prancis lewat drama adu penalti. Begini perjalanan Tim Tango dari fase grup hingga juara. #juaraboladunia    https://t.co/qFpo42u0Nh</t>
  </si>
  <si>
    <t>td bapak" di gang gue nanya  "kmrn dukung apa mba mila" "argentina lah" "wah mentang mentang udh menang jd dukung" "lah orang karna ada messi"  ETT LU GATAU AJA GUE DARI JAUH" HARI DOAIN MESSI JUARA üò≠üò≠üò≠</t>
  </si>
  <si>
    <t>bapak gang gue nanya kmrn dukung apa mba mila argentina lah wah mentang mentang udh menang dukung lah orang karna ada messi ett gatau aja gue dari jauh hari doain messi juara</t>
  </si>
  <si>
    <t>['bapak', 'gang', 'gue', 'nanya', 'kmrn', 'dukung', 'apa', 'mba', 'mila', 'argentina', 'lah', 'wah', 'mentang', 'mentang', 'sudah', 'menang', 'dukung', 'lah', 'orang', 'karna', 'messi', 'ett', 'gatau', 'gue', 'jauh', 'hari', 'doain', 'messi', 'juara']</t>
  </si>
  <si>
    <t>Ini ya netizen, Argentina juara dunia wajar puja puji Messi masih ngegas sampai sekarang dan sampai bertahun2 ke depan.  Ya ga pernah juara aja dibahas ga habis2 apalagi yang pegang piala ü§£ü§£ü§£</t>
  </si>
  <si>
    <t>ini netizen argentina juara dunia wajar puja puji messi masih ngegas sampai sekarang dan sampai bertahun depan pernah juara aja dibahas habis apalagi yang pegang piala</t>
  </si>
  <si>
    <t>['netizen', 'argentina', 'juara', 'dunia', 'wajar', 'puja', 'puji', 'messi', 'ngegas', 'sekarang', 'bertahun', 'depan', 'pernah', 'juara', 'dibahas', 'habis', 'pegang', 'piala']</t>
  </si>
  <si>
    <t>gue kira finalnya tu argen vs portugal., eh gatau nya Francis vs Argentina., dan argentina juara..  tapi kok yg Kebakaran fans portugal sama Dodo yak ?   kan mereka bukan org francis. Ciaaaaaaaahhhhh‚Ä¶.. üòÜ</t>
  </si>
  <si>
    <t>gue kira finalnya argen portugal gatau nya francis argentina dan argentina juara tapi kok kebakaran fans portugal sama dodo yak kan mereka bukan org francis ciaaaaaaaahhhhh</t>
  </si>
  <si>
    <t>['gue', 'kira', 'finalnya', 'argen', 'portugal', 'gatau', 'francis', 'argentina', 'argentina', 'juara', 'kok', 'kebakaran', 'fans', 'portugal', 'sama', 'dodo', 'yak', 'kan', 'bukan', 'org', 'francis', 'ciaaaaaaaahhhhh']</t>
  </si>
  <si>
    <t>Daftar Juara Piala Dunia 1930-2022: Argentina 3 Bintang, Salip Perancis dan Uruguay  https://t.co/lCyG68dkM0</t>
  </si>
  <si>
    <t>daftar juara piala dunia argentina bintang salip perancis dan uruguay</t>
  </si>
  <si>
    <t>['daftar', 'juara', 'piala', 'dunia', 'argentina', 'bintang', 'salip', 'perancis', 'uruguay']</t>
  </si>
  <si>
    <t>@LArismi11 Argentina juara..ada yg ikut cium pialaü§≠</t>
  </si>
  <si>
    <t>argentina juara ada ikut cium piala</t>
  </si>
  <si>
    <t>['argentina', 'juara', 'ikut', 'cium', 'piala']</t>
  </si>
  <si>
    <t>Bawa Argentina Juara, Lionel Messi Akhiri Perdebatan GOAT | Diskusi  https://t.co/stMhbT2qpG</t>
  </si>
  <si>
    <t>bawa argentina juara lionel messi akhiri perdebatan goat diskusi</t>
  </si>
  <si>
    <t>['bawa', 'argentina', 'juara', 'lionel', 'messi', 'akhiri', 'perdebatan', 'goat', 'diskusi']</t>
  </si>
  <si>
    <t>Argentina Juara Piala Dunia 2022, Perdebatan Messi vs Ronaldo Selesai ‚Äì CNN Indonesia ‚Äì Google Berita Olahraga ‚Äì  https://t.co/uyNbPPw8df ‚Äì #Arenanews #Kamidi #Opsiminfo- https://t.co/BqD773Fq3U</t>
  </si>
  <si>
    <t>argentina juara piala dunia perdebatan messi ronaldo selesai cnn indonesia google berita olahraga</t>
  </si>
  <si>
    <t>['argentina', 'juara', 'piala', 'dunia', 'perdebatan', 'messi', 'ronaldo', 'selesai', 'cnn', 'indonesia', 'google', 'berita', 'olahraga']</t>
  </si>
  <si>
    <t>Ayo Argentina pasti bisa juara malam ini</t>
  </si>
  <si>
    <t>ayo argentina pasti bisa juara malam ini</t>
  </si>
  <si>
    <t>['ayo', 'argentina', 'juara', 'malam']</t>
  </si>
  <si>
    <t>Argentina Juara Piala Dunia 2022, Messi Kunci Kemenangan Argentina  https://t.co/7UOWN2GUXA</t>
  </si>
  <si>
    <t>argentina juara piala dunia messi kunci kemenangan argentina</t>
  </si>
  <si>
    <t>['argentina', 'juara', 'piala', 'dunia', 'messi', 'kunci', 'kemenangan', 'argentina']</t>
  </si>
  <si>
    <t>Argentina Juara Impian Malaysia (AJIM)  https://t.co/SYOvLtEmhu</t>
  </si>
  <si>
    <t>argentina juara impian malaysia ajim</t>
  </si>
  <si>
    <t>['argentina', 'juara', 'impian', 'malaysia', 'ajim']</t>
  </si>
  <si>
    <t>Argentina juara kayane dibantu karo alm Maradona kie</t>
  </si>
  <si>
    <t>argentina juara kayane dibantu karo alm maradona kie</t>
  </si>
  <si>
    <t>['argentina', 'juara', 'kayane', 'dibantu', 'karo', 'alm', 'maradona', 'kie']</t>
  </si>
  <si>
    <t>#bolatime #kualalumpur Di sebalik kejayaan Argentina ditabalkan sebagai juara Piala Dunia rupa-rupanya terdapat seorang bekas pemain Johor Darul Ta'zim (JDT) yang bertindak sebagai pembantu kepada ketua jurulatih, Lionel Scaloni.  https://t.co/jbVwKqS341</t>
  </si>
  <si>
    <t>sebalik kejayaan argentina ditabalkan sebagai juara piala dunia rupa rupanya terdapat seorang bekas pemain johor darul zim jdt yang bertindak sebagai pembantu kepada ketua jurulatih lionel scaloni</t>
  </si>
  <si>
    <t>['sebalik', 'kejayaan', 'argentina', 'ditabalkan', 'juara', 'piala', 'dunia', 'rupa', 'rupanya', 'terdapat', 'seorang', 'bekas', 'pemain', 'johor', 'darul', 'zim', 'jdt', 'bertindak', 'pembantu', 'ketua', 'jurulatih', 'lionel', 'scaloni']</t>
  </si>
  <si>
    <t>Argentina bahagia, Prancis menangis....  Kalo back-to-back gelar juara, ya kasihan lawannya, sama saja memperpanjang puasanya. HAHA.</t>
  </si>
  <si>
    <t>argentina bahagia prancis menangis kalo back back gelar juara kasihan lawannya sama saja memperpanjang puasanya haha</t>
  </si>
  <si>
    <t>['argentina', 'bahagia', 'prancis', 'menangis', 'back', 'back', 'gelar', 'juara', 'kasihan', 'lawannya', 'sama', 'memperpanjang', 'puasanya', 'haha']</t>
  </si>
  <si>
    <t>Argentina Juara, Emiliano Martinez Berhasil Menjadi Kiper Terbaik di Piala Dunia Qatar 2022 #ArgentinaVsFrance #WorldCupFinal #emiliano_martinez    https://t.co/fb8ekvm3lK</t>
  </si>
  <si>
    <t>argentina juara emiliano martinez berhasil menjadi kiper terbaik piala dunia qatar martinez</t>
  </si>
  <si>
    <t>['argentina', 'juara', 'emiliano', 'martinez', 'berhasil', 'menjadi', 'kiper', 'terbaik', 'piala', 'dunia', 'qatar', 'martinez']</t>
  </si>
  <si>
    <t>Lu pikir aja.. Messi debut tahun berapa tp Argen ga pernah juara..   Padahal pemain Argentina berkelas semua dari sejak debut Messi di pildun tahun 2006.   Dia tertekan ama Manajemen Barca tiap izin tampil buat Argen.  Dan setelah Maradona Wafat.   Ini sedikit yg tahu. üòâ</t>
  </si>
  <si>
    <t>pikir aja messi debut tahun berapa argen pernah juara padahal pemain argentina berkelas semua dari sejak debut messi pildun tahun dia tertekan ama manajemen barca tiap izin tampil buat argen dan setelah maradona wafat ini sedikit tahu</t>
  </si>
  <si>
    <t>['pikir', 'messi', 'debut', 'tahun', 'berapa', 'argen', 'pernah', 'juara', 'padahal', 'pemain', 'argentina', 'berkelas', 'semua', 'sejak', 'debut', 'messi', 'piala dunia', 'tahun', 'tertekan', 'ama', 'manajemen', 'barca', 'tiap', 'izin', 'tampil', 'buat', 'argen', 'maradona', 'wafat', 'sedikit', 'tahu']</t>
  </si>
  <si>
    <t>@MySumatera Juara dunia 2022, keren Argentina üèÜ</t>
  </si>
  <si>
    <t>juara dunia keren argentina</t>
  </si>
  <si>
    <t>['juara', 'dunia', 'keren', 'argentina']</t>
  </si>
  <si>
    <t>@SiaranBolaLive Apakah Argentina juara WC2022 disebabkan dia? Wow</t>
  </si>
  <si>
    <t>apakah argentina juara disebabkan dia wow</t>
  </si>
  <si>
    <t>['argentina', 'juara', 'disebabkan', 'wow']</t>
  </si>
  <si>
    <t>Ada David Beckham KW (palsu) yang ikut rayakan kemenangan Argentina juara Piala Dunia 2022. Jangan kaget, dia adalah Papu Gomez yang jadi bahan lelucon Aguero!  https://t.co/0rJAAPpZIp</t>
  </si>
  <si>
    <t>ada david beckham palsu yang ikut rayakan kemenangan argentina juara piala dunia jangan kaget dia adalah papu gomez yang jadi bahan lelucon aguero</t>
  </si>
  <si>
    <t>['david', 'beckham', 'palsu', 'ikut', 'rayakan', 'kemenangan', 'argentina', 'juara', 'piala', 'dunia', 'jangan', 'kaget', 'papu', 'gomez', 'jadi', 'bahan', 'lelucon', 'aguero']</t>
  </si>
  <si>
    <t>Berbanggalah Arab saudi telah mengalahkan Argentina yang jadi juara pildun.</t>
  </si>
  <si>
    <t>berbanggalah arab saudi telah mengalahkan argentina yang jadi juara pildun</t>
  </si>
  <si>
    <t>['berbanggalah', 'arab', 'saudi', 'mengalahkan', 'argentina', 'jadi', 'juara', 'piala dunia']</t>
  </si>
  <si>
    <t>@Box2BoxBola Plot twist = Sebenarnya juara word cup yang sebenarnya adalah saudi arabia karana saudi arabia sudah mengalahkan argentina</t>
  </si>
  <si>
    <t>plot twist sebenarnya juara word cup yang sebenarnya adalah saudi arabia karana saudi arabia sudah mengalahkan argentina</t>
  </si>
  <si>
    <t>['plot', 'twist', 'sebenarnya', 'juara', 'word', 'cup', 'sebenarnya', 'saudi', 'arabia', 'karana', 'saudi', 'arabia', 'mengalahkan', 'argentina']</t>
  </si>
  <si>
    <t>Argentina Juara, Mario Gotze Bagikan Gambar saat Messi Bangkit dari Keterpurukan Piala Dunia 2014.  https://t.co/h60KuLwjnz</t>
  </si>
  <si>
    <t>argentina juara mario gotze bagikan gambar saat messi bangkit dari keterpurukan piala dunia</t>
  </si>
  <si>
    <t>['argentina', 'juara', 'mario', 'gotze', 'bagikan', 'gambar', 'messi', 'bangkit', 'keterpurukan', 'piala', 'dunia']</t>
  </si>
  <si>
    <t>Kota Kelahiran Lionel Messi Jadi Lautan Manusia Usai Argentina Juara Piala Dunia 2022  https://t.co/JHoKDMhb5D</t>
  </si>
  <si>
    <t>argentina juara pildun, jenrina 1 frame. full senyum sampe taun depan</t>
  </si>
  <si>
    <t>argentina juara pildun jenrina frame full senyum sampe taun depan</t>
  </si>
  <si>
    <t>['argentina', 'juara', 'piala dunia', 'jenrina', 'frame', 'full', 'senyum', 'sampai', 'taun', 'depan']</t>
  </si>
  <si>
    <t>@cobeh2022 Setelah tweet Argentina juara WC2022 Qatar viral tweet ini mungkin selanjutnya. Mantab</t>
  </si>
  <si>
    <t>setelah tweet argentina juara qatar viral tweet ini mungkin selanjutnya mantab</t>
  </si>
  <si>
    <t>['tweet', 'argentina', 'juara', 'qatar', 'viral', 'tweet', 'mungkin', 'selanjutnya', 'mantab']</t>
  </si>
  <si>
    <t>@jek___ Argentina juara dunia, puji Tuhan</t>
  </si>
  <si>
    <t>argentina juara dunia puji tuhan</t>
  </si>
  <si>
    <t>['argentina', 'juara', 'dunia', 'puji', 'tuhan']</t>
  </si>
  <si>
    <t>@PSM_Makassar Argentina juara, dan kali ini PSM menang dalam sehari mendapat kenikmatan yg luar biasa.  thanks God</t>
  </si>
  <si>
    <t>makassar argentina juara dan kali ini psm menang dalam sehari mendapat kenikmatan luar biasa thanks god</t>
  </si>
  <si>
    <t>['makassar', 'argentina', 'juara', 'kali', 'psm', 'menang', 'sehari', 'mendapat', 'kenikmatan', 'luar', 'biasa', 'thanks', 'god']</t>
  </si>
  <si>
    <t>Gonzalo Montiel membantu Argentina juara dunia 2022 setelah sukses mengeksekusi tendangan penalti melawan Prancis. Ini koleksi mobilnya.   https://t.co/08HhGcXIBn</t>
  </si>
  <si>
    <t>gonzalo montiel membantu argentina juara dunia setelah sukses mengeksekusi tendangan penalti melawan prancis ini koleksi mobilnya</t>
  </si>
  <si>
    <t>['gonzalo', 'montiel', 'membantu', 'argentina', 'juara', 'dunia', 'sukses', 'mengeksekusi', 'tendangan', 'penalti', 'melawan', 'prancis', 'koleksi', 'mobilnya']</t>
  </si>
  <si>
    <t>Semua Teori Cocoklogi Argentina Juara Piala Dunia tahun ini telah terjadi &amp;amp; sudah ditakdirkan üòç‚ú®  Thanks Admin ETI @idextratime</t>
  </si>
  <si>
    <t>semua teori cocoklogi argentina juara piala dunia tahun ini telah terjadi sudah ditakdirkan thanks admin eti</t>
  </si>
  <si>
    <t>['semua', 'teori', 'cocoklogi', 'argentina', 'juara', 'piala', 'dunia', 'tahun', 'terjadi', 'ditakdirkan', 'thanks', 'admin', 'eti']</t>
  </si>
  <si>
    <t>Masih g nyangka Argentina sm Messi juara FWC 2022. Te amo mi hermanosüò≠üíôüá¶üá∑  https://t.co/GL3MCg8gsj</t>
  </si>
  <si>
    <t>masih nyangka argentina messi juara fwc amo hermanos</t>
  </si>
  <si>
    <t>['nyangka', 'argentina', 'messi', 'juara', 'fwc', 'amo', 'hermanos']</t>
  </si>
  <si>
    <t>Belum Pensiun, Lionel Messi Masih Ingin Bela Argentina Sebagai Juara Dunia  https://t.co/nY0D0sh3wI</t>
  </si>
  <si>
    <t>belum pensiun lionel messi masih ingin bela argentina sebagai juara dunia</t>
  </si>
  <si>
    <t>['pensiun', 'lionel', 'messi', 'bela', 'argentina', 'juara', 'dunia']</t>
  </si>
  <si>
    <t>Argentina Juara Piala Dunia 2022, Syafrudin : Dari Awal Saya Dukung Argentina  https://t.co/Qx7iTfic6N</t>
  </si>
  <si>
    <t>argentina juara piala dunia syafrudin dari awal saya dukung argentina</t>
  </si>
  <si>
    <t>['argentina', 'juara', 'piala', 'dunia', 'syafrudin', 'awal', 'dukung', 'argentina']</t>
  </si>
  <si>
    <t>@gilangseva1 @WitKatSpc @dolphinisasi @idextratime Ngasih info ga usah setengah2, ada nama Pepe, Carvalho, wonderkid Renato Sanches, Nani, Moutinho, sama Patricio yg bagus waktu itu. Kurleb sama sikon skuadnya sama Argentina 2022, kecuali Portugal 2022, b</t>
  </si>
  <si>
    <t>ngasih info usah setengah ada nama pepe carvalho wonderkid renato sanches nani moutinho sama patricio bagus waktu itu kurleb sama sikon skuadnya sama argentina kecuali portugal</t>
  </si>
  <si>
    <t>['ngasih', 'info', 'usah', 'setengah', 'nama', 'pepe', 'carvalho', 'wonderkid', 'renato', 'sanches', 'nani', 'moutinho', 'sama', 'patricio', 'bagus', 'waktu', 'kurleb', 'sama', 'sikon', 'skuadnya', 'sama', 'argentina', 'portugal']</t>
  </si>
  <si>
    <t>@carolinaanna99 jiah.. itu argentina trakhir juara jamannya maradona. gitu</t>
  </si>
  <si>
    <t>jiah itu argentina trakhir juara jamannya maradona gitu</t>
  </si>
  <si>
    <t>['jiah', 'argentina', 'trakhir', 'juara', 'jamannya', 'maradona', 'gitu']</t>
  </si>
  <si>
    <t>Finally, Leo Messi!! Juara Piala Dunia 2022 bersama Argentina. Selama ini nonton final sepakbola, ini Pertandingan Terbaik, Gilak!!! #sisakemarin #FIFAWorldCup  https://t.co/A0sNzwmHfv</t>
  </si>
  <si>
    <t>finally leo messi juara piala dunia bersama argentina selama ini nonton final sepakbola ini pertandingan terbaik gilak</t>
  </si>
  <si>
    <t>['finally', 'leo', 'messi', 'juara', 'piala', 'dunia', 'bersama', 'argentina', 'selama', 'nonton', 'final', 'sepakbola', 'pertandingan', 'terbaik', 'gilak']</t>
  </si>
  <si>
    <t>4. Penantian 36 tahun. Terakhir kali Argentina juara pada 1986. Tepatnya 36 tahun lalu. Ketika itu Argentina masih diperkuat oleh sang legenda, Diego Maradona. Setelah berhasil masuk final di Piala Dunia 1990 dan 2014, kini Argentina berhasil kembali keluar menjadi Juara.</t>
  </si>
  <si>
    <t>penantian tahun terakhir kali argentina juara pada tepatnya tahun lalu ketika itu argentina masih diperkuat oleh sang legenda diego maradona setelah berhasil masuk final piala dunia dan kini argentina berhasil kembali keluar menjadi juara</t>
  </si>
  <si>
    <t>['penantian', 'tahun', 'terakhir', 'kali', 'argentina', 'juara', 'tepatnya', 'tahun', 'lalu', 'argentina', 'diperkuat', 'sang', 'legenda', 'diego', 'maradona', 'berhasil', 'masuk', 'final', 'piala', 'dunia', 'kini', 'argentina', 'berhasil', 'keluar', 'menjadi', 'juara']</t>
  </si>
  <si>
    <t>Sindiran John Terry kepada Sergio Aguero yang ikut selebrasi Juara Argentina... . #EMTEKWORLDCUP2022 #BOLANETWORLDCUP2022 #PialaDunia #PialaDunia2022  https://t.co/6sX30guHzV</t>
  </si>
  <si>
    <t>sindiran john terry kepada sergio aguero yang ikut selebrasi juara argentina</t>
  </si>
  <si>
    <t>['sindiran', 'john', 'terry', 'sergio', 'aguero', 'ikut', 'selebrasi', 'juara', 'argentina']</t>
  </si>
  <si>
    <t>@idextratime Tapi Piala Dunia 2022 emang udah di-setting beneran sih, di-setting sama Yang Maha Kuasa buat Messi dan Argentina yang jadi juara. Dan itu fakta.  https://t.co/hUIq8Luj9b</t>
  </si>
  <si>
    <t>tapi piala dunia emang udah setting beneran sih setting sama yang maha kuasa buat messi dan argentina yang jadi juara dan itu fakta</t>
  </si>
  <si>
    <t>['piala', 'dunia', 'emang', 'udah', 'setting', 'beneran', 'setting', 'sama', 'maha', 'kuasa', 'buat', 'messi', 'argentina', 'jadi', 'juara', 'fakta']</t>
  </si>
  <si>
    <t>@idextratime sengaja ga dibuat gol, biar argentina juara coy</t>
  </si>
  <si>
    <t>sengaja dibuat gol biar argentina juara coy</t>
  </si>
  <si>
    <t>['sengaja', 'dibuat', 'gol', 'argentina', 'juara', 'coy']</t>
  </si>
  <si>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</si>
  <si>
    <t>argentina jelas bahagia bisa menjadi juara piala dunia qatar namun dibalik keberhasilan itu ada beberapa hal yang perlu kita pelajari dari tim nasional argentina dalam mencapai kesuksesan hal ini tidak hanya dapat diterapkan dalam dunia olahraga saja namun juga dalam</t>
  </si>
  <si>
    <t>['argentina', 'jelas', 'bahagia', 'menjadi', 'juara', 'piala', 'dunia', 'qatar', 'dibalik', 'keberhasilan', 'beberapa', 'perlu', 'pelajari', 'tim', 'nasional', 'argentina', 'mencapai', 'kesuksesan', 'diterapkan', 'dunia', 'olahraga']</t>
  </si>
  <si>
    <t>Maroko Kalah, Dukung Prancis Karena Banyak Muslim, Eh Argentina Juara, Makin Malu Ga Tuh?  https://t.co/mTPyFbhrG2 #moreshareforum #beritaterkini</t>
  </si>
  <si>
    <t>maroko kalah dukung prancis karena banyak muslim argentina juara makin malu tuh</t>
  </si>
  <si>
    <t>['maroko', 'kalah', 'dukung', 'prancis', 'banyak', 'muslim', 'argentina', 'juara', 'makin', 'malu']</t>
  </si>
  <si>
    <t>Andai nanti juara maka ucapan selamatnya untuk indonesia atau pssi?  Sama kayak argentina kemaren, juaranya adalah argentina atau AFA?</t>
  </si>
  <si>
    <t>andai nanti juara maka ucapan selamatnya untuk indonesia atau pssi sama kayak argentina kemaren juaranya adalah argentina atau afa</t>
  </si>
  <si>
    <t>['andai', 'juara', 'ucapan', 'selamatnya', 'indonesia', 'pssi', 'sama', 'seperti', 'argentina', 'kemarin', 'juaranya', 'argentina', 'afa']</t>
  </si>
  <si>
    <t>Emiliano Martinez Senang Mbappe dan Prancis Menendangnya 3 Kali, Argentina Juara Piala Dunia¬†2022  https://t.co/0lJ8OMzuXn</t>
  </si>
  <si>
    <t>emiliano martinez senang mbappe dan prancis menendangnya kali argentina juara piala dunia</t>
  </si>
  <si>
    <t>['emiliano', 'martinez', 'senang', 'mbappe', 'prancis', 'menendangnya', 'kali', 'argentina', 'juara', 'piala', 'dunia']</t>
  </si>
  <si>
    <t>Wkwkwk dari awal gw nonton piala dunia udah ngerasa "wah" banget, dari match pembukaan tuan rumah langsung kalah, Argentina kalah lawan Saudi, negara-negara Asia kompak bikin kejutan. Match yang ga gw tonton cuma match Kroasia vs Maroko karna males nontonin perebutan juara 3.-</t>
  </si>
  <si>
    <t>wkwkwk dari awal nonton piala dunia udah ngerasa wah banget dari match pembukaan tuan rumah langsung kalah argentina kalah lawan saudi negara negara asia kompak bikin kejutan match yang tonton cuma match kroasia maroko karna males nontonin perebutan juara</t>
  </si>
  <si>
    <t>['wkwkwk', 'awal', 'nonton', 'piala', 'dunia', 'udah', 'ngerasa', 'wah', 'banget', 'match', 'pembukaan', 'tuan', 'rumah', 'langsung', 'kalah', 'argentina', 'kalah', 'lawan', 'saudi', 'negara', 'negara', 'asia', 'kompak', 'kejutan', 'match', 'tonton', 'cuma', 'match', 'kroasia', 'maroko', 'karna', 'males', 'nontonin', 'perebutan', 'juara']</t>
  </si>
  <si>
    <t>@hrvione @idextratime Setuju gua bang, 90menit boleh dah ngomong var tai, wasit dibayar dll. Tapi kalahnya udah adu penalti, yaudah salahin yang nendang sama yang kiper gabisa nangkep.   Karna kalo udah adu pk, 90menit yaudah.   Emang cocok Argentina juar</t>
  </si>
  <si>
    <t>setuju gua bang menit boleh dah ngomong var tai wasit dibayar dll tapi kalahnya udah adu penalti yaudah salahin yang nendang sama yang kiper gabisa nangkep karna kalo udah adu menit yaudah emang cocok argentina juar</t>
  </si>
  <si>
    <t>['setuju', 'gua', 'bang', 'menit', 'dah', 'ngomong', 'var', 'tai', 'wasit', 'dibayar', 'kalahnya', 'udah', 'adu', 'penalti', 'yaudah', 'salahin', 'nendang', 'sama', 'kiper', 'gabisa', 'nangkep', 'karna', 'udah', 'adu', 'menit', 'yaudah', 'emang', 'cocok', 'argentina', 'juar']</t>
  </si>
  <si>
    <t>@BetraPratama Iya dong, Argentina pantas menjadi juara sih #bersamajuara #ridwankamil</t>
  </si>
  <si>
    <t>iya dong argentina pantas menjadi juara sih</t>
  </si>
  <si>
    <t>['iya', 'dong', 'argentina', 'pantas', 'menjadi', 'juara']</t>
  </si>
  <si>
    <t>@Coopee_ABCOO Finally, Argentina Juara #bersamajuara #ridwankamil</t>
  </si>
  <si>
    <t>abcoo finally argentina juara</t>
  </si>
  <si>
    <t>['abcoo', 'finally', 'argentina', 'juara']</t>
  </si>
  <si>
    <t>Ada yg sama ngga? Gue ngerasa Yg juara argentina tpi yg menang france.  Apakah saya salah dalam hal perasaan klo ia tolong di sadarkan. Help me</t>
  </si>
  <si>
    <t>ada sama ngga gue ngerasa juara argentina tpi menang france apakah saya salah dalam hal perasaan klo tolong sadarkan help</t>
  </si>
  <si>
    <t>['sama', 'ngga', 'gue', 'ngerasa', 'juara', 'argentina', 'tpi', 'menang', 'france', 'salah', 'perasaan', 'sadarkan', 'help']</t>
  </si>
  <si>
    <t>üèÜ Selamat kepada team ARGENTINA, sebagai juara FIFA WORLD CUP 2022ball üèÜ   Walau team pilihan mimin Perancis gak menang, tetep it's a good match yaa kan üíãü•∞  #FIFAWorldCup #ARGFRA #ArgentinaVsFrance #MessiìÉµ #Mbappe #ArgentinaCampeon  https://t.co/j5WPH0P49D</t>
  </si>
  <si>
    <t>selamat kepada team argentina sebagai juara fifa world cup ball walau team pilihan mimin perancis gak menang tetep good match yaa kan</t>
  </si>
  <si>
    <t>['selamat', 'team', 'argentina', 'juara', 'fifa', 'world', 'cup', 'ball', 'team', 'pilihan', 'mimin', 'perancis', 'menang', 'tetep', 'good', 'match', 'ya', 'kan']</t>
  </si>
  <si>
    <t>@malikprince28 Yg bikin malas Argentina juara tuh ini, selain emang tampang para pemainnya ngeselin.</t>
  </si>
  <si>
    <t>bikin malas argentina juara tuh ini selain emang tampang para pemainnya ngeselin</t>
  </si>
  <si>
    <t>['malas', 'argentina', 'juara', 'emang', 'tampang', 'pemainnya', 'ngeselin']</t>
  </si>
  <si>
    <t>Omong Kosong Argentina Juara  https://t.co/8gvK93phxn</t>
  </si>
  <si>
    <t>omong kosong argentina juara</t>
  </si>
  <si>
    <t>['omong', 'kosong', 'argentina', 'juara']</t>
  </si>
  <si>
    <t>Gaya Antonella Pakai Ripped Jeans saat Perayaan Argentina Juara Piala Dunia 2022, Bikin Gemas Dipotret Lionel Messi  https://t.co/M3nSkDhsjP</t>
  </si>
  <si>
    <t>gaya antonella pakai ripped jeans saat perayaan argentina juara piala dunia bikin gemas dipotret lionel messi</t>
  </si>
  <si>
    <t>['gaya', 'antonella', 'pakai', 'ripped', 'jeans', 'perayaan', 'argentina', 'juara', 'piala', 'dunia', 'gemas', 'dipotret', 'lionel', 'messi']</t>
  </si>
  <si>
    <t>@gilangseva1 @WitKatSpc @dolphinisasi @idextratime Portugal sebelom ada CR emg gapernah juara, tp kondisi skuadnya ttp bagus bego, lu kira di Pildun sekarang skuad Argentina semewah skuad Portugal?</t>
  </si>
  <si>
    <t>portugal sebelom ada emg gapernah juara kondisi skuadnya ttp bagus bego kira pildun sekarang skuad argentina semewah skuad portugal</t>
  </si>
  <si>
    <t>['portugal', 'sebelom', 'memang', 'gapernah', 'juara', 'kondisi', 'skuadnya', 'ttp', 'bagus', 'bego', 'kira', 'piala dunia', 'sekarang', 'skuad', 'argentina', 'semewah', 'skuad', 'portugal']</t>
  </si>
  <si>
    <t>Aguero ga ikut maen pas Argentina juara pildun, ga pernah juara UCL malah ngatain anak ini "muka kntl".  Problematik amat bang @aguerosergiokun  https://t.co/TAtGAHVW6U</t>
  </si>
  <si>
    <t>aguero ikut maen pas argentina juara pildun pernah juara ucl malah ngatain anak ini muka kntl problematik amat bang</t>
  </si>
  <si>
    <t>['aguero', 'ikut', 'maen', 'pas', 'argentina', 'juara', 'piala dunia', 'pernah', 'juara', 'ucl', 'malah', 'ngatain', 'anak', 'muka', 'kntl', 'problematik', 'bang']</t>
  </si>
  <si>
    <t>Untung argentina juara menang secara dramatis kalo gak pasti dicap settingan wkwk Intinya Messi GOAT</t>
  </si>
  <si>
    <t>untung argentina juara menang secara dramatis kalo gak pasti dicap settingan wkwk intinya messi goat</t>
  </si>
  <si>
    <t>['untung', 'argentina', 'juara', 'menang', 'dramatis', 'dicap', 'settingan', 'intinya', 'messi', 'goat']</t>
  </si>
  <si>
    <t>Hallo AutoFamily!! Melalui adu penalti, Argentina berhasil mengalahkan Prancis dalam final Piala Dunia 2022 di Qatar. Timnya Messi ini berhasil mengangkat trofi setelah 36 tahun tanpa gelar juara.  #otomotif #mobil #argentina #messi #lionelmessi   https://t.co/Frii4p0pn5</t>
  </si>
  <si>
    <t>hallo autofamily melalui adu penalti argentina berhasil mengalahkan prancis dalam final piala dunia qatar timnya messi ini berhasil mengangkat trofi setelah tahun tanpa gelar juara</t>
  </si>
  <si>
    <t>['hallo', 'autofamily', 'melalui', 'adu', 'penalti', 'argentina', 'berhasil', 'mengalahkan', 'prancis', 'final', 'piala', 'dunia', 'qatar', 'timnya', 'messi', 'berhasil', 'mengangkat', 'trofi', 'tahun', 'gelar', 'juara']</t>
  </si>
  <si>
    <t>Ohiya Messi disamperin emaknya pas lg ngerayain juara. Baru liat td pas nntn berita. Gue gak sampe abis nntn perayaan kemenangan Argentina. Ngantuk bngt. Mn dah jam 3 pagi klo di tmpt gue.</t>
  </si>
  <si>
    <t>ohiya messi disamperin emaknya pas ngerayain juara baru liat pas nntn berita gue gak sampe abis nntn perayaan kemenangan argentina ngantuk bngt dah jam pagi klo tmpt gue</t>
  </si>
  <si>
    <t>['ohiya', 'messi', 'disamperin', 'emaknya', 'pas', 'ngerayain', 'juara', 'baru', 'lihat', 'pas', 'nonton', 'berita', 'gue', 'sampai', 'abis', 'nonton', 'perayaan', 'kemenangan', 'argentina', 'ngantuk', 'bngt', 'dah', 'jam', 'pagi', 'tmpt', 'gue']</t>
  </si>
  <si>
    <t>@GanjaranApp perjuanganya emng keren bgt! ga sia¬≤ akhirnya menang juara dunia jugaa, selamat argentina</t>
  </si>
  <si>
    <t>perjuanganya emng keren bgt sia akhirnya menang juara dunia jugaa selamat argentina</t>
  </si>
  <si>
    <t>['perjuanganya', 'memang', 'keren', 'banget', 'sia', 'akhirnya', 'menang', 'juara', 'dunia', 'jugaa', 'selamat', 'argentina']</t>
  </si>
  <si>
    <t>Argentina jelas bahagia bisa menjadi Juara di Piala Dunia Qatar 2022.   Namun, dibalik keberhasilan itu, ada beberapa hal yang perlu kita pelajari dari Tim Nasional Argentina dalam mencapai kesuksesan...   https://t.co/ufX8zRfDDE  https://t.co/BPaNTwQ6qS</t>
  </si>
  <si>
    <t>argentina jelas bahagia bisa menjadi juara piala dunia qatar namun dibalik keberhasilan itu ada beberapa hal yang perlu kita pelajari dari tim nasional argentina dalam mencapai kesuksesan</t>
  </si>
  <si>
    <t>['argentina', 'jelas', 'bahagia', 'menjadi', 'juara', 'piala', 'dunia', 'qatar', 'dibalik', 'keberhasilan', 'beberapa', 'perlu', 'pelajari', 'tim', 'nasional', 'argentina', 'mencapai', 'kesuksesan']</t>
  </si>
  <si>
    <t>@g00sebump666 @faizalarca @dannedevil @acuuunk @tahandong @dolphinisasi @idextratime Lu kira 2014 smaa 2022 Argentina skuadnya semewah Portugal, Prancis, sama Brasil  2022? kocak emg penyepong Dodo, meski gapernah masuk juara Pildun sblom Dodo jg Portugal</t>
  </si>
  <si>
    <t>kira smaa argentina skuadnya semewah portugal prancis sama brasil kocak emg penyepong dodo meski gapernah masuk juara pildun sblom dodo portugal</t>
  </si>
  <si>
    <t>['kira', 'smaa', 'argentina', 'skuadnya', 'semewah', 'portugal', 'prancis', 'sama', 'brasil', 'kocak', 'memang', 'penyepong', 'dodo', 'meski', 'gapernah', 'masuk', 'juara', 'piala dunia', 'sblom', 'dodo', 'portugal']</t>
  </si>
  <si>
    <t>KAKANWIL KEMENKUMHAM JATENG A. YUSPAHRUDDIN: Argentina Juara Piala Dunia 2022, Kepala Rutan Salatiga Minta Jajaran Teladani Semangat Lionel Messi -  https://t.co/wFa8XqjuO1</t>
  </si>
  <si>
    <t>@GanjaranApp akhirnyaa juara pildun juga! setelah penantian yg beberapa lama ini! congratss king mesi! argentina</t>
  </si>
  <si>
    <t>akhirnyaa juara pildun juga setelah penantian beberapa lama ini congratss king mesi argentina</t>
  </si>
  <si>
    <t>['akhirnyaa', 'juara', 'piala dunia', 'penantian', 'beberapa', 'lama', 'congratss', 'king', 'mesi', 'argentina']</t>
  </si>
  <si>
    <t>@_bobyalfaro @ridwankamil prediksi kang Emil bener banget tentang Argentina yang juara lewat adu penalti #bersamajuara #ridwankamil</t>
  </si>
  <si>
    <t>prediksi kang emil bener banget tentang argentina yang juara lewat adu penalti</t>
  </si>
  <si>
    <t>['prediksi', 'kang', 'emil', 'benar', 'banget', 'argentina', 'juara', 'lewat', 'adu', 'penalti']</t>
  </si>
  <si>
    <t>Bener kan, Argentina juara atau kalah Messi dan Argentina akan TTI top 5 terus wkwk</t>
  </si>
  <si>
    <t>bener kan argentina juara atau kalah messi dan argentina akan tti top terus wkwk</t>
  </si>
  <si>
    <t>['benar', 'kan', 'argentina', 'juara', 'kalah', 'messi', 'argentina', 'tti', 'top', 'terus']</t>
  </si>
  <si>
    <t>Argentina¬†menjadi¬†juara Piala Dunia 2022 Qatar dengan mengalahkan juara bertahan Prancis,¬†Minggu (18/12),¬†di Stadion Lusail.¬†  Antara #infografik:  https://t.co/KF0ZYehqN9  https://t.co/qABztJjUpi</t>
  </si>
  <si>
    <t>argentina menjadi juara piala dunia qatar dengan mengalahkan juara bertahan prancis minggu stadion lusail antara</t>
  </si>
  <si>
    <t>['argentina', 'menjadi', 'juara', 'piala', 'dunia', 'qatar', 'mengalahkan', 'juara', 'bertahan', 'prancis', 'minggu', 'stadion', 'lusail']</t>
  </si>
  <si>
    <t>@GanjaranApp congrats argentina! akhirnya mjd juara dunia setelas bertahun tahun penantiannya!</t>
  </si>
  <si>
    <t>congrats argentina akhirnya mjd juara dunia setelas bertahun tahun penantiannya</t>
  </si>
  <si>
    <t>['congrats', 'argentina', 'akhirnya', 'mjd', 'juara', 'dunia', 'setelas', 'bertahun', 'tahun', 'penantiannya']</t>
  </si>
  <si>
    <t>@sukamakanpermen Prediksi tepat sebelum mulai. Bau baunya Argentina juara dunia 2022.</t>
  </si>
  <si>
    <t>prediksi tepat sebelum mulai bau baunya argentina juara dunia</t>
  </si>
  <si>
    <t>['prediksi', 'tepat', 'mulai', 'bau', 'baunya', 'argentina', 'juara', 'dunia']</t>
  </si>
  <si>
    <t>Seantero Kota makassar tidur nyenyak malam ini, abis support Argentina yg juara WC ewako @PSM_Makassar juga menang meyakinkan vs PSIS, permainan PSM sdh kembali ke determinasi yg sesungguhnya @themaczmancom @RedGank_PSM @suldgkulle @PSM_Jabotabek @Bernard68456108</t>
  </si>
  <si>
    <t>seantero kota makassar tidur nyenyak malam ini abis support argentina juara ewako makassar juga menang meyakinkan psis permainan psm sdh kembali determinasi sesungguhnya psm jabotabek</t>
  </si>
  <si>
    <t>['seantero', 'kota', 'makassar', 'tidur', 'nyenyak', 'malam', 'abis', 'support', 'argentina', 'juara', 'ewako', 'makassar', 'menang', 'meyakinkan', 'psis', 'permainan', 'psm', 'determinasi', 'sesungguhnya', 'psm', 'jabotabek']</t>
  </si>
  <si>
    <t>@garistengah_id Tap maradona masih belum bisa mengendalikan emosi nya , karena di pertandingan itu maradona dapet kartu merah karena menendang pemain Belgia,  akibat nya , Argentina kalah 1 - 0  Di pd 86 maradona melewati 3 back inggris utk memasukkan bol</t>
  </si>
  <si>
    <t>tap maradona masih belum bisa mengendalikan emosi nya karena pertandingan itu maradona dapet kartu merah karena menendang pemain belgia akibat nya argentina kalah maradona melewati back inggris utk memasukkan bol</t>
  </si>
  <si>
    <t>['tap', 'maradona', 'mengendalikan', 'emosi', 'pertandingan', 'maradona', 'dapat', 'kartu', 'merah', 'menendang', 'pemain', 'belgia', 'akibat', 'argentina', 'kalah', 'maradona', 'melewati', 'back', 'inggris', 'memasukkan', 'bol']</t>
  </si>
  <si>
    <t>Argentina juara dipantunin sama kang Emil :) #bersamajuara #ridwankamil</t>
  </si>
  <si>
    <t>argentina juara dipantunin sama kang emil</t>
  </si>
  <si>
    <t>['argentina', 'juara', 'dipantunin', 'sama', 'kang', 'emil']</t>
  </si>
  <si>
    <t>Melihat kembali momen kemeriahan Argentina juara Piala Dunia 2022.  #EmtekWorldCup2022 #BolacomWorldCup2022 #PialaDunia2022 #PialaDunia   https://t.co/GdNtsNx8AX</t>
  </si>
  <si>
    <t>melihat kembali momen kemeriahan argentina juara piala dunia</t>
  </si>
  <si>
    <t>['melihat', 'momen', 'kemeriahan', 'argentina', 'juara', 'piala', 'dunia']</t>
  </si>
  <si>
    <t>Argentina Juara Dunia, Sekretaris DPD PDIP Kaltim Senang @@detakkaltim  https://t.co/N6QDT6ubIW</t>
  </si>
  <si>
    <t>argentina juara dunia sekretaris dpd pdip kaltim senang</t>
  </si>
  <si>
    <t>['argentina', 'juara', 'dunia', 'sekretaris', 'dpd', 'pdip', 'kaltim', 'senang']</t>
  </si>
  <si>
    <t>@al8bana @ananndito Untung Argentina juara, yen ora genah entek Lautaro Martinez dirujak netijen ü§£ü§£ü§£</t>
  </si>
  <si>
    <t>untung argentina juara yen ora genah entek lautaro martinez dirujak netijen</t>
  </si>
  <si>
    <t>['untung', 'argentina', 'juara', 'yen', 'ora', 'genah', 'entek', 'lautaro', 'martinez', 'dirujak', 'netijen']</t>
  </si>
  <si>
    <t>Piala Dunia 2022 Qatar tuntas sudah, Argentina keluar sebagai juara. Ada statistik menarik, Piala Dunia kali ini adalah tersubur golnya sepanjang sejarah! #juaraboladunia    https://t.co/TYDGoNxALz</t>
  </si>
  <si>
    <t>@goal one more ballon d'or</t>
  </si>
  <si>
    <t>one more ballon</t>
  </si>
  <si>
    <t>['one', 'more', 'ballon']</t>
  </si>
  <si>
    <t>jadi serba salaaaa aaaaah</t>
  </si>
  <si>
    <t>['jadi', 'serba', 'salaaaa', 'aaaaah']</t>
  </si>
  <si>
    <t>congrats Argentina juara world cup.</t>
  </si>
  <si>
    <t>congrats argentina juara world cup</t>
  </si>
  <si>
    <t>['congrats', 'argentina', 'juara', 'world', 'cup']</t>
  </si>
  <si>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</si>
  <si>
    <t>Aguero Hujat Camavinga Buruk Rupa usai Argentina Juara Piala Dunia 2022 -  https://t.co/8uvPbzehCx  https://t.co/xY2Hh9IQjf  #Camavinga</t>
  </si>
  <si>
    <t>aguero hujat camavinga buruk rupa usai argentina juara piala dunia</t>
  </si>
  <si>
    <t>['aguero', 'hujat', 'camavinga', 'buruk', 'rupa', 'usai', 'argentina', 'juara', 'piala', 'dunia']</t>
  </si>
  <si>
    <t>@idextratime Vibesnya ya hampir sama kayak Argentina juara ini, budaya suporter kita mirip sama Amerika Selatan.</t>
  </si>
  <si>
    <t>vibesnya hampir sama kayak argentina juara ini budaya suporter kita mirip sama amerika selatan</t>
  </si>
  <si>
    <t>['vibesnya', 'hampir', 'sama', 'seperti', 'argentina', 'juara', 'budaya', 'suporter', 'mirip', 'sama', 'amerika', 'selatan']</t>
  </si>
  <si>
    <t>Argentina akhirnya juara pildun lg di era iwan bule. Messi menangin piala tertinggi&amp;amp;makin sah jd goat di era iwan bule. Benar2 sebuah impact</t>
  </si>
  <si>
    <t>argentina akhirnya juara pildun era iwan bule messi menangin piala tertinggi makin sah goat era iwan bule benar sebuah impact</t>
  </si>
  <si>
    <t>['argentina', 'akhirnya', 'juara', 'piala dunia', 'era', 'iwan', 'bule', 'messi', 'menangin', 'piala', 'tertinggi', 'makin', 'sah', 'goat', 'era', 'iwan', 'bule', 'benar', 'sebuah', 'impact']</t>
  </si>
  <si>
    <t>@OnetrickYasuo @idextratime @Squawka Kyaknya main. Dan kyaknya Argentina yg juara. Kan di latih legend Mascherano üóø</t>
  </si>
  <si>
    <t>kyaknya main dan kyaknya argentina juara kan latih legend mascherano</t>
  </si>
  <si>
    <t>['kyaknya', 'main', 'kyaknya', 'argentina', 'juara', 'kan', 'latih', 'legend', 'mascherano']</t>
  </si>
  <si>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</si>
  <si>
    <t>argentina berhasil menjadi juara piala dunia suasana meriah dan penuh kehangatan ternyata juga dirasakan oleh para warga klitik ngawi bersama hanani aleg dprd kab ngawi dari pks tak hanya jagongan bareng tapi juga ada doorprize</t>
  </si>
  <si>
    <t>['argentina', 'berhasil', 'menjadi', 'juara', 'piala', 'dunia', 'suasana', 'meriah', 'penuh', 'kehangatan', 'ternyata', 'dirasakan', 'warga', 'klitik', 'ngawi', 'bersama', 'hanani', 'aleg', 'dprd', 'kab', 'ngawi', 'pks', 'tak', 'jagongan', 'bareng', 'doorprize']</t>
  </si>
  <si>
    <t>Argentina Juara Piala Dunia 2022, Perdebatan Messi vs Ronaldo Selesai   https://t.co/Crc3fQgnbg</t>
  </si>
  <si>
    <t>Argentina Juara: Belajar Politik Kompetensi dari Piala Dunia 2022  https://t.co/182v36BQY5</t>
  </si>
  <si>
    <t>ANEH TAPI NYATA üòéüôÑüòé  Yg juara Tim Argentina.. Yg di puji hanya M3ssi  Yg kalah Tim Perancis Yg dibully malah Ron4ldo ...  Kalian iniii memang lucu  üòÇüòÇüòÇüòÇüòÇ  https://t.co/P6fTfbepX7</t>
  </si>
  <si>
    <t>aneh tapi nyata juara tim argentina puji hanya ssi kalah tim perancis dibully malah ron ldo kalian iniii memang lucu</t>
  </si>
  <si>
    <t>['aneh', 'nyata', 'juara', 'tim', 'argentina', 'puji', 'ssi', 'kalah', 'tim', 'perancis', 'dibully', 'malah', 'ron', 'ldo', 'kalian', 'iniii', 'memang', 'lucu']</t>
  </si>
  <si>
    <t>Omong Kosong Argentina Juara  https://t.co/tmuZi8MiDp</t>
  </si>
  <si>
    <t>Argentina Juara Piala Dunia, Najwa Shihab Histeris : Yeaaaay Mesiiiii #PialaDunia #Argentina #Prancis #NajwaShihab #Jakarta  https://t.co/LpWPLpQPoL</t>
  </si>
  <si>
    <t>argentina juara piala dunia najwa shihab histeris yeaaaay mesiiiii</t>
  </si>
  <si>
    <t>['argentina', 'juara', 'piala', 'dunia', 'najwa', 'shihab', 'histeris', 'yeaaaay', 'mesiiiii']</t>
  </si>
  <si>
    <t>@afnosy @Max1verstappenF @idextratime Yo kan, Aku iku lagi kesenangan gara gara Argentina juara loh mas.</t>
  </si>
  <si>
    <t>kan aku iku lagi kesenangan gara gara argentina juara loh mas</t>
  </si>
  <si>
    <t>['kan', 'aku', 'iku', 'kesenangan', 'gara', 'gara', 'argentina', 'juara', 'mas']</t>
  </si>
  <si>
    <t>Timnas Argentina Juara Piala Dunia, Instagram Produk Cristiano Ronaldo Kena Bully Fans #Shorts  https://t.co/2n0dtsTAyx</t>
  </si>
  <si>
    <t>timnas argentina juara piala dunia instagram produk cristiano ronaldo kena bully fans</t>
  </si>
  <si>
    <t>['timnas', 'argentina', 'juara', 'piala', 'dunia', 'instagram', 'produk', 'cristiano', 'ronaldo', 'kena', 'bully', 'fans']</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</si>
  <si>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</si>
  <si>
    <t>sejarah trofi piala dunia piala dunia sudah resmi berakhir pada hari minggu desember dengan argentina sebagai juara tahun ini namun tahukah sobat gfriends bahwa piala dunia sendiri memiliki sejarah yang panjang</t>
  </si>
  <si>
    <t>['sejarah', 'trofi', 'piala', 'dunia', 'piala', 'dunia', 'resmi', 'berakhir', 'hari', 'minggu', 'desember', 'argentina', 'juara', 'tahun', 'tahukah', 'sobat', 'gfriends', 'piala', 'dunia', 'sendiri', 'memiliki', 'sejarah', 'panjang']</t>
  </si>
  <si>
    <t>Akun gw @bambangpartodewo tepar barengan argentina juara suek amat...</t>
  </si>
  <si>
    <t>akun tepar barengan argentina juara suek amat</t>
  </si>
  <si>
    <t>['akun', 'tepar', 'barengan', 'argentina', 'juara', 'suek']</t>
  </si>
  <si>
    <t>Keluaran Mongolia 19 Desember 2022  Result: 7339 Shio: Tikus #PancingHoki #bandarcasino - Prediksi Taiwan Senin, 19 Desember 2022 AI: 2 6 3 0 2D: 46 87 97 93 4D: 9818 7067 4548 Best: 83 98 79 Shio: Naga BBFS: 652083 #Pancingtoto #argentinajuara #akhirtahun  https://t.co/SfTMffIW2U</t>
  </si>
  <si>
    <t>keluaran mongolia desember result shio tikus prediksi taiwan senin desember best shio naga bbfs</t>
  </si>
  <si>
    <t>['keluaran', 'mongolia', 'desember', 'result', 'shio', 'tikus', 'prediksi', 'taiwan', 'senin', 'desember', 'best', 'shio', 'naga', 'bbfs']</t>
  </si>
  <si>
    <t>Timnas Argentina mendapatkan total hadiah Rp 655 miliar usai jadi juara Piala Dunia 2022. Berikut ini rinciannya.  https://t.co/k25JBRShYU</t>
  </si>
  <si>
    <t>timnas argentina mendapatkan total hadiah miliar usai jadi juara piala dunia berikut ini rinciannya</t>
  </si>
  <si>
    <t>['timnas', 'argentina', 'mendapatkan', 'total', 'hadiah', 'miliar', 'usai', 'jadi', 'juara', 'piala', 'dunia', 'berikut', 'rinciannya']</t>
  </si>
  <si>
    <t>Keluaran Singapore 19 Desember 2022  Result: 8114 Shio: Kerbau #bhfyp - Prediksi GrabPools Senin, 19 Desember 2022 AI: 6 7 3 4 2D: 96 14 44 52 4D: 3856 1912 7214 Best: 24 45 15 Shio: Kelinci BBFS: 634857 #Pancingtoto #argentinajuara #akhirtahun  https://t.co/SfTMffIW2U</t>
  </si>
  <si>
    <t>keluaran singapore desember result shio kerbau prediksi grabpools senin desember best shio kelinci bbfs</t>
  </si>
  <si>
    <t>['keluaran', 'singapore', 'desember', 'result', 'shio', 'kerbau', 'prediksi', 'grabpools', 'senin', 'desember', 'best', 'shio', 'kelinci', 'bbfs']</t>
  </si>
  <si>
    <t>Keluaran Japan 19 Desember 2022  Result: 5739 Shio: Tikus #peluangbisnis - Prediksi Singapore Senin, 19 Desember 2022 AI: 6 7 0 1 2D: 32 99 97 49 4D: 9323 4093 6797 Best: 76 67 93 Shio: Babi BBFS: 418706 #Pancingtoto #argentinajuara #akhirtahun  https://t.co/SfTMffIW2U</t>
  </si>
  <si>
    <t>keluaran japan desember result shio tikus prediksi singapore senin desember best shio babi bbfs</t>
  </si>
  <si>
    <t>['keluaran', 'japan', 'desember', 'result', 'shio', 'tikus', 'prediksi', 'singapore', 'senin', 'desember', 'best', 'shio', 'babi', 'bbfs']</t>
  </si>
  <si>
    <t>@kisbet_ @meltdownbytori Argentina juara World Cup 3x  1. World Cup 1978 di Argentina, Top Scorer Mario Kempes (dgn 6 gol) 2. World Cup 1986 di Mexico, Top Scorer Diego Maradona (dgn 5 gol) 3. World Cup 2022 di Qatar, Top Scorer Lionel Messi (dgn 7 gol)</t>
  </si>
  <si>
    <t>argentina juara world cup world cup argentina top scorer mario kempes dgn gol world cup mexico top scorer diego maradona dgn gol world cup qatar top scorer lionel messi dgn gol</t>
  </si>
  <si>
    <t>['argentina', 'juara', 'world', 'cup', 'world', 'cup', 'argentina', 'top', 'scorer', 'mario', 'kempes', 'gol', 'world', 'cup', 'mexico', 'top', 'scorer', 'diego', 'maradona', 'gol', 'world', 'cup', 'qatar', 'top', 'scorer', 'lionel', 'messi', 'gol']</t>
  </si>
  <si>
    <t>&lt;FreqDist with 15 samples and 28 outcomes&gt;</t>
  </si>
  <si>
    <t>@BetraPratama @imamloversmania @ridwankamil Argentina jadi Juara juga akhirnya #bersamajuara #ridwankamil</t>
  </si>
  <si>
    <t>argentina jadi juara juga akhirnya</t>
  </si>
  <si>
    <t>['argentina', 'jadi', 'juara', 'akhirnya']</t>
  </si>
  <si>
    <t>@malikul100 Saya td mlm jg berdoa argentina juara üòÅü§™üòÆ‚Äçüí®</t>
  </si>
  <si>
    <t>saya mlm berdoa argentina juara</t>
  </si>
  <si>
    <t>['malam', 'berdoa', 'argentina', 'juara']</t>
  </si>
  <si>
    <t>yang juara argentina, yang disanjung messi, yang laen cuma 25 remahan keju.</t>
  </si>
  <si>
    <t>yang juara argentina yang disanjung messi yang laen cuma remahan keju</t>
  </si>
  <si>
    <t>['juara', 'argentina', 'disanjung', 'messi', 'laen', 'cuma', 'remahan', 'keju']</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</si>
  <si>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</si>
  <si>
    <t>argentina jadi alasanku begadang tiap jam 2 pagi sampe akhirnya juara, terima kasihüá¶üá∑</t>
  </si>
  <si>
    <t>argentina jadi alasanku begadang tiap jam pagi sampe akhirnya juara terima kasih</t>
  </si>
  <si>
    <t>['argentina', 'jadi', 'alasanku', 'begadang', 'tiap', 'jam', 'pagi', 'sampai', 'akhirnya', 'juara', 'terima', 'kasih']</t>
  </si>
  <si>
    <t>@detikcom Secara kualitas tim Prancis lebih unggul tapi motivasi juara Argentina jauh lebih membara</t>
  </si>
  <si>
    <t>secara kualitas tim prancis lebih unggul tapi motivasi juara argentina jauh lebih membara</t>
  </si>
  <si>
    <t>['kualitas', 'tim', 'prancis', 'lebih', 'unggul', 'motivasi', 'juara', 'argentina', 'jauh', 'lebih', 'membara']</t>
  </si>
  <si>
    <t>Proses Argentina menjadi Juara Dunia dimulai dari sini. No debat.</t>
  </si>
  <si>
    <t>proses argentina menjadi juara dunia dimulai dari sini debat</t>
  </si>
  <si>
    <t>['proses', 'argentina', 'menjadi', 'juara', 'dunia', 'dimulai', 'sini', 'debat']</t>
  </si>
  <si>
    <t>Mak : tengok bola apa smalam  Aku : Argentina menag juara dunia mak  Mak: Apa , Anjing Tina , negara mana tu  Aku: Argentina, Argentina, Argentina Mak: Anjing Tina ,Anjing Tina  Aku : ya ya mak , betoi dah tu ü§£ #kisahbenar #WorldCupFinal  #orangkedah</t>
  </si>
  <si>
    <t>mak tengok bola apa smalam aku argentina menag juara dunia mak mak apa anjing tina negara mana aku argentina argentina argentina mak anjing tina anjing tina aku mak betoi dah</t>
  </si>
  <si>
    <t>['mak', 'tengok', 'bola', 'apa', 'smalam', 'aku', 'argentina', 'menag', 'juara', 'dunia', 'mak', 'mak', 'apa', 'anjing', 'tina', 'negara', 'mana', 'aku', 'argentina', 'argentina', 'argentina', 'mak', 'anjing', 'tina', 'anjing', 'tina', 'aku', 'mak', 'betoi', 'dah']</t>
  </si>
  <si>
    <t>&lt;FreqDist with 16 samples and 30 outcomes&gt;</t>
  </si>
  <si>
    <t>@Nuel_lukiiko @FabrizioRomano masih ada aja modelan fans kyk gn, sukanya ngerusak kebahagiaan orng lain..mau ngomong apapun ttp Argentina yg juara dunia, ga akan merubah apapun..</t>
  </si>
  <si>
    <t>lukiiko masih ada aja modelan fans kyk sukanya ngerusak kebahagiaan orng lain mau ngomong apapun ttp argentina juara dunia akan merubah apapun</t>
  </si>
  <si>
    <t>['lukiiko', 'modelan', 'fans', 'seperti', 'sukanya', 'ngerusak', 'kebahagiaan', 'orng', 'mau', 'ngomong', 'apapun', 'ttp', 'argentina', 'juara', 'dunia', 'merubah', 'apapun']</t>
  </si>
  <si>
    <t>Hal unik terjadi usai perayaan juara Piala Dunia 2022 di Stadion Lusail. Pemain hingga suporter Argentina memotong jaring gawang untuk kenang-kenangan.  https://t.co/b7dRFqyAhC</t>
  </si>
  <si>
    <t>Messi Bawa Argentina Juara Piala Dunia 2022, Pele: Sekarang Diego Maradona Tersenyum  https://t.co/UPw6Wzp6SF</t>
  </si>
  <si>
    <t>messi bawa argentina juara piala dunia pele sekarang diego maradona tersenyum</t>
  </si>
  <si>
    <t>['messi', 'bawa', 'argentina', 'juara', 'piala', 'dunia', 'pele', 'sekarang', 'diego', 'maradona', 'tersenyum']</t>
  </si>
  <si>
    <t>@idextratime Keren ya kalo FIFA yg mengatur pertandingan. Gak kyk PSSI. Selain yg disuap wasit, pemain gak terkenal macam Kolo Muani juga disuap FIFA supaya nendang bola ke arah kiper. Alhasil, Argentina tak jadi kebobol dan juara lewat Penalti.</t>
  </si>
  <si>
    <t>keren kalo fifa mengatur pertandingan gak kyk pssi selain disuap wasit pemain gak terkenal macam kolo muani juga disuap fifa supaya nendang bola arah kiper alhasil argentina tak jadi kebobol dan juara lewat penalti</t>
  </si>
  <si>
    <t>['keren', 'fifa', 'mengatur', 'pertandingan', 'seperti', 'pssi', 'disuap', 'wasit', 'pemain', 'terkenal', 'macam', 'kolo', 'muani', 'disuap', 'fifa', 'nendang', 'bola', 'arah', 'kiper', 'alhasil', 'argentina', 'tak', 'jadi', 'kebobol', 'juara', 'lewat', 'penalti']</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</si>
  <si>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</si>
  <si>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</si>
  <si>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['argentina', 'juara', 'mendapatkan', 'segalanya', 'atas', 'usaha', 'ikut', 'bahagia', 'kecewa', 'melanda', 'rasa', 'bahagia', 'muncul', 'dada', 'tak', 'semua', 'kaya', 'bahagia', 'justru', 'banyak', 'sederhana', 'membuatmu', 'jauh', 'sedih', 'hampa']</t>
  </si>
  <si>
    <t>Nobar Final Bola Piala Dunia 2022 di Mabes P3HI, Argentina Rebut Juara  https://t.co/spFr2JVoJX</t>
  </si>
  <si>
    <t>nobar final bola piala dunia mabes argentina rebut juara</t>
  </si>
  <si>
    <t>['nonton bareng', 'final', 'bola', 'piala', 'dunia', 'mabes', 'argentina', 'rebut', 'juara']</t>
  </si>
  <si>
    <t>Selebrasi Timnas Argentina üá¶üá∑ Juara Piala Dunia 2022 QATAR üá∂üá¶ #MessiìÉµ #FIFAWorldCup #FIFAWorldCupQatar2022  #FIFAWorldCup2022  https://t.co/VAeSBegXQJ</t>
  </si>
  <si>
    <t>selebrasi timnas argentina juara piala dunia qatar</t>
  </si>
  <si>
    <t>['selebrasi', 'timnas', 'argentina', 'juara', 'piala', 'dunia', 'qatar']</t>
  </si>
  <si>
    <t>klau semalem peluang ini berbuah gol, tamat sudah riwayat argentina buat juara piala dunia</t>
  </si>
  <si>
    <t>klau semalem peluang ini berbuah gol tamat sudah riwayat argentina buat juara piala dunia</t>
  </si>
  <si>
    <t>['klau', 'semalam', 'peluang', 'berbuah', 'gol', 'tamat', 'riwayat', 'argentina', 'buat', 'juara', 'piala', 'dunia']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</si>
  <si>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</si>
  <si>
    <t>#infoWisata 8 Hal yang Perlu Diketahui Sebelum Berkunjung ke Argentina, Sang Juara Piala Dunia 2022  https://t.co/vFF5g2VHy6</t>
  </si>
  <si>
    <t>hal yang perlu diketahui sebelum berkunjung argentina sang juara piala dunia</t>
  </si>
  <si>
    <t>['perlu', 'diketahui', 'berkunjung', 'argentina', 'sang', 'juara', 'piala', 'dunia']</t>
  </si>
  <si>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</si>
  <si>
    <t>paulo dybala sering jdi cadangan tpi akhrinya juara cuma main itupun sbg pengganti total hny main menit perancis masuk menit utk adu penalti tpi menit sempat melakukan clearance peluang mbappe nendang penalti gol ikut bantu argentina juara</t>
  </si>
  <si>
    <t>['paulo', 'dybala', 'sering', 'jdi', 'cadangan', 'tpi', 'akhrinya', 'juara', 'cuma', 'main', 'itupun', 'sbg', 'pengganti', 'total', 'hny', 'main', 'menit', 'perancis', 'masuk', 'menit', 'adu', 'penalti', 'tpi', 'menit', 'sempat', 'melakukan', 'clearance', 'peluang', 'mbappe', 'nendang', 'penalti', 'gol', 'ikut', 'bantu', 'argentina', 'juara']</t>
  </si>
  <si>
    <t>@puttsyyei_ spill tempat ka</t>
  </si>
  <si>
    <t>spill tempat</t>
  </si>
  <si>
    <t>['spill', 'tempat']</t>
  </si>
  <si>
    <t>Cerita Lionel Messi di Instagram Usai Argentina Juara Piala Dunia -  https://t.co/Qp3kjRxjYr  https://t.co/QOHw2ygdUG #Cerita</t>
  </si>
  <si>
    <t>cerita lionel messi instagram usai argentina juara piala dunia</t>
  </si>
  <si>
    <t>['cerita', 'lionel', 'messi', 'instagram', 'usai', 'argentina', 'juara', 'piala', 'dunia']</t>
  </si>
  <si>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</si>
  <si>
    <t>negara negara pernah jadi juara piala dunia fifa brazil kali italia kali jerman kali uruguay kali argentina kali inggris kali perancis kali spanyol kali indonesia lain kali</t>
  </si>
  <si>
    <t>['negara', 'negara', 'pernah', 'jadi', 'juara', 'piala', 'dunia', 'fifa', 'brazil', 'kali', 'italia', 'kali', 'jerman', 'kali', 'uruguay', 'kali', 'argentina', 'kali', 'inggris', 'kali', 'perancis', 'kali', 'spanyol', 'kali', 'indonesia', 'kali']</t>
  </si>
  <si>
    <t>@raqhueena Betul bgt</t>
  </si>
  <si>
    <t>betul bgt</t>
  </si>
  <si>
    <t>['betul', 'banget']</t>
  </si>
  <si>
    <t>Argentina juara piala dunia, tapi juara di hati tetep kamu.   #kopimalam</t>
  </si>
  <si>
    <t>argentina juara piala dunia tapi juara hati tetep kamu</t>
  </si>
  <si>
    <t>['argentina', 'juara', 'piala', 'dunia', 'juara', 'hati', 'tetep', 'kamu']</t>
  </si>
  <si>
    <t>@SiaranBolaLive Super save. Seandainya terjadi gol entah apa kata dunia. Argentina layak juara,messi the real goat.</t>
  </si>
  <si>
    <t>super save seandainya terjadi gol entah apa kata dunia argentina layak juara messi the real goat</t>
  </si>
  <si>
    <t>['super', 'save', 'seandainya', 'terjadi', 'gol', 'entah', 'apa', 'kata', 'dunia', 'argentina', 'layak', 'juara', 'messi', 'the', 'real', 'goat']</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</si>
  <si>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</si>
  <si>
    <t>prediksi sports pembuat seri game fifa pada november lalu soal argentina juara piala dunia menjadi kenyataan dengan kemenangan argentina ini artinya sports sudah kali berturut turut prediksinya tepat soal juara pildun mulai dari dan</t>
  </si>
  <si>
    <t>['prediksi', 'sports', 'pembuat', 'seri', 'game', 'fifa', 'november', 'lalu', 'soal', 'argentina', 'juara', 'piala', 'dunia', 'menjadi', 'kenyataan', 'kemenangan', 'argentina', 'artinya', 'sports', 'kali', 'berturut', 'turut', 'prediksinya', 'tepat', 'soal', 'juara', 'piala dunia', 'mulai']</t>
  </si>
  <si>
    <t>Akhirny argentina juara ü•≥</t>
  </si>
  <si>
    <t>akhirny argentina juara</t>
  </si>
  <si>
    <t>['akhirny', 'argentina', 'juara']</t>
  </si>
  <si>
    <t>@Abelchenko iya luar biasa lah final piala dunia terbaiküëç  walaupun negara favorit gw kalah tetap salutüëè liat argentina juara feelnya beda banget sampai niat nonton angkat piala biasanya langsung matiin tv wkwk</t>
  </si>
  <si>
    <t>iya luar biasa lah final piala dunia terbaik walaupun negara favorit kalah tetap salut liat argentina juara feelnya beda banget sampai niat nonton angkat piala biasanya langsung matiin wkwk</t>
  </si>
  <si>
    <t>['iya', 'luar', 'biasa', 'lah', 'final', 'piala', 'dunia', 'terbaik', 'walaupun', 'negara', 'favorit', 'kalah', 'tetap', 'salut', 'lihat', 'argentina', 'juara', 'feelnya', 'beda', 'banget', 'niat', 'nonton', 'angkat', 'piala', 'biasanya', 'langsung', 'matiin']</t>
  </si>
  <si>
    <t>@idextratime piala AFF kayaknya mesi blm pernah juara deh, kenapa Argentina ngak pernah ikut aff ya</t>
  </si>
  <si>
    <t>piala aff kayaknya mesi blm pernah juara deh kenapa argentina ngak pernah ikut aff</t>
  </si>
  <si>
    <t>['piala', 'aff', 'kayaknya', 'mesi', 'blm', 'pernah', 'juara', 'deh', 'argentina', 'ngak', 'pernah', 'ikut', 'aff']</t>
  </si>
  <si>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</si>
  <si>
    <t>sang mega bintang argentina lionel messi berhasil menjuarai untuk pertama kali mengangkat trophy pildun setelah kali ikut pildun timnas argentina harus menunggu thn untuk mendapatkan bintang selamat juara untuk timnas argentina</t>
  </si>
  <si>
    <t>['sang', 'mega', 'bintang', 'argentina', 'lionel', 'messi', 'berhasil', 'menjuarai', 'pertama', 'kali', 'mengangkat', 'trophy', 'piala dunia', 'kali', 'ikut', 'piala dunia', 'timnas', 'argentina', 'menunggu', 'thn', 'mendapatkan', 'bintang', 'selamat', 'juara', 'timnas', 'argentina']</t>
  </si>
  <si>
    <t>Sergio Aguero layak disebut 'seksi lawak'. Aksinya saat Argentina selebrasi juara Piala Dunia 2022 mengundang tawa, seperti melotot lihat Messi cek HP!  https://t.co/aCSGMfMv2f</t>
  </si>
  <si>
    <t>Semalem Argentina juara, hari ini OP Box 1 mendarat üòÅüòÅ, thankyou @wutssss  https://t.co/hqc0B8iuEY</t>
  </si>
  <si>
    <t>semalem argentina juara hari ini box mendarat thankyou</t>
  </si>
  <si>
    <t>['semalam', 'argentina', 'juara', 'hari', 'box', 'mendarat', 'thankyou']</t>
  </si>
  <si>
    <t>@idextratime Argentina juara, Messi auto diangkat jadi PNS  https://t.co/fPHB0fKy0w</t>
  </si>
  <si>
    <t>argentina juara messi auto diangkat jadi pns</t>
  </si>
  <si>
    <t>['argentina', 'juara', 'messi', 'auto', 'diangkat', 'jadi', 'pns']</t>
  </si>
  <si>
    <t>Sore beb Argentina juara ya vcs udah ready wa cek bio  https://t.co/SpG1pW6Mjl</t>
  </si>
  <si>
    <t>sore beb argentina juara vcs udah ready cek bio</t>
  </si>
  <si>
    <t>['sore', 'beb', 'argentina', 'juara', 'vcs', 'udah', 'ready', 'cek', 'bio']</t>
  </si>
  <si>
    <t>@syaalmaa1 Hadir... Alhamdulilah Argentina juara..</t>
  </si>
  <si>
    <t>hadir alhamdulilah argentina juara</t>
  </si>
  <si>
    <t>['hadir', 'alhamdulilah', 'argentina', 'juara']</t>
  </si>
  <si>
    <t>Rekor yang Diukir Messi Usai Argentina Juara Piala Dunia 2022 #FIFAWorldCup #MessiìÉµ   üîó https://t.co/sMr5QbGHHU  https://t.co/SWWL6JReLs</t>
  </si>
  <si>
    <t>rekor yang diukir messi usai argentina juara piala dunia</t>
  </si>
  <si>
    <t>['rekor', 'diukir', 'messi', 'usai', 'argentina', 'juara', 'piala', 'dunia']</t>
  </si>
  <si>
    <t>Kesel banget Argentina juara</t>
  </si>
  <si>
    <t>kesel banget argentina juara</t>
  </si>
  <si>
    <t>['kesel', 'banget', 'argentina', 'juara']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</si>
  <si>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</si>
  <si>
    <t>Peraih Penghargaan FIFA World Cup Qatar 2022  ü•á Juara : üá¶üá∑ Argentina ü•à Runner Up : üá®üáµ Prancis ü•â3rd Place : üá≠üá∑ Kroasia  ‚Ä¢ Pemain terbaik: Lionel Messi (üá¶üá∑ Argentina) ‚Ä¢ Topskor : Kylian Mbappe (üá®üáµ Prancis), 8 gol  https://t.co/FAUj5pYAcd</t>
  </si>
  <si>
    <t>peraih penghargaan fifa world cup qatar juara argentina runner prancis place kroasia pemain terbaik lionel messi argentina topskor kylian mbappe prancis gol</t>
  </si>
  <si>
    <t>['peraih', 'penghargaan', 'fifa', 'world', 'cup', 'qatar', 'juara', 'argentina', 'runner', 'prancis', 'place', 'kroasia', 'pemain', 'terbaik', 'lionel', 'messi', 'argentina', 'topskor', 'kylian', 'mbappe', 'prancis', 'gol']</t>
  </si>
  <si>
    <t>Argentina dan Prancis bakal bertanding demi memperebutkan titel juara Piala Dunia 2020, malam ini. Laga ini tentu menjadi sorotan masyarakat, tak terkecuali Gubernur Jawa Barat @ridwankamil.   https://t.co/SHkQEB9cfz</t>
  </si>
  <si>
    <t>argentina dan prancis bakal bertanding demi memperebutkan titel juara piala dunia malam ini laga ini tentu menjadi sorotan masyarakat tak terkecuali gubernur jawa barat</t>
  </si>
  <si>
    <t>['argentina', 'prancis', 'bakal', 'bertanding', 'memperebutkan', 'titel', 'juara', 'piala', 'dunia', 'malam', 'laga', 'menjadi', 'sorotan', 'masyarakat', 'tak', 'terkecuali', 'gubernur', 'jawa', 'barat']</t>
  </si>
  <si>
    <t>DAHSYAT BANGET‚Ä¶! Argentina Juara Dunia, Messi Sudahi Puasa¬†Gelar  https://t.co/xm1XPWj9h1</t>
  </si>
  <si>
    <t>dahsyat banget argentina juara dunia messi sudahi puasa gelar</t>
  </si>
  <si>
    <t>['dahsyat', 'banget', 'argentina', 'juara', 'dunia', 'messi', 'sudahi', 'puasa', 'gelar']</t>
  </si>
  <si>
    <t>Kalahkan Prancis Dalam Drama Adu Penalti Argentina Akhirnya Keluar Sebagai Juara Piala Dunia Qatar 2022  #WorldCupFinal #ArgentinaVsFrance    https://t.co/xUiGqwR8G2</t>
  </si>
  <si>
    <t>kalahkan prancis dalam drama adu penalti argentina akhirnya keluar sebagai juara piala dunia qatar</t>
  </si>
  <si>
    <t>['kalahkan', 'prancis', 'drama', 'adu', 'penalti', 'argentina', 'akhirnya', 'keluar', 'juara', 'piala', 'dunia', 'qatar']</t>
  </si>
  <si>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</si>
  <si>
    <t>dibu martinez melanjutkan tradisi bahwa setiap pemain yang pernah main klub independiente selalu memiliki peran penting partai final daniel bertoni jorge burruchaga emiliano martinez kesemua edisi itu argentina keluar sebagai juara</t>
  </si>
  <si>
    <t>['dibu', 'martinez', 'melanjutkan', 'tradisi', 'pemain', 'pernah', 'main', 'klub', 'independiente', 'selalu', 'memiliki', 'peran', 'penting', 'partai', 'final', 'daniel', 'bertoni', 'jorge', 'burruchaga', 'emiliano', 'martinez', 'kesemua', 'edisi', 'argentina', 'keluar', 'juara']</t>
  </si>
  <si>
    <t>@_rewhy @idextratime argentina sama portugal gapernah ada rivalitas, argentina tim besar langganan final dan dah pernah juara sedangkan portugal tim kecil yg gapernah masuk final apalagi juara. Sok2an pengen jd rival koplak</t>
  </si>
  <si>
    <t>argentina sama portugal gapernah ada rivalitas argentina tim besar langganan final dan dah pernah juara sedangkan portugal tim kecil gapernah masuk final apalagi juara sok pengen rival koplak</t>
  </si>
  <si>
    <t>['argentina', 'sama', 'portugal', 'gapernah', 'rivalitas', 'argentina', 'tim', 'besar', 'langganan', 'final', 'dah', 'pernah', 'juara', 'portugal', 'tim', 'kecil', 'gapernah', 'masuk', 'final', 'juara', 'sok', 'pengen', 'rival', 'koplak']</t>
  </si>
  <si>
    <t>Hajatan Sepak Bola dunia alias Piala Dunia 2022 di Qatar, segera berakhir. Argentina akan menantang juara bertahan Prancis di laga pamungkas, Maklum laga tersebut tentu menjadi sorotan masyarakat, tak terkecuali Gubernur Jawa Barat @ridwankamil.   https://t.co/RyTWSPCXke</t>
  </si>
  <si>
    <t>hajatan sepak bola dunia alias piala dunia qatar segera berakhir argentina akan menantang juara bertahan prancis laga pamungkas maklum laga tersebut tentu menjadi sorotan masyarakat tak terkecuali gubernur jawa barat</t>
  </si>
  <si>
    <t>['hajatan', 'sepak', 'bola', 'dunia', 'alias', 'piala', 'dunia', 'qatar', 'segera', 'berakhir', 'argentina', 'menantang', 'juara', 'bertahan', 'prancis', 'laga', 'pamungkas', 'maklum', 'laga', 'tersebut', 'menjadi', 'sorotan', 'masyarakat', 'tak', 'terkecuali', 'gubernur', 'jawa', 'barat']</t>
  </si>
  <si>
    <t>Iya iya argentina juara udah, skripsi lu noh lom kelar</t>
  </si>
  <si>
    <t>iya iya argentina juara udah skripsi noh lom kelar</t>
  </si>
  <si>
    <t>['iya', 'iya', 'argentina', 'juara', 'udah', 'skripsi', 'noh', 'lom', 'kelar']</t>
  </si>
  <si>
    <t>@pacitooo0 Selamat ya kak, semoga Argentina juara piala dunia.</t>
  </si>
  <si>
    <t>selamat kak semoga argentina juara piala dunia</t>
  </si>
  <si>
    <t>['selamat', 'kak', 'semoga', 'argentina', 'juara', 'piala', 'dunia']</t>
  </si>
  <si>
    <t xml:space="preserve">@Muhamma93145096 @apasihrii @MansakaRanca @bintangemon Gak bisa dibandingkan sih kualitas squad portugal era ke era sama timnas norwegia. Messi sama timnas argentina saja butuh beberapa kali baru juara. Piala dunia butuh banget kedalaman squad yg mumpuni </t>
  </si>
  <si>
    <t>gak bisa dibandingkan sih kualitas squad portugal era era sama timnas norwegia messi sama timnas argentina saja butuh beberapa kali baru juara piala dunia butuh banget kedalaman squad mumpuni</t>
  </si>
  <si>
    <t>['dibandingkan', 'kualitas', 'squad', 'portugal', 'era', 'era', 'sama', 'timnas', 'norwegia', 'messi', 'sama', 'timnas', 'argentina', 'butuh', 'beberapa', 'kali', 'baru', 'juara', 'piala', 'dunia', 'butuh', 'banget', 'kedalaman', 'squad', 'mumpuni']</t>
  </si>
  <si>
    <t>Daftar Juara Piala Dunia Sejak 1930, Terbaru Argentina   https://t.co/Wh0o5P8LUq</t>
  </si>
  <si>
    <t>daftar juara piala dunia sejak terbaru argentina</t>
  </si>
  <si>
    <t>['daftar', 'juara', 'piala', 'dunia', 'sejak', 'terbaru', 'argentina']</t>
  </si>
  <si>
    <t>@SiaranBolaLive Kebahagiaan dan kebangaan seluruh warga Argentina kok.  Mau yg di dalam squad maupun yg tdk masuk squad.   Tkg nyinyir yg pemaen klub nya gak juara n cm jdi pesakitan ma mingkem aja mending üòÇüòÇüòÇ</t>
  </si>
  <si>
    <t>kebahagiaan dan kebangaan seluruh warga argentina kok mau dalam squad maupun tdk masuk squad tkg nyinyir pemaen klub nya gak juara jdi pesakitan mingkem aja mending</t>
  </si>
  <si>
    <t>['kebahagiaan', 'kebangaan', 'seluruh', 'warga', 'argentina', 'kok', 'mau', 'squad', 'maupun', 'masuk', 'squad', 'tkg', 'nyinyir', 'pemaen', 'klub', 'juara', 'jdi', 'pesakitan', 'mingkem', 'mending']</t>
  </si>
  <si>
    <t>Ketua Federasi Bolasepak Indonesia ikut merayakan Argentina juara dgn mengangkat angkat trofi piala dunia tiruan, serasa dirinya bergabung bersama Messi dkl</t>
  </si>
  <si>
    <t>ketua federasi bolasepak indonesia ikut merayakan argentina juara dgn mengangkat angkat trofi piala dunia tiruan serasa dirinya bergabung bersama messi dkl</t>
  </si>
  <si>
    <t>['ketua', 'federasi', 'bolasepak', 'indonesia', 'ikut', 'merayakan', 'argentina', 'juara', 'mengangkat', 'angkat', 'trofi', 'piala', 'dunia', 'tiruan', 'serasa', 'dirinya', 'bergabung', 'bersama', 'messi', 'dkl']</t>
  </si>
  <si>
    <t>Argentina juara Piala Dunia 2022, apakah ini pertanda Indonesia juara AFF 2022 dan Prabowo menang pilpres 2024? ü§≠üßê</t>
  </si>
  <si>
    <t>argentina juara piala dunia apakah ini pertanda indonesia juara aff dan prabowo menang pilpres</t>
  </si>
  <si>
    <t>['argentina', 'juara', 'piala', 'dunia', 'pertanda', 'indonesia', 'juara', 'aff', 'prabowo', 'menang', 'pilpres']</t>
  </si>
  <si>
    <t>Argentina oh Argentina, kini bisa juara dunia lagi setelah menanti 36 tahun,  https://t.co/1sAxCxO8yt #MessiìÉµ #ArgentinaCampeonDelMundo #ArgentinaVsFrance</t>
  </si>
  <si>
    <t>argentina argentina kini bisa juara dunia lagi setelah menanti tahun</t>
  </si>
  <si>
    <t>['argentina', 'argentina', 'kini', 'juara', 'dunia', 'menanti', 'tahun']</t>
  </si>
  <si>
    <t>@na_dirs selamat Gus Prof @na_dirs atas ramalan Argentina juara dunia... üôèüôè kebenaran sama ddn keinginan saya Argentina jd juara dunia! mengingatkan aja lain kali bikin ramalan jangan sebelum Mas @hayder_imron punya jagoan. kalau dibuat sama bisa am</t>
  </si>
  <si>
    <t>dirs selamat gus prof dirs atas ramalan argentina juara dunia kebenaran sama ddn keinginan saya argentina juara dunia mengingatkan aja lain kali bikin ramalan jangan sebelum mas imron punya jagoan kalau dibuat sama bisa</t>
  </si>
  <si>
    <t>['dirs', 'selamat', 'gus', 'prof', 'dirs', 'atas', 'ramalan', 'argentina', 'juara', 'dunia', 'kebenaran', 'sama', 'ddn', 'keinginan', 'argentina', 'juara', 'dunia', 'mengingatkan', 'kali', 'ramalan', 'jangan', 'mas', 'imron', 'punya', 'jagoan', 'kalau', 'dibuat', 'sama']</t>
  </si>
  <si>
    <t>@mfathin10 Betul. Sekarang pun secara kualitas pemain portugal justru yang lebih bagus.. Mana ada di Argentina kita nemu pemain macam Bruno Fernandez, Bernado Silva, Joao F√®lix, Ruben Diaz, sama Cancelo. Messi kalau main bareng mereka pasti juara Piala D</t>
  </si>
  <si>
    <t>betul sekarang pun secara kualitas pemain portugal justru yang lebih bagus mana ada argentina kita nemu pemain macam bruno fernandez bernado silva joao lix ruben diaz sama cancelo messi kalau main bareng mereka pasti juara piala</t>
  </si>
  <si>
    <t>['betul', 'sekarang', 'kualitas', 'pemain', 'portugal', 'justru', 'lebih', 'bagus', 'mana', 'argentina', 'nemu', 'pemain', 'macam', 'bruno', 'fernandez', 'bernado', 'silva', 'joao', 'lix', 'ruben', 'diaz', 'sama', 'cancelo', 'messi', 'kalau', 'main', 'bareng', 'juara', 'piala']</t>
  </si>
  <si>
    <t>@takterjajah ·Ö† ·Ö† ·Ö† Asik ya juara Argentina, Mas Thara.  ·Ö† ·Ö† ·Ö†</t>
  </si>
  <si>
    <t>asik juara argentina mas thara</t>
  </si>
  <si>
    <t>['asik', 'juara', 'argentina', 'mas', 'thara']</t>
  </si>
  <si>
    <t>KAKANWIL KEMENKUMHAM JATENG A. YUSPAHRUDDIN: Argentina Juara Piala Dunia 2022, Kepala Rutan Salatiga Minta Jajaran Teladani Semangat Lionel Messi -  https://t.co/bS8AAxJZmh</t>
  </si>
  <si>
    <t>Argentina juara dunia yg ke 3xüèÜüá¶üá∑  Pertandingan yg sangat2 seru final antara Argentina vs France üá®üáµüá¶üá∑‚öΩ  https://t.co/hxvy675Yju</t>
  </si>
  <si>
    <t>argentina juara dunia pertandingan sangat seru final antara argentina france</t>
  </si>
  <si>
    <t>['argentina', 'juara', 'dunia', 'pertandingan', 'sangat', 'seru', 'final', 'argentina', 'france']</t>
  </si>
  <si>
    <t>Seneng liat Messi juara. Ikhlas liat Argentina juara. Tapi liat Lautaro Martinez jadi juara dunia jujur rada kureng.</t>
  </si>
  <si>
    <t>seneng liat messi juara ikhlas liat argentina juara tapi liat lautaro martinez jadi juara dunia jujur rada kureng</t>
  </si>
  <si>
    <t>['seneng', 'lihat', 'messi', 'juara', 'ikhlas', 'lihat', 'argentina', 'juara', 'lihat', 'lautaro', 'martinez', 'jadi', 'juara', 'dunia', 'jujur', 'rada', 'kureng']</t>
  </si>
  <si>
    <t>Di tambah final piala dunia semalem seru banget sih, deg-degan nya dapet, terharu moment nya dapet. The best final piala dunia ever. Tetep juara malem itu Mbappe ‚ù§Ô∏è but congrats Argentina dan pensiun yang indah buat Messi</t>
  </si>
  <si>
    <t>tambah final piala dunia semalem seru banget sih deg degan nya dapet terharu moment nya dapet the best final piala dunia ever tetep juara malem itu mbappe but congrats argentina dan pensiun yang indah buat messi</t>
  </si>
  <si>
    <t>['tambah', 'final', 'piala', 'dunia', 'semalam', 'seru', 'banget', 'deg', 'degan', 'dapat', 'terharu', 'moment', 'dapat', 'the', 'best', 'final', 'piala', 'dunia', 'ever', 'tetep', 'juara', 'malem', 'mbappe', 'but', 'congrats', 'argentina', 'pensiun', 'indah', 'buat', 'messi']</t>
  </si>
  <si>
    <t>@Coopee_ABCOO Argentina akhirnya Juara dunia ketiga kalinya #bersamajuara #ridwankamil</t>
  </si>
  <si>
    <t>abcoo argentina akhirnya juara dunia ketiga kalinya</t>
  </si>
  <si>
    <t>['abcoo', 'argentina', 'akhirnya', 'juara', 'dunia', 'ketiga', 'kalinya']</t>
  </si>
  <si>
    <t>Yang bikin makin lucu, posternya kader golka* pake foto pas Argentina juara finalissima dan trofinya diedit diganti jadi trofi pildun wkwkwk</t>
  </si>
  <si>
    <t>yang bikin makin lucu posternya kader golka pake foto pas argentina juara finalissima dan trofinya diedit diganti jadi trofi pildun wkwkwk</t>
  </si>
  <si>
    <t>['makin', 'lucu', 'posternya', 'kader', 'golka', 'pake', 'foto', 'pas', 'argentina', 'juara', 'finalissima', 'trofinya', 'diedit', 'diganti', 'jadi', 'trofi', 'piala dunia', 'wkwkwk']</t>
  </si>
  <si>
    <t>Makna Emoticon Kambing di Instagram Lionel Messi dan Adidas Usai Argentina Juara Piala Dunia 2022  https://t.co/jnhAngfZj0</t>
  </si>
  <si>
    <t>makna emoticon kambing instagram lionel messi dan adidas usai argentina juara piala dunia</t>
  </si>
  <si>
    <t>['makna', 'emoticon', 'kambing', 'instagram', 'lionel', 'messi', 'adidas', 'usai', 'argentina', 'juara', 'piala', 'dunia']</t>
  </si>
  <si>
    <t>seleamat kepada Argentina menang sebagai juara piala dunia 2022 yuk joget yuk   https://t.co/hBZFpQF8g3 via @Pinterest   #WorldCupFinal #WorldCup2022 #AQUADULU #aztec88  https://t.co/oyYC98pptm</t>
  </si>
  <si>
    <t>seleamat kepada argentina menang sebagai juara piala dunia yuk joget yuk via</t>
  </si>
  <si>
    <t>['seleamat', 'argentina', 'menang', 'juara', 'piala', 'dunia', 'yuk', 'joget', 'yuk', 'via']</t>
  </si>
  <si>
    <t>@idextratime @TheSunFootball pokoknya kalo ada turnamen argentina yang juara, itu jelas setingan coy</t>
  </si>
  <si>
    <t>pokoknya kalo ada turnamen argentina yang juara itu jelas setingan coy</t>
  </si>
  <si>
    <t>['pokoknya', 'turnamen', 'argentina', 'juara', 'jelas', 'settingan', 'coy']</t>
  </si>
  <si>
    <t>@abelchantiqa @ridwankamil Akhirnya Argentina Juara kang Emil #bersamajuara #ridwankamil</t>
  </si>
  <si>
    <t>akhirnya argentina juara kang emil</t>
  </si>
  <si>
    <t>['akhirnya', 'argentina', 'juara', 'kang', 'emil']</t>
  </si>
  <si>
    <t>Reaksi Ronaldo Usai Lionel Messi Bawa Argentina Juara Piala Dunia 2022  https://t.co/I4mw5eEHsg</t>
  </si>
  <si>
    <t>reaksi ronaldo usai lionel messi bawa argentina juara piala dunia</t>
  </si>
  <si>
    <t>['reaksi', 'ronaldo', 'usai', 'lionel', 'messi', 'bawa', 'argentina', 'juara', 'piala', 'dunia']</t>
  </si>
  <si>
    <t>@Tomytrihutomo @MafiaWasit Beliau bukan sembarang beliau. Yang mengatur Argentina juara piala dunia memang IB</t>
  </si>
  <si>
    <t>beliau bukan sembarang beliau yang mengatur argentina juara piala dunia memang</t>
  </si>
  <si>
    <t>['beliau', 'bukan', 'sembarang', 'beliau', 'mengatur', 'argentina', 'juara', 'piala', 'dunia', 'memang']</t>
  </si>
  <si>
    <t>Sukses Jadi Juara Piala Dunia 2022, Berikut Penyebab Argentina Mampu Kalahkan Prancis -  https://t.co/DRsoDrrxig #ArgentinaJuaraPialaDunia2022 #ArgentinaVsPrancis #FinalPialaDuniaQatar2022  https://t.co/Szqd7XV9MJ</t>
  </si>
  <si>
    <t>sukses jadi juara piala dunia berikut penyebab argentina mampu kalahkan prancis</t>
  </si>
  <si>
    <t>['sukses', 'jadi', 'juara', 'piala', 'dunia', 'berikut', 'penyebab', 'argentina', 'mampu', 'kalahkan', 'prancis']</t>
  </si>
  <si>
    <t>Dramatis! Menang Adu Penalti dari Prancis, Argentina Juara Piala Dunia 2022 Qatar : Raih Tiga Trophy  https://t.co/pfqzXnMn7F</t>
  </si>
  <si>
    <t>dramatis menang adu penalti dari prancis argentina juara piala dunia qatar raih tiga trophy</t>
  </si>
  <si>
    <t>['dramatis', 'menang', 'adu', 'penalti', 'prancis', 'argentina', 'juara', 'piala', 'dunia', 'qatar', 'raih', 'tiga', 'trophy']</t>
  </si>
  <si>
    <t>Prancis gagal menjadi juara Piala Dunia 2022 usai takluk dari Argentina di Qatar.  Presiden Prancis Emmanuel Macron turun ke lapangan dan menghibur Mbappe yang sedih usai laga final.    https://t.co/3V0BHnVjoK  https://t.co/KJtIOcApwk</t>
  </si>
  <si>
    <t>prancis gagal menjadi juara piala dunia usai takluk dari argentina qatar presiden prancis emmanuel macron turun lapangan dan menghibur mbappe yang sedih usai laga final</t>
  </si>
  <si>
    <t>['prancis', 'gagal', 'menjadi', 'juara', 'piala', 'dunia', 'usai', 'takluk', 'argentina', 'qatar', 'presiden', 'prancis', 'emmanuel', 'macron', 'turun', 'lapangan', 'menghibur', 'mbappe', 'sedih', 'usai', 'laga', 'final']</t>
  </si>
  <si>
    <t>Apa Arti Goat Untuk Messi? Panggilan Baru Setelah Argentina Juara Piala Dunia 2022   https://t.co/fCRGmhJW4d</t>
  </si>
  <si>
    <t>apa arti goat untuk messi panggilan baru setelah argentina juara piala dunia</t>
  </si>
  <si>
    <t>['apa', 'arti', 'goat', 'messi', 'panggilan', 'baru', 'argentina', 'juara', 'piala', 'dunia']</t>
  </si>
  <si>
    <t>Vamos Argentina, gua dukung france, tapi feeling emg Argentina yg juara tahun ini,  https://t.co/XSa61y4Zw1</t>
  </si>
  <si>
    <t>vamos argentina gua dukung france tapi feeling emg argentina juara tahun ini</t>
  </si>
  <si>
    <t>['vamos', 'argentina', 'gua', 'dukung', 'france', 'feeling', 'memang', 'argentina', 'juara', 'tahun']</t>
  </si>
  <si>
    <t>Selamat kang Emil, jagoannya Argentina jadi juara dunia #bersamajuara #ridwankamil</t>
  </si>
  <si>
    <t>selamat kang emil jagoannya argentina jadi juara dunia</t>
  </si>
  <si>
    <t>['selamat', 'kang', 'emil', 'jagoannya', 'argentina', 'jadi', 'juara', 'dunia']</t>
  </si>
  <si>
    <t>Statistik Pertandingan Saat Argentina Menang Atas Prancis dan Juara Piala Dunia 2022: Tim Tango Full Power   https://t.co/7EpCdNUYNO</t>
  </si>
  <si>
    <t>statistik pertandingan saat argentina menang atas prancis dan juara piala dunia tim tango full power</t>
  </si>
  <si>
    <t>['statistik', 'pertandingan', 'argentina', 'menang', 'atas', 'prancis', 'juara', 'piala', 'dunia', 'tim', 'tango', 'full', 'power']</t>
  </si>
  <si>
    <t>mateo emang agak lain üò≠</t>
  </si>
  <si>
    <t>mateo emang agak lain</t>
  </si>
  <si>
    <t>['mateo', 'emang']</t>
  </si>
  <si>
    <t>@dikaananta20 Cilik o dibakar nikmat nek argentina juara hhhhhhhh</t>
  </si>
  <si>
    <t>cilik dibakar nikmat nek argentina juara hhhhhhhh</t>
  </si>
  <si>
    <t>['cilik', 'dibakar', 'nikmat', 'nek', 'argentina', 'juara', 'hhhhhhhh']</t>
  </si>
  <si>
    <t>Argentina Juara üéÑ Piala Dunia Qatar 2022  Mesi Dapat Piala Golden Ball dan Kylian Mbappe Dapat Piala Top Skor  https://t.co/31mpOI4wHt</t>
  </si>
  <si>
    <t>argentina juara piala dunia qatar mesi dapat piala golden ball dan kylian mbappe dapat piala top skor</t>
  </si>
  <si>
    <t>['argentina', 'juara', 'piala', 'dunia', 'qatar', 'mesi', 'piala', 'golden', 'ball', 'kylian', 'mbappe', 'piala', 'top', 'skor']</t>
  </si>
  <si>
    <t>Lionel Messi baru saja membawa Timnas Argentina juara Piala Dunia 2022. Lionel Scaloni menegaskan, La Pulga sudah tak punya utang apa-apa pada Albiceleste! #juaraboladunia    https://t.co/YhCg5n8N0z</t>
  </si>
  <si>
    <t>Lionel Messi Pakai Jubah Pemberian Emir Qatar di Selebrasi Juara Piala Dunia 2022, Mantan Bek Argentina Sewot  https://t.co/NLgxeIkQli</t>
  </si>
  <si>
    <t>Argentina Juara Piala Dunia 2022, Warga Pamekasan Konvoi  https://t.co/HYJTJFIJRR</t>
  </si>
  <si>
    <t>argentina juara piala dunia warga pamekasan konvoi</t>
  </si>
  <si>
    <t>['argentina', 'juara', 'piala', 'dunia', 'warga', 'pamekasan', 'konvoi']</t>
  </si>
  <si>
    <t>@ReceinAja Seneng coo Argentina juara piala dunia üíôüá¶üá∑üá¶üá∑</t>
  </si>
  <si>
    <t>seneng coo argentina juara piala dunia</t>
  </si>
  <si>
    <t>['seneng', 'coo', 'argentina', 'juara', 'piala', 'dunia']</t>
  </si>
  <si>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</si>
  <si>
    <t>akhir nya argentina menjadi juara lionel messi jadi pemain terbaik worldcup namun perancis pun menujukan kualitasnya dengan mengejar ketertinggalannya hingga mendesak sampai extra time kedua sehingga sampai babak adu penalti</t>
  </si>
  <si>
    <t>['akhir', 'argentina', 'menjadi', 'juara', 'lionel', 'messi', 'jadi', 'pemain', 'terbaik', 'worldcup', 'perancis', 'menujukan', 'kualitasnya', 'mengejar', 'ketertinggalannya', 'hingga', 'mendesak', 'extra', 'time', 'kedua', 'babak', 'adu', 'penalti']</t>
  </si>
  <si>
    <t>@esteheci Dapat apa argentina juara ? üòÇ klo judi dapat duit ü§£kak</t>
  </si>
  <si>
    <t>dapat apa argentina juara klo judi dapat duit kak</t>
  </si>
  <si>
    <t>['apa', 'argentina', 'juara', 'judi', 'duit', 'kak']</t>
  </si>
  <si>
    <t>Messi, Juara Dunia, dan Inflasi¬†Argentina  https://t.co/q1b4RfFUTt</t>
  </si>
  <si>
    <t>messi juara dunia dan inflasi argentina</t>
  </si>
  <si>
    <t>['messi', 'juara', 'dunia', 'inflasi', 'argentina']</t>
  </si>
  <si>
    <t>@idextratime Dari Mbappe kita belajar sekuat apapun kita berjuang kalo FIFA udah setting Argentina juara piala dunia tahun ini maka perjuangan kita akan sia sia</t>
  </si>
  <si>
    <t>dari mbappe kita belajar sekuat apapun kita berjuang kalo fifa udah setting argentina juara piala dunia tahun ini maka perjuangan kita akan sia sia</t>
  </si>
  <si>
    <t>['mbappe', 'belajar', 'sekuat', 'apapun', 'berjuang', 'fifa', 'udah', 'setting', 'argentina', 'juara', 'piala', 'dunia', 'tahun', 'perjuangan', 'sia', 'sia']</t>
  </si>
  <si>
    <t>Mohon kehadiran Bapak/Ibu, Sodara/Sodari diacara selamatan keberhasilan Argentina meraih gelar Juara Piala Dunia 2022.   Acara akan digelar dirumah Bpk. Messi hari Selasa besok abis Maghrib üôè.   Messi The GREATEST OF ALL TIME üëç  https://t.co/Fbegrl1iFw</t>
  </si>
  <si>
    <t>mohon kehadiran bapak ibu sodara sodari diacara selamatan keberhasilan argentina meraih gelar juara piala dunia acara akan digelar dirumah bpk messi hari selasa besok abis maghrib messi the greatest all time</t>
  </si>
  <si>
    <t>['mohon', 'kehadiran', 'bapak', 'ibu', 'sodara', 'sodari', 'diacara', 'selamatan', 'keberhasilan', 'argentina', 'meraih', 'gelar', 'juara', 'piala', 'dunia', 'acara', 'digelar', 'dirumah', 'bapak', 'messi', 'hari', 'selasa', 'besok', 'abis', 'maghrib', 'messi', 'the', 'greatest', 'all', 'time']</t>
  </si>
  <si>
    <t>banyak sedihnya tapi terobati karna argentina juara hahahah</t>
  </si>
  <si>
    <t>['banyak', 'sedihnya', 'terobati', 'karna', 'argentina', 'juara', 'hahahah']</t>
  </si>
  <si>
    <t>Argentina beneran juara dunia yaüò≠üò≠üò≠</t>
  </si>
  <si>
    <t>argentina beneran juara dunia</t>
  </si>
  <si>
    <t>['argentina', 'beneran', 'juara', 'dunia']</t>
  </si>
  <si>
    <t>Ada-ada Saja! Emiliano Martinez Mengejek Kylian Mbappe Usai Argentina Juara Piala Dunia 2022  https://t.co/qLTYP2Bw2y</t>
  </si>
  <si>
    <t>ada ada saja emiliano martinez mengejek kylian mbappe usai argentina juara piala dunia</t>
  </si>
  <si>
    <t>['emiliano', 'martinez', 'mengejek', 'kylian', 'mbappe', 'usai', 'argentina', 'juara', 'piala', 'dunia']</t>
  </si>
  <si>
    <t>Cuma diera kepemimpinan beliau argentina bisa juara dunia . Terbaik pak  ü•πü•á#ArgentinaVsFrance #MessiìÉµ #pssi    Gambar nyolong di tweet orang  https://t.co/MRAxS0OJjx</t>
  </si>
  <si>
    <t>cuma diera kepemimpinan beliau argentina bisa juara dunia terbaik pak gambar nyolong tweet orang</t>
  </si>
  <si>
    <t>['cuma', 'diera', 'kepemimpinan', 'beliau', 'argentina', 'juara', 'dunia', 'terbaik', 'pak', 'gambar', 'nyolong', 'tweet', 'orang']</t>
  </si>
  <si>
    <t>@IndiHomeJBN Final yg luar biasa, selamat Messi bisa membawa Argentina juara.... @IndiHomeJBN</t>
  </si>
  <si>
    <t>final luar biasa selamat messi bisa membawa argentina juara</t>
  </si>
  <si>
    <t>['final', 'luar', 'biasa', 'selamat', 'messi', 'membawa', 'argentina', 'juara']</t>
  </si>
  <si>
    <t>Halo Sobat!   Berhubung team yang juara Piala Dunia 2022 adalah Argentinaüá¶üá∑ #giveawayJKT kali ini akan seputar Argentinaü•≥   Yuk tulis jawabannya di kolom komentar dan ajak teman kalian untuk ikutan ya! Goodluck‚ú®  #AktivitasTanpaBatas  #giveawayJKT  https://t.co/GHaKkksGo3</t>
  </si>
  <si>
    <t>Bawa Argentina Juara Piala Dunia 2022 Qatar, Messi Dapat Jubah Spesial #Shorts  https://t.co/Ux9h1pdcDf</t>
  </si>
  <si>
    <t>bawa argentina juara piala dunia qatar messi dapat jubah spesial</t>
  </si>
  <si>
    <t>['bawa', 'argentina', 'juara', 'piala', 'dunia', 'qatar', 'messi', 'jubah', 'spesial']</t>
  </si>
  <si>
    <t>@jek___ Yesus menguasai tanah Arab karena Argentina juara world cup</t>
  </si>
  <si>
    <t>yesus menguasai tanah arab karena argentina juara world cup</t>
  </si>
  <si>
    <t>['yesus', 'menguasai', 'tanah', 'arab', 'argentina', 'juara', 'world', 'cup']</t>
  </si>
  <si>
    <t xml:space="preserve"> https://t.co/raTl1ITRrZ  Sergio Aguero layak disebut 'seksi lawak'. Aksinya saat Argentina selebrasi juara Piala Dunia 2022 mengundang tawa, seperti melotot lihat Messi cek HP!</t>
  </si>
  <si>
    <t>Hmmm, makanya Argentina juara.  üòäüòäüòä</t>
  </si>
  <si>
    <t>hmmm makanya argentina juara</t>
  </si>
  <si>
    <t>['hmmm', 'makanya', 'argentina', 'juara']</t>
  </si>
  <si>
    <t>Dari semalem Messi, Messi terus..  Jangan lupakan juga kehebatan Lionel Scaloni meracik timnas Argentina hingga bisa memberikan 3 gelar juara. ü´°üëèüëèüëè  https://t.co/vKfYqBgPSb</t>
  </si>
  <si>
    <t>dari semalem messi messi terus jangan lupakan juga kehebatan lionel scaloni meracik timnas argentina hingga bisa memberikan gelar juara</t>
  </si>
  <si>
    <t>['semalam', 'messi', 'messi', 'terus', 'jangan', 'lupakan', 'kehebatan', 'lionel', 'scaloni', 'meracik', 'timnas', 'argentina', 'hingga', 'memberikan', 'gelar', 'juara']</t>
  </si>
  <si>
    <t>@yesy_febriyati @ridwankamil Argentina Juara, Jabar Juara !1 bisa pas gitu yak #bersamajuara @ridwankamil</t>
  </si>
  <si>
    <t>febriyati argentina juara jabar juara bisa pas gitu yak</t>
  </si>
  <si>
    <t>['febriyati', 'argentina', 'juara', 'jabar', 'juara', 'pas', 'gitu', 'yak']</t>
  </si>
  <si>
    <t>Argentina berhasil menjadi juara Piala Dunia 2022. Pelatih Lionel Scaloni mencoba menahan air mata bahagianya, namun tak berhasil.  https://t.co/g0QUvNuWWL</t>
  </si>
  <si>
    <t>argentina berhasil menjadi juara piala dunia pelatih lionel scaloni mencoba menahan air mata bahagianya namun tak berhasil</t>
  </si>
  <si>
    <t>['argentina', 'berhasil', 'menjadi', 'juara', 'piala', 'dunia', 'pelatih', 'lionel', 'scaloni', 'mencoba', 'menahan', 'air', 'mata', 'bahagianya', 'tak', 'berhasil']</t>
  </si>
  <si>
    <t>Argentina Juara üéÑ Piala Dunia Qatar 2022  https://t.co/0ZHTdmudmc</t>
  </si>
  <si>
    <t>Congratulations Argentina! üéâ Sudah berhasil meraih gelar juara World Cup 2022!   Anyway, semalam kamu dukung siapa nih?</t>
  </si>
  <si>
    <t>congratulations argentina sudah berhasil meraih gelar juara world cup anyway semalam kamu dukung siapa nih</t>
  </si>
  <si>
    <t>['congratulations', 'argentina', 'berhasil', 'meraih', 'gelar', 'juara', 'world', 'cup', 'anyway', 'semalam', 'kamu', 'dukung', 'siapa']</t>
  </si>
  <si>
    <t>Manusia tergoblok @antonsujarno25, Timnas Argentina keluar sebagai Juara Dunia, ditunggu realisasi bacotanmu ü§Æ  https://t.co/hOx8BDWiHn</t>
  </si>
  <si>
    <t>manusia tergoblok timnas argentina keluar sebagai juara dunia ditunggu realisasi bacotanmu</t>
  </si>
  <si>
    <t>['manusia', 'tergoblok', 'timnas', 'argentina', 'keluar', 'juara', 'dunia', 'ditunggu', 'realisasi', 'bacotanmu']</t>
  </si>
  <si>
    <t>@Dennysiregar7 Pantesan gegara dy dukung Prancis Argentina juara</t>
  </si>
  <si>
    <t>pantesan gegara dukung prancis argentina juara</t>
  </si>
  <si>
    <t>['pantesan', 'gegara', 'dukung', 'prancis', 'argentina', 'juara']</t>
  </si>
  <si>
    <t>@Autumnleaf1996 @realmadridindo1 yaudah makanya wajar lu dikomen, lu ngasih foto argentina juara ke akun madrid ya yg gk ada hubungannya kocak. Yg asumsiin di sini fans dodo aja lu. Mau opini apa lagi lu selain awalnya udh koar bawa2 dodo?</t>
  </si>
  <si>
    <t>yaudah makanya wajar dikomen ngasih foto argentina juara akun madrid ada hubungannya kocak asumsiin sini fans dodo aja mau opini apa lagi selain awalnya udh koar bawa dodo</t>
  </si>
  <si>
    <t>['yaudah', 'makanya', 'wajar', 'dikomen', 'ngasih', 'foto', 'argentina', 'juara', 'akun', 'madrid', 'hubungannya', 'kocak', 'asumsiin', 'sini', 'fans', 'dodo', 'mau', 'opini', 'apa', 'awalnya', 'sudah', 'koar', 'bawa', 'dodo']</t>
  </si>
  <si>
    <t>Karena Argentina juara yaudah akhirnya ambil Argentina.  https://t.co/fILiFSLmTx</t>
  </si>
  <si>
    <t>karena argentina juara yaudah akhirnya ambil argentina</t>
  </si>
  <si>
    <t>['argentina', 'juara', 'yaudah', 'akhirnya', 'ambil', 'argentina']</t>
  </si>
  <si>
    <t>[askrl] karena Argentina juara, gua bakal giveaway 150k buat 3 orangüëãüèª  cek dilikes, namanya Noir. Good luck!</t>
  </si>
  <si>
    <t>askrl karena argentina juara gua bakal giveaway buat orang cek dilikes namanya noir good luck</t>
  </si>
  <si>
    <t>['askrl', 'argentina', 'juara', 'gua', 'bakal', 'giveaway', 'buat', 'orang', 'cek', 'dilikes', 'namanya', 'noir', 'good', 'luck']</t>
  </si>
  <si>
    <t>Pesan menyentuh Messi setelah Argentina juara Piala Dunia 2022.  #EmtekWorldCup2022 #BolacomWorldCup2022 #PialaDunia2022 #PialaDunia   https://t.co/7xAayW6v78</t>
  </si>
  <si>
    <t>pesan menyentuh messi setelah argentina juara piala dunia</t>
  </si>
  <si>
    <t>['pesan', 'menyentuh', 'messi', 'argentina', 'juara', 'piala', 'dunia']</t>
  </si>
  <si>
    <t>Argentina Juara, Status Messi berubah jadi The Greatest of All Time! . #EMTEKWORLDCUP2022 #BOLANETWORLDCUP2022 #PialaDunia #PialaDunia2022  https://t.co/LoxuG7raBe</t>
  </si>
  <si>
    <t>argentina juara status messi berubah jadi the greatest all time</t>
  </si>
  <si>
    <t>['argentina', 'juara', 'status', 'messi', 'berubah', 'jadi', 'the', 'greatest', 'all', 'time']</t>
  </si>
  <si>
    <t>@Aleynanugraha @suryadinikayam argentina juara #bersamajuara #ridwankamil</t>
  </si>
  <si>
    <t>Argentina Hampir Gagal Juara Dunia 2022, Jika Aksi Emiliano Mart√≠nez Menit 120 Gagal =&amp;gt;  https://t.co/Fs5jyt6oLG.</t>
  </si>
  <si>
    <t>argentina hampir gagal juara dunia jika aksi emiliano mart nez menit gagal</t>
  </si>
  <si>
    <t>['argentina', 'hampir', 'gagal', 'juara', 'dunia', 'aksi', 'emiliano', 'mart', 'nez', 'menit', 'gagal']</t>
  </si>
  <si>
    <t>Argentina Juara Piala Dunia 2022, Perdebatan Messi vs Ronaldo Selesai  https://t.co/HgK3iHJRmO</t>
  </si>
  <si>
    <t>@idextratime Kalau memang Laki ya buktikan. Sebab yang dipegang itu adalah Omongannya. Argentina Juara, ditunggu janjinya</t>
  </si>
  <si>
    <t>kalau memang laki buktikan sebab yang dipegang itu adalah omongannya argentina juara ditunggu janjinya</t>
  </si>
  <si>
    <t>['kalau', 'memang', 'laki', 'buktikan', 'dipegang', 'omongannya', 'argentina', 'juara', 'ditunggu', 'janjinya']</t>
  </si>
  <si>
    <t>GOAT REAL MESSI BAWA ARGENTINA JUARA</t>
  </si>
  <si>
    <t>goat real messi bawa argentina juara</t>
  </si>
  <si>
    <t>['goat', 'real', 'messi', 'bawa', 'argentina', 'juara']</t>
  </si>
  <si>
    <t>5 kali Stadion Lusail jadi saksi bisu laga Argentina di Piala Dunia 2022. Di awal Tim Tango terjungkal, tapi kemudian jadi juara di final.  https://t.co/RXVkY5gOVt</t>
  </si>
  <si>
    <t>Warga Argentina Merayakan Keberhasilan Negaranya Menjadi Juara Dunia.  Jualan pempek sama teh gelas laris kayaknya.  Semoga kelak pemandangan seperti ini ada di Indonesia. Aamiin ü§≤  https://t.co/UZcsJRAKJf</t>
  </si>
  <si>
    <t>warga argentina merayakan keberhasilan negaranya menjadi juara dunia jualan pempek sama teh gelas laris kayaknya semoga kelak pemandangan seperti ini ada indonesia aamiin</t>
  </si>
  <si>
    <t>['warga', 'argentina', 'merayakan', 'keberhasilan', 'negaranya', 'menjadi', 'juara', 'dunia', 'jualan', 'pempek', 'sama', 'teh', 'gelas', 'laris', 'kayaknya', 'semoga', 'kelak', 'pemandangan', 'indonesia', 'aamiin']</t>
  </si>
  <si>
    <t>Halo! Sesuai janji jika Argentina Juara Piala Dunia, Gua mau GIVEAWAY 150ribu untuk 3 orang. Masing-masing dapat 50ribu yaa!  Terserah mau Gopay/Shopeepay/OVO/Dana.  Caranya gampang: follow,likes &amp;amp; retweet lalu reply doa kalian di tahun 2023 mendatang. Good Luck! #VamosArgentina</t>
  </si>
  <si>
    <t>halo sesuai janji jika argentina juara piala dunia gua mau giveaway ribu untuk orang masing masing dapat ribu yaa terserah mau gopay shopeepay ovo dana caranya gampang follow likes retweet lalu reply doa kalian tahun mendatang good luck</t>
  </si>
  <si>
    <t>['halo', 'sesuai', 'janji', 'argentina', 'juara', 'piala', 'dunia', 'gua', 'mau', 'giveaway', 'ribu', 'orang', 'masing', 'masing', 'ribu', 'ya', 'terserah', 'mau', 'gopay', 'shopeepay', 'ovo', 'dana', 'caranya', 'gampang', 'follow', 'likes', 'retweet', 'lalu', 'reply', 'doa', 'kalian', 'tahun', 'mendatang', 'good', 'luck']</t>
  </si>
  <si>
    <t>Prediksi EA Sports, pembuat seri game FIFA, pada November lalu soal Argentina juara Piala Dunia 2022 menjadi kenyataan.  https://t.co/impfHOH8dQ</t>
  </si>
  <si>
    <t>prediksi sports pembuat seri game fifa pada november lalu soal argentina juara piala dunia menjadi kenyataan</t>
  </si>
  <si>
    <t>['prediksi', 'sports', 'pembuat', 'seri', 'game', 'fifa', 'november', 'lalu', 'soal', 'argentina', 'juara', 'piala', 'dunia', 'menjadi', 'kenyataan']</t>
  </si>
  <si>
    <t>Argentina juara Piala Dunia 2022, perayaan kemenangan di Buenos Aries bikin merinding! #FIFAWorldCup #ARG  https://t.co/DXl9qxbMcy</t>
  </si>
  <si>
    <t>argentina juara piala dunia perayaan kemenangan buenos aries bikin merinding</t>
  </si>
  <si>
    <t>['argentina', 'juara', 'piala', 'dunia', 'perayaan', 'kemenangan', 'buenos', 'aries', 'merinding']</t>
  </si>
  <si>
    <t>Kota Kelahiran Lionel Messi Jadi Lautan Manusia Usai Argentina Juara Piala Dunia 2022  https://t.co/hOQThPbnzV</t>
  </si>
  <si>
    <t>@YonoBakrie Pantesan Argentina juara, soalnya didukung oleh suporter yg pake Jersey klub liga terbaik se-alam raya.</t>
  </si>
  <si>
    <t>pantesan argentina juara soalnya didukung oleh suporter pake jersey klub liga terbaik alam raya</t>
  </si>
  <si>
    <t>['pantesan', 'argentina', 'juara', 'soalnya', 'didukung', 'suporter', 'pake', 'jersey', 'klub', 'liga', 'terbaik', 'alam', 'raya']</t>
  </si>
  <si>
    <t>@alissasesanti @rivaldohafizh @aryakgiskaaa soalnya kita semua argentina sang juara ü§≠  https://t.co/8vF6Bknxxo</t>
  </si>
  <si>
    <t>soalnya kita semua argentina sang juara</t>
  </si>
  <si>
    <t>['soalnya', 'semua', 'argentina', 'sang', 'juara']</t>
  </si>
  <si>
    <t>@DPP_PKB @cakimiNOW Menang argentina Guss...  Selamat Juara</t>
  </si>
  <si>
    <t>pkb menang argentina guss selamat juara</t>
  </si>
  <si>
    <t>['pkb', 'menang', 'argentina', 'guss', 'selamat', 'juara']</t>
  </si>
  <si>
    <t>Brasil Musuh Bebuyutan Argentina, Neymar Tetap Sanjung Lionel Messi Usai Juara Piala Dunia 2022  https://t.co/WctK62RH4K</t>
  </si>
  <si>
    <t>Selamat kpd Timnas Argentina yg telah berhasil menjadi juara dunia tahun 2022  https://t.co/7ahufmxHnL</t>
  </si>
  <si>
    <t>selamat kpd timnas argentina telah berhasil menjadi juara dunia tahun</t>
  </si>
  <si>
    <t>['selamat', 'kpd', 'timnas', 'argentina', 'berhasil', 'menjadi', 'juara', 'dunia', 'tahun']</t>
  </si>
  <si>
    <t>@Sahaaing666_ @adii_santosa @deryan72 @Fandom_ID Argentina sebelum ada Messi udah juara bang üòÇ, Juara piala dunia dan Copa America</t>
  </si>
  <si>
    <t>santosa argentina sebelum ada messi udah juara bang juara piala dunia dan copa america</t>
  </si>
  <si>
    <t>['santosa', 'argentina', 'messi', 'udah', 'juara', 'bang', 'juara', 'piala', 'dunia', 'copa', 'america']</t>
  </si>
  <si>
    <t>Warga Argentina Pesta Juara Piala Dunia saat Krisis: Bak di Surga ‚Äì CNN Indonesia ‚Äì  https://t.co/ayAijRcw45 ‚Äì #Arenanews #Kamidi #Opsiminfo- https://t.co/TpYURtCyYU</t>
  </si>
  <si>
    <t>warga argentina pesta juara piala dunia saat krisis bak surga cnn indonesia</t>
  </si>
  <si>
    <t>['warga', 'argentina', 'pesta', 'juara', 'piala', 'dunia', 'krisis', 'bak', 'surga', 'cnn', 'indonesia']</t>
  </si>
  <si>
    <t>hanya di rezim pak iwan bule martinez , argentina bisa juara dunia lagi after 36 years, terima kasih pak ibul martinez  üôè  https://t.co/SMqyPvc3zn</t>
  </si>
  <si>
    <t>hanya rezim pak iwan bule martinez argentina bisa juara dunia lagi after years terima kasih pak ibul martinez</t>
  </si>
  <si>
    <t>['rezim', 'pak', 'iwan', 'bule', 'martinez', 'argentina', 'juara', 'dunia', 'after', 'years', 'terima', 'kasih', 'pak', 'ibul', 'martinez']</t>
  </si>
  <si>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</si>
  <si>
    <t>messi silaturahmi rmh mbapp minta diberi kesempatan argentina utk juara pildun qatar krn thn sdh tdk ikut lagi wis monggo mawon masih bisa rebut lagi kata mas mbapp nanti kita main bareng lagi psg nggih</t>
  </si>
  <si>
    <t>['messi', 'silaturahmi', 'rmh', 'mbapp', 'minta', 'diberi', 'kesempatan', 'argentina', 'juara', 'piala dunia', 'qatar', 'thn', 'ikut', 'wis', 'monggo', 'mawon', 'rebut', 'kata', 'mas', 'mbapp', 'main', 'bareng', 'psg', 'nggih']</t>
  </si>
  <si>
    <t>@tvOneNews SELAMAT MESSI DAN ARGENTINA JUARA üá¶üá∑‚ù§</t>
  </si>
  <si>
    <t>selamat messi dan argentina juara</t>
  </si>
  <si>
    <t>['selamat', 'messi', 'argentina', 'juara']</t>
  </si>
  <si>
    <t>@YaqutCQoumas Dari awal sdh percaya yakin Argentina juara Dan Twett betul nyata terjadi  Penalti ARGENTINA 4 - 2 FRANCE tp semua remehkan</t>
  </si>
  <si>
    <t>dari awal sdh percaya yakin argentina juara dan twett betul nyata terjadi penalti argentina france semua remehkan</t>
  </si>
  <si>
    <t>['awal', 'percaya', 'yakin', 'argentina', 'juara', 'twett', 'betul', 'nyata', 'terjadi', 'penalti', 'argentina', 'france', 'semua', 'remehkan']</t>
  </si>
  <si>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</si>
  <si>
    <t>drake tetep gagal taruhan nih meskipun argentina juara karna drake memprediksi pertandingan bakal berakhir menit sedangkan pertandingannya berlangsung sampe adu penalty sabar mas drake yuk bisa yuk foto ktpnya hehehe with</t>
  </si>
  <si>
    <t>['drake', 'tetep', 'gagal', 'taruhan', 'meskipun', 'argentina', 'juara', 'karna', 'drake', 'memprediksi', 'pertandingan', 'bakal', 'berakhir', 'menit', 'pertandingannya', 'berlangsung', 'sampai', 'adu', 'penalty', 'sabar', 'mas', 'drake', 'yuk', 'yuk', 'foto', 'ktpnya', 'hehehe', 'with']</t>
  </si>
  <si>
    <t>@Autumnleaf1996 @realmadridindo1 Tiba2 yg nimbrung ke sini pas lg pd ngetroll kata2 nya bandidos siapa? Trus ngerasa disini tu fansnnya dodo, trus Tiba2 bales fotonya messi buat apa? Kan kocak nih orang iq jongkokü§£ü§£. Hubungannya argentina juara sama</t>
  </si>
  <si>
    <t>tiba nimbrung sini pas ngetroll kata nya bandidos siapa trus ngerasa disini fansnnya dodo trus tiba bales fotonya messi buat apa kan kocak nih orang jongkok hubungannya argentina juara sama</t>
  </si>
  <si>
    <t>['tiba', 'nimbrung', 'sini', 'pas', 'ngetroll', 'kata', 'bandidos', 'siapa', 'trus', 'ngerasa', 'disini', 'fansnnya', 'dodo', 'trus', 'tiba', 'bales', 'fotonya', 'messi', 'buat', 'apa', 'kan', 'kocak', 'orang', 'jongkok', 'hubungannya', 'argentina', 'juara', 'sama']</t>
  </si>
  <si>
    <t>Dua tim negara juara piala dunia tanpa ada pemain Verpool di dalam squadnya.   Tapi ada pemain MU-nya.  France (2018) : Paul Pogba Argentina (2022) : Lisandro Martinez  Hehe. Keren ga tuh?  üòÖ‚úåÔ∏è  https://t.co/XcL0DR7Fls</t>
  </si>
  <si>
    <t>dua tim negara juara piala dunia tanpa ada pemain verpool dalam squadnya tapi ada pemain nya france paul pogba argentina lisandro martinez hehe keren tuh</t>
  </si>
  <si>
    <t>['tim', 'negara', 'juara', 'piala', 'dunia', 'pemain', 'verpool', 'squadnya', 'pemain', 'france', 'paul', 'pogba', 'argentina', 'lisandro', 'martinez', 'keren']</t>
  </si>
  <si>
    <t>Just my opinion. Menurut wa Argentina itu emang mesti harus juara lewat adu pinalti sih, soalnya kalo mereka juara pas unggul 2-0 isu setingan (walau mustahil) tu pasti kenceng banget  Kalo tandingnya seseru kemaren mah yg mo ngomong setingan juga pasti mikir ulang</t>
  </si>
  <si>
    <t>just opinion menurut argentina itu emang mesti harus juara lewat adu pinalti sih soalnya kalo mereka juara pas unggul isu setingan walau mustahil pasti kenceng banget kalo tandingnya seseru kemaren mah ngomong setingan juga pasti mikir ulang</t>
  </si>
  <si>
    <t>['just', 'opinion', 'argentina', 'emang', 'mesti', 'juara', 'lewat', 'adu', 'penalti', 'soalnya', 'juara', 'pas', 'unggul', 'isu', 'settingan', 'mustahil', 'kenceng', 'banget', 'tandingnya', 'seseru', 'kemarin', 'mah', 'ngomong', 'settingan', 'mikir', 'ulang']</t>
  </si>
  <si>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</si>
  <si>
    <t>argentina juara dunia ini mah udah disetting dari awal biar argentina juara pala bapak kamu disetting kalau bener disetting yang goblok itu peserta yang juara ngapain ngorbanin rasa nasionalismenya cuma untuk kebanggaan negara orang lain cukk stop gblk</t>
  </si>
  <si>
    <t>['argentina', 'juara', 'dunia', 'mah', 'udah', 'disetting', 'awal', 'argentina', 'juara', 'pala', 'bapak', 'kamu', 'disetting', 'kalau', 'benar', 'disetting', 'goblok', 'peserta', 'juara', 'ngapain', 'ngorbanin', 'rasa', 'nasionalismenya', 'cuma', 'kebanggaan', 'negara', 'orang', 'cukk', 'stop', 'gblk']</t>
  </si>
  <si>
    <t>Karna kesensian mang elon *War wer wor terlupakan *Argentina juara Gk menarik *cebong kampret terabaikan *Tunda pilpres jd sepi  Semua sibuk cari follower mengharu biru.. termasuk AbahüòÅüòÅüòÅüòÅ</t>
  </si>
  <si>
    <t>karna kesensian mang elon war wer wor terlupakan argentina juara menarik cebong kampret terabaikan tunda pilpres sepi semua sibuk cari follower mengharu biru termasuk abah</t>
  </si>
  <si>
    <t>['karna', 'kesensian', 'mang', 'elon', 'war', 'wer', 'wor', 'terlupakan', 'argentina', 'juara', 'menarik', 'cebong', 'kampret', 'terabaikan', 'tunda', 'pilpres', 'sepi', 'semua', 'sibuk', 'cari', 'follower', 'mengharu', 'biru', 'termasuk', 'abah']</t>
  </si>
  <si>
    <t>@tjwlssk Argentina juara qm senang</t>
  </si>
  <si>
    <t>argentina juara senang</t>
  </si>
  <si>
    <t>['argentina', 'juara', 'senang']</t>
  </si>
  <si>
    <t>Last Episode : Argentina juara world cup 2022 #jenselle #royalatte  Jeno kena roasting abis-abisan sama Gigi.  https://t.co/BOd5omxjH3</t>
  </si>
  <si>
    <t>last episode argentina juara world cup jeno kena roasting abis abisan sama gigi</t>
  </si>
  <si>
    <t>['last', 'episode', 'argentina', 'juara', 'world', 'cup', 'jeno', 'kena', 'roasting', 'abis', 'abisan', 'sama', 'gigi']</t>
  </si>
  <si>
    <t>fix argentina juara karena bawak b2</t>
  </si>
  <si>
    <t>fix argentina juara karena bawak</t>
  </si>
  <si>
    <t>['fix', 'argentina', 'juara', 'bawak']</t>
  </si>
  <si>
    <t>@thoriqatuna1 Lagi nyari topik pembahasan, padahal mengucapkan selamat Argentina juara yang lagi rame</t>
  </si>
  <si>
    <t>lagi nyari topik pembahasan padahal mengucapkan selamat argentina juara yang lagi rame</t>
  </si>
  <si>
    <t>['nyari', 'topik', 'pembahasan', 'padahal', 'mengucapkan', 'selamat', 'argentina', 'juara', 'ramai']</t>
  </si>
  <si>
    <t>@SUNDA_FESS Abi aya rezeki lebih tapi hasil Argentina juara üò≠, ada ide dipake buat apa?</t>
  </si>
  <si>
    <t>fess abi aya rezeki lebih tapi hasil argentina juara ada ide dipake buat apa</t>
  </si>
  <si>
    <t>['fess', 'abi', 'aya', 'rezeki', 'lebih', 'hasil', 'argentina', 'juara', 'ide', 'dipake', 'buat', 'apa']</t>
  </si>
  <si>
    <t>@StefanAntonio__ @MamiaDoang @SunLeoAiolia Argentina juara berkat presiden Argentina bertemu dengan pak presiden RI Jokowi  https://t.co/NISEs2ZlaU</t>
  </si>
  <si>
    <t>argentina juara berkat presiden argentina bertemu dengan pak presiden jokowi</t>
  </si>
  <si>
    <t>['argentina', 'juara', 'berkat', 'presiden', 'argentina', 'bertemu', 'pak', 'presiden', 'jokowi']</t>
  </si>
  <si>
    <t>@ZakyIbr Bukan karna kekuatan Namun, rohmu ya Tuhan Ketikaku berdoa Argentina pasti kan juara</t>
  </si>
  <si>
    <t>bukan karna kekuatan namun rohmu tuhan ketikaku berdoa argentina pasti kan juara</t>
  </si>
  <si>
    <t>['bukan', 'karna', 'kekuatan', 'rohmu', 'tuhan', 'ketikaku', 'berdoa', 'argentina', 'kan', 'juara']</t>
  </si>
  <si>
    <t>@abdulhadiawang Keputusan Argentina menang belum rasmi. Dengar dengar Croatia, Morocco setuju bergabung dengan France untuk menjadi gabungan juara Piala Dunia. Kita tunggu keputusan penuh dari FIFA palace pukul 3 ptg nanti...üòÖ</t>
  </si>
  <si>
    <t>keputusan argentina menang belum rasmi dengar dengar croatia morocco setuju bergabung dengan france untuk menjadi gabungan juara piala dunia kita tunggu keputusan penuh dari fifa palace pukul ptg nanti</t>
  </si>
  <si>
    <t>['keputusan', 'argentina', 'menang', 'rasmi', 'dengar', 'dengar', 'croatia', 'morocco', 'setuju', 'bergabung', 'france', 'menjadi', 'gabungan', 'juara', 'piala', 'dunia', 'tunggu', 'keputusan', 'penuh', 'fifa', 'palace', 'pukul', 'ptg']</t>
  </si>
  <si>
    <t>Tundukkan Prancis, Argentina Juara Piala Dunia 2022 Qatar  https://t.co/ru9ZkcnYWD</t>
  </si>
  <si>
    <t>tundukkan prancis argentina juara piala dunia qatar</t>
  </si>
  <si>
    <t>['tundukkan', 'prancis', 'argentina', 'juara', 'piala', 'dunia', 'qatar']</t>
  </si>
  <si>
    <t>Kira¬≤ nyali loe beneran ape cuma bacot aj yg mengangga  Manusia unfaedah muka tembok. @antonsujarno25  Love u Messi ‚ù§Ô∏è Argentina juara üèÜ  https://t.co/W3Cu0tXPou</t>
  </si>
  <si>
    <t>kira nyali loe beneran ape cuma bacot mengangga manusia unfaedah muka tembok love messi argentina juara</t>
  </si>
  <si>
    <t>['kira', 'nyali', 'loe', 'beneran', 'ape', 'cuma', 'bacot', 'mengangga', 'manusia', 'unfaedah', 'muka', 'tembok', 'love', 'messi', 'argentina', 'juara']</t>
  </si>
  <si>
    <t>Dari Mbappe kita belajar, sekuat apapun kita berjuang kalo FIFA udah setting Argentina juara, maka perjuangan kita akan sia sia   #Mbappe #FIFAWorldCup  https://t.co/3vJGU8qwRF</t>
  </si>
  <si>
    <t>dari mbappe kita belajar sekuat apapun kita berjuang kalo fifa udah setting argentina juara maka perjuangan kita akan sia sia</t>
  </si>
  <si>
    <t>['mbappe', 'belajar', 'sekuat', 'apapun', 'berjuang', 'fifa', 'udah', 'setting', 'argentina', 'juara', 'perjuangan', 'sia', 'sia']</t>
  </si>
  <si>
    <t>@totomarcell_77 @StefanAntonio__ Dari awal turnamen gw sdh yakin argentina juara. karena LM10 main di PSG..ada mitos klu pemain Amerika latin main di PSG dan sampek final,maka akan jadi juaranya..üòÅ</t>
  </si>
  <si>
    <t>dari awal turnamen sdh yakin argentina juara karena main psg ada mitos klu pemain amerika latin main psg dan sampek final maka akan jadi juaranya</t>
  </si>
  <si>
    <t>['awal', 'turnamen', 'yakin', 'argentina', 'juara', 'main', 'psg', 'mitos', 'klu', 'pemain', 'amerika', 'latin', 'main', 'psg', 'sampek', 'final', 'jadi', 'juaranya']</t>
  </si>
  <si>
    <t>Detik2 Argentina menjadi Juara Piala Dunia Qatar 2022 üëçüëèüî•üá¶üá∑.   Momen yg sangat emosional saat para pemain Argentina memeluk Messi sambil menangis haru üò•üò≠.   Messi The GREATEST OF ALL TIME üî•  https://t.co/C5uFctsbYD</t>
  </si>
  <si>
    <t>detik argentina menjadi juara piala dunia qatar momen sangat emosional saat para pemain argentina memeluk messi sambil menangis haru messi the greatest all time</t>
  </si>
  <si>
    <t>['detik', 'argentina', 'menjadi', 'juara', 'piala', 'dunia', 'qatar', 'momen', 'sangat', 'emosional', 'pemain', 'argentina', 'memeluk', 'messi', 'menangis', 'haru', 'messi', 'the', 'greatest', 'all', 'time']</t>
  </si>
  <si>
    <t>Gunting Gawang! Profil dan Biodata Paulo Dybala, Pemain Timnas Argentina Juara Piala Dunia 2022 Lawan Perancis  https://t.co/YQJl9mZWld #Dybala #argentina #juventus #argentinavsperancis #pialadunia2022 #paulodybala</t>
  </si>
  <si>
    <t>gunting gawang profil dan biodata paulo dybala pemain timnas argentina juara piala dunia lawan perancis</t>
  </si>
  <si>
    <t>['gunting', 'gawang', 'profil', 'biodata', 'paulo', 'dybala', 'pemain', 'timnas', 'argentina', 'juara', 'piala', 'dunia', 'lawan', 'perancis']</t>
  </si>
  <si>
    <t>@BetraPratama @ayuheniprasasti emang pantas juara sih Argentina #bersamajuara #ridwankamil</t>
  </si>
  <si>
    <t>emang pantas juara sih argentina</t>
  </si>
  <si>
    <t>['emang', 'pantas', 'juara', 'argentina']</t>
  </si>
  <si>
    <t>Tumben ga macet ,gara gara argentina juara gt ya</t>
  </si>
  <si>
    <t>tumben macet gara gara argentina juara</t>
  </si>
  <si>
    <t>['tumben', 'macet', 'gara', 'gara', 'argentina', 'juara']</t>
  </si>
  <si>
    <t>Psg juara ucl pertama kalinya, messi dapat balon dor ke 8, messi kembali ke barca, pensiun di barca, 2024 bela argentina terakhir kalinya. Messi pensiun dari sepakbola</t>
  </si>
  <si>
    <t>psg juara ucl pertama kalinya messi dapat balon dor messi kembali barca pensiun barca bela argentina terakhir kalinya messi pensiun dari sepakbola</t>
  </si>
  <si>
    <t>['psg', 'juara', 'ucl', 'pertama', 'kalinya', 'messi', 'balon', 'dor', 'messi', 'barca', 'pensiun', 'barca', 'bela', 'argentina', 'terakhir', 'kalinya', 'messi', 'pensiun', 'sepakbola']</t>
  </si>
  <si>
    <t>Mario Kempes bawa Argentina Juara World Cup 1978. Di akhir karirnya Mario Kempes merumput di Liga Indonesia, bersama Pelita Jaya. Jadi kapan Messi merumput di @BaliUnited_FC  atau @AremaMalangID ?</t>
  </si>
  <si>
    <t>mario kempes bawa argentina juara world cup akhir karirnya mario kempes merumput liga indonesia bersama pelita jaya jadi kapan messi merumput atau</t>
  </si>
  <si>
    <t>['mario', 'kempes', 'bawa', 'argentina', 'juara', 'world', 'cup', 'akhir', 'karirnya', 'mario', 'kempes', 'merumput', 'liga', 'indonesia', 'bersama', 'pelita', 'jaya', 'jadi', 'kapan', 'messi', 'merumput']</t>
  </si>
  <si>
    <t>@Box2BoxBola Klo mau jujur Argentina baru bisa juara semenjak messi cabut dari barca</t>
  </si>
  <si>
    <t>klo mau jujur argentina baru bisa juara semenjak messi cabut dari barca</t>
  </si>
  <si>
    <t>['mau', 'jujur', 'argentina', 'baru', 'juara', 'semenjak', 'messi', 'pergi', 'barca']</t>
  </si>
  <si>
    <t>Gotze Ikut Rayakan Argentina Juara Piala Dunia 2022, Pendukung Argentina Kaget dan Heboh  https://t.co/N0Kp3tHZkF.</t>
  </si>
  <si>
    <t>gotze ikut rayakan argentina juara piala dunia pendukung argentina kaget dan heboh</t>
  </si>
  <si>
    <t>['gotze', 'ikut', 'rayakan', 'argentina', 'juara', 'piala', 'dunia', 'pendukung', 'argentina', 'kaget', 'heboh']</t>
  </si>
  <si>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</si>
  <si>
    <t>tek tokan maria messi babak pertama membuat serangan argentina lebih hidup hingga maria menciptakan gol kedua untuk argentina sepanjang laga ekspresi maria mewakili penonton mulai tenang tegang khawatir dan akhirnya lega gembira karena argentina juara</t>
  </si>
  <si>
    <t>['tek', 'tokan', 'maria', 'messi', 'babak', 'pertama', 'membuat', 'serangan', 'argentina', 'lebih', 'hidup', 'hingga', 'maria', 'menciptakan', 'gol', 'kedua', 'argentina', 'sepanjang', 'laga', 'ekspresi', 'maria', 'mewakili', 'penonton', 'mulai', 'tenang', 'tegang', 'khawatir', 'akhirnya', 'lega', 'gembira', 'argentina', 'juara']</t>
  </si>
  <si>
    <t>Bawa Argentina Juara World Cup 2022, Lionel Messi jadi Manusia dengan Gelar Paling Lengkap di Dunia Sepak Bola. FDL  https://t.co/PoQ55XqhvH  #SeputariNewsRCTI #RCTI #Lionel #Messi #LionelMessi #WorldCup #WorldCupFIFA #LaPulga #SerunyaBola #GOAT #FIFA #Maradona #WorldRecord  https://t.co/CdVZRUa3q0</t>
  </si>
  <si>
    <t>bawa argentina juara world cup lionel messi jadi manusia dengan gelar paling lengkap dunia sepak bola fdl</t>
  </si>
  <si>
    <t>['bawa', 'argentina', 'juara', 'world', 'cup', 'lionel', 'messi', 'jadi', 'manusia', 'gelar', 'paling', 'lengkap', 'dunia', 'sepak', 'bola', 'fdl']</t>
  </si>
  <si>
    <t>@dirjamutarika @Midjan_La_2 Yess level asean saja gak bsa juara apa lagi asia, apa lagi dunia üòÇ Yang jadi kambing hitam supporter rusuh, gak tau aja inggris,argentina, brazil supporternya lebih rusuh üòÇ Apa lagi inggirs nenek moyangnya supporter rusu</t>
  </si>
  <si>
    <t>yess level asean saja gak bsa juara apa lagi asia apa lagi dunia yang jadi kambing hitam supporter rusuh gak tau aja inggris argentina brazil supporternya lebih rusuh apa lagi inggirs nenek moyangnya supporter rusu</t>
  </si>
  <si>
    <t>['yess', 'level', 'asean', 'bsa', 'juara', 'apa', 'asia', 'apa', 'dunia', 'jadi', 'kambing', 'hitam', 'supporter', 'rusuh', 'inggris', 'argentina', 'brazil', 'supporternya', 'lebih', 'rusuh', 'apa', 'inggirs', 'nenek', 'moyangnya', 'supporter', 'rusu']</t>
  </si>
  <si>
    <t>DAFTAR PELATIH TERMUDA YANG JUARA PIALA DUNIA üôåüèª  Berhasil membuat Argentina menjadi Juara Piala Dunia, Lionel Scaloni resmi menjadi pelatih keempat termuda yang menangin Piala Dunia ü§©üèÜ‚ú®  https://t.co/ODYEeQdWdT</t>
  </si>
  <si>
    <t>daftar pelatih termuda yang juara piala dunia berhasil membuat argentina menjadi juara piala dunia lionel scaloni resmi menjadi pelatih keempat termuda yang menangin piala dunia</t>
  </si>
  <si>
    <t>['daftar', 'pelatih', 'termuda', 'juara', 'piala', 'dunia', 'berhasil', 'membuat', 'argentina', 'menjadi', 'juara', 'piala', 'dunia', 'lionel', 'scaloni', 'resmi', 'menjadi', 'pelatih', 'keempat', 'termuda', 'menangin', 'piala', 'dunia']</t>
  </si>
  <si>
    <t>Argentina berhasil menjadi juara Piala Dunia 2022. Pelatih Lionel Scaloni mencoba menahan air mata bahagianya, namun tak berhasil.  https://t.co/XFyeQX16Sa</t>
  </si>
  <si>
    <t>Syeikh Messi Argentina Juara Piala Dunia 2022 Prancis Mbappe Giroud Di Maria Final World Cup GOAT Pensiun Drake Senin Ronaldo   https://t.co/Y6hv0hv0Ye</t>
  </si>
  <si>
    <t>syeikh messi argentina juara piala dunia prancis mbappe giroud maria final world cup goat pensiun drake senin ronaldo</t>
  </si>
  <si>
    <t>['syeikh', 'messi', 'argentina', 'juara', 'piala', 'dunia', 'prancis', 'mbappe', 'giroud', 'maria', 'final', 'world', 'cup', 'goat', 'pensiun', 'drake', 'senin', 'ronaldo']</t>
  </si>
  <si>
    <t>ampun dah ronaldoer pada kepanasan amat ya gegara argentina juara pildun</t>
  </si>
  <si>
    <t>ampun dah ronaldoer pada kepanasan amat gegara argentina juara pildun</t>
  </si>
  <si>
    <t>['ampun', 'dah', 'ronaldoer', 'kepanasan', 'gegara', 'argentina', 'juara', 'piala dunia']</t>
  </si>
  <si>
    <t>tribunnews: Foto-foto Selebrasi Suporter Argentina setelah Juara Piala Dunia, Lautan Manusia di Ibu Kota Negara    https://t.co/GcZxp7ljUy via @tribunnews</t>
  </si>
  <si>
    <t>tribunnews foto foto selebrasi suporter argentina setelah juara piala dunia lautan manusia ibu kota negara via</t>
  </si>
  <si>
    <t>['tribunnews', 'foto', 'foto', 'selebrasi', 'suporter', 'argentina', 'juara', 'piala', 'dunia', 'lautan', 'manusia', 'ibu', 'kota', 'negara', 'via']</t>
  </si>
  <si>
    <t>Usai sudah penantian panjang selama 36th dan rakyat Argentina kembali berpesta di ibukota Buenos Aires merayakan kesuksesan Tim Tango menjadi Juara Piala Dunia 2022 di Qatar üëçüëèüá¶üá∑üî•.   Messi The GREATEST OF ALL TIME üî•  https://t.co/A6cQpBdwKb</t>
  </si>
  <si>
    <t>usai sudah penantian panjang selama dan rakyat argentina kembali berpesta ibukota buenos aires merayakan kesuksesan tim tango menjadi juara piala dunia qatar messi the greatest all time</t>
  </si>
  <si>
    <t>['usai', 'penantian', 'panjang', 'selama', 'rakyat', 'argentina', 'berpesta', 'ibukota', 'buenos', 'aires', 'merayakan', 'kesuksesan', 'tim', 'tango', 'menjadi', 'juara', 'piala', 'dunia', 'qatar', 'messi', 'the', 'greatest', 'all', 'time']</t>
  </si>
  <si>
    <t>Heboh amat, bilang argentina juara give away.  Yg lebih pantas menang perancis.   Segale sesuatu suke lebay kalo ngedukung. Norak</t>
  </si>
  <si>
    <t>heboh amat bilang argentina juara give away lebih pantas menang perancis segale sesuatu suke lebay kalo ngedukung norak</t>
  </si>
  <si>
    <t>['heboh', 'argentina', 'juara', 'give', 'away', 'lebih', 'pantas', 'menang', 'perancis', 'segale', 'suke', 'lebay', 'ngedukung', 'norak']</t>
  </si>
  <si>
    <t>Argentina Juara Piala Dunia Bro !!! Ora Rugi lehku ALL IN ARGENTINA üá¶üá∑üá¶üá∑üá¶üá∑  https://t.co/aps0YQcxMb</t>
  </si>
  <si>
    <t>argentina juara piala dunia bro ora rugi lehku all argentina</t>
  </si>
  <si>
    <t>['argentina', 'juara', 'piala', 'dunia', 'bro', 'ora', 'rugi', 'lehku', 'all', 'argentina']</t>
  </si>
  <si>
    <t>Argentina Juara Piala Dunia 2022 Telah Diramal 7 Tahun Lalu  https://t.co/cnCXv8qbJ6</t>
  </si>
  <si>
    <t>argentina juara piala dunia telah diramal tahun lalu</t>
  </si>
  <si>
    <t>['argentina', 'juara', 'piala', 'dunia', 'diramal', 'tahun', 'lalu']</t>
  </si>
  <si>
    <t>7 Fakta Monumen Obelisk di Buenos Aires, Lokasi Selebrasi Argentina Juara Piala Dunia 2022  https://t.co/j4rau3sTXS</t>
  </si>
  <si>
    <t>fakta monumen obelisk buenos aires lokasi selebrasi argentina juara piala dunia</t>
  </si>
  <si>
    <t>['fakta', 'monumen', 'obelisk', 'buenos', 'aires', 'lokasi', 'selebrasi', 'argentina', 'juara', 'piala', 'dunia']</t>
  </si>
  <si>
    <t>anjayyy abang sama ayah gue seneng banget Argentina jadi juara</t>
  </si>
  <si>
    <t>anjayyy abang sama ayah gue seneng banget argentina jadi juara</t>
  </si>
  <si>
    <t>['anjayyy', 'abang', 'sama', 'ayah', 'gue', 'seneng', 'banget', 'argentina', 'jadi', 'juara']</t>
  </si>
  <si>
    <t>Baru setelah punya tattoo üëÅ Messi bisa meraih juara Copa America 2021 dan Piala Dunia 2022 bersama Argentina  Sebelumnya Messi gak pernah juara bareng üá¶üá∑  Artinya? He sold his soul to the devil üëÅ  https://t.co/0zMo3YRcxl</t>
  </si>
  <si>
    <t>baru setelah punya tattoo messi bisa meraih juara copa america dan piala dunia bersama argentina sebelumnya messi gak pernah juara bareng artinya sold his soul the devil</t>
  </si>
  <si>
    <t>['baru', 'punya', 'tattoo', 'messi', 'meraih', 'juara', 'copa', 'america', 'piala', 'dunia', 'bersama', 'argentina', 'sebelumnya', 'messi', 'pernah', 'juara', 'bareng', 'artinya', 'sold', 'his', 'soul', 'the', 'devil']</t>
  </si>
  <si>
    <t>@nocontextfooty 2014 Jerman juara  Messi pemain terbaik  2018 Prancis juara  Modrid pemain terbaik  2022 Argentina juara  Messi pemain terbaik  Tau sendiri kan üòÑüòú</t>
  </si>
  <si>
    <t>jerman juara messi pemain terbaik prancis juara modrid pemain terbaik argentina juara messi pemain terbaik tau sendiri kan</t>
  </si>
  <si>
    <t>['jerman', 'juara', 'messi', 'pemain', 'terbaik', 'prancis', 'juara', 'modrid', 'pemain', 'terbaik', 'argentina', 'juara', 'messi', 'pemain', 'terbaik', 'sendiri', 'kan']</t>
  </si>
  <si>
    <t>&lt;FreqDist with 10 samples and 17 outcomes&gt;</t>
  </si>
  <si>
    <t>Argentina juara pildun tidak berpengaruh dalam hidup saya,tugas projek 3 Minggu belain begadang malah cuma dapet 70  suiii  https://t.co/yuSQYRuKqO</t>
  </si>
  <si>
    <t>argentina juara pildun tidak berpengaruh dalam hidup saya tugas projek minggu belain begadang malah cuma dapet suiii</t>
  </si>
  <si>
    <t>['argentina', 'juara', 'piala dunia', 'berpengaruh', 'hidup', 'tugas', 'projek', 'minggu', 'belain', 'begadang', 'malah', 'cuma', 'dapat', 'suiii']</t>
  </si>
  <si>
    <t>@idextratime Min, apa benar ada gosip beredar kalau messi meminta ke PSG agar argentina bisa menjuarai WorldCup 2022 di Qatar waktu negoisasi messi dari barca ke PSG, katanya ada tuh di dalam kontrak syarat argentina juara di Qatar agar messi mau pindah k</t>
  </si>
  <si>
    <t>min apa benar ada gosip beredar kalau messi meminta psg agar argentina bisa menjuarai worldcup qatar waktu negoisasi messi dari barca psg katanya ada tuh dalam kontrak syarat argentina juara qatar agar messi mau pindah</t>
  </si>
  <si>
    <t>['min', 'apa', 'benar', 'gosip', 'beredar', 'kalau', 'messi', 'meminta', 'psg', 'argentina', 'menjuarai', 'worldcup', 'qatar', 'waktu', 'negoisasi', 'messi', 'barca', 'psg', 'katanya', 'kontrak', 'syarat', 'argentina', 'juara', 'qatar', 'messi', 'mau', 'pindah']</t>
  </si>
  <si>
    <t>@naterhasan Takkisah aa asal argentina dah juaraüòô</t>
  </si>
  <si>
    <t>takkisah asal argentina dah juara</t>
  </si>
  <si>
    <t>['takkisah', 'asal', 'argentina', 'dah', 'juara']</t>
  </si>
  <si>
    <t>ndek indosiar seng juara argentina pas ndelok tvone kok juara portugalü§£  Endi seng bener iki</t>
  </si>
  <si>
    <t>ndek indosiar seng juara argentina pas ndelok tvone kok juara portugal endi seng bener iki</t>
  </si>
  <si>
    <t>['ndek', 'indosiar', 'seng', 'juara', 'argentina', 'pas', 'ndelok', 'tvone', 'kok', 'juara', 'portugal', 'endi', 'seng', 'benar', 'iki']</t>
  </si>
  <si>
    <t>Argentina Juara Dunia Word Cup 2022  https://t.co/fshuSm4zHW</t>
  </si>
  <si>
    <t>argentina juara dunia word cup</t>
  </si>
  <si>
    <t>['argentina', 'juara', 'dunia', 'word', 'cup']</t>
  </si>
  <si>
    <t>@AzzahraMasyitah @yesy_febriyati @ridwankamil penantian panjang Argentina untuk juara #bersamajuara #ridwankamil</t>
  </si>
  <si>
    <t>febriyati penantian panjang argentina untuk juara</t>
  </si>
  <si>
    <t>['febriyati', 'penantian', 'panjang', 'argentina', 'juara']</t>
  </si>
  <si>
    <t>@gilangseva1 @dolphinisasi @idextratime Lu pikir argentina terakhir juara kapan? Ada pemain yg terakhir kali bawa argen saat ini masih main? Udah beda generasi kocak</t>
  </si>
  <si>
    <t>pikir argentina terakhir juara kapan ada pemain terakhir kali bawa argen saat ini masih main udah beda generasi kocak</t>
  </si>
  <si>
    <t>['pikir', 'argentina', 'terakhir', 'juara', 'kapan', 'pemain', 'terakhir', 'kali', 'bawa', 'argen', 'main', 'udah', 'beda', 'generasi', 'kocak']</t>
  </si>
  <si>
    <t>@PSSI Dimasa kepemimpinan Iwan Bule, Argentina bisa juara dunia, sungguh luar biasa</t>
  </si>
  <si>
    <t>dimasa kepemimpinan iwan bule argentina bisa juara dunia sungguh luar biasa</t>
  </si>
  <si>
    <t>['dimasa', 'kepemimpinan', 'iwan', 'bule', 'argentina', 'juara', 'dunia', 'sungguh', 'luar', 'biasa']</t>
  </si>
  <si>
    <t>pasti seneng nih kang Emil dan kang Ary, karena Argentina juara #bersamajuara #ridwankamil</t>
  </si>
  <si>
    <t>pasti seneng nih kang emil dan kang ary karena argentina juara</t>
  </si>
  <si>
    <t>['seneng', 'kang', 'emil', 'kang', 'ary', 'argentina', 'juara']</t>
  </si>
  <si>
    <t>Selamat buat Messi dan Argentina karena sudah menjuarai piala dunia Qatar 2022. Pertandingan semalam bikin saya spot jantung dan alhamdulillah Argentina juara untuk ketiga kalinya.</t>
  </si>
  <si>
    <t>selamat buat messi dan argentina karena sudah menjuarai piala dunia qatar pertandingan semalam bikin saya spot jantung dan alhamdulillah argentina juara untuk ketiga kalinya</t>
  </si>
  <si>
    <t>['selamat', 'buat', 'messi', 'argentina', 'menjuarai', 'piala', 'dunia', 'qatar', 'pertandingan', 'semalam', 'spot', 'jantung', 'alhamdulillah', 'argentina', 'juara', 'ketiga', 'kalinya']</t>
  </si>
  <si>
    <t>Argentina Juara: Belajar Politik Kompetensi dari Piala Dunia 2022  https://t.co/4ftSKkNNSu</t>
  </si>
  <si>
    <t>EPISODE TERAKHIR DPI SPECIAL HAJATAN BOLA DUNIA TAYANG MALAM INI!  Bahasannya ya jelas, soal Messi dan Argentina yang berhasil meraih trofi Juara Dunia.  Malam ini kita LIVE jadi bakal makin seru!  Ketemu jam 20:00 WIB hanya di Jebreeetmedia TV!  https://t.co/rzwv7eGT87</t>
  </si>
  <si>
    <t>episode terakhir dpi special hajatan bola dunia tayang malam ini bahasannya jelas soal messi dan argentina yang berhasil meraih trofi juara dunia malam ini kita live jadi bakal makin seru ketemu jam wib hanya jebreeetmedia</t>
  </si>
  <si>
    <t>['episode', 'terakhir', 'dpi', 'special', 'hajatan', 'bola', 'dunia', 'tayang', 'malam', 'bahasannya', 'jelas', 'soal', 'messi', 'argentina', 'berhasil', 'meraih', 'trofi', 'juara', 'dunia', 'malam', 'live', 'jadi', 'bakal', 'makin', 'seru', 'ketemu', 'jam', 'wib', 'jebreeetmedia']</t>
  </si>
  <si>
    <t>5 Wisata Terbaik di Argentina, Negara Juara Piala Dunia 2022  https://t.co/aBDPA8al9U</t>
  </si>
  <si>
    <t>wisata terbaik argentina negara juara piala dunia</t>
  </si>
  <si>
    <t>['wisata', 'terbaik', 'argentina', 'negara', 'juara', 'piala', 'dunia']</t>
  </si>
  <si>
    <t>Wkwkwkw si bapak sampe bikin pengumuman argentina juara sblm meninggalkan mimbar pas upacara peringatan hari bela negara tadi pagiü§£ü§£  https://t.co/uTpoVsNNRz</t>
  </si>
  <si>
    <t>wkwkwkw bapak sampe bikin pengumuman argentina juara sblm meninggalkan mimbar pas upacara peringatan hari bela negara tadi pagi</t>
  </si>
  <si>
    <t>['wkwkwkw', 'bapak', 'sampai', 'pengumuman', 'argentina', 'juara', 'sebelum', 'meninggalkan', 'mimbar', 'pas', 'upacara', 'peringatan', 'hari', 'bela', 'negara', 'tadi', 'pagi']</t>
  </si>
  <si>
    <t>@jebreeetmedia Yaelah koci mah udh hard feeling dluan sm argentina gara2 ngalahin belanda üòÇ kalau dngr pndapat beliau kayanya argentina ini jelek bgt buat jd juara, pdhl ya emg layak kalau dibanding tim2 lain</t>
  </si>
  <si>
    <t>yaelah koci mah udh hard feeling dluan argentina gara ngalahin belanda kalau dngr pndapat beliau kayanya argentina ini jelek bgt buat juara pdhl emg layak kalau dibanding tim lain</t>
  </si>
  <si>
    <t>['yaelah', 'koci', 'mah', 'sudah', 'hard', 'feeling', 'dluan', 'argentina', 'gara', 'ngalahin', 'belanda', 'kalau', 'dngr', 'pndapat', 'beliau', 'kayanya', 'argentina', 'jelek', 'banget', 'buat', 'juara', 'pdhl', 'memang', 'layak', 'kalau', 'dibanding', 'tim']</t>
  </si>
  <si>
    <t>@WitKatSpc @dolphinisasi @idextratime Lah faktanya gtu portugal sblum ada cr gk pernh juara sama sekali beda sama Argentina dri dlu smpe sekarang udh punya tradisi juara dan selalu melahirkan pemain" Hebat</t>
  </si>
  <si>
    <t>lah faktanya gtu portugal sblum ada pernh juara sama sekali beda sama argentina dri dlu smpe sekarang udh punya tradisi juara dan selalu melahirkan pemain hebat</t>
  </si>
  <si>
    <t>['lah', 'faktanya', 'gtu', 'portugal', 'sblum', 'pernh', 'juara', 'sama', 'sekali', 'beda', 'sama', 'argentina', 'dri', 'dlu', 'smpe', 'sekarang', 'sudah', 'punya', 'tradisi', 'juara', 'selalu', 'melahirkan', 'pemain', 'hebat']</t>
  </si>
  <si>
    <t>setelah melihat argentina juara,ayo tunjukan 4 bintangmu hoe, pemain2 tua buang aja. bek macam bonucci udah gak pantas</t>
  </si>
  <si>
    <t>setelah melihat argentina juara ayo tunjukan bintangmu hoe pemain tua buang aja bek macam bonucci udah gak pantas</t>
  </si>
  <si>
    <t>['melihat', 'argentina', 'juara', 'ayo', 'tunjukan', 'bintangmu', 'hoe', 'pemain', 'tua', 'buang', 'bek', 'macam', 'bonucci', 'udah', 'pantas']</t>
  </si>
  <si>
    <t>@vidio apakah ada Replay Trophy Ceremony (acara pembagian piala) kepada Argentina selalu juara Dunia? nama link apa? thanks.</t>
  </si>
  <si>
    <t>apakah ada replay trophy ceremony acara pembagian piala kepada argentina selalu juara dunia nama link apa thanks</t>
  </si>
  <si>
    <t>['replay', 'trophy', 'ceremony', 'acara', 'pembagian', 'piala', 'argentina', 'selalu', 'juara', 'dunia', 'nama', 'link', 'apa', 'thanks']</t>
  </si>
  <si>
    <t>@Miniongoldlane @idextratime Argentina bisa juara karena bantuan dari wasit üòÇ</t>
  </si>
  <si>
    <t>argentina bisa juara karena bantuan dari wasit</t>
  </si>
  <si>
    <t>['argentina', 'juara', 'bantuan', 'wasit']</t>
  </si>
  <si>
    <t>Argentina juara, waifu tetap yg utama üëç</t>
  </si>
  <si>
    <t>argentina juara waifu tetap utama</t>
  </si>
  <si>
    <t>['argentina', 'juara', 'waifu', 'tetap', 'utama']</t>
  </si>
  <si>
    <t>Timnas Argentina Juara Piala Dunia, Penggawa Tim Tango Rayakan 'Kematian' Kylian Mbappe #Shorts  https://t.co/57asGi6kun</t>
  </si>
  <si>
    <t>timnas argentina juara piala dunia penggawa tim tango rayakan kematian kylian mbappe</t>
  </si>
  <si>
    <t>['timnas', 'argentina', 'juara', 'piala', 'dunia', 'penggawa', 'tim', 'tango', 'rayakan', 'kematian', 'kylian', 'mbappe']</t>
  </si>
  <si>
    <t>thankyou 2022  -fabio quartararo gagal jurdun motogp  -ronaldo left dari MU  -kekalahan ronaldo di piala dunia terakhirnya  -england gugur piala dunia  -argentina juara dunia (otomatis messi&amp;gt;cr)  ;)</t>
  </si>
  <si>
    <t>thankyou fabio quartararo gagal jurdun motogp ronaldo left dari kekalahan ronaldo piala dunia terakhirnya england gugur piala dunia argentina juara dunia otomatis messi</t>
  </si>
  <si>
    <t>['thankyou', 'fabio', 'quartararo', 'gagal', 'jurdun', 'motogp', 'ronaldo', 'left', 'kekalahan', 'ronaldo', 'piala', 'dunia', 'terakhirnya', 'england', 'gugur', 'piala', 'dunia', 'argentina', 'juara', 'dunia', 'otomatis', 'messi']</t>
  </si>
  <si>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</si>
  <si>
    <t>sesuai janji karena argentina juara yang tahun ini mau bagi saldo wallet ovo pay shopeepay buat orang masing dpt syarat giveaway follow like tweet ini reply dengan messi the goat diumumkan besok jam</t>
  </si>
  <si>
    <t>['sesuai', 'janji', 'argentina', 'juara', 'tahun', 'mau', 'saldo', 'wallet', 'ovo', 'pay', 'shopeepay', 'buat', 'orang', 'masing', 'dpt', 'syarat', 'giveaway', 'follow', 'like', 'tweet', 'reply', 'messi', 'the', 'goat', 'diumumkan', 'besok', 'jam']</t>
  </si>
  <si>
    <t>@tarii_cloudy @convomfs Wkwkwkwkkw Jgn marah...Argentina juara üôèüôèü§£</t>
  </si>
  <si>
    <t>cloudy wkwkwkwkkw jgn marah argentina juara</t>
  </si>
  <si>
    <t>['cloudy', 'wkwkwkwkkw', 'marah', 'argentina', 'juara']</t>
  </si>
  <si>
    <t>@FaktaSepakbola Tanpa Diving Dimaria , tdk mungkin argentina Juara.</t>
  </si>
  <si>
    <t>tanpa diving dimaria tdk mungkin argentina juara</t>
  </si>
  <si>
    <t>['diving', 'dimaria', 'mungkin', 'argentina', 'juara']</t>
  </si>
  <si>
    <t>Congrats Argentina üá¶üá∑World Cup 2022 Meskipun Argentina Juara Dunia Ga Akan Ngaruh Ama Guwa Karena Tetep Besok Musti Kerja Nyari Duit üòé #andriiben7 #WorldCupFinal #FIFAWorldCup #WorldCup #Qatar2022 #PialaDunia2022 #ArgentinaVsFrance #Argentine #France #indonesia #bandung #Bola</t>
  </si>
  <si>
    <t>congrats argentina world cup meskipun argentina juara dunia akan ngaruh ama guwa karena tetep besok musti kerja nyari duit</t>
  </si>
  <si>
    <t>['congrats', 'argentina', 'world', 'cup', 'meskipun', 'argentina', 'juara', 'dunia', 'ngaruh', 'ama', 'guwa', 'tetep', 'besok', 'musti', 'kerja', 'nyari', 'duit']</t>
  </si>
  <si>
    <t>Liputan6 Update: Argentina Juara Piala Dunia 2022, Prancis Runner-up  https://t.co/NPKcJG3MeN</t>
  </si>
  <si>
    <t>liputan update argentina juara piala dunia prancis runner</t>
  </si>
  <si>
    <t>['liputan', 'update', 'argentina', 'juara', 'piala', 'dunia', 'prancis', 'runner']</t>
  </si>
  <si>
    <t>Argentina Juara Piala Dunia 2022 Qatar | BeritaSimalungun  https://t.co/fC9z5oKG03  https://t.co/whzocyEfUc</t>
  </si>
  <si>
    <t>argentina juara piala dunia qatar beritasimalungun</t>
  </si>
  <si>
    <t>['argentina', 'juara', 'piala', 'dunia', 'qatar', 'beritasimalungun']</t>
  </si>
  <si>
    <t>Foto-foto Selebrasi Suporter Argentina setelah Juara Piala Dunia, Lautan Manusia di Ibu Kota Negara    https://t.co/bGqY6Rvz4Q via @tribunnews</t>
  </si>
  <si>
    <t>foto foto selebrasi suporter argentina setelah juara piala dunia lautan manusia ibu kota negara via</t>
  </si>
  <si>
    <t>['foto', 'foto', 'selebrasi', 'suporter', 'argentina', 'juara', 'piala', 'dunia', 'lautan', 'manusia', 'ibu', 'kota', 'negara', 'via']</t>
  </si>
  <si>
    <t xml:space="preserve"> https://t.co/UDDILY4UnL  Hal unik terjadi usai perayaan juara Piala Dunia 2022 di Stadion Lusail. Pemain hingga suporter Argentina memotong jaring gawang untuk kenang-kenangan.</t>
  </si>
  <si>
    <t>Selamat buat argentina yang telah berhasil keluar sebagai juara piala dunia 2022 qatar  Kamu kapan juaranya? @PSIMJOGJA @bimasinung</t>
  </si>
  <si>
    <t>selamat buat argentina yang telah berhasil keluar sebagai juara piala dunia qatar kamu kapan juaranya</t>
  </si>
  <si>
    <t>['selamat', 'buat', 'argentina', 'berhasil', 'keluar', 'juara', 'piala', 'dunia', 'qatar', 'kamu', 'kapan', 'juaranya']</t>
  </si>
  <si>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</si>
  <si>
    <t>dari hasil pertandingan final yang sangat dramatis membuat tegang para penonton dan pada akhirnya argentina kluar menjadi juara pada piala dunia qatar keseruan nonton nya menggunakan vidio dong indihometv slalu setia selama ini menemani pada piala dunia</t>
  </si>
  <si>
    <t>['hasil', 'pertandingan', 'final', 'sangat', 'dramatis', 'membuat', 'tegang', 'penonton', 'akhirnya', 'argentina', 'kluar', 'menjadi', 'juara', 'piala', 'dunia', 'qatar', 'keseruan', 'nonton', 'menggunakan', 'vidio', 'dong', 'indihometv', 'slalu', 'setia', 'selama', 'menemani', 'piala', 'dunia']</t>
  </si>
  <si>
    <t>@f4chryzal @ndagels Wkwkw ciaa pens nya bang dodo nih anak tolol, ketauan nihh gk suka argentina juara hahaha, kalah taruhan berapa? ü§£dana aman kan gk makan nasi pakai garam</t>
  </si>
  <si>
    <t>wkwkw ciaa pens nya bang dodo nih anak tolol ketauan nihh suka argentina juara hahaha kalah taruhan berapa dana aman kan makan nasi pakai garam</t>
  </si>
  <si>
    <t>['wkwkw', 'ciaa', 'pens', 'bang', 'dodo', 'anak', 'tolol', 'ketauan', 'nihh', 'suka', 'argentina', 'juara', 'hahaha', 'kalah', 'taruhan', 'berapa', 'dana', 'aman', 'kan', 'makan', 'nasi', 'pakai', 'garam']</t>
  </si>
  <si>
    <t>Datang dipermalukan, pulang jadi juara, itulah Argentina!  https://t.co/teVeb1XShI</t>
  </si>
  <si>
    <t>datang dipermalukan pulang jadi juara itulah argentina</t>
  </si>
  <si>
    <t>['datang', 'dipermalukan', 'pulang', 'jadi', 'juara', 'argentina']</t>
  </si>
  <si>
    <t>Engga ridha argentina juara, tapi secara permaian argentina layak di apresiasi bermain dengan tim dan hati. Congretulesion lionel messi, aing vans dodo dari kecil merasa patah hati üòä</t>
  </si>
  <si>
    <t>engga ridha argentina juara tapi secara permaian argentina layak apresiasi bermain dengan tim dan hati congretulesion lionel messi aing vans dodo dari kecil merasa patah hati</t>
  </si>
  <si>
    <t>['tidak', 'ridha', 'argentina', 'juara', 'permaian', 'argentina', 'layak', 'apresiasi', 'bermain', 'tim', 'hati', 'congretulesion', 'lionel', 'messi', 'aing', 'vans', 'dodo', 'kecil', 'merasa', 'patah', 'hati']</t>
  </si>
  <si>
    <t>Akhirnyaa Messi bisa bawa Argentina jadi juara pesta bola dunia!! üá¶üá∑üî•  Full senyum buat team dan buat lo yang dukung Argentina sampai tendangan penalty terakhir, CONGRATS! ü•≥  #WaktunyaTacoBell #TacoBellIndonesia #ArgentinaCampeonDelMundo  https://t.co/lDWfuLGiOt</t>
  </si>
  <si>
    <t>akhirnyaa messi bisa bawa argentina jadi juara pesta bola dunia full senyum buat team dan buat yang dukung argentina sampai tendangan penalty terakhir congrats</t>
  </si>
  <si>
    <t>['akhirnyaa', 'messi', 'bawa', 'argentina', 'jadi', 'juara', 'pesta', 'bola', 'dunia', 'full', 'senyum', 'buat', 'team', 'buat', 'dukung', 'argentina', 'tendangan', 'penalty', 'terakhir', 'congrats']</t>
  </si>
  <si>
    <t>Berapa Hadiah yang Diterima Argentina Usai Juara Piala Dunia 2022? #FIFAWorldCup #ARG   https://t.co/cyGvJ8DBq9</t>
  </si>
  <si>
    <t>Kado natal terindah tahun ini liat Argentina juara</t>
  </si>
  <si>
    <t>kado natal terindah tahun ini liat argentina juara</t>
  </si>
  <si>
    <t>['kado', 'natal', 'terindah', 'tahun', 'lihat', 'argentina', 'juara']</t>
  </si>
  <si>
    <t>@naniii2607 @idextratime bentar lagi kayak nya tattoan, kan dah pada jaji kalu juara dunia semua pemain Argentina bakal tattoan buat mengenang kalu gak salah üòÇ</t>
  </si>
  <si>
    <t>bentar lagi kayak nya tattoan kan dah pada jaji kalu juara dunia semua pemain argentina bakal tattoan buat mengenang kalu gak salah</t>
  </si>
  <si>
    <t>['bentar', 'seperti', 'tattoan', 'kan', 'dah', 'jaji', 'kalu', 'juara', 'dunia', 'semua', 'pemain', 'argentina', 'bakal', 'tattoan', 'buat', 'mengenang', 'kalu', 'salah']</t>
  </si>
  <si>
    <t>ITCARA #30: ARGENTINA JUARA, TAMAT SUDAH CERITA LEO MESSI  https://t.co/fRvgHnsdXL lewat @YouTube</t>
  </si>
  <si>
    <t>itcara argentina juara tamat sudah cerita leo messi lewat</t>
  </si>
  <si>
    <t>['itcara', 'argentina', 'juara', 'tamat', 'cerita', 'leo', 'messi', 'lewat']</t>
  </si>
  <si>
    <t>Demi Argentina juara, jam tidur g teratur üëΩüëΩ</t>
  </si>
  <si>
    <t>demi argentina juara jam tidur teratur</t>
  </si>
  <si>
    <t>['argentina', 'juara', 'jam', 'tidur', 'teratur']</t>
  </si>
  <si>
    <t>@AstraHondaCare Asikkkk Argentina juara min ü•≥ü•≥ü•≥ü•≥ü•≥ü•≥</t>
  </si>
  <si>
    <t>asikkkk argentina juara min</t>
  </si>
  <si>
    <t>['asikkkk', 'argentina', 'juara', 'min']</t>
  </si>
  <si>
    <t>Argentina juara world cup kayak end of era messi is a G.O.A.T tpi Ronaldo still icon of football siiiuuu</t>
  </si>
  <si>
    <t>argentina juara world cup kayak end era messi tpi ronaldo still icon football siiiuuu</t>
  </si>
  <si>
    <t>['argentina', 'juara', 'world', 'cup', 'seperti', 'end', 'era', 'messi', 'tpi', 'ronaldo', 'still', 'icon', 'football', 'siiiuuu']</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</si>
  <si>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</si>
  <si>
    <t>@antonsujarno25 Mueheheheh maknya kalau ngefans tu yg wajar2 aja..lagipun lihat dan nilai bener2 pemain francis hanya mbappe saja gk ada pasangannya sedangkn argentinya 5 pasangan depan kompak..dri awal bertanding udah kebaca argentina pasti juara</t>
  </si>
  <si>
    <t>mueheheheh maknya kalau ngefans wajar aja lagipun lihat dan nilai bener pemain francis hanya mbappe saja ada pasangannya sedangkn argentinya pasangan depan kompak dri awal bertanding udah kebaca argentina pasti juara</t>
  </si>
  <si>
    <t>['mueheheheh', 'maknya', 'kalau', 'ngefans', 'wajar', 'lagipun', 'lihat', 'nilai', 'benar', 'pemain', 'francis', 'mbappe', 'pasangannya', 'sedangkn', 'argentinya', 'pasangan', 'depan', 'kompak', 'dri', 'awal', 'bertanding', 'udah', 'kebaca', 'argentina', 'juara']</t>
  </si>
  <si>
    <t>Messi kalo pensiun udah pasti jadi pns sih ini krna bawa argentina juara dunia</t>
  </si>
  <si>
    <t>messi kalo pensiun udah pasti jadi pns sih ini krna bawa argentina juara dunia</t>
  </si>
  <si>
    <t>['messi', 'pensiun', 'udah', 'jadi', 'pns', 'krna', 'bawa', 'argentina', 'juara', 'dunia']</t>
  </si>
  <si>
    <t>Sing juara Argentina, sing angkat piala Messi, sing top skor Mbappe. Tapi sing eker-ekeran mbanding-mbandingno tetep wong Indonesia.</t>
  </si>
  <si>
    <t>sing juara argentina sing angkat piala messi sing top skor mbappe tapi sing eker ekeran mbanding mbandingno tetep wong indonesia</t>
  </si>
  <si>
    <t>['sing', 'juara', 'argentina', 'sing', 'angkat', 'piala', 'messi', 'sing', 'top', 'skor', 'mbappe', 'sing', 'eker', 'ekeran', 'mbanding', 'mbandingno', 'tetep', 'wong', 'indonesia']</t>
  </si>
  <si>
    <t>Baru di Era Pak Jokowi Argentina bisa jadi juara lagi üòÇüòÇüòÇ  #kompor</t>
  </si>
  <si>
    <t>baru era pak jokowi argentina bisa jadi juara lagi</t>
  </si>
  <si>
    <t>['baru', 'era', 'pak', 'jokowi', 'argentina', 'jadi', 'juara']</t>
  </si>
  <si>
    <t>Gatau hari ini senyum senyum sendiri kemana mana kirain liat senyuman mu ternyata argentina juara hehehe</t>
  </si>
  <si>
    <t>gatau hari ini senyum senyum sendiri kemana mana kirain liat senyuman ternyata argentina juara hehehe</t>
  </si>
  <si>
    <t>['gatau', 'hari', 'senyum', 'senyum', 'sendiri', 'mana', 'kirain', 'lihat', 'senyuman', 'ternyata', 'argentina', 'juara', 'hehehe']</t>
  </si>
  <si>
    <t>Emiliano Martinez bahkan belum mapan sebagai kiper utama di level klub tiga tahun lalu dan baru debut dengan Argentina pada 2021. Kini ia juara Piala Dunia! #juaraboladunia    https://t.co/6uzHZUmdnb</t>
  </si>
  <si>
    <t>emiliano martinez bahkan belum mapan sebagai kiper utama level klub tiga tahun lalu dan baru debut dengan argentina pada kini juara piala dunia</t>
  </si>
  <si>
    <t>['emiliano', 'martinez', 'bahkan', 'mapan', 'kiper', 'utama', 'level', 'klub', 'tiga', 'tahun', 'lalu', 'baru', 'debut', 'argentina', 'kini', 'juara', 'piala', 'dunia']</t>
  </si>
  <si>
    <t>Argentina juara Piala Dunia 2022. Saat para pemain bersuka cita dengan menangis bahagia, datanglah Sergio Aguero membawa pesta dengan gaya kocaknya!   https://t.co/OVML3z35NB</t>
  </si>
  <si>
    <t>argentina juara piala dunia saat para pemain bersuka cita dengan menangis bahagia datanglah sergio aguero membawa pesta dengan gaya kocaknya</t>
  </si>
  <si>
    <t>['argentina', 'juara', 'piala', 'dunia', 'pemain', 'bersuka', 'cita', 'menangis', 'bahagia', 'datanglah', 'sergio', 'aguero', 'membawa', 'pesta', 'gaya', 'kocaknya']</t>
  </si>
  <si>
    <t>@YakhupRamadhon @ibranidoko @papadkk @SiaranBolaLive Jadi Gini dek, dlm kompetisi sebesar pildun mslh sebesar duri bisa merusak performa Tim, jd klo emng aguero menjadi duri, ga mungkin Argentina bisa menjuarai kompetisi, lagian Lu ribet amat, mereka juar</t>
  </si>
  <si>
    <t>jadi gini dek dlm kompetisi sebesar pildun mslh sebesar duri bisa merusak performa tim klo emng aguero menjadi duri mungkin argentina bisa menjuarai kompetisi lagian ribet amat mereka juar</t>
  </si>
  <si>
    <t>['jadi', 'gini', 'dek', 'dlm', 'kompetisi', 'sebesar', 'piala dunia', 'mslh', 'sebesar', 'duri', 'merusak', 'performa', 'tim', 'memang', 'aguero', 'menjadi', 'duri', 'mungkin', 'argentina', 'menjuarai', 'kompetisi', 'lagian', 'ribet', 'juar']</t>
  </si>
  <si>
    <t>@satriohendri Karena Ibul ketua PSSI makanya argentina juara WC</t>
  </si>
  <si>
    <t>karena ibul ketua pssi makanya argentina juara</t>
  </si>
  <si>
    <t>['ibul', 'ketua', 'pssi', 'makanya', 'argentina', 'juara']</t>
  </si>
  <si>
    <t>Argentina keluar sebagai juara Piala Dunia 2022, Messi resmi mengalungi gelar GOAT. Tak terbayang, betapa bahagianya warga Argentina hari ini.  https://t.co/vkkKUfOhwc</t>
  </si>
  <si>
    <t>argentina keluar sebagai juara piala dunia messi resmi mengalungi gelar goat tak terbayang betapa bahagianya warga argentina hari ini</t>
  </si>
  <si>
    <t>['argentina', 'keluar', 'juara', 'piala', 'dunia', 'messi', 'resmi', 'mengalungi', 'gelar', 'goat', 'tak', 'terbayang', 'betapa', 'bahagianya', 'warga', 'argentina', 'hari']</t>
  </si>
  <si>
    <t>Argentina menjadi juara Piala Dunia 2022. Rodrigo De Paul pun merayakannya dengan berkalung jaring gawang dan hisap cerutu. #juaraboladunia    https://t.co/3dBxOOuUMv</t>
  </si>
  <si>
    <t>argentina menjadi juara piala dunia rodrigo paul pun merayakannya dengan berkalung jaring gawang dan hisap cerutu</t>
  </si>
  <si>
    <t>['argentina', 'menjadi', 'juara', 'piala', 'dunia', 'rodrigo', 'paul', 'merayakannya', 'berkalung', 'jaring', 'gawang', 'hisap', 'cerutu']</t>
  </si>
  <si>
    <t>Selamat atas kemenangan Argentina menjadi juara di Piala Dunia 2022!ü•≥  Nah, Kawan Laut kebahagiaan ini berlanjut dengan kehadiran Libur Natal 2022 dan Tahun Baru 2023 yang akan datang sebentar lagi!  https://t.co/hs9YR8qIkH</t>
  </si>
  <si>
    <t>selamat atas kemenangan argentina menjadi juara piala dunia nah kawan laut kebahagiaan ini berlanjut dengan kehadiran libur natal dan tahun baru yang akan datang sebentar lagi</t>
  </si>
  <si>
    <t>['selamat', 'atas', 'kemenangan', 'argentina', 'menjadi', 'juara', 'piala', 'dunia', 'nah', 'kawan', 'laut', 'kebahagiaan', 'berlanjut', 'kehadiran', 'libur', 'natal', 'tahun', 'baru', 'datang', 'sebentar']</t>
  </si>
  <si>
    <t>Argentina juara Piala Dunia 2022 secara istimewa karena kalah di laga pertamanya. Ternyata tim Tango menjadi negara kedua yang bisa melakukannya. #juaraboladunia    https://t.co/HOVKsFjsoI</t>
  </si>
  <si>
    <t>argentina juara piala dunia secara istimewa karena kalah laga pertamanya ternyata tim tango menjadi negara kedua yang bisa melakukannya</t>
  </si>
  <si>
    <t>['argentina', 'juara', 'piala', 'dunia', 'istimewa', 'kalah', 'laga', 'pertamanya', 'ternyata', 'tim', 'tango', 'menjadi', 'negara', 'kedua', 'melakukannya']</t>
  </si>
  <si>
    <t>Argentina juara Piala Dunia 2022, tapi harus melalui rollercoaster emosi di partai final. Lionel Scaloni menyebut final kontra Prancis sangat gila! #juaraboladunia    https://t.co/rXJcMwcgKr</t>
  </si>
  <si>
    <t>argentina juara piala dunia tapi harus melalui rollercoaster emosi partai final lionel scaloni menyebut final kontra prancis sangat gila</t>
  </si>
  <si>
    <t>['argentina', 'juara', 'piala', 'dunia', 'melalui', 'rollercoaster', 'emosi', 'partai', 'final', 'lionel', 'scaloni', 'menyebut', 'final', 'kontra', 'prancis', 'sangat', 'gila']</t>
  </si>
  <si>
    <t>Congratulations to Lionel Messi on Winning the Golden Ball Award!üèÜü•á‚öΩ  Penampilan apik Messi dan kerja sama tim yang solid membawa Argentina menjadi "Juara Dunia" FIFA World Cup Qatar 2022‚Ñ¢Ô∏è üèÜü•≥  https://t.co/3SHXv2KNWT</t>
  </si>
  <si>
    <t>congratulations lionel messi winning the golden ball award penampilan apik messi dan kerja sama tim yang solid membawa argentina menjadi juara dunia fifa world cup qatar</t>
  </si>
  <si>
    <t>['congratulations', 'lionel', 'messi', 'winning', 'the', 'golden', 'ball', 'award', 'penampilan', 'apik', 'messi', 'kerja', 'sama', 'tim', 'solid', 'membawa', 'argentina', 'menjadi', 'juara', 'dunia', 'fifa', 'world', 'cup', 'qatar']</t>
  </si>
  <si>
    <t>SIAPA YANG MARAHAN CUMA GEGARA ARGENTINA JUARA?!??  https://t.co/7jn0QhFiRJ</t>
  </si>
  <si>
    <t>siapa yang marahan cuma gegara argentina juara</t>
  </si>
  <si>
    <t>['siapa', 'marahan', 'cuma', 'gegara', 'argentina', 'juara']</t>
  </si>
  <si>
    <t>Argentina menjadi juara Piala Dunia 2022 usai mengalahkan Prancis lewat drama adu penalti. Messi sang kapten pun merayakan momen bahagia itu bersama istri dan anak. #juaraboladunia    https://t.co/o8vCvu1fT0</t>
  </si>
  <si>
    <t>argentina menjadi juara piala dunia usai mengalahkan prancis lewat drama adu penalti messi sang kapten pun merayakan momen bahagia itu bersama istri dan anak</t>
  </si>
  <si>
    <t>['argentina', 'menjadi', 'juara', 'piala', 'dunia', 'usai', 'mengalahkan', 'prancis', 'lewat', 'drama', 'adu', 'penalti', 'messi', 'sang', 'kapten', 'merayakan', 'momen', 'bahagia', 'bersama', 'istri', 'anak']</t>
  </si>
  <si>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</si>
  <si>
    <t>desember argentina raih juara piala dunia ketiganya saya bukan fans timnas argentina tapi anggap saja ini tweet apresisasi buat rodrigo paul atas segala kontribusinya untuk memastikan bahwa messi menepati janjinya pada takdir beautiful moment wonderful place</t>
  </si>
  <si>
    <t>['desember', 'argentina', 'raih', 'juara', 'piala', 'dunia', 'ketiganya', 'bukan', 'fans', 'timnas', 'argentina', 'anggap', 'tweet', 'apresisasi', 'buat', 'rodrigo', 'paul', 'atas', 'segala', 'kontribusinya', 'memastikan', 'messi', 'menepati', 'janjinya', 'takdir', 'beautiful', 'moment', 'wonderful', 'place']</t>
  </si>
  <si>
    <t>Scaloni Langsung Sedih Saat Mengingat Maradona Tidak Bisa Lihat Argentina Juara Piala Dunia 2022  https://t.co/K8mto7flJM</t>
  </si>
  <si>
    <t>scaloni langsung sedih saat mengingat maradona tidak bisa lihat argentina juara piala dunia</t>
  </si>
  <si>
    <t>['scaloni', 'langsung', 'sedih', 'mengingat', 'maradona', 'lihat', 'argentina', 'juara', 'piala', 'dunia']</t>
  </si>
  <si>
    <t>Penantian 36 Tahun, Argentina Akhirnya Juara Piala Dunia Qatar 2022 setelah Kalahkan Prancis  https://t.co/8lzmKxr1Mf</t>
  </si>
  <si>
    <t>penantian tahun argentina akhirnya juara piala dunia qatar setelah kalahkan prancis</t>
  </si>
  <si>
    <t>['penantian', 'tahun', 'argentina', 'akhirnya', 'juara', 'piala', 'dunia', 'qatar', 'kalahkan', 'prancis']</t>
  </si>
  <si>
    <t>Selamat untuk Argentina juara satu piala dunia 2022 üëè  #FIFAWorldCup #FIFAWorldCupQatar2022  https://t.co/IX5C5gl1Tq</t>
  </si>
  <si>
    <t>selamat untuk argentina juara satu piala dunia</t>
  </si>
  <si>
    <t>['selamat', 'argentina', 'juara', 'satu', 'piala', 'dunia']</t>
  </si>
  <si>
    <t>@kisbet_ @meltdownbytori #Arg juara Piala Dunia 3 kali. 1. Piala Dunia 1978 Argentina. Top Scorer Mario Kempes, 6 goals.  2. Piala Dunia 1986 Mexico, dengan Top Scorer, Diego Armando Maradona, 5 goals  3. Piala Dunia 2022 Qatar, Top Scorernya Lionel Andr√</t>
  </si>
  <si>
    <t>juara piala dunia kali piala dunia argentina top scorer mario kempes goals piala dunia mexico dengan top scorer diego armando maradona goals piala dunia qatar top scorernya lionel andr</t>
  </si>
  <si>
    <t>['juara', 'piala', 'dunia', 'kali', 'piala', 'dunia', 'argentina', 'top', 'scorer', 'mario', 'kempes', 'goals', 'piala', 'dunia', 'mexico', 'top', 'scorer', 'diego', 'armando', 'maradona', 'goals', 'piala', 'dunia', 'qatar', 'top', 'scorernya', 'lionel', 'andr']</t>
  </si>
  <si>
    <t>Karena di Barca gak ada pemain Argentina, maka gak ada juara dunia di Barca.</t>
  </si>
  <si>
    <t>karena barca gak ada pemain argentina maka gak ada juara dunia barca</t>
  </si>
  <si>
    <t>['barca', 'pemain', 'argentina', 'juara', 'dunia', 'barca']</t>
  </si>
  <si>
    <t>Orang yg bilang Argentina juara karena setingan, karena katanya kalau France yg juara pasti jadi anyep dll mah itu orang depresi cenderung gila sih üòÇüòÇ</t>
  </si>
  <si>
    <t>orang bilang argentina juara karena setingan karena katanya kalau france juara pasti jadi anyep dll mah itu orang depresi cenderung gila sih</t>
  </si>
  <si>
    <t>['orang', 'argentina', 'juara', 'settingan', 'katanya', 'kalau', 'france', 'juara', 'jadi', 'anyep', 'mah', 'orang', 'depresi', 'cenderung', 'gila']</t>
  </si>
  <si>
    <t>Argentina Juara  https://t.co/6j5oLEIdAb</t>
  </si>
  <si>
    <t>Mau Argentina juara piala dunia  yang menang tetap gaes orang  yang dia suka</t>
  </si>
  <si>
    <t>mau argentina juara piala dunia yang menang tetap gaes orang yang dia suka</t>
  </si>
  <si>
    <t>['mau', 'argentina', 'juara', 'piala', 'dunia', 'menang', 'tetap', 'guys', 'orang', 'suka']</t>
  </si>
  <si>
    <t>Argentina jadi juara Piala Dunia 2022. Tim Tango datang ke Qatar dengan dipermalukan Arab Saudi di pertandingan pertama, namun di laga terakhir jadi juara! #juaraboladunia    https://t.co/x25p5sxs0K</t>
  </si>
  <si>
    <t>argentina jadi juara piala dunia tim tango datang qatar dengan dipermalukan arab saudi pertandingan pertama namun laga terakhir jadi juara</t>
  </si>
  <si>
    <t>['argentina', 'jadi', 'juara', 'piala', 'dunia', 'tim', 'tango', 'datang', 'qatar', 'dipermalukan', 'arab', 'saudi', 'pertandingan', 'pertama', 'laga', 'terakhir', 'jadi', 'juara']</t>
  </si>
  <si>
    <t>Prancis sejak dulu memang benci Islam, bahkan Islamphobia. Pembantai jutaan kaum muslim di Afrika Utara.  Bnyk yg senang Argentina juara pildun 2022. Dulu, rencananya Israel mau didirikan disana krn bnyk klompok dan etnis Yahudi, sebelum akhirnya tanah Palestina dipilih  Kecewa ?</t>
  </si>
  <si>
    <t>prancis sejak dulu memang benci islam bahkan islamphobia pembantai jutaan kaum muslim afrika utara bnyk senang argentina juara pildun dulu rencananya israel mau didirikan disana krn bnyk klompok dan etnis yahudi sebelum akhirnya tanah palestina dipilih kecewa</t>
  </si>
  <si>
    <t>['prancis', 'sejak', 'dulu', 'memang', 'benci', 'islam', 'bahkan', 'islamphobia', 'pembantai', 'jutaan', 'kaum', 'muslim', 'afrika', 'utara', 'bnyk', 'senang', 'argentina', 'juara', 'piala dunia', 'dulu', 'rencananya', 'israel', 'mau', 'didirikan', 'disana', 'bnyk', 'klompok', 'etnis', 'yahudi', 'akhirnya', 'tanah', 'palestina', 'dipilih', 'kecewa']</t>
  </si>
  <si>
    <t>@idextratime setiap baca tweet 2022 Argentina Juara ? gw  selalu bilang aamiin</t>
  </si>
  <si>
    <t>setiap baca tweet argentina juara selalu bilang aamiin</t>
  </si>
  <si>
    <t>['baca', 'tweet', 'argentina', 'juara', 'selalu', 'aamiin']</t>
  </si>
  <si>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</si>
  <si>
    <t>lionel messi adalah son goku messi mengumpulkan satu demi satu ballon seperti goku mengumpulkan bola naga sampai saat terkumpul ballon messi mampu mewujudkan keinginannya gelar juara piala dunia untuk argentina</t>
  </si>
  <si>
    <t>['lionel', 'messi', 'son', 'goku', 'messi', 'mengumpulkan', 'satu', 'satu', 'ballon', 'goku', 'mengumpulkan', 'bola', 'naga', 'terkumpul', 'ballon', 'messi', 'mampu', 'mewujudkan', 'keinginannya', 'gelar', 'juara', 'piala', 'dunia', 'argentina']</t>
  </si>
  <si>
    <t>#DetikNetwork  Dulu Diego Maradona, kini Lionel Messi. Keduanya berperan besar mengantar Argentina jadi kampiun Piala Dunia untuk kemudian berpose bareng trofi juara. Mirip!  https://t.co/GvD9DVRf3u</t>
  </si>
  <si>
    <t>dulu diego maradona kini lionel messi keduanya berperan besar mengantar argentina jadi kampiun piala dunia untuk kemudian berpose bareng trofi juara mirip</t>
  </si>
  <si>
    <t>['dulu', 'diego', 'maradona', 'kini', 'lionel', 'messi', 'keduanya', 'berperan', 'besar', 'mengantar', 'argentina', 'jadi', 'kampiun', 'piala', 'dunia', 'kemudian', 'berpose', 'bareng', 'trofi', 'juara', 'mirip']</t>
  </si>
  <si>
    <t>Pele: Maradona pasti bahagia sekarang lihat Argentina juara.  #EmtekWorldCup2022 #BolacomWorldCup2022 #PialaDunia2022 #PialaDunia   https://t.co/t5gl1XWtH1</t>
  </si>
  <si>
    <t>pele maradona pasti bahagia sekarang lihat argentina juara</t>
  </si>
  <si>
    <t>['pele', 'maradona', 'bahagia', 'sekarang', 'lihat', 'argentina', 'juara']</t>
  </si>
  <si>
    <t>Argentina jadi juara Piala Dunia 2022. Tim Tango datang ke Qatar dengan dipermalukan Arab Saudi di pertandingan pertama, namun di laga terakhir jadi juara! #juaraboladunia    https://t.co/KKiyPW0uGM</t>
  </si>
  <si>
    <t>Argentina Juara‚öΩÔ∏èüèÜ  https://t.co/TBC2pLDvm1</t>
  </si>
  <si>
    <t>Sejak Awal Piala Dunia 2022, Ketum Partai Golkar Sudah Jagokan Argentina¬†Juara  https://t.co/5vJMRtnGFt</t>
  </si>
  <si>
    <t>sejak awal piala dunia ketum partai golkar sudah jagokan argentina juara</t>
  </si>
  <si>
    <t>['sejak', 'awal', 'piala', 'dunia', 'ketum', 'partai', 'golkar', 'jagokan', 'argentina', 'juara']</t>
  </si>
  <si>
    <t>Argentina jelas bahagia bisa menjadi Juara di Piala Dunia Qatar 2022. Namun, dibalik keberhasilan itu, ada beberapa hal yang perlu kita pelajari dari Tim Nasional Argentina dalam mencapai kesuksesan.  https://t.co/7e1C3m70mC</t>
  </si>
  <si>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</si>
  <si>
    <t>fakta bahwa gak mungkin ada timnas mampu juara world cup secara backtoback stlh era new trophy gantiin jules rimet apa france ini capai dgn masuk final backtoback runner hanya lwt adu penalty udh terbaik argentina juga akan bisa juara backtoback</t>
  </si>
  <si>
    <t>['fakta', 'mungkin', 'timnas', 'mampu', 'juara', 'world', 'cup', 'backtoback', 'stlh', 'era', 'new', 'trophy', 'gantiin', 'jules', 'rimet', 'apa', 'france', 'capai', 'masuk', 'final', 'backtoback', 'runner', 'lwt', 'adu', 'penalty', 'sudah', 'terbaik', 'argentina', 'juara', 'backtoback']</t>
  </si>
  <si>
    <t>@IndiHomeJBN permainan argentina juara pokoknyaa</t>
  </si>
  <si>
    <t>permainan argentina juara pokoknyaa</t>
  </si>
  <si>
    <t>['permainan', 'argentina', 'juara', 'pokoknyaa']</t>
  </si>
  <si>
    <t>@radenrauf Aman, karna argentina juara‚ú®</t>
  </si>
  <si>
    <t>aman karna argentina juara</t>
  </si>
  <si>
    <t>['aman', 'karna', 'argentina', 'juara']</t>
  </si>
  <si>
    <t>Nangisnya cowok saat saat ini adalah ngeliat messi dan argentina juara</t>
  </si>
  <si>
    <t>nangisnya cowok saat saat ini adalah ngeliat messi dan argentina juara</t>
  </si>
  <si>
    <t>['nangisnya', 'cowok', 'ngeliat', 'messi', 'argentina', 'juara']</t>
  </si>
  <si>
    <t>ùêâùêÆùêöùê´ùêö ùêåùêöùê° ùêÅùêûùêõùêöùê¨.... üòÜ  Sergio 'Kun' #Aguero menikmati setiap detik gelar juara yang didapatkan #Argentina di #PialaDunia2022  https://t.co/KUJmlG5WOy</t>
  </si>
  <si>
    <t>sergio kun menikmati setiap detik gelar juara yang didapatkan</t>
  </si>
  <si>
    <t>['sergio', 'kun', 'menikmati', 'detik', 'gelar', 'juara', 'didapatkan']</t>
  </si>
  <si>
    <t>Argentina menjadi juara Piala Dunia 2022 usai mengalahkan Prancis lewat drama adu penalti. Messi sang kapten pun merayakan momen bahagia itu bersama istri dan anak. #juaraboladunia    https://t.co/ReE6SpVNC0</t>
  </si>
  <si>
    <t>argentina juara berkat pantat besar varane  https://t.co/yDfdxjjrfY</t>
  </si>
  <si>
    <t>argentina juara berkat pantat besar varane</t>
  </si>
  <si>
    <t>['argentina', 'juara', 'berkat', 'pantat', 'besar', 'varane']</t>
  </si>
  <si>
    <t>Penyerang Prancis Kylian Mbappe dan Lionel Messi saling ejek satu sama lain sebelum Argentina mengamankan gelar juara Piala Dunia 2022. | 77577sports #77577sports #mbappe #messi #pialadunia #final #argentina #france #prancis  https://t.co/dw711XXg1B</t>
  </si>
  <si>
    <t>penyerang prancis kylian mbappe dan lionel messi saling ejek satu sama lain sebelum argentina mengamankan gelar juara piala dunia sports</t>
  </si>
  <si>
    <t>['penyerang', 'prancis', 'kylian', 'mbappe', 'lionel', 'messi', 'saling', 'ejek', 'satu', 'sama', 'argentina', 'mengamankan', 'gelar', 'juara', 'piala', 'dunia', 'sports']</t>
  </si>
  <si>
    <t>Argentina juara: Puncak drama sepanjang Piala Dunia 2022 - BBC News Indonesia  https://t.co/IhirKfubbU  https://t.co/C0QrZOagFb</t>
  </si>
  <si>
    <t>argentina juara puncak drama sepanjang piala dunia bbc news indonesia</t>
  </si>
  <si>
    <t>['argentina', 'juara', 'puncak', 'drama', 'sepanjang', 'piala', 'dunia', 'bbc', 'news', 'indonesia']</t>
  </si>
  <si>
    <t>@idextratime Memang sdh di setting sejak awal Argentina yg juara, sama ky messi balon d‚Äôor ke 7</t>
  </si>
  <si>
    <t>memang sdh setting sejak awal argentina juara sama messi balon</t>
  </si>
  <si>
    <t>['memang', 'setting', 'sejak', 'awal', 'argentina', 'juara', 'sama', 'messi', 'balon']</t>
  </si>
  <si>
    <t>Momen haru terjadi saat perayaan Argentina juara Piala Dunia 2022. Lionel Messi berpelukan dengan sang ibu. Begini potretnya. #juaraboladunia    https://t.co/fpmEv9kAtj</t>
  </si>
  <si>
    <t>momen haru terjadi saat perayaan argentina juara piala dunia lionel messi berpelukan dengan sang ibu begini potretnya</t>
  </si>
  <si>
    <t>['momen', 'haru', 'terjadi', 'perayaan', 'argentina', 'juara', 'piala', 'dunia', 'lionel', 'messi', 'berpelukan', 'sang', 'ibu', 'begini', 'potretnya']</t>
  </si>
  <si>
    <t>.. https://t.co/tqQIcBfR6z  Piala Dunia 2022 Qatar tuntas sudah, Argentina keluar sebagai juara. Ada statistik menarik, Piala Dunia kali ini adalah tersubur golnya sepanjang sejarah!</t>
  </si>
  <si>
    <t>Kocaknya Meme Sergio Aguero hingga Iwan Bule warnai Perayaan Argentina Juara Piala Dunia 2022! . #EMTEKWORLDCUP2022 #BOLANETWORLDCUP2022  #PialaDunia #PialaDunia2022  https://t.co/X3SD92lO5K</t>
  </si>
  <si>
    <t>kocaknya meme sergio aguero hingga iwan bule warnai perayaan argentina juara piala dunia</t>
  </si>
  <si>
    <t>['kocaknya', 'meme', 'sergio', 'aguero', 'hingga', 'iwan', 'bule', 'warnai', 'perayaan', 'argentina', 'juara', 'piala', 'dunia']</t>
  </si>
  <si>
    <t>#MostPopuler Argentina Juara Dunia, MotoGP Merayakan 'Bersama' Maradona  https://t.co/NGGgy1xk7w</t>
  </si>
  <si>
    <t>argentina juara dunia motogp merayakan bersama maradona</t>
  </si>
  <si>
    <t>['argentina', 'juara', 'dunia', 'motogp', 'merayakan', 'bersama', 'maradona']</t>
  </si>
  <si>
    <t>Sejak Awal Piala Dunia 2022, Ketum Partai Golkar Sudah Jagokan Argentina¬†Juara  https://t.co/J6AW4rp5qk</t>
  </si>
  <si>
    <t>Piala Dunia 2022 Qatar tuntas sudah, Argentina keluar sebagai juara. Ada statistik menarik, Piala Dunia kali ini adalah tersubur golnya sepanjang sejarah!  https://t.co/WZaEIOTqaD</t>
  </si>
  <si>
    <t>@Info_Ronaldo7 @SatriaS14398284 @idextratime @Squawka apaan????? Portugal negara lemah, lu baru lahir?. eh tolol bocah, lu lihat kedalaman squad timnas portugal diwc2022 lebih baik dr pd Argentina. emang dasar idola lu dkk kaga punya mental juara blok  ht</t>
  </si>
  <si>
    <t>ronaldo apaan portugal negara lemah baru lahir tolol bocah lihat kedalaman squad timnas portugal diwc lebih baik argentina emang dasar idola dkk kaga punya mental juara blok</t>
  </si>
  <si>
    <t>['ronaldo', 'apaan', 'portugal', 'negara', 'lemah', 'baru', 'lahir', 'tolol', 'bocah', 'lihat', 'kedalaman', 'squad', 'timnas', 'portugal', 'diwc', 'lebih', 'baik', 'argentina', 'emang', 'dasar', 'idola', 'dkk', 'kaga', 'punya', 'mental', 'juara', 'blok']</t>
  </si>
  <si>
    <t>MALUUUUU ANJIR LU JUARA DUNIA @Argentina</t>
  </si>
  <si>
    <t>maluuuuu anjir juara dunia</t>
  </si>
  <si>
    <t>['maluuuuu', 'anjir', 'juara', 'dunia']</t>
  </si>
  <si>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</si>
  <si>
    <t>tahun argentina gagal juara copa america messi dikabarkan ingin pensiun dari timnas scaloni teman timnas messi waktu pildun minta messi tetap timnas karena scaloni tahu apa masalah gagal sukses messi dan timnas tahun scaloni terpilih pelatih timnas</t>
  </si>
  <si>
    <t>['tahun', 'argentina', 'gagal', 'juara', 'copa', 'america', 'messi', 'dikabarkan', 'pensiun', 'timnas', 'scaloni', 'teman', 'timnas', 'messi', 'waktu', 'piala dunia', 'minta', 'messi', 'tetap', 'timnas', 'scaloni', 'tahu', 'apa', 'masalah', 'gagal', 'sukses', 'messi', 'timnas', 'tahun', 'scaloni', 'terpilih', 'pelatih', 'timnas']</t>
  </si>
  <si>
    <t>@AdjieSanPutro Terus Argentina juara itu karna apa mas?</t>
  </si>
  <si>
    <t>terus argentina juara itu karna apa mas</t>
  </si>
  <si>
    <t>['terus', 'argentina', 'juara', 'karna', 'apa', 'mas']</t>
  </si>
  <si>
    <t>Piala Dunia 2022 Qatar tuntas sudah, Argentina keluar sebagai juara. Ada statistik menarik, Piala Dunia kali ini adalah tersubur golnya sepanjang sejarah!  https://t.co/jOxllfHi5m</t>
  </si>
  <si>
    <t>@Info_Ronaldo7 @idextratime @Squawka Apa bukannya Portugal itu juga kek argentina gudangnya pemain berkualitas masa nggak bisa juara piala dunia piala Eropa dan nation league bisa pildun nggak mampu</t>
  </si>
  <si>
    <t>ronaldo apa bukannya portugal itu juga kek argentina gudangnya pemain berkualitas masa nggak bisa juara piala dunia piala eropa dan nation league bisa pildun nggak mampu</t>
  </si>
  <si>
    <t>['ronaldo', 'apa', 'bukannya', 'portugal', 'kek', 'argentina', 'gudangnya', 'pemain', 'berkualitas', 'masa', 'juara', 'piala', 'dunia', 'piala', 'eropa', 'nation', 'league', 'piala dunia', 'mampu']</t>
  </si>
  <si>
    <t>Sebuah fakta dibalik Final piala dunia. Argentina gendong Messi Mbappe gendong Prancis  Messi beruntung membawa Argentina juara dan jadi best player #FIFAWorldCup  Mbappe juga jadi striker paling subur dan layak dapat golden boot.. Mereka adalah rekan setim di PSG. Congrats both.</t>
  </si>
  <si>
    <t>sebuah fakta dibalik final piala dunia argentina gendong messi mbappe gendong prancis messi beruntung membawa argentina juara dan jadi best player mbappe juga jadi striker paling subur dan layak dapat golden boot mereka adalah rekan setim psg congrats both</t>
  </si>
  <si>
    <t>['sebuah', 'fakta', 'dibalik', 'final', 'piala', 'dunia', 'argentina', 'gendong', 'messi', 'mbappe', 'gendong', 'prancis', 'messi', 'beruntung', 'membawa', 'argentina', 'juara', 'jadi', 'best', 'player', 'mbappe', 'jadi', 'striker', 'paling', 'subur', 'layak', 'golden', 'boot', 'rekan', 'setim', 'psg', 'congrats', 'both']</t>
  </si>
  <si>
    <t>"Legendaris, terhebat, abadi", media-media berita di berbagai negara memberikan puja-puji setelah Lionel Messi membawa Argentina juara Piala Dunia.  https://t.co/KLZXxhNORP</t>
  </si>
  <si>
    <t>legendaris terhebat abadi media media berita berbagai negara memberikan puja puji setelah lionel messi membawa argentina juara piala dunia</t>
  </si>
  <si>
    <t>['legendaris', 'terhebat', 'abadi', 'media', 'media', 'berita', 'berbagai', 'negara', 'memberikan', 'puja', 'puji', 'lionel', 'messi', 'membawa', 'argentina', 'juara', 'piala', 'dunia']</t>
  </si>
  <si>
    <t>@txtdrlinkediin Loh udah mau Maghrib? Bukan subuh? perasaan barusan nonton final dan selebrasi juara Argentina, ngapa udah mau Maghrib yak? *Efek tidur seharian*</t>
  </si>
  <si>
    <t>loh udah mau maghrib bukan subuh perasaan barusan nonton final dan selebrasi juara argentina ngapa udah mau maghrib yak efek tidur seharian</t>
  </si>
  <si>
    <t>['udah', 'mau', 'maghrib', 'bukan', 'subuh', 'perasaan', 'barusan', 'nonton', 'final', 'selebrasi', 'juara', 'argentina', 'ngapa', 'udah', 'mau', 'maghrib', 'yak', 'efek', 'tidur', 'seharian']</t>
  </si>
  <si>
    <t>Baru bisa ngtwet Argentina juara üèÜ dunia</t>
  </si>
  <si>
    <t>baru bisa ngtwet argentina juara dunia</t>
  </si>
  <si>
    <t>['baru', 'ngtwet', 'argentina', 'juara', 'dunia']</t>
  </si>
  <si>
    <t>MOSI-MOSI | ARGENTINA VS PRANCIS | SIAPA YANG JUARA? | PREDIKSI FINAL PIALA DUNIA QATAR 2022  Selengkapnya silahkan masuk  https://t.co/cYhIghdNjA  #messi #ronaldo #mbappe #argentina #france #FIFAWorldCup2022Final  #qatar2022 #FinalWorldCup2022  https://t.co/LB2QZCVqBq</t>
  </si>
  <si>
    <t>mosi mosi argentina prancis siapa yang juara prediksi final piala dunia qatar selengkapnya silahkan masuk</t>
  </si>
  <si>
    <t>['mosi', 'mosi', 'argentina', 'prancis', 'siapa', 'juara', 'prediksi', 'final', 'piala', 'dunia', 'qatar', 'selengkapnya', 'silahkan', 'masuk']</t>
  </si>
  <si>
    <t>@joshuanade @adriansyahyasin Ehhh hanya di era beliau argentina bisa juara piala dunia, terima kasih ibul ü§£</t>
  </si>
  <si>
    <t>ehhh hanya era beliau argentina bisa juara piala dunia terima kasih ibul</t>
  </si>
  <si>
    <t>['ehhh', 'era', 'beliau', 'argentina', 'juara', 'piala', 'dunia', 'terima', 'kasih', 'ibul']</t>
  </si>
  <si>
    <t>Lionel Scaloni mencatatkan pencapaian apik usai berhasil membawa Argentina juara. #kumparanBOLA  https://t.co/WumnN33CIb</t>
  </si>
  <si>
    <t>lionel scaloni mencatatkan pencapaian apik usai berhasil membawa argentina juara</t>
  </si>
  <si>
    <t>['lionel', 'scaloni', 'mencatatkan', 'pencapaian', 'apik', 'usai', 'berhasil', 'membawa', 'argentina', 'juara']</t>
  </si>
  <si>
    <t>Argentina Juara Piala Dunia, Ronaldo Nazario: Selamat Messi!  https://t.co/L3Q4Unrx8X #RonaldoNazario #Brasil #LegendaBrasil #PialaDunia</t>
  </si>
  <si>
    <t>argentina juara piala dunia ronaldo nazario selamat messi</t>
  </si>
  <si>
    <t>['argentina', 'juara', 'piala', 'dunia', 'ronaldo', 'nazario', 'selamat', 'messi']</t>
  </si>
  <si>
    <t>Lionel Messi Sebut Argentina Juara Piala Dunia 2022 karena Kompak #LionelMessiìÉµ #Argentina #PialaDunia2022 #WorldCupFinal  https://t.co/v0T2PIFjP3 lewat @Holopis.com</t>
  </si>
  <si>
    <t>lionel messi sebut argentina juara piala dunia karena kompak lewat com</t>
  </si>
  <si>
    <t>['lionel', 'messi', 'sebut', 'argentina', 'juara', 'piala', 'dunia', 'kompak', 'lewat', 'com']</t>
  </si>
  <si>
    <t>@an_nandana Gk nonton ,semalam TDR jam setengah 12, jam 3 bangun kaget depan rumah pawai motor mobil bawa bendera Argentina ,langsung tau yg juara ü§£..selama piala dunia cuma Jerman lawan costarica yg saya tonton itu pun udah mau habis ,gk begitu suka k</t>
  </si>
  <si>
    <t>nandana nonton semalam tdr jam setengah jam bangun kaget depan rumah pawai motor mobil bawa bendera argentina langsung tau juara selama piala dunia cuma jerman lawan costarica saya tonton itu pun udah mau habis begitu suka</t>
  </si>
  <si>
    <t>['nandana', 'nonton', 'semalam', 'tdr', 'jam', 'setengah', 'jam', 'bangun', 'kaget', 'depan', 'rumah', 'pawai', 'motor', 'mobil', 'bawa', 'bendera', 'argentina', 'langsung', 'juara', 'selama', 'piala', 'dunia', 'cuma', 'jerman', 'lawan', 'costarica', 'tonton', 'udah', 'mau', 'habis', 'suka']</t>
  </si>
  <si>
    <t>Berhubung Argentina jadi juara piala dunia 2022, saya memutuskan untuk tetap jualan roti.... Yg mau order untuk acara dan berbagai kegiatan silahkan DM/WA Terimaksih  Bravo indonesia  https://t.co/wQkjBB66hf</t>
  </si>
  <si>
    <t>berhubung argentina jadi juara piala dunia saya memutuskan untuk tetap jualan roti mau order untuk acara dan berbagai kegiatan silahkan terimaksih bravo indonesia</t>
  </si>
  <si>
    <t>['berhubung', 'argentina', 'jadi', 'juara', 'piala', 'dunia', 'memutuskan', 'tetap', 'jualan', 'roti', 'mau', 'order', 'acara', 'berbagai', 'kegiatan', 'silahkan', 'terimaksih', 'bravo', 'indonesia']</t>
  </si>
  <si>
    <t>@indihomeborneo aku dukung argentina karena sudahketahuan juara wkwkwkwkwk</t>
  </si>
  <si>
    <t>aku dukung argentina karena sudahketahuan juara wkwkwkwkwk</t>
  </si>
  <si>
    <t>['aku', 'dukung', 'argentina', 'sudahketahuan', 'juara', 'wkwkwkwkwk']</t>
  </si>
  <si>
    <t>Walau menjagokan Prancis, dan terlepas dari aksi diving Di Maria yg berbuah penalti, selamat!  #WorldCupFinal  #WorldcupQatar2022  #ArgentinaVsFrance  #ArgentinaCampeonDelMundo  Argentina Juara Piala Dunia 2022: Mimpi Indah Messi, Hattrick Sia-sia Mbappe  https://t.co/wmWGcVERxC</t>
  </si>
  <si>
    <t>walau menjagokan prancis dan terlepas dari aksi diving maria berbuah penalti selamat argentina juara piala dunia mimpi indah messi hattrick sia sia mbappe</t>
  </si>
  <si>
    <t>['menjagokan', 'prancis', 'terlepas', 'aksi', 'diving', 'maria', 'berbuah', 'penalti', 'selamat', 'argentina', 'juara', 'piala', 'dunia', 'mimpi', 'indah', 'messi', 'hattrick', 'sia', 'sia', 'mbappe']</t>
  </si>
  <si>
    <t>Argentina juara Piala Dunia 2022, tapi harus melalui rollercoaster emosi di partai final. Lionel Scaloni menyebut final kontra Prancis sangat gila! #juaraboladunia    https://t.co/geVzq67TFc</t>
  </si>
  <si>
    <t>Argentina akhirnya menjadi juara piala dunia 2022 T : Argentina messi  #PialaDunia2022 #WorldcupQatar2022 #ArgentinaVsFrance   https://t.co/40l3xFoLsW</t>
  </si>
  <si>
    <t>argentina akhirnya menjadi juara piala dunia argentina messi</t>
  </si>
  <si>
    <t>['argentina', 'akhirnya', 'menjadi', 'juara', 'piala', 'dunia', 'argentina', 'messi']</t>
  </si>
  <si>
    <t>VIDEO: Waduh! Drake Kehilangan Uang Taruhan Rp15 Miliar Meski Jagokan Argentina Juara Piala Dunia  https://t.co/uiUDITq197</t>
  </si>
  <si>
    <t>video waduh drake kehilangan uang taruhan miliar meski jagokan argentina juara piala dunia</t>
  </si>
  <si>
    <t>['video', 'waduh', 'drake', 'kehilangan', 'uang', 'taruhan', 'miliar', 'meski', 'jagokan', 'argentina', 'juara', 'piala', 'dunia']</t>
  </si>
  <si>
    <t>Argentina Juara Piala Dunia 2022, Permohonan Emosional Lionel Scaloni kepada Lionel Messi Muncul Kembali  https://t.co/z9Jzo4rLno</t>
  </si>
  <si>
    <t>argentina juara piala dunia permohonan emosional lionel scaloni kepada lionel messi muncul kembali</t>
  </si>
  <si>
    <t>['argentina', 'juara', 'piala', 'dunia', 'permohonan', 'emosional', 'lionel', 'scaloni', 'lionel', 'messi', 'muncul']</t>
  </si>
  <si>
    <t>Pada sebuah akuarium di Thailand, dua berang-berang ajaib memilih Argentina saat memprediksi juara Final Piala Dunia FIFA 2022. Mereka pun dijuluki sebagai "prediktor Piala Dunia" yang sukses.   https://t.co/q72G5qWmeK</t>
  </si>
  <si>
    <t>pada sebuah akuarium thailand dua berang berang ajaib memilih argentina saat memprediksi juara final piala dunia fifa mereka pun dijuluki sebagai prediktor piala dunia yang sukses</t>
  </si>
  <si>
    <t>['sebuah', 'akuarium', 'thailand', 'berang', 'berang', 'ajaib', 'memilih', 'argentina', 'memprediksi', 'juara', 'final', 'piala', 'dunia', 'fifa', 'dijuluki', 'prediktor', 'piala', 'dunia', 'sukses']</t>
  </si>
  <si>
    <t>Bayangin kalo argentina kemaren gk juara, apa gk</t>
  </si>
  <si>
    <t>bayangin kalo argentina kemaren juara apa</t>
  </si>
  <si>
    <t>['bayangin', 'argentina', 'kemarin', 'juara', 'apa']</t>
  </si>
  <si>
    <t>Kalau Argentina juara, gratis Ice Cream pilih salah satu (janji sama beberapa perempuan yang suka belanja ke toko). Beneran ditagihnya yang ini wkwk  https://t.co/AhTPQb3zl8</t>
  </si>
  <si>
    <t>kalau argentina juara gratis ice cream pilih salah satu janji sama beberapa perempuan yang suka belanja toko beneran ditagihnya yang ini wkwk</t>
  </si>
  <si>
    <t>['kalau', 'argentina', 'juara', 'gratis', 'ice', 'cream', 'pilih', 'salah', 'satu', 'janji', 'sama', 'beberapa', 'perempuan', 'suka', 'belanja', 'toko', 'beneran', 'ditagihnya']</t>
  </si>
  <si>
    <t>Apakah ini yg bikin Argentina juara?  #FIFAWorldCup</t>
  </si>
  <si>
    <t>apakah ini bikin argentina juara</t>
  </si>
  <si>
    <t>Momen haru terjadi saat perayaan Argentina juara Piala Dunia 2022. Lionel Messi berpelukan dengan sang ibu. Begini potretnya. #juaraboladunia    https://t.co/knW7f8kML1</t>
  </si>
  <si>
    <t>Selamat Buat Argentina Atas Keberhasilan Jadi Juara DUNIA Qatar 2022 #DenganAduPinalti #missivsmbappe #ArgentinaVsFrance  https://t.co/m46Y3KS4d7</t>
  </si>
  <si>
    <t>selamat buat argentina atas keberhasilan jadi juara dunia qatar</t>
  </si>
  <si>
    <t>['selamat', 'buat', 'argentina', 'atas', 'keberhasilan', 'jadi', 'juara', 'dunia', 'qatar']</t>
  </si>
  <si>
    <t>Tahniah Argentina Juara Piala Dunia 2022!  üéâüëè  #FIFAWorldCup #ThisIsPutrajaya  https://t.co/aGN4F0u6aC</t>
  </si>
  <si>
    <t>tahniah argentina juara piala dunia</t>
  </si>
  <si>
    <t>['tahniah', 'argentina', 'juara', 'piala', 'dunia']</t>
  </si>
  <si>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</si>
  <si>
    <t>argentina berhasil raih gelar juara fifa world cup selamat ini merupakan gelar ketiga argentina wah keren</t>
  </si>
  <si>
    <t>['argentina', 'berhasil', 'raih', 'gelar', 'juara', 'fifa', 'world', 'cup', 'selamat', 'merupakan', 'gelar', 'ketiga', 'argentina', 'wah', 'keren']</t>
  </si>
  <si>
    <t xml:space="preserve">@BarcaBandidos Sebenernya yg bikin spesial dari juara ini tuh perdebatan status goat leo sm cr Belum lagi masalah leo dibully karna kalah 3x final di level timnas Dan skrg dia balikin dan buktikan ke semua dgn pencapaian dia di timnas Makanya spesial sih </t>
  </si>
  <si>
    <t>sebenernya bikin spesial dari juara ini tuh perdebatan status goat leo belum lagi masalah leo dibully karna kalah final level timnas dan skrg dia balikin dan buktikan semua dgn pencapaian dia timnas makanya spesial sih</t>
  </si>
  <si>
    <t>['sebenernya', 'spesial', 'juara', 'perdebatan', 'status', 'goat', 'leo', 'masalah', 'leo', 'dibully', 'karna', 'kalah', 'final', 'level', 'timnas', 'skrg', 'balikin', 'buktikan', 'semua', 'pencapaian', 'timnas', 'makanya', 'spesial']</t>
  </si>
  <si>
    <t>Congrat üéâüéâüéâArgentina juara piala dunia 2022</t>
  </si>
  <si>
    <t>congrat argentina juara piala dunia</t>
  </si>
  <si>
    <t>['congrat', 'argentina', 'juara', 'piala', 'dunia']</t>
  </si>
  <si>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</si>
  <si>
    <t>bro akhirnya messi berhasil membawa argentina menjadi juara lengkap sudah prestasinya dia emang layak jadi cowok bro setuju kasih like dong bro</t>
  </si>
  <si>
    <t>['bro', 'akhirnya', 'messi', 'berhasil', 'membawa', 'argentina', 'menjadi', 'juara', 'lengkap', 'prestasinya', 'emang', 'layak', 'jadi', 'cowok', 'bro', 'setuju', 'kasih', 'like', 'dong', 'bro']</t>
  </si>
  <si>
    <t>Bawa Argentina Juara Piala Dunia 2022, Lionel Messi Belum Mau Pensiun   #PramborsNews   https://t.co/WDoVXqq62n</t>
  </si>
  <si>
    <t>bawa argentina juara piala dunia lionel messi belum mau pensiun</t>
  </si>
  <si>
    <t>['bawa', 'argentina', 'juara', 'piala', 'dunia', 'lionel', 'messi', 'mau', 'pensiun']</t>
  </si>
  <si>
    <t>Argentina Juara Piala Dunia 2022, Pembuktian Messi sebagai Pemain Terbaik Sepanjang Masa  https://t.co/mJmC6MsFOK</t>
  </si>
  <si>
    <t>argentina juara piala dunia pembuktian messi sebagai pemain terbaik sepanjang masa</t>
  </si>
  <si>
    <t>['argentina', 'juara', 'piala', 'dunia', 'pembuktian', 'messi', 'pemain', 'terbaik', 'sepanjang', 'masa']</t>
  </si>
  <si>
    <t>Messi, Juara Dunia, dan Inflasi¬†Argentina  https://t.co/0qhozCZ1tC</t>
  </si>
  <si>
    <t>@Autumnleaf1996 @realmadridindo1 @aguerosergiokun Gambaran Argentina juara kalo Aguero menjadi menjadi pak ketum</t>
  </si>
  <si>
    <t>gambaran argentina juara kalo aguero menjadi menjadi pak ketum</t>
  </si>
  <si>
    <t>['gambaran', 'argentina', 'juara', 'aguero', 'menjadi', 'menjadi', 'pak', 'ketum']</t>
  </si>
  <si>
    <t>TRANS7: Argentina juara Piala Dunia 2022 setelah penantian 36 tahun, warga Argentina ramai berparade. #Redaksi  https://t.co/OMdkvdpLSW</t>
  </si>
  <si>
    <t>trans argentina juara piala dunia setelah penantian tahun warga argentina ramai berparade</t>
  </si>
  <si>
    <t>['trans', 'argentina', 'juara', 'piala', 'dunia', 'penantian', 'tahun', 'warga', 'argentina', 'ramai', 'berparade']</t>
  </si>
  <si>
    <t>Berita Bola Terkini Nova88 Indonesia Klik  https://t.co/VsbRjz8w7o : Argentina Juara Piala Dunia 2022, Roy Keane: Menarilah untuk 10 Tahun ke Depan!  https://t.co/c8MSn97U5A  https://t.co/RIPRuptxMl</t>
  </si>
  <si>
    <t>berita bola terkini nova indonesia klik argentina juara piala dunia roy keane menarilah untuk tahun depan</t>
  </si>
  <si>
    <t>['berita', 'bola', 'terkini', 'nova', 'indonesia', 'klik', 'argentina', 'juara', 'piala', 'dunia', 'roy', 'keane', 'menarilah', 'tahun', 'depan']</t>
  </si>
  <si>
    <t>Argentina Juara Dunia, MotoGP Merayakan 'Bersama' Maradona  https://t.co/WwBL3pBpNa</t>
  </si>
  <si>
    <t>Maaf Saya lebih Suka Turu Dari pada Lihat Argentina Juara. üò≠  https://t.co/vWFdf3J3de</t>
  </si>
  <si>
    <t>maaf saya lebih suka turu dari pada lihat argentina juara</t>
  </si>
  <si>
    <t>['maaf', 'lebih', 'suka', 'tidur', 'lihat', 'argentina', 'juara']</t>
  </si>
  <si>
    <t>@Askrlfess Ada juga Leandro Paredes, pemain Argentina sohib Messi yang punya kisah cinta setia sejak muda</t>
  </si>
  <si>
    <t>ada juga leandro paredes pemain argentina sohib messi yang punya kisah cinta setia sejak muda</t>
  </si>
  <si>
    <t>['leandro', 'paredes', 'pemain', 'argentina', 'sohib', 'messi', 'punya', 'kisah', 'cinta', 'setia', 'sejak', 'muda']</t>
  </si>
  <si>
    <t>@jxqila Bismillahirrahmanirrahim done , Dari awal emang jagoin Argentina pengen lihat Messi juara huhu . Semalem seru poll cape banget cari link buat streaming ü•∫ü•∫ü•∫ akhirnya dapet jugaa  https://t.co/ovbqUpOcZT</t>
  </si>
  <si>
    <t>bismillahirrahmanirrahim done dari awal emang jagoin argentina pengen lihat messi juara huhu semalem seru poll cape banget cari link buat streaming akhirnya dapet jugaa</t>
  </si>
  <si>
    <t>['bismillahirrahmanirrahim', 'done', 'awal', 'emang', 'jagoin', 'argentina', 'pengen', 'lihat', 'messi', 'juara', 'huhu', 'semalam', 'seru', 'poll', 'lelah', 'banget', 'cari', 'link', 'buat', 'streaming', 'akhirnya', 'dapat', 'jugaa']</t>
  </si>
  <si>
    <t>ARGENTINA  2021 Juara Copa America üèÜ 2022 Juara Finalissima üèÜ 2022 Juara World Cup üèÜ  üåû üåû üåû üá¶üá∑ üá¶üá∑ üá¶üá∑ üèÜ üèÜ üèÜ  ¬© FATA MEDIA #ARG #FRA #Argentina #France #Messi #Mbappe #FinalWorldCup2022  https://t.co/dTvepyLS6l</t>
  </si>
  <si>
    <t>argentina juara copa america juara finalissima juara world cup fata media</t>
  </si>
  <si>
    <t>['argentina', 'juara', 'copa', 'america', 'juara', 'finalissima', 'juara', 'world', 'cup', 'fata', 'media']</t>
  </si>
  <si>
    <t>@biu64619861 @Robbi_07 @anovaway @idextratime ya karna itu, messi udah sama argentina kok napa sulit bgt buat juara, beda sm ronaldo yg sama sekelas portugal pun bisa juara. jadi ditagih mulu</t>
  </si>
  <si>
    <t>karna itu messi udah sama argentina kok napa sulit bgt buat juara beda ronaldo sama sekelas portugal pun bisa juara jadi ditagih mulu</t>
  </si>
  <si>
    <t>['karna', 'messi', 'udah', 'sama', 'argentina', 'kok', 'napa', 'sulit', 'banget', 'buat', 'juara', 'beda', 'ronaldo', 'sama', 'sekelas', 'portugal', 'juara', 'jadi', 'ditagih', 'mulu']</t>
  </si>
  <si>
    <t>Panas Mbappe dan Messi Saling Ejek Sebelum Argentina Juara Piala Dunia ‚Äì CNN Indonesia ‚Äì Google Berita Olahraga ‚Äì  https://t.co/9sG5y790UR ‚Äì #Arenanews #Kamidi #Opsiminfo- https://t.co/WeyrbStLeO</t>
  </si>
  <si>
    <t>panas mbappe dan messi saling ejek sebelum argentina juara piala dunia cnn indonesia google berita olahraga</t>
  </si>
  <si>
    <t>['panas', 'mbappe', 'messi', 'saling', 'ejek', 'argentina', 'juara', 'piala', 'dunia', 'cnn', 'indonesia', 'google', 'berita', 'olahraga']</t>
  </si>
  <si>
    <t>Argentina Juara Piala Dunia 2022: Perdebatan Selesai, Lionel Messi GOAT  #FIFAWorldCup #ArgentinaVsFrance #MessiìÉµ #LionelMessiìÉµ #Mbappe #Qatar2022 #WorldCup  https://t.co/9WB09JsJr2</t>
  </si>
  <si>
    <t>argentina juara piala dunia perdebatan selesai lionel messi goat</t>
  </si>
  <si>
    <t>['argentina', 'juara', 'piala', 'dunia', 'perdebatan', 'selesai', 'lionel', 'messi', 'goat']</t>
  </si>
  <si>
    <t>Yang menarik dari keberhasilan argentina adalah brighton dan aston villa ikut merayakan juara dunia. Brighton terutama</t>
  </si>
  <si>
    <t>yang menarik dari keberhasilan argentina adalah brighton dan aston villa ikut merayakan juara dunia brighton terutama</t>
  </si>
  <si>
    <t>['menarik', 'keberhasilan', 'argentina', 'brighton', 'aston', 'villa', 'ikut', 'merayakan', 'juara', 'dunia', 'brighton', 'terutama']</t>
  </si>
  <si>
    <t>Argentina Juara Piala Dunia, Presiden Sibuk Balas Twit Pemimpin¬†Dunia  https://t.co/mQS1xZmvFW</t>
  </si>
  <si>
    <t>Akhirnya Juara Dunia Argentina Is The Best  https://t.co/3HoYf9EceZ</t>
  </si>
  <si>
    <t>akhirnya juara dunia argentina the best</t>
  </si>
  <si>
    <t>['akhirnya', 'juara', 'dunia', 'argentina', 'the', 'best']</t>
  </si>
  <si>
    <t>Argentina juara Piala Dunia 2022. Saat para pemain bersuka cita dengan menangis bahagia, datanglah Sergio Aguero membawa pesta dengan gaya kocaknya!   https://t.co/ncbvdOcpfI</t>
  </si>
  <si>
    <t>Argentina Juara Dunia, Antonella Roccuzzo Unggah Momen Bahagia  https://t.co/9te24g5lOF  https://t.co/L8tGewieeq</t>
  </si>
  <si>
    <t>argentina juara dunia antonella roccuzzo unggah momen bahagia</t>
  </si>
  <si>
    <t>['argentina', 'juara', 'dunia', 'antonella', 'roccuzzo', 'unggah', 'momen', 'bahagia']</t>
  </si>
  <si>
    <t>Argentina Juara Piala Dunia 2022, Intip Tempat Wisata di Sana yang Pesonanya Tak Kalah Juara nan Cantik!  https://t.co/44tfqb1H8Z</t>
  </si>
  <si>
    <t>argentina juara piala dunia intip tempat wisata sana yang pesonanya tak kalah juara nan cantik</t>
  </si>
  <si>
    <t>['argentina', 'juara', 'piala', 'dunia', 'intip', 'tempat', 'wisata', 'sana', 'pesonanya', 'tak', 'kalah', 'juara', 'cantik']</t>
  </si>
  <si>
    <t>Piala Dunia 2022: Lionel Messi Beberkan Kunci Utama Timnas Argentina Juara  https://t.co/SulKgj7ExO</t>
  </si>
  <si>
    <t>piala dunia lionel messi beberkan kunci utama timnas argentina juara</t>
  </si>
  <si>
    <t>['piala', 'dunia', 'lionel', 'messi', 'beberkan', 'kunci', 'utama', 'timnas', 'argentina', 'juara']</t>
  </si>
  <si>
    <t>Mayan buat kenang2an, Argentina juara piala dunia 2022 Qatar.</t>
  </si>
  <si>
    <t>mayan buat kenang argentina juara piala dunia qatar</t>
  </si>
  <si>
    <t>['mayan', 'buat', 'kenang', 'argentina', 'juara', 'piala', 'dunia', 'qatar']</t>
  </si>
  <si>
    <t>Potret Bahagia Antonella Roccuzzo Usai Argentina Juara Piala Dunia 2022  https://t.co/ori36ozIGh  https://t.co/LTxBeNewSK</t>
  </si>
  <si>
    <t>potret bahagia antonella roccuzzo usai argentina juara piala dunia</t>
  </si>
  <si>
    <t>['potret', 'bahagia', 'antonella', 'roccuzzo', 'usai', 'argentina', 'juara', 'piala', 'dunia']</t>
  </si>
  <si>
    <t>Argentina Juara Piala Dunia  https://t.co/y6WLwdHla2</t>
  </si>
  <si>
    <t>Penantian 36 tahun Argentina akhirnya berakhir! #LaAlbiceleste adalah juara #WorldCup2022 Anda.  https://t.co/h4EOcQ6jIQ</t>
  </si>
  <si>
    <t>penantian tahun argentina akhirnya berakhir adalah juara anda</t>
  </si>
  <si>
    <t>['penantian', 'tahun', 'argentina', 'akhirnya', 'berakhir', 'juara']</t>
  </si>
  <si>
    <t>Messi Mendapat Pesan Mengharukan dari Sang Istri saat Argentina Juara Piala Dunia 2022 |  https://t.co/yeq50kFKEv</t>
  </si>
  <si>
    <t>messi mendapat pesan mengharukan dari sang istri saat argentina juara piala dunia</t>
  </si>
  <si>
    <t>['messi', 'mendapat', 'pesan', 'mengharukan', 'sang', 'istri', 'argentina', 'juara', 'piala', 'dunia']</t>
  </si>
  <si>
    <t>Argentina Juara Piala Dunia 2022, Pembuktian Messi Sebagai Pemain Terbaik Sepanjang Masa  https://t.co/Xcdi7sntEf</t>
  </si>
  <si>
    <t>Argentina Juara Piala Dunia 2022, Pembuktian Messi sebagai Pemain Terbaik Sepanjang Masa  https://t.co/wCCzIEZUh6</t>
  </si>
  <si>
    <t>Hasil nya Argentina juara  ü§£ü§£ siputih Sibiru Laut wokeee @Dennysiregar7 @ruhutsitompul @yusuf_dumdum @Uki23  https://t.co/AmbJ02rMn0</t>
  </si>
  <si>
    <t>hasil nya argentina juara siputih sibiru laut wokeee dumdum</t>
  </si>
  <si>
    <t>['hasil', 'argentina', 'juara', 'siputih', 'sibiru', 'laut', 'wokeee', 'dumdum']</t>
  </si>
  <si>
    <t>Selamat buat Argentina keluar menjadi juara di Piala Dunia Qatar 2022 üá¶üá∑ üèÜ üëè üéâ #Qatar2022 #QatarWorldCup2022 #FIFAWorldCup #WorldCupFinal</t>
  </si>
  <si>
    <t>selamat buat argentina keluar menjadi juara piala dunia qatar</t>
  </si>
  <si>
    <t>['selamat', 'buat', 'argentina', 'keluar', 'menjadi', 'juara', 'piala', 'dunia', 'qatar']</t>
  </si>
  <si>
    <t>@AgusYudhoyono Argentina juara, bang üëçüèª  https://t.co/Z3bI4FhTNE</t>
  </si>
  <si>
    <t>argentina juara bang</t>
  </si>
  <si>
    <t>['argentina', 'juara', 'bang']</t>
  </si>
  <si>
    <t>Argentina Juara Dunia,¬† Messi Sudahi Puasa Gelar Piala¬†Dunia  https://t.co/nveCiAsi7M</t>
  </si>
  <si>
    <t>argentina juara dunia messi sudahi puasa gelar piala dunia</t>
  </si>
  <si>
    <t>['argentina', 'juara', 'dunia', 'messi', 'sudahi', 'puasa', 'gelar', 'piala', 'dunia']</t>
  </si>
  <si>
    <t>Argentina üá¶üá∑ menang piala dunia, tapi Argentina kalah sama arab üá∏üá¶, Hebat juga arab üá∏üá¶ bisa ngalahin sang juara. üòÄüòÄ</t>
  </si>
  <si>
    <t>argentina menang piala dunia tapi argentina kalah sama arab hebat juga arab bisa ngalahin sang juara</t>
  </si>
  <si>
    <t>['argentina', 'menang', 'piala', 'dunia', 'argentina', 'kalah', 'sama', 'arab', 'hebat', 'arab', 'ngalahin', 'sang', 'juara']</t>
  </si>
  <si>
    <t>Keren banget deh akun ini! Prediksi yang sukses Argentina juara   https://t.co/5Yx87mjLWM</t>
  </si>
  <si>
    <t>keren banget deh akun ini prediksi yang sukses argentina juara</t>
  </si>
  <si>
    <t>['keren', 'banget', 'deh', 'akun', 'prediksi', 'sukses', 'argentina', 'juara']</t>
  </si>
  <si>
    <t>Setidaknya Arab Saudi bisa berbangga, tim mereka pernah mengalahkan Argentina, sang pemenang juara dunia Qatar 2022</t>
  </si>
  <si>
    <t>setidaknya arab saudi bisa berbangga tim mereka pernah mengalahkan argentina sang pemenang juara dunia qatar</t>
  </si>
  <si>
    <t>['arab', 'saudi', 'berbangga', 'tim', 'pernah', 'mengalahkan', 'argentina', 'sang', 'pemenang', 'juara', 'dunia', 'qatar']</t>
  </si>
  <si>
    <t>Itu yg bilang Argentina juara karna udah disetting, kenapa ga all in aja ke Argentina? Kenapa malah ambil negara lain?</t>
  </si>
  <si>
    <t>itu bilang argentina juara karna udah disetting kenapa all aja argentina kenapa malah ambil negara lain</t>
  </si>
  <si>
    <t>['argentina', 'juara', 'karna', 'udah', 'disetting', 'all', 'argentina', 'malah', 'ambil', 'negara']</t>
  </si>
  <si>
    <t>Argentina juara, Lionel Messi menyabet gelar Player of the Tournament atau Pemain Terbaik. #kumparanBOLA  https://t.co/reATckGbxI</t>
  </si>
  <si>
    <t>argentina juara lionel messi menyabet gelar player the tournament atau pemain terbaik</t>
  </si>
  <si>
    <t>['argentina', 'juara', 'lionel', 'messi', 'menyabet', 'gelar', 'player', 'the', 'tournament', 'pemain', 'terbaik']</t>
  </si>
  <si>
    <t>EA Sports Tepat Prediksi Argentina Juara Piala Dunia 2022  https://t.co/ZfLk5auKuz</t>
  </si>
  <si>
    <t>sports tepat prediksi argentina juara piala dunia</t>
  </si>
  <si>
    <t>['sports', 'tepat', 'prediksi', 'argentina', 'juara', 'piala', 'dunia']</t>
  </si>
  <si>
    <t>Argentina Juara Piala Dunia 2022, Buenos Aires menggila! . #EMTEKWORLDCUP2022 #BOLANETWORLDCUP2022  #PialaDunia #PialaDunia2022  https://t.co/aCVnBxjbbX</t>
  </si>
  <si>
    <t>Saat nonton piala dunia di tahun 1986 saya belum begitu memahami makna kemenangan  Argentina, saya masih kecil kala itu, Kini Argentina menang lagi, jadi juara dunia, Selamat Argentina</t>
  </si>
  <si>
    <t>saat nonton piala dunia tahun saya belum begitu memahami makna kemenangan argentina saya masih kecil kala itu kini argentina menang lagi jadi juara dunia selamat argentina</t>
  </si>
  <si>
    <t>['nonton', 'piala', 'dunia', 'tahun', 'memahami', 'makna', 'kemenangan', 'argentina', 'kecil', 'kala', 'kini', 'argentina', 'menang', 'jadi', 'juara', 'dunia', 'selamat', 'argentina']</t>
  </si>
  <si>
    <t>@WagimanDeep_IX @Dennysiregar7 Penantian panjang, akhirnya Di eranya pak @jokowi argentina jd juara üôàüôàüôà</t>
  </si>
  <si>
    <t>penantian panjang akhirnya eranya pak argentina juara</t>
  </si>
  <si>
    <t>['penantian', 'panjang', 'akhirnya', 'eranya', 'pak', 'argentina', 'juara']</t>
  </si>
  <si>
    <t>Oke sesuai dengan janji gw klo argen juara pildun gw beli open pack argentina  Ya allah akhir bulan lgi</t>
  </si>
  <si>
    <t>oke sesuai dengan janji klo argen juara pildun beli open pack argentina allah akhir bulan lgi</t>
  </si>
  <si>
    <t>['oke', 'sesuai', 'janji', 'argen', 'juara', 'piala dunia', 'beli', 'open', 'pack', 'argentina', 'allah', 'akhir', 'bulan', 'lgi']</t>
  </si>
  <si>
    <t>Presiden Rusia Sampaikan Ucapan Selamat atas Kemenangan Argentina Raih Juara Piala Dunia 2022 Qatar #Putin #FIFAWorldCup #Qatar2022 #argentina  https://t.co/s8AQsGPx11</t>
  </si>
  <si>
    <t>presiden rusia sampaikan ucapan selamat atas kemenangan argentina raih juara piala dunia qatar</t>
  </si>
  <si>
    <t>['presiden', 'rusia', 'sampaikan', 'ucapan', 'selamat', 'atas', 'kemenangan', 'argentina', 'raih', 'juara', 'piala', 'dunia', 'qatar']</t>
  </si>
  <si>
    <t>@SiaranBolaLive hanya di jaman ketum Iwan Bule Argentina juara Pildun</t>
  </si>
  <si>
    <t>hanya jaman ketum iwan bule argentina juara pildun</t>
  </si>
  <si>
    <t>['jaman', 'ketum', 'iwan', 'bule', 'argentina', 'juara', 'piala dunia']</t>
  </si>
  <si>
    <t>@InfosuporterID kalau ngalah itu biasanya ngejar rank 2 grup, lah ini argentina juara grup kocak. ü§£ü§£</t>
  </si>
  <si>
    <t>kalau ngalah itu biasanya ngejar rank grup lah ini argentina juara grup kocak</t>
  </si>
  <si>
    <t>['kalau', 'ngalah', 'biasanya', 'ngejar', 'rank', 'grup', 'lah', 'argentina', 'juara', 'grup', 'kocak']</t>
  </si>
  <si>
    <t>Argentina Juara Piala Dunia 2022 Lewat Adu Penalti - Riaunews  https://t.co/8vKvBKzvpv</t>
  </si>
  <si>
    <t>argentina juara piala dunia lewat adu penalti riaunews</t>
  </si>
  <si>
    <t>['argentina', 'juara', 'piala', 'dunia', 'lewat', 'adu', 'penalti', 'riaunews']</t>
  </si>
  <si>
    <t>@idextratime Jadi gak sabar pengen nonton @antonsujarno25 kan Argentina udah juara... üòÖüòÖüòÖ  https://t.co/RX7VcJSwLS</t>
  </si>
  <si>
    <t>jadi gak sabar pengen nonton kan argentina udah juara</t>
  </si>
  <si>
    <t>['jadi', 'sabar', 'pengen', 'nonton', 'kan', 'argentina', 'udah', 'juara']</t>
  </si>
  <si>
    <t>@SiaranBolaLive Ntar balihonya "hanya di era kepemimpinan saya, argentina bisa jadi juara dunia"</t>
  </si>
  <si>
    <t>ntar balihonya hanya era kepemimpinan saya argentina bisa jadi juara dunia</t>
  </si>
  <si>
    <t>['ntar', 'balihonya', 'era', 'kepemimpinan', 'argentina', 'jadi', 'juara', 'dunia']</t>
  </si>
  <si>
    <t>Argentina juara Piala Dunia 2022 secara istimewa karena kalah di laga pertamanya. Ternyata tim Tango menjadi negara kedua yang bisa melakukannya. #juaraboladunia    https://t.co/G3xkmmsTlm</t>
  </si>
  <si>
    <t>@acrizkyakbar Iku sek Argentina sing juara, opomaneh Indonesiaü§£</t>
  </si>
  <si>
    <t>iku sek argentina sing juara opomaneh indonesia</t>
  </si>
  <si>
    <t>['iku', 'sek', 'argentina', 'sing', 'juara', 'opomaneh', 'indonesia']</t>
  </si>
  <si>
    <t>Masih ingat dalam benak kita ,dikala tim Argentina didoakan yang tidak benar oleh masyarakatnya,diawal laga mereka kalah ,namun terus bangkit tak peduli doa buruk dari kebanyakan warganya... sekarang mereka genggam predikat juara dunia.  https://t.co/KCe33GxWlN</t>
  </si>
  <si>
    <t>masih ingat dalam benak kita dikala tim argentina didoakan yang tidak benar oleh masyarakatnya diawal laga mereka kalah namun terus bangkit tak peduli doa buruk dari kebanyakan warganya sekarang mereka genggam predikat juara dunia</t>
  </si>
  <si>
    <t>['ingat', 'benak', 'dikala', 'tim', 'argentina', 'didoakan', 'benar', 'masyarakatnya', 'diawal', 'laga', 'kalah', 'terus', 'bangkit', 'tak', 'peduli', 'doa', 'buruk', 'kebanyakan', 'warganya', 'sekarang', 'genggam', 'predikat', 'juara', 'dunia']</t>
  </si>
  <si>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</si>
  <si>
    <t>argentina juara dunia tapi tetep juara satu hati gimana gak berkat semangat warga bantu warga dari kamu semua taman baca bersemi bisa terbangun jadinya banyak adik adik yang bisa baca buku dengan nyaman dan aman makasih</t>
  </si>
  <si>
    <t>['argentina', 'juara', 'dunia', 'tetep', 'juara', 'satu', 'hati', 'gimana', 'berkat', 'semangat', 'warga', 'bantu', 'warga', 'kamu', 'semua', 'taman', 'baca', 'bersemi', 'terbangun', 'jadinya', 'banyak', 'adik', 'adik', 'baca', 'buku', 'nyaman', 'aman', 'makasih']</t>
  </si>
  <si>
    <t>Tunda Pensiun dari Argentina, Messi Ingin Main Sebagai Juara Piala Dunia 2022  https://t.co/Tqgt8cvo3K</t>
  </si>
  <si>
    <t>tunda pensiun dari argentina messi ingin main sebagai juara piala dunia</t>
  </si>
  <si>
    <t>['tunda', 'pensiun', 'argentina', 'messi', 'main', 'juara', 'piala', 'dunia']</t>
  </si>
  <si>
    <t>Scaloni Berharap Messi Tunda Pensiun Setelah Bawa Argentina Juara Piala Dunia 2022  https://t.co/qEQg6ovpYT</t>
  </si>
  <si>
    <t>scaloni berharap messi tunda pensiun setelah bawa argentina juara piala dunia</t>
  </si>
  <si>
    <t>['scaloni', 'berharap', 'messi', 'tunda', 'pensiun', 'bawa', 'argentina', 'juara', 'piala', 'dunia']</t>
  </si>
  <si>
    <t>#MessiìÉµday #FIFAWorldCup #ArgentinaCampeonDelMundo  Belum Pensiun, Lionel Messi Masih Ingin Bela Argentina Sebagai Juara Dunia  https://t.co/D68qkCESux</t>
  </si>
  <si>
    <t>day belum pensiun lionel messi masih ingin bela argentina sebagai juara dunia</t>
  </si>
  <si>
    <t>['day', 'pensiun', 'lionel', 'messi', 'bela', 'argentina', 'juara', 'dunia']</t>
  </si>
  <si>
    <t>masih terasa terharu nya argentina juara pildun</t>
  </si>
  <si>
    <t>['terasa', 'terharu', 'argentina', 'juara', 'piala dunia']</t>
  </si>
  <si>
    <t>@flumbledox Jelas rep. Karna aku pengen bgt ke Paris, liat menara Eifel, udh pindah haluan dr Liga spanyol ke Liga prancis.  Aku dukung yg skrng juara wkwkwk   Argentina üòÇ</t>
  </si>
  <si>
    <t>jelas rep karna aku pengen bgt paris liat menara eifel udh pindah haluan liga spanyol liga prancis aku dukung skrng juara wkwkwk argentina</t>
  </si>
  <si>
    <t>['jelas', 'rep', 'karna', 'aku', 'pengen', 'banget', 'paris', 'lihat', 'menara', 'eifel', 'sudah', 'pindah', 'haluan', 'liga', 'spanyol', 'liga', 'prancis', 'aku', 'dukung', 'skrng', 'juara', 'wkwkwk', 'argentina']</t>
  </si>
  <si>
    <t>Argentina Juara Piala Dunia 2022, Roy Keane: Menarilah untuk 10 Tahun ke Depan!  https://t.co/SiZji66iqT</t>
  </si>
  <si>
    <t>argentina juara piala dunia roy keane menarilah untuk tahun depan</t>
  </si>
  <si>
    <t>['argentina', 'juara', 'piala', 'dunia', 'roy', 'keane', 'menarilah', 'tahun', 'depan']</t>
  </si>
  <si>
    <t>@theflankerID Pertandingan ini salah satu the best menurutku ,selain Argentina vs Belanda yg sarat emosi .. Pelatihnya cukup cerdik dan cepat mengantisipasi perubahan yg terjadi. Congratulation Argentina, sejak awal saya sdh mengunggulkan jadi juara BKN K</t>
  </si>
  <si>
    <t>pertandingan ini salah satu the best menurutku selain argentina belanda sarat emosi pelatihnya cukup cerdik dan cepat mengantisipasi perubahan terjadi congratulation argentina sejak awal saya sdh mengunggulkan jadi juara bkn</t>
  </si>
  <si>
    <t>['pertandingan', 'salah', 'satu', 'the', 'best', 'menurutku', 'argentina', 'belanda', 'sarat', 'emosi', 'pelatihnya', 'cukup', 'cerdik', 'cepat', 'mengantisipasi', 'perubahan', 'terjadi', 'congratulation', 'argentina', 'sejak', 'awal', 'mengunggulkan', 'jadi', 'juara', 'bkn']</t>
  </si>
  <si>
    <t>Ngopo Argentina Juara? Ha yen Menara Abang lak rokokmu.</t>
  </si>
  <si>
    <t>ngopo argentina juara yen menara abang lak rokokmu</t>
  </si>
  <si>
    <t>['ngopo', 'argentina', 'juara', 'yen', 'menara', 'abang', 'lak', 'rokokmu']</t>
  </si>
  <si>
    <t>Tulisan satu-satunya. Itupun krn Argentina juara.  Tp intinya, #ThanksQatar. Slmat utk Argentina sbg penguasa dunia. Sampai jumpa di Piala Dunia thun2 selanjutnya.  Greatest off All Time Congratulations Qatar Sheikh Messi Prancis Kylian Mbappe Argentina   https://t.co/WtGGIgIYsP</t>
  </si>
  <si>
    <t>tulisan satu satunya itupun krn argentina juara intinya slmat utk argentina sbg penguasa dunia sampai jumpa piala dunia thun selanjutnya greatest off all time congratulations qatar sheikh messi prancis kylian mbappe argentina</t>
  </si>
  <si>
    <t>['tulisan', 'satu', 'satunya', 'itupun', 'argentina', 'juara', 'intinya', 'slmat', 'argentina', 'sbg', 'penguasa', 'dunia', 'jumpa', 'piala', 'dunia', 'thun', 'selanjutnya', 'greatest', 'off', 'all', 'time', 'congratulations', 'qatar', 'sheikh', 'messi', 'prancis', 'kylian', 'mbappe', 'argentina']</t>
  </si>
  <si>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</si>
  <si>
    <t>golkar tetap dpt nomor empat krn golkar merupakan partai dukung perjuangan empat pilar seperti messi sheikh messi maria emi martinez paul ingin sukses bawa argentina juara piala dunia greatest all time argentina world cup</t>
  </si>
  <si>
    <t>['golkar', 'tetap', 'dpt', 'nomor', 'empat', 'golkar', 'merupakan', 'partai', 'dukung', 'perjuangan', 'empat', 'pilar', 'messi', 'sheikh', 'messi', 'maria', 'emi', 'martinez', 'paul', 'sukses', 'bawa', 'argentina', 'juara', 'piala', 'dunia', 'greatest', 'all', 'time', 'argentina', 'world', 'cup']</t>
  </si>
  <si>
    <t>@idextratime Iya kan wasit udah diatur juga sama FIFA agar Argentina juara..üòÅü§≠üòÅ</t>
  </si>
  <si>
    <t>iya kan wasit udah diatur juga sama fifa agar argentina juara</t>
  </si>
  <si>
    <t>['iya', 'kan', 'wasit', 'udah', 'diatur', 'sama', 'fifa', 'argentina', 'juara']</t>
  </si>
  <si>
    <t>Tiap World Cup selalu dukung Argentina. Semalam final paling capek. Akhirnya juara, so dramaaa üò©</t>
  </si>
  <si>
    <t>tiap world cup selalu dukung argentina semalam final paling capek akhirnya juara dramaaa</t>
  </si>
  <si>
    <t>['tiap', 'world', 'cup', 'selalu', 'dukung', 'argentina', 'semalam', 'final', 'paling', 'lelah', 'akhirnya', 'juara', 'dramaaa']</t>
  </si>
  <si>
    <t>Pujian Ronaldo ke Lionel Messi usai Argentina juara Piala Dunia 2022.  üó£Ô∏è: "(permainan) sepak bola orang ini menyingkirkan persaingan apa pun."  https://t.co/PFGSqUJIbr</t>
  </si>
  <si>
    <t>pujian ronaldo lionel messi usai argentina juara piala dunia permainan sepak bola orang ini menyingkirkan persaingan apa pun</t>
  </si>
  <si>
    <t>['pujian', 'ronaldo', 'lionel', 'messi', 'usai', 'argentina', 'juara', 'piala', 'dunia', 'permainan', 'sepak', 'bola', 'orang', 'menyingkirkan', 'persaingan', 'apa']</t>
  </si>
  <si>
    <t>Pujian Ronaldo ke Lionel Messi usai Argentina juara Piala Dunia 2022.  üó£Ô∏è: "(permainan) sepak bola orang ini menyingkirkan persaingan apa pun."  https://t.co/lM61Qzy5eJ</t>
  </si>
  <si>
    <t>Melabuhlah tirai sudah FIFA World Cup Qatar 2022 yang membawa 32 pasukan buat kali terakhir dan Argentina sebagai Juara buat kali ke-3 mengalahkan France dengan penentuan sepakan penalti 4-2 selepas terikat 3-3.  #FIFAWorldCup  #Qatar2022</t>
  </si>
  <si>
    <t>melabuhlah tirai sudah fifa world cup qatar yang membawa pasukan buat kali terakhir dan argentina sebagai juara buat kali mengalahkan france dengan penentuan sepakan penalti selepas terikat</t>
  </si>
  <si>
    <t>['melabuhlah', 'tirai', 'fifa', 'world', 'cup', 'qatar', 'membawa', 'pasukan', 'buat', 'kali', 'terakhir', 'argentina', 'juara', 'buat', 'kali', 'mengalahkan', 'france', 'penentuan', 'sepakan', 'penalti', 'selepas', 'terikat']</t>
  </si>
  <si>
    <t>Akhirnya, Argentina Juara Piala Dunia Untuk Ketiga Kalinya !!  1978, 1986, 2022.  Messi pensiun dengan tenang  All All In Argentina in France #PialaDunia2022  Nobar  https://t.co/Eotm5gdsgI</t>
  </si>
  <si>
    <t>akhirnya argentina juara piala dunia untuk ketiga kalinya messi pensiun dengan tenang all all argentina france nobar</t>
  </si>
  <si>
    <t>['akhirnya', 'argentina', 'juara', 'piala', 'dunia', 'ketiga', 'kalinya', 'messi', 'pensiun', 'tenang', 'all', 'all', 'argentina', 'france', 'nonton bareng']</t>
  </si>
  <si>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</si>
  <si>
    <t>argentina mengakhiri penantian juara usai tahun ini adalah gelar ketiga tim albiceleste sebelumnya mereka juara tahun dengan gelar ini lionel messi berhasi melengkapi gelar pribadi yang pernah diraihnya mana nih suara bolafriends yang dukung argentina</t>
  </si>
  <si>
    <t>['argentina', 'mengakhiri', 'penantian', 'juara', 'usai', 'tahun', 'gelar', 'ketiga', 'tim', 'albiceleste', 'sebelumnya', 'juara', 'tahun', 'gelar', 'lionel', 'messi', 'berhasi', 'melengkapi', 'gelar', 'pribadi', 'pernah', 'diraihnya', 'mana', 'suara', 'bolafriends', 'dukung', 'argentina']</t>
  </si>
  <si>
    <t>Saya ucapkan Selamat kepada timnas Argentina yang meraih gelar Juara Piala Dunia 2022  https://t.co/a5hL368xPp</t>
  </si>
  <si>
    <t>saya ucapkan selamat kepada timnas argentina yang meraih gelar juara piala dunia</t>
  </si>
  <si>
    <t>['ucapkan', 'selamat', 'timnas', 'argentina', 'meraih', 'gelar', 'juara', 'piala', 'dunia']</t>
  </si>
  <si>
    <t>habis ketemu temen2 Lama, bener2 Re-Charge my Energy</t>
  </si>
  <si>
    <t>habis ketemu temen lama bener charge energy</t>
  </si>
  <si>
    <t>['habis', 'ketemu', 'temen', 'lama', 'benar', 'charge', 'energy']</t>
  </si>
  <si>
    <t>@idextratime udahlah tinggal akuin argentina juara apa susahnya pake segala bilang "settingan-settingan" wkwkwk  https://t.co/hdQRTh3Aqh</t>
  </si>
  <si>
    <t>udahlah tinggal akuin argentina juara apa susahnya pake segala bilang settingan settingan wkwkwk</t>
  </si>
  <si>
    <t>['udahlah', 'tinggal', 'akuin', 'argentina', 'juara', 'apa', 'susahnya', 'pake', 'segala', 'settingan', 'settingan', 'wkwkwk']</t>
  </si>
  <si>
    <t>Salah satu momen paling ikonik dalam perayaan juara Argentina adalah ketika Messi menerima trofi Piala Dunia dari Presiden FIFA dan Kerajaan Qatar.  Messi dipakaikan jubah yag merupakan pakaian tradisional timur tengah.  https://t.co/xWiMRpt9kZ  https://t.co/K1IzqvZttr</t>
  </si>
  <si>
    <t>salah satu momen paling ikonik dalam perayaan juara argentina adalah ketika messi menerima trofi piala dunia dari presiden fifa dan kerajaan qatar messi dipakaikan jubah yag merupakan pakaian tradisional timur tengah</t>
  </si>
  <si>
    <t>['salah', 'satu', 'momen', 'paling', 'ikonik', 'perayaan', 'juara', 'argentina', 'messi', 'menerima', 'trofi', 'piala', 'dunia', 'presiden', 'fifa', 'kerajaan', 'qatar', 'messi', 'dipakaikan', 'jubah', 'yag', 'merupakan', 'pakaian', 'tradisional', 'timur', 'tengah']</t>
  </si>
  <si>
    <t>Keren wes ... Top Argentina ya Mbay @BanyoeBiroe0708 .. kita dah tau kalau juara üëçüëçüèÜü•á‚öΩüá¶üá∑  https://t.co/NpNh0z5ei8</t>
  </si>
  <si>
    <t>keren wes top argentina mbay kita dah tau kalau juara</t>
  </si>
  <si>
    <t>['keren', 'wes', 'top', 'argentina', 'mbay', 'dah', 'kalau', 'juara']</t>
  </si>
  <si>
    <t>Sukses Argentina Untuk Jawa Barat Juara!!!, udah cocok jd slogan kampanye cagub ü§£</t>
  </si>
  <si>
    <t>sukses argentina untuk jawa barat juara udah cocok slogan kampanye cagub</t>
  </si>
  <si>
    <t>['sukses', 'argentina', 'jawa', 'barat', 'juara', 'udah', 'cocok', 'slogan', 'kampanye', 'cagub']</t>
  </si>
  <si>
    <t>Infografis Argentina Juara Piala Dunia 2022 Infografis oleh:  https://t.co/lKgvjuZhME  https://t.co/tHLprJuPjS</t>
  </si>
  <si>
    <t>infografis argentina juara piala dunia infografis oleh</t>
  </si>
  <si>
    <t>['infografis', 'argentina', 'juara', 'piala', 'dunia', 'infografis']</t>
  </si>
  <si>
    <t>Lionel Messi Batal Pensiun Usai Bawa Kemenangan untuk Argentina:Saya Akan Terus Bertanding Sebagai Juara Dunia   https://t.co/gsa9h0Lpc2</t>
  </si>
  <si>
    <t>lionel messi batal pensiun usai bawa kemenangan untuk argentina saya akan terus bertanding sebagai juara dunia</t>
  </si>
  <si>
    <t>['lionel', 'messi', 'batal', 'pensiun', 'usai', 'bawa', 'kemenangan', 'argentina', 'terus', 'bertanding', 'juara', 'dunia']</t>
  </si>
  <si>
    <t>Argentina 2014 gagal juara karena Higuain gagal 1v1 Neuer, semalam juara salah satunya karena lawan yang gagal 1v1 ke gawang mereka. üòÅüòÅ</t>
  </si>
  <si>
    <t>argentina gagal juara karena higuain gagal neuer semalam juara salah satunya karena lawan yang gagal gawang mereka</t>
  </si>
  <si>
    <t>['argentina', 'gagal', 'juara', 'higuain', 'gagal', 'neuer', 'semalam', 'juara', 'salah', 'satunya', 'lawan', 'gagal', 'gawang']</t>
  </si>
  <si>
    <t>Argentina Juara 1 Piala Dunia Qatar 2022  https://t.co/l43uTQgqOm</t>
  </si>
  <si>
    <t>Bawa Argentina Juara Piala Dunia 2022 : Lionel Messi Raih Pemain Terbaik, Ini kata Pelatih  https://t.co/MQyGHxOjc7</t>
  </si>
  <si>
    <t>bawa argentina juara piala dunia lionel messi raih pemain terbaik ini kata pelatih</t>
  </si>
  <si>
    <t>['bawa', 'argentina', 'juara', 'piala', 'dunia', 'lionel', 'messi', 'raih', 'pemain', 'terbaik', 'kata', 'pelatih']</t>
  </si>
  <si>
    <t>Karier Gemilang Messi: Antar Argentina Juara Copa America-Piala Dunia 2022  https://t.co/gBeOsmVFxC</t>
  </si>
  <si>
    <t>karier gemilang messi antar argentina juara copa america piala dunia</t>
  </si>
  <si>
    <t>['karier', 'gemilang', 'messi', 'antar', 'argentina', 'juara', 'copa', 'america', 'piala', 'dunia']</t>
  </si>
  <si>
    <t>Ronaldo mengucapkan selamat kepada Lionel Messi setelah membawa Argentina juara Piala Dunia Qatar 2022.  https://t.co/1viXdYG3Ts</t>
  </si>
  <si>
    <t>ronaldo mengucapkan selamat kepada lionel messi setelah membawa argentina juara piala dunia qatar</t>
  </si>
  <si>
    <t>['ronaldo', 'mengucapkan', 'selamat', 'lionel', 'messi', 'membawa', 'argentina', 'juara', 'piala', 'dunia', 'qatar']</t>
  </si>
  <si>
    <t>@Fandom_ID Save berharga yg di lakukan Emy ini plus akselerasi Mbappe di ujung extra time yg di gagalkan Dybala menjadi salah satu kunci Argentina bs jd juara</t>
  </si>
  <si>
    <t>save berharga lakukan emy ini plus akselerasi mbappe ujung extra time gagalkan dybala menjadi salah satu kunci argentina juara</t>
  </si>
  <si>
    <t>['save', 'berharga', 'lakukan', 'emy', 'plus', 'akselerasi', 'mbappe', 'ujung', 'extra', 'time', 'gagalkan', 'dybala', 'menjadi', 'salah', 'satu', 'kunci', 'argentina', 'juara']</t>
  </si>
  <si>
    <t>Ratusan ribu penggemar Lionel Messi, semuanya dengan kaus bernomor punggung 10, berada di jalan-jalan di seluruh Argentina merayakan sang legenda sepak bola dan tim juara.  https://t.co/qWgjMlIhlx</t>
  </si>
  <si>
    <t>ratusan ribu penggemar lionel messi semuanya dengan kaus bernomor punggung berada jalan jalan seluruh argentina merayakan sang legenda sepak bola dan tim juara</t>
  </si>
  <si>
    <t>['ratusan', 'ribu', 'penggemar', 'lionel', 'messi', 'semuanya', 'kaus', 'bernomor', 'punggung', 'berada', 'jalan', 'jalan', 'seluruh', 'argentina', 'merayakan', 'sang', 'legenda', 'sepak', 'bola', 'tim', 'juara']</t>
  </si>
  <si>
    <t>@senogp @MoooiPustaka ijin meramaikan, mas. meski sangat menyayangkan kenapa argentina yang keluar jadi juara dan bukannya perancis. kalo dibolehin, saya mau buku terbitan mooipustaka, random aja gak masalah. sekali lagi makasi dan izin follow ‚úåÔ∏è</t>
  </si>
  <si>
    <t>ijin meramaikan mas meski sangat menyayangkan kenapa argentina yang keluar jadi juara dan bukannya perancis kalo dibolehin saya mau buku terbitan mooipustaka random aja gak masalah sekali lagi makasi dan izin follow</t>
  </si>
  <si>
    <t>['ijin', 'meramaikan', 'mas', 'meski', 'sangat', 'menyayangkan', 'argentina', 'keluar', 'jadi', 'juara', 'bukannya', 'perancis', 'dibolehin', 'mau', 'buku', 'terbitan', 'mooipustaka', 'random', 'masalah', 'sekali', 'makasi', 'izin', 'follow']</t>
  </si>
  <si>
    <t>Paulo Dybala Bawa 'Oleh-oleh' Jaring Gawang Usai Argentina Raih Juara Piala Dunia 2022 #Dybala #Argentina #Messi #PauloDybala #France #FIFAWorldCup #LionelMessi #LeoMessi #Mbappe  Selengkapnya:  https://t.co/tFTq2OTUJ6 via @YouTube</t>
  </si>
  <si>
    <t>paulo dybala bawa oleh oleh jaring gawang usai argentina raih juara piala dunia selengkapnya via</t>
  </si>
  <si>
    <t>['paulo', 'dybala', 'bawa', 'jaring', 'gawang', 'usai', 'argentina', 'raih', 'juara', 'piala', 'dunia', 'selengkapnya', 'via']</t>
  </si>
  <si>
    <t>Prediksi MenkopUKM Terbukti, Argentina Juara Piala Dunia 2022  https://t.co/0EAgPib6Sg #KabinetIndonesiaBersatu #MenkopUKM #PialaDunia2022 #qatar</t>
  </si>
  <si>
    <t>prediksi menkopukm terbukti argentina juara piala dunia</t>
  </si>
  <si>
    <t>['prediksi', 'menkopukm', 'terbukti', 'argentina', 'juara', 'piala', 'dunia']</t>
  </si>
  <si>
    <t>Yang menang Argentina,yang kalah Prancis,yang gagal juara 3 Maroko,tapi yang di bully tetap Ronaldo üò≠üò≠</t>
  </si>
  <si>
    <t>yang menang argentina yang kalah prancis yang gagal juara maroko tapi yang bully tetap ronaldo</t>
  </si>
  <si>
    <t>['menang', 'argentina', 'kalah', 'prancis', 'gagal', 'juara', 'maroko', 'bully', 'tetap', 'ronaldo']</t>
  </si>
  <si>
    <t>Argentina Juara Piala Dunia Usai Penantian 36 Tahun, Lionel Messi Sah Menjadi Seorang¬†GOAT  https://t.co/aRQ3I7aoqQ</t>
  </si>
  <si>
    <t>argentina juara piala dunia usai penantian tahun lionel messi sah menjadi seorang goat</t>
  </si>
  <si>
    <t>['argentina', 'juara', 'piala', 'dunia', 'usai', 'penantian', 'tahun', 'lionel', 'messi', 'sah', 'menjadi', 'seorang', 'goat']</t>
  </si>
  <si>
    <t>[askrl] karena argentina juara, gua bakal giveaway 150k buat 3 orangüëãüèª</t>
  </si>
  <si>
    <t>askrl karena argentina juara gua bakal giveaway buat orang</t>
  </si>
  <si>
    <t>['askrl', 'argentina', 'juara', 'gua', 'bakal', 'giveaway', 'buat', 'orang']</t>
  </si>
  <si>
    <t>Scaloni Ajak Rakyat Argentina Nikmati Sukses Juara Piala Dunia  https://t.co/YXSDGT5Qr9 #LionelScaloni #PialaDunia2022 #qatar #TimnasArgentina</t>
  </si>
  <si>
    <t>scaloni ajak rakyat argentina nikmati sukses juara piala dunia</t>
  </si>
  <si>
    <t>['scaloni', 'ajak', 'rakyat', 'argentina', 'nikmati', 'sukses', 'juara', 'piala', 'dunia']</t>
  </si>
  <si>
    <t>@Gerindra @yourmybestview @YsoodamM @Komitmentaianjg @adriansyahyasin MIN ARGENTINA JUARA DONG, kasih selamat dong</t>
  </si>
  <si>
    <t>min argentina juara dong kasih selamat dong</t>
  </si>
  <si>
    <t>['min', 'argentina', 'juara', 'dong', 'kasih', 'selamat', 'dong']</t>
  </si>
  <si>
    <t>Argentina juara, Messi ngadain Tasyakuran. Jangan lupa hari Rabu üôèüèª  https://t.co/xwOjMPpZdw</t>
  </si>
  <si>
    <t>argentina juara messi ngadain tasyakuran jangan lupa hari rabu</t>
  </si>
  <si>
    <t>['argentina', 'juara', 'messi', 'ngadain', 'tasyakuran', 'jangan', 'lupa', 'hari', 'rabu']</t>
  </si>
  <si>
    <t>@alammath Blmpi memang piala dunia sdh na prediksi mi Argentina yg juara</t>
  </si>
  <si>
    <t>blmpi memang piala dunia sdh prediksi argentina juara</t>
  </si>
  <si>
    <t>['blmpi', 'memang', 'piala', 'dunia', 'prediksi', 'argentina', 'juara']</t>
  </si>
  <si>
    <t>Presiden Joko Widodo atau Jokowi sempat ditanya perihal pertandingan final Piala Dunia 2022 yang mengantarkan tim nasional Argentina menjadi juara. Tak disangka, Jokowi berikan jawaban 'nyeleneh' kepada wartawan. #PrabowoPrestasi #kerjasama</t>
  </si>
  <si>
    <t>presiden joko widodo atau jokowi sempat ditanya perihal pertandingan final piala dunia yang mengantarkan tim nasional argentina menjadi juara tak disangka jokowi berikan jawaban nyeleneh kepada wartawan</t>
  </si>
  <si>
    <t>['presiden', 'joko', 'widodo', 'jokowi', 'sempat', 'ditanya', 'perihal', 'pertandingan', 'final', 'piala', 'dunia', 'mengantarkan', 'tim', 'nasional', 'argentina', 'menjadi', 'juara', 'tak', 'disangka', 'jokowi', 'berikan', 'jawaban', 'nyeleneh', 'wartawan']</t>
  </si>
  <si>
    <t>Prediksi MenkopUKM Terbukti, Argentina Juara Piala Dunia 2022  https://t.co/oFcl2ihiYR #KabinetIndonesiaBersatu #MenKopUKM #PialaDunia2022 #qatar</t>
  </si>
  <si>
    <t>Suasana Perayaan Argentina Juara Piala Dunia di Kampung Halaman Messi dan Di Maria, Rosario  https://t.co/jDDsGEorOK</t>
  </si>
  <si>
    <t>suasana perayaan argentina juara piala dunia kampung halaman messi dan maria rosario</t>
  </si>
  <si>
    <t>['suasana', 'perayaan', 'argentina', 'juara', 'piala', 'dunia', 'kampung', 'halaman', 'messi', 'maria', 'rosario']</t>
  </si>
  <si>
    <t>Argentina Juara Piala Dunia 2022 Usai Taklukkan Prancis Baca selengkapnya di  https://t.co/9eck3tCGf4</t>
  </si>
  <si>
    <t>argentina juara piala dunia usai taklukkan prancis baca selengkapnya</t>
  </si>
  <si>
    <t>['argentina', 'juara', 'piala', 'dunia', 'usai', 'taklukkan', 'prancis', 'baca', 'selengkapnya']</t>
  </si>
  <si>
    <t>Hari yang cerah, suasana yang indah. Kabeh mergo argentina juara xixi</t>
  </si>
  <si>
    <t>hari yang cerah suasana yang indah kabeh mergo argentina juara xixi</t>
  </si>
  <si>
    <t>['hari', 'cerah', 'suasana', 'indah', 'kabeh', 'mergo', 'argentina', 'juara', 'xixi']</t>
  </si>
  <si>
    <t>Persahabatan Lionel Messi dan Angel Di Maria, Bawa Argentina Juara Piala Dunia Qatar  https://t.co/IVoSftCLJg</t>
  </si>
  <si>
    <t>persahabatan lionel messi dan angel maria bawa argentina juara piala dunia qatar</t>
  </si>
  <si>
    <t>['persahabatan', 'lionel', 'messi', 'angel', 'maria', 'bawa', 'argentina', 'juara', 'piala', 'dunia', 'qatar']</t>
  </si>
  <si>
    <t>@idextratime PSG basis tim Perancis, dan negara nya doi baru kalah di final. Kecewa? Pasti ada, tapi tetap ada apresiasi nya kok di post juga klo Messi juara.   Sedangkan Barca, ga ada hubungan dan kepentingan sama sekali dgn finalis Argentina/perancis</t>
  </si>
  <si>
    <t>psg basis tim perancis dan negara nya doi baru kalah final kecewa pasti ada tapi tetap ada apresiasi nya kok post juga klo messi juara sedangkan barca ada hubungan dan kepentingan sama sekali dgn finalis argentina perancis</t>
  </si>
  <si>
    <t>['psg', 'basis', 'tim', 'perancis', 'negara', 'doi', 'baru', 'kalah', 'final', 'kecewa', 'tetap', 'apresiasi', 'kok', 'post', 'messi', 'juara', 'barca', 'hubungan', 'kepentingan', 'sama', 'sekali', 'finalis', 'argentina', 'perancis']</t>
  </si>
  <si>
    <t>@stieevv tunggu sampai marc klok ada kesempatan ü•∞</t>
  </si>
  <si>
    <t>tunggu sampai marc klok ada kesempatan</t>
  </si>
  <si>
    <t>['tunggu', 'marc', 'klok', 'kesempatan']</t>
  </si>
  <si>
    <t>Syeikh Messi Argentina Juara Piala Dunia 2022 Prancis Mbappe Giroud Di Maria Final World Cup GOAT Pensiun Drake Senin    https://t.co/Y6hv0hv0Ye</t>
  </si>
  <si>
    <t>syeikh messi argentina juara piala dunia prancis mbappe giroud maria final world cup goat pensiun drake senin</t>
  </si>
  <si>
    <t>['syeikh', 'messi', 'argentina', 'juara', 'piala', 'dunia', 'prancis', 'mbappe', 'giroud', 'maria', 'final', 'world', 'cup', 'goat', 'pensiun', 'drake', 'senin']</t>
  </si>
  <si>
    <t>Argentina jadi juara, mbak anya jadi permata, wes ngono ae pantun ku  https://t.co/fC7v8igonD</t>
  </si>
  <si>
    <t>argentina jadi juara mbak anya jadi permata wes ngono pantun</t>
  </si>
  <si>
    <t>['argentina', 'jadi', 'juara', 'mbak', 'anya', 'jadi', 'permata', 'wes', 'ngono', 'pantun']</t>
  </si>
  <si>
    <t>Berkaca dari perhelatan Piala Dunia, kemudian liat foto petinggi PSSI bahagia banget padahal Argentina yang juara, apakah ini gambaran prestasi sepakbola kita yang memang baru sebagai "Penonton sepakbola yang berbahagia di manapun anda berada!" Nah, bagaimana AFF 2022? #Hensat</t>
  </si>
  <si>
    <t>berkaca dari perhelatan piala dunia kemudian liat foto petinggi pssi bahagia banget padahal argentina yang juara apakah ini gambaran prestasi sepakbola kita yang memang baru sebagai penonton sepakbola yang berbahagia manapun anda berada nah bagaimana aff</t>
  </si>
  <si>
    <t>['berkaca', 'perhelatan', 'piala', 'dunia', 'kemudian', 'lihat', 'foto', 'petinggi', 'pssi', 'bahagia', 'banget', 'padahal', 'argentina', 'juara', 'gambaran', 'prestasi', 'sepakbola', 'memang', 'baru', 'penonton', 'sepakbola', 'berbahagia', 'manapun', 'berada', 'nah', 'bagaimana', 'aff']</t>
  </si>
  <si>
    <t>Bikin Ngakak Prabowo dan Panglima TNI, Ini Jawaban Jokowi Saat Ditanya Soal Argentina Jadi Juara Piala Dunia 2022 #PrabowoPrestasi #kerjasama  https://t.co/H1QsNdOz5f</t>
  </si>
  <si>
    <t>bikin ngakak prabowo dan panglima tni ini jawaban jokowi saat ditanya soal argentina jadi juara piala dunia</t>
  </si>
  <si>
    <t>['ngakak', 'prabowo', 'panglima', 'tni', 'jawaban', 'jokowi', 'ditanya', 'soal', 'argentina', 'jadi', 'juara', 'piala', 'dunia']</t>
  </si>
  <si>
    <t>@setiawann2001 @aguleire @idextratime itu kalau g cedera emi gk bakalan masuk dan g bakal dibeli aston vila juga dan mungkin gk bakal masuk timnas argentina, dan gk bakal juara klo kipernya si armani atau yg dulu itu lupa</t>
  </si>
  <si>
    <t>itu kalau cedera emi bakalan masuk dan bakal dibeli aston vila juga dan mungkin bakal masuk timnas argentina dan bakal juara klo kipernya armani atau dulu itu lupa</t>
  </si>
  <si>
    <t>['kalau', 'cedera', 'emi', 'bakalan', 'masuk', 'bakal', 'dibeli', 'aston', 'vila', 'mungkin', 'bakal', 'masuk', 'timnas', 'argentina', 'bakal', 'juara', 'kipernya', 'armani', 'dulu', 'lupa']</t>
  </si>
  <si>
    <t>Gua rakyat Indonesia aja terharu boy Messi juara pildun. Apalgi rakyat argentina bahagia bneran.</t>
  </si>
  <si>
    <t>gua rakyat indonesia aja terharu boy messi juara pildun apalgi rakyat argentina bahagia bneran</t>
  </si>
  <si>
    <t>['gua', 'rakyat', 'indonesia', 'terharu', 'boy', 'messi', 'juara', 'piala dunia', 'apalgi', 'rakyat', 'argentina', 'bahagia', 'bneran']</t>
  </si>
  <si>
    <t>@nksthi Hanya di rezim iwan bule, argentina akhirnya juara dunia lagi üèÜüèÜüèÜ</t>
  </si>
  <si>
    <t>hanya rezim iwan bule argentina akhirnya juara dunia lagi</t>
  </si>
  <si>
    <t>['rezim', 'iwan', 'bule', 'argentina', 'akhirnya', 'juara', 'dunia']</t>
  </si>
  <si>
    <t>What A Final: Argentina Layak Juara Piala Dunia 2022  https://t.co/WcVnfRNcUj #moreshareforum #beritaterkini</t>
  </si>
  <si>
    <t>what final argentina layak juara piala dunia</t>
  </si>
  <si>
    <t>['what', 'final', 'argentina', 'layak', 'juara', 'piala', 'dunia']</t>
  </si>
  <si>
    <t>@hidupppps Akibat terlalu seneng Argentina juara si lu ckck</t>
  </si>
  <si>
    <t>akibat terlalu seneng argentina juara ckck</t>
  </si>
  <si>
    <t>['akibat', 'terlalu', 'seneng', 'argentina', 'juara', 'ckck']</t>
  </si>
  <si>
    <t>Argentina Juara Dunia, Pengamat: Terbaik dalam Sejarah  https://t.co/06swsrLVxZ #PialaDunia2022 #qatar #timnasargentina</t>
  </si>
  <si>
    <t>argentina juara dunia pengamat terbaik dalam sejarah</t>
  </si>
  <si>
    <t>['argentina', 'juara', 'dunia', 'pengamat', 'terbaik', 'sejarah']</t>
  </si>
  <si>
    <t>Jangan lupa Arab Saudi,  satu satunya Negera Peserta Piala Dunia di Qatar yang berhasil mengalahkan Argentina di Piala Dunia.   Asia Juara Juga dan punya karomah.</t>
  </si>
  <si>
    <t>jangan lupa arab saudi satu satunya negera peserta piala dunia qatar yang berhasil mengalahkan argentina piala dunia asia juara juga dan punya karomah</t>
  </si>
  <si>
    <t>['jangan', 'lupa', 'arab', 'saudi', 'satu', 'satunya', 'negera', 'peserta', 'piala', 'dunia', 'qatar', 'berhasil', 'mengalahkan', 'argentina', 'piala', 'dunia', 'asia', 'juara', 'punya', 'karomah']</t>
  </si>
  <si>
    <t>Iyeee tapi jangan lah tanya semalam 3-3 tapi kenapa Argentina juara kan ankara messi ankara messi 44 kali</t>
  </si>
  <si>
    <t>iyeee tapi jangan lah tanya semalam tapi kenapa argentina juara kan ankara messi ankara messi kali</t>
  </si>
  <si>
    <t>['iyeee', 'jangan', 'lah', 'tanya', 'semalam', 'argentina', 'juara', 'kan', 'ankara', 'messi', 'ankara', 'messi', 'kali']</t>
  </si>
  <si>
    <t>Emiliano Martinez bahkan belum mapan sebagai kiper utama di level klub tiga tahun lalu dan baru debut dengan Argentina pada 2021. Kini ia juara Piala Dunia! #juaraboladunia    https://t.co/PyURUlkIR4</t>
  </si>
  <si>
    <t>Sebut Prancis Lebih Layak Juara Piala Dunia 2022, Fans Les Bleus Protes Keras Gol Ketiga Argentina   https://t.co/fbFEpOJfmK</t>
  </si>
  <si>
    <t>sebut prancis lebih layak juara piala dunia fans les bleus protes keras gol ketiga argentina</t>
  </si>
  <si>
    <t>['sebut', 'prancis', 'lebih', 'layak', 'juara', 'piala', 'dunia', 'fans', 'les', 'bleus', 'protes', 'keras', 'gol', 'ketiga', 'argentina']</t>
  </si>
  <si>
    <t>@Midjan_La_2 Cuma di era Jokowi Argentina bisa juara dunia lagi setelah era pak Harto ..  Presiden2 sebelumnya ngapain aja?  Aii lop yu pul pak dheee. .</t>
  </si>
  <si>
    <t>cuma era jokowi argentina bisa juara dunia lagi setelah era pak harto presiden sebelumnya ngapain aja aii lop pul pak dheee</t>
  </si>
  <si>
    <t>['cuma', 'era', 'jokowi', 'argentina', 'juara', 'dunia', 'era', 'pak', 'harto', 'presiden', 'sebelumnya', 'ngapain', 'aii', 'lop', 'pul', 'pak', 'dheee']</t>
  </si>
  <si>
    <t>Argentina Juara Piala Dunia, Messi Diharap Bisa Ikut Lagi 2026.  Surabaya ( https://t.co/ksziGGp1k3) ‚Äì Pada pertandingan merebut juara pertama, skor Argentina dan Prancis imbang 3-3 di 120‚Ä¶  https://t.co/coh9wuHoHH #Ragam #argentina #lionelmessi #pialadunia via @beritajatimcom</t>
  </si>
  <si>
    <t>argentina juara piala dunia messi diharap bisa ikut lagi surabaya pada pertandingan merebut juara pertama skor argentina dan prancis imbang via</t>
  </si>
  <si>
    <t>['argentina', 'juara', 'piala', 'dunia', 'messi', 'diharap', 'ikut', 'surabaya', 'pertandingan', 'merebut', 'juara', 'pertama', 'skor', 'argentina', 'prancis', 'imbang', 'via']</t>
  </si>
  <si>
    <t>@idextratime Tanpa bantuan penalti dan wasit argentina, mungkin ronaldo yg juara dunia.</t>
  </si>
  <si>
    <t>tanpa bantuan penalti dan wasit argentina mungkin ronaldo juara dunia</t>
  </si>
  <si>
    <t>['bantuan', 'penalti', 'wasit', 'argentina', 'mungkin', 'ronaldo', 'juara', 'dunia']</t>
  </si>
  <si>
    <t>VIDEO: Argentina Juara Dunia! Pemain Tim Tango Borong Penghargaan  https://t.co/BXg7VDTL5k</t>
  </si>
  <si>
    <t>video argentina juara dunia pemain tim tango borong penghargaan</t>
  </si>
  <si>
    <t>['video', 'argentina', 'juara', 'dunia', 'pemain', 'tim', 'tango', 'borong', 'penghargaan']</t>
  </si>
  <si>
    <t>Juara Piala Dunia Qatar 2022, Momen Lionel Messi Raih Kejayaan Dunia Bersama Argentina  https://t.co/hEmdITE1pb #CoverBothSide</t>
  </si>
  <si>
    <t>juara piala dunia qatar momen lionel messi raih kejayaan dunia bersama argentina</t>
  </si>
  <si>
    <t>['juara', 'piala', 'dunia', 'qatar', 'momen', 'lionel', 'messi', 'raih', 'kejayaan', 'dunia', 'bersama', 'argentina']</t>
  </si>
  <si>
    <t>Argentina Juara: Belajar Politik Kompetensi dari Piala Dunia 2022  https://t.co/NUd8WOC0R7 lewat @suaraislam_id</t>
  </si>
  <si>
    <t>argentina juara belajar politik kompetensi dari piala dunia lewat</t>
  </si>
  <si>
    <t>['argentina', 'juara', 'belajar', 'politik', 'kompetensi', 'piala', 'dunia', 'lewat']</t>
  </si>
  <si>
    <t>Argentina Juara Piala Dunia 2022 Lionel Messi Jadi Pemain Terbaik  https://t.co/LrZDWn1C1C</t>
  </si>
  <si>
    <t>argentina juara piala dunia lionel messi jadi pemain terbaik</t>
  </si>
  <si>
    <t>['argentina', 'juara', 'piala', 'dunia', 'lionel', 'messi', 'jadi', 'pemain', 'terbaik']</t>
  </si>
  <si>
    <t>Messi Beri Hormat kepada Suporter Argentina: Kami Juara Dunia!  https://t.co/ljslSu2wZl</t>
  </si>
  <si>
    <t>messi beri hormat kepada suporter argentina kami juara dunia</t>
  </si>
  <si>
    <t>['messi', 'beri', 'hormat', 'suporter', 'argentina', 'juara', 'dunia']</t>
  </si>
  <si>
    <t>Gelaran Piala Dunia FIFA 2022 akhirnya usai. Selamat kepada Timnas Argentina yang tampil sebagai juara!  Sebulan ke belakang, Piala Dunia di Qatar benar-benar menarik perhatian dunia. Berikut kami tampilkan sedikit recap momen-momen terbaik.  https://t.co/gcdoauawnC</t>
  </si>
  <si>
    <t>gelaran piala dunia fifa akhirnya usai selamat kepada timnas argentina yang tampil sebagai juara sebulan belakang piala dunia qatar benar benar menarik perhatian dunia berikut kami tampilkan sedikit recap momen momen terbaik</t>
  </si>
  <si>
    <t>['gelaran', 'piala', 'dunia', 'fifa', 'akhirnya', 'usai', 'selamat', 'timnas', 'argentina', 'tampil', 'juara', 'sebulan', 'belakang', 'piala', 'dunia', 'qatar', 'benar', 'benar', 'menarik', 'perhatian', 'dunia', 'berikut', 'tampilkan', 'sedikit', 'recap', 'momen', 'momen', 'terbaik']</t>
  </si>
  <si>
    <t>@_hanrey @cxallon @caniagobulls @idextratime Hoo wes mandek argentina juara tel</t>
  </si>
  <si>
    <t>hoo wes mandek argentina juara tel</t>
  </si>
  <si>
    <t>['hoo', 'wes', 'mandek', 'argentina', 'juara', 'tel']</t>
  </si>
  <si>
    <t>Prediksi EA Sports Argentina Juara Piala Dunia 2022 Tepat!  https://t.co/e7Y015SROZ</t>
  </si>
  <si>
    <t>prediksi sports argentina juara piala dunia tepat</t>
  </si>
  <si>
    <t>['prediksi', 'sports', 'argentina', 'juara', 'piala', 'dunia', 'tepat']</t>
  </si>
  <si>
    <t>Lionel Messi Masih Lapar Gelar, Ogah Pensiun Seusai Argentina Juara Piala Dunia 2022 #LionelMessi  https://t.co/2CJDcqNN7Z</t>
  </si>
  <si>
    <t>lionel messi masih lapar gelar ogah pensiun seusai argentina juara piala dunia</t>
  </si>
  <si>
    <t>['lionel', 'messi', 'lapar', 'gelar', 'ogah', 'pensiun', 'seusai', 'argentina', 'juara', 'piala', 'dunia']</t>
  </si>
  <si>
    <t>Sesungguhnya yg Juara Dunia itu Arab Saudi. Arab Saudilah satu-satunya negara yg mampu mengalahkan Argentina</t>
  </si>
  <si>
    <t>sesungguhnya juara dunia itu arab saudi arab saudilah satu satunya negara mampu mengalahkan argentina</t>
  </si>
  <si>
    <t>['sesungguhnya', 'juara', 'dunia', 'arab', 'saudi', 'arab', 'saudilah', 'satu', 'satunya', 'negara', 'mampu', 'mengalahkan', 'argentina']</t>
  </si>
  <si>
    <t>Mbappe Hattrick, Argentina Juara Piala Dunia üò± Selebrasi MEMALUKAN Martinez ü§Æ Messi Dipeluk Ibu üò≠  https://t.co/0JFNNcagaM  #StartingEleven #BeritaBola #BeritaBolaTerkini #BeritaBolaTerbaru  https://t.co/XUj96WVTDg</t>
  </si>
  <si>
    <t>mbappe hattrick argentina juara piala dunia selebrasi memalukan martinez messi dipeluk ibu</t>
  </si>
  <si>
    <t>['mbappe', 'hattrick', 'argentina', 'juara', 'piala', 'dunia', 'selebrasi', 'memalukan', 'martinez', 'messi', 'dipeluk', 'ibu']</t>
  </si>
  <si>
    <t>Argentina Juara Piala Dunia 2022, Marc Marquez Katakan Begini ke Lionel Messi  https://t.co/MBHrTsoTam</t>
  </si>
  <si>
    <t>argentina juara piala dunia marc marquez katakan begini lionel messi</t>
  </si>
  <si>
    <t>['argentina', 'juara', 'piala', 'dunia', 'marc', 'marquez', 'katakan', 'begini', 'lionel', 'messi']</t>
  </si>
  <si>
    <t>Viral! Keberhasilan Messi Bawa Argentina Jadi Juara Piala Dunia 2022 Sudah Diramal 7 Tahun Lalu  #Viral #leomessi #Argentina  @Argentina @josepolanco10  https://t.co/U5GFxHgVWV</t>
  </si>
  <si>
    <t>viral keberhasilan messi bawa argentina jadi juara piala dunia sudah diramal tahun lalu</t>
  </si>
  <si>
    <t>['viral', 'keberhasilan', 'messi', 'bawa', 'argentina', 'jadi', 'juara', 'piala', 'dunia', 'diramal', 'tahun', 'lalu']</t>
  </si>
  <si>
    <t>prediksi anak yatim dipersoalan piala dunia argentina jd juara ga meleset</t>
  </si>
  <si>
    <t>prediksi anak yatim dipersoalan piala dunia argentina juara meleset</t>
  </si>
  <si>
    <t>['prediksi', 'anak', 'yatim', 'dipersoalan', 'piala', 'dunia', 'argentina', 'juara', 'meleset']</t>
  </si>
  <si>
    <t>Argentina juara Piala Dunia 2022 setelah penantian 36 tahun, warga Argentina ramai berparade. #Redaksi  https://t.co/vsGycdxd2a</t>
  </si>
  <si>
    <t>argentina juara piala dunia setelah penantian tahun warga argentina ramai berparade</t>
  </si>
  <si>
    <t>['argentina', 'juara', 'piala', 'dunia', 'penantian', 'tahun', 'warga', 'argentina', 'ramai', 'berparade']</t>
  </si>
  <si>
    <t>15 Meme Lucu Argentina Juara Piala Dunia 2022, Full Senyum!  https://t.co/MFPeRbCJnh</t>
  </si>
  <si>
    <t>meme lucu argentina juara piala dunia full senyum</t>
  </si>
  <si>
    <t>['meme', 'lucu', 'argentina', 'juara', 'piala', 'dunia', 'full', 'senyum']</t>
  </si>
  <si>
    <t>@RahmetAbabil Karena Argentina gak pantes juara kali ya Mat? iya sih emang.</t>
  </si>
  <si>
    <t>karena argentina gak pantes juara kali mat iya sih emang</t>
  </si>
  <si>
    <t>['argentina', 'pantes', 'juara', 'kali', 'mat', 'iya', 'emang']</t>
  </si>
  <si>
    <t>Argentina terakhir juara piala dunia 36 tahun yang lalu. umur Messi sekarang 35 tahun.</t>
  </si>
  <si>
    <t>argentina terakhir juara piala dunia tahun yang lalu umur messi sekarang tahun</t>
  </si>
  <si>
    <t>['argentina', 'terakhir', 'juara', 'piala', 'dunia', 'tahun', 'lalu', 'umur', 'messi', 'sekarang', 'tahun']</t>
  </si>
  <si>
    <t>Keberhasilan tim nasional (timnas) Argentina menjadi juara Piala Dunia 2022 mencatatkan sejumlah fakta. Apa sajakah itu?   https://t.co/JBF4rvjkcv</t>
  </si>
  <si>
    <t>keberhasilan tim nasional timnas argentina menjadi juara piala dunia mencatatkan sejumlah fakta apa sajakah itu</t>
  </si>
  <si>
    <t>['keberhasilan', 'tim', 'nasional', 'timnas', 'argentina', 'menjadi', 'juara', 'piala', 'dunia', 'mencatatkan', 'sejumlah', 'fakta', 'apa', 'sajakah']</t>
  </si>
  <si>
    <t>@adriansyahyasin Berkat para politisi Indonesia inilah makanya Argentina juara Piala Dunia 2022. ü§≠</t>
  </si>
  <si>
    <t>berkat para politisi indonesia inilah makanya argentina juara piala dunia</t>
  </si>
  <si>
    <t>['berkat', 'politisi', 'indonesia', 'inilah', 'makanya', 'argentina', 'juara', 'piala', 'dunia']</t>
  </si>
  <si>
    <t>Argentina juara Piala Dunia 2022, tapi harus melalui rollercoaster emosi di partai final. Lionel Scaloni menyebut final kontra Prancis sangat gila.  https://t.co/u62bSf2rBm</t>
  </si>
  <si>
    <t>üëë T SHIRT ARGENTINA JUARA WORLD CUP QATAR 2022 üëë  Sebuah utas üî•  Fans tango Wajib banget order, karena SUDAH  36 tahun PUASA WORLD CUP, baru juara kembali, euforia kemenangan luar biasa   MARKET PLACE SIAP  KE WA JUGA SIAP  BORONGAN JUGA SIAP  https://t.co/YMQ6NvGVtz</t>
  </si>
  <si>
    <t>shirt argentina juara world cup qatar sebuah utas fans tango wajib banget order karena sudah tahun puasa world cup baru juara kembali euforia kemenangan luar biasa market place siap juga siap borongan juga siap</t>
  </si>
  <si>
    <t>['shirt', 'argentina', 'juara', 'world', 'cup', 'qatar', 'sebuah', 'utas', 'fans', 'tango', 'wajib', 'banget', 'order', 'tahun', 'puasa', 'world', 'cup', 'baru', 'juara', 'euforia', 'kemenangan', 'luar', 'biasa', 'market', 'place', 'siap', 'siap', 'borongan', 'siap']</t>
  </si>
  <si>
    <t>@idextratime Argentina mendapat trofi setelah absen lama 36 tahun . Stop jadi kalkulator min biarkan pendukung merayakannya üá¶üá∑üá¶üá∑üá¶üá∑üá¶üá∑üá¶üá∑ü•áü•áü•áü•áü•á</t>
  </si>
  <si>
    <t>argentina mendapat trofi setelah absen lama tahun stop jadi kalkulator min biarkan pendukung merayakannya</t>
  </si>
  <si>
    <t>['argentina', 'mendapat', 'trofi', 'absen', 'lama', 'tahun', 'stop', 'jadi', 'kalkulator', 'min', 'biarkan', 'pendukung', 'merayakannya']</t>
  </si>
  <si>
    <t>@Dennysiregar7 Tidak semudah itu ferguso...Argentina kalah oleh Saudi, jadi sebenarnya Saudi lah yg hebat, bisa kalahkan Argentina yg juara.</t>
  </si>
  <si>
    <t>tidak semudah itu ferguso argentina kalah oleh saudi jadi sebenarnya saudi lah hebat bisa kalahkan argentina juara</t>
  </si>
  <si>
    <t>['semudah', 'ferguso', 'argentina', 'kalah', 'saudi', 'jadi', 'sebenarnya', 'saudi', 'lah', 'hebat', 'kalahkan', 'argentina', 'juara']</t>
  </si>
  <si>
    <t>@C4kDeep_ @_Si_Bee @akunkesembilan4 @ariefmaarif2 @PURNAMA19305845 @ahmadsalam0741 @NdasTimbo @FauzanMusthofa @Singa_Nala @Arya_WNZ @lpkkaltim @ArRayah43832329 @inneycha @OnesWansuk5 @Anyun_Comeback @GInD0_2 @D1anapup12707 @BoediantaR5 @UdinBagol8 @ryande</t>
  </si>
  <si>
    <t>nala wnz comeback</t>
  </si>
  <si>
    <t>['nala', 'wnz', 'comeback']</t>
  </si>
  <si>
    <t>Pupus sudah mimpi timnas Prancis untuk mempertahankan gelar juara Piala Dunia.  Kylian Mbappe dianggap sebagai penyebab kekalahan Prancis atas Argentina di final. üò¨  https://t.co/WaixAWP4CZ</t>
  </si>
  <si>
    <t>pupus sudah mimpi timnas prancis untuk mempertahankan gelar juara piala dunia kylian mbappe dianggap sebagai penyebab kekalahan prancis atas argentina final</t>
  </si>
  <si>
    <t>['pupus', 'mimpi', 'timnas', 'prancis', 'mempertahankan', 'gelar', 'juara', 'piala', 'dunia', 'kylian', 'mbappe', 'dianggap', 'penyebab', 'kekalahan', 'prancis', 'atas', 'argentina', 'final']</t>
  </si>
  <si>
    <t>"Saya ingin terus mengalami lagi pertandingan (dalam status) sebagai juara dunia," kata pemain berusia 35 tahun itu kepada televisi Argentina menyusul kemenangan epik adu penalti negara itu atas Prancis dalam final Piala Dunia di Doha.  #Messi #Argentina   https://t.co/aPhfudeKwJ</t>
  </si>
  <si>
    <t>saya ingin terus mengalami lagi pertandingan dalam status sebagai juara dunia kata pemain berusia tahun itu kepada televisi argentina menyusul kemenangan epik adu penalti negara itu atas prancis dalam final piala dunia doha</t>
  </si>
  <si>
    <t>['terus', 'mengalami', 'pertandingan', 'status', 'juara', 'dunia', 'kata', 'pemain', 'berusia', 'tahun', 'televisi', 'argentina', 'menyusul', 'kemenangan', 'epik', 'adu', 'penalti', 'negara', 'atas', 'prancis', 'final', 'piala', 'dunia', 'doha']</t>
  </si>
  <si>
    <t>Pupus sudah mimpi timnas Prancis untuk mempertahankan gelar juara Piala Dunia.  Kylian Mbappe dianggap sebagai penyebab kekalahan Prancis atas Argentina di final. üò¨  https://t.co/IZ7F3PnEiE</t>
  </si>
  <si>
    <t>Persahabatan Lionel Messi dan Angel Di Maria, Bawa Argentina Juara Piala Dunia Qatar  https://t.co/gJUhS8vFpr</t>
  </si>
  <si>
    <t>Intip daftar hadiah piala Dunia 2022, Messi dkk selain bawa trophy bawa uang fantastis juga.   #viral #pialadunia #Argentina #Messi #juara  https://t.co/NG7aBa1WBS</t>
  </si>
  <si>
    <t>intip daftar hadiah piala dunia messi dkk selain bawa trophy bawa uang fantastis juga</t>
  </si>
  <si>
    <t>['intip', 'daftar', 'hadiah', 'piala', 'dunia', 'messi', 'dkk', 'bawa', 'trophy', 'bawa', 'uang', 'fantastis']</t>
  </si>
  <si>
    <t>Qatar adalah juara sesungguhnya, bukan Argentina, bukan Prancis.  Messi dan Mbappe main bareng di klub PSG di Prancis dan berlaga final di Qatar. Pemilik PSG adalah Qatar Sports Investment (QSI) yg terafiliasi dalam Qatar Investment Authority (QIA), raksasa investasi milik Qatar.</t>
  </si>
  <si>
    <t>qatar adalah juara sesungguhnya bukan argentina bukan prancis messi dan mbappe main bareng klub psg prancis dan berlaga final qatar pemilik psg adalah qatar sports investment qsi terafiliasi dalam qatar investment authority qia raksasa investasi milik qatar</t>
  </si>
  <si>
    <t>['qatar', 'juara', 'sesungguhnya', 'bukan', 'argentina', 'bukan', 'prancis', 'messi', 'mbappe', 'main', 'bareng', 'klub', 'psg', 'prancis', 'berlaga', 'final', 'qatar', 'pemilik', 'psg', 'qatar', 'sports', 'investment', 'qsi', 'terafiliasi', 'qatar', 'investment', 'authority', 'qia', 'raksasa', 'investasi', 'milik', 'qatar']</t>
  </si>
  <si>
    <t>@TeddGus Lebih tepatnya : Hanya di era @jokowi dan gubernur dki Pak Heru, Argentina juara dunia utk ke 3 kalinya!!!</t>
  </si>
  <si>
    <t>lebih tepatnya hanya era dan gubernur dki pak heru argentina juara dunia utk kalinya</t>
  </si>
  <si>
    <t>['lebih', 'tepatnya', 'era', 'gubernur', 'dki', 'pak', 'heru', 'argentina', 'juara', 'dunia', 'kalinya']</t>
  </si>
  <si>
    <t>Kupikir, setelah Argentina Juara dan Messi berhasil melengkapi pialanya. Perdebatan antara Messi dan Ronaldo akan selesai begitu saja  Namun..... TERNYATA MASIH BERLANJUUTTTT üôÉüôÉüôÉ</t>
  </si>
  <si>
    <t>kupikir setelah argentina juara dan messi berhasil melengkapi pialanya perdebatan antara messi dan ronaldo akan selesai begitu saja namun ternyata masih berlanjuutttt</t>
  </si>
  <si>
    <t>['kupikir', 'argentina', 'juara', 'messi', 'berhasil', 'melengkapi', 'pialanya', 'perdebatan', 'messi', 'ronaldo', 'selesai', 'ternyata', 'berlanjuutttt']</t>
  </si>
  <si>
    <t>Hadiah Setara Rp654 Miliar untuk Juara Piala Dunia 2022¬†Argentina  https://t.co/agpd0ARM5T</t>
  </si>
  <si>
    <t>hadiah setara miliar untuk juara piala dunia argentina</t>
  </si>
  <si>
    <t>['hadiah', 'setara', 'miliar', 'juara', 'piala', 'dunia', 'argentina']</t>
  </si>
  <si>
    <t>@haithuam Argentina juara</t>
  </si>
  <si>
    <t>@jebreeetmedia Puji Tuhan atas juara piala dunia untk argentina ini</t>
  </si>
  <si>
    <t>puji tuhan atas juara piala dunia untk argentina ini</t>
  </si>
  <si>
    <t>['puji', 'tuhan', 'atas', 'juara', 'piala', 'dunia', 'untk', 'argentina']</t>
  </si>
  <si>
    <t>@Bolanet Juara Eropa sama Juara Piala Dunia sebelumnya malah kalah ama Argentina ü•±</t>
  </si>
  <si>
    <t>juara eropa sama juara piala dunia sebelumnya malah kalah ama argentina</t>
  </si>
  <si>
    <t>['juara', 'eropa', 'sama', 'juara', 'piala', 'dunia', 'sebelumnya', 'malah', 'kalah', 'ama', 'argentina']</t>
  </si>
  <si>
    <t>Keberhasilan itu pun membawa La Albiceleste, julukan timnas Argentina, menjadi juara Piala Dunia 2022. Selebrasi kemenangan pun dilepaskan para pemain Argentina usai pertandingan.    https://t.co/isNFXiR5HK via @serambinews</t>
  </si>
  <si>
    <t>keberhasilan itu pun membawa albiceleste julukan timnas argentina menjadi juara piala dunia selebrasi kemenangan pun dilepaskan para pemain argentina usai pertandingan via</t>
  </si>
  <si>
    <t>['keberhasilan', 'membawa', 'albiceleste', 'julukan', 'timnas', 'argentina', 'menjadi', 'juara', 'piala', 'dunia', 'selebrasi', 'kemenangan', 'dilepaskan', 'pemain', 'argentina', 'usai', 'pertandingan', 'via']</t>
  </si>
  <si>
    <t>Terlepas Argentina juara ada sosok Mac allister pemain brigton yg mainnya bagus</t>
  </si>
  <si>
    <t>terlepas argentina juara ada sosok mac allister pemain brigton mainnya bagus</t>
  </si>
  <si>
    <t>['terlepas', 'argentina', 'juara', 'sosok', 'mac', 'allister', 'pemain', 'brigton', 'mainnya', 'bagus']</t>
  </si>
  <si>
    <t>Berapa hadiah bagi sang juara dunia sepak bola? . . . . #sepakbola #boladunia #worldcup2022 #worldcup #FIFA #qatarworldcup #argentina #messi #GOATìÉµ  https://t.co/0E5AlTZxz0</t>
  </si>
  <si>
    <t>berapa hadiah bagi sang juara dunia sepak bola</t>
  </si>
  <si>
    <t>['berapa', 'hadiah', 'sang', 'juara', 'dunia', 'sepak', 'bola']</t>
  </si>
  <si>
    <t>sek ndak nyongko argentina juara piala dunia. alias jancok aku iki ngipi a cok</t>
  </si>
  <si>
    <t>sek ndak nyongko argentina juara piala dunia alias jancok aku iki ngipi cok</t>
  </si>
  <si>
    <t>['sek', 'ndak', 'nyongko', 'argentina', 'juara', 'piala', 'dunia', 'alias', 'jancok', 'aku', 'iki', 'ngipi', 'cok']</t>
  </si>
  <si>
    <t>agak gimana gitu liat supporter messi di barcelona ngerayain argentina juara piala dunia sementara negaranya (spanyol) ngga juaraüò≠</t>
  </si>
  <si>
    <t>agak gimana gitu liat supporter messi barcelona ngerayain argentina juara piala dunia sementara negaranya spanyol ngga juara</t>
  </si>
  <si>
    <t>['gimana', 'gitu', 'lihat', 'supporter', 'messi', 'barcelona', 'ngerayain', 'argentina', 'juara', 'piala', 'dunia', 'negaranya', 'spanyol', 'ngga', 'juara']</t>
  </si>
  <si>
    <t>Argentina Juara Piala Dunia 2022, Buenos Aires menggila! . #EMTEKWORLDCUP2022 #BOLANETWORLDCUP2022  #PialaDunia #PialaDunia2022  https://t.co/Sc46d6Lko7</t>
  </si>
  <si>
    <t>Kiper Argentina Ledek Mbappe, Ajak Mengheningkan Cipta Saat Selebrasi Juara Dunia 2022  #KiperArgentina #Mbappe #PialaAFF2022  @Argentina @KMbappe  https://t.co/9R7pWMXC7U</t>
  </si>
  <si>
    <t>kiper argentina ledek mbappe ajak mengheningkan cipta saat selebrasi juara dunia</t>
  </si>
  <si>
    <t>['kiper', 'argentina', 'ledek', 'mbappe', 'ajak', 'mengheningkan', 'cipta', 'selebrasi', 'juara', 'dunia']</t>
  </si>
  <si>
    <t>HEBOH! Girang Argentina Juara Piala Dunia 2022, Penonton Wanita di Qatar Nekat Tampil Tanpa Busana  https://t.co/GPmECwmI44</t>
  </si>
  <si>
    <t>heboh girang argentina juara piala dunia penonton wanita qatar nekat tampil tanpa busana</t>
  </si>
  <si>
    <t>['heboh', 'girang', 'argentina', 'juara', 'piala', 'dunia', 'penonton', 'wanita', 'qatar', 'nekat', 'tampil', 'busana']</t>
  </si>
  <si>
    <t>@monsafin @yusuf_dumdum harusnya suporter Arab berterimakasih ke team Argentina. karena satu2nya kemenangan team kesayangan mereka justru didapat dari sang juara dunia. berkat Argentina, team kesayangan mereka terangkat derajatnya....tapi ini kok malah me</t>
  </si>
  <si>
    <t>dumdum harusnya suporter arab berterimakasih team argentina karena satu nya kemenangan team kesayangan mereka justru didapat dari sang juara dunia berkat argentina team kesayangan mereka terangkat derajatnya tapi ini kok malah</t>
  </si>
  <si>
    <t>['dumdum', 'harusnya', 'suporter', 'arab', 'berterimakasih', 'team', 'argentina', 'satu', 'kemenangan', 'team', 'kesayangan', 'justru', 'didapat', 'sang', 'juara', 'dunia', 'berkat', 'argentina', 'team', 'kesayangan', 'terangkat', 'derajatnya', 'kok', 'malah']</t>
  </si>
  <si>
    <t>Sejak 1998, saat Piala Dunia  di Prancis, mendukung timnas #Argentina akhir y semalam ikut menyaksikan tim #Argentina Juara #FIFAWorldCup  #ArgentinaVsFrance #FinalWorldCup2022 #LionelMessiìÉµ #MessiìÉµ #Mbappe  https://t.co/ztHElDgPSz</t>
  </si>
  <si>
    <t>sejak saat piala dunia prancis mendukung timnas akhir semalam ikut menyaksikan tim juara</t>
  </si>
  <si>
    <t>['sejak', 'piala', 'dunia', 'prancis', 'mendukung', 'timnas', 'akhir', 'semalam', 'ikut', 'menyaksikan', 'tim', 'juara']</t>
  </si>
  <si>
    <t>@lisnacansf @SiaranBolaLive Hanya gagal di adu penalty, tetep bangga banget sbg fans Les Bleus bisa gak kalah secara scoreline di 90-120 menit &amp;amp; jadi juara bertahan WC dgn pencapaian terbaik backtoback ke Final -hanya runner-up lwt adu penalty sejak e</t>
  </si>
  <si>
    <t>hanya gagal adu penalty tetep bangga banget sbg fans les bleus bisa gak kalah secara scoreline menit jadi juara bertahan dgn pencapaian terbaik backtoback final hanya runner lwt adu penalty sejak</t>
  </si>
  <si>
    <t>['gagal', 'adu', 'penalty', 'tetep', 'bangga', 'banget', 'sbg', 'fans', 'les', 'bleus', 'kalah', 'scoreline', 'menit', 'jadi', 'juara', 'bertahan', 'pencapaian', 'terbaik', 'backtoback', 'final', 'runner', 'lwt', 'adu', 'penalty', 'sejak']</t>
  </si>
  <si>
    <t>Argentina Menang Banyak, Ini Daftar Hadiah Juara Piala Dunia dari Masa ke Masa  https://t.co/JP4MNBUbye</t>
  </si>
  <si>
    <t>argentina menang banyak ini daftar hadiah juara piala dunia dari masa masa</t>
  </si>
  <si>
    <t>['argentina', 'menang', 'banyak', 'daftar', 'hadiah', 'juara', 'piala', 'dunia', 'masa', 'masa']</t>
  </si>
  <si>
    <t>@cakimiNOW Selamat gus, Argentina juaraüôè</t>
  </si>
  <si>
    <t>selamat gus argentina juara</t>
  </si>
  <si>
    <t>['selamat', 'gus', 'argentina', 'juara']</t>
  </si>
  <si>
    <t>Tim Tango Argentina sabet juara Piala Dunia Qatar¬†2022  https://t.co/gZ4P2BdaU4</t>
  </si>
  <si>
    <t>tim tango argentina sabet juara piala dunia qatar</t>
  </si>
  <si>
    <t>['tim', 'tango', 'argentina', 'sabet', 'juara', 'piala', 'dunia', 'qatar']</t>
  </si>
  <si>
    <t>Tim Tango Argentina sabet juara Piala Dunia Qatar¬†2022  https://t.co/rZOrUc1hiQ</t>
  </si>
  <si>
    <t>Argentina juara dunia, semua berawal dari sini</t>
  </si>
  <si>
    <t>argentina juara dunia semua berawal dari sini</t>
  </si>
  <si>
    <t>['argentina', 'juara', 'dunia', 'semua', 'berawal', 'sini']</t>
  </si>
  <si>
    <t>Argentina juara Piala Dunia setelah kalahkan Prancis lewat adu¬†penalti  https://t.co/N2suRBmLBa</t>
  </si>
  <si>
    <t>argentina juara piala dunia setelah kalahkan prancis lewat adu penalti</t>
  </si>
  <si>
    <t>['argentina', 'juara', 'piala', 'dunia', 'kalahkan', 'prancis', 'lewat', 'adu', 'penalti']</t>
  </si>
  <si>
    <t>Argentina juara Piala Dunia setelah kalahkan Prancis lewat adu¬†penalti  https://t.co/YSoN5d2lfF</t>
  </si>
  <si>
    <t>8 Potret Istri Messi di Perayaan Argentina Juara Piala Dunia 2022, Pesonanya Menghipnotis!  https://t.co/NlijXy8TfD  https://t.co/DdlbQkS4Er</t>
  </si>
  <si>
    <t>potret istri messi perayaan argentina juara piala dunia pesonanya menghipnotis</t>
  </si>
  <si>
    <t>['potret', 'istri', 'messi', 'perayaan', 'argentina', 'juara', 'piala', 'dunia', 'pesonanya', 'menghipnotis']</t>
  </si>
  <si>
    <t>5 Rekor Messi Usai Bawa Argentina Juara Piala Dunia  https://t.co/8BghZAFUvP</t>
  </si>
  <si>
    <t>rekor messi usai bawa argentina juara piala dunia</t>
  </si>
  <si>
    <t>['rekor', 'messi', 'usai', 'bawa', 'argentina', 'juara', 'piala', 'dunia']</t>
  </si>
  <si>
    <t>Dari keberhasilan Argentina keluar sebagai juara Piala Dunia 2022 melahirkan sejumlah fakta menarik. Apa saja itu?  Simak selengkapnya pada video berikut!  #bolaskorcom #argentina #france #messi #qatar2022 #pialadunia #fifaworldcup #worldcup #worldcup2022 #wc2022  https://t.co/uNuwZuEmfI</t>
  </si>
  <si>
    <t>dari keberhasilan argentina keluar sebagai juara piala dunia melahirkan sejumlah fakta menarik apa saja itu simak selengkapnya pada video berikut</t>
  </si>
  <si>
    <t>['keberhasilan', 'argentina', 'keluar', 'juara', 'piala', 'dunia', 'melahirkan', 'sejumlah', 'fakta', 'menarik', 'apa', 'simak', 'selengkapnya', 'video', 'berikut']</t>
  </si>
  <si>
    <t>Argentina menjadi juara Piala Dunia 2022. Rodrigo De Paul pun merayakannya dengan berkalung jaring gawang dan hisap cerutu. #juaraboladunia    https://t.co/A0hK5nvObC</t>
  </si>
  <si>
    <t>Menakjubkan! Kota Kelahiran Lionel Messi Jadi Lautan Manusia Usai Argentina Juara Piala Dunia 2022  https://t.co/3YKrosg9x1</t>
  </si>
  <si>
    <t>menakjubkan kota kelahiran lionel messi jadi lautan manusia usai argentina juara piala dunia</t>
  </si>
  <si>
    <t>['menakjubkan', 'kota', 'kelahiran', 'lionel', 'messi', 'jadi', 'lautan', 'manusia', 'usai', 'argentina', 'juara', 'piala', 'dunia']</t>
  </si>
  <si>
    <t>@idextratime Argentina juara yg ribut fans barca sm madridüòÇ</t>
  </si>
  <si>
    <t>argentina juara ribut fans barca madrid</t>
  </si>
  <si>
    <t>['argentina', 'juara', 'ribut', 'fans', 'barca', 'madrid']</t>
  </si>
  <si>
    <t>@InfosuporterID Yg mesti bandar menang banyak meskipun argentina juara. Di bursa pasaran banyak yg hdp 0.5 argentina &amp;amp; hdp 0 prancis</t>
  </si>
  <si>
    <t>mesti bandar menang banyak meskipun argentina juara bursa pasaran banyak hdp argentina hdp prancis</t>
  </si>
  <si>
    <t>['mesti', 'bandar', 'menang', 'banyak', 'meskipun', 'argentina', 'juara', 'bursa', 'pasaran', 'banyak', 'hdp', 'argentina', 'hdp', 'prancis']</t>
  </si>
  <si>
    <t>@Ronnie_Rusli @cnbcindonesia Maaf Prof saya mau ketawa ngakak dgn argumentasi Prof.....klw jujur masih lebih baik Argentina setidaknya dia Juara Dunia.üòÇüòÇü§£ü§£ü§£</t>
  </si>
  <si>
    <t>rusli maaf prof saya mau ketawa ngakak dgn argumentasi prof klw jujur masih lebih baik argentina setidaknya dia juara dunia</t>
  </si>
  <si>
    <t>['rusli', 'maaf', 'prof', 'mau', 'ketawa', 'ngakak', 'argumentasi', 'prof', 'klw', 'jujur', 'lebih', 'baik', 'argentina', 'juara', 'dunia']</t>
  </si>
  <si>
    <t>Siapa yang nonton final Piala Dunia semalem?   Gokil ya, akhirnya Messi bisa wujudin ambisi terbesarnya dengan Argentina sukses jadi juara Piala Dunia 2022 setelah menaklukan Prancis.  https://t.co/7uxrgG3ewy</t>
  </si>
  <si>
    <t>siapa yang nonton final piala dunia semalem gokil akhirnya messi bisa wujudin ambisi terbesarnya dengan argentina sukses jadi juara piala dunia setelah menaklukan prancis</t>
  </si>
  <si>
    <t>['siapa', 'nonton', 'final', 'piala', 'dunia', 'semalam', 'gila', 'akhirnya', 'messi', 'wujudin', 'ambisi', 'terbesarnya', 'argentina', 'sukses', 'jadi', 'juara', 'piala', 'dunia', 'menaklukan', 'prancis']</t>
  </si>
  <si>
    <t>Argentina Juara Dunia, Messi Samai Prestasi Maradona  https://t.co/lqzjXf7WY8</t>
  </si>
  <si>
    <t>argentina juara dunia messi samai prestasi maradona</t>
  </si>
  <si>
    <t>['argentina', 'juara', 'dunia', 'messi', 'samai', 'prestasi', 'maradona']</t>
  </si>
  <si>
    <t>yang juara argentina kok yang dingin ko dikuningan ya ü•∂ü•∂ü•∂  https://t.co/N47Js0gLJW</t>
  </si>
  <si>
    <t>yang juara argentina kok yang dingin dikuningan</t>
  </si>
  <si>
    <t>['juara', 'argentina', 'kok', 'dingin', 'dikuningan']</t>
  </si>
  <si>
    <t>@GanjaranApp Pertandingan final piala dunia terseru tadi malem, selamat buat Argentina sudah menjadi juara piala dunia 2022</t>
  </si>
  <si>
    <t>pertandingan final piala dunia terseru tadi malem selamat buat argentina sudah menjadi juara piala dunia</t>
  </si>
  <si>
    <t>['pertandingan', 'final', 'piala', 'dunia', 'terseru', 'tadi', 'malem', 'selamat', 'buat', 'argentina', 'menjadi', 'juara', 'piala', 'dunia']</t>
  </si>
  <si>
    <t>@IchanksT @Yellow59807378 @BakarSmith @tasnimsport @na_dirs @junaidi_afif @leo @sayid__machmoed @cakimiNOW @sahaL_AS Kamu sakit hati Argentina juara? Kasihan, yang sabar ya</t>
  </si>
  <si>
    <t>dirs afif machmoed kamu sakit hati argentina juara kasihan yang sabar</t>
  </si>
  <si>
    <t>['dirs', 'afif', 'machmoed', 'kamu', 'sakit', 'hati', 'argentina', 'juara', 'kasihan', 'sabar']</t>
  </si>
  <si>
    <t>"Kita juara dunia!" seru Messi lewat mikrofon stadion setelah dua gol dan satu tendangan penaltinya membawa Argentina meraih gelar juara turnamen terbesar sepak bola dunia itu. #mediaindonesia #referensbangsa #Messi  Sumber:  https://t.co/bq5lYG9NZA</t>
  </si>
  <si>
    <t>kita juara dunia seru messi lewat mikrofon stadion setelah dua gol dan satu tendangan penaltinya membawa argentina meraih gelar juara turnamen terbesar sepak bola dunia itu sumber</t>
  </si>
  <si>
    <t>['juara', 'dunia', 'seru', 'messi', 'lewat', 'mikrofon', 'stadion', 'gol', 'satu', 'tendangan', 'penaltinya', 'membawa', 'argentina', 'meraih', 'gelar', 'juara', 'turnamen', 'terbesar', 'sepak', 'bola', 'dunia', 'sumber']</t>
  </si>
  <si>
    <t>#JoseMiguelPolanco seorang penjelajah waktu? 7 tahun silam tweetnya sebut #Argentina juara #PialaDunia2022  https://t.co/qjPxN06REw #timetraveler</t>
  </si>
  <si>
    <t>seorang penjelajah waktu tahun silam tweetnya sebut juara</t>
  </si>
  <si>
    <t>['seorang', 'penjelajah', 'waktu', 'tahun', 'silam', 'tweetnya', 'sebut', 'juara']</t>
  </si>
  <si>
    <t>@idextratime Jadi pelatih Argentina trus juara dunia</t>
  </si>
  <si>
    <t>jadi pelatih argentina trus juara dunia</t>
  </si>
  <si>
    <t>['jadi', 'pelatih', 'argentina', 'trus', 'juara', 'dunia']</t>
  </si>
  <si>
    <t>Saatnya @imessi mengangkat Trophy Piala Dunia Saatnya Argentina Juara Dunia Saatnya melengkapi trophy yang telah diperoleh  https://t.co/25e2iTJXbJ</t>
  </si>
  <si>
    <t>saatnya mengangkat trophy piala dunia saatnya argentina juara dunia saatnya melengkapi trophy yang telah diperoleh</t>
  </si>
  <si>
    <t>['saatnya', 'mengangkat', 'trophy', 'piala', 'dunia', 'saatnya', 'argentina', 'juara', 'dunia', 'saatnya', 'melengkapi', 'trophy', 'diperoleh']</t>
  </si>
  <si>
    <t>Drake Kehilangan Uang Taruhan Rp15 Miliar Meski Jagokan Argentina Juara Piala Dunia | Liputan6  https://t.co/cdumOfqZ8h</t>
  </si>
  <si>
    <t>drake kehilangan uang taruhan miliar meski jagokan argentina juara piala dunia liputan</t>
  </si>
  <si>
    <t>['drake', 'kehilangan', 'uang', 'taruhan', 'miliar', 'meski', 'jagokan', 'argentina', 'juara', 'piala', 'dunia', 'liputan']</t>
  </si>
  <si>
    <t>@idextratime The real supporter Argentina yang ikut euforia juara dengan memegang trophy asli WC bersama pemain Argentina dan Messi.</t>
  </si>
  <si>
    <t>the real supporter argentina yang ikut euforia juara dengan memegang trophy asli bersama pemain argentina dan messi</t>
  </si>
  <si>
    <t>['the', 'real', 'supporter', 'argentina', 'ikut', 'euforia', 'juara', 'memegang', 'trophy', 'asli', 'bersama', 'pemain', 'argentina', 'messi']</t>
  </si>
  <si>
    <t>@CaramelSawc wakakakakak harus Cha. Bisa ngalahin tim juara dunia + sebelumnya Argentina gak pernah kalah, jadi bener kudu jumawaüòÇ</t>
  </si>
  <si>
    <t>wakakakakak harus cha bisa ngalahin tim juara dunia sebelumnya argentina gak pernah kalah jadi bener kudu jumawa</t>
  </si>
  <si>
    <t>['wakakakakak', 'cha', 'ngalahin', 'tim', 'juara', 'dunia', 'sebelumnya', 'argentina', 'pernah', 'kalah', 'jadi', 'benar', 'kudu', 'jumawa']</t>
  </si>
  <si>
    <t>Jawaban saya untuk Bagaimana pendapatmu tentang kemenangan Argentina melawan Prancis yang membuat mereka keluar sebagai juara di Piala Dunia 2022?   https://t.co/MRkerz2Z0i</t>
  </si>
  <si>
    <t>jawaban saya untuk bagaimana pendapatmu tentang kemenangan argentina melawan prancis yang membuat mereka keluar sebagai juara piala dunia</t>
  </si>
  <si>
    <t>['jawaban', 'bagaimana', 'pendapatmu', 'kemenangan', 'argentina', 'melawan', 'prancis', 'membuat', 'keluar', 'juara', 'piala', 'dunia']</t>
  </si>
  <si>
    <t>i jawab Tuhan i mango perpuluhen diri mengidoken argentina asa juara , liasate Tuhan üôèüèª.</t>
  </si>
  <si>
    <t>jawab tuhan mango perpuluhen diri mengidoken argentina asa juara liasate tuhan</t>
  </si>
  <si>
    <t>['jawab', 'tuhan', 'mango', 'perpuluhen', 'diri', 'mengidoken', 'argentina', 'asa', 'juara', 'liasate', 'tuhan']</t>
  </si>
  <si>
    <t>@just922_ Menikmati Senin karena Argentina juara :D</t>
  </si>
  <si>
    <t>menikmati senin karena argentina juara</t>
  </si>
  <si>
    <t>['menikmati', 'senin', 'argentina', 'juara']</t>
  </si>
  <si>
    <t>Congrats Argentina udah jadi juara di FIFA WORLD CUP 2022!!! ü•≥ü•≥ Tapi kalo disuruh sebutin olahraga yang kamu banget versi kamu apa siihh?? Jangan lupa request lagu juga yah di #TakisSore</t>
  </si>
  <si>
    <t>congrats argentina udah jadi juara fifa world cup tapi kalo disuruh sebutin olahraga yang kamu banget versi kamu apa siihh jangan lupa request lagu juga yah</t>
  </si>
  <si>
    <t>['congrats', 'argentina', 'udah', 'jadi', 'juara', 'fifa', 'world', 'cup', 'disuruh', 'sebutin', 'olahraga', 'kamu', 'banget', 'versi', 'kamu', 'apa', 'siihh', 'jangan', 'lupa', 'request', 'lagu']</t>
  </si>
  <si>
    <t>@plisitin Udah gitu dipajang di lemari kaca kotor RT"@plisitin: argentina juara tp piala sm hadiahnya diambil sekolah"</t>
  </si>
  <si>
    <t>udah gitu dipajang lemari kaca kotor argentina juara piala hadiahnya diambil sekolah</t>
  </si>
  <si>
    <t>['udah', 'gitu', 'dipajang', 'lemari', 'kaca', 'kotor', 'argentina', 'juara', 'piala', 'hadiahnya', 'diambil', 'sekolah']</t>
  </si>
  <si>
    <t>@idextratime Dibilang setingan, karena portugal kalah üòÇ  Kalau menang sampe final, dan portugal juara. Baru dibilang murni perjuangan Ronaldo dan kawan-kawan, tapi kalau argentina juga yg menang.. Ya tetap setingan wkwk</t>
  </si>
  <si>
    <t>dibilang setingan karena portugal kalah kalau menang sampe final dan portugal juara baru dibilang murni perjuangan ronaldo dan kawan kawan tapi kalau argentina juga menang tetap setingan wkwk</t>
  </si>
  <si>
    <t>['dibilang', 'settingan', 'portugal', 'kalah', 'kalau', 'menang', 'sampai', 'final', 'portugal', 'juara', 'baru', 'dibilang', 'murni', 'perjuangan', 'ronaldo', 'kawan', 'kawan', 'kalau', 'argentina', 'menang', 'tetap', 'settingan']</t>
  </si>
  <si>
    <t>Argentina jadi juara dunia karena atlitnya ga ada yang jadi bintang iklan so nice</t>
  </si>
  <si>
    <t>argentina jadi juara dunia karena atlitnya ada yang jadi bintang iklan nice</t>
  </si>
  <si>
    <t>['argentina', 'jadi', 'juara', 'dunia', 'atlitnya', 'jadi', 'bintang', 'iklan', 'nice']</t>
  </si>
  <si>
    <t>Coba Lu ngomongin Argentina Juara Dunia Dir @Derzqo</t>
  </si>
  <si>
    <t>coba ngomongin argentina juara dunia dir</t>
  </si>
  <si>
    <t>['coba', 'ngomongin', 'argentina', 'juara', 'dunia', 'dir']</t>
  </si>
  <si>
    <t>@frdksm @idextratime Itu bedanya juara dunia skrg dgn yg lainnya,  Argentina justru bisa juara dgn pemain2 yg bermain di tim medioker..ü§£</t>
  </si>
  <si>
    <t>itu bedanya juara dunia skrg dgn lainnya argentina justru bisa juara dgn pemain bermain tim medioker</t>
  </si>
  <si>
    <t>['bedanya', 'juara', 'dunia', 'skrg', 'lainnya', 'argentina', 'justru', 'juara', 'pemain', 'bermain', 'tim', 'medioker']</t>
  </si>
  <si>
    <t>Gw rasa tahun 2022 ini berat banget ngejalanin hidup tapi lihat Argentina juara #FIFAWorldCup diakhir tahun ternyata semuanya baik baik saja. CAMPEONES DEL MUNDO üá¶üá∑ Perfeck last dance #LionelMessiìÉµ  https://t.co/BtfPsMBQWy</t>
  </si>
  <si>
    <t>rasa tahun ini berat banget ngejalanin hidup tapi lihat argentina juara diakhir tahun ternyata semuanya baik baik saja campeones del mundo perfeck last dance</t>
  </si>
  <si>
    <t>['rasa', 'tahun', 'berat', 'banget', 'ngejalanin', 'hidup', 'lihat', 'argentina', 'juara', 'diakhir', 'tahun', 'ternyata', 'semuanya', 'baik', 'baik', 'campeones', 'del', 'mundo', 'perfeck', 'last', 'dance']</t>
  </si>
  <si>
    <t>Bintang ke-3 buat Argentina setelah Juara Piala Dunia untuk ketiga kalinya! . #EMTEKWORLDCUP2022 #BOLANETWORLDCUP2022  #PialaDunia #PialaDunia2022  https://t.co/4oa93gER13</t>
  </si>
  <si>
    <t>argentina emg pemenang juara dunia, tapi soal hatiku kamu pemenangnya.  kamunya siapa? ngatau halu aja dl ajg-</t>
  </si>
  <si>
    <t>argentina emg pemenang juara dunia tapi soal hatiku kamu pemenangnya kamunya siapa ngatau halu aja ajg</t>
  </si>
  <si>
    <t>['argentina', 'memang', 'pemenang', 'juara', 'dunia', 'soal', 'hatiku', 'kamu', 'pemenangnya', 'kamunya', 'siapa', 'ngatau', 'halusinasi', 'ajg']</t>
  </si>
  <si>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</si>
  <si>
    <t>big congratulations untuk argentina yang sudah berhasil mendapat gelar juara dunia fifa world cup pertandingan antara argentina dengan france kemarin berhasil dimenangkan oleh argentina dengan score akhir namun argentina unggul pada adu pinalti dibanding france</t>
  </si>
  <si>
    <t>['big', 'congratulations', 'argentina', 'berhasil', 'mendapat', 'gelar', 'juara', 'dunia', 'fifa', 'world', 'cup', 'pertandingan', 'argentina', 'france', 'kemarin', 'berhasil', 'dimenangkan', 'argentina', 'score', 'akhir', 'argentina', 'unggul', 'adu', 'penalti', 'dibanding', 'france']</t>
  </si>
  <si>
    <t>Argentina Juara Piala Dunia 2022, Disambut Gempita Fans!.  #EnamPlus #EMTEKWORLDCUP2022 #Worldcup2022 #PialaDunia2022 #Liputan6WORLDCUP2022  https://t.co/EuIS6uQYff</t>
  </si>
  <si>
    <t>argentina juara piala dunia disambut gempita fans</t>
  </si>
  <si>
    <t>['argentina', 'juara', 'piala', 'dunia', 'disambut', 'gempita', 'fans']</t>
  </si>
  <si>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</si>
  <si>
    <t>kalau tim argentina juara piala dunia sepak bola nusanet juaranya internet stabil dan lancar selamat untuk bang messi dan tim argentina</t>
  </si>
  <si>
    <t>['kalau', 'tim', 'argentina', 'juara', 'piala', 'dunia', 'sepak', 'bola', 'nusanet', 'juaranya', 'internet', 'stabil', 'lancar', 'selamat', 'bang', 'messi', 'tim', 'argentina']</t>
  </si>
  <si>
    <t>Langganan paket premier karena feeling argentina bisa juara, ehh beneran juara üá¶üá∑</t>
  </si>
  <si>
    <t>langganan paket premier karena feeling argentina bisa juara ehh beneran juara</t>
  </si>
  <si>
    <t>['langganan', 'paket', 'premier', 'feeling', 'argentina', 'juara', 'ehh', 'beneran', 'juara']</t>
  </si>
  <si>
    <t>Sergio Aguero Ikut Selebrasi Juara Argentina di Piala Dunia 2022, Ini Alasannya.  #EnamPlus #EMTEKWORLDCUP2022 #Worldcup2022 #PialaDunia2022 #Liputan6WORLDCUP2022  https://t.co/qNz5bOPh8f</t>
  </si>
  <si>
    <t>sergio aguero ikut selebrasi juara argentina piala dunia ini alasannya</t>
  </si>
  <si>
    <t>['sergio', 'aguero', 'ikut', 'selebrasi', 'juara', 'argentina', 'piala', 'dunia', 'alasannya']</t>
  </si>
  <si>
    <t>@FWBESS Ayolah, nunggu apalagi</t>
  </si>
  <si>
    <t>ayolah nunggu apalagi</t>
  </si>
  <si>
    <t>['ayolah', 'nunggu']</t>
  </si>
  <si>
    <t>Bawa Argentina Juara Piala Dunia 2022 Qatar, Messi Dapat Jubah Spesial.  #EnamPlus #EMTEKWORLDCUP2022 #Worldcup2022 #PialaDunia2022 #Liputan6WORLDCUP2022  https://t.co/TmS22y8Tbu</t>
  </si>
  <si>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</si>
  <si>
    <t>walaupun argentina juara drake tetap kehilangan uang sekitar miliar pada judi bola final piala dunia drake memasang taruhan argentina menang dari prancis dalam menit pertandingan normal namun yang terjadi argentina menang lewat babak adu pinalti</t>
  </si>
  <si>
    <t>['walaupun', 'argentina', 'juara', 'drake', 'tetap', 'kehilangan', 'uang', 'miliar', 'judi', 'bola', 'final', 'piala', 'dunia', 'drake', 'memasang', 'taruhan', 'argentina', 'menang', 'prancis', 'menit', 'pertandingan', 'normal', 'terjadi', 'argentina', 'menang', 'lewat', 'babak', 'adu', 'penalti']</t>
  </si>
  <si>
    <t>@gabuttime_here Masih nyari partner gak sih kak ??</t>
  </si>
  <si>
    <t>here masih nyari partner gak sih kak</t>
  </si>
  <si>
    <t>['here', 'nyari', 'partner', 'kak']</t>
  </si>
  <si>
    <t>Aguero Hina Camavinga Usai Argentina Juara Piala Dunia 2022. #EnamPlus  https://t.co/hVQlAB41xR</t>
  </si>
  <si>
    <t>aguero hina camavinga usai argentina juara piala dunia</t>
  </si>
  <si>
    <t>['aguero', 'hina', 'camavinga', 'usai', 'argentina', 'juara', 'piala', 'dunia']</t>
  </si>
  <si>
    <t>Argentina Juara Piala Dunia 2022, Messi Masih Belum Mau Pensiun  https://t.co/8NiaqWNvnF</t>
  </si>
  <si>
    <t>argentina juara piala dunia messi masih belum mau pensiun</t>
  </si>
  <si>
    <t>['argentina', 'juara', 'piala', 'dunia', 'messi', 'mau', 'pensiun']</t>
  </si>
  <si>
    <t>Timnas Argentina Juara Piala Dunia, Instagram Produk Cristiano Ronaldo Kena Bully Fans. #EnamPlus  https://t.co/x2UUiDRJwB</t>
  </si>
  <si>
    <t>Argentina Juara Piala Dunia 2022, Prediksi EA Benar Terbukti 4 Kali Akurat  https://t.co/U3bgqHmQrh</t>
  </si>
  <si>
    <t>argentina juara piala dunia prediksi benar terbukti kali akurat</t>
  </si>
  <si>
    <t>['argentina', 'juara', 'piala', 'dunia', 'prediksi', 'benar', 'terbukti', 'kali', 'akurat']</t>
  </si>
  <si>
    <t>Argentina akhirnya bisa bernapas lega usai mimpinya untuk juara Piala Dunia 2022 terwujud.   Nah, untuk pemenang Piala Dunia 2022 kali ini #IDNTimesInfografis sajikan rincian jumlah hadiah yang diterima para pemenang. Yuk simak!  https://t.co/iZ14g5QXa0  https://t.co/SZPJDaxeek</t>
  </si>
  <si>
    <t>argentina akhirnya bisa bernapas lega usai mimpinya untuk juara piala dunia terwujud nah untuk pemenang piala dunia kali ini sajikan rincian jumlah hadiah yang diterima para pemenang yuk simak</t>
  </si>
  <si>
    <t>['argentina', 'akhirnya', 'bernapas', 'lega', 'usai', 'mimpinya', 'juara', 'piala', 'dunia', 'terwujud', 'nah', 'pemenang', 'piala', 'dunia', 'kali', 'sajikan', 'rincian', 'jumlah', 'hadiah', 'diterima', 'pemenang', 'yuk', 'simak']</t>
  </si>
  <si>
    <t>@0xkayorayo @bittzone @CORLEONJK @idextratime sepertinya Skuad Argentina skrg ibarat portugal pas juara Euro 2016 lalu‚Ä¶Squad Argentina saat ini dah solid sejak juara Copa America 2021 kmrn‚Ä¶pondasinya kuat</t>
  </si>
  <si>
    <t>sepertinya skuad argentina skrg ibarat portugal pas juara euro lalu squad argentina saat ini dah solid sejak juara copa america kmrn pondasinya kuat</t>
  </si>
  <si>
    <t>['sepertinya', 'skuad', 'argentina', 'skrg', 'ibarat', 'portugal', 'pas', 'juara', 'euro', 'lalu', 'squad', 'argentina', 'dah', 'solid', 'sejak', 'juara', 'copa', 'america', 'kmrn', 'pondasinya', 'kuat']</t>
  </si>
  <si>
    <t>Selamat buat Argentina yang jadi juara di #WorldCup .. kalau kamu juara gak yah di hati nya doi ?  #FIFAWorldCup   #Qatar2022  #fintech  #cairin #pinjamanonline  https://t.co/KgR2Bja5UK</t>
  </si>
  <si>
    <t>selamat buat argentina yang jadi juara kalau kamu juara gak yah hati nya doi</t>
  </si>
  <si>
    <t>['selamat', 'buat', 'argentina', 'jadi', 'juara', 'kalau', 'kamu', 'juara', 'hati', 'doi']</t>
  </si>
  <si>
    <t>Tumbangkan Prancis lewat Adu Penalti, Argentina Juara Piala Dunia 2022  https://t.co/37IKsbsZ0p</t>
  </si>
  <si>
    <t>tumbangkan prancis lewat adu penalti argentina juara piala dunia</t>
  </si>
  <si>
    <t>['tumbangkan', 'prancis', 'lewat', 'adu', 'penalti', 'argentina', 'juara', 'piala', 'dunia']</t>
  </si>
  <si>
    <t>Argentina juara dunia jadi trending topic Twitter Indonesia, netizen rayakan kemenangan Lionel Messi  https://t.co/F51zkrXN95</t>
  </si>
  <si>
    <t>argentina juara dunia jadi trending topic twitter indonesia netizen rayakan kemenangan lionel messi</t>
  </si>
  <si>
    <t>['argentina', 'juara', 'dunia', 'jadi', 'trending', 'topic', 'twitter', 'indonesia', 'netizen', 'rayakan', 'kemenangan', 'lionel', 'messi']</t>
  </si>
  <si>
    <t>Lionel Messi Belum Ingin Pensiun Usai Argentina Juara¬†Dunia  https://t.co/ubQSdWrGZn</t>
  </si>
  <si>
    <t>lionel messi belum ingin pensiun usai argentina juara dunia</t>
  </si>
  <si>
    <t>['lionel', 'messi', 'pensiun', 'usai', 'argentina', 'juara', 'dunia']</t>
  </si>
  <si>
    <t>@persib Ucapin selamat dong min. Argentina abi juara!</t>
  </si>
  <si>
    <t>ucapin selamat dong min argentina abi juara</t>
  </si>
  <si>
    <t>['ucapin', 'selamat', 'dong', 'min', 'argentina', 'abi', 'juara']</t>
  </si>
  <si>
    <t>@jimxaszh Banyak kaget nya si diawal, tapi asli gak nyangka Argentina bisa juara, jagoan ku itu mahh turut bangga</t>
  </si>
  <si>
    <t>banyak kaget nya diawal tapi asli gak nyangka argentina bisa juara jagoan itu mahh turut bangga</t>
  </si>
  <si>
    <t>['banyak', 'kaget', 'diawal', 'asli', 'nyangka', 'argentina', 'juara', 'jagoan', 'mahh', 'turut', 'bangga']</t>
  </si>
  <si>
    <t>Menakjubkan! Kota Kelahiran Lionel Messi Jadi Lautan Manusia Usai Argentina Juara Piala Dunia¬†2022  https://t.co/7DalNeznb7</t>
  </si>
  <si>
    <t>Sukses Antarkan Argentina Juara Piala Dunia, Lionel Messi Jadi Pemain Terbaik  https://t.co/V2WDu7NGJd</t>
  </si>
  <si>
    <t>sukses antarkan argentina juara piala dunia lionel messi jadi pemain terbaik</t>
  </si>
  <si>
    <t>['sukses', 'antarkan', 'argentina', 'juara', 'piala', 'dunia', 'lionel', 'messi', 'jadi', 'pemain', 'terbaik']</t>
  </si>
  <si>
    <t>@gerobak_tank @Info4_Milanisti Haha beda lah tong... Kalau si Lukaka pembawa sial, sementara Lord Toro pembawa hoki terbukti ketika dia di panggil Timnas, Argentina langsung juara Copa America dan Piala Dunia</t>
  </si>
  <si>
    <t>tank milanisti haha beda lah tong kalau lukaka pembawa sial sementara lord toro pembawa hoki terbukti ketika dia panggil timnas argentina langsung juara copa america dan piala dunia</t>
  </si>
  <si>
    <t>['tank', 'milanisti', 'haha', 'beda', 'lah', 'tong', 'kalau', 'lukaka', 'pembawa', 'sial', 'lord', 'toro', 'pembawa', 'hoki', 'terbukti', 'panggil', 'timnas', 'argentina', 'langsung', 'juara', 'copa', 'america', 'piala', 'dunia']</t>
  </si>
  <si>
    <t>Messi juara pildun emang bener-bener momen emosional banget. Keinget cemooh rangorang dari jaman kapan tau bilang dia cuma jago kandang doang sampe yg ngatain doi punya 'kutukan' and etc.  Huhuhu sekali lagi selamat untuk Messi dan Argentinaüí´üí´üí´</t>
  </si>
  <si>
    <t>messi juara pildun emang bener bener momen emosional banget keinget cemooh rangorang dari jaman kapan tau bilang dia cuma jago kandang doang sampe ngatain doi punya kutukan and etc huhuhu sekali lagi selamat untuk messi dan argentina</t>
  </si>
  <si>
    <t>['messi', 'juara', 'piala dunia', 'emang', 'benar', 'benar', 'momen', 'emosional', 'banget', 'keinget', 'cemooh', 'rangorang', 'jaman', 'kapan', 'cuma', 'jago', 'kandang', 'doang', 'sampai', 'ngatain', 'doi', 'punya', 'kutukan', 'and', 'etc', 'huhuhu', 'sekali', 'selamat', 'messi', 'argentina']</t>
  </si>
  <si>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</si>
  <si>
    <t>argentina resmi jadi juara piala dunia usai menang adu penalti dengan prancis lionel messi juga turut jadi pemain terbaik piala dunia berhasil melengkapi rangkaian trofi dalam kemenangan ini</t>
  </si>
  <si>
    <t>['argentina', 'resmi', 'jadi', 'juara', 'piala', 'dunia', 'usai', 'menang', 'adu', 'penalti', 'prancis', 'lionel', 'messi', 'turut', 'jadi', 'pemain', 'terbaik', 'piala', 'dunia', 'berhasil', 'melengkapi', 'rangkaian', 'trofi', 'kemenangan']</t>
  </si>
  <si>
    <t>@imamloversmania @ridwankamil tebakan kang emil nih, jadi argentina juara #ridwankamil  #bersamajuara</t>
  </si>
  <si>
    <t>tebakan kang emil nih jadi argentina juara</t>
  </si>
  <si>
    <t>['tebakan', 'kang', 'emil', 'jadi', 'argentina', 'juara']</t>
  </si>
  <si>
    <t>Roger Federer Ikut Terpukau dengan Kesuksesan Lionel Messi Bawa Argentina Juara Piala Dunia 2022: Istimewa dan Bersejarah!  https://t.co/P2SNRjcyc6</t>
  </si>
  <si>
    <t>@MuharbiMahar @Info4_Milanisti Kalau Lukaka pembawa sial... Kalau Lord Toro pembawa hoki, terbukti ketika dia di panggil Timnas, Argentina langsung juara Copa America dan Piala Dunia</t>
  </si>
  <si>
    <t>milanisti kalau lukaka pembawa sial kalau lord toro pembawa hoki terbukti ketika dia panggil timnas argentina langsung juara copa america dan piala dunia</t>
  </si>
  <si>
    <t>['milanisti', 'kalau', 'lukaka', 'pembawa', 'sial', 'kalau', 'lord', 'toro', 'pembawa', 'hoki', 'terbukti', 'panggil', 'timnas', 'argentina', 'langsung', 'juara', 'copa', 'america', 'piala', 'dunia']</t>
  </si>
  <si>
    <t>argentina 3 kali juara piala dunia itu artinya 2024 jokowi 3 periode.</t>
  </si>
  <si>
    <t>argentina kali juara piala dunia itu artinya jokowi periode</t>
  </si>
  <si>
    <t>['argentina', 'kali', 'juara', 'piala', 'dunia', 'artinya', 'jokowi', 'periode']</t>
  </si>
  <si>
    <t>Argentina juara piala Dunia 2022 Qatar selamat ya messi  https://t.co/Cp5ReUJqUa</t>
  </si>
  <si>
    <t>argentina juara piala dunia qatar selamat messi</t>
  </si>
  <si>
    <t>['argentina', 'juara', 'piala', 'dunia', 'qatar', 'selamat', 'messi']</t>
  </si>
  <si>
    <t>@moonxbt_id Horeeee Argentina juara dan tebakan saya benar ü•≥ü•≥</t>
  </si>
  <si>
    <t>horeeee argentina juara dan tebakan saya benar</t>
  </si>
  <si>
    <t>['horeeee', 'argentina', 'juara', 'tebakan', 'benar']</t>
  </si>
  <si>
    <t>"Siapa aktor utama dibalik keberhasilan lionel messi &amp;amp; timnas argentina meraih juara dunia?"  "Ya betul, jawabannya adalah i want foreigner"</t>
  </si>
  <si>
    <t>siapa aktor utama dibalik keberhasilan lionel messi timnas argentina meraih juara dunia betul jawabannya adalah want foreigner</t>
  </si>
  <si>
    <t>['siapa', 'aktor', 'utama', 'dibalik', 'keberhasilan', 'lionel', 'messi', 'timnas', 'argentina', 'meraih', 'juara', 'dunia', 'betul', 'jawabannya', 'want', 'foreigner']</t>
  </si>
  <si>
    <t>@youLovedddd @Info4_Milanisti Higuain lebih lawak... masih mending Lord Toro bawa Hoki, ketika dia di panggil Timnas, Argentina langsung juara Copa America dan Piala Dunia..  lah Higuain gak pernah juara sama sekali di Timnas Argentina....</t>
  </si>
  <si>
    <t>milanisti higuain lebih lawak masih mending lord toro bawa hoki ketika dia panggil timnas argentina langsung juara copa america dan piala dunia lah higuain gak pernah juara sama sekali timnas argentina</t>
  </si>
  <si>
    <t>['milanisti', 'higuain', 'lebih', 'lawak', 'mending', 'lord', 'toro', 'bawa', 'hoki', 'panggil', 'timnas', 'argentina', 'langsung', 'juara', 'copa', 'america', 'piala', 'dunia', 'lah', 'higuain', 'pernah', 'juara', 'sama', 'sekali', 'timnas', 'argentina']</t>
  </si>
  <si>
    <t>Dibalik juara pildun..  Argentina, Potret Negara Kacau Balau Tapi Bisa Juara Dunia  https://t.co/p7vf8OyBX7</t>
  </si>
  <si>
    <t>dibalik juara pildun argentina potret negara kacau balau tapi bisa juara dunia</t>
  </si>
  <si>
    <t>['dibalik', 'juara', 'piala dunia', 'argentina', 'potret', 'negara', 'kacau', 'balau', 'juara', 'dunia']</t>
  </si>
  <si>
    <t>Argentina Juara, Mario Gotze Bagikan Gambar saat Messi Bangkit dari Keterpurukan Piala Dunia 2014  https://t.co/h60KuLfglz #MessiìÉµ #Messi #MessiìÉµday #GOATìÉµ #FIFAWorldCup</t>
  </si>
  <si>
    <t>argentina juara mario gotze bagikan gambar saat messi bangkit dari keterpurukan piala dunia day</t>
  </si>
  <si>
    <t>['argentina', 'juara', 'mario', 'gotze', 'bagikan', 'gambar', 'messi', 'bangkit', 'keterpurukan', 'piala', 'dunia', 'day']</t>
  </si>
  <si>
    <t>@Arindayk iya</t>
  </si>
  <si>
    <t>iya</t>
  </si>
  <si>
    <t>['iya']</t>
  </si>
  <si>
    <t>Argentina juara dunia .. kalo kamyuuh juara dihatiku ... Cieee cieee .... Tag lagi laahh @Stevaniehuangg ü§£ü§£  #KagokEdan</t>
  </si>
  <si>
    <t>argentina juara dunia kalo kamyuuh juara dihatiku cieee cieee tag lagi laahh</t>
  </si>
  <si>
    <t>['argentina', 'juara', 'dunia', 'kamyuuh', 'juara', 'dihatiku', 'cieee', 'cieee', 'tag', 'laahh']</t>
  </si>
  <si>
    <t>VIDEO: Argentina Juara Dunia! Pemain Tim Tango Borong Penghargaan  https://t.co/9eb4jlLCGG</t>
  </si>
  <si>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</si>
  <si>
    <t>argentine paradox paradoks negeri juara pildun jago sepakbola tapi boncos ekonominya argentina diulu elukan seluruh dunia menangnya leo messi dkk tadi malam adalah drama paling seru pildun yang pernah ada penantian tahun lamanya ada kisah individual</t>
  </si>
  <si>
    <t>['argentine', 'paradox', 'paradoks', 'negeri', 'juara', 'piala dunia', 'jago', 'sepakbola', 'boncos', 'ekonominya', 'argentina', 'diulu', 'elukan', 'seluruh', 'dunia', 'menangnya', 'leo', 'messi', 'dkk', 'tadi', 'malam', 'drama', 'paling', 'seru', 'piala dunia', 'pernah', 'penantian', 'tahun', 'lamanya', 'kisah', 'individual']</t>
  </si>
  <si>
    <t>@argentina_juara @fadhilChaniagoo @RefublikAteis bukan ke sering dapet penaltynya sih bang julukan penaldo menurut gua mah, lebih ke win rate saat dia penalty memang gak ngotak, sama kayak messi kalo free kick win ratenya gak ngotak</t>
  </si>
  <si>
    <t>juara bukan sering dapet penaltynya sih bang julukan penaldo menurut gua mah lebih win rate saat dia penalty memang gak ngotak sama kayak messi kalo free kick win ratenya gak ngotak</t>
  </si>
  <si>
    <t>['juara', 'bukan', 'sering', 'dapat', 'penaltynya', 'bang', 'julukan', 'penaldo', 'gua', 'mah', 'lebih', 'win', 'rate', 'penalty', 'memang', 'ngotak', 'sama', 'seperti', 'messi', 'free', 'kick', 'win', 'ratenya', 'ngotak']</t>
  </si>
  <si>
    <t>Dulu Diego Maradona, kini Lionel Messi. Keduanya berperan besar mengantar Argentina jadi kampiun Piala Dunia untuk kemudian berpose bareng trofi juara. Mirip! #juaraboladunia    https://t.co/P9by4QMfNx</t>
  </si>
  <si>
    <t>Najwa Shihab Girang Argentina Juara Piala Dunia 2022: Tenggorokan Kering, Suara Parau, Jantung Deg-degan  https://t.co/9hR0tBqFOr</t>
  </si>
  <si>
    <t>najwa shihab girang argentina juara piala dunia tenggorokan kering suara parau jantung deg degan</t>
  </si>
  <si>
    <t>['najwa', 'shihab', 'girang', 'argentina', 'juara', 'piala', 'dunia', 'tenggorokan', 'kering', 'suara', 'parau', 'jantung', 'deg', 'degan']</t>
  </si>
  <si>
    <t>'Messi Juga Nggak Peduli' Warganet Geli Politisi Indonesia Ramai Pansos Bikin Poster Argentina Juara   https://t.co/i6h5YyU873</t>
  </si>
  <si>
    <t>messi juga nggak peduli warganet geli politisi indonesia ramai pansos bikin poster argentina juara</t>
  </si>
  <si>
    <t>['messi', 'peduli', 'warganet', 'geli', 'politisi', 'indonesia', 'ramai', 'panjat sosial', 'poster', 'argentina', 'juara']</t>
  </si>
  <si>
    <t>Jadi juara Piala Dunia 2022, Argentina mendapat hadiah sebesar 42 juta Dollar Amerika Serikat (Rp 655 miliar).  https://t.co/VbmFjCsgdo</t>
  </si>
  <si>
    <t>jadi juara piala dunia argentina mendapat hadiah sebesar juta dollar amerika serikat miliar</t>
  </si>
  <si>
    <t>['jadi', 'juara', 'piala', 'dunia', 'argentina', 'mendapat', 'hadiah', 'sebesar', 'juta', 'dollar', 'amerika', 'serikat', 'miliar']</t>
  </si>
  <si>
    <t>Argentina Hampir Gagal Juara Dunia 2022, Jika Aksi Emiliano Mart√≠nez Menit 120 Gagal  https://t.co/somy0Yik2o lewat @WartaKepri.co.id</t>
  </si>
  <si>
    <t>argentina hampir gagal juara dunia jika aksi emiliano mart nez menit gagal lewat</t>
  </si>
  <si>
    <t>['argentina', 'hampir', 'gagal', 'juara', 'dunia', 'aksi', 'emiliano', 'mart', 'nez', 'menit', 'gagal', 'lewat']</t>
  </si>
  <si>
    <t>Argentina juara piala dunia, kalau aku bs gak juara di hatimu??</t>
  </si>
  <si>
    <t>argentina juara piala dunia kalau aku gak juara hatimu</t>
  </si>
  <si>
    <t>['argentina', 'juara', 'piala', 'dunia', 'kalau', 'aku', 'juara', 'hatimu']</t>
  </si>
  <si>
    <t>@mhdnzry Pep dah cakap, Argentina juara WC. Pep tu Haaland pun dia sub üòå</t>
  </si>
  <si>
    <t>pep dah cakap argentina juara pep haaland pun dia sub</t>
  </si>
  <si>
    <t>['pep', 'dah', 'cakap', 'argentina', 'juara', 'pep', 'haaland', 'sub']</t>
  </si>
  <si>
    <t>@idextratime Bawa Argentina juara uero mess .. minta federasi mu pindah ke Eropa....</t>
  </si>
  <si>
    <t>bawa argentina juara uero mess minta federasi pindah eropa</t>
  </si>
  <si>
    <t>['bawa', 'argentina', 'juara', 'uero', 'mess', 'minta', 'federasi', 'pindah', 'eropa']</t>
  </si>
  <si>
    <t>Ya intinya mah impas, skor tetep seri. Gausah pake istilah embel embel juara giveaway atau settingan lagi ok.  Argentina layak juara krn emang mereka unggul dari babak pertama sampe duel penalti.</t>
  </si>
  <si>
    <t>intinya mah impas skor tetep seri gausah pake istilah embel embel juara giveaway atau settingan lagi argentina layak juara krn emang mereka unggul dari babak pertama sampe duel penalti</t>
  </si>
  <si>
    <t>['intinya', 'mah', 'impas', 'skor', 'tetep', 'seri', 'gausah', 'pake', 'istilah', 'embel', 'embel', 'juara', 'giveaway', 'settingan', 'argentina', 'layak', 'juara', 'emang', 'unggul', 'babak', 'pertama', 'sampai', 'duel', 'penalti']</t>
  </si>
  <si>
    <t>Argentina diawal awal kalah melawan arab saudi, tapi diakhir ternyata malah juara.  pesan moral : saham yang minus kalau belum dijual itu hanya floating loss, bisa turun dan bisa juga turun lagi (ini satir)</t>
  </si>
  <si>
    <t>argentina diawal awal kalah melawan arab saudi tapi diakhir ternyata malah juara pesan moral saham yang minus kalau belum dijual itu hanya floating loss bisa turun dan bisa juga turun lagi ini satir</t>
  </si>
  <si>
    <t>['argentina', 'diawal', 'awal', 'kalah', 'melawan', 'arab', 'saudi', 'diakhir', 'ternyata', 'malah', 'juara', 'pesan', 'moral', 'saham', 'minus', 'kalau', 'dijual', 'floating', 'loss', 'turun', 'turun', 'satir']</t>
  </si>
  <si>
    <t>Argentina layak juara, mereka bermain solid dan efisien. pra syarat memenangkan sepokbola modern.</t>
  </si>
  <si>
    <t>argentina layak juara mereka bermain solid dan efisien pra syarat memenangkan sepokbola modern</t>
  </si>
  <si>
    <t>['argentina', 'layak', 'juara', 'bermain', 'solid', 'efisien', 'pra', 'syarat', 'memenangkan', 'sepokbola', 'modern']</t>
  </si>
  <si>
    <t>Argentina Juara, dan Akhir Cerita Piala Dunia 2022  https://t.co/DQZWdBAu2t</t>
  </si>
  <si>
    <t>argentina juara dan akhir cerita piala dunia</t>
  </si>
  <si>
    <t>['argentina', 'juara', 'akhir', 'cerita', 'piala', 'dunia']</t>
  </si>
  <si>
    <t>Argentina Juara, dan Akhir Cerita Piala Dunia 2022  https://t.co/sHhwDqMKlY</t>
  </si>
  <si>
    <t>Argentina 3 kali juara piala dunia dg 3 pemain terbaiknya,üëç  https://t.co/ESh1QavKay</t>
  </si>
  <si>
    <t>argentina kali juara piala dunia pemain terbaiknya</t>
  </si>
  <si>
    <t>['argentina', 'kali', 'juara', 'piala', 'dunia', 'pemain', 'terbaiknya']</t>
  </si>
  <si>
    <t>Minggu 18 Desember 2022. Pertarungan sengit antara sang juara bertahan Prancis melawan Argentina. Argentina unggul dengan skor 4 sedangkan Prancis dengan skor 3 melalui adu pinalti.  https://t.co/5dWGhHkhe3</t>
  </si>
  <si>
    <t>minggu desember pertarungan sengit antara sang juara bertahan prancis melawan argentina argentina unggul dengan skor sedangkan prancis dengan skor melalui adu pinalti</t>
  </si>
  <si>
    <t>['minggu', 'desember', 'pertarungan', 'sengit', 'sang', 'juara', 'bertahan', 'prancis', 'melawan', 'argentina', 'argentina', 'unggul', 'skor', 'prancis', 'skor', 'melalui', 'adu', 'penalti']</t>
  </si>
  <si>
    <t>Kenapa saya tidak tertarik dengan Piala Dunia kali ini?  Sebab semua sudah terprediksi di salah satu akun yang memprediksi muali awal hingga akhir dengan bermain fiffa. Dan hasilnya 100% valid.. Argentina juara.</t>
  </si>
  <si>
    <t>kenapa saya tidak tertarik dengan piala dunia kali ini sebab semua sudah terprediksi salah satu akun yang memprediksi muali awal hingga akhir dengan bermain fiffa dan hasilnya valid argentina juara</t>
  </si>
  <si>
    <t>['tertarik', 'piala', 'dunia', 'kali', 'semua', 'terprediksi', 'salah', 'satu', 'akun', 'memprediksi', 'muali', 'awal', 'hingga', 'akhir', 'bermain', 'fiffa', 'hasilnya', 'valid', 'argentina', 'juara']</t>
  </si>
  <si>
    <t>@kisbet_ @aipsun @meltdownbytori Ikuuut hehe  #arg Juara piala dunia 3√ó  #arg Juara di Argentina 1978 Mexico 1986  Qatar 2022  #arg 1978 Mario Kempes 6 gol 1986 Diego Maradona 5 gol 2022 Lionel Messi 7 gol semoga rejeki ü´∂ü´∂üíÉ</t>
  </si>
  <si>
    <t>ikuuut hehe juara piala dunia juara argentina mexico qatar mario kempes gol diego maradona gol lionel messi gol semoga rejeki</t>
  </si>
  <si>
    <t>['ikuuut', 'juara', 'piala', 'dunia', 'juara', 'argentina', 'mexico', 'qatar', 'mario', 'kempes', 'gol', 'diego', 'maradona', 'gol', 'lionel', 'messi', 'gol', 'semoga', 'rejeki']</t>
  </si>
  <si>
    <t>Panas Mbappe dan Messi Saling Ejek Sebelum Argentina Juara Piala Dunia  https://t.co/YiX130ERv6</t>
  </si>
  <si>
    <t>panas mbappe dan messi saling ejek sebelum argentina juara piala dunia</t>
  </si>
  <si>
    <t>['panas', 'mbappe', 'messi', 'saling', 'ejek', 'argentina', 'juara', 'piala', 'dunia']</t>
  </si>
  <si>
    <t>@ID_Albiceleste Min gak mau rencana open PO kaos argentina juara dunia min? Saya mau klo ada üòÉ</t>
  </si>
  <si>
    <t>albiceleste min gak mau rencana open kaos argentina juara dunia min saya mau klo ada</t>
  </si>
  <si>
    <t>['albiceleste', 'min', 'mau', 'rencana', 'open', 'kaos', 'argentina', 'juara', 'dunia', 'min', 'mau']</t>
  </si>
  <si>
    <t>Argentina Juara Dunia, Antonella Roccuzzo Unggah Momen¬†Bahagia  https://t.co/rc4f2hxd4n</t>
  </si>
  <si>
    <t>@BilliesBaylies @abbenzino @idextratime Pemain legend argentina banyak haters nya yaa. Maradona aja dlu juara piala dunia kontroversi bgt sampe di juluki si tangan tuhan, ehh skg nurunin ke messi juara yg "katanya" kontroversi, banyak yg pro dan kontra ü</t>
  </si>
  <si>
    <t>pemain legend argentina banyak haters nya yaa maradona aja dlu juara piala dunia kontroversi bgt sampe juluki tangan tuhan ehh skg nurunin messi juara katanya kontroversi banyak pro dan kontra</t>
  </si>
  <si>
    <t>['pemain', 'legend', 'argentina', 'banyak', 'haters', 'ya', 'maradona', 'dlu', 'juara', 'piala', 'dunia', 'kontroversi', 'banget', 'sampai', 'juluki', 'tangan', 'tuhan', 'ehh', 'skg', 'nurunin', 'messi', 'juara', 'katanya', 'kontroversi', 'banyak', 'pro', 'kontra']</t>
  </si>
  <si>
    <t>Akhir Perdebatan GOAT: Argentina Juara Dunia 2022, Lionel Messi Pemain Terbaik Sepanjang Masa!  https://t.co/D7JAvu5PTU</t>
  </si>
  <si>
    <t>akhir perdebatan goat argentina juara dunia lionel messi pemain terbaik sepanjang masa</t>
  </si>
  <si>
    <t>['akhir', 'perdebatan', 'goat', 'argentina', 'juara', 'dunia', 'lionel', 'messi', 'pemain', 'terbaik', 'sepanjang', 'masa']</t>
  </si>
  <si>
    <t>Nobar final FIFA WORLD CUP Qatar 2022   Argentina vs Prancis , Argentina juara dg score 3 - 1 adu pinalti  https://t.co/eP76uzieXq</t>
  </si>
  <si>
    <t>nobar final fifa world cup qatar argentina prancis argentina juara score adu pinalti</t>
  </si>
  <si>
    <t>['nonton bareng', 'final', 'fifa', 'world', 'cup', 'qatar', 'argentina', 'prancis', 'argentina', 'juara', 'score', 'adu', 'penalti']</t>
  </si>
  <si>
    <t>VIDEO: Final Argentina vs Prancis: Menang Adu Penalti, Messi dkk Juara Dunia!  https://t.co/Rx6XVW8BJE</t>
  </si>
  <si>
    <t>video final argentina prancis menang adu penalti messi dkk juara dunia</t>
  </si>
  <si>
    <t>['video', 'final', 'argentina', 'prancis', 'menang', 'adu', 'penalti', 'messi', 'dkk', 'juara', 'dunia']</t>
  </si>
  <si>
    <t>Kemenangan Dramatis Argentina Akhiri Puasa Gelar Selama 36 Tahun Menjadi Juara Piala Dunia 2022 Qatar  https://t.co/MDGrjvA7eW   #ArgentinaVsFrance  #Argentina  #ArgentinaCampeonDelMundo  #PialaDunia2022  #LionelMessiìÉµ  #LionelMessi</t>
  </si>
  <si>
    <t>kemenangan dramatis argentina akhiri puasa gelar selama tahun menjadi juara piala dunia qatar</t>
  </si>
  <si>
    <t>['kemenangan', 'dramatis', 'argentina', 'akhiri', 'puasa', 'gelar', 'selama', 'tahun', 'menjadi', 'juara', 'piala', 'dunia', 'qatar']</t>
  </si>
  <si>
    <t>Argentina terakhir juara Piala Dunia tahun 1986. Setahun setelahnya Messi lahir, dan akhirnya bawa Argentina juara lagi setelah 36 tahun.  Pantes dikasih julukan ‚ÄòMessiah‚Äô ‚ú®</t>
  </si>
  <si>
    <t>argentina terakhir juara piala dunia tahun setahun setelahnya messi lahir dan akhirnya bawa argentina juara lagi setelah tahun pantes dikasih julukan messiah</t>
  </si>
  <si>
    <t>['argentina', 'terakhir', 'juara', 'piala', 'dunia', 'tahun', 'setahun', 'setelahnya', 'messi', 'lahir', 'akhirnya', 'bawa', 'argentina', 'juara', 'tahun', 'pantes', 'dikasih', 'julukan', 'messiah']</t>
  </si>
  <si>
    <t>Argentina merebut gelar Juara Piala sebanyak 3 kali sepanjang sejarah Piala dunia  https://t.co/6kCOukau7H</t>
  </si>
  <si>
    <t>argentina merebut gelar juara piala sebanyak kali sepanjang sejarah piala dunia</t>
  </si>
  <si>
    <t>['argentina', 'merebut', 'gelar', 'juara', 'piala', 'sebanyak', 'kali', 'sepanjang', 'sejarah', 'piala', 'dunia']</t>
  </si>
  <si>
    <t>Sebagai orang yang dukung Argentina dari pildun 2002. Ini juga impian masa kecil kami untuk lihat Argentina juara. Semakin lengkap karena dipimpin Leo Messi.</t>
  </si>
  <si>
    <t>sebagai orang yang dukung argentina dari pildun ini juga impian masa kecil kami untuk lihat argentina juara semakin lengkap karena dipimpin leo messi</t>
  </si>
  <si>
    <t>['orang', 'dukung', 'argentina', 'piala dunia', 'impian', 'masa', 'kecil', 'lihat', 'argentina', 'juara', 'semakin', 'lengkap', 'dipimpin', 'leo', 'messi']</t>
  </si>
  <si>
    <t>Ralat : Sejak Tahun 1986 Argentina Menjadi Juara Dunia</t>
  </si>
  <si>
    <t>ralat sejak tahun argentina menjadi juara dunia</t>
  </si>
  <si>
    <t>['ralat', 'sejak', 'tahun', 'argentina', 'menjadi', 'juara', 'dunia']</t>
  </si>
  <si>
    <t>Argentina Menang Banyak, Ini Daftar Hadiah Juara Piala Dunia dari Masa ke Masa   https://t.co/eHCeMUvnaC</t>
  </si>
  <si>
    <t>@senogp @MoooiPustaka Bismillah hasil maksud, novel Kira-kura Berjanggut, mugi saget menelisik lebih jauh Kesultanan Aceh seperti halnya melihat kesuksesan Argentina merengkuh juara piala dunia dan Messiüêê melengkapinya.  https://t.co/057rAnSSbv</t>
  </si>
  <si>
    <t>bismillah hasil maksud novel kira kura berjanggut mugi saget menelisik lebih jauh kesultanan aceh seperti halnya melihat kesuksesan argentina merengkuh juara piala dunia dan messi melengkapinya</t>
  </si>
  <si>
    <t>['bismillah', 'hasil', 'maksud', 'novel', 'kira', 'kura', 'berjanggut', 'mugi', 'saget', 'menelisik', 'lebih', 'jauh', 'kesultanan', 'aceh', 'halnya', 'melihat', 'kesuksesan', 'argentina', 'merengkuh', 'juara', 'piala', 'dunia', 'messi', 'melengkapinya']</t>
  </si>
  <si>
    <t>Goodgame Messi Argentina JUARA PIALA DUNIA 2022 Heheheheee  https://t.co/PZIcGm8mvU</t>
  </si>
  <si>
    <t>goodgame messi argentina juara piala dunia heheheheee</t>
  </si>
  <si>
    <t>['goodgame', 'messi', 'argentina', 'juara', 'piala', 'dunia', 'heheheheee']</t>
  </si>
  <si>
    <t>Argentina, pada akhirnya, menguasai dunia sepak bola. Tiga puluh enam tahun setelah Diego Maradona membawa Albiceleste menjadi juara Piala Dunia di Meksiko, giliran Lionel Messi mengangkat trofi di Stadion Lusail, Qatar. #KoranTempo  https://t.co/tEmDGXeY9f</t>
  </si>
  <si>
    <t>argentina pada akhirnya menguasai dunia sepak bola tiga puluh enam tahun setelah diego maradona membawa albiceleste menjadi juara piala dunia meksiko giliran lionel messi mengangkat trofi stadion lusail qatar</t>
  </si>
  <si>
    <t>['argentina', 'akhirnya', 'menguasai', 'dunia', 'sepak', 'bola', 'tiga', 'puluh', 'enam', 'tahun', 'diego', 'maradona', 'membawa', 'albiceleste', 'menjadi', 'juara', 'piala', 'dunia', 'meksiko', 'giliran', 'lionel', 'messi', 'mengangkat', 'trofi', 'stadion', 'lusail', 'qatar']</t>
  </si>
  <si>
    <t>Argentina sudah, sekarang giliran Indonesia! Bismillah bisa juara AFF Cup 2022 ü§≤üèΩ  https://t.co/N3HXFMyfvc</t>
  </si>
  <si>
    <t>argentina sudah sekarang giliran indonesia bismillah bisa juara aff cup</t>
  </si>
  <si>
    <t>['argentina', 'sekarang', 'giliran', 'indonesia', 'bismillah', 'juara', 'aff', 'cup']</t>
  </si>
  <si>
    <t>Hayooo siapa disini yg tebakannya benarr? Argentina jadi juara piala dunia 2022 lhoo, tunggu undian pemenang besok yaaa, live kok dari instagram emperorspa, stay tuned yaa üíï  https://t.co/85LbBCiRqi</t>
  </si>
  <si>
    <t>hayooo siapa disini tebakannya benarr argentina jadi juara piala dunia lhoo tunggu undian pemenang besok yaaa live kok dari instagram emperorspa stay tuned yaa</t>
  </si>
  <si>
    <t>['hayooo', 'siapa', 'disini', 'tebakannya', 'benarr', 'argentina', 'jadi', 'juara', 'piala', 'dunia', 'lhoo', 'tunggu', 'undian', 'pemenang', 'besok', 'yaaa', 'live', 'kok', 'instagram', 'emperorspa', 'stay', 'tuned', 'ya']</t>
  </si>
  <si>
    <t>Pict 4 1. Foto politisi nya madep border, memberi kesan tertutup 2. Penempatan foto politisi awkward, melayang gitu foto nya 3. "Dukung Argentina juara" what is that supposed to mean?</t>
  </si>
  <si>
    <t>pict foto politisi nya madep border memberi kesan tertutup penempatan foto politisi awkward melayang gitu foto nya dukung argentina juara what that supposed mean</t>
  </si>
  <si>
    <t>['pict', 'foto', 'politisi', 'madep', 'border', 'memberi', 'kesan', 'tertutup', 'penempatan', 'foto', 'politisi', 'awkward', 'melayang', 'gitu', 'foto', 'dukung', 'argentina', 'juara', 'what', 'that', 'supposed', 'mean']</t>
  </si>
  <si>
    <t>dukung argentina juara karna fans messi ‚ùå dukung argentina juara karna gedek sm kelakuan dodo ‚úÖ</t>
  </si>
  <si>
    <t>dukung argentina juara karna fans messi dukung argentina juara karna gedek kelakuan dodo</t>
  </si>
  <si>
    <t>['dukung', 'argentina', 'juara', 'karna', 'fans', 'messi', 'dukung', 'argentina', 'juara', 'karna', 'gedek', 'kelakuan', 'dodo']</t>
  </si>
  <si>
    <t>Dr. Carlos Bilardo, awalnya seorang dokter yang merangkap sebagai pemain sepak bola.  Dua kali beruntun membawa @Argentina #ARG lolos ke final #FIFAWorldCup (1986 &amp;amp; 1990) sebagai pelatih, tapi gagal juara pada kesempatan yang kedua. Rekornya disamai Didier Deschamps semalam. üôÇ</t>
  </si>
  <si>
    <t>carlos bilardo awalnya seorang dokter yang merangkap sebagai pemain sepak bola dua kali beruntun membawa lolos final sebagai pelatih tapi gagal juara pada kesempatan yang kedua rekornya disamai didier deschamps semalam</t>
  </si>
  <si>
    <t>['carlos', 'bilardo', 'awalnya', 'seorang', 'dokter', 'merangkap', 'pemain', 'sepak', 'bola', 'kali', 'beruntun', 'membawa', 'lolos', 'final', 'pelatih', 'gagal', 'juara', 'kesempatan', 'kedua', 'rekornya', 'disamai', 'didier', 'deschamps', 'semalam']</t>
  </si>
  <si>
    <t>@aisha_fass Iya ya,semalem argentina juara.</t>
  </si>
  <si>
    <t>fass iya semalem argentina juara</t>
  </si>
  <si>
    <t>['fass', 'iya', 'semalam', 'argentina', 'juara']</t>
  </si>
  <si>
    <t>Fans Argentina di Ternate berpesta merayakan gelar Juara Piala Dunia 2022 dengan melakukan pawai keliling üëèüëç   Messi The GREATEST OF ALL TIME üî•  https://t.co/xpWFdJFZ5F</t>
  </si>
  <si>
    <t>fans argentina ternate berpesta merayakan gelar juara piala dunia dengan melakukan pawai keliling messi the greatest all time</t>
  </si>
  <si>
    <t>['fans', 'argentina', 'ternate', 'berpesta', 'merayakan', 'gelar', 'juara', 'piala', 'dunia', 'melakukan', 'pawai', 'keliling', 'messi', 'the', 'greatest', 'all', 'time']</t>
  </si>
  <si>
    <t>@kisbet_ @meltdownbytori Argentina juara World Cup 3x üá¶üá∑üá¶üá∑üá¶üá∑  - WC 1978 di Argentina, Top Scorer Mario Kempes (6 gol) - WC 1986 di Mexico, Top Scorer Diego Maradona (5 gol)  - WC 2022 di Qatar, Top Scorer Lionel Messi (7 gol)</t>
  </si>
  <si>
    <t>argentina juara world cup argentina top scorer mario kempes gol mexico top scorer diego maradona gol qatar top scorer lionel messi gol</t>
  </si>
  <si>
    <t>['argentina', 'juara', 'world', 'cup', 'argentina', 'top', 'scorer', 'mario', 'kempes', 'gol', 'mexico', 'top', 'scorer', 'diego', 'maradona', 'gol', 'qatar', 'top', 'scorer', 'lionel', 'messi', 'gol']</t>
  </si>
  <si>
    <t>Fakta unik mewarnai kisah Lionel Messi yang mampu membawa Argentina menjadi juara Piala Dunia 2022, setelah [...]  https://t.co/Ey0Gp2IHgZ</t>
  </si>
  <si>
    <t>fakta unik mewarnai kisah lionel messi yang mampu membawa argentina menjadi juara piala dunia setelah</t>
  </si>
  <si>
    <t>['fakta', 'unik', 'mewarnai', 'kisah', 'lionel', 'messi', 'mampu', 'membawa', 'argentina', 'menjadi', 'juara', 'piala', 'dunia']</t>
  </si>
  <si>
    <t>tribunnews: Kisah Cinta Lionel Messi dan Antonella Viral setelah Argentina Juara, Ternyata dari Cinta Monyet    https://t.co/F0SQ2CLBO7 via @tribunnews</t>
  </si>
  <si>
    <t>tribunnews kisah cinta lionel messi dan antonella viral setelah argentina juara ternyata dari cinta monyet via</t>
  </si>
  <si>
    <t>['tribunnews', 'kisah', 'cinta', 'lionel', 'messi', 'antonella', 'viral', 'argentina', 'juara', 'ternyata', 'cinta', 'monyet', 'via']</t>
  </si>
  <si>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</si>
  <si>
    <t>argentina jadi juara piala dunia event tebak score piala dunia subur grand prize unit iphone pro lanjut</t>
  </si>
  <si>
    <t>['argentina', 'jadi', 'juara', 'piala', 'dunia', 'event', 'tebak', 'score', 'piala', 'dunia', 'subur', 'grand', 'prize', 'unit', 'iphone', 'pro', 'lanjut']</t>
  </si>
  <si>
    <t>yg juara world cup argentina, yg kena mental CR7 ü§£ OK, kita perhatikan statistik setahun terakhir CR7 vs Messi. dari club, MU finis di P6 musim 2021-2022, sementara PSG club Messi saat ini finish P1. di musim ini 2022-23, MU sementara P5, PSG P1</t>
  </si>
  <si>
    <t>juara world cup argentina kena mental kita perhatikan statistik setahun terakhir messi dari club finis musim sementara psg club messi saat ini finish musim ini sementara psg</t>
  </si>
  <si>
    <t>['juara', 'world', 'cup', 'argentina', 'kena', 'mental', 'perhatikan', 'statistik', 'setahun', 'terakhir', 'messi', 'club', 'finis', 'musim', 'psg', 'club', 'messi', 'finish', 'musim', 'psg']</t>
  </si>
  <si>
    <t>#FOTO  Argentina menjadi juara Piala Dunia 2022. Rodrigo De Paul merayakannya dengan berkalung jaring gawang dan hisap cerutu.  Foto: AP Photo  #juaraboladunia #Argentina #Qatar2022 #DePaul  https://t.co/4626YXgv57</t>
  </si>
  <si>
    <t>argentina menjadi juara piala dunia rodrigo paul merayakannya dengan berkalung jaring gawang dan hisap cerutu foto photo</t>
  </si>
  <si>
    <t>['argentina', 'menjadi', 'juara', 'piala', 'dunia', 'rodrigo', 'paul', 'merayakannya', 'berkalung', 'jaring', 'gawang', 'hisap', 'cerutu', 'foto', 'photo']</t>
  </si>
  <si>
    <t>Prancis gagal mempertahankan gelar juara Piala Dunia. Yang lebih menyakitkan, Les Bleus sempat mendapat harapan sebelum dihempaskan Argentina. #juaraboladunia    https://t.co/atUcCPzrIB</t>
  </si>
  <si>
    <t>prancis gagal mempertahankan gelar juara piala dunia yang lebih menyakitkan les bleus sempat mendapat harapan sebelum dihempaskan argentina</t>
  </si>
  <si>
    <t>['prancis', 'gagal', 'mempertahankan', 'gelar', 'juara', 'piala', 'dunia', 'lebih', 'menyakitkan', 'les', 'bleus', 'sempat', 'mendapat', 'harapan', 'dihempaskan', 'argentina']</t>
  </si>
  <si>
    <t>Prediksi Singapore Senin, 19 Desember 2022 AI: 6 7 0 1 2D: 32 99 97 49 4D: 9323 4093 6797 Best: 76 67 93 Shio: Babi BBFS: 418706 #Pancingtoto #argentinajuara #akhirtahun  https://t.co/SfTMffIW2U</t>
  </si>
  <si>
    <t>prediksi singapore senin desember best shio babi bbfs</t>
  </si>
  <si>
    <t>['prediksi', 'singapore', 'senin', 'desember', 'best', 'shio', 'babi', 'bbfs']</t>
  </si>
  <si>
    <t>Keluaran China 19 Desember 2022  Result: 4972 Shio: Kelinci #PancingHoki #betcoin - Prediksi Japan Senin, 19 Desember 2022 AI: 5 4 1 6 2D: 14 56 76 94 4D: 7681 7430 9530 Best: 66 45 46 Shio: Ayam BBFS: 964501 #Pancingtoto #argentinajuara #akhirtahun  https://t.co/SfTMffIW2U _</t>
  </si>
  <si>
    <t>keluaran china desember result shio kelinci prediksi japan senin desember best shio ayam bbfs</t>
  </si>
  <si>
    <t>['keluaran', 'china', 'desember', 'result', 'shio', 'kelinci', 'prediksi', 'japan', 'senin', 'desember', 'best', 'shio', 'ayam', 'bbfs']</t>
  </si>
  <si>
    <t>170, 11) ARGENTINA JUARA PIALA DUNIA 2022 - Coba cek ini deh, Twibbonize ARGENTINA JUARA PIALA DUNIA 2022 melalui link  https://t.co/uhOnheKnJT. #twbb 55856f BF6109 üíéüíé FABBB3 AC4C04 7D9978 B890A0 B0B870 989098 A8B0C0 703838 A07070 806090 C0C058 788078 A8B078 (2/15)</t>
  </si>
  <si>
    <t>argentina juara piala dunia coba cek ini deh twibbonize argentina juara piala dunia melalui link fabbb</t>
  </si>
  <si>
    <t>['argentina', 'juara', 'piala', 'dunia', 'coba', 'cek', 'deh', 'twibbonize', 'argentina', 'juara', 'piala', 'dunia', 'melalui', 'link', 'fabbb']</t>
  </si>
  <si>
    <t>Ronaldo Ikut Senang Lionel Messi dan Argentina Juara Piala Dunia 2022  https://t.co/lDBAJNtP0f</t>
  </si>
  <si>
    <t>@abgusss perlu didudukkan perkaranya secara jelas, lur. bahwa kekalahan lawan roma dan liverpool adalah momentum ditendangnya bola salju pertama kali hingga kemudian messi bisa fokus pada international football hingga juara pildun bersama argentina. wqwq</t>
  </si>
  <si>
    <t>perlu didudukkan perkaranya secara jelas lur bahwa kekalahan lawan roma dan liverpool adalah momentum ditendangnya bola salju pertama kali hingga kemudian messi bisa fokus pada international football hingga juara pildun bersama argentina wqwq</t>
  </si>
  <si>
    <t>['perlu', 'didudukkan', 'perkaranya', 'jelas', 'lur', 'kekalahan', 'lawan', 'roma', 'liverpool', 'momentum', 'ditendangnya', 'bola', 'salju', 'pertama', 'kali', 'hingga', 'kemudian', 'messi', 'fokus', 'international', 'football', 'hingga', 'juara', 'piala dunia', 'bersama', 'argentina', 'wqwq']</t>
  </si>
  <si>
    <t>Keberhasilan Lionel Messi membawa Argentina juara Piala Dunia 2022 juga mendapat tanggapan dari striker legendaris timnas Brasil, Ronaldo.  https://t.co/gRwupYPDqw</t>
  </si>
  <si>
    <t>keberhasilan lionel messi membawa argentina juara piala dunia juga mendapat tanggapan dari striker legendaris timnas brasil ronaldo</t>
  </si>
  <si>
    <t>['keberhasilan', 'lionel', 'messi', 'membawa', 'argentina', 'juara', 'piala', 'dunia', 'mendapat', 'tanggapan', 'striker', 'legendaris', 'timnas', 'brasil', 'ronaldo']</t>
  </si>
  <si>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</si>
  <si>
    <t>argentina mjd juara dunia para fans membuat gereja bermotto existe tuhan hadir perintahnya dimana angka adl nomor maradona gereja existe didirikan kota rosario juga adl desanya messi membawa argentina kembali mjd juara dunia</t>
  </si>
  <si>
    <t>['argentina', 'mjd', 'juara', 'dunia', 'fans', 'membuat', 'gereja', 'bermotto', 'existe', 'tuhan', 'hadir', 'perintahnya', 'angka', 'adl', 'nomor', 'maradona', 'gereja', 'existe', 'didirikan', 'kota', 'rosario', 'adl', 'desanya', 'messi', 'membawa', 'argentina', 'mjd', 'juara', 'dunia']</t>
  </si>
  <si>
    <t>@panditfootball Akhirnya semua ekspresi dan selebrasi yang dipendam dikeluarkan setelah Argentina juara hebat Scaloni hehe üòÇ  https://t.co/3JboZpkjPr</t>
  </si>
  <si>
    <t>akhirnya semua ekspresi dan selebrasi yang dipendam dikeluarkan setelah argentina juara hebat scaloni hehe</t>
  </si>
  <si>
    <t>['akhirnya', 'semua', 'ekspresi', 'selebrasi', 'dipendam', 'dikeluarkan', 'argentina', 'juara', 'hebat', 'scaloni']</t>
  </si>
  <si>
    <t>Argentina juara, apakah ini pertanda kalo saya akan mendapatkan $1000 üëÄ</t>
  </si>
  <si>
    <t>argentina juara apakah ini pertanda kalo saya akan mendapatkan</t>
  </si>
  <si>
    <t>['argentina', 'juara', 'pertanda', 'mendapatkan']</t>
  </si>
  <si>
    <t>‚ÄúTidak, saya tidak akan pensiun dari timnas Argentina. Saya ingin terus bermain sebagai juara," ujar Messi  #fifaworldcup #lionelmessi #keuangan #belajarkeuangan #inflasi #investasi #saham #belajarinvestasi  https://t.co/jpp3NJX1Rn</t>
  </si>
  <si>
    <t>tidak saya tidak akan pensiun dari timnas argentina saya ingin terus bermain sebagai juara ujar messi</t>
  </si>
  <si>
    <t>['pensiun', 'timnas', 'argentina', 'terus', 'bermain', 'juara', 'ujar', 'messi']</t>
  </si>
  <si>
    <t>@MSaufina Aku Penggemar Italia juga ikut senang Argentina yang juara..ü•≥ü•≥ü•≥  https://t.co/TWkfpgjF56</t>
  </si>
  <si>
    <t>aku penggemar italia juga ikut senang argentina yang juara</t>
  </si>
  <si>
    <t>['aku', 'penggemar', 'italia', 'ikut', 'senang', 'argentina', 'juara']</t>
  </si>
  <si>
    <t>@panca66 @MIrvanDarwin1 Ternyata..rahasia argentina bs jd juara gara2.. menu nasi padang üòÅüòÅ</t>
  </si>
  <si>
    <t>ternyata rahasia argentina juara gara menu nasi padang</t>
  </si>
  <si>
    <t>['ternyata', 'rahasia', 'argentina', 'juara', 'gara', 'menu', 'nasi', 'padang']</t>
  </si>
  <si>
    <t>#FOTO  Argentina menjadi juara Piala Dunia 2022. Rodrigo De Paul merayakannya dengan berkalung jaring gawang dan hisap cerutu.  Foto: AP Photo  #juaraboladunia #Argentina #Qatar2022 #DePaul  https://t.co/N5ApFqSlfs</t>
  </si>
  <si>
    <t>@kisbet_ @meltdownbytori #Argentina 3 kali juara dunia 1978 di Argentina, Mario Kempes dengan 6 gol 1986 di Mexico, Diego Maradona dengan 5 gol  2022 di Qatar, Lionel Messi dengan 7 gol  bismillah, menang~   #Arg</t>
  </si>
  <si>
    <t>kali juara dunia argentina mario kempes dengan gol mexico diego maradona dengan gol qatar lionel messi dengan gol bismillah menang</t>
  </si>
  <si>
    <t>['kali', 'juara', 'dunia', 'argentina', 'mario', 'kempes', 'gol', 'mexico', 'diego', 'maradona', 'gol', 'qatar', 'lionel', 'messi', 'gol', 'bismillah', 'menang']</t>
  </si>
  <si>
    <t>Argentina Juara Piala Dunia 2022, Lionel Messi Masih Ingin Bermain Bersama Tim Tango, Tak Jadi Pensiun?  #MessiìÉµ #ArgentinaVsFrance #Argentina #WorldCupFinal    https://t.co/M0yDG35N5Z</t>
  </si>
  <si>
    <t>argentina juara piala dunia lionel messi masih ingin bermain bersama tim tango tak jadi pensiun</t>
  </si>
  <si>
    <t>['argentina', 'juara', 'piala', 'dunia', 'lionel', 'messi', 'bermain', 'bersama', 'tim', 'tango', 'tak', 'jadi', 'pensiun']</t>
  </si>
  <si>
    <t>@Dennysiregar7 Sayang ...bintang bersinar masih ada di kepala Messi, selamat Messi dengan segala prestasinya dan Selamat Argentina, Negeri nya para juara Sepak Bola</t>
  </si>
  <si>
    <t>sayang bintang bersinar masih ada kepala messi selamat messi dengan segala prestasinya dan selamat argentina negeri nya para juara sepak bola</t>
  </si>
  <si>
    <t>['sayang', 'bintang', 'bersinar', 'kepala', 'messi', 'selamat', 'messi', 'segala', 'prestasinya', 'selamat', 'argentina', 'negeri', 'juara', 'sepak', 'bola']</t>
  </si>
  <si>
    <t>WC 2006 Italia Juara, masih SD  WC 2010 Spanyol Juara, lagi SMP  WC 2014 Jerman Juara, di SMA  WC 2018 Prancis Juara, fokus kuliah  WC 2022 Argentina Juara, sedang kerja  WC 2026, lagi ngapain ya ntar ?</t>
  </si>
  <si>
    <t>italia juara masih spanyol juara lagi smp jerman juara sma prancis juara fokus kuliah argentina juara sedang kerja lagi ngapain ntar</t>
  </si>
  <si>
    <t>['italia', 'juara', 'spanyol', 'juara', 'smp', 'jerman', 'juara', 'sma', 'prancis', 'juara', 'fokus', 'kuliah', 'argentina', 'juara', 'sedang', 'kerja', 'ngapain', 'ntar']</t>
  </si>
  <si>
    <t xml:space="preserve"> https://t.co/dKvge0jeNs : Ratusan Dukun Wanita Argentina Lakukan Ritual Lindungi Lionel Messi demi Timnas Argentina Juara Piala Dunia 2022  https://t.co/VL0hg9nrJg</t>
  </si>
  <si>
    <t>ratusan dukun wanita argentina lakukan ritual lindungi lionel messi demi timnas argentina juara piala dunia</t>
  </si>
  <si>
    <t>['ratusan', 'dukun', 'wanita', 'argentina', 'lakukan', 'ritual', 'lindungi', 'lionel', 'messi', 'timnas', 'argentina', 'juara', 'piala', 'dunia']</t>
  </si>
  <si>
    <t>Menkop UKM: Sejak Awal Saya Jagokan Argentina Juara Piala Dunia 2022  https://t.co/vhsKvK75Uo</t>
  </si>
  <si>
    <t>menkop ukm sejak awal saya jagokan argentina juara piala dunia</t>
  </si>
  <si>
    <t>['menkop', 'ukm', 'sejak', 'awal', 'jagokan', 'argentina', 'juara', 'piala', 'dunia']</t>
  </si>
  <si>
    <t>Argentina Juara Piala Dunia 2022 Qatar, Segini Lho Hadiahnya  https://t.co/BvS8RiOmEZ</t>
  </si>
  <si>
    <t>argentina juara piala dunia qatar segini lho hadiahnya</t>
  </si>
  <si>
    <t>['argentina', 'juara', 'piala', 'dunia', 'qatar', 'segini', 'lho', 'hadiahnya']</t>
  </si>
  <si>
    <t>Ah elo bukannya ngerayain Argentina juara malah ngomong politikkk ajeee</t>
  </si>
  <si>
    <t>elo bukannya ngerayain argentina juara malah ngomong politikkk ajeee</t>
  </si>
  <si>
    <t>['elo', 'bukannya', 'ngerayain', 'argentina', 'juara', 'malah', 'ngomong', 'politikkk', 'ajeee']</t>
  </si>
  <si>
    <t>Kisah Cinta Lionel Messi dan Antonella Viral setelah Argentina Juara, Ternyata dari Cinta Monyet    https://t.co/RykamIrIYb via @tribunnews</t>
  </si>
  <si>
    <t>kisah cinta lionel messi dan antonella viral setelah argentina juara ternyata dari cinta monyet via</t>
  </si>
  <si>
    <t>['kisah', 'cinta', 'lionel', 'messi', 'antonella', 'viral', 'argentina', 'juara', 'ternyata', 'cinta', 'monyet', 'via']</t>
  </si>
  <si>
    <t>Di balik kesuksesan Argentina menjadi juara dunia, muncul nama Sergio Aguero sebagai penyemangat La Abiceleste menempuh kompetisi tersebut.  https://t.co/6DCc6OlnjD</t>
  </si>
  <si>
    <t>balik kesuksesan argentina menjadi juara dunia muncul nama sergio aguero sebagai penyemangat abiceleste menempuh kompetisi tersebut</t>
  </si>
  <si>
    <t>['balik', 'kesuksesan', 'argentina', 'menjadi', 'juara', 'dunia', 'muncul', 'nama', 'sergio', 'aguero', 'penyemangat', 'abiceleste', 'menempuh', 'kompetisi', 'tersebut']</t>
  </si>
  <si>
    <t>Semoga kemenangan Argentina ini menjadi inspirasi untuk pantang menyerah menggapai mimpi  dan terus berprestasi bersama KIMBO Probites #SnackBerPROtein.   ‚Äã‚Äã#KimboIndonesia #BerbagiNikmat #KimboFrozen #SnackBerPROtein #BikinSemuaHappy #ArgentinaJuara</t>
  </si>
  <si>
    <t>semoga kemenangan argentina ini menjadi inspirasi untuk pantang menyerah menggapai mimpi dan terus berprestasi bersama kimbo probites</t>
  </si>
  <si>
    <t>['semoga', 'kemenangan', 'argentina', 'menjadi', 'inspirasi', 'pantang', 'menyerah', 'menggapai', 'mimpi', 'terus', 'berprestasi', 'bersama', 'kimbo', 'probites']</t>
  </si>
  <si>
    <t>@idextratime ga main juga tapi seolah-olah kyk dia yg jadi penentu juara nya argentina goblok Aguero tololll</t>
  </si>
  <si>
    <t>main juga tapi seolah olah kyk dia jadi penentu juara nya argentina goblok aguero tololll</t>
  </si>
  <si>
    <t>['main', 'olah', 'seperti', 'jadi', 'penentu', 'juara', 'argentina', 'goblok', 'aguero', 'tololll']</t>
  </si>
  <si>
    <t>Selamat untuk ArgentinaüèÜüá¶üá∑üèÜ ¬† Setelah lima gelaran Pesta Bola Dunia, akhirnya Messi memimpin Argentina menjadi juara dunia 2022. Squad Argentina berhasil mengalahkan Prancis lewat adu pinalti, setelah bermain sama kuat 3-3.  https://t.co/0tny9seygg</t>
  </si>
  <si>
    <t>selamat untuk argentina setelah lima gelaran pesta bola dunia akhirnya messi memimpin argentina menjadi juara dunia squad argentina berhasil mengalahkan prancis lewat adu pinalti setelah bermain sama kuat</t>
  </si>
  <si>
    <t>['selamat', 'argentina', 'lima', 'gelaran', 'pesta', 'bola', 'dunia', 'akhirnya', 'messi', 'memimpin', 'argentina', 'menjadi', 'juara', 'dunia', 'squad', 'argentina', 'berhasil', 'mengalahkan', 'prancis', 'lewat', 'adu', 'penalti', 'bermain', 'sama', 'kuat']</t>
  </si>
  <si>
    <t>Berita Bola Terkini Nova88 Indonesia Klik  https://t.co/VsbRjz8w7o : Ronaldo Usai Argentina Juara Piala Dunia 2022: Singkirkan Rivalitas, Messi Genius  https://t.co/NWhIj2cC79  https://t.co/fNRdZYHm3c</t>
  </si>
  <si>
    <t>berita bola terkini nova indonesia klik ronaldo usai argentina juara piala dunia singkirkan rivalitas messi genius</t>
  </si>
  <si>
    <t>['berita', 'bola', 'terkini', 'nova', 'indonesia', 'klik', 'ronaldo', 'usai', 'argentina', 'juara', 'piala', 'dunia', 'singkirkan', 'rivalitas', 'messi', 'genius']</t>
  </si>
  <si>
    <t>SELAMAT! ARGENTINA JUARA PIALA DUNIA 2022.‚Å£ #Jasacuan ‚Å£#viralnews #juaraboladunia  #argentina  #prancis  #Fifawordcup2022 #Qatar2022  https://t.co/LKgagpW8me</t>
  </si>
  <si>
    <t>selamat argentina juara piala dunia</t>
  </si>
  <si>
    <t>['selamat', 'argentina', 'juara', 'piala', 'dunia']</t>
  </si>
  <si>
    <t>@taniaviandra @mpussgen @kennz_s @naniii2607 @idextratime Haaland foden gak ada gelar juara dunia, jadi gak ada yang untuk kenangüòÇü§å, ntar juga bikin tu, satu tim Argentina</t>
  </si>
  <si>
    <t>haaland foden gak ada gelar juara dunia jadi gak ada yang untuk kenang ntar juga bikin satu tim argentina</t>
  </si>
  <si>
    <t>['haaland', 'foden', 'gelar', 'juara', 'dunia', 'jadi', 'kenang', 'ntar', 'satu', 'tim', 'argentina']</t>
  </si>
  <si>
    <t>Selamat kepada Argentina meraih juara Piala Dunia 2022ü•≥  Gimana pendukung Argentina nih? Masih berasa euforia? Untuk pendukung Prancis tunggu 4 tahun lagi yaa üòä  #SeluruhDuniaBisa  #PaketmuDuniaku   #TidakKamiBanting #PialaDunia2022  https://t.co/jZN7oRbARB</t>
  </si>
  <si>
    <t>selamat kepada argentina meraih juara piala dunia gimana pendukung argentina nih masih berasa euforia untuk pendukung prancis tunggu tahun lagi yaa</t>
  </si>
  <si>
    <t>['selamat', 'argentina', 'meraih', 'juara', 'piala', 'dunia', 'gimana', 'pendukung', 'argentina', 'berasa', 'euforia', 'pendukung', 'prancis', 'tunggu', 'tahun', 'ya']</t>
  </si>
  <si>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</si>
  <si>
    <t>kemudian argentina datang qatar membawa rekor tak terkalahkan dan masih yakin messi bisa juara dunia ehh baru awal sdh bikin menggigil lagi argentina kalah arab saudi uda mensen sama arab saja kalah mau juara dunia reseh sruput kopi</t>
  </si>
  <si>
    <t>['kemudian', 'argentina', 'datang', 'qatar', 'membawa', 'rekor', 'tak', 'terkalahkan', 'yakin', 'messi', 'juara', 'dunia', 'ehh', 'baru', 'awal', 'menggigil', 'argentina', 'kalah', 'arab', 'saudi', 'uda', 'mensen', 'sama', 'arab', 'kalah', 'mau', 'juara', 'dunia', 'reseh', 'sruput', 'kopi']</t>
  </si>
  <si>
    <t>‚ÄúSemua Karena Lionel Messi‚Äù ‚Äì Alexis Mac Allister Ungkap Rahasia Argentina Jadi Juara Piala Dunia 2022 ‚Äì  https://t.co/aBNyMHCOWo ‚Äì Google Berita Olahraga ‚Äì  https://t.co/HvHN9pYs02 ‚Äì #Arenanews #Kamidi #Opsiminfo- https://t.co/UMu7I28MdP</t>
  </si>
  <si>
    <t>semua karena lionel messi alexis mac allister ungkap rahasia argentina jadi juara piala dunia google berita olahraga</t>
  </si>
  <si>
    <t>['semua', 'lionel', 'messi', 'alexis', 'mac', 'allister', 'ungkap', 'rahasia', 'argentina', 'jadi', 'juara', 'piala', 'dunia', 'google', 'berita', 'olahraga']</t>
  </si>
  <si>
    <t>Min aku mau hp ini soalnya Realme 3 Pro aku udah mulai error dan kebetulan aku bener nebak Argentina juara melalui adu pinalti di kuis kemarin. Semoga Mimin yang baik menjadikan aku pemenangnya @realmeindonesia</t>
  </si>
  <si>
    <t>min aku mau ini soalnya realme pro aku udah mulai error dan kebetulan aku bener nebak argentina juara melalui adu pinalti kuis kemarin semoga mimin yang baik menjadikan aku pemenangnya</t>
  </si>
  <si>
    <t>['min', 'aku', 'mau', 'soalnya', 'realme', 'pro', 'aku', 'udah', 'mulai', 'error', 'kebetulan', 'aku', 'benar', 'nebak', 'argentina', 'juara', 'melalui', 'adu', 'penalti', 'kuis', 'kemarin', 'semoga', 'mimin', 'baik', 'menjadikan', 'aku', 'pemenangnya']</t>
  </si>
  <si>
    <t>Arab Saudi tewaskan Argentina... Tapi...Argentina juara.  *Cam Malaysia jer...  https://t.co/h0FLfHX85H</t>
  </si>
  <si>
    <t>arab saudi tewaskan argentina tapi argentina juara cam malaysia jer</t>
  </si>
  <si>
    <t>['arab', 'saudi', 'tewaskan', 'argentina', 'argentina', 'juara', 'cam', 'malaysia', 'jer']</t>
  </si>
  <si>
    <t>Argentina Juara, Pendukung Prancis Bentrok dengan Polisi   https://t.co/NL03IeUfgD</t>
  </si>
  <si>
    <t>argentina juara pendukung prancis bentrok dengan polisi</t>
  </si>
  <si>
    <t>['argentina', 'juara', 'pendukung', 'prancis', 'bentrok', 'polisi']</t>
  </si>
  <si>
    <t>Argentina, Potret Negara Kacau Balau Tapi Bisa Juara Dunia  https://t.co/jmconHZP06</t>
  </si>
  <si>
    <t>argentina potret negara kacau balau tapi bisa juara dunia</t>
  </si>
  <si>
    <t>['argentina', 'potret', 'negara', 'kacau', 'balau', 'juara', 'dunia']</t>
  </si>
  <si>
    <t>@CNNIndonesia Hadiah sebagai juara dunia sebesar 600 M lebih mungkin bisa disumbangkan pada rakyat Argentina yang membutuhkan karena krisis ekonomi dinegara tersebut  - messi - d'maria</t>
  </si>
  <si>
    <t>hadiah sebagai juara dunia sebesar lebih mungkin bisa disumbangkan pada rakyat argentina yang membutuhkan karena krisis ekonomi dinegara tersebut messi maria</t>
  </si>
  <si>
    <t>['hadiah', 'juara', 'dunia', 'sebesar', 'lebih', 'mungkin', 'disumbangkan', 'rakyat', 'argentina', 'membutuhkan', 'krisis', 'ekonomi', 'dinegara', 'tersebut', 'messi', 'maria']</t>
  </si>
  <si>
    <t>AGUEROO ü•≤ü•≤üò≠ Seneng bgt argentina juara tp agak sedih aguero pas udh pensiun</t>
  </si>
  <si>
    <t>agueroo seneng bgt argentina juara agak sedih aguero pas udh pensiun</t>
  </si>
  <si>
    <t>['agueroo', 'seneng', 'banget', 'argentina', 'juara', 'sedih', 'aguero', 'pas', 'sudah', 'pensiun']</t>
  </si>
  <si>
    <t>Sampek sekarang masih terharu liat perjuangan Argentina, khususnya Kang Messi. Setelah gagal di final 2014, kemudian mencoba lagi di 2018 dan lagi2 gagal hingga akhirnya bisa membawa Argentina juara di 2022 lewat perjuangan yang begitu luar biasa.  Messi = G.O.A.T üêêüêê</t>
  </si>
  <si>
    <t>sampek sekarang masih terharu liat perjuangan argentina khususnya kang messi setelah gagal final kemudian mencoba lagi dan lagi gagal hingga akhirnya bisa membawa argentina juara lewat perjuangan yang begitu luar biasa messi</t>
  </si>
  <si>
    <t>['sampek', 'sekarang', 'terharu', 'lihat', 'perjuangan', 'argentina', 'khususnya', 'kang', 'messi', 'gagal', 'final', 'kemudian', 'mencoba', 'gagal', 'hingga', 'akhirnya', 'membawa', 'argentina', 'juara', 'lewat', 'perjuangan', 'luar', 'biasa', 'messi']</t>
  </si>
  <si>
    <t>@arxocia Argentina juara wkwkwk</t>
  </si>
  <si>
    <t>argentina juara wkwkwk</t>
  </si>
  <si>
    <t>['argentina', 'juara', 'wkwkwk']</t>
  </si>
  <si>
    <t>Kata Pele Usai Argentina Juara Piala Dunia 2022: Maradona Tersenyum!  https://t.co/Wo5nxY8aES</t>
  </si>
  <si>
    <t>kata pele usai argentina juara piala dunia maradona tersenyum</t>
  </si>
  <si>
    <t>['kata', 'pele', 'usai', 'argentina', 'juara', 'piala', 'dunia', 'maradona', 'tersenyum']</t>
  </si>
  <si>
    <t>@registaco Lah pada salty. Kronologinya, dia diundang oleh Asosiasi Sepakbola Argentina dan jajaran timnas Argentina untuk bergabung di pemusatan latihan dan juga perayaan juara. Dari awal sakit jantung juga udah ditawarin jadi staf pelatih timnas Argenti</t>
  </si>
  <si>
    <t>lah pada salty kronologinya dia diundang oleh asosiasi sepakbola argentina dan jajaran timnas argentina untuk bergabung pemusatan latihan dan juga perayaan juara dari awal sakit jantung juga udah ditawarin jadi staf pelatih timnas argenti</t>
  </si>
  <si>
    <t>['lah', 'salty', 'kronologinya', 'diundang', 'asosiasi', 'sepakbola', 'argentina', 'jajaran', 'timnas', 'argentina', 'bergabung', 'pemusatan', 'latihan', 'perayaan', 'juara', 'awal', 'sakit', 'jantung', 'udah', 'ditawarin', 'jadi', 'staf', 'pelatih', 'timnas', 'argenti']</t>
  </si>
  <si>
    <t>Argentina juara WC France runner up Indonesia juara AFF ??  https://t.co/Uob3udCZks</t>
  </si>
  <si>
    <t>argentina juara france runner indonesia juara aff</t>
  </si>
  <si>
    <t>['argentina', 'juara', 'france', 'runner', 'indonesia', 'juara', 'aff']</t>
  </si>
  <si>
    <t>Thread bgst yg mengantarkan Argentina juara üò≠ü§£</t>
  </si>
  <si>
    <t>thread bgst mengantarkan argentina juara</t>
  </si>
  <si>
    <t>['thread', 'bgst', 'mengantarkan', 'argentina', 'juara']</t>
  </si>
  <si>
    <t>Bintang ke-3 buat Argentina setelah Juara Piala Dunia untuk ketiga kalinya! . #EMTEKWORLDCUP2022 #BOLANETWORLDCUP2022  #PialaDunia #PialaDunia2022  https://t.co/A3QupH26EA</t>
  </si>
  <si>
    <t>yang juara dunia argentina tapi Ronaldo tetep trending juga..^_^</t>
  </si>
  <si>
    <t>yang juara dunia argentina tapi ronaldo tetep trending juga</t>
  </si>
  <si>
    <t>['juara', 'dunia', 'argentina', 'ronaldo', 'tetep', 'trending']</t>
  </si>
  <si>
    <t>Kemenangan ini  adalah trofi Piala Dunia Argentina yang ketiga. Argentina menjadi juara dunia untuk pertama kalinya pada tahun 1978.  #BNI46  #BNIUntukIndonesia  #MakinSayangBNI  #LompatLebihTinggi  #WorldCup2022  #PialaDunia2022</t>
  </si>
  <si>
    <t>kemenangan ini adalah trofi piala dunia argentina yang ketiga argentina menjadi juara dunia untuk pertama kalinya pada tahun</t>
  </si>
  <si>
    <t>['kemenangan', 'trofi', 'piala', 'dunia', 'argentina', 'ketiga', 'argentina', 'menjadi', 'juara', 'dunia', 'pertama', 'kalinya', 'tahun']</t>
  </si>
  <si>
    <t>@FansNerazzurri Dulu messi ini kurangnya cm 1. Gelar juara di level tim nasional. Berbanding terbalik dgn Buffon,yg 0 juara UCL. Saking frustasinya sempet pensiun dr timnas. Di penghujung karirnya akhirnya bs meraih juara brsma argentina.messi hrs bersyuk</t>
  </si>
  <si>
    <t>dulu messi ini kurangnya gelar juara level tim nasional berbanding terbalik dgn buffon juara ucl saking frustasinya sempet pensiun timnas penghujung karirnya akhirnya meraih juara brsma argentina messi hrs bersyuk</t>
  </si>
  <si>
    <t>['dulu', 'messi', 'kurangnya', 'gelar', 'juara', 'level', 'tim', 'nasional', 'berbanding', 'terbalik', 'buffon', 'juara', 'ucl', 'saking', 'frustasinya', 'sempet', 'pensiun', 'timnas', 'penghujung', 'karirnya', 'akhirnya', 'meraih', 'juara', 'brsma', 'argentina', 'messi', 'hrs', 'bersyuk']</t>
  </si>
  <si>
    <t>10 hari yang lalu waktu tidur di kapal dan mimpi ngaco tbtb argentina juara.</t>
  </si>
  <si>
    <t>hari yang lalu waktu tidur kapal dan mimpi ngaco tbtb argentina juara</t>
  </si>
  <si>
    <t>['hari', 'lalu', 'waktu', 'tidur', 'kapal', 'mimpi', 'ngaco', 'tbtb', 'argentina', 'juara']</t>
  </si>
  <si>
    <t>Warga 'Ziarah' Usai Argentina Juara Piala Dunia 2022: Serbu Ibu Kota, Lantunan Himne Berkumandang  https://t.co/o2KwmeBtxI</t>
  </si>
  <si>
    <t>warga ziarah usai argentina juara piala dunia serbu ibu kota lantunan himne berkumandang</t>
  </si>
  <si>
    <t>['warga', 'ziarah', 'usai', 'argentina', 'juara', 'piala', 'dunia', 'serbu', 'ibu', 'kota', 'lantunan', 'himne', 'berkumandang']</t>
  </si>
  <si>
    <t>Top 3 Sports: Argentina Juara Piala Dunia, Mbappe Menggila di Final  https://t.co/tBrLBq4pfe</t>
  </si>
  <si>
    <t>#FOTO  Argentina menjadi juara Piala Dunia 2022. Rodrigo De Paul merayakannya dengan berkalung jaring gawang dan hisap cerutu.  Foto: AP Photo  #juaraboladunia #Argentina #Qatar2022 #DePaul  https://t.co/WzUn9XudOY</t>
  </si>
  <si>
    <t>Argentina meraih dua gelar juara dalam dua tahun. Setelah Copa America pada 2021, sekarang skuad asuhan Lionel Scaloni itu pun sukses memenangkan Piala Dunia 2022. #juaraboladunia    https://t.co/H1kyHq675Q</t>
  </si>
  <si>
    <t>argentina meraih dua gelar juara dalam dua tahun setelah copa america pada sekarang skuad asuhan lionel scaloni itu pun sukses memenangkan piala dunia</t>
  </si>
  <si>
    <t>['argentina', 'meraih', 'gelar', 'juara', 'tahun', 'copa', 'america', 'sekarang', 'skuad', 'asuhan', 'lionel', 'scaloni', 'sukses', 'memenangkan', 'piala', 'dunia']</t>
  </si>
  <si>
    <t>Seandainya Messi msh di @FCBarcelona ...tdk akan Argentina Juara Dunia... Rejekinya di @PSG_inside</t>
  </si>
  <si>
    <t>seandainya messi msh tdk akan argentina juara dunia rejekinya inside</t>
  </si>
  <si>
    <t>['seandainya', 'messi', 'msh', 'argentina', 'juara', 'dunia', 'rejekinya', 'inside']</t>
  </si>
  <si>
    <t>@johyunrv semoga gak galau lama lama yaa kak dan hatinya cepet membaik dari rasa sedih. Ikut senang untuk Argentina udah juara. Semoga dilancarkan urusan urusannya.</t>
  </si>
  <si>
    <t>semoga gak galau lama lama yaa kak dan hatinya cepet membaik dari rasa sedih ikut senang untuk argentina udah juara semoga dilancarkan urusan urusannya</t>
  </si>
  <si>
    <t>['semoga', 'galau', 'lama', 'lama', 'ya', 'kak', 'hatinya', 'cepet', 'membaik', 'rasa', 'sedih', 'ikut', 'senang', 'argentina', 'udah', 'juara', 'semoga', 'dilancarkan', 'urusan', 'urusannya']</t>
  </si>
  <si>
    <t>Mantan Terindah, Barcelona Ungkap Pesan Haru Usai Lionel Messi Bawa Argentina Juara Piala Dunia 2022 #MessiìÉµ #LionelMessiìÉµ #Argentina #FIFAWorldCup   https://t.co/hf0YnHjtVz</t>
  </si>
  <si>
    <t>mantan terindah barcelona ungkap pesan haru usai lionel messi bawa argentina juara piala dunia</t>
  </si>
  <si>
    <t>['mantan', 'terindah', 'barcelona', 'ungkap', 'pesan', 'haru', 'usai', 'lionel', 'messi', 'bawa', 'argentina', 'juara', 'piala', 'dunia']</t>
  </si>
  <si>
    <t>Pengen nangis mbayangno wong sak lowokwaru podo metu omah sembari teriak   "DIBELANI G NYAMBUT GAWE, SENG PENTING ARGENTINA JUARA BOSS"</t>
  </si>
  <si>
    <t>pengen nangis mbayangno wong sak lowokwaru podo metu omah sembari teriak dibelani nyambut gawe seng penting argentina juara boss</t>
  </si>
  <si>
    <t>['pengen', 'nangis', 'mbayangno', 'wong', 'sak', 'lowokwaru', 'podo', 'metu', 'omah', 'sembari', 'teriak', 'dibelani', 'nyambut', 'gawe', 'seng', 'penting', 'argentina', 'juara', 'boss']</t>
  </si>
  <si>
    <t>Argentina Juara Piala Dunia, Buenos Aires Jadi Lautan Manusia  https://t.co/KrTsii0VDQ</t>
  </si>
  <si>
    <t>argentina juara piala dunia buenos aires jadi lautan manusia</t>
  </si>
  <si>
    <t>['argentina', 'juara', 'piala', 'dunia', 'buenos', 'aires', 'jadi', 'lautan', 'manusia']</t>
  </si>
  <si>
    <t>#FIFAWorldCup Argentina juara piala dunia Qatar 2022  https://t.co/QYv0bWrck0</t>
  </si>
  <si>
    <t>"Tidak, saya tidak akan pensiun dari timnas Argentina. Saya ingin terus bermain sebagai juara," ujar Messi.  #yukplay #yukplayslot #yukplaylogin #yukplaydaftar  https://t.co/7CKBZhV60p</t>
  </si>
  <si>
    <t>Argentina Juara Piala Dunia 2022, TGB: Akhirnya!  https://t.co/1xziIwMv3M</t>
  </si>
  <si>
    <t>argentina juara piala dunia tgb akhirnya</t>
  </si>
  <si>
    <t>['argentina', 'juara', 'piala', 'dunia', 'tgb', 'akhirnya']</t>
  </si>
  <si>
    <t>@begadangokesaja @Anitakrnia @GanangWisantoro @idextratime Mental fighting spirit argentina juara si, setiap di wawancara pasti bilang bakal mati matian untuk messi agar kecapai impiannya.</t>
  </si>
  <si>
    <t>mental fighting spirit argentina juara setiap wawancara pasti bilang bakal mati matian untuk messi agar kecapai impiannya</t>
  </si>
  <si>
    <t>['mental', 'fighting', 'spirit', 'argentina', 'juara', 'wawancara', 'bakal', 'mati', 'matian', 'messi', 'kecapai', 'impiannya']</t>
  </si>
  <si>
    <t>Argentina Juara Piala Dunia 2022, Lionel Messi Dkk Dapat Hadiah Uang Berapa Banyak?  https://t.co/yuXGPg8G2N</t>
  </si>
  <si>
    <t>argentina juara piala dunia lionel messi dkk dapat hadiah uang berapa banyak</t>
  </si>
  <si>
    <t>['argentina', 'juara', 'piala', 'dunia', 'lionel', 'messi', 'dkk', 'hadiah', 'uang', 'berapa', 'banyak']</t>
  </si>
  <si>
    <t>Mantan Terindah, Barcelona Ungkap Pesan Haru Usai Lionel Messi Bawa Argentina Juara Piala Dunia 2022  #FIFAWorldCup #MessiìÉµ #LionelMessiìÉµ #Argentina #ArgentinaVsFrance  https://t.co/xnlm1i8Cgx</t>
  </si>
  <si>
    <t>@idextratime Cocoklogi Chelsea bakal juara ucl beneran kejadian Cocoklogi Argentina bakal juara dunia beneran kejadian  ETI bukan sembarang akun üôè</t>
  </si>
  <si>
    <t>cocoklogi chelsea bakal juara ucl beneran kejadian cocoklogi argentina bakal juara dunia beneran kejadian eti bukan sembarang akun</t>
  </si>
  <si>
    <t>['cocoklogi', 'chelsea', 'bakal', 'juara', 'ucl', 'beneran', 'kejadian', 'cocoklogi', 'argentina', 'bakal', 'juara', 'dunia', 'beneran', 'kejadian', 'eti', 'bukan', 'sembarang', 'akun']</t>
  </si>
  <si>
    <t>Penalti terjadi. Dan E Martinez berhasil lagi jadi pahlawan. Messi jadi pemain terbaik di match itu dan Argentina juara dunia.  Gw udah ga mau lagi liat Messi kalah di final kayak 2014 duluu üò≠üò≠üò≠üò≠üò≠</t>
  </si>
  <si>
    <t>penalti terjadi dan martinez berhasil lagi jadi pahlawan messi jadi pemain terbaik match itu dan argentina juara dunia udah mau lagi liat messi kalah final kayak duluu</t>
  </si>
  <si>
    <t>['penalti', 'terjadi', 'martinez', 'berhasil', 'jadi', 'pahlawan', 'messi', 'jadi', 'pemain', 'terbaik', 'match', 'argentina', 'juara', 'dunia', 'udah', 'mau', 'lihat', 'messi', 'kalah', 'final', 'seperti', 'duluu']</t>
  </si>
  <si>
    <t>Di Tengah Krisis Ekonomi, Warga Argentina Rayakan Juara Piala Dunia  https://t.co/BoNrUav8En #Argentna #WargaArgentina #KrisisEkonomi #KrisisEkonomiArgentina</t>
  </si>
  <si>
    <t>tengah krisis ekonomi warga argentina rayakan juara piala dunia</t>
  </si>
  <si>
    <t>['tengah', 'krisis', 'ekonomi', 'warga', 'argentina', 'rayakan', 'juara', 'piala', 'dunia']</t>
  </si>
  <si>
    <t>Ini tim digitalnya gimana sih ? Yg dimeetingin tuh apa dah kalo gini ?   "Argentina juara, tolong hari ini naik posting ya, jangan lupa logo partai yg gede" Gini?</t>
  </si>
  <si>
    <t>ini tim digitalnya gimana sih dimeetingin tuh apa dah kalo gini argentina juara tolong hari ini naik posting jangan lupa logo partai gede gini</t>
  </si>
  <si>
    <t>['tim', 'digitalnya', 'gimana', 'dimeetingin', 'apa', 'dah', 'gini', 'argentina', 'juara', 'hari', 'naik', 'posting', 'jangan', 'lupa', 'logo', 'partai', 'gede', 'gini']</t>
  </si>
  <si>
    <t>@RevoNugroho @NatasyaSkraba @muhamadkhoiro10 @registaco Ngerti kronologinya gak? Dia diundang oleh Asosiasi Sepakbola Argentina dan jajaran timnas Argentina untuk bergabung di pemusatan latihan dan juga perayaan juara. Dari awal sakit jantung juga udah di</t>
  </si>
  <si>
    <t>ngerti kronologinya gak dia diundang oleh asosiasi sepakbola argentina dan jajaran timnas argentina untuk bergabung pemusatan latihan dan juga perayaan juara dari awal sakit jantung juga udah</t>
  </si>
  <si>
    <t>['ngerti', 'kronologinya', 'diundang', 'asosiasi', 'sepakbola', 'argentina', 'jajaran', 'timnas', 'argentina', 'bergabung', 'pemusatan', 'latihan', 'perayaan', 'juara', 'awal', 'sakit', 'jantung', 'udah']</t>
  </si>
  <si>
    <t>@gvrlvvany aminnn &amp;amp; tengkyuu #argentinajuara</t>
  </si>
  <si>
    <t>aminnn tengkyuu</t>
  </si>
  <si>
    <t>['aminnn', 'tengkyuu']</t>
  </si>
  <si>
    <t>Nestapa Ekonomi Argentina Meski Sukses Dibawa Messi Juara Piala Dunia  https://t.co/oc3Neg8sEa</t>
  </si>
  <si>
    <t>nestapa ekonomi argentina meski sukses dibawa messi juara piala dunia</t>
  </si>
  <si>
    <t>['nestapa', 'ekonomi', 'argentina', 'meski', 'sukses', 'dibawa', 'messi', 'juara', 'piala', 'dunia']</t>
  </si>
  <si>
    <t>argentina juara, piala sm hadiahnya diambil sekolah gk yaü§î</t>
  </si>
  <si>
    <t>argentina juara piala hadiahnya diambil sekolah</t>
  </si>
  <si>
    <t>['argentina', 'juara', 'piala', 'hadiahnya', 'diambil', 'sekolah']</t>
  </si>
  <si>
    <t>Timnas Argentina Juara Piala Dunia, Penggawa Tim Tango Rayakan 'Kematian' Kylian Mbappe | Liputan6  https://t.co/5do2jrO1lH</t>
  </si>
  <si>
    <t>timnas argentina juara piala dunia penggawa tim tango rayakan kematian kylian mbappe liputan</t>
  </si>
  <si>
    <t>['timnas', 'argentina', 'juara', 'piala', 'dunia', 'penggawa', 'tim', 'tango', 'rayakan', 'kematian', 'kylian', 'mbappe', 'liputan']</t>
  </si>
  <si>
    <t>Intinya satu. Argentina juara giveaway no debat  ü§°ü§°ü§°ü§°ü§°ü§°ü§°ü§°ü§°ü§°ü§°ü§°</t>
  </si>
  <si>
    <t>intinya satu argentina juara giveaway debat</t>
  </si>
  <si>
    <t>['intinya', 'satu', 'argentina', 'juara', 'giveaway', 'debat']</t>
  </si>
  <si>
    <t>@tmmchnplz @sayalusia @bintangemon Asumsi loe doang kali sama konspirasi fans lawan yg ga terima. Ya emang ada momen Argentina dapet soft penalty misal waktu vs Poland tapi kalo liat semua match Argentina, berdasarkan performa Argentina layak juara. Justr</t>
  </si>
  <si>
    <t>asumsi loe doang kali sama konspirasi fans lawan terima emang ada momen argentina dapet soft penalty misal waktu poland tapi kalo liat semua match argentina berdasarkan performa argentina layak juara justr</t>
  </si>
  <si>
    <t>['asumsi', 'loe', 'doang', 'kali', 'sama', 'konspirasi', 'fans', 'lawan', 'terima', 'emang', 'momen', 'argentina', 'dapat', 'soft', 'penalty', 'misal', 'waktu', 'poland', 'lihat', 'semua', 'match', 'argentina', 'berdasarkan', 'performa', 'argentina', 'layak', 'juara', 'justr']</t>
  </si>
  <si>
    <t>Masih ga percaya Argentina juara dunia üò≠üò≠</t>
  </si>
  <si>
    <t>masih percaya argentina juara dunia</t>
  </si>
  <si>
    <t>['percaya', 'argentina', 'juara', 'dunia']</t>
  </si>
  <si>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</si>
  <si>
    <t>argentina resmi menjadi juara setelah bertanding melawan perancis dengan skor afh iyh messi beneran menang sedangkan ronaldo juga menang alias menangis cus dengerin aja podcast brolahraga dengan klik</t>
  </si>
  <si>
    <t>['argentina', 'resmi', 'menjadi', 'juara', 'bertanding', 'melawan', 'perancis', 'skor', 'afh', 'iyh', 'messi', 'beneran', 'menang', 'ronaldo', 'menang', 'alias', 'menangis', 'cus', 'dengerin', 'podcast', 'brolahraga', 'klik']</t>
  </si>
  <si>
    <t>Baru nyadar, sedari awal  https://t.co/8RTgGGxQ5c ini pro-Argentina. Bahkan, logonya terinspirasi dari Juan Roman Riquelme. Dari Riquelme gagasan tentang nama media dan visi media ini hadir. Jadi, selamat buat Argentina yang juara Piala Dunia 2022.</t>
  </si>
  <si>
    <t>baru nyadar sedari awal ini pro argentina bahkan logonya terinspirasi dari juan roman riquelme dari riquelme gagasan tentang nama media dan visi media ini hadir jadi selamat buat argentina yang juara piala dunia</t>
  </si>
  <si>
    <t>['baru', 'nyadar', 'sedari', 'awal', 'pro', 'argentina', 'bahkan', 'logonya', 'terinspirasi', 'juan', 'roman', 'riquelme', 'riquelme', 'gagasan', 'nama', 'media', 'visi', 'media', 'hadir', 'jadi', 'selamat', 'buat', 'argentina', 'juara', 'piala', 'dunia']</t>
  </si>
  <si>
    <t>VIDEO: Final Argentina vs Prancis: Menang Adu Penalti, Messi dkk Juara Dunia!  https://t.co/GpniGPjffJ</t>
  </si>
  <si>
    <t>Dipecundangi Arab Saudi di awal, Argentina jadi Juara di akhir! . #EMTEKWORLDCUP2022 #BOLANETWORLDCUP2022  #PialaDunia #PialaDunia2022  https://t.co/hr4IYajQVX</t>
  </si>
  <si>
    <t>dipecundangi arab saudi awal argentina jadi juara akhir</t>
  </si>
  <si>
    <t>['dipecundangi', 'arab', 'saudi', 'awal', 'argentina', 'jadi', 'juara', 'akhir']</t>
  </si>
  <si>
    <t>Argentina Juara, Status Messi berubah jadi The Greatest of All Time! . #EMTEKWORLDCUP2022 #BOLANETWORLDCUP2022 #PialaDunia #PialaDunia2022  https://t.co/cN8Rw3lClZ</t>
  </si>
  <si>
    <t>@Cristiano_time7 Bego, Portugal sebelom CR7 jg udah gede, sumbang legenda buat sepak bola udah banyak, pernah jadi juara tiga Pildun pula tanpa CR7. Belom lagi musim ini kalau kualitas skuad jelas unggul Portugal dibanding Argentinaü§£ü§£.</t>
  </si>
  <si>
    <t>time bego portugal sebelom udah gede sumbang legenda buat sepak bola udah banyak pernah jadi juara tiga pildun pula tanpa belom lagi musim ini kalau kualitas skuad jelas unggul portugal dibanding argentina</t>
  </si>
  <si>
    <t>['time', 'bego', 'portugal', 'sebelom', 'udah', 'gede', 'sumbang', 'legenda', 'buat', 'sepak', 'bola', 'udah', 'banyak', 'pernah', 'jadi', 'juara', 'tiga', 'piala dunia', 'belom', 'musim', 'kalau', 'kualitas', 'skuad', 'jelas', 'unggul', 'portugal', 'dibanding', 'argentina']</t>
  </si>
  <si>
    <t>Njiiiirrr gw keluar kost an beli makan pake Jersey Argentina diteriakin bocil "Woeyyy Argentina juara woeyyy!!!"  https://t.co/Zsy4pUC77l</t>
  </si>
  <si>
    <t>njiiiirrr keluar kost beli makan pake jersey argentina diteriakin bocil woeyyy argentina juara woeyyy</t>
  </si>
  <si>
    <t>['njiiiirrr', 'keluar', 'kost', 'beli', 'makan', 'pake', 'jersey', 'argentina', 'diteriakin', 'bocil', 'woeyyy', 'argentina', 'juara', 'woeyyy']</t>
  </si>
  <si>
    <t>@aryabiasa @registaco Dia diundang oleh Asosiasi Sepakbola Argentina dan jajaran timnas Argentina untuk bergabung di pemusatan latihan dan juga perayaan juara nyet. Dari awal sakit jantung juga udah ditawarin jadi staf pelatih timnas Argentina, cuman saat</t>
  </si>
  <si>
    <t>dia diundang oleh asosiasi sepakbola argentina dan jajaran timnas argentina untuk bergabung pemusatan latihan dan juga perayaan juara nyet dari awal sakit jantung juga udah ditawarin jadi staf pelatih timnas argentina cuman saat</t>
  </si>
  <si>
    <t>['diundang', 'asosiasi', 'sepakbola', 'argentina', 'jajaran', 'timnas', 'argentina', 'bergabung', 'pemusatan', 'latihan', 'perayaan', 'juara', 'nyet', 'awal', 'sakit', 'jantung', 'udah', 'ditawarin', 'jadi', 'staf', 'pelatih', 'timnas', 'argentina', 'cuman']</t>
  </si>
  <si>
    <t xml:space="preserve">@kisbet_ @meltdownbytori #arg  1. Argentina 3x juara piala dunia 2. Juara pertama di Argentina 1978, Juara kedua di Mexico 1986 &amp;amp; Juara ketiga di Qatar 2022 3. Pada tahun 1978, Mario Kempes, dengan 6 gol Pada tahun 1986, Diego maradona, dengan 5 gol  </t>
  </si>
  <si>
    <t>argentina juara piala dunia juara pertama argentina juara kedua mexico juara ketiga qatar pada tahun mario kempes dengan gol pada tahun diego maradona dengan gol</t>
  </si>
  <si>
    <t>['argentina', 'juara', 'piala', 'dunia', 'juara', 'pertama', 'argentina', 'juara', 'kedua', 'mexico', 'juara', 'ketiga', 'qatar', 'tahun', 'mario', 'kempes', 'gol', 'tahun', 'diego', 'maradona', 'gol']</t>
  </si>
  <si>
    <t>Hasil tersebut memastikan Argentina menjadi juara Piala Dunia untuk yang ketiga kalinya. Sebelumnya, Argentina pernah menjuarai Piala Dunia pada tahun 1978 dan 1986.  Mantap!   #cimahi #kotacimahi #argentina  https://t.co/D2eoWbhVQN</t>
  </si>
  <si>
    <t>hasil tersebut memastikan argentina menjadi juara piala dunia untuk yang ketiga kalinya sebelumnya argentina pernah menjuarai piala dunia pada tahun dan mantap</t>
  </si>
  <si>
    <t>['hasil', 'tersebut', 'memastikan', 'argentina', 'menjadi', 'juara', 'piala', 'dunia', 'ketiga', 'kalinya', 'sebelumnya', 'argentina', 'pernah', 'menjuarai', 'piala', 'dunia', 'tahun', 'mantap']</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</si>
  <si>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</si>
  <si>
    <t>seruu abis main sini tanpa buyspin bisa langsung nongol juga main pyramid bonanza emang gacor nya situs ala sultan ini beda member baru juga kasih cicipi sensasional win nya</t>
  </si>
  <si>
    <t>['seruu', 'abis', 'main', 'sini', 'buyspin', 'langsung', 'nongol', 'main', 'pyramid', 'bonanza', 'emang', 'gacor', 'situs', 'ala', 'sultan', 'beda', 'member', 'baru', 'kasih', 'cicipi', 'sensasional', 'win']</t>
  </si>
  <si>
    <t>@idextratime Akhirnya hanya di era @jokowi Argentina berhasil  menjadi juara dunia setelah menunggu puluhan tahun.</t>
  </si>
  <si>
    <t>akhirnya hanya era argentina berhasil menjadi juara dunia setelah menunggu puluhan tahun</t>
  </si>
  <si>
    <t>['akhirnya', 'era', 'argentina', 'berhasil', 'menjadi', 'juara', 'dunia', 'menunggu', 'puluhan', 'tahun']</t>
  </si>
  <si>
    <t>@idextratime Makasih admin berkat lo gw yakin Argentina akan juara sejak dari fase grup</t>
  </si>
  <si>
    <t>makasih admin berkat yakin argentina akan juara sejak dari fase grup</t>
  </si>
  <si>
    <t>['makasih', 'admin', 'berkat', 'yakin', 'argentina', 'juara', 'sejak', 'fase', 'grup']</t>
  </si>
  <si>
    <t>Juara Piala Dunia 2022, Argentina Bawa Pulang Rp1,2 Triliun  https://t.co/O7OdHDeb0y</t>
  </si>
  <si>
    <t>juara piala dunia argentina bawa pulang triliun</t>
  </si>
  <si>
    <t>['juara', 'piala', 'dunia', 'argentina', 'bawa', 'pulang', 'triliun']</t>
  </si>
  <si>
    <t>VIDEO: Sergio Aguero Ikut Selebrasi Juara Argentina di Piala Dunia 2022, Ini Alasannya  https://t.co/Pc8rBqYBNo</t>
  </si>
  <si>
    <t>video sergio aguero ikut selebrasi juara argentina piala dunia ini alasannya</t>
  </si>
  <si>
    <t>['video', 'sergio', 'aguero', 'ikut', 'selebrasi', 'juara', 'argentina', 'piala', 'dunia', 'alasannya']</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</si>
  <si>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</si>
  <si>
    <t>@gandibarri @Chamomileyz @rendyboboth @xzrcz @idextratime wkwkwk ya karna emg faktanya sepakbola di eropa lebih maju dan memadai fasilitasnya, makanya pemainnya jg pada gacor, di pildun aja mostly negara2 eropa yg juara, emg udh rejeki argentina aja menan</t>
  </si>
  <si>
    <t>wkwkwk karna emg faktanya sepakbola eropa lebih maju dan memadai fasilitasnya makanya pemainnya pada gacor pildun aja mostly negara eropa juara emg udh rejeki argentina aja menan</t>
  </si>
  <si>
    <t>['wkwkwk', 'karna', 'memang', 'faktanya', 'sepakbola', 'eropa', 'lebih', 'maju', 'memadai', 'fasilitasnya', 'makanya', 'pemainnya', 'gacor', 'piala dunia', 'mostly', 'negara', 'eropa', 'juara', 'memang', 'sudah', 'rejeki', 'argentina', 'menan']</t>
  </si>
  <si>
    <t>Memang, pemain Argentina secara rata rata punya skill mumpuni dan punya spesialisasinya masing masing, dari awal memang favorit juara. Tapi Scaloni membuktikan kalau dia pelatih adaptif, ga stuck di satu strategi. Ga maksain semua pemain hebat masuk dan starter sekaligus</t>
  </si>
  <si>
    <t>memang pemain argentina secara rata rata punya skill mumpuni dan punya spesialisasinya masing masing dari awal memang favorit juara tapi scaloni membuktikan kalau dia pelatih adaptif stuck satu strategi maksain semua pemain hebat masuk dan starter sekaligus</t>
  </si>
  <si>
    <t>['memang', 'pemain', 'argentina', 'rata', 'rata', 'punya', 'skill', 'mumpuni', 'punya', 'spesialisasinya', 'masing', 'masing', 'awal', 'memang', 'favorit', 'juara', 'scaloni', 'membuktikan', 'kalau', 'pelatih', 'adaptif', 'stuck', 'satu', 'strategi', 'maksain', 'semua', 'pemain', 'hebat', 'masuk', 'starter', 'sekaligus']</t>
  </si>
  <si>
    <t>5 Potret Manis Messi dan Keluarga Rayakan Argentina Jadi Juara Piala Dunia 2022  https://t.co/fJYGbKuhdg</t>
  </si>
  <si>
    <t>potret manis messi dan keluarga rayakan argentina jadi juara piala dunia</t>
  </si>
  <si>
    <t>['potret', 'manis', 'messi', 'keluarga', 'rayakan', 'argentina', 'jadi', 'juara', 'piala', 'dunia']</t>
  </si>
  <si>
    <t>@idextratime Bisa¬≤ nya yg juara Argentina yg trending Ronaldoüò≠üò≠  https://t.co/YoKK3aFvsS</t>
  </si>
  <si>
    <t>bisa nya juara argentina trending ronaldo</t>
  </si>
  <si>
    <t>['juara', 'argentina', 'trending', 'ronaldo']</t>
  </si>
  <si>
    <t>Luar Biasa...!!! Argentina Juara, Google Search Raih Pencaharian Tertinggi Sepanjang 25 Tahun  https://t.co/5uBQ2BjT2W</t>
  </si>
  <si>
    <t>luar biasa argentina juara google search raih pencaharian tertinggi sepanjang tahun</t>
  </si>
  <si>
    <t>['luar', 'biasa', 'argentina', 'juara', 'google', 'search', 'raih', 'pencaharian', 'tertinggi', 'sepanjang', 'tahun']</t>
  </si>
  <si>
    <t>@SiaranBolaLive ngapain kalian ngributin jauh jauh sono.. nikmatin saja argentina juara.. mau aguero ngapain juga gpp.. dia orang argen, mantan pemain argen,  kok pada ribett.. Blogg.g...</t>
  </si>
  <si>
    <t>ngapain kalian ngributin jauh jauh sono nikmatin saja argentina juara mau aguero ngapain juga gpp dia orang argen mantan pemain argen kok pada ribett blogg</t>
  </si>
  <si>
    <t>['ngapain', 'kalian', 'ngributin', 'jauh', 'jauh', 'sono', 'nikmatin', 'argentina', 'juara', 'mau', 'aguero', 'ngapain', 'gapapa', 'orang', 'argen', 'mantan', 'pemain', 'argen', 'kok', 'ribett', 'blogg']</t>
  </si>
  <si>
    <t>Yang juara Argentina, yang dipuja Lionel Messi, yang dihujat Cristiano Ronaldo!  I Love This Game! ‚ù§Ô∏è‚ù§Ô∏è  https://t.co/3WxX6xvv6z</t>
  </si>
  <si>
    <t>yang juara argentina yang dipuja lionel messi yang dihujat cristiano ronaldo love this game</t>
  </si>
  <si>
    <t>['juara', 'argentina', 'dipuja', 'lionel', 'messi', 'dihujat', 'cristiano', 'ronaldo', 'love', 'this', 'game']</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</si>
  <si>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</si>
  <si>
    <t>Jagoanku sih tetep England...tp liat Argentina juara walau dengan susah payah itu puas banget. Liat Messi yg sumringah,Enzo,dan Alvares yg muda dan berbahaya,Scaloni pelatih termuda di PD22...juga Kun Aguero dan Baristuta ikut selebrasi... piiih maradona sumringah liat dr langit</t>
  </si>
  <si>
    <t>jagoanku sih tetep england liat argentina juara walau dengan susah payah itu puas banget liat messi sumringah enzo dan alvares muda dan berbahaya scaloni pelatih termuda juga kun aguero dan baristuta ikut selebrasi piiih maradona sumringah liat langit</t>
  </si>
  <si>
    <t>['jagoanku', 'tetep', 'england', 'lihat', 'argentina', 'juara', 'susah', 'payah', 'puas', 'banget', 'lihat', 'messi', 'sumringah', 'enzo', 'alvares', 'muda', 'berbahaya', 'scaloni', 'pelatih', 'termuda', 'kun', 'aguero', 'baristuta', 'ikut', 'selebrasi', 'piiih', 'maradona', 'sumringah', 'lihat', 'langit']</t>
  </si>
  <si>
    <t>Lionel Messi akhirnya jadi juara dunia. Timnas Argentina dibawa La Pulga menjadi kampiun di Piala Dunia 2022! #juaraboladunia    https://t.co/cuVLdxPDFy</t>
  </si>
  <si>
    <t>lionel messi akhirnya jadi juara dunia timnas argentina dibawa pulga menjadi kampiun piala dunia</t>
  </si>
  <si>
    <t>['lionel', 'messi', 'akhirnya', 'jadi', 'juara', 'dunia', 'timnas', 'argentina', 'dibawa', 'pulga', 'menjadi', 'kampiun', 'piala', 'dunia']</t>
  </si>
  <si>
    <t>Meski yang dijagokan gagal juara tapi asliii sangat terhibur, sekaligus menyaksikan kelahiran legenda baru Argentina. Mantop!!!  https://t.co/RHqIkKn2zW</t>
  </si>
  <si>
    <t>meski yang dijagokan gagal juara tapi asliii sangat terhibur sekaligus menyaksikan kelahiran legenda baru argentina mantop</t>
  </si>
  <si>
    <t>['meski', 'dijagokan', 'gagal', 'juara', 'asliii', 'sangat', 'terhibur', 'sekaligus', 'menyaksikan', 'kelahiran', 'legenda', 'baru', 'argentina', 'mantop']</t>
  </si>
  <si>
    <t>@SiaranBolaLive Dia orang argentina, pernah bela timnas. Yaa banggalah negaranya juara. orang indo yg sekedar suka timnas argentina aja kemaren full senyum.</t>
  </si>
  <si>
    <t>dia orang argentina pernah bela timnas yaa banggalah negaranya juara orang indo sekedar suka timnas argentina aja kemaren full senyum</t>
  </si>
  <si>
    <t>['orang', 'argentina', 'pernah', 'bela', 'timnas', 'ya', 'banggalah', 'negaranya', 'juara', 'orang', 'indo', 'sekedar', 'suka', 'timnas', 'argentina', 'kemarin', 'full', 'senyum']</t>
  </si>
  <si>
    <t>argentina udh menang world cup sekarang tinggal nungguin RRQ Hoshi juara dunia</t>
  </si>
  <si>
    <t>argentina udh menang world cup sekarang tinggal nungguin rrq hoshi juara dunia</t>
  </si>
  <si>
    <t>['argentina', 'sudah', 'menang', 'world', 'cup', 'sekarang', 'tinggal', 'nungguin', 'rrq', 'hoshi', 'juara', 'dunia']</t>
  </si>
  <si>
    <t>@idextratime Gelar Finalissima yang sudah mati beberapa tahun di hidupkan kembali ketika sang GOAT juara Copa America  Sebelum Argentina juara tidak ada juara euro sama juara Copa America dipertemukan</t>
  </si>
  <si>
    <t>gelar finalissima yang sudah mati beberapa tahun hidupkan kembali ketika sang goat juara copa america sebelum argentina juara tidak ada juara euro sama juara copa america dipertemukan</t>
  </si>
  <si>
    <t>['gelar', 'finalissima', 'mati', 'beberapa', 'tahun', 'hidupkan', 'sang', 'goat', 'juara', 'copa', 'america', 'argentina', 'juara', 'juara', 'euro', 'sama', 'juara', 'copa', 'america', 'dipertemukan']</t>
  </si>
  <si>
    <t>cerita awal argentina bisa juara dunia dimulai dari sini  https://t.co/64UdNFbkOQ</t>
  </si>
  <si>
    <t>cerita awal argentina bisa juara dunia dimulai dari sini</t>
  </si>
  <si>
    <t>['cerita', 'awal', 'argentina', 'juara', 'dunia', 'dimulai', 'sini']</t>
  </si>
  <si>
    <t>Prediksi MenkopUKM Terbukti, Argentina Juara Piala Dunia 2022  https://t.co/LXi6uoKbDu</t>
  </si>
  <si>
    <t>Ronaldo Usai Argentina Juara Piala Dunia 2022: Singkirkan Rivalitas, Messi Genius  https://t.co/or6AXNT2ps</t>
  </si>
  <si>
    <t>ronaldo usai argentina juara piala dunia singkirkan rivalitas messi genius</t>
  </si>
  <si>
    <t>['ronaldo', 'usai', 'argentina', 'juara', 'piala', 'dunia', 'singkirkan', 'rivalitas', 'messi', 'genius']</t>
  </si>
  <si>
    <t>@idextratime Coba tanya sama bung justin, dia paling paham sepertinya tentang konspirasi Argentina juara</t>
  </si>
  <si>
    <t>coba tanya sama bung justin dia paling paham sepertinya tentang konspirasi argentina juara</t>
  </si>
  <si>
    <t>['coba', 'tanya', 'sama', 'bung', 'justin', 'paling', 'paham', 'sepertinya', 'konspirasi', 'argentina', 'juara']</t>
  </si>
  <si>
    <t>Kenapa ujung2 nya Argentina yang juara karna kalo yang ujung2 nya ‚Äúpake duit lu dulu ntr gw ganti‚Äù pasti gak balik.</t>
  </si>
  <si>
    <t>kenapa ujung nya argentina yang juara karna kalo yang ujung nya pake duit dulu ntr ganti pasti gak balik</t>
  </si>
  <si>
    <t>['ujung', 'argentina', 'juara', 'karna', 'ujung', 'pake', 'duit', 'dulu', 'ntr', 'ganti', 'balik']</t>
  </si>
  <si>
    <t>seruu abis main di sini ..tanpa buyspin bisa langsung nongol juga X-an 500  emang gacor nya situs ala sultan ini beda!! Member baru juga di kasih cicipi sensasional win nya #Argentina #Messi #juara #tahun2022 #PERSIBDAY #TDA2022xJoongDunk #PenjarakanEmilMari  https://t.co/k4yvR3VFwP</t>
  </si>
  <si>
    <t>seruu abis main sini tanpa buyspin bisa langsung nongol juga emang gacor nya situs ala sultan ini beda member baru juga kasih cicipi sensasional win nya</t>
  </si>
  <si>
    <t>['seruu', 'abis', 'main', 'sini', 'buyspin', 'langsung', 'nongol', 'emang', 'gacor', 'situs', 'ala', 'sultan', 'beda', 'member', 'baru', 'kasih', 'cicipi', 'sensasional', 'win']</t>
  </si>
  <si>
    <t>@nksthi Halahh, elu itu jadi haternya Argentina &amp;amp; Messi min.. mana labil bngtt lg, waktu argen juara tiba" jdi pendukung argen üòÇüòÇ</t>
  </si>
  <si>
    <t>halahh elu itu jadi haternya argentina messi min mana labil bngtt waktu argen juara tiba jdi pendukung argen</t>
  </si>
  <si>
    <t>['halahh', 'elu', 'jadi', 'haternya', 'argentina', 'messi', 'min', 'mana', 'labil', 'bngtt', 'waktu', 'argen', 'juara', 'tiba', 'jdi', 'pendukung', 'argen']</t>
  </si>
  <si>
    <t>Daftar lengkap negara juara Piala Dunia dari edisi 1930 hingga 2022.  Torehan gelar Piala Dunia ketiga Argentina tersebut menyamai jumlah trofi Jerman/Jerman Barat (1954, 1974, dan 2014). . Farhan Erlangga Ramadhan/PRMN Grafis: Fian/PRMN  https://t.co/XpdEqght6M</t>
  </si>
  <si>
    <t>daftar lengkap negara juara piala dunia dari edisi hingga torehan gelar piala dunia ketiga argentina tersebut menyamai jumlah trofi jerman jerman barat dan farhan erlangga ramadhan prmn grafis fian prmn</t>
  </si>
  <si>
    <t>['daftar', 'lengkap', 'negara', 'juara', 'piala', 'dunia', 'edisi', 'hingga', 'torehan', 'gelar', 'piala', 'dunia', 'ketiga', 'argentina', 'tersebut', 'menyamai', 'jumlah', 'trofi', 'jerman', 'jerman', 'barat', 'farhan', 'erlangga', 'ramadhan', 'prmn', 'grafis', 'fian', 'prmn']</t>
  </si>
  <si>
    <t>Presiden Argentina Langsung Ditelpon Vladimir Putin Usai Tim Tango Juara Final Piala Dunia 2022  https://t.co/Xbfr1RpNQ3</t>
  </si>
  <si>
    <t>presiden argentina langsung ditelpon vladimir putin usai tim tango juara final piala dunia</t>
  </si>
  <si>
    <t>['presiden', 'argentina', 'langsung', 'ditelpon', 'vladimir', 'putin', 'usai', 'tim', 'tango', 'juara', 'final', 'piala', 'dunia']</t>
  </si>
  <si>
    <t>masih ga nyangka kalo argentina juara dunia, sampe 4 tahun ke depan julukannya ya juara dunia, jirrrrr‚úãüòùüòá</t>
  </si>
  <si>
    <t>masih nyangka kalo argentina juara dunia sampe tahun depan julukannya juara dunia jirrrrr</t>
  </si>
  <si>
    <t>['nyangka', 'argentina', 'juara', 'dunia', 'sampai', 'tahun', 'depan', 'julukannya', 'juara', 'dunia', 'jirrrrr']</t>
  </si>
  <si>
    <t>Messi Dapat Pujian dari Pele Usai Bawa Argentina Juara Piala Dunia 2022: Maradona Pasti Bangga  https://t.co/XJwd07DLa2</t>
  </si>
  <si>
    <t>messi dapat pujian dari pele usai bawa argentina juara piala dunia maradona pasti bangga</t>
  </si>
  <si>
    <t>['messi', 'pujian', 'pele', 'usai', 'bawa', 'argentina', 'juara', 'piala', 'dunia', 'maradona', 'bangga']</t>
  </si>
  <si>
    <t>argentina juara karena iwan bule :v</t>
  </si>
  <si>
    <t>argentina juara karena iwan bule</t>
  </si>
  <si>
    <t>['argentina', 'juara', 'iwan', 'bule']</t>
  </si>
  <si>
    <t>Argentina berhasil menyandang gelar juara pada piala dunia 2022 di Qatar. Tentu kemenangan tersebut bukan hanya milik Messi dan Tim, namun akan berdampak kepada ekonomi negara Tim Tango tersebut.  Selengkapnya di:  https://t.co/PyybpfP1l1 #FORTUNEIndonesia  https://t.co/PsI0qiKRpx</t>
  </si>
  <si>
    <t>argentina berhasil menyandang gelar juara pada piala dunia qatar tentu kemenangan tersebut bukan hanya milik messi dan tim namun akan berdampak kepada ekonomi negara tim tango tersebut selengkapnya</t>
  </si>
  <si>
    <t>['argentina', 'berhasil', 'menyandang', 'gelar', 'juara', 'piala', 'dunia', 'qatar', 'kemenangan', 'tersebut', 'bukan', 'milik', 'messi', 'tim', 'berdampak', 'ekonomi', 'negara', 'tim', 'tango', 'tersebut', 'selengkapnya']</t>
  </si>
  <si>
    <t>GRAFISTORY: Selamat kepada Argentina yang telah menjadi juara dunia untuk ketiga kalinya.  https://t.co/GoO2Gfxkqh</t>
  </si>
  <si>
    <t>grafistory selamat kepada argentina yang telah menjadi juara dunia untuk ketiga kalinya</t>
  </si>
  <si>
    <t>['grafistory', 'selamat', 'argentina', 'menjadi', 'juara', 'dunia', 'ketiga', 'kalinya']</t>
  </si>
  <si>
    <t>@korantempo Tp tim yg seluruh pemainnya all out, dr awal sampe akhir, Jepang sih menurutku.  Jgn lupa ARAB! Yg berhasil ngalahin juara Pildun, Argentinaüòù</t>
  </si>
  <si>
    <t>tim seluruh pemainnya all out awal sampe akhir jepang sih menurutku jgn lupa arab berhasil ngalahin juara pildun argentina</t>
  </si>
  <si>
    <t>['tim', 'seluruh', 'pemainnya', 'all', 'out', 'awal', 'sampai', 'akhir', 'jepang', 'menurutku', 'lupa', 'arab', 'berhasil', 'ngalahin', 'juara', 'piala dunia', 'argentina']</t>
  </si>
  <si>
    <t>VIDEO: Sergio Aguero Ikut Selebrasi Juara Argentina di Piala Dunia 2022, Ini Alasannya  https://t.co/8JL91fb4AG</t>
  </si>
  <si>
    <t>@kisbet_ @meltdownbytori Kita coba dulu, urusan dapat ga dapat bisa nanti.  Argentina Juara World Cup 3x WC 1978 Argentina, Top Scorer Mario Kempes (6 gol) WC 1986 Mexico, Top Scorer Diego Maradona (5 gol)  WC 2022 Qatar, Top Scorer Lionel Messi (7 gol)</t>
  </si>
  <si>
    <t>kita coba dulu urusan dapat dapat bisa nanti argentina juara world cup argentina top scorer mario kempes gol mexico top scorer diego maradona gol qatar top scorer lionel messi gol</t>
  </si>
  <si>
    <t>['coba', 'dulu', 'urusan', 'argentina', 'juara', 'world', 'cup', 'argentina', 'top', 'scorer', 'mario', 'kempes', 'gol', 'mexico', 'top', 'scorer', 'diego', 'maradona', 'gol', 'qatar', 'top', 'scorer', 'lionel', 'messi', 'gol']</t>
  </si>
  <si>
    <t>@registaco @cjmofficial ketika pemain Brighton menjadi penyebab Argentina Juara mas üôè apalagi ada pemain Brighton juga yang main buat Argentina td malam üî• enggak di Game, gak di RL bikin kejutan ini tim  https://t.co/RP9PV3A6Th</t>
  </si>
  <si>
    <t>ketika pemain brighton menjadi penyebab argentina juara mas apalagi ada pemain brighton juga yang main buat argentina malam enggak game gak bikin kejutan ini tim</t>
  </si>
  <si>
    <t>['pemain', 'brighton', 'menjadi', 'penyebab', 'argentina', 'juara', 'mas', 'pemain', 'brighton', 'main', 'buat', 'argentina', 'malam', 'enggak', 'game', 'kejutan', 'tim']</t>
  </si>
  <si>
    <t>@budimandjatmiko Dulu kita tdk prnh meributkan siapa yg plg besar, tp kita respect dgn semua pemain hebat ini yg masing2 punya kelebihan &amp;amp; kekurangan serta arena pertarungan yg berbeda2‚Ä¶CR7 mungkin jg bisa jd juara dunia kalau di Argentina, Messi mu</t>
  </si>
  <si>
    <t>dulu kita tdk prnh meributkan siapa plg besar kita respect dgn semua pemain hebat ini masing punya kelebihan kekurangan serta arena pertarungan berbeda mungkin bisa juara dunia kalau argentina messi</t>
  </si>
  <si>
    <t>['dulu', 'prnh', 'meributkan', 'siapa', 'plg', 'besar', 'respect', 'semua', 'pemain', 'hebat', 'masing', 'punya', 'kelebihan', 'kekurangan', 'arena', 'pertarungan', 'berbeda', 'mungkin', 'juara', 'dunia', 'kalau', 'argentina', 'messi']</t>
  </si>
  <si>
    <t>üìπ Penantian itu akhirnya tuntas juga, selamat merayakan juara warga Buenos Aires serta pendukung Argentina pada umumnya. - Follow juga kami di : - Instagram ¬†: @ekingsnews - Facebook ¬†: ekingsnews  https://t.co/W4jopJ97EX</t>
  </si>
  <si>
    <t>penantian itu akhirnya tuntas juga selamat merayakan juara warga buenos aires serta pendukung argentina pada umumnya follow juga kami instagram facebook ekingsnews</t>
  </si>
  <si>
    <t>['penantian', 'akhirnya', 'tuntas', 'selamat', 'merayakan', 'juara', 'warga', 'buenos', 'aires', 'pendukung', 'argentina', 'umumnya', 'follow', 'instagram', 'facebook', 'ekingsnews']</t>
  </si>
  <si>
    <t>@rossonerifreak setuju, kerna itu momen "argentina" bukan momen messi pribadi,jd jersey argentina hrsnya tdk ditutupi dan kmungkinan lain klo france juara yg dijubahi mbappe atau lloris?  hrsnya jubahnya diberikan saat pemberian trofi golden ball kerna di</t>
  </si>
  <si>
    <t>setuju kerna itu momen argentina bukan momen messi pribadi jersey argentina hrsnya tdk ditutupi dan kmungkinan lain klo france juara dijubahi mbappe atau lloris hrsnya jubahnya diberikan saat pemberian trofi golden ball kerna</t>
  </si>
  <si>
    <t>['setuju', 'kerna', 'momen', 'argentina', 'bukan', 'momen', 'messi', 'pribadi', 'jersey', 'argentina', 'hrsnya', 'ditutupi', 'kmungkinan', 'france', 'juara', 'dijubahi', 'mbappe', 'lloris', 'hrsnya', 'jubahnya', 'diberikan', 'pemberian', 'trofi', 'golden', 'ball', 'kerna']</t>
  </si>
  <si>
    <t>Warga Argentina Pesta Juara Piala Dunia saat Krisis: Bak di Surga  https://t.co/GwlAZmIpAo</t>
  </si>
  <si>
    <t>warga argentina pesta juara piala dunia saat krisis bak surga</t>
  </si>
  <si>
    <t>['warga', 'argentina', 'pesta', 'juara', 'piala', 'dunia', 'krisis', 'bak', 'surga']</t>
  </si>
  <si>
    <t>Argentina sudah mengalahkan juara dunia dan juara Eropa.</t>
  </si>
  <si>
    <t>argentina sudah mengalahkan juara dunia dan juara eropa</t>
  </si>
  <si>
    <t>['argentina', 'mengalahkan', 'juara', 'dunia', 'juara', 'eropa']</t>
  </si>
  <si>
    <t>@idextratime Tim argentina terpantau sholawatan di ruang ganti setelah menjadi juara piala dunia  https://t.co/vtr7MOoxKa</t>
  </si>
  <si>
    <t>tim argentina terpantau sholawatan ruang ganti setelah menjadi juara piala dunia</t>
  </si>
  <si>
    <t>['tim', 'argentina', 'terpantau', 'sholawatan', 'ruang', 'ganti', 'menjadi', 'juara', 'piala', 'dunia']</t>
  </si>
  <si>
    <t>Pada euforia argentina juara, euforia gue cuman 1 hal, bentar lagi gajian udah itu aja</t>
  </si>
  <si>
    <t>pada euforia argentina juara euforia gue cuman hal bentar lagi gajian udah itu aja</t>
  </si>
  <si>
    <t>['euforia', 'argentina', 'juara', 'euforia', 'gue', 'cuman', 'bentar', 'gajian', 'udah']</t>
  </si>
  <si>
    <t>Status the real GOAT bisa disematkan pada Messi terutama setelah ia berhasil mengantar Argentina juara Piala Dunia 2022. #MessiìÉµ #Messi #MessiìÉµday   https://t.co/tuBeyRDjK6</t>
  </si>
  <si>
    <t>status the real goat bisa disematkan pada messi terutama setelah berhasil mengantar argentina juara piala dunia day</t>
  </si>
  <si>
    <t>['status', 'the', 'real', 'goat', 'disematkan', 'messi', 'terutama', 'berhasil', 'mengantar', 'argentina', 'juara', 'piala', 'dunia', 'day']</t>
  </si>
  <si>
    <t>Argentina Juara Piala Dunia 2022   https://t.co/EL4jDP7zE6</t>
  </si>
  <si>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</si>
  <si>
    <t>presiden argentina alberto fernandez sibuk membalas ucapan selamat pemimpin negara lain twitter terkait keberhasilan argentina menjadi juara piala dunia</t>
  </si>
  <si>
    <t>['presiden', 'argentina', 'alberto', 'fernandez', 'sibuk', 'membalas', 'ucapan', 'selamat', 'pemimpin', 'negara', 'twitter', 'terkait', 'keberhasilan', 'argentina', 'menjadi', 'juara', 'piala', 'dunia']</t>
  </si>
  <si>
    <t>Aksi Suporter Argentina di Ternate Pawai Rayakan Juara Piala Dunia  https://t.co/Ng1TWBX7NJ</t>
  </si>
  <si>
    <t>aksi suporter argentina ternate pawai rayakan juara piala dunia</t>
  </si>
  <si>
    <t>['aksi', 'suporter', 'argentina', 'ternate', 'pawai', 'rayakan', 'juara', 'piala', 'dunia']</t>
  </si>
  <si>
    <t>Alhamdulillah! Argentina juara  https://t.co/xhL3SNly7Q</t>
  </si>
  <si>
    <t>alhamdulillah argentina juara</t>
  </si>
  <si>
    <t>['alhamdulillah', 'argentina', 'juara']</t>
  </si>
  <si>
    <t>@barcastuff_idn tengil sepadan sama skill</t>
  </si>
  <si>
    <t>idn tengil sepadan sama skill</t>
  </si>
  <si>
    <t>['idn', 'tengil', 'sepadan', 'sama', 'skill']</t>
  </si>
  <si>
    <t>Kylian Mbappe harus berpuas hati dengan raihan juara 2 Piala Dunia usai dikalahkan Argentina lewat adu penalti. Wajah kecewanya pun tak bisa disembunyikan. #juaraboladunia    https://t.co/XskhOYLADr</t>
  </si>
  <si>
    <t>kylian mbappe harus berpuas hati dengan raihan juara piala dunia usai dikalahkan argentina lewat adu penalti wajah kecewanya pun tak bisa disembunyikan</t>
  </si>
  <si>
    <t>['kylian', 'mbappe', 'berpuas', 'hati', 'raihan', 'juara', 'piala', 'dunia', 'usai', 'dikalahkan', 'argentina', 'lewat', 'adu', 'penalti', 'wajah', 'kecewanya', 'tak', 'disembunyikan']</t>
  </si>
  <si>
    <t>@cnbcindonesia Argentina memang negara kacau yg tidak bisa bayar Utang/Default &amp;amp; tingginya Korupsi tapi kenapa bisa juara dunia krn main bola hanya butuh 2 kaki &amp;amp; semangat sedang utang harus dibayar pakai uang.  Huuahahahahahahahahahahahahahahahah</t>
  </si>
  <si>
    <t>argentina memang negara kacau tidak bisa bayar utang default tingginya korupsi tapi kenapa bisa juara dunia krn main bola hanya butuh kaki semangat sedang utang harus dibayar pakai uang huuahahahahahahahahahahahahahahahah</t>
  </si>
  <si>
    <t>['argentina', 'memang', 'negara', 'kacau', 'bayar', 'utang', 'default', 'tingginya', 'korupsi', 'juara', 'dunia', 'main', 'bola', 'butuh', 'kaki', 'semangat', 'sedang', 'utang', 'dibayar', 'pakai', 'uang', 'huuahahahahahahahahahahahahahahahah']</t>
  </si>
  <si>
    <t>@RianGentong iya iya yan, tp inget argentina cuma bisa juara di era pemerintahan jokowi.</t>
  </si>
  <si>
    <t>iya iya yan inget argentina cuma bisa juara era pemerintahan jokowi</t>
  </si>
  <si>
    <t>['iya', 'iya', 'yan', 'inget', 'argentina', 'cuma', 'juara', 'era', 'pemerintahan', 'jokowi']</t>
  </si>
  <si>
    <t>Messi panen Rekor usai Juara Piala Dunia 2022 : * Menyamai Maradona * Tercatat terlibat dalam 10 gol yang di cetak Argentina selama Piala Dunia 2022 * Melewati Paolo Maldini dalam lama waktu pertandingan * Mencetak gol pada setiap fase pertandingan Piala Dunia 2022</t>
  </si>
  <si>
    <t>messi panen rekor usai juara piala dunia menyamai maradona tercatat terlibat dalam gol yang cetak argentina selama piala dunia melewati paolo maldini dalam lama waktu pertandingan mencetak gol pada setiap fase pertandingan piala dunia</t>
  </si>
  <si>
    <t>['messi', 'panen', 'rekor', 'usai', 'juara', 'piala', 'dunia', 'menyamai', 'maradona', 'tercatat', 'terlibat', 'gol', 'cetak', 'argentina', 'selama', 'piala', 'dunia', 'melewati', 'paolo', 'maldini', 'lama', 'waktu', 'pertandingan', 'mencetak', 'gol', 'fase', 'pertandingan', 'piala', 'dunia']</t>
  </si>
  <si>
    <t>Hasil akhir . Full time . Argentina juara piala dunia.  https://t.co/3Yqqgi4RaF</t>
  </si>
  <si>
    <t>hasil akhir full time argentina juara piala dunia</t>
  </si>
  <si>
    <t>['hasil', 'akhir', 'full', 'time', 'argentina', 'juara', 'piala', 'dunia']</t>
  </si>
  <si>
    <t>ARGENTINA JUARA PD QATAR 2022 üëèüëèüëè üá¶üá∑ üèÜ üèÜ üèÜ  https://t.co/xv8DKiBuK7</t>
  </si>
  <si>
    <t>argentina juara qatar</t>
  </si>
  <si>
    <t>['argentina', 'juara', 'qatar']</t>
  </si>
  <si>
    <t>Gelar juara Piala Dunia 2022 dirayakan Timnas #Argentina. Yuk intip momen manis para pemain bersama anak-anak dan istri mereka. Ada anak Lionel #Messi juga, Bun.  https://t.co/uchn3bt2wK</t>
  </si>
  <si>
    <t>gelar juara piala dunia dirayakan timnas yuk intip momen manis para pemain bersama anak anak dan istri mereka ada anak lionel juga bun</t>
  </si>
  <si>
    <t>['gelar', 'juara', 'piala', 'dunia', 'dirayakan', 'timnas', 'yuk', 'intip', 'momen', 'manis', 'pemain', 'bersama', 'anak', 'anak', 'istri', 'anak', 'lionel', 'bun']</t>
  </si>
  <si>
    <t>Kangen liat debut dia di prancis, kalo ada dia mungkin bisa juara üò≠, tapi congrats buat argentina messi telah tamat dalam permain sepak bolanya  https://t.co/3boiA5t3R2</t>
  </si>
  <si>
    <t>kangen liat debut dia prancis kalo ada dia mungkin bisa juara tapi congrats buat argentina messi telah tamat dalam permain sepak bolanya</t>
  </si>
  <si>
    <t>['kangen', 'lihat', 'debut', 'prancis', 'mungkin', 'juara', 'congrats', 'buat', 'argentina', 'messi', 'tamat', 'permain', 'sepak', 'bolanya']</t>
  </si>
  <si>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</si>
  <si>
    <t>dugaan match fixing merebak usai piala dunia salah satunya adalah argentina yang dianggap sengaja mengalah pada pertandingan pertama jika hal ini terbukti gelar juara akan diberikan kepada runner paragraf atas adalah contoh harapan kosong fans timnas prancis</t>
  </si>
  <si>
    <t>['dugaan', 'match', 'fixing', 'merebak', 'usai', 'piala', 'dunia', 'salah', 'satunya', 'argentina', 'dianggap', 'sengaja', 'mengalah', 'pertandingan', 'pertama', 'terbukti', 'gelar', 'juara', 'diberikan', 'runner', 'paragraf', 'atas', 'contoh', 'harapan', 'kosong', 'fans', 'timnas', 'prancis']</t>
  </si>
  <si>
    <t>@kazunokeiko kirain meyden</t>
  </si>
  <si>
    <t>kirain meyden</t>
  </si>
  <si>
    <t>['kirain', 'meyden']</t>
  </si>
  <si>
    <t>Argentina Juara: Belajar Politik Kompetensi dari Piala Dunia 2022.  Dari Piala Dunia 2022 di Qatar, seharusnya kita bisa belajar tentang Politik Kompetensi. Siapa tahu, kompetisi pilpres 2024 nanti bisa menyenangkan dan melahirkan pemimpin yang kompeten.   https://t.co/1PM4rQTRid</t>
  </si>
  <si>
    <t>argentina juara belajar politik kompetensi dari piala dunia dari piala dunia qatar seharusnya kita bisa belajar tentang politik kompetensi siapa tahu kompetisi pilpres nanti bisa menyenangkan dan melahirkan pemimpin yang kompeten</t>
  </si>
  <si>
    <t>['argentina', 'juara', 'belajar', 'politik', 'kompetensi', 'piala', 'dunia', 'piala', 'dunia', 'qatar', 'belajar', 'politik', 'kompetensi', 'siapa', 'tahu', 'kompetisi', 'pilpres', 'menyenangkan', 'melahirkan', 'pemimpin', 'kompeten']</t>
  </si>
  <si>
    <t>@kisbet_ @meltdownbytori Ikutan ah ! Argentina 3 kali juara dunia 1978 di kandang sendiri, Mario Kempes 6 gol 1986 di Mexico, Diego Maradona 5 gol  2022 di Qatar, Lionel Messi 7 gol</t>
  </si>
  <si>
    <t>ikutan argentina kali juara dunia kandang sendiri mario kempes gol mexico diego maradona gol qatar lionel messi gol</t>
  </si>
  <si>
    <t>['ikutan', 'argentina', 'kali', 'juara', 'dunia', 'kandang', 'sendiri', 'mario', 'kempes', 'gol', 'mexico', 'diego', 'maradona', 'gol', 'qatar', 'lionel', 'messi', 'gol']</t>
  </si>
  <si>
    <t>Argentina Juara World Cup.  panglima TNI langsung dilantik @jokowi</t>
  </si>
  <si>
    <t>argentina juara world cup panglima tni langsung dilantik</t>
  </si>
  <si>
    <t>['argentina', 'juara', 'world', 'cup', 'panglima', 'tni', 'langsung', 'dilantik']</t>
  </si>
  <si>
    <t>Selamat! Argentina Juara Piala Dunia 2022, Penyebab Kekalahan Prancis Terbongkar, Gara-gara Ini   https://t.co/5LIYr21cP0</t>
  </si>
  <si>
    <t>selamat argentina juara piala dunia penyebab kekalahan prancis terbongkar gara gara ini</t>
  </si>
  <si>
    <t>['selamat', 'argentina', 'juara', 'piala', 'dunia', 'penyebab', 'kekalahan', 'prancis', 'terbongkar', 'gara', 'gara']</t>
  </si>
  <si>
    <t>Agar terus membuatku sumringah dan full senyum karena Argentina juara. Bismillah dapet Kura-Kura Berjanggut dari mas @senogp . Messi kabul kajate, Indra menang giveaway üôè</t>
  </si>
  <si>
    <t>agar terus membuatku sumringah dan full senyum karena argentina juara bismillah dapet kura kura berjanggut dari mas messi kabul kajate indra menang giveaway</t>
  </si>
  <si>
    <t>['terus', 'membuatku', 'sumringah', 'full', 'senyum', 'argentina', 'juara', 'bismillah', 'dapat', 'kura', 'kura', 'berjanggut', 'mas', 'messi', 'kabul', 'kajate', 'indra', 'menang', 'giveaway']</t>
  </si>
  <si>
    <t>@FWBESS Ayokkk berteman</t>
  </si>
  <si>
    <t>ayokkk berteman</t>
  </si>
  <si>
    <t>['ayokkk', 'berteman']</t>
  </si>
  <si>
    <t>Argentina Juara, Pendukung Prancis Bentrok dengan Polisi  https://t.co/yEEiW6WsT4</t>
  </si>
  <si>
    <t>Argentina udah juara World Cup, tapi gua masih miskin juga</t>
  </si>
  <si>
    <t>argentina udah juara world cup tapi gua masih miskin juga</t>
  </si>
  <si>
    <t>['argentina', 'udah', 'juara', 'world', 'cup', 'gua', 'miskin']</t>
  </si>
  <si>
    <t>Argentina Juara Piala Dunia, Jokowi: Saya Nontonnya Persib vs Persis  https://t.co/bxm9HpoT06</t>
  </si>
  <si>
    <t>argentina juara piala dunia jokowi saya nontonnya persib persis</t>
  </si>
  <si>
    <t>['argentina', 'juara', 'piala', 'dunia', 'jokowi', 'nontonnya', 'persib', 'persis']</t>
  </si>
  <si>
    <t>‚ÄòMessi Juga Nggak Peduli‚Äô Warganet Geli Politisi Indonesia Ramai Pansos Bikin Poster Argentina¬†Juara  https://t.co/ibU5CsnSRZ</t>
  </si>
  <si>
    <t>‚ÄòMessi Juga Nggak Peduli‚Äô Warganet Geli Politisi Indonesia Ramai Pansos Bikin Poster Argentina¬†Juara  https://t.co/YopxPwBs5p</t>
  </si>
  <si>
    <t>@ezrajonas14 Trus gol ke-3 Argentina kan hasil build up &amp;amp; bola rebound hasil shot dia ditepis kiper. Jadi kalau soal impact lebih gede Lautaro üòÅ‚úåÔ∏è  Tapi gapapa lah, yang paling penting juara ya bang hahaha üåçüèÜüá¶üá∑</t>
  </si>
  <si>
    <t>trus gol argentina kan hasil build bola rebound hasil shot dia ditepis kiper jadi kalau soal impact lebih gede lautaro tapi gapapa lah yang paling penting juara bang hahaha</t>
  </si>
  <si>
    <t>['trus', 'gol', 'argentina', 'kan', 'hasil', 'build', 'bola', 'rebound', 'hasil', 'shot', 'ditepis', 'kiper', 'jadi', 'kalau', 'soal', 'impact', 'lebih', 'gede', 'lautaro', 'gapapa', 'lah', 'paling', 'penting', 'juara', 'bang', 'hahaha']</t>
  </si>
  <si>
    <t>Jersey Lionel Messi Laris Manis Usai Argentina Juara Piala Dunia 2022: Sold Out di Seluruh Dunia  https://t.co/pY1UIOW79t</t>
  </si>
  <si>
    <t>jersey lionel messi laris manis usai argentina juara piala dunia sold out seluruh dunia</t>
  </si>
  <si>
    <t>['jersey', 'lionel', 'messi', 'laris', 'manis', 'usai', 'argentina', 'juara', 'piala', 'dunia', 'sold', 'out', 'seluruh', 'dunia']</t>
  </si>
  <si>
    <t>MantaPD bang @irwan_fecho Demokrat harus jadi juara pertama kayak Argentina ya bang  AHY Bawa Elektabilitas Partai Demokrat Terus Meroket, Irwan Fecho: Tidak Mustahil Jadi Urutan Pertama   #Demokrats14p     https://t.co/vJIO2yvpSx</t>
  </si>
  <si>
    <t>mantapd bang fecho demokrat harus jadi juara pertama kayak argentina bang ahy bawa elektabilitas partai demokrat terus meroket irwan fecho tidak mustahil jadi urutan pertama</t>
  </si>
  <si>
    <t>['mantapd', 'bang', 'fecho', 'demokrat', 'jadi', 'juara', 'pertama', 'seperti', 'argentina', 'bang', 'ahy', 'bawa', 'elektabilitas', 'partai', 'demokrat', 'terus', 'meroket', 'irwan', 'fecho', 'mustahil', 'jadi', 'urutan', 'pertama']</t>
  </si>
  <si>
    <t>Di tengah penderitaan gw selama 2022, rasanya ga percaya aja tersiram kesenangan di antaranya. Masih terasa mimpi kalo tim Argentina juara dunia.  I love you Messi!</t>
  </si>
  <si>
    <t>tengah penderitaan selama rasanya percaya aja tersiram kesenangan antaranya masih terasa mimpi kalo tim argentina juara dunia love you messi</t>
  </si>
  <si>
    <t>['tengah', 'penderitaan', 'selama', 'rasanya', 'percaya', 'tersiram', 'kesenangan', 'antaranya', 'terasa', 'mimpi', 'tim', 'argentina', 'juara', 'dunia', 'love', 'you', 'messi']</t>
  </si>
  <si>
    <t>Lionel Scaloni Sabet Juara Pelatih Termuda di Piala Dunia 2022, Messi Ungkap Tidak Jadi Pensiun dari Argentina  https://t.co/6UHjad3yxv</t>
  </si>
  <si>
    <t>lionel scaloni sabet juara pelatih termuda piala dunia messi ungkap tidak jadi pensiun dari argentina</t>
  </si>
  <si>
    <t>['lionel', 'scaloni', 'sabet', 'juara', 'pelatih', 'termuda', 'piala', 'dunia', 'messi', 'ungkap', 'jadi', 'pensiun', 'argentina']</t>
  </si>
  <si>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</si>
  <si>
    <t>congrats dreamies setelah penantian panjang mereka sejak tahun untuk jadi juara piala dunia greatest all time lionel messi lengkap sudah koleksi penghargaan the real goat serta tidak lupa maria kalian luar biasa</t>
  </si>
  <si>
    <t>['congrats', 'dreamies', 'penantian', 'panjang', 'sejak', 'tahun', 'jadi', 'juara', 'piala', 'dunia', 'greatest', 'all', 'time', 'lionel', 'messi', 'lengkap', 'koleksi', 'penghargaan', 'the', 'real', 'goat', 'lupa', 'maria', 'kalian', 'luar', 'biasa']</t>
  </si>
  <si>
    <t>Dipecundangi Arab Saudi di awal, Argentina jadi Juara di akhir! . #EMTEKWORLDCUP2022 #BOLANETWORLDCUP2022  #PialaDunia #PialaDunia2022  https://t.co/Vaxak8k1xB</t>
  </si>
  <si>
    <t>@PemujaLuna @Box2BoxBola banyak, lebih banyak dari psg malah</t>
  </si>
  <si>
    <t>banyak lebih banyak dari psg malah</t>
  </si>
  <si>
    <t>['banyak', 'lebih', 'banyak', 'psg', 'malah']</t>
  </si>
  <si>
    <t>Messi, Argentina julang Piala Dunia Qatar: Lusail, Qatar: Argentina memenangi Piala Dunia, sebentar tadi, apabila berjaya menewaskan juara bertahan Perancis, 4-2 menerusi penentuan penalti selepas seri 3-3 dalam aksi tambahan masa penuh dramatik. ¬© New‚Ä¶  https://t.co/5mebJiIYIh</t>
  </si>
  <si>
    <t>messi argentina julang piala dunia qatar lusail qatar argentina memenangi piala dunia sebentar tadi apabila berjaya menewaskan juara bertahan perancis menerusi penentuan penalti selepas seri dalam aksi tambahan masa penuh dramatik new</t>
  </si>
  <si>
    <t>['messi', 'argentina', 'julang', 'piala', 'dunia', 'qatar', 'lusail', 'qatar', 'argentina', 'memenangi', 'piala', 'dunia', 'sebentar', 'tadi', 'apabila', 'berjaya', 'menewaskan', 'juara', 'bertahan', 'perancis', 'menerusi', 'penentuan', 'penalti', 'selepas', 'seri', 'aksi', 'tambahan', 'masa', 'penuh', 'dramatik', 'new']</t>
  </si>
  <si>
    <t>@kisbet_ @meltdownbytori Argentina 3x juara dunia 1978 di Argentina, Mario Kempes 6 gol 1986 di Mexico, Diego Maradona 5 gol  2022 di Qatar, Lionel Messi 7 gol Vamos Argentinaüëçüëçüëç  https://t.co/P3K6yQc0ut</t>
  </si>
  <si>
    <t>argentina juara dunia argentina mario kempes gol mexico diego maradona gol qatar lionel messi gol vamos argentina</t>
  </si>
  <si>
    <t>['argentina', 'juara', 'dunia', 'argentina', 'mario', 'kempes', 'gol', 'mexico', 'diego', 'maradona', 'gol', 'qatar', 'lionel', 'messi', 'gol', 'vamos', 'argentina']</t>
  </si>
  <si>
    <t>@FWBESS Ayokkk sini,</t>
  </si>
  <si>
    <t>ayokkk sini</t>
  </si>
  <si>
    <t>['ayokkk', 'sini']</t>
  </si>
  <si>
    <t>@Dennysiregar7 Makasih bang sudah bikin prancis sial berkat dukungan lu bang üôè untung lu gak dukung argentina, bisa¬≤ argentina gagal juara, karena setiap negara yg elu dukung 99% pasti sial bang üôè</t>
  </si>
  <si>
    <t>makasih bang sudah bikin prancis sial berkat dukungan bang untung gak dukung argentina bisa argentina gagal juara karena setiap negara elu dukung pasti sial bang</t>
  </si>
  <si>
    <t>['makasih', 'bang', 'prancis', 'sial', 'berkat', 'dukungan', 'bang', 'untung', 'dukung', 'argentina', 'argentina', 'gagal', 'juara', 'negara', 'elu', 'dukung', 'sial', 'bang']</t>
  </si>
  <si>
    <t>Vamos Tahniah Argentina @afaseleccion Juara Piala Dunia FIFA World Cup 2022 #fifaworldcup2022 #final #winner  @leomessi  @leonelscaloni  @pabloaimarok  https://t.co/y9kvKU6tf0</t>
  </si>
  <si>
    <t>vamos tahniah argentina juara piala dunia fifa world cup</t>
  </si>
  <si>
    <t>['vamos', 'tahniah', 'argentina', 'juara', 'piala', 'dunia', 'fifa', 'world', 'cup']</t>
  </si>
  <si>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</si>
  <si>
    <t>infocimahi argentina menjadi juara piala dunia setelah mengalahkan prancis final dengan skor penalti lusail iconic stadium minggu selengkapnya fifa world cup reuters carl recine fabriziorom</t>
  </si>
  <si>
    <t>['infocimahi', 'argentina', 'menjadi', 'juara', 'piala', 'dunia', 'mengalahkan', 'prancis', 'final', 'skor', 'penalti', 'lusail', 'iconic', 'stadium', 'minggu', 'selengkapnya', 'fifa', 'world', 'cup', 'reuters', 'carl', 'recine', 'fabriziorom']</t>
  </si>
  <si>
    <t>Dampak Argentina juara, kurs peso di visa jd lbh murah, beli vocer eshop jadinya murah bgt, pas buat amunisi jelang christmas sale, makasih üá¶üá∑  https://t.co/e1XdQjkV9X</t>
  </si>
  <si>
    <t>dampak argentina juara kurs peso visa lbh murah beli vocer eshop jadinya murah bgt pas buat amunisi jelang christmas sale makasih</t>
  </si>
  <si>
    <t>['dampak', 'argentina', 'juara', 'kurs', 'peso', 'visa', 'lbh', 'murah', 'beli', 'vocer', 'eshop', 'jadinya', 'murah', 'banget', 'pas', 'buat', 'amunisi', 'jelang', 'christmas', 'sale', 'makasih']</t>
  </si>
  <si>
    <t>@rahmanslenco @RefublikAteis Coba sebutin yg setara Messi, Ronaldo dalam bbrp tahun karirnya ??? Siapa ??</t>
  </si>
  <si>
    <t>coba sebutin setara messi ronaldo dalam bbrp tahun karirnya siapa</t>
  </si>
  <si>
    <t>['coba', 'sebutin', 'setara', 'messi', 'ronaldo', 'bbrp', 'tahun', 'karirnya', 'siapa']</t>
  </si>
  <si>
    <t>@smurf_obay @InfosuporterID Ini orang, urusan kadrun dibawa¬≤ si gonjet.. Gw juga ga setuju sama narasinya, toh argentina juara grup ga logic. #MessiìÉµ</t>
  </si>
  <si>
    <t>obay ini orang urusan kadrun dibawa gonjet juga setuju sama narasinya toh argentina juara grup logic</t>
  </si>
  <si>
    <t>['obay', 'orang', 'urusan', 'kadrun', 'dibawa', 'gonjet', 'setuju', 'sama', 'narasinya', 'argentina', 'juara', 'grup', 'logic']</t>
  </si>
  <si>
    <t>2022 jadi Tahun Terbaik Lisandro Martinez, Tampil Bagus di MU hingga Bawa Argentina Juara Piala Dunia 2022  https://t.co/rvhm1NRnS1</t>
  </si>
  <si>
    <t>jadi tahun terbaik lisandro martinez tampil bagus hingga bawa argentina juara piala dunia</t>
  </si>
  <si>
    <t>['jadi', 'tahun', 'terbaik', 'lisandro', 'martinez', 'tampil', 'bagus', 'hingga', 'bawa', 'argentina', 'juara', 'piala', 'dunia']</t>
  </si>
  <si>
    <t>Argentina Juara Piala Dunia 2022, Dibanjiri Ucapan Selamat.  https://t.co/rzOQutdH0u</t>
  </si>
  <si>
    <t>argentina juara piala dunia dibanjiri ucapan selamat</t>
  </si>
  <si>
    <t>['argentina', 'juara', 'piala', 'dunia', 'dibanjiri', 'ucapan', 'selamat']</t>
  </si>
  <si>
    <t>Argentina pun menjadi juara  Piala Dunia 2022 Qatar.  Meski bertaruh untuk  Argentina,  rapper  Drake tetap kehilangan 1 juta US dolar atau setara dengan Rp 15 miliar.   https://t.co/GZ19XwpBBP</t>
  </si>
  <si>
    <t>argentina pun menjadi juara piala dunia qatar meski bertaruh untuk argentina rapper drake tetap kehilangan juta dolar atau setara dengan miliar</t>
  </si>
  <si>
    <t>['argentina', 'menjadi', 'juara', 'piala', 'dunia', 'qatar', 'meski', 'bertaruh', 'argentina', 'rapper', 'drake', 'tetap', 'kehilangan', 'juta', 'dolar', 'setara', 'miliar']</t>
  </si>
  <si>
    <t>Argentina udah juara Piala Dunia, masa kamu belom bisa juara untuk dapetin hatinya?</t>
  </si>
  <si>
    <t>argentina udah juara piala dunia masa kamu belom bisa juara untuk dapetin hatinya</t>
  </si>
  <si>
    <t>['argentina', 'udah', 'juara', 'piala', 'dunia', 'masa', 'kamu', 'belom', 'juara', 'dapetin', 'hatinya']</t>
  </si>
  <si>
    <t>Terima kasih dan Selamat atas Qatar , yg sudah melaksana mement dunia dalam pesepak nolaan di kancah dunia yg bernama word cup. Di 2022 ini Argentina menjadi juara dalam ajang tersebut. Qatar negara Islam yg patut di contoh. Walaupun memang ada oknum cuma segelintir. Qatar best..</t>
  </si>
  <si>
    <t>terima kasih dan selamat atas qatar sudah melaksana mement dunia dalam pesepak nolaan kancah dunia bernama word cup ini argentina menjadi juara dalam ajang tersebut qatar negara islam patut contoh walaupun memang ada oknum cuma segelintir qatar best</t>
  </si>
  <si>
    <t>['terima', 'kasih', 'selamat', 'atas', 'qatar', 'melaksana', 'mement', 'dunia', 'pesepak', 'nolaan', 'kancah', 'dunia', 'bernama', 'word', 'cup', 'argentina', 'menjadi', 'juara', 'ajang', 'tersebut', 'qatar', 'negara', 'islam', 'patut', 'contoh', 'walaupun', 'memang', 'oknum', 'cuma', 'segelintir', 'qatar', 'best']</t>
  </si>
  <si>
    <t xml:space="preserve">@andiacho17 @Fandom_ID Argentina juara dunia dengan isi squad biasa ja, cuma bagus didepan. Terakhir kali juara dunia isi squad persis kayak Argentina sekarang ya Argentina 86. lebih baik Argentina isi squadnya biasa ja, ntar kayak zaman akhir 90an &amp;amp; </t>
  </si>
  <si>
    <t>argentina juara dunia dengan isi squad biasa cuma bagus didepan terakhir kali juara dunia isi squad persis kayak argentina sekarang argentina lebih baik argentina isi squadnya biasa ntar kayak zaman akhir</t>
  </si>
  <si>
    <t>['argentina', 'juara', 'dunia', 'isi', 'squad', 'biasa', 'cuma', 'bagus', 'didepan', 'terakhir', 'kali', 'juara', 'dunia', 'isi', 'squad', 'persis', 'seperti', 'argentina', 'sekarang', 'argentina', 'lebih', 'baik', 'argentina', 'isi', 'squadnya', 'biasa', 'ntar', 'seperti', 'zaman', 'akhir']</t>
  </si>
  <si>
    <t>&lt;FreqDist with 20 samples and 30 outcomes&gt;</t>
  </si>
  <si>
    <t>Argentina Juara Piala Dunia 2022, Status Lionel Messi: Greatest of All Time!  https://t.co/GGZme72OBH  https://t.co/agGHnRrqlw</t>
  </si>
  <si>
    <t>argentina juara piala dunia status lionel messi greatest all time</t>
  </si>
  <si>
    <t>['argentina', 'juara', 'piala', 'dunia', 'status', 'lionel', 'messi', 'greatest', 'all', 'time']</t>
  </si>
  <si>
    <t>Ingatkah Anda kapan bergabung dengan Twitter? Ya, saya ingat! Bertepatan dengan Argentina juara #FIFAWorldCup   #HariJadiTwitterSaya  https://t.co/mUJdpxz6oQ</t>
  </si>
  <si>
    <t>ingatkah anda kapan bergabung dengan twitter saya ingat bertepatan dengan argentina juara</t>
  </si>
  <si>
    <t>['ingatkah', 'kapan', 'bergabung', 'twitter', 'ingat', 'bertepatan', 'argentina', 'juara']</t>
  </si>
  <si>
    <t>@Dennysiregar7 Makasih kang sial. Berkat lu dukung prancis argentina jadi juara. Sekali lagi terima kasih sudah bikin prancis sial üôè</t>
  </si>
  <si>
    <t>makasih kang sial berkat dukung prancis argentina jadi juara sekali lagi terima kasih sudah bikin prancis sial</t>
  </si>
  <si>
    <t>['makasih', 'kang', 'sial', 'berkat', 'dukung', 'prancis', 'argentina', 'jadi', 'juara', 'sekali', 'terima', 'kasih', 'prancis', 'sial']</t>
  </si>
  <si>
    <t>@The_RedsIndo Satu satunya warga Argentina yg gk happy Messi juara</t>
  </si>
  <si>
    <t>redsindo satu satunya warga argentina happy messi juara</t>
  </si>
  <si>
    <t>['redsindo', 'satu', 'satunya', 'warga', 'argentina', 'happy', 'messi', 'juara']</t>
  </si>
  <si>
    <t>Tanya : emang Argentina mesti juara dunia tahun ini? Jawab :  https://t.co/1unzwMUebI</t>
  </si>
  <si>
    <t>tanya emang argentina mesti juara dunia tahun ini jawab</t>
  </si>
  <si>
    <t>['tanya', 'emang', 'argentina', 'mesti', 'juara', 'dunia', 'tahun', 'jawab']</t>
  </si>
  <si>
    <t>@stefanyvonne Argentina Juara nya</t>
  </si>
  <si>
    <t>Argentina Juara: Belajar Politik Kompetensi dari Piala Dunia¬†2022  https://t.co/VBl0V3vqkm</t>
  </si>
  <si>
    <t>Pele Yakin Maradona Tersenyum Lihat Argentina Juara  https://t.co/P3X7yVAN2G</t>
  </si>
  <si>
    <t>pele yakin maradona tersenyum lihat argentina juara</t>
  </si>
  <si>
    <t>['pele', 'yakin', 'maradona', 'tersenyum', 'lihat', 'argentina', 'juara']</t>
  </si>
  <si>
    <t>Argentina, Potret Negara Kacau Balau Tapi Bisa Juara Dunia  https://t.co/gHLPANJcKN</t>
  </si>
  <si>
    <t>@kisbet_ @meltdownbytori Ikutan ahh,   3 x Argentina juara Piala Dunia (fana)  Tahun 1978 di Argentina,  Top skor: Mario Kempes.   Tahun 1986 di Meksiko, Top skor: Diego Armando Maradona.   Tahun 2022 di Qatar, Top skor: Lionel Messi.</t>
  </si>
  <si>
    <t>ikutan ahh argentina juara piala dunia fana tahun argentina top skor mario kempes tahun meksiko top skor diego armando maradona tahun qatar top skor lionel messi</t>
  </si>
  <si>
    <t>['ikutan', 'ahh', 'argentina', 'juara', 'piala', 'dunia', 'fana', 'tahun', 'argentina', 'top', 'skor', 'mario', 'kempes', 'tahun', 'meksiko', 'top', 'skor', 'diego', 'armando', 'maradona', 'tahun', 'qatar', 'top', 'skor', 'lionel', 'messi']</t>
  </si>
  <si>
    <t>yg juara argentina yg trending ronaldo  trending karna dibuly awowkowko</t>
  </si>
  <si>
    <t>juara argentina trending ronaldo trending karna dibuly awowkowko</t>
  </si>
  <si>
    <t>['juara', 'argentina', 'trending', 'ronaldo', 'trending', 'karna', 'dibuly', 'awowkowko']</t>
  </si>
  <si>
    <t>VIDEO: Argentina Juara Piala Dunia 2022, Disambut Gempita Fans!  https://t.co/HZiXbRckzM</t>
  </si>
  <si>
    <t>video argentina juara piala dunia disambut gempita fans</t>
  </si>
  <si>
    <t>['video', 'argentina', 'juara', 'piala', 'dunia', 'disambut', 'gempita', 'fans']</t>
  </si>
  <si>
    <t>Pele Yakin Maradona Tersenyum Lihat Argentina Juara  https://t.co/y1g9Zxp2P9</t>
  </si>
  <si>
    <t>@SiaranBolaLive Jerman barat min.. 82 kalah lawan itali 86 kalah lawan argentina 90 juara menang lawan argentina</t>
  </si>
  <si>
    <t>jerman barat min kalah lawan itali kalah lawan argentina juara menang lawan argentina</t>
  </si>
  <si>
    <t>['jerman', 'barat', 'min', 'kalah', 'lawan', 'itali', 'kalah', 'lawan', 'argentina', 'juara', 'menang', 'lawan', 'argentina']</t>
  </si>
  <si>
    <t>Liat Argentina juara, sebagai org yg ngefans Messi, gw ngikutin ini semua kaya film, bener bener dahh, happy ending, legend, GOAT üêê</t>
  </si>
  <si>
    <t>liat argentina juara sebagai org ngefans messi ngikutin ini semua kaya film bener bener dahh happy ending legend goat</t>
  </si>
  <si>
    <t>['lihat', 'argentina', 'juara', 'org', 'ngefans', 'messi', 'ngikutin', 'semua', 'kaya', 'film', 'benar', 'benar', 'dahh', 'happy', 'ending', 'legend', 'goat']</t>
  </si>
  <si>
    <t>@husnul__m @lyadks Tetap Argentina yg akan Juara</t>
  </si>
  <si>
    <t>tetap argentina akan juara</t>
  </si>
  <si>
    <t>['tetap', 'argentina', 'juara']</t>
  </si>
  <si>
    <t>Intip Cara Sederhana Argentina Rayakan Kemenangan usai Juara Piala Dunia 2022, Paulo Dybala: Makan Malam Romantis!  https://t.co/NDPRO1kDMu</t>
  </si>
  <si>
    <t>intip cara sederhana argentina rayakan kemenangan usai juara piala dunia paulo dybala makan malam romantis</t>
  </si>
  <si>
    <t>['intip', 'cara', 'sederhana', 'argentina', 'rayakan', 'kemenangan', 'usai', 'juara', 'piala', 'dunia', 'paulo', 'dybala', 'makan', 'malam', 'romantis']</t>
  </si>
  <si>
    <t>@GanjaranApp emang Lionel Messi itu pemain terbaik dunia bisa mengantar Argentina menjadi juara</t>
  </si>
  <si>
    <t>emang lionel messi itu pemain terbaik dunia bisa mengantar argentina menjadi juara</t>
  </si>
  <si>
    <t>['emang', 'lionel', 'messi', 'pemain', 'terbaik', 'dunia', 'mengantar', 'argentina', 'menjadi', 'juara']</t>
  </si>
  <si>
    <t>Banyak yang gaterima argentina juara wkwkw, padahal emang mainnya pada jago dan lebih semangat anjg üòÄ</t>
  </si>
  <si>
    <t>banyak yang gaterima argentina juara wkwkw padahal emang mainnya pada jago dan lebih semangat anjg</t>
  </si>
  <si>
    <t>['banyak', 'gaterima', 'argentina', 'juara', 'wkwkw', 'padahal', 'emang', 'mainnya', 'jago', 'lebih', 'semangat', 'anjg']</t>
  </si>
  <si>
    <t>Warga Argentina Sambut Messi Dan Kawan kawan #argentina #pialadunia #argentinajuara #messi #fyp„Ç∑ #qatar2022  https://t.co/onGN5tmmbK</t>
  </si>
  <si>
    <t>warga argentina sambut messi dan kawan kawan</t>
  </si>
  <si>
    <t>['warga', 'argentina', 'sambut', 'messi', 'kawan', 'kawan']</t>
  </si>
  <si>
    <t>@realmadridindo1 Gak tau ini postingan karim template atau bukan, tapi sebelum ada messi dan mbappe pun argentina dan perancis udh pernah juara dunia, kultur sepakbolanya emang kuat, sementara portugal sebelum ada ronaldo sepertinya belum pernah meraih ap</t>
  </si>
  <si>
    <t>gak tau ini postingan karim template atau bukan tapi sebelum ada messi dan mbappe pun argentina dan perancis udh pernah juara dunia kultur sepakbolanya emang kuat sementara portugal sebelum ada ronaldo sepertinya belum pernah meraih</t>
  </si>
  <si>
    <t>['postingan', 'karim', 'template', 'bukan', 'messi', 'mbappe', 'argentina', 'perancis', 'sudah', 'pernah', 'juara', 'dunia', 'kultur', 'sepakbolanya', 'emang', 'kuat', 'portugal', 'ronaldo', 'sepertinya', 'pernah', 'meraih']</t>
  </si>
  <si>
    <t>Argentina Juara: Belajar Politik Kompetensi Dari Piala Dunia 2022  https://t.co/oAJfUb0DdW #BeritaIslam  https://t.co/HpAL0Zn1aC</t>
  </si>
  <si>
    <t>@registaco @affmecup Nah, benerkan..Argentina yang juara aja bisa kyk gini apalagi kl timnas..üòÖ  https://t.co/8BtMdzHu3E</t>
  </si>
  <si>
    <t>nah benerkan argentina yang juara aja bisa kyk gini apalagi timnas</t>
  </si>
  <si>
    <t>['nah', 'benerkan', 'argentina', 'juara', 'seperti', 'gini', 'timnas']</t>
  </si>
  <si>
    <t>Politisi Indonesia, ngasih selamat Argentina juara, pakai bendera Polandia di postingannya ü§£  https://t.co/Ms8PSGLmjt</t>
  </si>
  <si>
    <t>politisi indonesia ngasih selamat argentina juara pakai bendera polandia postingannya</t>
  </si>
  <si>
    <t>['politisi', 'indonesia', 'ngasih', 'selamat', 'argentina', 'juara', 'pakai', 'bendera', 'polandia', 'postingannya']</t>
  </si>
  <si>
    <t>Kylian Mbappe harus berpuas hati dengan raihan juara 2 Piala Dunia usai dikalahkan Argentina lewat adu penalti. Wajah kecewanya pun tak bisa disembunyikan. #juaraboladunia    https://t.co/9irzxYiS38</t>
  </si>
  <si>
    <t>Ga penting Argentina atau Perancis. Ketika kamu yang menjadi juara dihatiku, dek...</t>
  </si>
  <si>
    <t>penting argentina atau perancis ketika kamu yang menjadi juara dihatiku dek</t>
  </si>
  <si>
    <t>['penting', 'argentina', 'perancis', 'kamu', 'menjadi', 'juara', 'dihatiku', 'dek']</t>
  </si>
  <si>
    <t>Argentina juara Piala Dunia 2022 setelah mengalahkan Prancis. Selamat! Video ini mengesankan, ayo  lihat aja!   https://t.co/j3BvURo7GF</t>
  </si>
  <si>
    <t>argentina juara piala dunia setelah mengalahkan prancis selamat video ini mengesankan ayo lihat aja</t>
  </si>
  <si>
    <t>['argentina', 'juara', 'piala', 'dunia', 'mengalahkan', 'prancis', 'selamat', 'video', 'mengesankan', 'ayo', 'lihat']</t>
  </si>
  <si>
    <t>@medioclubID Bukan orang argentina aja merinding dengernya .. gimana mereka yang juara ..</t>
  </si>
  <si>
    <t>bukan orang argentina aja merinding dengernya gimana mereka yang juara</t>
  </si>
  <si>
    <t>['bukan', 'orang', 'argentina', 'merinding', 'dengernya', 'gimana', 'juara']</t>
  </si>
  <si>
    <t>Argentina Juara Piala Dunia 2022, Lionel Messi Dapat Pesan Khusus dari Ronaldo #LionelMessi  https://t.co/CTKN0AHU3Y</t>
  </si>
  <si>
    <t>argentina juara piala dunia lionel messi dapat pesan khusus dari ronaldo</t>
  </si>
  <si>
    <t>['argentina', 'juara', 'piala', 'dunia', 'lionel', 'messi', 'pesan', 'khusus', 'ronaldo']</t>
  </si>
  <si>
    <t>Tebakan benar dr tgl 21, argentina juara. 2x akun tumbang.. Yaa rezeki gak bakal kmna... Insha allah tetep ada jalannya  @BangEdiii @glohermawan @bread_selling @Kentarockers @RheinaHerlina @mamihnyaupi_ @ArgentianaA  https://t.co/VXqEXO8tIm</t>
  </si>
  <si>
    <t>tebakan benar tgl argentina juara akun tumbang yaa rezeki gak bakal kmna insha allah tetep ada jalannya selling</t>
  </si>
  <si>
    <t>['tebakan', 'benar', 'tgl', 'argentina', 'juara', 'akun', 'tumbang', 'ya', 'rezeki', 'bakal', 'kmna', 'insha', 'allah', 'tetep', 'jalannya', 'selling']</t>
  </si>
  <si>
    <t>Aksi Emiliano Martinez Nodai Pesta Juara Argentina  https://t.co/kHvH5dwg6J</t>
  </si>
  <si>
    <t>aksi emiliano martinez nodai pesta juara argentina</t>
  </si>
  <si>
    <t>['aksi', 'emiliano', 'martinez', 'nodai', 'pesta', 'juara', 'argentina']</t>
  </si>
  <si>
    <t>2014, Argentina emang belum layak juara. Messi juga gak lebih layak jadi pemain terbaik turnamen dibanding Mascherano. 2022 mereka lebih layak. Skuad lebih kuat, lebih imbang, lebih matang.</t>
  </si>
  <si>
    <t>argentina emang belum layak juara messi juga gak lebih layak jadi pemain terbaik turnamen dibanding mascherano mereka lebih layak skuad lebih kuat lebih imbang lebih matang</t>
  </si>
  <si>
    <t>['argentina', 'emang', 'layak', 'juara', 'messi', 'lebih', 'layak', 'jadi', 'pemain', 'terbaik', 'turnamen', 'dibanding', 'mascherano', 'lebih', 'layak', 'skuad', 'lebih', 'kuat', 'lebih', 'imbang', 'lebih', 'matang']</t>
  </si>
  <si>
    <t>@GanjaranApp selamat Argentina atas juara piala Dunia nya</t>
  </si>
  <si>
    <t>selamat argentina atas juara piala dunia nya</t>
  </si>
  <si>
    <t>['selamat', 'argentina', 'atas', 'juara', 'piala', 'dunia']</t>
  </si>
  <si>
    <t>@kisbet_ @meltdownbytori 1. 3x juara piala dunia  2. Juara di argentina 1978, mexico 1986 dan Qatar 2022  3. 19978 Mario Kempes 6 gol      1986 Diego maradona 5 gol      2022 Lionel Messi 7 gol</t>
  </si>
  <si>
    <t>juara piala dunia juara argentina mexico dan qatar mario kempes gol diego maradona gol lionel messi gol</t>
  </si>
  <si>
    <t>['juara', 'piala', 'dunia', 'juara', 'argentina', 'mexico', 'qatar', 'mario', 'kempes', 'gol', 'diego', 'maradona', 'gol', 'lionel', 'messi', 'gol']</t>
  </si>
  <si>
    <t>serius ngasih pengumuman argentina juara? ibu kota provinsi kamu tuh mirip gotham city</t>
  </si>
  <si>
    <t>serius ngasih pengumuman argentina juara ibu kota provinsi kamu tuh mirip gotham city</t>
  </si>
  <si>
    <t>['serius', 'ngasih', 'pengumuman', 'argentina', 'juara', 'ibu', 'kota', 'provinsi', 'kamu', 'mirip', 'gotham', 'city']</t>
  </si>
  <si>
    <t>Argentina Juara Piala Dunia 2022, Erdogan Singgung Babak Final  https://t.co/HhNenbUqPl</t>
  </si>
  <si>
    <t>argentina juara piala dunia erdogan singgung babak final</t>
  </si>
  <si>
    <t>['argentina', 'juara', 'piala', 'dunia', 'erdogan', 'singgung', 'babak', 'final']</t>
  </si>
  <si>
    <t>Nyang juara Argentina, nyang jadi pemain terbaik Messi, dan Top Scorenya Mbappe kenapa yang trending Iwan Bule ?  https://t.co/DszKm7LjgJ</t>
  </si>
  <si>
    <t>nyang juara argentina nyang jadi pemain terbaik messi dan top scorenya mbappe kenapa yang trending iwan bule</t>
  </si>
  <si>
    <t>['nyang', 'juara', 'argentina', 'nyang', 'jadi', 'pemain', 'terbaik', 'messi', 'top', 'scorenya', 'mbappe', 'trending', 'iwan', 'bule']</t>
  </si>
  <si>
    <t>ARGENTINA juara, kemarennya baru nonton ARGANTARA. Apaka itu sebua pertanda?</t>
  </si>
  <si>
    <t>argentina juara kemarennya baru nonton argantara apaka itu sebua pertanda</t>
  </si>
  <si>
    <t>['argentina', 'juara', 'kemarennya', 'baru', 'nonton', 'argantara', 'apaka', 'sebua', 'pertanda']</t>
  </si>
  <si>
    <t>Masih terbawa kemenangan Argentina dan melihat @leomessi mengangkat piala juara dunia 2022üèÜüèÜüèÜüá¶üá∑üá¶üá∑üá¶üá∑‚≠êÔ∏è‚≠êÔ∏è‚≠êÔ∏è  https://t.co/Q4RYvogh4Q</t>
  </si>
  <si>
    <t>masih terbawa kemenangan argentina dan melihat mengangkat piala juara dunia</t>
  </si>
  <si>
    <t>['terbawa', 'kemenangan', 'argentina', 'melihat', 'mengangkat', 'piala', 'juara', 'dunia']</t>
  </si>
  <si>
    <t>Timnas Argentina Juara Piala Dunia, Instagram Produk Cristiano Ronaldo Kena Bully Fans | Liputan6  https://t.co/w59yr82YiA</t>
  </si>
  <si>
    <t>timnas argentina juara piala dunia instagram produk cristiano ronaldo kena bully fans liputan</t>
  </si>
  <si>
    <t>['timnas', 'argentina', 'juara', 'piala', 'dunia', 'instagram', 'produk', 'cristiano', 'ronaldo', 'kena', 'bully', 'fans', 'liputan']</t>
  </si>
  <si>
    <t>@panca66 yang juara Argentina yang trending Iwan Bule coba haha</t>
  </si>
  <si>
    <t>yang juara argentina yang trending iwan bule coba haha</t>
  </si>
  <si>
    <t>['juara', 'argentina', 'trending', 'iwan', 'bule', 'coba', 'haha']</t>
  </si>
  <si>
    <t>#Foto Prancis gagal menjadi juara Piala Dunia 2022 usai takluk dari Argentina di Qatar. Presiden Prancis pun memeluk dan menghibur Mbappe yang sedih usai laga final. Begini momennya!  https://t.co/tia06Bx3Bc  Foto: AP Photo -- #juaraboladunia #Qatar2022 #Prancis  https://t.co/fMR8Dzn1zJ</t>
  </si>
  <si>
    <t>prancis gagal menjadi juara piala dunia usai takluk dari argentina qatar presiden prancis pun memeluk dan menghibur mbappe yang sedih usai laga final begini momennya foto photo</t>
  </si>
  <si>
    <t>['prancis', 'gagal', 'menjadi', 'juara', 'piala', 'dunia', 'usai', 'takluk', 'argentina', 'qatar', 'presiden', 'prancis', 'memeluk', 'menghibur', 'mbappe', 'sedih', 'usai', 'laga', 'final', 'begini', 'momennya', 'foto', 'photo']</t>
  </si>
  <si>
    <t>Kejar-kejaran Gol, Argentina Akhirnya Juara Piala Dunia 2022 Setelah Kandaskan Perlawanan Sengit Prancis  https://t.co/FBH8tnliah</t>
  </si>
  <si>
    <t>kejar kejaran gol argentina akhirnya juara piala dunia setelah kandaskan perlawanan sengit prancis</t>
  </si>
  <si>
    <t>['kejar', 'kejaran', 'gol', 'argentina', 'akhirnya', 'juara', 'piala', 'dunia', 'kandaskan', 'perlawanan', 'sengit', 'prancis']</t>
  </si>
  <si>
    <t>Lionel Messi Membawa Argentina Menjadi Juara Dunia FIFA 2022 - NOVA88 SPORTS INDONESIA  https://t.co/FYVb2lTWVz</t>
  </si>
  <si>
    <t>lionel messi membawa argentina menjadi juara dunia fifa nova sports indonesia</t>
  </si>
  <si>
    <t>['lionel', 'messi', 'membawa', 'argentina', 'menjadi', 'juara', 'dunia', 'fifa', 'nova', 'sports', 'indonesia']</t>
  </si>
  <si>
    <t>Eh selamat timnas Argentina atas juara dunianya. Min @bawaslu_RI gada gugatan ya??</t>
  </si>
  <si>
    <t>selamat timnas argentina atas juara dunianya min gada gugatan</t>
  </si>
  <si>
    <t>['selamat', 'timnas', 'argentina', 'atas', 'juara', 'dunianya', 'min', 'gada', 'gugatan']</t>
  </si>
  <si>
    <t>Argentina Juara Piala Dunia 2022, Presiden Jokowi: Saya Nontonnya Persib Melawan Persis  https://t.co/BhOAcRPbLv #beritajogja #jogja #jogjaistimewa  https://t.co/eVc2tUh1Ma</t>
  </si>
  <si>
    <t>argentina juara piala dunia presiden jokowi saya nontonnya persib melawan persis</t>
  </si>
  <si>
    <t>['argentina', 'juara', 'piala', 'dunia', 'presiden', 'jokowi', 'nontonnya', 'persib', 'melawan', 'persis']</t>
  </si>
  <si>
    <t>Argentina Juara Dunia, Ingatan Tertuju ke Timnas Arab Saudi yang Pernah Bungkam Messi dkk   https://t.co/e5Xw2EZkxO</t>
  </si>
  <si>
    <t>argentina juara dunia ingatan tertuju timnas arab saudi yang pernah bungkam messi dkk</t>
  </si>
  <si>
    <t>['argentina', 'juara', 'dunia', 'ingatan', 'tertuju', 'timnas', 'arab', 'saudi', 'pernah', 'bungkam', 'messi', 'dkk']</t>
  </si>
  <si>
    <t>@Dennysiregar7 2019 Jokowi diberi jersy argentina oleh presiden argentina hasil 2022 argentina JUARA PIALA DUNIA  Yang didukung kadrun dari 2019 sampe sekarang APES MULU ü§£ü§£ü§£  https://t.co/HTDeia3rJZ</t>
  </si>
  <si>
    <t>jokowi diberi jersy argentina oleh presiden argentina hasil argentina juara piala dunia yang didukung kadrun dari sampe sekarang apes mulu</t>
  </si>
  <si>
    <t>['jokowi', 'diberi', 'jersy', 'argentina', 'presiden', 'argentina', 'hasil', 'argentina', 'juara', 'piala', 'dunia', 'didukung', 'kadrun', 'sampai', 'sekarang', 'apes', 'mulu']</t>
  </si>
  <si>
    <t>Banyak orang gila karna argentina juaraü§£</t>
  </si>
  <si>
    <t>banyak orang gila karna argentina juara</t>
  </si>
  <si>
    <t>['banyak', 'orang', 'gila', 'karna', 'argentina', 'juara']</t>
  </si>
  <si>
    <t>Akhir Final Piala Dunia2022  Argentina üá¶üá∑ 3 vs 3 üá´üá∑ Prancis Pinalty : 4 - 2  Congrats Argentina üá¶üá∑ Akhirnya Messi bisa bawa Argentina Juara Dunia... Selesai...  #FIFAWorldCup  #Qatar2022  https://t.co/J4d4yYs64J</t>
  </si>
  <si>
    <t>akhir final piala dunia argentina prancis pinalty congrats argentina akhirnya messi bisa bawa argentina juara dunia selesai</t>
  </si>
  <si>
    <t>['akhir', 'final', 'piala', 'dunia', 'argentina', 'prancis', 'pinalty', 'congrats', 'argentina', 'akhirnya', 'messi', 'bawa', 'argentina', 'juara', 'dunia', 'selesai']</t>
  </si>
  <si>
    <t>Argentina Juara, Status Messi berubah jadi The Greatest of All Time! . #EMTEKWORLDCUP2022 #BOLANETWORLDCUP2022 #PialaDunia #PialaDunia2022  https://t.co/LoxuG7JjPm</t>
  </si>
  <si>
    <t>@Sidudulll @CoachJustinL Dia megang argentina ga tulus cuk karna dia tau setiap tim yg dia dukung bakal kalah makanya dia pegang argentina eh taunya malah juara wkwk</t>
  </si>
  <si>
    <t>dia megang argentina tulus cuk karna dia tau setiap tim dia dukung bakal kalah makanya dia pegang argentina taunya malah juara wkwk</t>
  </si>
  <si>
    <t>['megang', 'argentina', 'tulus', 'cuk', 'karna', 'tim', 'dukung', 'bakal', 'kalah', 'makanya', 'pegang', 'argentina', 'taunya', 'malah', 'juara']</t>
  </si>
  <si>
    <t>Akhirnya Argentina jadi juara Piala Dunia 2022ü•≥  #FIFAWorldCup  #IndiHome #AktivitasTanpaBatas  https://t.co/2872varTwS</t>
  </si>
  <si>
    <t>akhirnya argentina jadi juara piala dunia</t>
  </si>
  <si>
    <t>['akhirnya', 'argentina', 'jadi', 'juara', 'piala', 'dunia']</t>
  </si>
  <si>
    <t>Argentina telah menjadi juara tugasku untuk mengagumi mu kini telah usai.</t>
  </si>
  <si>
    <t>argentina telah menjadi juara tugasku untuk mengagumi kini telah usai</t>
  </si>
  <si>
    <t>['argentina', 'menjadi', 'juara', 'tugasku', 'mengagumi', 'kini', 'usai']</t>
  </si>
  <si>
    <t>Selama hidup udah pernah liat Prancis, Brasil, Italia, Spanyol, Jerman, dan Argentina juara Piala Dunia. Serius, berikutnya pengen banget liat Belanda yang juara.  Tapi Belanda aja. Inggris ga usah üòÜ</t>
  </si>
  <si>
    <t>selama hidup udah pernah liat prancis brasil italia spanyol jerman dan argentina juara piala dunia serius berikutnya pengen banget liat belanda yang juara tapi belanda aja inggris usah</t>
  </si>
  <si>
    <t>['selama', 'hidup', 'udah', 'pernah', 'lihat', 'prancis', 'brasil', 'italia', 'spanyol', 'jerman', 'argentina', 'juara', 'piala', 'dunia', 'serius', 'berikutnya', 'pengen', 'banget', 'lihat', 'belanda', 'juara', 'belanda', 'inggris', 'usah']</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</si>
  <si>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</si>
  <si>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selamat argentina menjadi juara dunia world cup qatar teristimewa lionel messi yang menjadi pemain terbaik dunia world cup qatar selamat qatar tlh menjadi tuan rumah hebat sekaligus memperkenalkan islam damai harmoni dan toleran seluruh dunia</t>
  </si>
  <si>
    <t>['selamat', 'argentina', 'menjadi', 'juara', 'dunia', 'world', 'cup', 'qatar', 'teristimewa', 'lionel', 'messi', 'menjadi', 'pemain', 'terbaik', 'dunia', 'world', 'cup', 'qatar', 'selamat', 'qatar', 'tlh', 'menjadi', 'tuan', 'rumah', 'hebat', 'sekaligus', 'memperkenalkan', 'islam', 'damai', 'harmoni', 'toleran', 'seluruh', 'dunia']</t>
  </si>
  <si>
    <t>Masih belum bisa move on dari momen pecahnya nonton ARGENTINA JUARA semalam! üá¶üá∑üèÜ  Energinya super banget nggak bohong. INI RASANYA SUPER!!!  #SUPERLIVE #SUPERSOCCER #INIRASANYASUPER #SOCCERPHORIA  https://t.co/nbleF757MA</t>
  </si>
  <si>
    <t>masih belum bisa move dari momen pecahnya nonton argentina juara semalam energinya super banget nggak bohong ini rasanya super</t>
  </si>
  <si>
    <t>['move', 'momen', 'pecahnya', 'nonton', 'argentina', 'juara', 'semalam', 'energinya', 'super', 'banget', 'bohong', 'rasanya', 'super']</t>
  </si>
  <si>
    <t>@yins123 @xzrcz @idextratime Oh yaudah pemain Argentina stay liga lokal mereka aja, bisa juara gak?</t>
  </si>
  <si>
    <t>yaudah pemain argentina stay liga lokal mereka aja bisa juara gak</t>
  </si>
  <si>
    <t>['yaudah', 'pemain', 'argentina', 'stay', 'liga', 'lokal', 'juara']</t>
  </si>
  <si>
    <t>@rahmanslenco @argentina_juara @RefublikAteis Kan dia bego ngab</t>
  </si>
  <si>
    <t>juara kan dia bego ngab</t>
  </si>
  <si>
    <t>['juara', 'kan', 'bego', 'ngab']</t>
  </si>
  <si>
    <t>Prancis gagal mempertahankan gelar juara Piala Dunia. Yang lebih menyakitkan, Les Bleus sempat mendapat harapan sebelum dihempaskan Argentina. #juaraboladunia    https://t.co/VfOvcqOr3u</t>
  </si>
  <si>
    <t>Sesakitnya fans prancis semalam kalah di piala dunia lebih sakit lagi fans Ronaldo lihat Argentina juara‚Ä¶ üòê</t>
  </si>
  <si>
    <t>sesakitnya fans prancis semalam kalah piala dunia lebih sakit lagi fans ronaldo lihat argentina juara</t>
  </si>
  <si>
    <t>['sesakitnya', 'fans', 'prancis', 'semalam', 'kalah', 'piala', 'dunia', 'lebih', 'sakit', 'fans', 'ronaldo', 'lihat', 'argentina', 'juara']</t>
  </si>
  <si>
    <t>Argentina Juara: Belajar Politik Kompetensi Dari Piala Dunia 2022  https://t.co/9YgUi9Zlqk</t>
  </si>
  <si>
    <t>@idextratime Ga mungkin terlalu banyak nampilin Messi secara PSG klub dari Prancis yg kalah.</t>
  </si>
  <si>
    <t>mungkin terlalu banyak nampilin messi secara psg klub dari prancis kalah</t>
  </si>
  <si>
    <t>['mungkin', 'terlalu', 'banyak', 'nampilin', 'messi', 'psg', 'klub', 'prancis', 'kalah']</t>
  </si>
  <si>
    <t>@GOAL_ID Selain Argentina jga bnyk yg gembira liat Messi juara pildun ü•≤</t>
  </si>
  <si>
    <t>selain argentina jga bnyk gembira liat messi juara pildun</t>
  </si>
  <si>
    <t>['argentina', 'jga', 'bnyk', 'gembira', 'lihat', 'messi', 'juara', 'piala dunia']</t>
  </si>
  <si>
    <t>argentina berarti hrs ciptain lagi pemain kayak Mario Kempes, Diego Maradona, sama Leo Messi kalo pengen  juara dunia lagi</t>
  </si>
  <si>
    <t>argentina berarti hrs ciptain lagi pemain kayak mario kempes diego maradona sama leo messi kalo pengen juara dunia lagi</t>
  </si>
  <si>
    <t>['argentina', 'berarti', 'hrs', 'ciptain', 'pemain', 'seperti', 'mario', 'kempes', 'diego', 'maradona', 'sama', 'leo', 'messi', 'pengen', 'juara', 'dunia']</t>
  </si>
  <si>
    <t>Ingat,  walo Argentina juara Piala Dunia, mereka belum lernah ngalahin Indonesia  #bapackbapack</t>
  </si>
  <si>
    <t>ingat walo argentina juara piala dunia mereka belum lernah ngalahin indonesia</t>
  </si>
  <si>
    <t>['ingat', 'walo', 'argentina', 'juara', 'piala', 'dunia', 'lernah', 'ngalahin', 'indonesia']</t>
  </si>
  <si>
    <t>Dramatis Argentina Juara Piala Dunia 2022  https://t.co/QHd50cUxT0</t>
  </si>
  <si>
    <t>Perdebatan GOAT Antara Messi dan Ronaldo Berakhir Pasca Argentina Juara Piala Dunia 2022 #GOATìÉµ #MessiìÉµ #PialaDunia2022    https://t.co/EPiF0RLAdS</t>
  </si>
  <si>
    <t>perdebatan goat antara messi dan ronaldo berakhir pasca argentina juara piala dunia</t>
  </si>
  <si>
    <t>['perdebatan', 'goat', 'messi', 'ronaldo', 'berakhir', 'pasca', 'argentina', 'juara', 'piala', 'dunia']</t>
  </si>
  <si>
    <t>Argentina juara piala dunia sebagai negara Amerika Latin dan Maroko semi finalis sebagai negara Afrika-Arab membuat sebuah pernyataan kepada dunia bahwa negara-negara Amerika Latin, Asia dan Afrika tidak bisa dianggap remeh bukan hanya soal sepak bola, tapi semuanya</t>
  </si>
  <si>
    <t>argentina juara piala dunia sebagai negara amerika latin dan maroko semi finalis sebagai negara afrika arab membuat sebuah pernyataan kepada dunia bahwa negara negara amerika latin asia dan afrika tidak bisa dianggap remeh bukan hanya soal sepak bola tapi semuanya</t>
  </si>
  <si>
    <t>['argentina', 'juara', 'piala', 'dunia', 'negara', 'amerika', 'latin', 'maroko', 'semi', 'finalis', 'negara', 'afrika', 'arab', 'membuat', 'sebuah', 'pernyataan', 'dunia', 'negara', 'negara', 'amerika', 'latin', 'asia', 'afrika', 'dianggap', 'remeh', 'bukan', 'soal', 'sepak', 'bola', 'semuanya']</t>
  </si>
  <si>
    <t>@abu_waras di jama Jokowilah Argentina bisa meraih juara Piala dunia. presiden sebelumnya ngapain aja ya?</t>
  </si>
  <si>
    <t>waras jama jokowilah argentina bisa meraih juara piala dunia presiden sebelumnya ngapain aja</t>
  </si>
  <si>
    <t>['waras', 'jama', 'jokowilah', 'argentina', 'meraih', 'juara', 'piala', 'dunia', 'presiden', 'sebelumnya', 'ngapain']</t>
  </si>
  <si>
    <t>Alhamdulilah, Argentina juara di era Pak Jokowi.</t>
  </si>
  <si>
    <t>alhamdulilah argentina juara era pak jokowi</t>
  </si>
  <si>
    <t>['alhamdulilah', 'argentina', 'juara', 'era', 'pak', 'jokowi']</t>
  </si>
  <si>
    <t>@lps_idic Udah prediksi dari awal Argentina sang juara</t>
  </si>
  <si>
    <t>idic udah prediksi dari awal argentina sang juara</t>
  </si>
  <si>
    <t>['idic', 'udah', 'prediksi', 'awal', 'argentina', 'sang', 'juara']</t>
  </si>
  <si>
    <t>Argentina merayakan gelar juara Piala Dunia 2022 saat negaranya didera krisis ekonomi parah.  https://t.co/ByF9SuF6nJ</t>
  </si>
  <si>
    <t>argentina merayakan gelar juara piala dunia saat negaranya didera krisis ekonomi parah</t>
  </si>
  <si>
    <t>['argentina', 'merayakan', 'gelar', 'juara', 'piala', 'dunia', 'negaranya', 'didera', 'krisis', 'ekonomi', 'parah']</t>
  </si>
  <si>
    <t>@jek___ Fans argentina momen merayakan juara dengan membuka baju</t>
  </si>
  <si>
    <t>fans argentina momen merayakan juara dengan membuka baju</t>
  </si>
  <si>
    <t>['fans', 'argentina', 'momen', 'merayakan', 'juara', 'membuka', 'baju']</t>
  </si>
  <si>
    <t>Ironi Argentina, Juara Dunia di Tengah Krisis Ekonominya yang Parah  https://t.co/D6WdL2EFXb</t>
  </si>
  <si>
    <t>ironi argentina juara dunia tengah krisis ekonominya yang parah</t>
  </si>
  <si>
    <t>['ironi', 'argentina', 'juara', 'dunia', 'tengah', 'krisis', 'ekonominya', 'parah']</t>
  </si>
  <si>
    <t>4 Kontroversi Pesta Juara Argentina, Hinaan Pemain hingga Suporter Tampil Toples  https://t.co/8UyIkbNZbK</t>
  </si>
  <si>
    <t>kontroversi pesta juara argentina hinaan pemain hingga suporter tampil toples</t>
  </si>
  <si>
    <t>['kontroversi', 'pesta', 'juara', 'argentina', 'hinaan', 'pemain', 'hingga', 'suporter', 'tampil', 'toples']</t>
  </si>
  <si>
    <t>@argentina_juara @RefublikAteis Lha skrg juga banyak yg bagus,</t>
  </si>
  <si>
    <t>juara lha skrg juga banyak bagus</t>
  </si>
  <si>
    <t>['juara', 'lha', 'skrg', 'banyak', 'bagus']</t>
  </si>
  <si>
    <t>Sampai pada event yg ramai bulan ini yaitu piala dunia. Selamat kepada messi dan kawan2 yg mewakili argentina sebagai juara. Proud of them ü•≥. Era sepakbola saat ini lah era terbaik sepanjang masa menurut gw. Terutama karna persaingan messi ronaldo yg tiada habisnya.</t>
  </si>
  <si>
    <t>sampai pada event ramai bulan ini yaitu piala dunia selamat kepada messi dan kawan mewakili argentina sebagai juara proud them era sepakbola saat ini lah era terbaik sepanjang masa menurut terutama karna persaingan messi ronaldo tiada habisnya</t>
  </si>
  <si>
    <t>['event', 'ramai', 'bulan', 'piala', 'dunia', 'selamat', 'messi', 'kawan', 'mewakili', 'argentina', 'juara', 'proud', 'them', 'era', 'sepakbola', 'lah', 'era', 'terbaik', 'sepanjang', 'masa', 'terutama', 'karna', 'persaingan', 'messi', 'ronaldo', 'tiada', 'habisnya']</t>
  </si>
  <si>
    <t>Selamat pagi untuk para pendukung Tim Nasional Prancis. Tetap semangat dan ga perlu menangis.  Selamat pagi pendukung Argentina, kamu layak juara dan bahagia.  https://t.co/A3NmR805wM</t>
  </si>
  <si>
    <t>selamat pagi untuk para pendukung tim nasional prancis tetap semangat dan perlu menangis selamat pagi pendukung argentina kamu layak juara dan bahagia</t>
  </si>
  <si>
    <t>['selamat', 'pagi', 'pendukung', 'tim', 'nasional', 'prancis', 'tetap', 'semangat', 'perlu', 'menangis', 'selamat', 'pagi', 'pendukung', 'argentina', 'kamu', 'layak', 'juara', 'bahagia']</t>
  </si>
  <si>
    <t>@adriansyahyasin Pansos bgt padahal korelasi dia sama argentina menang gada samsek, editannya bapuk pula. Gimana kalo indo beneran juara di liga dunia wkwkwkwk</t>
  </si>
  <si>
    <t>pansos bgt padahal korelasi dia sama argentina menang gada samsek editannya bapuk pula gimana kalo indo beneran juara liga dunia wkwkwkwk</t>
  </si>
  <si>
    <t>['panjat sosial', 'banget', 'padahal', 'korelasi', 'sama', 'argentina', 'menang', 'gada', 'samsek', 'editannya', 'bapuk', 'gimana', 'indo', 'beneran', 'juara', 'liga', 'dunia', 'wkwkwkwk']</t>
  </si>
  <si>
    <t>@erickthohir @KMbappe Pak kapan bbm turun...masak argentina sdh juara tp bbm blom turun" juga</t>
  </si>
  <si>
    <t>pak kapan bbm turun masak argentina sdh juara bbm blom turun juga</t>
  </si>
  <si>
    <t>['pak', 'kapan', 'bbm', 'turun', 'masak', 'argentina', 'juara', 'bbm', 'blom', 'turun']</t>
  </si>
  <si>
    <t>Paulo Dybala Bawa 'Oleh-oleh' Jaring Gawang Usai Argentina Raih Juara Piala Dunia 2022  https://t.co/wnwWkOVEdM</t>
  </si>
  <si>
    <t>paulo dybala bawa oleh oleh jaring gawang usai argentina raih juara piala dunia</t>
  </si>
  <si>
    <t>['paulo', 'dybala', 'bawa', 'jaring', 'gawang', 'usai', 'argentina', 'raih', 'juara', 'piala', 'dunia']</t>
  </si>
  <si>
    <t>saking ga nyangkanya gua liat Argentina juara (karena gua masih ngerasa mimpi) gua sampe ngebuat g drive buat nyimpen foto foto squad Argentina anjenkkkk üò≠üò≠üò≠  https://t.co/q3q4eIdlJl</t>
  </si>
  <si>
    <t>saking nyangkanya gua liat argentina juara karena gua masih ngerasa mimpi gua sampe ngebuat drive buat nyimpen foto foto squad argentina anjenkkkk</t>
  </si>
  <si>
    <t>['saking', 'nyangkanya', 'gua', 'lihat', 'argentina', 'juara', 'gua', 'ngerasa', 'mimpi', 'gua', 'sampai', 'ngebuat', 'drive', 'buat', 'nyimpen', 'foto', 'foto', 'squad', 'argentina', 'anjenkkkk']</t>
  </si>
  <si>
    <t>Lione Messik cs membawa Timnas Argentina meraih juara piala dunia ketiga, setelah penantian panjangnya tahun 1978 dan 1986.   https://t.co/oaem3ZuaPO</t>
  </si>
  <si>
    <t>lione messik membawa timnas argentina meraih juara piala dunia ketiga setelah penantian panjangnya tahun dan</t>
  </si>
  <si>
    <t>['lione', 'messik', 'membawa', 'timnas', 'argentina', 'meraih', 'juara', 'piala', 'dunia', 'ketiga', 'penantian', 'panjangnya', 'tahun']</t>
  </si>
  <si>
    <t>@SiaranBolaLive Orang indonesia aja yg cm fans layar kaca  dan ga ada hubungan sama skali  banyak yg songong pas argentina juara,, apalagi aguero yg sdh jelas hubungannya,, wajar wajar aja sih..</t>
  </si>
  <si>
    <t>orang indonesia aja fans layar kaca dan ada hubungan sama skali banyak songong pas argentina juara apalagi aguero sdh jelas hubungannya wajar wajar aja sih</t>
  </si>
  <si>
    <t>['orang', 'indonesia', 'fans', 'layar', 'kaca', 'hubungan', 'sama', 'skali', 'banyak', 'songong', 'pas', 'argentina', 'juara', 'aguero', 'jelas', 'hubungannya', 'wajar', 'wajar']</t>
  </si>
  <si>
    <t>Pada sibuk argentina juara, pada ngerasa gag sih...bahwa final tadi malam...bisa jadi piala dunia terakhir....ini cuma feeling saya aja...jadi jangan dibikin jadi gaduh ya</t>
  </si>
  <si>
    <t>pada sibuk argentina juara pada ngerasa gag sih bahwa final tadi malam bisa jadi piala dunia terakhir ini cuma feeling saya aja jadi jangan dibikin jadi gaduh</t>
  </si>
  <si>
    <t>['sibuk', 'argentina', 'juara', 'ngerasa', 'gag', 'final', 'tadi', 'malam', 'jadi', 'piala', 'dunia', 'terakhir', 'cuma', 'feeling', 'jadi', 'jangan', 'dibikin', 'jadi', 'gaduh']</t>
  </si>
  <si>
    <t>Emang bener Rakyat argentina sebenarnya gak mau mereka Juara?</t>
  </si>
  <si>
    <t>emang bener rakyat argentina sebenarnya gak mau mereka juara</t>
  </si>
  <si>
    <t>['emang', 'benar', 'rakyat', 'argentina', 'sebenarnya', 'mau', 'juara']</t>
  </si>
  <si>
    <t>@Bbuku_Official @CoachJustinL Mau bacot sampah apapun dari lu, ARGENTINA tetap juara Piala Dunia 2022.</t>
  </si>
  <si>
    <t>official mau bacot sampah apapun dari argentina tetap juara piala dunia</t>
  </si>
  <si>
    <t>['official', 'mau', 'bacot', 'sampah', 'apapun', 'argentina', 'tetap', 'juara', 'piala', 'dunia']</t>
  </si>
  <si>
    <t>Lah iya baru sadar, yg menang pildun argentina, Dujun seneng banget yak Messi aka his brother in law juara ü§£ Ïú§ÎëêÏ§ÄÏùò Îß§Ìòï</t>
  </si>
  <si>
    <t>lah iya baru sadar menang pildun argentina dujun seneng banget yak messi aka his brother law juara</t>
  </si>
  <si>
    <t>['lah', 'iya', 'baru', 'sadar', 'menang', 'piala dunia', 'argentina', 'dujun', 'seneng', 'banget', 'yak', 'messi', 'aka', 'his', 'brother', 'law', 'juara']</t>
  </si>
  <si>
    <t>Argentina juara piala dunia 2022 tgl. 18 12 2022 minggu di Qatar. Francis Croatia Maroko</t>
  </si>
  <si>
    <t>argentina juara piala dunia tgl minggu qatar francis croatia maroko</t>
  </si>
  <si>
    <t>['argentina', 'juara', 'piala', 'dunia', 'tgl', 'minggu', 'qatar', 'francis', 'croatia', 'maroko']</t>
  </si>
  <si>
    <t>Argentina Juara Piala Dunia 2022, Status Lionel Messi: Greatest of All Time!  https://t.co/f1WH2AS43Y  https://t.co/at0ScaSfBA</t>
  </si>
  <si>
    <t>Bawa Argentina Juara Piala Dunia 2022, Begini Pesan Ronaldo untuk Lionel Messi  https://t.co/MS8JyboHlF</t>
  </si>
  <si>
    <t>bawa argentina juara piala dunia begini pesan ronaldo untuk lionel messi</t>
  </si>
  <si>
    <t>['bawa', 'argentina', 'juara', 'piala', 'dunia', 'begini', 'pesan', 'ronaldo', 'lionel', 'messi']</t>
  </si>
  <si>
    <t>Yang selalu menjadi perdebatan apakah ia dapat membawa Argentina menjadi Juara Piala Dunia ?  Qatar pun menjadi saksi seorang GOAT sejati mampu membawa Piala Dunia ke negaranya.   #GanjaranApp #GanjarKita #SepakBola Argentina Messi #FIFAWorldCup Prancis Greatest Of All Time</t>
  </si>
  <si>
    <t>yang selalu menjadi perdebatan apakah dapat membawa argentina menjadi juara piala dunia qatar pun menjadi saksi seorang goat sejati mampu membawa piala dunia negaranya argentina messi prancis greatest all time</t>
  </si>
  <si>
    <t>['selalu', 'menjadi', 'perdebatan', 'membawa', 'argentina', 'menjadi', 'juara', 'piala', 'dunia', 'qatar', 'menjadi', 'saksi', 'seorang', 'goat', 'sejati', 'mampu', 'membawa', 'piala', 'dunia', 'negaranya', 'argentina', 'messi', 'prancis', 'greatest', 'all', 'time']</t>
  </si>
  <si>
    <t>@UpdateBolabola Argentina sudah juara Pildun, skrg saatnya Indonesia dong juara AFF.</t>
  </si>
  <si>
    <t>argentina sudah juara pildun skrg saatnya indonesia dong juara aff</t>
  </si>
  <si>
    <t>['argentina', 'juara', 'piala dunia', 'skrg', 'saatnya', 'indonesia', 'dong', 'juara', 'aff']</t>
  </si>
  <si>
    <t>Juara Piala Dunia 2022, Argentina Punya 5 Destinasi Wisata Menakjubkan  https://t.co/eIuBwi7SBx</t>
  </si>
  <si>
    <t>juara piala dunia argentina punya destinasi wisata menakjubkan</t>
  </si>
  <si>
    <t>['juara', 'piala', 'dunia', 'argentina', 'punya', 'destinasi', 'wisata', 'menakjubkan']</t>
  </si>
  <si>
    <t>Udah 3x prediksi sama jagoin tim buat juara bener semua PD 2018 : France ‚úÖ Euro 2020 : Italy ‚úÖ PD 2022 : Argentina ‚úÖ  Apa saya berbakat jadi bandar judi?? üòÇ</t>
  </si>
  <si>
    <t>udah prediksi sama jagoin tim buat juara bener semua france euro italy argentina apa saya berbakat jadi bandar judi</t>
  </si>
  <si>
    <t>['udah', 'prediksi', 'sama', 'jagoin', 'tim', 'buat', 'juara', 'benar', 'semua', 'france', 'euro', 'italy', 'argentina', 'apa', 'berbakat', 'jadi', 'bandar', 'judi']</t>
  </si>
  <si>
    <t>@jek___ Juara 3 Perancis yang juara 2 Arab  karena saudi bisa ngalahin Argentina subhanallah</t>
  </si>
  <si>
    <t>juara perancis yang juara arab karena saudi bisa ngalahin argentina subhanallah</t>
  </si>
  <si>
    <t>['juara', 'perancis', 'juara', 'arab', 'saudi', 'ngalahin', 'argentina', 'subhanallah']</t>
  </si>
  <si>
    <t>Bukan Indonesia yang bisa kalahkan juara Piala Dunia 2022 (Argentina)  Cuma KADRUN yang bisa.!  #FAKTA  .</t>
  </si>
  <si>
    <t>bukan indonesia yang bisa kalahkan juara piala dunia argentina cuma kadrun yang bisa</t>
  </si>
  <si>
    <t>['bukan', 'indonesia', 'kalahkan', 'juara', 'piala', 'dunia', 'argentina', 'cuma', 'kadrun']</t>
  </si>
  <si>
    <t>Argentina Juara Piala Dunia 2022 Qatar, Lionel Messi Rayakan Kemenangan Ala Maradona  https://t.co/TxfvnbCJuN</t>
  </si>
  <si>
    <t>argentina juara piala dunia qatar lionel messi rayakan kemenangan ala maradona</t>
  </si>
  <si>
    <t>['argentina', 'juara', 'piala', 'dunia', 'qatar', 'lionel', 'messi', 'rayakan', 'kemenangan', 'ala', 'maradona']</t>
  </si>
  <si>
    <t>@idextratime Juara liga Argentina..dia belum pernah raih.</t>
  </si>
  <si>
    <t>juara liga argentina dia belum pernah raih</t>
  </si>
  <si>
    <t>['juara', 'liga', 'argentina', 'pernah', 'raih']</t>
  </si>
  <si>
    <t>Argentina Banjir Rekor Usai Menjadi Juara Piala Dunia 2022, Lionel "GOAT" Messi Luar Biasa!   https://t.co/hUlaon8GwZ</t>
  </si>
  <si>
    <t>argentina banjir rekor usai menjadi juara piala dunia lionel goat messi luar biasa</t>
  </si>
  <si>
    <t>['argentina', 'banjir', 'rekor', 'usai', 'menjadi', 'juara', 'piala', 'dunia', 'lionel', 'goat', 'messi', 'luar', 'biasa']</t>
  </si>
  <si>
    <t>@ayaayaawaaee Argentina juara Neng Ayaa üôàüòÄüòÄüòÄ</t>
  </si>
  <si>
    <t>argentina juara neng ayaa</t>
  </si>
  <si>
    <t>['argentina', 'juara', 'neng', 'ayaa']</t>
  </si>
  <si>
    <t>@FIFAWorldCup Saya beruntung telah menyaksikan kalian Berdua @Cristiano @messi  Namun Setelah Argentina Juara Dunia Qatar 2022 Persaingan Ini Sudah Selesai Perdebatan Diantara Mereka Mana Yang Terbaik Kini Sudah Terjawab dengan Angkat Piala Dunia Sepakbol</t>
  </si>
  <si>
    <t>saya beruntung telah menyaksikan kalian berdua namun setelah argentina juara dunia qatar persaingan ini sudah selesai perdebatan diantara mereka mana yang terbaik kini sudah terjawab dengan angkat piala dunia sepakbol</t>
  </si>
  <si>
    <t>['beruntung', 'menyaksikan', 'kalian', 'berdua', 'argentina', 'juara', 'dunia', 'qatar', 'persaingan', 'selesai', 'perdebatan', 'diantara', 'mana', 'terbaik', 'kini', 'terjawab', 'angkat', 'piala', 'dunia', 'sepakbol']</t>
  </si>
  <si>
    <t>@RizkiW23 @FaktaSepakbola Fans Madrid pada muntah berak ngeliat Argentina juara üòÅüòÅü§≠ü§≠ü§≠ü§Æü§Æü§Æ</t>
  </si>
  <si>
    <t>fans madrid pada muntah berak ngeliat argentina juara</t>
  </si>
  <si>
    <t>['fans', 'madrid', 'muntah', 'berak', 'ngeliat', 'argentina', 'juara']</t>
  </si>
  <si>
    <t>Argentina Juara Piala Dunia 2022  https://t.co/KL1gYAH7DL</t>
  </si>
  <si>
    <t>@GOAL_ID Apalagi Argentina sdh juara,, üòé</t>
  </si>
  <si>
    <t>apalagi argentina sdh juara</t>
  </si>
  <si>
    <t>gw rasa Argentina di doain orang arab makanya jadi juara</t>
  </si>
  <si>
    <t>rasa argentina doain orang arab makanya jadi juara</t>
  </si>
  <si>
    <t>['rasa', 'argentina', 'doain', 'orang', 'arab', 'makanya', 'jadi', 'juara']</t>
  </si>
  <si>
    <t>Argentina pantes juara, tapi gol pertamanya ga pantes</t>
  </si>
  <si>
    <t>argentina pantes juara tapi gol pertamanya pantes</t>
  </si>
  <si>
    <t>['argentina', 'pantes', 'juara', 'gol', 'pertamanya', 'pantes']</t>
  </si>
  <si>
    <t>Astagaaa...yg juara dunia Argentina, kenapa GOATnya Indonesia ikut trending? ü§£ü§£ü§£  https://t.co/kroJ97dAcb</t>
  </si>
  <si>
    <t>astagaaa juara dunia argentina kenapa goatnya indonesia ikut trending</t>
  </si>
  <si>
    <t>['astagaaa', 'juara', 'dunia', 'argentina', 'goatnya', 'indonesia', 'ikut', 'trending']</t>
  </si>
  <si>
    <t>@mas_triadhianto Argentina emang udh saatnya juara</t>
  </si>
  <si>
    <t>triadhianto argentina emang udh saatnya juara</t>
  </si>
  <si>
    <t>['triadhianto', 'argentina', 'emang', 'sudah', 'saatnya', 'juara']</t>
  </si>
  <si>
    <t>@SiaranBolaLive Fakta: Saat era dia mimpin PSSI, Argentina bersama Messi bisa juara dunia.</t>
  </si>
  <si>
    <t>fakta saat era dia mimpin pssi argentina bersama messi bisa juara dunia</t>
  </si>
  <si>
    <t>['fakta', 'era', 'mimpin', 'pssi', 'argentina', 'bersama', 'messi', 'juara', 'dunia']</t>
  </si>
  <si>
    <t>Argentina Juara: Belajar Politik Kompetensi Dari Piala Dunia¬†2022  https://t.co/np9t22Gept</t>
  </si>
  <si>
    <t>Detik detik juara piala dunia argentina  https://t.co/rn6ixDB7zy  #Febspot #Videos #Share #Follow #RT</t>
  </si>
  <si>
    <t>detik detik juara piala dunia argentina</t>
  </si>
  <si>
    <t>['detik', 'detik', 'juara', 'piala', 'dunia', 'argentina']</t>
  </si>
  <si>
    <t>@Dennysiregar7 Argentina berhasil menjadi juara Piala Dunia 2022 setelah mengalahkan Perancis melalui babak adu penalti.  Duel Argentina vs Perancis pada final Piala Dunia 2022 berlangsung di Stadion Lusail, Qatar, Minggu (18/12/2022) malam WIB. KLO kadru</t>
  </si>
  <si>
    <t>argentina berhasil menjadi juara piala dunia setelah mengalahkan perancis melalui babak adu penalti duel argentina perancis pada final piala dunia berlangsung stadion lusail qatar minggu malam wib klo kadru</t>
  </si>
  <si>
    <t>['argentina', 'berhasil', 'menjadi', 'juara', 'piala', 'dunia', 'mengalahkan', 'perancis', 'melalui', 'babak', 'adu', 'penalti', 'duel', 'argentina', 'perancis', 'final', 'piala', 'dunia', 'berlangsung', 'stadion', 'lusail', 'qatar', 'minggu', 'malam', 'wib', 'kadru']</t>
  </si>
  <si>
    <t>VIDEO: Waduh! Drake Kehilangan Uang Taruhan Rp15 Miliar Meski Jagokan Argentina Juara Piala Dunia  https://t.co/LP7lwQCEBh</t>
  </si>
  <si>
    <t>Foto Selebrasi Timnas Argentina Juara Piala Dunia 2022, Lionel Messi MoTM! . #EMTEKWORLDCUP2022 #BOLANETWORLDCUP2022  #PialaDunia #PialaDunia2022  https://t.co/U2AhMBL99B</t>
  </si>
  <si>
    <t>foto selebrasi timnas argentina juara piala dunia lionel messi motm</t>
  </si>
  <si>
    <t>['foto', 'selebrasi', 'timnas', 'argentina', 'juara', 'piala', 'dunia', 'lionel', 'messi', 'motm']</t>
  </si>
  <si>
    <t>Argentina bisa juara gara2 full support top management maszzeh awkowkwowko  https://t.co/nkJCs0T6VH</t>
  </si>
  <si>
    <t>argentina bisa juara gara full support top management maszzeh awkowkwowko</t>
  </si>
  <si>
    <t>['argentina', 'juara', 'gara', 'full', 'support', 'top', 'management', 'maszzeh', 'awkowkwowko']</t>
  </si>
  <si>
    <t>Gelaran di #Qatar2022 telah paripurna. ü§ù  Argentina juara, Kova dan Kroasia raih posisi ketiga. üîùüèÜ  Harapan kalian Blues pasca #FIFAWorldCup2022?   #CFCIndo  https://t.co/OV0fZ12ESO</t>
  </si>
  <si>
    <t>gelaran telah paripurna argentina juara kova dan kroasia raih posisi ketiga harapan kalian blues pasca</t>
  </si>
  <si>
    <t>['gelaran', 'paripurna', 'argentina', 'juara', 'kova', 'kroasia', 'raih', 'posisi', 'ketiga', 'harapan', 'kalian', 'blues', 'pasca']</t>
  </si>
  <si>
    <t>Dari Argentina kita belajar bahwa mereka yang juara bukanlah mereka yang tidak pernah kalah. Mereka adalah yang mampu merespon kekalahan dengan baik.  https://t.co/up8HeVC9IL</t>
  </si>
  <si>
    <t>dari argentina kita belajar bahwa mereka yang juara bukanlah mereka yang tidak pernah kalah mereka adalah yang mampu merespon kekalahan dengan baik</t>
  </si>
  <si>
    <t>['argentina', 'belajar', 'juara', 'bukanlah', 'pernah', 'kalah', 'mampu', 'merespon', 'kekalahan', 'baik']</t>
  </si>
  <si>
    <t>@FaktaSepakbola Brasil juara Pildun 2002, setelah itu 4 episode Pildun tim2 dari Eropa yg memenangi kejuaraan tsb. Episode #PialaDunia2022  udah saatnya trophy Pildun terbang kembali ke tim Amerika Latin, Messi &amp;amp; Argentina nya.</t>
  </si>
  <si>
    <t>brasil juara pildun setelah itu episode pildun tim dari eropa memenangi kejuaraan tsb episode udah saatnya trophy pildun terbang kembali tim amerika latin messi argentina nya</t>
  </si>
  <si>
    <t>['brasil', 'juara', 'piala dunia', 'episode', 'piala dunia', 'tim', 'eropa', 'memenangi', 'kejuaraan', 'tsb', 'episode', 'udah', 'saatnya', 'trophy', 'piala dunia', 'terbang', 'tim', 'amerika', 'latin', 'messi', 'argentina']</t>
  </si>
  <si>
    <t>@idextratime Pacarnya Ronaldo kok ga ngerayain Argentina juara ya?padahal negaranya sendiri  https://t.co/4c07mMXa2n</t>
  </si>
  <si>
    <t>pacarnya ronaldo kok ngerayain argentina juara padahal negaranya sendiri</t>
  </si>
  <si>
    <t>['pacarnya', 'ronaldo', 'kok', 'ngerayain', 'argentina', 'juara', 'padahal', 'negaranya', 'sendiri']</t>
  </si>
  <si>
    <t>@malikprince28 @pw_gun @Danilone161 @Nir12345535 @LaksaTumpah @idextratime Argentina juara yg kesel üëáüèø bhuakakakakakakkkkü§£ü§£ü§£  https://t.co/V8RgYb3HCo</t>
  </si>
  <si>
    <t>gun argentina juara kesel bhuakakakakakakkkk</t>
  </si>
  <si>
    <t>['gun', 'argentina', 'juara', 'kesel', 'bhuakakakakakakkkk']</t>
  </si>
  <si>
    <t>@JohnSnowFor2019 @Fahmi_abd17 @HWalterjr @Fandom_ID Iya sih, Pablo Aimar "The Clown" Dan Ariel Ortega dulu sempat disebut The Next Maradona jg, cm layu sblm berkembang penuh.. Scaloni ex Medioker Midfielder, bisa bawa Argentina Juara Copa America Dan Worl</t>
  </si>
  <si>
    <t>abd iya sih pablo aimar the clown dan ariel ortega dulu sempat disebut the next maradona layu sblm berkembang penuh scaloni medioker midfielder bisa bawa argentina juara copa america dan worl</t>
  </si>
  <si>
    <t>['abd', 'iya', 'pablo', 'aimar', 'the', 'clown', 'ariel', 'ortega', 'dulu', 'sempat', 'disebut', 'the', 'next', 'maradona', 'layu', 'sebelum', 'berkembang', 'penuh', 'scaloni', 'medioker', 'midfielder', 'bawa', 'argentina', 'juara', 'copa', 'america', 'worl']</t>
  </si>
  <si>
    <t>Congrats Argentina, Messi komplit sudah, Sudah ketebak PUBG juga Argentina juara wkwkwk</t>
  </si>
  <si>
    <t>congrats argentina messi komplit sudah sudah ketebak pubg juga argentina juara wkwkwk</t>
  </si>
  <si>
    <t>['congrats', 'argentina', 'messi', 'komplit', 'ketebak', 'pubg', 'argentina', 'juara', 'wkwkwk']</t>
  </si>
  <si>
    <t>argentina juara yang ngangkat piala iwan bule</t>
  </si>
  <si>
    <t>['argentina', 'juara', 'ngangkat', 'piala', 'iwan', 'bule']</t>
  </si>
  <si>
    <t>VIDEO: Waduh! Drake Kehilangan Uang Taruhan Rp15 Miliar Meski Jagokan Argentina Juara Piala Dunia  https://t.co/hnZ2eR1a06</t>
  </si>
  <si>
    <t>VIDEO: Argentina Juara Piala Dunia 2022, Disambut Gempita Fans!  https://t.co/oyiSdOVC7z</t>
  </si>
  <si>
    <t>Argentina dan messi udah juara piala dunia Skrg saatnya anggur saya menjadi santapan unggulan keluarga üçá  https://t.co/VZ0DZFUH8T</t>
  </si>
  <si>
    <t>argentina dan messi udah juara piala dunia skrg saatnya anggur saya menjadi santapan unggulan keluarga</t>
  </si>
  <si>
    <t>['argentina', 'messi', 'udah', 'juara', 'piala', 'dunia', 'skrg', 'saatnya', 'anggur', 'menjadi', 'santapan', 'unggulan', 'keluarga']</t>
  </si>
  <si>
    <t>@idextratime Pacarnya Ronaldo kok ga ngerayain Argentina juara ya?padahal negaranya sendiri</t>
  </si>
  <si>
    <t>@barcastuff_idn Pacarnya Ronaldo kok ga ngerayain Argentina juara ya?padahal negaranya sendiri</t>
  </si>
  <si>
    <t>idn pacarnya ronaldo kok ngerayain argentina juara padahal negaranya sendiri</t>
  </si>
  <si>
    <t>['idn', 'pacarnya', 'ronaldo', 'kok', 'ngerayain', 'argentina', 'juara', 'padahal', 'negaranya', 'sendiri']</t>
  </si>
  <si>
    <t>Btw ko bisa Flu kenapa ya üòÑTimnas Argentina Disebut Sudah Diatur Juara Piala Dunia 2022 Gara-Gara 5 Pemain Prancis Kena Flu Misterius  https://t.co/SXvDKtRqvO lewat @okezonenews</t>
  </si>
  <si>
    <t>btw bisa flu kenapa timnas argentina disebut sudah diatur juara piala dunia gara gara pemain prancis kena flu misterius lewat</t>
  </si>
  <si>
    <t>['by the way', 'flu', 'timnas', 'argentina', 'disebut', 'diatur', 'juara', 'piala', 'dunia', 'gara', 'gara', 'pemain', 'prancis', 'kena', 'flu', 'misterius', 'lewat']</t>
  </si>
  <si>
    <t>@Tribalchief666 @idextratime siapa bilang? Wkwk gua taruhan argentina ama inggris jauh jauhan dan dapt 5 juta kemarin dapet 7 ribuü§£  katanya messi bakalan nangis? oh iya nangis karna juaraü§£ü§£ü§£ü§£ü§£ü§£</t>
  </si>
  <si>
    <t>siapa bilang wkwk gua taruhan argentina ama inggris jauh jauhan dan dapt juta kemarin dapet ribu katanya messi bakalan nangis iya nangis karna juara</t>
  </si>
  <si>
    <t>['siapa', 'gua', 'taruhan', 'argentina', 'ama', 'inggris', 'jauh', 'jauhan', 'dapt', 'juta', 'kemarin', 'dapat', 'ribu', 'katanya', 'messi', 'bakalan', 'nangis', 'iya', 'nangis', 'karna', 'juara']</t>
  </si>
  <si>
    <t>Juara piala dunia 2022 Argentina .  https://t.co/aHe2z0qm40</t>
  </si>
  <si>
    <t>juara piala dunia argentina</t>
  </si>
  <si>
    <t>['juara', 'piala', 'dunia', 'argentina']</t>
  </si>
  <si>
    <t>Berikut rentetan rekor Lionel Messi usai membawa Argentina juara Piala Dunia 2022 di Qatar.   https://t.co/AvlhXDfxT3</t>
  </si>
  <si>
    <t>berikut rentetan rekor lionel messi usai membawa argentina juara piala dunia qatar</t>
  </si>
  <si>
    <t>['berikut', 'rentetan', 'rekor', 'lionel', 'messi', 'usai', 'membawa', 'argentina', 'juara', 'piala', 'dunia', 'qatar']</t>
  </si>
  <si>
    <t>Lionel Messi mencatatkan ragam rekor usai membawa Argentina juara Piala Dunia 2022 di Qatar. Messi juga menyabet gelar pemain terbaik di ajang itu.  https://t.co/Kw8b5yTnlC</t>
  </si>
  <si>
    <t>lionel messi mencatatkan ragam rekor usai membawa argentina juara piala dunia qatar messi juga menyabet gelar pemain terbaik ajang itu</t>
  </si>
  <si>
    <t>['lionel', 'messi', 'mencatatkan', 'ragam', 'rekor', 'usai', 'membawa', 'argentina', 'juara', 'piala', 'dunia', 'qatar', 'messi', 'menyabet', 'gelar', 'pemain', 'terbaik', 'ajang']</t>
  </si>
  <si>
    <t>Selamat siang orang-orang yang lagi ngantuk karena semalem begadang nonton Argentina juara</t>
  </si>
  <si>
    <t>selamat siang orang orang yang lagi ngantuk karena semalem begadang nonton argentina juara</t>
  </si>
  <si>
    <t>['selamat', 'siang', 'orang', 'orang', 'ngantuk', 'semalam', 'begadang', 'nonton', 'argentina', 'juara']</t>
  </si>
  <si>
    <t>Yang juara Messi yang panas fans Ronaldo wkwkwkwk Portugal dah lama kesingkir weee tadi malam itu pertandingan Argentina Vs Prancis wkwkwkwk harusnya yang panas fans mbappe wkwkwk kocakk fans tolol alay üê∂üê∂üê∑</t>
  </si>
  <si>
    <t>yang juara messi yang panas fans ronaldo wkwkwkwk portugal dah lama kesingkir weee tadi malam itu pertandingan argentina prancis wkwkwkwk harusnya yang panas fans mbappe wkwkwk kocakk fans tolol alay</t>
  </si>
  <si>
    <t>['juara', 'messi', 'panas', 'fans', 'ronaldo', 'wkwkwkwk', 'portugal', 'dah', 'lama', 'kesingkir', 'weee', 'tadi', 'malam', 'pertandingan', 'argentina', 'prancis', 'wkwkwkwk', 'harusnya', 'panas', 'fans', 'mbappe', 'wkwkwk', 'kocakk', 'fans', 'tolol', 'alay']</t>
  </si>
  <si>
    <t>@adriansyahyasin Yang juara Argentina kenapa ada Federasi Australia juga sat....</t>
  </si>
  <si>
    <t>yang juara argentina kenapa ada federasi australia juga sat</t>
  </si>
  <si>
    <t>['juara', 'argentina', 'federasi', 'australia', 'sat']</t>
  </si>
  <si>
    <t>Sesuai Harapan! Pemain Persib Ini Sudah Prediksi dan Jagokan Argentina Juara Piala Dunia 2022 Qatar  https://t.co/45vo2s608r</t>
  </si>
  <si>
    <t>sesuai harapan pemain persib ini sudah prediksi dan jagokan argentina juara piala dunia qatar</t>
  </si>
  <si>
    <t>['sesuai', 'harapan', 'pemain', 'persib', 'prediksi', 'jagokan', 'argentina', 'juara', 'piala', 'dunia', 'qatar']</t>
  </si>
  <si>
    <t>VIDEO: Argentina Juara Piala Dunia 2022, Disambut Gempita Fans!  https://t.co/AdxFZHCuuC</t>
  </si>
  <si>
    <t>@novitaasapitri Dibejaan argentina juara adan</t>
  </si>
  <si>
    <t>dibejaan argentina juara adan</t>
  </si>
  <si>
    <t>['dibejaan', 'argentina', 'juara', 'adan']</t>
  </si>
  <si>
    <t>Sergio Aguero Angkat Trofi Juara Piala Dunia 2022 Setelah Argentina Taklukan Prancis  https://t.co/5kv6CgLTWl</t>
  </si>
  <si>
    <t>sergio aguero angkat trofi juara piala dunia setelah argentina taklukan prancis</t>
  </si>
  <si>
    <t>['sergio', 'aguero', 'angkat', 'trofi', 'juara', 'piala', 'dunia', 'argentina', 'taklukan', 'prancis']</t>
  </si>
  <si>
    <t>Dramatis! Lewat Adu Penalti, Argentina Juara Dunia usai Kalahkan Prancis   https://t.co/Ka8K4HDnZO</t>
  </si>
  <si>
    <t>dramatis lewat adu penalti argentina juara dunia usai kalahkan prancis</t>
  </si>
  <si>
    <t>['dramatis', 'lewat', 'adu', 'penalti', 'argentina', 'juara', 'dunia', 'usai', 'kalahkan', 'prancis']</t>
  </si>
  <si>
    <t>Kenapa banyak orang nggak mau liat Argentina juara pildun?  Bukan karena benci Messi, tapi karena kawan2 di sekitarnya yang arogan dan nggak respect.</t>
  </si>
  <si>
    <t>kenapa banyak orang nggak mau liat argentina juara pildun bukan karena benci messi tapi karena kawan sekitarnya yang arogan dan nggak respect</t>
  </si>
  <si>
    <t>['banyak', 'orang', 'mau', 'lihat', 'argentina', 'juara', 'piala dunia', 'bukan', 'benci', 'messi', 'kawan', 'sekitarnya', 'arogan', 'respect']</t>
  </si>
  <si>
    <t>Keknya emg tebakan aku selalu menang deh wkwk pdhl g ikut nntn tp iseng aja nebak sendiri yg juara pildun pst argentina wkwk eh pagini cek ternyata benar. Sll kejadian pas chelsea main iseng nebak2 jg menang wkw. Pdhl aku ga ngerti dn ga suka bola tp urusan nebak2 emg seru si.</t>
  </si>
  <si>
    <t>keknya emg tebakan aku selalu menang deh wkwk pdhl ikut nntn iseng aja nebak sendiri juara pildun pst argentina wkwk pagini cek ternyata benar sll kejadian pas chelsea main iseng nebak menang wkw pdhl aku ngerti suka bola urusan nebak emg seru</t>
  </si>
  <si>
    <t>['sepertinya', 'memang', 'tebakan', 'aku', 'selalu', 'menang', 'deh', 'pdhl', 'ikut', 'nonton', 'iseng', 'nebak', 'sendiri', 'juara', 'piala dunia', 'pst', 'argentina', 'pagini', 'cek', 'ternyata', 'benar', 'sll', 'kejadian', 'pas', 'chelsea', 'main', 'iseng', 'nebak', 'menang', 'wkw', 'pdhl', 'aku', 'ngerti', 'suka', 'bola', 'urusan', 'nebak', 'memang', 'seru']</t>
  </si>
  <si>
    <t>&lt;FreqDist with 32 samples and 39 outcomes&gt;</t>
  </si>
  <si>
    <t>@wordfangs @aktifeast_ Jaman Jokoqi Argentina jd juara...üòÄüòÄüëçüëç</t>
  </si>
  <si>
    <t>jaman jokoqi argentina juara</t>
  </si>
  <si>
    <t>['jaman', 'jokoqi', 'argentina', 'juara']</t>
  </si>
  <si>
    <t>Argentina juara Piala Dunia 2022 usai mengalahkan Prancis. Angel Di Maria sekali lagi menunjukkan tuahnya di laga final bersama Argentina. #juaraboladunia    https://t.co/2vhAw1Af4S</t>
  </si>
  <si>
    <t>argentina juara piala dunia usai mengalahkan prancis angel maria sekali lagi menunjukkan tuahnya laga final bersama argentina</t>
  </si>
  <si>
    <t>['argentina', 'juara', 'piala', 'dunia', 'usai', 'mengalahkan', 'prancis', 'angel', 'maria', 'sekali', 'menunjukkan', 'tuahnya', 'laga', 'final', 'bersama', 'argentina']</t>
  </si>
  <si>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</si>
  <si>
    <t>selamat untuk tim nasional sepakbola argentina sebagai juara piala dunia fifa qatar argentina perancis adu penalti treeletrik indonesia informasi lebih lanjut hubungi</t>
  </si>
  <si>
    <t>['selamat', 'tim', 'nasional', 'sepakbola', 'argentina', 'juara', 'piala', 'dunia', 'fifa', 'qatar', 'argentina', 'perancis', 'adu', 'penalti', 'treeletrik', 'indonesia', 'informasi', 'lebih', 'lanjut', 'hubungi']</t>
  </si>
  <si>
    <t>lucu bgt ngebacain komen bocil ronaldo gaterima argentina juara hahahay</t>
  </si>
  <si>
    <t>['lucu', 'banget', 'ngebacain', 'komen', 'bocil', 'ronaldo', 'gaterima', 'argentina', 'juara', 'hahahay']</t>
  </si>
  <si>
    <t>Trofi Juara Untuk Argentina Di Piala Dunia 2022, Sekaligus Mengakhiri Perdebatan Messi dan Ronaldo.  https://t.co/1zntfkZFp2</t>
  </si>
  <si>
    <t>trofi juara untuk argentina piala dunia sekaligus mengakhiri perdebatan messi dan ronaldo</t>
  </si>
  <si>
    <t>['trofi', 'juara', 'argentina', 'piala', 'dunia', 'sekaligus', 'mengakhiri', 'perdebatan', 'messi', 'ronaldo']</t>
  </si>
  <si>
    <t>Lionel Messi mencatatkan ragam rekor usai membawa Argentina juara Piala Dunia 2022 di Qatar. Messi juga menyabet gelar pemain terbaik di ajang itu.  https://t.co/Kw8b5zbwzK</t>
  </si>
  <si>
    <t>@Delicatedss Alhamdulillah argentina juara yaüòÉ</t>
  </si>
  <si>
    <t>Vamos Argentina Messi 10 Juara dan juara...  https://t.co/atW6WVau5B</t>
  </si>
  <si>
    <t>vamos argentina messi juara dan juara</t>
  </si>
  <si>
    <t>['vamos', 'argentina', 'messi', 'juara', 'juara']</t>
  </si>
  <si>
    <t>@nocontextbolamy @wnnmx rahsia argentina juara</t>
  </si>
  <si>
    <t>rahsia argentina juara</t>
  </si>
  <si>
    <t>['rahsia', 'argentina', 'juara']</t>
  </si>
  <si>
    <t>Messi dan Argentina Juara Piala Dunia  2022, lah kok nama Ronaldo trending di media sosial?! . #EMTEKWORLDCUP2022 #BOLANETWORLDCUP2022  #PialaDunia #PialaDunia2022  https://t.co/MgRvDloDi1</t>
  </si>
  <si>
    <t>messi dan argentina juara piala dunia lah kok nama ronaldo trending media sosial</t>
  </si>
  <si>
    <t>['messi', 'argentina', 'juara', 'piala', 'dunia', 'lah', 'kok', 'nama', 'ronaldo', 'trending', 'media', 'sosial']</t>
  </si>
  <si>
    <t>Sebelum lanjut ke thread, MinQu mau bilang selamat untuk Argentina menjadi pemenang #FIFAWorldCup tahun 2022üéâ  Dan MinQu juga mau bilang selamat ke #LionelMessiìÉµ karena berkat Messi dan pemain lainnya Argentina menyabet juara Pildun 2022üéâ</t>
  </si>
  <si>
    <t>sebelum lanjut thread minqu mau bilang selamat untuk argentina menjadi pemenang tahun dan minqu juga mau bilang selamat karena berkat messi dan pemain lainnya argentina menyabet juara pildun</t>
  </si>
  <si>
    <t>['lanjut', 'thread', 'minqu', 'mau', 'selamat', 'argentina', 'menjadi', 'pemenang', 'tahun', 'minqu', 'mau', 'selamat', 'berkat', 'messi', 'pemain', 'lainnya', 'argentina', 'menyabet', 'juara', 'piala dunia']</t>
  </si>
  <si>
    <t>@setsetbud @PSSI Ini bukan editan kan, ini PSSI Argentina yg memprogram agar jadi juara dunia</t>
  </si>
  <si>
    <t>ini bukan editan kan ini pssi argentina memprogram agar jadi juara dunia</t>
  </si>
  <si>
    <t>['bukan', 'editan', 'kan', 'pssi', 'argentina', 'memprogram', 'jadi', 'juara', 'dunia']</t>
  </si>
  <si>
    <t>@morphinginfive Walaupun sejujurnya aku ngejagoin Perancis, tapi ternyata Tuhan berkehendak lain. Messi yang selama ini selalu gagal membawa Argentina juara, tahun ini akhirnya juara juga.</t>
  </si>
  <si>
    <t>walaupun sejujurnya aku ngejagoin perancis tapi ternyata tuhan berkehendak lain messi yang selama ini selalu gagal membawa argentina juara tahun ini akhirnya juara juga</t>
  </si>
  <si>
    <t>['walaupun', 'sejujurnya', 'aku', 'ngejagoin', 'perancis', 'ternyata', 'tuhan', 'berkehendak', 'messi', 'selama', 'selalu', 'gagal', 'membawa', 'argentina', 'juara', 'tahun', 'akhirnya', 'juara']</t>
  </si>
  <si>
    <t>@senogp @MoooiPustaka Senang bisa liat Argentina juara lagi. Tapi soal sastra sy tetep Prancis, pengin terbitan Moooi yg Anggur Kesendirian kalau beruntung menang. Terima kasih :)</t>
  </si>
  <si>
    <t>senang bisa liat argentina juara lagi tapi soal sastra tetep prancis pengin terbitan moooi anggur kesendirian kalau beruntung menang terima kasih</t>
  </si>
  <si>
    <t>['senang', 'lihat', 'argentina', 'juara', 'soal', 'sastra', 'tetep', 'prancis', 'pengin', 'terbitan', 'moooi', 'anggur', 'kesendirian', 'kalau', 'beruntung', 'menang', 'terima', 'kasih']</t>
  </si>
  <si>
    <t>Selesai sudah Piala Dunia,Argentina jadi Juara,Selanjutnya ada apalagi tentang DUNIA..#lihatdandengar</t>
  </si>
  <si>
    <t>selesai sudah piala dunia argentina jadi juara selanjutnya ada apalagi tentang dunia</t>
  </si>
  <si>
    <t>['selesai', 'piala', 'dunia', 'argentina', 'jadi', 'juara', 'selanjutnya', 'dunia']</t>
  </si>
  <si>
    <t>Orang yg ga terima Argentina juara tuh kalah taruhan brp ratus juta sih?</t>
  </si>
  <si>
    <t>orang terima argentina juara tuh kalah taruhan brp ratus juta sih</t>
  </si>
  <si>
    <t>['orang', 'terima', 'argentina', 'juara', 'kalah', 'taruhan', 'brp', 'ratus', 'juta']</t>
  </si>
  <si>
    <t>Setelah Juara Piala Dunia, Messi Tetap Melanjutkan Karirnya Bersama Argentina  https://t.co/swG3wFGrjY</t>
  </si>
  <si>
    <t>setelah juara piala dunia messi tetap melanjutkan karirnya bersama argentina</t>
  </si>
  <si>
    <t>['juara', 'piala', 'dunia', 'messi', 'tetap', 'melanjutkan', 'karirnya', 'bersama', 'argentina']</t>
  </si>
  <si>
    <t>Lewat postingan di Instagram, Antonela Roccuzzo mengungkapkan rasa bangganya terhadap pencapaian sang suami, Lionel Messi, usai Argentina menjadi juara Piala Dunia 2022. So sweet!ü•∞  #LionelMessi #AntonelaRoccuzzo  https://t.co/yB6VJ4UEft</t>
  </si>
  <si>
    <t>lewat postingan instagram antonela roccuzzo mengungkapkan rasa bangganya terhadap pencapaian sang suami lionel messi usai argentina menjadi juara piala dunia sweet</t>
  </si>
  <si>
    <t>['lewat', 'postingan', 'instagram', 'antonela', 'roccuzzo', 'mengungkapkan', 'rasa', 'bangganya', 'pencapaian', 'sang', 'suami', 'lionel', 'messi', 'usai', 'argentina', 'menjadi', 'juara', 'piala', 'dunia', 'sweet']</t>
  </si>
  <si>
    <t>Kalahkan Prancis, Argentina Juara Piala Dunia 2022 Qatar   https://t.co/2xbFcEBHbm  #BeritaTerkini  #Argentina  #argentinajuara  #PialaDunia2022  #FIFAWorldCup  #FIFAWorldCup2022  #Prancis  #LionelMessiìÉµ  #Mbappe  #DiMaria  #jurnalmediaindonesia #jmipialadunia2022  https://t.co/NA7Fo5p3iX</t>
  </si>
  <si>
    <t>kalahkan prancis argentina juara piala dunia qatar</t>
  </si>
  <si>
    <t>['kalahkan', 'prancis', 'argentina', 'juara', 'piala', 'dunia', 'qatar']</t>
  </si>
  <si>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</si>
  <si>
    <t>brazil italy spanyol jerman prancis argentina berdasarkan tren history dan kondisi saat ini juara piala dunia berikutnya hanya akan muter tim atas saja note spanyol dan prancis pada kondisi tertentu</t>
  </si>
  <si>
    <t>['brazil', 'italy', 'spanyol', 'jerman', 'prancis', 'argentina', 'berdasarkan', 'tren', 'history', 'kondisi', 'juara', 'piala', 'dunia', 'berikutnya', 'muter', 'tim', 'atas', 'note', 'spanyol', 'prancis', 'kondisi', 'tertentu']</t>
  </si>
  <si>
    <t>Kapten sekaligus megabintang timnas Argentina, Lionel Messi, merayakan gelar juara Piala Dunia 2022 dengan cara yang sama seperti Diego Maradona. üòç  https://t.co/8cISsuysRN</t>
  </si>
  <si>
    <t>kapten sekaligus megabintang timnas argentina lionel messi merayakan gelar juara piala dunia dengan cara yang sama seperti diego maradona</t>
  </si>
  <si>
    <t>['kapten', 'sekaligus', 'megabintang', 'timnas', 'argentina', 'lionel', 'messi', 'merayakan', 'gelar', 'juara', 'piala', 'dunia', 'cara', 'sama', 'diego', 'maradona']</t>
  </si>
  <si>
    <t>Thank you ET walaupun gue gedek karena ku troll Liverpool tapi tidak apa penting argentina dan Messi juara</t>
  </si>
  <si>
    <t>thank you walaupun gue gedek karena troll liverpool tapi tidak apa penting argentina dan messi juara</t>
  </si>
  <si>
    <t>['thank', 'you', 'walaupun', 'gue', 'gedek', 'troll', 'liverpool', 'apa', 'penting', 'argentina', 'messi', 'juara']</t>
  </si>
  <si>
    <t>Kapten sekaligus megabintang timnas Argentina, Lionel Messi, merayakan gelar juara Piala Dunia 2022 dengan cara yang sama seperti Diego Maradona. üòç  https://t.co/y2NBgXhjdu</t>
  </si>
  <si>
    <t>Kamu senyum senyum argentina juara Atau kamu nangis karena prancis</t>
  </si>
  <si>
    <t>kamu senyum senyum argentina juara atau kamu nangis karena prancis</t>
  </si>
  <si>
    <t>['kamu', 'senyum', 'senyum', 'argentina', 'juara', 'kamu', 'nangis', 'prancis']</t>
  </si>
  <si>
    <t>biarpun argentina ga juara tetep 9/10 buat piala dunia tahun ini, krn aslii dari fase grup sampe final seru semua matchnya.</t>
  </si>
  <si>
    <t>biarpun argentina juara tetep buat piala dunia tahun ini krn aslii dari fase grup sampe final seru semua matchnya</t>
  </si>
  <si>
    <t>['biarpun', 'argentina', 'juara', 'tetep', 'buat', 'piala', 'dunia', 'tahun', 'aslii', 'fase', 'grup', 'sampai', 'final', 'seru', 'semua', 'matchnya']</t>
  </si>
  <si>
    <t>@FWBESS Ayokkk nderr, lg free</t>
  </si>
  <si>
    <t>ayokkk nderr free</t>
  </si>
  <si>
    <t>['ayokkk', 'nderr', 'free']</t>
  </si>
  <si>
    <t>@MafiaWasit Siapa aktor kemenangan Argentina di pildun? Sdh jls Claudio Tapia, br di kepemimpinannya Argentina bs juara dunia lg ü§≠</t>
  </si>
  <si>
    <t>siapa aktor kemenangan argentina pildun sdh jls claudio tapia kepemimpinannya argentina juara dunia</t>
  </si>
  <si>
    <t>['siapa', 'aktor', 'kemenangan', 'argentina', 'piala dunia', 'jls', 'claudio', 'tapia', 'kepemimpinannya', 'argentina', 'juara', 'dunia']</t>
  </si>
  <si>
    <t>Anwar tunggu 24 tahun baru dapat jadi PM, Argentina tunggu 36 tahun baru dapat jadi juara Dunia. Apa sangat lah takat tunggu 4-5 tahun baru dapat jodoh üóø</t>
  </si>
  <si>
    <t>anwar tunggu tahun baru dapat jadi argentina tunggu tahun baru dapat jadi juara dunia apa sangat lah takat tunggu tahun baru dapat jodoh</t>
  </si>
  <si>
    <t>['anwar', 'tunggu', 'tahun', 'baru', 'jadi', 'argentina', 'tunggu', 'tahun', 'baru', 'jadi', 'juara', 'dunia', 'apa', 'sangat', 'lah', 'takat', 'tunggu', 'tahun', 'baru', 'jodoh']</t>
  </si>
  <si>
    <t>Akhirnya, bisa libur (an) panjang, after hampir 2bulan preparing #jakartanontonbola event nonton bersama #FIFAWorldCup and tim Argentina yang menjadi Juara! #ThankYouQatar  . - sesi curhat #baladaanakevent  https://t.co/Ql8MaQPSAZ</t>
  </si>
  <si>
    <t>akhirnya bisa libur panjang after hampir bulan preparing event nonton bersama and tim argentina yang menjadi juara sesi curhat</t>
  </si>
  <si>
    <t>['akhirnya', 'libur', 'panjang', 'after', 'hampir', 'bulan', 'preparing', 'event', 'nonton', 'bersama', 'and', 'tim', 'argentina', 'menjadi', 'juara', 'sesi', 'curhat']</t>
  </si>
  <si>
    <t>Airlangga Hartarto jadi Capres potensial dari KIB berkat kematangan Golkar berpolitik.  Btw selamat yaa argentina's world cup. Messi, Di Maria, De Paul, Emi Martinez bisa bawa Argentina juara Piala Dunia #FIFAWorldCup #Qatar2022 jangan lupa #AQUADULU  https://t.co/AvVDa8GgL7</t>
  </si>
  <si>
    <t>airlangga hartarto jadi capres potensial dari kib berkat kematangan golkar berpolitik btw selamat yaa argentina world cup messi maria paul emi martinez bisa bawa argentina juara piala dunia jangan lupa</t>
  </si>
  <si>
    <t>['airlangga', 'hartarto', 'jadi', 'capres', 'potensial', 'kib', 'berkat', 'kematangan', 'golkar', 'berpolitik', 'by the way', 'selamat', 'ya', 'argentina', 'world', 'cup', 'messi', 'maria', 'paul', 'emi', 'martinez', 'bawa', 'argentina', 'juara', 'piala', 'dunia', 'jangan', 'lupa']</t>
  </si>
  <si>
    <t>Dulu Diego Maradona, kini Lionel Messi. Keduanya berperan besar mengantar Argentina jadi kampiun Piala Dunia untuk kemudian berpose bareng trofi juara. Mirip! #juaraboladunia    https://t.co/mq3nI7d5xI</t>
  </si>
  <si>
    <t>Argentina juara dunia nya üëèüëèüëèüëèüëèüëèüëèüëèüëèüëèüëèüëèüëèüëè‚ù§Ô∏è‚ù§Ô∏è kado natal untuk rakyat Argentina  https://t.co/zto0QuP9ld</t>
  </si>
  <si>
    <t>argentina juara dunia nya kado natal untuk rakyat argentina</t>
  </si>
  <si>
    <t>['argentina', 'juara', 'dunia', 'kado', 'natal', 'rakyat', 'argentina']</t>
  </si>
  <si>
    <t>Euforia Argentina Juara Piala Dunia Sampai Ke Indonesia, Ribuan Suporter Konvoi Di Ternate Sampai Bikin Sibuk¬†Polisi  https://t.co/Ptu32V6w1E</t>
  </si>
  <si>
    <t>euforia argentina juara piala dunia sampai indonesia ribuan suporter konvoi ternate sampai bikin sibuk polisi</t>
  </si>
  <si>
    <t>['euforia', 'argentina', 'juara', 'piala', 'dunia', 'indonesia', 'ribuan', 'suporter', 'konvoi', 'ternate', 'sibuk', 'polisi']</t>
  </si>
  <si>
    <t>Euforia Argentina Juara Piala Dunia Sampai Ke Indonesia, Ribuan Suporter Konvoi Di Ternate Sampai Bikin Sibuk¬†Polisi  https://t.co/ivwSVyMg2w</t>
  </si>
  <si>
    <t>Argentina Juara Piala Dunia 2022, Status Lionel Messi: Greatest of All Time!  https://t.co/iTJ9hcgurt</t>
  </si>
  <si>
    <t>Semua orang menjagokan Argentina, dan Argentina juara Gak menarik lah...</t>
  </si>
  <si>
    <t>semua orang menjagokan argentina dan argentina juara gak menarik lah</t>
  </si>
  <si>
    <t>['semua', 'orang', 'menjagokan', 'argentina', 'argentina', 'juara', 'menarik', 'lah']</t>
  </si>
  <si>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</si>
  <si>
    <t>selamat kepada argentina juara worldcup bagi yang menebak dengan benar juara piala dunia selamat kepada ambon jika anda sudah jadi member maka berhak klaim kemenangan silahkan terima kasih</t>
  </si>
  <si>
    <t>['selamat', 'argentina', 'juara', 'worldcup', 'menebak', 'benar', 'juara', 'piala', 'dunia', 'selamat', 'ambon', 'jadi', 'member', 'berhak', 'klaim', 'kemenangan', 'silahkan', 'terima', 'kasih']</t>
  </si>
  <si>
    <t>Argentina yg juara, Prancis yg kalah. Netijen indo yg adu bacotüòÇ -unknown-</t>
  </si>
  <si>
    <t>argentina juara prancis kalah netijen indo adu bacot unknown</t>
  </si>
  <si>
    <t>['argentina', 'juara', 'prancis', 'kalah', 'netijen', 'indo', 'adu', 'bacot', 'unknown']</t>
  </si>
  <si>
    <t>@idextratime Nyesek bgt pasti. Apalagi 2026 Argentina ga bakal juara, jd entah sampe kapan mereka bakal dapet kesempatan lagi</t>
  </si>
  <si>
    <t>nyesek bgt pasti apalagi argentina bakal juara entah sampe kapan mereka bakal dapet kesempatan lagi</t>
  </si>
  <si>
    <t>['nyesek', 'banget', 'argentina', 'bakal', 'juara', 'entah', 'sampai', 'kapan', 'bakal', 'dapat', 'kesempatan']</t>
  </si>
  <si>
    <t>Jujur saya tidak membenci Messi, melainkan kepada fansnya. Argentina layak mendapatkan juara, mereka tim hebat, terbukti hampir disetiap piala Dunia mereka menginjakkan kaki di final. Bahkan mereka pernah menjuarai Piala Dunia sebelum eranya Messi.</t>
  </si>
  <si>
    <t>jujur saya tidak membenci messi melainkan kepada fansnya argentina layak mendapatkan juara mereka tim hebat terbukti hampir disetiap piala dunia mereka menginjakkan kaki final bahkan mereka pernah menjuarai piala dunia sebelum eranya messi</t>
  </si>
  <si>
    <t>['jujur', 'membenci', 'messi', 'fansnya', 'argentina', 'layak', 'mendapatkan', 'juara', 'tim', 'hebat', 'terbukti', 'hampir', 'disetiap', 'piala', 'dunia', 'menginjakkan', 'kaki', 'final', 'bahkan', 'pernah', 'menjuarai', 'piala', 'dunia', 'eranya', 'messi']</t>
  </si>
  <si>
    <t>Argentina juara Pildun 2022 potong gundul  https://t.co/fmnl7uAbON</t>
  </si>
  <si>
    <t>argentina juara pildun potong gundul</t>
  </si>
  <si>
    <t>['argentina', 'juara', 'piala dunia', 'potong', 'gundul']</t>
  </si>
  <si>
    <t>Muncul pertanyaan di benak publik apakah Cristiano Ronaldo ikut merayakan momen Lionel Messi juara Piala Dunia 2022 usai mengaku mencintai Argentina‚ÅâÔ∏è  https://t.co/YMEX1iyip3</t>
  </si>
  <si>
    <t>muncul pertanyaan benak publik apakah cristiano ronaldo ikut merayakan momen lionel messi juara piala dunia usai mengaku mencintai argentina</t>
  </si>
  <si>
    <t>['muncul', 'pertanyaan', 'benak', 'publik', 'cristiano', 'ronaldo', 'ikut', 'merayakan', 'momen', 'lionel', 'messi', 'juara', 'piala', 'dunia', 'usai', 'mengaku', 'mencintai', 'argentina']</t>
  </si>
  <si>
    <t>Muncul pertanyaan di benak publik apakah Cristiano Ronaldo ikut merayakan momen Lionel Messi juara Piala Dunia 2022 usai mengaku mencintai Argentina‚ÅâÔ∏è  https://t.co/DVdtsEWjsE</t>
  </si>
  <si>
    <t>Yaelah. Lg seneng Argentina juara malah dapat kabar kek gini. üò£</t>
  </si>
  <si>
    <t>yaelah seneng argentina juara malah dapat kabar kek gini</t>
  </si>
  <si>
    <t>['yaelah', 'seneng', 'argentina', 'juara', 'malah', 'kabar', 'kek', 'gini']</t>
  </si>
  <si>
    <t>pie to sek juara argentina kok gowo gendero demokrat gendeng tenan iki</t>
  </si>
  <si>
    <t>pie sek juara argentina kok gowo gendero demokrat gendeng tenan iki</t>
  </si>
  <si>
    <t>['pie', 'sek', 'juara', 'argentina', 'kok', 'gowo', 'gendero', 'demokrat', 'gendeng', 'tenan', 'iki']</t>
  </si>
  <si>
    <t>Yang bilang Argentina Juara Piala Dunia sudah di-setting, kenapa nggak di-setting dr 2010, 2014 atau 2018? Harusnya kan Messi sdh dapat 4 gelar Piala Dunia dan lampaui pencapaian Pele dgn 3 gelar Piala Dunia ü§î  *seketika hening üò™</t>
  </si>
  <si>
    <t>yang bilang argentina juara piala dunia sudah setting kenapa nggak setting atau harusnya kan messi sdh dapat gelar piala dunia dan lampaui pencapaian pele dgn gelar piala dunia seketika hening</t>
  </si>
  <si>
    <t>['argentina', 'juara', 'piala', 'dunia', 'setting', 'setting', 'harusnya', 'kan', 'messi', 'gelar', 'piala', 'dunia', 'lampaui', 'pencapaian', 'pele', 'gelar', 'piala', 'dunia', 'seketika', 'hening']</t>
  </si>
  <si>
    <t>@DriedSliceFruit @FWBESS Paham bener anjirr wkwkkw</t>
  </si>
  <si>
    <t>paham bener anjirr wkwkkw</t>
  </si>
  <si>
    <t>['paham', 'benar', 'anjirr', 'wkwkkw']</t>
  </si>
  <si>
    <t>@Listy9021 Selamat siang mbak syantik, lagi seneng ya Argentina juara‚òùÔ∏è</t>
  </si>
  <si>
    <t>selamat siang mbak syantik lagi seneng argentina juara</t>
  </si>
  <si>
    <t>['selamat', 'siang', 'mbak', 'syantik', 'seneng', 'argentina', 'juara']</t>
  </si>
  <si>
    <t>@prayforthedvl @batmannyangkut @idextratime Argentina juara berkat blio</t>
  </si>
  <si>
    <t>argentina juara berkat blio</t>
  </si>
  <si>
    <t>['argentina', 'juara', 'berkat', 'blio']</t>
  </si>
  <si>
    <t>@denisuryanugrah Soalnya argentina juara wkwk</t>
  </si>
  <si>
    <t>soalnya argentina juara wkwk</t>
  </si>
  <si>
    <t>['soalnya', 'argentina', 'juara']</t>
  </si>
  <si>
    <t>@idextratime eti otw trauma</t>
  </si>
  <si>
    <t>eti otw trauma</t>
  </si>
  <si>
    <t>['eti', 'on the way', 'trauma']</t>
  </si>
  <si>
    <t>Jika tak ada Penyelamatan Ajaib Emiliano Martinez di 20 Detik Terakhir; #prancis Juara, #argentina dan Lionel Messi Menangis dan Pulang dengan Tangan Kosong. Kunjungi  https://t.co/XRysGeWMQn . #emilianoMartinez  https://t.co/awMCcj5P4r</t>
  </si>
  <si>
    <t>jika tak ada penyelamatan ajaib emiliano martinez detik terakhir juara dan lionel messi menangis dan pulang dengan tangan kosong kunjungi</t>
  </si>
  <si>
    <t>['tak', 'penyelamatan', 'ajaib', 'emiliano', 'martinez', 'detik', 'terakhir', 'juara', 'lionel', 'messi', 'menangis', 'pulang', 'tangan', 'kosong', 'kunjungi']</t>
  </si>
  <si>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</si>
  <si>
    <t>lionel anders messi lahir rosario juni hampir thn stlh argentina juara piala dunia kali ibu pekerja cleaning service dan ayah buruh pabrik baja messi kecil tumbuh tdk normal kekurangan hormon goat sebenarnya terjawab sudah debat greatest all time</t>
  </si>
  <si>
    <t>['lionel', 'anders', 'messi', 'lahir', 'rosario', 'juni', 'hampir', 'thn', 'stlh', 'argentina', 'juara', 'piala', 'dunia', 'kali', 'ibu', 'pekerja', 'cleaning', 'service', 'ayah', 'buruh', 'pabrik', 'baja', 'messi', 'kecil', 'tumbuh', 'normal', 'kekurangan', 'hormon', 'goat', 'sebenarnya', 'terjawab', 'debat', 'greatest', 'all', 'time']</t>
  </si>
  <si>
    <t>Kesuksesan Lionel Messi membawa Timnas Argentina juara Piala Dunia 2022 tampaknya menjadi akhir dari perdebatan panjang siapa pemain terbaik dunia. #MessiìÉµ #RonaldoìÉµ   üîó https://t.co/zxtk2xorIZ  https://t.co/H2wiXqXVnR</t>
  </si>
  <si>
    <t>kesuksesan lionel messi membawa timnas argentina juara piala dunia tampaknya menjadi akhir dari perdebatan panjang siapa pemain terbaik dunia</t>
  </si>
  <si>
    <t>['kesuksesan', 'lionel', 'messi', 'membawa', 'timnas', 'argentina', 'juara', 'piala', 'dunia', 'tampaknya', 'menjadi', 'akhir', 'perdebatan', 'panjang', 'siapa', 'pemain', 'terbaik', 'dunia']</t>
  </si>
  <si>
    <t>Messi cs pun dinilai layak dicoret dari kandidat tim favorit juara kala itu. Argentina dirasa kurang bertaring, cuma jago di kawasan Amerika Latin.</t>
  </si>
  <si>
    <t>messi pun dinilai layak dicoret dari kandidat tim favorit juara kala itu argentina dirasa kurang bertaring cuma jago kawasan amerika latin</t>
  </si>
  <si>
    <t>['messi', 'dinilai', 'layak', 'dicoret', 'kandidat', 'tim', 'favorit', 'juara', 'kala', 'argentina', 'dirasa', 'kurang', 'bertaring', 'cuma', 'jago', 'kawasan', 'amerika', 'latin']</t>
  </si>
  <si>
    <t>Argentina jadi juara Piala Dunia 2022. Tim Tango datang ke Qatar dengan dipermalukan Arab Saudi di pertandingan pertama, lalu di laga terakhir jadi juara! Bagaimana kisahnya? Simak dalam #thread berikut ini! üëá  #juaraboladunia #Qatar2022 #Argentina  https://t.co/FbMp0nFQc9</t>
  </si>
  <si>
    <t>argentina jadi juara piala dunia tim tango datang qatar dengan dipermalukan arab saudi pertandingan pertama lalu laga terakhir jadi juara bagaimana kisahnya simak dalam berikut ini</t>
  </si>
  <si>
    <t>['argentina', 'jadi', 'juara', 'piala', 'dunia', 'tim', 'tango', 'datang', 'qatar', 'dipermalukan', 'arab', 'saudi', 'pertandingan', 'pertama', 'lalu', 'laga', 'terakhir', 'jadi', 'juara', 'bagaimana', 'kisahnya', 'simak', 'berikut']</t>
  </si>
  <si>
    <t>@taurunians Dyang geden mbak argentina juara og</t>
  </si>
  <si>
    <t>dyang geden mbak argentina juara</t>
  </si>
  <si>
    <t>['dyang', 'geden', 'mbak', 'argentina', 'juara']</t>
  </si>
  <si>
    <t>World Cup 2022 Qatar Juara 1 Argentina Juara 2 France Juara 3 Croatia Juara harapan 1 Maroko Berharap juara Portugal,Brazil,Germany  https://t.co/45IrbVAdqx</t>
  </si>
  <si>
    <t>world cup qatar juara argentina juara france juara croatia juara harapan maroko berharap juara portugal brazil germany</t>
  </si>
  <si>
    <t>['world', 'cup', 'qatar', 'juara', 'argentina', 'juara', 'france', 'juara', 'croatia', 'juara', 'harapan', 'maroko', 'berharap', 'juara', 'portugal', 'brazil', 'germany']</t>
  </si>
  <si>
    <t>Lionel Messi tegaskan belum mau pensiun usai membawa Argentina juara Piala Dunia 2022. Siap membela negaranya di pentas international hingga 2026.  https://t.co/4dbDuSZyLK</t>
  </si>
  <si>
    <t>lionel messi tegaskan belum mau pensiun usai membawa argentina juara piala dunia siap membela negaranya pentas international hingga</t>
  </si>
  <si>
    <t>['lionel', 'messi', 'tegaskan', 'mau', 'pensiun', 'usai', 'membawa', 'argentina', 'juara', 'piala', 'dunia', 'siap', 'membela', 'negaranya', 'pentas', 'international', 'hingga']</t>
  </si>
  <si>
    <t>Kematangan Berpolitik Airlangga Hartarto jadikan dirinya capres potensial KIB.  Di Maria, Messi, De Paul, Emi Martinez bawa Argentina juara Piala Dunia #Qatar2022 #FIFAWorldCup  https://t.co/Azxl0sEIMZ</t>
  </si>
  <si>
    <t>kematangan berpolitik airlangga hartarto jadikan dirinya capres potensial kib maria messi paul emi martinez bawa argentina juara piala dunia</t>
  </si>
  <si>
    <t>['kematangan', 'berpolitik', 'airlangga', 'hartarto', 'jadikan', 'dirinya', 'capres', 'potensial', 'kib', 'maria', 'messi', 'paul', 'emi', 'martinez', 'bawa', 'argentina', 'juara', 'piala', 'dunia']</t>
  </si>
  <si>
    <t>@kisbet_ @meltdownbytori Juara 3x :  Tahun 1978 di Argentina, top scorer Mario Kempes Tahun 1986 di Meksiko, top scorer Diego Maradona Tahun 2022 di Qatar, top scorer Lionel Messi</t>
  </si>
  <si>
    <t>juara tahun argentina top scorer mario kempes tahun meksiko top scorer diego maradona tahun qatar top scorer lionel messi</t>
  </si>
  <si>
    <t>['juara', 'tahun', 'argentina', 'top', 'scorer', 'mario', 'kempes', 'tahun', 'meksiko', 'top', 'scorer', 'diego', 'maradona', 'tahun', 'qatar', 'top', 'scorer', 'lionel', 'messi']</t>
  </si>
  <si>
    <t>Lionel Messi Torehkan 4 Rekor Usai Bawa Argentina Juara Piala Dunia 2022  Selengkapnya  https://t.co/usD5fxUpBw  #pialadunia #lionelmessi #argentina #qatar #dunia #finalpialadunia</t>
  </si>
  <si>
    <t>lionel messi torehkan rekor usai bawa argentina juara piala dunia selengkapnya</t>
  </si>
  <si>
    <t>['lionel', 'messi', 'torehkan', 'rekor', 'usai', 'bawa', 'argentina', 'juara', 'piala', 'dunia', 'selengkapnya']</t>
  </si>
  <si>
    <t>VIDEO: Timnas Argentina Juara Piala Dunia, Penggawa Tim Tango Rayakan 'Kematian' Kylian Mbappe  https://t.co/nSkqenKI5Z</t>
  </si>
  <si>
    <t>video timnas argentina juara piala dunia penggawa tim tango rayakan kematian kylian mbappe</t>
  </si>
  <si>
    <t>['video', 'timnas', 'argentina', 'juara', 'piala', 'dunia', 'penggawa', 'tim', 'tango', 'rayakan', 'kematian', 'kylian', 'mbappe']</t>
  </si>
  <si>
    <t>Lionel Messi akhirnya jadi juara dunia. Timnas Argentina dibawa La Pulga menjadi kampiun di Piala Dunia 2022! #juaraboladunia    https://t.co/jeZp2zyUlr</t>
  </si>
  <si>
    <t>tamat sudah Pesta Bola Piala Dunia. keputusan Argentina juara mengalahkan France. muktamad! France terima kekalahan tanpa salahkan pengadil</t>
  </si>
  <si>
    <t>tamat sudah pesta bola piala dunia keputusan argentina juara mengalahkan france muktamad france terima kekalahan tanpa salahkan pengadil</t>
  </si>
  <si>
    <t>['tamat', 'pesta', 'bola', 'piala', 'dunia', 'keputusan', 'argentina', 'juara', 'mengalahkan', 'france', 'muktamad', 'france', 'terima', 'kekalahan', 'salahkan', 'pengadil']</t>
  </si>
  <si>
    <t>VIDEO: Timnas Argentina Juara Piala Dunia, Instagram Produk Cristiano Ronaldo Kena Bully Fans  https://t.co/QfCefNoPuV</t>
  </si>
  <si>
    <t>video timnas argentina juara piala dunia instagram produk cristiano ronaldo kena bully fans</t>
  </si>
  <si>
    <t>['video', 'timnas', 'argentina', 'juara', 'piala', 'dunia', 'instagram', 'produk', 'cristiano', 'ronaldo', 'kena', 'bully', 'fans']</t>
  </si>
  <si>
    <t>Aguero ini ckckck. Biar apasih ngata2in muka orang. Yg berjuang biar argentina juara aja gak kae gitu loh.</t>
  </si>
  <si>
    <t>aguero ini ckckck biar apasih ngata muka orang berjuang biar argentina juara aja gak kae gitu loh</t>
  </si>
  <si>
    <t>['aguero', 'ckckck', 'apasih', 'ngata', 'muka', 'orang', 'berjuang', 'argentina', 'juara', 'kae', 'gitu']</t>
  </si>
  <si>
    <t>Masih ada juga urusan piala dunia dibawa-bawa ke urusan agama, gak yg fanatik thd Islam belain Maroko dan yg belain Argentina karna YHW.  Bagi saya itu sangat aneh!  Saya dari kecil pemain bola, juara antar kampung dan jadi fans klub atau negara tertentu bukan karna agamanya!</t>
  </si>
  <si>
    <t>masih ada juga urusan piala dunia dibawa bawa urusan agama gak fanatik thd islam belain maroko dan belain argentina karna yhw bagi saya itu sangat aneh saya dari kecil pemain bola juara antar kampung dan jadi fans klub atau negara tertentu bukan karna agamanya</t>
  </si>
  <si>
    <t>['urusan', 'piala', 'dunia', 'dibawa', 'bawa', 'urusan', 'agama', 'fanatik', 'thd', 'islam', 'belain', 'maroko', 'belain', 'argentina', 'karna', 'yhw', 'sangat', 'aneh', 'kecil', 'pemain', 'bola', 'juara', 'antar', 'kampung', 'jadi', 'fans', 'klub', 'negara', 'tertentu', 'bukan', 'karna', 'agamanya']</t>
  </si>
  <si>
    <t>@Frisllyherlind Gimana reaksi nya Argentina JUARA üá¶üá∑</t>
  </si>
  <si>
    <t>gimana reaksi nya argentina juara</t>
  </si>
  <si>
    <t>['gimana', 'reaksi', 'argentina', 'juara']</t>
  </si>
  <si>
    <t>@mohmahfudmd Akhirnya Argentina bernasib juara....  Krn permainanny imbang, dan di babak ke-2 ketika pelatih menerapkan strategi bertahan dgn ditarikny kluar demaria, prancis permainanny menakutkan...</t>
  </si>
  <si>
    <t>akhirnya argentina bernasib juara krn permainanny imbang dan babak ketika pelatih menerapkan strategi bertahan dgn ditarikny kluar demaria prancis permainanny menakutkan</t>
  </si>
  <si>
    <t>['akhirnya', 'argentina', 'bernasib', 'juara', 'permainanny', 'imbang', 'babak', 'pelatih', 'menerapkan', 'strategi', 'bertahan', 'ditarikny', 'kluar', 'demaria', 'prancis', 'permainanny', 'menakutkan']</t>
  </si>
  <si>
    <t>@SiaranBolaLive Berkat beliyau Argentina bisa juara!</t>
  </si>
  <si>
    <t>berkat beliyau argentina bisa juara</t>
  </si>
  <si>
    <t>['berkat', 'beliyau', 'argentina', 'juara']</t>
  </si>
  <si>
    <t>Argentina Juara: Belajar Politik Kompetensi Dari Piala Dunia 2022  https://t.co/G5jdwEMJur</t>
  </si>
  <si>
    <t>@ridwanhr Krn bnyk org sdh tau siapa yg bakal jd juara sebelum pertandingan,maka final sdh tdk layak ditonton meski ada drama adu penalti ttp juaranya argentina beda klo juaranya kroasia pasti lbh seru ditonton finalnya</t>
  </si>
  <si>
    <t>krn bnyk org sdh tau siapa bakal juara sebelum pertandingan maka final sdh tdk layak ditonton meski ada drama adu penalti ttp juaranya argentina beda klo juaranya kroasia pasti lbh seru ditonton finalnya</t>
  </si>
  <si>
    <t>['bnyk', 'org', 'siapa', 'bakal', 'juara', 'pertandingan', 'final', 'layak', 'ditonton', 'meski', 'drama', 'adu', 'penalti', 'ttp', 'juaranya', 'argentina', 'beda', 'juaranya', 'kroasia', 'lbh', 'seru', 'ditonton', 'finalnya']</t>
  </si>
  <si>
    <t>Juara 1 Argentina Juara 2 France Juara 3 Croatia Juara harapan 1 Maroko Berharap juara Portugal  https://t.co/SQqW3iySak</t>
  </si>
  <si>
    <t>juara argentina juara france juara croatia juara harapan maroko berharap juara portugal</t>
  </si>
  <si>
    <t>['juara', 'argentina', 'juara', 'france', 'juara', 'croatia', 'juara', 'harapan', 'maroko', 'berharap', 'juara', 'portugal']</t>
  </si>
  <si>
    <t>Prediksi Menteri Perdagangan Zulkifli Hasan soal Argentina menjadi juara Piala Dunia 2022 di Qatar benar.  https://t.co/TA2rutYb32</t>
  </si>
  <si>
    <t>prediksi menteri perdagangan zulkifli hasan soal argentina menjadi juara piala dunia qatar benar</t>
  </si>
  <si>
    <t>['prediksi', 'menteri', 'perdagangan', 'zulkifli', 'hasan', 'soal', 'argentina', 'menjadi', 'juara', 'piala', 'dunia', 'qatar', 'benar']</t>
  </si>
  <si>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</si>
  <si>
    <t>argentina sang juara piala dunia qatar para juara kylian mbappe sukses menyabet sepatu emas lionel messi meraih golden ball pemain terbaik enzo fernandez meraih menjadi pemain muda terbaik emiliano martinez meraih sebagai kiper terbalik kita semua bisa jadi juara</t>
  </si>
  <si>
    <t>['argentina', 'sang', 'juara', 'piala', 'dunia', 'qatar', 'juara', 'kylian', 'mbappe', 'sukses', 'menyabet', 'sepatu', 'emas', 'lionel', 'messi', 'meraih', 'golden', 'ball', 'pemain', 'terbaik', 'enzo', 'fernandez', 'meraih', 'menjadi', 'pemain', 'muda', 'terbaik', 'emiliano', 'martinez', 'meraih', 'kiper', 'terbalik', 'semua', 'jadi', 'juara']</t>
  </si>
  <si>
    <t>Berhasil Raih Gelar Juara Dunia Lewat Adu Penalti,Berikut Fakta Menarik Argentina di Final Piala Dunia 2022!  https://t.co/5XsTrKpXj1</t>
  </si>
  <si>
    <t>berhasil raih gelar juara dunia lewat adu penalti berikut fakta menarik argentina final piala dunia</t>
  </si>
  <si>
    <t>['berhasil', 'raih', 'gelar', 'juara', 'dunia', 'lewat', 'adu', 'penalti', 'berikut', 'fakta', 'menarik', 'argentina', 'final', 'piala', 'dunia']</t>
  </si>
  <si>
    <t>Intip Cara Sederhana Argentina Rayakan Kemenangan usai Juara Piala Dunia 2022, Paulo Dybala: Makan Malam Romantis! #CelebritiesDotID #InfoCelebTerkini #ArgentinaVsFrance #Qatar2022   https://t.co/T4IWFcxIFv</t>
  </si>
  <si>
    <t>Argentina Juara, Sosok Antonella Roccuzzo Jadi Perbincangan, Istri Messi yang Kisah Cintanya Bak Dongeng  #Antonellaroccuzzo #leomessi #Argentina  @Argentina  https://t.co/Br9k634bYy</t>
  </si>
  <si>
    <t>argentina juara sosok antonella roccuzzo jadi perbincangan istri messi yang kisah cintanya bak dongeng</t>
  </si>
  <si>
    <t>['argentina', 'juara', 'sosok', 'antonella', 'roccuzzo', 'jadi', 'perbincangan', 'istri', 'messi', 'kisah', 'cintanya', 'bak', 'dongeng']</t>
  </si>
  <si>
    <t>Selamat Albicelestes Juara Piala Dunia 2022! Inilah Sederet Hal-hal Menarik Dari Kemenangan Timnas Argentina   https://t.co/DNoz7foA1S</t>
  </si>
  <si>
    <t>selamat albicelestes juara piala dunia inilah sederet hal hal menarik dari kemenangan timnas argentina</t>
  </si>
  <si>
    <t>['selamat', 'albicelestes', 'juara', 'piala', 'dunia', 'inilah', 'sederet', 'menarik', 'kemenangan', 'timnas', 'argentina']</t>
  </si>
  <si>
    <t>Masih gak nyangka Argentina beneran juaraüòÇ</t>
  </si>
  <si>
    <t>masih gak nyangka argentina beneran juara</t>
  </si>
  <si>
    <t>['nyangka', 'argentina', 'beneran', 'juara']</t>
  </si>
  <si>
    <t>5 Potret Manis Messi dan Keluarga Rayakan Argentina Jadi Juara Piala Dunia 2022</t>
  </si>
  <si>
    <t>Menteri BUMN Erick Thohir tepat memprediksikan pemenang pertandingan sepak bola final piala dunia Qatar, antara Argentina dan Perancis, yang  dimenangkan oleh tim Tango Argentina. @erickthohir berharap tim dari Amerika Latin yang juara. #BangkitBersamaET  https://t.co/lxNFUVK2Yr</t>
  </si>
  <si>
    <t>menteri bumn erick thohir tepat memprediksikan pemenang pertandingan sepak bola final piala dunia qatar antara argentina dan perancis yang dimenangkan oleh tim tango argentina berharap tim dari amerika latin yang juara</t>
  </si>
  <si>
    <t>['menteri', 'bumn', 'erick', 'thohir', 'tepat', 'memprediksikan', 'pemenang', 'pertandingan', 'sepak', 'bola', 'final', 'piala', 'dunia', 'qatar', 'argentina', 'perancis', 'dimenangkan', 'tim', 'tango', 'argentina', 'berharap', 'tim', 'amerika', 'latin', 'juara']</t>
  </si>
  <si>
    <t>Detik-detik saat Messi &amp;amp; Timnas Argentina mengetahui mereka menjadi Juara #FIFAWorldCup Qatar 2022!üá¶üá∑ü•πüî•  Paredes: "Kami adalah juara dunia."  Aguero: "Vamos, holy sh*t."   https://t.co/kB0gmXraac</t>
  </si>
  <si>
    <t>detik detik saat messi timnas argentina mengetahui mereka menjadi juara qatar paredes kami adalah juara dunia aguero vamos holy</t>
  </si>
  <si>
    <t>['detik', 'detik', 'messi', 'timnas', 'argentina', 'mengetahui', 'menjadi', 'juara', 'qatar', 'paredes', 'juara', 'dunia', 'aguero', 'vamos', 'holy']</t>
  </si>
  <si>
    <t>Argentina juara, senin tetap kerja</t>
  </si>
  <si>
    <t>argentina juara senin tetap kerja</t>
  </si>
  <si>
    <t>['argentina', 'juara', 'senin', 'tetap', 'kerja']</t>
  </si>
  <si>
    <t>Gelar juara Piala Dunia 2022 berakhir mulus dengan kemenangan Lionel Messi dkk yang membawa Argentina pada posisi pertama FIFA World Cup Qatar. Berikut potret Messi dkk yang berselebrasi atas kemenangan Pildun 2022. #Qatar2022 #FIFAWorldCup    https://t.co/zd3gKOglBj</t>
  </si>
  <si>
    <t>gelar juara piala dunia berakhir mulus dengan kemenangan lionel messi dkk yang membawa argentina pada posisi pertama fifa world cup qatar berikut potret messi dkk yang berselebrasi atas kemenangan pildun</t>
  </si>
  <si>
    <t>['gelar', 'juara', 'piala', 'dunia', 'berakhir', 'mulus', 'kemenangan', 'lionel', 'messi', 'dkk', 'membawa', 'argentina', 'posisi', 'pertama', 'fifa', 'world', 'cup', 'qatar', 'berikut', 'potret', 'messi', 'dkk', 'berselebrasi', 'atas', 'kemenangan', 'piala dunia']</t>
  </si>
  <si>
    <t>nobar laga final antara france vs argentina. pertandingan yang sangat seru untuk memperebutkan gelar juara üí™üí™. koneksinya pake jaringan indihome  https://t.co/fTTkz9oWBD</t>
  </si>
  <si>
    <t>nobar laga final antara france argentina pertandingan yang sangat seru untuk memperebutkan gelar juara koneksinya pake jaringan indihome</t>
  </si>
  <si>
    <t>['nonton bareng', 'laga', 'final', 'france', 'argentina', 'pertandingan', 'sangat', 'seru', 'memperebutkan', 'gelar', 'juara', 'koneksinya', 'pake', 'jaringan', 'indihome']</t>
  </si>
  <si>
    <t>@idextratime Udah min. Argentina juaraüèÜüèÜüèÜ</t>
  </si>
  <si>
    <t>udah min argentina juara</t>
  </si>
  <si>
    <t>['udah', 'min', 'argentina', 'juara']</t>
  </si>
  <si>
    <t>dan aku juga gabakal liat pacarku seneng karena argentina berhasil juara</t>
  </si>
  <si>
    <t>['aku', 'gabakal', 'lihat', 'pacarku', 'seneng', 'argentina', 'berhasil', 'juara']</t>
  </si>
  <si>
    <t>Masih ga nyangka argentina juara</t>
  </si>
  <si>
    <t>masih nyangka argentina juara</t>
  </si>
  <si>
    <t>['nyangka', 'argentina', 'juara']</t>
  </si>
  <si>
    <t>kata Mbah @sudjiwotedjo Argentina itu Takdir, Prancis itu Nasib. obrolan dengan greg siapa juara #FIFAWorldCup  https://t.co/qdohFsLGoT</t>
  </si>
  <si>
    <t>kata mbah argentina itu takdir prancis itu nasib obrolan dengan greg siapa juara</t>
  </si>
  <si>
    <t>['kata', 'mbah', 'argentina', 'takdir', 'prancis', 'nasib', 'obrolan', 'greg', 'siapa', 'juara']</t>
  </si>
  <si>
    <t xml:space="preserve">@revyrain @aldyarv @idextratime Jimatnya di Martinez satunya. Selalu main dan selalu krusial. Argentina mulai juara pas dia masuk 2021.  Kalo Martinez yg ini dari statistik Argentina saat dia di lapangan dan saat dia gak dilapangan, yg ada dia malah bawa </t>
  </si>
  <si>
    <t>jimatnya martinez satunya selalu main dan selalu krusial argentina mulai juara pas dia masuk kalo martinez ini dari statistik argentina saat dia lapangan dan saat dia gak dilapangan ada dia malah bawa</t>
  </si>
  <si>
    <t>['jimatnya', 'martinez', 'satunya', 'selalu', 'main', 'selalu', 'krusial', 'argentina', 'mulai', 'juara', 'pas', 'masuk', 'martinez', 'statistik', 'argentina', 'lapangan', 'dilapangan', 'malah', 'bawa']</t>
  </si>
  <si>
    <t>cuman dijamannya iwan bule, argentina bisa juara piala dunia</t>
  </si>
  <si>
    <t>cuman dijamannya iwan bule argentina bisa juara piala dunia</t>
  </si>
  <si>
    <t>['cuman', 'dijamannya', 'iwan', 'bule', 'argentina', 'juara', 'piala', 'dunia']</t>
  </si>
  <si>
    <t>Siapapun yang jadi juara, AKU PASTI BAHAGIA.  Banyak orang hanya memuja hasil, tapi lupa mencintai prosesnya.  ===== #FIFAWorldCup Argentina Prancis Arab Saudi Jepang Korsel Lionel Messi Kylian Mbappe Ronaldo Di Maria Emi Martines Aguero Greatest Of All Time  https://t.co/90YB5ocCMo</t>
  </si>
  <si>
    <t>siapapun yang jadi juara aku pasti bahagia banyak orang hanya memuja hasil tapi lupa mencintai prosesnya argentina prancis arab saudi jepang korsel lionel messi kylian mbappe ronaldo maria emi martines aguero greatest all time</t>
  </si>
  <si>
    <t>['siapapun', 'jadi', 'juara', 'aku', 'bahagia', 'banyak', 'orang', 'memuja', 'hasil', 'lupa', 'mencintai', 'prosesnya', 'argentina', 'prancis', 'arab', 'saudi', 'jepang', 'korsel', 'lionel', 'messi', 'kylian', 'mbappe', 'ronaldo', 'maria', 'emi', 'martines', 'aguero', 'greatest', 'all', 'time']</t>
  </si>
  <si>
    <t>KIPER: Emi MARTINEZ (Argentina) Perancis hanya setepis dari Martinez untuk jadi juara dunia. Penyelamatan Dibu di menit akhir OT dari Randall Kolo Muani menjadi momen juara Argentina. Ia juga dua kali memenangi adu penalti. Cadangan: Yassine Bounou/BONO (Maroko)</t>
  </si>
  <si>
    <t>kiper emi martinez argentina perancis hanya setepis dari martinez untuk jadi juara dunia penyelamatan dibu menit akhir dari randall kolo muani menjadi momen juara argentina juga dua kali memenangi adu penalti cadangan yassine bounou bono maroko</t>
  </si>
  <si>
    <t>['kiper', 'emi', 'martinez', 'argentina', 'perancis', 'setepis', 'martinez', 'jadi', 'juara', 'dunia', 'penyelamatan', 'dibu', 'menit', 'akhir', 'randall', 'kolo', 'muani', 'menjadi', 'momen', 'juara', 'argentina', 'kali', 'memenangi', 'adu', 'penalti', 'cadangan', 'yassine', 'bounou', 'bono', 'maroko']</t>
  </si>
  <si>
    <t>Pemain Terbaik, Kiper Terbaik . Argentina Juara Piala Dunia 2022  https://t.co/3BRZ6xJeqz</t>
  </si>
  <si>
    <t>pemain terbaik kiper terbaik argentina juara piala dunia</t>
  </si>
  <si>
    <t>['pemain', 'terbaik', 'kiper', 'terbaik', 'argentina', 'juara', 'piala', 'dunia']</t>
  </si>
  <si>
    <t>Argentina berhasil menjadi juara Piala Dunia 2022 di Qatar setelah menang melalui adu penalti menghadapi Prancis.  https://t.co/ifVuE9GaTQ</t>
  </si>
  <si>
    <t>argentina berhasil menjadi juara piala dunia qatar setelah menang melalui adu penalti menghadapi prancis</t>
  </si>
  <si>
    <t>['argentina', 'berhasil', 'menjadi', 'juara', 'piala', 'dunia', 'qatar', 'menang', 'melalui', 'adu', 'penalti', 'menghadapi', 'prancis']</t>
  </si>
  <si>
    <t>Argentina main sebagus itu dibilang juara give away, bilang aja kalah tarohan, makanya jangan judi ü§£</t>
  </si>
  <si>
    <t>argentina main sebagus itu dibilang juara give away bilang aja kalah tarohan makanya jangan judi</t>
  </si>
  <si>
    <t>['argentina', 'main', 'sebagus', 'dibilang', 'juara', 'give', 'away', 'kalah', 'tarohan', 'makanya', 'jangan', 'judi']</t>
  </si>
  <si>
    <t>masih gak nyangka Argentina juara dengan pemain2 medioker yang entah dari mana asalnya kayak molina, acuna, montiel, tagliafico, allister, pazella, enzo, almada, palacios dan 2 kiper cadangan yg gak pernah disebut kwkwkw</t>
  </si>
  <si>
    <t>masih gak nyangka argentina juara dengan pemain medioker yang entah dari mana asalnya kayak molina acuna montiel tagliafico allister pazella enzo almada palacios dan kiper cadangan gak pernah disebut kwkwkw</t>
  </si>
  <si>
    <t>['nyangka', 'argentina', 'juara', 'pemain', 'medioker', 'entah', 'mana', 'asalnya', 'seperti', 'molina', 'acuna', 'montiel', 'tagliafico', 'allister', 'pazella', 'enzo', 'almada', 'palacios', 'kiper', 'cadangan', 'pernah', 'disebut', 'kwkwkw']</t>
  </si>
  <si>
    <t>Turut bersuka cita atas juaranya Argentina. Maunya prancis yang juara karena ada pemain Milan. Cuma mau liat aja Messi angkat Trofi piala dunia. Soalnya kan Giroud udah pernah üòÅ</t>
  </si>
  <si>
    <t>turut bersuka cita atas juaranya argentina maunya prancis yang juara karena ada pemain milan cuma mau liat aja messi angkat trofi piala dunia soalnya kan giroud udah pernah</t>
  </si>
  <si>
    <t>['turut', 'bersuka', 'cita', 'atas', 'juaranya', 'argentina', 'maunya', 'prancis', 'juara', 'pemain', 'milan', 'cuma', 'mau', 'lihat', 'messi', 'angkat', 'trofi', 'piala', 'dunia', 'soalnya', 'kan', 'giroud', 'udah', 'pernah']</t>
  </si>
  <si>
    <t>Antara Euforia Juara Piala Dunia dan Inflasi Gila Argentina  https://t.co/I4Jx07RJh7</t>
  </si>
  <si>
    <t>antara euforia juara piala dunia dan inflasi gila argentina</t>
  </si>
  <si>
    <t>['euforia', 'juara', 'piala', 'dunia', 'inflasi', 'gila', 'argentina']</t>
  </si>
  <si>
    <t>Prediksi EA Sports soal Argentina Juara Piala Dunia 2022 Jadi Kenyataan  https://t.co/jIPimNThqk</t>
  </si>
  <si>
    <t>prediksi sports soal argentina juara piala dunia jadi kenyataan</t>
  </si>
  <si>
    <t>['prediksi', 'sports', 'soal', 'argentina', 'juara', 'piala', 'dunia', 'jadi', 'kenyataan']</t>
  </si>
  <si>
    <t>@Themann__98 @aqiiil17 @idextratime Sah Argentina Juara Dunia  https://t.co/ULT89ipBbn</t>
  </si>
  <si>
    <t>sah argentina juara dunia</t>
  </si>
  <si>
    <t>['sah', 'argentina', 'juara', 'dunia']</t>
  </si>
  <si>
    <t>@idextratime Setelah sukses membawa Argentina jadi juara dunia, Messi dkk akan diangkat PNS tanpa tes</t>
  </si>
  <si>
    <t>setelah sukses membawa argentina jadi juara dunia messi dkk akan diangkat pns tanpa tes</t>
  </si>
  <si>
    <t>['sukses', 'membawa', 'argentina', 'jadi', 'juara', 'dunia', 'messi', 'dkk', 'diangkat', 'pns', 'tes']</t>
  </si>
  <si>
    <t>@aruumaki Selamat menang argentina semoga prestasinya makin banyak dan tambah membanggakan, juara piala dunia lagi next world cup üê•üê£</t>
  </si>
  <si>
    <t>selamat menang argentina semoga prestasinya makin banyak dan tambah membanggakan juara piala dunia lagi next world cup</t>
  </si>
  <si>
    <t>['selamat', 'menang', 'argentina', 'semoga', 'prestasinya', 'makin', 'banyak', 'tambah', 'membanggakan', 'juara', 'piala', 'dunia', 'next', 'world', 'cup']</t>
  </si>
  <si>
    <t>@idextratime Pertanyaan menarik bagi kita hari ini adalah:  Siapa tokoh utama dibalik Argentina juara World Cup? Jawabannya jelas: Iwan Bule..!. Sejak memimpin PSSI pada 2 November 2019, Mochamad Iriawan atau Iwan Bule, menorehkan prestasi cemerlang.</t>
  </si>
  <si>
    <t>pertanyaan menarik bagi kita hari ini adalah siapa tokoh utama dibalik argentina juara world cup jawabannya jelas iwan bule sejak memimpin pssi pada november mochamad iriawan atau iwan bule menorehkan prestasi cemerlang</t>
  </si>
  <si>
    <t>['pertanyaan', 'menarik', 'hari', 'siapa', 'tokoh', 'utama', 'dibalik', 'argentina', 'juara', 'world', 'cup', 'jawabannya', 'jelas', 'iwan', 'bule', 'sejak', 'memimpin', 'pssi', 'november', 'mochamad', 'iriawan', 'iwan', 'bule', 'menorehkan', 'prestasi', 'cemerlang']</t>
  </si>
  <si>
    <t>‚ÄòIni Takdir Kami,‚Äô Kata Kiper Argentina Emiliano Martinez Setelah Juara Piala Dunia  https://t.co/AT0xNxzpHo</t>
  </si>
  <si>
    <t>ini takdir kami kata kiper argentina emiliano martinez setelah juara piala dunia</t>
  </si>
  <si>
    <t>['takdir', 'kata', 'kiper', 'argentina', 'emiliano', 'martinez', 'juara', 'piala', 'dunia']</t>
  </si>
  <si>
    <t>Dan Akhirnya Argentina Juara Dunia 2022  https://t.co/t9MuykB1JH</t>
  </si>
  <si>
    <t>dan akhirnya argentina juara dunia</t>
  </si>
  <si>
    <t>['akhirnya', 'argentina', 'juara', 'dunia']</t>
  </si>
  <si>
    <t>Argentina berhasil menjadi juara dunia dalam 3 kali kesempatan berbeda. Akan tetapi ketiganya memiliki kesamaan, terjadi saat inflasi tinggi.  https://t.co/gkgE7yuKI6</t>
  </si>
  <si>
    <t>argentina berhasil menjadi juara dunia dalam kali kesempatan berbeda akan tetapi ketiganya memiliki kesamaan terjadi saat inflasi tinggi</t>
  </si>
  <si>
    <t>['argentina', 'berhasil', 'menjadi', 'juara', 'dunia', 'kali', 'kesempatan', 'berbeda', 'ketiganya', 'memiliki', 'kesamaan', 'terjadi', 'inflasi', 'tinggi']</t>
  </si>
  <si>
    <t>Istri Lionel Messi, Antonela Roccuzzo ikut merayakan momen paling diimpikan sang suami, yakni saat membawa Argentina juara Piala Dunia 2022.  Antonela pun membeberkan penderitaan dan memuji sang suami yang pantang menyerah! üëè‚úäüá¶üá∑  https://t.co/7oTpsYTv3B</t>
  </si>
  <si>
    <t>istri lionel messi antonela roccuzzo ikut merayakan momen paling diimpikan sang suami yakni saat membawa argentina juara piala dunia antonela pun membeberkan penderitaan dan memuji sang suami yang pantang menyerah</t>
  </si>
  <si>
    <t>['istri', 'lionel', 'messi', 'antonela', 'roccuzzo', 'ikut', 'merayakan', 'momen', 'paling', 'diimpikan', 'sang', 'suami', 'membawa', 'argentina', 'juara', 'piala', 'dunia', 'antonela', 'membeberkan', 'penderitaan', 'memuji', 'sang', 'suami', 'pantang', 'menyerah']</t>
  </si>
  <si>
    <t>@PSSI Semoga juara seperti Argentina.üëå  https://t.co/lR98m6cwz4</t>
  </si>
  <si>
    <t>semoga juara seperti argentina</t>
  </si>
  <si>
    <t>['semoga', 'juara', 'argentina']</t>
  </si>
  <si>
    <t>Istri Lionel Messi, Antonela Roccuzzo ikut merayakan momen paling diimpikan sang suami, yakni saat membawa Argentina juara Piala Dunia 2022.  Antonela pun membeberkan penderitaan dan memuji sang suami yang pantang menyerah! üëè‚úäüá¶üá∑  https://t.co/7bxRsVpt8G</t>
  </si>
  <si>
    <t>@ikiinyasatu jadi nikah ma monyet ga? Argentina dah juara tuh, masa laki gabisa dipegang omongan nya</t>
  </si>
  <si>
    <t>jadi nikah monyet argentina dah juara tuh masa laki gabisa dipegang omongan nya</t>
  </si>
  <si>
    <t>['jadi', 'nikah', 'monyet', 'argentina', 'dah', 'juara', 'masa', 'laki', 'gabisa', 'dipegang', 'omongan']</t>
  </si>
  <si>
    <t>Aguero Hina Camavinga Usai Argentina Juara Piala Dunia 2022 | Liputan6  https://t.co/PaZe7LuMFC</t>
  </si>
  <si>
    <t>aguero hina camavinga usai argentina juara piala dunia liputan</t>
  </si>
  <si>
    <t>['aguero', 'hina', 'camavinga', 'usai', 'argentina', 'juara', 'piala', 'dunia', 'liputan']</t>
  </si>
  <si>
    <t>Istri Lionel Messi Berikan Hadiah Ciuman Usai Argentina Jadi Juara  https://t.co/q1zb7Kjf3R</t>
  </si>
  <si>
    <t>istri lionel messi berikan hadiah ciuman usai argentina jadi juara</t>
  </si>
  <si>
    <t>['istri', 'lionel', 'messi', 'berikan', 'hadiah', 'ciuman', 'usai', 'argentina', 'jadi', 'juara']</t>
  </si>
  <si>
    <t>@RefublikAteis Pada bahas Zidane, Zidane...  Ngerti yg dimaksud pemain terbaik pd eranya gak sih ?? Era Zidane banyak pemain yg bagus ada Kaka, Ronaldinho, schevchenko, Beckham, Totti, Roberto Carlos, masih banyak lagi</t>
  </si>
  <si>
    <t>pada bahas zidane zidane ngerti dimaksud pemain terbaik eranya gak sih era zidane banyak pemain bagus ada kaka ronaldinho schevchenko beckham totti roberto carlos masih banyak lagi</t>
  </si>
  <si>
    <t>['bahas', 'zidane', 'zidane', 'ngerti', 'dimaksud', 'pemain', 'terbaik', 'eranya', 'era', 'zidane', 'banyak', 'pemain', 'bagus', 'kaka', 'ronaldinho', 'schevchenko', 'beckham', 'totti', 'roberto', 'carlos', 'banyak']</t>
  </si>
  <si>
    <t>Edisi Argentina Juara Piala Dunia Qatar 2022   https://t.co/swqV5XmzKN  https://t.co/bHwG7MncG2  https://t.co/DpKWOuZmb2  https://t.co/oeXAO4Hjzx  https://t.co/FOLLy5O1oy  Emaknya messi pasti bangga anaknya juara 1, mbappe pasti masih sedih sampek sekarang..</t>
  </si>
  <si>
    <t>edisi argentina juara piala dunia qatar emaknya messi pasti bangga anaknya juara mbappe pasti masih sedih sampek sekarang</t>
  </si>
  <si>
    <t>['edisi', 'argentina', 'juara', 'piala', 'dunia', 'qatar', 'emaknya', 'messi', 'bangga', 'anaknya', 'juara', 'mbappe', 'sedih', 'sampek', 'sekarang']</t>
  </si>
  <si>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</si>
  <si>
    <t>penantian panjang sang mega bintang sepak bola akhirnya tertuntaskan world cup qatar setelah argentina berhasil mengalahkan sang juara bertahan france lewat drama adu penalti dengan ini lengkap sudah koleksi trophy sang goat lapangan sepak bola</t>
  </si>
  <si>
    <t>['penantian', 'panjang', 'sang', 'mega', 'bintang', 'sepak', 'bola', 'akhirnya', 'tertuntaskan', 'world', 'cup', 'qatar', 'argentina', 'berhasil', 'mengalahkan', 'sang', 'juara', 'bertahan', 'france', 'lewat', 'drama', 'adu', 'penalti', 'lengkap', 'koleksi', 'trophy', 'sang', 'goat', 'lapangan', 'sepak', 'bola']</t>
  </si>
  <si>
    <t>adu wallpaper bosüêêüëë  https://t.co/FoB77FtYGL</t>
  </si>
  <si>
    <t>adu wallpaper bos</t>
  </si>
  <si>
    <t>['adu', 'wallpaper', 'bos']</t>
  </si>
  <si>
    <t>@idextratime Dari awal emang seperti semesta mendukung Messi dan Argentina u/ Juara.</t>
  </si>
  <si>
    <t>dari awal emang seperti semesta mendukung messi dan argentina juara</t>
  </si>
  <si>
    <t>['awal', 'emang', 'semesta', 'mendukung', 'messi', 'argentina', 'juara']</t>
  </si>
  <si>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</si>
  <si>
    <t>Pemain Argentina pas abis juara world cup diangkat jadi PNS kaga ya ?</t>
  </si>
  <si>
    <t>pemain argentina pas abis juara world cup diangkat jadi pns kaga</t>
  </si>
  <si>
    <t>['pemain', 'argentina', 'pas', 'abis', 'juara', 'world', 'cup', 'diangkat', 'jadi', 'pns', 'kaga']</t>
  </si>
  <si>
    <t>Argentina Juara Piala Dunia 2022, Akhiri Penatian Setelah 36 Tahun  https://t.co/8tX9JmocNI lewat @YouTube</t>
  </si>
  <si>
    <t>argentina juara piala dunia akhiri penatian setelah tahun lewat</t>
  </si>
  <si>
    <t>['argentina', 'juara', 'piala', 'dunia', 'akhiri', 'penatian', 'tahun', 'lewat']</t>
  </si>
  <si>
    <t>@Beritasatu Setelah bawa argentina juara, messi lansung terbang ke Indonesia buat nyari tukang pijat urut. Gak tanggung2 lansung ke perkampungan biar dapet diskon tinggi  https://t.co/zAXES2asj3</t>
  </si>
  <si>
    <t>setelah bawa argentina juara messi lansung terbang indonesia buat nyari tukang pijat urut gak tanggung lansung perkampungan biar dapet diskon tinggi</t>
  </si>
  <si>
    <t>['bawa', 'argentina', 'juara', 'messi', 'lansung', 'terbang', 'indonesia', 'buat', 'nyari', 'tukang', 'pijat', 'urut', 'tanggung', 'lansung', 'perkampungan', 'dapat', 'diskon', 'tinggi']</t>
  </si>
  <si>
    <t>Selain faktor Takdir, Kerja Keras &amp;amp; Lionel Messi, Argentina jadi juara dunia karena ketua Federasinya bukan Iwan Bule &amp;amp; Pelatih Timnasnya bukan Southgate. Gitu. #GOATìÉµ</t>
  </si>
  <si>
    <t>selain faktor takdir kerja keras lionel messi argentina jadi juara dunia karena ketua federasinya bukan iwan bule pelatih timnasnya bukan southgate gitu</t>
  </si>
  <si>
    <t>['faktor', 'takdir', 'kerja', 'keras', 'lionel', 'messi', 'argentina', 'jadi', 'juara', 'dunia', 'ketua', 'federasinya', 'bukan', 'iwan', 'bule', 'pelatih', 'timnasnya', 'bukan', 'southgate', 'gitu']</t>
  </si>
  <si>
    <t>@FebriYafi1 @hrvione @idextratime Ngga Terima banget bang argentina juara wkwkw, padahal semalem finalnya bener bener seruu, pasti kalo juara bilang nya giveaway mulu kocakk</t>
  </si>
  <si>
    <t>ngga terima banget bang argentina juara wkwkw padahal semalem finalnya bener bener seruu pasti kalo juara bilang nya giveaway mulu kocakk</t>
  </si>
  <si>
    <t>['ngga', 'terima', 'banget', 'bang', 'argentina', 'juara', 'wkwkw', 'padahal', 'semalam', 'finalnya', 'benar', 'benar', 'seruu', 'juara', 'giveaway', 'mulu', 'kocakk']</t>
  </si>
  <si>
    <t>juara 1 Argentina juara 2 Prancis juara 3 Kroasia juara harapan 1 Maroko berharap juara Portu-</t>
  </si>
  <si>
    <t>juara argentina juara prancis juara kroasia juara harapan maroko berharap juara portu</t>
  </si>
  <si>
    <t>['juara', 'argentina', 'juara', 'prancis', 'juara', 'kroasia', 'juara', 'harapan', 'maroko', 'berharap', 'juara', 'portu']</t>
  </si>
  <si>
    <t>Argentina juara dikatain setingan mulu, lain cerita kalau kalah wkwk</t>
  </si>
  <si>
    <t>argentina juara dikatain setingan mulu lain cerita kalau kalah wkwk</t>
  </si>
  <si>
    <t>['argentina', 'juara', 'dikatain', 'settingan', 'mulu', 'cerita', 'kalau', 'kalah']</t>
  </si>
  <si>
    <t>Masihkah Jatim juara bertahan #LombaBacaKitabKuning Edisi VI tahun 2022 kali ini atau ada juara baru? Semalem juara bertahan Perancis üá´üá∑ tumbang di tangan Argentina üá¶üá∑ ...  https://t.co/xsvB1FvQUf</t>
  </si>
  <si>
    <t>masihkah jatim juara bertahan edisi tahun kali ini atau ada juara baru semalem juara bertahan perancis tumbang tangan argentina</t>
  </si>
  <si>
    <t>['masihkah', 'jatim', 'juara', 'bertahan', 'edisi', 'tahun', 'kali', 'juara', 'baru', 'semalam', 'juara', 'bertahan', 'perancis', 'tumbang', 'tangan', 'argentina']</t>
  </si>
  <si>
    <t>@jek___ @iwanfals Argentina tdk akan jd juara tnp andil Scaloni¬†Bule</t>
  </si>
  <si>
    <t>argentina tdk akan juara tnp andil scaloni bule</t>
  </si>
  <si>
    <t>['argentina', 'juara', 'tnp', 'andil', 'scaloni', 'bule']</t>
  </si>
  <si>
    <t>@A_ZeeJKT48 Buka pencarian google ketik "Argentina juara" maka akan muncul kembang api di pencarian google kmu @A_ZeeJKT48</t>
  </si>
  <si>
    <t>zeejkt buka pencarian google ketik argentina juara maka akan muncul kembang api pencarian google kmu zeejkt</t>
  </si>
  <si>
    <t>['zeejkt', 'buka', 'pencarian', 'google', 'ketik', 'argentina', 'juara', 'muncul', 'kembang', 'api', 'pencarian', 'google', 'kmu', 'zeejkt']</t>
  </si>
  <si>
    <t>@fadhilChaniagoo @RefublikAteis Lah cr kan sering dapet di liga Champions, makanya ada julukan penaldo</t>
  </si>
  <si>
    <t>lah kan sering dapet liga champions makanya ada julukan penaldo</t>
  </si>
  <si>
    <t>['lah', 'kan', 'sering', 'dapat', 'liga', 'champions', 'makanya', 'julukan', 'penaldo']</t>
  </si>
  <si>
    <t>Semalam sebenernya ngedukung Prancis, soalnya ngeliat dari skuadnya lengkap bgt. Diliat dr kolektivitas atau individu jg, menurutku, Prancis di atas Argentina.  Trs, kalo Prancis jd juara dunia, perdebatan siapa GOAT di antara Messi atau Ronaldo ga akan berhenti. Pengennya gituüòÖ</t>
  </si>
  <si>
    <t>semalam sebenernya ngedukung prancis soalnya ngeliat dari skuadnya lengkap bgt diliat kolektivitas atau individu menurutku prancis atas argentina trs kalo prancis juara dunia perdebatan siapa goat antara messi atau ronaldo akan berhenti pengennya gitu</t>
  </si>
  <si>
    <t>['semalam', 'sebenernya', 'ngedukung', 'prancis', 'soalnya', 'ngeliat', 'skuadnya', 'lengkap', 'banget', 'diliat', 'kolektivitas', 'individu', 'menurutku', 'prancis', 'atas', 'argentina', 'terus', 'prancis', 'juara', 'dunia', 'perdebatan', 'siapa', 'goat', 'messi', 'ronaldo', 'berhenti', 'pengennya', 'gitu']</t>
  </si>
  <si>
    <t>Bawa Argentina Juara Piala Dunia, Messi Ikuti Jejak Kempes dan Maradona  https://t.co/GoFASWXaYo</t>
  </si>
  <si>
    <t>bawa argentina juara piala dunia messi ikuti jejak kempes dan maradona</t>
  </si>
  <si>
    <t>['bawa', 'argentina', 'juara', 'piala', 'dunia', 'messi', 'ikuti', 'jejak', 'kempes', 'maradona']</t>
  </si>
  <si>
    <t>Momen Pendukung di Ternate Rayakan Keberhasilan Argentina Rengkuh Gelar Juara Piala Dunia  https://t.co/HyAyCT42qe  https://t.co/shFSAvQPyL</t>
  </si>
  <si>
    <t>momen pendukung ternate rayakan keberhasilan argentina rengkuh gelar juara piala dunia</t>
  </si>
  <si>
    <t>['momen', 'pendukung', 'ternate', 'rayakan', 'keberhasilan', 'argentina', 'rengkuh', 'gelar', 'juara', 'piala', 'dunia']</t>
  </si>
  <si>
    <t>@DMPMHNDRA @RefublikAteis Zidane, Kaka, Ronaldinho, Beckham dll pada eranya terlalu banyak pemain hebat yg setara.  Makanya gak bisa disebutkan Zidane terbaik pada masanya</t>
  </si>
  <si>
    <t>zidane kaka ronaldinho beckham dll pada eranya terlalu banyak pemain hebat setara makanya gak bisa disebutkan zidane terbaik pada masanya</t>
  </si>
  <si>
    <t>['zidane', 'kaka', 'ronaldinho', 'beckham', 'eranya', 'terlalu', 'banyak', 'pemain', 'hebat', 'setara', 'makanya', 'disebutkan', 'zidane', 'terbaik', 'masanya']</t>
  </si>
  <si>
    <t>Final piala dunia 2022 mengingatkan kita pada piala dunia 1998, waktu itu brasil sebagai juara bertahan ditaklukkan prancis 0-3, kali ini prancis sebagai juara bertahan ditaklukkan argentina #PialaDunia2022 #brasil #prancis #argentina</t>
  </si>
  <si>
    <t>final piala dunia mengingatkan kita pada piala dunia waktu itu brasil sebagai juara bertahan ditaklukkan prancis kali ini prancis sebagai juara bertahan ditaklukkan argentina</t>
  </si>
  <si>
    <t>['final', 'piala', 'dunia', 'mengingatkan', 'piala', 'dunia', 'waktu', 'brasil', 'juara', 'bertahan', 'ditaklukkan', 'prancis', 'kali', 'prancis', 'juara', 'bertahan', 'ditaklukkan', 'argentina']</t>
  </si>
  <si>
    <t>Banyak yg masih gak terima argentina juara #FIFAWorldCup 2022, Dan makin banyak lagi kaum2 sakit hati yg gak terima kalo the real goat itu leo messi üòÇ</t>
  </si>
  <si>
    <t>banyak masih gak terima argentina juara dan makin banyak lagi kaum sakit hati gak terima kalo the real goat itu leo messi</t>
  </si>
  <si>
    <t>['banyak', 'terima', 'argentina', 'juara', 'makin', 'banyak', 'kaum', 'sakit', 'hati', 'terima', 'the', 'real', 'goat', 'leo', 'messi']</t>
  </si>
  <si>
    <t>Selamat @PSSI berkat bimbingan dari pak Ketum, akhirnya Argentina juara</t>
  </si>
  <si>
    <t>selamat berkat bimbingan dari pak ketum akhirnya argentina juara</t>
  </si>
  <si>
    <t>['selamat', 'berkat', 'bimbingan', 'pak', 'ketum', 'akhirnya', 'argentina', 'juara']</t>
  </si>
  <si>
    <t>ini ada air turun dari langit yg turun air hujan apa air mata fans prancis ya?</t>
  </si>
  <si>
    <t>ini ada air turun dari langit turun air hujan apa air mata fans prancis</t>
  </si>
  <si>
    <t>['air', 'turun', 'langit', 'turun', 'air', 'hujan', 'apa', 'air', 'mata', 'fans', 'prancis']</t>
  </si>
  <si>
    <t>FYP ku banyak ronaldo ketimbang juara Argentina</t>
  </si>
  <si>
    <t>fyp banyak ronaldo ketimbang juara argentina</t>
  </si>
  <si>
    <t>['fyp', 'banyak', 'ronaldo', 'ketimbang', 'juara', 'argentina']</t>
  </si>
  <si>
    <t>üíö ketik "argentina juara" dipencarian google, dan akan ada kembang api di layar hp mu  https://t.co/87PGQBLnAS</t>
  </si>
  <si>
    <t>ketik argentina juara dipencarian google dan akan ada kembang api layar</t>
  </si>
  <si>
    <t>['ketik', 'argentina', 'juara', 'dipencarian', 'google', 'kembang', 'api', 'layar']</t>
  </si>
  <si>
    <t>Kata-kata Magis Peter Drury yang mengantar Argentina Juara Piala Dunia! . #EMTEKWORLDCUP2022 #BOLANETWORLDCUP2022  #PialaDunia #PialaDunia2022  https://t.co/LinrOEDPSl</t>
  </si>
  <si>
    <t>kata kata magis peter drury yang mengantar argentina juara piala dunia</t>
  </si>
  <si>
    <t>['kata', 'kata', 'magis', 'peter', 'drury', 'mengantar', 'argentina', 'juara', 'piala', 'dunia']</t>
  </si>
  <si>
    <t>Messi mengaku sudah mendapatkan firasat sebelum membawa La Albiceleste menjadi juara dunia untuk kali ketiga üíô  VAMOS ARGENTINA üá¶üá∑  üìù  https://t.co/chjcnwce7v  #FIFAWorldCup #Qatar2022 #Megabintang #ARG  https://t.co/pw28B7VkF7</t>
  </si>
  <si>
    <t>messi mengaku sudah mendapatkan firasat sebelum membawa albiceleste menjadi juara dunia untuk kali ketiga vamos argentina</t>
  </si>
  <si>
    <t>['messi', 'mengaku', 'mendapatkan', 'firasat', 'membawa', 'albiceleste', 'menjadi', 'juara', 'dunia', 'kali', 'ketiga', 'vamos', 'argentina']</t>
  </si>
  <si>
    <t>@0v3rwhelmed padahal wes ta andani, Argentina seng juara lho</t>
  </si>
  <si>
    <t>padahal wes andani argentina seng juara lho</t>
  </si>
  <si>
    <t>['padahal', 'wes', 'andani', 'argentina', 'seng', 'juara', 'lho']</t>
  </si>
  <si>
    <t>Kalo cuma 10 pemaen, argentina ga bakal juara.</t>
  </si>
  <si>
    <t>kalo cuma pemaen argentina bakal juara</t>
  </si>
  <si>
    <t>['cuma', 'pemaen', 'argentina', 'bakal', 'juara']</t>
  </si>
  <si>
    <t>TERIMAKASIH TUHAN,AKHIRNYA MESSI BISA MEMBAWA ARGENTINA JUARA PIALA DUNIA 2022.  https://t.co/CwXtZextLt</t>
  </si>
  <si>
    <t>terimakasih tuhan akhirnya messi bisa membawa argentina juara piala dunia</t>
  </si>
  <si>
    <t>['terimakasih', 'tuhan', 'akhirnya', 'messi', 'membawa', 'argentina', 'juara', 'piala', 'dunia']</t>
  </si>
  <si>
    <t>@YudhiArmansyah @RefublikAteis Messi baru menang 2021 kemarin antara juara Copa America lawan juara euro italy. 3-0 apa yg mau dibuktikan lagi ?</t>
  </si>
  <si>
    <t>messi baru menang kemarin antara juara copa america lawan juara euro italy apa mau dibuktikan lagi</t>
  </si>
  <si>
    <t>['messi', 'baru', 'menang', 'kemarin', 'juara', 'copa', 'america', 'lawan', 'juara', 'euro', 'italy', 'apa', 'mau', 'dibuktikan']</t>
  </si>
  <si>
    <t>@Iqball_Aldho mergo argentina juara po bg? wkwkwk</t>
  </si>
  <si>
    <t>aldho mergo argentina juara wkwkwk</t>
  </si>
  <si>
    <t>['aldho', 'mergo', 'argentina', 'juara', 'wkwkwk']</t>
  </si>
  <si>
    <t>Terungkap Ini Dia Rahasia Argentina Juara Piala Dunia 2022  https://t.co/K2WANDq2ny</t>
  </si>
  <si>
    <t>terungkap ini dia rahasia argentina juara piala dunia</t>
  </si>
  <si>
    <t>['terungkap', 'rahasia', 'argentina', 'juara', 'piala', 'dunia']</t>
  </si>
  <si>
    <t>Prediksi Kang Agun Terbukti, Argentina Juara Piala Dunia 2022  https://t.co/XrGHUtbTdf #Ciamis #berita_ciamis #berita_ciamis_terbaru</t>
  </si>
  <si>
    <t>prediksi kang agun terbukti argentina juara piala dunia ciamis ciamis terbaru</t>
  </si>
  <si>
    <t>['prediksi', 'kang', 'agun', 'terbukti', 'argentina', 'juara', 'piala', 'dunia', 'ciamis', 'ciamis', 'terbaru']</t>
  </si>
  <si>
    <t>@tanyakanrl Sesederhana LOA kalo Argentina bakal jadi juara pildun 2022, bawa dalam doa terus meskipun ini cuman bola, and look what happen? Terjadilah sesuai apa yg kita percaya üòá</t>
  </si>
  <si>
    <t>sesederhana loa kalo argentina bakal jadi juara pildun bawa dalam doa terus meskipun ini cuman bola and look what happen terjadilah sesuai apa kita percaya</t>
  </si>
  <si>
    <t>['sesederhana', 'loa', 'argentina', 'bakal', 'jadi', 'juara', 'piala dunia', 'bawa', 'doa', 'terus', 'meskipun', 'cuman', 'bola', 'and', 'look', 'what', 'happen', 'terjadilah', 'sesuai', 'apa', 'percaya']</t>
  </si>
  <si>
    <t>@SanWijy @RefublikAteis Ronaldo Brazil blokkk, kalo yg Madrid namanya Cristiano</t>
  </si>
  <si>
    <t>ronaldo brazil blokkk kalo madrid namanya cristiano</t>
  </si>
  <si>
    <t>['ronaldo', 'brazil', 'blokkk', 'madrid', 'namanya', 'cristiano']</t>
  </si>
  <si>
    <t>Timnas Argentina Juara Piala Dunia 2022, Perdebatan Lionel Messi atau Cristiano Ronaldo yang Terbaik Selesai?  https://t.co/CXkmaYg2A4</t>
  </si>
  <si>
    <t>timnas argentina juara piala dunia perdebatan lionel messi atau cristiano ronaldo yang terbaik selesai</t>
  </si>
  <si>
    <t>['timnas', 'argentina', 'juara', 'piala', 'dunia', 'perdebatan', 'lionel', 'messi', 'cristiano', 'ronaldo', 'terbaik', 'selesai']</t>
  </si>
  <si>
    <t>daritadi mantengin story ignya messi cuma 2 terus postingannya cuma 1 setelah dia berhasil bawa argentina juara di piala dunia. temen-temennya pada spam. meskipun sekarang orang-orang satu bumi ngarahnya ke messi semua  hanya info kenapa gabakal ada lagi org kaya lionel messi</t>
  </si>
  <si>
    <t>daritadi mantengin story ignya messi cuma terus postingannya cuma setelah dia berhasil bawa argentina juara piala dunia temen temennya pada spam meskipun sekarang orang orang satu bumi ngarahnya messi semua hanya info kenapa gabakal ada lagi org kaya lionel messi</t>
  </si>
  <si>
    <t>['daritadi', 'mantengin', 'story', 'ignya', 'messi', 'cuma', 'terus', 'postingannya', 'cuma', 'berhasil', 'bawa', 'argentina', 'juara', 'piala', 'dunia', 'temen', 'temennya', 'spam', 'meskipun', 'sekarang', 'orang', 'orang', 'satu', 'bumi', 'ngarahnya', 'messi', 'semua', 'info', 'gabakal', 'org', 'kaya', 'lionel', 'messi']</t>
  </si>
  <si>
    <t>@kisbet_ @rarasathie_ @meltdownbytori 1. Juara 3x ‚≠ê‚≠ê‚≠ê  2. Juara di Argentina 1978, Mexico 1986, Qatar 2022  3. 1978, Mario Kempes 6 gol. 1986, Diego Maradona 5 gol. 2022, Lionel Messi 7 gol.</t>
  </si>
  <si>
    <t>juara juara argentina mexico qatar mario kempes gol diego maradona gol lionel messi gol</t>
  </si>
  <si>
    <t>['juara', 'juara', 'argentina', 'mexico', 'qatar', 'mario', 'kempes', 'gol', 'diego', 'maradona', 'gol', 'lionel', 'messi', 'gol']</t>
  </si>
  <si>
    <t>@TaufikDamas kalian pada lupa ya..? bahwa skrg Argentina juara 1 di PD Qatar 2022.. lho...</t>
  </si>
  <si>
    <t>kalian pada lupa bahwa skrg argentina juara qatar lho</t>
  </si>
  <si>
    <t>['kalian', 'lupa', 'skrg', 'argentina', 'juara', 'qatar', 'lho']</t>
  </si>
  <si>
    <t>Pertandingan final terbaik tadi malam Argentina vs France, idola Messi juara...best of the best</t>
  </si>
  <si>
    <t>pertandingan final terbaik tadi malam argentina france idola messi juara best the best</t>
  </si>
  <si>
    <t>['pertandingan', 'final', 'terbaik', 'tadi', 'malam', 'argentina', 'france', 'idola', 'messi', 'juara', 'best', 'the', 'best']</t>
  </si>
  <si>
    <t>Ada kabar buruk yang mengancam masyarakat Argentina setelah Lionel Messi dan rekan-rekannya di tim nasional sah meraih gelar juara Piala Dunia 2022 Qatar. üò±  https://t.co/vID3xo428G</t>
  </si>
  <si>
    <t>ada kabar buruk yang mengancam masyarakat argentina setelah lionel messi dan rekan rekannya tim nasional sah meraih gelar juara piala dunia qatar</t>
  </si>
  <si>
    <t>['kabar', 'buruk', 'mengancam', 'masyarakat', 'argentina', 'lionel', 'messi', 'rekan', 'rekannya', 'tim', 'nasional', 'sah', 'meraih', 'gelar', 'juara', 'piala', 'dunia', 'qatar']</t>
  </si>
  <si>
    <t>Ada kabar buruk yang mengancam masyarakat Argentina setelah Lionel Messi dan rekan-rekannya di tim nasional sah meraih gelar juara Piala Dunia 2022 Qatar. üò±  https://t.co/AwihweTlc5</t>
  </si>
  <si>
    <t>DPD Partai Golkar Purwakarta mengucapkan selamat atas disematkannya Argentina sebagai juara Piala Dunia 2022 üíõüôèüíõ  https://t.co/zwD5DJhQDu</t>
  </si>
  <si>
    <t>dpd partai golkar purwakarta mengucapkan selamat atas disematkannya argentina sebagai juara piala dunia</t>
  </si>
  <si>
    <t>['dpd', 'partai', 'golkar', 'purwakarta', 'mengucapkan', 'selamat', 'atas', 'disematkannya', 'argentina', 'juara', 'piala', 'dunia']</t>
  </si>
  <si>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</si>
  <si>
    <t>argentina juara piala dunia sebanyak kali lionel messi the goat liga copa del rey champions league spanish super cup uefa super cup club world cup ligue copa america ballon</t>
  </si>
  <si>
    <t>['argentina', 'juara', 'piala', 'dunia', 'sebanyak', 'kali', 'lionel', 'messi', 'the', 'goat', 'liga', 'copa', 'del', 'rey', 'champions', 'league', 'spanish', 'super', 'cup', 'uefa', 'super', 'cup', 'club', 'world', 'cup', 'ligue', 'copa', 'america', 'ballon']</t>
  </si>
  <si>
    <t>Selamat buat argentina, juara piala dunia 2022 qatar, juga buat messi yg jadi pemain terbaik turnamen akbar kali ini, menjadi kado terindahnya sebelum pensiun di timnas #argentina #messi #PialaDunia2022</t>
  </si>
  <si>
    <t>selamat buat argentina juara piala dunia qatar juga buat messi jadi pemain terbaik turnamen akbar kali ini menjadi kado terindahnya sebelum pensiun timnas</t>
  </si>
  <si>
    <t>['selamat', 'buat', 'argentina', 'juara', 'piala', 'dunia', 'qatar', 'buat', 'messi', 'jadi', 'pemain', 'terbaik', 'turnamen', 'akbar', 'kali', 'menjadi', 'kado', 'terindahnya', 'pensiun', 'timnas']</t>
  </si>
  <si>
    <t>@Zanubiasasaja argentina juara garnaco radijak</t>
  </si>
  <si>
    <t>argentina juara garnaco radijak</t>
  </si>
  <si>
    <t>['argentina', 'juara', 'garnaco', 'radijak']</t>
  </si>
  <si>
    <t>Juara Piala Dunia 2022, Timnas Argentina Dibanjiri Ucapan Selamat  https://t.co/F4i17ur5ad</t>
  </si>
  <si>
    <t>juara piala dunia timnas argentina dibanjiri ucapan selamat</t>
  </si>
  <si>
    <t>['juara', 'piala', 'dunia', 'timnas', 'argentina', 'dibanjiri', 'ucapan', 'selamat']</t>
  </si>
  <si>
    <t>@sugadibalikagus @indosupporter Kalo ada, nanti Argentina ga bisa juara Copa dong</t>
  </si>
  <si>
    <t>kalo ada nanti argentina bisa juara copa dong</t>
  </si>
  <si>
    <t>['argentina', 'juara', 'copa', 'dong']</t>
  </si>
  <si>
    <t>antara seneng sama sedih, senengnya argentina juara sedih nya dompet ilang anjing.</t>
  </si>
  <si>
    <t>antara seneng sama sedih senengnya argentina juara sedih nya dompet ilang anjing</t>
  </si>
  <si>
    <t>['seneng', 'sama', 'sedih', 'senengnya', 'argentina', 'juara', 'sedih', 'dompet', 'ilang', 'anjing']</t>
  </si>
  <si>
    <t>@textsfromurgf Argentina juara, tpi lebih seneng jdi juara di hatinya @textsfromurgf üôåüèªüôåüèª</t>
  </si>
  <si>
    <t>argentina juara tpi lebih seneng jdi juara hatinya</t>
  </si>
  <si>
    <t>['argentina', 'juara', 'tpi', 'lebih', 'seneng', 'jdi', 'juara', 'hatinya']</t>
  </si>
  <si>
    <t>Atau dokumenter argentina di piala dunia ini, kemarin yg juara copa aja udh merinding nontonnya</t>
  </si>
  <si>
    <t>atau dokumenter argentina piala dunia ini kemarin juara copa aja udh merinding nontonnya</t>
  </si>
  <si>
    <t>['dokumenter', 'argentina', 'piala', 'dunia', 'kemarin', 'juara', 'copa', 'sudah', 'merinding', 'nontonnya']</t>
  </si>
  <si>
    <t>Argentina Juara, Emiliano Martinez Kirim Ejekan Brutal ke Kylian Mbappe ‚Äì inews ‚Äì  https://t.co/SWzASY8Nzh ‚Äì #Arenanews #Kamidi #Opsiminfo- https://t.co/FLyfkf6ihk</t>
  </si>
  <si>
    <t>argentina juara emiliano martinez kirim ejekan brutal kylian mbappe inews</t>
  </si>
  <si>
    <t>['argentina', 'juara', 'emiliano', 'martinez', 'kirim', 'ejekan', 'brutal', 'kylian', 'mbappe', 'inews']</t>
  </si>
  <si>
    <t>Bawa Argentina Juara Piala Dunia 2022, Lionel Messi Tambah Koleksi Mobil? ‚Äì Inews ‚Äì  https://t.co/kFWIiT1UZV ‚Äì #Arenanews #Kamidi #Opsiminfo- https://t.co/DJiOdy7sBa</t>
  </si>
  <si>
    <t>bawa argentina juara piala dunia lionel messi tambah koleksi mobil inews</t>
  </si>
  <si>
    <t>['bawa', 'argentina', 'juara', 'piala', 'dunia', 'lionel', 'messi', 'tambah', 'koleksi', 'mobil', 'inews']</t>
  </si>
  <si>
    <t>Ansar-Soerya Nonton Bareng Argentina Juara Piala Dunia Qatar 2022 Bersama Masyarakat Batam  https://t.co/3m4hKn04CI lewat @WartaKepri.co.id</t>
  </si>
  <si>
    <t>ansar soerya nonton bareng argentina juara piala dunia qatar bersama masyarakat batam lewat</t>
  </si>
  <si>
    <t>['ansar', 'soerya', 'nonton', 'bareng', 'argentina', 'juara', 'piala', 'dunia', 'qatar', 'bersama', 'masyarakat', 'batam', 'lewat']</t>
  </si>
  <si>
    <t>@indosupporter Cuma di era PSSInya Iwan Bule, Argentina bisa Juara Dunia. Kurang bagong apa coba!?</t>
  </si>
  <si>
    <t>cuma era pssinya iwan bule argentina bisa juara dunia kurang bagong apa coba</t>
  </si>
  <si>
    <t>['cuma', 'era', 'pssinya', 'iwan', 'bule', 'argentina', 'juara', 'dunia', 'kurang', 'bagong', 'apa', 'coba']</t>
  </si>
  <si>
    <t>Momen Haru Tangis Ibu Lionel Messi Pecah Saat Argentina Juara Piala Dunia 2022  https://t.co/iXRFQPwrds</t>
  </si>
  <si>
    <t>momen haru tangis ibu lionel messi pecah saat argentina juara piala dunia</t>
  </si>
  <si>
    <t>['momen', 'haru', 'tangis', 'ibu', 'lionel', 'messi', 'pecah', 'argentina', 'juara', 'piala', 'dunia']</t>
  </si>
  <si>
    <t>@Jumadi52056989 @YaqutCQoumas Kalau saya Pak Gusmen... dukung Maroko... Pas kalah oleh Perancis.. Jadi saya dukung Argentina.. Faktornya... yaaah.. biar komplik juara yang diraih Messi... he he.. Sebenarnya saya juga menyukai Mbape... tapi beliau udah mer</t>
  </si>
  <si>
    <t>kalau saya pak gusmen dukung maroko pas kalah oleh perancis jadi saya dukung argentina faktornya yaaah biar komplik juara yang diraih messi sebenarnya saya juga menyukai mbape tapi beliau udah mer</t>
  </si>
  <si>
    <t>['kalau', 'pak', 'gusmen', 'dukung', 'maroko', 'pas', 'kalah', 'perancis', 'jadi', 'dukung', 'argentina', 'faktornya', 'yaaah', 'komplik', 'juara', 'diraih', 'messi', 'sebenarnya', 'menyukai', 'mbape', 'beliau', 'udah', 'mer']</t>
  </si>
  <si>
    <t>@realmadridindo1 35 tahun  Semua penghargaan sudah dia dapat, bahkan event tertinggi kelas piala dunia  Head to head dengan semua pemain yang lo sebutin juga kalah bos dengan seorang messi.  Dan juara itu untuk argentina, messi hanya membantu memenangkann</t>
  </si>
  <si>
    <t>tahun semua penghargaan sudah dia dapat bahkan event tertinggi kelas piala dunia head head dengan semua pemain yang sebutin juga kalah bos dengan seorang messi dan juara itu untuk argentina messi hanya membantu memenangkann</t>
  </si>
  <si>
    <t>['tahun', 'semua', 'penghargaan', 'bahkan', 'event', 'tertinggi', 'kelas', 'piala', 'dunia', 'head', 'head', 'semua', 'pemain', 'sebutin', 'kalah', 'bos', 'seorang', 'messi', 'juara', 'argentina', 'messi', 'membantu', 'memenangkann']</t>
  </si>
  <si>
    <t>Received via WhatsApp  "Keputusan Argentina menang belum rasmi. Dengar dengar Croatia, Morocco setuju bergabung dengan France untuk menjadi gabungan juara Piala Dunia. Kita tunggu keputusan penuh dari FIFA pukul 3 ptg nanti."</t>
  </si>
  <si>
    <t>received via whatsapp keputusan argentina menang belum rasmi dengar dengar croatia morocco setuju bergabung dengan france untuk menjadi gabungan juara piala dunia kita tunggu keputusan penuh dari fifa pukul ptg nanti</t>
  </si>
  <si>
    <t>['received', 'via', 'whatsapp', 'keputusan', 'argentina', 'menang', 'rasmi', 'dengar', 'dengar', 'croatia', 'morocco', 'setuju', 'bergabung', 'france', 'menjadi', 'gabungan', 'juara', 'piala', 'dunia', 'tunggu', 'keputusan', 'penuh', 'fifa', 'pukul', 'ptg']</t>
  </si>
  <si>
    <t>Parade Juara, Timnas Argentina Naik Bus Terbuka dan Dikawal Pasukan Berkuda  https://t.co/WyUkfgfnD4</t>
  </si>
  <si>
    <t>parade juara timnas argentina naik bus terbuka dan dikawal pasukan berkuda</t>
  </si>
  <si>
    <t>['parade', 'juara', 'timnas', 'argentina', 'naik', 'bus', 'terbuka', 'dikawal', 'pasukan', 'berkuda']</t>
  </si>
  <si>
    <t>Akhirnya argentina yang memegang juara piala dunia  https://t.co/qzyFwUlzRy</t>
  </si>
  <si>
    <t>akhirnya argentina yang memegang juara piala dunia</t>
  </si>
  <si>
    <t>['akhirnya', 'argentina', 'memegang', 'juara', 'piala', 'dunia']</t>
  </si>
  <si>
    <t>Akhir Perdebatan GOAT: Argentina Juara Dunia 2022, Lionel Messi Pemain Terbaik Sepanjang Masa!  https://t.co/c7EExY1MQm</t>
  </si>
  <si>
    <t>Viral Ramalan Polanco pada 2015 Silam soal Argentina Jadi Juara Piala Dunia 2022  https://t.co/MsfPaPiYIa</t>
  </si>
  <si>
    <t>viral ramalan polanco pada silam soal argentina jadi juara piala dunia</t>
  </si>
  <si>
    <t>['viral', 'ramalan', 'polanco', 'silam', 'soal', 'argentina', 'jadi', 'juara', 'piala', 'dunia']</t>
  </si>
  <si>
    <t>Argentina udah juara. Sekarang giliranku bigwinü•∞</t>
  </si>
  <si>
    <t>argentina udah juara sekarang giliranku bigwin</t>
  </si>
  <si>
    <t>['argentina', 'udah', 'juara', 'sekarang', 'giliranku', 'bigwin']</t>
  </si>
  <si>
    <t>Georginia ikut seneng gak ya argentina juara?</t>
  </si>
  <si>
    <t>georginia ikut seneng gak argentina juara</t>
  </si>
  <si>
    <t>['georginia', 'ikut', 'seneng', 'argentina', 'juara']</t>
  </si>
  <si>
    <t>antara-euforia-juara-piala-dunia-dan-inflasi-gila-argentina  https://t.co/23xL1ltK4R  Publik Argentina bersorak usai Lionel Messi cs menjadi kampiun Piala Dunia 2022. Euforia bergema saat Argentina masih menghadapi permasalahan ekonomi.</t>
  </si>
  <si>
    <t>antara euforia juara piala dunia dan inflasi gila argentina publik argentina bersorak usai lionel messi menjadi kampiun piala dunia euforia bergema saat argentina masih menghadapi permasalahan ekonomi</t>
  </si>
  <si>
    <t>['euforia', 'juara', 'piala', 'dunia', 'inflasi', 'gila', 'argentina', 'publik', 'argentina', 'bersorak', 'usai', 'lionel', 'messi', 'menjadi', 'kampiun', 'piala', 'dunia', 'euforia', 'bergema', 'argentina', 'menghadapi', 'permasalahan', 'ekonomi']</t>
  </si>
  <si>
    <t>Messi bawa Argentina Juara Dunia, samai legenda Dunia Diego Maradona  https://t.co/U9Vd5DVeIQ #argentina, #MessiìÉµ</t>
  </si>
  <si>
    <t>messi bawa argentina juara dunia samai legenda dunia diego maradona</t>
  </si>
  <si>
    <t>['messi', 'bawa', 'argentina', 'juara', 'dunia', 'samai', 'legenda', 'dunia', 'diego', 'maradona']</t>
  </si>
  <si>
    <t>Argentina Juara Piala Dunia 2022  https://t.co/lrZLxUIsDD</t>
  </si>
  <si>
    <t>Sikat Prancis dan bawa Argentina Juara, Messi: Kami berhasil! . #EMTEKWORLDCUP2022 #BOLANETWORLDCUP2022  #PialaDunia #PialaDunia2022  https://t.co/OeBHWSIsVV</t>
  </si>
  <si>
    <t>sikat prancis dan bawa argentina juara messi kami berhasil</t>
  </si>
  <si>
    <t>['sikat', 'prancis', 'bawa', 'argentina', 'juara', 'messi', 'berhasil']</t>
  </si>
  <si>
    <t>#LionelMessi tak merasa cukup rayakan juara hanya di lapangan, tapi sampai atas meja! üòÜ  #LM #ARG #Argentina #PialaDunia #FIFAWorldCup #Qatar2022  https://t.co/uZjeHfhGon</t>
  </si>
  <si>
    <t>tak merasa cukup rayakan juara hanya lapangan tapi sampai atas meja</t>
  </si>
  <si>
    <t>['tak', 'merasa', 'cukup', 'rayakan', 'juara', 'lapangan', 'atas', 'meja']</t>
  </si>
  <si>
    <t>Menang Kalah biasa, Yang Juara adalah mereka yang gak ketinggalan Sholat Subuh selama ikutin Piala dunia  Vamos Argentina üá¶üá∑üá¶üá∑üá¶üá∑</t>
  </si>
  <si>
    <t>menang kalah biasa yang juara adalah mereka yang gak ketinggalan sholat subuh selama ikutin piala dunia vamos argentina</t>
  </si>
  <si>
    <t>['menang', 'kalah', 'biasa', 'juara', 'ketinggalan', 'salat', 'subuh', 'selama', 'ikutin', 'piala', 'dunia', 'vamos', 'argentina']</t>
  </si>
  <si>
    <t>Argentina Juara Dunia Piala Dunia 2022 Qatar, Marc Marquez Pasang Foto Lionel Messi  https://t.co/J8d685YmNt</t>
  </si>
  <si>
    <t>argentina juara dunia piala dunia qatar marc marquez pasang foto lionel messi</t>
  </si>
  <si>
    <t>['argentina', 'juara', 'dunia', 'piala', 'dunia', 'qatar', 'marc', 'marquez', 'pasang', 'foto', 'lionel', 'messi']</t>
  </si>
  <si>
    <t>@pw_gun @Danilone161 @Nir12345535 @LaksaTumpah @idextratime Argentina juara, yang ngamuk üòÇ  https://t.co/E92M4bamkL</t>
  </si>
  <si>
    <t>gun argentina juara yang ngamuk</t>
  </si>
  <si>
    <t>['gun', 'argentina', 'juara', 'ngamuk']</t>
  </si>
  <si>
    <t>@Rayanajakasurya Argentina Juara Lagi 2030</t>
  </si>
  <si>
    <t>argentina juara lagi</t>
  </si>
  <si>
    <t>@BuayaUbanan argentina bisa juara karna pelatih perancis dibayar ü§£</t>
  </si>
  <si>
    <t>argentina bisa juara karna pelatih perancis dibayar</t>
  </si>
  <si>
    <t>['argentina', 'juara', 'karna', 'pelatih', 'perancis', 'dibayar']</t>
  </si>
  <si>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</si>
  <si>
    <t>congratulations argentina argentina resmi menjadi juara dalam pertandingan sepak bola terbesar dunia tahun ini piala dunia lewat laga final dramatis argentina menjadi juara piala dunia untuk kalinya dengan keunggulan atas prancis</t>
  </si>
  <si>
    <t>['congratulations', 'argentina', 'argentina', 'resmi', 'menjadi', 'juara', 'pertandingan', 'sepak', 'bola', 'terbesar', 'dunia', 'tahun', 'piala', 'dunia', 'lewat', 'laga', 'final', 'dramatis', 'argentina', 'menjadi', 'juara', 'piala', 'dunia', 'kalinya', 'keunggulan', 'atas', 'prancis']</t>
  </si>
  <si>
    <t>@idextratime Cuma di era jokowi Messi bisa juara dengan argentina üòéüòé</t>
  </si>
  <si>
    <t>cuma era jokowi messi bisa juara dengan argentina</t>
  </si>
  <si>
    <t>['cuma', 'era', 'jokowi', 'messi', 'juara', 'argentina']</t>
  </si>
  <si>
    <t>VIDEO: Timnas Argentina Juara Piala Dunia, Penggawa Tim Tango Rayakan 'Kematian' Kylian Mbappe  https://t.co/z8gFfGz1xU</t>
  </si>
  <si>
    <t>Arep Argentina juara sek menang tetep wong wedok</t>
  </si>
  <si>
    <t>arep argentina juara sek menang tetep wong wedok</t>
  </si>
  <si>
    <t>['arep', 'argentina', 'juara', 'sek', 'menang', 'tetep', 'wong', 'wedok']</t>
  </si>
  <si>
    <t>@ainunrozi Ngakak sampe argentina juaraüò≠</t>
  </si>
  <si>
    <t>ngakak sampe argentina juara</t>
  </si>
  <si>
    <t>['ngakak', 'sampai', 'argentina', 'juara']</t>
  </si>
  <si>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</si>
  <si>
    <t>over all semua pemain keren banget terutama kipernya emi martinez semuanya effort bener tim solid mulai dari bek lini tengah sampe strikernya meskipun ada beberapa kekesalan karena banyak peluang gol gapapa penting argentina juara pildun</t>
  </si>
  <si>
    <t>['over', 'all', 'semua', 'pemain', 'keren', 'banget', 'terutama', 'kipernya', 'emi', 'martinez', 'semuanya', 'effort', 'benar', 'tim', 'solid', 'mulai', 'bek', 'lini', 'tengah', 'sampai', 'strikernya', 'meskipun', 'beberapa', 'kekesalan', 'banyak', 'peluang', 'gol', 'gapapa', 'penting', 'argentina', 'juara', 'piala dunia']</t>
  </si>
  <si>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</si>
  <si>
    <t>menang adu pinalti messi juara piala dunia kali dijuluki menjadi pertandingan yang terbaik ajang final piala dunia argentina perancis menyuguhkan sepak bola yang memanjakan mata</t>
  </si>
  <si>
    <t>['menang', 'adu', 'penalti', 'messi', 'juara', 'piala', 'dunia', 'kali', 'dijuluki', 'menjadi', 'pertandingan', 'terbaik', 'ajang', 'final', 'piala', 'dunia', 'argentina', 'perancis', 'menyuguhkan', 'sepak', 'bola', 'memanjakan', 'mata']</t>
  </si>
  <si>
    <t>Argentina juara sesuai prediksi üèÜ  https://t.co/3AO5X0b0XG</t>
  </si>
  <si>
    <t>argentina juara sesuai prediksi</t>
  </si>
  <si>
    <t>['argentina', 'juara', 'sesuai', 'prediksi']</t>
  </si>
  <si>
    <t>Bawa Argentina Juara Piala Dunia 2022, Lionel Messi Tambah Koleksi Mobil? ‚Äì Inews ‚Äì  https://t.co/GJ7SRwfrAG ‚Äì #Arenanews #Kamidi¬†#Opsiminfo  https://t.co/ESpGdaZn7D</t>
  </si>
  <si>
    <t>Apes! Drake harus kehilangan uang Rp15 miliar meski Argentina juara Piala Dunia 2022, netter ributkan kutukan  https://t.co/69CjbPxNcD</t>
  </si>
  <si>
    <t>apes drake harus kehilangan uang miliar meski argentina juara piala dunia netter ributkan kutukan</t>
  </si>
  <si>
    <t>['apes', 'drake', 'kehilangan', 'uang', 'miliar', 'meski', 'argentina', 'juara', 'piala', 'dunia', 'netter', 'ributkan', 'kutukan']</t>
  </si>
  <si>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</si>
  <si>
    <t>juara piala dunia qatar pertandingan panas final antara argentina melawan prancis setelah melewati babak pinalti menangkan oleh argentina dengan score babak pinalti ayo dukung terus tim kesayangan bandarbola raih kesempatan hadiah lain nya</t>
  </si>
  <si>
    <t>['juara', 'piala', 'dunia', 'qatar', 'pertandingan', 'panas', 'final', 'argentina', 'melawan', 'prancis', 'melewati', 'babak', 'penalti', 'menangkan', 'argentina', 'score', 'babak', 'penalti', 'ayo', 'dukung', 'terus', 'tim', 'kesayangan', 'bandarbola', 'raih', 'kesempatan', 'hadiah']</t>
  </si>
  <si>
    <t>Kiper Emiliano Martinez, Berasal dari Keluarga Sederhana Bawa Argentina Jadi Juara Piala Dunia 2022  https://t.co/3iTJF2XlUm</t>
  </si>
  <si>
    <t>kiper emiliano martinez berasal dari keluarga sederhana bawa argentina jadi juara piala dunia</t>
  </si>
  <si>
    <t>['kiper', 'emiliano', 'martinez', 'berasal', 'keluarga', 'sederhana', 'bawa', 'argentina', 'jadi', 'juara', 'piala', 'dunia']</t>
  </si>
  <si>
    <t>VIDEO: Timnas Argentina Juara Piala Dunia, Penggawa Tim Tango Rayakan 'Kematian' Kylian Mbappe  https://t.co/7GKGIqKvSQ</t>
  </si>
  <si>
    <t>Penjelasan Drake Kehilangan Rp 15 Miliar meski Argentina Juara Piala Dunia 2022  https://t.co/05Z91WGNOk</t>
  </si>
  <si>
    <t>penjelasan drake kehilangan miliar meski argentina juara piala dunia</t>
  </si>
  <si>
    <t>['penjelasan', 'drake', 'kehilangan', 'miliar', 'meski', 'argentina', 'juara', 'piala', 'dunia']</t>
  </si>
  <si>
    <t>Makanan hari ini dapa rasa sadap skali eeh gara-gara Argentina juara ü§£üá¶üá∑üèÜ  https://t.co/M69uJVNuDd</t>
  </si>
  <si>
    <t>makanan hari ini dapa rasa sadap skali eeh gara gara argentina juara</t>
  </si>
  <si>
    <t>['makanan', 'hari', 'dapa', 'rasa', 'sadap', 'skali', 'eeh', 'gara', 'gara', 'argentina', 'juara']</t>
  </si>
  <si>
    <t>Argentina ni mcm BN la .Takde Bossku ranap. Argentina tanpa Messi tak dapatnya World Cup .France di World Cup 2026 ,Mbappe di usia 27 ,Camavinga baru 24 dan Upamecano 28 tahun . France ada pelapis muda yg mantap untuk kembali sebagai Juara dunia di edisi akan datang.</t>
  </si>
  <si>
    <t>argentina mcm takde bossku ranap argentina tanpa messi tak dapatnya world cup france world cup mbappe usia camavinga baru dan upamecano tahun france ada pelapis muda mantap untuk kembali sebagai juara dunia edisi akan datang</t>
  </si>
  <si>
    <t>['argentina', 'mcm', 'takde', 'bossku', 'ranap', 'argentina', 'messi', 'tak', 'dapatnya', 'world', 'cup', 'france', 'world', 'cup', 'mbappe', 'usia', 'camavinga', 'baru', 'upamecano', 'tahun', 'france', 'pelapis', 'muda', 'mantap', 'juara', 'dunia', 'edisi', 'datang']</t>
  </si>
  <si>
    <t>‚≠êMario Kempes 1978 ‚≠êDiego Maradona 1986 ‚≠êLionel Messi 2022  at least ada huruf "M" dinama mereka yang menghantarkan Argentina juara dunia</t>
  </si>
  <si>
    <t>mario kempes diego maradona lionel messi least ada huruf dinama mereka yang menghantarkan argentina juara dunia</t>
  </si>
  <si>
    <t>['mario', 'kempes', 'diego', 'maradona', 'lionel', 'messi', 'least', 'huruf', 'dinama', 'menghantarkan', 'argentina', 'juara', 'dunia']</t>
  </si>
  <si>
    <t>Infografik Argentina Juara Piala Dunia 2022  https://t.co/yFDLMitymy</t>
  </si>
  <si>
    <t>infografik argentina juara piala dunia</t>
  </si>
  <si>
    <t>['infografik', 'argentina', 'juara', 'piala', 'dunia']</t>
  </si>
  <si>
    <t>@barcastuff_idn Nanya min, Admin barca lumayan sering share tentang argentina juara, admin PSG kok diem bae min, tau knpa?</t>
  </si>
  <si>
    <t>idn nanya min admin barca lumayan sering share tentang argentina juara admin psg kok diem bae min tau knpa</t>
  </si>
  <si>
    <t>['idn', 'nanya', 'min', 'admin', 'barca', 'lumayan', 'sering', 'share', 'argentina', 'juara', 'admin', 'psg', 'kok', 'diem', 'bae', 'min', 'knpa']</t>
  </si>
  <si>
    <t>Warga Buenos Aires, ibukota Argentina merayakan kemenangan Juara Piala Dunia #Qatar2022 ‚öΩÔ∏è  #Nalar ‚Ä¶</t>
  </si>
  <si>
    <t>warga buenos aires ibukota argentina merayakan kemenangan juara piala dunia</t>
  </si>
  <si>
    <t>['warga', 'buenos', 'aires', 'ibukota', 'argentina', 'merayakan', 'kemenangan', 'juara', 'piala', 'dunia']</t>
  </si>
  <si>
    <t>Hanya di zaman Pak Jokowi. Argentina juara Pildun.  Hebat ya Pak Jokowi. üëèüëèüëèüëè</t>
  </si>
  <si>
    <t>hanya zaman pak jokowi argentina juara pildun hebat pak jokowi</t>
  </si>
  <si>
    <t>['zaman', 'pak', 'jokowi', 'argentina', 'juara', 'piala dunia', 'hebat', 'pak', 'jokowi']</t>
  </si>
  <si>
    <t>Due to Argentina menang + Messi pensiun as juara dunia, mau GIVEAWAY SALDO E-WALLET @ 50k MASING-MASING 10k/5 orang. Retweet aja, semua orang boleh ikut. #zonauang</t>
  </si>
  <si>
    <t>due argentina menang messi pensiun juara dunia mau giveaway saldo wallet masing masing orang retweet aja semua orang boleh ikut</t>
  </si>
  <si>
    <t>['due', 'argentina', 'menang', 'messi', 'pensiun', 'juara', 'dunia', 'mau', 'giveaway', 'saldo', 'wallet', 'masing', 'masing', 'orang', 'retweet', 'semua', 'orang', 'ikut']</t>
  </si>
  <si>
    <t>Argentina Sang Juara  https://t.co/qBB6I8iYo9</t>
  </si>
  <si>
    <t>argentina sang juara</t>
  </si>
  <si>
    <t>['argentina', 'sang', 'juara']</t>
  </si>
  <si>
    <t>2018 Kroasia runner up cair, 2022 Argentina juara cair, 2026 antara pilihan negara ga lolos group atau kembali ke pola pertama ini wkwk</t>
  </si>
  <si>
    <t>kroasia runner cair argentina juara cair antara pilihan negara lolos group atau kembali pola pertama ini wkwk</t>
  </si>
  <si>
    <t>['kroasia', 'runner', 'cair', 'argentina', 'juara', 'cair', 'pilihan', 'negara', 'lolos', 'group', 'pola', 'pertama']</t>
  </si>
  <si>
    <t>Yg juara Argentina Yg kalah Prancis Yg panas Dodo lopers  #FIFAWorldCup</t>
  </si>
  <si>
    <t>juara argentina kalah prancis panas dodo lopers</t>
  </si>
  <si>
    <t>['juara', 'argentina', 'kalah', 'prancis', 'panas', 'dodo', 'lopers']</t>
  </si>
  <si>
    <t>@HusinShihab @budimandjatmiko Lahoz juga tidak adil ke argentina.bang sejagad menanti tim tango juara.</t>
  </si>
  <si>
    <t>lahoz juga tidak adil argentina bang sejagad menanti tim tango juara</t>
  </si>
  <si>
    <t>['lahoz', 'adil', 'argentina', 'bang', 'sejagad', 'menanti', 'tim', 'tango', 'juara']</t>
  </si>
  <si>
    <t>Pemandangan unik terjadi saat perayaan gelar juara timnas Argentina. Sebelum angkat trofi, Lionel Messi dipakaikan jubah khas Arab, Bisht, oleh Emir Qatar. #FIFAWorldCup  https://t.co/uiWRAeaqfF</t>
  </si>
  <si>
    <t>pemandangan unik terjadi saat perayaan gelar juara timnas argentina sebelum angkat trofi lionel messi dipakaikan jubah khas arab bisht oleh emir qatar</t>
  </si>
  <si>
    <t>['pemandangan', 'unik', 'terjadi', 'perayaan', 'gelar', 'juara', 'timnas', 'argentina', 'angkat', 'trofi', 'lionel', 'messi', 'dipakaikan', 'jubah', 'khas', 'arab', 'bisht', 'emir', 'qatar']</t>
  </si>
  <si>
    <t>Nobar Piala Dunia Paling Menegangkan, Argentina Juara  https://t.co/FuecsLYWd1</t>
  </si>
  <si>
    <t>nobar piala dunia paling menegangkan argentina juara</t>
  </si>
  <si>
    <t>['nonton bareng', 'piala', 'dunia', 'paling', 'menegangkan', 'argentina', 'juara']</t>
  </si>
  <si>
    <t>@CocopitoeM @SuporterFC Kaya ada konspirasi üòÇ emang sih kalau France juara euforianya bakal beda kayanya Biasa aja ga akan se seru kalau Argentina juara, tapi entahlah tau kali FIFA organisasinya gimana?</t>
  </si>
  <si>
    <t>kaya ada konspirasi emang sih kalau france juara euforianya bakal beda kayanya biasa aja akan seru kalau argentina juara tapi entahlah tau kali fifa organisasinya gimana</t>
  </si>
  <si>
    <t>['kaya', 'konspirasi', 'emang', 'kalau', 'france', 'juara', 'euforianya', 'bakal', 'beda', 'kayanya', 'biasa', 'seru', 'kalau', 'argentina', 'juara', 'entahlah', 'kali', 'fifa', 'organisasinya', 'gimana']</t>
  </si>
  <si>
    <t>Daftar Lengkap Juara Piala Dunia: Argentina bukan yang terbanyak menang! . #EMTEKWORLDCUP2022 #BOLANETWORLDCUP2022  #PialaDunia #PialaDunia2022  https://t.co/H6oZVAkUHy</t>
  </si>
  <si>
    <t>daftar lengkap juara piala dunia argentina bukan yang terbanyak menang</t>
  </si>
  <si>
    <t>['daftar', 'lengkap', 'juara', 'piala', 'dunia', 'argentina', 'bukan', 'terbanyak', 'menang']</t>
  </si>
  <si>
    <t>@sterniiiyyyy @AnggoroDL @indosupporter Tidak bisa dipungkiri ada campur tangan beliau. Argentina bisa juara di jaman ketumnya "bapak" tersayang kita</t>
  </si>
  <si>
    <t>tidak bisa dipungkiri ada campur tangan beliau argentina bisa juara jaman ketumnya bapak tersayang kita</t>
  </si>
  <si>
    <t>['dipungkiri', 'campur', 'tangan', 'beliau', 'argentina', 'juara', 'jaman', 'ketumnya', 'bapak', 'tersayang']</t>
  </si>
  <si>
    <t>Gap paling lama negara untuk juara lagi di Piala Dunia:  Uruguay (1950 - ?) Inggris (1966 - ?) Italia (1938 - 1982) - 44 tahun Argentina (1984 - 2022) - 36 tahun Jerman (1990 - 2014) - 24 tahun Brasil (1970 - 1994) - 24 tahun Perancis (1998 - 2018) - 20 tahun</t>
  </si>
  <si>
    <t>gap paling lama negara untuk juara lagi piala dunia uruguay inggris italia tahun argentina tahun jerman tahun brasil tahun perancis tahun</t>
  </si>
  <si>
    <t>['gap', 'paling', 'lama', 'negara', 'juara', 'piala', 'dunia', 'uruguay', 'inggris', 'italia', 'tahun', 'argentina', 'tahun', 'jerman', 'tahun', 'brasil', 'tahun', 'perancis', 'tahun']</t>
  </si>
  <si>
    <t>Dri yang tadinya diledekin kalah lawan saudi  Tpi Endingnya manis keluar sebagai juara dunia  Argentina juara settingan? Dirancang Utk messi ?  Herannya narasi itu muncul ketika portugal gugur wkwk  Klo portugal  dan ronaldo yg juara ga setinggan gitu ,?  Ah dasar dangkal</t>
  </si>
  <si>
    <t>dri yang tadinya diledekin kalah lawan saudi tpi endingnya manis keluar sebagai juara dunia argentina juara settingan dirancang utk messi herannya narasi itu muncul ketika portugal gugur wkwk klo portugal dan ronaldo juara setinggan gitu dasar dangkal</t>
  </si>
  <si>
    <t>['dri', 'tadinya', 'diledekin', 'kalah', 'lawan', 'saudi', 'tpi', 'endingnya', 'manis', 'keluar', 'juara', 'dunia', 'argentina', 'juara', 'settingan', 'dirancang', 'messi', 'herannya', 'narasi', 'muncul', 'portugal', 'gugur', 'portugal', 'ronaldo', 'juara', 'setinggan', 'gitu', 'dasar', 'dangkal']</t>
  </si>
  <si>
    <t>Senin yang enjoy setelah persib menang lalu argentina juara, sebenernya bukan pendukung argentina tp merasa terpanggil karena era messi dan ronaldo segera berakhir dan di ujung era ini salah satu dr mereka jadi juara piala dunia, mari kita sambut era baru sepakbola..</t>
  </si>
  <si>
    <t>senin yang enjoy setelah persib menang lalu argentina juara sebenernya bukan pendukung argentina merasa terpanggil karena era messi dan ronaldo segera berakhir dan ujung era ini salah satu mereka jadi juara piala dunia mari kita sambut era baru sepakbola</t>
  </si>
  <si>
    <t>['senin', 'enjoy', 'persib', 'menang', 'lalu', 'argentina', 'juara', 'sebenernya', 'bukan', 'pendukung', 'argentina', 'merasa', 'terpanggil', 'era', 'messi', 'ronaldo', 'segera', 'berakhir', 'ujung', 'era', 'salah', 'satu', 'jadi', 'juara', 'piala', 'dunia', 'sambut', 'era', 'baru', 'sepakbola']</t>
  </si>
  <si>
    <t>@jek___ Harusnya juara 1 dong Arab Saudi kan bisa ngalahin Argentina...</t>
  </si>
  <si>
    <t>harusnya juara dong arab saudi kan bisa ngalahin argentina</t>
  </si>
  <si>
    <t>['harusnya', 'juara', 'dong', 'arab', 'saudi', 'kan', 'ngalahin', 'argentina']</t>
  </si>
  <si>
    <t>Usai Juara Piala Dunia 2022, Pelatih Argentina Ingin Messi Lakukan Hal Ini   https://t.co/Zbf6ZV1J1P</t>
  </si>
  <si>
    <t>usai juara piala dunia pelatih argentina ingin messi lakukan hal ini</t>
  </si>
  <si>
    <t>['usai', 'juara', 'piala', 'dunia', 'pelatih', 'argentina', 'messi', 'lakukan']</t>
  </si>
  <si>
    <t>@idextratime Memang sudah diatur sedemikian rupa oleh Argentina agar Argentina juara</t>
  </si>
  <si>
    <t>memang sudah diatur sedemikian rupa oleh argentina agar argentina juara</t>
  </si>
  <si>
    <t>['memang', 'diatur', 'sedemikian', 'rupa', 'argentina', 'argentina', 'juara']</t>
  </si>
  <si>
    <t>Sempet badmood jalan keluar orang-orang pada ngomongin Argentina menang tapi yang dipuji tetep Mbapp√©, tuh @KMbappe walaupun juara 2 yang nyuri spotlight tetep elu, jangan sedih :( abis ini gajimu makin tinggi boss</t>
  </si>
  <si>
    <t>sempet badmood jalan keluar orang orang pada ngomongin argentina menang tapi yang dipuji tetep mbapp tuh walaupun juara yang nyuri spotlight tetep elu jangan sedih abis ini gajimu makin tinggi boss</t>
  </si>
  <si>
    <t>['sempet', 'badmood', 'jalan', 'keluar', 'orang', 'orang', 'ngomongin', 'argentina', 'menang', 'dipuji', 'tetep', 'mbapp', 'walaupun', 'juara', 'nyuri', 'spotlight', 'tetep', 'elu', 'jangan', 'sedih', 'abis', 'gajimu', 'makin', 'tinggi', 'boss']</t>
  </si>
  <si>
    <t>Cuman di era pak jokowi argentina bisa juara pildun, Termima kasih pak jokowi. üòÇ #messi</t>
  </si>
  <si>
    <t>cuman era pak jokowi argentina bisa juara pildun termima kasih pak jokowi</t>
  </si>
  <si>
    <t>['cuman', 'era', 'pak', 'jokowi', 'argentina', 'juara', 'piala dunia', 'termima', 'kasih', 'pak', 'jokowi']</t>
  </si>
  <si>
    <t>@chitaglorya3rd Argentina Juara coiiii</t>
  </si>
  <si>
    <t>argentina juara coiiii</t>
  </si>
  <si>
    <t>['argentina', 'juara', 'coiiii']</t>
  </si>
  <si>
    <t>VIDEO: Timnas Argentina Juara Piala Dunia, Instagram Produk Cristiano Ronaldo Kena Bully Fans  https://t.co/a1AWs1SJ3P</t>
  </si>
  <si>
    <t>Argentina meraih dua gelar juara dalam dua tahun. Setelah Copa America pada 2021, sekarang skuad asuhan Lionel Scaloni itu pun sukses memenangkan Piala Dunia 2022. #juaraboladunia    https://t.co/TKYkuqrZdj</t>
  </si>
  <si>
    <t>Daftar Lengkap Juara Piala Dunia: Negara Mana yang Lebih Banyak dari Timnas Argentina? -  https://t.co/kpmQt1cweG  https://t.co/IgVfzjNU4P via @bolanet  https://t.co/aNzDFA3v8E . . . #m88mansion #m88mansionindo #m88indo #m88laliga</t>
  </si>
  <si>
    <t>daftar lengkap juara piala dunia negara mana yang lebih banyak dari timnas argentina via</t>
  </si>
  <si>
    <t>['daftar', 'lengkap', 'juara', 'piala', 'dunia', 'negara', 'mana', 'lebih', 'banyak', 'timnas', 'argentina', 'via']</t>
  </si>
  <si>
    <t>Kata-kata Magis Peter Drury yang Mengantar Argentina Juara Piala Dunia: Messi Bersalaman dengan Surga! -  https://t.co/kpmQt1cweG  https://t.co/tJZSiZJKUf via @bolanet  https://t.co/aNzDFA3v8E . . . #m88mansion #m88mansionindo #m88indo #m88laliga</t>
  </si>
  <si>
    <t>kata kata magis peter drury yang mengantar argentina juara piala dunia messi bersalaman dengan surga via</t>
  </si>
  <si>
    <t>['kata', 'kata', 'magis', 'peter', 'drury', 'mengantar', 'argentina', 'juara', 'piala', 'dunia', 'messi', 'bersalaman', 'surga', 'via']</t>
  </si>
  <si>
    <t>@jek___ Gw msh kaget liat Argentina juara tod</t>
  </si>
  <si>
    <t>msh kaget liat argentina juara tod</t>
  </si>
  <si>
    <t>['msh', 'kaget', 'lihat', 'argentina', 'juara', 'tod']</t>
  </si>
  <si>
    <t>@The_RedsIndo Georgina kan asal Argentina, kira¬≤ dia senang gak negara asalnya juara dunia? üòÖ</t>
  </si>
  <si>
    <t>redsindo georgina kan asal argentina kira dia senang gak negara asalnya juara dunia</t>
  </si>
  <si>
    <t>['redsindo', 'georgina', 'kan', 'asal', 'argentina', 'kira', 'senang', 'negara', 'asalnya', 'juara', 'dunia']</t>
  </si>
  <si>
    <t>Menjadi Juara Piala Dunia 2022 Adalah Dongeng Argentina, Kalah dari Arab Bikin Messi Ucapkan Mantra Ajaib Ini   https://t.co/TgxTLABqlr</t>
  </si>
  <si>
    <t>menjadi juara piala dunia adalah dongeng argentina kalah dari arab bikin messi ucapkan mantra ajaib ini</t>
  </si>
  <si>
    <t>['menjadi', 'juara', 'piala', 'dunia', 'dongeng', 'argentina', 'kalah', 'arab', 'messi', 'ucapkan', 'mantra', 'ajaib']</t>
  </si>
  <si>
    <t>@kisbet_ @meltdownbytori #Argentina  Juara 3X  1978 di argentina,mario kempes 1986 di meksiko,diego maradona 2022 di qatar,lionel messi  Bismillahirrahmanirrahim semoga ada rejeki untuk keluarga saya, Aamiin..</t>
  </si>
  <si>
    <t>juara argentina mario kempes meksiko diego maradona qatar lionel messi bismillahirrahmanirrahim semoga ada rejeki untuk keluarga saya aamiin</t>
  </si>
  <si>
    <t>['juara', 'argentina', 'mario', 'kempes', 'meksiko', 'diego', 'maradona', 'qatar', 'lionel', 'messi', 'bismillahirrahmanirrahim', 'semoga', 'rejeki', 'keluarga', 'aamiin']</t>
  </si>
  <si>
    <t>Alexis Mac Allister Ungkap Rahasia Argentina Juara Piala Dunia 2022 -  https://t.co/kpmQt1cweG  https://t.co/uWShWTU4g0 via @bolanet  https://t.co/aNzDFA3v8E . . . #m88mansion #m88mansionindo #m88indo #m88laliga</t>
  </si>
  <si>
    <t>alexis mac allister ungkap rahasia argentina juara piala dunia via</t>
  </si>
  <si>
    <t>['alexis', 'mac', 'allister', 'ungkap', 'rahasia', 'argentina', 'juara', 'piala', 'dunia', 'via']</t>
  </si>
  <si>
    <t>Rapor Pemain Argentina di Final Piala Dunia 2022: Lionel Messi The Real GOAT, Memang Layak Juara! -  https://t.co/kpmQt1cweG  https://t.co/VGlVwBIyr4 via @bolanet  https://t.co/aNzDFA3v8E . . . #m88mansion #m88mansionindo #m88indo #m88laliga</t>
  </si>
  <si>
    <t>rapor pemain argentina final piala dunia lionel messi the real goat memang layak juara via</t>
  </si>
  <si>
    <t>['rapor', 'pemain', 'argentina', 'final', 'piala', 'dunia', 'lionel', 'messi', 'the', 'real', 'goat', 'memang', 'layak', 'juara', 'via']</t>
  </si>
  <si>
    <t>Sejatinya yg juara dlm ajang piala dunia sepak bola  Arab Saudi, karena Arab Saudi satu2nya team yg bisa mengalahkan team Argentinaü§™ü§™ü§™ü§≠.</t>
  </si>
  <si>
    <t>sejatinya juara dlm ajang piala dunia sepak bola arab saudi karena arab saudi satu nya team bisa mengalahkan team argentina</t>
  </si>
  <si>
    <t>['sejatinya', 'juara', 'dlm', 'ajang', 'piala', 'dunia', 'sepak', 'bola', 'arab', 'saudi', 'arab', 'saudi', 'satu', 'team', 'mengalahkan', 'team', 'argentina']</t>
  </si>
  <si>
    <t>5 Fakta Mengejutkan Argentina Juara Piala Dunia 2022: Lionel Messi Dewa Sepak Bola!   https://t.co/z5MkMK1VkR</t>
  </si>
  <si>
    <t>fakta mengejutkan argentina juara piala dunia lionel messi dewa sepak bola</t>
  </si>
  <si>
    <t>['fakta', 'mengejutkan', 'argentina', 'juara', 'piala', 'dunia', 'lionel', 'messi', 'dewa', 'sepak', 'bola']</t>
  </si>
  <si>
    <t>Prancis kalah tapi gapapa Argentina pantes jadi juara, messi udah waktunya ngangkat trofi world cup</t>
  </si>
  <si>
    <t>prancis kalah tapi gapapa argentina pantes jadi juara messi udah waktunya ngangkat trofi world cup</t>
  </si>
  <si>
    <t>['prancis', 'kalah', 'gapapa', 'argentina', 'pantes', 'jadi', 'juara', 'messi', 'udah', 'waktunya', 'ngangkat', 'trofi', 'world', 'cup']</t>
  </si>
  <si>
    <t>@Themann__98 @idextratime Mau giveaway atau apalah itu SEJARAH TELAT MENCATAT MESSI ARGENTINA JUARA DUNIA 2022</t>
  </si>
  <si>
    <t>mau giveaway atau apalah itu sejarah telat mencatat messi argentina juara dunia</t>
  </si>
  <si>
    <t>['mau', 'giveaway', 'apalah', 'sejarah', 'telat', 'mencatat', 'messi', 'argentina', 'juara', 'dunia']</t>
  </si>
  <si>
    <t>Bak Kisah Dongeng, Emiliano Martinez Baru Debut di Timnas Argentina Tahun 2021, Tapi Sudah Berikan Tiga Gelar Juara -  https://t.co/kpmQt1uFsO  https://t.co/UJYr5mKdh4 via @bolanet  https://t.co/aNzDFAlEmM . . . #m88mansion #m88mansionindo #m88indo #m88laliga</t>
  </si>
  <si>
    <t>bak kisah dongeng emiliano martinez baru debut timnas argentina tahun tapi sudah berikan tiga gelar juara via</t>
  </si>
  <si>
    <t>['bak', 'kisah', 'dongeng', 'emiliano', 'martinez', 'baru', 'debut', 'timnas', 'argentina', 'tahun', 'berikan', 'tiga', 'gelar', 'juara', 'via']</t>
  </si>
  <si>
    <t>2014 liat messi kalah difinal itu sangat menyakitkan, tahun sekarang kesetiaan ini dibayar lunas dgn keluar sebagai juara. vamos argentinaüá¶üá∑</t>
  </si>
  <si>
    <t>liat messi kalah difinal itu sangat menyakitkan tahun sekarang kesetiaan ini dibayar lunas dgn keluar sebagai juara vamos argentina</t>
  </si>
  <si>
    <t>['lihat', 'messi', 'kalah', 'difinal', 'sangat', 'menyakitkan', 'tahun', 'sekarang', 'kesetiaan', 'dibayar', 'lunas', 'keluar', 'juara', 'vamos', 'argentina']</t>
  </si>
  <si>
    <t>ARGENTINA JUARA PIALA DUNIA 2022! Messi Jadi Bintang, Mbappe Sendirian 'Gendong' Prancis   https://t.co/qSAvs0mUbX</t>
  </si>
  <si>
    <t>argentina juara piala dunia messi jadi bintang mbappe sendirian gendong prancis</t>
  </si>
  <si>
    <t>['argentina', 'juara', 'piala', 'dunia', 'messi', 'jadi', 'bintang', 'mbappe', 'sendirian', 'gendong', 'prancis']</t>
  </si>
  <si>
    <t>Momen Messi bersama Argentina menjadi Juara Dunia.. #FIFAWorldCup  https://t.co/GluTNJBFHb</t>
  </si>
  <si>
    <t>momen messi bersama argentina menjadi juara dunia</t>
  </si>
  <si>
    <t>['momen', 'messi', 'bersama', 'argentina', 'menjadi', 'juara', 'dunia']</t>
  </si>
  <si>
    <t>@TerrificJRP9 @idextratime habis ini diundang ke Argensiar, "Konser Piala Dunia Argentina Juara"</t>
  </si>
  <si>
    <t>habis ini diundang argensiar konser piala dunia argentina juara</t>
  </si>
  <si>
    <t>['habis', 'diundang', 'argensiar', 'konser', 'piala', 'dunia', 'argentina', 'juara']</t>
  </si>
  <si>
    <t>36th  penantian Argentina Juara lagi di Qatar 2022 üá≤üá¶üá∏üá¶üáµüá∏üáÆüá©üá¶üá∑üá´üá∑‚ù§Ô∏è‚ù§Ô∏è‚ù§Ô∏è‚ù§Ô∏è‚ù§Ô∏è‚ù§Ô∏è 1994 ku mulai mengenal  sejarah¬≤ Tim sepakbola dunia dan Argentina üá¶üá∑  https://t.co/crxtGZel2w</t>
  </si>
  <si>
    <t>penantian argentina juara lagi qatar mulai mengenal sejarah tim sepakbola dunia dan argentina</t>
  </si>
  <si>
    <t>['penantian', 'argentina', 'juara', 'qatar', 'mulai', 'mengenal', 'sejarah', 'tim', 'sepakbola', 'dunia', 'argentina']</t>
  </si>
  <si>
    <t>Mantap! Argentina Juara Piala Dunia 2022   https://t.co/j2JCsuK3wS</t>
  </si>
  <si>
    <t>mantap argentina juara piala dunia</t>
  </si>
  <si>
    <t>['mantap', 'argentina', 'juara', 'piala', 'dunia']</t>
  </si>
  <si>
    <t>Idolakan Messi, Habib Jafar Pamer Video Argentina Juara Piala Dunia  https://t.co/POIoVWFsWU</t>
  </si>
  <si>
    <t>idolakan messi habib jafar pamer video argentina juara piala dunia</t>
  </si>
  <si>
    <t>['idolakan', 'messi', 'habib', 'jafar', 'pamer', 'video', 'argentina', 'juara', 'piala', 'dunia']</t>
  </si>
  <si>
    <t>VIDEO: Timnas Argentina Juara Piala Dunia, Instagram Produk Cristiano Ronaldo Kena Bully Fans  https://t.co/IioHJ7gYrr</t>
  </si>
  <si>
    <t>@ini_nuha @ice_creameee @DonLaffitte @stadiuvm @heydeww_ @hamuuzaa @corazoncinta @tetanggaelonmus @idextratime Wkwkw, udah login kali ü§£ seengaknya tebakan 1 gol argentina gue bener.üòõ  Oh iya selamat ya indolanya juara WC 2022. üëèüëèüëè</t>
  </si>
  <si>
    <t>nuha creameee wkwkw udah login kali seengaknya tebakan gol argentina gue bener iya selamat indolanya juara</t>
  </si>
  <si>
    <t>['nuha', 'creameee', 'wkwkw', 'udah', 'login', 'kali', 'seengaknya', 'tebakan', 'gol', 'argentina', 'gue', 'benar', 'iya', 'selamat', 'indolanya', 'juara']</t>
  </si>
  <si>
    <t>Hasil Akhir Piala Dunia 2022, Argentina Raih Gelar Juara  https://t.co/WWtdpyC5FU  https://t.co/GVL5Uzf5tg</t>
  </si>
  <si>
    <t>hasil akhir piala dunia argentina raih gelar juara</t>
  </si>
  <si>
    <t>['hasil', 'akhir', 'piala', 'dunia', 'argentina', 'raih', 'gelar', 'juara']</t>
  </si>
  <si>
    <t>#FOTO Prancis gagal menjadi juara Piala Dunia 2022 usai takluk dari Argentina di Qatar. Presiden Prancis pun memeluk dan menghibur Mbappe yang sedih usai laga final. Berikut potretnya!  https://t.co/ZJAnRnoYpI</t>
  </si>
  <si>
    <t>prancis gagal menjadi juara piala dunia usai takluk dari argentina qatar presiden prancis pun memeluk dan menghibur mbappe yang sedih usai laga final berikut potretnya</t>
  </si>
  <si>
    <t>['prancis', 'gagal', 'menjadi', 'juara', 'piala', 'dunia', 'usai', 'takluk', 'argentina', 'qatar', 'presiden', 'prancis', 'memeluk', 'menghibur', 'mbappe', 'sedih', 'usai', 'laga', 'final', 'berikut', 'potretnya']</t>
  </si>
  <si>
    <t>@naoneafi @tfkakbarr @Helterskelt27 @The_RedsIndo Fun fact: argentina tim yang paling sering ganti formasi dan komposisi pemain di WC 2022. Banyak pundit bilang transisi argentina yang terbaik diantara semifinalis lain. Itulah yg membawa argetina juara wa</t>
  </si>
  <si>
    <t>redsindo fun fact argentina tim yang paling sering ganti formasi dan komposisi pemain banyak pundit bilang transisi argentina yang terbaik diantara semifinalis lain itulah membawa argetina juara</t>
  </si>
  <si>
    <t>['redsindo', 'fun', 'fact', 'argentina', 'tim', 'paling', 'sering', 'ganti', 'formasi', 'komposisi', 'pemain', 'banyak', 'pundit', 'transisi', 'argentina', 'terbaik', 'diantara', 'semifinalis', 'membawa', 'argetina', 'juara']</t>
  </si>
  <si>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</si>
  <si>
    <t>menarik juga ternyata dalam kompetisi gak selalu harus terus menang untuk jadi juara kadang sesekali bisa kalah fakta pertandingan pertama worldcup argentina dikalahkan arab saudi yang membedakan team work hebat itu adalah mentalitas juara setelah kalah bangkit lagi</t>
  </si>
  <si>
    <t>['menarik', 'ternyata', 'kompetisi', 'selalu', 'terus', 'menang', 'jadi', 'juara', 'kadang', 'sesekali', 'kalah', 'fakta', 'pertandingan', 'pertama', 'worldcup', 'argentina', 'dikalahkan', 'arab', 'saudi', 'membedakan', 'team', 'work', 'hebat', 'mentalitas', 'juara', 'kalah', 'bangkit']</t>
  </si>
  <si>
    <t>Argentina sudah juara saatnya Indonesia mengikuti jejaknya</t>
  </si>
  <si>
    <t>argentina sudah juara saatnya indonesia mengikuti jejaknya</t>
  </si>
  <si>
    <t>['argentina', 'juara', 'saatnya', 'indonesia', 'mengikuti', 'jejaknya']</t>
  </si>
  <si>
    <t>Ada yg korban Argentina juara?  Mau jual perhiasan emas istri, kerabat atau teman? Bisa banget langsung dm untuk info üá¶üá∑üòÅüòá  Utamakan ada surat belinya ya   All in Argentina üá¶üá∑üá¶üá∑üò¨ Harinya Messi üîü</t>
  </si>
  <si>
    <t>ada korban argentina juara mau jual perhiasan emas istri kerabat atau teman bisa banget langsung untuk info utamakan ada surat belinya all argentina harinya messi</t>
  </si>
  <si>
    <t>['korban', 'argentina', 'juara', 'mau', 'jual', 'perhiasan', 'emas', 'istri', 'kerabat', 'teman', 'banget', 'langsung', 'info', 'utamakan', 'surat', 'belinya', 'all', 'argentina', 'harinya', 'messi']</t>
  </si>
  <si>
    <t>Bukan Messi saja, Argentina juga panen rekor usai Juara Piala Dunia 2022! . #EMTEKWORLDCUP2022 #BOLANETWORLDCUP2022  #PialaDunia #PialaDunia2022  https://t.co/7DSfbbNzF7</t>
  </si>
  <si>
    <t>bukan messi saja argentina juga panen rekor usai juara piala dunia</t>
  </si>
  <si>
    <t>['bukan', 'messi', 'argentina', 'panen', 'rekor', 'usai', 'juara', 'piala', 'dunia']</t>
  </si>
  <si>
    <t>@fuazzano__ @idextratime Nah ini, semua pemain argentina pengen messi jadi juara</t>
  </si>
  <si>
    <t>nah ini semua pemain argentina pengen messi jadi juara</t>
  </si>
  <si>
    <t>['nah', 'semua', 'pemain', 'argentina', 'pengen', 'messi', 'jadi', 'juara']</t>
  </si>
  <si>
    <t>Selamat timnas Argentina jadi Juara World Cup 2022 Qatar.  Salam dari PSSI #WorldCup2022  https://t.co/g2fxtQSWRE</t>
  </si>
  <si>
    <t>selamat timnas argentina jadi juara world cup qatar salam dari pssi</t>
  </si>
  <si>
    <t>['selamat', 'timnas', 'argentina', 'jadi', 'juara', 'world', 'cup', 'qatar', 'salam', 'pssi']</t>
  </si>
  <si>
    <t>Hore Argentina juara dunia... Sementara desa Konoha masih mengais dari liga tarkam...ü•≥ü•≥</t>
  </si>
  <si>
    <t>hore argentina juara dunia sementara desa konoha masih mengais dari liga tarkam</t>
  </si>
  <si>
    <t>['hore', 'argentina', 'juara', 'dunia', 'desa', 'konoha', 'mengais', 'liga', 'tarkam']</t>
  </si>
  <si>
    <t>@idextratime Bener apa lagi nanti piala dunia di tanah Amerika yang kultur nya hampir sama dengan negara Argentina. Pasti juara lagi...</t>
  </si>
  <si>
    <t>bener apa lagi nanti piala dunia tanah amerika yang kultur nya hampir sama dengan negara argentina pasti juara lagi</t>
  </si>
  <si>
    <t>['benar', 'apa', 'piala', 'dunia', 'tanah', 'amerika', 'kultur', 'hampir', 'sama', 'negara', 'argentina', 'juara']</t>
  </si>
  <si>
    <t>@idextratime Argentina Juara.. Titik!</t>
  </si>
  <si>
    <t>argentina juara titik</t>
  </si>
  <si>
    <t>['argentina', 'juara', 'titik']</t>
  </si>
  <si>
    <t>Tiba-tiba kepikiran. Faktanya, mau argentina atau prancis yg juara, kita semua ttp falling in love with people we can't have</t>
  </si>
  <si>
    <t>tiba tiba kepikiran faktanya mau argentina atau prancis juara kita semua ttp falling love with people can have</t>
  </si>
  <si>
    <t>['tiba', 'tiba', 'kepikiran', 'faktanya', 'mau', 'argentina', 'prancis', 'juara', 'semua', 'ttp', 'falling', 'love', 'with', 'people', 'can', 'have']</t>
  </si>
  <si>
    <t>@yusuf_dumdum SIAP PRANCIS TETAP YG TERBAIK HANYA KARENA TDK ADA KARIM BENZEMA, PAUL POGBA DAN NGOLO KANTE, ARGENTINA BISA MENIKMATI JUARA</t>
  </si>
  <si>
    <t>dumdum siap prancis tetap terbaik hanya karena tdk ada karim benzema paul pogba dan ngolo kante argentina bisa menikmati juara</t>
  </si>
  <si>
    <t>['dumdum', 'siap', 'prancis', 'tetap', 'terbaik', 'karim', 'benzema', 'paul', 'pogba', 'ngolo', 'kante', 'argentina', 'menikmati', 'juara']</t>
  </si>
  <si>
    <t>Klo .... Vs Argentina ya msh ada peluang juara pak</t>
  </si>
  <si>
    <t>klo argentina msh ada peluang juara pak</t>
  </si>
  <si>
    <t>['argentina', 'msh', 'peluang', 'juara', 'pak']</t>
  </si>
  <si>
    <t>Ini komen gw hampir sebulan lalu..gak nyangka Argentina juara beneran...walo Portugal nyungsep duluan gpp asal Argentina menang ,ü§£üçøü§£üçø</t>
  </si>
  <si>
    <t>ini komen hampir sebulan lalu gak nyangka argentina juara beneran walo portugal nyungsep duluan gpp asal argentina menang</t>
  </si>
  <si>
    <t>['komen', 'hampir', 'sebulan', 'lalu', 'nyangka', 'argentina', 'juara', 'beneran', 'walo', 'portugal', 'nyungsep', 'duluan', 'gapapa', 'asal', 'argentina', 'menang']</t>
  </si>
  <si>
    <t>Messi Tak Percaya, Jika Argentina Akhirnya Merengkuh Juara Piala Dunia 2022.  https://t.co/Z7xT1e7Biw</t>
  </si>
  <si>
    <t>messi tak percaya jika argentina akhirnya merengkuh juara piala dunia</t>
  </si>
  <si>
    <t>['messi', 'tak', 'percaya', 'argentina', 'akhirnya', 'merengkuh', 'juara', 'piala', 'dunia']</t>
  </si>
  <si>
    <t>congratulations @Argentina juara piala dunia qatar 2022..üéâüéâüéâ vidionya keren‚Ä¶üëçüëçüëç</t>
  </si>
  <si>
    <t>congratulations juara piala dunia qatar vidionya keren</t>
  </si>
  <si>
    <t>['congratulations', 'juara', 'piala', 'dunia', 'qatar', 'vidionya', 'keren']</t>
  </si>
  <si>
    <t>#FOTO Kylian Mbappe harus berpuas hati dengan raihan juara 2 Piala Dunia usai dikalahkan Argentina lewat adu penalti. Wajah kecewanya tak bisa disembunyikan.  Foto: AP Photo  #juaraboladunia #Mbappe #Prancis #Qatar2022  https://t.co/t8dJBbmUGz</t>
  </si>
  <si>
    <t>kylian mbappe harus berpuas hati dengan raihan juara piala dunia usai dikalahkan argentina lewat adu penalti wajah kecewanya tak bisa disembunyikan foto photo</t>
  </si>
  <si>
    <t>['kylian', 'mbappe', 'berpuas', 'hati', 'raihan', 'juara', 'piala', 'dunia', 'usai', 'dikalahkan', 'argentina', 'lewat', 'adu', 'penalti', 'wajah', 'kecewanya', 'tak', 'disembunyikan', 'foto', 'photo']</t>
  </si>
  <si>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</si>
  <si>
    <t>drake viral usai mempertaruhkan uang juta untuk kemenangan argentina meski kenyataannya argentina jadi juara penyanyi lagu hotline bling itu justru apes karena memasang taruhan dan tidak memperhitungkan babak extra time</t>
  </si>
  <si>
    <t>['drake', 'viral', 'usai', 'mempertaruhkan', 'uang', 'juta', 'kemenangan', 'argentina', 'meski', 'kenyataannya', 'argentina', 'jadi', 'juara', 'penyanyi', 'lagu', 'hotline', 'bling', 'justru', 'apes', 'memasang', 'taruhan', 'memperhitungkan', 'babak', 'extra', 'time']</t>
  </si>
  <si>
    <t>@senogp @MoooiPustaka Pecinta Argentina dan La Pulga Lionel Messi, mas. Selamat üòÅüí™ akhirnyaaa Argentina juara lagi.   Ngomong2 semoga saya dapet kura2 berjanggut. Baca ripiunya orang, kayaknya menarik. Penasaran buat baca novel tebal itu üòÅ</t>
  </si>
  <si>
    <t>pecinta argentina dan pulga lionel messi mas selamat akhirnyaaa argentina juara lagi ngomong semoga saya dapet kura berjanggut baca ripiunya orang kayaknya menarik penasaran buat baca novel tebal itu</t>
  </si>
  <si>
    <t>['pecinta', 'argentina', 'pulga', 'lionel', 'messi', 'mas', 'selamat', 'akhirnyaaa', 'argentina', 'juara', 'ngomong', 'semoga', 'dapat', 'kura', 'berjanggut', 'baca', 'ripiunya', 'orang', 'kayaknya', 'menarik', 'penasaran', 'buat', 'baca', 'novel', 'tebal']</t>
  </si>
  <si>
    <t>@SerieA_Lawas Pertama kali nonton piala dunia 98, lihat list pemain dari negara juara, squad Argentina secara keseluruhan diisi pemain biasa ja, kecuali di area depan. Padahal biasanya yg juara dunia, diisi pemain bertabur bintang.</t>
  </si>
  <si>
    <t>lawas pertama kali nonton piala dunia lihat list pemain dari negara juara squad argentina secara keseluruhan diisi pemain biasa kecuali area depan padahal biasanya juara dunia diisi pemain bertabur bintang</t>
  </si>
  <si>
    <t>['lawas', 'pertama', 'kali', 'nonton', 'piala', 'dunia', 'lihat', 'list', 'pemain', 'negara', 'juara', 'squad', 'argentina', 'keseluruhan', 'diisi', 'pemain', 'biasa', 'area', 'depan', 'padahal', 'biasanya', 'juara', 'dunia', 'diisi', 'pemain', 'bertabur', 'bintang']</t>
  </si>
  <si>
    <t>@idextratime Yang bilang Argentina juara settingan itu gak bener tapi memang di setiap pertandingan Argentina selalu di untungkan wasit üëé</t>
  </si>
  <si>
    <t>yang bilang argentina juara settingan itu gak bener tapi memang setiap pertandingan argentina selalu untungkan wasit</t>
  </si>
  <si>
    <t>['argentina', 'juara', 'settingan', 'benar', 'memang', 'pertandingan', 'argentina', 'selalu', 'untungkan', 'wasit']</t>
  </si>
  <si>
    <t>Mau heran tapi ini argentina wkwkwk Dunia dukung argentina ini ya karena Messi, bukan pure karena pengen dukung Argentina juara.wkwkwk</t>
  </si>
  <si>
    <t>mau heran tapi ini argentina wkwkwk dunia dukung argentina ini karena messi bukan pure karena pengen dukung argentina juara wkwkwk</t>
  </si>
  <si>
    <t>['mau', 'heran', 'argentina', 'wkwkwk', 'dunia', 'dukung', 'argentina', 'messi', 'bukan', 'pure', 'pengen', 'dukung', 'argentina', 'juara', 'wkwkwk']</t>
  </si>
  <si>
    <t>@EazyMathapakinE @idextratime Emang klo di luar negri umur jadi suatu yg penting kaya di indo ya? Gw yakin dia ngomong kaya gitu juga secara spontan bukan sengaja. Dia live kan emang mau ngerayain Argentina juara, sama aja kaya pas dia juara Copa aguero j</t>
  </si>
  <si>
    <t>emang klo luar negri umur jadi suatu penting kaya indo yakin dia ngomong kaya gitu juga secara spontan bukan sengaja dia live kan emang mau ngerayain argentina juara sama aja kaya pas dia juara copa aguero</t>
  </si>
  <si>
    <t>['emang', 'luar', 'negri', 'umur', 'jadi', 'suatu', 'penting', 'kaya', 'indo', 'yakin', 'ngomong', 'kaya', 'gitu', 'spontan', 'bukan', 'sengaja', 'live', 'kan', 'emang', 'mau', 'ngerayain', 'argentina', 'juara', 'sama', 'kaya', 'pas', 'juara', 'copa', 'aguero']</t>
  </si>
  <si>
    <t>Piala Dunia 2022: Messi Terbaik!  Sukses Argentina menjadi juara Piala Dunia 2022 semakin manis buat Lionel Messi. Sang megabintang turut didapuk sebagai pemain terbaik turnamen itu.   https://t.co/VwgwLKWCRs</t>
  </si>
  <si>
    <t>piala dunia messi terbaik sukses argentina menjadi juara piala dunia semakin manis buat lionel messi sang megabintang turut didapuk sebagai pemain terbaik turnamen itu</t>
  </si>
  <si>
    <t>['piala', 'dunia', 'messi', 'terbaik', 'sukses', 'argentina', 'menjadi', 'juara', 'piala', 'dunia', 'semakin', 'manis', 'buat', 'lionel', 'messi', 'sang', 'megabintang', 'turut', 'didapuk', 'pemain', 'terbaik', 'turnamen']</t>
  </si>
  <si>
    <t>Dibalik pertandingan kemarin yang bikin dagdigdug ser pada detik-detik terakhir yang saling mengejar, kemenangan Argentina sebagai juara dunia gak terlepas dari kepemimpinan Lionel Messi yang keren banget! ü§©</t>
  </si>
  <si>
    <t>dibalik pertandingan kemarin yang bikin dagdigdug ser pada detik detik terakhir yang saling mengejar kemenangan argentina sebagai juara dunia gak terlepas dari kepemimpinan lionel messi yang keren banget</t>
  </si>
  <si>
    <t>['dibalik', 'pertandingan', 'kemarin', 'dagdigdug', 'ser', 'detik', 'detik', 'terakhir', 'saling', 'mengejar', 'kemenangan', 'argentina', 'juara', 'dunia', 'terlepas', 'kepemimpinan', 'lionel', 'messi', 'keren', 'banget']</t>
  </si>
  <si>
    <t>Argentina Juara Piala Dunia 2022, Bukti Prediksi EA Sports Selalu Benar Sejak 2010  https://t.co/OeoCjz92Vz #beritajogja #jogja #jogjaistimewa  https://t.co/l64QkZJNdp</t>
  </si>
  <si>
    <t>argentina juara piala dunia bukti prediksi sports selalu benar sejak</t>
  </si>
  <si>
    <t>['argentina', 'juara', 'piala', 'dunia', 'bukti', 'prediksi', 'sports', 'selalu', 'benar', 'sejak']</t>
  </si>
  <si>
    <t>@idextratime Gimana kondisi dunia medson min kalau misal yang juara portugal bukan argentina ü§£</t>
  </si>
  <si>
    <t>gimana kondisi dunia medson min kalau misal yang juara portugal bukan argentina</t>
  </si>
  <si>
    <t>['gimana', 'kondisi', 'dunia', 'medson', 'min', 'kalau', 'misal', 'juara', 'portugal', 'bukan', 'argentina']</t>
  </si>
  <si>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</si>
  <si>
    <t>negara negara yang jadi juara piala dunia fifa brazil kali italia kali jerman kali uruguay kali argentina kali inggeris kali perancis kali spanyol kali malaysia lain kali</t>
  </si>
  <si>
    <t>['negara', 'negara', 'jadi', 'juara', 'piala', 'dunia', 'fifa', 'brazil', 'kali', 'italia', 'kali', 'jerman', 'kali', 'uruguay', 'kali', 'argentina', 'kali', 'inggeris', 'kali', 'perancis', 'kali', 'spanyol', 'kali', 'malaysia', 'kali']</t>
  </si>
  <si>
    <t>Congrats buat Argentina karna sudah Juara World Cup Qatar 2022 Dan Untuk France kalian tetap hebat tapi blum beruntung saja Dan Akhirnya Sang Mega Bintang Lionel Messi Meraih Trophy Yang Ia Dambakan Selama Ini !  https://t.co/1GWf3wC6dS</t>
  </si>
  <si>
    <t>congrats buat argentina karna sudah juara world cup qatar dan untuk france kalian tetap hebat tapi blum beruntung saja dan akhirnya sang mega bintang lionel messi meraih trophy yang dambakan selama ini</t>
  </si>
  <si>
    <t>['congrats', 'buat', 'argentina', 'karna', 'juara', 'world', 'cup', 'qatar', 'france', 'kalian', 'tetap', 'hebat', 'blum', 'beruntung', 'akhirnya', 'sang', 'mega', 'bintang', 'lionel', 'messi', 'meraih', 'trophy', 'dambakan', 'selama']</t>
  </si>
  <si>
    <t>Angel Di Maria dan Lionel Messi Abadi Jadi Manusia Dewa Argentina Usai Juara di Final Piala Dunia Terbaik Sepanjang Masa  https://t.co/OXr9oYjOpi</t>
  </si>
  <si>
    <t>angel maria dan lionel messi abadi jadi manusia dewa argentina usai juara final piala dunia terbaik sepanjang masa</t>
  </si>
  <si>
    <t>['angel', 'maria', 'lionel', 'messi', 'abadi', 'jadi', 'manusia', 'dewa', 'argentina', 'usai', 'juara', 'final', 'piala', 'dunia', 'terbaik', 'sepanjang', 'masa']</t>
  </si>
  <si>
    <t>parlay Argentina Juara Pildun Indonesia Juara AFF Tamir Masuk ITB</t>
  </si>
  <si>
    <t>parlay argentina juara pildun indonesia juara aff tamir masuk itb</t>
  </si>
  <si>
    <t>['parlay', 'argentina', 'juara', 'piala dunia', 'indonesia', 'juara', 'aff', 'tamir', 'masuk', 'itb']</t>
  </si>
  <si>
    <t>Argentina Bawa Uang Hadiah Rp 655 Miliar dari Qatar: Timnas Argentina pulang dari Qatar dengan membawa pulang uang 42 juta dolar Amerika Serikat atau sekitar Rp 655 miliar atas keberhasilan menjadi juara‚Ä¶  https://t.co/HcyhGcniGx #beritabaik #timesindonesia #ketahananinformasi</t>
  </si>
  <si>
    <t>argentina bawa uang hadiah miliar dari qatar timnas argentina pulang dari qatar dengan membawa pulang uang juta dolar amerika serikat atau sekitar miliar atas keberhasilan menjadi juara</t>
  </si>
  <si>
    <t>['argentina', 'bawa', 'uang', 'hadiah', 'miliar', 'qatar', 'timnas', 'argentina', 'pulang', 'qatar', 'membawa', 'pulang', 'uang', 'juta', 'dolar', 'amerika', 'serikat', 'miliar', 'atas', 'keberhasilan', 'menjadi', 'juara']</t>
  </si>
  <si>
    <t>Para haters Messi kasihan masih belum terima kenyataan. Dampaknya semakin gila nyalah2in var, wasit, ngatain juara give away, apalah apalah wkwkwk tetep gak akan bisa mengubah fakta kalau yg juara piala dunia 2022 Argentina boss! Messi yg juara boss! wkwkwk jgn nangis gt ah! ü§£ü§£</t>
  </si>
  <si>
    <t>para haters messi kasihan masih belum terima kenyataan dampaknya semakin gila nyalah var wasit ngatain juara give away apalah apalah wkwkwk tetep gak akan bisa mengubah fakta kalau juara piala dunia argentina boss messi juara boss wkwkwk jgn nangis</t>
  </si>
  <si>
    <t>['haters', 'messi', 'kasihan', 'terima', 'kenyataan', 'dampaknya', 'semakin', 'gila', 'nyalah', 'var', 'wasit', 'ngatain', 'juara', 'give', 'away', 'apalah', 'apalah', 'wkwkwk', 'tetep', 'mengubah', 'fakta', 'kalau', 'juara', 'piala', 'dunia', 'argentina', 'boss', 'messi', 'juara', 'boss', 'wkwkwk', 'nangis']</t>
  </si>
  <si>
    <t>argentina juara boss!!!</t>
  </si>
  <si>
    <t>argentina juara boss</t>
  </si>
  <si>
    <t>['argentina', 'juara', 'boss']</t>
  </si>
  <si>
    <t>Argentina juara piala dunia 2022  https://t.co/VscHpRVIGr</t>
  </si>
  <si>
    <t>@elguerrer000 @Camavinga Argentina juara, gw cuma happy buat Messi, selain itu udah ngga ada. 99% nyawa Argentina ada di Messi. Mau pembenci Messi, mau fans Ronaldo, objektif aja kalo Messi di piala dunia kali ini emang main gila-gilaan.  Tapi kan Argen d</t>
  </si>
  <si>
    <t>argentina juara cuma happy buat messi selain itu udah ngga ada nyawa argentina ada messi mau pembenci messi mau fans ronaldo objektif aja kalo messi piala dunia kali ini emang main gila gilaan tapi kan argen</t>
  </si>
  <si>
    <t>['argentina', 'juara', 'cuma', 'happy', 'buat', 'messi', 'udah', 'ngga', 'nyawa', 'argentina', 'messi', 'mau', 'pembenci', 'messi', 'mau', 'fans', 'ronaldo', 'objektif', 'messi', 'piala', 'dunia', 'kali', 'emang', 'main', 'gila', 'gilaan', 'kan', 'argen']</t>
  </si>
  <si>
    <t>Gue tau bgt kalo taruhan jarang menang, tp disisi lain mau liat Argentina juara. Makanya kenapa gue pegang Prancis  #NenanginDiri</t>
  </si>
  <si>
    <t>gue tau bgt kalo taruhan jarang menang disisi lain mau liat argentina juara makanya kenapa gue pegang prancis</t>
  </si>
  <si>
    <t>['gue', 'banget', 'taruhan', 'jarang', 'menang', 'disisi', 'mau', 'lihat', 'argentina', 'juara', 'makanya', 'gue', 'pegang', 'prancis']</t>
  </si>
  <si>
    <t>Tim Tango Juara Piala Dunia 2022, Putin Beri Selamat ke Presiden Argentina ‚Äì inews ‚Äì  https://t.co/w4OZFrbxkP ‚Äì #Opsiin #Kamidi #Opsiminfo- https://t.co/GWdb2Ahbqs</t>
  </si>
  <si>
    <t>tim tango juara piala dunia putin beri selamat presiden argentina inews</t>
  </si>
  <si>
    <t>['tim', 'tango', 'juara', 'piala', 'dunia', 'putin', 'beri', 'selamat', 'presiden', 'argentina', 'inews']</t>
  </si>
  <si>
    <t>@idextratime Lucu emg netizen indonesia.. yg juara argentina... yg kalah prancis.. mereka ber2 udah biasa aja g ngungkit ngungkit hal beginian... eh malah d indonesia yg rame ini itu... kasian emg... hahahaha</t>
  </si>
  <si>
    <t>lucu emg netizen indonesia juara argentina kalah prancis mereka ber udah biasa aja ngungkit ngungkit hal beginian malah indonesia rame ini itu kasian emg hahahaha</t>
  </si>
  <si>
    <t>['lucu', 'memang', 'netizen', 'indonesia', 'juara', 'argentina', 'kalah', 'prancis', 'ber', 'udah', 'biasa', 'ngungkit', 'ngungkit', 'beginian', 'malah', 'indonesia', 'ramai', 'kasian', 'memang', 'hahahaha']</t>
  </si>
  <si>
    <t>@indodax ü•∫ Akhir tahun 2022 porto masih mines min bikin badmood tapi lumayan terobati argentina &amp;amp; messi cs berhasil juara pildun 2022, dan saya optimis tahun baru 2023 bisa membawa market crypto terbang lagi to the moon. @luciacun @Demsi2022 @Felma</t>
  </si>
  <si>
    <t>akhir tahun porto masih mines min bikin badmood tapi lumayan terobati argentina messi berhasil juara pildun dan saya optimis tahun baru bisa membawa market crypto terbang lagi the moon</t>
  </si>
  <si>
    <t>['akhir', 'tahun', 'porto', 'mines', 'min', 'badmood', 'lumayan', 'terobati', 'argentina', 'messi', 'berhasil', 'juara', 'piala dunia', 'optimis', 'tahun', 'baru', 'membawa', 'market', 'crypto', 'terbang', 'the', 'moon']</t>
  </si>
  <si>
    <t>Setelah Argentina Juara Piala Dunia 2022 Gw Pengen jadi Fans Ronaldo atau Pembenci Messi, 3 hari aja, gmna ya rasanya ü´†</t>
  </si>
  <si>
    <t>setelah argentina juara piala dunia pengen jadi fans ronaldo atau pembenci messi hari aja gmna rasanya</t>
  </si>
  <si>
    <t>['argentina', 'juara', 'piala', 'dunia', 'pengen', 'jadi', 'fans', 'ronaldo', 'pembenci', 'messi', 'hari', 'gmna', 'rasanya']</t>
  </si>
  <si>
    <t>Argentina Juara Piala Dunia 2022: Penantian 36 Tahun  Argentina tampil sebagai juara Piala Dunia 2022 setelah menumpas Prancis melalui adu penalti di final. Argentina mengakhiri penantian juara usai 36 tahun.   https://t.co/0AskZN0DZv</t>
  </si>
  <si>
    <t>argentina juara piala dunia penantian tahun argentina tampil sebagai juara piala dunia setelah menumpas prancis melalui adu penalti final argentina mengakhiri penantian juara usai tahun</t>
  </si>
  <si>
    <t>['argentina', 'juara', 'piala', 'dunia', 'penantian', 'tahun', 'argentina', 'tampil', 'juara', 'piala', 'dunia', 'menumpas', 'prancis', 'melalui', 'adu', 'penalti', 'final', 'argentina', 'mengakhiri', 'penantian', 'juara', 'usai', 'tahun']</t>
  </si>
  <si>
    <t>@SetPiecer Harganya naik sekarang bang, soalnya Argentina juara dunia   https://t.co/NmM0hz7fQZ</t>
  </si>
  <si>
    <t>harganya naik sekarang bang soalnya argentina juara dunia</t>
  </si>
  <si>
    <t>['harganya', 'naik', 'sekarang', 'bang', 'soalnya', 'argentina', 'juara', 'dunia']</t>
  </si>
  <si>
    <t>awal mula kenapa argentina bisa jadi juara dunia  https://t.co/EVCIUtYuDw</t>
  </si>
  <si>
    <t>awal mula kenapa argentina bisa jadi juara dunia</t>
  </si>
  <si>
    <t>['awal', 'mula', 'argentina', 'jadi', 'juara', 'dunia']</t>
  </si>
  <si>
    <t>IYA AJG GUA TAU ARGENTINA JUARA 20 DETIK SEBELUMNYA JD GA DEGDEG2AN SAMSEK, KONTOOLLL</t>
  </si>
  <si>
    <t>iya ajg gua tau argentina juara detik sebelumnya degdeg samsek kontoolll</t>
  </si>
  <si>
    <t>['iya', 'ajg', 'gua', 'argentina', 'juara', 'detik', 'sebelumnya', 'degdeg', 'samsek', 'kontoolll']</t>
  </si>
  <si>
    <t>Argentina Juara Piala Dunia, Messi dkk Bawa Pulang Rp 655 M  https://t.co/Gl5xurUzGb</t>
  </si>
  <si>
    <t>argentina juara piala dunia messi dkk bawa pulang</t>
  </si>
  <si>
    <t>['argentina', 'juara', 'piala', 'dunia', 'messi', 'dkk', 'bawa', 'pulang']</t>
  </si>
  <si>
    <t>Laga Penuh Drama, Argentina Juara Piala Dunia Qatar 2022  https://t.co/lypz7PAPx7 via @WartaSiber.com</t>
  </si>
  <si>
    <t>laga penuh drama argentina juara piala dunia qatar via com</t>
  </si>
  <si>
    <t>['laga', 'penuh', 'drama', 'argentina', 'juara', 'piala', 'dunia', 'qatar', 'via', 'com']</t>
  </si>
  <si>
    <t>Argentina üá¶üá∑ dan messi sudah Juara Dunia, Juara Piala Dunia 2022 Saatnya Indonesia üá≤üá® Juara AFF #JuaraDunia #Messi #FIFAWorldCup #Indonesia #AFF #AFFCup2022</t>
  </si>
  <si>
    <t>argentina dan messi sudah juara dunia juara piala dunia saatnya indonesia juara aff</t>
  </si>
  <si>
    <t>['argentina', 'messi', 'juara', 'dunia', 'juara', 'piala', 'dunia', 'saatnya', 'indonesia', 'juara', 'aff']</t>
  </si>
  <si>
    <t>@SiaranBolaLive U know dia orang argentina ü§£ mau maen mau kagak kalo timnasnya juara ya pasti happy lah ü§£ü§£ü§£</t>
  </si>
  <si>
    <t>know dia orang argentina mau maen mau kagak kalo timnasnya juara pasti happy lah</t>
  </si>
  <si>
    <t>['know', 'orang', 'argentina', 'mau', 'maen', 'mau', 'kagak', 'timnasnya', 'juara', 'happy', 'lah']</t>
  </si>
  <si>
    <t>Selamat untuk Argentina yang menjadi juara Piala Dunia 2022 üá¶üá∑üá¶üá∑üá¶üá∑</t>
  </si>
  <si>
    <t>selamat untuk argentina yang menjadi juara piala dunia</t>
  </si>
  <si>
    <t>['selamat', 'argentina', 'menjadi', 'juara', 'piala', 'dunia']</t>
  </si>
  <si>
    <t>Bawa Argentina juara dunia, julukan GOAT (Greatest of All Time) untuk Messi semakin kuat!  https://t.co/gG9qhQXGdV</t>
  </si>
  <si>
    <t>bawa argentina juara dunia julukan goat greatest all time untuk messi semakin kuat</t>
  </si>
  <si>
    <t>['bawa', 'argentina', 'juara', 'dunia', 'julukan', 'goat', 'greatest', 'all', 'time', 'messi', 'semakin', 'kuat']</t>
  </si>
  <si>
    <t>Juara Piala Dunia 2022, Argentina Bawa Pulang Rp1,2 Triliun #NewsRCTIPlus @RCTIPlus  https://t.co/Tov1QXWl5P</t>
  </si>
  <si>
    <t>Argentina juara World cup di tengah tengah krisis ekonomi dan high inflation</t>
  </si>
  <si>
    <t>argentina juara world cup tengah tengah krisis ekonomi dan high inflation</t>
  </si>
  <si>
    <t>['argentina', 'juara', 'world', 'cup', 'tengah', 'tengah', 'krisis', 'ekonomi', 'high', 'inflation']</t>
  </si>
  <si>
    <t>Argentina Juara Piala Dunia, Akun Instagram Messi Diserbu Artis Indonesia  https://t.co/cv81EhHBsu</t>
  </si>
  <si>
    <t>@Rynv22 @honeycoves__ @bulb_Moko @reneplatonisme @idextratime Eh, Argentina tanpa impor dari Afrika bisa juara dunia hiyahiyahiya</t>
  </si>
  <si>
    <t>moko argentina tanpa impor dari afrika bisa juara dunia hiyahiyahiya</t>
  </si>
  <si>
    <t>['moko', 'argentina', 'impor', 'afrika', 'juara', 'dunia', 'hiyahiyahiya']</t>
  </si>
  <si>
    <t>info! merayakan juara piala dunia argentina membagikan makanan gratis di alun-alun buenos aires dan membagikan STB gratis disetiap kecamatan argentina.</t>
  </si>
  <si>
    <t>info merayakan juara piala dunia argentina membagikan makanan gratis alun alun buenos aires dan membagikan stb gratis disetiap kecamatan argentina</t>
  </si>
  <si>
    <t>['info', 'merayakan', 'juara', 'piala', 'dunia', 'argentina', 'membagikan', 'makanan', 'gratis', 'alun', 'alun', 'buenos', 'aires', 'membagikan', 'stb', 'gratis', 'disetiap', 'kecamatan', 'argentina']</t>
  </si>
  <si>
    <t>@mediaindonesia Terlalu optimis menang.prancis tdk kuat menurut sy.karna mereka main kasar.lawan maroko sebetulnya kala tp wasit tdk jujur .argentina layak jadi juara keren</t>
  </si>
  <si>
    <t>terlalu optimis menang prancis tdk kuat menurut karna mereka main kasar lawan maroko sebetulnya kala wasit tdk jujur argentina layak jadi juara keren</t>
  </si>
  <si>
    <t>['terlalu', 'optimis', 'menang', 'prancis', 'kuat', 'karna', 'main', 'kasar', 'lawan', 'maroko', 'kala', 'wasit', 'jujur', 'argentina', 'layak', 'jadi', 'juara', 'keren']</t>
  </si>
  <si>
    <t>dam lihatlah se frustrate apa kita ampe argentina juara aja kita jadiin bahan buat hype kamu. plis muncul. mari kita rayakan argentina bersama...</t>
  </si>
  <si>
    <t>dam lihatlah frustrate apa kita ampe argentina juara aja kita jadiin bahan buat hype kamu plis muncul mari kita rayakan argentina bersama</t>
  </si>
  <si>
    <t>['dam', 'lihatlah', 'frustrate', 'apa', 'sampai', 'argentina', 'juara', 'jadiin', 'bahan', 'buat', 'hype', 'kamu', 'plis', 'muncul', 'rayakan', 'argentina', 'bersama']</t>
  </si>
  <si>
    <t>@senogp @MoooiPustaka Akhirnya salah satu impian melihat Argentina juara tercapai, ya, Mas @senogp. Saya kepingin Kura-Kura Berjanggut, moga saya menang deh</t>
  </si>
  <si>
    <t>akhirnya salah satu impian melihat argentina juara tercapai mas saya kepingin kura kura berjanggut moga saya menang deh</t>
  </si>
  <si>
    <t>['akhirnya', 'salah', 'satu', 'impian', 'melihat', 'argentina', 'juara', 'tercapai', 'mas', 'kepingin', 'kura', 'kura', 'berjanggut', 'semoga', 'menang', 'deh']</t>
  </si>
  <si>
    <t>@CoachJustinL Coach Argentina juara tuh coach</t>
  </si>
  <si>
    <t>coach argentina juara tuh coach</t>
  </si>
  <si>
    <t>['coach', 'argentina', 'juara', 'coach']</t>
  </si>
  <si>
    <t>selebrasi Argentina juara sungguh elegan setelah seremoni selesai ofisial tim baru bergabung seremoni jgn seperti Indonesia ketika juara U16,U19&amp;amp;U23 ofisial tim bahkan ketumnya ikut nimbrung kesannya norak krn hak pemain jd tersingkirkan</t>
  </si>
  <si>
    <t>selebrasi argentina juara sungguh elegan setelah seremoni selesai ofisial tim baru bergabung seremoni jgn seperti indonesia ketika juara ofisial tim bahkan ketumnya ikut nimbrung kesannya norak krn hak pemain tersingkirkan</t>
  </si>
  <si>
    <t>['selebrasi', 'argentina', 'juara', 'sungguh', 'elegan', 'seremoni', 'selesai', 'ofisial', 'tim', 'baru', 'bergabung', 'seremoni', 'indonesia', 'juara', 'ofisial', 'tim', 'bahkan', 'ketumnya', 'ikut', 'nimbrung', 'kesannya', 'norak', 'hak', 'pemain', 'tersingkirkan']</t>
  </si>
  <si>
    <t>Syaikh Leonel Messi, angkat Trofi....  Ya Ayyuhannasss Hadza Argentina Juara Piala Dunia ü§£ü§£ü§£  https://t.co/ZCxPefAmjB</t>
  </si>
  <si>
    <t>syaikh leonel messi angkat trofi ayyuhannasss hadza argentina juara piala dunia</t>
  </si>
  <si>
    <t>['syaikh', 'leonel', 'messi', 'angkat', 'trofi', 'ayyuhannasss', 'hadza', 'argentina', 'juara', 'piala', 'dunia']</t>
  </si>
  <si>
    <t>@idextratime disini kita tau, media butuh cristiano  di saat argentina yang juara</t>
  </si>
  <si>
    <t>disini kita tau media butuh cristiano saat argentina yang juara</t>
  </si>
  <si>
    <t>['disini', 'media', 'butuh', 'cristiano', 'argentina', 'juara']</t>
  </si>
  <si>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</si>
  <si>
    <t>sebagai seorang pemimpin ganjar selalu menganggap dirinya sebagai pelayan rakyat argentina juara dunia greates all time ronaldo cube laksamana yudo margono</t>
  </si>
  <si>
    <t>['seorang', 'pemimpin', 'ganjar', 'selalu', 'menganggap', 'dirinya', 'pelayan', 'rakyat', 'argentina', 'juara', 'dunia', 'greates', 'all', 'time', 'ronaldo', 'cube', 'laksamana', 'yudo', 'margono']</t>
  </si>
  <si>
    <t>tak de cuti umum ke... Argentina kan Juara ü§£ü§£ü§£ü§£ü§£ #janganmarah #sendagurauan</t>
  </si>
  <si>
    <t>tak cuti umum argentina kan juara</t>
  </si>
  <si>
    <t>['tak', 'cuti', 'umum', 'argentina', 'kan', 'juara']</t>
  </si>
  <si>
    <t>Fans Barca ngapain ikut seneng Argentina juara dah, pemain lu noh di Prancis ngampas, Griezmann, Kounde, Dembele, ngampas semua. Kok malah dukung argen? Messi udh cabut bro, move on lah hahaha</t>
  </si>
  <si>
    <t>fans barca ngapain ikut seneng argentina juara dah pemain noh prancis ngampas griezmann kounde dembele ngampas semua kok malah dukung argen messi udh cabut bro move lah hahaha</t>
  </si>
  <si>
    <t>['fans', 'barca', 'ngapain', 'ikut', 'seneng', 'argentina', 'juara', 'dah', 'pemain', 'noh', 'prancis', 'ngampas', 'griezmann', 'kounde', 'dembele', 'ngampas', 'semua', 'kok', 'malah', 'dukung', 'argen', 'messi', 'sudah', 'pergi', 'bro', 'move', 'lah', 'hahaha']</t>
  </si>
  <si>
    <t>@fabstaro20 @idextratime Memang unik piala dunia kali ini. Yg juara Argentina, yg kalah Perancis, tapi yg mencak2 sibuk nyari2 celah fans Portugal alias fans Dodo</t>
  </si>
  <si>
    <t>memang unik piala dunia kali ini juara argentina kalah perancis tapi mencak sibuk nyari celah fans portugal alias fans dodo</t>
  </si>
  <si>
    <t>['memang', 'unik', 'piala', 'dunia', 'kali', 'juara', 'argentina', 'kalah', 'perancis', 'mencak', 'sibuk', 'nyari', 'celah', 'fans', 'portugal', 'alias', 'fans', 'dodo']</t>
  </si>
  <si>
    <t>VIDEO: Aguero Hina Camavinga Usai Argentina Juara Piala Dunia 2022  https://t.co/jKGiyUO2t8</t>
  </si>
  <si>
    <t>video aguero hina camavinga usai argentina juara piala dunia</t>
  </si>
  <si>
    <t>['video', 'aguero', 'hina', 'camavinga', 'usai', 'argentina', 'juara', 'piala', 'dunia']</t>
  </si>
  <si>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</si>
  <si>
    <t>umar bin khattab pernah berpesan bahwa kita harus menjadi orang yang bermartabat jujur dan selalu menyampaikan kebenaran argentina juara dunia greates all time ronaldo cube</t>
  </si>
  <si>
    <t>['umar', 'bin', 'khattab', 'pernah', 'berpesan', 'menjadi', 'orang', 'bermartabat', 'jujur', 'selalu', 'menyampaikan', 'kebenaran', 'argentina', 'juara', 'dunia', 'greates', 'all', 'time', 'ronaldo', 'cube']</t>
  </si>
  <si>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</si>
  <si>
    <t>siapa yang kemarin nonton piala duniaaa dan siapa yang menjagokan argentina juara nih selamat semoga semangat dan kebahagiaan dari hasil piala dunia menjadikan hari senin kamu lebih bahagiaaa</t>
  </si>
  <si>
    <t>['siapa', 'kemarin', 'nonton', 'piala', 'duniaaa', 'siapa', 'menjagokan', 'argentina', 'juara', 'selamat', 'semoga', 'semangat', 'kebahagiaan', 'hasil', 'piala', 'dunia', 'menjadikan', 'hari', 'senin', 'kamu', 'lebih', 'bahagiaaa']</t>
  </si>
  <si>
    <t>Jadi Juara Piala Dunia 2022, Ekonomi Argentina Bisa Terdongkrak 0,25%  https://t.co/A8ItxoEN3A</t>
  </si>
  <si>
    <t>jadi juara piala dunia ekonomi argentina bisa terdongkrak</t>
  </si>
  <si>
    <t>['jadi', 'juara', 'piala', 'dunia', 'ekonomi', 'argentina', 'terdongkrak']</t>
  </si>
  <si>
    <t>Argentina pun jadi juara setelah menang adu penalti 4-2.  ARGENTINA GOT THE THIRD WORLD CUP! MESSI GOT HIS FIRST! AND THE GOAT DEBATE IS ENDED.  Gua sendiri selesai nunggu 8 tahun dari kekalahan di Maracana itu. Argentina akhirnya juara:')  https://t.co/kqfbqBeSDz</t>
  </si>
  <si>
    <t>argentina pun jadi juara setelah menang adu penalti argentina got the third world cup messi got his first and the goat debate ended gua sendiri selesai nunggu tahun dari kekalahan maracana itu argentina akhirnya juara</t>
  </si>
  <si>
    <t>['argentina', 'jadi', 'juara', 'menang', 'adu', 'penalti', 'argentina', 'got', 'the', 'third', 'world', 'cup', 'messi', 'got', 'his', 'first', 'and', 'the', 'goat', 'debate', 'ended', 'gua', 'sendiri', 'selesai', 'nunggu', 'tahun', 'kekalahan', 'maracana', 'argentina', 'akhirnya', 'juara']</t>
  </si>
  <si>
    <t>arepo seng juara Argentina,seng menangan yo tetep wong wedok</t>
  </si>
  <si>
    <t>arepo seng juara argentina seng menangan tetep wong wedok</t>
  </si>
  <si>
    <t>['arepo', 'seng', 'juara', 'argentina', 'seng', 'menangan', 'tetep', 'wong', 'wedok']</t>
  </si>
  <si>
    <t>Argentina pun masuk final nantang juara edisi 2018, Prancis and BOY IT WAS A SHOW OF THE CENTURY! Argentina unggul 2-0 di babak pertama dan dibales jadi 2-2 sama Prancis sampe waktu normal selesai. Pas extra time, sama-sama nambah 1 dan skor pun jadi 3-3.</t>
  </si>
  <si>
    <t>argentina pun masuk final nantang juara edisi prancis and boy was show the century argentina unggul babak pertama dan dibales jadi sama prancis sampe waktu normal selesai pas extra time sama sama nambah dan skor pun jadi</t>
  </si>
  <si>
    <t>['argentina', 'masuk', 'final', 'nantang', 'juara', 'edisi', 'prancis', 'and', 'boy', 'was', 'show', 'the', 'century', 'argentina', 'unggul', 'babak', 'pertama', 'dibales', 'jadi', 'sama', 'prancis', 'sampai', 'waktu', 'normal', 'selesai', 'pas', 'extra', 'time', 'sama', 'sama', 'nambah', 'skor', 'jadi']</t>
  </si>
  <si>
    <t>Inggris justru meyakinkan di tahun itu, tapi ya terhenti sampe semifinal. Setelah 2018, agak gak ngikutin perkembangan Argentina dan lebih fokus ke perkembangan Inggris. Padahal, Argentina jadi juara di Copa America 2021 dan Inggris kalah di Final Euro 2020.</t>
  </si>
  <si>
    <t>inggris justru meyakinkan tahun itu tapi terhenti sampe semifinal setelah agak gak ngikutin perkembangan argentina dan lebih fokus perkembangan inggris padahal argentina jadi juara copa america dan inggris kalah final euro</t>
  </si>
  <si>
    <t>['inggris', 'justru', 'meyakinkan', 'tahun', 'terhenti', 'sampai', 'semifinal', 'ngikutin', 'perkembangan', 'argentina', 'lebih', 'fokus', 'perkembangan', 'inggris', 'padahal', 'argentina', 'jadi', 'juara', 'copa', 'america', 'inggris', 'kalah', 'final', 'euro']</t>
  </si>
  <si>
    <t>Saking bagusnya Argentina di 2014, gua yakin banget hilangnya Di Maria di final karena cedera adalah penentu mutlak kenapa Argentina gagal juara. Gua juga yakin banyak yang berpendapat sama. Di Maria adalah pemain terbaik Argentina di turnamen itu.</t>
  </si>
  <si>
    <t>saking bagusnya argentina gua yakin banget hilangnya maria final karena cedera adalah penentu mutlak kenapa argentina gagal juara gua juga yakin banyak yang berpendapat sama maria adalah pemain terbaik argentina turnamen itu</t>
  </si>
  <si>
    <t>['saking', 'bagusnya', 'argentina', 'gua', 'yakin', 'banget', 'hilangnya', 'maria', 'final', 'cedera', 'penentu', 'mutlak', 'argentina', 'gagal', 'juara', 'gua', 'yakin', 'banyak', 'berpendapat', 'sama', 'maria', 'pemain', 'terbaik', 'argentina', 'turnamen']</t>
  </si>
  <si>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</si>
  <si>
    <t>ini cara ganjar pranowo memaknai integritas argentina juara dunia greates all time ronaldo cube laksamana yudo margono</t>
  </si>
  <si>
    <t>['cara', 'ganjar', 'pranowo', 'memaknai', 'integritas', 'argentina', 'juara', 'dunia', 'greates', 'all', 'time', 'ronaldo', 'cube', 'laksamana', 'yudo', 'margono']</t>
  </si>
  <si>
    <t>#FOTO Kylian Mbappe harus berpuas hati dengan raihan juara 2 Piala Dunia usai dikalahkan Argentina lewat adu penalti. Wajah kecewanya tak bisa disembunyikan.  Foto: AP Photo  #juaraboladunia #Mbappe #Prancis #Qatar2022  https://t.co/2PhvPdRiQL</t>
  </si>
  <si>
    <t>Jokowi Ingatkan Bawaslu Potensi Politik Uang dalam Setiap Pemilu |   Argentina Juara Piala Dunia |   Menparekraf Sebut Borobudur Tetap Dibuka Terbatas Tanpa Perubahan Tarif  Selengkapnya di #BuletinPagi  https://t.co/kTmiHmaLLl  #PodcastIndonesia  https://t.co/2WwxyzKu77</t>
  </si>
  <si>
    <t>jokowi ingatkan bawaslu potensi politik uang dalam setiap pemilu argentina juara piala dunia menparekraf sebut borobudur tetap dibuka terbatas tanpa perubahan tarif selengkapnya</t>
  </si>
  <si>
    <t>['jokowi', 'ingatkan', 'bawaslu', 'potensi', 'politik', 'uang', 'pemilu', 'argentina', 'juara', 'piala', 'dunia', 'menparekraf', 'sebut', 'borobudur', 'tetap', 'dibuka', 'terbatas', 'perubahan', 'tarif', 'selengkapnya']</t>
  </si>
  <si>
    <t>Argentina berhasil menjadi juara piala dunia FIFA 2022 setelah menang atas Prancis di partai final lewat drama adu penalti 4-2.   #LionelMessiìÉµ #Argentina #WorldCup   Selengkapnya:  https://t.co/5w0B35lyKd  https://t.co/OetBf5XmJI</t>
  </si>
  <si>
    <t>argentina berhasil menjadi juara piala dunia fifa setelah menang atas prancis partai final lewat drama adu penalti selengkapnya</t>
  </si>
  <si>
    <t>['argentina', 'berhasil', 'menjadi', 'juara', 'piala', 'dunia', 'fifa', 'menang', 'atas', 'prancis', 'partai', 'final', 'lewat', 'drama', 'adu', 'penalti', 'selengkapnya']</t>
  </si>
  <si>
    <t>--------------------------------------------- Daftar Juara Piala Dunia Terbanyak :  1. Brasil, 5x : 1958, 1962, 1970, 1994, dan 2002; 2. Jerman, 4x : 1954, 1974, 1990, serta 2014; 3. Italia, 4x : 1934, 1938, 1982, dan 2006; 4. Argentina, 3x :  1978, 1986,</t>
  </si>
  <si>
    <t>daftar juara piala dunia terbanyak brasil dan jerman serta italia dan argentina</t>
  </si>
  <si>
    <t>['daftar', 'juara', 'piala', 'dunia', 'terbanyak', 'brasil', 'jerman', 'italia', 'argentina']</t>
  </si>
  <si>
    <t>@kisbet_ @meltdownbytori Argentina 3x Juara Piala Dunia: 1) Tahun 1978 di Argentina, Top Scorer: Mario Kempes 2) Tahun 1986 di Meksiko, Top Scorer: Maradona 3) Tahun 2022 di Qatar, Top Scorer: Lionel Messi</t>
  </si>
  <si>
    <t>argentina juara piala dunia tahun argentina top scorer mario kempes tahun meksiko top scorer maradona tahun qatar top scorer lionel messi</t>
  </si>
  <si>
    <t>['argentina', 'juara', 'piala', 'dunia', 'tahun', 'argentina', 'top', 'scorer', 'mario', 'kempes', 'tahun', 'meksiko', 'top', 'scorer', 'maradona', 'tahun', 'qatar', 'top', 'scorer', 'lionel', 'messi']</t>
  </si>
  <si>
    <t>&lt;FreqDist with 14 samples and 21 outcomes&gt;</t>
  </si>
  <si>
    <t>@Heldierr @MelempemG @idextratime Yg juara pemain argentina yah,bukan bapak bapak anti rokok surya dgn gagguan jantung.</t>
  </si>
  <si>
    <t>juara pemain argentina yah bukan bapak bapak anti rokok surya dgn gagguan jantung</t>
  </si>
  <si>
    <t>['juara', 'pemain', 'argentina', 'bukan', 'bapak', 'bapak', 'anti', 'rokok', 'surya', 'gagguan', 'jantung']</t>
  </si>
  <si>
    <t>ARGENTINA JUARA DI PIALA DUNIA 2022 DAN STATUS MESSI SEBAGAI GREATEST OF ALL TIME RESMI DISANDANG!! TONTON NANTI DI JAM 12.30 HARI INI YA, TERIMAKASIH! ^-^  https://t.co/UwrQRUU3tC</t>
  </si>
  <si>
    <t>argentina juara piala dunia dan status messi sebagai greatest all time resmi disandang tonton nanti jam hari ini terimakasih</t>
  </si>
  <si>
    <t>['argentina', 'juara', 'piala', 'dunia', 'status', 'messi', 'greatest', 'all', 'time', 'resmi', 'disandang', 'tonton', 'jam', 'hari', 'terimakasih']</t>
  </si>
  <si>
    <t>Kata-kata Puitis dan Magis Peter Drury Antar Argentina Juara Piala Dunia 2022.  https://t.co/r4l9Wh4wqE</t>
  </si>
  <si>
    <t>kata kata puitis dan magis peter drury antar argentina juara piala dunia</t>
  </si>
  <si>
    <t>['kata', 'kata', 'puitis', 'magis', 'peter', 'drury', 'antar', 'argentina', 'juara', 'piala', 'dunia']</t>
  </si>
  <si>
    <t>@ardynshufi Seneng banget bacain coment... argentina yg juara... prancis yg kalah... indonesia yg adu bacot... emg level indonesia baru sampai sini yah.. kabur ah... logout..</t>
  </si>
  <si>
    <t>seneng banget bacain coment argentina juara prancis kalah indonesia adu bacot emg level indonesia baru sampai sini yah kabur logout</t>
  </si>
  <si>
    <t>['seneng', 'banget', 'bacain', 'coment', 'argentina', 'juara', 'prancis', 'kalah', 'indonesia', 'adu', 'bacot', 'memang', 'level', 'indonesia', 'baru', 'sini', 'kabur', 'logout']</t>
  </si>
  <si>
    <t>Argentina juara dunia .. Minus doa ibu dan alfateha.</t>
  </si>
  <si>
    <t>argentina juara dunia minus doa ibu dan alfateha</t>
  </si>
  <si>
    <t>['argentina', 'juara', 'dunia', 'minus', 'doa', 'ibu', 'alfateha']</t>
  </si>
  <si>
    <t>Rekor Lionel Messi Bawa Argentina Juara Piala Dunia 2022, Nomer 4 Bikin Wah..  #LionelMessiìÉµ #MessiìÉµ #PialaDunia2022 #WorldCupFinal #WorldCup   https://t.co/i2S1R6Ldhr lewat @Holopis.com</t>
  </si>
  <si>
    <t>rekor lionel messi bawa argentina juara piala dunia nomer bikin wah lewat com</t>
  </si>
  <si>
    <t>['rekor', 'lionel', 'messi', 'bawa', 'argentina', 'juara', 'piala', 'dunia', 'nomer', 'wah', 'lewat', 'com']</t>
  </si>
  <si>
    <t>@RadovicHosun @idextratime pas juara copa: Halah piala kaleng turnamen yg cuma diikutin 10 negara. pas juara finalissima: Halah lawan italy doang italy juga kan juara euro karena hoki. pas juara world cup: Jelas jelas ini turnamen settingan biar argentina</t>
  </si>
  <si>
    <t>pas juara copa halah piala kaleng turnamen cuma diikutin negara pas juara finalissima halah lawan italy doang italy juga kan juara euro karena hoki pas juara world cup jelas jelas ini turnamen settingan biar argentina</t>
  </si>
  <si>
    <t>['pas', 'juara', 'copa', 'halah', 'piala', 'kaleng', 'turnamen', 'cuma', 'diikutin', 'negara', 'pas', 'juara', 'finalissima', 'halah', 'lawan', 'italy', 'doang', 'italy', 'kan', 'juara', 'euro', 'hoki', 'pas', 'juara', 'world', 'cup', 'jelas', 'jelas', 'turnamen', 'settingan', 'argentina']</t>
  </si>
  <si>
    <t>Meski akhirnya meraih gelar juara dunia, Messi belum mau pensiun dari Timnas Argentina! Simak selengkapnya di sini.  https://t.co/HSICje5Oxq</t>
  </si>
  <si>
    <t>meski akhirnya meraih gelar juara dunia messi belum mau pensiun dari timnas argentina simak selengkapnya sini</t>
  </si>
  <si>
    <t>['meski', 'akhirnya', 'meraih', 'gelar', 'juara', 'dunia', 'messi', 'mau', 'pensiun', 'timnas', 'argentina', 'simak', 'selengkapnya', 'sini']</t>
  </si>
  <si>
    <t>@zivamagnolyeah Aku dong udah ngetwit dari tanggal 11 Desember kalo prediksiku Argentina bakal juara Piala Dunia tahun ini üá¶üá∑üá¶üá∑üá¶üá∑ https://t.co/QKZBLFha3I</t>
  </si>
  <si>
    <t>aku dong udah ngetwit dari tanggal desember kalo prediksiku argentina bakal juara piala dunia tahun ini</t>
  </si>
  <si>
    <t>['aku', 'dong', 'udah', 'ngetwit', 'tanggal', 'desember', 'prediksiku', 'argentina', 'bakal', 'juara', 'piala', 'dunia', 'tahun']</t>
  </si>
  <si>
    <t>Argentina Juara Piala Dunia 2022, Messi dan Mbappe Sama-sama Raih Dua Gelar Individu ini   https://t.co/UzAtHYicXL</t>
  </si>
  <si>
    <t>argentina juara piala dunia messi dan mbappe sama sama raih dua gelar individu ini</t>
  </si>
  <si>
    <t>['argentina', 'juara', 'piala', 'dunia', 'messi', 'mbappe', 'sama', 'sama', 'raih', 'gelar', 'individu']</t>
  </si>
  <si>
    <t>2 Tahun lalu gw pernah tweet begini, dan bener aja argentina yg juara wkwkwkwkwk üò≠  emang beneran cakep dah</t>
  </si>
  <si>
    <t>tahun lalu pernah tweet begini dan bener aja argentina juara wkwkwkwkwk emang beneran cakep dah</t>
  </si>
  <si>
    <t>['tahun', 'lalu', 'pernah', 'tweet', 'begini', 'benar', 'argentina', 'juara', 'wkwkwkwkwk', 'emang', 'beneran', 'cakep', 'dah']</t>
  </si>
  <si>
    <t>wkwk iya anjirr gue kemarin liat bingung sendiri soalnya harusnya tuh gak pinalty eh tpi malah dikasih pinalty soalnya jelas bgt klo dri kamera. Yaudahlah ya yg penting argentina juara</t>
  </si>
  <si>
    <t>wkwk iya anjirr gue kemarin liat bingung sendiri soalnya harusnya tuh gak pinalty tpi malah dikasih pinalty soalnya jelas bgt klo dri kamera yaudahlah penting argentina juara</t>
  </si>
  <si>
    <t>['iya', 'anjirr', 'gue', 'kemarin', 'lihat', 'bingung', 'sendiri', 'soalnya', 'harusnya', 'pinalty', 'tpi', 'malah', 'dikasih', 'pinalty', 'soalnya', 'jelas', 'banget', 'dri', 'kamera', 'yaudahlah', 'penting', 'argentina', 'juara']</t>
  </si>
  <si>
    <t>Dramatis, Argentina Juara Setelah Kalahkan France Adu Penalty @CoachJustinL   https://t.co/Wk7WCs3Wcc</t>
  </si>
  <si>
    <t>dramatis argentina juara setelah kalahkan france adu penalty</t>
  </si>
  <si>
    <t>['dramatis', 'argentina', 'juara', 'kalahkan', 'france', 'adu', 'penalty']</t>
  </si>
  <si>
    <t>Argentina juara! Dengan ini perdebatan siapa yang terbaik antara Messi dan Ronaldo, selesai!</t>
  </si>
  <si>
    <t>argentina juara dengan ini perdebatan siapa yang terbaik antara messi dan ronaldo selesai</t>
  </si>
  <si>
    <t>['argentina', 'juara', 'perdebatan', 'siapa', 'terbaik', 'messi', 'ronaldo', 'selesai']</t>
  </si>
  <si>
    <t>Ronaldo Puji dan Ucapkan Selamat kepada Messi Usai Bawa Argentina Juara di Piala Dunia 2022 #NewsRCTIPlus @RCTIPlus  https://t.co/ob90E6kLjA</t>
  </si>
  <si>
    <t>ronaldo puji dan ucapkan selamat kepada messi usai bawa argentina juara piala dunia</t>
  </si>
  <si>
    <t>['ronaldo', 'puji', 'ucapkan', 'selamat', 'messi', 'usai', 'bawa', 'argentina', 'juara', 'piala', 'dunia']</t>
  </si>
  <si>
    <t>mau tanya, ada yg udah liat fans real madrid/cr7 update di sosmed soal argentina yg jadi juara pildun blm?</t>
  </si>
  <si>
    <t>mau tanya ada udah liat fans real madrid update sosmed soal argentina jadi juara pildun blm</t>
  </si>
  <si>
    <t>['mau', 'tanya', 'udah', 'lihat', 'fans', 'real', 'madrid', 'update', 'sosmed', 'soal', 'argentina', 'jadi', 'juara', 'piala dunia', 'blm']</t>
  </si>
  <si>
    <t>Nobar Piala Dunia Paling Menegangkan, Argentina Juara  https://t.co/sthfJ9exeH</t>
  </si>
  <si>
    <t xml:space="preserve">@fansdecul @Lwayzyoung @idextratime Luis figo ama rui costa pernah juara apa? Bandingin sama Argentina yg punya mendiang Diego yg jelas2 menjadi inspirasi Leo Messi dan teman temannya. Di Portugal CR lah yg menjadi Diego tersebut, jadi inspirasi generasi </t>
  </si>
  <si>
    <t>luis figo ama rui costa pernah juara apa bandingin sama argentina punya mendiang diego jelas menjadi inspirasi leo messi dan teman temannya portugal lah menjadi diego tersebut jadi inspirasi generasi</t>
  </si>
  <si>
    <t>['luis', 'figo', 'ama', 'rui', 'costa', 'pernah', 'juara', 'apa', 'bandingin', 'sama', 'argentina', 'punya', 'mendiang', 'diego', 'jelas', 'menjadi', 'inspirasi', 'leo', 'messi', 'teman', 'temannya', 'portugal', 'lah', 'menjadi', 'diego', 'tersebut', 'jadi', 'inspirasi', 'generasi']</t>
  </si>
  <si>
    <t>Angel Di Maria dan Lionel Messi Abadi Jadi Manusia Dewa Argentina Usai Juara di Final Piala Dunia Terbaik Sepanjang Masa  https://t.co/Bu6sqaTgAP</t>
  </si>
  <si>
    <t>Argentina 1978 Mario Kempes Argentina 1986 Diego Maradona Argentina 2022 Lionel Messi  Saya fans Argentina sejak melihat Maradona di TVRI 1986 butuh 36 th lamanya melihat Argentina juara lagi.</t>
  </si>
  <si>
    <t>argentina mario kempes argentina diego maradona argentina lionel messi saya fans argentina sejak melihat maradona tvri butuh lamanya melihat argentina juara lagi</t>
  </si>
  <si>
    <t>['argentina', 'mario', 'kempes', 'argentina', 'diego', 'maradona', 'argentina', 'lionel', 'messi', 'fans', 'argentina', 'sejak', 'melihat', 'maradona', 'tvri', 'butuh', 'lamanya', 'melihat', 'argentina', 'juara']</t>
  </si>
  <si>
    <t>Mungkin rahasia Argentina Juara Dukunnya dari Indonesia @NUgarislucu ü§£ü§£ Halaaaa messi  https://t.co/YUIWfXWwp8</t>
  </si>
  <si>
    <t>mungkin rahasia argentina juara dukunnya dari indonesia halaaaa messi</t>
  </si>
  <si>
    <t>['mungkin', 'rahasia', 'argentina', 'juara', 'dukunnya', 'indonesia', 'halaaaa', 'messi']</t>
  </si>
  <si>
    <t>Argentina Juara  https://t.co/vGk7Ief4HX #football #beritabola #sepakbola #nusabali #FIFAWorldCup #PialaDunia2022 #TimnasArgentina #beritaolahraga</t>
  </si>
  <si>
    <t>15 Fakta Leo Messi Usai Juara Piala Dunia 2022, Sukses Angkat Citra Argentina yang Sempat Terjun Payung  #Messi #Argentina #PialaDunia2022 #FIFAWorldCup   https://t.co/lteSheaJVF</t>
  </si>
  <si>
    <t>fakta leo messi usai juara piala dunia sukses angkat citra argentina yang sempat terjun payung</t>
  </si>
  <si>
    <t>['fakta', 'leo', 'messi', 'usai', 'juara', 'piala', 'dunia', 'sukses', 'angkat', 'citra', 'argentina', 'sempat', 'terjun', 'payung']</t>
  </si>
  <si>
    <t>@CastleVens0410_ @mantansekamar @idextratime Maksud dia mungkin konteksnya sepak bola bang, maksud doi "sejarah" tuh Argentina udah gak aneh dulu2 udah pernah juara piala dunia. Coba sesekali ngertiin maksud orang lain dulu, masa langsung dicap sering bol</t>
  </si>
  <si>
    <t>maksud dia mungkin konteksnya sepak bola bang maksud doi sejarah tuh argentina udah gak aneh dulu udah pernah juara piala dunia coba sesekali ngertiin maksud orang lain dulu masa langsung dicap sering bol</t>
  </si>
  <si>
    <t>['maksud', 'mungkin', 'konteksnya', 'sepak', 'bola', 'bang', 'maksud', 'doi', 'sejarah', 'argentina', 'udah', 'aneh', 'dulu', 'udah', 'pernah', 'juara', 'piala', 'dunia', 'coba', 'sesekali', 'ngertiin', 'maksud', 'orang', 'dulu', 'masa', 'langsung', 'dicap', 'sering', 'bol']</t>
  </si>
  <si>
    <t>Bikin Ngakak Prabowo dan Panglima TNI, Ini Jawaban Jokowi Saat Ditanya Soal Argentina Jadi Juara Piala Dunia¬†2022  https://t.co/gUNp1YJ68F</t>
  </si>
  <si>
    <t>Bikin Ngakak Prabowo dan Panglima TNI, Ini Jawaban Jokowi Saat Ditanya Soal Argentina Jadi Juara Piala Dunia¬†2022  https://t.co/UKrPHRXNZS</t>
  </si>
  <si>
    <t>@ningmalihah Ehh argentina juara ya? Wahh lumayan lah tiket pp gratis ü§≠ü§™ü§™</t>
  </si>
  <si>
    <t>ehh argentina juara wahh lumayan lah tiket gratis</t>
  </si>
  <si>
    <t>['ehh', 'argentina', 'juara', 'wahh', 'lumayan', 'lah', 'tiket', 'gratis']</t>
  </si>
  <si>
    <t>eh cuy juara pildun Argentina ya?</t>
  </si>
  <si>
    <t>cuy juara pildun argentina</t>
  </si>
  <si>
    <t>['juara', 'piala dunia', 'argentina']</t>
  </si>
  <si>
    <t>@idextratime Emang banyak kontroversi. Tapi juara udah di Argentina.</t>
  </si>
  <si>
    <t>emang banyak kontroversi tapi juara udah argentina</t>
  </si>
  <si>
    <t>['emang', 'banyak', 'kontroversi', 'juara', 'udah', 'argentina']</t>
  </si>
  <si>
    <t>Yang juara argentina, yang kalah prancis, yang lg kerja ngantuk bgt gua üòµüòµüòµ</t>
  </si>
  <si>
    <t>yang juara argentina yang kalah prancis yang kerja ngantuk bgt gua</t>
  </si>
  <si>
    <t>['juara', 'argentina', 'kalah', 'prancis', 'kerja', 'ngantuk', 'banget', 'gua']</t>
  </si>
  <si>
    <t>TIPE-TIPE PEMAIN SEPAKBOLA.  Argentina Juara, Mbappe nya mewek... Boleh main bola asal jangan TAKATEK!! üòÄ  #warondrugs #speedupneverletup #kaltengbersinar #bnnpkalteng #pialadunia  https://t.co/03kJ9Ec2Wj</t>
  </si>
  <si>
    <t>tipe tipe pemain sepakbola argentina juara mbappe nya mewek boleh main bola asal jangan takatek</t>
  </si>
  <si>
    <t>['tipe', 'tipe', 'pemain', 'sepakbola', 'argentina', 'juara', 'mbappe', 'mewek', 'main', 'bola', 'asal', 'jangan', 'takatek']</t>
  </si>
  <si>
    <t>Berhasil Bawa Argentina Juara Piala Dunia, Messi Pecahkan Lima Rekor di ...  https://t.co/aQriAslKnF lewat @YouTube  https://t.co/gaVBei8SGw</t>
  </si>
  <si>
    <t>berhasil bawa argentina juara piala dunia messi pecahkan lima rekor lewat</t>
  </si>
  <si>
    <t>['berhasil', 'bawa', 'argentina', 'juara', 'piala', 'dunia', 'messi', 'pecahkan', 'lima', 'rekor', 'lewat']</t>
  </si>
  <si>
    <t>Argentina Juara Piala Dunia 2022 #PialaDunia2022 #Argentina  https://t.co/cpGW0KfjDB</t>
  </si>
  <si>
    <t>@The_RedsIndo Giorgina ronaldo itu merayakan juara dunia argentina nggak ya, kan asli argentina üòÖüòÖüòÖ</t>
  </si>
  <si>
    <t>redsindo giorgina ronaldo itu merayakan juara dunia argentina nggak kan asli argentina</t>
  </si>
  <si>
    <t>['redsindo', 'giorgina', 'ronaldo', 'merayakan', 'juara', 'dunia', 'argentina', 'kan', 'asli', 'argentina']</t>
  </si>
  <si>
    <t>gue paling suka editan argentina juara pake sound viva la vida soalnya lebih kerasa vibe euforianya</t>
  </si>
  <si>
    <t>gue paling suka editan argentina juara pake sound viva vida soalnya lebih kerasa vibe euforianya</t>
  </si>
  <si>
    <t>['gue', 'paling', 'suka', 'editan', 'argentina', 'juara', 'pake', 'sound', 'viva', 'vida', 'soalnya', 'lebih', 'kerasa', 'vibe', 'euforianya']</t>
  </si>
  <si>
    <t>2 tahun terbaik Argentina mulai dari menjuarai Copa America di tahun 2021, kini Messi cs mampu meraih gelar juara Piala Dunia 2022 di Qatar.  https://t.co/XwGbhskNMl</t>
  </si>
  <si>
    <t>tahun terbaik argentina mulai dari menjuarai copa america tahun kini messi mampu meraih gelar juara piala dunia qatar</t>
  </si>
  <si>
    <t>['tahun', 'terbaik', 'argentina', 'mulai', 'menjuarai', 'copa', 'america', 'tahun', 'kini', 'messi', 'mampu', 'meraih', 'gelar', 'juara', 'piala', 'dunia', 'qatar']</t>
  </si>
  <si>
    <t>argentina juara kira-kira ada poster ucapan selamat dari orang parpol ndak ya? üòÄüòÄ</t>
  </si>
  <si>
    <t>argentina juara kira kira ada poster ucapan selamat dari orang parpol ndak</t>
  </si>
  <si>
    <t>['argentina', 'juara', 'kira', 'kira', 'poster', 'ucapan', 'selamat', 'orang', 'parpol', 'ndak']</t>
  </si>
  <si>
    <t>Tuah Gol Angel Di Maria di Balik Gelar Juara Argentina!  https://t.co/Ok0nC1Qyrc</t>
  </si>
  <si>
    <t>tuah gol angel maria balik gelar juara argentina</t>
  </si>
  <si>
    <t>['tuah', 'gol', 'angel', 'maria', 'balik', 'gelar', 'juara', 'argentina']</t>
  </si>
  <si>
    <t>Profil Antonella Roccuzzo menjadi sorotan usai Messi berhasil membawa Argentina juara Piala Dunia Qatar 2022.   https://t.co/2kkSUasDuI  #AntonellaRoccuzzo #Messi #PialaDunia2022</t>
  </si>
  <si>
    <t>profil antonella roccuzzo menjadi sorotan usai messi berhasil membawa argentina juara piala dunia qatar</t>
  </si>
  <si>
    <t>['profil', 'antonella', 'roccuzzo', 'menjadi', 'sorotan', 'usai', 'messi', 'berhasil', 'membawa', 'argentina', 'juara', 'piala', 'dunia', 'qatar']</t>
  </si>
  <si>
    <t>di era jokowi....argentina juara  ..üòÇ</t>
  </si>
  <si>
    <t>era jokowi argentina juara</t>
  </si>
  <si>
    <t>['era', 'jokowi', 'argentina', 'juara']</t>
  </si>
  <si>
    <t>Emiliano Martinez bahkan belum mapan sebagai kiper utama di level klub tiga tahun lalu dan baru debut dengan Argentina pada 2021. Kini ia juara Piala Dunia.  https://t.co/LCTwpwUu0s</t>
  </si>
  <si>
    <t>Argentina juara Piala Dunia 2022 usai mengalahkan Prancis. Angel Di Maria sekali lagi menunjukkan tuahnya di laga final bersama Argentina. #juaraboladunia    https://t.co/J2SrfaZS1B</t>
  </si>
  <si>
    <t>Yang menang messi  Yang juara argentina Yang diroasting netizen iwan bule Wkwkwk anjirr lucuu bgt</t>
  </si>
  <si>
    <t>yang menang messi yang juara argentina yang diroasting netizen iwan bule wkwkwk anjirr lucuu bgt</t>
  </si>
  <si>
    <t>['menang', 'messi', 'juara', 'argentina', 'diroasting', 'netizen', 'iwan', 'bule', 'wkwkwk', 'anjirr', 'lucuu', 'banget']</t>
  </si>
  <si>
    <t>Selain Argentina di Piala Dunia 2022 Qatar, 2 Negara Ini Juara FIFA World Cup Lewat Adu Penalti, Tahun Berapa?  #Argentina #PialaDunia2022 #FIFAWorldCup   https://t.co/1X0YuGnLrA</t>
  </si>
  <si>
    <t>selain argentina piala dunia qatar negara ini juara fifa world cup lewat adu penalti tahun berapa</t>
  </si>
  <si>
    <t>['argentina', 'piala', 'dunia', 'qatar', 'negara', 'juara', 'fifa', 'world', 'cup', 'lewat', 'adu', 'penalti', 'tahun', 'berapa']</t>
  </si>
  <si>
    <t>@kemalpalevi Teori konspirasi barisan sakit hati Argentina juara, salah stu alasan krna tidak ada pemain AcMilan di skuad Argentina üòÇüòÇüòÇ</t>
  </si>
  <si>
    <t>teori konspirasi barisan sakit hati argentina juara salah stu alasan krna tidak ada pemain acmilan skuad argentina</t>
  </si>
  <si>
    <t>['teori', 'konspirasi', 'barisan', 'sakit', 'hati', 'argentina', 'juara', 'salah', 'stu', 'alasan', 'krna', 'pemain', 'acmilan', 'skuad', 'argentina']</t>
  </si>
  <si>
    <t>Asli cok, gua kalo gak juara 1 mending juara 3 daripada juara 2. Karena jadi runner-up itu rasanya lebih nyelekit.</t>
  </si>
  <si>
    <t>asli cok gua kalo gak juara mending juara daripada juara karena jadi runner itu rasanya lebih nyelekit</t>
  </si>
  <si>
    <t>['asli', 'cok', 'gua', 'juara', 'mending', 'juara', 'juara', 'jadi', 'runner', 'rasanya', 'lebih', 'nyelekit']</t>
  </si>
  <si>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</si>
  <si>
    <t>liat gambar ini makin nyadar inggris jauh ketinggalan sama negara besar utk urusan sepakbola juara dunia cuma sekali itu pun tuan rumah ada gol kontroversial kesalip sama argentina prancis juara eropa pun enggak sad makin jauh aja rencana football coming home nya</t>
  </si>
  <si>
    <t>['lihat', 'gambar', 'makin', 'nyadar', 'inggris', 'jauh', 'ketinggalan', 'sama', 'negara', 'besar', 'urusan', 'sepakbola', 'juara', 'dunia', 'cuma', 'sekali', 'tuan', 'rumah', 'gol', 'kontroversial', 'kesalip', 'sama', 'argentina', 'prancis', 'juara', 'eropa', 'enggak', 'sad', 'makin', 'jauh', 'rencana', 'football', 'coming', 'home']</t>
  </si>
  <si>
    <t>@zomet13 akhirnya di era jokowi argentina bisa juara lg setelah 36 th yg lalu</t>
  </si>
  <si>
    <t>akhirnya era jokowi argentina bisa juara setelah lalu</t>
  </si>
  <si>
    <t>['akhirnya', 'era', 'jokowi', 'argentina', 'juara', 'lalu']</t>
  </si>
  <si>
    <t>Emiliano Martinez bahkan belum mapan sebagai kiper utama di level klub tiga tahun lalu dan baru debut dengan Argentina pada 2021. Kini ia juara Piala Dunia.  https://t.co/LCTwpwDqYs</t>
  </si>
  <si>
    <t>@MS_Rahmat_7 @Leapitupid @cutiemicuwin Hahahahhahah, iya ga lagi2 deh. Besok-besok nonton aja, ga ikut yang lain2 lagi. Selamat ya argentina juara kak.</t>
  </si>
  <si>
    <t>rahmat hahahahhahah iya lagi deh besok besok nonton aja ikut yang lain lagi selamat argentina juara kak</t>
  </si>
  <si>
    <t>['rahmat', 'hahahahhahah', 'iya', 'deh', 'besok', 'besok', 'nonton', 'ikut', 'selamat', 'argentina', 'juara', 'kak']</t>
  </si>
  <si>
    <t>Argentina Juara Pele Maradona Full Senyum  https://t.co/pcEsYV8cda</t>
  </si>
  <si>
    <t>argentina juara pele maradona full senyum</t>
  </si>
  <si>
    <t>['argentina', 'juara', 'pele', 'maradona', 'full', 'senyum']</t>
  </si>
  <si>
    <t>Argentina juara karna Messi, aku juara karna kamuüòùü§≠</t>
  </si>
  <si>
    <t>argentina juara karna messi aku juara karna kamu</t>
  </si>
  <si>
    <t>['argentina', 'juara', 'karna', 'messi', 'aku', 'juara', 'karna', 'kamu']</t>
  </si>
  <si>
    <t>Messi kembali catatkan rekor baru usai membawa Timnas Argentina juara Piala Dunia Qatar Minggu, 18 Desember 2022.   https://t.co/j393SdgRfc  #Messi #PialaDunia2022 #Qatar #Argentina</t>
  </si>
  <si>
    <t>messi kembali catatkan rekor baru usai membawa timnas argentina juara piala dunia qatar minggu desember</t>
  </si>
  <si>
    <t>['messi', 'catatkan', 'rekor', 'baru', 'usai', 'membawa', 'timnas', 'argentina', 'juara', 'piala', 'dunia', 'qatar', 'minggu', 'desember']</t>
  </si>
  <si>
    <t>@bknbatman Full senyum mergo argentina juara ü•∞</t>
  </si>
  <si>
    <t>full senyum mergo argentina juara</t>
  </si>
  <si>
    <t>['full', 'senyum', 'mergo', 'argentina', 'juara']</t>
  </si>
  <si>
    <t>@kisbet_ @meltdownbytori 3x juara. üèÜ 1978, host Argentina, top scorer Mario Kempes üèÜ 1986, host Mexico, top scorer Maradona üèÜ 2022, host Qatar, top scorer Leo Messi.</t>
  </si>
  <si>
    <t>juara host argentina top scorer mario kempes host mexico top scorer maradona host qatar top scorer leo messi</t>
  </si>
  <si>
    <t>['juara', 'host', 'argentina', 'top', 'scorer', 'mario', 'kempes', 'host', 'mexico', 'top', 'scorer', 'maradona', 'host', 'qatar', 'top', 'scorer', 'leo', 'messi']</t>
  </si>
  <si>
    <t>Mabuk Kepayang Usai Bawa Argentina Juara Piala Dunia 2022, Lionel Messi Putuskan Batal Pensiun #NewsRCTIPlus @RCTIPlus  https://t.co/C4Ym1X1xfD</t>
  </si>
  <si>
    <t>mabuk kepayang usai bawa argentina juara piala dunia lionel messi putuskan batal pensiun</t>
  </si>
  <si>
    <t>['mabuk', 'kepayang', 'usai', 'bawa', 'argentina', 'juara', 'piala', 'dunia', 'lionel', 'messi', 'putuskan', 'batal', 'pensiun']</t>
  </si>
  <si>
    <t>@Dennysiregar7 üòÇüòÇüòÇüòÇüòÇawalx gue jagoin France tp gue inget kedengkian lo sm Argentina...gue lgsung nyeletuk k temen,kekx Argentina yg juara deh!temen gue heran,kok bisa katax?üòÇüòÇüòÇgue jawab ada anjingx mbak rara yg jago ngeramal kebali</t>
  </si>
  <si>
    <t>awalx gue jagoin france gue inget kedengkian argentina gue lgsung nyeletuk temen kekx argentina juara deh temen gue heran kok bisa katax gue jawab ada anjingx mbak rara jago ngeramal kebali</t>
  </si>
  <si>
    <t>['awalx', 'gue', 'jagoin', 'france', 'gue', 'inget', 'kedengkian', 'argentina', 'gue', 'lgsung', 'nyeletuk', 'temen', 'kekx', 'argentina', 'juara', 'deh', 'temen', 'gue', 'heran', 'kok', 'katax', 'gue', 'jawab', 'anjingx', 'mbak', 'rara', 'jago', 'ngeramal', 'kebali']</t>
  </si>
  <si>
    <t>@A_ZeeJKT48 Alhamdulillah argentina juara üèÜüèÜüèÜ</t>
  </si>
  <si>
    <t>zeejkt alhamdulillah argentina juara</t>
  </si>
  <si>
    <t>['zeejkt', 'alhamdulillah', 'argentina', 'juara']</t>
  </si>
  <si>
    <t>@PSSleman Ojo gawe mood rusak lho man... Argentina bar juara ki</t>
  </si>
  <si>
    <t>ojo gawe mood rusak lho man argentina bar juara</t>
  </si>
  <si>
    <t>['ojo', 'gawe', 'mood', 'rusak', 'lho', 'man', 'argentina', 'bar', 'juara']</t>
  </si>
  <si>
    <t>yg  juara Argentina yg ribut gw liat di TL fansnya Ronaldo vs Messi itu juga orang indonesia,,gmn dah</t>
  </si>
  <si>
    <t>juara argentina ribut liat fansnya ronaldo messi itu juga orang indonesia gmn dah</t>
  </si>
  <si>
    <t>['juara', 'argentina', 'ribut', 'lihat', 'fansnya', 'ronaldo', 'messi', 'orang', 'indonesia', 'gmn', 'dah']</t>
  </si>
  <si>
    <t>@papafranku6666 @SiaranBolaLive Luck nya Argentina emang di lord bang, aguerok masuk juga belum tentu Argentina bisa juaraüòÇ..</t>
  </si>
  <si>
    <t>luck nya argentina emang lord bang aguerok masuk juga belum tentu argentina bisa juara</t>
  </si>
  <si>
    <t>['luck', 'argentina', 'emang', 'lord', 'bang', 'aguerok', 'masuk', 'argentina', 'juara']</t>
  </si>
  <si>
    <t>Dari staff opponent report jadi pelatih utama yang bawa juara dunia.  Itu yang buat argentina juga jadi tim yang flexible, terstruktur, detail di piala dunia ini.  Cerdas, muda. Role model!</t>
  </si>
  <si>
    <t>dari staff opponent report jadi pelatih utama yang bawa juara dunia itu yang buat argentina juga jadi tim yang flexible terstruktur detail piala dunia ini cerdas muda role model</t>
  </si>
  <si>
    <t>['staff', 'opponent', 'report', 'jadi', 'pelatih', 'utama', 'bawa', 'juara', 'dunia', 'buat', 'argentina', 'jadi', 'tim', 'flexible', 'terstruktur', 'detail', 'piala', 'dunia', 'cerdas', 'muda', 'role', 'model']</t>
  </si>
  <si>
    <t>Mood gw nonton bola jadi berkurang semenjak Portugal kalah dan ditambah Argentina juara pildun</t>
  </si>
  <si>
    <t>mood nonton bola jadi berkurang semenjak portugal kalah dan ditambah argentina juara pildun</t>
  </si>
  <si>
    <t>['mood', 'nonton', 'bola', 'jadi', 'berkurang', 'semenjak', 'portugal', 'kalah', 'ditambah', 'argentina', 'juara', 'piala dunia']</t>
  </si>
  <si>
    <t>Selain bisa bikin argentina juara, messi juga bisa bikin gua gajian sebelum tanggal nya</t>
  </si>
  <si>
    <t>selain bisa bikin argentina juara messi juga bisa bikin gua gajian sebelum tanggal nya</t>
  </si>
  <si>
    <t>['argentina', 'juara', 'messi', 'gua', 'gajian', 'tanggal']</t>
  </si>
  <si>
    <t>Argentina baru saja memenangi edisi teranyar Piala Dunia. Berikut daftar juara turnamen terakbar sepakbola itu dari masa ke masa, yang dimulai sejak 1930. #juaraboladunia    https://t.co/vyZBNFXJOl</t>
  </si>
  <si>
    <t>argentina baru saja memenangi edisi teranyar piala dunia berikut daftar juara turnamen terakbar sepakbola itu dari masa masa yang dimulai sejak</t>
  </si>
  <si>
    <t>['argentina', 'baru', 'memenangi', 'edisi', 'teranyar', 'piala', 'dunia', 'berikut', 'daftar', 'juara', 'turnamen', 'terakbar', 'sepakbola', 'masa', 'masa', 'dimulai', 'sejak']</t>
  </si>
  <si>
    <t>Senang bawa Argentina jadi juara, Lionel Messi full senyum saat angkat trofi di Piala Dunia 2022  https://t.co/iWXM2EuK2G</t>
  </si>
  <si>
    <t>senang bawa argentina jadi juara lionel messi full senyum saat angkat trofi piala dunia</t>
  </si>
  <si>
    <t>['senang', 'bawa', 'argentina', 'jadi', 'juara', 'lionel', 'messi', 'full', 'senyum', 'angkat', 'trofi', 'piala', 'dunia']</t>
  </si>
  <si>
    <t>Piala Dunia Qatar telah usai, dimana Argentina berhasil menjadi juara di musim ini usai menaklukan Prancis Minggu, 18 Desember 2022   https://t.co/zF2A6qQFW5  #PialaDuniaQatar #Argentina #Prancis #Messi</t>
  </si>
  <si>
    <t>piala dunia qatar telah usai dimana argentina berhasil menjadi juara musim ini usai menaklukan prancis minggu desember</t>
  </si>
  <si>
    <t>['piala', 'dunia', 'qatar', 'usai', 'argentina', 'berhasil', 'menjadi', 'juara', 'musim', 'usai', 'menaklukan', 'prancis', 'minggu', 'desember']</t>
  </si>
  <si>
    <t>Sorak Sorai Juara Piala Dunia, Argentina Masih Punya PR Inflasi Gila-gilaan!  https://t.co/lvFoC241kl</t>
  </si>
  <si>
    <t>sorak sorai juara piala dunia argentina masih punya inflasi gila gilaan</t>
  </si>
  <si>
    <t>['sorak', 'sorai', 'juara', 'piala', 'dunia', 'argentina', 'punya', 'inflasi', 'gila', 'gilaan']</t>
  </si>
  <si>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</si>
  <si>
    <t>meski skrg gue lagi diem agie tpi gue ttp bahagia khusus hari ini krn argentinaaaa juara duniaaaa vamos messi vamos argentinaaa gue masuk gara argentina kalah jerman dri kls gue udh ngefans bangett sama messi tiap malem sll bangun liat dia tanding</t>
  </si>
  <si>
    <t>['meski', 'skrg', 'gue', 'diem', 'agie', 'tpi', 'gue', 'ttp', 'bahagia', 'khusus', 'hari', 'argentinaaaa', 'juara', 'duniaaaa', 'vamos', 'messi', 'vamos', 'argentinaaa', 'gue', 'masuk', 'gara', 'argentina', 'kalah', 'jerman', 'dri', 'kls', 'gue', 'sudah', 'ngefans', 'bangett', 'sama', 'messi', 'tiap', 'malem', 'sll', 'bangun', 'lihat', 'tanding']</t>
  </si>
  <si>
    <t>&lt;FreqDist with 33 samples and 38 outcomes&gt;</t>
  </si>
  <si>
    <t>@adhityasonys Seneng cuk argentina juara wkwkwk</t>
  </si>
  <si>
    <t>seneng cuk argentina juara wkwkwk</t>
  </si>
  <si>
    <t>['seneng', 'cuk', 'argentina', 'juara', 'wkwkwk']</t>
  </si>
  <si>
    <t>Argentina juara Piala Dunia 2022 melalui adu penalti dengan Prancis. Di waktu normal kedua tim sama kuat dengan mengoleksi masing-masing 3 gol.    https://t.co/ecIW4xbwmn  #Argentina #JuaraPialaDunia #Prancis #PialaDunia2022</t>
  </si>
  <si>
    <t>argentina juara piala dunia melalui adu penalti dengan prancis waktu normal kedua tim sama kuat dengan mengoleksi masing masing gol</t>
  </si>
  <si>
    <t>['argentina', 'juara', 'piala', 'dunia', 'melalui', 'adu', 'penalti', 'prancis', 'waktu', 'normal', 'kedua', 'tim', 'sama', 'kuat', 'mengoleksi', 'masing', 'masing', 'gol']</t>
  </si>
  <si>
    <t>yang juara Argentina yang menang tetap orang lama üò∂</t>
  </si>
  <si>
    <t>yang juara argentina yang menang tetap orang lama</t>
  </si>
  <si>
    <t>['juara', 'argentina', 'menang', 'tetap', 'orang', 'lama']</t>
  </si>
  <si>
    <t>Ibarat kayak Argentina kalau emang udah ditakdirkan juara ya bakal juara padahal perancis dikit lagi mau gagalin,,gitu juga kita walaupun belum pernah kenal dan ketemu kalau jodoh mah ga bakal kemana #asekkk üòÇ</t>
  </si>
  <si>
    <t>ibarat kayak argentina kalau emang udah ditakdirkan juara bakal juara padahal perancis dikit lagi mau gagalin gitu juga kita walaupun belum pernah kenal dan ketemu kalau jodoh mah bakal kemana</t>
  </si>
  <si>
    <t>['ibarat', 'seperti', 'argentina', 'kalau', 'emang', 'udah', 'ditakdirkan', 'juara', 'bakal', 'juara', 'padahal', 'perancis', 'dikit', 'mau', 'gagalin', 'gitu', 'walaupun', 'pernah', 'kenal', 'ketemu', 'kalau', 'jodoh', 'mah', 'bakal']</t>
  </si>
  <si>
    <t>Mau liat ekspresi Aimar pas Argentina juara kok ga nemu ya?</t>
  </si>
  <si>
    <t>mau liat ekspresi aimar pas argentina juara kok nemu</t>
  </si>
  <si>
    <t>['mau', 'lihat', 'ekspresi', 'aimar', 'pas', 'argentina', 'juara', 'kok', 'nemu']</t>
  </si>
  <si>
    <t>Kun ngegolin lawan Brighton &amp;gt; Hughton dipecat &amp;gt; Ganti Potter &amp;gt; Potter beli Maupay &amp;gt; Maupay tabrakan sama Leno &amp;gt; Leno injury, Martinez masuk &amp;gt; Martinez top form &amp;gt; dipanggil timnas &amp;gt; Argentina juara Copa America &amp;gt; Argentina  juara dunia.</t>
  </si>
  <si>
    <t>kun ngegolin lawan brighton hughton dipecat ganti potter potter beli maupay maupay tabrakan sama leno leno injury martinez masuk martinez top form dipanggil timnas argentina juara copa america argentina juara dunia</t>
  </si>
  <si>
    <t>['kun', 'ngegolin', 'lawan', 'brighton', 'hughton', 'dipecat', 'ganti', 'potter', 'potter', 'beli', 'maupay', 'maupay', 'tabrakan', 'sama', 'leno', 'leno', 'injury', 'martinez', 'masuk', 'martinez', 'top', 'form', 'dipanggil', 'timnas', 'argentina', 'juara', 'copa', 'america', 'argentina', 'juara', 'dunia']</t>
  </si>
  <si>
    <t>Argentina menjadi juara di Piala Dunia Qatar 2022. Gelar ketiga bagi tim berjuluk Albicelestes, setelah tahun 1978 dan 1986.  https://t.co/ULdZ7Gv71Y</t>
  </si>
  <si>
    <t>argentina menjadi juara piala dunia qatar gelar ketiga bagi tim berjuluk albicelestes setelah tahun dan</t>
  </si>
  <si>
    <t>['argentina', 'menjadi', 'juara', 'piala', 'dunia', 'qatar', 'gelar', 'ketiga', 'tim', 'berjuluk', 'albicelestes', 'tahun']</t>
  </si>
  <si>
    <t>Buka sosmed smua nya bhas juara pildun argentina Serasa panass</t>
  </si>
  <si>
    <t>buka sosmed smua nya bhas juara pildun argentina serasa panass</t>
  </si>
  <si>
    <t>['buka', 'sosmed', 'smua', 'bhas', 'juara', 'piala dunia', 'argentina', 'serasa', 'panass']</t>
  </si>
  <si>
    <t>Krisis Ekonomi Argentina di Balik Euforia Juara Piala Dunia 2022  https://t.co/C3eMbVEZft</t>
  </si>
  <si>
    <t>krisis ekonomi argentina balik euforia juara piala dunia</t>
  </si>
  <si>
    <t>['krisis', 'ekonomi', 'argentina', 'balik', 'euforia', 'juara', 'piala', 'dunia']</t>
  </si>
  <si>
    <t>@papafranku6666 @idextratime Ok klo gt, pertanyaannya knp d rekam? Bakal nimbulin kontra, apalagi aguero uda ga maen ga masuk tim, mencoreng euforia argentina slaku juara</t>
  </si>
  <si>
    <t>klo pertanyaannya knp rekam bakal nimbulin kontra apalagi aguero uda maen masuk tim mencoreng euforia argentina slaku juara</t>
  </si>
  <si>
    <t>['pertanyaannya', 'kenapa', 'rekam', 'bakal', 'nimbulin', 'kontra', 'aguero', 'uda', 'maen', 'masuk', 'tim', 'mencoreng', 'euforia', 'argentina', 'slaku', 'juara']</t>
  </si>
  <si>
    <t>Sabet Gelar Juara Piala Dunia, Ekonomi Argentina Bisa Tumbuh 0,25%!  https://t.co/mb4o0PaYAu</t>
  </si>
  <si>
    <t>sabet gelar juara piala dunia ekonomi argentina bisa tumbuh</t>
  </si>
  <si>
    <t>['sabet', 'gelar', 'juara', 'piala', 'dunia', 'ekonomi', 'argentina', 'tumbuh']</t>
  </si>
  <si>
    <t>@FaktaSepakbola Paling berkesan argentina yg juara</t>
  </si>
  <si>
    <t>paling berkesan argentina juara</t>
  </si>
  <si>
    <t>['paling', 'berkesan', 'argentina', 'juara']</t>
  </si>
  <si>
    <t>Argentina Juara Piala Dunia 2022 Qatar, Hadiah Uang yang Diterima Tidak Laku?  https://t.co/rRJm2uZYAE</t>
  </si>
  <si>
    <t>argentina juara piala dunia qatar hadiah uang yang diterima tidak laku</t>
  </si>
  <si>
    <t>['argentina', 'juara', 'piala', 'dunia', 'qatar', 'hadiah', 'uang', 'diterima', 'laku']</t>
  </si>
  <si>
    <t>Argentina Juara Piala Dunia 2022 Qatar, Hadiah Uang yang Diterima Tidak Laku?  https://t.co/EebnT3JCTV</t>
  </si>
  <si>
    <t>ARGENTINA JUARA PIALA DUNIA 2022 QATAR #Shorts   https://t.co/xIKoCj3iX4  https://t.co/dRbgBSIlEf</t>
  </si>
  <si>
    <t>Argentina menjadi juara setelah menjalani pertandingan yang penuh dengan drama dan harus diselesaikan dengan adu pinalti   https://t.co/JG0vwt3tFc #FIFAWorldCup #ArgentinaVsFrance #Mbappe</t>
  </si>
  <si>
    <t>argentina menjadi juara setelah menjalani pertandingan yang penuh dengan drama dan harus diselesaikan dengan adu pinalti</t>
  </si>
  <si>
    <t>['argentina', 'menjadi', 'juara', 'menjalani', 'pertandingan', 'penuh', 'drama', 'diselesaikan', 'adu', 'penalti']</t>
  </si>
  <si>
    <t>Argentina Juara, Kapolres Asahan Angkat Miniatur Piala Dunia.  https://t.co/00RiRlk4A6</t>
  </si>
  <si>
    <t>argentina juara kapolres asahan angkat miniatur piala dunia</t>
  </si>
  <si>
    <t>['argentina', 'juara', 'kapolres', 'asahan', 'angkat', 'miniatur', 'piala', 'dunia']</t>
  </si>
  <si>
    <t>Argentina Juara Piala Dunia 2022, Permohonan Emosional Lionel Scaloni kepada Lionel Messi Muncul Kembali  https://t.co/vpCHbdsw0F</t>
  </si>
  <si>
    <t>Pengumuman! Argentina Juara Piala Dunia, terimakasih -Kang Emil  https://t.co/814paO97pc</t>
  </si>
  <si>
    <t>pengumuman argentina juara piala dunia terimakasih kang emil</t>
  </si>
  <si>
    <t>['pengumuman', 'argentina', 'juara', 'piala', 'dunia', 'terimakasih', 'kang', 'emil']</t>
  </si>
  <si>
    <t>Selain Messi, 2 nama inilah yg turut berjasa mengantar Argentina Juaraüòä  https://t.co/302XVKpklw</t>
  </si>
  <si>
    <t>selain messi nama inilah turut berjasa mengantar argentina juara</t>
  </si>
  <si>
    <t>['messi', 'nama', 'inilah', 'turut', 'berjasa', 'mengantar', 'argentina', 'juara']</t>
  </si>
  <si>
    <t>Piala Dunia 2022: Curahan Hati Lionel Messi Usai Bawa Argentina Juara #NewsRCTIPlus @RCTIPlus  https://t.co/hk37ADVCp4</t>
  </si>
  <si>
    <t>piala dunia curahan hati lionel messi usai bawa argentina juara</t>
  </si>
  <si>
    <t>['piala', 'dunia', 'curahan', 'hati', 'lionel', 'messi', 'usai', 'bawa', 'argentina', 'juara']</t>
  </si>
  <si>
    <t>Argentina butuh waktu 36 tahun untuk menemukan inspirator di lapangan sekelas Maradonna...  Sesudah Messi pensiun, mungkin puluhan tahun lagi Argentina baru bisa juara Piala Dunia lagi...  #WorldCup2022  https://t.co/egKE9LVIms</t>
  </si>
  <si>
    <t>argentina butuh waktu tahun untuk menemukan inspirator lapangan sekelas maradonna sesudah messi pensiun mungkin puluhan tahun lagi argentina baru bisa juara piala dunia lagi</t>
  </si>
  <si>
    <t>['argentina', 'butuh', 'waktu', 'tahun', 'menemukan', 'inspirator', 'lapangan', 'sekelas', 'maradonna', 'messi', 'pensiun', 'mungkin', 'puluhan', 'tahun', 'argentina', 'baru', 'juara', 'piala', 'dunia']</t>
  </si>
  <si>
    <t>Juara piala Dunia 2020 : Argentina üá¶üá∑  Selamat atas pencapaiannya! . #pialadunia2022 #fifaworldcup #worldcup  https://t.co/sOneIR8lGL</t>
  </si>
  <si>
    <t>juara piala dunia argentina selamat atas pencapaiannya</t>
  </si>
  <si>
    <t>['juara', 'piala', 'dunia', 'argentina', 'selamat', 'atas', 'pencapaiannya']</t>
  </si>
  <si>
    <t>Dan pada hari ini, Minggu (18/12) laga final antara Argentina melawan Prancis akan digelar untuk merebut gelar juara 1 dan 2  Bagaimana prediksi sahabat INA?  Cr üì∏ : REUTERS</t>
  </si>
  <si>
    <t>dan pada hari ini minggu laga final antara argentina melawan prancis akan digelar untuk merebut gelar juara dan bagaimana prediksi sahabat ina reuters</t>
  </si>
  <si>
    <t>['hari', 'minggu', 'laga', 'final', 'argentina', 'melawan', 'prancis', 'digelar', 'merebut', 'gelar', 'juara', 'bagaimana', 'prediksi', 'sahabat', 'ina', 'reuters']</t>
  </si>
  <si>
    <t>Terima kasih @Twitter  Mas @elonmusk boleh lah nih kirimkan kado nya. Mumpung @Argentina juara dunia mas. Kalau @FIFAcom @FIFAWorldCup  mau ngasih kado juga saya terima dengan senang hati. Atau bg messi mau ngasih juga boleh @TeamMessi bg @KMbappe juga boleh  https://t.co/KJw4yqRqr5</t>
  </si>
  <si>
    <t>terima kasih mas boleh lah nih kirimkan kado nya mumpung juara dunia mas kalau mau ngasih kado juga saya terima dengan senang hati atau messi mau ngasih juga boleh juga boleh</t>
  </si>
  <si>
    <t>['terima', 'kasih', 'mas', 'lah', 'kirimkan', 'kado', 'mumpung', 'juara', 'dunia', 'mas', 'kalau', 'mau', 'ngasih', 'kado', 'terima', 'senang', 'hati', 'messi', 'mau', 'ngasih']</t>
  </si>
  <si>
    <t>Itu yang masih bilang Argentina juara jalur give away atau di setting mending tidur aja seharian, bukan apa‚Äù malah keliatan dungu soalnya</t>
  </si>
  <si>
    <t>itu yang masih bilang argentina juara jalur give away atau setting mending tidur aja seharian bukan apa malah keliatan dungu soalnya</t>
  </si>
  <si>
    <t>['argentina', 'juara', 'jalur', 'give', 'away', 'setting', 'mending', 'tidur', 'seharian', 'bukan', 'apa', 'malah', 'keliatan', 'dungu', 'soalnya']</t>
  </si>
  <si>
    <t>EA Sports Sudah Tau Argentina Bakal Juara Piala Dunia 2022 #uzoneID   https://t.co/e5j1kbj77k</t>
  </si>
  <si>
    <t>sports sudah tau argentina bakal juara piala dunia</t>
  </si>
  <si>
    <t>['sports', 'argentina', 'bakal', 'juara', 'piala', 'dunia']</t>
  </si>
  <si>
    <t>Unggah Foto Bareng Lionel Messi Usai Argentina Juara, Donna Agnesia: Sejarah Telah Dibuat!  https://t.co/wGdNt0kmnX  https://t.co/xks4xTr1Iu</t>
  </si>
  <si>
    <t>unggah foto bareng lionel messi usai argentina juara donna agnesia sejarah telah dibuat</t>
  </si>
  <si>
    <t>['unggah', 'foto', 'bareng', 'lionel', 'messi', 'usai', 'argentina', 'juara', 'donna', 'agnesia', 'sejarah', 'dibuat']</t>
  </si>
  <si>
    <t>Luar biasa senangnya Argentina setelah 36 tahun menanti juara dunia lagi  #FIFAWorldCup  #Argentina</t>
  </si>
  <si>
    <t>luar biasa senangnya argentina setelah tahun menanti juara dunia lagi</t>
  </si>
  <si>
    <t>['luar', 'biasa', 'senangnya', 'argentina', 'tahun', 'menanti', 'juara', 'dunia']</t>
  </si>
  <si>
    <t>Argentina Juara Piala Dunia, Arab Saudi Ikut Kecipratan Bangga  https://t.co/YcsVxscJhg</t>
  </si>
  <si>
    <t>argentina juara piala dunia arab saudi ikut kecipratan bangga</t>
  </si>
  <si>
    <t>['argentina', 'juara', 'piala', 'dunia', 'arab', 'saudi', 'ikut', 'kecipratan', 'bangga']</t>
  </si>
  <si>
    <t>#FOTO Kapten Argentina, Lionel Messi, akhirnya bisa menyempurnakan karier dengan juara Piala Dunia 2022. Ketika mengangkat trofi, Messi begitu terlihat bahagia.  #juaraboladunia #Qatar2022 #Argentina #Messi  https://t.co/ShYYvVeRoH</t>
  </si>
  <si>
    <t>kapten argentina lionel messi akhirnya bisa menyempurnakan karier dengan juara piala dunia ketika mengangkat trofi messi begitu terlihat bahagia</t>
  </si>
  <si>
    <t>['kapten', 'argentina', 'lionel', 'messi', 'akhirnya', 'menyempurnakan', 'karier', 'juara', 'piala', 'dunia', 'mengangkat', 'trofi', 'messi', 'terlihat', 'bahagia']</t>
  </si>
  <si>
    <t>Argentina, Jagoan Pj Gubernur Aceh dan Pj Bupati Nagan Raya Juara Dunia  https://t.co/MohSZHLVcs lewat @ https://twitter.com/waspadaaceh</t>
  </si>
  <si>
    <t>argentina jagoan gubernur aceh dan bupati nagan raya juara dunia lewat</t>
  </si>
  <si>
    <t>['argentina', 'jagoan', 'gubernur', 'aceh', 'bupati', 'nagan', 'raya', 'juara', 'dunia', 'lewat']</t>
  </si>
  <si>
    <t>@SiaranBolaLive Berkat beliau Argentina juara</t>
  </si>
  <si>
    <t>berkat beliau argentina juara</t>
  </si>
  <si>
    <t>['berkat', 'beliau', 'argentina', 'juara']</t>
  </si>
  <si>
    <t>@idextratime Mau koar-koar pun yang juara dah argentinaüòÜdari awal memang udah kontroversi,setiap laga argentina dari fase grub sampai knoukout semua ada finaltiüòÇ</t>
  </si>
  <si>
    <t>mau koar koar pun yang juara dah argentina dari awal memang udah kontroversi setiap laga argentina dari fase grub sampai knoukout semua ada finalti</t>
  </si>
  <si>
    <t>['mau', 'koar', 'koar', 'juara', 'dah', 'argentina', 'awal', 'memang', 'udah', 'kontroversi', 'laga', 'argentina', 'fase', 'grub', 'knoukout', 'semua', 'finalti']</t>
  </si>
  <si>
    <t xml:space="preserve">@kameradPyo @Dicky_Arya11 @Box2BoxBola berarti tweet dia semacam harapan dan prediksi, ga mungkin dia bener-bener tau kalau Argentina bakalan juara..  beda cerita kalau dia ngetweet sampai ke jalannya pertandingan seperti siapa yg cetak gol, menit berapa </t>
  </si>
  <si>
    <t>arya berarti tweet dia semacam harapan dan prediksi mungkin dia bener bener tau kalau argentina bakalan juara beda cerita kalau dia ngetweet sampai jalannya pertandingan seperti siapa cetak gol menit berapa</t>
  </si>
  <si>
    <t>['arya', 'berarti', 'tweet', 'semacam', 'harapan', 'prediksi', 'mungkin', 'benar', 'benar', 'kalau', 'argentina', 'bakalan', 'juara', 'beda', 'cerita', 'kalau', 'ngetweet', 'jalannya', 'pertandingan', 'siapa', 'cetak', 'gol', 'menit', 'berapa']</t>
  </si>
  <si>
    <t>utk di kenang hari dmn Lionel Messi membawa Argentina jadi juara piala dunia 2022. Piala dunia yg indah untuk membuktikan Lionel Messi GOAT.  #WorldCupFinal #MessiìÉµ #Argentina</t>
  </si>
  <si>
    <t>utk kenang hari dmn lionel messi membawa argentina jadi juara piala dunia piala dunia indah untuk membuktikan lionel messi goat</t>
  </si>
  <si>
    <t>['kenang', 'hari', 'dmn', 'lionel', 'messi', 'membawa', 'argentina', 'jadi', 'juara', 'piala', 'dunia', 'piala', 'dunia', 'indah', 'membuktikan', 'lionel', 'messi', 'goat']</t>
  </si>
  <si>
    <t>Masih belum move on dari final Semalem . Rasanya mules , hahaha‚Ä¶sama bagusnya. Congrat Argentina after 36 years ü§© . Tapi jujur France mentalnya juara jg sih apalagi Mbappe ckckck‚Ä¶Final paling menghibur dah Semalem tuh üòç</t>
  </si>
  <si>
    <t>masih belum move dari final semalem rasanya mules hahaha sama bagusnya congrat argentina after years tapi jujur france mentalnya juara sih apalagi mbappe ckckck final paling menghibur dah semalem tuh</t>
  </si>
  <si>
    <t>['move', 'final', 'semalam', 'rasanya', 'mules', 'hahaha', 'sama', 'bagusnya', 'congrat', 'argentina', 'after', 'years', 'jujur', 'france', 'mentalnya', 'juara', 'mbappe', 'ckckck', 'final', 'paling', 'menghibur', 'dah', 'semalam']</t>
  </si>
  <si>
    <t>1986 : Argentina juara Piala Dunia 1987 : Indonesia pertama kali juara SEA Games  2022 : Argentina juara Piala Dunia 2023 : Indonesia pertama kali juara AFF Cup??  https://t.co/Z3uEOqZhlZ</t>
  </si>
  <si>
    <t>argentina juara piala dunia indonesia pertama kali juara sea games argentina juara piala dunia indonesia pertama kali juara aff cup</t>
  </si>
  <si>
    <t>['argentina', 'juara', 'piala', 'dunia', 'indonesia', 'pertama', 'kali', 'juara', 'sea', 'games', 'argentina', 'juara', 'piala', 'dunia', 'indonesia', 'pertama', 'kali', 'juara', 'aff', 'cup']</t>
  </si>
  <si>
    <t>&lt;FreqDist with 11 samples and 20 outcomes&gt;</t>
  </si>
  <si>
    <t>Lionel Messi bocorkan rahasia Argentina juara Piala Dunia 2022, apa itu? #CelebritiesDotID #InfoCelebTerkini #FIFAWorldCup #Qatar2022 #Argentina #MessiìÉµ  https://t.co/yaQwEdCqHS</t>
  </si>
  <si>
    <t>lionel messi bocorkan rahasia argentina juara piala dunia apa itu</t>
  </si>
  <si>
    <t>['lionel', 'messi', 'bocorkan', 'rahasia', 'argentina', 'juara', 'piala', 'dunia', 'apa']</t>
  </si>
  <si>
    <t>Ga bisa berhenti menangis melihat argentina juara ü•∫üò≠üò≠üò≠üò≠</t>
  </si>
  <si>
    <t>bisa berhenti menangis melihat argentina juara</t>
  </si>
  <si>
    <t>['berhenti', 'menangis', 'melihat', 'argentina', 'juara']</t>
  </si>
  <si>
    <t>#FOTO Kapten Argentina, Lionel Messi, akhirnya bisa menyempurnakan karier dengan juara Piala Dunia 2022. Ketika mengangkat trofi, Messi begitu terlihat bahagia.  #juaraboladunia #Qatar2022 #Argentina #Messi  https://t.co/QPvt0S3W43</t>
  </si>
  <si>
    <t>Alhamdulillah akhirnya....‚úä  Sejak 1986 Argentina selalu gagal memenangkan Piala Dunia. Baru pada pemerintahan Jokowi Argentina Berhasil Juara Dunia lagi ! TERIMA KASIH JOKOWI üèÜüëåüèΩ‚öΩÔ∏èü§üüòÅ  https://t.co/TKNAUJxyRI</t>
  </si>
  <si>
    <t>alhamdulillah akhirnya sejak argentina selalu gagal memenangkan piala dunia baru pada pemerintahan jokowi argentina berhasil juara dunia lagi terima kasih jokowi</t>
  </si>
  <si>
    <t>['alhamdulillah', 'akhirnya', 'sejak', 'argentina', 'selalu', 'gagal', 'memenangkan', 'piala', 'dunia', 'baru', 'pemerintahan', 'jokowi', 'argentina', 'berhasil', 'juara', 'dunia', 'terima', 'kasih', 'jokowi']</t>
  </si>
  <si>
    <t>@nomoremiseryyy @loolassssss @PianSeptiana8 @idextratime Ya yang di maksud maju itu perindustrian sepakbolanya, dan itu fakta, eropa lebih maju coba aja pemain" argentina yg skarang ttap main di liga lokal, yakin bisa juara?üòÇ</t>
  </si>
  <si>
    <t>yang maksud maju itu perindustrian sepakbolanya dan itu fakta eropa lebih maju coba aja pemain argentina skarang ttap main liga lokal yakin bisa juara</t>
  </si>
  <si>
    <t>['maksud', 'maju', 'perindustrian', 'sepakbolanya', 'fakta', 'eropa', 'lebih', 'maju', 'coba', 'pemain', 'argentina', 'skarang', 'ttap', 'main', 'liga', 'lokal', 'yakin', 'juara']</t>
  </si>
  <si>
    <t>Rekor Lionel Messi Setelah Bawa Argentina Juara Piala Dunia 2022: Rekor Lionel Messi Setelah Bawa Argentina Juara Piala Dunia 2022 ... ...  https://t.co/U5VYcT3nWr #beritabaik #timesindonesia #ketahananinformasi</t>
  </si>
  <si>
    <t>rekor lionel messi setelah bawa argentina juara piala dunia rekor lionel messi setelah bawa argentina juara piala dunia</t>
  </si>
  <si>
    <t>['rekor', 'lionel', 'messi', 'bawa', 'argentina', 'juara', 'piala', 'dunia', 'rekor', 'lionel', 'messi', 'bawa', 'argentina', 'juara', 'piala', 'dunia']</t>
  </si>
  <si>
    <t>&lt;FreqDist with 8 samples and 16 outcomes&gt;</t>
  </si>
  <si>
    <t>#juara Piala Dunia 2022: #argentina Akhiri Penantian 36 Tahun di Final Paling Menegangkan. Kunjungi  https://t.co/PFb2ZNxinL . #PialaDunia  https://t.co/bnZ40n7zhT</t>
  </si>
  <si>
    <t>piala dunia akhiri penantian tahun final paling menegangkan kunjungi</t>
  </si>
  <si>
    <t>['piala', 'dunia', 'akhiri', 'penantian', 'tahun', 'final', 'paling', 'menegangkan', 'kunjungi']</t>
  </si>
  <si>
    <t>#Argentina Juara Piala Dunia, Nama Sragen Mendadak Ikut Mendunia. Kok Bisa? - JOGLOSEMAR NEWS   https://t.co/GrNO1Objtg</t>
  </si>
  <si>
    <t>juara piala dunia nama sragen mendadak ikut mendunia kok bisa joglosemar news</t>
  </si>
  <si>
    <t>['juara', 'piala', 'dunia', 'nama', 'sragen', 'mendadak', 'ikut', 'mendunia', 'kok', 'joglosemar', 'news']</t>
  </si>
  <si>
    <t>Bnyk terpantau fans dr CR7 menuding klo FIFA berat sebelah,ingin Argentina/Messi yg juara.pdhl klo nton wasitnya cukup adil.Lagipula hrsnya pendukung Prancis dong tak terima, knpa  fansbase CR7 yg tak terima. Tak ada respect, sungguh itu fans yg tak sehat dlm olahraga.</t>
  </si>
  <si>
    <t>bnyk terpantau fans menuding klo fifa berat sebelah ingin argentina messi juara pdhl klo nton wasitnya cukup adil lagipula hrsnya pendukung prancis dong tak terima knpa fansbase tak terima tak ada respect sungguh itu fans tak sehat dlm olahraga</t>
  </si>
  <si>
    <t>['bnyk', 'terpantau', 'fans', 'menuding', 'fifa', 'berat', 'sebelah', 'argentina', 'messi', 'juara', 'pdhl', 'nton', 'wasitnya', 'cukup', 'adil', 'lagipula', 'hrsnya', 'pendukung', 'prancis', 'dong', 'tak', 'terima', 'knpa', 'fansbase', 'tak', 'terima', 'tak', 'respect', 'sungguh', 'fans', 'tak', 'sehat', 'dlm', 'olahraga']</t>
  </si>
  <si>
    <t>Juara Piala Dunia 2022, Argentina membawa pulang hadiah sekitar Rp 655,86 miliar. Bila dikonversikan beli mobil, mampu mendapat 2.100 unit Wuling Air ev!   https://t.co/irMnfXDGBR</t>
  </si>
  <si>
    <t>juara piala dunia argentina membawa pulang hadiah sekitar miliar bila dikonversikan beli mobil mampu mendapat unit wuling air</t>
  </si>
  <si>
    <t>['juara', 'piala', 'dunia', 'argentina', 'membawa', 'pulang', 'hadiah', 'miliar', 'bila', 'dikonversikan', 'beli', 'mobil', 'mampu', 'mendapat', 'unit', 'wuling', 'air']</t>
  </si>
  <si>
    <t>Belajar dari Argentina, kalah di awal dgn Arab Saudi bukan bearti ksmpatan untuk jadi juara hilang   Tidak ada usaha yg menghianati hasil!  #FIFAWorldCup #ARGENTINA #MESSI</t>
  </si>
  <si>
    <t>belajar dari argentina kalah awal dgn arab saudi bukan bearti ksmpatan untuk jadi juara hilang tidak ada usaha menghianati hasil</t>
  </si>
  <si>
    <t>['belajar', 'argentina', 'kalah', 'awal', 'arab', 'saudi', 'bukan', 'bearti', 'ksmpatan', 'jadi', 'juara', 'hilang', 'usaha', 'menghianati', 'hasil']</t>
  </si>
  <si>
    <t>Alternatif Login  https://t.co/hsMmj2ppu8 Argentina Juara #FIFAWorldCup  . . . Situs Slot Gacor Mudah Menang #mistermpo #mposlot5000  @mistermpo77  Deposit Slot 24 Jam  #mistermpo #situsmistermpo #daftarmistermpo #agenjudidmpo #loginmistermpo #linkalternatifmistermpo #slotgacor</t>
  </si>
  <si>
    <t>alternatif login argentina juara situs slot gacor mudah menang deposit slot jam</t>
  </si>
  <si>
    <t>['alternatif', 'login', 'argentina', 'juara', 'situs', 'slot', 'gacor', 'mudah', 'menang', 'deposit', 'slot', 'jam']</t>
  </si>
  <si>
    <t>Sebelum WC 2022 Qatar dimulai, gw udah jagoin Argentina untuk jadi juara piala dunia tahun ini. Dan hasilnya bisa buat tweet gini : From This :                To This:  https://t.co/D3iOeNEacE</t>
  </si>
  <si>
    <t>sebelum qatar dimulai udah jagoin argentina untuk jadi juara piala dunia tahun ini dan hasilnya bisa buat tweet gini from this this</t>
  </si>
  <si>
    <t>['qatar', 'dimulai', 'udah', 'jagoin', 'argentina', 'jadi', 'juara', 'piala', 'dunia', 'tahun', 'hasilnya', 'buat', 'tweet', 'gini', 'from', 'this', 'this']</t>
  </si>
  <si>
    <t>Ronaldo Arab Saudi Argentina Juara Dunia Messi #ArgentinaVsFrance #Mbappe #LionelMessiìÉµ Laksamana Yudo Margono   https://t.co/zmvuZz426L</t>
  </si>
  <si>
    <t>ronaldo arab saudi argentina juara dunia messi laksamana yudo margono</t>
  </si>
  <si>
    <t>['ronaldo', 'arab', 'saudi', 'argentina', 'juara', 'dunia', 'messi', 'laksamana', 'yudo', 'margono']</t>
  </si>
  <si>
    <t>Coba liat ig iwan b posting argentina juara pildun ga</t>
  </si>
  <si>
    <t>coba liat iwan posting argentina juara pildun</t>
  </si>
  <si>
    <t>['coba', 'lihat', 'iwan', 'posting', 'argentina', 'juara', 'piala dunia']</t>
  </si>
  <si>
    <t>Timnas Argentina sukses menjadi juara Piala Dunia 2022 usai mengalahkan timnas Prancis di partai final.  Lionel Messi lantas membuat postingan emosional usai membawa Tim Tango juara dunia. ü•∫üò¢üò≠  https://t.co/NJfdeEUdIv</t>
  </si>
  <si>
    <t>timnas argentina sukses menjadi juara piala dunia usai mengalahkan timnas prancis partai final lionel messi lantas membuat postingan emosional usai membawa tim tango juara dunia</t>
  </si>
  <si>
    <t>['timnas', 'argentina', 'sukses', 'menjadi', 'juara', 'piala', 'dunia', 'usai', 'mengalahkan', 'timnas', 'prancis', 'partai', 'final', 'lionel', 'messi', 'lantas', 'membuat', 'postingan', 'emosional', 'usai', 'membawa', 'tim', 'tango', 'juara', 'dunia']</t>
  </si>
  <si>
    <t>Timnas Argentina sukses menjadi juara Piala Dunia 2022 usai mengalahkan timnas Prancis di partai final.  Lionel Messi lantas membuat postingan emosional usai membawa Tim Tango juara dunia. ü•∫üò¢üò≠  https://t.co/zDvyOliYFo</t>
  </si>
  <si>
    <t>@nextjack1995 @FaktaSepakbola Argentina terakhir juara PD saat Messi lahir &amp;amp; skrng juara lagi Messi pensiun dari Timnas. What a twist..!!</t>
  </si>
  <si>
    <t>argentina terakhir juara saat messi lahir skrng juara lagi messi pensiun dari timnas what twist</t>
  </si>
  <si>
    <t>['argentina', 'terakhir', 'juara', 'messi', 'lahir', 'skrng', 'juara', 'messi', 'pensiun', 'timnas', 'what', 'twist']</t>
  </si>
  <si>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</si>
  <si>
    <t>argentina juara piala dunia congratulations argentina buruan daftar dewabandar banyak promo dan event menarik daftar</t>
  </si>
  <si>
    <t>['argentina', 'juara', 'piala', 'dunia', 'congratulations', 'argentina', 'buruan', 'daftar', 'dewabandar', 'banyak', 'promo', 'event', 'menarik', 'daftar']</t>
  </si>
  <si>
    <t>BRAVO  https://t.co/VnVFZ9toK4  Argentina keluar sebagai juara Piala Dunia 2022, Messi resmi mengalungi gelas GOAT. Tak terbayang, betapa bahagianya warga Argentina hari ini.</t>
  </si>
  <si>
    <t>bravo argentina keluar sebagai juara piala dunia messi resmi mengalungi gelas goat tak terbayang betapa bahagianya warga argentina hari ini</t>
  </si>
  <si>
    <t>['bravo', 'argentina', 'keluar', 'juara', 'piala', 'dunia', 'messi', 'resmi', 'mengalungi', 'gelas', 'goat', 'tak', 'terbayang', 'betapa', 'bahagianya', 'warga', 'argentina', 'hari']</t>
  </si>
  <si>
    <t>Heboh! Rayyanza Berhasil Tebak Argentina Jadi Juara Piala Dunia 2022, Netizen: Jangan-Jangan...  https://t.co/MVl6uIsix0  https://t.co/TapYdQkIOE</t>
  </si>
  <si>
    <t>heboh rayyanza berhasil tebak argentina jadi juara piala dunia netizen jangan jangan</t>
  </si>
  <si>
    <t>['heboh', 'rayyanza', 'berhasil', 'tebak', 'argentina', 'jadi', 'juara', 'piala', 'dunia', 'netizen', 'jangan', 'jangan']</t>
  </si>
  <si>
    <t>Menang Lawan Prancis, Argentina Juara Piala Dunia 2022  https://t.co/BbjEdYK2nn  https://t.co/noJHdSygx9</t>
  </si>
  <si>
    <t>menang lawan prancis argentina juara piala dunia</t>
  </si>
  <si>
    <t>['menang', 'lawan', 'prancis', 'argentina', 'juara', 'piala', 'dunia']</t>
  </si>
  <si>
    <t>4 Ramalan Unik Juara Piala Dunia Argentina vs Prancis, dari Robot AI hingga Pawang Hujan  https://t.co/bIITx7FNhS  https://t.co/GHPXWEdavT</t>
  </si>
  <si>
    <t>ramalan unik juara piala dunia argentina prancis dari robot hingga pawang hujan</t>
  </si>
  <si>
    <t>['ramalan', 'unik', 'juara', 'piala', 'dunia', 'argentina', 'prancis', 'robot', 'hingga', 'pawang', 'hujan']</t>
  </si>
  <si>
    <t>Selamat pagi untuk para pendukung Tim Nasional Prancis. Tetap semangat dan ga perlu menangis.  Selamat pagi pendukung Argentina, kamu layak juara dan bahagia.  Tim manapun kamu, untuk kunjungan wisata dan bisnis ke Indonesia bisa pakai e-VOA di  https://t.co/Yej6b3byxK  https://t.co/E8lIKte8ik</t>
  </si>
  <si>
    <t>@enricopelenkahu @budimandjatmiko Euro kejauhan, Argentina saja gak pernah Juara Liga 1. masih kalah dgn BALI UNITED</t>
  </si>
  <si>
    <t>euro kejauhan argentina saja gak pernah juara liga masih kalah dgn bali united</t>
  </si>
  <si>
    <t>['euro', 'kejauhan', 'argentina', 'pernah', 'juara', 'liga', 'kalah', 'bali', 'united']</t>
  </si>
  <si>
    <t>Mantan striker timnas Argentina, Sergio Aguero terdengar menghujat pemain Prancis, Eduardo Camavinga saat merayakan momen juara Piala Dunia 2022. ü§¨  https://t.co/ys1De8nmh4</t>
  </si>
  <si>
    <t>mantan striker timnas argentina sergio aguero terdengar menghujat pemain prancis eduardo camavinga saat merayakan momen juara piala dunia</t>
  </si>
  <si>
    <t>['mantan', 'striker', 'timnas', 'argentina', 'sergio', 'aguero', 'terdengar', 'menghujat', 'pemain', 'prancis', 'eduardo', 'camavinga', 'merayakan', 'momen', 'juara', 'piala', 'dunia']</t>
  </si>
  <si>
    <t>Mantan striker timnas Argentina, Sergio Aguero terdengar menghujat pemain Prancis, Eduardo Camavinga saat merayakan momen juara Piala Dunia 2022. ü§¨  https://t.co/urZsZ8mpju</t>
  </si>
  <si>
    <t>Lionel Messi Pakai Busana Khas Arab saat Angkat Trofi, Argentina Juara Piala Dunia 2022 #CelebritiesDotID #InfoCelebTerkini #Qatar2022 #Messi   https://t.co/uDqhUmWkUY</t>
  </si>
  <si>
    <t>lionel messi pakai busana khas arab saat angkat trofi argentina juara piala dunia</t>
  </si>
  <si>
    <t>['lionel', 'messi', 'pakai', 'busana', 'khas', 'arab', 'angkat', 'trofi', 'argentina', 'juara', 'piala', 'dunia']</t>
  </si>
  <si>
    <t>Ada keberhasilan lain dari Pildun selain Argentina mjadi Juara yaitu banyak yg bersyahadat masuk Islam</t>
  </si>
  <si>
    <t>ada keberhasilan lain dari pildun selain argentina mjadi juara yaitu banyak bersyahadat masuk islam</t>
  </si>
  <si>
    <t>['keberhasilan', 'piala dunia', 'argentina', 'mjadi', 'juara', 'banyak', 'bersyahadat', 'masuk', 'islam']</t>
  </si>
  <si>
    <t>Juara 1 piala dunia argentina Juara 1 lomba unworthy Top skor merasa tersakiti Pemain terbaik tidak percaya pada diri sendiri Penjaga gawang terbaik menjaga perasaan orang lain Pemain muda terbaik life quater crisis</t>
  </si>
  <si>
    <t>juara piala dunia argentina juara lomba unworthy top skor merasa tersakiti pemain terbaik tidak percaya pada diri sendiri penjaga gawang terbaik menjaga perasaan orang lain pemain muda terbaik life quater crisis</t>
  </si>
  <si>
    <t>['juara', 'piala', 'dunia', 'argentina', 'juara', 'lomba', 'unworthy', 'top', 'skor', 'merasa', 'tersakiti', 'pemain', 'terbaik', 'percaya', 'diri', 'sendiri', 'penjaga', 'gawang', 'terbaik', 'menjaga', 'perasaan', 'orang', 'pemain', 'muda', 'terbaik', 'life', 'quater', 'crisis']</t>
  </si>
  <si>
    <t>Udah nonton ulang Argentina vs prancis tetep aja yg juara Argentina,.  Emang bener bener Messi greatest of all time üî•üî•üî•.</t>
  </si>
  <si>
    <t>udah nonton ulang argentina prancis tetep aja juara argentina emang bener bener messi greatest all time</t>
  </si>
  <si>
    <t>['udah', 'nonton', 'ulang', 'argentina', 'prancis', 'tetep', 'juara', 'argentina', 'emang', 'benar', 'benar', 'messi', 'greatest', 'all', 'time']</t>
  </si>
  <si>
    <t>best day of my life üò≠ Argentina juara buyeon Jang uk berlayar üò≠üò≠üò≠üò≠</t>
  </si>
  <si>
    <t>best day life argentina juara buyeon jang berlayar</t>
  </si>
  <si>
    <t>['best', 'day', 'life', 'argentina', 'juara', 'buyeon', 'jang', 'berlayar']</t>
  </si>
  <si>
    <t>@GOAL_ID Sebagai juara piala dunia dalam seragam Argentina,bukan berarti Messi bakal maen di pildun berikutnya</t>
  </si>
  <si>
    <t>sebagai juara piala dunia dalam seragam argentina bukan berarti messi bakal maen pildun berikutnya</t>
  </si>
  <si>
    <t>['juara', 'piala', 'dunia', 'seragam', 'argentina', 'bukan', 'berarti', 'messi', 'bakal', 'maen', 'piala dunia', 'berikutnya']</t>
  </si>
  <si>
    <t>Nontin final cuman babak 1 doang karena ngantuk. Beneran kan argentina juara. Selamat !!</t>
  </si>
  <si>
    <t>nontin final cuman babak doang karena ngantuk beneran kan argentina juara selamat</t>
  </si>
  <si>
    <t>['nontin', 'final', 'cuman', 'babak', 'doang', 'ngantuk', 'beneran', 'kan', 'argentina', 'juara', 'selamat']</t>
  </si>
  <si>
    <t>@wepe20_ Klo ga ada Lautaro Argentina ga bisa juara pildun ngab. ü§≠  https://t.co/cseAySVea2</t>
  </si>
  <si>
    <t>klo ada lautaro argentina bisa juara pildun ngab</t>
  </si>
  <si>
    <t>['lautaro', 'argentina', 'juara', 'piala dunia', 'ngab']</t>
  </si>
  <si>
    <t>Dari awal jagoin Argentina, dan akhirnya Juara. Vamos üá¶üá∑üèÜüëè  #MessiìÉµ  #WorldCup2022  #Argentina</t>
  </si>
  <si>
    <t>dari awal jagoin argentina dan akhirnya juara vamos</t>
  </si>
  <si>
    <t>['awal', 'jagoin', 'argentina', 'akhirnya', 'juara', 'vamos']</t>
  </si>
  <si>
    <t>Tiga kali Malaikat Gabriel Batigol Batistuta memimpin #ARG Argentina di #FIFAWorldCup 1994, 1998, dan 2002. Namun, impiannya untuk menjadi juara dunia selalu kandas.  Di #Qatar2022 ini, impian yang tertunda tersebut, akhirnya, diwujudkan oleh sang Juru Selamat Lionel Messi..</t>
  </si>
  <si>
    <t>tiga kali malaikat gabriel batigol batistuta memimpin argentina dan namun impiannya untuk menjadi juara dunia selalu kandas ini impian yang tertunda tersebut akhirnya diwujudkan oleh sang juru selamat lionel messi</t>
  </si>
  <si>
    <t>['tiga', 'kali', 'malaikat', 'gabriel', 'batigol', 'batistuta', 'memimpin', 'argentina', 'impiannya', 'menjadi', 'juara', 'dunia', 'selalu', 'kandas', 'impian', 'tertunda', 'tersebut', 'akhirnya', 'diwujudkan', 'sang', 'juru', 'selamat', 'lionel', 'messi']</t>
  </si>
  <si>
    <t>Karikatur farewell karikatur perpisahan group konsep sepak bola. Repeat order Wika Beton Jakarta.  #jasa #FIFAWorldCup #Argentina #QatarWorldCup2022 #wikabeton #bumn #bumnuntukindonesia #SepakbolaDunia #sepakbola #juara #Champion #pssi #purnatugas #kado #hadiah #souvenir  https://t.co/HliOTMbi2u</t>
  </si>
  <si>
    <t>karikatur farewell karikatur perpisahan group konsep sepak bola repeat order wika beton jakarta</t>
  </si>
  <si>
    <t>['karikatur', 'farewell', 'karikatur', 'perpisahan', 'group', 'konsep', 'sepak', 'bola', 'repeat', 'order', 'wika', 'beton', 'jakarta']</t>
  </si>
  <si>
    <t>"Ini Argentina bisa jadi juara gini makannya apa ya?"  Nih makanan mereka tadi malem, ditambah pemandangan Piala Dunia di tengah-tengah mereka.  Asli, kayak scene anak-anak di Asrama ya. Situasinya. Kondisinya.  Tapi ini yang bikin mereka solid dan kuatüá¶üá∑  https://t.co/X6iZy9aBOV</t>
  </si>
  <si>
    <t>ini argentina bisa jadi juara gini makannya apa nih makanan mereka tadi malem ditambah pemandangan piala dunia tengah tengah mereka asli kayak scene anak anak asrama situasinya kondisinya tapi ini yang bikin mereka solid dan kuat</t>
  </si>
  <si>
    <t>['argentina', 'jadi', 'juara', 'gini', 'makannya', 'apa', 'makanan', 'tadi', 'malem', 'ditambah', 'pemandangan', 'piala', 'dunia', 'tengah', 'tengah', 'asli', 'seperti', 'scene', 'anak', 'anak', 'asrama', 'situasinya', 'kondisinya', 'solid', 'kuat']</t>
  </si>
  <si>
    <t>@andfarhan_ @Fandom_ID 1 tahun setelah argentina juara</t>
  </si>
  <si>
    <t>tahun setelah argentina juara</t>
  </si>
  <si>
    <t>['tahun', 'argentina', 'juara']</t>
  </si>
  <si>
    <t>Eks Barcelona, Sergio Aguero, turut dalam perayaan juara dunia Argentina untuk ketiga kalinya di Stadion Lusail, Qatar, Minggu (18/12). #kumparanBOLA  https://t.co/4iY7z2Pv7d</t>
  </si>
  <si>
    <t>eks barcelona sergio aguero turut dalam perayaan juara dunia argentina untuk ketiga kalinya stadion lusail qatar minggu</t>
  </si>
  <si>
    <t>['eks', 'barcelona', 'sergio', 'aguero', 'turut', 'perayaan', 'juara', 'dunia', 'argentina', 'ketiga', 'kalinya', 'stadion', 'lusail', 'qatar', 'minggu']</t>
  </si>
  <si>
    <t>Bawa Argentina Juara Piala Dunia 2022: Ini Deretan Rekor Terbaik Messi di FIFA World Cup 2022  https://t.co/g2ICb2ANW0</t>
  </si>
  <si>
    <t>bawa argentina juara piala dunia ini deretan rekor terbaik messi fifa world cup</t>
  </si>
  <si>
    <t>['bawa', 'argentina', 'juara', 'piala', 'dunia', 'deretan', 'rekor', 'terbaik', 'messi', 'fifa', 'world', 'cup']</t>
  </si>
  <si>
    <t>Argentina Raih Tiga Kali Trofi Juara Piala Dunia Setelah Piala Dunia Tahun 1986 Oleh Maradona  https://t.co/DBNR9ZjJeW</t>
  </si>
  <si>
    <t>argentina raih tiga kali trofi juara piala dunia setelah piala dunia tahun oleh maradona</t>
  </si>
  <si>
    <t>['argentina', 'raih', 'tiga', 'kali', 'trofi', 'juara', 'piala', 'dunia', 'piala', 'dunia', 'tahun', 'maradona']</t>
  </si>
  <si>
    <t>@idextratime Messi juara bersama argentina. Apakah egy messi juga juara bersama indonesia?</t>
  </si>
  <si>
    <t>messi juara bersama argentina apakah egy messi juga juara bersama indonesia</t>
  </si>
  <si>
    <t>['messi', 'juara', 'bersama', 'argentina', 'egy', 'messi', 'juara', 'bersama', 'indonesia']</t>
  </si>
  <si>
    <t>Bawa Argentina Juara Piala Dunia 2022: Ini Deretan Rekor Terbaik Messi di FIFA World Cup 2022  https://t.co/Rdk8MqOmaZ .....</t>
  </si>
  <si>
    <t>Bawa Argentina Juara Piala Dunia 2022: Ini Deretan Rekor Terbaik Messi di FIFA World Cup 2022  https://t.co/Rdk8MqOmaZ ....</t>
  </si>
  <si>
    <t>Karena Bang Ibul Argentina Juara Piala dunia 2022</t>
  </si>
  <si>
    <t>karena bang ibul argentina juara piala dunia</t>
  </si>
  <si>
    <t>['bang', 'ibul', 'argentina', 'juara', 'piala', 'dunia']</t>
  </si>
  <si>
    <t>Bawa Argentina Juara Piala Dunia 2022: Ini Deretan Rekor Terbaik Messi di FIFA World Cup 2022  https://t.co/Rdk8MqOmaZ ..</t>
  </si>
  <si>
    <t>Setelah Argentina menjadi juara Piala Dunia 2022 di Qatar, hal ini rupanya berimbas manis pada anak-anak kecil di Argentina yang semakin banyak ingin jadi atlet sepakbola di masa mendatang. @ID_Albiceleste</t>
  </si>
  <si>
    <t>setelah argentina menjadi juara piala dunia qatar hal ini rupanya berimbas manis pada anak anak kecil argentina yang semakin banyak ingin jadi atlet sepakbola masa mendatang albiceleste</t>
  </si>
  <si>
    <t>['argentina', 'menjadi', 'juara', 'piala', 'dunia', 'qatar', 'rupanya', 'berimbas', 'manis', 'anak', 'anak', 'kecil', 'argentina', 'semakin', 'banyak', 'jadi', 'atlet', 'sepakbola', 'masa', 'mendatang', 'albiceleste']</t>
  </si>
  <si>
    <t>Bawa Argentina Juara Piala Dunia 2022: Ini Deretan Rekor Terbaik Messi di FIFA World Cup 2022  https://t.co/Rdk8MqOmaZ .</t>
  </si>
  <si>
    <t>Argentina jadi juara Piala Dunia 2022 setelah kalahkan Prancis lewat adu penalti. Bawa pulang hingga ratusan miliar, ini daftar hadiah yang mereka dapatkan. #juaraboladunia   https://t.co/EwKe50fnB1</t>
  </si>
  <si>
    <t>Argentina Juara Piala Dunia 2022 Qatar, Hadiah Uang Yang Diterima Tidak Laku?  https://t.co/17jEQg5PM8</t>
  </si>
  <si>
    <t>@cursedkidd Argentina nih bos juaraüèÜ top skor doang juara kagak üñêÔ∏èüòùü§ö</t>
  </si>
  <si>
    <t>argentina nih bos juara top skor doang juara kagak</t>
  </si>
  <si>
    <t>['argentina', 'bos', 'juara', 'top', 'skor', 'doang', 'juara', 'kagak']</t>
  </si>
  <si>
    <t>Bawa Argentina Juara Piala Dunia 2022: Ini Deretan Rekor Terbaik Messi di FIFA World Cup 2022  https://t.co/Rdk8MqOmaZ</t>
  </si>
  <si>
    <t>kena revisi lagi....tapi argentina juara jadi semangat buat revisiiii hahahahahahahah</t>
  </si>
  <si>
    <t>kena revisi lagi tapi argentina juara jadi semangat buat revisiiii hahahahahahahah</t>
  </si>
  <si>
    <t>['kena', 'revisi', 'argentina', 'juara', 'jadi', 'semangat', 'buat', 'revisiiii', 'hahahahahahahah']</t>
  </si>
  <si>
    <t>Argentina layak juara</t>
  </si>
  <si>
    <t>@vindestwitt ketika ada temanmu yang hari ini tiba tiba ngajak kalian makan nongkrong, Percayalah dia semalam pecah karena Argentina juara wkwk</t>
  </si>
  <si>
    <t>ketika ada temanmu yang hari ini tiba tiba ngajak kalian makan nongkrong percayalah dia semalam pecah karena argentina juara wkwk</t>
  </si>
  <si>
    <t>['temanmu', 'hari', 'tiba', 'tiba', 'ngajak', 'kalian', 'makan', 'nongkrong', 'percayalah', 'semalam', 'pecah', 'argentina', 'juara']</t>
  </si>
  <si>
    <t>Ko semalem argentina angkat pialanya ga sama ketua fedrasi sepak bola argentina yah? Padahal piala dunia loh, beda yah sama yang kemaren juara AFF sampe kepala Fedrasinya ikut juga hehehe 300x</t>
  </si>
  <si>
    <t>semalem argentina angkat pialanya sama ketua fedrasi sepak bola argentina yah padahal piala dunia loh beda yah sama yang kemaren juara aff sampe kepala fedrasinya ikut juga hehehe</t>
  </si>
  <si>
    <t>['semalam', 'argentina', 'angkat', 'pialanya', 'sama', 'ketua', 'fedrasi', 'sepak', 'bola', 'argentina', 'padahal', 'piala', 'dunia', 'beda', 'sama', 'kemarin', 'juara', 'aff', 'sampai', 'kepala', 'fedrasinya', 'ikut', 'hehehe']</t>
  </si>
  <si>
    <t>Yang mau ngedebat Argentina juara dan Messi adalah GOAT, boleh aja kok. Cuma ngedebatnya jangan sambil ngeluarin air mata ya!  üòâ</t>
  </si>
  <si>
    <t>yang mau ngedebat argentina juara dan messi adalah goat boleh aja kok cuma ngedebatnya jangan sambil ngeluarin air mata</t>
  </si>
  <si>
    <t>['mau', 'ngedebat', 'argentina', 'juara', 'messi', 'goat', 'kok', 'cuma', 'ngedebatnya', 'jangan', 'ngeluarin', 'air', 'mata']</t>
  </si>
  <si>
    <t>Sukses Bawa Argentina Juara Dunia, Kado Indah Untuk Piala Dunia Terakhir Lionel Messi  https://t.co/dZOwjvsEtM</t>
  </si>
  <si>
    <t>sukses bawa argentina juara dunia kado indah untuk piala dunia terakhir lionel messi</t>
  </si>
  <si>
    <t>['sukses', 'bawa', 'argentina', 'juara', 'dunia', 'kado', 'indah', 'piala', 'dunia', 'terakhir', 'lionel', 'messi']</t>
  </si>
  <si>
    <t>akhirnya setelah penantian panjang selama 36 tahun Argentina bisa juara lagi untuk ke 3 kalinya dan menjadi penutup yang manis dari sang bintang Lionel Messi üá¶üá∑  #VamosArgentina  #FIFAWorldCup  #MessiìÉµ</t>
  </si>
  <si>
    <t>akhirnya setelah penantian panjang selama tahun argentina bisa juara lagi untuk kalinya dan menjadi penutup yang manis dari sang bintang lionel messi</t>
  </si>
  <si>
    <t>['akhirnya', 'penantian', 'panjang', 'selama', 'tahun', 'argentina', 'juara', 'kalinya', 'menjadi', 'penutup', 'manis', 'sang', 'bintang', 'lionel', 'messi']</t>
  </si>
  <si>
    <t>Argentina Juara, Perdebatan Paling Jago Messi Vs Ronaldo Usai  https://t.co/kpl2XOimPZ  https://t.co/boRcIU4K7e</t>
  </si>
  <si>
    <t>argentina juara perdebatan paling jago messi ronaldo usai</t>
  </si>
  <si>
    <t>['argentina', 'juara', 'perdebatan', 'paling', 'jago', 'messi', 'ronaldo', 'usai']</t>
  </si>
  <si>
    <t>Akhir Dongeng Indah Lionel Messi, Membawa Argentina Juara Dunia, dan Mematahkan Rekor Diego Maradona  https://t.co/oUhEbYTaCH</t>
  </si>
  <si>
    <t>akhir dongeng indah lionel messi membawa argentina juara dunia dan mematahkan rekor diego maradona</t>
  </si>
  <si>
    <t>['akhir', 'dongeng', 'indah', 'lionel', 'messi', 'membawa', 'argentina', 'juara', 'dunia', 'mematahkan', 'rekor', 'diego', 'maradona']</t>
  </si>
  <si>
    <t>Argentina juara Everybody bahagia Enjoy this moment adick-adick</t>
  </si>
  <si>
    <t>argentina juara everybody bahagia enjoy this moment adick adick</t>
  </si>
  <si>
    <t>['argentina', 'juara', 'everybody', 'bahagia', 'enjoy', 'this', 'moment', 'adick', 'adick']</t>
  </si>
  <si>
    <t>Argentina Juara Piala Dunia Setelah Kalahkan Prancis Lewat Adu Penalti -  https://t.co/srxNm4p3xC | Berita Jambi Digital  https://t.co/O9hB88FbZk</t>
  </si>
  <si>
    <t>argentina juara piala dunia setelah kalahkan prancis lewat adu penalti berita jambi digital</t>
  </si>
  <si>
    <t>['argentina', 'juara', 'piala', 'dunia', 'kalahkan', 'prancis', 'lewat', 'adu', 'penalti', 'berita', 'jambi', 'digital']</t>
  </si>
  <si>
    <t>Argentina kembali jd juara dunia. Selamat. Salut√©.</t>
  </si>
  <si>
    <t>argentina kembali juara dunia selamat salut</t>
  </si>
  <si>
    <t>['argentina', 'juara', 'dunia', 'selamat', 'salut']</t>
  </si>
  <si>
    <t>@ichkhehhh Argentina juara</t>
  </si>
  <si>
    <t>@MardaniAliSera Argentina juga dengan tim seadanya bisa juara ini lebih menginspirasi, ada Leonel Messi, ada di Maria, ada Dybala,dan ada yang lain lainnya.</t>
  </si>
  <si>
    <t>argentina juga dengan tim seadanya bisa juara ini lebih menginspirasi ada leonel messi ada maria ada dybala dan ada yang lain lainnya</t>
  </si>
  <si>
    <t>['argentina', 'tim', 'seadanya', 'juara', 'lebih', 'menginspirasi', 'leonel', 'messi', 'maria', 'dybala', 'lainnya']</t>
  </si>
  <si>
    <t>5 edisi piala dunia olh psepakbola tersukses di jagad raya.   Andai tahu ka tidak?? Nanti di era Jokowi Argentina bisa jadi juara dunia lagi üòÖüòÖüòÖ itu ajjah  https://t.co/eCISajDNpp</t>
  </si>
  <si>
    <t>edisi piala dunia olh psepakbola tersukses jagad raya andai tahu tidak nanti era jokowi argentina bisa jadi juara dunia lagi itu ajjah</t>
  </si>
  <si>
    <t>['edisi', 'piala', 'dunia', 'olh', 'psepakbola', 'tersukses', 'jagad', 'raya', 'andai', 'tahu', 'era', 'jokowi', 'argentina', 'jadi', 'juara', 'dunia', 'ajjah']</t>
  </si>
  <si>
    <t>@idextratime Terserah kalian..silahkan menggonggong sepuas2 nya..yg penting Argentina juaraü§£ü§£ü§£</t>
  </si>
  <si>
    <t>terserah kalian silahkan menggonggong sepuas nya penting argentina juara</t>
  </si>
  <si>
    <t>['terserah', 'kalian', 'silahkan', 'menggonggong', 'sepuas', 'penting', 'argentina', 'juara']</t>
  </si>
  <si>
    <t>Sepertinya banyak yg sakit hati Argentina Juara. Wasit jadi kambing hitamnya.</t>
  </si>
  <si>
    <t>sepertinya banyak sakit hati argentina juara wasit jadi kambing hitamnya</t>
  </si>
  <si>
    <t>['sepertinya', 'banyak', 'sakit', 'hati', 'argentina', 'juara', 'wasit', 'jadi', 'kambing', 'hitamnya']</t>
  </si>
  <si>
    <t>Kok bisa Argentina juara dunia?  Padahal belum pernah bisa mengalahkan Tim nasional Indonesia üòÅ cc :  @PSSI</t>
  </si>
  <si>
    <t>kok bisa argentina juara dunia padahal belum pernah bisa mengalahkan tim nasional indonesia</t>
  </si>
  <si>
    <t>['kok', 'argentina', 'juara', 'dunia', 'padahal', 'pernah', 'mengalahkan', 'tim', 'nasional', 'indonesia']</t>
  </si>
  <si>
    <t>@rina71877730 @elutuhgakdiajak @tanyakanrl Berkah mengalah lawan tim muslim, ridho illahi argentina juara.</t>
  </si>
  <si>
    <t>berkah mengalah lawan tim muslim ridho illahi argentina juara</t>
  </si>
  <si>
    <t>['berkah', 'mengalah', 'lawan', 'tim', 'muslim', 'ridho', 'illahi', 'argentina', 'juara']</t>
  </si>
  <si>
    <t>Tanpa save ini, Argentina ga akan juara...</t>
  </si>
  <si>
    <t>tanpa save ini argentina akan juara</t>
  </si>
  <si>
    <t>['save', 'argentina', 'juara']</t>
  </si>
  <si>
    <t>juara dunia is blue, contohnya argentina dan evos</t>
  </si>
  <si>
    <t>juara dunia blue contohnya argentina dan evos</t>
  </si>
  <si>
    <t>['juara', 'dunia', 'blue', 'contohnya', 'argentina', 'evos']</t>
  </si>
  <si>
    <t>Saya gak tahu bola,Tapi yang saya salut pertandingan ini begitu seru dan dramatis.Akhirnya Argentina sebagai juara,setelah perpanjangan waktu di akhiri dengan adu finalti.succes Qatar sebagai tuan rumah,dengan fasilitasi sangat megah dan Dakwah nya  https://t.co/5l1qGuYhOC</t>
  </si>
  <si>
    <t>saya gak tahu bola tapi yang saya salut pertandingan ini begitu seru dan dramatis akhirnya argentina sebagai juara setelah perpanjangan waktu akhiri dengan adu finalti succes qatar sebagai tuan rumah dengan fasilitasi sangat megah dan dakwah nya</t>
  </si>
  <si>
    <t>['tahu', 'bola', 'salut', 'pertandingan', 'seru', 'dramatis', 'akhirnya', 'argentina', 'juara', 'perpanjangan', 'waktu', 'akhiri', 'adu', 'finalti', 'succes', 'qatar', 'tuan', 'rumah', 'fasilitasi', 'sangat', 'megah', 'dakwah']</t>
  </si>
  <si>
    <t>Tetap Argentina Yang Juara  https://t.co/6M6pJD8eDc</t>
  </si>
  <si>
    <t>tetap argentina yang juara</t>
  </si>
  <si>
    <t>Yah ilah padahal udh seneng Argentina juara, ada aja emng ü•≤</t>
  </si>
  <si>
    <t>yah ilah padahal udh seneng argentina juara ada aja emng</t>
  </si>
  <si>
    <t>['ilah', 'padahal', 'sudah', 'seneng', 'argentina', 'juara', 'memang']</t>
  </si>
  <si>
    <t>Argentina Juara Piala Dunia, Nama Sragen Mendadak Ikut Mendunia. Kok Bisa?  https://t.co/R5EXN7bx7y</t>
  </si>
  <si>
    <t>argentina juara piala dunia nama sragen mendadak ikut mendunia kok bisa</t>
  </si>
  <si>
    <t>['argentina', 'juara', 'piala', 'dunia', 'nama', 'sragen', 'mendadak', 'ikut', 'mendunia', 'kok']</t>
  </si>
  <si>
    <t>Sekitar 39 juta warga Argentina turun ke jalan di seantero kota setelah mendengar negaranya juara Piala Dunia 2022 di Qatar  @ID_Albiceleste</t>
  </si>
  <si>
    <t>sekitar juta warga argentina turun jalan seantero kota setelah mendengar negaranya juara piala dunia qatar albiceleste</t>
  </si>
  <si>
    <t>['juta', 'warga', 'argentina', 'turun', 'jalan', 'seantero', 'kota', 'mendengar', 'negaranya', 'juara', 'piala', 'dunia', 'qatar', 'albiceleste']</t>
  </si>
  <si>
    <t>Scaloni mengajak rakyat Argentina nikmati sukses juara Piala Dunia 2022  https://t.co/6M8CFdXGFu</t>
  </si>
  <si>
    <t>scaloni mengajak rakyat argentina nikmati sukses juara piala dunia</t>
  </si>
  <si>
    <t>['scaloni', 'mengajak', 'rakyat', 'argentina', 'nikmati', 'sukses', 'juara', 'piala', 'dunia']</t>
  </si>
  <si>
    <t>Argentina üá¶üá∑ bisa juara dunia lagi setelah 1986. Timnas Senior Indonesia üáÆüá© terakhir angkat piala juga 80an akhir. Semoga bisa ikutan tren. Amin. #cocoklogi</t>
  </si>
  <si>
    <t>argentina bisa juara dunia lagi setelah timnas senior indonesia terakhir angkat piala juga akhir semoga bisa ikutan tren amin</t>
  </si>
  <si>
    <t>['argentina', 'juara', 'dunia', 'timnas', 'senior', 'indonesia', 'terakhir', 'angkat', 'piala', 'akhir', 'semoga', 'ikutan', 'tren', 'amin']</t>
  </si>
  <si>
    <t>@cehlos Siang bang, Argentina juara üéâüéâüèÜ</t>
  </si>
  <si>
    <t>siang bang argentina juara</t>
  </si>
  <si>
    <t>['siang', 'bang', 'argentina', 'juara']</t>
  </si>
  <si>
    <t>Argentina Juara Piala Dunia  https://t.co/kbVbkMGu6I</t>
  </si>
  <si>
    <t>Juara Piala Dunia, Argentina Akhiri Puasa Gelar Selama 36¬†Tahun  https://t.co/Eq9AFYzXwh</t>
  </si>
  <si>
    <t>juara piala dunia argentina akhiri puasa gelar selama tahun</t>
  </si>
  <si>
    <t>['juara', 'piala', 'dunia', 'argentina', 'akhiri', 'puasa', 'gelar', 'selama', 'tahun']</t>
  </si>
  <si>
    <t>Akhirnya Juara Piala Dunia, Lionel Messi| Ini Mimpi Saya Sejak Kecil ,#argentinajuara ,#LionelMessiìÉµ   https://t.co/DEcU8AyV7Z</t>
  </si>
  <si>
    <t>akhirnya juara piala dunia lionel messi ini mimpi saya sejak kecil</t>
  </si>
  <si>
    <t>['akhirnya', 'juara', 'piala', 'dunia', 'lionel', 'messi', 'mimpi', 'sejak', 'kecil']</t>
  </si>
  <si>
    <t>Ekspresi pas lagi argentina juara  https://t.co/kDIjOuIymD</t>
  </si>
  <si>
    <t>ekspresi pas lagi argentina juara</t>
  </si>
  <si>
    <t>['ekspresi', 'pas', 'argentina', 'juara']</t>
  </si>
  <si>
    <t>@hs_meliala Bener om tapi saya sudah bertaruh argentina juaraüòÅ</t>
  </si>
  <si>
    <t>meliala bener tapi saya sudah bertaruh argentina juara</t>
  </si>
  <si>
    <t>['meliala', 'benar', 'bertaruh', 'argentina', 'juara']</t>
  </si>
  <si>
    <t>Final Paling Seru Sepanjang Sejarah, Argentina Juara Dunia, Kalahkan Perancis Lewat Adu Penalti  https://t.co/6Pwxj2DnP8</t>
  </si>
  <si>
    <t>final paling seru sepanjang sejarah argentina juara dunia kalahkan perancis lewat adu penalti</t>
  </si>
  <si>
    <t>['final', 'paling', 'seru', 'sepanjang', 'sejarah', 'argentina', 'juara', 'dunia', 'kalahkan', 'perancis', 'lewat', 'adu', 'penalti']</t>
  </si>
  <si>
    <t>Argentina juara lagi</t>
  </si>
  <si>
    <t>Penampakan Lautan Suporter di Buenos Aires Rayakan Argentina Juara Piala Dunia  https://t.co/u8HgnPgvbj</t>
  </si>
  <si>
    <t>penampakan lautan suporter buenos aires rayakan argentina juara piala dunia</t>
  </si>
  <si>
    <t>['penampakan', 'lautan', 'suporter', 'buenos', 'aires', 'rayakan', 'argentina', 'juara', 'piala', 'dunia']</t>
  </si>
  <si>
    <t>@kefzia morning kezzz</t>
  </si>
  <si>
    <t>morning kezzz</t>
  </si>
  <si>
    <t>['morning', 'kezzz']</t>
  </si>
  <si>
    <t>Hampir semua kota di Argentina dihiasi lautan manusia mengingat negaranya juara Piala Dunia 2022 di Qatar  @ID_Albiceleste</t>
  </si>
  <si>
    <t>hampir semua kota argentina dihiasi lautan manusia mengingat negaranya juara piala dunia qatar albiceleste</t>
  </si>
  <si>
    <t>['hampir', 'semua', 'kota', 'argentina', 'dihiasi', 'lautan', 'manusia', 'mengingat', 'negaranya', 'juara', 'piala', 'dunia', 'qatar', 'albiceleste']</t>
  </si>
  <si>
    <t>Argentina menjadi juara Piala Dunia 2022¬†setelah mengalahkan Prancis 4-2 melalui adu penalti di Stadion Lusail, Qatar, Minggu (18/12/2022). Tim Tango berhasil menyudahi puasa 36 tahun gelar Piala Dunia sekaligus jadi yang ketiga sepanjang sejarah.   https://t.co/4K0OdnDoQ0  https://t.co/OKdCtcfHoU</t>
  </si>
  <si>
    <t>argentina menjadi juara piala dunia setelah mengalahkan prancis melalui adu penalti stadion lusail qatar minggu tim tango berhasil menyudahi puasa tahun gelar piala dunia sekaligus jadi yang ketiga sepanjang sejarah</t>
  </si>
  <si>
    <t>['argentina', 'menjadi', 'juara', 'piala', 'dunia', 'mengalahkan', 'prancis', 'melalui', 'adu', 'penalti', 'stadion', 'lusail', 'qatar', 'minggu', 'tim', 'tango', 'berhasil', 'menyudahi', 'puasa', 'tahun', 'gelar', 'piala', 'dunia', 'sekaligus', 'jadi', 'ketiga', 'sepanjang', 'sejarah']</t>
  </si>
  <si>
    <t>Fantastis! Segini Jumlah Hadiah yang Didapat Argentina Sebagai Juara Piala Dunia 2022 Qatar¬†  https://t.co/avJm1FMnf8</t>
  </si>
  <si>
    <t>fantastis segini jumlah hadiah yang didapat argentina sebagai juara piala dunia qatar</t>
  </si>
  <si>
    <t>['fantastis', 'segini', 'jumlah', 'hadiah', 'didapat', 'argentina', 'juara', 'piala', 'dunia', 'qatar']</t>
  </si>
  <si>
    <t>Akhiri panantian 36 tahun, Argentina juara Piala Dunia 2022   https://t.co/G3GHw2b5ZF  #pialadunia2022 #juarapialadunia2022 #argentina #lionelmessi #Lensaindonesiacom</t>
  </si>
  <si>
    <t>akhiri panantian tahun argentina juara piala dunia</t>
  </si>
  <si>
    <t>['akhiri', 'panantian', 'tahun', 'argentina', 'juara', 'piala', 'dunia']</t>
  </si>
  <si>
    <t>Mantap! Lionel Messi baru saja memimpin Argentina menjadi kampiun Piala Dunia 2022. Penyerang sekaligus kapten Argentina itu mengukir empat rekor usai sukses itu.  Berikut empat rekor Messi usai Argentina juara Piala Dunia 2022!  #lionelmessi #juaraboladunia  https://t.co/ijPgr0HwLs</t>
  </si>
  <si>
    <t>mantap lionel messi baru saja memimpin argentina menjadi kampiun piala dunia penyerang sekaligus kapten argentina itu mengukir empat rekor usai sukses itu berikut empat rekor messi usai argentina juara piala dunia</t>
  </si>
  <si>
    <t>['mantap', 'lionel', 'messi', 'baru', 'memimpin', 'argentina', 'menjadi', 'kampiun', 'piala', 'dunia', 'penyerang', 'sekaligus', 'kapten', 'argentina', 'mengukir', 'empat', 'rekor', 'usai', 'sukses', 'berikut', 'empat', 'rekor', 'messi', 'usai', 'argentina', 'juara', 'piala', 'dunia']</t>
  </si>
  <si>
    <t>@jimxaszh seru bangettt, banyak hal yang tak terduga terjadi dari jepang sama korea bisa unggul di babak grup, maroko bisa masuk semi final dan akhirnya ARGENTINA jadi juara. seneng babget liat messi bisa angkat piala duniaa ü•∫üëèüëèüëèüëèüëè</t>
  </si>
  <si>
    <t>seru bangettt banyak hal yang tak terduga terjadi dari jepang sama korea bisa unggul babak grup maroko bisa masuk semi final dan akhirnya argentina jadi juara seneng babget liat messi bisa angkat piala duniaa</t>
  </si>
  <si>
    <t>['seru', 'bangettt', 'banyak', 'tak', 'terduga', 'terjadi', 'jepang', 'sama', 'korea', 'unggul', 'babak', 'grup', 'maroko', 'masuk', 'semi', 'final', 'akhirnya', 'argentina', 'jadi', 'juara', 'seneng', 'babget', 'lihat', 'messi', 'angkat', 'piala', 'duniaa']</t>
  </si>
  <si>
    <t>Scaloni mengajak rakyat Argentina nikmati sukses juara Piala Dunia 2022  https://t.co/g3Ge7ibwKz</t>
  </si>
  <si>
    <t>3 Negara yang Juara Piala Dunia Via Adu Penalti, Argentina Terbaru!    https://t.co/7aMat4YD4A</t>
  </si>
  <si>
    <t>Argentina di Piala Dunia 2022: Dipecundangi Arab Saudi di Awal, Berakhir Sebagai Juara  Baca Selengkapnya :   https://t.co/QMVM3m69jT  BETTING SEKARANG JUGA !!! MENANG BERAPAPUN KAMI BAYARKAN !!! Link :  https://t.co/XRXYNFfcZO  https://t.co/wMfVXdCEl7</t>
  </si>
  <si>
    <t>argentina piala dunia dipecundangi arab saudi awal berakhir sebagai juara baca selengkapnya betting sekarang juga menang berapapun kami bayarkan link</t>
  </si>
  <si>
    <t>['argentina', 'piala', 'dunia', 'dipecundangi', 'arab', 'saudi', 'awal', 'berakhir', 'juara', 'baca', 'selengkapnya', 'betting', 'sekarang', 'menang', 'berapapun', 'bayarkan', 'link']</t>
  </si>
  <si>
    <t>Argentina Juara Dunia di Tengah Krisis Ekonomi Negerinya  https://t.co/nyGSau66LI</t>
  </si>
  <si>
    <t>argentina juara dunia tengah krisis ekonomi negerinya</t>
  </si>
  <si>
    <t>['argentina', 'juara', 'dunia', 'tengah', 'krisis', 'ekonomi', 'negerinya']</t>
  </si>
  <si>
    <t>@dd9966 Argentina juara berkat pak jokowi</t>
  </si>
  <si>
    <t>argentina juara berkat pak jokowi</t>
  </si>
  <si>
    <t>['argentina', 'juara', 'berkat', 'pak', 'jokowi']</t>
  </si>
  <si>
    <t>Emiliano Martinez menjadi sorotan setelah Argentina juara Piala Dunia 2022. Pasalnya Martinez merayakan keberhasilan itu dengan cara mesum, yaitu meletakkan trofi di sekitar kemaluan.  #MGTRADIO #MGTSport #MGTPlay #FIFAWorldCup #Qatar2022  https://t.co/q77vAJFFqz</t>
  </si>
  <si>
    <t>emiliano martinez menjadi sorotan setelah argentina juara piala dunia pasalnya martinez merayakan keberhasilan itu dengan cara mesum yaitu meletakkan trofi sekitar kemaluan</t>
  </si>
  <si>
    <t>['emiliano', 'martinez', 'menjadi', 'sorotan', 'argentina', 'juara', 'piala', 'dunia', 'pasalnya', 'martinez', 'merayakan', 'keberhasilan', 'cara', 'mesum', 'meletakkan', 'trofi', 'kemaluan']</t>
  </si>
  <si>
    <t>Msh seneng bgt ya Allah argentina juaraüò≠ seru bgt. Wlpn skrg sy tunduh abizzüòå tp gpp yg penting messi full senyum</t>
  </si>
  <si>
    <t>msh seneng bgt allah argentina juara seru bgt wlpn skrg tunduh abizz gpp penting messi full senyum</t>
  </si>
  <si>
    <t>['msh', 'seneng', 'banget', 'allah', 'argentina', 'juara', 'seru', 'banget', 'wlpn', 'skrg', 'tunduh', 'abizz', 'gapapa', 'penting', 'messi', 'full', 'senyum']</t>
  </si>
  <si>
    <t>Ra ngurus enek wong sing ngomongi aku alay lah, heboh lah, sing penting Argentina Juara Piala Dunia üòú Juara mah bebas üòâ</t>
  </si>
  <si>
    <t>ngurus enek wong sing ngomongi aku alay lah heboh lah sing penting argentina juara piala dunia juara mah bebas</t>
  </si>
  <si>
    <t>['ngurus', 'enek', 'wong', 'sing', 'ngomongi', 'aku', 'alay', 'lah', 'heboh', 'lah', 'sing', 'penting', 'argentina', 'juara', 'piala', 'dunia', 'juara', 'mah', 'bebas']</t>
  </si>
  <si>
    <t>Bagi yang gak seneng Argentina juara, mau menyalahkan wasit dengan bukti atau data yg emg seharusnya bisa dicek atau mau dibilang udah settingan. Argentina tetap yg tercatat sejarah sebagai juara. Silahkan menilai dengan pendapat masing2. Enjoy</t>
  </si>
  <si>
    <t>bagi yang gak seneng argentina juara mau menyalahkan wasit dengan bukti atau data emg seharusnya bisa dicek atau mau dibilang udah settingan argentina tetap tercatat sejarah sebagai juara silahkan menilai dengan pendapat masing enjoy</t>
  </si>
  <si>
    <t>['seneng', 'argentina', 'juara', 'mau', 'menyalahkan', 'wasit', 'bukti', 'data', 'memang', 'dicek', 'mau', 'dibilang', 'udah', 'settingan', 'argentina', 'tetap', 'tercatat', 'sejarah', 'juara', 'silahkan', 'menilai', 'pendapat', 'masing', 'enjoy']</t>
  </si>
  <si>
    <t>Selamat kepada timnas @Argentina yang telah berhasil mendapatkan gelar juara Piala Dunia 2022.  Congratulation üéâ  #ItsTime #Argentina #PialaDunia #PartaiNasDem  https://t.co/52eelAAOrP</t>
  </si>
  <si>
    <t>selamat kepada timnas yang telah berhasil mendapatkan gelar juara piala dunia congratulation</t>
  </si>
  <si>
    <t>['selamat', 'timnas', 'berhasil', 'mendapatkan', 'gelar', 'juara', 'piala', 'dunia', 'congratulation']</t>
  </si>
  <si>
    <t>Sukses Argentina menjadi juara Piala Dunia 2022 semakin manis buat Lionel Messi. Sang megabintang turut didapuk sebagai pemain terbaik di turnamen itu. #juaraboladunia    https://t.co/l05s3IqzJW</t>
  </si>
  <si>
    <t>sukses argentina menjadi juara piala dunia semakin manis buat lionel messi sang megabintang turut didapuk sebagai pemain terbaik turnamen itu</t>
  </si>
  <si>
    <t>['sukses', 'argentina', 'menjadi', 'juara', 'piala', 'dunia', 'semakin', 'manis', 'buat', 'lionel', 'messi', 'sang', 'megabintang', 'turut', 'didapuk', 'pemain', 'terbaik', 'turnamen']</t>
  </si>
  <si>
    <t>@AzamFatahilla @trastzy @The_RedsIndo Setelah liat retweet an lu,,ok fix lu menang aku yg kalah..memang Argentina disetting untuk juara dunia üòÅü§≠</t>
  </si>
  <si>
    <t>redsindo setelah liat retweet fix menang aku kalah memang argentina disetting untuk juara dunia</t>
  </si>
  <si>
    <t>['redsindo', 'lihat', 'retweet', 'fix', 'menang', 'aku', 'kalah', 'memang', 'argentina', 'disetting', 'juara', 'dunia']</t>
  </si>
  <si>
    <t>Messi yg juara dunia bisa mengejar gap bagian ini, tandanya jelas kayak Adidas laporkan jersey Messi di edisi Argentina 2022 sold out, brand Messi masih tetep dan tambah laku. Kalau PSG juga juara UCL musim ini. Ballon d'Or lagi si Messi, gap "famous"nya Cristiano bisa disalip.</t>
  </si>
  <si>
    <t>messi juara dunia bisa mengejar gap bagian ini tandanya jelas kayak adidas laporkan jersey messi edisi argentina sold out brand messi masih tetep dan tambah laku kalau psg juga juara ucl musim ini ballon lagi messi gap famous nya cristiano bisa disalip</t>
  </si>
  <si>
    <t>['messi', 'juara', 'dunia', 'mengejar', 'gap', 'bagian', 'tandanya', 'jelas', 'seperti', 'adidas', 'laporkan', 'jersey', 'messi', 'edisi', 'argentina', 'sold', 'out', 'brand', 'messi', 'tetep', 'tambah', 'laku', 'kalau', 'psg', 'juara', 'ucl', 'musim', 'ballon', 'messi', 'gap', 'famous', 'cristiano', 'disalip']</t>
  </si>
  <si>
    <t>Argentina yang juara piala dunia Netizen Indonesia yang pada ribet berspekulasi  Gabisa sans hidupnya segala gala di pikirin</t>
  </si>
  <si>
    <t>argentina yang juara piala dunia netizen indonesia yang pada ribet berspekulasi gabisa sans hidupnya segala gala pikirin</t>
  </si>
  <si>
    <t>['argentina', 'juara', 'piala', 'dunia', 'netizen', 'indonesia', 'ribet', 'berspekulasi', 'gabisa', 'sans', 'hidupnya', 'segala', 'gala', 'pikirin']</t>
  </si>
  <si>
    <t>Penampakan Lautan Suporter di Buenos Aires Rayakan Argentina Juara Piala Dunia  https://t.co/WVJ1HcxT6c</t>
  </si>
  <si>
    <t>ARGENTINA, JUARA DUNIA! üèÜ  Argentina muncul juara Piala Dunia selepas 36 tahun  Akhirnya Piala Dunia kini dalam genggaman Pemain Lagenda, Lionel Messi!  Tahniah Argentina üá¶üá∑üëèüèª  https://t.co/DoYazF8o8v</t>
  </si>
  <si>
    <t>argentina juara dunia argentina muncul juara piala dunia selepas tahun akhirnya piala dunia kini dalam genggaman pemain lagenda lionel messi tahniah argentina</t>
  </si>
  <si>
    <t>['argentina', 'juara', 'dunia', 'argentina', 'muncul', 'juara', 'piala', 'dunia', 'selepas', 'tahun', 'akhirnya', 'piala', 'dunia', 'kini', 'genggaman', 'pemain', 'lagenda', 'lionel', 'messi', 'tahniah', 'argentina']</t>
  </si>
  <si>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</si>
  <si>
    <t>kapten timnas argentina lionel messi menyabet gelar pemain terbaik piala dunia gelar tersebut diraih setelah mengantarkan albiceste juara piala dunia juga dinobatkan sebagai man the match messi juga membawa pulang golden ball</t>
  </si>
  <si>
    <t>['kapten', 'timnas', 'argentina', 'lionel', 'messi', 'menyabet', 'gelar', 'pemain', 'terbaik', 'piala', 'dunia', 'gelar', 'tersebut', 'diraih', 'mengantarkan', 'albiceste', 'juara', 'piala', 'dunia', 'dinobatkan', 'man', 'the', 'match', 'messi', 'membawa', 'pulang', 'golden', 'ball']</t>
  </si>
  <si>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</si>
  <si>
    <t>sebelum piala dunia digelar pun aku udah banya ngmng orang kalo prediksiku juara antara argentina brazil terbukti tim tango keluar juara sebenere aku duduk anti messi aku cuma anti barcelona kok messi run baik dan selamat sudah menamatkan sepakbola</t>
  </si>
  <si>
    <t>['piala', 'dunia', 'digelar', 'aku', 'udah', 'banya', 'ngmng', 'orang', 'prediksiku', 'juara', 'argentina', 'brazil', 'terbukti', 'tim', 'tango', 'keluar', 'juara', 'sebenere', 'aku', 'duduk', 'anti', 'messi', 'aku', 'cuma', 'anti', 'barcelona', 'kok', 'messi', 'run', 'baik', 'selamat', 'menamatkan', 'sepakbola']</t>
  </si>
  <si>
    <t>Akhir karir Messi di timnas tanggo cukup membanggakan..... Ronaldo cenut cenut lihat keberhasilan Argentina juara pildun...</t>
  </si>
  <si>
    <t>akhir karir messi timnas tanggo cukup membanggakan ronaldo cenut cenut lihat keberhasilan argentina juara pildun</t>
  </si>
  <si>
    <t>['akhir', 'karir', 'messi', 'timnas', 'tanggo', 'cukup', 'membanggakan', 'ronaldo', 'cenut', 'cenut', 'lihat', 'keberhasilan', 'argentina', 'juara', 'piala dunia']</t>
  </si>
  <si>
    <t>Ini Argentina habis juara piala dunia pada diangkat jadi pns gak ya pemainnya?</t>
  </si>
  <si>
    <t>ini argentina habis juara piala dunia pada diangkat jadi pns gak pemainnya</t>
  </si>
  <si>
    <t>['argentina', 'habis', 'juara', 'piala', 'dunia', 'diangkat', 'jadi', 'pns', 'pemainnya']</t>
  </si>
  <si>
    <t>Messi Cetak Setengah Gol Argentina di Piala Dunia Qatar: Bawa Balik Juara FIFA World Cup 2022  https://t.co/W4qc8OjtVa .....</t>
  </si>
  <si>
    <t>messi cetak setengah gol argentina piala dunia qatar bawa balik juara fifa world cup</t>
  </si>
  <si>
    <t>['messi', 'cetak', 'setengah', 'gol', 'argentina', 'piala', 'dunia', 'qatar', 'bawa', 'balik', 'juara', 'fifa', 'world', 'cup']</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</si>
  <si>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</si>
  <si>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</si>
  <si>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</si>
  <si>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5 Alasan Argentina Juara Piala Dunia 2022  https://t.co/fJPEyyHpY9</t>
  </si>
  <si>
    <t>alasan argentina juara piala dunia</t>
  </si>
  <si>
    <t>['alasan', 'argentina', 'juara', 'piala', 'dunia']</t>
  </si>
  <si>
    <t>Messi Cetak Setengah Gol Argentina di Piala Dunia Qatar: Bawa Balik Juara FIFA World Cup 2022  https://t.co/W4qc8OBD9i .</t>
  </si>
  <si>
    <t>Messi Cetak Setengah Gol Argentina di Piala Dunia Qatar: Bawa Balik Juara FIFA World Cup 2022  https://t.co/W4qc8OjtVa</t>
  </si>
  <si>
    <t>Jenius Scaloni!!! Dia membuktikan argentina bisa tampil menyerang kuasai bola dengan sirkulasi bola cepat tapi dia sadar selalu tampil menyerang tidak membuat jadi juaraüëè  https://t.co/odhIQ3Z7d5</t>
  </si>
  <si>
    <t>jenius scaloni dia membuktikan argentina bisa tampil menyerang kuasai bola dengan sirkulasi bola cepat tapi dia sadar selalu tampil menyerang tidak membuat jadi juara</t>
  </si>
  <si>
    <t>['jenius', 'scaloni', 'membuktikan', 'argentina', 'tampil', 'menyerang', 'kuasai', 'bola', 'sirkulasi', 'bola', 'cepat', 'sadar', 'selalu', 'tampil', 'menyerang', 'membuat', 'jadi', 'juara']</t>
  </si>
  <si>
    <t>Messi Ingin Terus Bela Argentina sebagai Juara¬†Dunia  https://t.co/dGQyMQnMWq</t>
  </si>
  <si>
    <t>messi ingin terus bela argentina sebagai juara dunia</t>
  </si>
  <si>
    <t>['messi', 'terus', 'bela', 'argentina', 'juara', 'dunia']</t>
  </si>
  <si>
    <t>@cursedkidd Percayalah fifa menginginkan hanya argentina yang juara</t>
  </si>
  <si>
    <t>percayalah fifa menginginkan hanya argentina yang juara</t>
  </si>
  <si>
    <t>['percayalah', 'fifa', 'menginginkan', 'argentina', 'juara']</t>
  </si>
  <si>
    <t>Team Argentina kalau juara, piala sama hadiahnya diambil sama sekolah juga ngga ya</t>
  </si>
  <si>
    <t>team argentina kalau juara piala sama hadiahnya diambil sama sekolah juga ngga</t>
  </si>
  <si>
    <t>['team', 'argentina', 'kalau', 'juara', 'piala', 'sama', 'hadiahnya', 'diambil', 'sama', 'sekolah', 'ngga']</t>
  </si>
  <si>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</si>
  <si>
    <t>tak hanya merayakan kemenangan argentina sebagai juara piala dunia fifa pun memberikan sederet penghargaan kepada para pemain dan tim yang telah menunjukkan performa terbaiknya ajang paling prestisius ini</t>
  </si>
  <si>
    <t>['tak', 'merayakan', 'kemenangan', 'argentina', 'juara', 'piala', 'dunia', 'fifa', 'memberikan', 'sederet', 'penghargaan', 'pemain', 'tim', 'menunjukkan', 'performa', 'terbaiknya', 'ajang', 'paling', 'prestisius']</t>
  </si>
  <si>
    <t>@FaktaSepakbola Ini bini Messi Kalau pacar Ronaldo senang nggak ya Argentina juara dunia</t>
  </si>
  <si>
    <t>ini bini messi kalau pacar ronaldo senang nggak argentina juara dunia</t>
  </si>
  <si>
    <t>['bini', 'messi', 'kalau', 'pacar', 'ronaldo', 'senang', 'argentina', 'juara', 'dunia']</t>
  </si>
  <si>
    <t>Argentina jadi juara Piala Dunia 2022. Kini, Adidas mengaku kewalahan menghadapi permintaan jersey Argentina yang begitu besar. Kalau detikers sudah punya belum?   https://t.co/elcgyM8ZJ2</t>
  </si>
  <si>
    <t>argentina jadi juara piala dunia kini adidas mengaku kewalahan menghadapi permintaan jersey argentina yang begitu besar kalau detikers sudah punya belum</t>
  </si>
  <si>
    <t>['argentina', 'jadi', 'juara', 'piala', 'dunia', 'kini', 'adidas', 'mengaku', 'kewalahan', 'menghadapi', 'permintaan', 'jersey', 'argentina', 'besar', 'kalau', 'detikers', 'punya']</t>
  </si>
  <si>
    <t>@id_fm Dan.. nantinya dikemudian hari ketika ditanya wartawan: "...saat itu saya dan tim berhasil mengantarkan Argentina juara WC2022 lhoo..." üòÅü§£üòÅ #sah</t>
  </si>
  <si>
    <t>dan nantinya dikemudian hari ketika ditanya wartawan saat itu saya dan tim berhasil mengantarkan argentina juara lhoo</t>
  </si>
  <si>
    <t>['nantinya', 'dikemudian', 'hari', 'ditanya', 'wartawan', 'tim', 'berhasil', 'mengantarkan', 'argentina', 'juara', 'lhoo']</t>
  </si>
  <si>
    <t>@idextratime Argentina yg juara juga ada disitu.  Tolol kalo overproud. Dikira yg punya peta cuma indo doang</t>
  </si>
  <si>
    <t>argentina juara juga ada disitu tolol kalo overproud dikira punya peta cuma indo doang</t>
  </si>
  <si>
    <t>['argentina', 'juara', 'disitu', 'tolol', 'overproud', 'dikira', 'punya', 'peta', 'cuma', 'indo', 'doang']</t>
  </si>
  <si>
    <t>Tiga Faktor Penentu Argentina ke Podium Juara dan Messi Sah Jadi GOAT  https://t.co/pXtn9HijGN</t>
  </si>
  <si>
    <t>tiga faktor penentu argentina podium juara dan messi sah jadi goat</t>
  </si>
  <si>
    <t>['tiga', 'faktor', 'penentu', 'argentina', 'podium', 'juara', 'messi', 'sah', 'jadi', 'goat']</t>
  </si>
  <si>
    <t>Messi Paripurna Bawa Argentina Juara Piala Dunia 2022 yang Ketiga Kalinya  https://t.co/TB7phlIgKZ</t>
  </si>
  <si>
    <t>messi paripurna bawa argentina juara piala dunia yang ketiga kalinya</t>
  </si>
  <si>
    <t>['messi', 'paripurna', 'bawa', 'argentina', 'juara', 'piala', 'dunia', 'ketiga', 'kalinya']</t>
  </si>
  <si>
    <t>Kapten timnas Argentina, Lionel Messi, masih belum mau pensiun dari sepak bola internasional setelah meraih gelar juara Pala Dunia 2022 Qatar.  https://t.co/p4adtTpOqM</t>
  </si>
  <si>
    <t>kapten timnas argentina lionel messi masih belum mau pensiun dari sepak bola internasional setelah meraih gelar juara pala dunia qatar</t>
  </si>
  <si>
    <t>['kapten', 'timnas', 'argentina', 'lionel', 'messi', 'mau', 'pensiun', 'sepak', 'bola', 'internasional', 'meraih', 'gelar', 'juara', 'pala', 'dunia', 'qatar']</t>
  </si>
  <si>
    <t>Argentina boleh juara dunia 2022, tapi tetap bisa dikalahkan oleh Arab Saudi</t>
  </si>
  <si>
    <t>argentina boleh juara dunia tapi tetap bisa dikalahkan oleh arab saudi</t>
  </si>
  <si>
    <t>['argentina', 'juara', 'dunia', 'tetap', 'dikalahkan', 'arab', 'saudi']</t>
  </si>
  <si>
    <t>Berapa Hadiah Argentina Usai Juara Piala Dunia 2022? ‚Äì CNN Indonesia ‚Äì Google Berita Olahraga ‚Äì  https://t.co/gLJoWni63c ‚Äì #Arenanews #Kamidi #Opsiminfo- https://t.co/tmaSqEZ5ko</t>
  </si>
  <si>
    <t>berapa hadiah argentina usai juara piala dunia cnn indonesia google berita olahraga</t>
  </si>
  <si>
    <t>['berapa', 'hadiah', 'argentina', 'usai', 'juara', 'piala', 'dunia', 'cnn', 'indonesia', 'google', 'berita', 'olahraga']</t>
  </si>
  <si>
    <t>Argentina Juara Dunia, Ini Hadiah yang Akan Dibawa Pemain ‚Äì BeritaSatu ‚Äì  https://t.co/1qgbTRvKY2 ‚Äì #Arenanews #Kamidi #Opsiminfo- https://t.co/xcXcShWL30</t>
  </si>
  <si>
    <t>argentina juara dunia ini hadiah yang akan dibawa pemain beritasatu</t>
  </si>
  <si>
    <t>['argentina', 'juara', 'dunia', 'hadiah', 'dibawa', 'pemain', 'beritasatu']</t>
  </si>
  <si>
    <t>argentina juara gw cuma dpt serak nya doang anjirrrrrr. tapi gpapa, yg penting JUARAAAAA üòù #LionelMessiìÉµ</t>
  </si>
  <si>
    <t>argentina juara cuma dpt serak nya doang anjirrrrrr tapi gpapa penting juaraaaaa</t>
  </si>
  <si>
    <t>['argentina', 'juara', 'cuma', 'dpt', 'serak', 'doang', 'anjirrrrrr', 'gpapa', 'penting', 'juaraaaaa']</t>
  </si>
  <si>
    <t>Selamat Argentina! üá¶üá∑ üá¶üá∑   Argentina menjadi juara Piala Dunia 2022 Qatar usai mengalahkan Prancis di adu penalti.  #pialadunia2022 #fifaworldcup2022 #hokibet  https://t.co/vW5h0ZlIvz</t>
  </si>
  <si>
    <t>selamat argentina argentina menjadi juara piala dunia qatar usai mengalahkan prancis adu penalti</t>
  </si>
  <si>
    <t>['selamat', 'argentina', 'argentina', 'menjadi', 'juara', 'piala', 'dunia', 'qatar', 'usai', 'mengalahkan', 'prancis', 'adu', 'penalti']</t>
  </si>
  <si>
    <t>@onlyvvan @Kendi_fratnolo @Box2BoxBola Mau Argentina pemain medioker2 jg dari antah berantah klo bs jd kesatuan tim dan pelatih bs manage pemain juara turnamen mah dpt2 aja</t>
  </si>
  <si>
    <t>fratnolo mau argentina pemain medioker dari antah berantah klo kesatuan tim dan pelatih manage pemain juara turnamen mah dpt aja</t>
  </si>
  <si>
    <t>['fratnolo', 'mau', 'argentina', 'pemain', 'medioker', 'antah', 'berantah', 'kesatuan', 'tim', 'pelatih', 'manage', 'pemain', 'juara', 'turnamen', 'mah', 'dpt']</t>
  </si>
  <si>
    <t>ARGENTINA JUARA PIALA DUNIA 2022 VS PERANCIS  ARAB SAUDI KALAHKAN ARGENTINA DI PERTANDINGAN AWAL PIALA DUNIA 2022  ARAB SAUDI &amp;gt; ARGENTINA</t>
  </si>
  <si>
    <t>argentina juara piala dunia perancis arab saudi kalahkan argentina pertandingan awal piala dunia arab saudi argentina</t>
  </si>
  <si>
    <t>['argentina', 'juara', 'piala', 'dunia', 'perancis', 'arab', 'saudi', 'kalahkan', 'argentina', 'pertandingan', 'awal', 'piala', 'dunia', 'arab', 'saudi', 'argentina']</t>
  </si>
  <si>
    <t>Arab Saudi "Juara" sesungguhya, karena dia mampu menggalah Argentina sang JuaraüòÉüòÑ Selamat buat Argentina dan Prancis..</t>
  </si>
  <si>
    <t>arab saudi juara sesungguhya karena dia mampu menggalah argentina sang juara selamat buat argentina dan prancis</t>
  </si>
  <si>
    <t>['arab', 'saudi', 'juara', 'sesungguhya', 'mampu', 'menggalah', 'argentina', 'sang', 'juara', 'selamat', 'buat', 'argentina', 'prancis']</t>
  </si>
  <si>
    <t>makan siang :  sblm argentina juara  |  stlh argentina juara  https://t.co/RFeEsphmJY</t>
  </si>
  <si>
    <t>makan siang sblm argentina juara stlh argentina juara</t>
  </si>
  <si>
    <t>['makan', 'siang', 'sebelum', 'argentina', 'juara', 'stlh', 'argentina', 'juara']</t>
  </si>
  <si>
    <t>Suporter Argentina merayakan kemenangan Timnya Juara usai mengalahkan Prancis lewat drama adu finalti.  https://t.co/08J8OIYr4w</t>
  </si>
  <si>
    <t>suporter argentina merayakan kemenangan timnya juara usai mengalahkan prancis lewat drama adu finalti</t>
  </si>
  <si>
    <t>['suporter', 'argentina', 'merayakan', 'kemenangan', 'timnya', 'juara', 'usai', 'mengalahkan', 'prancis', 'lewat', 'drama', 'adu', 'finalti']</t>
  </si>
  <si>
    <t>@idextratime Mao gimana pun, sejarah tetep mencatat Argentina juara World cup 2022 üòÅ</t>
  </si>
  <si>
    <t>mao gimana pun sejarah tetep mencatat argentina juara world cup</t>
  </si>
  <si>
    <t>['mao', 'gimana', 'sejarah', 'tetep', 'mencatat', 'argentina', 'juara', 'world', 'cup']</t>
  </si>
  <si>
    <t>Paulo Dybala main cuma 3 menit langsung bawa Argentina juara üèÜüá¶üá∑  https://t.co/q5WFd0puIr</t>
  </si>
  <si>
    <t>paulo dybala main cuma menit langsung bawa argentina juara</t>
  </si>
  <si>
    <t>['paulo', 'dybala', 'main', 'cuma', 'menit', 'langsung', 'bawa', 'argentina', 'juara']</t>
  </si>
  <si>
    <t>Pesen kopi pahit aja deh , supaya kuat melek mata nya , pas di minum lho kok tetep manis ya ? Oh iya lupa masih kebawa suasana manis semalem ARGENTINA JUARA WORLD CUP 2022 QATAR üòÖüòÖ  Selamat hari senin :)</t>
  </si>
  <si>
    <t>pesen kopi pahit aja deh supaya kuat melek mata nya pas minum lho kok tetep manis iya lupa masih kebawa suasana manis semalem argentina juara world cup qatar selamat hari senin</t>
  </si>
  <si>
    <t>['pesen', 'kopi', 'pahit', 'deh', 'kuat', 'melek', 'mata', 'pas', 'minum', 'lho', 'kok', 'tetep', 'manis', 'iya', 'lupa', 'kebawa', 'suasana', 'manis', 'semalam', 'argentina', 'juara', 'world', 'cup', 'qatar', 'selamat', 'hari', 'senin']</t>
  </si>
  <si>
    <t>Oh iya, kalau sudah di-setting, kenapa Argentina tidak Juara dari 2010, 2014 dan 2018? Pasti mereka nggak bisa jawab. Hahaha... ‚û°Ô∏è</t>
  </si>
  <si>
    <t>iya kalau sudah setting kenapa argentina tidak juara dari dan pasti mereka nggak bisa jawab hahaha</t>
  </si>
  <si>
    <t>['iya', 'kalau', 'setting', 'argentina', 'juara', 'jawab', 'hahaha']</t>
  </si>
  <si>
    <t>VIRAL!!! Lumpia mozarella khas argentina dijual menyambut juara piala dunia kali ini</t>
  </si>
  <si>
    <t>viral lumpia mozarella khas argentina dijual menyambut juara piala dunia kali ini</t>
  </si>
  <si>
    <t>['viral', 'lumpia', 'mozarella', 'khas', 'argentina', 'dijual', 'menyambut', 'juara', 'piala', 'dunia', 'kali']</t>
  </si>
  <si>
    <t>jan gak lilo aku argentina juara cok!!</t>
  </si>
  <si>
    <t>jan gak lilo aku argentina juara cok</t>
  </si>
  <si>
    <t>['jan', 'lilo', 'aku', 'argentina', 'juara', 'cok']</t>
  </si>
  <si>
    <t>Tapi banyak yg bilang Argentina sudah di-setting utk Juara. Yg bilang begitu kebanyakan nggak pernah nonton bola, nggak ngerti bola, nggak ngerti proses dan perjuangan, referensinya dari video pendek di TikTok, tau sendiri kan user TikTok itu gimana?  ‚û°Ô∏è</t>
  </si>
  <si>
    <t>tapi banyak bilang argentina sudah setting utk juara bilang begitu kebanyakan nggak pernah nonton bola nggak ngerti bola nggak ngerti proses dan perjuangan referensinya dari video pendek tiktok tau sendiri kan user tiktok itu gimana</t>
  </si>
  <si>
    <t>['banyak', 'argentina', 'setting', 'juara', 'kebanyakan', 'pernah', 'nonton', 'bola', 'ngerti', 'bola', 'ngerti', 'proses', 'perjuangan', 'referensinya', 'video', 'pendek', 'tiktok', 'sendiri', 'kan', 'user', 'tiktok', 'gimana']</t>
  </si>
  <si>
    <t>Argentina Juara Piala Dunia 2022, Ini Momen Sri Mulyani Pakai Baju Lionel Messi   https://t.co/JlNHFNDaUZ</t>
  </si>
  <si>
    <t>argentina juara piala dunia ini momen sri mulyani pakai baju lionel messi</t>
  </si>
  <si>
    <t>['argentina', 'juara', 'piala', 'dunia', 'momen', 'sri', 'mulyani', 'pakai', 'baju', 'lionel', 'messi']</t>
  </si>
  <si>
    <t>Bawa Argentina Juara Piala Dunia 2022, Meme Lucu Lionel Messi Bertebaran  https://t.co/kUvhZWQrj5</t>
  </si>
  <si>
    <t>bawa argentina juara piala dunia meme lucu lionel messi bertebaran</t>
  </si>
  <si>
    <t>['bawa', 'argentina', 'juara', 'piala', 'dunia', 'meme', 'lucu', 'lionel', 'messi', 'bertebaran']</t>
  </si>
  <si>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</si>
  <si>
    <t>prediksi menteri bumn erick thohir tentang siapa yang bakalan jadi juara dunia tepat prediksi pak erick jika argentina bakalan juara dunia lewat drama adu penalti lagi tepat selain jago bisnis dan urus kementerian bumn pak erick juga jago bola</t>
  </si>
  <si>
    <t>['prediksi', 'menteri', 'bumn', 'erick', 'thohir', 'siapa', 'bakalan', 'jadi', 'juara', 'dunia', 'tepat', 'prediksi', 'pak', 'erick', 'argentina', 'bakalan', 'juara', 'dunia', 'lewat', 'drama', 'adu', 'penalti', 'tepat', 'jago', 'bisnis', 'urus', 'kementerian', 'bumn', 'pak', 'erick', 'jago', 'bola']</t>
  </si>
  <si>
    <t>&lt;FreqDist with 22 samples and 32 outcomes&gt;</t>
  </si>
  <si>
    <t>Hanya sebuah tebakan yg hoki-nya dia bener Argentina juara. Soal kenapa tanggal final-nya ketebak juga? Ada di reply tweet tsb, FIFA udah nentuin tanggal final-nya 2 hari sebelum tweet ini, 19 Maret 2015, ada beritanya.</t>
  </si>
  <si>
    <t>hanya sebuah tebakan hoki nya dia bener argentina juara soal kenapa tanggal final nya ketebak juga ada reply tweet tsb fifa udah nentuin tanggal final nya hari sebelum tweet ini maret ada beritanya</t>
  </si>
  <si>
    <t>['sebuah', 'tebakan', 'hoki', 'benar', 'argentina', 'juara', 'soal', 'tanggal', 'final', 'ketebak', 'reply', 'tweet', 'tsb', 'fifa', 'udah', 'nentuin', 'tanggal', 'final', 'hari', 'tweet', 'maret', 'beritanya']</t>
  </si>
  <si>
    <t>Final PD 2022 saat kamu berusia 2 bulan 12 hari, Argentina vs Prancis dimenangkan Argentina via adu penalti. Papa tetap setia menunggu hingga 12,5 tahun, akhirnya Argentina Juara. Itu tidak seberapa dibanding Rakyat Argentina yg menunggu 36 tahun lamanya ‚û°Ô∏è</t>
  </si>
  <si>
    <t>final saat kamu berusia bulan hari argentina prancis dimenangkan argentina via adu penalti papa tetap setia menunggu hingga tahun akhirnya argentina juara itu tidak seberapa dibanding rakyat argentina menunggu tahun lamanya</t>
  </si>
  <si>
    <t>['final', 'kamu', 'berusia', 'bulan', 'hari', 'argentina', 'prancis', 'dimenangkan', 'argentina', 'via', 'adu', 'penalti', 'papa', 'tetap', 'setia', 'menunggu', 'hingga', 'tahun', 'akhirnya', 'argentina', 'juara', 'seberapa', 'dibanding', 'rakyat', 'argentina', 'menunggu', 'tahun', 'lamanya']</t>
  </si>
  <si>
    <t>Zaman SBY prestasi Argentina terbaik hny sampai perempat final.   Kemudian Jokowi nyapres &amp;amp; jd presiden, 2014 jadi runner Up piala dunia Brazil.   Kini 2022, pak Jokowi masih jadi presiden.   Argentina mmpu jadi juara piala dunia Qatar yg dimana terakhir direngkuh 1986 silam.</t>
  </si>
  <si>
    <t>zaman sby prestasi argentina terbaik hny sampai perempat final kemudian jokowi nyapres presiden jadi runner piala dunia brazil kini pak jokowi masih jadi presiden argentina mmpu jadi juara piala dunia qatar dimana terakhir direngkuh silam</t>
  </si>
  <si>
    <t>['zaman', 'sby', 'prestasi', 'argentina', 'terbaik', 'hny', 'perempat', 'final', 'kemudian', 'jokowi', 'nyapres', 'presiden', 'jadi', 'runner', 'piala', 'dunia', 'brazil', 'kini', 'pak', 'jokowi', 'jadi', 'presiden', 'argentina', 'mmpu', 'jadi', 'juara', 'piala', 'dunia', 'qatar', 'terakhir', 'direngkuh', 'silam']</t>
  </si>
  <si>
    <t>Taehyun liat Argentina juara kayak MOA liat TXT menang award</t>
  </si>
  <si>
    <t>taehyun liat argentina juara kayak moa liat txt menang award</t>
  </si>
  <si>
    <t>['taehyun', 'lihat', 'argentina', 'juara', 'seperti', 'moa', 'lihat', 'txt', 'menang', 'award']</t>
  </si>
  <si>
    <t>@makmummasjid Hari pertama argentina juara piala dunia udah bosen sama yg santen-santen</t>
  </si>
  <si>
    <t>hari pertama argentina juara piala dunia udah bosen sama santen santen</t>
  </si>
  <si>
    <t>['hari', 'pertama', 'argentina', 'juara', 'piala', 'dunia', 'udah', 'bosen', 'sama', 'santen', 'santen']</t>
  </si>
  <si>
    <t>Final PD 2014, Argentina kalah tipis 0-1 vs Jerman. Gol semata wayang dicetak oleh Mario Gotze di menit 113', Jerman Juara. PD 2018 Argentina kalah vs Prancis di babak 16 besar dgn skor 4-3, Prancis Juara ‚û°Ô∏è</t>
  </si>
  <si>
    <t>final argentina kalah tipis jerman gol semata wayang dicetak oleh mario gotze menit jerman juara argentina kalah prancis babak besar dgn skor prancis juara</t>
  </si>
  <si>
    <t>['final', 'argentina', 'kalah', 'tipis', 'jerman', 'gol', 'semata', 'wayang', 'dicetak', 'mario', 'gotze', 'menit', 'jerman', 'juara', 'argentina', 'kalah', 'prancis', 'babak', 'besar', 'skor', 'prancis', 'juara']</t>
  </si>
  <si>
    <t>@PertaAsm Yeay, Argentina jadi juara üëèüèªü§©ü§©ü§©Hahahaha</t>
  </si>
  <si>
    <t>yeay argentina jadi juara hahahaha</t>
  </si>
  <si>
    <t>['yeay', 'argentina', 'jadi', 'juara', 'hahahaha']</t>
  </si>
  <si>
    <t>@PolJokesID Di era beliaulah argentina bisa juara dunia, respect üôè</t>
  </si>
  <si>
    <t>era beliaulah argentina bisa juara dunia respect</t>
  </si>
  <si>
    <t>['era', 'beliaulah', 'argentina', 'juara', 'dunia', 'respect']</t>
  </si>
  <si>
    <t>Full senyum argentina juaraüíôü•∂</t>
  </si>
  <si>
    <t>full senyum argentina juara</t>
  </si>
  <si>
    <t>['full', 'senyum', 'argentina', 'juara']</t>
  </si>
  <si>
    <t>@radenrauf Walau Senin tetep happy sekolah libur Argentina juara,full senyum</t>
  </si>
  <si>
    <t>walau senin tetep happy sekolah libur argentina juara full senyum</t>
  </si>
  <si>
    <t>['senin', 'tetep', 'happy', 'sekolah', 'libur', 'argentina', 'juara', 'full', 'senyum']</t>
  </si>
  <si>
    <t>‚Ä¢ Elden Ring GOTY  ‚Ä¢ Argentina juara   Sungguh tahun yg menghasilkan banyak uang bagi saya :))</t>
  </si>
  <si>
    <t>elden ring goty argentina juara sungguh tahun menghasilkan banyak uang bagi saya</t>
  </si>
  <si>
    <t>['elden', 'ring', 'goty', 'argentina', 'juara', 'sungguh', 'tahun', 'menghasilkan', 'banyak', 'uang']</t>
  </si>
  <si>
    <t>VIDEO: Bawa Argentina Juara Piala Dunia 2022 Qatar, Messi Dapat Jubah Spesial  https://t.co/wOWy5WmHV2</t>
  </si>
  <si>
    <t>video bawa argentina juara piala dunia qatar messi dapat jubah spesial</t>
  </si>
  <si>
    <t>['video', 'bawa', 'argentina', 'juara', 'piala', 'dunia', 'qatar', 'messi', 'jubah', 'spesial']</t>
  </si>
  <si>
    <t>Boy, beberapa tahun kedepan Papa akan ceritakan apa itu kesetiaan? Papa, dari tahun 2010 dukung Timnas Argentina di PD (Piala Dunia), edisi PD 2010 Argentina bapuk, kalah telak dari Jerman 0-4 di babak 16 besar, Spanyol Juara ‚û°Ô∏è</t>
  </si>
  <si>
    <t>boy beberapa tahun kedepan papa akan ceritakan apa itu kesetiaan papa dari tahun dukung timnas argentina piala dunia edisi argentina bapuk kalah telak dari jerman babak besar spanyol juara</t>
  </si>
  <si>
    <t>['boy', 'beberapa', 'tahun', 'kedepan', 'papa', 'ceritakan', 'apa', 'kesetiaan', 'papa', 'tahun', 'dukung', 'timnas', 'argentina', 'piala', 'dunia', 'edisi', 'argentina', 'bapuk', 'kalah', 'telak', 'jerman', 'babak', 'besar', 'spanyol', 'juara']</t>
  </si>
  <si>
    <t>Daftar Lengkap Juara Piala Dunia dari Masa ke Masa: Terbaru Argentina, Brasil Masih yang Terbanyak   https://t.co/e8FNRELaPu</t>
  </si>
  <si>
    <t>daftar lengkap juara piala dunia dari masa masa terbaru argentina brasil masih yang terbanyak</t>
  </si>
  <si>
    <t>['daftar', 'lengkap', 'juara', 'piala', 'dunia', 'masa', 'masa', 'terbaru', 'argentina', 'brasil', 'terbanyak']</t>
  </si>
  <si>
    <t>Emi bikin perubahan cukup signifikan untuk Argentina, Juara Copa America, Juara Pildun. Menunjukkan betapa pentingnya posisi penjaga gawang.  Kalo di Indonesia susah, pikirannya masih mentok di 'yang paling gendut jadi kiper'</t>
  </si>
  <si>
    <t>emi bikin perubahan cukup signifikan untuk argentina juara copa america juara pildun menunjukkan betapa pentingnya posisi penjaga gawang kalo indonesia susah pikirannya masih mentok yang paling gendut jadi kiper</t>
  </si>
  <si>
    <t>['emi', 'perubahan', 'cukup', 'signifikan', 'argentina', 'juara', 'copa', 'america', 'juara', 'piala dunia', 'menunjukkan', 'betapa', 'pentingnya', 'posisi', 'penjaga', 'gawang', 'indonesia', 'susah', 'pikirannya', 'mentok', 'paling', 'gendut', 'jadi', 'kiper']</t>
  </si>
  <si>
    <t>@idextratime Pernyataan Mbappe bener kok, buktinya squad juara dunia Argentina saat ini isinya kebanyakan pemain yg main di liga Eropa</t>
  </si>
  <si>
    <t>pernyataan mbappe bener kok buktinya squad juara dunia argentina saat ini isinya kebanyakan pemain main liga eropa</t>
  </si>
  <si>
    <t>['pernyataan', 'mbappe', 'benar', 'kok', 'buktinya', 'squad', 'juara', 'dunia', 'argentina', 'isinya', 'kebanyakan', 'pemain', 'main', 'liga', 'eropa']</t>
  </si>
  <si>
    <t>@idextratime maunya jg kalau gada penonton protes fifa mau lgsg kasih juara ke argentina tp kurang elok buat fans dan penonton, dan argentina gengsi jg kalau dikasih ky gt</t>
  </si>
  <si>
    <t>maunya kalau gada penonton protes fifa mau lgsg kasih juara argentina kurang elok buat fans dan penonton dan argentina gengsi kalau dikasih</t>
  </si>
  <si>
    <t>['maunya', 'kalau', 'gada', 'penonton', 'protes', 'fifa', 'mau', 'lgsg', 'kasih', 'juara', 'argentina', 'kurang', 'elok', 'buat', 'fans', 'penonton', 'argentina', 'gengsi', 'kalau', 'dikasih']</t>
  </si>
  <si>
    <t>4 Pesepakbola yang Cemburu Usai Lionel Messi Juara Piala Dunia 2022 Bersama Argentina, No 3 Familiar   https://t.co/3ag7KBreep</t>
  </si>
  <si>
    <t>pesepakbola yang cemburu usai lionel messi juara piala dunia bersama argentina familiar</t>
  </si>
  <si>
    <t>['pesepakbola', 'cemburu', 'usai', 'lionel', 'messi', 'juara', 'piala', 'dunia', 'bersama', 'argentina', 'familiar']</t>
  </si>
  <si>
    <t>Tasyakuran argentina juara dunia üôè  https://t.co/fsVSmaZrIY</t>
  </si>
  <si>
    <t>tasyakuran argentina juara dunia</t>
  </si>
  <si>
    <t>['tasyakuran', 'argentina', 'juara', 'dunia']</t>
  </si>
  <si>
    <t>@Blaklaiv @ArifWahyudi58 @utdfocusid udah itu aja? wkwkwk manggil baggot gabawa martinez juga masih juara argentina</t>
  </si>
  <si>
    <t>udah itu aja wkwkwk manggil baggot gabawa martinez juga masih juara argentina</t>
  </si>
  <si>
    <t>['udah', 'wkwkwk', 'manggil', 'baggot', 'gabawa', 'martinez', 'juara', 'argentina']</t>
  </si>
  <si>
    <t>hari ini full senyum karena argentina juara piala dunia ‚ò∫Ô∏è‚òùüèª</t>
  </si>
  <si>
    <t>hari ini full senyum karena argentina juara piala dunia</t>
  </si>
  <si>
    <t>['hari', 'full', 'senyum', 'argentina', 'juara', 'piala', 'dunia']</t>
  </si>
  <si>
    <t>@OnlyOnesia @idextratime Meskipun banyak omong, tetep kok yg juara argentina  Wkwk jadinya ya omong kosong doang</t>
  </si>
  <si>
    <t>meskipun banyak omong tetep kok juara argentina wkwk jadinya omong kosong doang</t>
  </si>
  <si>
    <t>['meskipun', 'banyak', 'omong', 'tetep', 'kok', 'juara', 'argentina', 'jadinya', 'omong', 'kosong', 'doang']</t>
  </si>
  <si>
    <t>@TheMan16808645 @idextratime Argentina dan messi itu udah takdir juara, biasanya yg jadi tulang punggung banyak orang, segalanya dimudahkan, ga ngerasa bintang sendirian, tapi bintang yg nerangin semangat ke yg lain</t>
  </si>
  <si>
    <t>argentina dan messi itu udah takdir juara biasanya jadi tulang punggung banyak orang segalanya dimudahkan ngerasa bintang sendirian tapi bintang nerangin semangat lain</t>
  </si>
  <si>
    <t>['argentina', 'messi', 'udah', 'takdir', 'juara', 'biasanya', 'jadi', 'tulang', 'punggung', 'banyak', 'orang', 'segalanya', 'dimudahkan', 'ngerasa', 'bintang', 'sendirian', 'bintang', 'nerangin', 'semangat']</t>
  </si>
  <si>
    <t>Argentina Juara Piala Dunia 2022  Foto: Sentani, Jayapura, Papua - Asrama Yonif RK 751/VJS, 01 Juli 2010 (2 hari sebelum Argentina kalah 0-4 vs Jerman) ‚û°Ô∏è  https://t.co/DvGkGdrgJC</t>
  </si>
  <si>
    <t>argentina juara piala dunia foto sentani jayapura papua asrama yonif vjs juli hari sebelum argentina kalah jerman</t>
  </si>
  <si>
    <t>['argentina', 'juara', 'piala', 'dunia', 'foto', 'sentani', 'jayapura', 'papua', 'asrama', 'yonif', 'vjs', 'juli', 'hari', 'argentina', 'kalah', 'jerman']</t>
  </si>
  <si>
    <t>Argentina Juara Piala Dunia 2022, Emi Martinez: Kami Harus Menderita Dulu  https://t.co/PFbLApO8yU</t>
  </si>
  <si>
    <t>argentina juara piala dunia emi martinez kami harus menderita dulu</t>
  </si>
  <si>
    <t>['argentina', 'juara', 'piala', 'dunia', 'emi', 'martinez', 'menderita', 'dulu']</t>
  </si>
  <si>
    <t>Argentina hingga berhasil membawa gelar juara di Pesta Sepak Bola Dunia 2022! Vamos Argentina!  #JNE #ConnectingHappiness #JNE32Tahun #JNEBangkitBersama #PestaBola #PestaSepakBola #SepakBolaDunia  https://t.co/Cwakg2i8Ie</t>
  </si>
  <si>
    <t>argentina hingga berhasil membawa gelar juara pesta sepak bola dunia vamos argentina</t>
  </si>
  <si>
    <t>['argentina', 'hingga', 'berhasil', 'membawa', 'gelar', 'juara', 'pesta', 'sepak', 'bola', 'dunia', 'vamos', 'argentina']</t>
  </si>
  <si>
    <t>#FOTO Argentina berhasil merebut trofi juara Piala Dunia 2022. Argentina mengalahkan Prancis di final melalui adu penalti 3-2, usai bermain seri 3-3 di extra time.  Foto: Getty Images  #juaraboladunia #Qatar2022 #Argentina #Prancis  https://t.co/oTZvlMimBW</t>
  </si>
  <si>
    <t>argentina berhasil merebut trofi juara piala dunia argentina mengalahkan prancis final melalui adu penalti usai bermain seri extra time foto getty images</t>
  </si>
  <si>
    <t>['argentina', 'berhasil', 'merebut', 'trofi', 'juara', 'piala', 'dunia', 'argentina', 'mengalahkan', 'prancis', 'final', 'melalui', 'adu', 'penalti', 'usai', 'bermain', 'seri', 'extra', 'time', 'foto', 'getty', 'images']</t>
  </si>
  <si>
    <t>#FOTO Argentina berhasil merebut trofi juara Piala Dunia 2022. Argentina mengalahkan Prancis di final melalui adu penalti 3-2, usai bermain seri 3-3 di extra time.  Foto: Getty Images  #juaraboladunia #Qatar2022 #Argentina #Prancis  https://t.co/gNzRqkh1Gu</t>
  </si>
  <si>
    <t>Argentina Dibantai Arab Saudi, Tapi Juara Piala Dunia 2022 Qatar  https://t.co/g8OPfUkzvJ</t>
  </si>
  <si>
    <t>argentina dibantai arab saudi tapi juara piala dunia qatar</t>
  </si>
  <si>
    <t>['argentina', 'dibantai', 'arab', 'saudi', 'juara', 'piala', 'dunia', 'qatar']</t>
  </si>
  <si>
    <t>@idextratime Kann yang punya psg boss mbappeüôèüèª</t>
  </si>
  <si>
    <t>kann yang punya psg boss mbappe</t>
  </si>
  <si>
    <t>['kann', 'punya', 'psg', 'boss', 'mbappe']</t>
  </si>
  <si>
    <t>Berapa Hadiah Argentina Usai Juara Piala Dunia 2022? ‚Äì CNN Indonesia ‚Äì Google Berita Olahraga ‚Äì  https://t.co/gBbAjq7Ta2 ‚Äì #Arenanews #Kamidi¬†#Opsiminfo  https://t.co/4H4eh0QYDD</t>
  </si>
  <si>
    <t>Semalem gimana guys puas kah argentina juara  Free doodstream Selebgram cantik!  üëâ https://t.co/RnxeW1gbXr  üëâ https://t.co/I5zmi0s8XL  üëâ https://t.co/dRyNmitAGB  #FIFAWorldCup #ArgentinaVsFrance #MessiìÉµ #Mbappe #LionelMessiìÉµ  https://t.co/cqQGHiMXCJ</t>
  </si>
  <si>
    <t>semalem gimana guys puas kah argentina juara free doodstream selebgram cantik</t>
  </si>
  <si>
    <t>['semalam', 'gimana', 'guys', 'puas', 'argentina', 'juara', 'free', 'doodstream', 'selebgram', 'cantik']</t>
  </si>
  <si>
    <t>Bawa Argentina Juara Piala Dunia 2022, Messi Kembali Pecahkan Rekor Dunia  https://t.co/JRxoxQ4E1a  https://t.co/iSR6I3eZvW</t>
  </si>
  <si>
    <t>bawa argentina juara piala dunia messi kembali pecahkan rekor dunia</t>
  </si>
  <si>
    <t>['bawa', 'argentina', 'juara', 'piala', 'dunia', 'messi', 'pecahkan', 'rekor', 'dunia']</t>
  </si>
  <si>
    <t>Argentina Juara Piala Dunia 2022 Usai Kalahkan Prancis 4-2  https://t.co/NLHUBBhW79</t>
  </si>
  <si>
    <t>argentina juara piala dunia usai kalahkan prancis</t>
  </si>
  <si>
    <t>['argentina', 'juara', 'piala', 'dunia', 'usai', 'kalahkan', 'prancis']</t>
  </si>
  <si>
    <t>mnta plg cpt krna argentina juara wkwkwk</t>
  </si>
  <si>
    <t>['mnta', 'plg', 'cpt', 'krna', 'argentina', 'juara', 'wkwkwk']</t>
  </si>
  <si>
    <t>Momen Penuh Haru,  Messi Dipeluk Ibunya usai Antarkan Argentina Juara Piala Dunia 2022.  https://t.co/GQ4LrmbCCa</t>
  </si>
  <si>
    <t>momen penuh haru messi dipeluk ibunya usai antarkan argentina juara piala dunia</t>
  </si>
  <si>
    <t>['momen', 'penuh', 'haru', 'messi', 'dipeluk', 'ibunya', 'usai', 'antarkan', 'argentina', 'juara', 'piala', 'dunia']</t>
  </si>
  <si>
    <t>@PSSI Min kalau pengen juara AFF minta bantuan Eva Elfie, siapa tahu nasibnya kayak Tundra dan Argentina.</t>
  </si>
  <si>
    <t>min kalau pengen juara aff minta bantuan eva elfie siapa tahu nasibnya kayak tundra dan argentina</t>
  </si>
  <si>
    <t>['min', 'kalau', 'pengen', 'juara', 'aff', 'minta', 'bantuan', 'eva', 'elfie', 'siapa', 'tahu', 'nasibnya', 'seperti', 'tundra', 'argentina']</t>
  </si>
  <si>
    <t>@idextratime Udah di rencanain Argentina juara sama FIFA</t>
  </si>
  <si>
    <t>udah rencanain argentina juara sama fifa</t>
  </si>
  <si>
    <t>['udah', 'rencanain', 'argentina', 'juara', 'sama', 'fifa']</t>
  </si>
  <si>
    <t>Argentina juara Piala Dunia 2022 usai membungkam Prancis lewat drama adu penalti. Usai kemenangan itu, timnas Argentina diarak di atas bus.  #juaraboladunia #Qatar2022 #Argentina  https://t.co/iqkUtZFVu1</t>
  </si>
  <si>
    <t>argentina juara piala dunia usai membungkam prancis lewat drama adu penalti usai kemenangan itu timnas argentina diarak atas bus</t>
  </si>
  <si>
    <t>['argentina', 'juara', 'piala', 'dunia', 'usai', 'membungkam', 'prancis', 'lewat', 'drama', 'adu', 'penalti', 'usai', 'kemenangan', 'timnas', 'argentina', 'diarak', 'atas', 'bus']</t>
  </si>
  <si>
    <t>Exequiel Alejandro Palacios, si bocah kebanggaan Tucum√°n yang menjadi juara dunia.  Exequiel bermain tiga kali turun dari bangku cadangan dan bermain selama 47 menit bagi Argentina sepanjang Piala Dunia 2022.  Congratulations, Exe!  https://t.co/3Vwuc9pkfi</t>
  </si>
  <si>
    <t>exequiel alejandro palacios bocah kebanggaan tucum yang menjadi juara dunia exequiel bermain tiga kali turun dari bangku cadangan dan bermain selama menit bagi argentina sepanjang piala dunia congratulations exe</t>
  </si>
  <si>
    <t>['exequiel', 'alejandro', 'palacios', 'bocah', 'kebanggaan', 'tucum', 'menjadi', 'juara', 'dunia', 'exequiel', 'bermain', 'tiga', 'kali', 'turun', 'bangku', 'cadangan', 'bermain', 'selama', 'menit', 'argentina', 'sepanjang', 'piala', 'dunia', 'congratulations', 'exe']</t>
  </si>
  <si>
    <t>Yang Juara : Argentina Runner-up : France Yang dibully : Ronaldo and Fans Yang Trending : Aguero</t>
  </si>
  <si>
    <t>yang juara argentina runner france yang dibully ronaldo and fans yang trending aguero</t>
  </si>
  <si>
    <t>['juara', 'argentina', 'runner', 'france', 'dibully', 'ronaldo', 'and', 'fans', 'trending', 'aguero']</t>
  </si>
  <si>
    <t>Ga ada yg ngeh juga. Wasit jg pasti ga ngeh. Makanya saya yakini, semesta sudah sangat mendukung Argentina juara  https://t.co/uc2WYhWEtz</t>
  </si>
  <si>
    <t>ada ngeh juga wasit pasti ngeh makanya saya yakini semesta sudah sangat mendukung argentina juara</t>
  </si>
  <si>
    <t>['ngeh', 'wasit', 'ngeh', 'makanya', 'yakini', 'semesta', 'sangat', 'mendukung', 'argentina', 'juara']</t>
  </si>
  <si>
    <t>Lionel Messi Bikin Mbappe Kicep, Buktikan Sepak Bola Amerika Selatan Maju &amp;amp; Juara PiaLA Dunia 2022 #Messi #LionelMessiìÉµ #Mbappe #PialaDunia2022 #PialaDuniaQatar2022 #Argentina  https://t.co/wJRCRq4wfe</t>
  </si>
  <si>
    <t>lionel messi bikin mbappe kicep buktikan sepak bola amerika selatan maju juara piala dunia</t>
  </si>
  <si>
    <t>['lionel', 'messi', 'mbappe', 'kicep', 'buktikan', 'sepak', 'bola', 'amerika', 'selatan', 'maju', 'juara', 'piala', 'dunia']</t>
  </si>
  <si>
    <t>Piala Dunia Qatar: Scaloni impikan Maradona bersama Argentina nikmati kejayaan juara dunia | Stadium Astro  https://t.co/0LnlOOwIz2</t>
  </si>
  <si>
    <t>piala dunia qatar scaloni impikan maradona bersama argentina nikmati kejayaan juara dunia stadium astro</t>
  </si>
  <si>
    <t>['piala', 'dunia', 'qatar', 'scaloni', 'impikan', 'maradona', 'bersama', 'argentina', 'nikmati', 'kejayaan', 'juara', 'dunia', 'stadium', 'astro']</t>
  </si>
  <si>
    <t>Argentina juara piala dunia sepakbola 2022 di Qatar</t>
  </si>
  <si>
    <t>argentina juara piala dunia sepakbola qatar</t>
  </si>
  <si>
    <t>['argentina', 'juara', 'piala', 'dunia', 'sepakbola', 'qatar']</t>
  </si>
  <si>
    <t>Birunya Bendera Argentina mendekati birunya PAN ya Pak ? PANtas Juara ü§£ü§£ü§£</t>
  </si>
  <si>
    <t>birunya bendera argentina mendekati birunya pan pak pantas juara</t>
  </si>
  <si>
    <t>['birunya', 'bendera', 'argentina', 'mendekati', 'birunya', 'pan', 'pak', 'pantas', 'juara']</t>
  </si>
  <si>
    <t>@PolJokesID Lu liat Argentina juara , itu berkat didikan dan support gue ~ iwan foreign people.</t>
  </si>
  <si>
    <t>liat argentina juara itu berkat didikan dan support gue iwan foreign people</t>
  </si>
  <si>
    <t>['lihat', 'argentina', 'juara', 'berkat', 'didikan', 'support', 'gue', 'iwan', 'foreign', 'people']</t>
  </si>
  <si>
    <t>@Lwayzyoung @idextratime gua uda bilang smalem, klo sampek argentina juara pasti ronaldo kena senggol meskipun gak main di final smalem</t>
  </si>
  <si>
    <t>gua uda bilang smalem klo sampek argentina juara pasti ronaldo kena senggol meskipun gak main final smalem</t>
  </si>
  <si>
    <t>['gua', 'uda', 'smalem', 'sampek', 'argentina', 'juara', 'ronaldo', 'kena', 'senggol', 'meskipun', 'main', 'final', 'smalem']</t>
  </si>
  <si>
    <t>@idextratime Tapi, FIFA kan memang sudah menskenariokan Argentina yg juara, biar anak kesayangan mereka angkat piala.</t>
  </si>
  <si>
    <t>tapi fifa kan memang sudah menskenariokan argentina juara biar anak kesayangan mereka angkat piala</t>
  </si>
  <si>
    <t>['fifa', 'kan', 'memang', 'menskenariokan', 'argentina', 'juara', 'anak', 'kesayangan', 'angkat', 'piala']</t>
  </si>
  <si>
    <t>Coach Justin timberlake mano yaaa suaranya, Argentina juara nih Messi ngangkat piala, seneng bed gua Messi ngangkat piala dunia!!</t>
  </si>
  <si>
    <t>coach justin timberlake mano yaaa suaranya argentina juara nih messi ngangkat piala seneng bed gua messi ngangkat piala dunia</t>
  </si>
  <si>
    <t>['coach', 'justin', 'timberlake', 'mano', 'yaaa', 'suaranya', 'argentina', 'juara', 'messi', 'ngangkat', 'piala', 'seneng', 'bed', 'gua', 'messi', 'ngangkat', 'piala', 'dunia']</t>
  </si>
  <si>
    <t>Messi Bawa Argentina Juara, Peso Bisa "Bangkit Dari Kubur"?  https://t.co/7KwnMrQZ1N</t>
  </si>
  <si>
    <t>messi bawa argentina juara peso bisa bangkit dari kubur</t>
  </si>
  <si>
    <t>['messi', 'bawa', 'argentina', 'juara', 'peso', 'bangkit', 'kubur']</t>
  </si>
  <si>
    <t>Gak tau kenapa tadi pagi bangun seger banget, ternyata semalem argentina juara</t>
  </si>
  <si>
    <t>gak tau kenapa tadi pagi bangun seger banget ternyata semalem argentina juara</t>
  </si>
  <si>
    <t>['tadi', 'pagi', 'bangun', 'seger', 'banget', 'ternyata', 'semalam', 'argentina', 'juara']</t>
  </si>
  <si>
    <t>Argentina Juara Piala Dunia 2022   #Argentina #PialaDunia2022live #PialaDunia2022 #Lampungpostid   https://t.co/FERnYtNlcg</t>
  </si>
  <si>
    <t>Menakjubkan! Kota Kelahiran Lionel Messi Jadi Lautan Manusia Usai Argentina Juara Piala Dunia 2022  https://t.co/MhhWXF6Zs9</t>
  </si>
  <si>
    <t>Di Lusail, Messi dan Argentina membuka turnamen dengan menyesakkan. Tapi di Lusail pula Albiceleste menutup dengan juara.  Lakonnya Messi. Dan Tuhan sepertinya tahu kalau sepakbola berhutang pada Messi, 'Maradona' lain Argentina.</t>
  </si>
  <si>
    <t>lusail messi dan argentina membuka turnamen dengan menyesakkan tapi lusail pula albiceleste menutup dengan juara lakonnya messi dan tuhan sepertinya tahu kalau sepakbola berhutang pada messi maradona lain argentina</t>
  </si>
  <si>
    <t>['lusail', 'messi', 'argentina', 'membuka', 'turnamen', 'menyesakkan', 'lusail', 'albiceleste', 'menutup', 'juara', 'lakonnya', 'messi', 'tuhan', 'sepertinya', 'tahu', 'kalau', 'sepakbola', 'berhutang', 'messi', 'maradona', 'argentina']</t>
  </si>
  <si>
    <t>Selamat argentinaaüá¶üá∑  Btw mirip kaya afc futsal kemaren, yang dikalahin arab jadi juaranya, sama sama ngalahin juara bertahan jug lagii  Pesta gak nih fans argentina?ü§£  https://t.co/e3p873q7Rt</t>
  </si>
  <si>
    <t>selamat argentinaa btw mirip kaya afc futsal kemaren yang dikalahin arab jadi juaranya sama sama ngalahin juara bertahan jug lagii pesta gak nih fans argentina</t>
  </si>
  <si>
    <t>['selamat', 'argentinaa', 'by the way', 'mirip', 'kaya', 'afc', 'futsal', 'kemarin', 'dikalahin', 'arab', 'jadi', 'juaranya', 'sama', 'sama', 'ngalahin', 'juara', 'bertahan', 'jug', 'lagii', 'pesta', 'fans', 'argentina']</t>
  </si>
  <si>
    <t>Nonton dari Server Korea, ternyata lebih cepet dan gak ngelag.  Keren lah Argentina mainnya semalem, pertahanannya, kerja tim nya, taktik, sampe nyerang nya üëèLayak Juaraüá¶üá∑üèÜüéâüéâ  https://t.co/Eb9zfCNrqX</t>
  </si>
  <si>
    <t>nonton dari server korea ternyata lebih cepet dan gak ngelag keren lah argentina mainnya semalem pertahanannya kerja tim nya taktik sampe nyerang nya layak juara</t>
  </si>
  <si>
    <t>['nonton', 'server', 'korea', 'ternyata', 'lebih', 'cepet', 'ngelag', 'keren', 'lah', 'argentina', 'mainnya', 'semalam', 'pertahanannya', 'kerja', 'tim', 'taktik', 'sampai', 'nyerang', 'layak', 'juara']</t>
  </si>
  <si>
    <t>Argentina berhasil merebut trofi juara Piala Dunia 2022. Argentina mengalahkan Prancis di final melalui adu penalti 4-2, usai bermain seri 3-3 sampai extra time.  Selamat Argentina üá≥üáÆ  #ArgentinaVsFrance #FIFAWorldCup #indihome  https://t.co/yYWRZgMr7T</t>
  </si>
  <si>
    <t>argentina berhasil merebut trofi juara piala dunia argentina mengalahkan prancis final melalui adu penalti usai bermain seri sampai extra time selamat argentina</t>
  </si>
  <si>
    <t>['argentina', 'berhasil', 'merebut', 'trofi', 'juara', 'piala', 'dunia', 'argentina', 'mengalahkan', 'prancis', 'final', 'melalui', 'adu', 'penalti', 'usai', 'bermain', 'seri', 'extra', 'time', 'selamat', 'argentina']</t>
  </si>
  <si>
    <t>Dramatis, tangis haru Lionel Messi bawa Argentina juara Piala Dunia Qatar 2022  https://t.co/KqOfnS7sPu</t>
  </si>
  <si>
    <t>dramatis tangis haru lionel messi bawa argentina juara piala dunia qatar</t>
  </si>
  <si>
    <t>['dramatis', 'tangis', 'haru', 'lionel', 'messi', 'bawa', 'argentina', 'juara', 'piala', 'dunia', 'qatar']</t>
  </si>
  <si>
    <t>Tiga Faktor Penentu Argentina ke Podium Juara dan Messi Sah Jadi GOAT  https://t.co/WsActe92Y7</t>
  </si>
  <si>
    <t>Messi Paripurna Bawa Argentina Juara Piala Dunia 2022 yang Ketiga Kalinya  https://t.co/sMsqZ5mLL7</t>
  </si>
  <si>
    <t>yang juara argentina, yang di ucapin selamet malau.</t>
  </si>
  <si>
    <t>yang juara argentina yang ucapin selamet malau</t>
  </si>
  <si>
    <t>['juara', 'argentina', 'ucapin', 'selamet', 'malau']</t>
  </si>
  <si>
    <t>Argentina juara, hikaru juara, billie ultah, WHAT A FREAKINN DAYYY</t>
  </si>
  <si>
    <t>argentina juara hikaru juara billie ultah what freakinn dayyy</t>
  </si>
  <si>
    <t>['argentina', 'juara', 'hikaru', 'juara', 'billie', 'ultah', 'what', 'freakinn', 'dayyy']</t>
  </si>
  <si>
    <t>John Terry Olok-olok Sergio Aguero Ikut Gabung Perayaan Argentina Juara Piala Dunia 2022  https://t.co/QLMHKGMi14</t>
  </si>
  <si>
    <t>john terry olok olok sergio aguero ikut gabung perayaan argentina juara piala dunia</t>
  </si>
  <si>
    <t>['john', 'terry', 'olok', 'olok', 'sergio', 'aguero', 'ikut', 'gabung', 'perayaan', 'argentina', 'juara', 'piala', 'dunia']</t>
  </si>
  <si>
    <t>Dr dulu gk pernah ngedukung argentina. Tapi kali ini jd dukung argentina krn messi dan akhirnya juara jg.</t>
  </si>
  <si>
    <t>dulu pernah ngedukung argentina tapi kali ini dukung argentina krn messi dan akhirnya juara</t>
  </si>
  <si>
    <t>['dulu', 'pernah', 'ngedukung', 'argentina', 'kali', 'dukung', 'argentina', 'messi', 'akhirnya', 'juara']</t>
  </si>
  <si>
    <t>Tanpa Keringat, Dua Pemain Ini Jadi Juara Piala Dunia 2022 bersama Argentina  https://t.co/9TEGKMEZwB</t>
  </si>
  <si>
    <t>tanpa keringat dua pemain ini jadi juara piala dunia bersama argentina</t>
  </si>
  <si>
    <t>['keringat', 'pemain', 'jadi', 'juara', 'piala', 'dunia', 'bersama', 'argentina']</t>
  </si>
  <si>
    <t>@Bbuku_Official @CoachJustinL Alah bacot. Argentina emang juara ya sudah. Hasilnya kan disaksikan dunia.</t>
  </si>
  <si>
    <t>official alah bacot argentina emang juara sudah hasilnya kan disaksikan dunia</t>
  </si>
  <si>
    <t>['official', 'alah', 'bacot', 'argentina', 'emang', 'juara', 'hasilnya', 'kan', 'disaksikan', 'dunia']</t>
  </si>
  <si>
    <t>Antar Argentina Juara Piala Dunia 2022, Paulo Dybala Akhiri Bayangan Buruk Adu Penalti  https://t.co/3qw8WAgW4c</t>
  </si>
  <si>
    <t>antar argentina juara piala dunia paulo dybala akhiri bayangan buruk adu penalti</t>
  </si>
  <si>
    <t>['antar', 'argentina', 'juara', 'piala', 'dunia', 'paulo', 'dybala', 'akhiri', 'bayangan', 'buruk', 'adu', 'penalti']</t>
  </si>
  <si>
    <t>@udilsurmemek @kepinteraan @idextratime goblok, yg bikin argentina gagal juara tuh higuain bukan aguero bloon. tolol</t>
  </si>
  <si>
    <t>goblok bikin argentina gagal juara tuh higuain bukan aguero bloon tolol</t>
  </si>
  <si>
    <t>['goblok', 'argentina', 'gagal', 'juara', 'higuain', 'bukan', 'aguero', 'bloon', 'tolol']</t>
  </si>
  <si>
    <t xml:space="preserve">@atillarisky @eyen_sini @Irwnynto @ngyojiw @hrvione @idextratime Barisan sakit hati ga bakal bisa terima Messi dan Argentina juara. Wasit sdh menunjukan di pertandingan tsb bahwa tdk ada konspirasi di laga tadi malam dgn 2 hadiah penalti ke Prancis. Tapi </t>
  </si>
  <si>
    <t>sini barisan sakit hati bakal bisa terima messi dan argentina juara wasit sdh menunjukan pertandingan tsb bahwa tdk ada konspirasi laga tadi malam dgn hadiah penalti prancis tapi</t>
  </si>
  <si>
    <t>['sini', 'barisan', 'sakit', 'hati', 'bakal', 'terima', 'messi', 'argentina', 'juara', 'wasit', 'menunjukan', 'pertandingan', 'tsb', 'konspirasi', 'laga', 'tadi', 'malam', 'hadiah', 'penalti', 'prancis']</t>
  </si>
  <si>
    <t>Hahahahiks jelekna point FWC terakhir ü•π tapi untung Argentina juara ü§≠  Back to FPL yang lebih jelas sistemnya wkwk  https://t.co/TGghNLoQjv</t>
  </si>
  <si>
    <t>hahahahiks jelekna point fwc terakhir tapi untung argentina juara back fpl yang lebih jelas sistemnya wkwk</t>
  </si>
  <si>
    <t>['hahahahiks', 'jelekna', 'point', 'fwc', 'terakhir', 'untung', 'argentina', 'juara', 'back', 'fpl', 'lebih', 'jelas', 'sistemnya']</t>
  </si>
  <si>
    <t>Mamang Bangga Padamu!  ARGENTINA JUARA  #kalemaya_aa #kalem_aya_aa  https://t.co/ale4TCVXCt</t>
  </si>
  <si>
    <t>mamang bangga padamu argentina juara aya</t>
  </si>
  <si>
    <t>['mamang', 'bangga', 'padamu', 'argentina', 'juara', 'aya']</t>
  </si>
  <si>
    <t>Argentina juara, Prancis runner up dengan mbappe hattrick + 1 adu penalti, kroasia hepi biarpun (cuma) juara 3, maroko lagi didoain ibunya dan indonesia? masih belom kelar diusut itu tragedi kanjuruhan, serta banyak PR lain yang beloman dikerjain.</t>
  </si>
  <si>
    <t>argentina juara prancis runner dengan mbappe hattrick adu penalti kroasia hepi biarpun cuma juara maroko lagi didoain ibunya dan indonesia masih belom kelar diusut itu tragedi kanjuruhan serta banyak lain yang beloman dikerjain</t>
  </si>
  <si>
    <t>['argentina', 'juara', 'prancis', 'runner', 'mbappe', 'hattrick', 'adu', 'penalti', 'kroasia', 'hepi', 'biarpun', 'cuma', 'juara', 'maroko', 'didoain', 'ibunya', 'indonesia', 'belom', 'kelar', 'diusut', 'tragedi', 'kanjuruhan', 'banyak', 'beloman', 'dikerjain']</t>
  </si>
  <si>
    <t>Argentina yang juara, aku yang di bully.</t>
  </si>
  <si>
    <t>argentina yang juara aku yang bully</t>
  </si>
  <si>
    <t>['argentina', 'juara', 'aku', 'bully']</t>
  </si>
  <si>
    <t>@ikydp Jangan lupa dicuci men argentina udah juara</t>
  </si>
  <si>
    <t>jangan lupa dicuci men argentina udah juara</t>
  </si>
  <si>
    <t>['jangan', 'lupa', 'dicuci', 'men', 'argentina', 'udah', 'juara']</t>
  </si>
  <si>
    <t>Argentina Juara Piala Dunia 2022, Presiden Selfie Depan TV  https://t.co/PnIx6qoNZn</t>
  </si>
  <si>
    <t>argentina juara piala dunia presiden selfie depan</t>
  </si>
  <si>
    <t>['argentina', 'juara', 'piala', 'dunia', 'presiden', 'selfie', 'depan']</t>
  </si>
  <si>
    <t>Lebih baik liat Argentina Juara,daripada liat kamu Jalan bareng diaa.</t>
  </si>
  <si>
    <t>lebih baik liat argentina juara daripada liat kamu jalan bareng diaa</t>
  </si>
  <si>
    <t>['lebih', 'baik', 'lihat', 'argentina', 'juara', 'lihat', 'kamu', 'jalan', 'bareng', 'diaa']</t>
  </si>
  <si>
    <t>@ArthurTzyy @h_radite Tapi anda bisa percaya gk klu Kiper Argentina Emiliano Martinez yg sbenarnya mengangkat tim ini di Copa America dan Piala dunia 2022. Klu bukn Martinez Messi gk bakalan juara apapun d timnas. Opini pribadi</t>
  </si>
  <si>
    <t>radite tapi anda bisa percaya klu kiper argentina emiliano martinez sbenarnya mengangkat tim ini copa america dan piala dunia klu bukn martinez messi bakalan juara apapun timnas opini pribadi</t>
  </si>
  <si>
    <t>['radite', 'percaya', 'klu', 'kiper', 'argentina', 'emiliano', 'martinez', 'sbenarnya', 'mengangkat', 'tim', 'copa', 'america', 'piala', 'dunia', 'klu', 'bukn', 'martinez', 'messi', 'bakalan', 'juara', 'apapun', 'timnas', 'opini', 'pribadi']</t>
  </si>
  <si>
    <t>Sukses Argentina menjadi juara Piala Dunia 2022 semakin manis buat Lionel Messi. Sang megabintang turut didapuk sebagai pemain terbaik di turnamen itu. #juaraboladunia    https://t.co/0zrJ2XRgbv</t>
  </si>
  <si>
    <t>@indigoblok @idextratime Intinya yag ganteng yg juara, bandingin coba pemain france sama pemain Argentina hahahaha kalah skill kalah muka kalah smuanya bossüëéüèΩüëéüèΩ</t>
  </si>
  <si>
    <t>intinya yag ganteng juara bandingin coba pemain france sama pemain argentina hahahaha kalah skill kalah muka kalah smuanya boss</t>
  </si>
  <si>
    <t>['intinya', 'yag', 'ganteng', 'juara', 'bandingin', 'coba', 'pemain', 'france', 'sama', 'pemain', 'argentina', 'hahahaha', 'kalah', 'skill', 'kalah', 'muka', 'kalah', 'smuanya', 'boss']</t>
  </si>
  <si>
    <t>Dari settingan awal yg juara argentina wkwk</t>
  </si>
  <si>
    <t>dari settingan awal juara argentina wkwk</t>
  </si>
  <si>
    <t>['settingan', 'awal', 'juara', 'argentina']</t>
  </si>
  <si>
    <t>Argentina juara Piala Dunia 2022 usai membungkam Prancis lewat drama adu penalti. Usai kemenangan itu, timnas Argentina diarak di atas bus.  #juaraboladunia #Qatar2022 #Argentina  https://t.co/R2Ni22CARe</t>
  </si>
  <si>
    <t>Bekas player JDT yang sekarang menjadi penolong Jurulatih Argentina dan telah membantu Argentina Juara Piala dunia 2022 di Qatar‚Ä¶ü´∞  https://t.co/Ey5GuB75BB</t>
  </si>
  <si>
    <t>bekas player jdt yang sekarang menjadi penolong jurulatih argentina dan telah membantu argentina juara piala dunia qatar</t>
  </si>
  <si>
    <t>['bekas', 'player', 'jdt', 'sekarang', 'menjadi', 'penolong', 'jurulatih', 'argentina', 'membantu', 'argentina', 'juara', 'piala', 'dunia', 'qatar']</t>
  </si>
  <si>
    <t>@idextratime Fix ini federasi France akan melaporkan kejadian ini ke FIFA dan berharap gelar juara dunia Argentina di cabut jika tidak federasi akan ke cas</t>
  </si>
  <si>
    <t>fix ini federasi france akan melaporkan kejadian ini fifa dan berharap gelar juara dunia argentina cabut jika tidak federasi akan cas</t>
  </si>
  <si>
    <t>['fix', 'federasi', 'france', 'melaporkan', 'kejadian', 'fifa', 'berharap', 'gelar', 'juara', 'dunia', 'argentina', 'pergi', 'federasi', 'cas']</t>
  </si>
  <si>
    <t>argentina juara bentar lagi messi syuting iklan so nice</t>
  </si>
  <si>
    <t>argentina juara bentar lagi messi syuting iklan nice</t>
  </si>
  <si>
    <t>['argentina', 'juara', 'bentar', 'messi', 'syuting', 'iklan', 'nice']</t>
  </si>
  <si>
    <t>@siregar_najeges Argentina juara aku langsung beli Jerseynya Messi üòÇ  https://t.co/FT4i459Bko</t>
  </si>
  <si>
    <t>najeges argentina juara aku langsung beli jerseynya messi</t>
  </si>
  <si>
    <t>['najeges', 'argentina', 'juara', 'aku', 'langsung', 'beli', 'jerseynya', 'messi']</t>
  </si>
  <si>
    <t>@OnlyOnesia @idextratime Semua bacotan kalian gak akan ngerubah fakta kalo yang juara Argentina</t>
  </si>
  <si>
    <t>semua bacotan kalian gak akan ngerubah fakta kalo yang juara argentina</t>
  </si>
  <si>
    <t>['semua', 'bacotan', 'kalian', 'ngerubah', 'fakta', 'juara', 'argentina']</t>
  </si>
  <si>
    <t>@AzamFatahilla @trastzy @The_RedsIndo Ya klo  FIFA bisa nyetting yang juara dunia Argentina,kenapa gak sekalian nyetting politik aja..kan yg nonton banyak yg pejabat,kaya Td malam ada macron dll..</t>
  </si>
  <si>
    <t>redsindo klo fifa bisa nyetting yang juara dunia argentina kenapa gak sekalian nyetting politik aja kan nonton banyak pejabat kaya malam ada macron dll</t>
  </si>
  <si>
    <t>['redsindo', 'fifa', 'nyetting', 'juara', 'dunia', 'argentina', 'sekalian', 'nyetting', 'politik', 'kan', 'nonton', 'banyak', 'pejabat', 'kaya', 'malam', 'macron']</t>
  </si>
  <si>
    <t>@_Pangareho Tepatnya setelah Anies safari ke daerah2, semesta jadi mendukung Argentina juara. Terima kasih Anies for #PSSI 1</t>
  </si>
  <si>
    <t>tepatnya setelah anies safari daerah semesta jadi mendukung argentina juara terima kasih anies for</t>
  </si>
  <si>
    <t>['tepatnya', 'anies', 'safari', 'daerah', 'semesta', 'jadi', 'mendukung', 'argentina', 'juara', 'terima', 'kasih', 'anies', 'for']</t>
  </si>
  <si>
    <t>Selamat untuk #Argentina yang berhasil menjadi juara dunia ke 3 setelah menang di final melawan Prancis kemarin malam.  #FIFAWorldCup #ArgentinaVsFrance #WorldCupFinal #Messi #CampeonesDelMundo  https://t.co/wWYhBILmyi</t>
  </si>
  <si>
    <t>selamat untuk yang berhasil menjadi juara dunia setelah menang final melawan prancis kemarin malam</t>
  </si>
  <si>
    <t>['selamat', 'berhasil', 'menjadi', 'juara', 'dunia', 'menang', 'final', 'melawan', 'prancis', 'kemarin', 'malam']</t>
  </si>
  <si>
    <t>üòÇ Ya tuhan, gw jadi kasian liatnya. harusnya keluarganya ada yg ngingetin, jgn mau dikompor-komporin, dipanas-panasin orang sekelilingnya.  &amp;gt;&amp;gt;&amp;gt;&amp;gt; Argentina Juara Piala Dunia 2022, Ketum PSSI Angkat Trofi Raksasa  https://t.co/CpxFZ5aknv</t>
  </si>
  <si>
    <t>tuhan jadi kasian liatnya harusnya keluarganya ada ngingetin jgn mau dikompor komporin dipanas panasin orang sekelilingnya argentina juara piala dunia ketum pssi angkat trofi raksasa</t>
  </si>
  <si>
    <t>['tuhan', 'jadi', 'kasian', 'liatnya', 'harusnya', 'keluarganya', 'ngingetin', 'mau', 'dikompor', 'komporin', 'dipanas', 'panasin', 'orang', 'sekelilingnya', 'argentina', 'juara', 'piala', 'dunia', 'ketum', 'pssi', 'angkat', 'trofi', 'raksasa']</t>
  </si>
  <si>
    <t>Juara Piala Dunia 2022, Kiper Argentina Sebut Itu adalah Takdir  https://t.co/NpN1dI4GLr</t>
  </si>
  <si>
    <t>juara piala dunia kiper argentina sebut itu adalah takdir</t>
  </si>
  <si>
    <t>['juara', 'piala', 'dunia', 'kiper', 'argentina', 'sebut', 'takdir']</t>
  </si>
  <si>
    <t>Banyak Fans yg tim dapa kas kalah dari Argentina seng trima Argentina Juara Piala Dunia. Katanya menang Penalti lah, ini lah, itu lah. Hadeh..  Makanya tim yg dong dukung tuh menang boleh biar bisa angkat Piala Dunia, jang cuma jadi tim penghibur selama Piala Dunia saja.. üòÇ</t>
  </si>
  <si>
    <t>banyak fans tim dapa kas kalah dari argentina seng trima argentina juara piala dunia katanya menang penalti lah ini lah itu lah hadeh makanya tim dong dukung tuh menang boleh biar bisa angkat piala dunia jang cuma jadi tim penghibur selama piala dunia saja</t>
  </si>
  <si>
    <t>['banyak', 'fans', 'tim', 'dapa', 'kas', 'kalah', 'argentina', 'seng', 'trima', 'argentina', 'juara', 'piala', 'dunia', 'katanya', 'menang', 'penalti', 'lah', 'lah', 'lah', 'hadeh', 'makanya', 'tim', 'dong', 'dukung', 'menang', 'angkat', 'piala', 'dunia', 'jang', 'cuma', 'jadi', 'tim', 'penghibur', 'selama', 'piala', 'dunia']</t>
  </si>
  <si>
    <t>&lt;FreqDist with 26 samples and 36 outcomes&gt;</t>
  </si>
  <si>
    <t>Gw si ga heran kalau Argentina Juara World Cup. Jelas yg Ada pemain emyu nya itu pasti bisa Juara.</t>
  </si>
  <si>
    <t>heran kalau argentina juara world cup jelas ada pemain emyu nya itu pasti bisa juara</t>
  </si>
  <si>
    <t>['heran', 'kalau', 'argentina', 'juara', 'world', 'cup', 'jelas', 'pemain', 'emyu', 'juara']</t>
  </si>
  <si>
    <t>Argentina Juara Piala Dunia 2022 Setelah Kalahkan Prancis Lewat Adu¬†Penalti  https://t.co/uf0HtzYam7</t>
  </si>
  <si>
    <t>Messi pun gembira setelah bisa membawa Argentina menjadi juara dunia ü§£  https://t.co/JJHhhbczaL</t>
  </si>
  <si>
    <t>messi pun gembira setelah bisa membawa argentina menjadi juara dunia</t>
  </si>
  <si>
    <t>['messi', 'gembira', 'membawa', 'argentina', 'menjadi', 'juara', 'dunia']</t>
  </si>
  <si>
    <t>Walau betting pegang Prancis, tp ikut terharu pas Argentina Juara, selamat tim Tanggo, terkhusus the king Messi üëç</t>
  </si>
  <si>
    <t>walau betting pegang prancis ikut terharu pas argentina juara selamat tim tanggo terkhusus the king messi</t>
  </si>
  <si>
    <t>['betting', 'pegang', 'prancis', 'ikut', 'terharu', 'pas', 'argentina', 'juara', 'selamat', 'tim', 'tanggo', 'terkhusus', 'the', 'king', 'messi']</t>
  </si>
  <si>
    <t>Argentina sukses meraih trofi juara Piala Dunia 2022. Dari luar lapangan, suporter mendukung dengan berbagai ritual, mulai dari pakai CD kebalik hingga tolak ke Qatar.   https://t.co/C0QXxvLdSp</t>
  </si>
  <si>
    <t>argentina sukses meraih trofi juara piala dunia dari luar lapangan suporter mendukung dengan berbagai ritual mulai dari pakai kebalik hingga tolak qatar</t>
  </si>
  <si>
    <t>['argentina', 'sukses', 'meraih', 'trofi', 'juara', 'piala', 'dunia', 'luar', 'lapangan', 'suporter', 'mendukung', 'berbagai', 'ritual', 'mulai', 'pakai', 'kebalik', 'hingga', 'tolak', 'qatar']</t>
  </si>
  <si>
    <t>Ketua P$$i nya Argentina mana nih? Kagak nongol pas angkat piala? Ato minimal sambutan pas abis juara daah. ü§£ü§£ü§£</t>
  </si>
  <si>
    <t>ketua nya argentina mana nih kagak nongol pas angkat piala ato minimal sambutan pas abis juara daah</t>
  </si>
  <si>
    <t>['ketua', 'argentina', 'mana', 'kagak', 'nongol', 'pas', 'angkat', 'piala', 'ato', 'minimal', 'sambutan', 'pas', 'abis', 'juara', 'daah']</t>
  </si>
  <si>
    <t>@PSSI BERISIIIKKK ....ini lagi euforia argentina juara !!!!</t>
  </si>
  <si>
    <t>berisiiikkk ini lagi euforia argentina juara</t>
  </si>
  <si>
    <t>['berisiiikkk', 'euforia', 'argentina', 'juara']</t>
  </si>
  <si>
    <t>penantian Messi adalah penantian gue pengen Argentina juara dunia sejak dulu kala!!!</t>
  </si>
  <si>
    <t>penantian messi adalah penantian gue pengen argentina juara dunia sejak dulu kala</t>
  </si>
  <si>
    <t>['penantian', 'messi', 'penantian', 'gue', 'pengen', 'argentina', 'juara', 'dunia', 'sejak', 'dulu', 'kala']</t>
  </si>
  <si>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</si>
  <si>
    <t>yang seriusnya gini klo dilogikain atau bahkan liat pakai pandangan masing baik messi ataupun ronaldo portugal atau argentina punya peluang buat juara karena mereka sama berjuang dgn caranya masing cuman bedanya dari mentalitas dan lucky itu berpihak argentina sih</t>
  </si>
  <si>
    <t>['seriusnya', 'gini', 'dilogikain', 'bahkan', 'lihat', 'pakai', 'pandangan', 'masing', 'baik', 'messi', 'ataupun', 'ronaldo', 'portugal', 'argentina', 'punya', 'peluang', 'buat', 'juara', 'sama', 'berjuang', 'caranya', 'masing', 'cuman', 'bedanya', 'mentalitas', 'lucky', 'berpihak', 'argentina']</t>
  </si>
  <si>
    <t>@raja24jam nek seng juara lak argentina cuaks</t>
  </si>
  <si>
    <t>nek seng juara lak argentina cuaks</t>
  </si>
  <si>
    <t>['nek', 'seng', 'juara', 'lak', 'argentina', 'cuaks']</t>
  </si>
  <si>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</si>
  <si>
    <t>selamat kepada the winner argentina yang sudah menunggu penantiannya selama tahun saya tidak pensiun dari tim nasional saya ingin terus bermain sebagai juara kata messi dalam sebuah wawancara gaston edul dikutip dari nbc</t>
  </si>
  <si>
    <t>['selamat', 'the', 'winner', 'argentina', 'menunggu', 'penantiannya', 'selama', 'tahun', 'pensiun', 'tim', 'nasional', 'terus', 'bermain', 'juara', 'kata', 'messi', 'sebuah', 'wawancara', 'gaston', 'edul', 'dikutip', 'nbc']</t>
  </si>
  <si>
    <t>Profil Singkat Emi Martinez Kiper Terbaik Piala Dunia 2022 yang Membawa Argentina Juara Piala Dunia 2022  https://t.co/8dfAqxF04P</t>
  </si>
  <si>
    <t>profil singkat emi martinez kiper terbaik piala dunia yang membawa argentina juara piala dunia</t>
  </si>
  <si>
    <t>['profil', 'singkat', 'emi', 'martinez', 'kiper', 'terbaik', 'piala', 'dunia', 'membawa', 'argentina', 'juara', 'piala', 'dunia']</t>
  </si>
  <si>
    <t>Lihat kaosnya...  Berkat pak Jokowi, Argentina juara... ü§£ü§£  https://t.co/inlGMC1dMK</t>
  </si>
  <si>
    <t>lihat kaosnya berkat pak jokowi argentina juara</t>
  </si>
  <si>
    <t>['lihat', 'kaosnya', 'berkat', 'pak', 'jokowi', 'argentina', 'juara']</t>
  </si>
  <si>
    <t>Jalan-jalan Argentina Penuh Lautan Manusia Setelah Timnasnya Juara Piala Dunia Qatar 2022  https://t.co/qgy4nKZsDN</t>
  </si>
  <si>
    <t>jalan jalan argentina penuh lautan manusia setelah timnasnya juara piala dunia qatar</t>
  </si>
  <si>
    <t>['jalan', 'jalan', 'argentina', 'penuh', 'lautan', 'manusia', 'timnasnya', 'juara', 'piala', 'dunia', 'qatar']</t>
  </si>
  <si>
    <t>ARGENTINA JUARA DUNIAAAAAAAA</t>
  </si>
  <si>
    <t>argentina juara duniaaaaaaaa</t>
  </si>
  <si>
    <t>['argentina', 'juara', 'duniaaaaaaaa']</t>
  </si>
  <si>
    <t>Raih Juara Piala Dunia 2022 Qatar, Timnas Argentina Dapatkan Trofi Secara Beruntun  https://t.co/Mlo2Trylgp</t>
  </si>
  <si>
    <t>raih juara piala dunia qatar timnas argentina dapatkan trofi secara beruntun</t>
  </si>
  <si>
    <t>['raih', 'juara', 'piala', 'dunia', 'qatar', 'timnas', 'argentina', 'dapatkan', 'trofi', 'beruntun']</t>
  </si>
  <si>
    <t>Argentina berhasil juara dunia, Kamu kapan juara di hatinya?üôà  #sinikisahkasih  #kedaikisahkasih #temanterkasih</t>
  </si>
  <si>
    <t>argentina berhasil juara dunia kamu kapan juara hatinya</t>
  </si>
  <si>
    <t>['argentina', 'berhasil', 'juara', 'dunia', 'kamu', 'kapan', 'juara', 'hatinya']</t>
  </si>
  <si>
    <t>@banimarcelo2021 @_masnazhif @chemat_1st @yogesthinaga @utdfocusid Ya intinya bahas squad yang sekarang. Kalau lu mikirnya gitu yaudah sampe kiamat juga portugal ga akan juara deh ya. Dengan squad bagus yang dibilang diatas argentina portugal "harusnya" b</t>
  </si>
  <si>
    <t>intinya bahas squad yang sekarang kalau mikirnya gitu yaudah sampe kiamat juga portugal akan juara deh dengan squad bagus yang dibilang diatas argentina portugal harusnya</t>
  </si>
  <si>
    <t>['intinya', 'bahas', 'squad', 'sekarang', 'kalau', 'mikirnya', 'gitu', 'yaudah', 'sampai', 'kiamat', 'portugal', 'juara', 'deh', 'squad', 'bagus', 'dibilang', 'diatas', 'argentina', 'portugal', 'harusnya']</t>
  </si>
  <si>
    <t>Sudah nonton Brazil Juara dunia, Prancis, Italy, jerman, bahkan juara baru spanyol baik eropa dan dunia. Portugal dan Argentina.   Yang kesian yang dukung fanatik inggris, sama belanda. Kaga ngeliat juara2 ü§£ü§£ü§£</t>
  </si>
  <si>
    <t>sudah nonton brazil juara dunia prancis italy jerman bahkan juara baru spanyol baik eropa dan dunia portugal dan argentina yang kesian yang dukung fanatik inggris sama belanda kaga ngeliat juara</t>
  </si>
  <si>
    <t>['nonton', 'brazil', 'juara', 'dunia', 'prancis', 'italy', 'jerman', 'bahkan', 'juara', 'baru', 'spanyol', 'baik', 'eropa', 'dunia', 'portugal', 'argentina', 'kesian', 'dukung', 'fanatik', 'inggris', 'sama', 'belanda', 'kaga', 'ngeliat', 'juara']</t>
  </si>
  <si>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</si>
  <si>
    <t>argentina berhasil keluar sebagai juara pada piala dunia setelah mengalahkan prancis lewat babak adu penalti kemenangan itu pun dirayakan ribuan suporter yang berada buenos aires argentina simak info update lainnya klik link bio atau website kami</t>
  </si>
  <si>
    <t>['argentina', 'berhasil', 'keluar', 'juara', 'piala', 'dunia', 'mengalahkan', 'prancis', 'lewat', 'babak', 'adu', 'penalti', 'kemenangan', 'dirayakan', 'ribuan', 'suporter', 'berada', 'buenos', 'aires', 'argentina', 'simak', 'info', 'update', 'lainnya', 'klik', 'link', 'bio', 'website']</t>
  </si>
  <si>
    <t>GFnya Ronaldo.  - (Seharusnya) senang Argentina juara dunia. - Soalnya, yang bawa juara dunia itu rival BFnya.</t>
  </si>
  <si>
    <t>gfnya ronaldo seharusnya senang argentina juara dunia soalnya yang bawa juara dunia itu rival bfnya</t>
  </si>
  <si>
    <t>['gfnya', 'ronaldo', 'senang', 'argentina', 'juara', 'dunia', 'soalnya', 'bawa', 'juara', 'dunia', 'rival', 'bfnya']</t>
  </si>
  <si>
    <t>EA Sports Berjaya Ramalkan Argentina Juara Piala Dunia FIFA 2022 ‚Äì Kini 4 Edisi¬†Berturut-Turut  https://t.co/4LT2D2BhtR</t>
  </si>
  <si>
    <t>sports berjaya ramalkan argentina juara piala dunia fifa kini edisi berturut turut</t>
  </si>
  <si>
    <t>['sports', 'berjaya', 'ramalkan', 'argentina', 'juara', 'piala', 'dunia', 'fifa', 'kini', 'edisi', 'berturut', 'turut']</t>
  </si>
  <si>
    <t>Argentina Juara Piala Dunia 2022, Messi: Saya Memimpikannya Berkali-kali  https://t.co/hRT9PMHuYH</t>
  </si>
  <si>
    <t>argentina juara piala dunia messi saya memimpikannya berkali kali</t>
  </si>
  <si>
    <t>['argentina', 'juara', 'piala', 'dunia', 'messi', 'memimpikannya', 'berkali', 'kali']</t>
  </si>
  <si>
    <t>Menpora dan ketum sepakbolanya Argentina kemana ya? Nggak perhatian sekali mereka‚Ä¶wong anak-anaknya juara malah nggak nongol..</t>
  </si>
  <si>
    <t>menpora dan ketum sepakbolanya argentina kemana nggak perhatian sekali mereka wong anak anaknya juara malah nggak nongol</t>
  </si>
  <si>
    <t>['menpora', 'ketum', 'sepakbolanya', 'argentina', 'perhatian', 'sekali', 'wong', 'anak', 'anaknya', 'juara', 'malah', 'nongol']</t>
  </si>
  <si>
    <t>Momen Argentina juara #GempitaBolaDunia2022 menjadi buah bibir masyarakat dunia. Terdapat sejumlah alasan, salah satunya duel sengit dalam partai puncak yang memaksa pertandingan ke babak adu penalti.  https://t.co/sRP9TBJlTQ #CNNIndonesia  https://t.co/0ZuGXmVcVS</t>
  </si>
  <si>
    <t>Lanjutkan Tradisi, Pemain Timnas Argentina Gunting Jaring Gawang usai Juara Piala Dunia 2022: untuk Kenang-kenangan #CelebritiesDotID #InfoCelebTerkini   https://t.co/qaqiqHRwvp</t>
  </si>
  <si>
    <t>lanjutkan tradisi pemain timnas argentina gunting jaring gawang usai juara piala dunia untuk kenang kenangan</t>
  </si>
  <si>
    <t>['lanjutkan', 'tradisi', 'pemain', 'timnas', 'argentina', 'gunting', 'jaring', 'gawang', 'usai', 'juara', 'piala', 'dunia', 'kenang', 'kenangan']</t>
  </si>
  <si>
    <t>Lionel Messi dkk Juara Piala Dunia 2022, Putin Beri Selamat Kepada Presiden Argentina    https://t.co/hFnqCudUf2 #Qatar2022</t>
  </si>
  <si>
    <t>lionel messi dkk juara piala dunia putin beri selamat kepada presiden argentina</t>
  </si>
  <si>
    <t>['lionel', 'messi', 'dkk', 'juara', 'piala', 'dunia', 'putin', 'beri', 'selamat', 'presiden', 'argentina']</t>
  </si>
  <si>
    <t>Selamat kepada para juara. üëèüëã  #FIFAWorldCup  #Qatar2022  #Argentina  #France  #Croatia  https://t.co/gTmNZ4xbpO</t>
  </si>
  <si>
    <t>selamat kepada para juara</t>
  </si>
  <si>
    <t>['selamat', 'juara']</t>
  </si>
  <si>
    <t>Selamat Argentina juara Piala Dunia 2022</t>
  </si>
  <si>
    <t>ga kerasa 4 tahun lagi argentina b2b juara dunia</t>
  </si>
  <si>
    <t>kerasa tahun lagi argentina juara dunia</t>
  </si>
  <si>
    <t>['kerasa', 'tahun', 'argentina', 'juara', 'dunia']</t>
  </si>
  <si>
    <t>@PSSI Argentina Juara, Indonesia juga bau2 juara nih. Pengen ngerasain kaya dulu dari depok ke kalibata lancar kramat jati sepi</t>
  </si>
  <si>
    <t>argentina juara indonesia juga bau juara nih pengen ngerasain kaya dulu dari depok kalibata lancar kramat jati sepi</t>
  </si>
  <si>
    <t>['argentina', 'juara', 'indonesia', 'bau', 'juara', 'pengen', 'ngerasain', 'kaya', 'dulu', 'depok', 'kalibata', 'lancar', 'kramat', 'jati', 'sepi']</t>
  </si>
  <si>
    <t>Tidak hanya Mbappe yg misuh¬≤, Presiden Argentina, Alberto Fern√°ndez sama lagi misuh¬≤ juga dia:  "Aduh rungkad aing mah, sagala negara aing juara dunia, geus nyaho negara keur inflasi bebeledagan kieu, rek mere naon aing ka si messi jeung barudak nu sejenna? Rungkad gusti!ü§Ø"</t>
  </si>
  <si>
    <t>tidak hanya mbappe misuh presiden argentina alberto fern ndez sama lagi misuh juga dia aduh rungkad aing mah sagala negara aing juara dunia geus nyaho negara keur inflasi bebeledagan kieu rek mere naon aing messi jeung barudak sejenna rungkad gusti</t>
  </si>
  <si>
    <t>['mbappe', 'misuh', 'presiden', 'argentina', 'alberto', 'fern', 'ndez', 'sama', 'misuh', 'aduh', 'rungkad', 'aing', 'mah', 'sagala', 'negara', 'aing', 'juara', 'dunia', 'geus', 'nyaho', 'negara', 'keur', 'inflasi', 'bebeledagan', 'kieu', 'rek', 'mere', 'naon', 'aing', 'messi', 'jeung', 'barudak', 'sejenna', 'rungkad', 'gusti']</t>
  </si>
  <si>
    <t>Entah ada masalah apa, Kun Aguero mengejek Camavinga 'the d*ck face' dalam live instagramnya saat selebrasi juara di ruang ganti Argentina. ü§∑üèø‚Äç‚ôÇÔ∏è  https://t.co/NPI4l6zat5</t>
  </si>
  <si>
    <t>entah ada masalah apa kun aguero mengejek camavinga the face dalam live instagramnya saat selebrasi juara ruang ganti argentina</t>
  </si>
  <si>
    <t>['entah', 'masalah', 'apa', 'kun', 'aguero', 'mengejek', 'camavinga', 'the', 'face', 'live', 'instagramnya', 'selebrasi', 'juara', 'ruang', 'ganti', 'argentina']</t>
  </si>
  <si>
    <t>Tahniah Argentina! üéâüëè  #WorldCupFinal  #QatarWorldCup2022  #ArgentinaVsFrance  #argentinajuara #LionelMessiìÉµ  #worldcupwinner  https://t.co/UJa452Du0L</t>
  </si>
  <si>
    <t>tahniah argentina</t>
  </si>
  <si>
    <t>['tahniah', 'argentina']</t>
  </si>
  <si>
    <t>ULASANTORY: Argentina Juara  https://t.co/slBRMWN0NJ</t>
  </si>
  <si>
    <t>ulasantory argentina juara</t>
  </si>
  <si>
    <t>['ulasantory', 'argentina', 'juara']</t>
  </si>
  <si>
    <t>@mohdaniqqq @ariffadzilah_ Walaupun messi dh xde aku tetap argentina sampai berjanggut bro.  https://t.co/W36S5TwAXe</t>
  </si>
  <si>
    <t>walaupun messi xde aku tetap argentina sampai berjanggut bro</t>
  </si>
  <si>
    <t>['walaupun', 'messi', 'xde', 'aku', 'tetap', 'argentina', 'berjanggut', 'bro']</t>
  </si>
  <si>
    <t>Girang Argentina Juara Piala Dunia 2022, Penonton Wanita di Qatar Nekat Tampil Tanpa Busana  https://t.co/vnLjC0Fr6y</t>
  </si>
  <si>
    <t>girang argentina juara piala dunia penonton wanita qatar nekat tampil tanpa busana</t>
  </si>
  <si>
    <t>['girang', 'argentina', 'juara', 'piala', 'dunia', 'penonton', 'wanita', 'qatar', 'nekat', 'tampil', 'busana']</t>
  </si>
  <si>
    <t>@diskalkulia @ejha_rawk Sebagai ketum PSSI dia ikut merayakan Argentina juara</t>
  </si>
  <si>
    <t>rawk sebagai ketum pssi dia ikut merayakan argentina juara</t>
  </si>
  <si>
    <t>['rawk', 'ketum', 'pssi', 'ikut', 'merayakan', 'argentina', 'juara']</t>
  </si>
  <si>
    <t>@FAIL_SUTRISNO @riooo001 @Soegijo_ @Dicky_Arya11 @idextratime assalamualaikum saya dri masa depan Argentina juara piala dunia</t>
  </si>
  <si>
    <t>sutrisno arya assalamualaikum saya dri masa depan argentina juara piala dunia</t>
  </si>
  <si>
    <t>['sutrisno', 'arya', 'assalamualaikum', 'dri', 'masa', 'depan', 'argentina', 'juara', 'piala', 'dunia']</t>
  </si>
  <si>
    <t>@Jerseyforum brdsrkan pnglaman jersey italy spanyol jerman yg juara sekrng gk mahal2 bgt ya min. Klo jersey argentina bakal turun jg gk ya?</t>
  </si>
  <si>
    <t>brdsrkan pnglaman jersey italy spanyol jerman juara sekrng mahal bgt min klo jersey argentina bakal turun</t>
  </si>
  <si>
    <t>['brdsrkan', 'pnglaman', 'jersey', 'italy', 'spanyol', 'jerman', 'juara', 'sekrng', 'mahal', 'banget', 'min', 'jersey', 'argentina', 'bakal', 'turun']</t>
  </si>
  <si>
    <t>Semua terlalu fokus dengan peran Messi sebagai GOAT, tapi lupa penyelamatan2 Martinez yg menghantarkan Argentina juara dunia</t>
  </si>
  <si>
    <t>semua terlalu fokus dengan peran messi sebagai goat tapi lupa penyelamatan martinez menghantarkan argentina juara dunia</t>
  </si>
  <si>
    <t>['semua', 'terlalu', 'fokus', 'peran', 'messi', 'goat', 'lupa', 'penyelamatan', 'martinez', 'menghantarkan', 'argentina', 'juara', 'dunia']</t>
  </si>
  <si>
    <t>Argentina meraih Juara Dunia itu bkn skedar krn skil pemain yg hebat, ada yg dilupakan oleh fans bola bhwa Argentina itu Tim yg tak didukung oleh Cak @hayder_imron dan kalahnya Perancis krn didukungnya.</t>
  </si>
  <si>
    <t>argentina meraih juara dunia itu bkn skedar krn skil pemain hebat ada dilupakan oleh fans bola bhwa argentina itu tim tak didukung oleh cak imron dan kalahnya perancis krn didukungnya</t>
  </si>
  <si>
    <t>['argentina', 'meraih', 'juara', 'dunia', 'bkn', 'skedar', 'skil', 'pemain', 'hebat', 'dilupakan', 'fans', 'bola', 'bhwa', 'argentina', 'tim', 'tak', 'didukung', 'cak', 'imron', 'kalahnya', 'perancis', 'didukungnya']</t>
  </si>
  <si>
    <t>‚ÄúKeputusan Argentina menang belum rasmi. Dengar dengar Croatia, Morocco setuju bergabung dengan France untuk menjadi gabungan juara Piala Dunia. Kita tunggu keputusan penuh pukul 3 ptg nanti‚Äù  Bongok la konen kt FB ni üòÇ</t>
  </si>
  <si>
    <t>keputusan argentina menang belum rasmi dengar dengar croatia morocco setuju bergabung dengan france untuk menjadi gabungan juara piala dunia kita tunggu keputusan penuh pukul ptg nanti bongok konen</t>
  </si>
  <si>
    <t>['keputusan', 'argentina', 'menang', 'rasmi', 'dengar', 'dengar', 'croatia', 'morocco', 'setuju', 'bergabung', 'france', 'menjadi', 'gabungan', 'juara', 'piala', 'dunia', 'tunggu', 'keputusan', 'penuh', 'pukul', 'ptg', 'bongok', 'konen']</t>
  </si>
  <si>
    <t>messi-buktikan-gangguan-hormon-tak-halangi-dirinya-jadi-yang-terbaik-dunia  https://t.co/Jc4fMKPNft  Lionel Messi membawa Argentina menjadi juara Piala Dunia dan menyandang gelar Greatest of All Time, penyakit growth hormon disorder (GHD) tak jad penghalang,</t>
  </si>
  <si>
    <t>messi buktikan gangguan hormon tak halangi dirinya jadi yang terbaik dunia lionel messi membawa argentina menjadi juara piala dunia dan menyandang gelar greatest all time penyakit growth hormon disorder ghd tak jad penghalang</t>
  </si>
  <si>
    <t>['messi', 'buktikan', 'gangguan', 'hormon', 'tak', 'halangi', 'dirinya', 'jadi', 'terbaik', 'dunia', 'lionel', 'messi', 'membawa', 'argentina', 'menjadi', 'juara', 'piala', 'dunia', 'menyandang', 'gelar', 'greatest', 'all', 'time', 'penyakit', 'growth', 'hormon', 'disorder', 'ghd', 'tak', 'jad', 'penghalang']</t>
  </si>
  <si>
    <t>@InfosuporterID Mau hasilnya menang, imbang, maupun kalah, Argentina tetap juara grup.  https://t.co/wNSyU6VxFr</t>
  </si>
  <si>
    <t>mau hasilnya menang imbang maupun kalah argentina tetap juara grup</t>
  </si>
  <si>
    <t>['mau', 'hasilnya', 'menang', 'imbang', 'maupun', 'kalah', 'argentina', 'tetap', 'juara', 'grup']</t>
  </si>
  <si>
    <t>Belajar dari sosok Lionel Messi... Setelah 4 kali gagal membawa Argentina juara dari 2006, pada akhirnya sukses menjadi Juara Piala Dunia 2022. Semua butuh proses dan tahapan, tidak ada hasil yang instan...</t>
  </si>
  <si>
    <t>belajar dari sosok lionel messi setelah kali gagal membawa argentina juara dari pada akhirnya sukses menjadi juara piala dunia semua butuh proses dan tahapan tidak ada hasil yang instan</t>
  </si>
  <si>
    <t>['belajar', 'sosok', 'lionel', 'messi', 'kali', 'gagal', 'membawa', 'argentina', 'juara', 'akhirnya', 'sukses', 'menjadi', 'juara', 'piala', 'dunia', 'semua', 'butuh', 'proses', 'tahapan', 'hasil', 'instan']</t>
  </si>
  <si>
    <t>Pele Usai Argentina Juara Piala Dunia 2022: Diego Maradona Pasti Tersenyum...  https://t.co/J4FFEXPYBi</t>
  </si>
  <si>
    <t>pele usai argentina juara piala dunia diego maradona pasti tersenyum</t>
  </si>
  <si>
    <t>['pele', 'usai', 'argentina', 'juara', 'piala', 'dunia', 'diego', 'maradona', 'tersenyum']</t>
  </si>
  <si>
    <t>@Kaann_i @idextratime lah th 86 argentina kan juara üò¨</t>
  </si>
  <si>
    <t>lah argentina kan juara</t>
  </si>
  <si>
    <t>['lah', 'argentina', 'kan', 'juara']</t>
  </si>
  <si>
    <t>@Themann__98 @idextratime Nangis aja gan gakpapa. Argentina tetep juara dunia</t>
  </si>
  <si>
    <t>nangis aja gan gakpapa argentina tetep juara dunia</t>
  </si>
  <si>
    <t>['nangis', 'juragan', 'gakpapa', 'argentina', 'tetep', 'juara', 'dunia']</t>
  </si>
  <si>
    <t>Bukan cuma juara Piala Dunia 2022, Argentina juga borong sejumlah penghargaan lain  https://t.co/kqYQrldosf</t>
  </si>
  <si>
    <t>bukan cuma juara piala dunia argentina juga borong sejumlah penghargaan lain</t>
  </si>
  <si>
    <t>['bukan', 'cuma', 'juara', 'piala', 'dunia', 'argentina', 'borong', 'sejumlah', 'penghargaan']</t>
  </si>
  <si>
    <t>@GRANDFATHER_71 Arab Saudi didukung Kadrun...KALAH. Argentina kalah lawan Arab Saudi Karena Allah (kAta Kadrun). Faktanya Argentina juara group trus melaju menjadi JUARA DUNIA Karena MESSI...bukan Karena KADRUN...ü§≠ü§≠ü§≠</t>
  </si>
  <si>
    <t>arab saudi didukung kadrun kalah argentina kalah lawan arab saudi karena allah kata kadrun faktanya argentina juara group trus melaju menjadi juara dunia karena messi bukan karena kadrun</t>
  </si>
  <si>
    <t>['arab', 'saudi', 'didukung', 'kadrun', 'kalah', 'argentina', 'kalah', 'lawan', 'arab', 'saudi', 'allah', 'kata', 'kadrun', 'faktanya', 'argentina', 'juara', 'group', 'trus', 'melaju', 'menjadi', 'juara', 'dunia', 'messi', 'bukan', 'kadrun']</t>
  </si>
  <si>
    <t>Yg bikin Argentina bisa banyak juara tuh bukan Messi, tapi duo Martinez: Lautaro dan Emiliano.</t>
  </si>
  <si>
    <t>bikin argentina bisa banyak juara tuh bukan messi tapi duo martinez lautaro dan emiliano</t>
  </si>
  <si>
    <t>['argentina', 'banyak', 'juara', 'bukan', 'messi', 'duo', 'martinez', 'lautaro', 'emiliano']</t>
  </si>
  <si>
    <t>Selamat buat Argentina Juara Piala Dunia 2022</t>
  </si>
  <si>
    <t>selamat buat argentina juara piala dunia</t>
  </si>
  <si>
    <t>['selamat', 'buat', 'argentina', 'juara', 'piala', 'dunia']</t>
  </si>
  <si>
    <t>Argentina Juara Piala Dunia 2022, Kiper Prancis Bikin Rekor di Final  https://t.co/LUx0PeDTf2</t>
  </si>
  <si>
    <t>argentina juara piala dunia kiper prancis bikin rekor final</t>
  </si>
  <si>
    <t>['argentina', 'juara', 'piala', 'dunia', 'kiper', 'prancis', 'rekor', 'final']</t>
  </si>
  <si>
    <t>kuramal pasti argentina juara pildun</t>
  </si>
  <si>
    <t>['kuramal', 'argentina', 'juara', 'piala dunia']</t>
  </si>
  <si>
    <t>Gegara argentina juara piala dunia, hilangan yang manis manis dan cubby cubby fyp tiktok ku heh, timbul isi nya messi aja tarus</t>
  </si>
  <si>
    <t>gegara argentina juara piala dunia hilangan yang manis manis dan cubby cubby fyp tiktok heh timbul isi nya messi aja tarus</t>
  </si>
  <si>
    <t>['gegara', 'argentina', 'juara', 'piala', 'dunia', 'hilangan', 'manis', 'manis', 'cubby', 'cubby', 'fyp', 'tiktok', 'heh', 'timbul', 'isi', 'messi', 'tarus']</t>
  </si>
  <si>
    <t>Saiki Argentina dadi juara,yen ngene piye jal #Pekok ü§£ü§£ü§£  https://t.co/MfUWdwRJF9</t>
  </si>
  <si>
    <t>saiki argentina dadi juara yen ngene piye jal</t>
  </si>
  <si>
    <t>['saiki', 'argentina', 'dadi', 'juara', 'yen', 'ngene', 'piye', 'jal']</t>
  </si>
  <si>
    <t>Keberhasilan Messi memimpin Argentina untuk akhirnya mengakhiri dahaga gelar juara Piala Dunia menjadi yang terbaik sepanjang masa. #Messi #WorldCup #ArgentinaVsFrance    https://t.co/T9Yv7ByOdk</t>
  </si>
  <si>
    <t>keberhasilan messi memimpin argentina untuk akhirnya mengakhiri dahaga gelar juara piala dunia menjadi yang terbaik sepanjang masa</t>
  </si>
  <si>
    <t>['keberhasilan', 'messi', 'memimpin', 'argentina', 'akhirnya', 'mengakhiri', 'dahaga', 'gelar', 'juara', 'piala', 'dunia', 'menjadi', 'terbaik', 'sepanjang', 'masa']</t>
  </si>
  <si>
    <t>Pasukan Berani Mati untuk Messi hingga Argentina Juara Piala Dunia 2022    https://t.co/VQqleBoY4C via @tribunnews</t>
  </si>
  <si>
    <t>pasukan berani mati untuk messi hingga argentina juara piala dunia via</t>
  </si>
  <si>
    <t>['pasukan', 'berani', 'mati', 'messi', 'hingga', 'argentina', 'juara', 'piala', 'dunia', 'via']</t>
  </si>
  <si>
    <t>@PandaMerahku @nextjack1995 @ndagels Emg mbappe speednya g ada lawan g ada bek yg bisa ngimbangin dia. Kalo stamina abis messi g akan bisa bikin gol di extratime. Di extratime argentina banyak peluang begitupun prancis cuma pemain prancis emg bapuk2 pas f</t>
  </si>
  <si>
    <t>emg mbappe speednya ada lawan ada bek bisa ngimbangin dia kalo stamina abis messi akan bisa bikin gol extratime extratime argentina banyak peluang begitupun prancis cuma pemain prancis emg bapuk pas</t>
  </si>
  <si>
    <t>['memang', 'mbappe', 'speednya', 'lawan', 'bek', 'ngimbangin', 'stamina', 'abis', 'messi', 'gol', 'extratime', 'extratime', 'argentina', 'banyak', 'peluang', 'begitupun', 'prancis', 'cuma', 'pemain', 'prancis', 'memang', 'bapuk', 'pas']</t>
  </si>
  <si>
    <t>yang juara argentina, yang trending+fyp tt tetep bang dodo</t>
  </si>
  <si>
    <t>yang juara argentina yang trending fyp tetep bang dodo</t>
  </si>
  <si>
    <t>['juara', 'argentina', 'trending', 'fyp', 'tetep', 'bang', 'dodo']</t>
  </si>
  <si>
    <t>Presiden Argentina Alberto Fernandez merayakan keberhasilan negaranya menjadi juara Piala Dunia 2022 dengan mengunggah foto selfie di depan layar televisi.   https://t.co/87kploFmlf  https://t.co/3pX3lSnKmD</t>
  </si>
  <si>
    <t>presiden argentina alberto fernandez merayakan keberhasilan negaranya menjadi juara piala dunia dengan mengunggah foto selfie depan layar televisi</t>
  </si>
  <si>
    <t>['presiden', 'argentina', 'alberto', 'fernandez', 'merayakan', 'keberhasilan', 'negaranya', 'menjadi', 'juara', 'piala', 'dunia', 'mengunggah', 'foto', 'selfie', 'depan', 'layar', 'televisi']</t>
  </si>
  <si>
    <t>Argentina berhasil menjadi juara Piala Dunia 2022 setelah mengalahkan Prancis lewat adu penalti di Lusail Iconic Stadium pada Ahad, 18 Desember 2022.  Selengkapnya ditautan berikut :  https://t.co/3sRunVzFi8  #messi #lionelmessi #pialadunia2022 #eramadanicom #FIFAWorldCup  https://t.co/Jc5KEmf2E3</t>
  </si>
  <si>
    <t>argentina berhasil menjadi juara piala dunia setelah mengalahkan prancis lewat adu penalti lusail iconic stadium pada ahad desember selengkapnya ditautan berikut</t>
  </si>
  <si>
    <t>['argentina', 'berhasil', 'menjadi', 'juara', 'piala', 'dunia', 'mengalahkan', 'prancis', 'lewat', 'adu', 'penalti', 'lusail', 'iconic', 'stadium', 'ahad', 'desember', 'selengkapnya', 'ditautan', 'berikut']</t>
  </si>
  <si>
    <t xml:space="preserve"> https://t.co/ZqvtNDETCA  Argentina berhasil menjadi juara Piala Dunia 2022 setelah mengalahkan Prancis lewat adu tendangan penalti. Segini hadiah yang didapat.</t>
  </si>
  <si>
    <t>argentina berhasil menjadi juara piala dunia setelah mengalahkan prancis lewat adu tendangan penalti segini hadiah yang didapat</t>
  </si>
  <si>
    <t>['argentina', 'berhasil', 'menjadi', 'juara', 'piala', 'dunia', 'mengalahkan', 'prancis', 'lewat', 'adu', 'tendangan', 'penalti', 'segini', 'hadiah', 'didapat']</t>
  </si>
  <si>
    <t>EKONOMI SEPAKBOLA  Selamat kepada Argentina dan khususnya Lionel Messi  yang menjadi juara Piala Dunia 2022 di Qatar. Luar biasa!  (utas) #sepakbola #messi #argentina #mbappe #perancis #pialadunia #qatar2022 #fifa #ekonomi #keuangan  https://t.co/7aOPOfAFQw</t>
  </si>
  <si>
    <t>ekonomi sepakbola selamat kepada argentina dan khususnya lionel messi yang menjadi juara piala dunia qatar luar biasa utas</t>
  </si>
  <si>
    <t>['ekonomi', 'sepakbola', 'selamat', 'argentina', 'khususnya', 'lionel', 'messi', 'menjadi', 'juara', 'piala', 'dunia', 'qatar', 'luar', 'biasa', 'utas']</t>
  </si>
  <si>
    <t>@rejaaeee @salamaestro @IDGoonerscom Awal mula argentina juara pildun 2022</t>
  </si>
  <si>
    <t>awal mula argentina juara pildun</t>
  </si>
  <si>
    <t>['awal', 'mula', 'argentina', 'juara', 'piala dunia']</t>
  </si>
  <si>
    <t>@BangEdiii akhirnye argentina bisa jadi juara dunia lagi di era jokowi !</t>
  </si>
  <si>
    <t>akhirnye argentina bisa jadi juara dunia lagi era jokowi</t>
  </si>
  <si>
    <t>['akhirnye', 'argentina', 'jadi', 'juara', 'dunia', 'era', 'jokowi']</t>
  </si>
  <si>
    <t>Argentina Bawa Pulang Rp655,8 Miliar Setelah Juara Piala Dunia¬†2022  https://t.co/GcDju1Cnoq</t>
  </si>
  <si>
    <t>argentina bawa pulang miliar setelah juara piala dunia</t>
  </si>
  <si>
    <t>['argentina', 'bawa', 'pulang', 'miliar', 'juara', 'piala', 'dunia']</t>
  </si>
  <si>
    <t>Akhirnya bisa lihat Argentina juara Copa America dan Fifa World Cup‚öΩü•áüèÜ</t>
  </si>
  <si>
    <t>akhirnya bisa lihat argentina juara copa america dan fifa world cup</t>
  </si>
  <si>
    <t>['akhirnya', 'lihat', 'argentina', 'juara', 'copa', 'america', 'fifa', 'world', 'cup']</t>
  </si>
  <si>
    <t>Best final gileh Drama 120+ mnt 6 gol, best tim dri dua benua sepakbola, tpi yah kompetisi mmg cmn ada 1 yg juara dan finally Messi dan Argentina juara #FIFAWorldCup</t>
  </si>
  <si>
    <t>best final gileh drama mnt gol best tim dri dua benua sepakbola tpi yah kompetisi mmg cmn ada juara dan finally messi dan argentina juara</t>
  </si>
  <si>
    <t>['best', 'final', 'gileh', 'drama', 'mnt', 'gol', 'best', 'tim', 'dri', 'benua', 'sepakbola', 'tpi', 'kompetisi', 'mmg', 'cmn', 'juara', 'finally', 'messi', 'argentina', 'juara']</t>
  </si>
  <si>
    <t>Juara: Argentina   Pemain terbaik: Messi Kiper terbaik: Martinez Pemain Muda Terbaik: Enzo Fernandez Top scorer: Mbappe Prediksi terburuk: Denny Siregar #FIFAWorldCup</t>
  </si>
  <si>
    <t>juara argentina pemain terbaik messi kiper terbaik martinez pemain muda terbaik enzo fernandez top scorer mbappe prediksi terburuk denny siregar</t>
  </si>
  <si>
    <t>['juara', 'argentina', 'pemain', 'terbaik', 'messi', 'kiper', 'terbaik', 'martinez', 'pemain', 'muda', 'terbaik', 'enzo', 'fernandez', 'top', 'scorer', 'mbappe', 'prediksi', 'terburuk', 'denny', 'siregar']</t>
  </si>
  <si>
    <t>@idextratime Keren. Udah dikasih P dua kali masih kalah, gini masih dibilang settingan Argentina juara??</t>
  </si>
  <si>
    <t>keren udah dikasih dua kali masih kalah gini masih dibilang settingan argentina juara</t>
  </si>
  <si>
    <t>['keren', 'udah', 'dikasih', 'kali', 'kalah', 'gini', 'dibilang', 'settingan', 'argentina', 'juara']</t>
  </si>
  <si>
    <t>Kok Argentina juara bukan ketum federasi yang angkat piala ya</t>
  </si>
  <si>
    <t>kok argentina juara bukan ketum federasi yang angkat piala</t>
  </si>
  <si>
    <t>['kok', 'argentina', 'juara', 'bukan', 'ketum', 'federasi', 'angkat', 'piala']</t>
  </si>
  <si>
    <t>Semalam dukung Perancis, tapi bersyukur Argentina menang... Karena nggak kebayang frustrasinya  Messi kalo udah mau pensiun dan gagal juara piala dunia. Momen-momen sama keluarganya juga bikin terharu. Thx buat final-nya yang seru meski udah lama nggak nonton bola #FIFAWorldCup</t>
  </si>
  <si>
    <t>semalam dukung perancis tapi bersyukur argentina menang karena nggak kebayang frustrasinya messi kalo udah mau pensiun dan gagal juara piala dunia momen momen sama keluarganya juga bikin terharu thx buat final nya yang seru meski udah lama nggak nonton bola</t>
  </si>
  <si>
    <t>['semalam', 'dukung', 'perancis', 'bersyukur', 'argentina', 'menang', 'kebayang', 'frustrasinya', 'messi', 'udah', 'mau', 'pensiun', 'gagal', 'juara', 'piala', 'dunia', 'momen', 'momen', 'sama', 'keluarganya', 'terharu', 'thank you', 'buat', 'final', 'seru', 'meski', 'udah', 'lama', 'nonton', 'bola']</t>
  </si>
  <si>
    <t>Argentina Juara Dunia Karena "Settingan"?  https://t.co/TaHyB8M1ks</t>
  </si>
  <si>
    <t>argentina juara dunia karena settingan</t>
  </si>
  <si>
    <t>['argentina', 'juara', 'dunia', 'settingan']</t>
  </si>
  <si>
    <t>Argentina menjuarai Piala Dunia 2022 setelah secara dramatis menaklukkan juara bertahan Prancis melalui adu penalti di partai final. Hingga babak perpanjangan waktu berakhir, kedudukan imbang 3-3.   https://t.co/18eZpw6jwB  https://t.co/8xJKPLl36G</t>
  </si>
  <si>
    <t>argentina menjuarai piala dunia setelah secara dramatis menaklukkan juara bertahan prancis melalui adu penalti partai final hingga babak perpanjangan waktu berakhir kedudukan imbang</t>
  </si>
  <si>
    <t>['argentina', 'menjuarai', 'piala', 'dunia', 'dramatis', 'menaklukkan', 'juara', 'bertahan', 'prancis', 'melalui', 'adu', 'penalti', 'partai', 'final', 'hingga', 'babak', 'perpanjangan', 'waktu', 'berakhir', 'kedudukan', 'imbang']</t>
  </si>
  <si>
    <t>Argentina berhasil menjadi juara Piala Dunia 2022.  #merahputihcom #argentina #PialaDunia2022 #sepakbola    https://t.co/EHXWJwYMAI</t>
  </si>
  <si>
    <t>argentina berhasil menjadi juara piala dunia</t>
  </si>
  <si>
    <t>['argentina', 'berhasil', 'menjadi', 'juara', 'piala', 'dunia']</t>
  </si>
  <si>
    <t>@TumbalProyekk @fcbayernfanid Ciaaakh ga sanggup bales individu jangan bahas, fans spanyol giliran argentina juara eh dadakan fans argentina ü§£ü§£</t>
  </si>
  <si>
    <t>ciaaakh sanggup bales individu jangan bahas fans spanyol giliran argentina juara dadakan fans argentina</t>
  </si>
  <si>
    <t>['ciaaakh', 'sanggup', 'bales', 'individu', 'jangan', 'bahas', 'fans', 'spanyol', 'giliran', 'argentina', 'juara', 'dadakan', 'fans', 'argentina']</t>
  </si>
  <si>
    <t>Inilah Sederet Fakta Argentina Juara Piala Dunia 2022, Penantian Lionel Messi 16 Tahun Berakhir  https://t.co/Wg5y6LmQsH</t>
  </si>
  <si>
    <t>inilah sederet fakta argentina juara piala dunia penantian lionel messi tahun berakhir</t>
  </si>
  <si>
    <t>['inilah', 'sederet', 'fakta', 'argentina', 'juara', 'piala', 'dunia', 'penantian', 'lionel', 'messi', 'tahun', 'berakhir']</t>
  </si>
  <si>
    <t>Argentina Raih Juara Dunia untuk Ketiga Kalinya usai Taklukan Prancis di...  https://t.co/OWx6LPGOZN lewat @YouTube  https://t.co/UNmmPyp1eX</t>
  </si>
  <si>
    <t>argentina raih juara dunia untuk ketiga kalinya usai taklukan prancis lewat</t>
  </si>
  <si>
    <t>['argentina', 'raih', 'juara', 'dunia', 'ketiga', 'kalinya', 'usai', 'taklukan', 'prancis', 'lewat']</t>
  </si>
  <si>
    <t>congratulation selamat buat argentina juara win world cup piala dunia 2022</t>
  </si>
  <si>
    <t>congratulation selamat buat argentina juara win world cup piala dunia</t>
  </si>
  <si>
    <t>['congratulation', 'selamat', 'buat', 'argentina', 'juara', 'win', 'world', 'cup', 'piala', 'dunia']</t>
  </si>
  <si>
    <t xml:space="preserve"> https://t.co/DkaMs8JrPD  Berhasil Sikat Prancis dan Membawa Argentina Juara Piala Dunia 2022  #BeritaBola #PrediksiBola #Daftartaruhanku #Skorbola #BandarBolaTerpercaya #PialaDunia2022 #JendelaTransfer #Sbobet #SitusBolaTerpercaya #kabarbola  https://t.co/TMNs6Rl1xU</t>
  </si>
  <si>
    <t>berhasil sikat prancis dan membawa argentina juara piala dunia</t>
  </si>
  <si>
    <t>['berhasil', 'sikat', 'prancis', 'membawa', 'argentina', 'juara', 'piala', 'dunia']</t>
  </si>
  <si>
    <t>Prancis gagal menjadi juara Piala Dunia 2022 usai takluk dari Argentina lewat adu penalti. Babak tos-tosan lagi-lagi menjadi batu sandungan bagi Les Bleus! #juaraboladunia    https://t.co/i6rwv3PhFF</t>
  </si>
  <si>
    <t>prancis gagal menjadi juara piala dunia usai takluk dari argentina lewat adu penalti babak tos tosan lagi lagi menjadi batu sandungan bagi les bleus</t>
  </si>
  <si>
    <t>['prancis', 'gagal', 'menjadi', 'juara', 'piala', 'dunia', 'usai', 'takluk', 'argentina', 'lewat', 'adu', 'penalti', 'babak', 'tos', 'tosan', 'menjadi', 'batu', 'sandungan', 'les', 'bleus']</t>
  </si>
  <si>
    <t>Kata Lionel Scaloni Setelah Argentina Juara Dunia: Saya Berharap Maradona Ada Disini  https://t.co/y3Z9EkeAMj</t>
  </si>
  <si>
    <t>kata lionel scaloni setelah argentina juara dunia saya berharap maradona ada disini</t>
  </si>
  <si>
    <t>['kata', 'lionel', 'scaloni', 'argentina', 'juara', 'dunia', 'berharap', 'maradona', 'disini']</t>
  </si>
  <si>
    <t>2014 lalu Argentina bisa juara kalau Di Mar√≠a ga cedera dan main di final. Tapi Tuhan menunda itu demi moment juara yang lebih sempurna 2022. √ÅNGEL DI MAR√çA ‚ù§</t>
  </si>
  <si>
    <t>lalu argentina bisa juara kalau mar cedera dan main final tapi tuhan menunda itu demi moment juara yang lebih sempurna ngel mar</t>
  </si>
  <si>
    <t>['lalu', 'argentina', 'juara', 'kalau', 'mar', 'cedera', 'main', 'final', 'tuhan', 'menunda', 'moment', 'juara', 'lebih', 'sempurna', 'ngel', 'mar']</t>
  </si>
  <si>
    <t>Melakukan pencarian di Google pagi ini untuk "Argentina juara" akan disambut dengan kembang api digital dan bendera Argentina. üéáüá¶üá∑  https://t.co/iV3vEYuFn4</t>
  </si>
  <si>
    <t>melakukan pencarian google pagi ini untuk argentina juara akan disambut dengan kembang api digital dan bendera argentina</t>
  </si>
  <si>
    <t>['melakukan', 'pencarian', 'google', 'pagi', 'argentina', 'juara', 'disambut', 'kembang', 'api', 'digital', 'bendera', 'argentina']</t>
  </si>
  <si>
    <t>Kalo bukan karena respect ke messi sih ga rela banget ini gue Argentina Juara. kelakuan pemain2 nya ya ampuuun üôÖüèª‚Äç‚ôÇÔ∏è</t>
  </si>
  <si>
    <t>kalo bukan karena respect messi sih rela banget ini gue argentina juara kelakuan pemain nya ampuuun</t>
  </si>
  <si>
    <t>['bukan', 'respect', 'messi', 'rela', 'banget', 'gue', 'argentina', 'juara', 'kelakuan', 'pemain', 'ampuuun']</t>
  </si>
  <si>
    <t>@idextratime Itulah serunya sepakbola, pasti akan ada drama2 yang selalu bisa diperdebatkan dan dinikmati. Faktanya Argentina sudah juara dengan Messi sebagai pemain terbaik piala dunia 2022</t>
  </si>
  <si>
    <t>itulah serunya sepakbola pasti akan ada drama yang selalu bisa diperdebatkan dan dinikmati faktanya argentina sudah juara dengan messi sebagai pemain terbaik piala dunia</t>
  </si>
  <si>
    <t>['serunya', 'sepakbola', 'drama', 'selalu', 'diperdebatkan', 'dinikmati', 'faktanya', 'argentina', 'juara', 'messi', 'pemain', 'terbaik', 'piala', 'dunia']</t>
  </si>
  <si>
    <t>Presiden Argentina Unggah Foto Selfie Depan TV Usai Negaranya Juara Piala Dunia 2022  https://t.co/MUZCl1Kvjg</t>
  </si>
  <si>
    <t>FIFA memberikan hadiah juara Piala Dunia untuk Argentina, berapa nilainya?  https://t.co/xZ26W9iFwT</t>
  </si>
  <si>
    <t>fifa memberikan hadiah juara piala dunia untuk argentina berapa nilainya</t>
  </si>
  <si>
    <t>['fifa', 'memberikan', 'hadiah', 'juara', 'piala', 'dunia', 'argentina', 'berapa', 'nilainya']</t>
  </si>
  <si>
    <t>mimpi indah argentina juara</t>
  </si>
  <si>
    <t>['mimpi', 'indah', 'argentina', 'juara']</t>
  </si>
  <si>
    <t>@akuawan_ @registaco ya namanya juga negara dia juara lagi semenjak 36 tahun yg lalu ikut bangga juga dong selagi dia juga mantan pemain + msh bisa dateng ke dressing room argentina ya gas aja, ibaratnya nih indo bisa juara aff emg lo ga kyk dia juga apa?</t>
  </si>
  <si>
    <t>namanya juga negara dia juara lagi semenjak tahun lalu ikut bangga juga dong selagi dia juga mantan pemain msh bisa dateng dressing room argentina gas aja ibaratnya nih indo bisa juara aff emg kyk dia juga apa</t>
  </si>
  <si>
    <t>['namanya', 'negara', 'juara', 'semenjak', 'tahun', 'lalu', 'ikut', 'bangga', 'dong', 'mantan', 'pemain', 'msh', 'dateng', 'dressing', 'room', 'argentina', 'gas', 'ibaratnya', 'indo', 'juara', 'aff', 'memang', 'seperti', 'apa']</t>
  </si>
  <si>
    <t>Dramatis Argentina Juara Piala Dunia 2022  https://t.co/hAP02Getbo</t>
  </si>
  <si>
    <t>Argentina Juara Piala Dunia 2022   https://t.co/XP6GsY88Wy</t>
  </si>
  <si>
    <t>Argentina tampil sebagai juara Piala Dunia 2022 setelah menumpas Prancis melalui adu penalti di final.  Baca artikel selengkapnya di  https://t.co/tRFvlb3pUy  #SatuBeritaSejutaViral #trendingviral #infoberita #beritaterkini #Viral #LionelMessi #Argentina #FifaWorldCup2022  https://t.co/5X8pq27Dyx</t>
  </si>
  <si>
    <t>argentina tampil sebagai juara piala dunia setelah menumpas prancis melalui adu penalti final baca artikel selengkapnya</t>
  </si>
  <si>
    <t>['argentina', 'tampil', 'juara', 'piala', 'dunia', 'menumpas', 'prancis', 'melalui', 'adu', 'penalti', 'final', 'baca', 'artikel', 'selengkapnya']</t>
  </si>
  <si>
    <t>Gimna g bangga yg Pinal ARGENTINA vs FRANCIS  yg jadi juara Timnas NusantaraüòÇüòÇ</t>
  </si>
  <si>
    <t>gimna bangga pinal argentina francis jadi juara timnas nusantara</t>
  </si>
  <si>
    <t>['gimna', 'bangga', 'pinal', 'argentina', 'francis', 'jadi', 'juara', 'timnas', 'nusantara']</t>
  </si>
  <si>
    <t>@sbyfess mari ndelok konser trus ndelok argentina juara, moto rodok sepet iki</t>
  </si>
  <si>
    <t>mari ndelok konser trus ndelok argentina juara moto rodok sepet iki</t>
  </si>
  <si>
    <t>['ndelok', 'konser', 'trus', 'ndelok', 'argentina', 'juara', 'moto', 'rodok', 'sepet', 'iki']</t>
  </si>
  <si>
    <t>Semangat Senin,bahagia mengharu biru Argentina Juara #crot üí¶üí¶üí¶üçÜüçÜüçÜ  https://t.co/AGqpmc8iA2</t>
  </si>
  <si>
    <t>semangat senin bahagia mengharu biru argentina juara</t>
  </si>
  <si>
    <t>['semangat', 'senin', 'bahagia', 'mengharu', 'biru', 'argentina', 'juara']</t>
  </si>
  <si>
    <t>as promised. Karena Argentina juara Piala Dunia, gue bakalan giveaway 150ribu buat 3 orang.   Nanti malam ya!</t>
  </si>
  <si>
    <t>promised karena argentina juara piala dunia gue bakalan giveaway ribu buat orang nanti malam</t>
  </si>
  <si>
    <t>['promised', 'argentina', 'juara', 'piala', 'dunia', 'gue', 'bakalan', 'giveaway', 'ribu', 'buat', 'orang', 'malam']</t>
  </si>
  <si>
    <t>@idextratime Argentina M nya Madrid, D nya Dodo alias kaga ada pemain Madrid dan Dodo argen juara</t>
  </si>
  <si>
    <t>argentina nya madrid nya dodo alias kaga ada pemain madrid dan dodo argen juara</t>
  </si>
  <si>
    <t>['argentina', 'madrid', 'dodo', 'alias', 'kaga', 'pemain', 'madrid', 'dodo', 'argen', 'juara']</t>
  </si>
  <si>
    <t>Emang sih dari awal main event World Cup kelihatan banget wasit sama komentator semua pingin Argentina yang juara. Banyak handsball dan pelanggaran dari Argentina ga dapet pinalti dan cek VAR. Final yg bikin seru perjuangan Mbapp√® sih</t>
  </si>
  <si>
    <t>emang sih dari awal main event world cup kelihatan banget wasit sama komentator semua pingin argentina yang juara banyak handsball dan pelanggaran dari argentina dapet pinalti dan cek var final bikin seru perjuangan mbapp sih</t>
  </si>
  <si>
    <t>['emang', 'awal', 'main', 'event', 'world', 'cup', 'kelihatan', 'banget', 'wasit', 'sama', 'komentator', 'semua', 'pingin', 'argentina', 'juara', 'banyak', 'handsball', 'pelanggaran', 'argentina', 'dapat', 'penalti', 'cek', 'var', 'final', 'seru', 'perjuangan', 'mbapp']</t>
  </si>
  <si>
    <t>WORLD CUP QATAR 2022..JUARA PESTA RAKYAT ARGENTINA..INDONESIA KAPAN YA..PENDUDUK KITA 260 JT ..KALAH SAMA PENDUDUK 60 JT..HADEEEEEHHHH  https://t.co/tBhUMcJaDo</t>
  </si>
  <si>
    <t>world cup qatar juara pesta rakyat argentina indonesia kapan penduduk kita kalah sama penduduk hadeeeeehhhh</t>
  </si>
  <si>
    <t>['world', 'cup', 'qatar', 'juara', 'pesta', 'rakyat', 'argentina', 'indonesia', 'kapan', 'penduduk', 'kalah', 'sama', 'penduduk', 'hadeeeeehhhh']</t>
  </si>
  <si>
    <t>Syukuran argentina juara  https://t.co/akg3Wum3Fl</t>
  </si>
  <si>
    <t>syukuran argentina juara</t>
  </si>
  <si>
    <t>['syukuran', 'argentina', 'juara']</t>
  </si>
  <si>
    <t>ikut nangis waktu messi sama argentina juara pildun, negara orang lain padahal. kebayang kan aku kalo indonesia yang juara</t>
  </si>
  <si>
    <t>ikut nangis waktu messi sama argentina juara pildun negara orang lain padahal kebayang kan aku kalo indonesia yang juara</t>
  </si>
  <si>
    <t>['ikut', 'nangis', 'waktu', 'messi', 'sama', 'argentina', 'juara', 'piala dunia', 'negara', 'orang', 'padahal', 'kebayang', 'kan', 'aku', 'indonesia', 'juara']</t>
  </si>
  <si>
    <t>@AnggiOpan @idextratime Siap Bos. Argentina rela krisis ekonomi demi membayar FIFA untuk Juara Dunia.   Mimpi Messi &amp;gt; Jutaan Rakyat Argentina</t>
  </si>
  <si>
    <t>siap bos argentina rela krisis ekonomi demi membayar fifa untuk juara dunia mimpi messi jutaan rakyat argentina</t>
  </si>
  <si>
    <t>['siap', 'bos', 'argentina', 'rela', 'krisis', 'ekonomi', 'membayar', 'fifa', 'juara', 'dunia', 'mimpi', 'messi', 'jutaan', 'rakyat', 'argentina']</t>
  </si>
  <si>
    <t>@rosieareroses_ @elaventurerooo @tanyakanrl 5x jadi juara worldcup, argentina udh ngantongi juara 3x</t>
  </si>
  <si>
    <t>jadi juara worldcup argentina udh ngantongi juara</t>
  </si>
  <si>
    <t>['jadi', 'juara', 'worldcup', 'argentina', 'sudah', 'ngantongi', 'juara']</t>
  </si>
  <si>
    <t>Hanya di era irawan argentina bisa juara wc</t>
  </si>
  <si>
    <t>hanya era irawan argentina bisa juara</t>
  </si>
  <si>
    <t>['era', 'irawan', 'argentina', 'juara']</t>
  </si>
  <si>
    <t>@FaktaSepakbola Ya, begitulah rasanya. Jaman saya kecil dulu semua anak2 yang main bola pakai gawang sendal ingin jadi Maradona, pemain terhebat nomor 10! Sekarang, mereka menyaksikan Messi dan Argentina juara.  Argentina Juara Dunia!</t>
  </si>
  <si>
    <t>begitulah rasanya jaman saya kecil dulu semua anak yang main bola pakai gawang sendal ingin jadi maradona pemain terhebat nomor sekarang mereka menyaksikan messi dan argentina juara argentina juara dunia</t>
  </si>
  <si>
    <t>['begitulah', 'rasanya', 'jaman', 'kecil', 'dulu', 'semua', 'anak', 'main', 'bola', 'pakai', 'gawang', 'sendal', 'jadi', 'maradona', 'pemain', 'terhebat', 'nomor', 'sekarang', 'menyaksikan', 'messi', 'argentina', 'juara', 'argentina', 'juara', 'dunia']</t>
  </si>
  <si>
    <t>Indonesia harus mencontoh Argentina,  siapa tau nanti Juara AFF, tinggal sabar aja nunggu nya.</t>
  </si>
  <si>
    <t>indonesia harus mencontoh argentina siapa tau nanti juara aff tinggal sabar aja nunggu nya</t>
  </si>
  <si>
    <t>['indonesia', 'mencontoh', 'argentina', 'siapa', 'juara', 'aff', 'tinggal', 'sabar', 'nunggu']</t>
  </si>
  <si>
    <t>Girang Argentina Juara Piala Dunia 2022, Penonton Wanita di Qatar Nekat Tampil Tanpa Busana  https://t.co/UrvOBNFe85</t>
  </si>
  <si>
    <t>Tasyukuran Argentina juara!   VamosArgentina!</t>
  </si>
  <si>
    <t>tasyukuran argentina juara vamosargentina</t>
  </si>
  <si>
    <t>['tasyukuran', 'argentina', 'juara', 'vamosargentina']</t>
  </si>
  <si>
    <t>Dari Awal Ku Berharap Antara Portugal Dan Argentina Yang Jadi Juara. Agar Salah Satu Pemain Terbaiknya Bisa Pensiun Dengan Bahagia.. üò≠ Dan Ternyata Argentina Yang Jadi Juara.. ü•≤ Selamat.. ü•≥</t>
  </si>
  <si>
    <t>dari awal berharap antara portugal dan argentina yang jadi juara agar salah satu pemain terbaiknya bisa pensiun dengan bahagia dan ternyata argentina yang jadi juara selamat</t>
  </si>
  <si>
    <t>['awal', 'berharap', 'portugal', 'argentina', 'jadi', 'juara', 'salah', 'satu', 'pemain', 'terbaiknya', 'pensiun', 'bahagia', 'ternyata', 'argentina', 'jadi', 'juara', 'selamat']</t>
  </si>
  <si>
    <t>Puas lihat Argentina Juara... #PialaDunia2022  #ArgentinaVsFrance  #ArgentinaCampeon  https://t.co/T28zhe8P0o</t>
  </si>
  <si>
    <t>puas lihat argentina juara</t>
  </si>
  <si>
    <t>['puas', 'lihat', 'argentina', 'juara']</t>
  </si>
  <si>
    <t>Selamat buat Argentina dan Messi yang sudah menjadi Juara Liga Sepak Bola Dunia 2022.</t>
  </si>
  <si>
    <t>selamat buat argentina dan messi yang sudah menjadi juara liga sepak bola dunia</t>
  </si>
  <si>
    <t>['selamat', 'buat', 'argentina', 'messi', 'menjadi', 'juara', 'liga', 'sepak', 'bola', 'dunia']</t>
  </si>
  <si>
    <t>Bak Kisah Dongeng, Emiliano Martinez Baru Debut di Timnas Argentina Tahun 2021, Tapi Sudah Berikan Tiga Gelar Juara  https://t.co/tKuUaFP0xD  https://t.co/s6ocowrLPc</t>
  </si>
  <si>
    <t>bak kisah dongeng emiliano martinez baru debut timnas argentina tahun tapi sudah berikan tiga gelar juara</t>
  </si>
  <si>
    <t>['bak', 'kisah', 'dongeng', 'emiliano', 'martinez', 'baru', 'debut', 'timnas', 'argentina', 'tahun', 'berikan', 'tiga', 'gelar', 'juara']</t>
  </si>
  <si>
    <t>@Utatautha Untung Argentina juara, klo ga, habis dia jafi bulan-bulanan netijen</t>
  </si>
  <si>
    <t>untung argentina juara klo habis dia jafi bulan bulanan netijen</t>
  </si>
  <si>
    <t>['untung', 'argentina', 'juara', 'habis', 'jafi', 'bulan', 'bulanan', 'netijen']</t>
  </si>
  <si>
    <t>ARGENTINA JUARA PIALA DUNIA 2022!  https://t.co/tKmFZMBUtp</t>
  </si>
  <si>
    <t>Bawa Argentina Juara, Messi Ingin Perpanjang Karier di Timnas  https://t.co/LPCJC03hJX  https://t.co/VteiZVOiUw</t>
  </si>
  <si>
    <t>bawa argentina juara messi ingin perpanjang karier timnas</t>
  </si>
  <si>
    <t>['bawa', 'argentina', 'juara', 'messi', 'perpanjang', 'karier', 'timnas']</t>
  </si>
  <si>
    <t>Mana tuh yg kemarin bilang argentina gak ada mental juara, sini2 mau tak beliin nasi beguling</t>
  </si>
  <si>
    <t>mana tuh kemarin bilang argentina gak ada mental juara sini mau tak beliin nasi beguling</t>
  </si>
  <si>
    <t>['mana', 'kemarin', 'argentina', 'mental', 'juara', 'sini', 'mau', 'tak', 'beliin', 'nasi', 'beguling']</t>
  </si>
  <si>
    <t>Argentina Argentina Argentina Argentina Argentina Argentina Argentina Argentina Argentina Argentina juara berkat  presiden Argentina bertemu dengan pak Jokowi jadinya bisa menang juara  https://t.co/SYnpjB62KZ</t>
  </si>
  <si>
    <t>argentina argentina argentina argentina argentina argentina argentina argentina argentina argentina juara berkat presiden argentina bertemu dengan pak jokowi jadinya bisa menang juara</t>
  </si>
  <si>
    <t>['argentina', 'argentina', 'argentina', 'argentina', 'argentina', 'argentina', 'argentina', 'argentina', 'argentina', 'argentina', 'juara', 'berkat', 'presiden', 'argentina', 'bertemu', 'pak', 'jokowi', 'jadinya', 'menang', 'juara']</t>
  </si>
  <si>
    <t>&lt;FreqDist with 9 samples and 20 outcomes&gt;</t>
  </si>
  <si>
    <t>@xzdjie @idextratime Hey hey Ronaldo Nazario pernah bilang negara kandidat juara Brazil, namun akan sulit ketika ada Argentina Inggris dan Prancis, dan ada yg bertanya kalau Portugal? No no kandiy kuat yang sudah pernah juara piala dunia üî•üî•üî•</t>
  </si>
  <si>
    <t>hey hey ronaldo nazario pernah bilang negara kandidat juara brazil namun akan sulit ketika ada argentina inggris dan prancis dan ada bertanya kalau portugal kandiy kuat yang sudah pernah juara piala dunia</t>
  </si>
  <si>
    <t>['hey', 'hey', 'ronaldo', 'nazario', 'pernah', 'negara', 'kandidat', 'juara', 'brazil', 'sulit', 'argentina', 'inggris', 'prancis', 'bertanya', 'kalau', 'portugal', 'kandiy', 'kuat', 'pernah', 'juara', 'piala', 'dunia']</t>
  </si>
  <si>
    <t>@stadiuvm @dslksn @andiiskndr_ @idextratime terimakasih lu ke messi karna berhasil juara, coba gagal uda pasti gw bakal selalu muncul di komen ETI dan gw pastikan lu bakal kejang kejang liat bullyan gw ke Argentina üò≠üò≠üò≠üò≠üò≠ makasi bang messüò</t>
  </si>
  <si>
    <t>terimakasih messi karna berhasil juara coba gagal uda pasti bakal selalu muncul komen eti dan pastikan bakal kejang kejang liat bullyan argentina makasi bang mess</t>
  </si>
  <si>
    <t>['terimakasih', 'messi', 'karna', 'berhasil', 'juara', 'coba', 'gagal', 'uda', 'bakal', 'selalu', 'muncul', 'komen', 'eti', 'pastikan', 'bakal', 'kejang', 'kejang', 'lihat', 'bullyan', 'argentina', 'makasi', 'bang', 'mess']</t>
  </si>
  <si>
    <t>Wah, presiden Argentina bakalan memakai berita Argentia juara piala dunia untuk menutupi kebobrokan pemerintahannya.</t>
  </si>
  <si>
    <t>wah presiden argentina bakalan memakai berita argentia juara piala dunia untuk menutupi kebobrokan pemerintahannya</t>
  </si>
  <si>
    <t>['wah', 'presiden', 'argentina', 'bakalan', 'memakai', 'berita', 'argentia', 'juara', 'piala', 'dunia', 'menutupi', 'kebobrokan', 'pemerintahannya']</t>
  </si>
  <si>
    <t>Jika kalian melihat kesombongan fans messi/argentina. Sungguh kalian tidak akan percaya seberapa lebih kejinya haters messi saat argentina gagal juara.</t>
  </si>
  <si>
    <t>jika kalian melihat kesombongan fans messi argentina sungguh kalian tidak akan percaya seberapa lebih kejinya haters messi saat argentina gagal juara</t>
  </si>
  <si>
    <t>['kalian', 'melihat', 'kesombongan', 'fans', 'messi', 'argentina', 'sungguh', 'kalian', 'percaya', 'seberapa', 'lebih', 'kejinya', 'haters', 'messi', 'argentina', 'gagal', 'juara']</t>
  </si>
  <si>
    <t>Iri Dengki, John Terry Mengolok-olok Aguero yang Bergabung dalam Perayaan Argentina Juara Dunia  https://t.co/gb5kX7orgb</t>
  </si>
  <si>
    <t>iri dengki john terry mengolok olok aguero yang bergabung dalam perayaan argentina juara dunia</t>
  </si>
  <si>
    <t>['iri', 'dengki', 'john', 'terry', 'mengolok', 'olok', 'aguero', 'bergabung', 'perayaan', 'argentina', 'juara', 'dunia']</t>
  </si>
  <si>
    <t>@MafiaWasit Baru di Ketua PSSI sekarang Argentina bisa juara Duniaüòõüëç PSSI dan Pak Iwan Bule, Andalannnüí™</t>
  </si>
  <si>
    <t>baru ketua pssi sekarang argentina bisa juara dunia pssi dan pak iwan bule andalannn</t>
  </si>
  <si>
    <t>['baru', 'ketua', 'pssi', 'sekarang', 'argentina', 'juara', 'dunia', 'pssi', 'pak', 'iwan', 'bule', 'andalannn']</t>
  </si>
  <si>
    <t>@katasizarwo @SerieA_Lawas Gak liat yg cetak brace di semifinal siapa? Buset bahasnya sampe kualifikasi pildun ü§£ buktinya di pildun cuma dua kali starter soalnya Scaloni sadar kalo maenin dia terus Argentina gak bakal juara, jadinya lebih milih Alvarez</t>
  </si>
  <si>
    <t>lawas gak liat cetak brace semifinal siapa buset bahasnya sampe kualifikasi pildun buktinya pildun cuma dua kali starter soalnya scaloni sadar kalo maenin dia terus argentina gak bakal juara jadinya lebih milih alvarez</t>
  </si>
  <si>
    <t>['lawas', 'lihat', 'cetak', 'brace', 'semifinal', 'siapa', 'buset', 'bahasnya', 'sampai', 'kualifikasi', 'piala dunia', 'buktinya', 'piala dunia', 'cuma', 'kali', 'starter', 'soalnya', 'scaloni', 'sadar', 'maenin', 'terus', 'argentina', 'bakal', 'juara', 'jadinya', 'lebih', 'milih', 'alvarez']</t>
  </si>
  <si>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</si>
  <si>
    <t>pasca day juara dunia ngubek medsos saya twitter instagram linkedn tiktok you tube nyari tepat utk hadiah dari thanks</t>
  </si>
  <si>
    <t>['pasca', 'day', 'juara', 'dunia', 'ngubek', 'medsos', 'twitter', 'instagram', 'linkedn', 'tiktok', 'you', 'tube', 'nyari', 'tepat', 'hadiah', 'thanks']</t>
  </si>
  <si>
    <t>plis ada yang bikinin poster argentina juara terus di depannya ada iwan bule</t>
  </si>
  <si>
    <t>plis ada yang bikinin poster argentina juara terus depannya ada iwan bule</t>
  </si>
  <si>
    <t>['plis', 'bikinin', 'poster', 'argentina', 'juara', 'terus', 'depannya', 'iwan', 'bule']</t>
  </si>
  <si>
    <t>@Mahardikaaa27 efek argentina juara ya</t>
  </si>
  <si>
    <t>efek argentina juara</t>
  </si>
  <si>
    <t>['efek', 'argentina', 'juara']</t>
  </si>
  <si>
    <t>@fbyskm_ Mon maap ka, gw suka dunia sports dari sd sampe sekarang. Ini pildun 4taun skli, dan Argentina tim fav gw juara hari ini. Mau gamau gw harus ikut serta bersorak sorai di dunia persosmedan karna gw gatau 4taun kdpn gw msih bisa nntn pildun atau en</t>
  </si>
  <si>
    <t>mon maap suka dunia sports dari sampe sekarang ini pildun taun skli dan argentina tim fav juara hari ini mau gamau harus ikut serta bersorak sorai dunia persosmedan karna gatau taun kdpn msih bisa nntn pildun atau</t>
  </si>
  <si>
    <t>['mon', 'maap', 'suka', 'dunia', 'sports', 'sampai', 'sekarang', 'piala dunia', 'taun', 'skli', 'argentina', 'tim', 'fav', 'juara', 'hari', 'mau', 'gamau', 'ikut', 'bersorak', 'sorai', 'dunia', 'persosmedan', 'karna', 'gatau', 'taun', 'kdpn', 'msih', 'nonton', 'piala dunia']</t>
  </si>
  <si>
    <t>Kalah, ya kalah aja... Menang kalah dalam suatu pertandingan, itu biasa... Gak usah komen berlebihan. Argentina dan Prancis, sama sama bagus permainannya, hanya saja dlm hal ini Argentina yg harus jadi juara...</t>
  </si>
  <si>
    <t>kalah kalah aja menang kalah dalam suatu pertandingan itu biasa gak usah komen berlebihan argentina dan prancis sama sama bagus permainannya hanya saja dlm hal ini argentina harus jadi juara</t>
  </si>
  <si>
    <t>['kalah', 'kalah', 'menang', 'kalah', 'suatu', 'pertandingan', 'biasa', 'usah', 'komen', 'berlebihan', 'argentina', 'prancis', 'sama', 'sama', 'bagus', 'permainannya', 'dlm', 'argentina', 'jadi', 'juara']</t>
  </si>
  <si>
    <t>Kemaren sore teman-teman nanya yang menang siapa. Saya liat Argentina punya aura Juara, tapi semua ternyata hanya karena finalty, bukan karena pertempuran dilapangan, ya keberuntungan itu ada di Argentina. Tapi Messi itu ibarat pemain sirkus yg handal.  https://t.co/B0C8ZKdBF4</t>
  </si>
  <si>
    <t>kemaren sore teman teman nanya yang menang siapa saya liat argentina punya aura juara tapi semua ternyata hanya karena finalty bukan karena pertempuran dilapangan keberuntungan itu ada argentina tapi messi itu ibarat pemain sirkus handal</t>
  </si>
  <si>
    <t>['kemarin', 'sore', 'teman', 'teman', 'nanya', 'menang', 'siapa', 'lihat', 'argentina', 'punya', 'aura', 'juara', 'semua', 'ternyata', 'finalty', 'bukan', 'pertempuran', 'dilapangan', 'keberuntungan', 'argentina', 'messi', 'ibarat', 'pemain', 'sirkus', 'handal']</t>
  </si>
  <si>
    <t>Bukan Cuma Argentina, Ini Daftar Lengkap Negara Juara Piala Dunia dari Masa ke Masa, Siapa Terbanyak? #FIFAWorldCup  #pialadunia #Messi #Qatar2022 #Argentina #Prancis #Mbappe #WorldCup2022 @e100ss @InfosuporterID  https://t.co/eapJZ2gCrO</t>
  </si>
  <si>
    <t>bukan cuma argentina ini daftar lengkap negara juara piala dunia dari masa masa siapa terbanyak</t>
  </si>
  <si>
    <t>['bukan', 'cuma', 'argentina', 'daftar', 'lengkap', 'negara', 'juara', 'piala', 'dunia', 'masa', 'masa', 'siapa', 'terbanyak']</t>
  </si>
  <si>
    <t>Lautan Manusia di Bueons Aires Rayakan Sukses Argentina Juara Piala Dunia 2022  https://t.co/hlgRLkjGSv</t>
  </si>
  <si>
    <t>lautan manusia bueons aires rayakan sukses argentina juara piala dunia</t>
  </si>
  <si>
    <t>['lautan', 'manusia', 'bueons', 'aires', 'rayakan', 'sukses', 'argentina', 'juara', 'piala', 'dunia']</t>
  </si>
  <si>
    <t>Pelukan Kemenangan, Ibu Messi Lari ke Lapangan Dekap Putranya Usai Argentina Pastikan Juara  https://t.co/hhOwoAnKPS</t>
  </si>
  <si>
    <t>pelukan kemenangan ibu messi lari lapangan dekap putranya usai argentina pastikan juara</t>
  </si>
  <si>
    <t>['pelukan', 'kemenangan', 'ibu', 'messi', 'lari', 'lapangan', 'dekap', 'putranya', 'usai', 'argentina', 'pastikan', 'juara']</t>
  </si>
  <si>
    <t>Argentina juara pildun sampek kegowo ngimpi cuk. Tangi¬≤ diuber suporter bencong Argentina</t>
  </si>
  <si>
    <t>argentina juara pildun sampek kegowo ngimpi cuk tangi diuber suporter bencong argentina</t>
  </si>
  <si>
    <t>['argentina', 'juara', 'piala dunia', 'sampek', 'kegowo', 'ngimpi', 'cuk', 'tangi', 'diuber', 'suporter', 'bencong', 'argentina']</t>
  </si>
  <si>
    <t>@idextratime Takdir berkata Argentina Juara üôáüèª‚Äç‚ôÇÔ∏è</t>
  </si>
  <si>
    <t>takdir berkata argentina juara</t>
  </si>
  <si>
    <t>['takdir', 'berkata', 'argentina', 'juara']</t>
  </si>
  <si>
    <t>Arab Saudi patut berbangga... Karena hanya Arab Saudi yang bisa mengalahkan Sang Juara Argentina  https://t.co/2M2omMOlGs</t>
  </si>
  <si>
    <t>arab saudi patut berbangga karena hanya arab saudi yang bisa mengalahkan sang juara argentina</t>
  </si>
  <si>
    <t>['arab', 'saudi', 'patut', 'berbangga', 'arab', 'saudi', 'mengalahkan', 'sang', 'juara', 'argentina']</t>
  </si>
  <si>
    <t>Suasana keriuhan sorakan warga Buenos Aires, ibukota Argentina saat negaranya berhasil meraih juara Piala Dunia #Qatar2022 ‚öΩÔ∏è #Nalar</t>
  </si>
  <si>
    <t>suasana keriuhan sorakan warga buenos aires ibukota argentina saat negaranya berhasil meraih juara piala dunia</t>
  </si>
  <si>
    <t>['suasana', 'keriuhan', 'sorakan', 'warga', 'buenos', 'aires', 'ibukota', 'argentina', 'negaranya', 'berhasil', 'meraih', 'juara', 'piala', 'dunia']</t>
  </si>
  <si>
    <t>Juara Piala Dunia Tahun Argentina Juara Kali Ketiga  https://t.co/FVrL9hR2qB</t>
  </si>
  <si>
    <t>juara piala dunia tahun argentina juara kali ketiga</t>
  </si>
  <si>
    <t>['juara', 'piala', 'dunia', 'tahun', 'argentina', 'juara', 'kali', 'ketiga']</t>
  </si>
  <si>
    <t>semenjak argentina juara world cup 2022. hari ini, gw jadi paranoid liat tiktok sama twitter</t>
  </si>
  <si>
    <t>semenjak argentina juara world cup hari ini jadi paranoid liat tiktok sama twitter</t>
  </si>
  <si>
    <t>['semenjak', 'argentina', 'juara', 'world', 'cup', 'hari', 'jadi', 'paranoid', 'lihat', 'tiktok', 'sama', 'twitter']</t>
  </si>
  <si>
    <t>@ndagels Di zaman @AgusYudhoyono Argentina juara dan bang messi jadi pemain terbaik</t>
  </si>
  <si>
    <t>zaman argentina juara dan bang messi jadi pemain terbaik</t>
  </si>
  <si>
    <t>['zaman', 'argentina', 'juara', 'bang', 'messi', 'jadi', 'pemain', 'terbaik']</t>
  </si>
  <si>
    <t>Berapa Hadiah Uang yang Diterima Argentina sebagai Juara Piala Dunia?  https://t.co/T3WJCfPXet</t>
  </si>
  <si>
    <t>berapa hadiah uang yang diterima argentina sebagai juara piala dunia</t>
  </si>
  <si>
    <t>['berapa', 'hadiah', 'uang', 'diterima', 'argentina', 'juara', 'piala', 'dunia']</t>
  </si>
  <si>
    <t>Usai Juara, Pelatih Timnas Argentina Minta Lionel Messi Main Lagi di Piala Dunia 2026   https://t.co/cIxQgbUtqD</t>
  </si>
  <si>
    <t>usai juara pelatih timnas argentina minta lionel messi main lagi piala dunia</t>
  </si>
  <si>
    <t>['usai', 'juara', 'pelatih', 'timnas', 'argentina', 'minta', 'lionel', 'messi', 'main', 'piala', 'dunia']</t>
  </si>
  <si>
    <t>MacAllister uangkap rahasia Argentina Juara Piala Dunia 2022! . #EMTEKWORLDCUP2022 #BOLANETWORLDCUP2022 #PialaDunia #PialaDunia2022  https://t.co/MO8Iq1wjb1</t>
  </si>
  <si>
    <t>macallister uangkap rahasia argentina juara piala dunia</t>
  </si>
  <si>
    <t>['macallister', 'uangkap', 'rahasia', 'argentina', 'juara', 'piala', 'dunia']</t>
  </si>
  <si>
    <t>Argentina yg juara tetap pak ketum @PSSI @iriawan84 yg angkat piala üòÇü§£üòÇü§£</t>
  </si>
  <si>
    <t>argentina juara tetap pak ketum angkat piala</t>
  </si>
  <si>
    <t>['argentina', 'juara', 'tetap', 'pak', 'ketum', 'angkat', 'piala']</t>
  </si>
  <si>
    <t>Messi Antarkan Argentina Juara Piala Dunia, Budiman Sudjatmiko: Cara yang Indah Untuk 'Mengakhiri' Sebuah Era  Follow kami untuk berita menarik lainnyaüåê  #FIFAWorldCup #ArgentinaVsFrance #WorldCupFinal #Qatar2022 Sheikh Messi Greatest Of All Time De Paul  https://t.co/PbXYRQe1hj</t>
  </si>
  <si>
    <t>messi antarkan argentina juara piala dunia budiman sudjatmiko cara yang indah untuk mengakhiri sebuah era follow kami untuk berita menarik lainnya sheikh messi greatest all time paul</t>
  </si>
  <si>
    <t>['messi', 'antarkan', 'argentina', 'juara', 'piala', 'dunia', 'budiman', 'sudjatmiko', 'cara', 'indah', 'mengakhiri', 'sebuah', 'era', 'follow', 'berita', 'menarik', 'lainnya', 'sheikh', 'messi', 'greatest', 'all', 'time', 'paul']</t>
  </si>
  <si>
    <t>@idextratime Teruskanlah karanganmu... Seolah olah argentina gak juara... üòÇüòÇüòÇ...   Sampek berbusa mulutmu... üòÇüòÇüòÇ  Tetep argentina yg jd pemenangnya...</t>
  </si>
  <si>
    <t>teruskanlah karanganmu seolah olah argentina gak juara sampek berbusa mulutmu tetep argentina pemenangnya</t>
  </si>
  <si>
    <t>['teruskanlah', 'karanganmu', 'olah', 'argentina', 'juara', 'sampek', 'berbusa', 'mulutmu', 'tetep', 'argentina', 'pemenangnya']</t>
  </si>
  <si>
    <t>Selamat buat Argentina juara 1 world cup Qatar 2022. Pendukung Argentina full senyum...  #Satu #PKB #pkbno1 #ArgentinaCampeon #Messi  https://t.co/ZdtoqYzmXO</t>
  </si>
  <si>
    <t>selamat buat argentina juara world cup qatar pendukung argentina full senyum</t>
  </si>
  <si>
    <t>['selamat', 'buat', 'argentina', 'juara', 'world', 'cup', 'qatar', 'pendukung', 'argentina', 'full', 'senyum']</t>
  </si>
  <si>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</si>
  <si>
    <t>ini diliat wasit berarti sehrsnya ada penalti dong buat prancis secara kan tuh bola nyentuh tangan pemain prancis but wasit manusia setdknya usaha pemain argentina tdk sia mereka emang layak tuk jadi juara congrats argentina</t>
  </si>
  <si>
    <t>['diliat', 'wasit', 'berarti', 'sehrsnya', 'penalti', 'dong', 'buat', 'prancis', 'kan', 'bola', 'nyentuh', 'tangan', 'pemain', 'prancis', 'but', 'wasit', 'manusia', 'setdknya', 'usaha', 'pemain', 'argentina', 'sia', 'emang', 'layak', 'tuk', 'jadi', 'juara', 'congrats', 'argentina']</t>
  </si>
  <si>
    <t>@idextratime Mau debat gimanapun emang argentina udah kayak didukung semesta buat jadi juara,bukan hanya difinal saja 1/4 dan 1/2 juga argentina selalu diuntungin wasit. Selama di qatar cuma vs arab argentina dirugikan wasit</t>
  </si>
  <si>
    <t>mau debat gimanapun emang argentina udah kayak didukung semesta buat jadi juara bukan hanya difinal saja dan juga argentina selalu diuntungin wasit selama qatar cuma arab argentina dirugikan wasit</t>
  </si>
  <si>
    <t>['mau', 'debat', 'gimanapun', 'emang', 'argentina', 'udah', 'seperti', 'didukung', 'semesta', 'buat', 'jadi', 'juara', 'bukan', 'difinal', 'argentina', 'selalu', 'diuntungin', 'wasit', 'selama', 'qatar', 'cuma', 'arab', 'argentina', 'dirugikan', 'wasit']</t>
  </si>
  <si>
    <t>setelah menjadi saksi Messi membawa Argentina menjadi juara dunia, saatnya Nketiah membawa Arsenal juara BPL..</t>
  </si>
  <si>
    <t>setelah menjadi saksi messi membawa argentina menjadi juara dunia saatnya nketiah membawa arsenal juara bpl</t>
  </si>
  <si>
    <t>['menjadi', 'saksi', 'messi', 'membawa', 'argentina', 'menjadi', 'juara', 'dunia', 'saatnya', 'nketiah', 'membawa', 'arsenal', 'juara', 'bpl']</t>
  </si>
  <si>
    <t>Argentina juara Piala Dunia 2022 seusai kalahkan Prancis lewat adu penalti  https://t.co/PRoS6Mdz6z</t>
  </si>
  <si>
    <t>argentina juara piala dunia seusai kalahkan prancis lewat adu penalti</t>
  </si>
  <si>
    <t>['argentina', 'juara', 'piala', 'dunia', 'seusai', 'kalahkan', 'prancis', 'lewat', 'adu', 'penalti']</t>
  </si>
  <si>
    <t>@Partono_ADjem Kira kira pak ketum pssi argentina manfaatin buat nyapres ga ya kalo udah juara gini</t>
  </si>
  <si>
    <t>adjem kira kira pak ketum pssi argentina manfaatin buat nyapres kalo udah juara gini</t>
  </si>
  <si>
    <t>['adjem', 'kira', 'kira', 'pak', 'ketum', 'pssi', 'argentina', 'manfaatin', 'buat', 'nyapres', 'udah', 'juara', 'gini']</t>
  </si>
  <si>
    <t>ngeliat temen yang bilang argentina juara piala dunia since day one pagi ini mukanya cerah berseri seri. i don't even care doi pake kemeja pantai literally gambar pantai, his face looks so bright dan manis sekaliii</t>
  </si>
  <si>
    <t>ngeliat temen yang bilang argentina juara piala dunia since day one pagi ini mukanya cerah berseri seri don even care doi pake kemeja pantai literally gambar pantai his face looks bright dan manis sekaliii</t>
  </si>
  <si>
    <t>['ngeliat', 'temen', 'argentina', 'juara', 'piala', 'dunia', 'since', 'day', 'one', 'pagi', 'mukanya', 'cerah', 'berseri', 'seri', 'don', 'even', 'care', 'doi', 'pake', 'kemeja', 'pantai', 'literally', 'gambar', 'pantai', 'his', 'face', 'looks', 'bright', 'manis', 'sekaliii']</t>
  </si>
  <si>
    <t>Hebatnya Messi dan Boncosnya Drake Pegang Argentina Juara  https://t.co/o6MfXBp4HD</t>
  </si>
  <si>
    <t>hebatnya messi dan boncosnya drake pegang argentina juara</t>
  </si>
  <si>
    <t>['hebatnya', 'messi', 'boncosnya', 'drake', 'pegang', 'argentina', 'juara']</t>
  </si>
  <si>
    <t>Hebatnya Messi dan Boncosnya Drake Pegang Argentina Juara  https://t.co/6MfXVFTFm5</t>
  </si>
  <si>
    <t>@VtoSoeVtoSoe @registaco Kalau duetnya Aguero bisa gak juara dunia Argentina.</t>
  </si>
  <si>
    <t>kalau duetnya aguero bisa gak juara dunia argentina</t>
  </si>
  <si>
    <t>['kalau', 'duetnya', 'aguero', 'juara', 'dunia', 'argentina']</t>
  </si>
  <si>
    <t>Pengakuan Lionel Messi Setelah Argentina Juara Dunia: Saya Tahu Akan Memenangkan Piala Dunia   https://t.co/luSEoEVmnA</t>
  </si>
  <si>
    <t>pengakuan lionel messi setelah argentina juara dunia saya tahu akan memenangkan piala dunia</t>
  </si>
  <si>
    <t>['pengakuan', 'lionel', 'messi', 'argentina', 'juara', 'dunia', 'tahu', 'memenangkan', 'piala', 'dunia']</t>
  </si>
  <si>
    <t>Lionel Messi Akhirnya Berhasil Membawa Argentina Menjadi Juara Piala Dunia 2022  https://t.co/BnmNk92Rot</t>
  </si>
  <si>
    <t>lionel messi akhirnya berhasil membawa argentina menjadi juara piala dunia</t>
  </si>
  <si>
    <t>['lionel', 'messi', 'akhirnya', 'berhasil', 'membawa', 'argentina', 'menjadi', 'juara', 'piala', 'dunia']</t>
  </si>
  <si>
    <t>@registaco orang yang paling berjasa bawa argentina juara, kabarnya sih sampe berdarah darah beliau</t>
  </si>
  <si>
    <t>orang yang paling berjasa bawa argentina juara kabarnya sih sampe berdarah darah beliau</t>
  </si>
  <si>
    <t>['orang', 'paling', 'berjasa', 'bawa', 'argentina', 'juara', 'kabarnya', 'sampai', 'berdarah', 'darah', 'beliau']</t>
  </si>
  <si>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</si>
  <si>
    <t>argentina jadi juara piala dunia setelah mengalahkan prancis melalui babak adu penalti laga berlanjut babak adu penalti yang dimenangi argentina dengan skor empat penendang argentina adalah lionel messi paulo dybala leandro paredes dan gonzalo montiel</t>
  </si>
  <si>
    <t>['argentina', 'jadi', 'juara', 'piala', 'dunia', 'mengalahkan', 'prancis', 'melalui', 'babak', 'adu', 'penalti', 'laga', 'berlanjut', 'babak', 'adu', 'penalti', 'dimenangi', 'argentina', 'skor', 'empat', 'penendang', 'argentina', 'lionel', 'messi', 'paulo', 'dybala', 'leandro', 'paredes', 'gonzalo', 'montiel']</t>
  </si>
  <si>
    <t>@idextratime Udah juara ini anjir!! Udah diukir juga itu argentina di piala, yakali lo mau tipex</t>
  </si>
  <si>
    <t>udah juara ini anjir udah diukir juga itu argentina piala yakali mau tipex</t>
  </si>
  <si>
    <t>['udah', 'juara', 'anjir', 'udah', 'diukir', 'argentina', 'piala', 'yakali', 'mau', 'tipex']</t>
  </si>
  <si>
    <t>Rakyat Argentina berkumpul di jantung Buenos Aires. Mereka berpesta merayakan timnas Argentina yang berhasil menjadi juara Piala Dunia Qatar 2022.  #juaraboladunia #Argentina  https://t.co/jH7nadmenf</t>
  </si>
  <si>
    <t>rakyat argentina berkumpul jantung buenos aires mereka berpesta merayakan timnas argentina yang berhasil menjadi juara piala dunia qatar</t>
  </si>
  <si>
    <t>['rakyat', 'argentina', 'berkumpul', 'jantung', 'buenos', 'aires', 'berpesta', 'merayakan', 'timnas', 'argentina', 'berhasil', 'menjadi', 'juara', 'piala', 'dunia', 'qatar']</t>
  </si>
  <si>
    <t>Rakyat Argentina berkumpul di jantung Buenos Aires. Mereka berpesta merayakan timnas Argentina yang berhasil menjadi juara Piala Dunia Qatar 2022.  #juaraboladunia #Argentina  https://t.co/JIRUjNxE5T</t>
  </si>
  <si>
    <t>@krisna2d Yuhuuu. Selamat ya masss Argentina juara. Selamat berpestaa üòâ</t>
  </si>
  <si>
    <t>yuhuuu selamat masss argentina juara selamat berpestaa</t>
  </si>
  <si>
    <t>['yuhuuu', 'selamat', 'masss', 'argentina', 'juara', 'selamat', 'berpestaa']</t>
  </si>
  <si>
    <t>Antonela Roccuzzo tak dapat menyembunyikan rasa bahagia dan bangganya atas pencapaian sang suami, Lionel Messi, usai Argentina jadi juara Piala Dunia 2022. Aww, begini ungkapannya!üòç  https://t.co/3zKWVvsG0S</t>
  </si>
  <si>
    <t>antonela roccuzzo tak dapat menyembunyikan rasa bahagia dan bangganya atas pencapaian sang suami lionel messi usai argentina jadi juara piala dunia aww begini ungkapannya</t>
  </si>
  <si>
    <t>['antonela', 'roccuzzo', 'tak', 'menyembunyikan', 'rasa', 'bahagia', 'bangganya', 'atas', 'pencapaian', 'sang', 'suami', 'lionel', 'messi', 'usai', 'argentina', 'jadi', 'juara', 'piala', 'dunia', 'aww', 'begini', 'ungkapannya']</t>
  </si>
  <si>
    <t>Antonela Roccuzzo tak dapat menyembunyikan rasa bahagia dan bangganya atas pencapaian sang suami, Lionel Messi, usai Argentina jadi juara Piala Dunia 2022. Aww, begini ungkapannya!üòç  https://t.co/jVJfSNdw5E</t>
  </si>
  <si>
    <t>@ocsanthree @registaco ibaratnya kalo messi songong gapapa, dia pemain terbaik, cetak goal difinal, bawa argentina juara. ini mon maap aguero maen aja kagak songong nya selangit jir  https://t.co/NGH4F8teqP</t>
  </si>
  <si>
    <t>ibaratnya kalo messi songong gapapa dia pemain terbaik cetak goal difinal bawa argentina juara ini mon maap aguero maen aja kagak songong nya selangit jir</t>
  </si>
  <si>
    <t>['ibaratnya', 'messi', 'songong', 'gapapa', 'pemain', 'terbaik', 'cetak', 'goal', 'difinal', 'bawa', 'argentina', 'juara', 'mon', 'maap', 'aguero', 'maen', 'kagak', 'songong', 'selangit', 'jir']</t>
  </si>
  <si>
    <t>Lionel Scaloni membuktikan usia bukan halangan membawa Argentina juara Piala Dunia 2022. Dia baru saja mengikuti jejak Cesar Luis Menotti. Apa itu? #juaraboladunia    https://t.co/ImX46XjAfs</t>
  </si>
  <si>
    <t>lionel scaloni membuktikan usia bukan halangan membawa argentina juara piala dunia dia baru saja mengikuti jejak cesar luis menotti apa itu</t>
  </si>
  <si>
    <t>['lionel', 'scaloni', 'membuktikan', 'usia', 'bukan', 'halangan', 'membawa', 'argentina', 'juara', 'piala', 'dunia', 'baru', 'mengikuti', 'jejak', 'cesar', 'luis', 'menotti', 'apa']</t>
  </si>
  <si>
    <t>@RealBrasil_BR @thinkaboutjinju ini nih gua ga setuju kalo Argentina juara, rasisnya lebih parah daripada orang Indo</t>
  </si>
  <si>
    <t>ini nih gua setuju kalo argentina juara rasisnya lebih parah daripada orang indo</t>
  </si>
  <si>
    <t>['gua', 'setuju', 'argentina', 'juara', 'rasisnya', 'lebih', 'parah', 'orang', 'indo']</t>
  </si>
  <si>
    <t>Dulu banyak yang menyepelekan tinggi badan Siwan. Apalagi waktu berdiri di aktris tinggi. Tapi mereka yang menyepelekan Siwan harus diingatkan kalau Leonel Messi yang tingginya 169cm yang kembali membawa Argentina juara piala dunia 2022. Jadi, jangan remeh kepada seseorang</t>
  </si>
  <si>
    <t>dulu banyak yang menyepelekan tinggi badan siwan apalagi waktu berdiri aktris tinggi tapi mereka yang menyepelekan siwan harus diingatkan kalau leonel messi yang tingginya yang kembali membawa argentina juara piala dunia jadi jangan remeh kepada seseorang</t>
  </si>
  <si>
    <t>['dulu', 'banyak', 'menyepelekan', 'tinggi', 'badan', 'siwan', 'waktu', 'berdiri', 'aktris', 'tinggi', 'menyepelekan', 'siwan', 'diingatkan', 'kalau', 'leonel', 'messi', 'tingginya', 'membawa', 'argentina', 'juara', 'piala', 'dunia', 'jadi', 'jangan', 'remeh', 'seseorang']</t>
  </si>
  <si>
    <t>Lionel Messi Tidak Akan Pensiun dari Argentina Setelah Menjadi Juara Piala Dunia  https://t.co/CMWJ4XgDEl</t>
  </si>
  <si>
    <t>lionel messi tidak akan pensiun dari argentina setelah menjadi juara piala dunia</t>
  </si>
  <si>
    <t>['lionel', 'messi', 'pensiun', 'argentina', 'menjadi', 'juara', 'piala', 'dunia']</t>
  </si>
  <si>
    <t>@idextratime Intinya YAAA yang argentina argentina azzza bestieeüñ§üñ§üñ§üñ§üá¶üá∑üá¶üá∑üá¶üá∑üá¶üá∑üôèüèªüôèüèªüôèüèª</t>
  </si>
  <si>
    <t>intinya yaaa yang argentina argentina azzza bestiee</t>
  </si>
  <si>
    <t>['intinya', 'yaaa', 'argentina', 'argentina', 'azzza', 'bestiee']</t>
  </si>
  <si>
    <t>Lionel Scaloni: Saatnya Rakyat Argentina Nikmati Pesta Juara Dunia  https://t.co/jQcTkKLWvE</t>
  </si>
  <si>
    <t>lionel scaloni saatnya rakyat argentina nikmati pesta juara dunia</t>
  </si>
  <si>
    <t>['lionel', 'scaloni', 'saatnya', 'rakyat', 'argentina', 'nikmati', 'pesta', 'juara', 'dunia']</t>
  </si>
  <si>
    <t>@pilihanmubknaku Hbd ya kak, semoga Argentina juara piala dunia.</t>
  </si>
  <si>
    <t>Menanti Netflix tentang perjalanan juara Argentina nih.   Kemarin kan udah Italy.  Kalo inggris mah ya tau lah....masih 1000 tahun lagi juara</t>
  </si>
  <si>
    <t>menanti netflix tentang perjalanan juara argentina nih kemarin kan udah italy kalo inggris mah tau lah masih tahun lagi juara</t>
  </si>
  <si>
    <t>['menanti', 'netflix', 'perjalanan', 'juara', 'argentina', 'kemarin', 'kan', 'udah', 'italy', 'inggris', 'mah', 'lah', 'tahun', 'juara']</t>
  </si>
  <si>
    <t>Gapape dah argentina juara gr gr org aljazair ngentot pada bela prancis</t>
  </si>
  <si>
    <t>gapape dah argentina juara org aljazair ngentot pada bela prancis</t>
  </si>
  <si>
    <t>['gapape', 'dah', 'argentina', 'juara', 'org', 'aljazair', 'ngentot', 'bela', 'prancis']</t>
  </si>
  <si>
    <t>@_Pangareho Slamat atas kemenangan Argentina, sbagai juara world Cup 2022-qatar, jgn lupa dipijat yaa, biar badan santai nih üòÅ  https://t.co/Hzl0733eJb</t>
  </si>
  <si>
    <t>slamat atas kemenangan argentina sbagai juara world cup qatar jgn lupa dipijat yaa biar badan santai nih</t>
  </si>
  <si>
    <t>['slamat', 'atas', 'kemenangan', 'argentina', 'sbagai', 'juara', 'world', 'cup', 'qatar', 'lupa', 'dipijat', 'ya', 'badan', 'santai']</t>
  </si>
  <si>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</si>
  <si>
    <t>pelatih argentina lionel scaloni pas perayaan juara piala dunia semalem pakai jersey dia pas juara piala dunia malaysia saat itu argentina juara stadion shah alam menang lawan uruguay tim argentina juga berisi riquelme aimar cambiasso dkk</t>
  </si>
  <si>
    <t>['pelatih', 'argentina', 'lionel', 'scaloni', 'pas', 'perayaan', 'juara', 'piala', 'dunia', 'semalam', 'pakai', 'jersey', 'pas', 'juara', 'piala', 'dunia', 'malaysia', 'argentina', 'juara', 'stadion', 'shah', 'alam', 'menang', 'lawan', 'uruguay', 'tim', 'argentina', 'berisi', 'riquelme', 'aimar', 'cambiasso', 'dkk']</t>
  </si>
  <si>
    <t>Menang Penalti, Argentina Juara Piala Dunia 2022  https://t.co/XXwiaqLLi0</t>
  </si>
  <si>
    <t>menang penalti argentina juara piala dunia</t>
  </si>
  <si>
    <t>['menang', 'penalti', 'argentina', 'juara', 'piala', 'dunia']</t>
  </si>
  <si>
    <t>Simak! Profil Singkat Lionel Messi Pemain PSG yang Sukses Raih Juara Piala Dunia bersama Argentina  https://t.co/pzxnv1k93T</t>
  </si>
  <si>
    <t>simak profil singkat lionel messi pemain psg yang sukses raih juara piala dunia bersama argentina</t>
  </si>
  <si>
    <t>['simak', 'profil', 'singkat', 'lionel', 'messi', 'pemain', 'psg', 'sukses', 'raih', 'juara', 'piala', 'dunia', 'bersama', 'argentina']</t>
  </si>
  <si>
    <t>Argentina jadi juara Piala Dunia 2022 setelah kalahkan Prancis lewat adu penalti. Bawa pulang hingga ratusan miliar, ini daftar hadiah yang mereka dapatkan. #juaraboladunia   https://t.co/Qe0Xvum2x3</t>
  </si>
  <si>
    <t>Argentina bisa juara karna wasite dibayar..</t>
  </si>
  <si>
    <t>argentina bisa juara karna wasite dibayar</t>
  </si>
  <si>
    <t>['argentina', 'juara', 'karna', 'wasite', 'dibayar']</t>
  </si>
  <si>
    <t>sisi positif argentina juara adalah gw gajadi keliling saparua sambil bugil ajg</t>
  </si>
  <si>
    <t>sisi positif argentina juara adalah gajadi keliling saparua sambil bugil ajg</t>
  </si>
  <si>
    <t>['sisi', 'positif', 'argentina', 'juara', 'gajadi', 'keliling', 'saparua', 'bugil', 'ajg']</t>
  </si>
  <si>
    <t>Argentina Juara Piala Dunia, Messi Catat Sejarah¬†Besar  https://t.co/YvfUQ1xhQy</t>
  </si>
  <si>
    <t>argentina juara piala dunia messi catat sejarah besar</t>
  </si>
  <si>
    <t>['argentina', 'juara', 'piala', 'dunia', 'messi', 'catat', 'sejarah', 'besar']</t>
  </si>
  <si>
    <t>ibaratnya pemain seperti messi, dimaria, emi, enzo dll kalo songong gapapa. mereka udah bawa argentina juara. elu itu bang @aguerosergiokun cuma cheerleaders, tapi songongnya kebangetan melebihi pemain yang main dilapangan. malu.</t>
  </si>
  <si>
    <t>ibaratnya pemain seperti messi dimaria emi enzo dll kalo songong gapapa mereka udah bawa argentina juara elu itu bang cuma cheerleaders tapi songongnya kebangetan melebihi pemain yang main dilapangan malu</t>
  </si>
  <si>
    <t>['ibaratnya', 'pemain', 'messi', 'dimaria', 'emi', 'enzo', 'songong', 'gapapa', 'udah', 'bawa', 'argentina', 'juara', 'elu', 'bang', 'cuma', 'cheerleaders', 'songongnya', 'kebangetan', 'melebihi', 'pemain', 'main', 'dilapangan', 'malu']</t>
  </si>
  <si>
    <t>Argentina juara Piala Dunia kalahkan Prancis lewat adu penalti  #PapuanLivesMatter  #Papua   https://t.co/IkBLCfArxI</t>
  </si>
  <si>
    <t>argentina juara piala dunia kalahkan prancis lewat adu penalti</t>
  </si>
  <si>
    <t>@RF1_Racing Hehehe... Yang penting Argentina juara... Terima Kasih EMTEK group  https://t.co/fzdMpHwAsO</t>
  </si>
  <si>
    <t>racing hehehe yang penting argentina juara terima kasih emtek group</t>
  </si>
  <si>
    <t>['racing', 'hehehe', 'penting', 'argentina', 'juara', 'terima', 'kasih', 'emtek', 'group']</t>
  </si>
  <si>
    <t>Lionel Messi membawa Argentina menjadi juara Piala Dunia dan menyandang gelar Greatest of All Time, penyakit growth hormon disorder (GHD) tak jad penghalang,   https://t.co/zSX9ZpdIZJ</t>
  </si>
  <si>
    <t>lionel messi membawa argentina menjadi juara piala dunia dan menyandang gelar greatest all time penyakit growth hormon disorder ghd tak jad penghalang</t>
  </si>
  <si>
    <t>['lionel', 'messi', 'membawa', 'argentina', 'menjadi', 'juara', 'piala', 'dunia', 'menyandang', 'gelar', 'greatest', 'all', 'time', 'penyakit', 'growth', 'hormon', 'disorder', 'ghd', 'tak', 'jad', 'penghalang']</t>
  </si>
  <si>
    <t>Kroasia Raih Juara Ketiga, Petanda Kuat Argentina Juara Piala Dunia 2022   https://t.co/DFokozdISt #PialaDunia2022 #kroasia #Argentina</t>
  </si>
  <si>
    <t>kroasia raih juara ketiga petanda kuat argentina juara piala dunia</t>
  </si>
  <si>
    <t>['kroasia', 'raih', 'juara', 'ketiga', 'petanda', 'kuat', 'argentina', 'juara', 'piala', 'dunia']</t>
  </si>
  <si>
    <t>@convomf argentina juara dunia, susanti mengumumkan untuk pensiun dari dunia kartun, terima kasih susanti</t>
  </si>
  <si>
    <t>argentina juara dunia susanti mengumumkan untuk pensiun dari dunia kartun terima kasih susanti</t>
  </si>
  <si>
    <t>['argentina', 'juara', 'dunia', 'susanti', 'mengumumkan', 'pensiun', 'dunia', 'kartun', 'terima', 'kasih', 'susanti']</t>
  </si>
  <si>
    <t>GUEEEE SETIMMM DONGG SAMA JONGINNNN IYADONGGG ARGENTINAAAA FAMOSS FAMOSS FAMOSSSS GUE BERENTI GAMON UDHHH BEBBBBüñ§üñ§üñ§üñ§  https://t.co/BkpdWrSTox</t>
  </si>
  <si>
    <t>gueeee setimmm dongg sama jonginnnn iyadonggg argentinaaaa famoss famoss famossss gue berenti gamon udhhh bebbbb</t>
  </si>
  <si>
    <t>['gueeee', 'setimmm', 'dongg', 'sama', 'jonginnnn', 'iyadonggg', 'argentinaaaa', 'famoss', 'famoss', 'famossss', 'gue', 'berenti', 'gamon', 'udhhh', 'bebbbb']</t>
  </si>
  <si>
    <t>Selamat untuk Argentina sebagai juara pildun, jadi siapa goat sebenarnya guys? #Qatar2022 #WorldCupFinal</t>
  </si>
  <si>
    <t>selamat untuk argentina sebagai juara pildun jadi siapa goat sebenarnya guys</t>
  </si>
  <si>
    <t>['selamat', 'argentina', 'juara', 'piala dunia', 'jadi', 'siapa', 'goat', 'sebenarnya', 'guys']</t>
  </si>
  <si>
    <t>Dan terakhir, angkat topi untuk Lionel Messi. Bahagia Argentina menang tapi kembali sedih karena ini "last dance" buat Messi. Terima kasih banyak untuk perjuangannya bersama Argentina. Argentina, juara dunia 2022 ü•≥ü•≥ü•≥ü•≥  https://t.co/xsx9CGtIfX</t>
  </si>
  <si>
    <t>dan terakhir angkat topi untuk lionel messi bahagia argentina menang tapi kembali sedih karena ini last dance buat messi terima kasih banyak untuk perjuangannya bersama argentina argentina juara dunia</t>
  </si>
  <si>
    <t>['terakhir', 'angkat', 'topi', 'lionel', 'messi', 'bahagia', 'argentina', 'menang', 'sedih', 'last', 'dance', 'buat', 'messi', 'terima', 'kasih', 'banyak', 'perjuangannya', 'bersama', 'argentina', 'argentina', 'juara', 'dunia']</t>
  </si>
  <si>
    <t>WAGs Timnas Argentina kompak berkumpul di lapangan hijau usai menjadi juara Piala Dunia 2022 di final digelar Minggu (118/12/2022). Ada 14 istri dan kekasih pemain Argentina yang kompak pose bareng.   https://t.co/YoYBvRFmpS</t>
  </si>
  <si>
    <t>wags timnas argentina kompak berkumpul lapangan hijau usai menjadi juara piala dunia final digelar minggu ada istri dan kekasih pemain argentina yang kompak pose bareng</t>
  </si>
  <si>
    <t>['wags', 'timnas', 'argentina', 'kompak', 'berkumpul', 'lapangan', 'hijau', 'usai', 'menjadi', 'juara', 'piala', 'dunia', 'final', 'digelar', 'minggu', 'istri', 'kekasih', 'pemain', 'argentina', 'kompak', 'pose', 'bareng']</t>
  </si>
  <si>
    <t>Messi Berikan Persembahan Terakhir yang Menakjubkan! Argentina Juara Piala Dunia¬†2022  https://t.co/d4WGVsrq9h</t>
  </si>
  <si>
    <t>messi berikan persembahan terakhir yang menakjubkan argentina juara piala dunia</t>
  </si>
  <si>
    <t>['messi', 'berikan', 'persembahan', 'terakhir', 'menakjubkan', 'argentina', 'juara', 'piala', 'dunia']</t>
  </si>
  <si>
    <t>@Dennysiregar7 Di era pak Jokowi Argentina juara dunia, fix no debat üòÇ  https://t.co/2RxpuXXDDp</t>
  </si>
  <si>
    <t>era pak jokowi argentina juara dunia fix debat</t>
  </si>
  <si>
    <t>['era', 'pak', 'jokowi', 'argentina', 'juara', 'dunia', 'fix', 'debat']</t>
  </si>
  <si>
    <t>@zivamagnolyeah Gw walopun berharap Argentina menang, tp lihat pertandingan semalem gw jadi semakin tahu klo Prancis memang pantas berada di level juara, dan menjadi juara di hati gw.</t>
  </si>
  <si>
    <t>walopun berharap argentina menang lihat pertandingan semalem jadi semakin tahu klo prancis memang pantas berada level juara dan menjadi juara hati</t>
  </si>
  <si>
    <t>['walopun', 'berharap', 'argentina', 'menang', 'lihat', 'pertandingan', 'semalam', 'jadi', 'semakin', 'tahu', 'prancis', 'memang', 'pantas', 'berada', 'level', 'juara', 'menjadi', 'juara', 'hati']</t>
  </si>
  <si>
    <t>@Lebinth @Sukardi2017 Ya salah lah kontol  Klo punya pemikiran GOBLOK semacam itu  , kemudian melihat fakta bahwa argentina yg ber notabene bersama messi bisa juara lalu menganggap messi lebih hebat.</t>
  </si>
  <si>
    <t>salah lah kontol klo punya pemikiran goblok semacam itu kemudian melihat fakta bahwa argentina ber notabene bersama messi bisa juara lalu menganggap messi lebih hebat</t>
  </si>
  <si>
    <t>['salah', 'lah', 'kontol', 'punya', 'pemikiran', 'goblok', 'semacam', 'kemudian', 'melihat', 'fakta', 'argentina', 'ber', 'notabene', 'bersama', 'messi', 'juara', 'lalu', 'menganggap', 'messi', 'lebih', 'hebat']</t>
  </si>
  <si>
    <t>Tidak usah lagi bingung menentukan siapa pemain yang lebih baik antara Cristiano Ronaldo dan Lionel Messi.  Pertanyaan itu mudah dijawab sekarang, usai Timnas Argentina menjadi juara di Piala Dunia 2022.  https://t.co/RLcUXdDYQO  https://t.co/DuxROnoCnC</t>
  </si>
  <si>
    <t>tidak usah lagi bingung menentukan siapa pemain yang lebih baik antara cristiano ronaldo dan lionel messi pertanyaan itu mudah dijawab sekarang usai timnas argentina menjadi juara piala dunia</t>
  </si>
  <si>
    <t>['usah', 'bingung', 'menentukan', 'siapa', 'pemain', 'lebih', 'baik', 'cristiano', 'ronaldo', 'lionel', 'messi', 'pertanyaan', 'mudah', 'dijawab', 'sekarang', 'usai', 'timnas', 'argentina', 'menjadi', 'juara', 'piala', 'dunia']</t>
  </si>
  <si>
    <t>saking senengnya argentina juara, jd lupa buka cocü•≤</t>
  </si>
  <si>
    <t>saking senengnya argentina juara lupa buka coc</t>
  </si>
  <si>
    <t>['saking', 'senengnya', 'argentina', 'juara', 'lupa', 'buka', 'coc']</t>
  </si>
  <si>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</si>
  <si>
    <t>berita lucu saat argentina kalah arab fase penyisihn grup saat itu argentina kalah kadrun krn arab didukng anis mlm argentina mmbuktikn mrk juara piala dunia arab tdk lols putarn berarti ada bayangn anis keok pilpres nanti</t>
  </si>
  <si>
    <t>['berita', 'lucu', 'argentina', 'kalah', 'arab', 'fase', 'penyisihn', 'grup', 'argentina', 'kalah', 'kadrun', 'arab', 'didukng', 'anis', 'malam', 'argentina', 'mmbuktikn', 'mrk', 'juara', 'piala', 'dunia', 'arab', 'lols', 'putarn', 'berarti', 'bayangn', 'anis', 'keok', 'pilpres']</t>
  </si>
  <si>
    <t>@ID_Albiceleste Nggak apa2 min... Yang penting Argentina juara</t>
  </si>
  <si>
    <t>albiceleste nggak apa min yang penting argentina juara</t>
  </si>
  <si>
    <t>['albiceleste', 'apa', 'min', 'penting', 'argentina', 'juara']</t>
  </si>
  <si>
    <t>Argentina juara karena didukung temen temen jawa gue</t>
  </si>
  <si>
    <t>argentina juara karena didukung temen temen jawa gue</t>
  </si>
  <si>
    <t>['argentina', 'juara', 'didukung', 'temen', 'temen', 'jawa', 'gue']</t>
  </si>
  <si>
    <t>Muchachos, terima kasih banyak untuk atensinya ke akun kami. Luar biasa kalian, sejak semalam tab mention jebol bahkan sampe sering error ngga mau keluar.  Mohon maaf belum bisa balas satu per satu.   Argentina udah juara dunia, muchachos. Juara dunia.  https://t.co/k2qhItOjf0</t>
  </si>
  <si>
    <t>muchachos terima kasih banyak untuk atensinya akun kami luar biasa kalian sejak semalam tab mention jebol bahkan sampe sering error ngga mau keluar mohon maaf belum bisa balas satu per satu argentina udah juara dunia muchachos juara dunia</t>
  </si>
  <si>
    <t>['muchachos', 'terima', 'kasih', 'banyak', 'atensinya', 'akun', 'luar', 'biasa', 'kalian', 'sejak', 'semalam', 'tab', 'mention', 'jebol', 'bahkan', 'sampai', 'sering', 'error', 'ngga', 'mau', 'keluar', 'mohon', 'maaf', 'balas', 'satu', 'per', 'satu', 'argentina', 'udah', 'juara', 'dunia', 'muchachos', 'juara', 'dunia']</t>
  </si>
  <si>
    <t>Messi Ciptakan 12 Rekor Baru Usai Argentina Jadi Juara Dunia  https://t.co/kxMY62aRwE #BolaSport #argentina #LionelMessi #pialadunia</t>
  </si>
  <si>
    <t>messi ciptakan rekor baru usai argentina jadi juara dunia</t>
  </si>
  <si>
    <t>['messi', 'ciptakan', 'rekor', 'baru', 'usai', 'argentina', 'jadi', 'juara', 'dunia']</t>
  </si>
  <si>
    <t>Rekor Argentina dan Lionel Messi Usai Juara Piala Dunia 2022.  Baca selengkapnya di sini:  https://t.co/ljTY3Rclol  https://t.co/rMNl7YQ1Ps</t>
  </si>
  <si>
    <t>rekor argentina dan lionel messi usai juara piala dunia baca selengkapnya sini</t>
  </si>
  <si>
    <t>['rekor', 'argentina', 'lionel', 'messi', 'usai', 'juara', 'piala', 'dunia', 'baca', 'selengkapnya', 'sini']</t>
  </si>
  <si>
    <t>Rayakan argentina juara dengan grobak yg biru muda.  https://t.co/Vp6G6kS2qR</t>
  </si>
  <si>
    <t>rayakan argentina juara dengan grobak biru muda</t>
  </si>
  <si>
    <t>['rayakan', 'argentina', 'juara', 'grobak', 'biru', 'muda']</t>
  </si>
  <si>
    <t>Masih ga percaya kalo Messi dan Argentina Juara World Cup ü•∫üíô</t>
  </si>
  <si>
    <t>masih percaya kalo messi dan argentina juara world cup</t>
  </si>
  <si>
    <t>['percaya', 'messi', 'argentina', 'juara', 'world', 'cup']</t>
  </si>
  <si>
    <t>üî¥ SUPORTER ARGENTINA Berpesta setelah Messi DKK Juarai Piala Dunia 2022  https://t.co/zVRB4uOWae lewat @YouTube   #argentinajuara  #Trending  #juarabaru #pesta #Ronaldo  #tribunalen</t>
  </si>
  <si>
    <t>suporter argentina berpesta setelah messi dkk juarai piala dunia lewat</t>
  </si>
  <si>
    <t>['suporter', 'argentina', 'berpesta', 'messi', 'dkk', 'juarai', 'piala', 'dunia', 'lewat']</t>
  </si>
  <si>
    <t>Raih Juara Piala Dunia 2022 Qatar, Timnas Argentina Dapatkan Trofi Secara Beruntun  https://t.co/TIa9p7l0JO</t>
  </si>
  <si>
    <t>Argentina Juara Piala Dunia, Akun Instagram Messi Diserbu Artis Indonesia  https://t.co/cv81EhZKGC #Messi #MessiìÉµday #GOATìÉµ #FIFAWorldCup #FIFAWorldCup2022 #FIFAWorldCupFinal</t>
  </si>
  <si>
    <t>argentina juara piala dunia akun instagram messi diserbu artis indonesia day</t>
  </si>
  <si>
    <t>['argentina', 'juara', 'piala', 'dunia', 'akun', 'instagram', 'messi', 'diserbu', 'artis', 'indonesia', 'day']</t>
  </si>
  <si>
    <t>Bak Kena Karma Dari Kylian Mbappe, Argentina Jadi Juara Piala Dunia 2022 Via Adu Penalti  Tag: #Qatar2022, Arab Saudi, Emi Martinez, Drake   https://t.co/DObxHZK3OE</t>
  </si>
  <si>
    <t>bak kena karma dari kylian mbappe argentina jadi juara piala dunia via adu penalti tag arab saudi emi martinez drake</t>
  </si>
  <si>
    <t>['bak', 'kena', 'karma', 'kylian', 'mbappe', 'argentina', 'jadi', 'juara', 'piala', 'dunia', 'via', 'adu', 'penalti', 'tag', 'arab', 'saudi', 'emi', 'martinez', 'drake']</t>
  </si>
  <si>
    <t>Argentina boleh juara dunia tapi kalo soal promo dan banyak untung, kartu kredit Bank Mega lah juaranya ü§≠   #MegaGoatKartuKredit</t>
  </si>
  <si>
    <t>argentina boleh juara dunia tapi kalo soal promo dan banyak untung kartu kredit bank mega lah juaranya</t>
  </si>
  <si>
    <t>['argentina', 'juara', 'dunia', 'soal', 'promo', 'banyak', 'untung', 'kartu', 'kredit', 'bank', 'mega', 'lah', 'juaranya']</t>
  </si>
  <si>
    <t>Akhiri Penantian Selama 36 Tahun, Argentina Rebut Kembali Gelar Juara di Piala Dunia 2022 #FIFAWorldCup #ArgentinaVsFrance    https://t.co/8nbKAyeY0s</t>
  </si>
  <si>
    <t>akhiri penantian selama tahun argentina rebut kembali gelar juara piala dunia</t>
  </si>
  <si>
    <t>['akhiri', 'penantian', 'selama', 'tahun', 'argentina', 'rebut', 'gelar', 'juara', 'piala', 'dunia']</t>
  </si>
  <si>
    <t>Lionel Messi Bawa Argentina Juara Piala Dunia, Pangeran William : GOAT   https://t.co/E1uJVcRDsS</t>
  </si>
  <si>
    <t>lionel messi bawa argentina juara piala dunia pangeran william goat</t>
  </si>
  <si>
    <t>['lionel', 'messi', 'bawa', 'argentina', 'juara', 'piala', 'dunia', 'pangeran', 'william', 'goat']</t>
  </si>
  <si>
    <t>@jek___ @iwanfals pilar penting terjadinya juara buat Argentina: iwan bule</t>
  </si>
  <si>
    <t>pilar penting terjadinya juara buat argentina iwan bule</t>
  </si>
  <si>
    <t>['pilar', 'penting', 'terjadinya', 'juara', 'buat', 'argentina', 'iwan', 'bule']</t>
  </si>
  <si>
    <t>bokap seneng banget pasti kalo tau argentina juara.</t>
  </si>
  <si>
    <t>bokap seneng banget pasti kalo tau argentina juara</t>
  </si>
  <si>
    <t>['bokap', 'seneng', 'banget', 'argentina', 'juara']</t>
  </si>
  <si>
    <t>Offside ini, buat petisi argentina tidak jadi juara pildun. Juara dialihkan ke Prancis terus an</t>
  </si>
  <si>
    <t>offside ini buat petisi argentina tidak jadi juara pildun juara dialihkan prancis terus</t>
  </si>
  <si>
    <t>['offside', 'buat', 'petisi', 'argentina', 'jadi', 'juara', 'piala dunia', 'juara', 'dialihkan', 'prancis', 'terus']</t>
  </si>
  <si>
    <t>Argentina Resmi Jadi Juara Piala Dunia 2022 Qatar, Lionel Messi Sah Jadi GOAT dengan Paripurna   https://t.co/NlyPzlwJ1Z</t>
  </si>
  <si>
    <t>argentina resmi jadi juara piala dunia qatar lionel messi sah jadi goat dengan paripurna</t>
  </si>
  <si>
    <t>['argentina', 'resmi', 'jadi', 'juara', 'piala', 'dunia', 'qatar', 'lionel', 'messi', 'sah', 'jadi', 'goat', 'paripurna']</t>
  </si>
  <si>
    <t>Argentina baru saja memenangi edisi teranyar Piala Dunia. Berikut daftar juara turnamen terakbar sepakbola itu dari masa ke masa, yang dimulai sejak 1930. #juaraboladunia    https://t.co/uojg5lPuCX</t>
  </si>
  <si>
    <t>Argentina jadi juara Piala Dunia 2022 setelah kalahkan Prancis lewat adu penalti. Bawa pulang hingga ratusan miliar, ini daftar hadiah yang mereka dapatkan. #juaraboladunia   https://t.co/xUlm7iYY85</t>
  </si>
  <si>
    <t>@mamihnyaupi_ Argentina yg juara mah</t>
  </si>
  <si>
    <t>argentina juara mah</t>
  </si>
  <si>
    <t>['argentina', 'juara', 'mah']</t>
  </si>
  <si>
    <t>Baik Tim Argentina maupun Perancis sama2 hebat, tapi Argentina yg memang pantas jadi juara. Selamat utk Argentina, selamat utk Messi dkk, dan juga utk para penggemar bola-kaki.</t>
  </si>
  <si>
    <t>baik tim argentina maupun perancis sama hebat tapi argentina memang pantas jadi juara selamat utk argentina selamat utk messi dkk dan juga utk para penggemar bola kaki</t>
  </si>
  <si>
    <t>['baik', 'tim', 'argentina', 'maupun', 'perancis', 'sama', 'hebat', 'argentina', 'memang', 'pantas', 'jadi', 'juara', 'selamat', 'argentina', 'selamat', 'messi', 'dkk', 'penggemar', 'bola', 'kaki']</t>
  </si>
  <si>
    <t>Profil Singkat Lionel Messi, Bintang Timnas Argentina yang Bawa Argentina Juara Piala Dunia 2022  https://t.co/cctM0d40PG</t>
  </si>
  <si>
    <t>profil singkat lionel messi bintang timnas argentina yang bawa argentina juara piala dunia</t>
  </si>
  <si>
    <t>['profil', 'singkat', 'lionel', 'messi', 'bintang', 'timnas', 'argentina', 'bawa', 'argentina', 'juara', 'piala', 'dunia']</t>
  </si>
  <si>
    <t>@idextratime Apapun akan dilakukan asal argentina juara</t>
  </si>
  <si>
    <t>apapun akan dilakukan asal argentina juara</t>
  </si>
  <si>
    <t>['apapun', 'dilakukan', 'asal', 'argentina', 'juara']</t>
  </si>
  <si>
    <t>Otamendi beruntung Argentina juara. Hampir jadi pesakitan.</t>
  </si>
  <si>
    <t>otamendi beruntung argentina juara hampir jadi pesakitan</t>
  </si>
  <si>
    <t>['otamendi', 'beruntung', 'argentina', 'juara', 'hampir', 'jadi', 'pesakitan']</t>
  </si>
  <si>
    <t>Fyi morningg ini antonella rocuzo sudah tiga kali keramas ygy, messi kalap setelah argentina juara #FIFAWorldCup #LionelMessiìÉµ   Argentina's World Cup Thanks Qatar  https://t.co/xBPE6jC1jZ</t>
  </si>
  <si>
    <t>fyi morningg ini antonella rocuzo sudah tiga kali keramas ygy messi kalap setelah argentina juara argentina world cup thanks qatar</t>
  </si>
  <si>
    <t>['for your information', 'morningg', 'antonella', 'rocuzo', 'tiga', 'kali', 'keramas', 'ygy', 'messi', 'kalap', 'argentina', 'juara', 'argentina', 'world', 'cup', 'thanks', 'qatar']</t>
  </si>
  <si>
    <t>Kunci Ketenangan dalam Eksekusi Pinalti membuat Argentina Juara üèÜ</t>
  </si>
  <si>
    <t>kunci ketenangan dalam eksekusi pinalti membuat argentina juara</t>
  </si>
  <si>
    <t>['kunci', 'ketenangan', 'eksekusi', 'penalti', 'membuat', 'argentina', 'juara']</t>
  </si>
  <si>
    <t>bener kata bapak gue berarti ya, kalo argentina masuk final, dah pasti juara.</t>
  </si>
  <si>
    <t>bener kata bapak gue berarti kalo argentina masuk final dah pasti juara</t>
  </si>
  <si>
    <t>['benar', 'kata', 'bapak', 'gue', 'berarti', 'argentina', 'masuk', 'final', 'dah', 'juara']</t>
  </si>
  <si>
    <t>Morningg Argentina Memang Juara Dunia, Tapi di hatiku kamu juara sebenarnya  dalam memberikan aku kepuasan sampek basah üí¶üí¶  https://t.co/xDUj3frEAr</t>
  </si>
  <si>
    <t>morningg argentina memang juara dunia tapi hatiku kamu juara sebenarnya dalam memberikan aku kepuasan sampek basah</t>
  </si>
  <si>
    <t>['morningg', 'argentina', 'memang', 'juara', 'dunia', 'hatiku', 'kamu', 'juara', 'sebenarnya', 'memberikan', 'aku', 'kepuasan', 'sampek', 'basah']</t>
  </si>
  <si>
    <t>Daftar Lengkap Juara Piala Dunia dari Edisi 1930 hingga 2022, Argentina Borong Tiga Gelar  https://t.co/YCyOznmjvd</t>
  </si>
  <si>
    <t>daftar lengkap juara piala dunia dari edisi hingga argentina borong tiga gelar</t>
  </si>
  <si>
    <t>['daftar', 'lengkap', 'juara', 'piala', 'dunia', 'edisi', 'hingga', 'argentina', 'borong', 'tiga', 'gelar']</t>
  </si>
  <si>
    <t>Kemenangan Argentina di final Piala Dunia 2022 sudah diprediksi EA Sports, yang sudah empat kali berturut-turut memprediksi juara Piala Dunia secara tepat  https://t.co/i46NPmlrHL</t>
  </si>
  <si>
    <t>kemenangan argentina final piala dunia sudah diprediksi sports yang sudah empat kali berturut turut memprediksi juara piala dunia secara tepat</t>
  </si>
  <si>
    <t>['kemenangan', 'argentina', 'final', 'piala', 'dunia', 'diprediksi', 'sports', 'empat', 'kali', 'berturut', 'turut', 'memprediksi', 'juara', 'piala', 'dunia', 'tepat']</t>
  </si>
  <si>
    <t>By Amanda Amelia Tim nasional Argentina berhasil merengkuh titel juara Piala Dunia 2022 usai mengatasi perlawanan s‚Ä¶  https://t.co/uda4r8o9hu</t>
  </si>
  <si>
    <t>amanda amelia tim nasional argentina berhasil merengkuh titel juara piala dunia usai mengatasi perlawanan</t>
  </si>
  <si>
    <t>['amanda', 'amelia', 'tim', 'nasional', 'argentina', 'berhasil', 'merengkuh', 'titel', 'juara', 'piala', 'dunia', 'usai', 'mengatasi', 'perlawanan']</t>
  </si>
  <si>
    <t>@registaco Pemain paling berjasa bawa Argentina juara  üî•üî•üî•üî•üî•</t>
  </si>
  <si>
    <t>pemain paling berjasa bawa argentina juara</t>
  </si>
  <si>
    <t>['pemain', 'paling', 'berjasa', 'bawa', 'argentina', 'juara']</t>
  </si>
  <si>
    <t>@kompasiana Argentina Juara Dunia setidaknya bisa menghibur Rakyat Argentina yg negaranya mengalami Resesi Ekonomi dan gagal bayar utang.  Hahahahahahahahahahahahahahahahahahahahahahahahahahahahahahahahahahahahahahahahahahahaha</t>
  </si>
  <si>
    <t>argentina juara dunia setidaknya bisa menghibur rakyat argentina negaranya mengalami resesi ekonomi dan gagal bayar utang hahahahahahahahahahahahahahahahahahahahahahahahahahahahahahahahahahahahahahahahahahahaha</t>
  </si>
  <si>
    <t>['argentina', 'juara', 'dunia', 'menghibur', 'rakyat', 'argentina', 'negaranya', 'mengalami', 'resesi', 'ekonomi', 'gagal', 'bayar', 'utang', 'hahahahahahahahahahahahahahahahahahahahahahahahahahahahahahahahahahahahahahahahahahahaha']</t>
  </si>
  <si>
    <t>Dari awal Argentina vs Arab babak pertama, Argentina keliatan maennya enak dilihat sampe ada filling bakalan juara, ehh beneran juara dong üá¶üá∑</t>
  </si>
  <si>
    <t>dari awal argentina arab babak pertama argentina keliatan maennya enak dilihat sampe ada filling bakalan juara ehh beneran juara dong</t>
  </si>
  <si>
    <t>['awal', 'argentina', 'arab', 'babak', 'pertama', 'argentina', 'keliatan', 'maennya', 'enak', 'dilihat', 'sampai', 'filling', 'bakalan', 'juara', 'ehh', 'beneran', 'juara', 'dong']</t>
  </si>
  <si>
    <t>Argentina, sebagai juara Piala Dunia akan mendapat hadiah uang tunai $42 juta untuk federasi sepak bola mereka. Sedangkan Prancis sebagai tim yang kalah dalam final, Minggu, akan mendapat $30 juta. Uang didapat dari dana hadiah FIFA, $440 juta.  #WorldCup   https://t.co/INHlEI6TAP</t>
  </si>
  <si>
    <t>argentina sebagai juara piala dunia akan mendapat hadiah uang tunai juta untuk federasi sepak bola mereka sedangkan prancis sebagai tim yang kalah dalam final minggu akan mendapat juta uang didapat dari dana hadiah fifa juta</t>
  </si>
  <si>
    <t>['argentina', 'juara', 'piala', 'dunia', 'mendapat', 'hadiah', 'uang', 'tunai', 'juta', 'federasi', 'sepak', 'bola', 'prancis', 'tim', 'kalah', 'final', 'minggu', 'mendapat', 'juta', 'uang', 'didapat', 'dana', 'hadiah', 'fifa', 'juta']</t>
  </si>
  <si>
    <t>Hasil Final Piala Dunia FIFA Qatar 2022: Argentina Juara, Kroasia Tempat Ketiga  https://t.co/4VHjxpn9UY</t>
  </si>
  <si>
    <t>hasil final piala dunia fifa qatar argentina juara kroasia tempat ketiga</t>
  </si>
  <si>
    <t>['hasil', 'final', 'piala', 'dunia', 'fifa', 'qatar', 'argentina', 'juara', 'kroasia', 'tempat', 'ketiga']</t>
  </si>
  <si>
    <t>@FaktaSepakbola Cuma Arab Saudi yg berhasil mengalahkan sang Juara Argentina. "Where is Messi"</t>
  </si>
  <si>
    <t>cuma arab saudi berhasil mengalahkan sang juara argentina where messi</t>
  </si>
  <si>
    <t>['cuma', 'arab', 'saudi', 'berhasil', 'mengalahkan', 'sang', 'juara', 'argentina', 'where', 'messi']</t>
  </si>
  <si>
    <t>Argentina Juara Piala Dunia 2022: 3 Akun Spesial Ucapkan Selamat untuk Messi  https://t.co/NYT0CdeOS8</t>
  </si>
  <si>
    <t>argentina juara piala dunia akun spesial ucapkan selamat untuk messi</t>
  </si>
  <si>
    <t>['argentina', 'juara', 'piala', 'dunia', 'akun', 'spesial', 'ucapkan', 'selamat', 'messi']</t>
  </si>
  <si>
    <t>Argentina Juara, Messi Jadi Musuh Utama di Liga Prancis?  https://t.co/b4XcT2zkWN</t>
  </si>
  <si>
    <t>argentina juara messi jadi musuh utama liga prancis</t>
  </si>
  <si>
    <t>['argentina', 'juara', 'messi', 'jadi', 'musuh', 'utama', 'liga', 'prancis']</t>
  </si>
  <si>
    <t>5 Rekor Messi Usai Bawa Argentina Juara Piala Dunia ‚Äì CNN Indonesia ‚Äì Google Berita Olahraga ‚Äì  https://t.co/BQu66DVbTO ‚Äì #Arenanews #Kamidi #Opsiminfo- https://t.co/1b72Eh45c7</t>
  </si>
  <si>
    <t>rekor messi usai bawa argentina juara piala dunia cnn indonesia google berita olahraga</t>
  </si>
  <si>
    <t>['rekor', 'messi', 'usai', 'bawa', 'argentina', 'juara', 'piala', 'dunia', 'cnn', 'indonesia', 'google', 'berita', 'olahraga']</t>
  </si>
  <si>
    <t>Argentina Juara Piala Dunia 2022: 3 Akun Spesial Ucapkan Selamat untuk Messi  https://t.co/zPmZ4xAo9c</t>
  </si>
  <si>
    <t>Argentina mungkin juara piala dunia tapi sesungguhnya juara piala akhirat adalah Arab Saudi, camkan itu.</t>
  </si>
  <si>
    <t>argentina mungkin juara piala dunia tapi sesungguhnya juara piala akhirat adalah arab saudi camkan itu</t>
  </si>
  <si>
    <t>['argentina', 'mungkin', 'juara', 'piala', 'dunia', 'sesungguhnya', 'juara', 'piala', 'akhirat', 'arab', 'saudi', 'camkan']</t>
  </si>
  <si>
    <t>Argentina Juara, Bupati Jember Hendy Siswanto Lega Tak Salah Prediksi Lagi.  Jember ( https://t.co/ksziGGp1k3) ‚Äì Bupati Jember, Hendy Siswanto, akhirnya bisa tersenyum lega setelah Argentina‚Ä¶  https://t.co/6dL4I8KvIv #Olahraga #BupatiHendySiswanto #pialadunia via @beritajatimcom</t>
  </si>
  <si>
    <t>argentina juara bupati jember hendy siswanto lega tak salah prediksi lagi jember bupati jember hendy siswanto akhirnya bisa tersenyum lega setelah argentina via</t>
  </si>
  <si>
    <t>['argentina', 'juara', 'bupati', 'jember', 'hendy', 'siswanto', 'lega', 'tak', 'salah', 'prediksi', 'jember', 'bupati', 'jember', 'hendy', 'siswanto', 'akhirnya', 'tersenyum', 'lega', 'argentina', 'via']</t>
  </si>
  <si>
    <t>@UpdateBolabola Makasih banyak Pak @ListyoSigitP Pak @jokowi , saatnya Indonesia Juara seperti Argentina</t>
  </si>
  <si>
    <t>makasih banyak pak pak saatnya indonesia juara seperti argentina</t>
  </si>
  <si>
    <t>['makasih', 'banyak', 'pak', 'pak', 'saatnya', 'indonesia', 'juara', 'argentina']</t>
  </si>
  <si>
    <t>Argentina Juara PD 2022 (Minggu, 18 Des 2022)  Kalah pada awal belum berarti kesuksesan sdh tertutup. Asalkan bekerja keras dan berdoa kesuksesan selalu terbuka untuk diraih. Argentina adalah contohnya.  https://t.co/lwGbQM36z4</t>
  </si>
  <si>
    <t>argentina juara minggu des kalah pada awal belum berarti kesuksesan sdh tertutup asalkan bekerja keras dan berdoa kesuksesan selalu terbuka untuk diraih argentina adalah contohnya</t>
  </si>
  <si>
    <t>['argentina', 'juara', 'minggu', 'des', 'kalah', 'awal', 'berarti', 'kesuksesan', 'tertutup', 'asalkan', 'bekerja', 'keras', 'berdoa', 'kesuksesan', 'selalu', 'terbuka', 'diraih', 'argentina', 'contohnya']</t>
  </si>
  <si>
    <t>@LurahBejad argentina juara wkwk</t>
  </si>
  <si>
    <t>argentina juara wkwk</t>
  </si>
  <si>
    <t>Bangun-bangun dapat kiriman foto dari istri. Katanya nyenyak betul tidurnya. Mentang-mentang Argentina juara sampai ga sempat ganti baju tidur katanya. Tidur pun nda sempat di ranjang sudah.  Terserah bilangku. Menang Bebas. üá¶üá∑üá¶üá∑üá¶üá∑  https://t.co/X7oGfOp6zn</t>
  </si>
  <si>
    <t>bangun bangun dapat kiriman foto dari istri katanya nyenyak betul tidurnya mentang mentang argentina juara sampai sempat ganti baju tidur katanya tidur pun nda sempat ranjang sudah terserah bilangku menang bebas</t>
  </si>
  <si>
    <t>['bangun', 'bangun', 'kiriman', 'foto', 'istri', 'katanya', 'nyenyak', 'betul', 'tidurnya', 'mentang', 'mentang', 'argentina', 'juara', 'sempat', 'ganti', 'baju', 'tidur', 'katanya', 'tidur', 'nda', 'sempat', 'ranjang', 'terserah', 'bilangku', 'menang', 'bebas']</t>
  </si>
  <si>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</si>
  <si>
    <t>akhir semua perjuangan keras sejak awal messi debut piala dunia sejak saat masih berusia tahun akhirnya semalem mengantarkan argentina menjadi juara mengalahkan perancis dengan skor lewat adu pinalti selamat argentina</t>
  </si>
  <si>
    <t>['akhir', 'semua', 'perjuangan', 'keras', 'sejak', 'awal', 'messi', 'debut', 'piala', 'dunia', 'sejak', 'berusia', 'tahun', 'akhirnya', 'semalam', 'mengantarkan', 'argentina', 'menjadi', 'juara', 'mengalahkan', 'perancis', 'skor', 'lewat', 'adu', 'penalti', 'selamat', 'argentina']</t>
  </si>
  <si>
    <t>Masih gak percaya gw Argentina juara dunia, gak sia2 jagoin Argentina sejak pildun 2006</t>
  </si>
  <si>
    <t>masih gak percaya argentina juara dunia gak sia jagoin argentina sejak pildun</t>
  </si>
  <si>
    <t>['percaya', 'argentina', 'juara', 'dunia', 'sia', 'jagoin', 'argentina', 'sejak', 'piala dunia']</t>
  </si>
  <si>
    <t>@raturachman Semngat senin, tapi Argentina juara kan.</t>
  </si>
  <si>
    <t>semngat senin tapi argentina juara kan</t>
  </si>
  <si>
    <t>['semngat', 'senin', 'argentina', 'juara', 'kan']</t>
  </si>
  <si>
    <t>@SiaranBolaLive ibaratnya kalo messi songong gapapa, dia pemain terbaik, cetak goal difinal, bawa argentina juara. ini mon maap aguero maen aja kagak songong nya selangit jir</t>
  </si>
  <si>
    <t>Trending Twitter hari ini  Host dan hunter pada ngedumel pada aturan CAK MELON Mengalah kan pembahasan leo messi yg berhasil membawa argentina juara piala dunia 2022</t>
  </si>
  <si>
    <t>trending twitter hari ini host dan hunter pada ngedumel pada aturan cak melon mengalah kan pembahasan leo messi berhasil membawa argentina juara piala dunia</t>
  </si>
  <si>
    <t>['trending', 'twitter', 'hari', 'host', 'hunter', 'ngedumel', 'aturan', 'cak', 'melon', 'mengalah', 'kan', 'pembahasan', 'leo', 'messi', 'berhasil', 'membawa', 'argentina', 'juara', 'piala', 'dunia']</t>
  </si>
  <si>
    <t>Juara Dunianya Arab Saudi karena satu satunya yang mengalahkan Argentina, hehehe..</t>
  </si>
  <si>
    <t>juara dunianya arab saudi karena satu satunya yang mengalahkan argentina hehehe</t>
  </si>
  <si>
    <t>['juara', 'dunianya', 'arab', 'saudi', 'satu', 'satunya', 'mengalahkan', 'argentina', 'hehehe']</t>
  </si>
  <si>
    <t>@alhadi__96 Argentina juara Pialan Dunia itu juga berkat saya - Iwan Bule</t>
  </si>
  <si>
    <t>argentina juara pialan dunia itu juga berkat saya iwan bule</t>
  </si>
  <si>
    <t>['argentina', 'juara', 'pialan', 'dunia', 'berkat', 'iwan', 'bule']</t>
  </si>
  <si>
    <t>Presiden Alberto Fernandez Unggah Foto Selfie di Depan TV Usai Argentina Juara Piala¬†Dunia  https://t.co/RlqbW30uI5</t>
  </si>
  <si>
    <t>presiden alberto fernandez unggah foto selfie depan usai argentina juara piala dunia</t>
  </si>
  <si>
    <t>['presiden', 'alberto', 'fernandez', 'unggah', 'foto', 'selfie', 'depan', 'usai', 'argentina', 'juara', 'piala', 'dunia']</t>
  </si>
  <si>
    <t>Konspirasi benar, argentina juara üò≠‚ò∫Ô∏è</t>
  </si>
  <si>
    <t>konspirasi benar argentina juara</t>
  </si>
  <si>
    <t>['konspirasi', 'benar', 'argentina', 'juara']</t>
  </si>
  <si>
    <t>Argentina juara Piala Dunia 2022 usai mengalahkan Prancis. Angel Di Maria sekali lagi menunjukkan tuahnya di laga final bersama Argentina.  https://t.co/e3AW1ga9o9</t>
  </si>
  <si>
    <t>langit hari ini vanilla blue sekali, selamat juara argentina. amigos x siempre!</t>
  </si>
  <si>
    <t>langit hari ini vanilla blue sekali selamat juara argentina amigos siempre</t>
  </si>
  <si>
    <t>['langit', 'hari', 'vanilla', 'blue', 'sekali', 'selamat', 'juara', 'argentina', 'amigos', 'siempre']</t>
  </si>
  <si>
    <t>Momen Penuh Haru, Ibu Lionel Messi Berlalri Dari Tribun untuk Peluk Putranya usai Antarkan Argentina Juara Piala Dunia 2022!  https://t.co/N0Dfnt17Oi  #LionelMessiìÉµ #ArgentinaVsFrance #PrancisvsArgentina #ArgentinavsPrancis  Emi Martinez Giroud  Aguero Di Maria  https://t.co/uc3HVByS0a</t>
  </si>
  <si>
    <t>momen penuh haru ibu lionel messi berlalri dari tribun untuk peluk putranya usai antarkan argentina juara piala dunia emi martinez giroud aguero maria</t>
  </si>
  <si>
    <t>['momen', 'penuh', 'haru', 'ibu', 'lionel', 'messi', 'berlalri', 'tribun', 'peluk', 'putranya', 'usai', 'antarkan', 'argentina', 'juara', 'piala', 'dunia', 'emi', 'martinez', 'giroud', 'aguero', 'maria']</t>
  </si>
  <si>
    <t>Menakjubkan! Kota Kelahiran Lionel Messi Jadi Lautan Manusia Usai Argentina Juara Piala Dunia 2022  https://t.co/kVYsVvpkaM</t>
  </si>
  <si>
    <t>Argentina juara Piala Dunia 2022 usai mengalahkan Prancis. Angel Di Maria sekali lagi menunjukkan tuahnya di laga final bersama Argentina.  https://t.co/e3AW1grcq9</t>
  </si>
  <si>
    <t>@idextratime Emang Pildun kali ini disetting FIFA buat Argentina. Orang kesrimpet kaki sendiri aja dapet Pinalti üò™  Mana Hakim garisnya anak dari Hakim Garis waktu Maradona Juara dunia 1986 lagi.   Argentina krisis ekonomi buat nyuap FIFA doang  https:</t>
  </si>
  <si>
    <t>emang pildun kali ini disetting fifa buat argentina orang kesrimpet kaki sendiri aja dapet pinalti mana hakim garisnya anak dari hakim garis waktu maradona juara dunia lagi argentina krisis ekonomi buat nyuap fifa doang https</t>
  </si>
  <si>
    <t>['emang', 'piala dunia', 'kali', 'disetting', 'fifa', 'buat', 'argentina', 'orang', 'kesrimpet', 'kaki', 'sendiri', 'dapat', 'penalti', 'mana', 'hakim', 'garisnya', 'anak', 'hakim', 'garis', 'waktu', 'maradona', 'juara', 'dunia', 'argentina', 'krisis', 'ekonomi', 'buat', 'nyuap', 'fifa', 'doang', 'https']</t>
  </si>
  <si>
    <t>Bawa Argentina Juara Piala Dunia 2022, Lionel Messi Berhasil Pecahkan Rekor, Apa Saja?  https://t.co/Jh1j02fPP4</t>
  </si>
  <si>
    <t>bawa argentina juara piala dunia lionel messi berhasil pecahkan rekor apa saja</t>
  </si>
  <si>
    <t>['bawa', 'argentina', 'juara', 'piala', 'dunia', 'lionel', 'messi', 'berhasil', 'pecahkan', 'rekor', 'apa']</t>
  </si>
  <si>
    <t>Bangke masih terharu aja argentina juara üò≠</t>
  </si>
  <si>
    <t>bangke masih terharu aja argentina juara</t>
  </si>
  <si>
    <t>['bangke', 'terharu', 'argentina', 'juara']</t>
  </si>
  <si>
    <t>@Arie_Kriting Blunder terbesar Argentina menarik di maria. Langsung goyang itu lini depan. Di tambah bermain terlalu pragmatis saat udah unggul justru menjadi de Javu seperti lawan belanda. Untung juara semalemm</t>
  </si>
  <si>
    <t>kriting blunder terbesar argentina menarik maria langsung goyang itu lini depan tambah bermain terlalu pragmatis saat udah unggul justru menjadi javu seperti lawan belanda untung juara semalemm</t>
  </si>
  <si>
    <t>['kriting', 'blunder', 'terbesar', 'argentina', 'menarik', 'maria', 'langsung', 'goyang', 'lini', 'depan', 'tambah', 'bermain', 'terlalu', 'pragmatis', 'udah', 'unggul', 'justru', 'menjadi', 'javu', 'lawan', 'belanda', 'untung', 'juara', 'semalemm']</t>
  </si>
  <si>
    <t>Wiiii argentina juara</t>
  </si>
  <si>
    <t>wiiii argentina juara</t>
  </si>
  <si>
    <t>['wiiii', 'argentina', 'juara']</t>
  </si>
  <si>
    <t>Juara Dunia Word Cup 2022, Pelatih Argentina: Ini Adalah Momen Bersejarah Bagi Negara Kita   https://t.co/Sz1kIp4O0k</t>
  </si>
  <si>
    <t>juara dunia word cup pelatih argentina ini adalah momen bersejarah bagi negara kita</t>
  </si>
  <si>
    <t>['juara', 'dunia', 'word', 'cup', 'pelatih', 'argentina', 'momen', 'bersejarah', 'negara']</t>
  </si>
  <si>
    <t>@Mamet34_ @MiskinTV_ Bayangkan dalam 2 tahun pengalamannya diepl dipercaya jadi kiper utama argentina sampai juara dunia</t>
  </si>
  <si>
    <t>bayangkan dalam tahun pengalamannya diepl dipercaya jadi kiper utama argentina sampai juara dunia</t>
  </si>
  <si>
    <t>['bayangkan', 'tahun', 'pengalamannya', 'diepl', 'dipercaya', 'jadi', 'kiper', 'utama', 'argentina', 'juara', 'dunia']</t>
  </si>
  <si>
    <t>Ketika Argentina juara selalu ada 3 gol. Semua terkait angka2 emnk pak @ayenzodearya  https://t.co/LaR8avDgLw</t>
  </si>
  <si>
    <t>ketika argentina juara selalu ada gol semua terkait angka emnk pak</t>
  </si>
  <si>
    <t>['argentina', 'juara', 'selalu', 'gol', 'semua', 'terkait', 'angka', 'emnk', 'pak']</t>
  </si>
  <si>
    <t>Argentina Juara Prancis Runner up  Sesuai prediksi</t>
  </si>
  <si>
    <t>argentina juara prancis runner sesuai prediksi</t>
  </si>
  <si>
    <t>['argentina', 'juara', 'prancis', 'runner', 'sesuai', 'prediksi']</t>
  </si>
  <si>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</si>
  <si>
    <t>lautan manusia dengan warna khas jersey argentina memadati ibu kota buenos aires usai tim tango menggenggam gelar juara kemenangan ini menjadi gelar juara ketiga kalinya bagi argentina usai penantian selama tahun</t>
  </si>
  <si>
    <t>['lautan', 'manusia', 'warna', 'khas', 'jersey', 'argentina', 'memadati', 'ibu', 'kota', 'buenos', 'aires', 'usai', 'tim', 'tango', 'menggenggam', 'gelar', 'juara', 'kemenangan', 'menjadi', 'gelar', 'juara', 'ketiga', 'kalinya', 'argentina', 'usai', 'penantian', 'selama', 'tahun']</t>
  </si>
  <si>
    <t>Argentina Juara Piala Dunia Usai Tekuk Prancis via Adu¬†Penalti!  https://t.co/A3XqHZd5Nm</t>
  </si>
  <si>
    <t>argentina juara piala dunia usai tekuk prancis via adu penalti</t>
  </si>
  <si>
    <t>['argentina', 'juara', 'piala', 'dunia', 'usai', 'tekuk', 'prancis', 'via', 'adu', 'penalti']</t>
  </si>
  <si>
    <t>Kurasa Ronaldo emg berat sih juara pildun.. Ini soal mentalitas timnasnya..  Argentina emg punya sejarah dan mental juara.. Nah momennya sekarang.. Kalau Portugal, mm berat..</t>
  </si>
  <si>
    <t>kurasa ronaldo emg berat sih juara pildun ini soal mentalitas timnasnya argentina emg punya sejarah dan mental juara nah momennya sekarang kalau portugal berat</t>
  </si>
  <si>
    <t>['kurasa', 'ronaldo', 'memang', 'berat', 'juara', 'piala dunia', 'soal', 'mentalitas', 'timnasnya', 'argentina', 'memang', 'punya', 'sejarah', 'mental', 'juara', 'nah', 'momennya', 'sekarang', 'kalau', 'portugal', 'berat']</t>
  </si>
  <si>
    <t>di era iwan lah argentina juara, terimakasih iwan</t>
  </si>
  <si>
    <t>era iwan lah argentina juara terimakasih iwan</t>
  </si>
  <si>
    <t>['era', 'iwan', 'lah', 'argentina', 'juara', 'terimakasih', 'iwan']</t>
  </si>
  <si>
    <t>@TimpalBali Gpp km suka dia asal argentina juara wjw</t>
  </si>
  <si>
    <t>gpp suka dia asal argentina juara wjw</t>
  </si>
  <si>
    <t>['gapapa', 'suka', 'asal', 'argentina', 'juara', 'wjw']</t>
  </si>
  <si>
    <t>Argentina Juara Dunia Word Cup 2022   https://t.co/o9iWVjWBqy</t>
  </si>
  <si>
    <t>@whiteultrass @mdiiii2 @utdfocusid ribut mulu, yg juara argentina kenapa disini yg ribet, udh lah ini lagi juara cok</t>
  </si>
  <si>
    <t>ribut mulu juara argentina kenapa disini ribet udh lah ini lagi juara cok</t>
  </si>
  <si>
    <t>['ribut', 'mulu', 'juara', 'argentina', 'disini', 'ribet', 'sudah', 'lah', 'juara', 'cok']</t>
  </si>
  <si>
    <t>Lionel Messi Bawa Argentina Juara Piala Dunia 2022, Terpilih Jadi Pemain Terbaik   https://t.co/067I9EdZMW   Maradona Giroud Ageuro</t>
  </si>
  <si>
    <t>lionel messi bawa argentina juara piala dunia terpilih jadi pemain terbaik maradona giroud ageuro</t>
  </si>
  <si>
    <t>['lionel', 'messi', 'bawa', 'argentina', 'juara', 'piala', 'dunia', 'terpilih', 'jadi', 'pemain', 'terbaik', 'maradona', 'giroud', 'ageuro']</t>
  </si>
  <si>
    <t>Argentina tampil sebagai juara Piala Dunia 2022 setelah menumpas Prancis melalui adu penalti di final. Tim Tango pun mengakhiri penantian juara usai 36 tahun. #juaraboladunia    https://t.co/2VsA9mxWwp</t>
  </si>
  <si>
    <t>argentina tampil sebagai juara piala dunia setelah menumpas prancis melalui adu penalti final tim tango pun mengakhiri penantian juara usai tahun</t>
  </si>
  <si>
    <t>['argentina', 'tampil', 'juara', 'piala', 'dunia', 'menumpas', 'prancis', 'melalui', 'adu', 'penalti', 'final', 'tim', 'tango', 'mengakhiri', 'penantian', 'juara', 'usai', 'tahun']</t>
  </si>
  <si>
    <t>@StefanAntonio__ @SunLeoAiolia Udah diramal EA Sports Argentina bakal juara World Cup 2022üòÇ</t>
  </si>
  <si>
    <t>udah diramal sports argentina bakal juara world cup</t>
  </si>
  <si>
    <t>['udah', 'diramal', 'sports', 'argentina', 'bakal', 'juara', 'world', 'cup']</t>
  </si>
  <si>
    <t>Ungkapan Bangga Istri kepada Messi Usai Argentina Juara Pildun  https://t.co/AUi0MGOGEU</t>
  </si>
  <si>
    <t>ungkapan bangga istri kepada messi usai argentina juara pildun</t>
  </si>
  <si>
    <t>['ungkapan', 'bangga', 'istri', 'messi', 'usai', 'argentina', 'juara', 'piala dunia']</t>
  </si>
  <si>
    <t>Kalahkan Prancis lewat Drama Adu Penalti, Argentina jadi Juara World Cup 2022  https://t.co/d3eWcD1kx3  https://t.co/i7Mqxv4smH</t>
  </si>
  <si>
    <t>kalahkan prancis lewat drama adu penalti argentina jadi juara world cup</t>
  </si>
  <si>
    <t>['kalahkan', 'prancis', 'lewat', 'drama', 'adu', 'penalti', 'argentina', 'jadi', 'juara', 'world', 'cup']</t>
  </si>
  <si>
    <t>@YRobertSantoso @madaarya @ranrannugraha_ @Fandom_ID Gua fans arsenal, gua msih inget leno cedera dan digantiin emi. Hbis itu dia juara FA Cup dan beruntun juarai breng argentina smpai skrang</t>
  </si>
  <si>
    <t>gua fans arsenal gua msih inget leno cedera dan digantiin emi hbis itu dia juara cup dan beruntun juarai breng argentina smpai skrang</t>
  </si>
  <si>
    <t>['gua', 'fans', 'arsenal', 'gua', 'msih', 'inget', 'leno', 'cedera', 'digantiin', 'emi', 'hbis', 'juara', 'cup', 'beruntun', 'juarai', 'breng', 'argentina', 'smpai', 'skrang']</t>
  </si>
  <si>
    <t>Argentina Juara Piala Dunia Qatar¬†2022  https://t.co/9m7s5krV2S</t>
  </si>
  <si>
    <t>Yg juara piala dunia Argentina terus knp Raul Lemos yg trending topik ü§î  https://t.co/kgwO4pvLnH</t>
  </si>
  <si>
    <t>juara piala dunia argentina terus knp raul lemos trending topik</t>
  </si>
  <si>
    <t>['juara', 'piala', 'dunia', 'argentina', 'terus', 'kenapa', 'raul', 'lemos', 'trending', 'topik']</t>
  </si>
  <si>
    <t>@kangdede78 Berkat pak jokowi argentina jadi juara.drun jgn ngamuk2 ya...</t>
  </si>
  <si>
    <t>berkat pak jokowi argentina jadi juara drun jgn ngamuk</t>
  </si>
  <si>
    <t>['berkat', 'pak', 'jokowi', 'argentina', 'jadi', 'juara', 'drun', 'ngamuk']</t>
  </si>
  <si>
    <t>Berapa Jumlah Hadiah yang Didapat Argentina sebagai Juara Piala Dunia Qatar 2022? Capai 600¬†Miliar!  https://t.co/Mtj0HcLJ81</t>
  </si>
  <si>
    <t>berapa jumlah hadiah yang didapat argentina sebagai juara piala dunia qatar capai miliar</t>
  </si>
  <si>
    <t>['berapa', 'jumlah', 'hadiah', 'didapat', 'argentina', 'juara', 'piala', 'dunia', 'qatar', 'capai', 'miliar']</t>
  </si>
  <si>
    <t>Berapa Jumlah Hadiah yang Didapat Argentina sebagai Juara Piala Dunia Qatar 2022? Capai 600¬†Miliar!  https://t.co/L0sjc8BAIQ</t>
  </si>
  <si>
    <t>Congratulations Argentina,juara piala dunia 2022,vamos tim tango,üèÜüá¶üá∑üèÖüèÖüèÖ  #FIFAWorldCup #ArgentinaCampeonDelMundo #ARG #WorldCupFinal #LionelMessiìÉµ  https://t.co/Io6CvaJGj9</t>
  </si>
  <si>
    <t>congratulations argentina juara piala dunia vamos tim tango</t>
  </si>
  <si>
    <t>['congratulations', 'argentina', 'juara', 'piala', 'dunia', 'vamos', 'tim', 'tango']</t>
  </si>
  <si>
    <t>@FaktaSepakbola @kofietubrok 2002 (Korea Selatan-Jepang)  juara : BRAZIL  2022 (Qatar)  juara : ARGENTINA  Asia adalah tempat negara Amerika Latin berpesta...  Next Asia?  https://t.co/skATzdg2Vx</t>
  </si>
  <si>
    <t>korea selatan jepang juara brazil qatar juara argentina asia adalah tempat negara amerika latin berpesta next asia</t>
  </si>
  <si>
    <t>['korea', 'selatan', 'jepang', 'juara', 'brazil', 'qatar', 'juara', 'argentina', 'asia', 'tempat', 'negara', 'amerika', 'latin', 'berpesta', 'next', 'asia']</t>
  </si>
  <si>
    <t>Presiden Argentina: Kami adalah Juara Dunia!  https://t.co/gHlRvyWIBX</t>
  </si>
  <si>
    <t>presiden argentina kami adalah juara dunia</t>
  </si>
  <si>
    <t>['presiden', 'argentina', 'juara', 'dunia']</t>
  </si>
  <si>
    <t>@annrahmadia argentina juara loh</t>
  </si>
  <si>
    <t>argentina juara loh</t>
  </si>
  <si>
    <t>John Terry Olok-olok Sergio Aguero Ikut Gabung Perayaan Argentina Juara Piala Dunia 2022  https://t.co/tlXC7Wa44c</t>
  </si>
  <si>
    <t>VIDEO: Bawa Argentina Juara Piala Dunia 2022 Qatar, Messi Dapat Jubah Spesial  https://t.co/C8d5jZDjTy</t>
  </si>
  <si>
    <t>@panditfootball Final terbaik. Adu taktik pelatih kelas atas, skill pemain terbaik masing masing tim keluar semua, kalo boleh juara nya 2 tim, Perancis Argentina layak jadi juara.</t>
  </si>
  <si>
    <t>final terbaik adu taktik pelatih kelas atas skill pemain terbaik masing masing tim keluar semua kalo boleh juara nya tim perancis argentina layak jadi juara</t>
  </si>
  <si>
    <t>['final', 'terbaik', 'adu', 'taktik', 'pelatih', 'kelas', 'atas', 'skill', 'pemain', 'terbaik', 'masing', 'masing', 'tim', 'keluar', 'semua', 'juara', 'tim', 'perancis', 'argentina', 'layak', 'jadi', 'juara']</t>
  </si>
  <si>
    <t>Argentina nya Messi bisa juara karna wasitnya dibayar</t>
  </si>
  <si>
    <t>argentina nya messi bisa juara karna wasitnya dibayar</t>
  </si>
  <si>
    <t>['argentina', 'messi', 'juara', 'karna', 'wasitnya', 'dibayar']</t>
  </si>
  <si>
    <t>Argentina Juara Piala Dunia 2022, Jalanan Buenos Aires Dipenuhi Lautan Manusia yang Merayakannya  https://t.co/4fRlauSizH</t>
  </si>
  <si>
    <t>argentina juara piala dunia jalanan buenos aires dipenuhi lautan manusia yang merayakannya</t>
  </si>
  <si>
    <t>['argentina', 'juara', 'piala', 'dunia', 'jalanan', 'buenos', 'aires', 'dipenuhi', 'lautan', 'manusia', 'merayakannya']</t>
  </si>
  <si>
    <t>Seriously Aguero??? Lu gak ikut main lu yang heboh dah kek petinggi negeri ini aja. Padahal pemain Prancis gak ada yang aneh dan nyebelin ke Argentina tapi dia tiba2 begini. Dan dibela dunia karna Argentina juara ckck.</t>
  </si>
  <si>
    <t>seriously aguero gak ikut main yang heboh dah kek petinggi negeri ini aja padahal pemain prancis gak ada yang aneh dan nyebelin argentina tapi dia tiba begini dan dibela dunia karna argentina juara ckck</t>
  </si>
  <si>
    <t>['seriously', 'aguero', 'ikut', 'main', 'heboh', 'dah', 'kek', 'petinggi', 'negeri', 'padahal', 'pemain', 'prancis', 'aneh', 'nyebelin', 'argentina', 'tiba', 'begini', 'dibela', 'dunia', 'karna', 'argentina', 'juara', 'ckck']</t>
  </si>
  <si>
    <t>Yang juara Argentina but Mbappe won the night. ü´∂ @KMbappe</t>
  </si>
  <si>
    <t>yang juara argentina but mbappe won the night</t>
  </si>
  <si>
    <t>['juara', 'argentina', 'but', 'mbappe', 'won', 'the', 'night']</t>
  </si>
  <si>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</si>
  <si>
    <t>fans argentina bahagia karena messi juara fans perancis bangga sama pencapaian mbappe dkk fans kroaisa dan maroko senang karena team mereka berhasil mengejutkan fans belanda brazil spanyol excited karena ada perubahan manajemen fans inggris karena southgate bertahan</t>
  </si>
  <si>
    <t>['fans', 'argentina', 'bahagia', 'messi', 'juara', 'fans', 'perancis', 'bangga', 'sama', 'pencapaian', 'mbappe', 'dkk', 'fans', 'kroaisa', 'maroko', 'senang', 'team', 'berhasil', 'mengejutkan', 'fans', 'belanda', 'brazil', 'spanyol', 'excited', 'perubahan', 'manajemen', 'fans', 'inggris', 'southgate', 'bertahan']</t>
  </si>
  <si>
    <t>Yg juara dunia Argentina. Yg numpang bangga Barcelona. Kocak ü§£</t>
  </si>
  <si>
    <t>juara dunia argentina numpang bangga barcelona kocak</t>
  </si>
  <si>
    <t>['juara', 'dunia', 'argentina', 'numpang', 'bangga', 'barcelona', 'kocak']</t>
  </si>
  <si>
    <t>Sang juara dunia. Selamat Argentina üá¶üá∑ #FIFAWorldCup #QatarWorldCup2022  https://t.co/RghcMMwt2L</t>
  </si>
  <si>
    <t>sang juara dunia selamat argentina</t>
  </si>
  <si>
    <t>['sang', 'juara', 'dunia', 'selamat', 'argentina']</t>
  </si>
  <si>
    <t>@howlisheet argentina juara btw</t>
  </si>
  <si>
    <t>argentina juara btw</t>
  </si>
  <si>
    <t>['argentina', 'juara', 'by the way']</t>
  </si>
  <si>
    <t>Ternyata Argentina sudah menyiapkan Jersey dengan Patch juara dunia</t>
  </si>
  <si>
    <t>ternyata argentina sudah menyiapkan jersey dengan patch juara dunia</t>
  </si>
  <si>
    <t>['ternyata', 'argentina', 'menyiapkan', 'jersey', 'patch', 'juara', 'dunia']</t>
  </si>
  <si>
    <t>@tanyakanrl Iyaa, itu emas murni, tapi yang murni itu dapetnya kalo udah 5 kali juara, nanti yang dipajang di lemari argentina itu yang replika, soalnya baru menang 3 kali. Btw yang dicium messi tadi malam trofi asli ya üòç</t>
  </si>
  <si>
    <t>iyaa itu emas murni tapi yang murni itu dapetnya kalo udah kali juara nanti yang dipajang lemari argentina itu yang replika soalnya baru menang kali btw yang dicium messi tadi malam trofi asli</t>
  </si>
  <si>
    <t>['iyaa', 'emas', 'murni', 'murni', 'dapetnya', 'udah', 'kali', 'juara', 'dipajang', 'lemari', 'argentina', 'replika', 'soalnya', 'baru', 'menang', 'kali', 'by the way', 'dicium', 'messi', 'tadi', 'malam', 'trofi', 'asli']</t>
  </si>
  <si>
    <t>Argentina Juara, Messi Jadi Musuh Utama di Liga Prancis?  https://t.co/HXbkx2998W</t>
  </si>
  <si>
    <t>Argentina Juara Piala Dunia 2022 : 3 Akun Spesial Ucapkan Selamat Untuk Messi  https://t.co/bXQa0Bp8YK</t>
  </si>
  <si>
    <t>Denger isu katanya Argentina juara gegara Messi di video call pak Iwan Bule jam 12 malem sehari sebelum partai final  https://t.co/sUft8ghSS5</t>
  </si>
  <si>
    <t>denger isu katanya argentina juara gegara messi video call pak iwan bule jam malem sehari sebelum partai final</t>
  </si>
  <si>
    <t>['denger', 'isu', 'katanya', 'argentina', 'juara', 'gegara', 'messi', 'video', 'call', 'pak', 'iwan', 'bule', 'jam', 'malem', 'sehari', 'partai', 'final']</t>
  </si>
  <si>
    <t>Cocokologi dan Teori Konspirasi Argentina Juara Piala Dunia 2022  https://t.co/8lOox3VFA7</t>
  </si>
  <si>
    <t>cocokologi dan teori konspirasi argentina juara piala dunia</t>
  </si>
  <si>
    <t>['cocokologi', 'teori', 'konspirasi', 'argentina', 'juara', 'piala', 'dunia']</t>
  </si>
  <si>
    <t>Argentina Juara, Lionel Messi Ukir 4 Rekor Mengerikan, Nomor 2 Cukup Langka #LionelMessi  https://t.co/NBlnRWDsZ1</t>
  </si>
  <si>
    <t>argentina juara lionel messi ukir rekor mengerikan nomor cukup langka</t>
  </si>
  <si>
    <t>['argentina', 'juara', 'lionel', 'messi', 'ukir', 'rekor', 'mengerikan', 'nomor', 'cukup', 'langka']</t>
  </si>
  <si>
    <t>Timnas Argentina menang adu penalti 4-2 atas Prancis di final Piala Dunia 2022. AAS  Selengkapnya:  https://t.co/6v3mPzIdeS  #iNews #Juara #PialaDunia2022 #Qatar #Doha #Argentina #Prancis #LionelMessi #VamosArgentina  https://t.co/MuayVfhZUs</t>
  </si>
  <si>
    <t>timnas argentina menang adu penalti atas prancis final piala dunia aas selengkapnya</t>
  </si>
  <si>
    <t>['timnas', 'argentina', 'menang', 'adu', 'penalti', 'atas', 'prancis', 'final', 'piala', 'dunia', 'aas', 'selengkapnya']</t>
  </si>
  <si>
    <t>Selamat Argentina menjadi juara piala dunia 2022 di Qatar, akhir sebuah penantian dan perjuangan legenda Messi. Vamos vamos Argentina üá¶üá∑üëèüèª  https://t.co/bfQPRhVVqm</t>
  </si>
  <si>
    <t>selamat argentina menjadi juara piala dunia qatar akhir sebuah penantian dan perjuangan legenda messi vamos vamos argentina</t>
  </si>
  <si>
    <t>['selamat', 'argentina', 'menjadi', 'juara', 'piala', 'dunia', 'qatar', 'akhir', 'sebuah', 'penantian', 'perjuangan', 'legenda', 'messi', 'vamos', 'vamos', 'argentina']</t>
  </si>
  <si>
    <t>argentina emang juara, tapi pemenang sebenarnya tetap masa lalu</t>
  </si>
  <si>
    <t>argentina emang juara tapi pemenang sebenarnya tetap masa lalu</t>
  </si>
  <si>
    <t>['argentina', 'emang', 'juara', 'pemenang', 'sebenarnya', 'tetap', 'masa', 'lalu']</t>
  </si>
  <si>
    <t>@bebiell Hbd ya kak, semoga Argentina juara piala dunia.</t>
  </si>
  <si>
    <t>@SiaranBolaLive Di era iwan lah Argentina bisa juara piala dunia</t>
  </si>
  <si>
    <t>era iwan lah argentina bisa juara piala dunia</t>
  </si>
  <si>
    <t>['era', 'iwan', 'lah', 'argentina', 'juara', 'piala', 'dunia']</t>
  </si>
  <si>
    <t>@WagimanDeep_IX Ane nunggu molaik Argentina mau berangkat ke Qatar sampe mereka juara belum juga di polbek mBieb. Mumuhehe..  https://t.co/SAYem5cVGE</t>
  </si>
  <si>
    <t>ane nunggu molaik argentina mau berangkat qatar sampe mereka juara belum juga polbek mbieb mumuhehe</t>
  </si>
  <si>
    <t>['ane', 'nunggu', 'molaik', 'argentina', 'mau', 'berangkat', 'qatar', 'sampai', 'juara', 'polbek', 'mbieb', 'mumuhehe']</t>
  </si>
  <si>
    <t>@ainurohman kebanyakan yg juara dunia memiliki kiper yg Bagus2. Brazil Tafarel 1994 peranci Barthez  1998 Brazil  Dida 2002  Italy Buffon 2006 Spanyol Casillas 2010 German Neuer 2014 Perancis Lloris 2018 Argentina E . Martinez  2022  .</t>
  </si>
  <si>
    <t>kebanyakan juara dunia memiliki kiper bagus brazil tafarel peranci barthez brazil dida italy buffon spanyol casillas german neuer perancis lloris argentina martinez</t>
  </si>
  <si>
    <t>['kebanyakan', 'juara', 'dunia', 'memiliki', 'kiper', 'bagus', 'brazil', 'tafarel', 'peranci', 'barthez', 'brazil', 'dida', 'italy', 'buffon', 'spanyol', 'casillas', 'german', 'neuer', 'perancis', 'lloris', 'argentina', 'martinez']</t>
  </si>
  <si>
    <t>Prediksi aq ternyata Benar Argentina Juara Piala Dunia 22 di Qatar  https://t.co/gOCIkAUzJx</t>
  </si>
  <si>
    <t>prediksi ternyata benar argentina juara piala dunia qatar</t>
  </si>
  <si>
    <t>['prediksi', 'ternyata', 'benar', 'argentina', 'juara', 'piala', 'dunia', 'qatar']</t>
  </si>
  <si>
    <t>Oh, yang menang Argentina? Selamat! Selamat buat Arab Saudi, satu-satunya timnas medioker yang mampu mengalahkan tim Juara Dunia ü§£</t>
  </si>
  <si>
    <t>yang menang argentina selamat selamat buat arab saudi satu satunya timnas medioker yang mampu mengalahkan tim juara dunia</t>
  </si>
  <si>
    <t>['menang', 'argentina', 'selamat', 'selamat', 'buat', 'arab', 'saudi', 'satu', 'satunya', 'timnas', 'medioker', 'mampu', 'mengalahkan', 'tim', 'juara', 'dunia']</t>
  </si>
  <si>
    <t>Antonela Roccuzzo mengetahui bagaimana penderitaan Lionel Messi selama bertahun-tahun hingga akhirnya berhasil membawa Argentina juara Piala Dunia.  https://t.co/RNR3QXJdmN</t>
  </si>
  <si>
    <t>antonela roccuzzo mengetahui bagaimana penderitaan lionel messi selama bertahun tahun hingga akhirnya berhasil membawa argentina juara piala dunia</t>
  </si>
  <si>
    <t>['antonela', 'roccuzzo', 'mengetahui', 'bagaimana', 'penderitaan', 'lionel', 'messi', 'selama', 'bertahun', 'tahun', 'hingga', 'akhirnya', 'berhasil', 'membawa', 'argentina', 'juara', 'piala', 'dunia']</t>
  </si>
  <si>
    <t>Messi Tak Percaya, Jika Argentina Akhirnya Merengkuh Juara Piala Dunia 2022  https://t.co/Z7xT1epKwE #Messi #MessiìÉµday  #FIFAWorldCup</t>
  </si>
  <si>
    <t>messi tak percaya jika argentina akhirnya merengkuh juara piala dunia day</t>
  </si>
  <si>
    <t>['messi', 'tak', 'percaya', 'argentina', 'akhirnya', 'merengkuh', 'juara', 'piala', 'dunia', 'day']</t>
  </si>
  <si>
    <t>Apa persamaan kmu sm argentina?  Gatau piala dunia, yang ku tau cuma kamu juara satu dihatiku</t>
  </si>
  <si>
    <t>apa persamaan kmu argentina gatau piala dunia yang tau cuma kamu juara satu dihatiku</t>
  </si>
  <si>
    <t>['apa', 'persamaan', 'kmu', 'argentina', 'gatau', 'piala', 'dunia', 'cuma', 'kamu', 'juara', 'satu', 'dihatiku']</t>
  </si>
  <si>
    <t>Teori yg membuat ku percaya kalau tahun ini Argentina yg akan juara, dan terbukti</t>
  </si>
  <si>
    <t>teori membuat percaya kalau tahun ini argentina akan juara dan terbukti</t>
  </si>
  <si>
    <t>['teori', 'membuat', 'percaya', 'kalau', 'tahun', 'argentina', 'juara', 'terbukti']</t>
  </si>
  <si>
    <t>Bahkan kau rela menukar semua trophy &amp;amp; penghargaan individumu hanya untuk sebuah piala untuk negaramu, kau bisa saja juara bersama Spanyol diwc 2010, euro 2008 &amp;amp; 2012, tapi engkau pilih tanah kelahiranmu, tempat dimana kamu lahir &amp;amp; besar, Rosario Argentina</t>
  </si>
  <si>
    <t>bahkan kau rela menukar semua trophy penghargaan individumu hanya untuk sebuah piala untuk negaramu kau bisa saja juara bersama spanyol diwc euro tapi engkau pilih tanah kelahiranmu tempat dimana kamu lahir besar rosario argentina</t>
  </si>
  <si>
    <t>['bahkan', 'kau', 'rela', 'menukar', 'semua', 'trophy', 'penghargaan', 'individumu', 'sebuah', 'piala', 'negaramu', 'kau', 'juara', 'bersama', 'spanyol', 'diwc', 'euro', 'engkau', 'pilih', 'tanah', 'kelahiranmu', 'tempat', 'kamu', 'lahir', 'besar', 'rosario', 'argentina']</t>
  </si>
  <si>
    <t>mules pertama setelah argentina juara piala dunia  INI INFO PENTING</t>
  </si>
  <si>
    <t>mules pertama setelah argentina juara piala dunia ini info penting</t>
  </si>
  <si>
    <t>['mules', 'pertama', 'argentina', 'juara', 'piala', 'dunia', 'info', 'penting']</t>
  </si>
  <si>
    <t>Argentina Juara Piala Dunia 2022, Ini Komentar Pelatih Lionel Scaloni  https://t.co/mUoazSWzzi</t>
  </si>
  <si>
    <t>argentina juara piala dunia ini komentar pelatih lionel scaloni</t>
  </si>
  <si>
    <t>['argentina', 'juara', 'piala', 'dunia', 'komentar', 'pelatih', 'lionel', 'scaloni']</t>
  </si>
  <si>
    <t>Piala Dunia kali ini berasa kayk piala dunianya kiper, timnas mana yg pnya kiper lbih bagus bakalan mulus melaju ke babak berikutnya atau bahkan juara.  Kiper Kroasia, Maroko dan terakhir argentina,  Reflek saat adu tendangan penalti sangat menentukan</t>
  </si>
  <si>
    <t>piala dunia kali ini berasa kayk piala dunianya kiper timnas mana pnya kiper lbih bagus bakalan mulus melaju babak berikutnya atau bahkan juara kiper kroasia maroko dan terakhir argentina reflek saat adu tendangan penalti sangat menentukan</t>
  </si>
  <si>
    <t>['piala', 'dunia', 'kali', 'berasa', 'kayk', 'piala', 'dunianya', 'kiper', 'timnas', 'mana', 'pnya', 'kiper', 'lbih', 'bagus', 'bakalan', 'mulus', 'melaju', 'babak', 'berikutnya', 'bahkan', 'juara', 'kiper', 'kroasia', 'maroko', 'terakhir', 'argentina', 'reflek', 'adu', 'tendangan', 'penalti', 'sangat', 'menentukan']</t>
  </si>
  <si>
    <t>Messi Bisa Tidur Nyenyak, Trofinya Lengkap Usai Juara Piala Dunia¬† #PialaDunia #Argentina #Prancis #LionelMessi #Jakarta  https://t.co/aCd4eEl6Rm</t>
  </si>
  <si>
    <t>messi bisa tidur nyenyak trofinya lengkap usai juara piala dunia</t>
  </si>
  <si>
    <t>['messi', 'tidur', 'nyenyak', 'trofinya', 'lengkap', 'usai', 'juara', 'piala', 'dunia']</t>
  </si>
  <si>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</si>
  <si>
    <t>momen messi bawa dan angkat trophy piala dunia dan merayakan bersama rekan timnas argentina sbg jawara piala dunia bravo timnas argentina</t>
  </si>
  <si>
    <t>['momen', 'messi', 'bawa', 'angkat', 'trophy', 'piala', 'dunia', 'merayakan', 'bersama', 'rekan', 'timnas', 'argentina', 'sbg', 'jawara', 'piala', 'dunia', 'bravo', 'timnas', 'argentina']</t>
  </si>
  <si>
    <t>Mbape lawan yang tangguh, argentina pantas juara üòò</t>
  </si>
  <si>
    <t>mbape lawan yang tangguh argentina pantas juara</t>
  </si>
  <si>
    <t>['mbape', 'lawan', 'tangguh', 'argentina', 'pantas', 'juara']</t>
  </si>
  <si>
    <t>@IsmailHD91 Dengar kata France akan kumpul SD untuk menjadi juara dunia sekali gus membatalkan kejuaraan Argentina üòÇ</t>
  </si>
  <si>
    <t>dengar kata france akan kumpul untuk menjadi juara dunia sekali gus membatalkan kejuaraan argentina</t>
  </si>
  <si>
    <t>['dengar', 'kata', 'france', 'kumpul', 'menjadi', 'juara', 'dunia', 'sekali', 'gus', 'membatalkan', 'kejuaraan', 'argentina']</t>
  </si>
  <si>
    <t>Ketika Team Arab Saudi mengalahkan Argentina dibabak Awal, para KADRUN katakan bahwanTim sepak Bola Arab ditemani para Ulama dan Allah..tapi akhirnya  Argentina JUARA karena ada "MESSIAS"üòÉüòÉüòÉ  https://t.co/HvI9241bip</t>
  </si>
  <si>
    <t>ketika team arab saudi mengalahkan argentina dibabak awal para kadrun katakan bahwantim sepak bola arab ditemani para ulama dan allah tapi akhirnya argentina juara karena ada messias</t>
  </si>
  <si>
    <t>['team', 'arab', 'saudi', 'mengalahkan', 'argentina', 'dibabak', 'awal', 'kadrun', 'katakan', 'bahwantim', 'sepak', 'bola', 'arab', 'ditemani', 'ulama', 'allah', 'akhirnya', 'argentina', 'juara', 'messias']</t>
  </si>
  <si>
    <t>Arisan Euro dan Piala Dunia beberapa kali ini lagi beruntung:  1. Euro 2016, dapet Portugal. Juara; 2. Piala Dunia 2018, ga ikutan arisan hehe; 3. Euro 2020, dapet Italya. Juara; 4. Piala Dunia 2022, dapet Argentina. Juara;  üáµüáπüáÆüáπüá¶üá∑</t>
  </si>
  <si>
    <t>arisan euro dan piala dunia beberapa kali ini lagi beruntung euro dapet portugal juara piala dunia ikutan arisan hehe euro dapet italya juara piala dunia dapet argentina juara</t>
  </si>
  <si>
    <t>['arisan', 'euro', 'piala', 'dunia', 'beberapa', 'kali', 'beruntung', 'euro', 'dapat', 'portugal', 'juara', 'piala', 'dunia', 'ikutan', 'arisan', 'euro', 'dapat', 'italya', 'juara', 'piala', 'dunia', 'dapat', 'argentina', 'juara']</t>
  </si>
  <si>
    <t>Lionel Scaloni membuktikan usia bukan halangan membawa Argentina juara Piala Dunia 2022. Dia baru saja mengikuti jejak Cesar Luis Menotti. Apa itu? #juaraboladunia    https://t.co/skkjyemBVf</t>
  </si>
  <si>
    <t>Argentina raih tropi juara yang ketiga kalinya di Piala Dunia Qatar 2022.  https://t.co/2nW6591FGM</t>
  </si>
  <si>
    <t>argentina raih tropi juara yang ketiga kalinya piala dunia qatar</t>
  </si>
  <si>
    <t>['argentina', 'raih', 'trofi', 'juara', 'ketiga', 'kalinya', 'piala', 'dunia', 'qatar']</t>
  </si>
  <si>
    <t>@ylanaptr_ @vidialdiano Iya iya seluruh dunia jg tau argentina juara, plisdah gak usah caper</t>
  </si>
  <si>
    <t>iya iya seluruh dunia tau argentina juara plisdah gak usah caper</t>
  </si>
  <si>
    <t>['iya', 'iya', 'seluruh', 'dunia', 'argentina', 'juara', 'plisdah', 'usah', 'caper']</t>
  </si>
  <si>
    <t>Juara Piala Dunia, Disambut Gempita Warga Argentina | Liputan6  https://t.co/bAte9t5V86</t>
  </si>
  <si>
    <t>juara piala dunia disambut gempita warga argentina liputan</t>
  </si>
  <si>
    <t>['juara', 'piala', 'dunia', 'disambut', 'gempita', 'warga', 'argentina', 'liputan']</t>
  </si>
  <si>
    <t>@amingz Argentina yg juara, eh Paraguay yg dikasih bonus</t>
  </si>
  <si>
    <t>argentina juara paraguay dikasih bonus</t>
  </si>
  <si>
    <t>['argentina', 'juara', 'paraguay', 'dikasih', 'bonus']</t>
  </si>
  <si>
    <t>Penuh Ketegangan : Argentina Berhasil Raih Juara Piala Dunia Qatar 2022 Penuh Ketegangan : Argentina Berhasil Raih Juara Piala Dunia Qatar¬†2022 Kabupaten Bogor ‚Äì Pertandingan sengit yang menegangkan di final Piala Dunia Qatar 2022, berhasil di...  https://t.co/nc0dM8fvbh</t>
  </si>
  <si>
    <t>penuh ketegangan argentina berhasil raih juara piala dunia qatar penuh ketegangan argentina berhasil raih juara piala dunia qatar kabupaten bogor pertandingan sengit yang menegangkan final piala dunia qatar berhasil</t>
  </si>
  <si>
    <t>['penuh', 'ketegangan', 'argentina', 'berhasil', 'raih', 'juara', 'piala', 'dunia', 'qatar', 'penuh', 'ketegangan', 'argentina', 'berhasil', 'raih', 'juara', 'piala', 'dunia', 'qatar', 'kabupaten', 'bogor', 'pertandingan', 'sengit', 'menegangkan', 'final', 'piala', 'dunia', 'qatar', 'berhasil']</t>
  </si>
  <si>
    <t>Bawa Argentina Juara Piala Dunia 2022, Messi Pecahkan 5 Rekor Terbaru. Apa saja?  https://t.co/p3wIDSieGO</t>
  </si>
  <si>
    <t>bawa argentina juara piala dunia messi pecahkan rekor terbaru apa saja</t>
  </si>
  <si>
    <t>['bawa', 'argentina', 'juara', 'piala', 'dunia', 'messi', 'pecahkan', 'rekor', 'terbaru', 'apa']</t>
  </si>
  <si>
    <t>Argentina Juara Piala Dunia 2022 Usai Kandaskan¬†Prancis  https://t.co/V9XbeB8c7r</t>
  </si>
  <si>
    <t>argentina juara piala dunia usai kandaskan prancis</t>
  </si>
  <si>
    <t>['argentina', 'juara', 'piala', 'dunia', 'usai', 'kandaskan', 'prancis']</t>
  </si>
  <si>
    <t>Penuh Ketegangan : Argentina Berhasil Raih Juara Piala Dunia Qatar 2022 Penuh Ketegangan : Argentina Berhasil Raih Juara Piala Dunia Qatar¬†2022 Kabupaten Bogor ‚Äì Pertandingan sengit yang menegangkan di final Piala Dunia Qatar 2022, berhasil di...  https://t.co/82PtHlRUrH</t>
  </si>
  <si>
    <t>Penuh Ketegangan : Argentina Berhasil Raih Juara Piala Dunia Qatar¬†2022  https://t.co/kmHKsuLCZm</t>
  </si>
  <si>
    <t>penuh ketegangan argentina berhasil raih juara piala dunia qatar</t>
  </si>
  <si>
    <t>['penuh', 'ketegangan', 'argentina', 'berhasil', 'raih', 'juara', 'piala', 'dunia', 'qatar']</t>
  </si>
  <si>
    <t>7 Potret Lionel Messi dan Keluarga Rayakan Argentina Juara, Sayang Istri dan Anak  https://t.co/xGxlm0Etu1  https://t.co/mDkic6uwbk</t>
  </si>
  <si>
    <t>potret lionel messi dan keluarga rayakan argentina juara sayang istri dan anak</t>
  </si>
  <si>
    <t>['potret', 'lionel', 'messi', 'keluarga', 'rayakan', 'argentina', 'juara', 'sayang', 'istri', 'anak']</t>
  </si>
  <si>
    <t>Pergantian 2 Pemain Prancis di Babak Pertama Jadi Catatan Sejarah, Argentina Juara Piala Dunia Qatar¬†2022  https://t.co/LpJEmKjwV1</t>
  </si>
  <si>
    <t>pergantian pemain prancis babak pertama jadi catatan sejarah argentina juara piala dunia qatar</t>
  </si>
  <si>
    <t>['pergantian', 'pemain', 'prancis', 'babak', 'pertama', 'jadi', 'catatan', 'sejarah', 'argentina', 'juara', 'piala', 'dunia', 'qatar']</t>
  </si>
  <si>
    <t>Ada dua tim nasional yang berbahagia perhelatan piala dunia 2022, argentina berhasil menjadi juara dan arab saudi mengalahkan sang juara saat fase grup #Qatar2022</t>
  </si>
  <si>
    <t>ada dua tim nasional yang berbahagia perhelatan piala dunia argentina berhasil menjadi juara dan arab saudi mengalahkan sang juara saat fase grup</t>
  </si>
  <si>
    <t>['tim', 'nasional', 'berbahagia', 'perhelatan', 'piala', 'dunia', 'argentina', 'berhasil', 'menjadi', 'juara', 'arab', 'saudi', 'mengalahkan', 'sang', 'juara', 'fase', 'grup']</t>
  </si>
  <si>
    <t>Antarkan Argentina Juara Piala Dunia 2022, Ini Koleksi Mobil Sang Mega Bintang Lionel Messi: Berikut ini koleksi mobil mega bintang Timnas Argentina Lionel Messi  https://t.co/Th4mcgzgP3  https://t.co/4XhlyWzPOF</t>
  </si>
  <si>
    <t>antarkan argentina juara piala dunia ini koleksi mobil sang mega bintang lionel messi berikut ini koleksi mobil mega bintang timnas argentina lionel messi</t>
  </si>
  <si>
    <t>['antarkan', 'argentina', 'juara', 'piala', 'dunia', 'koleksi', 'mobil', 'sang', 'mega', 'bintang', 'lionel', 'messi', 'berikut', 'koleksi', 'mobil', 'mega', 'bintang', 'timnas', 'argentina', 'lionel', 'messi']</t>
  </si>
  <si>
    <t>@SiaranBolaLive Ucapan selamat dari ketua Federasi sepakbola Indonesia atas kemenangan dan gelar juara piala dunia timnas argentina</t>
  </si>
  <si>
    <t>ucapan selamat dari ketua federasi sepakbola indonesia atas kemenangan dan gelar juara piala dunia timnas argentina</t>
  </si>
  <si>
    <t>['ucapan', 'selamat', 'ketua', 'federasi', 'sepakbola', 'indonesia', 'atas', 'kemenangan', 'gelar', 'juara', 'piala', 'dunia', 'timnas', 'argentina']</t>
  </si>
  <si>
    <t>Sepertinya orang argentina lagi seneng banget, jadi kalopun iwan bule jadi ketua federasinya, mereka tetap ga peduli, yang penting taun ini udah juara.</t>
  </si>
  <si>
    <t>sepertinya orang argentina lagi seneng banget jadi kalopun iwan bule jadi ketua federasinya mereka tetap peduli yang penting taun ini udah juara</t>
  </si>
  <si>
    <t>['sepertinya', 'orang', 'argentina', 'seneng', 'banget', 'jadi', 'kalopun', 'iwan', 'bule', 'jadi', 'ketua', 'federasinya', 'tetap', 'peduli', 'penting', 'taun', 'udah', 'juara']</t>
  </si>
  <si>
    <t>Sekali lagi, warna putih di bagian celana bak bertuah manis untuk Argentina di final Piala Dunia 2022.  Serupa dengan di Estadio Maracana setahun silam, kini pada final Piala Dunia 2022, Lionel Messi dan kawan-kawan kembali menjadi juara! üèÜü•áüá¶üá∑  https://t.co/4MHgQju5MN</t>
  </si>
  <si>
    <t>sekali lagi warna putih bagian celana bak bertuah manis untuk argentina final piala dunia serupa dengan estadio maracana setahun silam kini pada final piala dunia lionel messi dan kawan kawan kembali menjadi juara</t>
  </si>
  <si>
    <t>['sekali', 'warna', 'putih', 'bagian', 'celana', 'bak', 'bertuah', 'manis', 'argentina', 'final', 'piala', 'dunia', 'serupa', 'estadio', 'maracana', 'setahun', 'silam', 'kini', 'final', 'piala', 'dunia', 'lionel', 'messi', 'kawan', 'kawan', 'menjadi', 'juara']</t>
  </si>
  <si>
    <t>@NurulShafiqka1 @Voidmonsterz @ndagels Iya bener pas argentina juara copa amerika 2021</t>
  </si>
  <si>
    <t>iya bener pas argentina juara copa amerika</t>
  </si>
  <si>
    <t>['iya', 'benar', 'pas', 'argentina', 'juara', 'copa', 'amerika']</t>
  </si>
  <si>
    <t>Sekali lagi, warna putih di bagian celana bak bertuah manis untuk Argentina di final Piala Dunia 2022.  Serupa dengan di Estadio Maracana setahun silam, kini pada final Piala Dunia 2022, Lionel Messi dan kawan-kawan kembali menjadi juara! üèÜü•áüá¶üá∑  https://t.co/t6lJlDvhOT</t>
  </si>
  <si>
    <t>Kerana argentina juara jd hari ini full dengerin lagu latin #LatinaParaSiempre #RealHastaLaMuerte</t>
  </si>
  <si>
    <t>kerana argentina juara hari ini full dengerin lagu latin</t>
  </si>
  <si>
    <t>['kerana', 'argentina', 'juara', 'hari', 'full', 'dengerin', 'lagu', 'latin']</t>
  </si>
  <si>
    <t>juara juara juara Argentina juaraaa yeayy!!  #IndiHome #AktivitasTanpaBatas #InternetnyaIndonesia</t>
  </si>
  <si>
    <t>juara juara juara argentina juaraaa yeayy</t>
  </si>
  <si>
    <t>['juara', 'juara', 'juara', 'argentina', 'juaraaa', 'yeayy']</t>
  </si>
  <si>
    <t>Penantian selama 36 tahun itu telah usai. Timnas Argentina berhasil menjadi juara lagi di Piala Dunia 2022 #ThePhraseID #TimnasArgentina #LionelMessi #JuaraPialaDunia2022Qatar  https://t.co/NzOUA8lMnq</t>
  </si>
  <si>
    <t>penantian selama tahun itu telah usai timnas argentina berhasil menjadi juara lagi piala dunia</t>
  </si>
  <si>
    <t>['penantian', 'selama', 'tahun', 'usai', 'timnas', 'argentina', 'berhasil', 'menjadi', 'juara', 'piala', 'dunia']</t>
  </si>
  <si>
    <t>Selamat penggemar Argentina sejati @cheguejkek Juara, udah menanti nanti dar jaman Riquelme</t>
  </si>
  <si>
    <t>selamat penggemar argentina sejati juara udah menanti nanti dar jaman riquelme</t>
  </si>
  <si>
    <t>['selamat', 'penggemar', 'argentina', 'sejati', 'juara', 'udah', 'menanti', 'dar', 'jaman', 'riquelme']</t>
  </si>
  <si>
    <t>wkwkwk seru banget nebak2 siapa yg bakal jari juara di pildun tahun ini, tapi mimin indihome gausah penasaran lagi karena Argentina yg menangggg</t>
  </si>
  <si>
    <t>wkwkwk seru banget nebak siapa bakal jari juara pildun tahun ini tapi mimin indihome gausah penasaran lagi karena argentina menangggg</t>
  </si>
  <si>
    <t>['wkwkwk', 'seru', 'banget', 'nebak', 'siapa', 'bakal', 'jari', 'juara', 'piala dunia', 'tahun', 'mimin', 'indihome', 'gausah', 'penasaran', 'argentina', 'menangggg']</t>
  </si>
  <si>
    <t>Akhirnya, Argentina keluar menjadi Juara Piala Dunia 2022 Qatar. Bagi yang tak sempat menonton serunya laga semalam, berikut kami rangkumkan dalam INFOGRAFIK ___ #VIVACOID #design #infografis #pialadunia2022 #worldcup2022 #argentina #prancis  https://t.co/w3owCa1ZaJ</t>
  </si>
  <si>
    <t>akhirnya argentina keluar menjadi juara piala dunia qatar bagi yang tak sempat menonton serunya laga semalam berikut kami rangkumkan dalam infografik</t>
  </si>
  <si>
    <t>['akhirnya', 'argentina', 'keluar', 'menjadi', 'juara', 'piala', 'dunia', 'qatar', 'tak', 'sempat', 'menonton', 'serunya', 'laga', 'semalam', 'berikut', 'rangkumkan', 'infografik']</t>
  </si>
  <si>
    <t>mumpung Argentina juara, pacaran yuk</t>
  </si>
  <si>
    <t>mumpung argentina juara pacaran yuk</t>
  </si>
  <si>
    <t>['mumpung', 'argentina', 'juara', 'pacaran', 'yuk']</t>
  </si>
  <si>
    <t>Argentina menjadi Juara Piala Dunia 2022! #nova88 #nova88indo #nova88indonesia #nova88sports #argentina #Messi  https://t.co/gdmkHRCkh5</t>
  </si>
  <si>
    <t>Tahun 2006 patah hati argentina dikalahin tuan rumah, akhirnya tahun ini juara piala dunia‚Ä¶ walau ku sudah ga ngikutin lagi ü•π</t>
  </si>
  <si>
    <t>tahun patah hati argentina dikalahin tuan rumah akhirnya tahun ini juara piala dunia walau sudah ngikutin lagi</t>
  </si>
  <si>
    <t>['tahun', 'patah', 'hati', 'argentina', 'dikalahin', 'tuan', 'rumah', 'akhirnya', 'tahun', 'juara', 'piala', 'dunia', 'ngikutin']</t>
  </si>
  <si>
    <t>gua ngeliat sekarang tuh argentina juara dunia nih, brarti nunjukkin permainan terbaiknya saat ini.  cuman kalo mau tetep bisa bertahan di permainan terbaiknya sih harus ganti gameplay dari sekarang, rombak besar2an terkhusus pildun 2026.   karena messi bakal pensi. rombak total.</t>
  </si>
  <si>
    <t>gua ngeliat sekarang tuh argentina juara dunia nih brarti nunjukkin permainan terbaiknya saat ini cuman kalo mau tetep bisa bertahan permainan terbaiknya sih harus ganti gameplay dari sekarang rombak besar terkhusus pildun karena messi bakal pensi rombak total</t>
  </si>
  <si>
    <t>['gua', 'ngeliat', 'sekarang', 'argentina', 'juara', 'dunia', 'brarti', 'nunjukkin', 'permainan', 'terbaiknya', 'cuman', 'mau', 'tetep', 'bertahan', 'permainan', 'terbaiknya', 'ganti', 'gameplay', 'sekarang', 'rombak', 'besar', 'terkhusus', 'piala dunia', 'messi', 'bakal', 'pensi', 'rombak', 'total']</t>
  </si>
  <si>
    <t>Yang bikin Argentina juara Piala Dunia.</t>
  </si>
  <si>
    <t>yang bikin argentina juara piala dunia</t>
  </si>
  <si>
    <t>Argentina mengakhiri penantian juara usai 36 tahun‚Ä¶‚Ä¶LUAR BIASA,apa pelajaran yang bisa diambil dari kisah hebat ini?</t>
  </si>
  <si>
    <t>argentina mengakhiri penantian juara usai tahun luar biasa apa pelajaran yang bisa diambil dari kisah hebat ini</t>
  </si>
  <si>
    <t>['argentina', 'mengakhiri', 'penantian', 'juara', 'usai', 'tahun', 'luar', 'biasa', 'apa', 'pelajaran', 'diambil', 'kisah', 'hebat']</t>
  </si>
  <si>
    <t>@hi_sanp Barusan kepoo, Alhamdulillah Argentina juara beb. Gw sebel ama Perancis, soalnya islamophobhic (no hate for their football team)</t>
  </si>
  <si>
    <t>sanp barusan kepoo alhamdulillah argentina juara beb sebel ama perancis soalnya islamophobhic hate for their football team</t>
  </si>
  <si>
    <t>['sanp', 'barusan', 'kepoo', 'alhamdulillah', 'argentina', 'juara', 'beb', 'sebel', 'ama', 'perancis', 'soalnya', 'islamophobhic', 'hate', 'for', 'their', 'football', 'team']</t>
  </si>
  <si>
    <t>Selamat buat argentina juara piala dunia</t>
  </si>
  <si>
    <t>Aksi Para Dukun Argentina hingga Lionel Messi Cs Mampu Juara Piala Dunia 2022   https://t.co/Gk89bLUJfL</t>
  </si>
  <si>
    <t>aksi para dukun argentina hingga lionel messi mampu juara piala dunia</t>
  </si>
  <si>
    <t>['aksi', 'dukun', 'argentina', 'hingga', 'lionel', 'messi', 'mampu', 'juara', 'piala', 'dunia']</t>
  </si>
  <si>
    <t>FOTO: Gairah Rakyat Argentina Rayakan Juara Piala Dunia  https://t.co/zaXu2yHqk5</t>
  </si>
  <si>
    <t>foto gairah rakyat argentina rayakan juara piala dunia</t>
  </si>
  <si>
    <t>['foto', 'gairah', 'rakyat', 'argentina', 'rayakan', 'juara', 'piala', 'dunia']</t>
  </si>
  <si>
    <t>obat ngantuk nonton video video tiktok keberhasilan Messi dan Argentina menjadi juara piala dunia dengan sound Viva La Vida</t>
  </si>
  <si>
    <t>obat ngantuk nonton video video tiktok keberhasilan messi dan argentina menjadi juara piala dunia dengan sound viva vida</t>
  </si>
  <si>
    <t>['obat', 'ngantuk', 'nonton', 'video', 'video', 'tiktok', 'keberhasilan', 'messi', 'argentina', 'menjadi', 'juara', 'piala', 'dunia', 'sound', 'viva', 'vida']</t>
  </si>
  <si>
    <t>iyaya argentina juara kagak usah bully gw lg ajg</t>
  </si>
  <si>
    <t>iyaya argentina juara kagak usah bully ajg</t>
  </si>
  <si>
    <t>['iyaya', 'argentina', 'juara', 'kagak', 'usah', 'bully', 'ajg']</t>
  </si>
  <si>
    <t>@mohmahfudmd Sudah pake baju Argentina, dan Argentina juara, sudah benar pak, ini fakta, selamat ya pak,  jadi harapan pak Mahfud Prancis juara melenceng,</t>
  </si>
  <si>
    <t>sudah pake baju argentina dan argentina juara sudah benar pak ini fakta selamat pak jadi harapan pak mahfud prancis juara melenceng</t>
  </si>
  <si>
    <t>['pake', 'baju', 'argentina', 'argentina', 'juara', 'benar', 'pak', 'fakta', 'selamat', 'pak', 'jadi', 'harapan', 'pak', 'mahfud', 'prancis', 'juara', 'melenceng']</t>
  </si>
  <si>
    <t>Mana ya yg ngehina rafathar anak bawa sial kemarin? Argentina juara nichhh</t>
  </si>
  <si>
    <t>mana ngehina rafathar anak bawa sial kemarin argentina juara nichhh</t>
  </si>
  <si>
    <t>['mana', 'ngehina', 'rafathar', 'anak', 'bawa', 'sial', 'kemarin', 'argentina', 'juara', 'nichhh']</t>
  </si>
  <si>
    <t>@TumbalProyekk @muhshosyakhu @Fandom_ID Ciaaaakh standar ganda, lu belain belain spanyol kemaren kalah kek gimana, sampe mati matian buat argumen, giliran argentina juara koar paling gede gua bukan fans spanyol.. kocak ü§£ü§£ü§£</t>
  </si>
  <si>
    <t>ciaaaakh standar ganda belain belain spanyol kemaren kalah kek gimana sampe mati matian buat argumen giliran argentina juara koar paling gede gua bukan fans spanyol kocak</t>
  </si>
  <si>
    <t>['ciaaaakh', 'standar', 'ganda', 'belain', 'belain', 'spanyol', 'kemarin', 'kalah', 'kek', 'gimana', 'sampai', 'mati', 'matian', 'buat', 'argumen', 'giliran', 'argentina', 'juara', 'koar', 'paling', 'gede', 'gua', 'bukan', 'fans', 'spanyol', 'kocak']</t>
  </si>
  <si>
    <t>@lutfiamodya seru karena argentina juara</t>
  </si>
  <si>
    <t>seru karena argentina juara</t>
  </si>
  <si>
    <t>['seru', 'argentina', 'juara']</t>
  </si>
  <si>
    <t>VIDEO: Bawa Argentina Juara Piala Dunia 2022 Qatar, Messi Dapat Jubah Spesial  https://t.co/SPI19NFmv8</t>
  </si>
  <si>
    <t>Argentina menjadi juara Piala Dunia 2022 setelah mengalahkan Perancis melalui babak adu penalti. Laga Argentina vs Perancis di final Piala Dunia 2022 berlangsung di Stadion Lusail, Qatar, Minggu (18/12/2022) malam WIB.  ^ #Argentina #PialaDunia2022 #Perancis #Messi  https://t.co/WKNAEB8ONf</t>
  </si>
  <si>
    <t>Akhirnya, Argentina juara dunia juga.</t>
  </si>
  <si>
    <t>akhirnya argentina juara dunia juga</t>
  </si>
  <si>
    <t>ARGENTINA MANIA MANA SUARANYAAA!! üôåüèºüá¶üá∑üèÜ  Argentina keluar sebagai juara di final Piala Dunia 2022 Qatar usai melawan Prancis dengan skor 3-3.  Congrats, Argentina! üá¶üá∑üôåüèº  #PramborsWhatsOn #PramborsGilaBolaQatar2022  https://t.co/1QSnsKSZxI</t>
  </si>
  <si>
    <t>argentina mania mana suaranyaaa argentina keluar sebagai juara final piala dunia qatar usai melawan prancis dengan skor congrats argentina</t>
  </si>
  <si>
    <t>['argentina', 'mania', 'mana', 'suaranyaaa', 'argentina', 'keluar', 'juara', 'final', 'piala', 'dunia', 'qatar', 'usai', 'melawan', 'prancis', 'skor', 'congrats', 'argentina']</t>
  </si>
  <si>
    <t>@MiskinTV_ @bekokjin argentina juara berkat iwan bule dan jajaran pssi</t>
  </si>
  <si>
    <t>argentina juara berkat iwan bule dan jajaran pssi</t>
  </si>
  <si>
    <t>['argentina', 'juara', 'berkat', 'iwan', 'bule', 'jajaran', 'pssi']</t>
  </si>
  <si>
    <t>Argentina seng juara Awak ku seng meriang</t>
  </si>
  <si>
    <t>argentina seng juara awak seng meriang</t>
  </si>
  <si>
    <t>['argentina', 'seng', 'juara', 'awak', 'seng', 'meriang']</t>
  </si>
  <si>
    <t>argentina prancis yang juara teh manis sigaret kretek isi dua belas</t>
  </si>
  <si>
    <t>['argentina', 'prancis', 'juara', 'teh', 'manis', 'sigaret', 'kretek', 'isi', 'belas']</t>
  </si>
  <si>
    <t>Tenang bapak Lee Ikjoon aku padamu tetap cinta! Walau dukung Argentina juara üò¨</t>
  </si>
  <si>
    <t>tenang bapak lee ikjoon aku padamu tetap cinta walau dukung argentina juara</t>
  </si>
  <si>
    <t>['tenang', 'bapak', 'lee', 'ikjoon', 'aku', 'padamu', 'tetap', 'cinta', 'dukung', 'argentina', 'juara']</t>
  </si>
  <si>
    <t>Lionel Messi Bawa Argentina Juara Sekaligus Raih Golden Ball   https://t.co/owIyNRZklm  #LionelMessiìÉµ #LionelMessi #GoldenBall #WorldCupFinal #WorldCup</t>
  </si>
  <si>
    <t>lionel messi bawa argentina juara sekaligus raih golden ball</t>
  </si>
  <si>
    <t>['lionel', 'messi', 'bawa', 'argentina', 'juara', 'sekaligus', 'raih', 'golden', 'ball']</t>
  </si>
  <si>
    <t>1986 Argentina juara dunia 1987 Indonesia juara Asia Tenggara  2022 Argentina juara dunia 2023 Indonesia juara Asia Tenggara???</t>
  </si>
  <si>
    <t>argentina juara dunia indonesia juara asia tenggara argentina juara dunia indonesia juara asia tenggara</t>
  </si>
  <si>
    <t>['argentina', 'juara', 'dunia', 'indonesia', 'juara', 'asia', 'tenggara', 'argentina', 'juara', 'dunia', 'indonesia', 'juara', 'asia', 'tenggara']</t>
  </si>
  <si>
    <t>&lt;FreqDist with 6 samples and 14 outcomes&gt;</t>
  </si>
  <si>
    <t>@kindercellaaa argentina juara</t>
  </si>
  <si>
    <t>Argentina Jadi Juara Piala Dunia 2022, Kylian Mbappe Cetak Hattrick -  https://t.co/U86c5sayF6 #ArgentinaVsPrancis #FinalPialaDuniaQatar2022 #KylianMbappe  https://t.co/kjGBbDR1cC</t>
  </si>
  <si>
    <t>argentina jadi juara piala dunia kylian mbappe cetak hattrick</t>
  </si>
  <si>
    <t>['argentina', 'jadi', 'juara', 'piala', 'dunia', 'kylian', 'mbappe', 'cetak', 'hattrick']</t>
  </si>
  <si>
    <t>Argentina juara Piala Dunia 2022, Lionel Messi tulis pesan haru usai berhasil raih trofi impiannya. #LionelMessiìÉµ #LionelMessi #PialaDuniaQatar  https://t.co/HRf66ZMjdG</t>
  </si>
  <si>
    <t>argentina juara piala dunia lionel messi tulis pesan haru usai berhasil raih trofi impiannya</t>
  </si>
  <si>
    <t>['argentina', 'juara', 'piala', 'dunia', 'lionel', 'messi', 'tulis', 'pesan', 'haru', 'usai', 'berhasil', 'raih', 'trofi', 'impiannya']</t>
  </si>
  <si>
    <t>Firasat dan Janji Lionel Messi Setelah Juara Piala Dunia 2022 Bersama Argentina  https://t.co/jxf36r5hbD</t>
  </si>
  <si>
    <t>firasat dan janji lionel messi setelah juara piala dunia bersama argentina</t>
  </si>
  <si>
    <t>['firasat', 'janji', 'lionel', 'messi', 'juara', 'piala', 'dunia', 'bersama', 'argentina']</t>
  </si>
  <si>
    <t>Kemarin ada 2 pria yang membawa trofi Piala Dunia sebelum dikerahkan ke Lionel Messi.  Ini namanya Nery Pumpido dan Sergio "Checho" Batista. Kiper dan gelandang saat Argentina juara tahun 1986. Pasukannya Diego Maradonaüá¶üá∑  Wish you were here, Diegoü•∫  https://t.co/R65aBLIG6Q</t>
  </si>
  <si>
    <t>kemarin ada pria yang membawa trofi piala dunia sebelum dikerahkan lionel messi ini namanya nery pumpido dan sergio checho batista kiper dan gelandang saat argentina juara tahun pasukannya diego maradona wish you were here diego</t>
  </si>
  <si>
    <t>['kemarin', 'pria', 'membawa', 'trofi', 'piala', 'dunia', 'dikerahkan', 'lionel', 'messi', 'namanya', 'nery', 'pumpido', 'sergio', 'checho', 'batista', 'kiper', 'gelandang', 'argentina', 'juara', 'tahun', 'pasukannya', 'diego', 'maradona', 'wish', 'you', 'were', 'here', 'diego']</t>
  </si>
  <si>
    <t>DEPOSTBALI,-  Piala Dunia 2022 telah usai. Argentina keluar sebagai juara. Lionel Messi terpilih sebagai pemain terbaik.#pialadunia2022 #ArgentinaVsFrance  #LionelMessiìÉµ #KylianMbappe #emimartinez    https://t.co/jLnjBsXrgC</t>
  </si>
  <si>
    <t>depostbali piala dunia telah usai argentina keluar sebagai juara lionel messi terpilih sebagai pemain terbaik</t>
  </si>
  <si>
    <t>['depostbali', 'piala', 'dunia', 'usai', 'argentina', 'keluar', 'juara', 'lionel', 'messi', 'terpilih', 'pemain', 'terbaik']</t>
  </si>
  <si>
    <t>Detik-detik Dramatis Argentina Juara Piala Dunia 2022  https://t.co/4Qmc3Von0b  https://t.co/dONk3gtf77</t>
  </si>
  <si>
    <t>detik detik dramatis argentina juara piala dunia</t>
  </si>
  <si>
    <t>['detik', 'detik', 'dramatis', 'argentina', 'juara', 'piala', 'dunia']</t>
  </si>
  <si>
    <t>@ACM_Indo @lautaro Wqwqwqwww Padahal klaim fans biru argentina juara karena ada pemain dr klub nya, meski jd camat dan minim kontribusi.</t>
  </si>
  <si>
    <t>indo wqwqwqwww padahal klaim fans biru argentina juara karena ada pemain klub nya meski camat dan minim kontribusi</t>
  </si>
  <si>
    <t>['indo', 'wqwqwqwww', 'padahal', 'klaim', 'fans', 'biru', 'argentina', 'juara', 'pemain', 'klub', 'meski', 'camat', 'minim', 'kontribusi']</t>
  </si>
  <si>
    <t>Menangi Drama Penalti dari Prancis, Argentina Juara Piala Dunia 2022  https://t.co/0lRuWyrew4</t>
  </si>
  <si>
    <t>menangi drama penalti dari prancis argentina juara piala dunia</t>
  </si>
  <si>
    <t>['menangi', 'drama', 'penalti', 'prancis', 'argentina', 'juara', 'piala', 'dunia']</t>
  </si>
  <si>
    <t>Info Viral :  Kenapa Heboh Banget Argentina Juara Piala Dunia 2022?  Ini Alasan Momen Argentina Layak  https://t.co/bfpm0q73Vb #beritaviral #satuviral #infoviral #trendingviral #satuberitasejutaviral</t>
  </si>
  <si>
    <t>info viral kenapa heboh banget argentina juara piala dunia ini alasan momen argentina layak</t>
  </si>
  <si>
    <t>['info', 'viral', 'heboh', 'banget', 'argentina', 'juara', 'piala', 'dunia', 'alasan', 'momen', 'argentina', 'layak']</t>
  </si>
  <si>
    <t>Argentina Juara Piala Dunia 2022, Lionel Messi Terpilih sebagai Pemain¬†Terbaik  https://t.co/T9t4AxtR3b</t>
  </si>
  <si>
    <t>argentina juara piala dunia lionel messi terpilih sebagai pemain terbaik</t>
  </si>
  <si>
    <t>['argentina', 'juara', 'piala', 'dunia', 'lionel', 'messi', 'terpilih', 'pemain', 'terbaik']</t>
  </si>
  <si>
    <t>Messi, The Real New Maradona  Argentina sah juara Worldcup 2022 Messi sebagai Kapten berhasil membuat Argentina kali ketiga ini menang piala dunia.  Maradona, pasti sangatlah bangga di atas sana melihat negaranya punya sang penerus  #FIFAWorldCup</t>
  </si>
  <si>
    <t>messi the real new maradona argentina sah juara worldcup messi sebagai kapten berhasil membuat argentina kali ketiga ini menang piala dunia maradona pasti sangatlah bangga atas sana melihat negaranya punya sang penerus</t>
  </si>
  <si>
    <t>['messi', 'the', 'real', 'new', 'maradona', 'argentina', 'sah', 'juara', 'worldcup', 'messi', 'kapten', 'berhasil', 'membuat', 'argentina', 'kali', 'ketiga', 'menang', 'piala', 'dunia', 'maradona', 'sangatlah', 'bangga', 'atas', 'sana', 'melihat', 'negaranya', 'punya', 'sang', 'penerus']</t>
  </si>
  <si>
    <t>Cocokologi dan Teori Konspirasi Argentina Juara Piala Dunia 2022  https://t.co/V7aOhRfXO5</t>
  </si>
  <si>
    <t>Cocokologi dan Teori Konspirasi Argentina Juara Piala Dunia 2022  https://t.co/Jcg3byoJu0</t>
  </si>
  <si>
    <t>@karmo54 @registaco Selamanya bakal dikenal karena jasanya bantu Argentina Juara üôå</t>
  </si>
  <si>
    <t>selamanya bakal dikenal karena jasanya bantu argentina juara</t>
  </si>
  <si>
    <t>['selamanya', 'bakal', 'dikenal', 'jasanya', 'bantu', 'argentina', 'juara']</t>
  </si>
  <si>
    <t>Argentina wes ketok mental juara og malah do dukung prancisü§™</t>
  </si>
  <si>
    <t>argentina wes ketok mental juara malah dukung prancis</t>
  </si>
  <si>
    <t>['argentina', 'wes', 'ketok', 'mental', 'juara', 'malah', 'dukung', 'prancis']</t>
  </si>
  <si>
    <t>@Fandom_ID @NetflixID gak ada niatan apa buat dokumenternya, kan CR &amp;amp; pasangannya udah dibuatin üòÇ 3 November kemarin kan udah tayang dokumenter Argentina juara Coppa America, walaupun penayangannya terbatas üòÖ</t>
  </si>
  <si>
    <t>gak ada niatan apa buat dokumenternya kan pasangannya udah dibuatin november kemarin kan udah tayang dokumenter argentina juara coppa america walaupun penayangannya terbatas</t>
  </si>
  <si>
    <t>['niatan', 'apa', 'buat', 'dokumenternya', 'kan', 'pasangannya', 'udah', 'dibuatin', 'november', 'kemarin', 'kan', 'udah', 'tayang', 'dokumenter', 'argentina', 'juara', 'coppa', 'america', 'walaupun', 'penayangannya', 'terbatas']</t>
  </si>
  <si>
    <t>Belum ada posting IG walikota Rosario mengucapkan selamat atas keberhasilan putra daerah Lionel Messi membawa Argentina ke puncak juara?</t>
  </si>
  <si>
    <t>belum ada posting walikota rosario mengucapkan selamat atas keberhasilan putra daerah lionel messi membawa argentina puncak juara</t>
  </si>
  <si>
    <t>['posting', 'walikota', 'rosario', 'mengucapkan', 'selamat', 'atas', 'keberhasilan', 'putra', 'daerah', 'lionel', 'messi', 'membawa', 'argentina', 'puncak', 'juara']</t>
  </si>
  <si>
    <t>Akibat Argentina Juara awkwkwkkw</t>
  </si>
  <si>
    <t>akibat argentina juara awkwkwkkw</t>
  </si>
  <si>
    <t>['akibat', 'argentina', 'juara', 'awkwkwkkw']</t>
  </si>
  <si>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</si>
  <si>
    <t>terakhir argentina juara tuh tahun loh gengs berarti udah tahun penantian terbayar tuntas pada tahun ini huhuhu ada yang menarik dari seremonial perayaan semalam tau terlihat foto lionel messi sedang memangku anak yang sedang memeluk penghargaan golden ball</t>
  </si>
  <si>
    <t>['terakhir', 'argentina', 'juara', 'tahun', 'gengs', 'berarti', 'udah', 'tahun', 'penantian', 'terbayar', 'tuntas', 'tahun', 'huhuhu', 'menarik', 'seremonial', 'perayaan', 'semalam', 'terlihat', 'foto', 'lionel', 'messi', 'sedang', 'memangku', 'anak', 'sedang', 'memeluk', 'penghargaan', 'golden', 'ball']</t>
  </si>
  <si>
    <t>Biasanya kopi pagiku pahit, tapi hari ini kok manis betul. Oh iya kan ARGENTINA juara hihihi</t>
  </si>
  <si>
    <t>biasanya kopi pagiku pahit tapi hari ini kok manis betul iya kan argentina juara hihihi</t>
  </si>
  <si>
    <t>['biasanya', 'kopi', 'pagiku', 'pahit', 'hari', 'kok', 'manis', 'betul', 'iya', 'kan', 'argentina', 'juara', 'hihihi']</t>
  </si>
  <si>
    <t>Pecah suasana di Argentina ketika Messi berhasil membawa Argentina menjadi juara dunia untuk yang ke-tiga kalinya üá¶üá∑üá¶üá∑üá¶üá∑</t>
  </si>
  <si>
    <t>pecah suasana argentina ketika messi berhasil membawa argentina menjadi juara dunia untuk yang tiga kalinya</t>
  </si>
  <si>
    <t>['pecah', 'suasana', 'argentina', 'messi', 'berhasil', 'membawa', 'argentina', 'menjadi', 'juara', 'dunia', 'tiga', 'kalinya']</t>
  </si>
  <si>
    <t>@ahmdihsn__ Sing sabar bwang,wes ketok to mental juara argentinaüòù</t>
  </si>
  <si>
    <t>sing sabar bwang wes ketok mental juara argentina</t>
  </si>
  <si>
    <t>['sing', 'sabar', 'bwang', 'wes', 'ketok', 'mental', 'juara', 'argentina']</t>
  </si>
  <si>
    <t>Raih Juara Piala Dunia 2022 Qatar, Timnas Argentina Dapatkan Trofi Secara Beruntun  https://t.co/8y8NdXrFLX</t>
  </si>
  <si>
    <t>Argentina di FWC kali ini emang gokil sih. Bagaimana Argentina enggak juara, yang lain masih bertanding mati-matian memperebutkan posisi, Argentina udah nangkring di Final duluan üòé</t>
  </si>
  <si>
    <t>argentina fwc kali ini emang gokil sih bagaimana argentina enggak juara yang lain masih bertanding mati matian memperebutkan posisi argentina udah nangkring final duluan</t>
  </si>
  <si>
    <t>['argentina', 'fwc', 'kali', 'emang', 'gila', 'bagaimana', 'argentina', 'enggak', 'juara', 'bertanding', 'mati', 'matian', 'memperebutkan', 'posisi', 'argentina', 'udah', 'nangkring', 'final', 'duluan']</t>
  </si>
  <si>
    <t>Salah satu moment persepakbola yang gak akan terlupakan yaitu bisa lihat internazionale juara LC serta italia dan argentina juara dan angkat piala dunia.</t>
  </si>
  <si>
    <t>salah satu moment persepakbola yang gak akan terlupakan yaitu bisa lihat internazionale juara serta italia dan argentina juara dan angkat piala dunia</t>
  </si>
  <si>
    <t>['salah', 'satu', 'moment', 'persepakbola', 'terlupakan', 'lihat', 'internazionale', 'juara', 'italia', 'argentina', 'juara', 'angkat', 'piala', 'dunia']</t>
  </si>
  <si>
    <t>@ciyunnd AHHH GAK PEDULI. INTINYA ARGENTINA JUARA</t>
  </si>
  <si>
    <t>ahhh gak peduli intinya argentina juara</t>
  </si>
  <si>
    <t>['ahhh', 'peduli', 'intinya', 'argentina', 'juara']</t>
  </si>
  <si>
    <t>Kalahkan Prancis Lewat Adu Penalti, Argentina Juara Piala Dunia 2022 -  https://t.co/nXYpkBe4ZQ #ArgentinaVsPrancis #FinalPialaDuniaQatar2022  https://t.co/JtsDkoeRRN</t>
  </si>
  <si>
    <t>kalahkan prancis lewat adu penalti argentina juara piala dunia</t>
  </si>
  <si>
    <t>['kalahkan', 'prancis', 'lewat', 'adu', 'penalti', 'argentina', 'juara', 'piala', 'dunia']</t>
  </si>
  <si>
    <t>Berapa Hadiah Argentina Usai Juara Piala Dunia 2022?  https://t.co/RK8R4gzuAA</t>
  </si>
  <si>
    <t>berapa hadiah argentina usai juara piala dunia</t>
  </si>
  <si>
    <t>['berapa', 'hadiah', 'argentina', 'usai', 'juara', 'piala', 'dunia']</t>
  </si>
  <si>
    <t>2022 messi juara dunia bersama argentina (pada akhirnya). gue kebayang dia nunggu sampe usianya kepala 3. tapi akhirnya dapet juga.</t>
  </si>
  <si>
    <t>messi juara dunia bersama argentina pada akhirnya gue kebayang dia nunggu sampe usianya kepala tapi akhirnya dapet juga</t>
  </si>
  <si>
    <t>['messi', 'juara', 'dunia', 'bersama', 'argentina', 'akhirnya', 'gue', 'kebayang', 'nunggu', 'sampai', 'usianya', 'kepala', 'akhirnya', 'dapat']</t>
  </si>
  <si>
    <t>Ribuan Warga Jember Nobar Argentina Juara, UMKM dan Jukir Panen.  Jember ( https://t.co/ksziGGp1k3) ‚Äì Final Piala Dunia 2022 benar-benar menjadi pesta warga Kabupaten Jember, Jawa Timur. Ribuan orang‚Ä¶  https://t.co/wRnmkSH63R #Peristiwa #BupatiHendySiswanto via @beritajatimcom</t>
  </si>
  <si>
    <t>ribuan warga jember nobar argentina juara umkm dan jukir panen jember final piala dunia benar benar menjadi pesta warga kabupaten jember jawa timur ribuan orang via</t>
  </si>
  <si>
    <t>['ribuan', 'warga', 'jember', 'nonton bareng', 'argentina', 'juara', 'umkm', 'jukir', 'panen', 'jember', 'final', 'piala', 'dunia', 'benar', 'benar', 'menjadi', 'pesta', 'warga', 'kabupaten', 'jember', 'jawa', 'timur', 'ribuan', 'orang', 'via']</t>
  </si>
  <si>
    <t>Argentina Juara Piala Dunia 2022 Usai Adu Penalti dengan Prancis  https://t.co/J1BB2zRuMh</t>
  </si>
  <si>
    <t>argentina juara piala dunia usai adu penalti dengan prancis</t>
  </si>
  <si>
    <t>['argentina', 'juara', 'piala', 'dunia', 'usai', 'adu', 'penalti', 'prancis']</t>
  </si>
  <si>
    <t>[VIDEO] Detik-detik Dramatis Argentina Juara Piala Dunia 2022  https://t.co/0dunHAH0NA #vlix</t>
  </si>
  <si>
    <t>video detik detik dramatis argentina juara piala dunia</t>
  </si>
  <si>
    <t>['video', 'detik', 'detik', 'dramatis', 'argentina', 'juara', 'piala', 'dunia']</t>
  </si>
  <si>
    <t>Argentina Juara Piala Dunia FIFA, Angkat Trofi Ketiga Dalam Sejarah   https://t.co/0aMI5LUrLa  #Argentina #FIFA #WorldCupFinal #FIFAWorldCup</t>
  </si>
  <si>
    <t>argentina juara piala dunia fifa angkat trofi ketiga dalam sejarah</t>
  </si>
  <si>
    <t>['argentina', 'juara', 'piala', 'dunia', 'fifa', 'angkat', 'trofi', 'ketiga', 'sejarah']</t>
  </si>
  <si>
    <t>Bakal kangen dengerin lagu Ti√´sto yang judulnya The Business sebelum match dimulai. Congrats buat Argentina jadi juara FIFA World Cup 2022. Congrats buat Messi The Goat dapet kado manis akhir tahun. Dah tamat.</t>
  </si>
  <si>
    <t>bakal kangen dengerin lagu sto yang judulnya the business sebelum match dimulai congrats buat argentina jadi juara fifa world cup congrats buat messi the goat dapet kado manis akhir tahun dah tamat</t>
  </si>
  <si>
    <t>['bakal', 'kangen', 'dengerin', 'lagu', 'sto', 'judulnya', 'the', 'business', 'match', 'dimulai', 'congrats', 'buat', 'argentina', 'jadi', 'juara', 'fifa', 'world', 'cup', 'congrats', 'buat', 'messi', 'the', 'goat', 'dapat', 'kado', 'manis', 'akhir', 'tahun', 'dah', 'tamat']</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</si>
  <si>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</si>
  <si>
    <t>selamat argentina menjadi juara piala dunia sukses qatar menjadi kado terindah untuk lionel messi yang sudah lima kali tampil piala dunia sejak messi juga meraih golden ball atau bola emas yang menjadi simbol penghargaan untuk pemain terbaik piala dunia</t>
  </si>
  <si>
    <t>['selamat', 'argentina', 'menjadi', 'juara', 'piala', 'dunia', 'sukses', 'qatar', 'menjadi', 'kado', 'terindah', 'lionel', 'messi', 'lima', 'kali', 'tampil', 'piala', 'dunia', 'sejak', 'messi', 'meraih', 'golden', 'ball', 'bola', 'emas', 'menjadi', 'simbol', 'penghargaan', 'pemain', 'terbaik', 'piala', 'dunia']</t>
  </si>
  <si>
    <t>Bawa Argentina Juara Dunia, Lionel Messi Resmi Sandang Gelar GOAT  #langit7id #cahayamenujukebaikan #argentina    https://t.co/cosnS5FuDm</t>
  </si>
  <si>
    <t>bawa argentina juara dunia lionel messi resmi sandang gelar goat</t>
  </si>
  <si>
    <t>['bawa', 'argentina', 'juara', 'dunia', 'lionel', 'messi', 'resmi', 'sandang', 'gelar', 'goat']</t>
  </si>
  <si>
    <t>Loh Argentina juara ta oala Ga ngerti rek keturon kok  Btw cair hehe</t>
  </si>
  <si>
    <t>loh argentina juara oala ngerti rek keturon kok btw cair hehe</t>
  </si>
  <si>
    <t>['argentina', 'juara', 'oala', 'ngerti', 'rek', 'keturon', 'kok', 'by the way', 'cair']</t>
  </si>
  <si>
    <t>Argentina juara,messi melengkapi gelarnya.dan ada yg menunaikan nazarnya setelah itu semua benar terjadi. Argentinaüá¶üá∑ #FIFAWorldCup #GOATìÉµ #FIFAWorldCup2022 #Qatar2022</t>
  </si>
  <si>
    <t>argentina juara messi melengkapi gelarnya dan ada menunaikan nazarnya setelah itu semua benar terjadi argentina</t>
  </si>
  <si>
    <t>['argentina', 'juara', 'messi', 'melengkapi', 'gelarnya', 'menunaikan', 'nazarnya', 'semua', 'benar', 'terjadi', 'argentina']</t>
  </si>
  <si>
    <t>Ketangguhan mbape membuat argentina pantas jadi juara üòäüòòüòçü§©</t>
  </si>
  <si>
    <t>ketangguhan mbape membuat argentina pantas jadi juara</t>
  </si>
  <si>
    <t>['ketangguhan', 'mbape', 'membuat', 'argentina', 'pantas', 'jadi', 'juara']</t>
  </si>
  <si>
    <t>Nggak salah kalau Argentina juara, banyak fans twice üòå @tutupettt @nanbawan01</t>
  </si>
  <si>
    <t>nggak salah kalau argentina juara banyak fans twice</t>
  </si>
  <si>
    <t>['salah', 'kalau', 'argentina', 'juara', 'banyak', 'fans', 'twice']</t>
  </si>
  <si>
    <t>Argentina Juara Piala Dunia 2022, Pantun Ridwan Kamil Terbukti Ampuh  https://t.co/Vky8l7Ss32</t>
  </si>
  <si>
    <t>argentina juara piala dunia pantun ridwan kamil terbukti ampuh</t>
  </si>
  <si>
    <t>['argentina', 'juara', 'piala', 'dunia', 'pantun', 'ridwan', 'kamil', 'terbukti', 'ampuh']</t>
  </si>
  <si>
    <t>Perdebatan telah usai, kini Lionel Messi sah sandang status GOAT setelah Argentina juara Piala Dunia 2022  https://t.co/N69PkWDbkH</t>
  </si>
  <si>
    <t>perdebatan telah usai kini lionel messi sah sandang status goat setelah argentina juara piala dunia</t>
  </si>
  <si>
    <t>['perdebatan', 'usai', 'kini', 'lionel', 'messi', 'sah', 'sandang', 'status', 'goat', 'argentina', 'juara', 'piala', 'dunia']</t>
  </si>
  <si>
    <t>Argentina juara, Twitter-ku pagi ini udah gak nge-bug lagi. What a beautiful Monday morning.</t>
  </si>
  <si>
    <t>argentina juara twitter pagi ini udah gak nge bug lagi what beautiful monday morning</t>
  </si>
  <si>
    <t>['argentina', 'juara', 'twitter', 'pagi', 'udah', 'nge', 'bug', 'what', 'beautiful', 'monday', 'morning']</t>
  </si>
  <si>
    <t>Lionel Messi Bawa Argentina Juara Piala Dunia 2022: Saya Belum Mau Pensiun #CelebritiesDotID #InfoCelebTerkini   https://t.co/Hi5aLGL1Kx</t>
  </si>
  <si>
    <t>lionel messi bawa argentina juara piala dunia saya belum mau pensiun</t>
  </si>
  <si>
    <t>['lionel', 'messi', 'bawa', 'argentina', 'juara', 'piala', 'dunia', 'mau', 'pensiun']</t>
  </si>
  <si>
    <t>Nunggu konvoy Argentina juara di Ambon</t>
  </si>
  <si>
    <t>nunggu konvoy argentina juara ambon</t>
  </si>
  <si>
    <t>['nunggu', 'konvoy', 'argentina', 'juara', 'ambon']</t>
  </si>
  <si>
    <t>Prancis gagal menjadi juara Piala Dunia 2022 usai takluk dari Argentina lewat adu penalti. Babak tos-tosan lagi-lagi menjadi batu sandungan bagi Les Bleus! #juaraboladunia    https://t.co/CsYcGfQNS3</t>
  </si>
  <si>
    <t>Cucoklogi. Pemain yg baru berseragam PSG setahun kemudian juara Piala Dunia 1. Ronaldinho join PSG tahun 2001, Brazil juara Piala Dunia 2002 2. Mbape di PSG 2017, Prancis Juara Piala Dunia 2018 3. Messi join PSG 2021, Argentina juara Piala Dunia 2022  #FIFAWorldCup  #Qatar2022</t>
  </si>
  <si>
    <t>cucoklogi pemain baru berseragam psg setahun kemudian juara piala dunia ronaldinho join psg tahun brazil juara piala dunia mbape psg prancis juara piala dunia messi join psg argentina juara piala dunia</t>
  </si>
  <si>
    <t>['cucoklogi', 'pemain', 'baru', 'berseragam', 'psg', 'setahun', 'kemudian', 'juara', 'piala', 'dunia', 'ronaldinho', 'join', 'psg', 'tahun', 'brazil', 'juara', 'piala', 'dunia', 'mbape', 'psg', 'prancis', 'juara', 'piala', 'dunia', 'messi', 'join', 'psg', 'argentina', 'juara', 'piala', 'dunia']</t>
  </si>
  <si>
    <t>&lt;FreqDist with 18 samples and 31 outcomes&gt;</t>
  </si>
  <si>
    <t>wes tak pindah chanel dadi TV Onee kok juara masih Argentina yooo</t>
  </si>
  <si>
    <t>wes tak pindah chanel dadi onee kok juara masih argentina yooo</t>
  </si>
  <si>
    <t>['wes', 'tak', 'pindah', 'chanel', 'dadi', 'onee', 'kok', 'juara', 'argentina', 'yooo']</t>
  </si>
  <si>
    <t>@F3bby4n @realmadridindo1 lah dia kan ga berhak sama medali juara Argentina</t>
  </si>
  <si>
    <t>lah dia kan berhak sama medali juara argentina</t>
  </si>
  <si>
    <t>['lah', 'kan', 'berhak', 'sama', 'medali', 'juara', 'argentina']</t>
  </si>
  <si>
    <t>Argentina Juara Piala Dunia 2022 üèÜ  Perlawanan terpaksa ditentukan menerusi sepakan penalti selepas kedua-dua negara terikat 3-3 hingga masa tambahan 120 minit.  Perlawanan Akhir Piala Dunia paling epik dan dramatik dalam sejarah. 6 gol berjaya dihasilkan.  https://t.co/LvhtHz7wp1</t>
  </si>
  <si>
    <t>argentina juara piala dunia perlawanan terpaksa ditentukan menerusi sepakan penalti selepas kedua dua negara terikat hingga masa tambahan minit perlawanan akhir piala dunia paling epik dan dramatik dalam sejarah gol berjaya dihasilkan</t>
  </si>
  <si>
    <t>['argentina', 'juara', 'piala', 'dunia', 'perlawanan', 'terpaksa', 'ditentukan', 'menerusi', 'sepakan', 'penalti', 'selepas', 'kedua', 'negara', 'terikat', 'hingga', 'masa', 'tambahan', 'minit', 'perlawanan', 'akhir', 'piala', 'dunia', 'paling', 'epik', 'dramatik', 'sejarah', 'gol', 'berjaya', 'dihasilkan']</t>
  </si>
  <si>
    <t>Finally.. ARGENTINA juara  FWC 2022...  WHOS THE NEXT 2026</t>
  </si>
  <si>
    <t>finally argentina juara fwc whos the next</t>
  </si>
  <si>
    <t>['finally', 'argentina', 'juara', 'fwc', 'whos', 'the', 'next']</t>
  </si>
  <si>
    <t>Argentina juara...tapi gak jadi tranding topik ya,,,,hehe  https://t.co/kr7ddOHpIE</t>
  </si>
  <si>
    <t>argentina juara tapi gak jadi tranding topik hehe</t>
  </si>
  <si>
    <t>['argentina', 'juara', 'jadi', 'tranding', 'topik']</t>
  </si>
  <si>
    <t>Akhirnya Argentina juara juga di era rezim Jokowi. Rezim sebelumnya kemana aja ? Ini salah 1 bukti sukses Jokowi utk dunia. Lanjutkan 3 thn lg. ü§™ü§™ü§™</t>
  </si>
  <si>
    <t>akhirnya argentina juara juga era rezim jokowi rezim sebelumnya kemana aja ini salah bukti sukses jokowi utk dunia lanjutkan thn</t>
  </si>
  <si>
    <t>['akhirnya', 'argentina', 'juara', 'era', 'rezim', 'jokowi', 'rezim', 'sebelumnya', 'salah', 'bukti', 'sukses', 'jokowi', 'dunia', 'lanjutkan', 'thn']</t>
  </si>
  <si>
    <t>Selamat kepada tim nasional Argentina yang menjadi juara  piala dunia sepakbola 2022 di Qatar. Semoga sukses selalu dan sukses bersama-sama.... @ Qatar - Doha  https://t.co/C4MUb0SK7K</t>
  </si>
  <si>
    <t>selamat kepada tim nasional argentina yang menjadi juara piala dunia sepakbola qatar semoga sukses selalu dan sukses bersama sama qatar doha</t>
  </si>
  <si>
    <t>['selamat', 'tim', 'nasional', 'argentina', 'menjadi', 'juara', 'piala', 'dunia', 'sepakbola', 'qatar', 'semoga', 'sukses', 'selalu', 'sukses', 'bersama', 'sama', 'qatar', 'doha']</t>
  </si>
  <si>
    <t>Let's read Drama Adu Pinalti Bergengsi Membawa Argentina Jadi Juara Piala Dunia 2022 Qatar by click this  https://t.co/SC69cZx7h4 !! :)</t>
  </si>
  <si>
    <t>let read drama adu pinalti bergengsi membawa argentina jadi juara piala dunia qatar click this</t>
  </si>
  <si>
    <t>['let', 'read', 'drama', 'adu', 'penalti', 'bergengsi', 'membawa', 'argentina', 'jadi', 'juara', 'piala', 'dunia', 'qatar', 'click', 'this']</t>
  </si>
  <si>
    <t>Nampak sangat corrupt FIFA tahun ni nk menangkan Argentina. Sepatutnya Arab Saudi yg juara piala dunia sebab dia satu2nya pasukan kalahkan Argentina kot. Mungkin inilah kemenangan tertangguh untuk Arab Saudi. Takburrrr</t>
  </si>
  <si>
    <t>nampak sangat corrupt fifa tahun menangkan argentina sepatutnya arab saudi juara piala dunia sebab dia satu nya pasukan kalahkan argentina kot mungkin inilah kemenangan tertangguh untuk arab saudi takburrrr</t>
  </si>
  <si>
    <t>['nampak', 'sangat', 'corrupt', 'fifa', 'tahun', 'menangkan', 'argentina', 'sepatutnya', 'arab', 'saudi', 'juara', 'piala', 'dunia', 'satu', 'pasukan', 'kalahkan', 'argentina', 'kot', 'mungkin', 'inilah', 'kemenangan', 'tertangguh', 'arab', 'saudi', 'takburrrr']</t>
  </si>
  <si>
    <t>Akhirnya Argentina bisa kembali juara bersama Dewa barunya Messi ‚öΩ‚öΩ‚öΩ  https://t.co/ypZ7DLBNfc</t>
  </si>
  <si>
    <t>akhirnya argentina bisa kembali juara bersama dewa barunya messi</t>
  </si>
  <si>
    <t>['akhirnya', 'argentina', 'juara', 'bersama', 'dewa', 'barunya', 'messi']</t>
  </si>
  <si>
    <t>Tadinya mikir kalo argentina juara anti-klimaks krn sesuai dengen ekspektasi rakyat. Tapi pertandingannya seru bgt.</t>
  </si>
  <si>
    <t>tadinya mikir kalo argentina juara anti klimaks krn sesuai dengen ekspektasi rakyat tapi pertandingannya seru bgt</t>
  </si>
  <si>
    <t>['tadinya', 'mikir', 'argentina', 'juara', 'anti', 'klimaks', 'sesuai', 'dengen', 'ekspektasi', 'rakyat', 'pertandingannya', 'seru', 'banget']</t>
  </si>
  <si>
    <t>@PolJokesID Argentina juara karena pak iwan bule</t>
  </si>
  <si>
    <t>argentina juara karena pak iwan bule</t>
  </si>
  <si>
    <t>['argentina', 'juara', 'pak', 'iwan', 'bule']</t>
  </si>
  <si>
    <t>@Beritasatu yang juara Argentina yg dibahas pelatih Prancis üòÑ</t>
  </si>
  <si>
    <t>yang juara argentina dibahas pelatih prancis</t>
  </si>
  <si>
    <t>['juara', 'argentina', 'dibahas', 'pelatih', 'prancis']</t>
  </si>
  <si>
    <t>MESSI membawa ARGENTINA JUARA PIALA DUNIA  #win368 #win368slot #win368login #win368daftar #livescore  https://t.co/GIECqvprqr</t>
  </si>
  <si>
    <t>messi membawa argentina juara piala dunia</t>
  </si>
  <si>
    <t>['messi', 'membawa', 'argentina', 'juara', 'piala', 'dunia']</t>
  </si>
  <si>
    <t>Kapten timnas  Argentina,  Lionel Messi, masih belum mau  pensiun dari sepak bola internasional setelah meraih gelar  juara Pala Dunia 2022 Qatar.   https://t.co/FdFHPOdhFG</t>
  </si>
  <si>
    <t>@budimandjatmiko Great player.. no doubt. Btw balon d'or era wesley sneijder trebel dan bawa belanda perempat final.. zesanhkan argentina ga juara... benar2 membingungkan cara penilaiannya  Tp utk sekaliber dia.. memang hebat dia. mbappe di usia belia ini</t>
  </si>
  <si>
    <t>great player doubt btw balon era wesley sneijder trebel dan bawa belanda perempat final zesanhkan argentina juara benar membingungkan cara penilaiannya utk sekaliber dia memang hebat dia mbappe usia belia ini</t>
  </si>
  <si>
    <t>['great', 'player', 'doubt', 'by the way', 'balon', 'era', 'wesley', 'sneijder', 'trebel', 'bawa', 'belanda', 'perempat', 'final', 'zesanhkan', 'argentina', 'juara', 'benar', 'membingungkan', 'cara', 'penilaiannya', 'sekaliber', 'memang', 'hebat', 'mbappe', 'usia', 'belia']</t>
  </si>
  <si>
    <t>16 Fakta Unik Timnas Argentina Indikator Raih Juara Piala Dunia 2022  https://t.co/gbE7WEEyGs</t>
  </si>
  <si>
    <t>fakta unik timnas argentina indikator raih juara piala dunia</t>
  </si>
  <si>
    <t>['fakta', 'unik', 'timnas', 'argentina', 'indikator', 'raih', 'juara', 'piala', 'dunia']</t>
  </si>
  <si>
    <t>Argentina Pulang Kampung Sebagai Juara di Piala Dunia 2022 di Qatar dari semua Laga pertandingan tidak Yg mampu mengalahkan Argentina Kecuali Arab Saudi</t>
  </si>
  <si>
    <t>argentina pulang kampung sebagai juara piala dunia qatar dari semua laga pertandingan tidak mampu mengalahkan argentina kecuali arab saudi</t>
  </si>
  <si>
    <t>['argentina', 'pulang', 'kampung', 'juara', 'piala', 'dunia', 'qatar', 'semua', 'laga', 'pertandingan', 'mampu', 'mengalahkan', 'argentina', 'arab', 'saudi']</t>
  </si>
  <si>
    <t>ARGENTINA JUARA DUNIA 2022  #88bet #88betslot #88betlogin #88betdaftar  https://t.co/uTx0q8A83d</t>
  </si>
  <si>
    <t>Argentina juara lewat skenario tuhan</t>
  </si>
  <si>
    <t>argentina juara lewat skenario tuhan</t>
  </si>
  <si>
    <t>['argentina', 'juara', 'lewat', 'skenario', 'tuhan']</t>
  </si>
  <si>
    <t>teamplay argentina baguss bgt, walau ada beberapa keputusan wasit yang patut dipertanyakan.. Argentina layak jadi juara‚öΩÔ∏è‚ù§Ô∏è, dan Messi layak menutup karirnya dengan World Cup.üêê‚ù§Ô∏è‚öΩÔ∏è</t>
  </si>
  <si>
    <t>teamplay argentina baguss bgt walau ada beberapa keputusan wasit yang patut dipertanyakan argentina layak jadi juara dan messi layak menutup karirnya dengan world cup</t>
  </si>
  <si>
    <t>['teamplay', 'argentina', 'baguss', 'banget', 'beberapa', 'keputusan', 'wasit', 'patut', 'dipertanyakan', 'argentina', 'layak', 'jadi', 'juara', 'messi', 'layak', 'menutup', 'karirnya', 'world', 'cup']</t>
  </si>
  <si>
    <t>Menakjubkan! Kota Kelahiran Lionel Messi Jadi Lautan Manusia Usai Argentina Juara Piala Dunia 2022  https://t.co/XRiP7FRiRs</t>
  </si>
  <si>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</si>
  <si>
    <t>apakah game football league support gamepad oiya selamat buat argentina yang telah menjadi juara dunia dan messi the real goat setelah nonton piala dunia senin main game lagi</t>
  </si>
  <si>
    <t>['game', 'football', 'league', 'support', 'gamepad', 'oiya', 'selamat', 'buat', 'argentina', 'menjadi', 'juara', 'dunia', 'messi', 'the', 'real', 'goat', 'nonton', 'piala', 'dunia', 'senin', 'main', 'game']</t>
  </si>
  <si>
    <t>Argentina tampil sebagai juara Piala Dunia 2022 setelah menumpas Prancis melalui adu penalti di final. Tim Tango pun mengakhiri penantian juara usai 36 tahun. #juaraboladunia    https://t.co/pzWWh533aL</t>
  </si>
  <si>
    <t>@syahizaq Argentina Juara Piala Dunia</t>
  </si>
  <si>
    <t>Yang juara Argentina yang ribut tetep orang sini</t>
  </si>
  <si>
    <t>yang juara argentina yang ribut tetep orang sini</t>
  </si>
  <si>
    <t>['juara', 'argentina', 'ribut', 'tetep', 'orang', 'sini']</t>
  </si>
  <si>
    <t>Menangkan Piala Dunia 2022, Lionel Messi Belum Ingin Pensiun dari Timnas Argentina   By Amanda Amelia Tim nasional Argentina berhasil merengkuh titel juara Piala Dunia 2022 usai mengatasi perlawanan salah satu rival terkuatnya, Prancis di Lusail Stadium‚Ä¶   https://t.co/pGOd1TjQfJ</t>
  </si>
  <si>
    <t>menangkan piala dunia lionel messi belum ingin pensiun dari timnas argentina amanda amelia tim nasional argentina berhasil merengkuh titel juara piala dunia usai mengatasi perlawanan salah satu rival terkuatnya prancis lusail stadium</t>
  </si>
  <si>
    <t>['menangkan', 'piala', 'dunia', 'lionel', 'messi', 'pensiun', 'timnas', 'argentina', 'amanda', 'amelia', 'tim', 'nasional', 'argentina', 'berhasil', 'merengkuh', 'titel', 'juara', 'piala', 'dunia', 'usai', 'mengatasi', 'perlawanan', 'salah', 'satu', 'rival', 'terkuatnya', 'prancis', 'lusail', 'stadium']</t>
  </si>
  <si>
    <t>@idextratime Yang pastinya ARGENTINA juara PD 2022, ARAB SAUDI yg bangga,, krn sbg satu-satu team yg mampu mengalahkan sang Maestro Dunia pd WorldCup 2022</t>
  </si>
  <si>
    <t>yang pastinya argentina juara arab saudi bangga krn sbg satu satu team mampu mengalahkan sang maestro dunia worldcup</t>
  </si>
  <si>
    <t>['pastinya', 'argentina', 'juara', 'arab', 'saudi', 'bangga', 'sbg', 'satu', 'satu', 'team', 'mampu', 'mengalahkan', 'sang', 'maestro', 'dunia', 'worldcup']</t>
  </si>
  <si>
    <t>Bahagia itu gak harus punya duit banyak, dukung Argentina sampe juara aja jadi punya duit banyak.</t>
  </si>
  <si>
    <t>bahagia itu gak harus punya duit banyak dukung argentina sampe juara aja jadi punya duit banyak</t>
  </si>
  <si>
    <t>['bahagia', 'punya', 'duit', 'banyak', 'dukung', 'argentina', 'sampai', 'juara', 'jadi', 'punya', 'duit', 'banyak']</t>
  </si>
  <si>
    <t>Final Piala Dunia 2022 telah resmi berakhir dan Argentina keluar sebagai juara.  Kylian Mbappe berhasil mencatatkan deretan rekor gila pada final Piala Dunia 2022, meskipun gagal membawa Prancis meraih gelar. üëèüëèüëè  https://t.co/yTCvJCdl4f</t>
  </si>
  <si>
    <t>final piala dunia telah resmi berakhir dan argentina keluar sebagai juara kylian mbappe berhasil mencatatkan deretan rekor gila pada final piala dunia meskipun gagal membawa prancis meraih gelar</t>
  </si>
  <si>
    <t>['final', 'piala', 'dunia', 'resmi', 'berakhir', 'argentina', 'keluar', 'juara', 'kylian', 'mbappe', 'berhasil', 'mencatatkan', 'deretan', 'rekor', 'gila', 'final', 'piala', 'dunia', 'meskipun', 'gagal', 'membawa', 'prancis', 'meraih', 'gelar']</t>
  </si>
  <si>
    <t>Final Piala Dunia 2022 telah resmi berakhir dan Argentina keluar sebagai juara.  Kylian Mbappe berhasil mencatatkan deretan rekor gila pada final Piala Dunia 2022, meskipun gagal membawa Prancis meraih gelar. üëèüëèüëè  https://t.co/9tLt9YJwCM</t>
  </si>
  <si>
    <t>@yaning42 memulai hari dengan senyuman dong scroll timeline full tentang argentina juaraüòÅüòÅ</t>
  </si>
  <si>
    <t>memulai hari dengan senyuman dong scroll timeline full tentang argentina juara</t>
  </si>
  <si>
    <t>['memulai', 'hari', 'senyuman', 'dong', 'scroll', 'timeline', 'full', 'argentina', 'juara']</t>
  </si>
  <si>
    <t>Argentina Juara Piala Dunia, Presiden Fernandez Sibuk Balasi Twit Para Pemimpin Dunia  https://t.co/QPxFz6rugZ</t>
  </si>
  <si>
    <t>argentina juara piala dunia presiden fernandez sibuk balasi twit para pemimpin dunia</t>
  </si>
  <si>
    <t>['argentina', 'juara', 'piala', 'dunia', 'presiden', 'fernandez', 'sibuk', 'balasi', 'twit', 'pemimpin', 'dunia']</t>
  </si>
  <si>
    <t>@idextratime kasian messi,, setelah juara pildun bersama argentina,, pas balik psg bakal di sidang sma bos mbape,,</t>
  </si>
  <si>
    <t>kasian messi setelah juara pildun bersama argentina pas balik psg bakal sidang sma bos mbape</t>
  </si>
  <si>
    <t>['kasian', 'messi', 'juara', 'piala dunia', 'bersama', 'argentina', 'pas', 'balik', 'psg', 'bakal', 'sidang', 'sma', 'bos', 'mbape']</t>
  </si>
  <si>
    <t>@nextjack1995 @FaktaSepakbola Juaranya 36 tahun lalu  Messi umur 35 (lebih 6 bulan)   Mungkin 36 tahun lalu  Saat Argentina juara  Messi sedang dalam kandungan  (Atau mungkin baru mau dibuat)</t>
  </si>
  <si>
    <t>juaranya tahun lalu messi umur lebih bulan mungkin tahun lalu saat argentina juara messi sedang dalam kandungan atau mungkin baru mau dibuat</t>
  </si>
  <si>
    <t>['juaranya', 'tahun', 'lalu', 'messi', 'umur', 'lebih', 'bulan', 'mungkin', 'tahun', 'lalu', 'argentina', 'juara', 'messi', 'sedang', 'kandungan', 'mungkin', 'baru', 'mau', 'dibuat']</t>
  </si>
  <si>
    <t>Wow! Rapper Drake Taruhan USD 1 Juta untuk Argentina Juara Piala Dunia 2022   https://t.co/ndaF6nxzTu  #Drake @Drake #Argentina #WorldCupFinal #WorldCup</t>
  </si>
  <si>
    <t>wow rapper drake taruhan usd juta untuk argentina juara piala dunia</t>
  </si>
  <si>
    <t>['wow', 'rapper', 'drake', 'taruhan', 'usd', 'juta', 'argentina', 'juara', 'piala', 'dunia']</t>
  </si>
  <si>
    <t>@Bertrand1899 @GOAL_ID Iya bang TAPI BODO AMAT MAU DIBANTU FIFA KEK ALIEN KEK BODO AMAT MATI SAJA SANA KAU BODOHHH YANG PENTING ARGENTINA JUARA üèÜüèÜüèÜü§£ü§£ü§£  -Oki Rengga</t>
  </si>
  <si>
    <t>iya bang tapi bodo amat mau dibantu fifa kek alien kek bodo amat mati saja sana kau bodohhh yang penting argentina juara oki rengga</t>
  </si>
  <si>
    <t>['iya', 'bang', 'bodo', 'mau', 'dibantu', 'fifa', 'kek', 'alien', 'kek', 'bodo', 'mati', 'sana', 'kau', 'bodohhh', 'penting', 'argentina', 'juara', 'oki', 'rengga']</t>
  </si>
  <si>
    <t>Sebagaimana era Pele, sesudah era Maradona kedua negara para pemainnya dikenal &amp;amp; main di liga top dunia dari barisan belakang sampai depan. Jd pasti selalu dinanti kapan juara dunia lagi.  Untuk Argentina, penantian cukup panjang. Akhirnya jurdun lagi di era Messi. Selamat!</t>
  </si>
  <si>
    <t>sebagaimana era pele sesudah era maradona kedua negara para pemainnya dikenal main liga top dunia dari barisan belakang sampai depan pasti selalu dinanti kapan juara dunia lagi untuk argentina penantian cukup panjang akhirnya jurdun lagi era messi selamat</t>
  </si>
  <si>
    <t>['sebagaimana', 'era', 'pele', 'era', 'maradona', 'kedua', 'negara', 'pemainnya', 'dikenal', 'main', 'liga', 'top', 'dunia', 'barisan', 'belakang', 'depan', 'selalu', 'dinanti', 'kapan', 'juara', 'dunia', 'argentina', 'penantian', 'cukup', 'panjang', 'akhirnya', 'jurdun', 'era', 'messi', 'selamat']</t>
  </si>
  <si>
    <t>ARGENTINA KEREEEEN POKOKNYA, KALIAN PANTES JUARAü§©üèÜüá¶üá∑</t>
  </si>
  <si>
    <t>argentina kereeeen pokoknya kalian pantes juara</t>
  </si>
  <si>
    <t>['argentina', 'kereeeen', 'pokoknya', 'kalian', 'pantes', 'juara']</t>
  </si>
  <si>
    <t>@id_fm Tapi dia sengaja di masukin, karena tim percaya di bakal sukses nendang pinalty dan bawa argentina juara ü•π</t>
  </si>
  <si>
    <t>tapi dia sengaja masukin karena tim percaya bakal sukses nendang pinalty dan bawa argentina juara</t>
  </si>
  <si>
    <t>['sengaja', 'masukin', 'tim', 'percaya', 'bakal', 'sukses', 'nendang', 'pinalty', 'bawa', 'argentina', 'juara']</t>
  </si>
  <si>
    <t>gara gara argentina juara w jadi kesiangan ajg</t>
  </si>
  <si>
    <t>gara gara argentina juara jadi kesiangan ajg</t>
  </si>
  <si>
    <t>['gara', 'gara', 'argentina', 'juara', 'jadi', 'kesiangan', 'ajg']</t>
  </si>
  <si>
    <t>@registaco Jaman 2010 -2014 Argentina bintang semua main bagus pake sistem dan skill para pemain nya tapi ga juara , skrang kesan nya grasak grusuk tapi kompak saling menutupi akhirnya juara</t>
  </si>
  <si>
    <t>jaman argentina bintang semua main bagus pake sistem dan skill para pemain nya tapi juara skrang kesan nya grasak grusuk tapi kompak saling menutupi akhirnya juara</t>
  </si>
  <si>
    <t>['jaman', 'argentina', 'bintang', 'semua', 'main', 'bagus', 'pake', 'sistem', 'skill', 'pemain', 'juara', 'skrang', 'kesan', 'grasak', 'grusuk', 'kompak', 'saling', 'menutupi', 'akhirnya', 'juara']</t>
  </si>
  <si>
    <t>Argentina juara dunia berkat byk doa org +62 üòÖüòÇü§£ .  https://t.co/YOjxnq9R3X</t>
  </si>
  <si>
    <t>argentina juara dunia berkat byk doa org</t>
  </si>
  <si>
    <t>['argentina', 'juara', 'dunia', 'berkat', 'byk', 'doa', 'org']</t>
  </si>
  <si>
    <t>Walaupun Argentina diawal kalah sama Arab Saudi, akhirnya Juara Juga..bravoo  https://t.co/jerHNCnUqf</t>
  </si>
  <si>
    <t>walaupun argentina diawal kalah sama arab saudi akhirnya juara juga bravoo</t>
  </si>
  <si>
    <t>['walaupun', 'argentina', 'diawal', 'kalah', 'sama', 'arab', 'saudi', 'akhirnya', 'juara', 'bravoo']</t>
  </si>
  <si>
    <t>@undipmenfess Cbum menang Olympia 4√ó &amp;amp; Argentina juara</t>
  </si>
  <si>
    <t>cbum menang olympia argentina juara</t>
  </si>
  <si>
    <t>['cbum', 'menang', 'olympia', 'argentina', 'juara']</t>
  </si>
  <si>
    <t>@idextratime Klo Argentina udh juara gini, kira2 para pemaen dpt apa dr PStore dan MS Glow..??</t>
  </si>
  <si>
    <t>klo argentina udh juara gini kira para pemaen dpt apa pstore dan glow</t>
  </si>
  <si>
    <t>['argentina', 'sudah', 'juara', 'gini', 'kira', 'pemaen', 'dpt', 'apa', 'pstore', 'glow']</t>
  </si>
  <si>
    <t>Jadwal kedatangan Timnas Argentina:  10:00 landing di Bandara Pistarini  11:00 arak-arakan sepanjang jalan Buenos Aires 12:00 makan siang bersama Presiden Argentina 13:00 pengangkatan Messi dkk menjadi PNS setelah juara dunia</t>
  </si>
  <si>
    <t>jadwal kedatangan timnas argentina landing bandara pistarini arak arakan sepanjang jalan buenos aires makan siang bersama presiden argentina pengangkatan messi dkk menjadi pns setelah juara dunia</t>
  </si>
  <si>
    <t>['jadwal', 'kedatangan', 'timnas', 'argentina', 'landing', 'bandara', 'pistarini', 'arak', 'arakan', 'sepanjang', 'jalan', 'buenos', 'aires', 'makan', 'siang', 'bersama', 'presiden', 'argentina', 'pengangkatan', 'messi', 'dkk', 'menjadi', 'pns', 'juara', 'dunia']</t>
  </si>
  <si>
    <t>Usai Argentina Juara Piala Dunia 2022, Kota Kelahiran Messi Jadi Lautan¬†Manusia  https://t.co/WBP5Ne3JLP</t>
  </si>
  <si>
    <t>usai argentina juara piala dunia kota kelahiran messi jadi lautan manusia</t>
  </si>
  <si>
    <t>['usai', 'argentina', 'juara', 'piala', 'dunia', 'kota', 'kelahiran', 'messi', 'jadi', 'lautan', 'manusia']</t>
  </si>
  <si>
    <t>Usai Argentina Juara Piala Dunia 2022, Kota Kelahiran Messi Jadi Lautan¬†Manusia  https://t.co/dr3jj8o5hp</t>
  </si>
  <si>
    <t>Bravo Messi #MessiìÉµday   Berhasil Raih Gelar Juara Dunia Lewat Adu Penalti,Berikut Fakta Menarik Argentina di Final Piala Dunia 2022!  https://t.co/5jdQTsOpZO</t>
  </si>
  <si>
    <t>bravo messi day berhasil raih gelar juara dunia lewat adu penalti berikut fakta menarik argentina final piala dunia</t>
  </si>
  <si>
    <t>['bravo', 'messi', 'day', 'berhasil', 'raih', 'gelar', 'juara', 'dunia', 'lewat', 'adu', 'penalti', 'berikut', 'fakta', 'menarik', 'argentina', 'final', 'piala', 'dunia']</t>
  </si>
  <si>
    <t>Selain Argentina menjadi juara Piala Dunia 2022, dua tim medioker Liga Inggris ikut mencatatkan rekor hebat.  Kedua tim tersebut adalah Aston Villa dan Brighton and Hove Albion. üèÜü•áüòç  https://t.co/MVCvhlN5Ot</t>
  </si>
  <si>
    <t>selain argentina menjadi juara piala dunia dua tim medioker liga inggris ikut mencatatkan rekor hebat kedua tim tersebut adalah aston villa dan brighton and hove albion</t>
  </si>
  <si>
    <t>['argentina', 'menjadi', 'juara', 'piala', 'dunia', 'tim', 'medioker', 'liga', 'inggris', 'ikut', 'mencatatkan', 'rekor', 'hebat', 'kedua', 'tim', 'tersebut', 'aston', 'villa', 'brighton', 'and', 'hove', 'albion']</t>
  </si>
  <si>
    <t>Selain Argentina menjadi juara Piala Dunia 2022, dua tim medioker Liga Inggris ikut mencatatkan rekor hebat.  Kedua tim tersebut adalah Aston Villa dan Brighton and Hove Albion. üèÜü•áüòç  https://t.co/U24svSns1z</t>
  </si>
  <si>
    <t>Perjuangan Prancis di final Piala Dunia patut diacungi jempol, namun tak berbuah manis karena harus merelakan gelar juara Piala Dunia ke Argentina.   https://t.co/ldlmNpEbtm</t>
  </si>
  <si>
    <t>perjuangan prancis final piala dunia patut diacungi jempol namun tak berbuah manis karena harus merelakan gelar juara piala dunia argentina</t>
  </si>
  <si>
    <t>['perjuangan', 'prancis', 'final', 'piala', 'dunia', 'patut', 'diacungi', 'jempol', 'tak', 'berbuah', 'manis', 'merelakan', 'gelar', 'juara', 'piala', 'dunia', 'argentina']</t>
  </si>
  <si>
    <t>@3s_tgrng kabarnya seneng, argentina juara</t>
  </si>
  <si>
    <t>tgrng kabarnya seneng argentina juara</t>
  </si>
  <si>
    <t>['tgrng', 'kabarnya', 'seneng', 'argentina', 'juara']</t>
  </si>
  <si>
    <t>VIDEO: Riuh Rendah Perayaan Argentina Juara Dunia  https://t.co/9WntC1pVZY</t>
  </si>
  <si>
    <t>video riuh rendah perayaan argentina juara dunia</t>
  </si>
  <si>
    <t>['video', 'riuh', 'rendah', 'perayaan', 'argentina', 'juara', 'dunia']</t>
  </si>
  <si>
    <t>@PolJokesID hanya di jaman beliau Argentina juara dunia, ketua PSSI sebelumnya ngapain aja?</t>
  </si>
  <si>
    <t>hanya jaman beliau argentina juara dunia ketua pssi sebelumnya ngapain aja</t>
  </si>
  <si>
    <t>['jaman', 'beliau', 'argentina', 'juara', 'dunia', 'ketua', 'pssi', 'sebelumnya', 'ngapain']</t>
  </si>
  <si>
    <t>argentina juara dunia, arab saudi juara dunia akhirat!! üî•üî•üî•</t>
  </si>
  <si>
    <t>argentina juara dunia arab saudi juara dunia akhirat</t>
  </si>
  <si>
    <t>['argentina', 'juara', 'dunia', 'arab', 'saudi', 'juara', 'dunia', 'akhirat']</t>
  </si>
  <si>
    <t>Bawa Argentina Juara Piala Dunia 2022 Qatar, Messi Dapat Jubah Spesial | Liputan6  https://t.co/svCJNVWCay</t>
  </si>
  <si>
    <t>bawa argentina juara piala dunia qatar messi dapat jubah spesial liputan</t>
  </si>
  <si>
    <t>['bawa', 'argentina', 'juara', 'piala', 'dunia', 'qatar', 'messi', 'jubah', 'spesial', 'liputan']</t>
  </si>
  <si>
    <t>Prancis harus merelakan gelar juara Piala Dunia ke Argentina. Namun, permainan Prancis di final Piala Dunia patut diacungi jempol sebab memberikan perlawanan.  https://t.co/69O3qqpNkp</t>
  </si>
  <si>
    <t>prancis harus merelakan gelar juara piala dunia argentina namun permainan prancis final piala dunia patut diacungi jempol sebab memberikan perlawanan</t>
  </si>
  <si>
    <t>['prancis', 'merelakan', 'gelar', 'juara', 'piala', 'dunia', 'argentina', 'permainan', 'prancis', 'final', 'piala', 'dunia', 'patut', 'diacungi', 'jempol', 'memberikan', 'perlawanan']</t>
  </si>
  <si>
    <t>Tuntutan / Ekspektasi rakyat Argentina (Amerika Selatan pada umumnya) di Sepakbola memang sangat tinggi. Tentu saja juara dunia jadi pencapaian yg bagus üòÖüëç   https://t.co/HbRC0G5PRb</t>
  </si>
  <si>
    <t>tuntutan ekspektasi rakyat argentina amerika selatan pada umumnya sepakbola memang sangat tinggi tentu saja juara dunia jadi pencapaian bagus</t>
  </si>
  <si>
    <t>['tuntutan', 'ekspektasi', 'rakyat', 'argentina', 'amerika', 'selatan', 'umumnya', 'sepakbola', 'memang', 'sangat', 'tinggi', 'juara', 'dunia', 'jadi', 'pencapaian', 'bagus']</t>
  </si>
  <si>
    <t>Argentina di Piala Dunia 2022: Dipecundangi Arab Saudi di Awal, Berakhir Sebagai Juara  https://t.co/PUg0AY3YKG</t>
  </si>
  <si>
    <t>argentina piala dunia dipecundangi arab saudi awal berakhir sebagai juara</t>
  </si>
  <si>
    <t>['argentina', 'piala', 'dunia', 'dipecundangi', 'arab', 'saudi', 'awal', 'berakhir', 'juara']</t>
  </si>
  <si>
    <t>Daftar Juara Piala Dunia 1930-2022 Lengkap, Argentina Menang 3 Kali, Prancis Berapa Kali?  https://t.co/sxqJCHZaGM</t>
  </si>
  <si>
    <t>daftar juara piala dunia lengkap argentina menang kali prancis berapa kali</t>
  </si>
  <si>
    <t>['daftar', 'juara', 'piala', 'dunia', 'lengkap', 'argentina', 'menang', 'kali', 'prancis', 'berapa', 'kali']</t>
  </si>
  <si>
    <t>Tundra di dukung Eva juara TI. Argentina di dukung Eva juara piala dunia. Apa iya timnas indo harus di dukung Eva jg biar juara AFF wkwk</t>
  </si>
  <si>
    <t>tundra dukung eva juara argentina dukung eva juara piala dunia apa iya timnas indo harus dukung eva biar juara aff wkwk</t>
  </si>
  <si>
    <t>['tundra', 'dukung', 'eva', 'juara', 'argentina', 'dukung', 'eva', 'juara', 'piala', 'dunia', 'apa', 'iya', 'timnas', 'indo', 'dukung', 'eva', 'juara', 'aff']</t>
  </si>
  <si>
    <t>@idextratime Nitip, kali aja ada yg mau ngeliat Highlights sama perayaan juara Argentina  https://t.co/qtSPoDRCYS</t>
  </si>
  <si>
    <t>nitip kali aja ada mau ngeliat highlights sama perayaan juara argentina</t>
  </si>
  <si>
    <t>['nitip', 'kali', 'mau', 'ngeliat', 'highlights', 'sama', 'perayaan', 'juara', 'argentina']</t>
  </si>
  <si>
    <t>‚ÄúSaya tidak akan pensiun. Saya ingin terus bermain sebagai juara Piala Dunia,‚Äù ujar Messi usai bawa Argentina juara.   https://t.co/Kv2b8ZwsAk</t>
  </si>
  <si>
    <t>saya tidak akan pensiun saya ingin terus bermain sebagai juara piala dunia ujar messi usai bawa argentina juara</t>
  </si>
  <si>
    <t>['pensiun', 'terus', 'bermain', 'juara', 'piala', 'dunia', 'ujar', 'messi', 'usai', 'bawa', 'argentina', 'juara']</t>
  </si>
  <si>
    <t>Selamat kepada timnas @argentina sebagai juara piala dunia 2022 #jantanslot88 #argentina #pialadunia2022 #FIFAWorldCup #Qatar2022 #dimaria #dybala  https://t.co/y01IDLUMAM</t>
  </si>
  <si>
    <t>selamat kepada timnas sebagai juara piala dunia</t>
  </si>
  <si>
    <t>['selamat', 'timnas', 'juara', 'piala', 'dunia']</t>
  </si>
  <si>
    <t>tebakan aing benerüò≠ argentina juaraüò≠</t>
  </si>
  <si>
    <t>tebakan aing bener argentina juara</t>
  </si>
  <si>
    <t>['tebakan', 'aing', 'benar', 'argentina', 'juara']</t>
  </si>
  <si>
    <t>Jadi Juara Dunia, Lionel Messi Urungkan Niat Pensiun dari Timnas Argentina¬†  https://t.co/YFtUqBKUsU</t>
  </si>
  <si>
    <t>jadi juara dunia lionel messi urungkan niat pensiun dari timnas argentina</t>
  </si>
  <si>
    <t>['jadi', 'juara', 'dunia', 'lionel', 'messi', 'urungkan', 'niat', 'pensiun', 'timnas', 'argentina']</t>
  </si>
  <si>
    <t>Alhmadulilah wasyukurilah Argentina akhirmya juara üßé‚Äç‚ôÇÔ∏è</t>
  </si>
  <si>
    <t>alhmadulilah wasyukurilah argentina akhirmya juara</t>
  </si>
  <si>
    <t>['alhmadulilah', 'wasyukurilah', 'argentina', 'akhirmya', 'juara']</t>
  </si>
  <si>
    <t>@kurnialeiva1 @gilabola_ina @SofascoreINT Argentina juara 1, kroasia nomor 3</t>
  </si>
  <si>
    <t>ina argentina juara kroasia nomor</t>
  </si>
  <si>
    <t>['ina', 'argentina', 'juara', 'kroasia', 'nomor']</t>
  </si>
  <si>
    <t>Jalan Terjal Argentina Menuju Gelar Juara Dunia, Kalah di Awal, Mengangkat Piala di Final  https://t.co/FDQWZpgGbs</t>
  </si>
  <si>
    <t>jalan terjal argentina menuju gelar juara dunia kalah awal mengangkat piala final</t>
  </si>
  <si>
    <t>['jalan', 'terjal', 'argentina', 'menuju', 'gelar', 'juara', 'dunia', 'kalah', 'awal', 'mengangkat', 'piala', 'final']</t>
  </si>
  <si>
    <t>Yang juara Messi Argentina yang trending Portugal Dembele dan Aguero !!  Doa selamatan üòÇ  https://t.co/2eGwRY5aTP</t>
  </si>
  <si>
    <t>yang juara messi argentina yang trending portugal dembele dan aguero doa selamatan</t>
  </si>
  <si>
    <t>['juara', 'messi', 'argentina', 'trending', 'portugal', 'dembele', 'aguero', 'doa', 'selamatan']</t>
  </si>
  <si>
    <t>masa kecil gue udh lengkap liat argentina menang, messi juara HAHAHA</t>
  </si>
  <si>
    <t>masa kecil gue udh lengkap liat argentina menang messi juara hahaha</t>
  </si>
  <si>
    <t>['masa', 'kecil', 'gue', 'sudah', 'lengkap', 'lihat', 'argentina', 'menang', 'messi', 'juara', 'hahaha']</t>
  </si>
  <si>
    <t>Argentina Juara Piala Dunia  #pulpendid #FIFAWorldCup¬†¬†#Qatar2022  #PialaDunia #PialaDunia2022  #prancis #Argentina #mbappe #maradona  #messi #CapCut  https://t.co/WvbzjvIDUL</t>
  </si>
  <si>
    <t>Piala Dunia Qatar: Neymar ucap tahniah kepada Messi selepas Argentina muncul juara    https://t.co/C7rFJS6ljD</t>
  </si>
  <si>
    <t>piala dunia qatar neymar ucap tahniah kepada messi selepas argentina muncul juara</t>
  </si>
  <si>
    <t>['piala', 'dunia', 'qatar', 'neymar', 'ucap', 'tahniah', 'messi', 'selepas', 'argentina', 'muncul', 'juara']</t>
  </si>
  <si>
    <t>@celixalexandra Terharu karena Argentina juara? Finally ya üòÇüíö</t>
  </si>
  <si>
    <t>terharu karena argentina juara finally</t>
  </si>
  <si>
    <t>['terharu', 'argentina', 'juara', 'finally']</t>
  </si>
  <si>
    <t>Selama Argentina juara di worldcup 2022 dan leonal Messi jadi bintang.</t>
  </si>
  <si>
    <t>selama argentina juara worldcup dan leonal messi jadi bintang</t>
  </si>
  <si>
    <t>['selama', 'argentina', 'juara', 'worldcup', 'leonal', 'messi', 'jadi', 'bintang']</t>
  </si>
  <si>
    <t>Prancis harus merelakan gelar juara Piala Dunia ke Argentina. Namun, permainan Prancis di final Piala Dunia patut diacungi jempol sebab memberikan perlawanan.  https://t.co/69O3qq7E6h</t>
  </si>
  <si>
    <t>gajadi soalnya argentina juara</t>
  </si>
  <si>
    <t>['gajadi', 'soalnya', 'argentina', 'juara']</t>
  </si>
  <si>
    <t>Pemenang tadi malem, rispek pak akhrinya pssi argentina juaraüôèüôèüôè</t>
  </si>
  <si>
    <t>pemenang tadi malem rispek pak akhrinya pssi argentina juara</t>
  </si>
  <si>
    <t>['pemenang', 'tadi', 'malem', 'rispek', 'pak', 'akhrinya', 'pssi', 'argentina', 'juara']</t>
  </si>
  <si>
    <t>Alhamdulillah dari awal piala dunia 2022 sampe argentina juara nggak judi sama sekali</t>
  </si>
  <si>
    <t>alhamdulillah dari awal piala dunia sampe argentina juara nggak judi sama sekali</t>
  </si>
  <si>
    <t>['alhamdulillah', 'awal', 'piala', 'dunia', 'sampai', 'argentina', 'juara', 'judi', 'sama', 'sekali']</t>
  </si>
  <si>
    <t>lagi nyari poster ucapan selamat atas raihan juara piala dunia argentina oleh pejabat atau anggota partai tertentu~</t>
  </si>
  <si>
    <t>lagi nyari poster ucapan selamat atas raihan juara piala dunia argentina oleh pejabat atau anggota partai tertentu</t>
  </si>
  <si>
    <t>['nyari', 'poster', 'ucapan', 'selamat', 'atas', 'raihan', 'juara', 'piala', 'dunia', 'argentina', 'pejabat', 'anggota', 'partai', 'tertentu']</t>
  </si>
  <si>
    <t>@dieserene @tarotsri Lagu apapun terdengar enak gegara Argentina Juara üòÖüòÖ</t>
  </si>
  <si>
    <t>lagu apapun terdengar enak gegara argentina juara</t>
  </si>
  <si>
    <t>['lagu', 'apapun', 'terdengar', 'enak', 'gegara', 'argentina', 'juara']</t>
  </si>
  <si>
    <t>kesampingkan dulu argentina juara, jangan lupa barca masih puncak klasemen  cc: @ngguwak</t>
  </si>
  <si>
    <t>kesampingkan dulu argentina juara jangan lupa barca masih puncak klasemen</t>
  </si>
  <si>
    <t>['kesampingkan', 'dulu', 'argentina', 'juara', 'jangan', 'lupa', 'barca', 'puncak', 'klasemen']</t>
  </si>
  <si>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</si>
  <si>
    <t>selamat argentina juara piala dunia bagi argentina ini adalah trofi piala dunia mereka yang ketiga sepanjang sejarah mereka jadi juara dunia untuk pertama kalinya pada tahun</t>
  </si>
  <si>
    <t>['selamat', 'argentina', 'juara', 'piala', 'dunia', 'argentina', 'trofi', 'piala', 'dunia', 'ketiga', 'sepanjang', 'sejarah', 'jadi', 'juara', 'dunia', 'pertama', 'kalinya', 'tahun']</t>
  </si>
  <si>
    <t>Selamat hari Senin, cuman mau ngingetin Argentina juara World Cup Qatar 2022üá¶üá∑</t>
  </si>
  <si>
    <t>selamat hari senin cuman mau ngingetin argentina juara world cup qatar</t>
  </si>
  <si>
    <t>['selamat', 'hari', 'senin', 'cuman', 'mau', 'ngingetin', 'argentina', 'juara', 'world', 'cup', 'qatar']</t>
  </si>
  <si>
    <t>@SerieA_Lawas Aq penasaran pemain Juve sapa aja: 1. Italy 1934: 9 pemain 2. Italy 1938: 2 pemain 3. Italy 1982: 6 pemain 4. Italy 2006: 5 pemain 5. Prancis 1998: 2 pemain 6. Prancis 2018: 1 pemain 7. Argentina 2022: 2 pemain  Emang tahun 50 s.d. 70-an gak</t>
  </si>
  <si>
    <t>lawas penasaran pemain juve sapa aja italy pemain italy pemain italy pemain italy pemain prancis pemain prancis pemain argentina pemain emang tahun gak</t>
  </si>
  <si>
    <t>['lawas', 'penasaran', 'pemain', 'juve', 'sapa', 'italy', 'pemain', 'italy', 'pemain', 'italy', 'pemain', 'italy', 'pemain', 'prancis', 'pemain', 'prancis', 'pemain', 'argentina', 'pemain', 'emang', 'tahun']</t>
  </si>
  <si>
    <t>&lt;FreqDist with 10 samples and 21 outcomes&gt;</t>
  </si>
  <si>
    <t>Syukurlah, pada akhirnya Argentina juara juga. Sempurna sudah karir La Pulga. Messi...kaulah the real GOAT</t>
  </si>
  <si>
    <t>syukurlah pada akhirnya argentina juara juga sempurna sudah karir pulga messi kaulah the real goat</t>
  </si>
  <si>
    <t>['syukurlah', 'akhirnya', 'argentina', 'juara', 'sempurna', 'karir', 'pulga', 'messi', 'kaulah', 'the', 'real', 'goat']</t>
  </si>
  <si>
    <t>Selamat buat pendukung Argentina üá¶üá∑jadi Juara Piala Dunia 2022.  Udah cair belom? Jangan lupa, temen-temennya ditraktir @nasgortiarbah   Nih pesen di sini  https://t.co/lWcsklovHQ</t>
  </si>
  <si>
    <t>selamat buat pendukung argentina jadi juara piala dunia udah cair belom jangan lupa temen temennya ditraktir nih pesen sini</t>
  </si>
  <si>
    <t>['selamat', 'buat', 'pendukung', 'argentina', 'jadi', 'juara', 'piala', 'dunia', 'udah', 'cair', 'belom', 'jangan', 'lupa', 'temen', 'temennya', 'ditraktir', 'pesen', 'sini']</t>
  </si>
  <si>
    <t>Argentina juara juga</t>
  </si>
  <si>
    <t>argentina juara juga</t>
  </si>
  <si>
    <t>Sampe kefinal, dan Juara.   Scaloni saudara-saudara. dengan cv yang ga mewah banget bahkan cuma sbg assisten sebelumnya. tapi bisa bawa juara argentina yakan luar biasa banget ya.</t>
  </si>
  <si>
    <t>sampe kefinal dan juara scaloni saudara saudara dengan yang mewah banget bahkan cuma sbg assisten sebelumnya tapi bisa bawa juara argentina yakan luar biasa banget</t>
  </si>
  <si>
    <t>['sampai', 'kefinal', 'juara', 'scaloni', 'saudara', 'saudara', 'mewah', 'banget', 'bahkan', 'cuma', 'sbg', 'assisten', 'sebelumnya', 'bawa', 'juara', 'argentina', 'yakan', 'luar', 'biasa', 'banget']</t>
  </si>
  <si>
    <t>Argentina Juara Piala Dunia 2022, Ernest Prakasa: The GOAT Debate Is Over  https://t.co/pI1KcweTxW</t>
  </si>
  <si>
    <t>argentina juara piala dunia ernest prakasa the goat debate over</t>
  </si>
  <si>
    <t>['argentina', 'juara', 'piala', 'dunia', 'ernest', 'prakasa', 'the', 'goat', 'debate', 'over']</t>
  </si>
  <si>
    <t>Tuntas sudah semua pencapaian yg kau torehkan, sejarah tidak bisa di manipulasi tapi hari ini sejarah baru di sepak bola dunia. Anak laki-laki kelahiran Rosario 24 Juni 1987 telah mengukir tinta emas sejarah baru bagi Negara Argentina dan beliau pantas mendapatkan juara 1. Vamos</t>
  </si>
  <si>
    <t>tuntas sudah semua pencapaian kau torehkan sejarah tidak bisa manipulasi tapi hari ini sejarah baru sepak bola dunia anak laki laki kelahiran rosario juni telah mengukir tinta emas sejarah baru bagi negara argentina dan beliau pantas mendapatkan juara vamos</t>
  </si>
  <si>
    <t>['tuntas', 'semua', 'pencapaian', 'kau', 'torehkan', 'sejarah', 'manipulasi', 'hari', 'sejarah', 'baru', 'sepak', 'bola', 'dunia', 'anak', 'laki', 'laki', 'kelahiran', 'rosario', 'juni', 'mengukir', 'tinta', 'emas', 'sejarah', 'baru', 'negara', 'argentina', 'beliau', 'pantas', 'mendapatkan', 'juara', 'vamos']</t>
  </si>
  <si>
    <t>Warbiasyakkkkk  Argentina Juara Piala Dunia 2022, Ketum PSSI Angkat Trofi Raksasa -  https://t.co/9QiHbAJRWG  https://t.co/tMBc2jn37o</t>
  </si>
  <si>
    <t>warbiasyakkkkk argentina juara piala dunia ketum pssi angkat trofi raksasa</t>
  </si>
  <si>
    <t>['warbiasyakkkkk', 'argentina', 'juara', 'piala', 'dunia', 'ketum', 'pssi', 'angkat', 'trofi', 'raksasa']</t>
  </si>
  <si>
    <t>Argentina emang hoki nya di qatar  Qatar pernah jadi tuan rumah piala Dunia U20 tahun 1990an pas itu argentina jg yg juara  Trus kembali lagi wayah jadi tuan rumah 2022 , argentina yg juara Jadi kek qatar emang bagus banget untuk argentina</t>
  </si>
  <si>
    <t>argentina emang hoki nya qatar qatar pernah jadi tuan rumah piala dunia tahun pas itu argentina juara trus kembali lagi wayah jadi tuan rumah argentina juara jadi kek qatar emang bagus banget untuk argentina</t>
  </si>
  <si>
    <t>['argentina', 'emang', 'hoki', 'qatar', 'qatar', 'pernah', 'jadi', 'tuan', 'rumah', 'piala', 'dunia', 'tahun', 'pas', 'argentina', 'juara', 'trus', 'wayah', 'jadi', 'tuan', 'rumah', 'argentina', 'juara', 'jadi', 'kek', 'qatar', 'emang', 'bagus', 'banget', 'argentina']</t>
  </si>
  <si>
    <t>@kebabmantap @jek___ Dalam 35 pertandingan Argentina belum pernah kalah sebelum ketemu Arab Saudi. Setelah kekalahan dg Saudi kembali tak terkalahkan sampai juara</t>
  </si>
  <si>
    <t>dalam pertandingan argentina belum pernah kalah sebelum ketemu arab saudi setelah kekalahan saudi kembali tak terkalahkan sampai juara</t>
  </si>
  <si>
    <t>['pertandingan', 'argentina', 'pernah', 'kalah', 'ketemu', 'arab', 'saudi', 'kekalahan', 'saudi', 'tak', 'terkalahkan', 'juara']</t>
  </si>
  <si>
    <t>Argentina, negara bukan muslim yg bukan pertama kali juara dunia ‚òùÔ∏è  #WorldCup  #WC2022</t>
  </si>
  <si>
    <t>argentina negara bukan muslim bukan pertama kali juara dunia</t>
  </si>
  <si>
    <t>['argentina', 'negara', 'bukan', 'muslim', 'bukan', 'pertama', 'kali', 'juara', 'dunia']</t>
  </si>
  <si>
    <t>gua beneran nangis semalem pas nonton world cup. walopun spain gak juara tp gua seneng dwn tetharu liat argentina, khususnya messi, jadi juara duniaüò≠</t>
  </si>
  <si>
    <t>gua beneran nangis semalem pas nonton world cup walopun spain gak juara gua seneng dwn tetharu liat argentina khususnya messi jadi juara dunia</t>
  </si>
  <si>
    <t>['gua', 'beneran', 'nangis', 'semalam', 'pas', 'nonton', 'world', 'cup', 'walopun', 'spain', 'juara', 'gua', 'seneng', 'dwn', 'tetharu', 'lihat', 'argentina', 'khususnya', 'messi', 'jadi', 'juara', 'dunia']</t>
  </si>
  <si>
    <t xml:space="preserve"> https://t.co/QcF9tZEDkk   DERETAN REKOR Baru yang Diukir Lionel Messi Setelah Berhasil Bawa Argentina Juara Piala Dunia 2022  #Argentina  #LionelMessi  #FIFAWorldCup</t>
  </si>
  <si>
    <t>deretan rekor baru yang diukir lionel messi setelah berhasil bawa argentina juara piala dunia</t>
  </si>
  <si>
    <t>['deretan', 'rekor', 'baru', 'diukir', 'lionel', 'messi', 'berhasil', 'bawa', 'argentina', 'juara', 'piala', 'dunia']</t>
  </si>
  <si>
    <t>ArgENTINA juara piala dunia 2022 FiorENTINA mau juara UECL gak?  @ViolaClubINA @acffiorentina  üòÜ #kamimaujuarajugadong</t>
  </si>
  <si>
    <t>argentina juara piala dunia fiorentina mau juara uecl gak</t>
  </si>
  <si>
    <t>['argentina', 'juara', 'piala', 'dunia', 'fiorentina', 'mau', 'juara', 'uecl']</t>
  </si>
  <si>
    <t>Stop bodohi masyarakat! Jokowi minta jangan beri ruang politik identitas dan politisasi Agama  #FIFAWorldCup | #PialaDunia2022 | Dybala | Aguero | Penalti | Juara Dunia | Prancis | Argentina | Ronaldo | Messi | Argentia  https://t.co/OWv5T51CYS</t>
  </si>
  <si>
    <t>stop bodohi masyarakat jokowi minta jangan beri ruang politik identitas dan politisasi agama dybala aguero penalti juara dunia prancis argentina ronaldo messi argentia</t>
  </si>
  <si>
    <t>['stop', 'bodohi', 'masyarakat', 'jokowi', 'minta', 'jangan', 'beri', 'ruang', 'politik', 'identitas', 'politisasi', 'agama', 'dybala', 'aguero', 'penalti', 'juara', 'dunia', 'prancis', 'argentina', 'ronaldo', 'messi', 'argentia']</t>
  </si>
  <si>
    <t>Stop bodohi masyarakat! Jokowi minta jangan beri ruang politik identitas dan politisasi Agama  #FIFAWorldCup | #PialaDunia2022 | Dybala | Aguero | Penalti | Juara Dunia | Prancis | Argentina | Ronaldo | Messi | Argentia  https://t.co/f3tKy589RC</t>
  </si>
  <si>
    <t>Stop bodohi masyarakat! Jokowi minta jangan beri ruang politik identitas dan politisasi Agama  #FIFAWorldCup | #PialaDunia2022 | Dybala | Aguero | Penalti | Juara Dunia | Prancis | Argentina | Ronaldo | Messi | Argentia  https://t.co/OP2n0Murdx</t>
  </si>
  <si>
    <t>CONGRATS ARGENTINA! Meraih Juara Piala Dunia kembali setelah 36 tahun! Messi you‚Äôre such a G.O.A.TüêêüèÜ  #FIFAWorldCup  üì∏:  https://t.co/D8az1weVhh  https://t.co/8fEzmo91Of</t>
  </si>
  <si>
    <t>congrats argentina meraih juara piala dunia kembali setelah tahun messi you such</t>
  </si>
  <si>
    <t>['congrats', 'argentina', 'meraih', 'juara', 'piala', 'dunia', 'tahun', 'messi', 'you', 'such']</t>
  </si>
  <si>
    <t>Argentina Juara Piala Dunia 2022 Usai Jungkalkan Prancis Lewat Drama Adu Penalti  https://t.co/hw53Aje6hg</t>
  </si>
  <si>
    <t>argentina juara piala dunia usai jungkalkan prancis lewat drama adu penalti</t>
  </si>
  <si>
    <t>['argentina', 'juara', 'piala', 'dunia', 'usai', 'jungkalkan', 'prancis', 'lewat', 'drama', 'adu', 'penalti']</t>
  </si>
  <si>
    <t>Pemilu 2024 jadi pesta demokrasi terbesar sepanjang sejarah, Jokowi minta semua bekerja maksimal  #FIFAWorldCup | #PialaDunia2022 | Dybala | Aguero | Penalti | Juara Dunia | Prancis | Argentina | Ronaldo | Messi | Argentia  https://t.co/otvttkJ5im</t>
  </si>
  <si>
    <t>pemilu jadi pesta demokrasi terbesar sepanjang sejarah jokowi minta semua bekerja maksimal dybala aguero penalti juara dunia prancis argentina ronaldo messi argentia</t>
  </si>
  <si>
    <t>['pemilu', 'jadi', 'pesta', 'demokrasi', 'terbesar', 'sepanjang', 'sejarah', 'jokowi', 'minta', 'semua', 'bekerja', 'maksimal', 'dybala', 'aguero', 'penalti', 'juara', 'dunia', 'prancis', 'argentina', 'ronaldo', 'messi', 'argentia']</t>
  </si>
  <si>
    <t>Pemilu 2024 jadi pesta demokrasi terbesar sepanjang sejarah, Jokowi minta semua bekerja maksimal  #FIFAWorldCup | #PialaDunia2022 | Dybala | Aguero | Penalti | Juara Dunia | Prancis | Argentina | Ronaldo | Messi | Argentia  https://t.co/BfMquCRreW</t>
  </si>
  <si>
    <t>Selamat kepada timnas @argentina sebagai juara piala dunia 2022 #jantanslot88 #argentina #pialadunia2022 #FIFAWorldCup #Qatar2022 #dimaria #dybala  https://t.co/2Fqqg8noY5</t>
  </si>
  <si>
    <t>Pemilu 2024 jadi pesta demokrasi terbesar sepanjang sejarah, Jokowi minta semua bekerja maksimal  #FIFAWorldCup | #PialaDunia2022 | Dybala | Aguero | Penalti | Juara Dunia | Prancis | Argentina | Ronaldo | Messi | Argentia  https://t.co/K7lxQIIlSi</t>
  </si>
  <si>
    <t>Buruk diawal itu bukan ahkir perjalanan  tapi baik di ahkir adalah yg utama.. Selamat buat ARGENTINA juara dunia world cup Qatar 2022 lionel mesi akhirnya bisa jadi GOAT Greatest of All Time atau pemain terhebat sepanjang masa.#FIFAWorldCup  https://t.co/YZdzaqOmiX</t>
  </si>
  <si>
    <t>buruk diawal itu bukan ahkir perjalanan tapi baik ahkir adalah utama selamat buat argentina juara dunia world cup qatar lionel mesi akhirnya bisa jadi goat greatest all time atau pemain terhebat sepanjang masa</t>
  </si>
  <si>
    <t>['buruk', 'diawal', 'bukan', 'ahkir', 'perjalanan', 'baik', 'ahkir', 'utama', 'selamat', 'buat', 'argentina', 'juara', 'dunia', 'world', 'cup', 'qatar', 'lionel', 'mesi', 'akhirnya', 'jadi', 'goat', 'greatest', 'all', 'time', 'pemain', 'terhebat', 'sepanjang', 'masa']</t>
  </si>
  <si>
    <t>Selamat kepada timnas @argentina sebagai juara piala dunia 2022 #jantanslot88 #argentina #pialadunia2022 #FIFAWorldCup #Qatar2022 #dimaria #dybala  https://t.co/n1j0MmHY7l</t>
  </si>
  <si>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</si>
  <si>
    <t>selamat argentina resmi jadi juara piala dunia setelah bertanding melawan prancis final melalui adi penalti dengan bermain seri sampai extra time argentina berhasil merebut trofi juara piala dunia sob</t>
  </si>
  <si>
    <t>['selamat', 'argentina', 'resmi', 'jadi', 'juara', 'piala', 'dunia', 'bertanding', 'melawan', 'prancis', 'final', 'melalui', 'adi', 'penalti', 'bermain', 'seri', 'extra', 'time', 'argentina', 'berhasil', 'merebut', 'trofi', 'juara', 'piala', 'dunia', 'sob']</t>
  </si>
  <si>
    <t>Kalahkan Prancis Lewat Adu Pinalti, Argentina Juara Piala Dunia 2022  https://t.co/pmxc79dHGh</t>
  </si>
  <si>
    <t>kalahkan prancis lewat adu pinalti argentina juara piala dunia</t>
  </si>
  <si>
    <t>Argentina Juara Dunia, Messi Samai Prestasi Maradona  https://t.co/SX57b6fiRx</t>
  </si>
  <si>
    <t>@Fandom_ID Aslinya nyesel. Tp setelah dia keluar permainan Final piala dunia jd menarik kan,asli suguhan tontonan yg spektakuler. Tp tetep Argentina yg juara.</t>
  </si>
  <si>
    <t>aslinya nyesel setelah dia keluar permainan final piala dunia menarik kan asli suguhan tontonan spektakuler tetep argentina juara</t>
  </si>
  <si>
    <t>['aslinya', 'nyesel', 'keluar', 'permainan', 'final', 'piala', 'dunia', 'menarik', 'kan', 'asli', 'suguhan', 'tontonan', 'spektakuler', 'tetep', 'argentina', 'juara']</t>
  </si>
  <si>
    <t>Argentina Kampiun ke-22, Inilah Juara Piala Dunia dari Masa ke Masa  https://t.co/QENfLVcwtA</t>
  </si>
  <si>
    <t>argentina kampiun inilah juara piala dunia dari masa masa</t>
  </si>
  <si>
    <t>['argentina', 'kampiun', 'inilah', 'juara', 'piala', 'dunia', 'masa', 'masa']</t>
  </si>
  <si>
    <t>Yang juara Argentina, kok Indonesia yang repot. Norak !</t>
  </si>
  <si>
    <t>yang juara argentina kok indonesia yang repot norak</t>
  </si>
  <si>
    <t>['juara', 'argentina', 'kok', 'indonesia', 'repot', 'norak']</t>
  </si>
  <si>
    <t>Belum Mahu Bersara, Messi Ingin Sarung Jersi Argentina Sebagai Juara Dunia  https://t.co/5t6JBw2cos</t>
  </si>
  <si>
    <t>belum mahu bersara messi ingin sarung jersi argentina sebagai juara dunia</t>
  </si>
  <si>
    <t>['mahu', 'bersara', 'messi', 'sarung', 'jersi', 'argentina', 'juara', 'dunia']</t>
  </si>
  <si>
    <t>Gak papa es argentina yang juara, next croatia dan pramcis  #PialaDunia2022 #FIFAWordCup</t>
  </si>
  <si>
    <t>gak papa argentina yang juara next croatia dan pramcis</t>
  </si>
  <si>
    <t>['papa', 'argentina', 'juara', 'next', 'croatia', 'pramcis']</t>
  </si>
  <si>
    <t>@khairul_hafidz Kali ni WC memang nak Argentina juara. Hampir setiap game dpt penalti. Messi last WC katanya. Dah anak emas FIFA. Takkan FIFA nk biar Messi bersara tak dpt julang WC</t>
  </si>
  <si>
    <t>hafidz kali memang nak argentina juara hampir setiap game dpt penalti messi last katanya dah anak emas fifa takkan fifa biar messi bersara tak dpt julang</t>
  </si>
  <si>
    <t>['hafidz', 'kali', 'memang', 'nak', 'argentina', 'juara', 'hampir', 'game', 'dpt', 'penalti', 'messi', 'last', 'katanya', 'dah', 'anak', 'emas', 'fifa', 'takkan', 'fifa', 'messi', 'bersara', 'tak', 'dpt', 'julang']</t>
  </si>
  <si>
    <t>Statistik dan Drama Warnai Argentina Juara Piala Dunia Qatar 2022 =&amp;gt;  https://t.co/BUoCqlOQ8Z.</t>
  </si>
  <si>
    <t>statistik dan drama warnai argentina juara piala dunia qatar</t>
  </si>
  <si>
    <t>['statistik', 'drama', 'warnai', 'argentina', 'juara', 'piala', 'dunia', 'qatar']</t>
  </si>
  <si>
    <t>gemes banget sayangkuuu, aku juga happy argentina juara world cup 2022üò≠üá¶üá∑ü´∂üèª</t>
  </si>
  <si>
    <t>gemes banget sayangkuuu aku juga happy argentina juara world cup</t>
  </si>
  <si>
    <t>['gemes', 'banget', 'sayangkuuu', 'aku', 'happy', 'argentina', 'juara', 'world', 'cup']</t>
  </si>
  <si>
    <t>Belum Mahu Bersara, Messi Ingin Sarung Jersi Argentina Sebagai Juara Dunia  https://t.co/aj0uNjTBB2</t>
  </si>
  <si>
    <t>#MostPopuler Messi Bawa Argentina Juara Dunia 2022, Selanjutnya Bakal Jadi Pebalap Honda?  https://t.co/fZZmJZwHRv</t>
  </si>
  <si>
    <t>messi bawa argentina juara dunia selanjutnya bakal jadi pebalap honda</t>
  </si>
  <si>
    <t>['messi', 'bawa', 'argentina', 'juara', 'dunia', 'selanjutnya', 'bakal', 'jadi', 'pebalap', 'honda']</t>
  </si>
  <si>
    <t>..tapi Argentina lbh banyak 'shots on target' sih.. Kipernya juga keren, spesialis penalty. Layaklah jadi juara.</t>
  </si>
  <si>
    <t>tapi argentina lbh banyak shots target sih kipernya juga keren spesialis penalty layaklah jadi juara</t>
  </si>
  <si>
    <t>['argentina', 'lbh', 'banyak', 'shots', 'target', 'kipernya', 'keren', 'spesialis', 'penalty', 'layaklah', 'jadi', 'juara']</t>
  </si>
  <si>
    <t>Tim nasional Argentina keluar sebagai juara Piala Dunia 2022 usai mengalahkan Prancis di Stadion Lusail, Qatar, Senin, 19 Desember 2022 dini hari WIB.   https://t.co/QJEbL1ZDvN</t>
  </si>
  <si>
    <t>tim nasional argentina keluar sebagai juara piala dunia usai mengalahkan prancis stadion lusail qatar senin desember dini hari wib</t>
  </si>
  <si>
    <t>['tim', 'nasional', 'argentina', 'keluar', 'juara', 'piala', 'dunia', 'usai', 'mengalahkan', 'prancis', 'stadion', 'lusail', 'qatar', 'senin', 'desember', 'dini', 'hari', 'wib']</t>
  </si>
  <si>
    <t>@registaco Untung dybala maen. Jd lumayan ikhlas lah argentina juara üòÖ</t>
  </si>
  <si>
    <t>untung dybala maen lumayan ikhlas lah argentina juara</t>
  </si>
  <si>
    <t>['untung', 'dybala', 'maen', 'lumayan', 'ikhlas', 'lah', 'argentina', 'juara']</t>
  </si>
  <si>
    <t>@PakkatDayak 4-2 adu penalti.. Argentina juara üôè‚úå</t>
  </si>
  <si>
    <t>adu penalti argentina juara</t>
  </si>
  <si>
    <t>['adu', 'penalti', 'argentina', 'juara']</t>
  </si>
  <si>
    <t>Juara piala dunia ditentukan lewat adu penalti Argentina vs Prancis  https://t.co/YwbpAtsov4</t>
  </si>
  <si>
    <t>juara piala dunia ditentukan lewat adu penalti argentina prancis</t>
  </si>
  <si>
    <t>['juara', 'piala', 'dunia', 'ditentukan', 'lewat', 'adu', 'penalti', 'argentina', 'prancis']</t>
  </si>
  <si>
    <t>Belajar dari Argentina Kekalahan atau ke gagalkan di awal, bukan alasan kamu untuk tidak bisa jadi juara... Gasssss.... Semangat terus gagal coba lagi, gagal gosok Lagi, sampai kegagalan bosan dengan kita..  https://t.co/zFNdhpmupx</t>
  </si>
  <si>
    <t>belajar dari argentina kekalahan atau gagalkan awal bukan alasan kamu untuk tidak bisa jadi juara gasssss semangat terus gagal coba lagi gagal gosok lagi sampai kegagalan bosan dengan kita</t>
  </si>
  <si>
    <t>['belajar', 'argentina', 'kekalahan', 'gagalkan', 'awal', 'bukan', 'alasan', 'kamu', 'jadi', 'juara', 'gasssss', 'semangat', 'terus', 'gagal', 'coba', 'gagal', 'gosok', 'kegagalan', 'bosan']</t>
  </si>
  <si>
    <t>@FranceJakartaID Salam untuk Mbape ya min, penampilannya luar biasa. Meski tidak juara Tim Prancis menginspirasi kebangkitan dari ketertinggalan‚Ä¶tidak mudah bagi Argentina untuk mengakhiri puasa gelarnya, Prancis memang tim juara‚Ä¶</t>
  </si>
  <si>
    <t>salam untuk mbape min penampilannya luar biasa meski tidak juara tim prancis menginspirasi kebangkitan dari ketertinggalan tidak mudah bagi argentina untuk mengakhiri puasa gelarnya prancis memang tim juara</t>
  </si>
  <si>
    <t>['salam', 'mbape', 'min', 'penampilannya', 'luar', 'biasa', 'meski', 'juara', 'tim', 'prancis', 'menginspirasi', 'kebangkitan', 'ketertinggalan', 'mudah', 'argentina', 'mengakhiri', 'puasa', 'gelarnya', 'prancis', 'memang', 'tim', 'juara']</t>
  </si>
  <si>
    <t>Selamat Argentina juara... Selamat Arab Saudi yg sdh mengalahkan Argentina...  https://t.co/sfJbY4R91Z</t>
  </si>
  <si>
    <t>selamat argentina juara selamat arab saudi sdh mengalahkan argentina</t>
  </si>
  <si>
    <t>['selamat', 'argentina', 'juara', 'selamat', 'arab', 'saudi', 'mengalahkan', 'argentina']</t>
  </si>
  <si>
    <t>Argentina Juara Piala Dunia 2022, Messi bawa pulang trofi pemain¬†terbaik  https://t.co/3sz8vNzQpN</t>
  </si>
  <si>
    <t>argentina juara piala dunia messi bawa pulang trofi pemain terbaik</t>
  </si>
  <si>
    <t>['argentina', 'juara', 'piala', 'dunia', 'messi', 'bawa', 'pulang', 'trofi', 'pemain', 'terbaik']</t>
  </si>
  <si>
    <t>@Nirfi_17 @erickthohir Argentina juara duniaüèÜüëç‚ù§</t>
  </si>
  <si>
    <t>Damn sumpah di momen  Argentina juara terharu liat Messi cokkkk</t>
  </si>
  <si>
    <t>damn sumpah momen argentina juara terharu liat messi cokkkk</t>
  </si>
  <si>
    <t>['damn', 'sumpah', 'momen', 'argentina', 'juara', 'terharu', 'lihat', 'messi', 'cokkkk']</t>
  </si>
  <si>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</si>
  <si>
    <t>argentina keluar sebagai juara piala dunia qatar setelah bermain imbang selama menit dengan score kedua team paksa bermain adu pinalti argentina berhasil mengalahkan prancis dengan adu pinalti score</t>
  </si>
  <si>
    <t>['argentina', 'keluar', 'juara', 'piala', 'dunia', 'qatar', 'bermain', 'imbang', 'selama', 'menit', 'score', 'kedua', 'team', 'paksa', 'bermain', 'adu', 'penalti', 'argentina', 'berhasil', 'mengalahkan', 'prancis', 'adu', 'penalti', 'score']</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</si>
  <si>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</si>
  <si>
    <t>gelar juara pertama bagi lionel messi piala dunia diego maradona akan bangga melihat anak asuhnya mendapat gelar dan segera pensiun laga internasional mimin belum siap liat sang goat pensiun selamat untuk argentina atas gelar juara piala dunia qatar</t>
  </si>
  <si>
    <t>['gelar', 'juara', 'pertama', 'lionel', 'messi', 'piala', 'dunia', 'diego', 'maradona', 'bangga', 'melihat', 'anak', 'asuhnya', 'mendapat', 'gelar', 'segera', 'pensiun', 'laga', 'internasional', 'mimin', 'siap', 'lihat', 'sang', 'goat', 'pensiun', 'selamat', 'argentina', 'atas', 'gelar', 'juara', 'piala', 'dunia', 'qatar']</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</si>
  <si>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</si>
  <si>
    <t>Ketua federasi sepakbola Argentina kemana?? Knp ga ikutan angkat trofi ? Jadi pejabat cuek banget ga perhatian sama talentnya. Ga kayak ketua federasi sini yg sangat perhatian smpe ngeluangin waktu sibuknya buat ikut angkat trofi juara.</t>
  </si>
  <si>
    <t>ketua federasi sepakbola argentina kemana knp ikutan angkat trofi jadi pejabat cuek banget perhatian sama talentnya kayak ketua federasi sini sangat perhatian smpe ngeluangin waktu sibuknya buat ikut angkat trofi juara</t>
  </si>
  <si>
    <t>['ketua', 'federasi', 'sepakbola', 'argentina', 'kenapa', 'ikutan', 'angkat', 'trofi', 'jadi', 'pejabat', 'cuek', 'banget', 'perhatian', 'sama', 'talentnya', 'seperti', 'ketua', 'federasi', 'sini', 'sangat', 'perhatian', 'smpe', 'ngeluangin', 'waktu', 'sibuknya', 'buat', 'ikut', 'angkat', 'trofi', 'juara']</t>
  </si>
  <si>
    <t>Anda malas tapi tugas menumpuk tenang kita ada solusinya @gastugasid1 ü§©üëç  Nyari joki tugas terpecaya solusinya @gastugasid ‚úÖ  Bisa langsung klik bio yah kak ü§ó  Messi. Emil Martinez. Argentina. Juara Piala Dunia  https://t.co/TdejsJxEGo</t>
  </si>
  <si>
    <t>anda malas tapi tugas menumpuk tenang kita ada solusinya nyari joki tugas terpecaya solusinya bisa langsung klik bio yah kak messi emil martinez argentina juara piala dunia</t>
  </si>
  <si>
    <t>['malas', 'tugas', 'menumpuk', 'tenang', 'solusinya', 'nyari', 'joki', 'tugas', 'terpecaya', 'solusinya', 'langsung', 'klik', 'bio', 'kak', 'messi', 'emil', 'martinez', 'argentina', 'juara', 'piala', 'dunia']</t>
  </si>
  <si>
    <t>Argentina menjadi juara Piala Dunia 2022 Qatar setelah melibas Prancis lewat drama adu tendangan penalti.    Untuk berita selengkapnya kunjungi  https://t.co/kB0QRxh5JN  #argentina #pialadunia #prancis #adupenalti #qatarworldcup #sport #poskota #poskotacoid  https://t.co/d5R2YSv7sQ</t>
  </si>
  <si>
    <t>argentina menjadi juara piala dunia qatar setelah melibas prancis lewat drama adu tendangan penalti untuk berita selengkapnya kunjungi</t>
  </si>
  <si>
    <t>['argentina', 'menjadi', 'juara', 'piala', 'dunia', 'qatar', 'melibas', 'prancis', 'lewat', 'drama', 'adu', 'tendangan', 'penalti', 'berita', 'selengkapnya', 'kunjungi']</t>
  </si>
  <si>
    <t>Yah....Gpp lah France ngk juara and Congrats buat argentina.</t>
  </si>
  <si>
    <t>yah gpp lah france ngk juara and congrats buat argentina</t>
  </si>
  <si>
    <t>['gapapa', 'lah', 'france', 'ngk', 'juara', 'and', 'congrats', 'buat', 'argentina']</t>
  </si>
  <si>
    <t>@ainurohman Seandainya Argentina gagal juara tetep Messi the real Goat</t>
  </si>
  <si>
    <t>seandainya argentina gagal juara tetep messi the real goat</t>
  </si>
  <si>
    <t>['seandainya', 'argentina', 'gagal', 'juara', 'tetep', 'messi', 'the', 'real', 'goat']</t>
  </si>
  <si>
    <t>9. Terakhir, sebetulnya Perancis (babak kedua) lbh layak juara, tp Argentina lbh 'hoki', pun ketika adu penalti. Overall, piala dunia yg seru, salut buat kedua timüôèüèª</t>
  </si>
  <si>
    <t>terakhir sebetulnya perancis babak kedua lbh layak juara argentina lbh hoki pun ketika adu penalti overall piala dunia seru salut buat kedua tim</t>
  </si>
  <si>
    <t>['terakhir', 'perancis', 'babak', 'kedua', 'lbh', 'layak', 'juara', 'argentina', 'lbh', 'hoki', 'adu', 'penalti', 'overall', 'piala', 'dunia', 'seru', 'salut', 'buat', 'kedua', 'tim']</t>
  </si>
  <si>
    <t>Lewat Drama Adu Penalti, Argentina Juara Piala Dunia 2022  https://t.co/P9ExLLlTFd</t>
  </si>
  <si>
    <t>lewat drama adu penalti argentina juara piala dunia</t>
  </si>
  <si>
    <t>['lewat', 'drama', 'adu', 'penalti', 'argentina', 'juara', 'piala', 'dunia']</t>
  </si>
  <si>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</si>
  <si>
    <t>tadi malam seluruh dunia menyaksikan final piala dunia luar biasa perjuangan argentina prancis menunjukkan kelasnya argentina layak juara prancis layak posisi semoga suatu saat timnas kita bisa ikut berlaga dlm piala dunia kita harus yakin kita bisa</t>
  </si>
  <si>
    <t>['tadi', 'malam', 'seluruh', 'dunia', 'menyaksikan', 'final', 'piala', 'dunia', 'luar', 'biasa', 'perjuangan', 'argentina', 'prancis', 'menunjukkan', 'kelasnya', 'argentina', 'layak', 'juara', 'prancis', 'layak', 'posisi', 'semoga', 'suatu', 'timnas', 'ikut', 'berlaga', 'dlm', 'piala', 'dunia', 'yakin']</t>
  </si>
  <si>
    <t>Argentina Juara Piala Dunia, Putin Beri Selamat ke Messi Cs  https://t.co/6nJolTZopd</t>
  </si>
  <si>
    <t>argentina juara piala dunia putin beri selamat messi</t>
  </si>
  <si>
    <t>['argentina', 'juara', 'piala', 'dunia', 'putin', 'beri', 'selamat', 'messi']</t>
  </si>
  <si>
    <t>Congratulations timnas Argentina tuk jadi juara Piala Dunia edisi 2022 on Qatar, gelar ke 3 tuk timnas Argentina. @ Griya Babatan Mukti  https://t.co/TW5RYqMIoD</t>
  </si>
  <si>
    <t>congratulations timnas argentina tuk jadi juara piala dunia edisi qatar gelar tuk timnas argentina griya babatan mukti</t>
  </si>
  <si>
    <t>['congratulations', 'timnas', 'argentina', 'tuk', 'jadi', 'juara', 'piala', 'dunia', 'edisi', 'qatar', 'gelar', 'tuk', 'timnas', 'argentina', 'griya', 'babatan', 'mukti']</t>
  </si>
  <si>
    <t>Argentina udah juara piala dunia. Kapan kamu juara di hatinya? #txtdariomk</t>
  </si>
  <si>
    <t>argentina udah juara piala dunia kapan kamu juara hatinya</t>
  </si>
  <si>
    <t>['argentina', 'udah', 'juara', 'piala', 'dunia', 'kapan', 'kamu', 'juara', 'hatinya']</t>
  </si>
  <si>
    <t>Fiks ya kutukan org Inggris berakhir. Soalnya dulu org Inggris  pernah kutuk  argentina katanya selama Maradona masih hidup, argentina tidak akan bisa juara Piala Dunia  Gara2 gol tangan Tuhan Maradona yg buat Inggris kalah. Jadi warga Inggris marah besar gitu ke Maradona</t>
  </si>
  <si>
    <t>fiks kutukan org inggris berakhir soalnya dulu org inggris pernah kutuk argentina katanya selama maradona masih hidup argentina tidak akan bisa juara piala dunia gara gol tangan tuhan maradona buat inggris kalah jadi warga inggris marah besar gitu maradona</t>
  </si>
  <si>
    <t>['fiks', 'kutukan', 'org', 'inggris', 'berakhir', 'soalnya', 'dulu', 'org', 'inggris', 'pernah', 'kutuk', 'argentina', 'katanya', 'selama', 'maradona', 'hidup', 'argentina', 'juara', 'piala', 'dunia', 'gara', 'gol', 'tangan', 'tuhan', 'maradona', 'buat', 'inggris', 'kalah', 'jadi', 'warga', 'inggris', 'marah', 'besar', 'gitu', 'maradona']</t>
  </si>
  <si>
    <t>makanan selebrasi argentina juara  https://t.co/TlLs6fxzfC</t>
  </si>
  <si>
    <t>makanan selebrasi argentina juara</t>
  </si>
  <si>
    <t>['makanan', 'selebrasi', 'argentina', 'juara']</t>
  </si>
  <si>
    <t>Argentina juara kok ketua pssi nya gak ikutan selebrasi</t>
  </si>
  <si>
    <t>argentina juara kok ketua pssi nya gak ikutan selebrasi</t>
  </si>
  <si>
    <t>['argentina', 'juara', 'kok', 'ketua', 'pssi', 'ikutan', 'selebrasi']</t>
  </si>
  <si>
    <t>@clarasmtpg Iya kakak.  Aku sampai teriak" pas Argentina juara wkwkwk gk perduli lagi di dengar tetangga atau gk wkwkw</t>
  </si>
  <si>
    <t>iya kakak aku sampai teriak pas argentina juara wkwkwk perduli lagi dengar tetangga atau wkwkw</t>
  </si>
  <si>
    <t>['iya', 'kakak', 'aku', 'teriak', 'pas', 'argentina', 'juara', 'wkwkwk', 'perduli', 'dengar', 'tetangga', 'wkwkw']</t>
  </si>
  <si>
    <t>Kenapa Argentina Juara Piala Dunia 2022 Heboh Banget?  https://t.co/PSYDZ389JZ</t>
  </si>
  <si>
    <t>kenapa argentina juara piala dunia heboh banget</t>
  </si>
  <si>
    <t>['argentina', 'juara', 'piala', 'dunia', 'heboh', 'banget']</t>
  </si>
  <si>
    <t>Penyebab Argentina juara *insert foto wadon pake kaos Argentina</t>
  </si>
  <si>
    <t>penyebab argentina juara insert foto wadon pake kaos argentina</t>
  </si>
  <si>
    <t>['penyebab', 'argentina', 'juara', 'insert', 'foto', 'wadon', 'pake', 'kaos', 'argentina']</t>
  </si>
  <si>
    <t>@idextratime Walau Argentina juara pildun... Hingga hari ini belum mampu mengalahkan Indonesia di World Cup ... Jadi... apa hebatnya Argentina.. ???</t>
  </si>
  <si>
    <t>walau argentina juara pildun hingga hari ini belum mampu mengalahkan indonesia world cup jadi apa hebatnya argentina</t>
  </si>
  <si>
    <t>['argentina', 'juara', 'piala dunia', 'hingga', 'hari', 'mampu', 'mengalahkan', 'indonesia', 'world', 'cup', 'jadi', 'apa', 'hebatnya', 'argentina']</t>
  </si>
  <si>
    <t>Selamat pagi, Argentina juara dunia kembali setelah 36 tahun, Maradona the real GOAT pasti tersenyum di keabadian, ini pasti kado istimewa utk negaranya yg sedang dilanda krisis ‚òï</t>
  </si>
  <si>
    <t>selamat pagi argentina juara dunia kembali setelah tahun maradona the real goat pasti tersenyum keabadian ini pasti kado istimewa utk negaranya sedang dilanda krisis</t>
  </si>
  <si>
    <t>['selamat', 'pagi', 'argentina', 'juara', 'dunia', 'tahun', 'maradona', 'the', 'real', 'goat', 'tersenyum', 'keabadian', 'kado', 'istimewa', 'negaranya', 'sedang', 'dilanda', 'krisis']</t>
  </si>
  <si>
    <t>Argentina Juara Piala Dunia 2022  https://t.co/A4nyvJQl7w</t>
  </si>
  <si>
    <t>Selamat pagi semuanyaaa, Jangan lupa ini masih senin dan sabtu masih lama banget, semangat kerjanya!  Apakah kalian tau semalem Argentina üá¶üá∑ jadi juara piala dunia? NT untuk Mbappe yang udah carry 1 tim.  https://t.co/1OGMWjzXK7</t>
  </si>
  <si>
    <t>selamat pagi semuanyaaa jangan lupa ini masih senin dan sabtu masih lama banget semangat kerjanya apakah kalian tau semalem argentina jadi juara piala dunia untuk mbappe yang udah carry tim</t>
  </si>
  <si>
    <t>['selamat', 'pagi', 'semuanyaaa', 'jangan', 'lupa', 'senin', 'sabtu', 'lama', 'banget', 'semangat', 'kerjanya', 'kalian', 'semalam', 'argentina', 'jadi', 'juara', 'piala', 'dunia', 'mbappe', 'udah', 'carry', 'tim']</t>
  </si>
  <si>
    <t>aseli, ni org yg nentuin argentina juara kalo itu gol udh game over gada adu pinalti</t>
  </si>
  <si>
    <t>aseli org nentuin argentina juara kalo itu gol udh game over gada adu pinalti</t>
  </si>
  <si>
    <t>['aseli', 'org', 'nentuin', 'argentina', 'juara', 'gol', 'sudah', 'game', 'over', 'gada', 'adu', 'penalti']</t>
  </si>
  <si>
    <t>@ImranZhakaev1 @idextratime @ProFutureStars1 Argentina gbkl juara kalo gitu</t>
  </si>
  <si>
    <t>argentina gbkl juara kalo gitu</t>
  </si>
  <si>
    <t>['argentina', 'gbkl', 'juara', 'gitu']</t>
  </si>
  <si>
    <t>Argentina Juara Piala Dunia 2022! Kalahkan Prancis Via Adu Pinalti  https://t.co/AYJajozk8c lewat @rakyatpembaruan.com  #ArgentinaVsFrance  #ArgentinaFrancia  #ARG</t>
  </si>
  <si>
    <t>argentina juara piala dunia kalahkan prancis via adu pinalti lewat com</t>
  </si>
  <si>
    <t>['argentina', 'juara', 'piala', 'dunia', 'kalahkan', 'prancis', 'via', 'adu', 'penalti', 'lewat', 'com']</t>
  </si>
  <si>
    <t>Persib meunang, Argentina juara. Enaakkk pisan tidurna duh üò¥</t>
  </si>
  <si>
    <t>persib meunang argentina juara enaakkk pisan tidurna duh</t>
  </si>
  <si>
    <t>['persib', 'meunang', 'argentina', 'juara', 'enaakkk', 'pisan', 'tidurna', 'duh']</t>
  </si>
  <si>
    <t>selamat argentina juara dunia, tristan tetap juara di hatiku. ciat ciat</t>
  </si>
  <si>
    <t>selamat argentina juara dunia tristan tetap juara hatiku ciat ciat</t>
  </si>
  <si>
    <t>['selamat', 'argentina', 'juara', 'dunia', 'tristan', 'tetap', 'juara', 'hatiku', 'ciat', 'ciat']</t>
  </si>
  <si>
    <t>Messi legenda baru di jagat sepak bola. Selamat, kau telah mewujudkan penantian 37 tahun Argentina sbg juara di Piala Dunia yg prestisius.</t>
  </si>
  <si>
    <t>messi legenda baru jagat sepak bola selamat kau telah mewujudkan penantian tahun argentina sbg juara piala dunia prestisius</t>
  </si>
  <si>
    <t>['messi', 'legenda', 'baru', 'jagat', 'sepak', 'bola', 'selamat', 'kau', 'mewujudkan', 'penantian', 'tahun', 'argentina', 'sbg', 'juara', 'piala', 'dunia', 'prestisius']</t>
  </si>
  <si>
    <t>Argentina Juara Dunia..congratulations  Nonton  siaran ulang..</t>
  </si>
  <si>
    <t>argentina juara dunia congratulations nonton siaran ulang</t>
  </si>
  <si>
    <t>['argentina', 'juara', 'dunia', 'congratulations', 'nonton', 'siaran', 'ulang']</t>
  </si>
  <si>
    <t>Selamat pagi, mari awali pagi dengan tertawa liat Argentina juara piala Dunia, buat fans Prancis, coba lagi 4 tahun lagi. ü§£ü§£ü§£3  https://t.co/WEQpek3sfR</t>
  </si>
  <si>
    <t>selamat pagi mari awali pagi dengan tertawa liat argentina juara piala dunia buat fans prancis coba lagi tahun lagi</t>
  </si>
  <si>
    <t>['selamat', 'pagi', 'awali', 'pagi', 'tertawa', 'lihat', 'argentina', 'juara', 'piala', 'dunia', 'buat', 'fans', 'prancis', 'coba', 'tahun']</t>
  </si>
  <si>
    <t>@Nard347 @nextjack1995 @ndagels Argentina high pressing terus, dan akhirnya stamina terkuras dibabak kedua, mbappe gendong tim, gokil sih penentuan juara sampai adu penalti.</t>
  </si>
  <si>
    <t>argentina high pressing terus dan akhirnya stamina terkuras dibabak kedua mbappe gendong tim gokil sih penentuan juara sampai adu penalti</t>
  </si>
  <si>
    <t>['argentina', 'high', 'pressing', 'terus', 'akhirnya', 'stamina', 'terkuras', 'dibabak', 'kedua', 'mbappe', 'gendong', 'tim', 'gila', 'penentuan', 'juara', 'adu', 'penalti']</t>
  </si>
  <si>
    <t>Tonton Ulang Pertandingan Panas Argentina vs Prancis Memperebutkan Gelar Juara Piala Dunia 2022   https://t.co/Q1fVqM4lcg</t>
  </si>
  <si>
    <t>tonton ulang pertandingan panas argentina prancis memperebutkan gelar juara piala dunia</t>
  </si>
  <si>
    <t>['tonton', 'ulang', 'pertandingan', 'panas', 'argentina', 'prancis', 'memperebutkan', 'gelar', 'juara', 'piala', 'dunia']</t>
  </si>
  <si>
    <t>@idextratime kunci argentina juara karna di timnya gada pemain ampas klub catalan pembawa sial</t>
  </si>
  <si>
    <t>kunci argentina juara karna timnya gada pemain ampas klub catalan pembawa sial</t>
  </si>
  <si>
    <t>['kunci', 'argentina', 'juara', 'karna', 'timnya', 'gada', 'pemain', 'ampas', 'klub', 'catalan', 'pembawa', 'sial']</t>
  </si>
  <si>
    <t>Ronaldo Puji Lionel Messi usai Argentina Juara Piala Dunia 2022, Sebut La Pulga Jenius  https://t.co/0h2vGqi7Pe</t>
  </si>
  <si>
    <t>Argentina, karena juara</t>
  </si>
  <si>
    <t>argentina karena juara</t>
  </si>
  <si>
    <t>2002 - Brazil 2022- argentina  Butuh 20 tahun njir untuk wakil Amerika Selatan juara piala Dunia.</t>
  </si>
  <si>
    <t>brazil argentina butuh tahun njir untuk wakil amerika selatan juara piala dunia</t>
  </si>
  <si>
    <t>['brazil', 'argentina', 'butuh', 'tahun', 'njir', 'wakil', 'amerika', 'selatan', 'juara', 'piala', 'dunia']</t>
  </si>
  <si>
    <t>Berikan aku 10 ribu orang tua, niscaya akan kuguncangkan Gunung Fitz Roy dari akarnya! Berikan aku 10 pemuda, akan kuguncangkan dunia! 36 tahun lalu kita juara bukan melalui penalti, dan sekarang kita juara melalui penalti!! Siiapaaa kitaaa ? Argentina. Siapaa kitaa ? Argentina</t>
  </si>
  <si>
    <t>berikan aku ribu orang tua niscaya akan kuguncangkan gunung fitz roy dari akarnya berikan aku pemuda akan kuguncangkan dunia tahun lalu kita juara bukan melalui penalti dan sekarang kita juara melalui penalti siiapaaa kitaaa argentina siapaa kitaa argentina</t>
  </si>
  <si>
    <t>['berikan', 'aku', 'ribu', 'orang', 'tua', 'niscaya', 'kuguncangkan', 'gunung', 'fitz', 'roy', 'akarnya', 'berikan', 'aku', 'pemuda', 'kuguncangkan', 'dunia', 'tahun', 'lalu', 'juara', 'bukan', 'melalui', 'penalti', 'sekarang', 'juara', 'melalui', 'penalti', 'siiapaaa', 'kitaaa', 'argentina', 'siapaa', 'kitaa', 'argentina']</t>
  </si>
  <si>
    <t>Argentina berhasil juara Piala Dunia 2022 itu membuktikan sih omongan mbappe itu salah yg blg sepakbola America selatan tidak berada dilevel atas</t>
  </si>
  <si>
    <t>argentina berhasil juara piala dunia itu membuktikan sih omongan mbappe itu salah blg sepakbola america selatan tidak berada dilevel atas</t>
  </si>
  <si>
    <t>['argentina', 'berhasil', 'juara', 'piala', 'dunia', 'membuktikan', 'omongan', 'mbappe', 'salah', 'blg', 'sepakbola', 'america', 'selatan', 'berada', 'dilevel', 'atas']</t>
  </si>
  <si>
    <t>Seperti halnya saat final piala dunia aku jagokan prancis jadi juara tapi taruhan pegang argentina.</t>
  </si>
  <si>
    <t>seperti halnya saat final piala dunia aku jagokan prancis jadi juara tapi taruhan pegang argentina</t>
  </si>
  <si>
    <t>['halnya', 'final', 'piala', 'dunia', 'aku', 'jagokan', 'prancis', 'jadi', 'juara', 'taruhan', 'pegang', 'argentina']</t>
  </si>
  <si>
    <t>Argentina juara Piala Dunia 2022 mengalahkan Prancis. Lionel Messi menjadi bintang utama yang menjadi perhatian dunia.   https://t.co/Y519IVKfhn</t>
  </si>
  <si>
    <t>argentina juara piala dunia mengalahkan prancis lionel messi menjadi bintang utama yang menjadi perhatian dunia</t>
  </si>
  <si>
    <t>['argentina', 'juara', 'piala', 'dunia', 'mengalahkan', 'prancis', 'lionel', 'messi', 'menjadi', 'bintang', 'utama', 'menjadi', 'perhatian', 'dunia']</t>
  </si>
  <si>
    <t>@sugmadiig Dukung Tundra juara TI dukung Argentina juara World cup. Apa gw suruh dukung AC Milan aja kali ya biar treable winner musim ini? Wkwkwk</t>
  </si>
  <si>
    <t>dukung tundra juara dukung argentina juara world cup apa suruh dukung milan aja kali biar treable winner musim ini wkwkwk</t>
  </si>
  <si>
    <t>['dukung', 'tundra', 'juara', 'dukung', 'argentina', 'juara', 'world', 'cup', 'apa', 'suruh', 'dukung', 'milan', 'kali', 'treable', 'winner', 'musim', 'wkwkwk']</t>
  </si>
  <si>
    <t>Messi Bawa Argentina Juara Dunia 2022, Selanjutnya Bakal Jadi Pebalap Honda?  https://t.co/KTFp8FWyA4</t>
  </si>
  <si>
    <t>Presiden Prancis Emmanuel Macron mengucapkan selamat kepada Argentina yang telah menjadi juara Piala Dunia 2022.  https://t.co/2Lk6t4Y4rm</t>
  </si>
  <si>
    <t>‚úÖ Best World Cup Final ‚úÖ Argentina juara ‚úÖ Nonton di pedalaman Kalbar ‚úÖ üíØ  https://t.co/lNka2fIJPJ</t>
  </si>
  <si>
    <t>best world cup final argentina juara nonton pedalaman kalbar</t>
  </si>
  <si>
    <t>['best', 'world', 'cup', 'final', 'argentina', 'juara', 'nonton', 'pedalaman', 'kalbar']</t>
  </si>
  <si>
    <t>Cuma di jaman pak @jokowi lionel messi  ( argentina ) jadi juara dunia ü§îüòÄüòÄ https://t.co/Vc1jL0bsGv</t>
  </si>
  <si>
    <t>cuma jaman pak lionel messi argentina jadi juara dunia</t>
  </si>
  <si>
    <t>['cuma', 'jaman', 'pak', 'lionel', 'messi', 'argentina', 'jadi', 'juara', 'dunia']</t>
  </si>
  <si>
    <t>Tanpa Keringat, Dua Pemain Ini Jadi Juara Piala Dunia 2022 bersama Argentina  https://t.co/Fwg3fMY6z0</t>
  </si>
  <si>
    <t>Lionel Messi dipilih memenangi Bola Emas iaitu pemain terbaik Piala Dunia 2022 selepas membantu Argentina muncul juara dengan menewaskan Perancis pada aksi final. (1/2)  #TvPertiwi  https://t.co/yBR02BjAjp</t>
  </si>
  <si>
    <t>lionel messi dipilih memenangi bola emas iaitu pemain terbaik piala dunia selepas membantu argentina muncul juara dengan menewaskan perancis pada aksi final</t>
  </si>
  <si>
    <t>['lionel', 'messi', 'dipilih', 'memenangi', 'bola', 'emas', 'iaitu', 'pemain', 'terbaik', 'piala', 'dunia', 'selepas', 'membantu', 'argentina', 'muncul', 'juara', 'menewaskan', 'perancis', 'aksi', 'final']</t>
  </si>
  <si>
    <t>Ninggalin Jejak. Argentina Juara.  https://t.co/O99YaRybrQ</t>
  </si>
  <si>
    <t>ninggalin jejak argentina juara</t>
  </si>
  <si>
    <t>['ninggalin', 'jejak', 'argentina', 'juara']</t>
  </si>
  <si>
    <t>TUHANNYA BEDA KELAS Satu2nya negara yang mengalahkan sang juara argentina adalah arab saudi. pencapaian tuhan orang2 arab hanya sampai di situ... mengalahkan di awal. hanya untuk menunjukkan eksistensinya... sementara tuhannya argentina eksis sampai jadi juara.. beda kelas tuhan</t>
  </si>
  <si>
    <t>tuhannya beda kelas satu nya negara yang mengalahkan sang juara argentina adalah arab saudi pencapaian tuhan orang arab hanya sampai situ mengalahkan awal hanya untuk menunjukkan eksistensinya sementara tuhannya argentina eksis sampai jadi juara beda kelas tuhan</t>
  </si>
  <si>
    <t>['tuhannya', 'beda', 'kelas', 'satu', 'negara', 'mengalahkan', 'sang', 'juara', 'argentina', 'arab', 'saudi', 'pencapaian', 'tuhan', 'orang', 'arab', 'situ', 'mengalahkan', 'awal', 'menunjukkan', 'eksistensinya', 'tuhannya', 'argentina', 'eksis', 'jadi', 'juara', 'beda', 'kelas', 'tuhan']</t>
  </si>
  <si>
    <t>@muika Congratulation buat Argentina yang menjuarai Piala Dunia 2022 setelah mengalahkan juara bertahan, Prancis dalam adu penalti dgn skor 4-2.  Penantian 36 tahun yg luar biasa serta trofi piala dunia pertama Lionel Messi yg luar biasa üëèüëè  Fantast</t>
  </si>
  <si>
    <t>congratulation buat argentina yang menjuarai piala dunia setelah mengalahkan juara bertahan prancis dalam adu penalti dgn skor penantian tahun luar biasa serta trofi piala dunia pertama lionel messi luar biasa fantast</t>
  </si>
  <si>
    <t>['congratulation', 'buat', 'argentina', 'menjuarai', 'piala', 'dunia', 'mengalahkan', 'juara', 'bertahan', 'prancis', 'adu', 'penalti', 'skor', 'penantian', 'tahun', 'luar', 'biasa', 'trofi', 'piala', 'dunia', 'pertama', 'lionel', 'messi', 'luar', 'biasa', 'fantast']</t>
  </si>
  <si>
    <t>@niakhalifa62 Semangat + ceria karena argentina juara</t>
  </si>
  <si>
    <t>semangat ceria karena argentina juara</t>
  </si>
  <si>
    <t>['semangat', 'ceria', 'argentina', 'juara']</t>
  </si>
  <si>
    <t>@FaktaSepakbola Berikan aku 10 ribu orang tua, niscaya akan kuguncangkan Gunung Fitz Roy dari akarnya! Berikan aku 10 pemuda, akan kuguncangkan dunia! 36 tahun lalu kita juara bukan melalui penalti, dan sekarang kita juara melalui penalti!! Siiapaaa kitaa</t>
  </si>
  <si>
    <t>berikan aku ribu orang tua niscaya akan kuguncangkan gunung fitz roy dari akarnya berikan aku pemuda akan kuguncangkan dunia tahun lalu kita juara bukan melalui penalti dan sekarang kita juara melalui penalti siiapaaa kitaa</t>
  </si>
  <si>
    <t>['berikan', 'aku', 'ribu', 'orang', 'tua', 'niscaya', 'kuguncangkan', 'gunung', 'fitz', 'roy', 'akarnya', 'berikan', 'aku', 'pemuda', 'kuguncangkan', 'dunia', 'tahun', 'lalu', 'juara', 'bukan', 'melalui', 'penalti', 'sekarang', 'juara', 'melalui', 'penalti', 'siiapaaa', 'kitaa']</t>
  </si>
  <si>
    <t xml:space="preserve"> https://t.co/k3KOrxRmDQ - Argentina Juara Piala Dunia 2022 Usai Menanti 36 tahun #elangnews  https://t.co/PnE7G3Pd93</t>
  </si>
  <si>
    <t>argentina juara piala dunia usai menanti tahun</t>
  </si>
  <si>
    <t>['argentina', 'juara', 'piala', 'dunia', 'usai', 'menanti', 'tahun']</t>
  </si>
  <si>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</si>
  <si>
    <t>perancis lapor fifa terkait adanya indikasi argentina mengalah dari arab untuk menghindari brasil jika benar terlibat match fixing maka gelar juara argentina akan dicabut ini adalah contoh tweet yang berpotensi membuat orang orang kegocek terutama fans prancis</t>
  </si>
  <si>
    <t>['perancis', 'lapor', 'fifa', 'terkait', 'adanya', 'indikasi', 'argentina', 'mengalah', 'arab', 'menghindari', 'brasil', 'benar', 'terlibat', 'match', 'fixing', 'gelar', 'juara', 'argentina', 'dicabut', 'contoh', 'tweet', 'berpotensi', 'membuat', 'orang', 'orang', 'kegocek', 'terutama', 'fans', 'prancis']</t>
  </si>
  <si>
    <t>@gusbaguusss @ujungsalep @Sabtumalamnanti @inginuangbanyak @idextratime Bangsaaat, iya mirip higuain. Sia-diain peluang bagus. Dulu harusnya bisa juara tuh argentina, gara2 strikernya bapukü§£ü§£ü§£</t>
  </si>
  <si>
    <t>bangsaaat iya mirip higuain sia diain peluang bagus dulu harusnya bisa juara tuh argentina gara strikernya bapuk</t>
  </si>
  <si>
    <t>['bangsaaat', 'iya', 'mirip', 'higuain', 'sia', 'diain', 'peluang', 'bagus', 'dulu', 'harusnya', 'juara', 'argentina', 'gara', 'strikernya', 'bapuk']</t>
  </si>
  <si>
    <t>Lewat adu pinalti dengan skor 4-2, Argentina menjadi juara Piala Dunia 2022 setelah menumpas Prancis di Stadion Lusail, Qatar, Minggu malam, 18 Desember 2022.  #PialaDunia2022live #PialaDunia2022  #lampungpost   https://t.co/zxljjKZAwj</t>
  </si>
  <si>
    <t>lewat adu pinalti dengan skor argentina menjadi juara piala dunia setelah menumpas prancis stadion lusail qatar minggu malam desember</t>
  </si>
  <si>
    <t>['lewat', 'adu', 'penalti', 'skor', 'argentina', 'menjadi', 'juara', 'piala', 'dunia', 'menumpas', 'prancis', 'stadion', 'lusail', 'qatar', 'minggu', 'malam', 'desember']</t>
  </si>
  <si>
    <t>Lionel Messi Bawa Argentina Juara Piala Dunia 2022, Singgung Kelebihan Tim Tango  https://t.co/W7ghpuiuAe</t>
  </si>
  <si>
    <t>lionel messi bawa argentina juara piala dunia singgung kelebihan tim tango</t>
  </si>
  <si>
    <t>['lionel', 'messi', 'bawa', 'argentina', 'juara', 'piala', 'dunia', 'singgung', 'kelebihan', 'tim', 'tango']</t>
  </si>
  <si>
    <t>Hahahaha Barisan sakit hati nih  Karena jagoannya udah pulang kampung duluan Tidak bisa menerima kenyataan bahwa Argentina Juara Pildun üá¶üá∑üòé</t>
  </si>
  <si>
    <t>hahahaha barisan sakit hati nih karena jagoannya udah pulang kampung duluan tidak bisa menerima kenyataan bahwa argentina juara pildun</t>
  </si>
  <si>
    <t>['hahahaha', 'barisan', 'sakit', 'hati', 'jagoannya', 'udah', 'pulang', 'kampung', 'duluan', 'menerima', 'kenyataan', 'argentina', 'juara', 'piala dunia']</t>
  </si>
  <si>
    <t>@PolJokesID Siapa sosok kunci dibalik keberhasilan Argentina juara dunia? Jelas ‚Ä¶‚Ä¶‚Ä¶‚Ä¶‚Ä¶‚Ä¶‚Ä¶‚Ä¶</t>
  </si>
  <si>
    <t>siapa sosok kunci dibalik keberhasilan argentina juara dunia jelas</t>
  </si>
  <si>
    <t>['siapa', 'sosok', 'kunci', 'dibalik', 'keberhasilan', 'argentina', 'juara', 'dunia', 'jelas']</t>
  </si>
  <si>
    <t>@clarasmtpg Iya kakak itu yg buat jantungan kakak pas Prancis udh dpt ritme permainannya.  Mbappe pun semangat main karena kejar gelar topskor. Tapi mental Argentina udh teruji KK sejak adu penalti lwn Belanda kemarin dan layak juara tahun ini.</t>
  </si>
  <si>
    <t>iya kakak itu buat jantungan kakak pas prancis udh dpt ritme permainannya mbappe pun semangat main karena kejar gelar topskor tapi mental argentina udh teruji sejak adu penalti lwn belanda kemarin dan layak juara tahun ini</t>
  </si>
  <si>
    <t>['iya', 'kakak', 'buat', 'jantungan', 'kakak', 'pas', 'prancis', 'sudah', 'dpt', 'ritme', 'permainannya', 'mbappe', 'semangat', 'main', 'kejar', 'gelar', 'topskor', 'mental', 'argentina', 'sudah', 'teruji', 'sejak', 'adu', 'penalti', 'lwn', 'belanda', 'kemarin', 'layak', 'juara', 'tahun']</t>
  </si>
  <si>
    <t>Hari ini off dulu sosmed sepertinya. Bahasnya mentok Argentina juara, klu ada yg bahas Dua Lipa, tag aja aku.</t>
  </si>
  <si>
    <t>hari ini off dulu sosmed sepertinya bahasnya mentok argentina juara klu ada bahas dua lipa tag aja aku</t>
  </si>
  <si>
    <t>['hari', 'off', 'dulu', 'sosmed', 'sepertinya', 'bahasnya', 'mentok', 'argentina', 'juara', 'klu', 'bahas', 'lipa', 'tag', 'aku']</t>
  </si>
  <si>
    <t>Argentina juara dunia, no debate krn keputusan sudah dibuat. Ada beberapa evaluasi sih: buat permainan Perancis, juga buat wasit. 1. Babak 1, Perancis maen tanpa visi. Dapet bola selalu oper ke lini belakang, padahal bola tinggal dikasih ke Mbappe, problem solved; cont.</t>
  </si>
  <si>
    <t>argentina juara dunia debate krn keputusan sudah dibuat ada beberapa evaluasi sih buat permainan perancis juga buat wasit babak perancis maen tanpa visi dapet bola selalu oper lini belakang padahal bola tinggal dikasih mbappe problem solved cont</t>
  </si>
  <si>
    <t>['argentina', 'juara', 'dunia', 'debate', 'keputusan', 'dibuat', 'beberapa', 'evaluasi', 'buat', 'permainan', 'perancis', 'buat', 'wasit', 'babak', 'perancis', 'maen', 'visi', 'dapat', 'bola', 'selalu', 'oper', 'lini', 'belakang', 'padahal', 'bola', 'tinggal', 'dikasih', 'mbappe', 'problem', 'solved', 'cont']</t>
  </si>
  <si>
    <t>@afzal_zulkifli Tapi Arab Saudi the only team yg mengalahkan Argentina. Maksudnya Arab Saudi ialah juara sebenar. Macam dalam debat, dia juara, tapi 1 pusingan je dikalahkan oleh Marsah.</t>
  </si>
  <si>
    <t>zulkifli tapi arab saudi the only team mengalahkan argentina maksudnya arab saudi ialah juara sebenar macam dalam debat dia juara tapi pusingan dikalahkan oleh marsah</t>
  </si>
  <si>
    <t>['zulkifli', 'arab', 'saudi', 'the', 'only', 'team', 'mengalahkan', 'argentina', 'maksudnya', 'arab', 'saudi', 'ialah', 'juara', 'sebenar', 'macam', 'debat', 'juara', 'pusingan', 'dikalahkan', 'marsah']</t>
  </si>
  <si>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</si>
  <si>
    <t>dari awal pertandingan aston villa emang udh mengundang perhatian gua orang terus pas tau dia dari argentina kyak dapet feeling sabi nih juara pildun tambah ada licha messi dybala enzo lautaro kek bener bener optimis aja bakal juara bener aja kejadian</t>
  </si>
  <si>
    <t>['awal', 'pertandingan', 'aston', 'villa', 'emang', 'sudah', 'mengundang', 'perhatian', 'gua', 'orang', 'terus', 'pas', 'argentina', 'kyak', 'dapat', 'feeling', 'bisa', 'juara', 'piala dunia', 'tambah', 'licha', 'messi', 'dybala', 'enzo', 'lautaro', 'kek', 'benar', 'benar', 'optimis', 'bakal', 'juara', 'benar', 'kejadian']</t>
  </si>
  <si>
    <t>@andikamalreza Messi setela juara dr argentina siap pindah psms medan</t>
  </si>
  <si>
    <t>messi setela juara argentina siap pindah psms medan</t>
  </si>
  <si>
    <t>['messi', 'setela', 'juara', 'argentina', 'siap', 'pindah', 'psms', 'medan']</t>
  </si>
  <si>
    <t>@almostdita karena aq ngejagoin Argentina, jd seneng banget ya Allahüò≠üò≠ Q ngedukung mereka dari 2010 üò≠. lika liku nya buat bisa juara world cup gila sih. Dan akhirnya messi bisa bawa tim nya buat angkat trophy WC di "kemungkinan" Tahun terakhirnya</t>
  </si>
  <si>
    <t>karena ngejagoin argentina seneng banget allah ngedukung mereka dari lika liku nya buat bisa juara world cup gila sih dan akhirnya messi bisa bawa tim nya buat angkat trophy kemungkinan tahun terakhirnya</t>
  </si>
  <si>
    <t>['ngejagoin', 'argentina', 'seneng', 'banget', 'allah', 'ngedukung', 'lika', 'liku', 'buat', 'juara', 'world', 'cup', 'gila', 'akhirnya', 'messi', 'bawa', 'tim', 'buat', 'angkat', 'trophy', 'kemungkinan', 'tahun', 'terakhirnya']</t>
  </si>
  <si>
    <t>Final Piala Dunia 2022: Argentina Juara Dunia, Lionel Messi Terbaik dalam Sejarah  https://t.co/qXf8H1hG5P</t>
  </si>
  <si>
    <t>final piala dunia argentina juara dunia lionel messi terbaik dalam sejarah</t>
  </si>
  <si>
    <t>['final', 'piala', 'dunia', 'argentina', 'juara', 'dunia', 'lionel', 'messi', 'terbaik', 'sejarah']</t>
  </si>
  <si>
    <t>Rakyat Argentina berkumpul di jantung Buenos Aires. Mereka berpesta merayakan timnas Argentina yang berhasil menjadi juara Piala Dunia Qatar 2022.  https://t.co/c4VWMum0K6</t>
  </si>
  <si>
    <t>selamat argentina juara piala dunia qatar 2022 ke 3 Trophy   #FIFAWorldCup #WorldCup #ojamajodoremi #theghostandmollymcgee #argentinajuara  https://t.co/QlqTlYtOEV</t>
  </si>
  <si>
    <t>selamat argentina juara piala dunia qatar trophy</t>
  </si>
  <si>
    <t>['selamat', 'argentina', 'juara', 'piala', 'dunia', 'qatar', 'trophy']</t>
  </si>
  <si>
    <t>@nextjack1995 @ndagels Gua yang nggak seneng cuma dembele, bapuk banget dah, tapi Perancis sama Argentina sama2 layak juara, karena mainnya keren semua.</t>
  </si>
  <si>
    <t>gua yang nggak seneng cuma dembele bapuk banget dah tapi perancis sama argentina sama layak juara karena mainnya keren semua</t>
  </si>
  <si>
    <t>['gua', 'seneng', 'cuma', 'dembele', 'bapuk', 'banget', 'dah', 'perancis', 'sama', 'argentina', 'sama', 'layak', 'juara', 'mainnya', 'keren', 'semua']</t>
  </si>
  <si>
    <t>Momen Haru Lionel Messi Bersama Ibunya Usai Antarkan Argentina Juara Piala Dunia 2022 #momen #lionelmessi #pialadunia2022 #worldcup2022 #celiacuccittini  https://t.co/8UYqOnK6ln via @YouTube</t>
  </si>
  <si>
    <t>momen haru lionel messi bersama ibunya usai antarkan argentina juara piala dunia via</t>
  </si>
  <si>
    <t>['momen', 'haru', 'lionel', 'messi', 'bersama', 'ibunya', 'usai', 'antarkan', 'argentina', 'juara', 'piala', 'dunia', 'via']</t>
  </si>
  <si>
    <t>Selamat Hari Bela Negara untuk para pendukung Argentina yang sedang merayakan gelar juara. Dan untuk para pendukung Prancis yang masih menangis. üòä</t>
  </si>
  <si>
    <t>selamat hari bela negara untuk para pendukung argentina yang sedang merayakan gelar juara dan untuk para pendukung prancis yang masih menangis</t>
  </si>
  <si>
    <t>['selamat', 'hari', 'bela', 'negara', 'pendukung', 'argentina', 'sedang', 'merayakan', 'gelar', 'juara', 'pendukung', 'prancis', 'menangis']</t>
  </si>
  <si>
    <t>gamau argentina juara karena alesan pribadi, tapi disisi lain jujur dari awal argentina kandidat terkuat juara, pernah ngmng gini di grup sebelum wc dimulai: Argentina Juara‚úÖ Messi Topskor‚ùå hampir Licha Redcard‚ùå Taunya gamain  https://t.co/looAi4PKl8</t>
  </si>
  <si>
    <t>gamau argentina juara karena alesan pribadi tapi disisi lain jujur dari awal argentina kandidat terkuat juara pernah ngmng gini grup sebelum dimulai argentina juara messi topskor hampir licha redcard taunya gamain</t>
  </si>
  <si>
    <t>['gamau', 'argentina', 'juara', 'alesan', 'pribadi', 'disisi', 'jujur', 'awal', 'argentina', 'kandidat', 'terkuat', 'juara', 'pernah', 'ngmng', 'gini', 'grup', 'dimulai', 'argentina', 'juara', 'messi', 'topskor', 'hampir', 'licha', 'redcard', 'taunya', 'gamain']</t>
  </si>
  <si>
    <t>nyuci baju banyak jg bahagia soalnya Argentina juara wkwkwk</t>
  </si>
  <si>
    <t>nyuci baju banyak bahagia soalnya argentina juara wkwkwk</t>
  </si>
  <si>
    <t>['nyuci', 'baju', 'banyak', 'bahagia', 'soalnya', 'argentina', 'juara', 'wkwkwk']</t>
  </si>
  <si>
    <t>sebenarnya argentina bisa langsung juara tanpa adu penalti, kalo aja scaloni gak overthinking ganti di maria dan mainin acuna, padahal masih menit 65 terlalu cepat buat bertahan</t>
  </si>
  <si>
    <t>sebenarnya argentina bisa langsung juara tanpa adu penalti kalo aja scaloni gak overthinking ganti maria dan mainin acuna padahal masih menit terlalu cepat buat bertahan</t>
  </si>
  <si>
    <t>['sebenarnya', 'argentina', 'langsung', 'juara', 'adu', 'penalti', 'scaloni', 'overthinking', 'ganti', 'maria', 'mainin', 'acuna', 'padahal', 'menit', 'terlalu', 'cepat', 'buat', 'bertahan']</t>
  </si>
  <si>
    <t>@LittleJurgen @rrrizaldijjj @PolJokesID "argentina juara berkat saya"</t>
  </si>
  <si>
    <t>argentina juara berkat saya</t>
  </si>
  <si>
    <t>['argentina', 'juara', 'berkat']</t>
  </si>
  <si>
    <t>3 Cocoklogi Tokcer Netizens Iringi Argentina Juara Piala Dunia 2022  https://t.co/5ShXJbSJr6</t>
  </si>
  <si>
    <t>cocoklogi tokcer netizens iringi argentina juara piala dunia</t>
  </si>
  <si>
    <t>['cocoklogi', 'tokcer', 'netizens', 'iringi', 'argentina', 'juara', 'piala', 'dunia']</t>
  </si>
  <si>
    <t>Roy Keane Kecam Sikap Emiliano Mart√≠nez Usai Argentina Jadi Juara Piala Dunia 2022  https://t.co/L32VyQZ2UN</t>
  </si>
  <si>
    <t>roy keane kecam sikap emiliano mart nez usai argentina jadi juara piala dunia</t>
  </si>
  <si>
    <t>['roy', 'keane', 'kecam', 'sikap', 'emiliano', 'mart', 'nez', 'usai', 'argentina', 'jadi', 'juara', 'piala', 'dunia']</t>
  </si>
  <si>
    <t>Mantap Messi pensiun berprestasi dengan sempurna üíØ‚ú® tanpa Messi Argentina tak akan Juara, Perancis hampir saja Juara 2x berturut-turut menciptakan sejarah andai tidak ada Messi, ditahun 2026 Argentina tidak akan Juara Piala Dunia lagi tanpa pemain seperti Messi</t>
  </si>
  <si>
    <t>mantap messi pensiun berprestasi dengan sempurna tanpa messi argentina tak akan juara perancis hampir saja juara berturut turut menciptakan sejarah andai tidak ada messi ditahun argentina tidak akan juara piala dunia lagi tanpa pemain seperti messi</t>
  </si>
  <si>
    <t>['mantap', 'messi', 'pensiun', 'berprestasi', 'sempurna', 'messi', 'argentina', 'tak', 'juara', 'perancis', 'hampir', 'juara', 'berturut', 'turut', 'menciptakan', 'sejarah', 'andai', 'messi', 'ditahun', 'argentina', 'juara', 'piala', 'dunia', 'pemain', 'messi']</t>
  </si>
  <si>
    <t>Argentina juara copa Amerika 2021 CONMEBOL UEFA Cup argentina 2022 juara argentina juara piala Dunia di Qatar 2022 trofi ke-3 Messi</t>
  </si>
  <si>
    <t>argentina juara copa amerika conmebol uefa cup argentina juara argentina juara piala dunia qatar trofi messi</t>
  </si>
  <si>
    <t>['argentina', 'juara', 'copa', 'amerika', 'conmebol', 'uefa', 'cup', 'argentina', 'juara', 'argentina', 'juara', 'piala', 'dunia', 'qatar', 'trofi', 'messi']</t>
  </si>
  <si>
    <t>Perancis Gagal Juara Piala Dunia 2022, Deschamps Sebut Argentina Beruntung  https://t.co/5u78SIH2XZ</t>
  </si>
  <si>
    <t>perancis gagal juara piala dunia deschamps sebut argentina beruntung</t>
  </si>
  <si>
    <t>['perancis', 'gagal', 'juara', 'piala', 'dunia', 'deschamps', 'sebut', 'argentina', 'beruntung']</t>
  </si>
  <si>
    <t>Emiliano Martinez dan Angle Di Maria, dua pesepakbola yang patut diingat namanya. Keduanya turut berperan membawa Argentina juara Piala Dunia 2022 selain Messi. #juaraboladunia    https://t.co/6QI9lFwojF</t>
  </si>
  <si>
    <t>emiliano martinez dan angle maria dua pesepakbola yang patut diingat namanya keduanya turut berperan membawa argentina juara piala dunia selain messi</t>
  </si>
  <si>
    <t>['emiliano', 'martinez', 'angle', 'maria', 'pesepakbola', 'patut', 'diingat', 'namanya', 'keduanya', 'turut', 'berperan', 'membawa', 'argentina', 'juara', 'piala', 'dunia', 'messi']</t>
  </si>
  <si>
    <t>Nilai rapot belum selesai tidak jadi masalah Yang terpenting Argentina Juara Piala Dunia üá¶üá∑  #Qatar2022 #WorldCupFinal #FIFAWorldCup</t>
  </si>
  <si>
    <t>nilai rapot belum selesai tidak jadi masalah yang terpenting argentina juara piala dunia</t>
  </si>
  <si>
    <t>['nilai', 'rapot', 'selesai', 'jadi', 'masalah', 'terpenting', 'argentina', 'juara', 'piala', 'dunia']</t>
  </si>
  <si>
    <t>Pantun | Piala Dunia Berakhir, Argentina Juara  https://t.co/6zpm67fzz4</t>
  </si>
  <si>
    <t>pantun piala dunia berakhir argentina juara</t>
  </si>
  <si>
    <t>['pantun', 'piala', 'dunia', 'berakhir', 'argentina', 'juara']</t>
  </si>
  <si>
    <t>Timnas Argentina Juara, Kemenangan Arab Saudi Kembali Disorot  https://t.co/ukwGbcHOhS</t>
  </si>
  <si>
    <t>timnas argentina juara kemenangan arab saudi kembali disorot</t>
  </si>
  <si>
    <t>['timnas', 'argentina', 'juara', 'kemenangan', 'arab', 'saudi', 'disorot']</t>
  </si>
  <si>
    <t>Penantian Argentina Juara Piala Dunia di Tengah Krisis Ekonomi yang Melanda Negeri Itu  https://t.co/9INwUmcbhH</t>
  </si>
  <si>
    <t>penantian argentina juara piala dunia tengah krisis ekonomi yang melanda negeri itu</t>
  </si>
  <si>
    <t>['penantian', 'argentina', 'juara', 'piala', 'dunia', 'tengah', 'krisis', 'ekonomi', 'melanda', 'negeri']</t>
  </si>
  <si>
    <t>Jagoin argentina dari WC 2010 akhirnya ngerasain juaraüò≠</t>
  </si>
  <si>
    <t>jagoin argentina dari akhirnya ngerasain juara</t>
  </si>
  <si>
    <t>['jagoin', 'argentina', 'akhirnya', 'ngerasain', 'juara']</t>
  </si>
  <si>
    <t>@erickthohir @KMbappe Offset gol ke fua argentina...fifa harus menganulir juara dunianya....  https://t.co/ktmC0PbZtF</t>
  </si>
  <si>
    <t>offset gol fua argentina fifa harus menganulir juara dunianya</t>
  </si>
  <si>
    <t>['offset', 'gol', 'fua', 'argentina', 'fifa', 'menganulir', 'juara', 'dunianya']</t>
  </si>
  <si>
    <t>Pantun | Piala Dunia Berakhir, Argentina Juara  https://t.co/4teAu1YNfO</t>
  </si>
  <si>
    <t>Argentina menewaskan juara bertahan Perancis 4-2 menerusi sepakan penalti selepas saingan akhir terikat 3-3 berikutan masa tambahan di Stadium Lusail.  Dapatkan berita terkini di Telegram:  https://t.co/VkWFQJhAxZ  #TVS122 #TVSNews   https://t.co/oQ1JMGRhLV</t>
  </si>
  <si>
    <t>argentina menewaskan juara bertahan perancis menerusi sepakan penalti selepas saingan akhir terikat berikutan masa tambahan stadium lusail dapatkan berita terkini telegram</t>
  </si>
  <si>
    <t>['argentina', 'menewaskan', 'juara', 'bertahan', 'perancis', 'menerusi', 'sepakan', 'penalti', 'selepas', 'saingan', 'akhir', 'terikat', 'berikutan', 'masa', 'tambahan', 'stadium', 'lusail', 'dapatkan', 'berita', 'terkini', 'telegram']</t>
  </si>
  <si>
    <t>Masa semalem aku mimpi Argentina juara world cup sih. Mimpi yang aneh...</t>
  </si>
  <si>
    <t>masa semalem aku mimpi argentina juara world cup sih mimpi yang aneh</t>
  </si>
  <si>
    <t>['masa', 'semalam', 'aku', 'mimpi', 'argentina', 'juara', 'world', 'cup', 'mimpi', 'aneh']</t>
  </si>
  <si>
    <t>@JNE_ID Mantap Argentina JUARA üá¶üá∑üá¶üá∑üåü</t>
  </si>
  <si>
    <t>mantap argentina juara</t>
  </si>
  <si>
    <t>['mantap', 'argentina', 'juara']</t>
  </si>
  <si>
    <t>SELAMAT! Argentina Juara Piala Dunia 2022, Kalahkan Prancis, Lionel Messi Sah jadi GOAT  https://t.co/T2lsFYnOHI  https://t.co/y3ey8ahbz0</t>
  </si>
  <si>
    <t>selamat argentina juara piala dunia kalahkan prancis lionel messi sah jadi goat</t>
  </si>
  <si>
    <t>['selamat', 'argentina', 'juara', 'piala', 'dunia', 'kalahkan', 'prancis', 'lionel', 'messi', 'sah', 'jadi', 'goat']</t>
  </si>
  <si>
    <t>Menang Adu Penalti 4-2 atas Prancis, Argentina Juara Piala Dunia 2022  https://t.co/psp7yHNw9s</t>
  </si>
  <si>
    <t>Menangkan Piala Dunia 2022, Lionel Messi Belum Ingin Pensiun dari Timnas Argentina   By Amanda Amelia Tim nasional Argentina berhasil merengkuh titel juara Piala Dunia 2022 usai mengatasi perlawanan salah satu rival terkuatnya, Prancis di Lusail Stadium‚Ä¶   https://t.co/WuwearxE1L</t>
  </si>
  <si>
    <t>Argentina juara tapi indonesia tetap tak terkalahkan di piala dunia</t>
  </si>
  <si>
    <t>argentina juara tapi indonesia tetap tak terkalahkan piala dunia</t>
  </si>
  <si>
    <t>['argentina', 'juara', 'indonesia', 'tetap', 'tak', 'terkalahkan', 'piala', 'dunia']</t>
  </si>
  <si>
    <t>Gambar ketua jurulatih skuad Piala Dunia 2022 Argentina, Lionel Scaloni menjulang trofi juara Piala Dunia Remaja 1997 di Stadium Shah Alam.  https://t.co/D35uE0O5lq</t>
  </si>
  <si>
    <t>gambar ketua jurulatih skuad piala dunia argentina lionel scaloni menjulang trofi juara piala dunia remaja stadium shah alam</t>
  </si>
  <si>
    <t>['gambar', 'ketua', 'jurulatih', 'skuad', 'piala', 'dunia', 'argentina', 'lionel', 'scaloni', 'menjulang', 'trofi', 'juara', 'piala', 'dunia', 'remaja', 'stadium', 'shah', 'alam']</t>
  </si>
  <si>
    <t>@FaktaSepakbola Ternyata kesuksesan Argentina juara WC terselip nama bang Ibul #Keren  https://t.co/YmShTuzohS</t>
  </si>
  <si>
    <t>ternyata kesuksesan argentina juara terselip nama bang ibul</t>
  </si>
  <si>
    <t>['ternyata', 'kesuksesan', 'argentina', 'juara', 'terselip', 'nama', 'bang', 'ibul']</t>
  </si>
  <si>
    <t>Argentina juara sih, tapi kura kura ninja mantap pisan</t>
  </si>
  <si>
    <t>argentina juara sih tapi kura kura ninja mantap pisan</t>
  </si>
  <si>
    <t>['argentina', 'juara', 'kura', 'kura', 'ninja', 'mantap', 'pisan']</t>
  </si>
  <si>
    <t>Selamat pagi semuanya, terutama yang mendukung Argentina untuk juara! ‚òÄÔ∏è</t>
  </si>
  <si>
    <t>selamat pagi semuanya terutama yang mendukung argentina untuk juara</t>
  </si>
  <si>
    <t>['selamat', 'pagi', 'semuanya', 'terutama', 'mendukung', 'argentina', 'juara']</t>
  </si>
  <si>
    <t>Juara Piala Dunia 2022, Argentina Dapat Hadiah Duit Segini  https://t.co/KAy9avEeUB</t>
  </si>
  <si>
    <t>juara piala dunia argentina dapat hadiah duit segini</t>
  </si>
  <si>
    <t>['juara', 'piala', 'dunia', 'argentina', 'hadiah', 'duit', 'segini']</t>
  </si>
  <si>
    <t>kan gw bilang juga apa kalau argentina yang juara, timeline isinya perbandingan antara messi dengan ronaldo</t>
  </si>
  <si>
    <t>kan bilang juga apa kalau argentina yang juara timeline isinya perbandingan antara messi dengan ronaldo</t>
  </si>
  <si>
    <t>['kan', 'apa', 'kalau', 'argentina', 'juara', 'timeline', 'isinya', 'perbandingan', 'messi', 'ronaldo']</t>
  </si>
  <si>
    <t>Ada aja yg bisa di banggakan kalo argentina Juara</t>
  </si>
  <si>
    <t>ada aja bisa banggakan kalo argentina juara</t>
  </si>
  <si>
    <t>['banggakan', 'argentina', 'juara']</t>
  </si>
  <si>
    <t>Emiliano Martinez dan Angle Di Maria, dua pesepakbola yang patut diingat namanya. Keduanya turut berperan membawa Argentina juara Piala Dunia 2022 selain Messi. #juaraboladunia    https://t.co/qUwhEZRLAz</t>
  </si>
  <si>
    <t>5 Fakta Mengejutkan Argentina Juara Piala Dunia 2022: Lionel Messi Dewa Sepak Bola!  https://t.co/8dLKFppYdn</t>
  </si>
  <si>
    <t>WC 2022 dah selesai argentina juara mesi pemain terbaik tapi perdebatan bakalan panjang ini</t>
  </si>
  <si>
    <t>dah selesai argentina juara mesi pemain terbaik tapi perdebatan bakalan panjang ini</t>
  </si>
  <si>
    <t>['dah', 'selesai', 'argentina', 'juara', 'mesi', 'pemain', 'terbaik', 'perdebatan', 'bakalan', 'panjang']</t>
  </si>
  <si>
    <t>Salah satu final paling dramatis dalam sejarah modern terjadi di Piala Dunia Qatar 2022. Argentina akhirnya mengalahkan Prancis dengan skor 4-2 dalam adu penalti, dan menjadi juara Piala Dunia untuk ke-3 kalinya.  https://t.co/nVufHlVoZ6</t>
  </si>
  <si>
    <t>salah satu final paling dramatis dalam sejarah modern terjadi piala dunia qatar argentina akhirnya mengalahkan prancis dengan skor dalam adu penalti dan menjadi juara piala dunia untuk kalinya</t>
  </si>
  <si>
    <t>['salah', 'satu', 'final', 'paling', 'dramatis', 'sejarah', 'modern', 'terjadi', 'piala', 'dunia', 'qatar', 'argentina', 'akhirnya', 'mengalahkan', 'prancis', 'skor', 'adu', 'penalti', 'menjadi', 'juara', 'piala', 'dunia', 'kalinya']</t>
  </si>
  <si>
    <t>Radar Bogor : Bawa Argentina Juara Piala Dunia 2022, Messi Pecahkan 5 Rekor Terbaru. Apa saja?   https://t.co/zNbAKUu55t</t>
  </si>
  <si>
    <t>radar bogor bawa argentina juara piala dunia messi pecahkan rekor terbaru apa saja</t>
  </si>
  <si>
    <t>['radar', 'bogor', 'bawa', 'argentina', 'juara', 'piala', 'dunia', 'messi', 'pecahkan', 'rekor', 'terbaru', 'apa']</t>
  </si>
  <si>
    <t>5 Pesepakbola yang Iri Lionel Messi Bawa Argentina Juara Piala Dunia 2022, Nomor 1 Paling Sakit Hati   https://t.co/BvE2BfUqeH</t>
  </si>
  <si>
    <t>Setelah gagal di empat edisi sebelumnya, Messi akhirnya bisa membawa Argentina juara #GempitaBolaDunia2022. Ia memastikan belum akan pensiun dari sepak bola internasional setelah membawa Tim Tango juara.  https://t.co/FTKb2QRqry #CNNIndonesia  https://t.co/wXZS9fJl0C</t>
  </si>
  <si>
    <t>setelah gagal empat edisi sebelumnya messi akhirnya bisa membawa argentina juara memastikan belum akan pensiun dari sepak bola internasional setelah membawa tim tango juara</t>
  </si>
  <si>
    <t>['gagal', 'empat', 'edisi', 'sebelumnya', 'messi', 'akhirnya', 'membawa', 'argentina', 'juara', 'memastikan', 'pensiun', 'sepak', 'bola', 'internasional', 'membawa', 'tim', 'tango', 'juara']</t>
  </si>
  <si>
    <t>Emane rek tak pikir PRANCIS üá®üáµüá®üáµüá®üáµ seng dadi juara adakno ARGENTINA üá¶üá∑üá¶üá∑üá¶üá∑ yo wes lah gak popo, opo soale KARIM BENZEMA gak maen dadi kalah üò≠ ra!</t>
  </si>
  <si>
    <t>emane rek tak pikir prancis seng dadi juara adakno argentina wes lah gak popo opo soale karim benzema gak maen dadi kalah</t>
  </si>
  <si>
    <t>['emane', 'rek', 'tak', 'pikir', 'prancis', 'seng', 'dadi', 'juara', 'adakno', 'argentina', 'wes', 'lah', 'popo', 'opo', 'soale', 'karim', 'benzema', 'maen', 'dadi', 'kalah']</t>
  </si>
  <si>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</si>
  <si>
    <t>ini namanya carlos bilardo pelatih yang membawa argentina juara tahun pelatih yang menjadikan diego maradona sebagai juara dunia dia masih diberi umur panjang kini menyaksikan lionel messi mencium piala dunia yang ketiga untuk negerinya doctor</t>
  </si>
  <si>
    <t>['namanya', 'carlos', 'bilardo', 'pelatih', 'membawa', 'argentina', 'juara', 'tahun', 'pelatih', 'menjadikan', 'diego', 'maradona', 'juara', 'dunia', 'diberi', 'umur', 'panjang', 'kini', 'menyaksikan', 'lionel', 'messi', 'mencium', 'piala', 'dunia', 'ketiga', 'negerinya', 'doctor']</t>
  </si>
  <si>
    <t>argentina jadi juara...</t>
  </si>
  <si>
    <t>argentina jadi juara</t>
  </si>
  <si>
    <t>['argentina', 'jadi', 'juara']</t>
  </si>
  <si>
    <t>@ainurohman Yg juara Argentina, yg dieluh eluhkan cuma messi, padahal Argentina juara jg karena kerja team. üòî  Sakno koncokonco ne...</t>
  </si>
  <si>
    <t>juara argentina dieluh eluhkan cuma messi padahal argentina juara karena kerja team sakno koncokonco</t>
  </si>
  <si>
    <t>['juara', 'argentina', 'dieluh', 'eluhkan', 'cuma', 'messi', 'padahal', 'argentina', 'juara', 'kerja', 'team', 'sakno', 'koncokonco']</t>
  </si>
  <si>
    <t>Buat argentina dan fans nya semangat, buat france yasudahlah kalian kan udah juara thn sebelum nya.</t>
  </si>
  <si>
    <t>buat argentina dan fans nya semangat buat france yasudahlah kalian kan udah juara thn sebelum nya</t>
  </si>
  <si>
    <t>['buat', 'argentina', 'fans', 'semangat', 'buat', 'france', 'yasudahlah', 'kalian', 'kan', 'udah', 'juara', 'thn']</t>
  </si>
  <si>
    <t>Mana nih yg jagoin Argentina?  üá¶üá∑  Gooool...   Juara dunia world Cup 2022  https://t.co/7kKN5Z271L</t>
  </si>
  <si>
    <t>mana nih jagoin argentina gooool juara dunia world cup</t>
  </si>
  <si>
    <t>['mana', 'jagoin', 'argentina', 'gooool', 'juara', 'dunia', 'world', 'cup']</t>
  </si>
  <si>
    <t>@yins123 @instaoppa @alumni_fakboi @luthfiahadian @rizal_hafidz17 @ruangtaktik Udah -udah... Pildun 2022 emank giliran Argentina yg juara. Hasil kocokan arisannya gitu</t>
  </si>
  <si>
    <t>fakboi hafidz udah udah pildun emank giliran argentina juara hasil kocokan arisannya gitu</t>
  </si>
  <si>
    <t>['fakboi', 'hafidz', 'udah', 'udah', 'piala dunia', 'emank', 'giliran', 'argentina', 'juara', 'hasil', 'kocokan', 'arisannya', 'gitu']</t>
  </si>
  <si>
    <t>@TukangMu Juara ya..selamat ya.suporter Argentinaüëçüëç</t>
  </si>
  <si>
    <t>juara selamat suporter argentina</t>
  </si>
  <si>
    <t>['juara', 'selamat', 'suporter', 'argentina']</t>
  </si>
  <si>
    <t>Akhirnya ya, juara juga setelah Jagoin Argentina sejak 2006. Penantian panjang akhirnya terwujud. Sama dengan kisah kita. Sejak 2006, penantian panjang mu untuk mengakhiri nya akhirnya terwujud. Sama sama lama nya, beda rasanya</t>
  </si>
  <si>
    <t>akhirnya juara juga setelah jagoin argentina sejak penantian panjang akhirnya terwujud sama dengan kisah kita sejak penantian panjang untuk mengakhiri nya akhirnya terwujud sama sama lama nya beda rasanya</t>
  </si>
  <si>
    <t>['akhirnya', 'juara', 'jagoin', 'argentina', 'sejak', 'penantian', 'panjang', 'akhirnya', 'terwujud', 'sama', 'kisah', 'sejak', 'penantian', 'panjang', 'mengakhiri', 'akhirnya', 'terwujud', 'sama', 'sama', 'lama', 'beda', 'rasanya']</t>
  </si>
  <si>
    <t>Opa ini sepertinya jadi saksi Argentina dapat bintang satu, dua, dan tiga. sssiioo umur panjang bisa rasakan 3kali juara dunia. Era Kempes-Era Maradona-Era Messi ü•≥üòéüëèüèΩüëèüèΩ</t>
  </si>
  <si>
    <t>opa ini sepertinya jadi saksi argentina dapat bintang satu dua dan tiga sssiioo umur panjang bisa rasakan kali juara dunia era kempes era maradona era messi</t>
  </si>
  <si>
    <t>['opa', 'sepertinya', 'jadi', 'saksi', 'argentina', 'bintang', 'satu', 'tiga', 'sssiioo', 'umur', 'panjang', 'rasakan', 'kali', 'juara', 'dunia', 'era', 'kempes', 'era', 'maradona', 'era', 'messi']</t>
  </si>
  <si>
    <t>@vocketfcID selamat buat IB yg telah berjasa atas Argentina sehingga malam tadi bisa juara semua berkat IB</t>
  </si>
  <si>
    <t>selamat buat telah berjasa atas argentina sehingga malam tadi bisa juara semua berkat</t>
  </si>
  <si>
    <t>['selamat', 'buat', 'berjasa', 'atas', 'argentina', 'malam', 'tadi', 'juara', 'semua', 'berkat']</t>
  </si>
  <si>
    <t>Messi bisa juara krna gak ada musuh dalam selimut di dalam squad argentina!</t>
  </si>
  <si>
    <t>messi bisa juara krna gak ada musuh dalam selimut dalam squad argentina</t>
  </si>
  <si>
    <t>['messi', 'juara', 'krna', 'musuh', 'selimut', 'squad', 'argentina']</t>
  </si>
  <si>
    <t>Ngni tau ndk pas argen juara, inflasi di argentina itu melonjak??</t>
  </si>
  <si>
    <t>ngni tau ndk pas argen juara inflasi argentina itu melonjak</t>
  </si>
  <si>
    <t>['ngni', 'ndk', 'pas', 'argen', 'juara', 'inflasi', 'argentina', 'melonjak']</t>
  </si>
  <si>
    <t>Bocil kantor Iki Argentina juara ga terimo ü§£ü§£</t>
  </si>
  <si>
    <t>bocil kantor iki argentina juara terimo</t>
  </si>
  <si>
    <t>['bocil', 'kantor', 'iki', 'argentina', 'juara', 'terimo']</t>
  </si>
  <si>
    <t>Argentina juara Piala Dunia Qatar 2022. Lionel Messi menantikan piala yang dia idam-idamkan sejak lama. Gelar ini pun seperti menyudahi debat siapa yang terbaik di antaranya dan Cristiano Ronaldo. #inibaruid  https://t.co/NxJYfwAK9h</t>
  </si>
  <si>
    <t>argentina juara piala dunia qatar lionel messi menantikan piala yang dia idam idamkan sejak lama gelar ini pun seperti menyudahi debat siapa yang terbaik antaranya dan cristiano ronaldo</t>
  </si>
  <si>
    <t>['argentina', 'juara', 'piala', 'dunia', 'qatar', 'lionel', 'messi', 'menantikan', 'piala', 'idam', 'idamkan', 'sejak', 'lama', 'gelar', 'menyudahi', 'debat', 'siapa', 'terbaik', 'antaranya', 'cristiano', 'ronaldo']</t>
  </si>
  <si>
    <t>Argentina juara. congrats</t>
  </si>
  <si>
    <t>argentina juara congrats</t>
  </si>
  <si>
    <t>['argentina', 'juara', 'congrats']</t>
  </si>
  <si>
    <t>CUY ARGENTINA JUARA WORLD CUP 2022 üò≠üò≠üò≠ü´∂ü´∂‚ú®‚ú®</t>
  </si>
  <si>
    <t>cuy argentina juara world cup</t>
  </si>
  <si>
    <t>WHAT A FINAL Argentina juara Piala Dunia bikin messi kepegelan sampe dateng ke urut üòÇ #Qatar2022 Drake  https://t.co/pUxjPjjfzT</t>
  </si>
  <si>
    <t>what final argentina juara piala dunia bikin messi kepegelan sampe dateng urut drake</t>
  </si>
  <si>
    <t>['what', 'final', 'argentina', 'juara', 'piala', 'dunia', 'messi', 'kepegelan', 'sampai', 'dateng', 'urut', 'drake']</t>
  </si>
  <si>
    <t>FUN FACT TENTANG #FIFAWorldCup #Qatar2022  1. Penantian setelah 36 Tahun Timnas Argentina mengakhiri penantian 36 tahun. Mereka meraih gelar juara yang ketiga, setelah pada 1978 dan 1986. Mereka juga menjadi runner-up pada 1930, 1990, dan 2014.  #GengPagiMGT #MGTRADIO  https://t.co/S9R4l461B1</t>
  </si>
  <si>
    <t>fun fact tentang penantian setelah tahun timnas argentina mengakhiri penantian tahun mereka meraih gelar juara yang ketiga setelah pada dan mereka juga menjadi runner pada dan</t>
  </si>
  <si>
    <t>['fun', 'fact', 'penantian', 'tahun', 'timnas', 'argentina', 'mengakhiri', 'penantian', 'tahun', 'meraih', 'gelar', 'juara', 'ketiga', 'menjadi', 'runner']</t>
  </si>
  <si>
    <t>@coachtimo Pertandingan yg sangat luarbiasa menghibur dan menegangkan   .... argentina pantas jd juara</t>
  </si>
  <si>
    <t>pertandingan sangat luarbiasa menghibur dan menegangkan argentina pantas juara</t>
  </si>
  <si>
    <t>['pertandingan', 'sangat', 'luarbiasa', 'menghibur', 'menegangkan', 'argentina', 'pantas', 'juara']</t>
  </si>
  <si>
    <t>Selain Juara Dunia 2022, Argentina Juga Sabet Tiga Trofi Individual: Penampilan luar biasa para pemain Argentina dari sejak partai pertama hingga laga pamungkas Piala Dunia 2022 pun berbuah manis. Tak hanya boleh membawa pulang trofi Piala Dunia, 3‚Ä¶  https://t.co/iGRljPXWtZ</t>
  </si>
  <si>
    <t>selain juara dunia argentina juga sabet tiga trofi individual penampilan luar biasa para pemain argentina dari sejak partai pertama hingga laga pamungkas piala dunia pun berbuah manis tak hanya boleh membawa pulang trofi piala dunia</t>
  </si>
  <si>
    <t>['juara', 'dunia', 'argentina', 'sabet', 'tiga', 'trofi', 'individual', 'penampilan', 'luar', 'biasa', 'pemain', 'argentina', 'sejak', 'partai', 'pertama', 'hingga', 'laga', 'pamungkas', 'piala', 'dunia', 'berbuah', 'manis', 'tak', 'membawa', 'pulang', 'trofi', 'piala', 'dunia']</t>
  </si>
  <si>
    <t>@Box2BoxBola Pernah sadar ga sih argentina ga pernah juara aff</t>
  </si>
  <si>
    <t>pernah sadar sih argentina pernah juara aff</t>
  </si>
  <si>
    <t>['pernah', 'sadar', 'argentina', 'pernah', 'juara', 'aff']</t>
  </si>
  <si>
    <t>@cakimiNOW Enak makan enak tidur Cak....  #argentinajuara PKB menang ...üòÅ</t>
  </si>
  <si>
    <t>enak makan enak tidur cak pkb menang</t>
  </si>
  <si>
    <t>['enak', 'makan', 'enak', 'tidur', 'cak', 'pkb', 'menang']</t>
  </si>
  <si>
    <t>@Tribalchief666 @idextratime MASIH KETAWA GA LIAT ARGENTINA ANGKAT GELAR JUARA?ü§£</t>
  </si>
  <si>
    <t>masih ketawa liat argentina angkat gelar juara</t>
  </si>
  <si>
    <t>['ketawa', 'lihat', 'argentina', 'angkat', 'gelar', 'juara']</t>
  </si>
  <si>
    <t>Argentina juara dunia üá¶üá∑. Suka Inter Milan karena J. Zanetti, suka Argentina karena J. Zanetti, meski Zanetti sudah pensiun masih menyukai club dan negara ini dan menyenangkan ketika Argentina berhasil menjadi juara dunia.  https://t.co/hUlbSrdkSE</t>
  </si>
  <si>
    <t>argentina juara dunia suka inter milan karena zanetti suka argentina karena zanetti meski zanetti sudah pensiun masih menyukai club dan negara ini dan menyenangkan ketika argentina berhasil menjadi juara dunia</t>
  </si>
  <si>
    <t>['argentina', 'juara', 'dunia', 'suka', 'inter', 'milan', 'zanetti', 'suka', 'argentina', 'zanetti', 'meski', 'zanetti', 'pensiun', 'menyukai', 'club', 'negara', 'menyenangkan', 'argentina', 'berhasil', 'menjadi', 'juara', 'dunia']</t>
  </si>
  <si>
    <t>Selebrasi ‚ÄúCabul‚Äù Martinez Disoroti, Titel Juara Argentina Tercemar?   https://t.co/aiL17LIE5R</t>
  </si>
  <si>
    <t>selebrasi cabul martinez disoroti titel juara argentina tercemar</t>
  </si>
  <si>
    <t>['selebrasi', 'cabul', 'martinez', 'disoroti', 'titel', 'juara', 'argentina', 'tercemar']</t>
  </si>
  <si>
    <t>Lewati Adu Pinalti, Messi Bawa Argentina Juara Piala Dunia 2022   #FIFAWorldCup #PialaDunia2022 #Messi #Argentina  https://t.co/zaFG3DxZGN</t>
  </si>
  <si>
    <t>lewati adu pinalti messi bawa argentina juara piala dunia</t>
  </si>
  <si>
    <t>['lewati', 'adu', 'penalti', 'messi', 'bawa', 'argentina', 'juara', 'piala', 'dunia']</t>
  </si>
  <si>
    <t>Juara piala dunia argentina, yoh saki wayahe indonesia. Yoh iso yoh</t>
  </si>
  <si>
    <t>juara piala dunia argentina yoh saki wayahe indonesia yoh iso yoh</t>
  </si>
  <si>
    <t>['juara', 'piala', 'dunia', 'argentina', 'yoh', 'saki', 'wayahe', 'indonesia', 'yoh', 'iso', 'yoh']</t>
  </si>
  <si>
    <t>Argentina JUARA Piala Dunia 2022, Kalahkan Prancis Lewat Adu Pinalti! Kylian Mbappe Top Skor!  #PialaDunia2022 #FIFAWorldCup #Qatar2022  https://t.co/FJNihtKYCi</t>
  </si>
  <si>
    <t>argentina juara piala dunia kalahkan prancis lewat adu pinalti kylian mbappe top skor</t>
  </si>
  <si>
    <t>['argentina', 'juara', 'piala', 'dunia', 'kalahkan', 'prancis', 'lewat', 'adu', 'penalti', 'kylian', 'mbappe', 'top', 'skor']</t>
  </si>
  <si>
    <t>@FebriYafi1 @Tribalchief666 @idextratime JUARA BUAT ARGENTINA ITU ADALAH HAL YANG REALISTIS, KELUAR DONG KELUARIN BACOTAN LU YG KEMARINü§£</t>
  </si>
  <si>
    <t>juara buat argentina itu adalah hal yang realistis keluar dong keluarin bacotan kemarin</t>
  </si>
  <si>
    <t>['juara', 'buat', 'argentina', 'realistis', 'keluar', 'dong', 'keluarin', 'bacotan', 'kemarin']</t>
  </si>
  <si>
    <t>@_Pangareho Beneran berkah Pak Jokowi  Argentina bs juara dunia  Messi jd pemain terbaik</t>
  </si>
  <si>
    <t>beneran berkah pak jokowi argentina juara dunia messi pemain terbaik</t>
  </si>
  <si>
    <t>['beneran', 'berkah', 'pak', 'jokowi', 'argentina', 'juara', 'dunia', 'messi', 'pemain', 'terbaik']</t>
  </si>
  <si>
    <t>Argentina juara udah diprediksi leptop gua sedari dulu bekerja, kemana aja selama ini baru ngeh ada bendera Argentina  https://t.co/c4ROOyENcf</t>
  </si>
  <si>
    <t>argentina juara udah diprediksi leptop gua sedari dulu bekerja kemana aja selama ini baru ngeh ada bendera argentina</t>
  </si>
  <si>
    <t>['argentina', 'juara', 'udah', 'diprediksi', 'leptop', 'gua', 'sedari', 'dulu', 'bekerja', 'selama', 'baru', 'ngeh', 'bendera', 'argentina']</t>
  </si>
  <si>
    <t>@zivamagnolyeah Sebenernya aku dukung argentina cuma dipaksa milih prancis, tapi tetep seneng soalnya juara</t>
  </si>
  <si>
    <t>sebenernya aku dukung argentina cuma dipaksa milih prancis tapi tetep seneng soalnya juara</t>
  </si>
  <si>
    <t>['sebenernya', 'aku', 'dukung', 'argentina', 'cuma', 'dipaksa', 'milih', 'prancis', 'tetep', 'seneng', 'soalnya', 'juara']</t>
  </si>
  <si>
    <t>@Tribalchief666 @idextratime Woi ngentot keluar doang, masih ketawa ga liat argentina juara?</t>
  </si>
  <si>
    <t>woi ngentot keluar doang masih ketawa liat argentina juara</t>
  </si>
  <si>
    <t>['ngentot', 'keluar', 'doang', 'ketawa', 'lihat', 'argentina', 'juara']</t>
  </si>
  <si>
    <t>Kata-kata Puitis dan Magis Peter Drury Antar Argentina Juara Piala Dunia 2022  https://t.co/r4l9WhmFEM #Messi #MessiìÉµday #GOATìÉµ #Mbappe #MbappeìÉµ</t>
  </si>
  <si>
    <t>kata kata puitis dan magis peter drury antar argentina juara piala dunia day</t>
  </si>
  <si>
    <t>['kata', 'kata', 'puitis', 'magis', 'peter', 'drury', 'antar', 'argentina', 'juara', 'piala', 'dunia', 'day']</t>
  </si>
  <si>
    <t>Karena Argentina juara, kayanya harus belajar bahasa spanyol deh.</t>
  </si>
  <si>
    <t>karena argentina juara kayanya harus belajar bahasa spanyol deh</t>
  </si>
  <si>
    <t>['argentina', 'juara', 'kayanya', 'belajar', 'bahasa', 'spanyol', 'deh']</t>
  </si>
  <si>
    <t>Argentina VS Perancis  Bagi info dong siapa juara World Cup 2022! Soalnya di TV One yang menang Prabowo ü´£</t>
  </si>
  <si>
    <t>argentina perancis bagi info dong siapa juara world cup soalnya one yang menang prabowo</t>
  </si>
  <si>
    <t>['argentina', 'perancis', 'info', 'dong', 'siapa', 'juara', 'world', 'cup', 'soalnya', 'one', 'menang', 'prabowo']</t>
  </si>
  <si>
    <t>Mungkin kalo Benzema main, messi dan Argentina mudah ditaklukan.  Karna Benzema juga punya urgency untuk juara sama kaya Messi. Tapi pelatihnya Perancis aja yg arogan ngandelin Mbappe yg masih muda dan pemain medioker di sekitarnya.</t>
  </si>
  <si>
    <t>mungkin kalo benzema main messi dan argentina mudah ditaklukan karna benzema juga punya urgency untuk juara sama kaya messi tapi pelatihnya perancis aja arogan ngandelin mbappe masih muda dan pemain medioker sekitarnya</t>
  </si>
  <si>
    <t>['mungkin', 'benzema', 'main', 'messi', 'argentina', 'mudah', 'ditaklukan', 'karna', 'benzema', 'punya', 'urgency', 'juara', 'sama', 'kaya', 'messi', 'pelatihnya', 'perancis', 'arogan', 'ngandelin', 'mbappe', 'muda', 'pemain', 'medioker', 'sekitarnya']</t>
  </si>
  <si>
    <t>Work!  Ternyata! Argentina dari dulu udah menemani hari2 ku berkerja, udah pertanda juara dunia, baru engeh üò≠üòÇ Siapa yg ga tidur saking senengnya dan akhirnya ngantuk depan leptop skrg cung ‚òùÔ∏è  https://t.co/YaLvOpMbxQ</t>
  </si>
  <si>
    <t>work ternyata argentina dari dulu udah menemani hari berkerja udah pertanda juara dunia baru engeh siapa tidur saking senengnya dan akhirnya ngantuk depan leptop skrg cung</t>
  </si>
  <si>
    <t>['work', 'ternyata', 'argentina', 'dulu', 'udah', 'menemani', 'hari', 'berkerja', 'udah', 'pertanda', 'juara', 'dunia', 'baru', 'engeh', 'siapa', 'tidur', 'saking', 'senengnya', 'akhirnya', 'ngantuk', 'depan', 'leptop', 'skrg', 'cung']</t>
  </si>
  <si>
    <t>Timnas arab saudi mainya cukup memuaskan dan membanggakan saya...fakta nyata bisa mengalahkan sang juara PIALA DUNIA 2022  TIMNAS ARGENTINA 2-1</t>
  </si>
  <si>
    <t>timnas arab saudi mainya cukup memuaskan dan membanggakan saya fakta nyata bisa mengalahkan sang juara piala dunia timnas argentina</t>
  </si>
  <si>
    <t>['timnas', 'arab', 'saudi', 'mainya', 'cukup', 'memuaskan', 'membanggakan', 'fakta', 'nyata', 'mengalahkan', 'sang', 'juara', 'piala', 'dunia', 'timnas', 'argentina']</t>
  </si>
  <si>
    <t>YANG JUARA ARGENTINA TAPI YANG TRANDING MBPEE..KELAZZZ  https://t.co/eVeNKyPSJl</t>
  </si>
  <si>
    <t>yang juara argentina tapi yang tranding mbpee kelazzz</t>
  </si>
  <si>
    <t>['juara', 'argentina', 'tranding', 'mbpee', 'kelazzz']</t>
  </si>
  <si>
    <t>Argentina beneran juara euy congrats....congrats</t>
  </si>
  <si>
    <t>argentina beneran juara euy congrats congrats</t>
  </si>
  <si>
    <t>['argentina', 'beneran', 'juara', 'euy', 'congrats', 'congrats']</t>
  </si>
  <si>
    <t>@JeanAprilia96 Di era pak Harto Argentina 2x juara piala dunia,di era Jokowi Argentina 1x juara dunia. Hmmm ..??? Sepertinya era pak Harto lebih baik dari era Jokowi. Factos.</t>
  </si>
  <si>
    <t>era pak harto argentina juara piala dunia era jokowi argentina juara dunia hmmm sepertinya era pak harto lebih baik dari era jokowi factos</t>
  </si>
  <si>
    <t>['era', 'pak', 'harto', 'argentina', 'juara', 'piala', 'dunia', 'era', 'jokowi', 'argentina', 'juara', 'dunia', 'hmmm', 'sepertinya', 'era', 'pak', 'harto', 'lebih', 'baik', 'era', 'jokowi', 'factos']</t>
  </si>
  <si>
    <t>&lt;FreqDist with 13 samples and 22 outcomes&gt;</t>
  </si>
  <si>
    <t>Argentina menjadi juara Piala Dunia 2022 setelah menang adu penalti atas Prancis. Berikut adalah reaksi di linimasa media sosial mengenai laga seru itu.   https://t.co/F21FQNT9gc</t>
  </si>
  <si>
    <t>argentina menjadi juara piala dunia setelah menang adu penalti atas prancis berikut adalah reaksi linimasa media sosial mengenai laga seru itu</t>
  </si>
  <si>
    <t>['argentina', 'menjadi', 'juara', 'piala', 'dunia', 'menang', 'adu', 'penalti', 'atas', 'prancis', 'berikut', 'reaksi', 'linimasa', 'media', 'sosial', 'mengenai', 'laga', 'seru']</t>
  </si>
  <si>
    <t>Harini special untuk Deborah yang merupakan fans Argentina, kitaorang bawak group kompang Anak Seri Cheras untuk meraikan kemenangan Argentina menjadi juara Piala Dunia 2022. Siap ada bunga manggar lagi. üòÇ #sharERA #3PAGIERA  https://t.co/0wrL9NHAE9</t>
  </si>
  <si>
    <t>harini special untuk deborah yang merupakan fans argentina kitaorang bawak group kompang anak seri cheras untuk meraikan kemenangan argentina menjadi juara piala dunia siap ada bunga manggar lagi</t>
  </si>
  <si>
    <t>['harini', 'special', 'deborah', 'merupakan', 'fans', 'argentina', 'kitaorang', 'bawak', 'group', 'kompang', 'anak', 'seri', 'cheras', 'meraikan', 'kemenangan', 'argentina', 'menjadi', 'juara', 'piala', 'dunia', 'siap', 'bunga', 'manggar']</t>
  </si>
  <si>
    <t>Juara Piala Dunia 2022, Lionel Messi Tak Ingin Pensiun dari Timnas¬†Argentina  https://t.co/w9r6GOze3l</t>
  </si>
  <si>
    <t>juara piala dunia lionel messi tak ingin pensiun dari timnas argentina</t>
  </si>
  <si>
    <t>['juara', 'piala', 'dunia', 'lionel', 'messi', 'tak', 'pensiun', 'timnas', 'argentina']</t>
  </si>
  <si>
    <t>Bangun2 badan seger bgtt. Oh iya, kan argentina juara hehehe</t>
  </si>
  <si>
    <t>bangun badan seger bgtt iya kan argentina juara hehehe</t>
  </si>
  <si>
    <t>['bangun', 'badan', 'seger', 'bgtt', 'iya', 'kan', 'argentina', 'juara', 'hehehe']</t>
  </si>
  <si>
    <t>Di Balik Ratapan Deshcamps dan Gelar Juara Dunia Argentina #DidierDeschamps  https://t.co/x7xBw6pirr</t>
  </si>
  <si>
    <t>balik ratapan deshcamps dan gelar juara dunia argentina</t>
  </si>
  <si>
    <t>['balik', 'ratapan', 'deshcamps', 'gelar', 'juara', 'dunia', 'argentina']</t>
  </si>
  <si>
    <t>Scaloni Minta Lionel Messi Tetap Main Sampai Piala Dunia 2026 Karena Argentina Juara Piala Dunia   https://t.co/QMFcRms79T.</t>
  </si>
  <si>
    <t>scaloni minta lionel messi tetap main sampai piala dunia karena argentina juara piala dunia</t>
  </si>
  <si>
    <t>['scaloni', 'minta', 'lionel', 'messi', 'tetap', 'main', 'piala', 'dunia', 'argentina', 'juara', 'piala', 'dunia']</t>
  </si>
  <si>
    <t>@cakimiNOW Prediksi kita memang Joss cak.. Messi Argentina memang layak jadi JUARA... Joosss..!!!, Menang banyak ini kayaknya cak ? üòÇ</t>
  </si>
  <si>
    <t>prediksi kita memang joss cak messi argentina memang layak jadi juara joosss menang banyak ini kayaknya cak</t>
  </si>
  <si>
    <t>['prediksi', 'memang', 'joss', 'cak', 'messi', 'argentina', 'memang', 'layak', 'jadi', 'juara', 'joosss', 'menang', 'banyak', 'kayaknya', 'cak']</t>
  </si>
  <si>
    <t>Argentina berhasil meraih gelar Piala Dunia 2022 di Qatar. Gelar juara ini sekaligus mengakhiri penantian panjang Lionel Messi. #LionelMessi #PialaDunia2022   https://t.co/rcDARuFSQ0</t>
  </si>
  <si>
    <t>argentina berhasil meraih gelar piala dunia qatar gelar juara ini sekaligus mengakhiri penantian panjang lionel messi</t>
  </si>
  <si>
    <t>['argentina', 'berhasil', 'meraih', 'gelar', 'piala', 'dunia', 'qatar', 'gelar', 'juara', 'sekaligus', 'mengakhiri', 'penantian', 'panjang', 'lionel', 'messi']</t>
  </si>
  <si>
    <t>Selamat kepada: ARGENTINA   Keren!! Sudah memenangkan juara dunia Piala Dunia yang ke 3 kali sepanjang sejarah!  #SelamatArgentina #Argentina #PialaDunia2022 #WorldCup2022 #PialaDuniaQatar #PialaDunia #Messi #Prancis #188BET #188BETIndonesia  https://t.co/lDXlfZBU3D</t>
  </si>
  <si>
    <t>selamat kepada argentina keren sudah memenangkan juara dunia piala dunia yang kali sepanjang sejarah</t>
  </si>
  <si>
    <t>['selamat', 'argentina', 'keren', 'memenangkan', 'juara', 'dunia', 'piala', 'dunia', 'kali', 'sepanjang', 'sejarah']</t>
  </si>
  <si>
    <t>Padahal yang juara Piala Dunia 2022 itu Argentina, bukannya Messi malah Ronaldo yang trending</t>
  </si>
  <si>
    <t>padahal yang juara piala dunia itu argentina bukannya messi malah ronaldo yang trending</t>
  </si>
  <si>
    <t>['padahal', 'juara', 'piala', 'dunia', 'argentina', 'bukannya', 'messi', 'malah', 'ronaldo', 'trending']</t>
  </si>
  <si>
    <t>@hummercuts @idextratime Berat, pengganti dimaria dan messi belum ada, Dybala masih belum keliatan gacor di timnas. Perlu beberapa wc lagi buar Argentina kembali juara. Untuk sekarang yang paling diunggulkan ya Prancis, Spanyol, dan Brazil dengan pemain m</t>
  </si>
  <si>
    <t>berat pengganti dimaria dan messi belum ada dybala masih belum keliatan gacor timnas perlu beberapa lagi buar argentina kembali juara untuk sekarang yang paling diunggulkan prancis spanyol dan brazil dengan pemain</t>
  </si>
  <si>
    <t>['berat', 'pengganti', 'dimaria', 'messi', 'dybala', 'keliatan', 'gacor', 'timnas', 'perlu', 'beberapa', 'buar', 'argentina', 'juara', 'sekarang', 'paling', 'diunggulkan', 'prancis', 'spanyol', 'brazil', 'pemain']</t>
  </si>
  <si>
    <t>Argentina Memang Juara, Tetapi Qatar dan Dunia Arab Juga Jadi Pemenang  https://t.co/Was2BZWIMG</t>
  </si>
  <si>
    <t>argentina memang juara tetapi qatar dan dunia arab juga jadi pemenang</t>
  </si>
  <si>
    <t>['argentina', 'memang', 'juara', 'qatar', 'dunia', 'arab', 'jadi', 'pemenang']</t>
  </si>
  <si>
    <t>Yg juara argentina dan messi. Tapi yg trending tetap ronaldo üòÇ  https://t.co/oF74Mkqjub</t>
  </si>
  <si>
    <t>juara argentina dan messi tapi trending tetap ronaldo</t>
  </si>
  <si>
    <t>['juara', 'argentina', 'messi', 'trending', 'tetap', 'ronaldo']</t>
  </si>
  <si>
    <t>Messi dan Argentina Juara Piala Dunia 2022, Nama Ronaldo Ikut Trending di Media Sosial  https://t.co/jy5sjb3puy</t>
  </si>
  <si>
    <t>messi dan argentina juara piala dunia nama ronaldo ikut trending media sosial</t>
  </si>
  <si>
    <t>['messi', 'argentina', 'juara', 'piala', 'dunia', 'nama', 'ronaldo', 'ikut', 'trending', 'media', 'sosial']</t>
  </si>
  <si>
    <t>Sebelum ada Emi, Argentina susah bgt juara, rispekk!</t>
  </si>
  <si>
    <t>sebelum ada emi argentina susah bgt juara rispekk</t>
  </si>
  <si>
    <t>['emi', 'argentina', 'susah', 'banget', 'juara', 'rispekk']</t>
  </si>
  <si>
    <t>Hasil Akhir FIFA World Cup Qatar 2022, Argentina Menjadi Juara setalah Adu Pinalti Skor 4-2  https://t.co/c1SVUhUqp3</t>
  </si>
  <si>
    <t>hasil akhir fifa world cup qatar argentina menjadi juara setalah adu pinalti skor</t>
  </si>
  <si>
    <t>['hasil', 'akhir', 'fifa', 'world', 'cup', 'qatar', 'argentina', 'menjadi', 'juara', 'setalah', 'adu', 'penalti', 'skor']</t>
  </si>
  <si>
    <t>Argentina Memang Juara, Tetapi Qatar dan Dunia Arab Juga Jadi Pemenang  https://t.co/RPaIZTLSVY</t>
  </si>
  <si>
    <t>Katanya Argentina juara. Riil kah?</t>
  </si>
  <si>
    <t>katanya argentina juara riil kah</t>
  </si>
  <si>
    <t>['katanya', 'argentina', 'juara', 'riil']</t>
  </si>
  <si>
    <t>Sejarah Bagi Argentina Juara Dunia sudah Tiga kali  https://t.co/dj950e3FfX</t>
  </si>
  <si>
    <t>sejarah bagi argentina juara dunia sudah tiga kali</t>
  </si>
  <si>
    <t>['sejarah', 'argentina', 'juara', 'dunia', 'tiga', 'kali']</t>
  </si>
  <si>
    <t>Selamat! Argentina Juara Piala Dunia 2022!  https://t.co/bxi48kNUHk  https://t.co/EhPNYGORNi</t>
  </si>
  <si>
    <t>Tim Nasional Argentina berhasil merebut gelar juara Piala Dunia 2022 dari Prancis usai menaklukan Les Bleus¬†lewat babak adu penalti.   https://t.co/AnprRdovJy</t>
  </si>
  <si>
    <t>tim nasional argentina berhasil merebut gelar juara piala dunia dari prancis usai menaklukan les bleus lewat babak adu penalti</t>
  </si>
  <si>
    <t>['tim', 'nasional', 'argentina', 'berhasil', 'merebut', 'gelar', 'juara', 'piala', 'dunia', 'prancis', 'usai', 'menaklukan', 'les', 'bleus', 'lewat', 'babak', 'adu', 'penalti']</t>
  </si>
  <si>
    <t>Baru semalem gua nangis nonton bola, di awal di bully karena kalah vs saudi arabia. Keluar Qatar sebagai juaraü§Ø Penantian sejak 2010 selalu ngikutin argentina karena pingin liat messi angkat piala dunia dan sekarang terbayarkanüò≠ü•π</t>
  </si>
  <si>
    <t>baru semalem gua nangis nonton bola awal bully karena kalah saudi arabia keluar qatar sebagai juara penantian sejak selalu ngikutin argentina karena pingin liat messi angkat piala dunia dan sekarang terbayarkan</t>
  </si>
  <si>
    <t>['baru', 'semalam', 'gua', 'nangis', 'nonton', 'bola', 'awal', 'bully', 'kalah', 'saudi', 'arabia', 'keluar', 'qatar', 'juara', 'penantian', 'sejak', 'selalu', 'ngikutin', 'argentina', 'pingin', 'lihat', 'messi', 'angkat', 'piala', 'dunia', 'sekarang', 'terbayarkan']</t>
  </si>
  <si>
    <t>Argentina Rebut Titel Juara Piala Dunia 2022, Kemenangan Lionel Messi Sudah Diramalkan 7 Tahun Lalu  https://t.co/7BrSIqLrjx   #argentina #lionelmessi #pialadunia2022 #prmn #Pikiranrakyatmedianetwork #potensilokalgonasional   #KolaborasiMediapreneurNusantara #pikiranrakyat</t>
  </si>
  <si>
    <t>argentina rebut titel juara piala dunia kemenangan lionel messi sudah diramalkan tahun lalu</t>
  </si>
  <si>
    <t>['argentina', 'rebut', 'titel', 'juara', 'piala', 'dunia', 'kemenangan', 'lionel', 'messi', 'diramalkan', 'tahun', 'lalu']</t>
  </si>
  <si>
    <t>Selamat! Argentina Juara Piala Dunia 2022!  #Sepakbola #BeritaBola #BeritaBolaTerkini #BeritaBolaTerbaru #pialaduniaqatar2022 #pialadunia  https://t.co/z1QdBeiWuw</t>
  </si>
  <si>
    <t>World cup 2022 Argentina juaraüá¶üá∑tp tetap Francisüá≤üá´  https://t.co/rwDpZCtT0p</t>
  </si>
  <si>
    <t>world cup argentina juara tetap francis</t>
  </si>
  <si>
    <t>['world', 'cup', 'argentina', 'juara', 'tetap', 'francis']</t>
  </si>
  <si>
    <t>@pesmergaaa Disono Argentina baru juara ya</t>
  </si>
  <si>
    <t>disono argentina baru juara</t>
  </si>
  <si>
    <t>['disono', 'argentina', 'baru', 'juara']</t>
  </si>
  <si>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</si>
  <si>
    <t>salah emang messi ganti nomor punggung jadi lagi angka disana banyak menyimpan rahasia yang luar biasa messi membawa argentina juara world cup kalinya partai final dengan skor anaknya juga congrats argentina congrats messi</t>
  </si>
  <si>
    <t>['salah', 'emang', 'messi', 'ganti', 'nomor', 'punggung', 'jadi', 'angka', 'disana', 'banyak', 'menyimpan', 'rahasia', 'luar', 'biasa', 'messi', 'membawa', 'argentina', 'juara', 'world', 'cup', 'kalinya', 'partai', 'final', 'skor', 'anaknya', 'congrats', 'argentina', 'congrats', 'messi']</t>
  </si>
  <si>
    <t>Agak sedih Argentina juara. Semoga Messi belum mau pensiun</t>
  </si>
  <si>
    <t>agak sedih argentina juara semoga messi belum mau pensiun</t>
  </si>
  <si>
    <t>['sedih', 'argentina', 'juara', 'semoga', 'messi', 'mau', 'pensiun']</t>
  </si>
  <si>
    <t>@indosupporter OFSET ITU GOL KE DUA ARGENTINA.......JUARA DUNIANYA DI ANULIR.  https://t.co/fmpLdqXKMZ</t>
  </si>
  <si>
    <t>ofset itu gol dua argentina juara dunianya anulir</t>
  </si>
  <si>
    <t>['ofset', 'gol', 'argentina', 'juara', 'dunianya', 'anulir']</t>
  </si>
  <si>
    <t>Liat argentina menang jd keinget pildun dulu (lupa taun mana), bokap tbtb sms "asiikk ada argentina juara" pdhl itu belom mulai tanding..haha bokap soalnya suka ma argentina ü§£ü§£ü§£</t>
  </si>
  <si>
    <t>liat argentina menang keinget pildun dulu lupa taun mana bokap tbtb sms asiikk ada argentina juara pdhl itu belom mulai tanding haha bokap soalnya suka argentina</t>
  </si>
  <si>
    <t>['lihat', 'argentina', 'menang', 'keinget', 'piala dunia', 'dulu', 'lupa', 'taun', 'mana', 'bokap', 'tbtb', 'sms', 'asiikk', 'argentina', 'juara', 'pdhl', 'belom', 'mulai', 'tanding', 'haha', 'bokap', 'soalnya', 'suka', 'argentina']</t>
  </si>
  <si>
    <t>@muika Akhirnya bisa Juara Dunia Juga Argentina üíù</t>
  </si>
  <si>
    <t>akhirnya bisa juara dunia juga argentina</t>
  </si>
  <si>
    <t>['akhirnya', 'juara', 'dunia', 'argentina']</t>
  </si>
  <si>
    <t>5 Rekor Messi Usai Bawa Argentina Juara Piala Dunia  https://t.co/igwb7O0tAO</t>
  </si>
  <si>
    <t>Tapi, lihat tim Prancis.. ya okelah emang keliatan Argentina lebih siap juara wkwkk</t>
  </si>
  <si>
    <t>tapi lihat tim prancis okelah emang keliatan argentina lebih siap juara wkwkk</t>
  </si>
  <si>
    <t>['lihat', 'tim', 'prancis', 'okelah', 'emang', 'keliatan', 'argentina', 'lebih', 'siap', 'juara', 'wkwkk']</t>
  </si>
  <si>
    <t>Selamat untuk juara @FIFAWorldCup ke-3 kalinya @Argentina #FIFAWorldCup #Qatar2022</t>
  </si>
  <si>
    <t>selamat untuk juara kalinya</t>
  </si>
  <si>
    <t>['selamat', 'juara', 'kalinya']</t>
  </si>
  <si>
    <t>Setelah Argentina juara, kembali ke habitat ! #PSISday</t>
  </si>
  <si>
    <t>setelah argentina juara kembali habitat</t>
  </si>
  <si>
    <t>['argentina', 'juara', 'habitat']</t>
  </si>
  <si>
    <t>Setelah juara pildun ketua pssi nya argentina VC messi  https://t.co/EKIFS50MgA</t>
  </si>
  <si>
    <t>setelah juara pildun ketua pssi nya argentina messi</t>
  </si>
  <si>
    <t>['juara', 'piala dunia', 'ketua', 'pssi', 'argentina', 'messi']</t>
  </si>
  <si>
    <t>Selamat untuk Argentina juara piala dunia 2022  https://t.co/YEuHnWnGou</t>
  </si>
  <si>
    <t>selamat untuk argentina juara piala dunia</t>
  </si>
  <si>
    <t>16 Fakta Menarik Argentina Juara Piala Dunia 2022.  #bolaskorcom #argentina #qatar2022 #wc2022      https://t.co/xfDwdPSUeo</t>
  </si>
  <si>
    <t>fakta menarik argentina juara piala dunia</t>
  </si>
  <si>
    <t>['fakta', 'menarik', 'argentina', 'juara', 'piala', 'dunia']</t>
  </si>
  <si>
    <t>Potret Lautan Manusia Rayakan Argentina Juara Piala Dunia 2022!  https://t.co/Br2ThS1ivp  #pialadunia2022 #prancisvsargentina #argentinavsprancis #lionelmessi  Ronaldo Emi Martinez  Maradona  Di Maria  Dybala  Aguero  Dembele  https://t.co/TlGZ7ZYRbG</t>
  </si>
  <si>
    <t>potret lautan manusia rayakan argentina juara piala dunia ronaldo emi martinez maradona maria dybala aguero dembele</t>
  </si>
  <si>
    <t>['potret', 'lautan', 'manusia', 'rayakan', 'argentina', 'juara', 'piala', 'dunia', 'ronaldo', 'emi', 'martinez', 'maradona', 'maria', 'dybala', 'aguero', 'dembele']</t>
  </si>
  <si>
    <t>#FIFAWorldCup #Mbappe #Messi  Selamat utk Argentina sebagai juara Dunia Sepak Bola 2022, Selamat dan Sukses juga untuk  Gus Menteri,,Karena Tim Idolanya Beliau menjadi Juara Dunia 2022  Walau Tidak Juara Tapi Idolaku tetep  #Mbappe  @halimiskandarnu  https://t.co/sBXLNs3u8o</t>
  </si>
  <si>
    <t>selamat utk argentina sebagai juara dunia sepak bola selamat dan sukses juga untuk gus menteri karena tim idolanya beliau menjadi juara dunia walau tidak juara tapi idolaku tetep</t>
  </si>
  <si>
    <t>['selamat', 'argentina', 'juara', 'dunia', 'sepak', 'bola', 'selamat', 'sukses', 'gus', 'menteri', 'tim', 'idolanya', 'beliau', 'menjadi', 'juara', 'dunia', 'juara', 'idolaku', 'tetep']</t>
  </si>
  <si>
    <t>Argentina Juara, Lionel Messi Dipeluk Ibu yang Menangis Haru  https://t.co/mIkPPyVNug  https://t.co/oRXuOJZTWE</t>
  </si>
  <si>
    <t>argentina juara lionel messi dipeluk ibu yang menangis haru</t>
  </si>
  <si>
    <t>['argentina', 'juara', 'lionel', 'messi', 'dipeluk', 'ibu', 'menangis', 'haru']</t>
  </si>
  <si>
    <t>Vamos Argentina juara piala dunia Qatar 2022. King Leo Messi#10 sequat (La Albiceleste).  https://t.co/3qMmgCHX8a</t>
  </si>
  <si>
    <t>vamos argentina juara piala dunia qatar king leo messi sequat albiceleste</t>
  </si>
  <si>
    <t>['vamos', 'argentina', 'juara', 'piala', 'dunia', 'qatar', 'king', 'leo', 'messi', 'sequat', 'albiceleste']</t>
  </si>
  <si>
    <t>Tiba-tiba Ada Aguero di Tengah Lapangan saat Argentina Pesta Juara  https://t.co/xllXOo9CJb</t>
  </si>
  <si>
    <t>tiba tiba ada aguero tengah lapangan saat argentina pesta juara</t>
  </si>
  <si>
    <t>['tiba', 'tiba', 'aguero', 'tengah', 'lapangan', 'argentina', 'pesta', 'juara']</t>
  </si>
  <si>
    <t>Argentina juara ya duh ak bobo gakuad</t>
  </si>
  <si>
    <t>argentina juara duh bobo gakuad</t>
  </si>
  <si>
    <t>['argentina', 'juara', 'duh', 'bobo', 'gakuad']</t>
  </si>
  <si>
    <t>@PorosHalangID Ya orang Indonesia, negaranya ga ikt main, Argentina menang seneng. Kalo Indonesia juara dunia baru seneng</t>
  </si>
  <si>
    <t>orang indonesia negaranya ikt main argentina menang seneng kalo indonesia juara dunia baru seneng</t>
  </si>
  <si>
    <t>['orang', 'indonesia', 'negaranya', 'ikt', 'main', 'argentina', 'menang', 'seneng', 'indonesia', 'juara', 'dunia', 'baru', 'seneng']</t>
  </si>
  <si>
    <t>Keberhasilan Messi jadi juara World Cup bareng Argentina seharusnya jadi pukulan telak buat Cristiano Ronaldo, team PR, dan juga fanclub-nya.</t>
  </si>
  <si>
    <t>keberhasilan messi jadi juara world cup bareng argentina seharusnya jadi pukulan telak buat cristiano ronaldo team dan juga fanclub nya</t>
  </si>
  <si>
    <t>['keberhasilan', 'messi', 'jadi', 'juara', 'world', 'cup', 'bareng', 'argentina', 'jadi', 'pukulan', 'telak', 'buat', 'cristiano', 'ronaldo', 'team', 'fanclub']</t>
  </si>
  <si>
    <t>‚ÄúHandling failure and success makes you a legend" #MessiìÉµ dan pagi pun cerah, setelah #Argentina dan ‚Å¶@TeamMessi‚Å© JUARA DUNIA! Thanks MESSI ~ #BungFADJROEL #DubesRIKazakhstanTajikistan  #FIFAWorldCup #Qatar2022¬†‚Å¶@PEDOMAN_id‚Å©  https://t.co/L9GD0bHVmU</t>
  </si>
  <si>
    <t>handling failure and success makes you legend dan pagi pun cerah setelah dan juara dunia thanks messi</t>
  </si>
  <si>
    <t>['handling', 'failure', 'and', 'success', 'makes', 'you', 'legend', 'pagi', 'cerah', 'juara', 'dunia', 'thanks', 'messi']</t>
  </si>
  <si>
    <t>Yang juara Argentina, yang kalah Prancis, tapi yang di bully tetep Ronaldo üòÇ  Respek sama mental Ronaldo üôå</t>
  </si>
  <si>
    <t>yang juara argentina yang kalah prancis tapi yang bully tetep ronaldo respek sama mental ronaldo</t>
  </si>
  <si>
    <t>['juara', 'argentina', 'kalah', 'prancis', 'bully', 'tetep', 'ronaldo', 'respek', 'sama', 'mental', 'ronaldo']</t>
  </si>
  <si>
    <t>Pagi bestie belle's, gimana senin pagi kalian? semangat dong pastinya. Apalagi liat Argentina jadi juara pildun kali ini nihü§©üòä</t>
  </si>
  <si>
    <t>pagi bestie belle gimana senin pagi kalian semangat dong pastinya apalagi liat argentina jadi juara pildun kali ini nih</t>
  </si>
  <si>
    <t>['pagi', 'bestie', 'belle', 'gimana', 'senin', 'pagi', 'kalian', 'semangat', 'dong', 'pastinya', 'lihat', 'argentina', 'jadi', 'juara', 'piala dunia', 'kali']</t>
  </si>
  <si>
    <t>Hasil Final Piala Dunia 2022 Argentina Vs Prancis: Menang Adu Pinalti, Messi Dan Kolega Raih Gelar Juara  https://t.co/8hvOg8YItd</t>
  </si>
  <si>
    <t>hasil final piala dunia argentina prancis menang adu pinalti messi dan kolega raih gelar juara</t>
  </si>
  <si>
    <t>['hasil', 'final', 'piala', 'dunia', 'argentina', 'prancis', 'menang', 'adu', 'penalti', 'messi', 'kolega', 'raih', 'gelar', 'juara']</t>
  </si>
  <si>
    <t>Scaloni Ajak Rakyat Argentina Nikmati Sukses Juara Piala Dunia  https://t.co/ln0svnZzKW</t>
  </si>
  <si>
    <t>Antar Argentina Juara, Ini Deretan Rekor yang Dicetak Lionel Messi Sepanjang Piala Dunia 2022  https://t.co/pRDiWJAGAB</t>
  </si>
  <si>
    <t>antar argentina juara ini deretan rekor yang dicetak lionel messi sepanjang piala dunia</t>
  </si>
  <si>
    <t>['antar', 'argentina', 'juara', 'deretan', 'rekor', 'dicetak', 'lionel', 'messi', 'sepanjang', 'piala', 'dunia']</t>
  </si>
  <si>
    <t>Menurut mimin Salah satu final terbaik dan terseru selama perhelatan Piala Dunia...Setelah sempat bermain imbang 3-3 di waktu normal dan perpanjangan waktu, Argentina Keluar sebagai juara setelah mengalahkan Prancis lewat drama Adu Penalti.  https://t.co/H8EdEMoVJ9</t>
  </si>
  <si>
    <t>menurut mimin salah satu final terbaik dan terseru selama perhelatan piala dunia setelah sempat bermain imbang waktu normal dan perpanjangan waktu argentina keluar sebagai juara setelah mengalahkan prancis lewat drama adu penalti</t>
  </si>
  <si>
    <t>['mimin', 'salah', 'satu', 'final', 'terbaik', 'terseru', 'selama', 'perhelatan', 'piala', 'dunia', 'sempat', 'bermain', 'imbang', 'waktu', 'normal', 'perpanjangan', 'waktu', 'argentina', 'keluar', 'juara', 'mengalahkan', 'prancis', 'lewat', 'drama', 'adu', 'penalti']</t>
  </si>
  <si>
    <t>Keren.. Prediksi bung @erickthohir dengan mendukung tim Argentina terbukti. Selamat buat tim Argentina dengan squad terbaik nya akhirnya mampu membawa Messi n team menjadi juara di Doha, Qatar  #BangkitBersamaET  https://t.co/X4ejmIKm8t</t>
  </si>
  <si>
    <t>keren prediksi bung dengan mendukung tim argentina terbukti selamat buat tim argentina dengan squad terbaik nya akhirnya mampu membawa messi team menjadi juara doha qatar</t>
  </si>
  <si>
    <t>['keren', 'prediksi', 'bung', 'mendukung', 'tim', 'argentina', 'terbukti', 'selamat', 'buat', 'tim', 'argentina', 'squad', 'terbaik', 'akhirnya', 'mampu', 'membawa', 'messi', 'team', 'menjadi', 'juara', 'doha', 'qatar']</t>
  </si>
  <si>
    <t>Lionel Messi memimpin Argentina meraih kemenangan Piala Dunia dengan mengalahkan juara bertahan Prancis 4-2 melalui adu penalti.  https://t.co/H1uz6y1Qcp</t>
  </si>
  <si>
    <t>lionel messi memimpin argentina meraih kemenangan piala dunia dengan mengalahkan juara bertahan prancis melalui adu penalti</t>
  </si>
  <si>
    <t>['lionel', 'messi', 'memimpin', 'argentina', 'meraih', 'kemenangan', 'piala', 'dunia', 'mengalahkan', 'juara', 'bertahan', 'prancis', 'melalui', 'adu', 'penalti']</t>
  </si>
  <si>
    <t>Makin iklas argentina juara</t>
  </si>
  <si>
    <t>makin iklas argentina juara</t>
  </si>
  <si>
    <t>['makin', 'iklas', 'argentina', 'juara']</t>
  </si>
  <si>
    <t>Beri Selamat kepada Lionel Messi, Marc Marquez Turut Berbahagia Argentina Juara Piala Dunia 2022   https://t.co/TXw7AgfXPU</t>
  </si>
  <si>
    <t>beri selamat kepada lionel messi marc marquez turut berbahagia argentina juara piala dunia</t>
  </si>
  <si>
    <t>['beri', 'selamat', 'lionel', 'messi', 'marc', 'marquez', 'turut', 'berbahagia', 'argentina', 'juara', 'piala', 'dunia']</t>
  </si>
  <si>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</si>
  <si>
    <t>alhamdulillahnya diawali france juara piala dunia susul argentina piala copa america kemarin dan ditambah juara piala dunia penantian fantastis sih dari cuy nunggu kapan juara nih wkw tinggal england aja belum yaa semoga setelah ini amin</t>
  </si>
  <si>
    <t>['alhamdulillahnya', 'diawali', 'france', 'juara', 'piala', 'dunia', 'susul', 'argentina', 'piala', 'copa', 'america', 'kemarin', 'ditambah', 'juara', 'piala', 'dunia', 'penantian', 'fantastis', 'nunggu', 'kapan', 'juara', 'wkw', 'tinggal', 'england', 'ya', 'semoga', 'amin']</t>
  </si>
  <si>
    <t>@RohadiRex @AriSeptianaaa @penerbitfandom @Indostransfer kalo g ada messi kans juara argentina ga ada, dia layak</t>
  </si>
  <si>
    <t>kalo ada messi kans juara argentina ada dia layak</t>
  </si>
  <si>
    <t>['messi', 'kans', 'juara', 'argentina', 'layak']</t>
  </si>
  <si>
    <t>Masih kepikiran. Kalo argentina gagal juara, yg di bully pasti lautaro wkwkwkwkwk</t>
  </si>
  <si>
    <t>masih kepikiran kalo argentina gagal juara bully pasti lautaro wkwkwkwkwk</t>
  </si>
  <si>
    <t>['kepikiran', 'argentina', 'gagal', 'juara', 'bully', 'lautaro', 'wkwkwkwkwk']</t>
  </si>
  <si>
    <t>Hal yang perlu di nikmatin dan disyukurin selain argentina jadi juara ialah masih bisa nonton final world cup di umur segini dengan berdiri kurang lebih 2 jam :)</t>
  </si>
  <si>
    <t>hal yang perlu nikmatin dan disyukurin selain argentina jadi juara ialah masih bisa nonton final world cup umur segini dengan berdiri kurang lebih jam</t>
  </si>
  <si>
    <t>['perlu', 'nikmatin', 'disyukurin', 'argentina', 'jadi', 'juara', 'ialah', 'nonton', 'final', 'world', 'cup', 'umur', 'segini', 'berdiri', 'kurang', 'lebih', 'jam']</t>
  </si>
  <si>
    <t>@tamam92 Argentina juara üî•üî•</t>
  </si>
  <si>
    <t>Argentina Juara, Emiliano Martinez Menjadi Kiper Terbaik Piala Dunia 2022: Partai final Piala Dunia 2022 antara Argentina kontra Prancis menyajikan tontonan yang sangat sengit, bermain imbang dengan skor‚Ä¶  https://t.co/MLj4v1aVtE #Bola #emimartinez #martinez #finalpialadunia2022</t>
  </si>
  <si>
    <t>argentina juara emiliano martinez menjadi kiper terbaik piala dunia partai final piala dunia antara argentina kontra prancis menyajikan tontonan yang sangat sengit bermain imbang dengan skor</t>
  </si>
  <si>
    <t>['argentina', 'juara', 'emiliano', 'martinez', 'menjadi', 'kiper', 'terbaik', 'piala', 'dunia', 'partai', 'final', 'piala', 'dunia', 'argentina', 'kontra', 'prancis', 'menyajikan', 'tontonan', 'sangat', 'sengit', 'bermain', 'imbang', 'skor']</t>
  </si>
  <si>
    <t>setelah argentina juara, harus menghadapi kenyataan kalo barca harus main di UEL (lagi) dan sekadar mengingatkan pertandingan pertama melawan eMyU</t>
  </si>
  <si>
    <t>setelah argentina juara harus menghadapi kenyataan kalo barca harus main uel lagi dan sekadar mengingatkan pertandingan pertama melawan emyu</t>
  </si>
  <si>
    <t>['argentina', 'juara', 'menghadapi', 'kenyataan', 'barca', 'main', 'uel', 'sekadar', 'mengingatkan', 'pertandingan', 'pertama', 'melawan', 'emyu']</t>
  </si>
  <si>
    <t>Prancis tak kuasa menjadi juara Piala Dunia 2022 usai takluk dari Argentina. Bermain imbang 3-3 selama 120 menit, Prancis akhirnya tumbang 2-4 dari Argentina dalam drama adu penalti.   https://t.co/9noHvufr56</t>
  </si>
  <si>
    <t>prancis tak kuasa menjadi juara piala dunia usai takluk dari argentina bermain imbang selama menit prancis akhirnya tumbang dari argentina dalam drama adu penalti</t>
  </si>
  <si>
    <t>['prancis', 'tak', 'kuasa', 'menjadi', 'juara', 'piala', 'dunia', 'usai', 'takluk', 'argentina', 'bermain', 'imbang', 'selama', 'menit', 'prancis', 'akhirnya', 'tumbang', 'argentina', 'drama', 'adu', 'penalti']</t>
  </si>
  <si>
    <t>Daftar Juara Piala Dunia, Argentina Juara Berapa Kali dan Siapa Koleksi Gelar Terbanyak? Maradona, Emi Martinez, Dybala, Di Maria, Messi, dan Mac Allister Full Senyum! #FIFAWorldCup #ARG   https://t.co/h9UrNGZAVC</t>
  </si>
  <si>
    <t>daftar juara piala dunia argentina juara berapa kali dan siapa koleksi gelar terbanyak maradona emi martinez dybala maria messi dan mac allister full senyum</t>
  </si>
  <si>
    <t>['daftar', 'juara', 'piala', 'dunia', 'argentina', 'juara', 'berapa', 'kali', 'siapa', 'koleksi', 'gelar', 'terbanyak', 'maradona', 'emi', 'martinez', 'dybala', 'maria', 'messi', 'mac', 'allister', 'full', 'senyum']</t>
  </si>
  <si>
    <t>Emi Martinez sebut Argentina Juara Piala Dunia 2022 adalah takdir! . #EMTEKWORLDCUP2022 #BOLANETWORLDCUP2022 #PialaDunia #PialaDunia2022  https://t.co/VlXSe1pNAY</t>
  </si>
  <si>
    <t>emi martinez sebut argentina juara piala dunia adalah takdir</t>
  </si>
  <si>
    <t>['emi', 'martinez', 'sebut', 'argentina', 'juara', 'piala', 'dunia', 'takdir']</t>
  </si>
  <si>
    <t>Emiliano Martnez, Enzo Fernandez, De Paul, Mac Allister, Romere dan Messi adalah dalang dibalik Argentina menjadi juara. Bagus banget mereka mainnya  Setuju?</t>
  </si>
  <si>
    <t>emiliano martnez enzo fernandez paul mac allister romere dan messi adalah dalang dibalik argentina menjadi juara bagus banget mereka mainnya setuju</t>
  </si>
  <si>
    <t>['emiliano', 'martnez', 'enzo', 'fernandez', 'paul', 'mac', 'allister', 'romere', 'messi', 'dalang', 'dibalik', 'argentina', 'menjadi', 'juara', 'bagus', 'banget', 'mainnya', 'setuju']</t>
  </si>
  <si>
    <t>Juara Piala Dunia, Argentina &amp;amp; Messi Menggema di¬†Medsos  https://t.co/aKqBJJBh9g</t>
  </si>
  <si>
    <t>juara piala dunia argentina messi menggema medsos</t>
  </si>
  <si>
    <t>['juara', 'piala', 'dunia', 'argentina', 'messi', 'menggema', 'medsos']</t>
  </si>
  <si>
    <t>Juara Piala Dunia, Argentina &amp;amp; Messi Menggema di¬†Medsos  https://t.co/8A5CLkCKAx</t>
  </si>
  <si>
    <t>Kalau Argentina berhasil jadi juara dunia, aku cuma pengen jadi juara di hati kamu  Ga muluk¬≤</t>
  </si>
  <si>
    <t>kalau argentina berhasil jadi juara dunia aku cuma pengen jadi juara hati kamu muluk</t>
  </si>
  <si>
    <t>['kalau', 'argentina', 'berhasil', 'jadi', 'juara', 'dunia', 'aku', 'cuma', 'pengen', 'jadi', 'juara', 'hati', 'kamu', 'muluk']</t>
  </si>
  <si>
    <t>Argentina menjadi juara Piala Dunia 2022 setelah mengalahkan Perancis melalui babak adu penalti. ^ #Bola #Argentina #PialaDunia2022        https://t.co/RkcRi9926o</t>
  </si>
  <si>
    <t>argentina menjadi juara piala dunia setelah mengalahkan perancis melalui babak adu penalti</t>
  </si>
  <si>
    <t>['argentina', 'menjadi', 'juara', 'piala', 'dunia', 'mengalahkan', 'perancis', 'melalui', 'babak', 'adu', 'penalti']</t>
  </si>
  <si>
    <t>Anyone?  Bantu teman  Argentina Home Juara Player Issue  NNS Messi Original BNWT XXL (Europe Size) 5.000K (Nego)  WA 082110001586</t>
  </si>
  <si>
    <t>anyone bantu teman argentina home juara player issue nns messi original bnwt xxl europe size nego</t>
  </si>
  <si>
    <t>['anyone', 'bantu', 'teman', 'argentina', 'home', 'juara', 'player', 'issue', 'nns', 'messi', 'original', 'bnwt', 'xxl', 'europe', 'size', 'nego']</t>
  </si>
  <si>
    <t>Hari Senin biasanya bersangkutan sama mager, nyebelin tapi kok hari Senin ini menyenangkan yaa?? Oiyaa Argentina juara Messi ngangkat piala duniaü§™ü§´ ronaldo belum pernah ngangkat piala dunia yaa sabar aja kali aja tahun depan mau jajal lagiü§™</t>
  </si>
  <si>
    <t>hari senin biasanya bersangkutan sama mager nyebelin tapi kok hari senin ini menyenangkan yaa oiyaa argentina juara messi ngangkat piala dunia ronaldo belum pernah ngangkat piala dunia yaa sabar aja kali aja tahun depan mau jajal lagi</t>
  </si>
  <si>
    <t>['hari', 'senin', 'biasanya', 'bersangkutan', 'sama', 'malas gerak', 'nyebelin', 'kok', 'hari', 'senin', 'menyenangkan', 'ya', 'oiyaa', 'argentina', 'juara', 'messi', 'ngangkat', 'piala', 'dunia', 'ronaldo', 'pernah', 'ngangkat', 'piala', 'dunia', 'ya', 'sabar', 'kali', 'tahun', 'depan', 'mau', 'jajal']</t>
  </si>
  <si>
    <t>Argentina Juara.  Evos Juara.  Mobile Legends tamat.   Meskipun ada satu hal yg kurang tapi masih tetep bisa senyum.  https://t.co/GXeyPzRAtr</t>
  </si>
  <si>
    <t>argentina juara evos juara mobile legends tamat meskipun ada satu hal kurang tapi masih tetep bisa senyum</t>
  </si>
  <si>
    <t>['argentina', 'juara', 'evos', 'juara', 'mobile', 'legends', 'tamat', 'meskipun', 'satu', 'kurang', 'tetep', 'senyum']</t>
  </si>
  <si>
    <t>Dua duanya layak juara gada yg di setting. Cuman kalah semangat, argentina ngotot, cuma di akhir cakranya dh abis. Boros</t>
  </si>
  <si>
    <t>dua duanya layak juara gada setting cuman kalah semangat argentina ngotot cuma akhir cakranya abis boros</t>
  </si>
  <si>
    <t>['duanya', 'layak', 'juara', 'gada', 'setting', 'cuman', 'kalah', 'semangat', 'argentina', 'ngotot', 'cuma', 'akhir', 'cakranya', 'abis', 'boros']</t>
  </si>
  <si>
    <t>Timnas Argentina berhasil menjadi juara Piala Dunia 2022 usai menaklukkan timnas Prancis.  Lionel Messi sah jadi GOAT dengan paripurna! üêê  https://t.co/aQR98CjvzL</t>
  </si>
  <si>
    <t>timnas argentina berhasil menjadi juara piala dunia usai menaklukkan timnas prancis lionel messi sah jadi goat dengan paripurna</t>
  </si>
  <si>
    <t>['timnas', 'argentina', 'berhasil', 'menjadi', 'juara', 'piala', 'dunia', 'usai', 'menaklukkan', 'timnas', 'prancis', 'lionel', 'messi', 'sah', 'jadi', 'goat', 'paripurna']</t>
  </si>
  <si>
    <t>Timnas Argentina berhasil menjadi juara Piala Dunia 2022 usai menaklukkan timnas Prancis.  Lionel Messi sah jadi GOAT dengan paripurna! üêê  https://t.co/tWw80kPyAi</t>
  </si>
  <si>
    <t>Timnas Argentina berhasil menjadi juara Piala Dunia 2022 usai menaklukkan timnas Prancis.  Lionel Messi sah jadi GOAT dengan paripurna! üêê  https://t.co/pUdF94vJt9</t>
  </si>
  <si>
    <t>Wiii Argentina juara üèÜüèÜüèÜ yah Messi sudah complete gelar nya. Next generasi nya sudah Mbappe sekarang.</t>
  </si>
  <si>
    <t>wiii argentina juara yah messi sudah complete gelar nya next generasi nya sudah mbappe sekarang</t>
  </si>
  <si>
    <t>['wiii', 'argentina', 'juara', 'messi', 'complete', 'gelar', 'next', 'generasi', 'mbappe', 'sekarang']</t>
  </si>
  <si>
    <t>Messi pensiun dengan tenang Akhirnya, Argentina Juara Piala Dunia Untuk Ketiga Kalinya !!  1978, 1986, 2022.  . . Arab Saudi Ronaldo Raul Lemos Emi Martinez Di Maria #FIFAWorldCup Dybala Maradona Camavinga  https://t.co/jzgFqrhRSe</t>
  </si>
  <si>
    <t>messi pensiun dengan tenang akhirnya argentina juara piala dunia untuk ketiga kalinya arab saudi ronaldo raul lemos emi martinez maria dybala maradona camavinga</t>
  </si>
  <si>
    <t>['messi', 'pensiun', 'tenang', 'akhirnya', 'argentina', 'juara', 'piala', 'dunia', 'ketiga', 'kalinya', 'arab', 'saudi', 'ronaldo', 'raul', 'lemos', 'emi', 'martinez', 'maria', 'dybala', 'maradona', 'camavinga']</t>
  </si>
  <si>
    <t>biar makin lengkap messi mbalek ke newells old boys terus juara liga argentina sama copa libertadores</t>
  </si>
  <si>
    <t>biar makin lengkap messi mbalek newells old boys terus juara liga argentina sama copa libertadores</t>
  </si>
  <si>
    <t>['makin', 'lengkap', 'messi', 'mbalek', 'newells', 'old', 'boys', 'terus', 'juara', 'liga', 'argentina', 'sama', 'copa', 'libertadores']</t>
  </si>
  <si>
    <t>Tak disangka tak di Duga  #VamosArgentina #argentinajuara  #FIFAWorldCup  https://t.co/S7Xx08lr7N</t>
  </si>
  <si>
    <t>tak disangka tak duga</t>
  </si>
  <si>
    <t>['tak', 'disangka', 'tak', 'duga']</t>
  </si>
  <si>
    <t>Gak begitu mengikuti sih sekedar tau tapi pas menjelang final Argentina Vs Prancis gak tau yakin aja gitu Argentina bakal juara eh kejadian</t>
  </si>
  <si>
    <t>gak begitu mengikuti sih sekedar tau tapi pas menjelang final argentina prancis gak tau yakin aja gitu argentina bakal juara kejadian</t>
  </si>
  <si>
    <t>['mengikuti', 'sekedar', 'pas', 'menjelang', 'final', 'argentina', 'prancis', 'yakin', 'gitu', 'argentina', 'bakal', 'juara', 'kejadian']</t>
  </si>
  <si>
    <t>Selamat pagi dunia, walau hanya minum air putih itu sudah cukup manis untuk mengingat #Argentina  juara.  Dan teruntuk alarm pagi,suara-suara ayam Jantan berkokok kian tidak terdengar lagi, semoga tidak dihidangkan dengan kenyataan pahit. #FIFAWorldCup  #ArgentinaVsFrance</t>
  </si>
  <si>
    <t>selamat pagi dunia walau hanya minum air putih itu sudah cukup manis untuk mengingat juara dan teruntuk alarm pagi suara suara ayam jantan berkokok kian tidak terdengar lagi semoga tidak dihidangkan dengan kenyataan pahit</t>
  </si>
  <si>
    <t>['selamat', 'pagi', 'dunia', 'minum', 'air', 'putih', 'cukup', 'manis', 'mengingat', 'juara', 'teruntuk', 'alarm', 'pagi', 'suara', 'suara', 'ayam', 'jantan', 'berkokok', 'kian', 'terdengar', 'semoga', 'dihidangkan', 'kenyataan', 'pahit']</t>
  </si>
  <si>
    <t>Argentina Juara Piala Dunia 2022, Ronaldo: Selamat¬†Messi!  https://t.co/H0v3er80sv</t>
  </si>
  <si>
    <t>argentina juara piala dunia ronaldo selamat messi</t>
  </si>
  <si>
    <t>['argentina', 'juara', 'piala', 'dunia', 'ronaldo', 'selamat', 'messi']</t>
  </si>
  <si>
    <t>Timnas Argentina resmi menjadi juara Piala Dunia Qatar 2022 usai menaklukkan timnas Prancis melalui adu penalti dengan skor 4-2, usai bermain selama 120 berakhir dengan skir 3-3, Minggu (18/12/2022) malam WIB.   https://t.co/ZIozmOp3iL</t>
  </si>
  <si>
    <t>timnas argentina resmi menjadi juara piala dunia qatar usai menaklukkan timnas prancis melalui adu penalti dengan skor usai bermain selama berakhir dengan skir minggu malam wib</t>
  </si>
  <si>
    <t>['timnas', 'argentina', 'resmi', 'menjadi', 'juara', 'piala', 'dunia', 'qatar', 'usai', 'menaklukkan', 'timnas', 'prancis', 'melalui', 'adu', 'penalti', 'skor', 'usai', 'bermain', 'selama', 'berakhir', 'skir', 'minggu', 'malam', 'wib']</t>
  </si>
  <si>
    <t>Argentina Juara Piala Dunia 2022, Ronaldo: Selamat¬†Messi!  https://t.co/B66FXMLzi1</t>
  </si>
  <si>
    <t>Misal beliau ga jantungan trus maen dipiala dunia ini, pasti Argentina ga bakal juara. Jadi Argentina bisa juga berkat beliau juga. Goks</t>
  </si>
  <si>
    <t>misal beliau jantungan trus maen dipiala dunia ini pasti argentina bakal juara jadi argentina bisa juga berkat beliau juga goks</t>
  </si>
  <si>
    <t>['misal', 'beliau', 'jantungan', 'trus', 'maen', 'dipiala', 'dunia', 'argentina', 'bakal', 'juara', 'jadi', 'argentina', 'berkat', 'beliau', 'goks']</t>
  </si>
  <si>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</si>
  <si>
    <t>arab saudi baru ngalahin argentina penyisihan grup dah dpt msg sebiji rolls royce aplg ngalahin jerman spanyol jepang dpt biji itu tembus semifinal maroko dpt setengah lusin juara argentina auto buka rentalan rolls royce mau dah pemain bola ksa</t>
  </si>
  <si>
    <t>['arab', 'saudi', 'baru', 'ngalahin', 'argentina', 'penyisihan', 'grup', 'dah', 'dpt', 'msg', 'sebiji', 'rolls', 'royce', 'aplg', 'ngalahin', 'jerman', 'spanyol', 'jepang', 'dpt', 'biji', 'tembus', 'semifinal', 'maroko', 'dpt', 'setengah', 'lusin', 'juara', 'argentina', 'auto', 'buka', 'rentalan', 'rolls', 'royce', 'mau', 'dah', 'pemain', 'bola', 'ksa']</t>
  </si>
  <si>
    <t>&lt;FreqDist with 31 samples and 38 outcomes&gt;</t>
  </si>
  <si>
    <t>Salute! Argentina juara WC. Indonesia kapan ya? Semoga....  https://t.co/XrYgIA0oBP</t>
  </si>
  <si>
    <t>salute argentina juara indonesia kapan semoga</t>
  </si>
  <si>
    <t>['salute', 'argentina', 'juara', 'indonesia', 'kapan', 'semoga']</t>
  </si>
  <si>
    <t>@ikiinya lu bilangnya ARGENTINA juara, ya mau 90 menit kek, mau 120 menit kek, mo adu pinalti sampe CR masuk persib kek yg jelas argentina juaraa wkwkwk kawin sono ama monyet</t>
  </si>
  <si>
    <t>bilangnya argentina juara mau menit kek mau menit kek adu pinalti sampe masuk persib kek jelas argentina juaraa wkwkwk kawin sono ama monyet</t>
  </si>
  <si>
    <t>['bilangnya', 'argentina', 'juara', 'mau', 'menit', 'kek', 'mau', 'menit', 'kek', 'adu', 'penalti', 'sampai', 'masuk', 'persib', 'kek', 'jelas', 'argentina', 'juaraa', 'wkwkwk', 'kawin', 'sono', 'ama', 'monyet']</t>
  </si>
  <si>
    <t>Menang Adu Penalti, Argentina Juara Piala Dunia 2022  https://t.co/653BVgMKQQ</t>
  </si>
  <si>
    <t>menang adu penalti argentina juara piala dunia</t>
  </si>
  <si>
    <t>['menang', 'adu', 'penalti', 'argentina', 'juara', 'piala', 'dunia']</t>
  </si>
  <si>
    <t>@rizky_prozal cuma di era jokowi timnas argentina bisa juaraüá¶üá∑üéâ @ihramharahap</t>
  </si>
  <si>
    <t>prozal cuma era jokowi timnas argentina bisa juara</t>
  </si>
  <si>
    <t>['prozal', 'cuma', 'era', 'jokowi', 'timnas', 'argentina', 'juara']</t>
  </si>
  <si>
    <t>@meldawiesyah Ha..ha..sebab dah tahu lebih awal Argentina juara nya akak...üòÄüòÄüòÄ  https://t.co/S3XT9WsYge</t>
  </si>
  <si>
    <t>sebab dah tahu lebih awal argentina juara nya akak</t>
  </si>
  <si>
    <t>['dah', 'tahu', 'lebih', 'awal', 'argentina', 'juara', 'akak']</t>
  </si>
  <si>
    <t>@jek___ Juara dunia world cup Qatar Argentina hanya kalah melawan Arab Saudi  https://t.co/iF7mTDEER4</t>
  </si>
  <si>
    <t>juara dunia world cup qatar argentina hanya kalah melawan arab saudi</t>
  </si>
  <si>
    <t>['juara', 'dunia', 'world', 'cup', 'qatar', 'argentina', 'kalah', 'melawan', 'arab', 'saudi']</t>
  </si>
  <si>
    <t>Menakjubkan! Kota Kelahiran Lionel Messi Jadi Lautan Manusia Usai Argentina Juara Piala Dunia¬†2022  https://t.co/XpFS1QWKor</t>
  </si>
  <si>
    <t>Menakjubkan! Kota Kelahiran Lionel Messi Jadi Lautan Manusia Usai Argentina Juara Piala Dunia¬†2022  https://t.co/EGsOktAeFN</t>
  </si>
  <si>
    <t>Argentina juara cook</t>
  </si>
  <si>
    <t>argentina juara cook</t>
  </si>
  <si>
    <t>['argentina', 'juara', 'cook']</t>
  </si>
  <si>
    <t>ARGENTINA muncul juara Piala Dunia Qatar 2022 selepas menundukkan juara bertahan Perancis melalui penentuan sepakan penalti 4-2 di Stadium Lusail, Doha, sebentar tadi. (1/2)  #TvPertiwi  https://t.co/Enllofei9Q</t>
  </si>
  <si>
    <t>argentina muncul juara piala dunia qatar selepas menundukkan juara bertahan perancis melalui penentuan sepakan penalti stadium lusail doha sebentar tadi</t>
  </si>
  <si>
    <t>['argentina', 'muncul', 'juara', 'piala', 'dunia', 'qatar', 'selepas', 'menundukkan', 'juara', 'bertahan', 'perancis', 'melalui', 'penentuan', 'sepakan', 'penalti', 'stadium', 'lusail', 'doha', 'sebentar', 'tadi']</t>
  </si>
  <si>
    <t>Mau argentina yang juara,prancis yg juara tetep weh yang kalah mah yang masang win 1x2</t>
  </si>
  <si>
    <t>mau argentina yang juara prancis juara tetep weh yang kalah mah yang masang win</t>
  </si>
  <si>
    <t>['mau', 'argentina', 'juara', 'prancis', 'juara', 'tetep', 'weh', 'kalah', 'mah', 'masang', 'win']</t>
  </si>
  <si>
    <t xml:space="preserve">@JayaTigamutiara @idextratime Ya bang, itu terjadi setelah argentina juara pildun. Andai g juara pildun fans Ronaldo terus-terusan bully Messi, messiun terus akan melekat. Ya inilah roda bang. Skrg banyak fans Messi bully fans Ronaldo. Tp gk sedikit juga </t>
  </si>
  <si>
    <t>bang itu terjadi setelah argentina juara pildun andai juara pildun fans ronaldo terus terusan bully messi messiun terus akan melekat inilah roda bang skrg banyak fans messi bully fans ronaldo sedikit juga</t>
  </si>
  <si>
    <t>['bang', 'terjadi', 'argentina', 'juara', 'piala dunia', 'andai', 'juara', 'piala dunia', 'fans', 'ronaldo', 'terus', 'terusan', 'bully', 'messi', 'messiun', 'terus', 'melekat', 'inilah', 'roda', 'bang', 'skrg', 'banyak', 'fans', 'messi', 'bully', 'fans', 'ronaldo', 'sedikit']</t>
  </si>
  <si>
    <t>&lt;FreqDist with 19 samples and 28 outcomes&gt;</t>
  </si>
  <si>
    <t>@golipp Si jarang mosting status wa, skali mosting argentina juara wkwk</t>
  </si>
  <si>
    <t>jarang mosting status skali mosting argentina juara wkwk</t>
  </si>
  <si>
    <t>['jarang', 'mosting', 'status', 'skali', 'mosting', 'argentina', 'juara']</t>
  </si>
  <si>
    <t>Argentina menjadi juara Piala Dunia 2022 setelah menang adu penalti atas Prancis. Berikut adalah reaksi di linimasa media sosial mengenai laga seru itu.   https://t.co/6UlTAsdsjA</t>
  </si>
  <si>
    <t>Bravo, Pak Erick Thohir prediksinya tepat dan harapannya tercapai Argentina jadi juara dan Messi juga jadi pemain terbaik. Sekarang semoga prediksi saya tepat dan harapannya juga tercapai untuk Pak @erickthohir jadi Wapres 2024.   #BangkitBersamaET  https://t.co/wT0dzu968c</t>
  </si>
  <si>
    <t>bravo pak erick thohir prediksinya tepat dan harapannya tercapai argentina jadi juara dan messi juga jadi pemain terbaik sekarang semoga prediksi saya tepat dan harapannya juga tercapai untuk pak jadi wapres</t>
  </si>
  <si>
    <t>['bravo', 'pak', 'erick', 'thohir', 'prediksinya', 'tepat', 'harapannya', 'tercapai', 'argentina', 'jadi', 'juara', 'messi', 'jadi', 'pemain', 'terbaik', 'sekarang', 'semoga', 'prediksi', 'tepat', 'harapannya', 'tercapai', 'pak', 'jadi', 'wapres']</t>
  </si>
  <si>
    <t>Bangga sama Indonesia. Argentina sang juara dunia, belum pernah menang lawan timnas Indonesia.  Hidup Iwan Bule!!!  Bismillah Ketua Divisi Kompetisi ‚ò∫Ô∏è</t>
  </si>
  <si>
    <t>bangga sama indonesia argentina sang juara dunia belum pernah menang lawan timnas indonesia hidup iwan bule bismillah ketua divisi kompetisi</t>
  </si>
  <si>
    <t>['bangga', 'sama', 'indonesia', 'argentina', 'sang', 'juara', 'dunia', 'pernah', 'menang', 'lawan', 'timnas', 'indonesia', 'hidup', 'iwan', 'bule', 'bismillah', 'ketua', 'divisi', 'kompetisi']</t>
  </si>
  <si>
    <t>Messi bawa Argentina juara Piala Dunia 2022, Raul Lemos trending Twitter  https://t.co/pvKExyi1Nj</t>
  </si>
  <si>
    <t>messi bawa argentina juara piala dunia raul lemos trending twitter</t>
  </si>
  <si>
    <t>['messi', 'bawa', 'argentina', 'juara', 'piala', 'dunia', 'raul', 'lemos', 'trending', 'twitter']</t>
  </si>
  <si>
    <t>Argentina, Juara Piala Dunia FIFA Qatar 2022  https://t.co/5MIBgCvwSc  https://t.co/ID62UFBRDv</t>
  </si>
  <si>
    <t>argentina juara piala dunia fifa qatar</t>
  </si>
  <si>
    <t>['argentina', 'juara', 'piala', 'dunia', 'fifa', 'qatar']</t>
  </si>
  <si>
    <t>Argentina juara dunia, kamu juara hatikuü™Ç</t>
  </si>
  <si>
    <t>argentina juara dunia kamu juara hatiku</t>
  </si>
  <si>
    <t>['argentina', 'juara', 'dunia', 'kamu', 'juara', 'hatiku']</t>
  </si>
  <si>
    <t>Akhirnya di eranya pak.Jokowi Argentina kembali juara pildun, terima kasih Pak Jokowi ü§£ü§£ü§£</t>
  </si>
  <si>
    <t>akhirnya eranya pak jokowi argentina kembali juara pildun terima kasih pak jokowi</t>
  </si>
  <si>
    <t>['akhirnya', 'eranya', 'pak', 'jokowi', 'argentina', 'juara', 'piala dunia', 'terima', 'kasih', 'pak', 'jokowi']</t>
  </si>
  <si>
    <t>Messi Cs Juara Piala Dunia, Presiden Argentina Colek Macron: Tim Terbaik Menang!  https://t.co/g0aigqUN3H</t>
  </si>
  <si>
    <t>messi juara piala dunia presiden argentina colek macron tim terbaik menang</t>
  </si>
  <si>
    <t>['messi', 'juara', 'piala', 'dunia', 'presiden', 'argentina', 'colek', 'macron', 'tim', 'terbaik', 'menang']</t>
  </si>
  <si>
    <t>Belum ada ucapan: "Saya selaku Ketua Persatuan Sepakbola Seluruh Argentina beserta jajaran mengucapkan, selamat atas diraihnya juara World Cup 2022. Semoga momen ini menjadi cambuk keberhasilan bagi pencalonan saya kelak."  https://t.co/xrrIPDGO5Q</t>
  </si>
  <si>
    <t>belum ada ucapan saya selaku ketua persatuan sepakbola seluruh argentina beserta jajaran mengucapkan selamat atas diraihnya juara world cup semoga momen ini menjadi cambuk keberhasilan bagi pencalonan saya kelak</t>
  </si>
  <si>
    <t>['ucapan', 'selaku', 'ketua', 'persatuan', 'sepakbola', 'seluruh', 'argentina', 'beserta', 'jajaran', 'mengucapkan', 'selamat', 'atas', 'diraihnya', 'juara', 'world', 'cup', 'semoga', 'momen', 'menjadi', 'cambuk', 'keberhasilan', 'pencalonan', 'kelak']</t>
  </si>
  <si>
    <t xml:space="preserve"> https://t.co/nqIRXWoejC   BEBERAPA Faktor Penyebab Argentina Bisa Juara Piala Dunia 2022, Messi dan Emi Martinez Fantastis !  #Argentina  #Messi  #EmiMartinez  #FIFAWorldCup</t>
  </si>
  <si>
    <t>beberapa faktor penyebab argentina bisa juara piala dunia messi dan emi martinez fantastis</t>
  </si>
  <si>
    <t>['beberapa', 'faktor', 'penyebab', 'argentina', 'juara', 'piala', 'dunia', 'messi', 'emi', 'martinez', 'fantastis']</t>
  </si>
  <si>
    <t>Bawa Argentina Jadi Juara Piala Dunia 2022, Messi Mengaku Belum Ingin Pensiun #argentina #pialadunia2022 #worldcup2022 #lionelmessi #perancis  https://t.co/XTY5YsfCPW via @YouTube</t>
  </si>
  <si>
    <t>bawa argentina jadi juara piala dunia messi mengaku belum ingin pensiun via</t>
  </si>
  <si>
    <t>['bawa', 'argentina', 'jadi', 'juara', 'piala', 'dunia', 'messi', 'mengaku', 'pensiun', 'via']</t>
  </si>
  <si>
    <t>@ylljejee Hbd kak, semoga Argentina juara piala dunia tahun ini</t>
  </si>
  <si>
    <t>hbd kak semoga argentina juara piala dunia tahun ini</t>
  </si>
  <si>
    <t>['hbd', 'kak', 'semoga', 'argentina', 'juara', 'piala', 'dunia', 'tahun']</t>
  </si>
  <si>
    <t>Argentina Juara, F1 dan MotoGP Dilanda Demam¬†Messi  https://t.co/NCK26NtO4t</t>
  </si>
  <si>
    <t>argentina juara dan motogp dilanda demam messi</t>
  </si>
  <si>
    <t>['argentina', 'juara', 'motogp', 'dilanda', 'demam', 'messi']</t>
  </si>
  <si>
    <t>Masih aja ada yang percaya final piala dunia di setting biar argentina juara. Cih!</t>
  </si>
  <si>
    <t>masih aja ada yang percaya final piala dunia setting biar argentina juara cih</t>
  </si>
  <si>
    <t>['percaya', 'final', 'piala', 'dunia', 'setting', 'argentina', 'juara', 'cih']</t>
  </si>
  <si>
    <t>Gelaran #FIFAWorldCup2022 telah usai dan menobatkan Argentina sebagai juara untuk ketiga kalinya. Dan ada 5 penghargaan yang berhak disandang oleh beberapa pemain sbb:  1. Pemain Terbaik: Lionel Messi (Argentina) 2. Top Skor: Kylian Mbappe (Prancis)</t>
  </si>
  <si>
    <t>gelaran telah usai dan menobatkan argentina sebagai juara untuk ketiga kalinya dan ada penghargaan yang berhak disandang oleh beberapa pemain sbb pemain terbaik lionel messi argentina top skor kylian mbappe prancis</t>
  </si>
  <si>
    <t>['gelaran', 'usai', 'menobatkan', 'argentina', 'juara', 'ketiga', 'kalinya', 'penghargaan', 'berhak', 'disandang', 'beberapa', 'pemain', 'sbb', 'pemain', 'terbaik', 'lionel', 'messi', 'argentina', 'top', 'skor', 'kylian', 'mbappe', 'prancis']</t>
  </si>
  <si>
    <t>Mau Argentina atau Prancis yang juara, yang terpenting aku tetap menjadi juara buat dapetin kamu.</t>
  </si>
  <si>
    <t>mau argentina atau prancis yang juara yang terpenting aku tetap menjadi juara buat dapetin kamu</t>
  </si>
  <si>
    <t>['mau', 'argentina', 'prancis', 'juara', 'terpenting', 'aku', 'tetap', 'menjadi', 'juara', 'buat', 'dapetin', 'kamu']</t>
  </si>
  <si>
    <t>@JeanAprilia96 Horee ahirnya argentina juara.  https://t.co/oAejRgyIsc</t>
  </si>
  <si>
    <t>horee ahirnya argentina juara</t>
  </si>
  <si>
    <t>['horee', 'ahirnya', 'argentina', 'juara']</t>
  </si>
  <si>
    <t>@rizal_hafidz17 @ruangtaktik Juara ya juara, trlepas drama dibaliknya, jagoin prancis tp ga tau knp td dr awal mainnya beda sama pas lawan marocco, congrats lah buat argentina üëç</t>
  </si>
  <si>
    <t>hafidz juara juara trlepas drama dibaliknya jagoin prancis tau knp awal mainnya beda sama pas lawan marocco congrats lah buat argentina</t>
  </si>
  <si>
    <t>['hafidz', 'juara', 'juara', 'trlepas', 'drama', 'dibaliknya', 'jagoin', 'prancis', 'kenapa', 'awal', 'mainnya', 'beda', 'sama', 'pas', 'lawan', 'marocco', 'congrats', 'lah', 'buat', 'argentina']</t>
  </si>
  <si>
    <t>Nemu tweet yg isinya ramalan argentina juara dunia. Sudah diprediksi sejak 7 thn lalu üò≤</t>
  </si>
  <si>
    <t>nemu tweet isinya ramalan argentina juara dunia sudah diprediksi sejak thn lalu</t>
  </si>
  <si>
    <t>['nemu', 'tweet', 'isinya', 'ramalan', 'argentina', 'juara', 'dunia', 'diprediksi', 'sejak', 'thn', 'lalu']</t>
  </si>
  <si>
    <t>Argentina Juara Piala Dunia Qatar 2022  https://t.co/7D11ru3EWf</t>
  </si>
  <si>
    <t xml:space="preserve"> https://t.co/Cha9F7obl5  hanya dimasa kepemimpina @jokowi #argentina bisa jadi juara piala dunia  heheheheje  eh ketum pssi argentina dah posting belum?</t>
  </si>
  <si>
    <t>hanya dimasa kepemimpina bisa jadi juara piala dunia heheheheje ketum pssi argentina dah posting belum</t>
  </si>
  <si>
    <t>['dimasa', 'kepemimpina', 'jadi', 'juara', 'piala', 'dunia', 'heheheheje', 'ketum', 'pssi', 'argentina', 'dah', 'posting']</t>
  </si>
  <si>
    <t>Argentina juara pildun   https://t.co/SqEp7YGmhr</t>
  </si>
  <si>
    <t>argentina juara pildun</t>
  </si>
  <si>
    <t>Berikut nominal hadiah yang didapat Argentina sebagai juara Piala Dunia 2022. Kira-kira seberapa banyak, ya?  https://t.co/3oNoefe6DE</t>
  </si>
  <si>
    <t>berikut nominal hadiah yang didapat argentina sebagai juara piala dunia kira kira seberapa banyak</t>
  </si>
  <si>
    <t>['berikut', 'nominal', 'hadiah', 'didapat', 'argentina', 'juara', 'piala', 'dunia', 'kira', 'kira', 'seberapa', 'banyak']</t>
  </si>
  <si>
    <t>@MafiaWasit Setelah berganti kepemimpinan federasi baru di kepemimpinan bpk claudio tapia argentina juara,terimakasih bpk claudio</t>
  </si>
  <si>
    <t>setelah berganti kepemimpinan federasi baru kepemimpinan bpk claudio tapia argentina juara terimakasih bpk claudio</t>
  </si>
  <si>
    <t>['berganti', 'kepemimpinan', 'federasi', 'baru', 'kepemimpinan', 'bapak', 'claudio', 'tapia', 'argentina', 'juara', 'terimakasih', 'bapak', 'claudio']</t>
  </si>
  <si>
    <t>Aslinya juara Dunia 2022 adalah Arab Saudi, karena hanya mereka yang bisa mengalahkan Argentina.....  #ArgentinaVsFrance  #arg #SaudiArabia  #FIFAWorldCup  https://t.co/PHBjCf3y0s</t>
  </si>
  <si>
    <t>aslinya juara dunia adalah arab saudi karena hanya mereka yang bisa mengalahkan argentina</t>
  </si>
  <si>
    <t>['aslinya', 'juara', 'dunia', 'arab', 'saudi', 'mengalahkan', 'argentina']</t>
  </si>
  <si>
    <t>@alexasaffira Udah kak debatnya yang penting ARGENTINA JUARA</t>
  </si>
  <si>
    <t>udah kak debatnya yang penting argentina juara</t>
  </si>
  <si>
    <t>['udah', 'kak', 'debatnya', 'penting', 'argentina', 'juara']</t>
  </si>
  <si>
    <t>@nandomonerae Argentina sekali nya dapet kiper bagus langsung juara south america sama world cup</t>
  </si>
  <si>
    <t>argentina sekali nya dapet kiper bagus langsung juara south america sama world cup</t>
  </si>
  <si>
    <t>['argentina', 'sekali', 'dapat', 'kiper', 'bagus', 'langsung', 'juara', 'south', 'america', 'sama', 'world', 'cup']</t>
  </si>
  <si>
    <t>Kiper Emliano Martinez Sebut Argentina Sudah Ditakdirkan Juara Piala Dunia  https://t.co/89KmV5VuHh</t>
  </si>
  <si>
    <t>kiper emliano martinez sebut argentina sudah ditakdirkan juara piala dunia</t>
  </si>
  <si>
    <t>['kiper', 'emliano', 'martinez', 'sebut', 'argentina', 'ditakdirkan', 'juara', 'piala', 'dunia']</t>
  </si>
  <si>
    <t>Selamat Argentina sebagai juara, selamat Prancis  sebagai runner up,</t>
  </si>
  <si>
    <t>selamat argentina sebagai juara selamat prancis sebagai runner</t>
  </si>
  <si>
    <t>['selamat', 'argentina', 'juara', 'selamat', 'prancis', 'runner']</t>
  </si>
  <si>
    <t>iki Argentina juara og hawane dino senin terus pwanas nylekit neng kulit ngene, po mergo genderone gambar matahari  https://t.co/SzMWbfKT1H</t>
  </si>
  <si>
    <t>iki argentina juara hawane dino senin terus pwanas nylekit neng kulit ngene mergo genderone gambar matahari</t>
  </si>
  <si>
    <t>['iki', 'argentina', 'juara', 'hawane', 'dino', 'senin', 'terus', 'pwanas', 'nylekit', 'neng', 'kulit', 'ngene', 'mergo', 'genderone', 'gambar', 'matahari']</t>
  </si>
  <si>
    <t>Angkat Trofi Juara Piala Dunia 2022, Messi: Saya Tak Akan Pensiun dari Timnas Argentina  https://t.co/Rzmt8zeGOj</t>
  </si>
  <si>
    <t>angkat trofi juara piala dunia messi saya tak akan pensiun dari timnas argentina</t>
  </si>
  <si>
    <t>['angkat', 'trofi', 'juara', 'piala', 'dunia', 'messi', 'tak', 'pensiun', 'timnas', 'argentina']</t>
  </si>
  <si>
    <t>Selamat buat Argentina yang telah menjadi juara dunia</t>
  </si>
  <si>
    <t>selamat buat argentina yang telah menjadi juara dunia</t>
  </si>
  <si>
    <t>['selamat', 'buat', 'argentina', 'menjadi', 'juara', 'dunia']</t>
  </si>
  <si>
    <t>Martinez: Argentina Juara Dunia adalah Takdir  https://t.co/A5vx95CNhA  https://t.co/zpUMd8RN8W</t>
  </si>
  <si>
    <t>martinez argentina juara dunia adalah takdir</t>
  </si>
  <si>
    <t>['martinez', 'argentina', 'juara', 'dunia', 'takdir']</t>
  </si>
  <si>
    <t>Keberhasilan Argentina menjadi juara Piala Dunia Qatar 2022 ini juga semakin lengkap saat mereka berhasil memborong tiga dari empat penghargaan individu yang diberikan di penghujung partai final itu.  https://t.co/WdXwAbk6kG</t>
  </si>
  <si>
    <t>keberhasilan argentina menjadi juara piala dunia qatar ini juga semakin lengkap saat mereka berhasil memborong tiga dari empat penghargaan individu yang diberikan penghujung partai final itu</t>
  </si>
  <si>
    <t>['keberhasilan', 'argentina', 'menjadi', 'juara', 'piala', 'dunia', 'qatar', 'semakin', 'lengkap', 'berhasil', 'memborong', 'tiga', 'empat', 'penghargaan', 'individu', 'diberikan', 'penghujung', 'partai', 'final']</t>
  </si>
  <si>
    <t>Argentina Juara Piala Dunia 2022! üéâ  Argentina berhasil mengalahkan Prancis dengan babak adu penalti (4-2) setelah pertandingan berjalan dengan skor 3-3. Argentina menjuarai Piala Dunia ke 3 kalinya ü•≥  #fifaworldcup #pialadunia2022 #argentina #juara #messi  https://t.co/99DefrRFDe</t>
  </si>
  <si>
    <t>argentina juara piala dunia argentina berhasil mengalahkan prancis dengan babak adu penalti setelah pertandingan berjalan dengan skor argentina menjuarai piala dunia kalinya</t>
  </si>
  <si>
    <t>['argentina', 'juara', 'piala', 'dunia', 'argentina', 'berhasil', 'mengalahkan', 'prancis', 'babak', 'adu', 'penalti', 'pertandingan', 'berjalan', 'skor', 'argentina', 'menjuarai', 'piala', 'dunia', 'kalinya']</t>
  </si>
  <si>
    <t>Senang bisa menjadi saksi sejarah Messi THE GREATEST OF ALL TIME membawa Argentina juara Piala Dunia Qatar 2022. Selamat !!!</t>
  </si>
  <si>
    <t>senang bisa menjadi saksi sejarah messi the greatest all time membawa argentina juara piala dunia qatar selamat</t>
  </si>
  <si>
    <t>['senang', 'menjadi', 'saksi', 'sejarah', 'messi', 'the', 'greatest', 'all', 'time', 'membawa', 'argentina', 'juara', 'piala', 'dunia', 'qatar', 'selamat']</t>
  </si>
  <si>
    <t>Dit @aditkuper, akhirnya semalem Messi bawa argentina juara dunia. Sesuai harapan lo.</t>
  </si>
  <si>
    <t>dit akhirnya semalem messi bawa argentina juara dunia sesuai harapan</t>
  </si>
  <si>
    <t>['dit', 'akhirnya', 'semalam', 'messi', 'bawa', 'argentina', 'juara', 'dunia', 'sesuai', 'harapan']</t>
  </si>
  <si>
    <t>Semenjak Bapak Iwan Bule menjabat sebagai Ketum PSSI dan Bapak Jokowi sebagai Presiden Indonesia, Argentina akhirnya kembali menjadi juara dunia, terima kasih Bapak2 semua üôèüèª.</t>
  </si>
  <si>
    <t>semenjak bapak iwan bule menjabat sebagai ketum pssi dan bapak jokowi sebagai presiden indonesia argentina akhirnya kembali menjadi juara dunia terima kasih bapak semua</t>
  </si>
  <si>
    <t>['semenjak', 'bapak', 'iwan', 'bule', 'menjabat', 'ketum', 'pssi', 'bapak', 'jokowi', 'presiden', 'indonesia', 'argentina', 'akhirnya', 'menjadi', 'juara', 'dunia', 'terima', 'kasih', 'bapak', 'semua']</t>
  </si>
  <si>
    <t>Argentina blh jadi juara tpi km ttp jadi juara dihati aku uwuuuüëÄüëâüëà</t>
  </si>
  <si>
    <t>argentina blh jadi juara tpi ttp jadi juara dihati aku uwuuu</t>
  </si>
  <si>
    <t>['argentina', 'blh', 'jadi', 'juara', 'tpi', 'ttp', 'jadi', 'juara', 'dihati', 'aku', 'uwuuu']</t>
  </si>
  <si>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</si>
  <si>
    <t>tadi malam prancis dibuat terpana oleh tarian tango yang ditunjukkan messi dkk selama lebih dari menit dan berakhir dengan drama adu penalti selamat untuk argentina yang menjadi juara piala dunia terima kasih telah menghibur kami dengan tarianmu lapangan hijau</t>
  </si>
  <si>
    <t>['tadi', 'malam', 'prancis', 'dibuat', 'terpana', 'tarian', 'tango', 'ditunjukkan', 'messi', 'dkk', 'selama', 'lebih', 'menit', 'berakhir', 'drama', 'adu', 'penalti', 'selamat', 'argentina', 'menjadi', 'juara', 'piala', 'dunia', 'terima', 'kasih', 'menghibur', 'tarianmu', 'lapangan', 'hijau']</t>
  </si>
  <si>
    <t>Yang juara pildun Messi sama Argentina nya, tapi tetep yg jadi trending pembicaraan ya Ronaldo. Ronaldo emang kadang¬≤ ya üòÖüòÖüòÖ</t>
  </si>
  <si>
    <t>yang juara pildun messi sama argentina nya tapi tetep jadi trending pembicaraan ronaldo ronaldo emang kadang</t>
  </si>
  <si>
    <t>['juara', 'piala dunia', 'messi', 'sama', 'argentina', 'tetep', 'jadi', 'trending', 'pembicaraan', 'ronaldo', 'ronaldo', 'emang', 'kadang']</t>
  </si>
  <si>
    <t>Argentina telah mengakhiri dahaga gelar juara Piala Dunia. Kini giliran Indonesia mengakhiri puasa gelar juara di Asia Tenggara.</t>
  </si>
  <si>
    <t>argentina telah mengakhiri dahaga gelar juara piala dunia kini giliran indonesia mengakhiri puasa gelar juara asia tenggara</t>
  </si>
  <si>
    <t>['argentina', 'mengakhiri', 'dahaga', 'gelar', 'juara', 'piala', 'dunia', 'kini', 'giliran', 'indonesia', 'mengakhiri', 'puasa', 'gelar', 'juara', 'asia', 'tenggara']</t>
  </si>
  <si>
    <t>Oiya, Argentina semalam lebih baik dari pada waktu juara Copa America.</t>
  </si>
  <si>
    <t>oiya argentina semalam lebih baik dari pada waktu juara copa america</t>
  </si>
  <si>
    <t>['oiya', 'argentina', 'semalam', 'lebih', 'baik', 'waktu', 'juara', 'copa', 'america']</t>
  </si>
  <si>
    <t>Taklukan Prancis Lewat Drama Adu Pinalti, Argentina Juara Untuk Ketiga Kalinya  https://t.co/csEoTsAgL6</t>
  </si>
  <si>
    <t>taklukan prancis lewat drama adu pinalti argentina juara untuk ketiga kalinya</t>
  </si>
  <si>
    <t>['taklukan', 'prancis', 'lewat', 'drama', 'adu', 'penalti', 'argentina', 'juara', 'ketiga', 'kalinya']</t>
  </si>
  <si>
    <t>Argentina boleh juara piala dunia Tp blm tentu juara piala AFF Camkan itu!!!!</t>
  </si>
  <si>
    <t>argentina boleh juara piala dunia blm tentu juara piala aff camkan itu</t>
  </si>
  <si>
    <t>['argentina', 'juara', 'piala', 'dunia', 'blm', 'juara', 'piala', 'aff', 'camkan']</t>
  </si>
  <si>
    <t>Selamat Argentina anda pantas dapat juara, bagi yg belum berhasil tetap semangat dan berjuang tahun depan  https://t.co/4cOnzlUMun</t>
  </si>
  <si>
    <t>selamat argentina anda pantas dapat juara bagi belum berhasil tetap semangat dan berjuang tahun depan</t>
  </si>
  <si>
    <t>['selamat', 'argentina', 'pantas', 'juara', 'berhasil', 'tetap', 'semangat', 'berjuang', 'tahun', 'depan']</t>
  </si>
  <si>
    <t>Kiper Emliano Martinez Sebut Argentina Sudah Ditakdirkan Juara Piala Dunia  https://t.co/89KmV6cxJh</t>
  </si>
  <si>
    <t>Jongjon ah Argentina ges juara mah</t>
  </si>
  <si>
    <t>jongjon argentina ges juara mah</t>
  </si>
  <si>
    <t>['jongjon', 'argentina', 'guys', 'juara', 'mah']</t>
  </si>
  <si>
    <t>‚ú®‚ú® RALINE BLOUSE ‚ú®‚ú® üõí  https://t.co/hg9lkP9tKO  Ronaldo Messi Raul Lemos Piala Dunia Argentina Prancis Juara Dunia  https://t.co/1hJaKKTAdQ</t>
  </si>
  <si>
    <t>raline blouse ronaldo messi raul lemos piala dunia argentina prancis juara dunia</t>
  </si>
  <si>
    <t>['raline', 'blouse', 'ronaldo', 'messi', 'raul', 'lemos', 'piala', 'dunia', 'argentina', 'prancis', 'juara', 'dunia']</t>
  </si>
  <si>
    <t>what a beautiful morning~ ARGENTINA JUARA PIALA DUNIA COK üò≠üò≠üòöü•≥</t>
  </si>
  <si>
    <t>what beautiful morning argentina juara piala dunia cok</t>
  </si>
  <si>
    <t>['what', 'beautiful', 'morning', 'argentina', 'juara', 'piala', 'dunia', 'cok']</t>
  </si>
  <si>
    <t>Argentina rampas Piala Dunia daripada juara bertahan Perancis  https://t.co/Jm4neFhXGV via @MNowNews</t>
  </si>
  <si>
    <t>argentina rampas piala dunia daripada juara bertahan perancis via</t>
  </si>
  <si>
    <t>['argentina', 'rampas', 'piala', 'dunia', 'juara', 'bertahan', 'perancis', 'via']</t>
  </si>
  <si>
    <t>Sederet Ungkapan Bahagia Messi Usai Argentina Juara Dunia 2022  https://t.co/hxQmSx8LEr</t>
  </si>
  <si>
    <t>sederet ungkapan bahagia messi usai argentina juara dunia</t>
  </si>
  <si>
    <t>['sederet', 'ungkapan', 'bahagia', 'messi', 'usai', 'argentina', 'juara', 'dunia']</t>
  </si>
  <si>
    <t>Argentina juara Piala Dunia 2022 usai membungkam Prancis lewat drama adu penalti. Usai kemenangan itu, timnas Argentina diarak di atas bus.  https://t.co/7ZrbGCRKdF</t>
  </si>
  <si>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</si>
  <si>
    <t>argentina juara walaupun diawal kalah dari arab saudi krn punya mental juara akhirnya goolll juara dunia messi mengakhiri karirnya krn usia happy semoga bisa mjd motivasi dlm hidup jgn pernah menyerah walau rintangan menggoyang</t>
  </si>
  <si>
    <t>['argentina', 'juara', 'walaupun', 'diawal', 'kalah', 'arab', 'saudi', 'punya', 'mental', 'juara', 'akhirnya', 'goolll', 'juara', 'dunia', 'messi', 'mengakhiri', 'karirnya', 'usia', 'happy', 'semoga', 'mjd', 'motivasi', 'dlm', 'hidup', 'pernah', 'menyerah', 'rintangan', 'menggoyang']</t>
  </si>
  <si>
    <t>Lionel Messi berhasil melengkapi kariernya dengan mengantarkan Argentina jadi juara Piala Dunia 2022. Torehan ini membuat Messi sah menjadi salah satu Greatest of All Time.  #PestadiQatar #PialaDunia2022 #PialaDunia  https://t.co/Or5uRGsu47  https://t.co/yWFAUes1Ms</t>
  </si>
  <si>
    <t>lionel messi berhasil melengkapi kariernya dengan mengantarkan argentina jadi juara piala dunia torehan ini membuat messi sah menjadi salah satu greatest all time</t>
  </si>
  <si>
    <t>['lionel', 'messi', 'berhasil', 'melengkapi', 'kariernya', 'mengantarkan', 'argentina', 'jadi', 'juara', 'piala', 'dunia', 'torehan', 'membuat', 'messi', 'sah', 'menjadi', 'salah', 'satu', 'greatest', 'all', 'time']</t>
  </si>
  <si>
    <t>Arek iki @andykacahyak terpantau marah2 Argentina juara</t>
  </si>
  <si>
    <t>arek iki terpantau marah argentina juara</t>
  </si>
  <si>
    <t>['arek', 'iki', 'terpantau', 'marah', 'argentina', 'juara']</t>
  </si>
  <si>
    <t>@idextratime Jelas sekali ini konspirasi menghilangkan bukti siapa yang membawa Argentina juara</t>
  </si>
  <si>
    <t>jelas sekali ini konspirasi menghilangkan bukti siapa yang membawa argentina juara</t>
  </si>
  <si>
    <t>['jelas', 'sekali', 'konspirasi', 'menghilangkan', 'bukti', 'siapa', 'membawa', 'argentina', 'juara']</t>
  </si>
  <si>
    <t>Langite ngetokne eluh nyawang argentina juara</t>
  </si>
  <si>
    <t>langite ngetokne eluh nyawang argentina juara</t>
  </si>
  <si>
    <t>['langite', 'ngetokne', 'eluh', 'nyawang', 'argentina', 'juara']</t>
  </si>
  <si>
    <t>@theflankerID Gw pastikan ARGENTINA juara setelah babak adu pinalty.</t>
  </si>
  <si>
    <t>pastikan argentina juara setelah babak adu pinalty</t>
  </si>
  <si>
    <t>['pastikan', 'argentina', 'juara', 'babak', 'adu', 'pinalty']</t>
  </si>
  <si>
    <t>FOTO: Pesta Suka Ria Argentina Juara Piala Dunia 2022  https://t.co/zMkSvlzyRk</t>
  </si>
  <si>
    <t>foto pesta suka ria argentina juara piala dunia</t>
  </si>
  <si>
    <t>['foto', 'pesta', 'suka', 'ria', 'argentina', 'juara', 'piala', 'dunia']</t>
  </si>
  <si>
    <t>Final worlcup semalem ngingetin sama final thomas cup taun ini jg. Prancis as Indonesia, si juara bertahan yg akhirnya hrs rela ga pegang piala lagi. Argentina as India setelah bertahun2 nunggu, akhirnya dpt juga. Tp mbappe gokil, mvp banget, pgnpeluk ü´∂</t>
  </si>
  <si>
    <t>final worlcup semalem ngingetin sama final thomas cup taun ini prancis indonesia juara bertahan akhirnya hrs rela pegang piala lagi argentina india setelah bertahun nunggu akhirnya dpt juga mbappe gokil mvp banget pgnpeluk</t>
  </si>
  <si>
    <t>['final', 'worlcup', 'semalam', 'ngingetin', 'sama', 'final', 'thomas', 'cup', 'taun', 'prancis', 'indonesia', 'juara', 'bertahan', 'akhirnya', 'hrs', 'rela', 'pegang', 'piala', 'argentina', 'india', 'bertahun', 'nunggu', 'akhirnya', 'dpt', 'mbappe', 'gila', 'mvp', 'banget', 'pgnpeluk']</t>
  </si>
  <si>
    <t>Semenjak 98 Prancis ini menurut gue tim yang seharusnya jadi kiblat sepak bola Eropa, walaupun liganya ga bagus tapi Timnasnya terus regenerasi. 7x WC dari 98 mereka 4x Final WC, 2x Juara. Italy, Spain, Holland, Croatia 1x Final. Brazil, Argentina, Germany 2x Final.</t>
  </si>
  <si>
    <t>semenjak prancis ini menurut gue tim yang seharusnya jadi kiblat sepak bola eropa walaupun liganya bagus tapi timnasnya terus regenerasi dari mereka final juara italy spain holland croatia final brazil argentina germany final</t>
  </si>
  <si>
    <t>['semenjak', 'prancis', 'gue', 'tim', 'jadi', 'kiblat', 'sepak', 'bola', 'eropa', 'walaupun', 'liganya', 'bagus', 'timnasnya', 'terus', 'regenerasi', 'final', 'juara', 'italy', 'spain', 'holland', 'croatia', 'final', 'brazil', 'argentina', 'germany', 'final']</t>
  </si>
  <si>
    <t>3 Cocoklogi Tokcer Netizens Iringi Argentina Juara Piala Dunia 2022  https://t.co/gVMtnEV7Hw</t>
  </si>
  <si>
    <t>Roy Keane Kecam Sikap Emiliano Mart√≠nez Usai Argentina Jadi Juara Piala Dunia 2022  https://t.co/4I02DOHvH7</t>
  </si>
  <si>
    <t>Argentina Juara Dunia, Scaloni: Saya Merasa Bebas  https://t.co/6kkfm16HRN</t>
  </si>
  <si>
    <t>argentina juara dunia scaloni saya merasa bebas</t>
  </si>
  <si>
    <t>['argentina', 'juara', 'dunia', 'scaloni', 'merasa', 'bebas']</t>
  </si>
  <si>
    <t>Argentina Juara Dunia, Apakah para Politisi disana pasang flyer gede ucapan selamat yang 70% nya muka doi, sisa nya para pemain.? ‚úåÔ∏èüòè</t>
  </si>
  <si>
    <t>argentina juara dunia apakah para politisi disana pasang flyer gede ucapan selamat yang nya muka doi sisa nya para pemain</t>
  </si>
  <si>
    <t>['argentina', 'juara', 'dunia', 'politisi', 'disana', 'pasang', 'flyer', 'gede', 'ucapan', 'selamat', 'muka', 'doi', 'sisa', 'pemain']</t>
  </si>
  <si>
    <t>Argentina arogan Argentina kasar Argentina rasis Argentina juara dunia</t>
  </si>
  <si>
    <t>argentina arogan argentina kasar argentina rasis argentina juara dunia</t>
  </si>
  <si>
    <t>['argentina', 'arogan', 'argentina', 'kasar', 'argentina', 'rasis', 'argentina', 'juara', 'dunia']</t>
  </si>
  <si>
    <t>Walaupun semalam Argentina Yg Juara, Tapi Hanya Italia yg tidak pernah kalah di piala dunia ini Viva Azzuri</t>
  </si>
  <si>
    <t>walaupun semalam argentina juara tapi hanya italia tidak pernah kalah piala dunia ini viva azzuri</t>
  </si>
  <si>
    <t>['walaupun', 'semalam', 'argentina', 'juara', 'italia', 'pernah', 'kalah', 'piala', 'dunia', 'viva', 'azzuri']</t>
  </si>
  <si>
    <t>Argentina juara dunia  https://t.co/QKlASTC1fG</t>
  </si>
  <si>
    <t>Setelah lima Piala Dunia, Lionel Messi memimpin Argentina menjadi juara. Albiceleste mengalahkan juara bertahan Prancis lewat adu penalti setelah bermain sama kuat, 3-3.   Simak edisi terbaru #KoranTempo, klik  https://t.co/JSPrmxFxEM  https://t.co/5LytvjLRSt</t>
  </si>
  <si>
    <t>setelah lima piala dunia lionel messi memimpin argentina menjadi juara albiceleste mengalahkan juara bertahan prancis lewat adu penalti setelah bermain sama kuat simak edisi terbaru klik</t>
  </si>
  <si>
    <t>['lima', 'piala', 'dunia', 'lionel', 'messi', 'memimpin', 'argentina', 'menjadi', 'juara', 'albiceleste', 'mengalahkan', 'juara', 'bertahan', 'prancis', 'lewat', 'adu', 'penalti', 'bermain', 'sama', 'kuat', 'simak', 'edisi', 'terbaru', 'klik']</t>
  </si>
  <si>
    <t>Berikut sederet ungkapan bahagia Lionel Messi yang kini bisa menahbiskan dirinya sebagai GOAT alias terhebat sepanjang masa usai Argentina juara Piala Dunia.  https://t.co/EcRoQfwXiU</t>
  </si>
  <si>
    <t>berikut sederet ungkapan bahagia lionel messi yang kini bisa menahbiskan dirinya sebagai goat alias terhebat sepanjang masa usai argentina juara piala dunia</t>
  </si>
  <si>
    <t>['berikut', 'sederet', 'ungkapan', 'bahagia', 'lionel', 'messi', 'kini', 'menahbiskan', 'dirinya', 'goat', 'alias', 'terhebat', 'sepanjang', 'masa', 'usai', 'argentina', 'juara', 'piala', 'dunia']</t>
  </si>
  <si>
    <t>11 Pemain Bintang Yang Pensiun Dari Piala Dunia / Messi Membawa Argentina Juara Piala Dunia   https://t.co/kqHDvVqZkB #juaraboladunia  #juarapialadunia #Messi  #MessiìÉµday  #messijuaradunia</t>
  </si>
  <si>
    <t>pemain bintang yang pensiun dari piala dunia messi membawa argentina juara piala dunia day</t>
  </si>
  <si>
    <t>['pemain', 'bintang', 'pensiun', 'piala', 'dunia', 'messi', 'membawa', 'argentina', 'juara', 'piala', 'dunia', 'day']</t>
  </si>
  <si>
    <t>Terlepas dari kata "menang pinalty" mereka tetaplah "Sang Juara Dunia" congrats Argentinaüçæüî• #FIFAWorldCup  https://t.co/4AOwwIRzYO</t>
  </si>
  <si>
    <t>terlepas dari kata menang pinalty mereka tetaplah sang juara dunia congrats argentina</t>
  </si>
  <si>
    <t>['terlepas', 'kata', 'menang', 'pinalty', 'tetaplah', 'sang', 'juara', 'dunia', 'congrats', 'argentina']</t>
  </si>
  <si>
    <t>Lionel Messi sukses jadi juara Piala Dunia 2022 bersama timnya Argentina. Di bangku penonton ada sosok istrinya, Antonela Roccuzzo yang tegang hingga bahagia. Berikut potretnya!  https://t.co/Lmbu19JoBy</t>
  </si>
  <si>
    <t>lionel messi sukses jadi juara piala dunia bersama timnya argentina bangku penonton ada sosok istrinya antonela roccuzzo yang tegang hingga bahagia berikut potretnya</t>
  </si>
  <si>
    <t>['lionel', 'messi', 'sukses', 'jadi', 'juara', 'piala', 'dunia', 'bersama', 'timnya', 'argentina', 'bangku', 'penonton', 'sosok', 'istrinya', 'antonela', 'roccuzzo', 'tegang', 'hingga', 'bahagia', 'berikut', 'potretnya']</t>
  </si>
  <si>
    <t>Argentina Juara Dunia 2022, Tak Ada Lagi Debat Messi atau Ronaldo Terhebat?  https://t.co/d9LIl13SeH</t>
  </si>
  <si>
    <t>argentina juara dunia tak ada lagi debat messi atau ronaldo terhebat</t>
  </si>
  <si>
    <t>['argentina', 'juara', 'dunia', 'tak', 'debat', 'messi', 'ronaldo', 'terhebat']</t>
  </si>
  <si>
    <t>Argentina jadi juara Piala Dunia 2022, sepatu Lionel Messi jadi jimat keberuntungan kah? ada nama istri dan anak huhu so switt   https://t.co/kir9Xjp9OH</t>
  </si>
  <si>
    <t>argentina jadi juara piala dunia sepatu lionel messi jadi jimat keberuntungan kah ada nama istri dan anak huhu switt</t>
  </si>
  <si>
    <t>['argentina', 'jadi', 'juara', 'piala', 'dunia', 'sepatu', 'lionel', 'messi', 'jadi', 'jimat', 'keberuntungan', 'nama', 'istri', 'anak', 'huhu', 'switt']</t>
  </si>
  <si>
    <t>Berikut sederet ungkapan bahagia Lionel Messi yang kini bisa menahbiskan dirinya sebagai GOAT alias terhebat sepanjang masa usai Argentina juara Piala Dunia.  https://t.co/EcRoQffUgU</t>
  </si>
  <si>
    <t>Beri Selamat kepada Lionel Messi, Marc Marquez Turut Berbahagia Argentina Juara Piala Dunia 2022 #LengkapCepatBeritanya #Olahraga #Sport #MotoGP #Grandprix .  https://t.co/yWidwSfsBM</t>
  </si>
  <si>
    <t xml:space="preserve"> https://t.co/MVJ2bH5S2I   Argentina VS Prancis, Tim Tango Juara Setelah Kandaskan Les Blues Lewas Adu Penalti !  #Argentina  #Prancis  #TimTango</t>
  </si>
  <si>
    <t>argentina prancis tim tango juara setelah kandaskan les blues lewas adu penalti</t>
  </si>
  <si>
    <t>['argentina', 'prancis', 'tim', 'tango', 'juara', 'kandaskan', 'les', 'blues', 'lewas', 'adu', 'penalti']</t>
  </si>
  <si>
    <t>@Bromasfootball @novellanedy @Dwiptarama Messi emang dilahirkan buat sepakbola, bakatnya jauh diatas pemain lain. Karena itu Cristiano ngejar jarak mereka dengan lebih kerja keras. Maka dari itu dia layak disandingkan dengan Messi. Messinya aja ya ngakuin</t>
  </si>
  <si>
    <t>messi emang dilahirkan buat sepakbola bakatnya jauh diatas pemain lain karena itu cristiano ngejar jarak mereka dengan lebih kerja keras maka dari itu dia layak disandingkan dengan messi messinya aja ngakuin</t>
  </si>
  <si>
    <t>['messi', 'emang', 'dilahirkan', 'buat', 'sepakbola', 'bakatnya', 'jauh', 'diatas', 'pemain', 'cristiano', 'ngejar', 'jarak', 'lebih', 'kerja', 'keras', 'layak', 'disandingkan', 'messi', 'messinya', 'ngakuin']</t>
  </si>
  <si>
    <t>Argentina Juara, Emiliano Martinez Kirim Ejekan Brutal ke Kylian Mbappe  https://t.co/UAJJpn1xNt</t>
  </si>
  <si>
    <t>argentina juara emiliano martinez kirim ejekan brutal kylian mbappe</t>
  </si>
  <si>
    <t>['argentina', 'juara', 'emiliano', 'martinez', 'kirim', 'ejekan', 'brutal', 'kylian', 'mbappe']</t>
  </si>
  <si>
    <t>Bangun tidur dengan suasana hati gembira dan ceria, sebahagia itu liat Messi dan Argentina juara Piala Dunia.. üá¶üá∑üá¶üá∑üá¶üá∑  #FIFAWorldCup</t>
  </si>
  <si>
    <t>bangun tidur dengan suasana hati gembira dan ceria sebahagia itu liat messi dan argentina juara piala dunia</t>
  </si>
  <si>
    <t>['bangun', 'tidur', 'suasana', 'hati', 'gembira', 'ceria', 'sebahagia', 'lihat', 'messi', 'argentina', 'juara', 'piala', 'dunia']</t>
  </si>
  <si>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</si>
  <si>
    <t>potret warga argentina rayakan kemenangan timnas mereka menjadi juara piala dunia dengan berkumpul plaza republica buenos aires argentina foto antara foto reuters agustin marcarian foto lainnya</t>
  </si>
  <si>
    <t>['potret', 'warga', 'argentina', 'rayakan', 'kemenangan', 'timnas', 'menjadi', 'juara', 'piala', 'dunia', 'berkumpul', 'plaza', 'republica', 'buenos', 'aires', 'argentina', 'foto', 'foto', 'reuters', 'agustin', 'marcarian', 'foto', 'lainnya']</t>
  </si>
  <si>
    <t>Argentina juara,dan gue bangga banget,,  Tapi gue juga bangga sama mbapee,,,, serius dia keren banget.</t>
  </si>
  <si>
    <t>argentina juara dan gue bangga banget tapi gue juga bangga sama mbapee serius dia keren banget</t>
  </si>
  <si>
    <t>['argentina', 'juara', 'gue', 'bangga', 'banget', 'gue', 'bangga', 'sama', 'mbapee', 'serius', 'keren', 'banget']</t>
  </si>
  <si>
    <t>Sudah dari awal ku bilang Argentina yang juara tahun ini.</t>
  </si>
  <si>
    <t>sudah dari awal bilang argentina yang juara tahun ini</t>
  </si>
  <si>
    <t>['awal', 'argentina', 'juara', 'tahun']</t>
  </si>
  <si>
    <t>Lewat Drama Adu Penalti, Argentina Juara Piala Dunia 2022  https://t.co/ZYZ2JJKURD</t>
  </si>
  <si>
    <t>Rodrigo de Paul: Timnas Argentina pantas Juara! . #EMTEKWORLDCUP2022 #BOLANETWORLDCUP2022 #PialaDunia #PialaDunia2022  https://t.co/iPFL6WisTQ</t>
  </si>
  <si>
    <t>rodrigo paul timnas argentina pantas juara</t>
  </si>
  <si>
    <t>['rodrigo', 'paul', 'timnas', 'argentina', 'pantas', 'juara']</t>
  </si>
  <si>
    <t>Selamat, Argentina Juara, No 1  https://t.co/2WpJQ2xf2f</t>
  </si>
  <si>
    <t>argentina juara dunia (dance)  https://t.co/8qxCiSUELs</t>
  </si>
  <si>
    <t>argentina juara dunia dance</t>
  </si>
  <si>
    <t>['argentina', 'juara', 'dunia', 'dance']</t>
  </si>
  <si>
    <t>knp yg juara argentina yg koar2 fans decul yah</t>
  </si>
  <si>
    <t>knp juara argentina koar fans decul yah</t>
  </si>
  <si>
    <t>['kenapa', 'juara', 'argentina', 'koar', 'fans', 'decul']</t>
  </si>
  <si>
    <t>Argentina Juara Dunia, Scaloni: Saya Merasa Bebas  https://t.co/4TDZHlikjO</t>
  </si>
  <si>
    <t>Argentina Juara Piala Dunia, Lionel Messi Sempurna!  https://t.co/Hxp0quXTUf</t>
  </si>
  <si>
    <t>@MafiaWasit Masio argentina juara, sing menang tetep wong wedok mbah</t>
  </si>
  <si>
    <t>masio argentina juara sing menang tetep wong wedok mbah</t>
  </si>
  <si>
    <t>['masio', 'argentina', 'juara', 'sing', 'menang', 'tetep', 'wong', 'wedok', 'mbah']</t>
  </si>
  <si>
    <t>Selama begadang karna piala dunia tahun ini, akhirnya bangun pagi karna kemenangan Argentina juara piala dunia tahun ini.</t>
  </si>
  <si>
    <t>selama begadang karna piala dunia tahun ini akhirnya bangun pagi karna kemenangan argentina juara piala dunia tahun ini</t>
  </si>
  <si>
    <t>['selama', 'begadang', 'karna', 'piala', 'dunia', 'tahun', 'akhirnya', 'bangun', 'pagi', 'karna', 'kemenangan', 'argentina', 'juara', 'piala', 'dunia', 'tahun']</t>
  </si>
  <si>
    <t>@GOAL_ID Udah bagus tu penutupan di Argentina nya dengan juara</t>
  </si>
  <si>
    <t>udah bagus penutupan argentina nya dengan juara</t>
  </si>
  <si>
    <t>['udah', 'bagus', 'penutupan', 'argentina', 'juara']</t>
  </si>
  <si>
    <t>@biu64619861 @Robbi_07 @anovaway @idextratime sampai sblm Argentina juara Copa 2021 Fans Ronaldo selalu merendahkan Messi, pahlawan chile lah, messiun lah, tai anjing pokok. sekarang mereka udah gk bisa berlindung lagi dari yg namanya trophi internasional</t>
  </si>
  <si>
    <t>sampai sblm argentina juara copa fans ronaldo selalu merendahkan messi pahlawan chile lah messiun lah tai anjing pokok sekarang mereka udah bisa berlindung lagi dari namanya trophi internasional</t>
  </si>
  <si>
    <t>['sebelum', 'argentina', 'juara', 'copa', 'fans', 'ronaldo', 'selalu', 'merendahkan', 'messi', 'pahlawan', 'chile', 'lah', 'messiun', 'lah', 'tai', 'anjing', 'pokok', 'sekarang', 'udah', 'berlindung', 'namanya', 'trophi', 'internasional']</t>
  </si>
  <si>
    <t>Bawa Argentina Juara Piala Dunia 2022, Messi Tak Berniat Pensiun  https://t.co/aeBDxVyfnK</t>
  </si>
  <si>
    <t>bawa argentina juara piala dunia messi tak berniat pensiun</t>
  </si>
  <si>
    <t>['bawa', 'argentina', 'juara', 'piala', 'dunia', 'messi', 'tak', 'berniat', 'pensiun']</t>
  </si>
  <si>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</si>
  <si>
    <t>bayangin emi martinez gak dapet kesempatan main disini the real blessing disguise kasian juga leno cedera posisi tergeser dan sekarang terlempar tim lain dibalik itu ada emi dan argentina yang mengambil berkahnya sampek juara dunia crazy see how life works</t>
  </si>
  <si>
    <t>['bayangin', 'emi', 'martinez', 'dapat', 'kesempatan', 'main', 'disini', 'the', 'real', 'blessing', 'disguise', 'kasian', 'leno', 'cedera', 'posisi', 'tergeser', 'sekarang', 'terlempar', 'tim', 'dibalik', 'emi', 'argentina', 'mengambil', 'berkahnya', 'sampek', 'juara', 'dunia', 'crazy', 'see', 'how', 'life', 'works']</t>
  </si>
  <si>
    <t>Lewat Adu Penalti Argentina Juara Piala Dunia 2022  https://t.co/pJKGJOOkLS</t>
  </si>
  <si>
    <t>lewat adu penalti argentina juara piala dunia</t>
  </si>
  <si>
    <t>['lewat', 'adu', 'penalti', 'argentina', 'juara', 'piala', 'dunia']</t>
  </si>
  <si>
    <t>Argentina oh argentina. Juara piala dunia bersama si messi. Selamat berbahagia.</t>
  </si>
  <si>
    <t>argentina argentina juara piala dunia bersama messi selamat berbahagia</t>
  </si>
  <si>
    <t>['argentina', 'argentina', 'juara', 'piala', 'dunia', 'bersama', 'messi', 'selamat', 'berbahagia']</t>
  </si>
  <si>
    <t>üá¶üá∑ Selamat Argentina.... ‚≠ê‚≠ê‚≠ê JUARA DUNIA #FIFAWorldCup2022 #Qatar2022</t>
  </si>
  <si>
    <t>selamat argentina juara dunia</t>
  </si>
  <si>
    <t>['selamat', 'argentina', 'juara', 'dunia']</t>
  </si>
  <si>
    <t>Lionel Messi menorehkan berbagai rekor spesial usai membantu Argentina juara Piala Dunia 2022 Qatar.  https://t.co/1stAkk8Cpd</t>
  </si>
  <si>
    <t>lionel messi menorehkan berbagai rekor spesial usai membantu argentina juara piala dunia qatar</t>
  </si>
  <si>
    <t>['lionel', 'messi', 'menorehkan', 'berbagai', 'rekor', 'spesial', 'usai', 'membantu', 'argentina', 'juara', 'piala', 'dunia', 'qatar']</t>
  </si>
  <si>
    <t>@idextratime Ada Couch yang masih gak terima Argentina masuk final terus juara, Bilang Francis sama argentina gak layak masuk final, piala dunia terburuk lah, dan sampe dibilang setingan semua sudah diatur untuk Messi karna Negara yang pake baju Orange ka</t>
  </si>
  <si>
    <t>ada couch yang masih gak terima argentina masuk final terus juara bilang francis sama argentina gak layak masuk final piala dunia terburuk lah dan sampe dibilang setingan semua sudah diatur untuk messi karna negara yang pake baju orange</t>
  </si>
  <si>
    <t>['couch', 'terima', 'argentina', 'masuk', 'final', 'terus', 'juara', 'francis', 'sama', 'argentina', 'layak', 'masuk', 'final', 'piala', 'dunia', 'terburuk', 'lah', 'sampai', 'dibilang', 'settingan', 'semua', 'diatur', 'messi', 'karna', 'negara', 'pake', 'baju', 'orange']</t>
  </si>
  <si>
    <t>Permainan argentina semalam emg layak menjadi juara world cup 2022  Tapi, apa yang paling dibenci dr kemenangan argentina ini?   Pencapaian messi, come on bro messi udh kek lu maen become legend di game fifa level easy</t>
  </si>
  <si>
    <t>permainan argentina semalam emg layak menjadi juara world cup tapi apa yang paling dibenci kemenangan argentina ini pencapaian messi come bro messi udh kek maen become legend game fifa level easy</t>
  </si>
  <si>
    <t>['permainan', 'argentina', 'semalam', 'memang', 'layak', 'menjadi', 'juara', 'world', 'cup', 'apa', 'paling', 'dibenci', 'kemenangan', 'argentina', 'pencapaian', 'messi', 'come', 'bro', 'messi', 'sudah', 'kek', 'maen', 'become', 'legend', 'game', 'fifa', 'level', 'easy']</t>
  </si>
  <si>
    <t>Lewat Adu Penalti, Argentina Juara Piala Dunia 2022 di¬†Qatar  https://t.co/kNjlHvcruG</t>
  </si>
  <si>
    <t>lewat adu penalti argentina juara piala dunia qatar</t>
  </si>
  <si>
    <t>['lewat', 'adu', 'penalti', 'argentina', 'juara', 'piala', 'dunia', 'qatar']</t>
  </si>
  <si>
    <t>piala dunia-nya udah kelar, konvoi-nya dan kembang api merayakan kebahagiaan Argentina sebagai juara dunia Sepak Bola. Terus Kanjuruhan gimana? tenggelam dalam hingar-bingar atas kemenangan negara lain? lebih dari 100 nyawa melayang apakah sudah dilupakan? yuk balik #UsutTuntas</t>
  </si>
  <si>
    <t>piala dunia nya udah kelar konvoi nya dan kembang api merayakan kebahagiaan argentina sebagai juara dunia sepak bola terus kanjuruhan gimana tenggelam dalam hingar bingar atas kemenangan negara lain lebih dari nyawa melayang apakah sudah dilupakan yuk balik</t>
  </si>
  <si>
    <t>['piala', 'dunia', 'udah', 'kelar', 'konvoi', 'kembang', 'api', 'merayakan', 'kebahagiaan', 'argentina', 'juara', 'dunia', 'sepak', 'bola', 'terus', 'kanjuruhan', 'gimana', 'tenggelam', 'hingar', 'bingar', 'atas', 'kemenangan', 'negara', 'lebih', 'nyawa', 'melayang', 'dilupakan', 'yuk', 'balik']</t>
  </si>
  <si>
    <t>Media Monitoring Top Figur, 18 Des 2022 1. Messi 2. Jokowi 3. Mbappe 4. Anies Baswedan 5. Ganjar Pranowo 6. Luka Modric 7. Erick Thohir 8. Ferdy Sambo 9. Didier Deschamps 10.Sandiaga Uno  Berita, Menanti 36 Tahun, Messi Bawa Argentina Juara Piala Dunia di Qatar.  https://t.co/1BAJDQKhjB</t>
  </si>
  <si>
    <t>media monitoring top figur des messi jokowi mbappe anies baswedan ganjar pranowo luka modric erick thohir ferdy sambo didier deschamps sandiaga uno berita menanti tahun messi bawa argentina juara piala dunia qatar</t>
  </si>
  <si>
    <t>['media', 'monitoring', 'top', 'figur', 'des', 'messi', 'jokowi', 'mbappe', 'anies', 'baswedan', 'ganjar', 'pranowo', 'luka', 'modric', 'erick', 'thohir', 'ferdy', 'sambo', 'didier', 'deschamps', 'sandiaga', 'uno', 'berita', 'menanti', 'tahun', 'messi', 'bawa', 'argentina', 'juara', 'piala', 'dunia', 'qatar']</t>
  </si>
  <si>
    <t>Argentina Juara Piala Dunia, Scaloni Jawab Keraguan Maradona  https://t.co/ofeC31tA5Q</t>
  </si>
  <si>
    <t>argentina juara piala dunia scaloni jawab keraguan maradona</t>
  </si>
  <si>
    <t>['argentina', 'juara', 'piala', 'dunia', 'scaloni', 'jawab', 'keraguan', 'maradona']</t>
  </si>
  <si>
    <t>Lionel Messi menorehkan berbagai rekor spesial usai membantu Argentina juara Piala Dunia 2022 Qatar.  https://t.co/1stAkkqLDl</t>
  </si>
  <si>
    <t>Setelah gelar juara dunia muter2 di Eropa muluk (Jerman-italia-spanyol-Prancis) akhirnya bisa direbut Amerika Selatan. Congratulations, Argentina!! #FIFAWorldCupQatar2022 #ThankYouQatar</t>
  </si>
  <si>
    <t>setelah gelar juara dunia muter eropa muluk jerman italia spanyol prancis akhirnya bisa direbut amerika selatan congratulations argentina</t>
  </si>
  <si>
    <t>['gelar', 'juara', 'dunia', 'muter', 'eropa', 'muluk', 'jerman', 'italia', 'spanyol', 'prancis', 'akhirnya', 'direbut', 'amerika', 'selatan', 'congratulations', 'argentina']</t>
  </si>
  <si>
    <t>@Dennysiregar7 Terimakasih argentina dan messi,,Anak Tuhan semua ini berkat doa semua orang kristen,,Puji Tuhan Haleluya kristen juara dunia,,,,,,##kaddrun versi lain,,</t>
  </si>
  <si>
    <t>terimakasih argentina dan messi anak tuhan semua ini berkat doa semua orang kristen puji tuhan haleluya kristen juara dunia versi lain</t>
  </si>
  <si>
    <t>['terimakasih', 'argentina', 'messi', 'anak', 'tuhan', 'semua', 'berkat', 'doa', 'semua', 'orang', 'kristen', 'puji', 'tuhan', 'haleluya', 'kristen', 'juara', 'dunia', 'versi']</t>
  </si>
  <si>
    <t>dari "final hingga extra time", masih ada kah yang berfikir argentina diuntungkan? sampai ahirnya "penalty shoot out", mental lah yang menunjukkan mana yg layak juara. seperti biasa, pemenang akan merayakan. dan yang tidak suka akan selalu mencari alasan. ü§å</t>
  </si>
  <si>
    <t>dari final hingga extra time masih ada kah yang berfikir argentina diuntungkan sampai ahirnya penalty shoot out mental lah yang menunjukkan mana layak juara seperti biasa pemenang akan merayakan dan yang tidak suka akan selalu mencari alasan</t>
  </si>
  <si>
    <t>['final', 'hingga', 'extra', 'time', 'berfikir', 'argentina', 'diuntungkan', 'ahirnya', 'penalty', 'shoot', 'out', 'mental', 'lah', 'menunjukkan', 'mana', 'layak', 'juara', 'biasa', 'pemenang', 'merayakan', 'suka', 'selalu', 'mencari', 'alasan']</t>
  </si>
  <si>
    <t>@Carisyaaaa memang bener prediksi EA Sport kalo argentina juara  https://t.co/Penf5E25OJ</t>
  </si>
  <si>
    <t>memang bener prediksi sport kalo argentina juara</t>
  </si>
  <si>
    <t>['memang', 'benar', 'prediksi', 'sport', 'argentina', 'juara']</t>
  </si>
  <si>
    <t>Masih menunggu poster capres Argentina ngucapin selamat juara piala dunia</t>
  </si>
  <si>
    <t>masih menunggu poster capres argentina ngucapin selamat juara piala dunia</t>
  </si>
  <si>
    <t>['menunggu', 'poster', 'capres', 'argentina', 'ngucapin', 'selamat', 'juara', 'piala', 'dunia']</t>
  </si>
  <si>
    <t>Argentina juara, Perancis luar biasa.  Tinggal netizen Ind yang khusus bagian twitwarnya, abadi sepanjang masa. Ga ada kita ga rame.</t>
  </si>
  <si>
    <t>argentina juara perancis luar biasa tinggal netizen ind yang khusus bagian twitwarnya abadi sepanjang masa ada kita rame</t>
  </si>
  <si>
    <t>['argentina', 'juara', 'perancis', 'luar', 'biasa', 'tinggal', 'netizen', 'ind', 'khusus', 'bagian', 'twitwarnya', 'abadi', 'sepanjang', 'masa', 'ramai']</t>
  </si>
  <si>
    <t>Lionel Messi sukses jadi juara Piala Dunia 2022 bersama timnya Argentina. Di bangku penonton ada sosok istrinya, Antonela Roccuzzo yang tegang hingga bahagia. Berikut potretnya!  https://t.co/OIsNvE12NO</t>
  </si>
  <si>
    <t>Messi Samai Prestasi Maradona: Haru biru melanda Timnas Argentina usai memastikan diri menjadi juara Piala Dunia 2022 setelah melewati partai final yang penuh drama dan melelahkan. Sebab, kesuksesan ini mengakhiri penantian panjang mereka selama 36‚Ä¶  https://t.co/H7W0Prgfkn</t>
  </si>
  <si>
    <t>messi samai prestasi maradona haru biru melanda timnas argentina usai memastikan diri menjadi juara piala dunia setelah melewati partai final yang penuh drama dan melelahkan sebab kesuksesan ini mengakhiri penantian panjang mereka selama</t>
  </si>
  <si>
    <t>['messi', 'samai', 'prestasi', 'maradona', 'haru', 'biru', 'melanda', 'timnas', 'argentina', 'usai', 'memastikan', 'diri', 'menjadi', 'juara', 'piala', 'dunia', 'melewati', 'partai', 'final', 'penuh', 'drama', 'melelahkan', 'kesuksesan', 'mengakhiri', 'penantian', 'panjang', 'selama']</t>
  </si>
  <si>
    <t>@Rakyatnusantar2 @HusinShihab Betul juga....kalo benar2 warga prancis ga mungkin mereka juara 2....argentina fix asli warga sendiri...lha prancis banyakan imigran malah</t>
  </si>
  <si>
    <t>betul juga kalo benar warga prancis mungkin mereka juara argentina fix asli warga sendiri lha prancis banyakan imigran malah</t>
  </si>
  <si>
    <t>['betul', 'benar', 'warga', 'prancis', 'mungkin', 'juara', 'argentina', 'fix', 'asli', 'warga', 'sendiri', 'lha', 'prancis', 'banyakan', 'imigran', 'malah']</t>
  </si>
  <si>
    <t>@rianrstn @Glowingtajam Cacan aya tos bangkit kolayy kolayy yes yes yes argentina juara abi nga opor hayam di bumi yes yes yes</t>
  </si>
  <si>
    <t>cacan aya tos bangkit kolayy kolayy yes yes yes argentina juara abi nga opor hayam bumi yes yes yes</t>
  </si>
  <si>
    <t>['cacan', 'aya', 'tos', 'bangkit', 'kolayy', 'kolayy', 'yes', 'yes', 'yes', 'argentina', 'juara', 'abi', 'tidak', 'opor', 'hayam', 'bumi', 'yes', 'yes', 'yes']</t>
  </si>
  <si>
    <t>Lionel Messi menyatakan masih akan bermain untuk timnas Argentina setelah sukses mengantar Albiceleste jadi juara Piala Dunia 2022.   #MGTRADIO #MGTSport #GengPagiMGT #FIFAWorldCup #Qatar2022  https://t.co/hv61xWrOvV</t>
  </si>
  <si>
    <t>lionel messi menyatakan masih akan bermain untuk timnas argentina setelah sukses mengantar albiceleste jadi juara piala dunia</t>
  </si>
  <si>
    <t>['lionel', 'messi', 'menyatakan', 'bermain', 'timnas', 'argentina', 'sukses', 'mengantar', 'albiceleste', 'jadi', 'juara', 'piala', 'dunia']</t>
  </si>
  <si>
    <t>Lionel Messi Bawa Argentina Juara Piala Dunia 2022, Barcelona: Kamu Masih yang Terbaik! #LengkapCepatBeritanya #Bola #SepakBola #SepakbolaDunia #BolaDunia .  https://t.co/X2GLFVdAe2</t>
  </si>
  <si>
    <t>lionel messi bawa argentina juara piala dunia barcelona kamu masih yang terbaik</t>
  </si>
  <si>
    <t>['lionel', 'messi', 'bawa', 'argentina', 'juara', 'piala', 'dunia', 'barcelona', 'kamu', 'terbaik']</t>
  </si>
  <si>
    <t>pilar penting terjadi nya juara buat Argentina  https://t.co/rvHdLjtolf</t>
  </si>
  <si>
    <t>pilar penting terjadi nya juara buat argentina</t>
  </si>
  <si>
    <t>['pilar', 'penting', 'terjadi', 'juara', 'buat', 'argentina']</t>
  </si>
  <si>
    <t>Next Indonesia ketularan Argentina jadi juara Piala AFF. Bismillah, ayo timnas, kalian pasti bisa. Pengen banget sekali seumur hidup bisa liat timnas Indonesia juara üò≠üò≠üò≠</t>
  </si>
  <si>
    <t>next indonesia ketularan argentina jadi juara piala aff bismillah ayo timnas kalian pasti bisa pengen banget sekali seumur hidup bisa liat timnas indonesia juara</t>
  </si>
  <si>
    <t>['next', 'indonesia', 'ketularan', 'argentina', 'jadi', 'juara', 'piala', 'aff', 'bismillah', 'ayo', 'timnas', 'kalian', 'pengen', 'banget', 'sekali', 'seumur', 'hidup', 'lihat', 'timnas', 'indonesia', 'juara']</t>
  </si>
  <si>
    <t>@NoReligionIndo Juara piala dunia 2022 argentina, argentina hanya kalah dari arab saudi. Jadi jelas yg juara itu arab saudi.</t>
  </si>
  <si>
    <t>juara piala dunia argentina argentina hanya kalah dari arab saudi jadi jelas juara itu arab saudi</t>
  </si>
  <si>
    <t>['juara', 'piala', 'dunia', 'argentina', 'argentina', 'kalah', 'arab', 'saudi', 'jadi', 'jelas', 'juara', 'arab', 'saudi']</t>
  </si>
  <si>
    <t>Selamat buat argentina sebagai juara dunia world cup 2022 dan prancis sebagai runner up üòç  https://t.co/w7qL7CZVFF</t>
  </si>
  <si>
    <t>selamat buat argentina sebagai juara dunia world cup dan prancis sebagai runner</t>
  </si>
  <si>
    <t>['selamat', 'buat', 'argentina', 'juara', 'dunia', 'world', 'cup', 'prancis', 'runner']</t>
  </si>
  <si>
    <t>Argentina Juara Piala Dunia 2022, Ridwan Kamil Sampaikan Pesan ke Lionel Messi  https://t.co/NybbpB1ptc</t>
  </si>
  <si>
    <t>argentina juara piala dunia ridwan kamil sampaikan pesan lionel messi</t>
  </si>
  <si>
    <t>['argentina', 'juara', 'piala', 'dunia', 'ridwan', 'kamil', 'sampaikan', 'pesan', 'lionel', 'messi']</t>
  </si>
  <si>
    <t>Daftar Juara Piala Dunia dari Masa ke Masa, Argentina Tiga Kali Jadi Juara  https://t.co/2caxT0DABs</t>
  </si>
  <si>
    <t>daftar juara piala dunia dari masa masa argentina tiga kali jadi juara</t>
  </si>
  <si>
    <t>['daftar', 'juara', 'piala', 'dunia', 'masa', 'masa', 'argentina', 'tiga', 'kali', 'jadi', 'juara']</t>
  </si>
  <si>
    <t>@AdhieMassardi Maroco lolos perempat final kaum kadrun nemframing kebangkitan islam bisa mengalahkan andalusia Kini argentina juara gak ada tu bilang jehancuran islam, krn ini murni olahraga Tp bagi kadrun tetep aja di benturkan dgn agama bukan hanya poli</t>
  </si>
  <si>
    <t>maroco lolos perempat final kaum kadrun nemframing kebangkitan islam bisa mengalahkan andalusia kini argentina juara gak ada bilang jehancuran islam krn ini murni olahraga bagi kadrun tetep aja benturkan dgn agama bukan hanya poli</t>
  </si>
  <si>
    <t>['maroco', 'lolos', 'perempat', 'final', 'kaum', 'kadrun', 'nemframing', 'kebangkitan', 'islam', 'mengalahkan', 'andalusia', 'kini', 'argentina', 'juara', 'jehancuran', 'islam', 'murni', 'olahraga', 'kadrun', 'tetep', 'benturkan', 'agama', 'bukan', 'poli']</t>
  </si>
  <si>
    <t>Messi Bawa Argentina Juara Piala Dunia 2022, Kok Malah Ronaldo Trending Twitter? -   https://t.co/lgxsZwU4Z5</t>
  </si>
  <si>
    <t>messi bawa argentina juara piala dunia kok malah ronaldo trending twitter</t>
  </si>
  <si>
    <t>['messi', 'bawa', 'argentina', 'juara', 'piala', 'dunia', 'kok', 'malah', 'ronaldo', 'trending', 'twitter']</t>
  </si>
  <si>
    <t>Selamat Argentina, memang layak *JUARA*..  #FIFAWorldCup</t>
  </si>
  <si>
    <t>selamat argentina memang layak juara</t>
  </si>
  <si>
    <t>['selamat', 'argentina', 'memang', 'layak', 'juara']</t>
  </si>
  <si>
    <t>Argentina Jadi Juara Piala Dunia Qatar 2022, Harga Fan Token $ARG malah Amblas  https://t.co/NaPQItAUwB</t>
  </si>
  <si>
    <t>argentina jadi juara piala dunia qatar harga fan token arg malah amblas</t>
  </si>
  <si>
    <t>['argentina', 'jadi', 'juara', 'piala', 'dunia', 'qatar', 'harga', 'fan', 'token', 'arg', 'malah', 'amblas']</t>
  </si>
  <si>
    <t>Dengan random fans üòÇ masalahnya yg sokong argentina 5 dalam 1000 . ARGENTINA BANGSA JUARA  https://t.co/XDcG6eIQpu</t>
  </si>
  <si>
    <t>dengan random fans masalahnya sokong argentina dalam argentina bangsa juara</t>
  </si>
  <si>
    <t>['random', 'fans', 'masalahnya', 'sokong', 'argentina', 'argentina', 'bangsa', 'juara']</t>
  </si>
  <si>
    <t>@robiinswann Spoiler : Argentina juara</t>
  </si>
  <si>
    <t>spoiler argentina juara</t>
  </si>
  <si>
    <t>['spoiler', 'argentina', 'juara']</t>
  </si>
  <si>
    <t>@MafiaWasit kata helmi yahya setengah rakyat argentina berharap argentina tidak juara ü§î takut presidennya ambil kesempatan. tp ini kayaknya pada hepi semua. haha</t>
  </si>
  <si>
    <t>kata helmi yahya setengah rakyat argentina berharap argentina tidak juara takut presidennya ambil kesempatan ini kayaknya pada hepi semua haha</t>
  </si>
  <si>
    <t>['kata', 'helmi', 'yahya', 'setengah', 'rakyat', 'argentina', 'berharap', 'argentina', 'juara', 'takut', 'presidennya', 'ambil', 'kesempatan', 'kayaknya', 'hepi', 'semua', 'haha']</t>
  </si>
  <si>
    <t>prediksi Argentina juara dari pundit bola kelas teri</t>
  </si>
  <si>
    <t>prediksi argentina juara dari pundit bola kelas teri</t>
  </si>
  <si>
    <t>['prediksi', 'argentina', 'juara', 'pundit', 'bola', 'kelas', 'teri']</t>
  </si>
  <si>
    <t>Argentina juara, hanya Saudi yang bisa mengalahkan Argentina, jadi Saudi Arabialah yang juara üòÄ</t>
  </si>
  <si>
    <t>argentina juara hanya saudi yang bisa mengalahkan argentina jadi saudi arabialah yang juara</t>
  </si>
  <si>
    <t>['argentina', 'juara', 'saudi', 'mengalahkan', 'argentina', 'jadi', 'saudi', 'arabialah', 'juara']</t>
  </si>
  <si>
    <t>@Hilmi28 ternyata benar argentina yg juara ustadz‚ò∫</t>
  </si>
  <si>
    <t>ternyata benar argentina juara ustadz</t>
  </si>
  <si>
    <t>['ternyata', 'benar', 'argentina', 'juara', 'ustadz']</t>
  </si>
  <si>
    <t>Sama-sama kuat sih, France gak diragukan lagi, ada Mbappe dan juara pildun sebelumnya kan emang mereka. Tapi potensi Argentina juga ga kalah. Apalagi ada Messi hmmm sudah kuduga. Banyak yg ragu dan mau Argentina kalah krn jagoannya udah pd pulang wkwk tp liat sekarang</t>
  </si>
  <si>
    <t>sama sama kuat sih france gak diragukan lagi ada mbappe dan juara pildun sebelumnya kan emang mereka tapi potensi argentina juga kalah apalagi ada messi hmmm sudah kuduga banyak ragu dan mau argentina kalah krn jagoannya udah pulang wkwk liat sekarang</t>
  </si>
  <si>
    <t>['sama', 'sama', 'kuat', 'france', 'diragukan', 'mbappe', 'juara', 'piala dunia', 'sebelumnya', 'kan', 'emang', 'potensi', 'argentina', 'kalah', 'messi', 'hmmm', 'kuduga', 'banyak', 'ragu', 'mau', 'argentina', 'kalah', 'jagoannya', 'udah', 'pulang', 'lihat', 'sekarang']</t>
  </si>
  <si>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</si>
  <si>
    <t>selamat buat argentina sebagai juara world cup qatar argentina menang penalti melawan prancis</t>
  </si>
  <si>
    <t>['selamat', 'buat', 'argentina', 'juara', 'world', 'cup', 'qatar', 'argentina', 'menang', 'penalti', 'melawan', 'prancis']</t>
  </si>
  <si>
    <t>di indonesia,timnas U17 jadi juara asia tenggara,yang ikut angkat piala ketum PSSI sama menpora. udah aneh dan menjijikkan. eh di argentina,habis juara dunia,ada pensiunan pemain ikut angkat piala üòÇ ternyata sama aja.</t>
  </si>
  <si>
    <t>indonesia timnas jadi juara asia tenggara yang ikut angkat piala ketum pssi sama menpora udah aneh dan menjijikkan argentina habis juara dunia ada pensiunan pemain ikut angkat piala ternyata sama aja</t>
  </si>
  <si>
    <t>['indonesia', 'timnas', 'jadi', 'juara', 'asia', 'tenggara', 'ikut', 'angkat', 'piala', 'ketum', 'pssi', 'sama', 'menpora', 'udah', 'aneh', 'menjijikkan', 'argentina', 'habis', 'juara', 'dunia', 'pensiunan', 'pemain', 'ikut', 'angkat', 'piala', 'ternyata', 'sama']</t>
  </si>
  <si>
    <t>Penyelamatan terhebat abad ini üòÅ. Sebuah titik balik yang luar biasa. Selamat Argentina: Juara Sepakbola Dunia 2022. #ArgentinaVsFrance  #FIFAWorldCup  #emimartinez  #MessiTheGoat  https://t.co/fjgbhfPGvP</t>
  </si>
  <si>
    <t>penyelamatan terhebat abad ini sebuah titik balik yang luar biasa selamat argentina juara sepakbola dunia</t>
  </si>
  <si>
    <t>['penyelamatan', 'terhebat', 'abad', 'sebuah', 'titik', 'balik', 'luar', 'biasa', 'selamat', 'argentina', 'juara', 'sepakbola', 'dunia']</t>
  </si>
  <si>
    <t>@muika Saya juga dukung messi juara sama argentina, akhirnya lengkap sudah pencapaian messi sebagai pemain sepak bola...</t>
  </si>
  <si>
    <t>saya juga dukung messi juara sama argentina akhirnya lengkap sudah pencapaian messi sebagai pemain sepak bola</t>
  </si>
  <si>
    <t>['dukung', 'messi', 'juara', 'sama', 'argentina', 'akhirnya', 'lengkap', 'pencapaian', 'messi', 'pemain', 'sepak', 'bola']</t>
  </si>
  <si>
    <t>Ada beneran njir iwan bule angkat piala dunia pas argentina juara ü§£ü§£ü§£ü§£  Argentina Juara Piala Dunia 2022, Ketum PSSI Angkat Trofi Raksasa Klik untuk baca:  https://t.co/BKb9KtYOIT</t>
  </si>
  <si>
    <t>ada beneran njir iwan bule angkat piala dunia pas argentina juara argentina juara piala dunia ketum pssi angkat trofi raksasa klik untuk baca</t>
  </si>
  <si>
    <t>['beneran', 'njir', 'iwan', 'bule', 'angkat', 'piala', 'dunia', 'pas', 'argentina', 'juara', 'argentina', 'juara', 'piala', 'dunia', 'ketum', 'pssi', 'angkat', 'trofi', 'raksasa', 'klik', 'baca']</t>
  </si>
  <si>
    <t>@budimandjatmiko Argentina membantu Messi menjadi Juara Piala Dunia</t>
  </si>
  <si>
    <t>argentina membantu messi menjadi juara piala dunia</t>
  </si>
  <si>
    <t>['argentina', 'membantu', 'messi', 'menjadi', 'juara', 'piala', 'dunia']</t>
  </si>
  <si>
    <t>Yang juara argentina, yang kalah di final prancis, eh arab saudi ikutan trendingüòÇüòÇ</t>
  </si>
  <si>
    <t>yang juara argentina yang kalah final prancis arab saudi ikutan trending</t>
  </si>
  <si>
    <t>['juara', 'argentina', 'kalah', 'final', 'prancis', 'arab', 'saudi', 'ikutan', 'trending']</t>
  </si>
  <si>
    <t>Yang juara argentina, yang kalah prancis, yang dibully ronaldo.</t>
  </si>
  <si>
    <t>yang juara argentina yang kalah prancis yang dibully ronaldo</t>
  </si>
  <si>
    <t>['juara', 'argentina', 'kalah', 'prancis', 'dibully', 'ronaldo']</t>
  </si>
  <si>
    <t>tanyarl  aku ga ngikutin pildun ,jadi yg menang juara 1 itu argentina?jdi udah selesai atu gimana?no salty hehe</t>
  </si>
  <si>
    <t>tanyarl aku ngikutin pildun jadi menang juara itu argentina jdi udah selesai atu gimana salty hehe</t>
  </si>
  <si>
    <t>['tanyarl', 'aku', 'ngikutin', 'piala dunia', 'jadi', 'menang', 'juara', 'argentina', 'jdi', 'udah', 'selesai', 'atu', 'gimana', 'salty']</t>
  </si>
  <si>
    <t>@sigitraditya_ Jantungan nontonnya. Asli ini final piala dunia terbaik yang pernah ada.   3 - 3 sebelumnya. Argentina juara (adu penalti) mereka sudah menunggu 36 tahun lamanya terhakhir juara tahun 86.   Ketat, pertarungan luar biasa dari ARGENTINA penan</t>
  </si>
  <si>
    <t>jantungan nontonnya asli ini final piala dunia terbaik yang pernah ada sebelumnya argentina juara adu penalti mereka sudah menunggu tahun lamanya terhakhir juara tahun ketat pertarungan luar biasa dari argentina penan</t>
  </si>
  <si>
    <t>['jantungan', 'nontonnya', 'asli', 'final', 'piala', 'dunia', 'terbaik', 'pernah', 'sebelumnya', 'argentina', 'juara', 'adu', 'penalti', 'menunggu', 'tahun', 'lamanya', 'terhakhir', 'juara', 'tahun', 'ketat', 'pertarungan', 'luar', 'biasa', 'argentina', 'penan']</t>
  </si>
  <si>
    <t>seru yah finalnya. dari perempat final gw udah yakin argentina juara. meski kalo messi vs mbappe tuh gw lebih mendukung mbappe. wkwk. namun, sebagaimana final laga olahraga, termasuk sepak bola, menang kalah jadi kayak bonus karena berkompetisinya pake cinta.</t>
  </si>
  <si>
    <t>seru yah finalnya dari perempat final udah yakin argentina juara meski kalo messi mbappe tuh lebih mendukung mbappe wkwk namun sebagaimana final laga olahraga termasuk sepak bola menang kalah jadi kayak bonus karena berkompetisinya pake cinta</t>
  </si>
  <si>
    <t>['seru', 'finalnya', 'perempat', 'final', 'udah', 'yakin', 'argentina', 'juara', 'meski', 'messi', 'mbappe', 'lebih', 'mendukung', 'mbappe', 'sebagaimana', 'final', 'laga', 'olahraga', 'termasuk', 'sepak', 'bola', 'menang', 'kalah', 'jadi', 'seperti', 'bonus', 'berkompetisinya', 'pake', 'cinta']</t>
  </si>
  <si>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</si>
  <si>
    <t>selamat buat arab saudi menjadi negara satu nya mengalahkan juara piala dunia thn ini congratz argentina messi mbape qatar ini the best world cup ever the best world cup final ever inilah knp sepakbola akan ttp mnjdi olahraga dunia sekalgus pemersatu bangsa</t>
  </si>
  <si>
    <t>['selamat', 'buat', 'arab', 'saudi', 'menjadi', 'negara', 'satu', 'mengalahkan', 'juara', 'piala', 'dunia', 'thn', 'congratz', 'argentina', 'messi', 'mbape', 'qatar', 'the', 'best', 'world', 'cup', 'ever', 'the', 'best', 'world', 'cup', 'final', 'ever', 'inilah', 'kenapa', 'sepakbola', 'ttp', 'mnjdi', 'olahraga', 'dunia', 'sekalgus', 'pemersatu', 'bangsa']</t>
  </si>
  <si>
    <t>&lt;FreqDist with 32 samples and 38 outcomes&gt;</t>
  </si>
  <si>
    <t>Janji mu lo lek argentina juara shalat 5 waktu @rzkysann</t>
  </si>
  <si>
    <t>janji lek argentina juara shalat waktu</t>
  </si>
  <si>
    <t>['janji', 'lek', 'argentina', 'juara', 'shalat', 'waktu']</t>
  </si>
  <si>
    <t>@BuayaUbanan Argentina juara dunia, lupakan dulu follower ü§£</t>
  </si>
  <si>
    <t>argentina juara dunia lupakan dulu follower</t>
  </si>
  <si>
    <t>['argentina', 'juara', 'dunia', 'lupakan', 'dulu', 'follower']</t>
  </si>
  <si>
    <t>maaf ya spam rt argentina trs soalnya terharu liat messi juara</t>
  </si>
  <si>
    <t>maaf spam argentina trs soalnya terharu liat messi juara</t>
  </si>
  <si>
    <t>['maaf', 'spam', 'argentina', 'terus', 'soalnya', 'terharu', 'lihat', 'messi', 'juara']</t>
  </si>
  <si>
    <t>Argentina Juara Piala Dunia 2022, Rekor Juventus Masih Belum Tersentuh  https://t.co/Y9X9Gqyeva</t>
  </si>
  <si>
    <t>argentina juara piala dunia rekor juventus masih belum tersentuh</t>
  </si>
  <si>
    <t>['argentina', 'juara', 'piala', 'dunia', 'rekor', 'juventus', 'tersentuh']</t>
  </si>
  <si>
    <t>7. Pertandingan dilanjut adu penalti, tentu saja Lek Salimin berharap Messi dkk mendapat keberuntungan agar Argentina juara. Ini fotonya Lek Salimin sampai turun duduk lesehan  https://t.co/PhTAjEC9pJ</t>
  </si>
  <si>
    <t>pertandingan dilanjut adu penalti tentu saja lek salimin berharap messi dkk mendapat keberuntungan agar argentina juara ini fotonya lek salimin sampai turun duduk lesehan</t>
  </si>
  <si>
    <t>['pertandingan', 'dilanjut', 'adu', 'penalti', 'lek', 'salimin', 'berharap', 'messi', 'dkk', 'mendapat', 'keberuntungan', 'argentina', 'juara', 'fotonya', 'lek', 'salimin', 'turun', 'duduk', 'lesehan']</t>
  </si>
  <si>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</si>
  <si>
    <t>argentina juara piala dunia fifa world cup dengar cerita semalam ramai yang join malakat big screen riuh malakat mall malam semalam teruskan hadir malakat mall setiap minggu dan setiap bulan</t>
  </si>
  <si>
    <t>['argentina', 'juara', 'piala', 'dunia', 'fifa', 'world', 'cup', 'dengar', 'cerita', 'semalam', 'ramai', 'join', 'malakat', 'big', 'screen', 'riuh', 'malakat', 'mall', 'malam', 'semalam', 'teruskan', 'hadir', 'malakat', 'mall', 'minggu', 'bulan']</t>
  </si>
  <si>
    <t>Yg juara messi sama argentina yg trending ronaldo ü§£</t>
  </si>
  <si>
    <t>juara messi sama argentina trending ronaldo</t>
  </si>
  <si>
    <t>['juara', 'messi', 'sama', 'argentina', 'trending', 'ronaldo']</t>
  </si>
  <si>
    <t>Lihat Messi dan Argentina juara dunia, rasanya sama seperti Italia juara dunia 2006. Bukan yang didukung, tapi sangat layak dan ya memang sudah saatnya Juara. Gol Grosso dan Del Piero di semifinal üëèüëè</t>
  </si>
  <si>
    <t>lihat messi dan argentina juara dunia rasanya sama seperti italia juara dunia bukan yang didukung tapi sangat layak dan memang sudah saatnya juara gol grosso dan del piero semifinal</t>
  </si>
  <si>
    <t>['lihat', 'messi', 'argentina', 'juara', 'dunia', 'rasanya', 'sama', 'italia', 'juara', 'dunia', 'bukan', 'didukung', 'sangat', 'layak', 'memang', 'saatnya', 'juara', 'gol', 'grosso', 'del', 'piero', 'semifinal']</t>
  </si>
  <si>
    <t>@emerson_yuntho Argentina 1 - 2 Saudi Arabia di babak penyisihan. Pada akhirnya Argentina menjadi Juara Piala üèÜ Dunia 2022. Prestasi yang luar biasa atau prima atau gmna?</t>
  </si>
  <si>
    <t>yuntho argentina saudi arabia babak penyisihan pada akhirnya argentina menjadi juara piala dunia prestasi yang luar biasa atau prima atau gmna</t>
  </si>
  <si>
    <t>['yuntho', 'argentina', 'saudi', 'arabia', 'babak', 'penyisihan', 'akhirnya', 'argentina', 'menjadi', 'juara', 'piala', 'dunia', 'prestasi', 'luar', 'biasa', 'prima', 'gmna']</t>
  </si>
  <si>
    <t>Argentina berhasil merebut trofi juara Piala Dunia 2022. Tim Tango mengalahkan Prancis di final lewat adu penalti 4-2, usai bermain seri 3-3 sampai extra time. #juaraboladunia    https://t.co/aYuPZl0BSa</t>
  </si>
  <si>
    <t>argentina berhasil merebut trofi juara piala dunia tim tango mengalahkan prancis final lewat adu penalti usai bermain seri sampai extra time</t>
  </si>
  <si>
    <t>['argentina', 'berhasil', 'merebut', 'trofi', 'juara', 'piala', 'dunia', 'tim', 'tango', 'mengalahkan', 'prancis', 'final', 'lewat', 'adu', 'penalti', 'usai', 'bermain', 'seri', 'extra', 'time']</t>
  </si>
  <si>
    <t>Bisa jadi tapi yg jelas peluang Argentina utk juara Dunia lagi (udah 3x juara Dunia) lebih besar drpd kalo Arab Saudi mengalahkan Argentina lagi.</t>
  </si>
  <si>
    <t>bisa jadi tapi jelas peluang argentina utk juara dunia lagi udah juara dunia lebih besar drpd kalo arab saudi mengalahkan argentina lagi</t>
  </si>
  <si>
    <t>['jadi', 'jelas', 'peluang', 'argentina', 'juara', 'dunia', 'udah', 'juara', 'dunia', 'lebih', 'besar', 'drpd', 'arab', 'saudi', 'mengalahkan', 'argentina']</t>
  </si>
  <si>
    <t>Argentina berhasil merebut trofi juara Piala Dunia 2022. Tim Tango mengalahkan Prancis di final lewat adu penalti 4-2, usai bermain seri 3-3 sampai extra time. #juaraboladunia    https://t.co/M4n1hIck5T</t>
  </si>
  <si>
    <t>#FIFAWorldCup selesai, #Argentina sudah juara sekarang kembali ke pekerjaan masing masing. Mengukir nasib masing masing..</t>
  </si>
  <si>
    <t>selesai sudah juara sekarang kembali pekerjaan masing masing mengukir nasib masing masing</t>
  </si>
  <si>
    <t>['selesai', 'juara', 'sekarang', 'pekerjaan', 'masing', 'masing', 'mengukir', 'nasib', 'masing', 'masing']</t>
  </si>
  <si>
    <t>Argentina Juara Piala Dunia 2022, Kalahkan Prancis lewat Adu Penalti  https://t.co/K2fDa1fxx6</t>
  </si>
  <si>
    <t>Misal rencana Tuhan itu final argentina vs maroko dan yg menang tetap argentina, pasti berita maroko lebih banyak dan menarik ketimbang argentina juara</t>
  </si>
  <si>
    <t>misal rencana tuhan itu final argentina maroko dan menang tetap argentina pasti berita maroko lebih banyak dan menarik ketimbang argentina juara</t>
  </si>
  <si>
    <t>['misal', 'rencana', 'tuhan', 'final', 'argentina', 'maroko', 'menang', 'tetap', 'argentina', 'berita', 'maroko', 'lebih', 'banyak', 'menarik', 'ketimbang', 'argentina', 'juara']</t>
  </si>
  <si>
    <t>Setelah menunggu puluhan tahun, akhirnya dimasa pemerintahan jokowi Argentina  juara dunia lagi, benar2 bertuah üò¨üôÑ</t>
  </si>
  <si>
    <t>setelah menunggu puluhan tahun akhirnya dimasa pemerintahan jokowi argentina juara dunia lagi benar bertuah</t>
  </si>
  <si>
    <t>['menunggu', 'puluhan', 'tahun', 'akhirnya', 'dimasa', 'pemerintahan', 'jokowi', 'argentina', 'juara', 'dunia', 'benar', 'bertuah']</t>
  </si>
  <si>
    <t>@Askrlfess penalti 4-2 argentina juara</t>
  </si>
  <si>
    <t>penalti argentina juara</t>
  </si>
  <si>
    <t>['penalti', 'argentina', 'juara']</t>
  </si>
  <si>
    <t>Rekor Mengerikan Lionel Messi Usai Argentina Juara Piala Dunia 2022  https://t.co/b8IO2P0neW</t>
  </si>
  <si>
    <t>rekor mengerikan lionel messi usai argentina juara piala dunia</t>
  </si>
  <si>
    <t>['rekor', 'mengerikan', 'lionel', 'messi', 'usai', 'argentina', 'juara', 'piala', 'dunia']</t>
  </si>
  <si>
    <t>Daftar Juara Piala Dunia: Tambah Bintang, Argentina Tinggalkan Prancis dan Uruguay  https://t.co/FSqsGHsY1M</t>
  </si>
  <si>
    <t>daftar juara piala dunia tambah bintang argentina tinggalkan prancis dan uruguay</t>
  </si>
  <si>
    <t>['daftar', 'juara', 'piala', 'dunia', 'tambah', 'bintang', 'argentina', 'tinggalkan', 'prancis', 'uruguay']</t>
  </si>
  <si>
    <t>Selamat untuk tim ARGENTINA menjadi juara dunia world cup 2022 di Qatar  https://t.co/PU4T0sryLS</t>
  </si>
  <si>
    <t>selamat untuk tim argentina menjadi juara dunia world cup qatar</t>
  </si>
  <si>
    <t>['selamat', 'tim', 'argentina', 'menjadi', 'juara', 'dunia', 'world', 'cup', 'qatar']</t>
  </si>
  <si>
    <t>Aguero : Hadeh Mes... bisa encok nih gue punggung gue. Et tapi keknya tapi punggung lu lebih encok selama ini gendong Argentina terus. Yaudah gapapa gue encok yang penting kita juara Mes, lopyu bestie.  https://t.co/kid02khL0p</t>
  </si>
  <si>
    <t>aguero hadeh mes bisa encok nih gue punggung gue tapi keknya tapi punggung lebih encok selama ini gendong argentina terus yaudah gapapa gue encok yang penting kita juara mes lopyu bestie</t>
  </si>
  <si>
    <t>['aguero', 'hadeh', 'mes', 'encok', 'gue', 'punggung', 'gue', 'sepertinya', 'punggung', 'lebih', 'encok', 'selama', 'gendong', 'argentina', 'terus', 'yaudah', 'gapapa', 'gue', 'encok', 'penting', 'juara', 'mes', 'lopyu', 'bestie']</t>
  </si>
  <si>
    <t>Argentina boleh juara, tapi kita pernah ngalahin mereka *arabsaudi :D</t>
  </si>
  <si>
    <t>argentina boleh juara tapi kita pernah ngalahin mereka arabsaudi</t>
  </si>
  <si>
    <t>['argentina', 'juara', 'pernah', 'ngalahin', 'arabsaudi']</t>
  </si>
  <si>
    <t>Argentina juara üèÜ#argentina #worldcup #worldcupqatar2022 @ Kota Bau Bau, Kab. Buton, Prov. Sulawesi Tenggara  https://t.co/HreMW40hmG</t>
  </si>
  <si>
    <t>argentina juara kota bau bau kab buton prov sulawesi tenggara</t>
  </si>
  <si>
    <t>['argentina', 'juara', 'kota', 'bau', 'bau', 'kab', 'buton', 'prov', 'sulawesi', 'tenggara']</t>
  </si>
  <si>
    <t>@PNS_Ababil Argentina juara, apa kata Iwan Bule?</t>
  </si>
  <si>
    <t>ababil argentina juara apa kata iwan bule</t>
  </si>
  <si>
    <t>['ababil', 'argentina', 'juara', 'apa', 'kata', 'iwan', 'bule']</t>
  </si>
  <si>
    <t>36 tahun menanti, Argentina Juara Piala Dunia 2022  https://t.co/Pt3qpKyK9a   #WorldCupFinal #WorldCup2022 #Argentina #Congratulations</t>
  </si>
  <si>
    <t>tahun menanti argentina juara piala dunia</t>
  </si>
  <si>
    <t>['tahun', 'menanti', 'argentina', 'juara', 'piala', 'dunia']</t>
  </si>
  <si>
    <t>@SUNDA_FESS wkwkwkw pilar penting terjadi nya juara buat Argentina yaitu Iwan Bule</t>
  </si>
  <si>
    <t>fess wkwkwkw pilar penting terjadi nya juara buat argentina yaitu iwan bule</t>
  </si>
  <si>
    <t>['fess', 'wkwkwkw', 'pilar', 'penting', 'terjadi', 'juara', 'buat', 'argentina', 'iwan', 'bule']</t>
  </si>
  <si>
    <t>Lebih Hebat dari Ronaldo, Messi GOAT Sesungguhnya Usai Bawa Argentina Juara Piala Dunia¬† #PialaDunia #Argentina #Prancis #LionelMessi #Ronaldo #Jakarta  https://t.co/qOEvbfYWQN</t>
  </si>
  <si>
    <t>lebih hebat dari ronaldo messi goat sesungguhnya usai bawa argentina juara piala dunia</t>
  </si>
  <si>
    <t>['lebih', 'hebat', 'ronaldo', 'messi', 'goat', 'sesungguhnya', 'usai', 'bawa', 'argentina', 'juara', 'piala', 'dunia']</t>
  </si>
  <si>
    <t>Sosok Lionel Scaloni, Sempat Dianggap Remeh tapi Bawa Argentina Juara Piala Dunia 2022.  https://t.co/5gxSP6rPjp</t>
  </si>
  <si>
    <t>sosok lionel scaloni sempat dianggap remeh tapi bawa argentina juara piala dunia</t>
  </si>
  <si>
    <t>['sosok', 'lionel', 'scaloni', 'sempat', 'dianggap', 'remeh', 'bawa', 'argentina', 'juara', 'piala', 'dunia']</t>
  </si>
  <si>
    <t>@pantungalimar @idextratime Hanya di era Ibul, Argentina juara dunia</t>
  </si>
  <si>
    <t>hanya era ibul argentina juara dunia</t>
  </si>
  <si>
    <t>['era', 'ibul', 'argentina', 'juara', 'dunia']</t>
  </si>
  <si>
    <t>Argentina Juara Piala Dunia 2022 setelah Kalahkan Prancis, Akhirnya La Albiceleste Buka Puasa! - Ragam Indonesia  https://t.co/ujMQr4cDyU  https://t.co/wbyWvDQsq4</t>
  </si>
  <si>
    <t>argentina juara piala dunia setelah kalahkan prancis akhirnya albiceleste buka puasa ragam indonesia</t>
  </si>
  <si>
    <t>['argentina', 'juara', 'piala', 'dunia', 'kalahkan', 'prancis', 'akhirnya', 'albiceleste', 'buka', 'puasa', 'ragam', 'indonesia']</t>
  </si>
  <si>
    <t>Sebelum memenangkan Piala Dunia 2022, Argentina juga meraih gelar juara di Copa America pada 2021. Berikut catatan prestasi Argentina selengkapnya.  https://t.co/FfawP19vCt</t>
  </si>
  <si>
    <t>sebelum memenangkan piala dunia argentina juga meraih gelar juara copa america pada berikut catatan prestasi argentina selengkapnya</t>
  </si>
  <si>
    <t>['memenangkan', 'piala', 'dunia', 'argentina', 'meraih', 'gelar', 'juara', 'copa', 'america', 'berikut', 'catatan', 'prestasi', 'argentina', 'selengkapnya']</t>
  </si>
  <si>
    <t>Piala Dunia 2022, Argentina Juara dan Akhir Persaingan Ronaldo dan Messi?  https://t.co/ASsPqfo5Ly</t>
  </si>
  <si>
    <t>piala dunia argentina juara dan akhir persaingan ronaldo dan messi</t>
  </si>
  <si>
    <t>['piala', 'dunia', 'argentina', 'juara', 'akhir', 'persaingan', 'ronaldo', 'messi']</t>
  </si>
  <si>
    <t>@tifaldiprmd @idextratime tifal si kamu tim dodo apa messi</t>
  </si>
  <si>
    <t>tifal kamu tim dodo apa messi</t>
  </si>
  <si>
    <t>['tifal', 'kamu', 'tim', 'dodo', 'apa', 'messi']</t>
  </si>
  <si>
    <t>Timnas Argentina juga mendapat hadiah lain senilai Rp156 miliar usai menjadi juara di Piala Dunia 2022.  https://t.co/Ya9eJqzNHh</t>
  </si>
  <si>
    <t>timnas argentina juga mendapat hadiah lain senilai miliar usai menjadi juara piala dunia</t>
  </si>
  <si>
    <t>['timnas', 'argentina', 'mendapat', 'hadiah', 'senilai', 'miliar', 'usai', 'menjadi', 'juara', 'piala', 'dunia']</t>
  </si>
  <si>
    <t>Piala Dunia sudah selesai, selamat Argentina menjadi juara dunia üá¶üá∑  Sudah pasti MRT ini, masih setia untuk melayani masyarakat Jakarta  #UbahJakarta</t>
  </si>
  <si>
    <t>piala dunia sudah selesai selamat argentina menjadi juara dunia sudah pasti mrt ini masih setia untuk melayani masyarakat jakarta</t>
  </si>
  <si>
    <t>['piala', 'dunia', 'selesai', 'selamat', 'argentina', 'menjadi', 'juara', 'dunia', 'mrt', 'setia', 'melayani', 'masyarakat', 'jakarta']</t>
  </si>
  <si>
    <t>argentina juara piala Dunia kalau kamu juara memberi kecewa dan luka</t>
  </si>
  <si>
    <t>argentina juara piala dunia kalau kamu juara memberi kecewa dan luka</t>
  </si>
  <si>
    <t>['argentina', 'juara', 'piala', 'dunia', 'kalau', 'kamu', 'juara', 'memberi', 'kecewa', 'luka']</t>
  </si>
  <si>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</si>
  <si>
    <t>mau tau gimana bahagia nya bayangin setiap world cup cuma pegang jagoan beberapa kali gagal juara dan tahun ini kebangaan yang cuma nya itu juara gimana bahagia banget coba tiap taun menang kalah dukung argentina skrg bnr juara</t>
  </si>
  <si>
    <t>['mau', 'gimana', 'bahagia', 'bayangin', 'world', 'cup', 'cuma', 'pegang', 'jagoan', 'beberapa', 'kali', 'gagal', 'juara', 'tahun', 'kebangaan', 'cuma', 'juara', 'gimana', 'bahagia', 'banget', 'coba', 'tiap', 'taun', 'menang', 'kalah', 'dukung', 'argentina', 'skrg', 'bnr', 'juara']</t>
  </si>
  <si>
    <t>Argentina mendapat pahala ( jd juara pildun ) krn sudah sedekah dg membuat senang orang lain ( Arab Saudi) walau hny sesaat. Yaitu di pertandingan babak grup dg memberikan senyuman bahagia seantero Arab.. üòúüòú ( do'a orang Arab manjur) üòÉ</t>
  </si>
  <si>
    <t>argentina mendapat pahala juara pildun krn sudah sedekah membuat senang orang lain arab saudi walau hny sesaat yaitu pertandingan babak grup memberikan senyuman bahagia seantero arab orang arab manjur</t>
  </si>
  <si>
    <t>['argentina', 'mendapat', 'pahala', 'juara', 'piala dunia', 'sedekah', 'membuat', 'senang', 'orang', 'arab', 'saudi', 'hny', 'sesaat', 'pertandingan', 'babak', 'grup', 'memberikan', 'senyuman', 'bahagia', 'seantero', 'arab', 'orang', 'arab', 'manjur']</t>
  </si>
  <si>
    <t>@Arsyanasurabaya Argentina juara bun</t>
  </si>
  <si>
    <t>argentina juara bun</t>
  </si>
  <si>
    <t>['argentina', 'juara', 'bun']</t>
  </si>
  <si>
    <t>Momen prosesi penyerahan trofi juara ke Argentina, diserahkan ke Messi, selamat Argentina #FIFAWorldCup #FIFAWorldCup2022 #FIFAWorldCupFinal #WorldCup #WorldCup2022 #WorldcupQatar2022 #ArgentinaVsFrance #ARGFRA  https://t.co/EuQj5J9KhA</t>
  </si>
  <si>
    <t>momen prosesi penyerahan trofi juara argentina diserahkan messi selamat argentina</t>
  </si>
  <si>
    <t>['momen', 'prosesi', 'penyerahan', 'trofi', 'juara', 'argentina', 'diserahkan', 'messi', 'selamat', 'argentina']</t>
  </si>
  <si>
    <t>Pesan Menyentuh Aguero untuk Lionel Messi usai Argentina Juara  https://t.co/B7UZbZ90tU</t>
  </si>
  <si>
    <t>pesan menyentuh aguero untuk lionel messi usai argentina juara</t>
  </si>
  <si>
    <t>['pesan', 'menyentuh', 'aguero', 'lionel', 'messi', 'usai', 'argentina', 'juara']</t>
  </si>
  <si>
    <t>Momen tendangan penalti penentu kemenangan Argentina oleh Montiel, sekaligus membawa Messi dkk juara #FIFAWorldCup #FIFAWorldCup2022 #FIFAWorldCupFinal #WorldCup #WorldCup2022 #WorldcupQatar2022 #ArgentinaVsFrance #ARGFRA   https://t.co/kufwPaaH9x</t>
  </si>
  <si>
    <t>HAH ARGENTINA JDI JUARA DUNIA YA?? ü§üüò≠üò≠</t>
  </si>
  <si>
    <t>hah argentina jdi juara dunia</t>
  </si>
  <si>
    <t>['hah', 'argentina', 'jdi', 'juara', 'dunia']</t>
  </si>
  <si>
    <t>Argentina juara french crop lagi dong</t>
  </si>
  <si>
    <t>argentina juara french crop lagi dong</t>
  </si>
  <si>
    <t>['argentina', 'juara', 'french', 'crop', 'dong']</t>
  </si>
  <si>
    <t>argentina juara artinya dapet llaollao satuü•∞</t>
  </si>
  <si>
    <t>argentina juara artinya dapet llaollao satu</t>
  </si>
  <si>
    <t>['argentina', 'juara', 'artinya', 'dapat', 'llaollao', 'satu']</t>
  </si>
  <si>
    <t>Terimakasih kasih iwan bule berkat beliau Argentina jadi juara #FIFAWorldCup  https://t.co/wAuD2r8VbS</t>
  </si>
  <si>
    <t>terimakasih kasih iwan bule berkat beliau argentina jadi juara</t>
  </si>
  <si>
    <t>['terimakasih', 'kasih', 'iwan', 'bule', 'berkat', 'beliau', 'argentina', 'jadi', 'juara']</t>
  </si>
  <si>
    <t>Timnas Argentina juga mendapat hadiah lain senilai Rp156 miliar usai menjadi juara di Piala Dunia 2022.  https://t.co/Ya9eJqRWVp</t>
  </si>
  <si>
    <t>Sebelum memenangkan Piala Dunia 2022, Argentina juga meraih gelar juara di Copa America pada 2021. Berikut catatan prestasi Argentina selengkapnya.  https://t.co/FfawP0SsAt</t>
  </si>
  <si>
    <t>Tanpa Indonesia Argentina gabisa juara dunia coy  https://t.co/Ew8zquJg3m</t>
  </si>
  <si>
    <t>tanpa indonesia argentina gabisa juara dunia coy</t>
  </si>
  <si>
    <t>['indonesia', 'argentina', 'gabisa', 'juara', 'dunia', 'coy']</t>
  </si>
  <si>
    <t>Piye, bahagia to? Argentina dpt juara Ntar lg gajian + libur nasional  Yok, bayar utang mu</t>
  </si>
  <si>
    <t>piye bahagia argentina dpt juara ntar gajian libur nasional yok bayar utang</t>
  </si>
  <si>
    <t>['piye', 'bahagia', 'argentina', 'dpt', 'juara', 'ntar', 'gajian', 'libur', 'nasional', 'yok', 'bayar', 'utang']</t>
  </si>
  <si>
    <t>@spektrumku Kalau diulang lagi, Argentina juga belum tntu juara Piala Dunia. Argentina belum tntu bsa ngalahin Perancis. Bahkan Kroasia blum tentu bisa ngalahkan Maroko. Itu kalau cerita kalau.</t>
  </si>
  <si>
    <t>kalau diulang lagi argentina juga belum tntu juara piala dunia argentina belum tntu bsa ngalahin perancis bahkan kroasia blum tentu bisa ngalahkan maroko itu kalau cerita kalau</t>
  </si>
  <si>
    <t>['kalau', 'diulang', 'argentina', 'tntu', 'juara', 'piala', 'dunia', 'argentina', 'tntu', 'bsa', 'ngalahin', 'perancis', 'bahkan', 'kroasia', 'blum', 'ngalahkan', 'maroko', 'kalau', 'cerita', 'kalau']</t>
  </si>
  <si>
    <t>yash Argentina juara üòè</t>
  </si>
  <si>
    <t>yash argentina juara</t>
  </si>
  <si>
    <t>['yash', 'argentina', 'juara']</t>
  </si>
  <si>
    <t>@alexasaffira Lautaro punya 2-3 peluang bersih untk cetak gol tapi sayang gagal...untung Argentina masih juara</t>
  </si>
  <si>
    <t>lautaro punya peluang bersih untk cetak gol tapi sayang gagal untung argentina masih juara</t>
  </si>
  <si>
    <t>['lautaro', 'punya', 'peluang', 'bersih', 'untk', 'cetak', 'gol', 'sayang', 'gagal', 'untung', 'argentina', 'juara']</t>
  </si>
  <si>
    <t>argentina yang juara malah ronaldo yang trending hahahaü§£</t>
  </si>
  <si>
    <t>argentina yang juara malah ronaldo yang trending hahaha</t>
  </si>
  <si>
    <t>['argentina', 'juara', 'malah', 'ronaldo', 'trending', 'hahaha']</t>
  </si>
  <si>
    <t>Argentina juara berkat jasa I Want Boo Lie ü§£ü§£ü§£</t>
  </si>
  <si>
    <t>argentina juara berkat jasa want boo lie</t>
  </si>
  <si>
    <t>['argentina', 'juara', 'berkat', 'jasa', 'want', 'boo', 'lie']</t>
  </si>
  <si>
    <t>"Don't Cry for Me Argentina" - Juara Piala Dunia FIFA 2022  #WorldCupFinal  #FIFAWorldCup  #Qatar2022   üìπAFP  https://t.co/YiBzBhOdFn</t>
  </si>
  <si>
    <t>don cry for argentina juara piala dunia fifa afp</t>
  </si>
  <si>
    <t>['don', 'cry', 'for', 'argentina', 'juara', 'piala', 'dunia', 'fifa', 'afp']</t>
  </si>
  <si>
    <t>Argentina Juara Piala Dunia: Terimakasih Messi, Puasa Gelar 36 Tahun Berakhir Indah  https://t.co/ReV8XDz3Ov</t>
  </si>
  <si>
    <t>argentina juara piala dunia terimakasih messi puasa gelar tahun berakhir indah</t>
  </si>
  <si>
    <t>['argentina', 'juara', 'piala', 'dunia', 'terimakasih', 'messi', 'puasa', 'gelar', 'tahun', 'berakhir', 'indah']</t>
  </si>
  <si>
    <t>Argentina Juara Piala Dunia: Terimakasih Messi, Puasa Gelar 36 Tahun Berakhir Indah  https://t.co/ReV8XDi0Mv</t>
  </si>
  <si>
    <t>Argentina Juara Piala Dunia 2022, Lloris Merasa Hampa, Messi: Sungguh Menakjubkan #ArgentinaJuara  https://t.co/M5qOOL07yF</t>
  </si>
  <si>
    <t>argentina juara piala dunia lloris merasa hampa messi sungguh menakjubkan</t>
  </si>
  <si>
    <t>['argentina', 'juara', 'piala', 'dunia', 'lloris', 'merasa', 'hampa', 'messi', 'sungguh', 'menakjubkan']</t>
  </si>
  <si>
    <t>Top News Koran Rakyat Merdeka  Argentina juara Messi-Mbappe Pemenangnya   https://t.co/dKzhyIoYJl</t>
  </si>
  <si>
    <t>top news koran rakyat merdeka argentina juara messi mbappe pemenangnya</t>
  </si>
  <si>
    <t>['top', 'news', 'koran', 'rakyat', 'merdeka', 'argentina', 'juara', 'messi', 'mbappe', 'pemenangnya']</t>
  </si>
  <si>
    <t>Selamat Senin Akhirnya Argentina juara.</t>
  </si>
  <si>
    <t>selamat senin akhirnya argentina juara</t>
  </si>
  <si>
    <t>['selamat', 'senin', 'akhirnya', 'argentina', 'juara']</t>
  </si>
  <si>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</si>
  <si>
    <t>info main bola lionel messi panen rekor usai juara piala dunia memang alien goat paten debat lionel messi akhirnya mewujudkan ambisi terbesarnya pulga sukses membawa argentina juara piala dunia usai menaklukkan prancis</t>
  </si>
  <si>
    <t>['info', 'main', 'bola', 'lionel', 'messi', 'panen', 'rekor', 'usai', 'juara', 'piala', 'dunia', 'memang', 'alien', 'goat', 'paten', 'debat', 'lionel', 'messi', 'akhirnya', 'mewujudkan', 'ambisi', 'terbesarnya', 'pulga', 'sukses', 'membawa', 'argentina', 'juara', 'piala', 'dunia', 'usai', 'menaklukkan', 'prancis']</t>
  </si>
  <si>
    <t>seneng argentina juara karena cuma pengen liat messi dapet pildun, tapi males sama pemain lainnya anjir horeammm</t>
  </si>
  <si>
    <t>seneng argentina juara karena cuma pengen liat messi dapet pildun tapi males sama pemain lainnya anjir horeammm</t>
  </si>
  <si>
    <t>['seneng', 'argentina', 'juara', 'cuma', 'pengen', 'lihat', 'messi', 'dapat', 'piala dunia', 'males', 'sama', 'pemain', 'lainnya', 'anjir', 'horeammm']</t>
  </si>
  <si>
    <t>Juara Dunia Sepak Bola :  1. Brazil 5 kali 2. Italia 4 kali 3. Jerman 4 kali 4. Uruguay 2 kali 5. Argentina 3 kali 6. Inggris 1 kali 7. Perancis 2 kali 8. Spanyol 1 kali 9. Indonesia Lain kali</t>
  </si>
  <si>
    <t>juara dunia sepak bola brazil kali italia kali jerman kali uruguay kali argentina kali inggris kali perancis kali spanyol kali indonesia lain kali</t>
  </si>
  <si>
    <t>['juara', 'dunia', 'sepak', 'bola', 'brazil', 'kali', 'italia', 'kali', 'jerman', 'kali', 'uruguay', 'kali', 'argentina', 'kali', 'inggris', 'kali', 'perancis', 'kali', 'spanyol', 'kali', 'indonesia', 'kali']</t>
  </si>
  <si>
    <t>@painapplefinee Argentina juara nya</t>
  </si>
  <si>
    <t>36 tahun Argentina tunggu jdi juara piala duniaüá¶üá∑üá¶üá∑‚ù§Ô∏è</t>
  </si>
  <si>
    <t>tahun argentina tunggu jdi juara piala dunia</t>
  </si>
  <si>
    <t>['tahun', 'argentina', 'tunggu', 'jdi', 'juara', 'piala', 'dunia']</t>
  </si>
  <si>
    <t>Argentina yang juara, Ronaldo yang trending wkwk</t>
  </si>
  <si>
    <t>argentina yang juara ronaldo yang trending wkwk</t>
  </si>
  <si>
    <t>['argentina', 'juara', 'ronaldo', 'trending']</t>
  </si>
  <si>
    <t>apakah setelah argentina juara pildun akan berpengaruh sama order komponeeen......semoga membludakkkk</t>
  </si>
  <si>
    <t>apakah setelah argentina juara pildun akan berpengaruh sama order komponeeen semoga membludakkkk</t>
  </si>
  <si>
    <t>['argentina', 'juara', 'piala dunia', 'berpengaruh', 'sama', 'order', 'komponeeen', 'semoga', 'membludakkkk']</t>
  </si>
  <si>
    <t>Mana nih yg waktu itu bilang rafathar anak pembawa s*al pas dia pake jersey Argentina + kebetulan timnya kalah, noh skg Argentina kan yg juara piala dunia hadeeehhh üòí btw congratss Argentina üèÜüéâ  https://t.co/6AHGyAoVqa</t>
  </si>
  <si>
    <t>mana nih waktu itu bilang rafathar anak pembawa pas dia pake jersey argentina kebetulan timnya kalah noh skg argentina kan juara piala dunia hadeeehhh btw congratss argentina</t>
  </si>
  <si>
    <t>['mana', 'waktu', 'rafathar', 'anak', 'pembawa', 'pas', 'pake', 'jersey', 'argentina', 'kebetulan', 'timnya', 'kalah', 'noh', 'skg', 'argentina', 'kan', 'juara', 'piala', 'dunia', 'hadeeehhh', 'by the way', 'congratss', 'argentina']</t>
  </si>
  <si>
    <t>Jujur pasti adek seneng liat Argentina juara. Dek, Argentina juara lho..</t>
  </si>
  <si>
    <t>jujur pasti adek seneng liat argentina juara dek argentina juara lho</t>
  </si>
  <si>
    <t>['jujur', 'adek', 'seneng', 'lihat', 'argentina', 'juara', 'dek', 'argentina', 'juara', 'lho']</t>
  </si>
  <si>
    <t>Argentina Juara Piala Dunia, Kampung Halaman Messi 'Pecah'  https://t.co/FMXMywQUQU</t>
  </si>
  <si>
    <t>argentina juara piala dunia kampung halaman messi pecah</t>
  </si>
  <si>
    <t>['argentina', 'juara', 'piala', 'dunia', 'kampung', 'halaman', 'messi', 'pecah']</t>
  </si>
  <si>
    <t>@prasetyoseven Wapres dan striker Inter juara dunia,ada fakta unik lho bang... Lautaro dan Zanetti sama2 pake no 22 di argentina</t>
  </si>
  <si>
    <t>wapres dan striker inter juara dunia ada fakta unik lho bang lautaro dan zanetti sama pake argentina</t>
  </si>
  <si>
    <t>['wapres', 'striker', 'inter', 'juara', 'dunia', 'fakta', 'unik', 'lho', 'bang', 'lautaro', 'zanetti', 'sama', 'pake', 'argentina']</t>
  </si>
  <si>
    <t>@adipurwa74 Argentina juara ya ?</t>
  </si>
  <si>
    <t>Hasil Skor Fulltime  Skor 2 - 2 Argentina Vs Francis PGT : Mbappe K 80'(Francis)  Selamat bagi yang menang kuis Tebak Skor dari  @situs_bola855  Juara 1.@ManHaki87115692  Bagi yang belum beruntung jangan berkecil hati Nantikan kuis tebak skor</t>
  </si>
  <si>
    <t>hasil skor fulltime skor argentina francis pgt mbappe francis selamat bagi yang menang kuis tebak skor dari bola juara bagi yang belum beruntung jangan berkecil hati nantikan kuis tebak skor</t>
  </si>
  <si>
    <t>['hasil', 'skor', 'fulltime', 'skor', 'argentina', 'francis', 'pgt', 'mbappe', 'francis', 'selamat', 'menang', 'kuis', 'tebak', 'skor', 'bola', 'juara', 'beruntung', 'jangan', 'berkecil', 'hati', 'nantikan', 'kuis', 'tebak', 'skor']</t>
  </si>
  <si>
    <t>@pantungalimar @idextratime Berkat Iwan bule Argentina juara.  https://t.co/IpMyJx88BQ</t>
  </si>
  <si>
    <t>berkat iwan bule argentina juara</t>
  </si>
  <si>
    <t>['berkat', 'iwan', 'bule', 'argentina', 'juara']</t>
  </si>
  <si>
    <t>Skefo bray argentina berhasil mengalahkan juara bertahan france dalam drama adu penalti fifa word cup 2022, messi menjadi bintang dan mengakhiri perdebatan goat yg asli dalam akhir2 karir nyaüò≠üò≠üò≠</t>
  </si>
  <si>
    <t>skefo bray argentina berhasil mengalahkan juara bertahan france dalam drama adu penalti fifa word cup messi menjadi bintang dan mengakhiri perdebatan goat asli dalam akhir karir nya</t>
  </si>
  <si>
    <t>['skefo', 'bray', 'argentina', 'berhasil', 'mengalahkan', 'juara', 'bertahan', 'france', 'drama', 'adu', 'penalti', 'fifa', 'word', 'cup', 'messi', 'menjadi', 'bintang', 'mengakhiri', 'perdebatan', 'goat', 'asli', 'akhir', 'karir']</t>
  </si>
  <si>
    <t>@FerdinandHutah7 @aniesbaswedan @NasDem @PKSejahtera @jokowi Wis bang...jgn politik melulu, masyarakat masih euforia argentina jd juara piala dunia</t>
  </si>
  <si>
    <t>wis bang jgn politik melulu masyarakat masih euforia argentina juara piala dunia</t>
  </si>
  <si>
    <t>['wis', 'bang', 'politik', 'melulu', 'masyarakat', 'euforia', 'argentina', 'juara', 'piala', 'dunia']</t>
  </si>
  <si>
    <t>Banyak banget ya bilang settingan Argentina bisa juara... Lah kan emang rejekinya juara... Kalau emang ditakdirkan ya ga usah ngeledek atau cari kesalahan gimana sih</t>
  </si>
  <si>
    <t>banyak banget bilang settingan argentina bisa juara lah kan emang rejekinya juara kalau emang ditakdirkan usah ngeledek atau cari kesalahan gimana sih</t>
  </si>
  <si>
    <t>['banyak', 'banget', 'settingan', 'argentina', 'juara', 'lah', 'kan', 'emang', 'rejekinya', 'juara', 'kalau', 'emang', 'ditakdirkan', 'usah', 'ngeledek', 'cari', 'kesalahan', 'gimana']</t>
  </si>
  <si>
    <t>Prank! Lionel Messi enggak jadi pensiun dari Timnas Argentina usai juara Piala Dunia 2022  https://t.co/jMDd2hqGJU</t>
  </si>
  <si>
    <t>prank lionel messi enggak jadi pensiun dari timnas argentina usai juara piala dunia</t>
  </si>
  <si>
    <t>['prank', 'lionel', 'messi', 'enggak', 'jadi', 'pensiun', 'timnas', 'argentina', 'usai', 'juara', 'piala', 'dunia']</t>
  </si>
  <si>
    <t>Orang amazon tidak senang melihat argentina juara piala dunia</t>
  </si>
  <si>
    <t>orang amazon tidak senang melihat argentina juara piala dunia</t>
  </si>
  <si>
    <t>['orang', 'amazon', 'senang', 'melihat', 'argentina', 'juara', 'piala', 'dunia']</t>
  </si>
  <si>
    <t>Argentina juara jadi ingat lakon di film India: kalah duluan.</t>
  </si>
  <si>
    <t>argentina juara jadi ingat lakon film india kalah duluan</t>
  </si>
  <si>
    <t>['argentina', 'juara', 'jadi', 'ingat', 'lakon', 'film', 'india', 'kalah', 'duluan']</t>
  </si>
  <si>
    <t>Argentina Juara Piala Dunia 2022, Arab Saudi Boleh Ikut Berbangga  https://t.co/baQVzYZN0P</t>
  </si>
  <si>
    <t>argentina juara piala dunia arab saudi boleh ikut berbangga</t>
  </si>
  <si>
    <t>['argentina', 'juara', 'piala', 'dunia', 'arab', 'saudi', 'ikut', 'berbangga']</t>
  </si>
  <si>
    <t>Argentina Juara! Messi Patahkan Pernyataan Mbappe  https://t.co/Oxzk1hrwbq</t>
  </si>
  <si>
    <t>Hahahaha. Mana tahu hari ini France bergabung dengan Argentina untuk jadi Juara Dunia Bersama? üòù</t>
  </si>
  <si>
    <t>hahahaha mana tahu hari ini france bergabung dengan argentina untuk jadi juara dunia bersama</t>
  </si>
  <si>
    <t>['hahahaha', 'mana', 'tahu', 'hari', 'france', 'bergabung', 'argentina', 'jadi', 'juara', 'dunia', 'bersama']</t>
  </si>
  <si>
    <t>Aku sebagai army yg suka bola seneng bgt Masya Allah dimulai jungkook dikasih kesempatan isi soundtrack world cup tahun ini trus endingnya yg juara world cup Argentina dong ü•≥ü•≥ü•≥</t>
  </si>
  <si>
    <t>aku sebagai army suka bola seneng bgt masya allah dimulai jungkook dikasih kesempatan isi soundtrack world cup tahun ini trus endingnya juara world cup argentina dong</t>
  </si>
  <si>
    <t>['aku', 'army', 'suka', 'bola', 'seneng', 'banget', 'masya', 'allah', 'dimulai', 'jungkook', 'dikasih', 'kesempatan', 'isi', 'soundtrack', 'world', 'cup', 'tahun', 'trus', 'endingnya', 'juara', 'world', 'cup', 'argentina', 'dong']</t>
  </si>
  <si>
    <t>@idextratime Juru kunci yang bikin Argentina juara  https://t.co/PFwo7I80kX</t>
  </si>
  <si>
    <t>juru kunci yang bikin argentina juara</t>
  </si>
  <si>
    <t>['juru', 'kunci', 'argentina', 'juara']</t>
  </si>
  <si>
    <t>Dahlah yg bekoar koar gasuka argentina juara fix fans portugal. TAIK! Vamosüá¶üá∑üèÜüí∏</t>
  </si>
  <si>
    <t>dahlah bekoar koar gasuka argentina juara fix fans portugal taik vamos</t>
  </si>
  <si>
    <t>['dahlah', 'bekoar', 'koar', 'gasuka', 'argentina', 'juara', 'fix', 'fans', 'portugal', 'taik', 'vamos']</t>
  </si>
  <si>
    <t>Juara piala dunia 2022 sesungguhnya adalah Arab Saudi, Argentina bisa mengalahkan Prancis dan Arab Saudi bisa mengalahkan Argentina...</t>
  </si>
  <si>
    <t>juara piala dunia sesungguhnya adalah arab saudi argentina bisa mengalahkan prancis dan arab saudi bisa mengalahkan argentina</t>
  </si>
  <si>
    <t>['juara', 'piala', 'dunia', 'sesungguhnya', 'arab', 'saudi', 'argentina', 'mengalahkan', 'prancis', 'arab', 'saudi', 'mengalahkan', 'argentina']</t>
  </si>
  <si>
    <t>sebenernya yg juara itu arab saudi, soalnya cuma arab yg bisa ngalahin argentina...</t>
  </si>
  <si>
    <t>sebenernya juara itu arab saudi soalnya cuma arab bisa ngalahin argentina</t>
  </si>
  <si>
    <t>['sebenernya', 'juara', 'arab', 'saudi', 'soalnya', 'cuma', 'arab', 'ngalahin', 'argentina']</t>
  </si>
  <si>
    <t>Emiliano Martinez dan Angle Di Maria, dua pesepakbola yang patut diingat namanya. Keduanya turut berperan membawa Argentina juara Piala Dunia 2022 selain Messi.  https://t.co/p1lKGRBRwq</t>
  </si>
  <si>
    <t>@geloraco Gimana gk juara ya lha wong argentina vs mbappe...</t>
  </si>
  <si>
    <t>gimana juara lha wong argentina mbappe</t>
  </si>
  <si>
    <t>['gimana', 'juara', 'lha', 'wong', 'argentina', 'mbappe']</t>
  </si>
  <si>
    <t>Memulai pertandingan dengan kekalahan, mengakhiri dengan kemenangan.... Selamat sang juara dunia.... Argentina.  https://t.co/sUTEvFA0mn</t>
  </si>
  <si>
    <t>memulai pertandingan dengan kekalahan mengakhiri dengan kemenangan selamat sang juara dunia argentina</t>
  </si>
  <si>
    <t>['memulai', 'pertandingan', 'kekalahan', 'mengakhiri', 'kemenangan', 'selamat', 'sang', 'juara', 'dunia', 'argentina']</t>
  </si>
  <si>
    <t>@PolJokesID Hanya di jaman ibul, argentina bisa juara pildun bersama messi</t>
  </si>
  <si>
    <t>hanya jaman ibul argentina bisa juara pildun bersama messi</t>
  </si>
  <si>
    <t>['jaman', 'ibul', 'argentina', 'juara', 'piala dunia', 'bersama', 'messi']</t>
  </si>
  <si>
    <t>ngebuka fesbuk, statusny hampir ngebahas argentina juara.....bikin tensi naek aja üò™.... soale Ane dukung Perancis üòÇ..</t>
  </si>
  <si>
    <t>ngebuka fesbuk statusny hampir ngebahas argentina juara bikin tensi naek aja soale ane dukung perancis</t>
  </si>
  <si>
    <t>['ngebuka', 'fesbuk', 'statusny', 'hampir', 'ngebahas', 'argentina', 'juara', 'tensi', 'naik', 'soale', 'ane', 'dukung', 'perancis']</t>
  </si>
  <si>
    <t>Argentina Juara Dunia, Messi Samai Prestasi Maradona  https://t.co/2pZBQ9YIFs</t>
  </si>
  <si>
    <t>argentina juara tp piala sm hadiahnya disimpan sekolah yhh</t>
  </si>
  <si>
    <t>argentina juara piala hadiahnya disimpan sekolah yhh</t>
  </si>
  <si>
    <t>['argentina', 'juara', 'piala', 'hadiahnya', 'disimpan', 'sekolah', 'yhh']</t>
  </si>
  <si>
    <t>Tidak menyangka pagi ini dapat merayakan kemenangan tim dukungan dgn Elder brother yg sdh lama jauh merantau. Pasca Argentina dinyatakan juara kami berpelukan. Huft kejadian yg luar biasa di momen yg tepat üá¶üá∑üá¶üá∑</t>
  </si>
  <si>
    <t>tidak menyangka pagi ini dapat merayakan kemenangan tim dukungan dgn elder brother sdh lama jauh merantau pasca argentina dinyatakan juara kami berpelukan huft kejadian luar biasa momen tepat</t>
  </si>
  <si>
    <t>['menyangka', 'pagi', 'merayakan', 'kemenangan', 'tim', 'dukungan', 'elder', 'brother', 'lama', 'jauh', 'merantau', 'pasca', 'argentina', 'dinyatakan', 'juara', 'berpelukan', 'huft', 'kejadian', 'luar', 'biasa', 'momen', 'tepat']</t>
  </si>
  <si>
    <t>Pele Beri Ucapan Selamat Bagi Argentina dan Lionel Messi Atas Gelar Juara Piala Dunia  https://t.co/N02dBq7lZh  https://t.co/v7HucL2ldJ</t>
  </si>
  <si>
    <t>pele beri ucapan selamat bagi argentina dan lionel messi atas gelar juara piala dunia</t>
  </si>
  <si>
    <t>['pele', 'beri', 'ucapan', 'selamat', 'argentina', 'lionel', 'messi', 'atas', 'gelar', 'juara', 'piala', 'dunia']</t>
  </si>
  <si>
    <t>Hampir ga juara si argentina wkwk suka gitu dah pas sama belanda juga gitu bikin jantungan üôÑ</t>
  </si>
  <si>
    <t>hampir juara argentina wkwk suka gitu dah pas sama belanda juga gitu bikin jantungan</t>
  </si>
  <si>
    <t>['hampir', 'juara', 'argentina', 'suka', 'gitu', 'dah', 'pas', 'sama', 'belanda', 'gitu', 'jantungan']</t>
  </si>
  <si>
    <t>Gue ngerasa akhir tahun banyak bgt peluang keberuntungan dehüôÇ 1. Tim kesayangan pildun, Argentina juara di #FIFAWorldCup  2. Belanja buat ahir tahun pke promo gede dari gopaylater apalagi bisa cicil + bebas limit 3. gopaylater challenge hadiahnya jutaan, peluang cuan nihüòç</t>
  </si>
  <si>
    <t>gue ngerasa akhir tahun banyak bgt peluang keberuntungan deh tim kesayangan pildun argentina juara belanja buat ahir tahun pke promo gede dari gopaylater apalagi bisa cicil bebas limit gopaylater challenge hadiahnya jutaan peluang cuan nih</t>
  </si>
  <si>
    <t>['gue', 'ngerasa', 'akhir', 'tahun', 'banyak', 'banget', 'peluang', 'keberuntungan', 'deh', 'tim', 'kesayangan', 'piala dunia', 'argentina', 'juara', 'belanja', 'buat', 'ahir', 'tahun', 'pke', 'promo', 'gede', 'gopaylater', 'cicil', 'bebas', 'limit', 'gopaylater', 'challenge', 'hadiahnya', 'jutaan', 'peluang', 'cuan']</t>
  </si>
  <si>
    <t>VIDEO: Sinar Argentina Juara Dunia di Atas Stadion Lusail  https://t.co/iNYiWHDLlT</t>
  </si>
  <si>
    <t>video sinar argentina juara dunia atas stadion lusail</t>
  </si>
  <si>
    <t>['video', 'sinar', 'argentina', 'juara', 'dunia', 'atas', 'stadion', 'lusail']</t>
  </si>
  <si>
    <t>Perasaan yang juara tuh argentina, tapi beritanya cuma messi doang. Pemain argentina namanya messi semua? ):</t>
  </si>
  <si>
    <t>perasaan yang juara tuh argentina tapi beritanya cuma messi doang pemain argentina namanya messi semua</t>
  </si>
  <si>
    <t>['perasaan', 'juara', 'argentina', 'beritanya', 'cuma', 'messi', 'doang', 'pemain', 'argentina', 'namanya', 'messi', 'semua']</t>
  </si>
  <si>
    <t>anggaplah argentina juara salah satunya karena arsenal</t>
  </si>
  <si>
    <t>['anggaplah', 'argentina', 'juara', 'salah', 'satunya', 'arsenal']</t>
  </si>
  <si>
    <t>tiba" dispam karena seneng argentina juara padahal aku udah ketiduran:( aaa gemass sekalii‚ù§Ô∏è #FIFAWorldCup #Argentina #MessiìÉµ  https://t.co/y5qOhAUCJ7</t>
  </si>
  <si>
    <t>tiba dispam karena seneng argentina juara padahal aku udah ketiduran aaa gemass sekalii</t>
  </si>
  <si>
    <t>['tiba', 'dispam', 'seneng', 'argentina', 'juara', 'padahal', 'aku', 'udah', 'ketiduran', 'aaa', 'gemass', 'sekalii']</t>
  </si>
  <si>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</si>
  <si>
    <t>argentina juara piala dunia yang kantor dan kerja pasti pada ngantuk tapi ngomong ada nggak negara lain menteri hampir dua minggu seminggu lebih ninggalin kerjaannya demi nonton bola nah kalau negara lain gak ada indonesia ada lho yuk ngopi</t>
  </si>
  <si>
    <t>['argentina', 'juara', 'piala', 'dunia', 'kantor', 'kerja', 'ngantuk', 'ngomong', 'negara', 'menteri', 'hampir', 'minggu', 'seminggu', 'lebih', 'ninggalin', 'kerjaannya', 'nonton', 'bola', 'nah', 'kalau', 'negara', 'indonesia', 'lho', 'yuk', 'ngopi']</t>
  </si>
  <si>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</si>
  <si>
    <t>finally argentina jadi juara piala dunia setelah ngalahin prancis lewat adu penalti sebelumnya seri sampe extra time nih sobat muda selamat buat argentina</t>
  </si>
  <si>
    <t>['finally', 'argentina', 'jadi', 'juara', 'piala', 'dunia', 'ngalahin', 'prancis', 'lewat', 'adu', 'penalti', 'sebelumnya', 'seri', 'sampai', 'extra', 'time', 'sobat', 'muda', 'selamat', 'buat', 'argentina']</t>
  </si>
  <si>
    <t>ikutan seneng stlah tau argentina comeback juara..aaaa setelah sekian lama.</t>
  </si>
  <si>
    <t>ikutan seneng stlah tau argentina comeback juara aaaa setelah sekian lama</t>
  </si>
  <si>
    <t>['ikutan', 'seneng', 'stlah', 'argentina', 'comeback', 'juara', 'aaaa', 'sekian', 'lama']</t>
  </si>
  <si>
    <t>Kalau dimaria ga diganti, yakin aku Argentina menang tanpa harus extra time Soalnya nampak kuk permainan argentina menurun pas dimaria diganti. Cuma gapapa yg penting juara</t>
  </si>
  <si>
    <t>kalau dimaria diganti yakin aku argentina menang tanpa harus extra time soalnya nampak kuk permainan argentina menurun pas dimaria diganti cuma gapapa penting juara</t>
  </si>
  <si>
    <t>['kalau', 'dimaria', 'diganti', 'yakin', 'aku', 'argentina', 'menang', 'extra', 'time', 'soalnya', 'nampak', 'kuk', 'permainan', 'argentina', 'menurun', 'pas', 'dimaria', 'diganti', 'cuma', 'gapapa', 'penting', 'juara']</t>
  </si>
  <si>
    <t>Mission complete for Argentina üá¶üá∑üèÜ  Selamat buat ARGENTINA menjadi juara dunia ‚öΩÔ∏èü•á‚ú®Ô∏è  Via : @fifaworldcup  https://t.co/VnYRhFV7gZ</t>
  </si>
  <si>
    <t>mission complete for argentina selamat buat argentina menjadi juara dunia via</t>
  </si>
  <si>
    <t>['mission', 'complete', 'for', 'argentina', 'selamat', 'buat', 'argentina', 'menjadi', 'juara', 'dunia', 'via']</t>
  </si>
  <si>
    <t>Pesta Juara Argentina di Kupang  https://t.co/tUjN8nyppM</t>
  </si>
  <si>
    <t>pesta juara argentina kupang</t>
  </si>
  <si>
    <t>['pesta', 'juara', 'argentina', 'kupang']</t>
  </si>
  <si>
    <t>Alhamdulillah, Senin-senin dapat alasan maSUk kantor telat dengan video ini:  "Ijin pak, mau berangkat ngantor tapi jalanan diblokir 7 juta umatnya Messi yang sedang merayakan Argentina Juara Dunia. Jadi saya ijin untuk WFH üôè"  https://t.co/HGxS1QcO1e</t>
  </si>
  <si>
    <t>alhamdulillah senin senin dapat alasan masuk kantor telat dengan video ini ijin pak mau berangkat ngantor tapi jalanan diblokir juta umatnya messi yang sedang merayakan argentina juara dunia jadi saya ijin untuk wfh</t>
  </si>
  <si>
    <t>['alhamdulillah', 'senin', 'senin', 'alasan', 'masuk', 'kantor', 'telat', 'video', 'ijin', 'pak', 'mau', 'berangkat', 'ngantor', 'jalanan', 'diblokir', 'juta', 'umatnya', 'messi', 'sedang', 'merayakan', 'argentina', 'juara', 'dunia', 'jadi', 'ijin', 'wfh']</t>
  </si>
  <si>
    <t>Ga penting francis atau argentina yg menang ketika km yg menjadi juara dihatiku, dek.</t>
  </si>
  <si>
    <t>penting francis atau argentina menang ketika menjadi juara dihatiku dek</t>
  </si>
  <si>
    <t>['penting', 'francis', 'argentina', 'menang', 'menjadi', 'juara', 'dihatiku', 'dek']</t>
  </si>
  <si>
    <t>happy for bapak sbb Argentina dia menang lepas dia ditched Germany sbb perangai üê∑ masa WC nie üòÇ  to France, korang tetap juara. you guys are the best.. Les Blues üíô  ayat sedapkan hati ‚Äúala menang penalti jer kot‚Äù üôÇ</t>
  </si>
  <si>
    <t>happy for bapak sbb argentina dia menang lepas dia ditched germany sbb perangai masa nie france korang tetap juara you guys are the best les blues ayat sedapkan hati ala menang penalti jer kot</t>
  </si>
  <si>
    <t>['happy', 'for', 'bapak', 'sbb', 'argentina', 'menang', 'lepas', 'ditched', 'germany', 'sbb', 'perangai', 'masa', 'nie', 'france', 'korang', 'tetap', 'juara', 'you', 'guys', 'are', 'the', 'best', 'les', 'blues', 'ayat', 'sedapkan', 'hati', 'ala', 'menang', 'penalti', 'jer', 'kot']</t>
  </si>
  <si>
    <t>Sepakbola Selesaiü•∫ Tidak Ada Lagi Yg Diperdebatkan (TAMAT)üò≠  L.Messi Pemenangnyaüëèüèª Bagi Cristiano Ronaldo Piala Dunia Hanyalah Mimpiüò¢ Selamat Argentina Juara World Cup Qatar 2022üëèüèªüëèüèªüëèüèª @Cristiano @FIFAWorldCup  https://t.co/qqi2JFV9Dm</t>
  </si>
  <si>
    <t>sepakbola selesai tidak ada lagi diperdebatkan tamat messi pemenangnya bagi cristiano ronaldo piala dunia hanyalah mimpi selamat argentina juara world cup qatar</t>
  </si>
  <si>
    <t>['sepakbola', 'selesai', 'diperdebatkan', 'tamat', 'messi', 'pemenangnya', 'cristiano', 'ronaldo', 'piala', 'dunia', 'hanyalah', 'mimpi', 'selamat', 'argentina', 'juara', 'world', 'cup', 'qatar']</t>
  </si>
  <si>
    <t>Bener kan, kejadian. RT @weekendersboy: Mimpi Argentina juara di bantu Messi yg kerasukan Maradona</t>
  </si>
  <si>
    <t>bener kan kejadian mimpi argentina juara bantu messi kerasukan maradona</t>
  </si>
  <si>
    <t>['benar', 'kan', 'kejadian', 'mimpi', 'argentina', 'juara', 'bantu', 'messi', 'kerasukan', 'maradona']</t>
  </si>
  <si>
    <t>SELAMAT! ARGENTINA JUARA PIALA DUNIA 2022.‚Å£  https://t.co/hBftWDXRyT</t>
  </si>
  <si>
    <t>@idextratime secara tidak langsung, prancis membantu argentina juara.</t>
  </si>
  <si>
    <t>secara tidak langsung prancis membantu argentina juara</t>
  </si>
  <si>
    <t>['langsung', 'prancis', 'membantu', 'argentina', 'juara']</t>
  </si>
  <si>
    <t>Masih ga percaya Leo Messi dan Argentina juara ü§ìüá¶üá∑ #MessiìÉµ</t>
  </si>
  <si>
    <t>masih percaya leo messi dan argentina juara</t>
  </si>
  <si>
    <t>['percaya', 'leo', 'messi', 'argentina', 'juara']</t>
  </si>
  <si>
    <t>@OssyDermawan @PDemokrat Hore Argentina juara</t>
  </si>
  <si>
    <t>hore argentina juara</t>
  </si>
  <si>
    <t>['hore', 'argentina', 'juara']</t>
  </si>
  <si>
    <t>Akhirnya Piala Dunia menutup tirainya dengan Argentina menjadi juara.  Walaupun pasukan Perancis kalah dengan tendangan penalti namun semangat juang dan tidak kenal putus asa ditunjukkan oleh pasukan Perancis.  https://t.co/ocbwGsuxRq</t>
  </si>
  <si>
    <t>akhirnya piala dunia menutup tirainya dengan argentina menjadi juara walaupun pasukan perancis kalah dengan tendangan penalti namun semangat juang dan tidak kenal putus asa ditunjukkan oleh pasukan perancis</t>
  </si>
  <si>
    <t>['akhirnya', 'piala', 'dunia', 'menutup', 'tirainya', 'argentina', 'menjadi', 'juara', 'walaupun', 'pasukan', 'perancis', 'kalah', 'tendangan', 'penalti', 'semangat', 'juang', 'kenal', 'putus', 'asa', 'ditunjukkan', 'pasukan', 'perancis']</t>
  </si>
  <si>
    <t>Rekor Mengerikan Lionel Messi Usai Argentina Juara Piala Dunia 2022  https://t.co/34pvGhKFhv</t>
  </si>
  <si>
    <t>@jek___ Yaaaahhhh....TIDAK ADIL. Harusnya yg juara dunia ARAB SAUDI Dengan mengalahkan Argentina.  Ntar Porsche nya, suruh kembalikan ke kerajaan.</t>
  </si>
  <si>
    <t>yaaaahhhh tidak adil harusnya juara dunia arab saudi dengan mengalahkan argentina ntar porsche nya suruh kembalikan kerajaan</t>
  </si>
  <si>
    <t>['yaaaahhhh', 'adil', 'harusnya', 'juara', 'dunia', 'arab', 'saudi', 'mengalahkan', 'argentina', 'ntar', 'porsche', 'suruh', 'kembalikan', 'kerajaan']</t>
  </si>
  <si>
    <t>@muika Akhirnya setelah era Maradona, Argentina bisa juara lagi üèÜ</t>
  </si>
  <si>
    <t>akhirnya setelah era maradona argentina bisa juara lagi</t>
  </si>
  <si>
    <t>['akhirnya', 'era', 'maradona', 'argentina', 'juara']</t>
  </si>
  <si>
    <t>Meski kecewa prancis tak juara Slmt buat argentina #PD2022selesai</t>
  </si>
  <si>
    <t>meski kecewa prancis tak juara slmt buat argentina</t>
  </si>
  <si>
    <t>['meski', 'kecewa', 'prancis', 'tak', 'juara', 'slmt', 'buat', 'argentina']</t>
  </si>
  <si>
    <t>Tanpa bapak ini belum tentu argentina bisa juara üëè</t>
  </si>
  <si>
    <t>tanpa bapak ini belum tentu argentina bisa juara</t>
  </si>
  <si>
    <t>['bapak', 'argentina', 'juara']</t>
  </si>
  <si>
    <t>@BarackObama barack has decided</t>
  </si>
  <si>
    <t>barack has decided</t>
  </si>
  <si>
    <t>['barack', 'has', 'decided']</t>
  </si>
  <si>
    <t>Emiliano Martinez Membawa Bendera Argentina Menjadi Juara Piala Dunia Qatar 2022  https://t.co/s24DrimCAv</t>
  </si>
  <si>
    <t>emiliano martinez membawa bendera argentina menjadi juara piala dunia qatar</t>
  </si>
  <si>
    <t>['emiliano', 'martinez', 'membawa', 'bendera', 'argentina', 'menjadi', 'juara', 'piala', 'dunia', 'qatar']</t>
  </si>
  <si>
    <t>@MiskinTV_ Saking pinternya jokowi dan pengurus PSSI, Argentina mampu Juara Piala dunia.ü•∂</t>
  </si>
  <si>
    <t>saking pinternya jokowi dan pengurus pssi argentina mampu juara piala dunia</t>
  </si>
  <si>
    <t>['saking', 'pinternya', 'jokowi', 'pengurus', 'pssi', 'argentina', 'mampu', 'juara', 'piala', 'dunia']</t>
  </si>
  <si>
    <t>Argentina yh juara pildun?</t>
  </si>
  <si>
    <t>Gak dukung Prancis tapi gak rela juga Argentina juara. Mix feeling.</t>
  </si>
  <si>
    <t>gak dukung prancis tapi gak rela juga argentina juara mix feeling</t>
  </si>
  <si>
    <t>['dukung', 'prancis', 'rela', 'argentina', 'juara', 'mix', 'feeling']</t>
  </si>
  <si>
    <t>Kenapa rasa lebih bahagia Argentina juara daripada lulus ukmppd kemarin. üôÇüôÇüôÇ</t>
  </si>
  <si>
    <t>kenapa rasa lebih bahagia argentina juara daripada lulus ukmppd kemarin</t>
  </si>
  <si>
    <t>['rasa', 'lebih', 'bahagia', 'argentina', 'juara', 'lulus', 'ukmppd', 'kemarin']</t>
  </si>
  <si>
    <t>Banyak yang berharap / mendoakan Argentina yang juara karena faktor Messi..üòä</t>
  </si>
  <si>
    <t>banyak yang berharap mendoakan argentina yang juara karena faktor messi</t>
  </si>
  <si>
    <t>['banyak', 'berharap', 'mendoakan', 'argentina', 'juara', 'faktor', 'messi']</t>
  </si>
  <si>
    <t>EH ARGENTINA JUARA? HUEHUE üò≠üò≠üíñ</t>
  </si>
  <si>
    <t>argentina juara huehue</t>
  </si>
  <si>
    <t>['argentina', 'juara', 'huehue']</t>
  </si>
  <si>
    <t>Tetep Argentina juara nya. . .</t>
  </si>
  <si>
    <t>tetep argentina juara nya</t>
  </si>
  <si>
    <t>['tetep', 'argentina', 'juara']</t>
  </si>
  <si>
    <t>Kata-kata Magis Peter Drury yang Mengantar Argentina Juara Piala Dunia: Messi Bersalaman dengan Surga!  https://t.co/YKuYJ6Wn2F  https://t.co/SwpSA3fMjB</t>
  </si>
  <si>
    <t>kata kata magis peter drury yang mengantar argentina juara piala dunia messi bersalaman dengan surga</t>
  </si>
  <si>
    <t>['kata', 'kata', 'magis', 'peter', 'drury', 'mengantar', 'argentina', 'juara', 'piala', 'dunia', 'messi', 'bersalaman', 'surga']</t>
  </si>
  <si>
    <t>Sikat Prancis dan Bawa Argentina Juara Piala Dunia 2022, Lionel Messi: Kami Berhasil!  https://t.co/CFcdsVEjfJ  https://t.co/lMkWHMJha2</t>
  </si>
  <si>
    <t>sikat prancis dan bawa argentina juara piala dunia lionel messi kami berhasil</t>
  </si>
  <si>
    <t>['sikat', 'prancis', 'bawa', 'argentina', 'juara', 'piala', 'dunia', 'lionel', 'messi', 'berhasil']</t>
  </si>
  <si>
    <t>Daftar Lengkap Juara Piala Dunia: Negara Mana yang Lebih Banyak dari Timnas Argentina?  https://t.co/7ggNuAEMXP  https://t.co/0oknFZWH6P</t>
  </si>
  <si>
    <t>daftar lengkap juara piala dunia negara mana yang lebih banyak dari timnas argentina</t>
  </si>
  <si>
    <t>['daftar', 'lengkap', 'juara', 'piala', 'dunia', 'negara', 'mana', 'lebih', 'banyak', 'timnas', 'argentina']</t>
  </si>
  <si>
    <t>Bukan Cuma Lionel Messi, Argentina Juga Panen Rekor Usai Juara Piala Dunia 2022  https://t.co/gRLH3Mef2n  https://t.co/DClBV6Ku5R</t>
  </si>
  <si>
    <t>bukan cuma lionel messi argentina juga panen rekor usai juara piala dunia</t>
  </si>
  <si>
    <t>['bukan', 'cuma', 'lionel', 'messi', 'argentina', 'panen', 'rekor', 'usai', 'juara', 'piala', 'dunia']</t>
  </si>
  <si>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</si>
  <si>
    <t>argentina juara piala dunia pertandingan seru buat sport jantung dimaria pas diganti permainan argentina jadi menurun kalau dimaria diganti yakin sih argentina menang tanpa harus extra time tapi selamat argentina messi akhirnya gelar juara lengkap woi</t>
  </si>
  <si>
    <t>['argentina', 'juara', 'piala', 'dunia', 'pertandingan', 'seru', 'buat', 'sport', 'jantung', 'dimaria', 'pas', 'diganti', 'permainan', 'argentina', 'jadi', 'menurun', 'kalau', 'dimaria', 'diganti', 'yakin', 'argentina', 'menang', 'extra', 'time', 'selamat', 'argentina', 'messi', 'akhirnya', 'gelar', 'juara', 'lengkap']</t>
  </si>
  <si>
    <t>Selepas 36 tahun Argentina muncul juara Piala Dunia tahun setelah menewaskan Perancis menerusi penentuan sepakan penalti semalam. Terdahulu, kedua-dua pasukan beraksi dengan begitu sengit sehingga terikat kedudukan 3-3 sehingga tamat‚Ä¶  https://t.co/UuUh14my4u #malaysiadateline</t>
  </si>
  <si>
    <t>selepas tahun argentina muncul juara piala dunia tahun setelah menewaskan perancis menerusi penentuan sepakan penalti semalam terdahulu kedua dua pasukan beraksi dengan begitu sengit sehingga terikat kedudukan sehingga tamat</t>
  </si>
  <si>
    <t>['selepas', 'tahun', 'argentina', 'muncul', 'juara', 'piala', 'dunia', 'tahun', 'menewaskan', 'perancis', 'menerusi', 'penentuan', 'sepakan', 'penalti', 'semalam', 'terdahulu', 'kedua', 'pasukan', 'beraksi', 'sengit', 'terikat', 'kedudukan', 'tamat']</t>
  </si>
  <si>
    <t>Sah! Lionel Messi Pemain Terbaik Dunia Sepanjang Sejarah Setelah Bawa Argentina Juara Piala Dunia 2022  https://t.co/mnkQzUrcHY</t>
  </si>
  <si>
    <t>sah lionel messi pemain terbaik dunia sepanjang sejarah setelah bawa argentina juara piala dunia</t>
  </si>
  <si>
    <t>['sah', 'lionel', 'messi', 'pemain', 'terbaik', 'dunia', 'sepanjang', 'sejarah', 'bawa', 'argentina', 'juara', 'piala', 'dunia']</t>
  </si>
  <si>
    <t>Sikat Prancis dan Bawa Argentina Juara Piala Dunia 2022, Lionel Messi: Kami Berhasil! baca selengkapnya :  https://t.co/XqWrKupK70 #korantalk #FIFAWorldCup #ArgentinaVsFrance</t>
  </si>
  <si>
    <t>sikat prancis dan bawa argentina juara piala dunia lionel messi kami berhasil baca selengkapnya</t>
  </si>
  <si>
    <t>['sikat', 'prancis', 'bawa', 'argentina', 'juara', 'piala', 'dunia', 'lionel', 'messi', 'berhasil', 'baca', 'selengkapnya']</t>
  </si>
  <si>
    <t>Eksklusif dari Qatar : Juara Piala Dunia 2022, Fans Timnas Argentina Menangis Bangga Timnas Argentina juara Piala Dunia 2022 usai kalahkan Prancis lewat drama adu penalti dengan skor 4-2, Minggu (18/12/2022).  https://t.co/a0Wep0DP8x</t>
  </si>
  <si>
    <t>eksklusif dari qatar juara piala dunia fans timnas argentina menangis bangga timnas argentina juara piala dunia usai kalahkan prancis lewat drama adu penalti dengan skor minggu</t>
  </si>
  <si>
    <t>['eksklusif', 'qatar', 'juara', 'piala', 'dunia', 'fans', 'timnas', 'argentina', 'menangis', 'bangga', 'timnas', 'argentina', 'juara', 'piala', 'dunia', 'usai', 'kalahkan', 'prancis', 'lewat', 'drama', 'adu', 'penalti', 'skor', 'minggu']</t>
  </si>
  <si>
    <t>Argentina meraih dua gelar juara dalam dua tahun. Setelah Copa America pada 2021, sekarang skuad asuhan Lionel Scaloni sukses memenangkan Piala Dunia 2022.  https://t.co/qcLrUWzPIn</t>
  </si>
  <si>
    <t>argentina meraih dua gelar juara dalam dua tahun setelah copa america pada sekarang skuad asuhan lionel scaloni sukses memenangkan piala dunia</t>
  </si>
  <si>
    <t>Prediksi Menteri BUMN @erickthohir Tepat sekali Argentina Jadi juara setelah mengalahkan Prancis di Piala Dunia Qatar 2022 üèÜ   Selamat untuk Argentina... Selamat untuk Messi... Kalian layak jadi juara dunia üèÜ #BangkitBersamaET  https://t.co/2QYPc6UNjV</t>
  </si>
  <si>
    <t>prediksi menteri bumn tepat sekali argentina jadi juara setelah mengalahkan prancis piala dunia qatar selamat untuk argentina selamat untuk messi kalian layak jadi juara dunia</t>
  </si>
  <si>
    <t>['prediksi', 'menteri', 'bumn', 'tepat', 'sekali', 'argentina', 'jadi', 'juara', 'mengalahkan', 'prancis', 'piala', 'dunia', 'qatar', 'selamat', 'argentina', 'selamat', 'messi', 'kalian', 'layak', 'jadi', 'juara', 'dunia']</t>
  </si>
  <si>
    <t>Selamat Untuk Negara Argentina Juara Piala Dunia Qatar 2022. #VamosArgentina</t>
  </si>
  <si>
    <t>selamat untuk negara argentina juara piala dunia qatar</t>
  </si>
  <si>
    <t>['selamat', 'negara', 'argentina', 'juara', 'piala', 'dunia', 'qatar']</t>
  </si>
  <si>
    <t>Messi bawa Argentina juara Piala Dunia 2022, Raul Lemos trending Twitter  https://t.co/XmLKsGscVF</t>
  </si>
  <si>
    <t>Sikontol Aguero bacot doang, ga ikut bantuin Argentina Juara tapi bacotnya nomor 1</t>
  </si>
  <si>
    <t>sikontol aguero bacot doang ikut bantuin argentina juara tapi bacotnya nomor</t>
  </si>
  <si>
    <t>['sikontol', 'aguero', 'bacot', 'doang', 'ikut', 'bantuin', 'argentina', 'juara', 'bacotnya', 'nomor']</t>
  </si>
  <si>
    <t>@armellyaSA Dr sebelum pildun udah nebak Argentina bakal juara. Jadi ga nonton</t>
  </si>
  <si>
    <t>sebelum pildun udah nebak argentina bakal juara jadi nonton</t>
  </si>
  <si>
    <t>['piala dunia', 'udah', 'nebak', 'argentina', 'bakal', 'juara', 'jadi', 'nonton']</t>
  </si>
  <si>
    <t>@fullmoonfolks Hanya di era Yth. Bapak Iwan Bule Argentina bisa kembali juara  Terima kasih Iwan Bule</t>
  </si>
  <si>
    <t>hanya era yth bapak iwan bule argentina bisa kembali juara terima kasih iwan bule</t>
  </si>
  <si>
    <t>['era', 'yth', 'bapak', 'iwan', 'bule', 'argentina', 'juara', 'terima', 'kasih', 'iwan', 'bule']</t>
  </si>
  <si>
    <t>Lionel Messi vs Cristiano Ronaldo: Debat Stempel GOAT Berakhir usai Argentina Juara Piala Dunia 2022   #Sindonews #BukanBeritaBiasa . https://t.co/uVJWfRkyUb</t>
  </si>
  <si>
    <t>lionel messi cristiano ronaldo debat stempel goat berakhir usai argentina juara piala dunia</t>
  </si>
  <si>
    <t>['lionel', 'messi', 'cristiano', 'ronaldo', 'debat', 'stempel', 'goat', 'berakhir', 'usai', 'argentina', 'juara', 'piala', 'dunia']</t>
  </si>
  <si>
    <t>Nahkan bener Argentina yg juara.. congratsssss üéâüéâ</t>
  </si>
  <si>
    <t>nahkan bener argentina juara congratsssss</t>
  </si>
  <si>
    <t>['nahkan', 'benar', 'argentina', 'juara', 'congratsssss']</t>
  </si>
  <si>
    <t>Argentina, sebagai juara Piala Dunia akan mendapat hadiah uang tunai $42 juta untuk federasi sepak bola mereka. Sedangkan Prancis sebagai tim yang kalah dalam final, Minggu, akan mendapat $30 juta. Uang didapat dari total dana hadiah FIFA, $440 juta.  https://t.co/LJbZExte5X</t>
  </si>
  <si>
    <t>argentina sebagai juara piala dunia akan mendapat hadiah uang tunai juta untuk federasi sepak bola mereka sedangkan prancis sebagai tim yang kalah dalam final minggu akan mendapat juta uang didapat dari total dana hadiah fifa juta</t>
  </si>
  <si>
    <t>['argentina', 'juara', 'piala', 'dunia', 'mendapat', 'hadiah', 'uang', 'tunai', 'juta', 'federasi', 'sepak', 'bola', 'prancis', 'tim', 'kalah', 'final', 'minggu', 'mendapat', 'juta', 'uang', 'didapat', 'total', 'dana', 'hadiah', 'fifa', 'juta']</t>
  </si>
  <si>
    <t>@TsukiyoMiho Argentina yg juara dunia  Tapi pemenang hatiku masih si dia</t>
  </si>
  <si>
    <t>argentina juara dunia tapi pemenang hatiku masih dia</t>
  </si>
  <si>
    <t>['argentina', 'juara', 'dunia', 'pemenang', 'hatiku']</t>
  </si>
  <si>
    <t>SELAMAT Bro, dan Saudara2ku Rakyat Argentina ...  Cuma jangan malu dan lupa, utk mengucapkan TERIMA KASIH kpd ARAB SAUDI ...  Krn MEREKA-lah JUARA yg JUARA SESUNGGUH-nya, Masih ingat khan, Anda dikalahkan 2-1 di babak pertamanya ...</t>
  </si>
  <si>
    <t>selamat bro dan saudara rakyat argentina cuma jangan malu dan lupa utk mengucapkan terima kasih kpd arab saudi krn mereka lah juara juara sesungguh nya masih ingat khan anda dikalahkan babak pertamanya</t>
  </si>
  <si>
    <t>['selamat', 'bro', 'saudara', 'rakyat', 'argentina', 'cuma', 'jangan', 'malu', 'lupa', 'mengucapkan', 'terima', 'kasih', 'kpd', 'arab', 'saudi', 'lah', 'juara', 'juara', 'sesungguh', 'ingat', 'khan', 'dikalahkan', 'babak', 'pertamanya']</t>
  </si>
  <si>
    <t>VIDEO: Sinar Argentina Juara Dunia di Atas Stadion Lusail  https://t.co/Q0vdWDunZC</t>
  </si>
  <si>
    <t>Argentina juara angkat tropi piala dunia. Messi angkat tropi pemain terbaik. Mbappe angkat tropi top scorer. Ronaldo angkat kaki dari MU.</t>
  </si>
  <si>
    <t>argentina juara angkat tropi piala dunia messi angkat tropi pemain terbaik mbappe angkat tropi top scorer ronaldo angkat kaki dari</t>
  </si>
  <si>
    <t>['argentina', 'juara', 'angkat', 'trofi', 'piala', 'dunia', 'messi', 'angkat', 'trofi', 'pemain', 'terbaik', 'mbappe', 'angkat', 'trofi', 'top', 'scorer', 'ronaldo', 'angkat', 'kaki']</t>
  </si>
  <si>
    <t>argentina juara dunia , akhir yang baik buat messi untuk pensiun</t>
  </si>
  <si>
    <t>argentina juara dunia akhir yang baik buat messi untuk pensiun</t>
  </si>
  <si>
    <t>['argentina', 'juara', 'dunia', 'akhir', 'baik', 'buat', 'messi', 'pensiun']</t>
  </si>
  <si>
    <t>Selebrasi Argentina tak tahu adab... Berkat meteri olah raga dan ketua Federasi Sepak Bola Argentina, mereka jadi juara  https://t.co/bNyTacZfbD</t>
  </si>
  <si>
    <t>selebrasi argentina tak tahu adab berkat meteri olah raga dan ketua federasi sepak bola argentina mereka jadi juara</t>
  </si>
  <si>
    <t>['selebrasi', 'argentina', 'tak', 'tahu', 'adab', 'berkat', 'meteri', 'olah', 'raga', 'ketua', 'federasi', 'sepak', 'bola', 'argentina', 'jadi', 'juara']</t>
  </si>
  <si>
    <t>Messi Cetak Setengah Gol Argentina di Piala Dunia Qatar: Bawa Balik Juara FIFA World Cup 2022  https://t.co/ZoK2uQIRgg .....</t>
  </si>
  <si>
    <t>Messi Cetak Setengah Gol Argentina di Piala Dunia Qatar: Bawa Balik Juara FIFA World Cup 2022  https://t.co/ZoK2uQIRgg ....</t>
  </si>
  <si>
    <t>Argentina Jadi Juara Final Piala Dunia 2022  https://t.co/aj8Hj1cVZf</t>
  </si>
  <si>
    <t>argentina jadi juara final piala dunia</t>
  </si>
  <si>
    <t>['argentina', 'jadi', 'juara', 'final', 'piala', 'dunia']</t>
  </si>
  <si>
    <t>Messi Cetak Setengah Gol Argentina di Piala Dunia Qatar: Bawa Balik Juara FIFA World Cup 2022  https://t.co/ZoK2uQIRgg ...</t>
  </si>
  <si>
    <t>Selamat kepada Timnas Argentina yang resmi menjadi Juara Dunia dalam sejarah FIFA di tahun 2022, ...  @FIFAcom @FIFAWorldCup @Argentina @afa #FIFAWorldCup #Qatar2022  https://t.co/HwgKKIBdtI</t>
  </si>
  <si>
    <t>selamat kepada timnas argentina yang resmi menjadi juara dunia dalam sejarah fifa tahun</t>
  </si>
  <si>
    <t>['selamat', 'timnas', 'argentina', 'resmi', 'menjadi', 'juara', 'dunia', 'sejarah', 'fifa', 'tahun']</t>
  </si>
  <si>
    <t>Messi Cetak Setengah Gol Argentina di Piala Dunia Qatar: Bawa Balik Juara FIFA World Cup 2022  https://t.co/ZoK2uQIRgg ..</t>
  </si>
  <si>
    <t>Messi Cetak Setengah Gol Argentina di Piala Dunia Qatar: Bawa Balik Juara FIFA World Cup 2022  https://t.co/ZoK2uQIRgg .</t>
  </si>
  <si>
    <t>Messi Cetak Setengah Gol Argentina di Piala Dunia Qatar: Bawa Balik Juara FIFA World Cup 2022  https://t.co/ZoK2uQIRgg</t>
  </si>
  <si>
    <t>Selamat pagi buat Argentina yg jadi juara piala dunia Qatar 2022ü•π‚òùÔ∏è</t>
  </si>
  <si>
    <t>selamat pagi buat argentina jadi juara piala dunia qatar</t>
  </si>
  <si>
    <t>['selamat', 'pagi', 'buat', 'argentina', 'jadi', 'juara', 'piala', 'dunia', 'qatar']</t>
  </si>
  <si>
    <t>@MiskinTV_ @bekokjin argentina jadi juara disaat jokowi jadi presiden, salut üëçüèª</t>
  </si>
  <si>
    <t>argentina jadi juara disaat jokowi jadi presiden salut</t>
  </si>
  <si>
    <t>['argentina', 'jadi', 'juara', 'disaat', 'jokowi', 'jadi', 'presiden', 'salut']</t>
  </si>
  <si>
    <t>@Dennysiregar7 Kesimpulan JUARA DUNIA adalah ARAB SAUDI, karena cuma negara itu yang bisa mengalahkan ARGENTINA</t>
  </si>
  <si>
    <t>kesimpulan juara dunia adalah arab saudi karena cuma negara itu yang bisa mengalahkan argentina</t>
  </si>
  <si>
    <t>['kesimpulan', 'juara', 'dunia', 'arab', 'saudi', 'cuma', 'negara', 'mengalahkan', 'argentina']</t>
  </si>
  <si>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</si>
  <si>
    <t>agen taruhan bola final piala dunia prancis memang juara bertahan tapi argentina sekarang bahaya</t>
  </si>
  <si>
    <t>['agen', 'taruhan', 'bola', 'final', 'piala', 'dunia', 'prancis', 'memang', 'juara', 'bertahan', 'argentina', 'sekarang', 'bahaya']</t>
  </si>
  <si>
    <t>4 gelar juara dipersembahkan Messi bersama Argentina. Pertama adalah meraih emas di Olimpiade musim panas 2008, Copa America 2021, Finnalisima 2022, dan Piala Dunia 2022  #ArgentinaVsFrance   #Argentina  #MessiìÉµ  #FIFAWorldCup  #Qatar2022  https://t.co/aPqEljnj6w</t>
  </si>
  <si>
    <t>gelar juara dipersembahkan messi bersama argentina pertama adalah meraih emas olimpiade musim panas copa america finnalisima dan piala dunia</t>
  </si>
  <si>
    <t>['gelar', 'juara', 'dipersembahkan', 'messi', 'bersama', 'argentina', 'pertama', 'meraih', 'emas', 'olimpiade', 'musim', 'panas', 'copa', 'america', 'finnalisima', 'piala', 'dunia']</t>
  </si>
  <si>
    <t>@jek___ Klo arab bisa ngalahin argentina berarti bukan juara 2 boss arab mah, tapi ya juara 1 lah ahaha</t>
  </si>
  <si>
    <t>klo arab bisa ngalahin argentina berarti bukan juara boss arab mah tapi juara lah ahaha</t>
  </si>
  <si>
    <t>['arab', 'ngalahin', 'argentina', 'berarti', 'bukan', 'juara', 'boss', 'arab', 'mah', 'juara', 'lah', 'ahaha']</t>
  </si>
  <si>
    <t>Waktu Diego bikin story pake jersey Argentina.. Akhirnya juara juga ya Go!! VAMOS üá¶üá∑ @diegobasro  https://t.co/zCPWUaV4he</t>
  </si>
  <si>
    <t>waktu diego bikin story pake jersey argentina akhirnya juara juga vamos</t>
  </si>
  <si>
    <t>['waktu', 'diego', 'story', 'pake', 'jersey', 'argentina', 'akhirnya', 'juara', 'vamos']</t>
  </si>
  <si>
    <t>@zivamagnolyeah Bangun tidur kaget ada tf an masuk,oh iya lupa kan Argentina juara wkwk</t>
  </si>
  <si>
    <t>bangun tidur kaget ada masuk iya lupa kan argentina juara wkwk</t>
  </si>
  <si>
    <t>['bangun', 'tidur', 'kaget', 'masuk', 'iya', 'lupa', 'kan', 'argentina', 'juara']</t>
  </si>
  <si>
    <t>kan harinya argentina juaraüá¶üá∑</t>
  </si>
  <si>
    <t>kan harinya argentina juara</t>
  </si>
  <si>
    <t>['kan', 'harinya', 'argentina', 'juara']</t>
  </si>
  <si>
    <t>Argentina Jadi Juara di Final Piala Dunia 2022 Qatar, Messi Pecahkan Rekor  https://t.co/GQz0CtoqEE</t>
  </si>
  <si>
    <t>argentina jadi juara final piala dunia qatar messi pecahkan rekor</t>
  </si>
  <si>
    <t>['argentina', 'jadi', 'juara', 'final', 'piala', 'dunia', 'qatar', 'messi', 'pecahkan', 'rekor']</t>
  </si>
  <si>
    <t>Dulu ramai ckp Argentina balik awal lepas kalah dgn Arab Saudi. Last2 team tu juara üòÜ</t>
  </si>
  <si>
    <t>dulu ramai ckp argentina balik awal lepas kalah dgn arab saudi last team juara</t>
  </si>
  <si>
    <t>['dulu', 'ramai', 'ckp', 'argentina', 'balik', 'awal', 'lepas', 'kalah', 'arab', 'saudi', 'last', 'team', 'juara']</t>
  </si>
  <si>
    <t>respect sama Argentina karna juara, tapi liet nih orang kok gini amat dah</t>
  </si>
  <si>
    <t>respect sama argentina karna juara tapi liet nih orang kok gini amat dah</t>
  </si>
  <si>
    <t>['respect', 'sama', 'argentina', 'karna', 'juara', 'liet', 'orang', 'kok', 'gini', 'dah']</t>
  </si>
  <si>
    <t>@convomfs sedih sih, ngeliat perjuangan dia ngegendong prancis dan ternyata endingnya argentina yg juara. gpp buat pildun kali ini emg udh punya messi, he's officially the goat. allez les blues, allez! üá´üá∑</t>
  </si>
  <si>
    <t>sedih sih ngeliat perjuangan dia ngegendong prancis dan ternyata endingnya argentina juara gpp buat pildun kali ini emg udh punya messi officially the goat allez les blues allez</t>
  </si>
  <si>
    <t>['sedih', 'ngeliat', 'perjuangan', 'ngegendong', 'prancis', 'ternyata', 'endingnya', 'argentina', 'juara', 'gapapa', 'buat', 'piala dunia', 'kali', 'memang', 'sudah', 'punya', 'messi', 'officially', 'the', 'goat', 'allez', 'les', 'blues', 'allez']</t>
  </si>
  <si>
    <t>Yang masuk final Argentina sama Prancis, yang juara Argentina, tapi kenapa Ronaldo yang disorot media.</t>
  </si>
  <si>
    <t>yang masuk final argentina sama prancis yang juara argentina tapi kenapa ronaldo yang disorot media</t>
  </si>
  <si>
    <t>['masuk', 'final', 'argentina', 'sama', 'prancis', 'juara', 'argentina', 'ronaldo', 'disorot', 'media']</t>
  </si>
  <si>
    <t>Selamat #Argentina juara #FIFAWorldCup 2022. For #France amazing üëçüëçüëçüëç  https://t.co/Xq5mzpcBbY</t>
  </si>
  <si>
    <t>selamat juara for amazing</t>
  </si>
  <si>
    <t>['selamat', 'juara', 'for', 'amazing']</t>
  </si>
  <si>
    <t>Argentina juara piala dunia 2022 mengalahkan Prancis adu pinalti 4-2  #pialadunia2022 #pialaduniaqatar2022 #worldcup2022 #worldcupqatar2022  #arg #fra  #ARGFRA  https://t.co/YxLGfjhxyA</t>
  </si>
  <si>
    <t>argentina juara piala dunia mengalahkan prancis adu pinalti</t>
  </si>
  <si>
    <t>['argentina', 'juara', 'piala', 'dunia', 'mengalahkan', 'prancis', 'adu', 'penalti']</t>
  </si>
  <si>
    <t>Profil Lionel Scaloni: Pelatih Termuda, Bawa Argentina Juara Piala Dunia 2022  https://t.co/MRM3Ky3yBN</t>
  </si>
  <si>
    <t>profil lionel scaloni pelatih termuda bawa argentina juara piala dunia</t>
  </si>
  <si>
    <t>['profil', 'lionel', 'scaloni', 'pelatih', 'termuda', 'bawa', 'argentina', 'juara', 'piala', 'dunia']</t>
  </si>
  <si>
    <t>Ku bilang juga apa, Argentina yg jadi Juara Piala Dunia üòé</t>
  </si>
  <si>
    <t>bilang juga apa argentina jadi juara piala dunia</t>
  </si>
  <si>
    <t>['apa', 'argentina', 'jadi', 'juara', 'piala', 'dunia']</t>
  </si>
  <si>
    <t>Argentina Juara Piala Dunia 2022, Bima Sebut Lionel Messi Pemain Terbaik #LionelMessi #Argentina #PialaDunia2022 #KotaBogor #BimaArya  https://t.co/ivKIXaOo2j</t>
  </si>
  <si>
    <t>argentina juara piala dunia bima sebut lionel messi pemain terbaik</t>
  </si>
  <si>
    <t>['argentina', 'juara', 'piala', 'dunia', 'bima', 'sebut', 'lionel', 'messi', 'pemain', 'terbaik']</t>
  </si>
  <si>
    <t>@katasizarwo @SerieA_Lawas Emang bawa sial. Dia nggak ngasih andil gede bawa Argentina juara. Jauh dibanding sama Alvarez juga.</t>
  </si>
  <si>
    <t>lawas emang bawa sial dia nggak ngasih andil gede bawa argentina juara jauh dibanding sama alvarez juga</t>
  </si>
  <si>
    <t>['lawas', 'emang', 'bawa', 'sial', 'ngasih', 'andil', 'gede', 'bawa', 'argentina', 'juara', 'jauh', 'dibanding', 'sama', 'alvarez']</t>
  </si>
  <si>
    <t>Bawa Argentina Jadi Juara Piala Dunia 2022, Messi Mengaku Belum Ingin Pensiun  https://t.co/9mnNSjfpnd</t>
  </si>
  <si>
    <t>bawa argentina jadi juara piala dunia messi mengaku belum ingin pensiun</t>
  </si>
  <si>
    <t>['bawa', 'argentina', 'jadi', 'juara', 'piala', 'dunia', 'messi', 'mengaku', 'pensiun']</t>
  </si>
  <si>
    <t>Hadiah Argentina Juara Piala Dunia 2022: Bisa Makan Bakso se-Provinsi Jabar  https://t.co/GpBmEpcodY lewat @Diksinasi</t>
  </si>
  <si>
    <t>hadiah argentina juara piala dunia bisa makan bakso provinsi jabar lewat</t>
  </si>
  <si>
    <t>['hadiah', 'argentina', 'juara', 'piala', 'dunia', 'makan', 'bakso', 'provinsi', 'jabar', 'lewat']</t>
  </si>
  <si>
    <t>Argentina &amp;amp; Mbappe juara dunia #WorldCupFinal</t>
  </si>
  <si>
    <t>argentina mbappe juara dunia</t>
  </si>
  <si>
    <t>['argentina', 'mbappe', 'juara', 'dunia']</t>
  </si>
  <si>
    <t>Suami w seneng bgt argentina menang pdhl tau istrinya pegang prancis. Pdhl perdelapan kmrn kutanya kira2 siapa yg bakal juara, katanya kalo ga brazil ya perancis.</t>
  </si>
  <si>
    <t>suami seneng bgt argentina menang pdhl tau istrinya pegang prancis pdhl perdelapan kmrn kutanya kira siapa bakal juara katanya kalo brazil perancis</t>
  </si>
  <si>
    <t>['suami', 'seneng', 'banget', 'argentina', 'menang', 'pdhl', 'istrinya', 'pegang', 'prancis', 'pdhl', 'perdelapan', 'kmrn', 'kutanya', 'kira', 'siapa', 'bakal', 'juara', 'katanya', 'brazil', 'perancis']</t>
  </si>
  <si>
    <t>Terlepas dari perjalanan Argentina menuju final yang menurutku awagan wkwk Tapi baik France maupun Argen layak di final, dan Argentina memang layak juara.</t>
  </si>
  <si>
    <t>terlepas dari perjalanan argentina menuju final yang menurutku awagan wkwk tapi baik france maupun argen layak final dan argentina memang layak juara</t>
  </si>
  <si>
    <t>['terlepas', 'perjalanan', 'argentina', 'menuju', 'final', 'menurutku', 'awagan', 'baik', 'france', 'maupun', 'argen', 'layak', 'final', 'argentina', 'memang', 'layak', 'juara']</t>
  </si>
  <si>
    <t>Senin pagi dan masih terbawa suasana Argentina juara PD 2022‚òÄÔ∏è</t>
  </si>
  <si>
    <t>senin pagi dan masih terbawa suasana argentina juara</t>
  </si>
  <si>
    <t>['senin', 'pagi', 'terbawa', 'suasana', 'argentina', 'juara']</t>
  </si>
  <si>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</si>
  <si>
    <t>spotify harga promo garansi full link ada bio maria deschamps youngk day argentina messi piala dunia ronaldo maradona lloris kuat memegang syariat jadi penyeru dakwah mark lee thank you martinez juara dunia</t>
  </si>
  <si>
    <t>['spotify', 'harga', 'promo', 'garansi', 'full', 'link', 'bio', 'maria', 'deschamps', 'youngk', 'day', 'argentina', 'messi', 'piala', 'dunia', 'ronaldo', 'maradona', 'lloris', 'kuat', 'memegang', 'syariat', 'jadi', 'penyeru', 'dakwah', 'mark', 'lee', 'thank', 'you', 'martinez', 'juara', 'dunia']</t>
  </si>
  <si>
    <t>Duh semalem kok gaada ketua PSSI sama menpora nya Argentina yg angkat piala ya ? Yahh gimana sih padahal juara piala dunia tapi gak ambil kesempatan üòñ</t>
  </si>
  <si>
    <t>duh semalem kok gaada ketua pssi sama menpora nya argentina angkat piala yahh gimana sih padahal juara piala dunia tapi gak ambil kesempatan</t>
  </si>
  <si>
    <t>['duh', 'semalam', 'kok', 'gaada', 'ketua', 'pssi', 'sama', 'menpora', 'argentina', 'angkat', 'piala', 'yahh', 'gimana', 'padahal', 'juara', 'piala', 'dunia', 'ambil', 'kesempatan']</t>
  </si>
  <si>
    <t>Argentina Juara Piala Dunia 2022, Lionel Messi Banjir Pujian dari Warganet  https://t.co/VbfHcpY8P4</t>
  </si>
  <si>
    <t>argentina juara piala dunia lionel messi banjir pujian dari warganet</t>
  </si>
  <si>
    <t>['argentina', 'juara', 'piala', 'dunia', 'lionel', 'messi', 'banjir', 'pujian', 'warganet']</t>
  </si>
  <si>
    <t>Selamat juara dunia sepak bola buat Argentina. üòä</t>
  </si>
  <si>
    <t>selamat juara dunia sepak bola buat argentina</t>
  </si>
  <si>
    <t>['selamat', 'juara', 'dunia', 'sepak', 'bola', 'buat', 'argentina']</t>
  </si>
  <si>
    <t>Argentina Juara Piala Dunia 2022, Messi Dicap The GOAT  https://t.co/tcPVeBxYfT</t>
  </si>
  <si>
    <t>argentina juara piala dunia messi dicap the goat</t>
  </si>
  <si>
    <t>['argentina', 'juara', 'piala', 'dunia', 'messi', 'dicap', 'the', 'goat']</t>
  </si>
  <si>
    <t>Argentina Juara Piala Dunia 2022, Kalimat Pele untuk Messi &amp;amp; Mbappe, Silakan Bandingkan #ArgentinaJuara  https://t.co/foh6KRScgD</t>
  </si>
  <si>
    <t>argentina juara piala dunia kalimat pele untuk messi mbappe silakan bandingkan</t>
  </si>
  <si>
    <t>['argentina', 'juara', 'piala', 'dunia', 'kalimat', 'pele', 'messi', 'mbappe', 'silakan', 'bandingkan']</t>
  </si>
  <si>
    <t>@idextratime Sebelum Mbappre cetak Goal penalti pertama permainan sepenuhnya untuk Messi dan Argentina. Mereka sangat mendominasi. Argentina mmg layak unggul dan juara</t>
  </si>
  <si>
    <t>sebelum mbappre cetak goal penalti pertama permainan sepenuhnya untuk messi dan argentina mereka sangat mendominasi argentina mmg layak unggul dan juara</t>
  </si>
  <si>
    <t>['mbappre', 'cetak', 'goal', 'penalti', 'pertama', 'permainan', 'sepenuhnya', 'messi', 'argentina', 'sangat', 'mendominasi', 'argentina', 'mmg', 'layak', 'unggul', 'juara']</t>
  </si>
  <si>
    <t>Tangan tesilahu mehantam dinding karna saking senangnya argentina juara üò≠üò≠üò≠</t>
  </si>
  <si>
    <t>tangan tesilahu mehantam dinding karna saking senangnya argentina juara</t>
  </si>
  <si>
    <t>['tangan', 'tesilahu', 'mehantam', 'dinding', 'karna', 'saking', 'senangnya', 'argentina', 'juara']</t>
  </si>
  <si>
    <t>argentina juara.. tapi mbappee sih asli... gila banget setuju gak ?</t>
  </si>
  <si>
    <t>argentina juara tapi mbappee sih asli gila banget setuju gak</t>
  </si>
  <si>
    <t>['argentina', 'juara', 'mbappee', 'asli', 'gila', 'banget', 'setuju']</t>
  </si>
  <si>
    <t>Penantian panjang selama 36 tahun baru di era Pak Jokowi argentina juara piala dunia lagi ü•±ü•±ü•±ü•±  https://t.co/hcPjcrsx24</t>
  </si>
  <si>
    <t>penantian panjang selama tahun baru era pak jokowi argentina juara piala dunia lagi</t>
  </si>
  <si>
    <t>['penantian', 'panjang', 'selama', 'tahun', 'baru', 'era', 'pak', 'jokowi', 'argentina', 'juara', 'piala', 'dunia']</t>
  </si>
  <si>
    <t>Good Morningg all Senin ini kita layanin yang spesial ready ya open #vcs wa cek bio Argentina Juara Dunia Menang  https://t.co/oGpeC77pcv</t>
  </si>
  <si>
    <t>good morningg all senin ini kita layanin yang spesial ready open cek bio argentina juara dunia menang</t>
  </si>
  <si>
    <t>['good', 'morningg', 'all', 'senin', 'layanin', 'spesial', 'ready', 'open', 'cek', 'bio', 'argentina', 'juara', 'dunia', 'menang']</t>
  </si>
  <si>
    <t>@Memoria_Bola Argentina selalu juara kalau pake jersey putih biru. 1978,1986,2022.</t>
  </si>
  <si>
    <t>bola argentina selalu juara kalau pake jersey putih biru</t>
  </si>
  <si>
    <t>['bola', 'argentina', 'selalu', 'juara', 'kalau', 'pake', 'jersey', 'putih', 'biru']</t>
  </si>
  <si>
    <t>@hasyimmah Argentina juara dunia keTIGA kalinya ketika Jokowi menjabat presiden. Ini kode keras lanjut TIGA periode!  Wkwkwkw...</t>
  </si>
  <si>
    <t>argentina juara dunia ketiga kalinya ketika jokowi menjabat presiden ini kode keras lanjut tiga periode wkwkwkw</t>
  </si>
  <si>
    <t>['argentina', 'juara', 'dunia', 'ketiga', 'kalinya', 'jokowi', 'menjabat', 'presiden', 'kode', 'keras', 'lanjut', 'tiga', 'periode', 'wkwkwkw']</t>
  </si>
  <si>
    <t>masih tersenging-senging sangking senangnya Argentina juara</t>
  </si>
  <si>
    <t>masih tersenging senging sangking senangnya argentina juara</t>
  </si>
  <si>
    <t>['tersenging', 'senging', 'sangking', 'senangnya', 'argentina', 'juara']</t>
  </si>
  <si>
    <t>Hanya di jaman @jokowi Argentina kembali juara piala Dunia benar2 energi positif dan hadia pernikahan yang indah buat mas @kaesangp...</t>
  </si>
  <si>
    <t>hanya jaman argentina kembali juara piala dunia benar energi positif dan hadia pernikahan yang indah buat mas</t>
  </si>
  <si>
    <t>['jaman', 'argentina', 'juara', 'piala', 'dunia', 'benar', 'energi', 'positif', 'hadia', 'pernikahan', 'indah', 'buat', 'mas']</t>
  </si>
  <si>
    <t>Argentina Juara Piala Dunia 2022, Rentetan Rekor Lionel Messi  https://t.co/4ewtiYYBhH</t>
  </si>
  <si>
    <t>argentina juara piala dunia rentetan rekor lionel messi</t>
  </si>
  <si>
    <t>['argentina', 'juara', 'piala', 'dunia', 'rentetan', 'rekor', 'lionel', 'messi']</t>
  </si>
  <si>
    <t>gajadi dikubur. argentina lebih siap dari segalanya. kutukan France bapuk setelah juara, tetap berlanjut. 2 dekade dr skarang, We're coming üèÜü•á</t>
  </si>
  <si>
    <t>gajadi dikubur argentina lebih siap dari segalanya kutukan france bapuk setelah juara tetap berlanjut dekade skarang coming</t>
  </si>
  <si>
    <t>['gajadi', 'dikubur', 'argentina', 'lebih', 'siap', 'segalanya', 'kutukan', 'france', 'bapuk', 'juara', 'tetap', 'berlanjut', 'dekade', 'skarang', 'coming']</t>
  </si>
  <si>
    <t>Argentina üá¶üá∑ sudah cukup lama berpuasa gelar Piala Dunia. Kali terakhir, tim berjuluk Albiceleste itu menjuarai Piala Dunia pada 1986 dan sekarang waktunya Messi dkk akan membawa Argentina menjadi juara dunia melawan juara bertahan Prancis.</t>
  </si>
  <si>
    <t>argentina sudah cukup lama berpuasa gelar piala dunia kali terakhir tim berjuluk albiceleste itu menjuarai piala dunia pada dan sekarang waktunya messi dkk akan membawa argentina menjadi juara dunia melawan juara bertahan prancis</t>
  </si>
  <si>
    <t>['argentina', 'cukup', 'lama', 'berpuasa', 'gelar', 'piala', 'dunia', 'kali', 'terakhir', 'tim', 'berjuluk', 'albiceleste', 'menjuarai', 'piala', 'dunia', 'sekarang', 'waktunya', 'messi', 'dkk', 'membawa', 'argentina', 'menjadi', 'juara', 'dunia', 'melawan', 'juara', 'bertahan', 'prancis']</t>
  </si>
  <si>
    <t>Juara Piala Dunia, Messi Belum Mau Pensiun dari Timnas Argentina  https://t.co/E1uy6THwOa</t>
  </si>
  <si>
    <t>juara piala dunia messi belum mau pensiun dari timnas argentina</t>
  </si>
  <si>
    <t>['juara', 'piala', 'dunia', 'messi', 'mau', 'pensiun', 'timnas', 'argentina']</t>
  </si>
  <si>
    <t>singkat padat pesan untuk semua yg udh gue kasih tau Argentina juara, malah batu üóø  https://t.co/ZKQV34WGPf</t>
  </si>
  <si>
    <t>singkat padat pesan untuk semua udh gue kasih tau argentina juara malah batu</t>
  </si>
  <si>
    <t>['singkat', 'padat', 'pesan', 'semua', 'sudah', 'gue', 'kasih', 'argentina', 'juara', 'malah', 'batu']</t>
  </si>
  <si>
    <t>@realmadridindo1 Seneng banget liat messi juara pildun. Cuman yang bikin males kronco2 argentina yang lain yang bikin sebel anjir</t>
  </si>
  <si>
    <t>seneng banget liat messi juara pildun cuman yang bikin males kronco argentina yang lain yang bikin sebel anjir</t>
  </si>
  <si>
    <t>['seneng', 'banget', 'lihat', 'messi', 'juara', 'piala dunia', 'cuman', 'males', 'kronco', 'argentina', 'sebel', 'anjir']</t>
  </si>
  <si>
    <t>Diagungkan Bak Dewa Usai Juara Piala Dunia 2022, Lionel Messi: Ini Milik Tim dan Semua Orang Argentina! #LengkapCepatBeritanya #Bola #SepakBola #SepakbolaDunia #BolaDunia .  https://t.co/NSB6x4Z2Pv</t>
  </si>
  <si>
    <t>diagungkan bak dewa usai juara piala dunia lionel messi ini milik tim dan semua orang argentina</t>
  </si>
  <si>
    <t>['diagungkan', 'bak', 'dewa', 'usai', 'juara', 'piala', 'dunia', 'lionel', 'messi', 'milik', 'tim', 'semua', 'orang', 'argentina']</t>
  </si>
  <si>
    <t>Ini yg juara argentina atau messi ?</t>
  </si>
  <si>
    <t>ini juara argentina atau messi</t>
  </si>
  <si>
    <t>['juara', 'argentina', 'messi']</t>
  </si>
  <si>
    <t>Sudah kebaca statement kaum mabuk agama saat argentina juara, wkwkwkw. Emang unik orang orang ini, justru dgn argentina menang, membuka mata, apakah real kemenangan 4r4b kemarin? Atau 10 jt dolar di dapatkan p3main 4rgentin4 supaya m3ngal4h? üòÑ</t>
  </si>
  <si>
    <t>sudah kebaca statement kaum mabuk agama saat argentina juara wkwkwkw emang unik orang orang ini justru dgn argentina menang membuka mata apakah real kemenangan kemarin atau dolar dapatkan main rgentin supaya ngal</t>
  </si>
  <si>
    <t>['kebaca', 'statement', 'kaum', 'mabuk', 'agama', 'argentina', 'juara', 'wkwkwkw', 'emang', 'unik', 'orang', 'orang', 'justru', 'argentina', 'menang', 'membuka', 'mata', 'real', 'kemenangan', 'kemarin', 'dolar', 'dapatkan', 'main', 'rgentin', 'ngal']</t>
  </si>
  <si>
    <t>Argentina sengaja kalah lawan arab, biar di doain juara.  -Sabda Munim</t>
  </si>
  <si>
    <t>argentina sengaja kalah lawan arab biar doain juara sabda munim</t>
  </si>
  <si>
    <t>['argentina', 'sengaja', 'kalah', 'lawan', 'arab', 'doain', 'juara', 'sabda', 'munim']</t>
  </si>
  <si>
    <t>Setelah puluhan tahun menunggu, akhirnya hanya di jaman Jokowi Argentina bs juara lg...... Mudah2n bs jd komisaris.....üòÇüòÇ</t>
  </si>
  <si>
    <t>setelah puluhan tahun menunggu akhirnya hanya jaman jokowi argentina juara mudah komisaris</t>
  </si>
  <si>
    <t>['puluhan', 'tahun', 'menunggu', 'akhirnya', 'jaman', 'jokowi', 'argentina', 'juara', 'mudah', 'komisaris']</t>
  </si>
  <si>
    <t>Bawa Argentina Juara Piala Dunia 2022, Lionel Messi Tegaskan Belum Akan Pensiun  https://t.co/9kSLvr9cKF</t>
  </si>
  <si>
    <t>bawa argentina juara piala dunia lionel messi tegaskan belum akan pensiun</t>
  </si>
  <si>
    <t>['bawa', 'argentina', 'juara', 'piala', 'dunia', 'lionel', 'messi', 'tegaskan', 'pensiun']</t>
  </si>
  <si>
    <t>Oh iya semalem kan gue nobar ya di coffee shop blok m, wah anjir ternyata rerata disitu pada dukung prancis. Pas scorenya diimbangi terus gua udah tekanan batin, tapi gua berdoa dan yakin Argentina juara. Dan ternyata benar, terima ksih Tuhanü•π</t>
  </si>
  <si>
    <t>iya semalem kan gue nobar coffee shop blok wah anjir ternyata rerata disitu pada dukung prancis pas scorenya diimbangi terus gua udah tekanan batin tapi gua berdoa dan yakin argentina juara dan ternyata benar terima ksih tuhan</t>
  </si>
  <si>
    <t>['iya', 'semalam', 'kan', 'gue', 'nonton bareng', 'coffee', 'shop', 'blok', 'wah', 'anjir', 'ternyata', 'rerata', 'disitu', 'dukung', 'prancis', 'pas', 'scorenya', 'diimbangi', 'terus', 'gua', 'udah', 'tekanan', 'batin', 'gua', 'berdoa', 'yakin', 'argentina', 'juara', 'ternyata', 'benar', 'terima', 'ksih', 'tuhan']</t>
  </si>
  <si>
    <t>PERDEBATAN SELESAI‚ÄºÔ∏èüò≠  MESSI  GREATEST OF ALL TIMEüêê  GOAT NO DOUBT.  Maradona pasti Tersenyum dan sangat bangga padamu LEOü•π  Argentina Sangat layak JUARA DUNIAüá¶üá∑  #FIFAWorldCupFinal #FIFAWorldcup  Aguero Dybala  https://t.co/6dj1F2Q9wP</t>
  </si>
  <si>
    <t>perdebatan selesai messi greatest all time goat doubt maradona pasti tersenyum dan sangat bangga padamu leo argentina sangat layak juara dunia aguero dybala</t>
  </si>
  <si>
    <t>['perdebatan', 'selesai', 'messi', 'greatest', 'all', 'time', 'goat', 'doubt', 'maradona', 'tersenyum', 'sangat', 'bangga', 'padamu', 'leo', 'argentina', 'sangat', 'layak', 'juara', 'dunia', 'aguero', 'dybala']</t>
  </si>
  <si>
    <t>eh inget bgt ada yg ngetweet pas argentina kalah lawan arab saudi intinya bisa aja argentina malah jadi juara ntar EH BENER</t>
  </si>
  <si>
    <t>inget bgt ada ngetweet pas argentina kalah lawan arab saudi intinya bisa aja argentina malah jadi juara ntar bener</t>
  </si>
  <si>
    <t>['inget', 'banget', 'ngetweet', 'pas', 'argentina', 'kalah', 'lawan', 'arab', 'saudi', 'intinya', 'argentina', 'malah', 'jadi', 'juara', 'ntar', 'benar']</t>
  </si>
  <si>
    <t>Argentina juara dompet sejahtera</t>
  </si>
  <si>
    <t>argentina juara dompet sejahtera</t>
  </si>
  <si>
    <t>['argentina', 'juara', 'dompet', 'sejahtera']</t>
  </si>
  <si>
    <t>Informasi Biodata Leo Messi Lengkap dengan Tim Inti Argentina Juara Piala Dunia Qatar 2022  https://t.co/XMUiBvVDOs</t>
  </si>
  <si>
    <t>informasi biodata leo messi lengkap dengan tim inti argentina juara piala dunia qatar</t>
  </si>
  <si>
    <t>['informasi', 'biodata', 'leo', 'messi', 'lengkap', 'tim', 'inti', 'argentina', 'juara', 'piala', 'dunia', 'qatar']</t>
  </si>
  <si>
    <t>argentina menang, messi angkat trofi, kerja pake sepatu baru.. dan yg baru saja menambah daftar kegilaanku di pagi ini..  TRAILER OPPENHEIMER</t>
  </si>
  <si>
    <t>argentina menang messi angkat trofi kerja pake sepatu baru dan baru saja menambah daftar kegilaanku pagi ini trailer oppenheimer</t>
  </si>
  <si>
    <t>['argentina', 'menang', 'messi', 'angkat', 'trofi', 'kerja', 'pake', 'sepatu', 'baru', 'baru', 'menambah', 'daftar', 'kegilaanku', 'pagi', 'trailer', 'oppenheimer']</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</si>
  <si>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</si>
  <si>
    <t>Perasaan Lionel Messi Bawa Argentina Juara Piala Dunia 2022, Singgung Pemberian Tuhan  https://t.co/ckx5xP2pgn</t>
  </si>
  <si>
    <t>perasaan lionel messi bawa argentina juara piala dunia singgung pemberian tuhan</t>
  </si>
  <si>
    <t>['perasaan', 'lionel', 'messi', 'bawa', 'argentina', 'juara', 'piala', 'dunia', 'singgung', 'pemberian', 'tuhan']</t>
  </si>
  <si>
    <t>@barcastuff_idn Pernah ada yg bilang messi bakal juara bersama argentina kalo keluar dari barca üôÑ</t>
  </si>
  <si>
    <t>idn pernah ada bilang messi bakal juara bersama argentina kalo keluar dari barca</t>
  </si>
  <si>
    <t>['idn', 'pernah', 'messi', 'bakal', 'juara', 'bersama', 'argentina', 'keluar', 'barca']</t>
  </si>
  <si>
    <t>Banyak ramalan argentina juara, seperti public figure terkenal, pada narohin semuanya untuk argentina. FIFA untuk messi</t>
  </si>
  <si>
    <t>banyak ramalan argentina juara seperti public figure terkenal pada narohin semuanya untuk argentina fifa untuk messi</t>
  </si>
  <si>
    <t>['banyak', 'ramalan', 'argentina', 'juara', 'public', 'figure', 'terkenal', 'narohin', 'semuanya', 'argentina', 'fifa', 'messi']</t>
  </si>
  <si>
    <t>AET: Argentina 3-3 Prancis (23'108' Messi, 36' Di Maria ; 80'82'118' Mbappe) (Pen: 4-2) | Possessions: 54%-46% | Shots: 19-9 | Tackles: 22-26  Drama Adu Penalti Antar Argentina Juara Piala Dunia 2022  https://t.co/c7tRBRPwHN</t>
  </si>
  <si>
    <t>aet argentina prancis messi maria mbappe pen possessions shots tackles drama adu penalti antar argentina juara piala dunia</t>
  </si>
  <si>
    <t>['aet', 'argentina', 'prancis', 'messi', 'maria', 'mbappe', 'possessions', 'shots', 'tackles', 'drama', 'adu', 'penalti', 'antar', 'argentina', 'juara', 'piala', 'dunia']</t>
  </si>
  <si>
    <t>Ternyata Arab Saudi yang paling Juara karena bisa mengalahkan #MessiìÉµ  Argentina Sang Juara dunia yg penuh perjuangan  https://t.co/LWXSoSQilm</t>
  </si>
  <si>
    <t>ternyata arab saudi yang paling juara karena bisa mengalahkan argentina sang juara dunia penuh perjuangan</t>
  </si>
  <si>
    <t>['ternyata', 'arab', 'saudi', 'paling', 'juara', 'mengalahkan', 'argentina', 'sang', 'juara', 'dunia', 'penuh', 'perjuangan']</t>
  </si>
  <si>
    <t>Argentina Juara Piala Dunia 2022, Rentetan Rekor Lionel Messi  https://t.co/QaiGWFAzQC</t>
  </si>
  <si>
    <t>@jhon_sitorus20 Sy memang lebih seneng argentina yg juara. Klo perancis nnti, spt biasa, ditarik kemana mana....</t>
  </si>
  <si>
    <t>sitorus memang lebih seneng argentina juara klo perancis nnti spt biasa ditarik kemana mana</t>
  </si>
  <si>
    <t>['sitorus', 'memang', 'lebih', 'seneng', 'argentina', 'juara', 'perancis', 'nnti', 'spt', 'biasa', 'ditarik', 'mana']</t>
  </si>
  <si>
    <t>Juara sesungguh nya arab saudi karena arab saudi satu2nya negara yang ngalahin argentina di pildun qatar 2022</t>
  </si>
  <si>
    <t>juara sesungguh nya arab saudi karena arab saudi satu nya negara yang ngalahin argentina pildun qatar</t>
  </si>
  <si>
    <t>['juara', 'sesungguh', 'arab', 'saudi', 'arab', 'saudi', 'satu', 'negara', 'ngalahin', 'argentina', 'piala dunia', 'qatar']</t>
  </si>
  <si>
    <t>SELAMAT! ARGENTINA JUARA PIALA DUNIA 2022.‚Å£ ‚Å£ Pertandingan sengit tersaji di final piala dunia 2022. Tim tango mampu mencetak skor lewat 2 gol dari kaki Lionel Messi dan Di Maria.‚Å£  https://t.co/qyA74KCBMK</t>
  </si>
  <si>
    <t>Kakakku itu suka banget sama messi, kalo ada piala dunia beliau dukung brazil atau argentina. hiyaaa, argentina juara dunia, messi angkat piala.. Aku bisa nebak gimana ekspresi beliau kalo masih ada haha.</t>
  </si>
  <si>
    <t>kakakku itu suka banget sama messi kalo ada piala dunia beliau dukung brazil atau argentina hiyaaa argentina juara dunia messi angkat piala aku bisa nebak gimana ekspresi beliau kalo masih ada haha</t>
  </si>
  <si>
    <t>['kakakku', 'suka', 'banget', 'sama', 'messi', 'piala', 'dunia', 'beliau', 'dukung', 'brazil', 'argentina', 'hiyaaa', 'argentina', 'juara', 'dunia', 'messi', 'angkat', 'piala', 'aku', 'nebak', 'gimana', 'ekspresi', 'beliau', 'haha']</t>
  </si>
  <si>
    <t>Mana ya akun yang dulu mau membagikan uang 100 USD kalo argentina juara piala dunia, wkwk kok ilang</t>
  </si>
  <si>
    <t>mana akun yang dulu mau membagikan uang usd kalo argentina juara piala dunia wkwk kok ilang</t>
  </si>
  <si>
    <t>['mana', 'akun', 'dulu', 'mau', 'membagikan', 'uang', 'usd', 'argentina', 'juara', 'piala', 'dunia', 'kok', 'ilang']</t>
  </si>
  <si>
    <t>Argentina meraih dua gelar juara dalam dua tahun. Setelah Copa America pada 2021, sekarang skuad asuhan Lionel Scaloni sukses memenangkan Piala Dunia 2022.  https://t.co/5313o7zBcL</t>
  </si>
  <si>
    <t>@ClaudiaHSitomp1 Begitu yaaa, ini final World Cup sangat spektakuler. Perancis dan Argentina sama¬≤ hebat, mereka layak jadi juara dunia...üëçüëç</t>
  </si>
  <si>
    <t>begitu yaaa ini final world cup sangat spektakuler perancis dan argentina sama hebat mereka layak jadi juara dunia</t>
  </si>
  <si>
    <t>['yaaa', 'final', 'world', 'cup', 'sangat', 'spektakuler', 'perancis', 'argentina', 'sama', 'hebat', 'layak', 'jadi', 'juara', 'dunia']</t>
  </si>
  <si>
    <t>@erickthohir @KMbappe keduanya tim yg amat bermutu, bukan kaleng kaleng.  Perancis terbukti bisa menyusul hingga perpanjangan  ngga rugi begadang utk nonton.   Congrats utk team Argentina yg jadi juara lagi setelah 36 tahun</t>
  </si>
  <si>
    <t>keduanya tim amat bermutu bukan kaleng kaleng perancis terbukti bisa menyusul hingga perpanjangan ngga rugi begadang utk nonton congrats utk team argentina jadi juara lagi setelah tahun</t>
  </si>
  <si>
    <t>['keduanya', 'tim', 'bermutu', 'bukan', 'kaleng', 'kaleng', 'perancis', 'terbukti', 'menyusul', 'hingga', 'perpanjangan', 'ngga', 'rugi', 'begadang', 'nonton', 'congrats', 'team', 'argentina', 'jadi', 'juara', 'tahun']</t>
  </si>
  <si>
    <t>@hkmlsseeeee @macanbinmaunggg @dickykcivv @idextratime emang bilang settingan2 ni yang diharepin apa bang? lagipula, malu? engga lah bang, biar apa? gak ngaruh apa2 juga ke hidup ku, yang dapet juara juga argentina bukan aku, sepakbola mah hiburan aja, ga</t>
  </si>
  <si>
    <t>emang bilang settingan yang diharepin apa bang lagipula malu engga lah bang biar apa gak ngaruh apa juga hidup yang dapet juara juga argentina bukan aku sepakbola mah hiburan aja</t>
  </si>
  <si>
    <t>['emang', 'settingan', 'diharepin', 'apa', 'bang', 'lagipula', 'malu', 'tidak', 'lah', 'bang', 'apa', 'ngaruh', 'apa', 'hidup', 'dapat', 'juara', 'argentina', 'bukan', 'aku', 'sepakbola', 'mah', 'hiburan']</t>
  </si>
  <si>
    <t>18 Dec 2022: Argentina juara pildun 2022 ‚úÖ 18 Dec 2022: ngerayain bday bareng Taejin dan army2 yang bday nya bulan Dec juga ‚úÖ  ü•≤ü•≤ü•≤  https://t.co/Ex9kG402uv</t>
  </si>
  <si>
    <t>dec argentina juara pildun dec ngerayain bday bareng taejin dan army yang bday nya bulan dec juga</t>
  </si>
  <si>
    <t>['dec', 'argentina', 'juara', 'piala dunia', 'dec', 'ngerayain', 'bday', 'bareng', 'taejin', 'army', 'bday', 'bulan', 'dec']</t>
  </si>
  <si>
    <t>Wow! Berikut Rekor Messi Usai Argentina Juara Piala Dunia 2022  https://t.co/ofQb3TBgXf</t>
  </si>
  <si>
    <t>wow berikut rekor messi usai argentina juara piala dunia</t>
  </si>
  <si>
    <t>['wow', 'berikut', 'rekor', 'messi', 'usai', 'argentina', 'juara', 'piala', 'dunia']</t>
  </si>
  <si>
    <t>Argentina juara tuh, gak ada yang mau ucapin? Lumayan buat bekel 2024..</t>
  </si>
  <si>
    <t>argentina juara tuh gak ada yang mau ucapin lumayan buat bekel</t>
  </si>
  <si>
    <t>['argentina', 'juara', 'mau', 'ucapin', 'lumayan', 'buat', 'bekel']</t>
  </si>
  <si>
    <t>Argentina menjadi Juara Piala Dunia 2022, terima kasih untuk Teman Parabolaku yang telah mempercayai kami untuk mengisi Paket Voucher Piala Dunia Qatar 2022 üôèüôèüôè  https://t.co/r4fc9oS5sD</t>
  </si>
  <si>
    <t>argentina menjadi juara piala dunia terima kasih untuk teman parabolaku yang telah mempercayai kami untuk mengisi paket voucher piala dunia qatar</t>
  </si>
  <si>
    <t>['argentina', 'menjadi', 'juara', 'piala', 'dunia', 'terima', 'kasih', 'teman', 'parabolaku', 'mempercayai', 'mengisi', 'paket', 'voucher', 'piala', 'dunia', 'qatar']</t>
  </si>
  <si>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</si>
  <si>
    <t>sejarah mencatat argentina hanya akan menjadi juara piala dunia apabila memiliki pemain bernomor punggung dgn kualifikasi kaki kiri terbaik dunia mario kempes diego maradona lionel messi selamat buat tim tango menambah didada</t>
  </si>
  <si>
    <t>['sejarah', 'mencatat', 'argentina', 'menjadi', 'juara', 'piala', 'dunia', 'apabila', 'memiliki', 'pemain', 'bernomor', 'punggung', 'kualifikasi', 'kaki', 'kiri', 'terbaik', 'dunia', 'mario', 'kempes', 'diego', 'maradona', 'lionel', 'messi', 'selamat', 'buat', 'tim', 'tango', 'menambah', 'didada']</t>
  </si>
  <si>
    <t>Akhirnya argentina juara  #ArgentinaVsFrance #WorldCupFinal #WorldCup</t>
  </si>
  <si>
    <t>akhirnya argentina juara</t>
  </si>
  <si>
    <t>['akhirnya', 'argentina', 'juara']</t>
  </si>
  <si>
    <t>yes argentina udh juara, tinggal nunggu timnas skrg mah semoga juara aff‚ù§Ô∏è</t>
  </si>
  <si>
    <t>yes argentina udh juara tinggal nunggu timnas skrg mah semoga juara aff</t>
  </si>
  <si>
    <t>['yes', 'argentina', 'sudah', 'juara', 'tinggal', 'nunggu', 'timnas', 'skrg', 'mah', 'semoga', 'juara', 'aff']</t>
  </si>
  <si>
    <t>Selamat buat Argentina Juara Piala Dunia Qatar 2022  https://t.co/WcQ0BOUaHV</t>
  </si>
  <si>
    <t>selamat buat argentina juara piala dunia qatar</t>
  </si>
  <si>
    <t>['selamat', 'buat', 'argentina', 'juara', 'piala', 'dunia', 'qatar']</t>
  </si>
  <si>
    <t>Era Messi Ronaldo is done!!!  Messi GREATEST OFF ALL TIME!!!  Argentina juara piala dunia 2022!!!  But Cristiano Ronaldo selalu dihati, selalu membanggakan selalu menginspirasi dan salah satu pemain terbaik sepanjang masa CR7 RESPECT!!! #FIFAWorldCup #WorldCupFinal  https://t.co/sqXRnbAkrX</t>
  </si>
  <si>
    <t>era messi ronaldo done messi greatest off all time argentina juara piala dunia but cristiano ronaldo selalu dihati selalu membanggakan selalu menginspirasi dan salah satu pemain terbaik sepanjang masa respect</t>
  </si>
  <si>
    <t>['era', 'messi', 'ronaldo', 'done', 'messi', 'greatest', 'off', 'all', 'time', 'argentina', 'juara', 'piala', 'dunia', 'but', 'cristiano', 'ronaldo', 'selalu', 'dihati', 'selalu', 'membanggakan', 'selalu', 'menginspirasi', 'salah', 'satu', 'pemain', 'terbaik', 'sepanjang', 'masa', 'respect']</t>
  </si>
  <si>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</si>
  <si>
    <t>piala dunia qatar sudah usai argentina menjadi juara setelah mengalahkan prancis partai final menjadi istimewa karena pemain argentina jadi pemain terbaik ajang ini ehmm siapa aja mereka</t>
  </si>
  <si>
    <t>['piala', 'dunia', 'qatar', 'usai', 'argentina', 'menjadi', 'juara', 'mengalahkan', 'prancis', 'partai', 'final', 'menjadi', 'istimewa', 'pemain', 'argentina', 'jadi', 'pemain', 'terbaik', 'ajang', 'ehmm', 'siapa']</t>
  </si>
  <si>
    <t>*Dramatis, Argentina Juara PD 2022, Messi Sempurnakan Gelar*   https://t.co/bWb4L2AS1D</t>
  </si>
  <si>
    <t>dramatis argentina juara messi sempurnakan gelar</t>
  </si>
  <si>
    <t>['dramatis', 'argentina', 'juara', 'messi', 'sempurnakan', 'gelar']</t>
  </si>
  <si>
    <t>Argentina Juara Piala Dunia 2022 di Qatar  https://t.co/DfcRqthU11</t>
  </si>
  <si>
    <t>Viva..Bravo buat Timnas Argentina dan Lionel Andress Messi dan kawan2 berhasil membawa Argentina menjadi Juara Dunia Sepakbola tahun 2022 di Qatar. Tahun 1978 Mario Kempes dan tahun 1986 Diego Maradona berhasil juga membawa Argentina Juara Dunia Sepakbola.  https://t.co/KuCXxPjdnC</t>
  </si>
  <si>
    <t>viva bravo buat timnas argentina dan lionel andress messi dan kawan berhasil membawa argentina menjadi juara dunia sepakbola tahun qatar tahun mario kempes dan tahun diego maradona berhasil juga membawa argentina juara dunia sepakbola</t>
  </si>
  <si>
    <t>['viva', 'bravo', 'buat', 'timnas', 'argentina', 'lionel', 'andress', 'messi', 'kawan', 'berhasil', 'membawa', 'argentina', 'menjadi', 'juara', 'dunia', 'sepakbola', 'tahun', 'qatar', 'tahun', 'mario', 'kempes', 'tahun', 'diego', 'maradona', 'berhasil', 'membawa', 'argentina', 'juara', 'dunia', 'sepakbola']</t>
  </si>
  <si>
    <t>Lionel Scaloni Antar Argentina Juara di Piala Dunia 2022, Ini Profil dan Perjalanan Karirnya  #LionelScaloni #Scaloni #Argentina #PialaDunia2022 #FIFAWorldCup   https://t.co/PngOUeT9qV</t>
  </si>
  <si>
    <t>lionel scaloni antar argentina juara piala dunia ini profil dan perjalanan karirnya</t>
  </si>
  <si>
    <t>['lionel', 'scaloni', 'antar', 'argentina', 'juara', 'piala', 'dunia', 'profil', 'perjalanan', 'karirnya']</t>
  </si>
  <si>
    <t>Timnas dan pemain favorit alm. Ayah.. dulu kita nobar bareng pas pildun atau kalo Argentina tanding. Ayah, Tahun ini Argentina juara. Ayah juga ikut senang kan disana liat Argentina juara. Ayah juga juara di hati aku. Miss you dad.. ü•≤  https://t.co/ShHbWiXOzG</t>
  </si>
  <si>
    <t>timnas dan pemain favorit alm ayah dulu kita nobar bareng pas pildun atau kalo argentina tanding ayah tahun ini argentina juara ayah juga ikut senang kan disana liat argentina juara ayah juga juara hati aku miss you dad</t>
  </si>
  <si>
    <t>['timnas', 'pemain', 'favorit', 'alm', 'ayah', 'dulu', 'nonton bareng', 'bareng', 'pas', 'piala dunia', 'argentina', 'tanding', 'ayah', 'tahun', 'argentina', 'juara', 'ayah', 'ikut', 'senang', 'kan', 'disana', 'lihat', 'argentina', 'juara', 'ayah', 'juara', 'hati', 'aku', 'miss', 'you', 'dad']</t>
  </si>
  <si>
    <t>@survivingsperm @Cristiano_time7 @idextratime Kek nya bener dah prediksi juara Viva waktu make kaya geme bola gitu Argentina yang juara</t>
  </si>
  <si>
    <t>time kek nya bener dah prediksi juara viva waktu make kaya geme bola gitu argentina yang juara</t>
  </si>
  <si>
    <t>['time', 'kek', 'benar', 'dah', 'prediksi', 'juara', 'viva', 'waktu', 'make', 'kaya', 'geme', 'bola', 'gitu', 'argentina', 'juara']</t>
  </si>
  <si>
    <t>@bbygrlwnnb Tpi argentina tetep juaraüòöüòÇüòÇ</t>
  </si>
  <si>
    <t>tpi argentina tetep juara</t>
  </si>
  <si>
    <t>['tpi', 'argentina', 'tetep', 'juara']</t>
  </si>
  <si>
    <t>Argentina Juara Piala Dunia 2022 Usai Kalahkan Prancis Lewat Adu Penalti, Ini Ringkasan Pertandingannya  https://t.co/gFMepSUdVA</t>
  </si>
  <si>
    <t>argentina juara piala dunia usai kalahkan prancis lewat adu penalti ini ringkasan pertandingannya</t>
  </si>
  <si>
    <t>['argentina', 'juara', 'piala', 'dunia', 'usai', 'kalahkan', 'prancis', 'lewat', 'adu', 'penalti', 'ringkasan', 'pertandingannya']</t>
  </si>
  <si>
    <t>Argentina udh juara world cup berkali-kali, Prancis juga... Portugal kapan yak akwowkwowko</t>
  </si>
  <si>
    <t>argentina udh juara world cup berkali kali prancis juga portugal kapan yak akwowkwowko</t>
  </si>
  <si>
    <t>['argentina', 'sudah', 'juara', 'world', 'cup', 'berkali', 'kali', 'prancis', 'portugal', 'kapan', 'yak', 'akwowkwowko']</t>
  </si>
  <si>
    <t>„Ö§ Argentina juara, tapi Mbappe keren sih. Gak boleh goyah ke Mbappe harus love Neymar sampe kapanpun ‚ù§Ô∏è‚ù§Ô∏è „Ö§</t>
  </si>
  <si>
    <t>argentina juara tapi mbappe keren sih gak boleh goyah mbappe harus love neymar sampe kapanpun</t>
  </si>
  <si>
    <t>['argentina', 'juara', 'mbappe', 'keren', 'goyah', 'mbappe', 'love', 'neymar', 'sampai', 'kapanpun']</t>
  </si>
  <si>
    <t>ini Indonesia ga dapet libur nasional karena Argentina juara? males bgt</t>
  </si>
  <si>
    <t>ini indonesia dapet libur nasional karena argentina juara males bgt</t>
  </si>
  <si>
    <t>['indonesia', 'dapat', 'libur', 'nasional', 'argentina', 'juara', 'males', 'banget']</t>
  </si>
  <si>
    <t>Juara Piala Dunia 2022, Messi Masih Terus Bermain untuk Argentina ‚Äì CNN Indonesia ‚Äì Google Berita Olahraga ‚Äì  https://t.co/6UgwNTbxQM ‚Äì #Arenanews #Kamidi #Opsiminfo- https://t.co/DZUJ8E0Zun</t>
  </si>
  <si>
    <t>juara piala dunia messi masih terus bermain untuk argentina cnn indonesia google berita olahraga</t>
  </si>
  <si>
    <t>['juara', 'piala', 'dunia', 'messi', 'terus', 'bermain', 'argentina', 'cnn', 'indonesia', 'google', 'berita', 'olahraga']</t>
  </si>
  <si>
    <t>Cuma arab saudi yg bisa kalahin Argentina üòÅ sang juara 2022</t>
  </si>
  <si>
    <t>cuma arab saudi bisa kalahin argentina sang juara</t>
  </si>
  <si>
    <t>['cuma', 'arab', 'saudi', 'kalahin', 'argentina', 'sang', 'juara']</t>
  </si>
  <si>
    <t>So WC nie team yg kalahkan Argentina adalah Arab Saudi. Mmg patut la dpt kereta sorg sebijik haha. Kalahkan juara dunia kot #WorldCup</t>
  </si>
  <si>
    <t>nie team kalahkan argentina adalah arab saudi mmg patut dpt kereta sorg sebijik haha kalahkan juara dunia kot</t>
  </si>
  <si>
    <t>['nie', 'team', 'kalahkan', 'argentina', 'arab', 'saudi', 'mmg', 'patut', 'dpt', 'kereta', 'sorg', 'sebijik', 'haha', 'kalahkan', 'juara', 'dunia', 'kot']</t>
  </si>
  <si>
    <t>Yok udah 2 jagoanku masuk final semua dan trnyata argentina yang sesuai prediksi juara*(liat tweet"ku sebelumnya) daannnm kembali ke setelan FANS EMYU lagi yoküòÖü§£ bismillah musim ngangkat trophy</t>
  </si>
  <si>
    <t>yok udah jagoanku masuk final semua dan trnyata argentina yang sesuai prediksi juara liat tweet sebelumnya daannnm kembali setelan fans emyu lagi yok bismillah musim ngangkat trophy</t>
  </si>
  <si>
    <t>['yok', 'udah', 'jagoanku', 'masuk', 'final', 'semua', 'trnyata', 'argentina', 'sesuai', 'prediksi', 'juara', 'lihat', 'tweet', 'sebelumnya', 'daannnm', 'setelan', 'fans', 'emyu', 'yok', 'bismillah', 'musim', 'ngangkat', 'trophy']</t>
  </si>
  <si>
    <t>Pertandingan final maeng bengi iso bangkitno gairahku nonton bal"an,tapi liga 1 sek gak iso. Selamat argentina wes iso juara Piala Dunia maneh,selamat arab saudi wes ngalahno argentina.  https://t.co/htBnwRTG88</t>
  </si>
  <si>
    <t>pertandingan final maeng bengi iso bangkitno gairahku nonton bal tapi liga sek gak iso selamat argentina wes iso juara piala dunia maneh selamat arab saudi wes ngalahno argentina</t>
  </si>
  <si>
    <t>['pertandingan', 'final', 'maeng', 'bengi', 'iso', 'bangkitno', 'gairahku', 'nonton', 'bal', 'liga', 'sek', 'iso', 'selamat', 'argentina', 'wes', 'iso', 'juara', 'piala', 'dunia', 'maneh', 'selamat', 'arab', 'saudi', 'wes', 'ngalahno', 'argentina']</t>
  </si>
  <si>
    <t>Habib Jafar Pamer Video Timnas Argentina Juara: Messi Log In?  https://t.co/q8rIQTwu76  https://t.co/Eeg5gQkY8d</t>
  </si>
  <si>
    <t>habib jafar pamer video timnas argentina juara messi log</t>
  </si>
  <si>
    <t>['habib', 'jafar', 'pamer', 'video', 'timnas', 'argentina', 'juara', 'messi', 'log']</t>
  </si>
  <si>
    <t>Piala Dunia 2022: Argentina Juara!   https://t.co/YCJXigj2xC  #timnas #argentina #juara #pialadunia #pialadunia2022 #worldcup2022 #qatar2022 #juarabertahan #perancis #france #final #worldcupfinal #penalti #lusailstadium #gelar  https://t.co/acT3liNExo</t>
  </si>
  <si>
    <t>piala dunia argentina juara</t>
  </si>
  <si>
    <t>['piala', 'dunia', 'argentina', 'juara']</t>
  </si>
  <si>
    <t>Pendeta GKE Sakatik Palangkaraya Cebur ke Kolam Gereja Usai Argentina Juara Piala Dunia 2022  https://t.co/hr4nT21IXB</t>
  </si>
  <si>
    <t>pendeta gke sakatik palangkaraya cebur kolam gereja usai argentina juara piala dunia</t>
  </si>
  <si>
    <t>['pendeta', 'gke', 'sakatik', 'palangkaraya', 'cebur', 'kolam', 'gereja', 'usai', 'argentina', 'juara', 'piala', 'dunia']</t>
  </si>
  <si>
    <t>Sikat Prancis dan Bawa Argentina Juara Piala Dunia 2022, Lionel Messi: Kami Berhasil!  https://t.co/2dzuN4jk8z  https://t.co/a50r9pY9Wp</t>
  </si>
  <si>
    <t>Selamat untuk timnas argentina setelah juara di 1986 dan kini di 2022 yang membuat perdebatan GOAT pun berakhir... See you in world cup 2026 di kanada,amerika serikat,dan meksiko  https://t.co/CsntxMFIKe</t>
  </si>
  <si>
    <t>selamat untuk timnas argentina setelah juara dan kini yang membuat perdebatan goat pun berakhir see you world cup kanada amerika serikat dan meksiko</t>
  </si>
  <si>
    <t>['selamat', 'timnas', 'argentina', 'juara', 'kini', 'membuat', 'perdebatan', 'goat', 'berakhir', 'see', 'you', 'world', 'cup', 'kanada', 'amerika', 'serikat', 'meksiko']</t>
  </si>
  <si>
    <t>Sukses Juara Piala Dunia 2022, Pelatih Timnas Argentina Minta Lionel Messi Main Lagi di Edisi 2026 #LengkapCepatBeritanya #Bola #SepakBola #SepakbolaDunia #BolaDunia .  https://t.co/cIxQgbV1gb</t>
  </si>
  <si>
    <t>sukses juara piala dunia pelatih timnas argentina minta lionel messi main lagi edisi</t>
  </si>
  <si>
    <t>['sukses', 'juara', 'piala', 'dunia', 'pelatih', 'timnas', 'argentina', 'minta', 'lionel', 'messi', 'main', 'edisi']</t>
  </si>
  <si>
    <t>/sobi/ Argentina juara nih, siapa tim argen üëÜüíôüá¶üá∑</t>
  </si>
  <si>
    <t>sobi argentina juara nih siapa tim argen</t>
  </si>
  <si>
    <t>['sobi', 'argentina', 'juara', 'siapa', 'tim', 'argen']</t>
  </si>
  <si>
    <t>Kan udah gua bilang, kalo Argentina juara orang2 tengilnya gausah diajak</t>
  </si>
  <si>
    <t>kan udah gua bilang kalo argentina juara orang tengilnya gausah diajak</t>
  </si>
  <si>
    <t>['kan', 'udah', 'gua', 'argentina', 'juara', 'orang', 'tengilnya', 'gausah', 'diajak']</t>
  </si>
  <si>
    <t>Argentina juara piala dunia kira-kira bakal berapa lama ya libur nasionalnya?</t>
  </si>
  <si>
    <t>argentina juara piala dunia kira kira bakal berapa lama libur nasionalnya</t>
  </si>
  <si>
    <t>['argentina', 'juara', 'piala', 'dunia', 'kira', 'kira', 'bakal', 'berapa', 'lama', 'libur', 'nasionalnya']</t>
  </si>
  <si>
    <t>Yang juara Argentina, Yang Syukuran PSG. (Achraf Hakimi, Messi, Mbappe, Varane)</t>
  </si>
  <si>
    <t>yang juara argentina yang syukuran psg achraf hakimi messi mbappe varane</t>
  </si>
  <si>
    <t>['juara', 'argentina', 'syukuran', 'psg', 'achraf', 'hakimi', 'messi', 'mbappe', 'varane']</t>
  </si>
  <si>
    <t>Kegagalan Perancis menjadi juara dunia di Final World Cup 2022, disebabkan oleh kemenangan Argentina. Sekian. #FIFAWorldCup</t>
  </si>
  <si>
    <t>kegagalan perancis menjadi juara dunia final world cup disebabkan oleh kemenangan argentina sekian</t>
  </si>
  <si>
    <t>['kegagalan', 'perancis', 'menjadi', 'juara', 'dunia', 'final', 'world', 'cup', 'disebabkan', 'kemenangan', 'argentina', 'sekian']</t>
  </si>
  <si>
    <t>Antar Argentina Juara Piala Dunia 2022, Paulo Dybala Akhiri Bayangan Buruk Adu Penalti  https://t.co/XiIWSuPFSj</t>
  </si>
  <si>
    <t>Argentina Juara Piala Dunia 2022, Rentetan Rekor Lionel Messi  https://t.co/AyCr6QIDn6</t>
  </si>
  <si>
    <t>YEDAM YA ALLAH DAMM ARGENTINA MENANG PILDUN JUARA KE SATU DAMMüò≠üò≠üò≠üò≠üò≠üò≠üò≠üò≠üò≠üò≠</t>
  </si>
  <si>
    <t>yedam allah damm argentina menang pildun juara satu damm</t>
  </si>
  <si>
    <t>['yedam', 'allah', 'damm', 'argentina', 'menang', 'piala dunia', 'juara', 'satu', 'damm']</t>
  </si>
  <si>
    <t>Masih merinding liat video Argentina selebrasi juaraüòçüò¨</t>
  </si>
  <si>
    <t>masih merinding liat video argentina selebrasi juara</t>
  </si>
  <si>
    <t>['merinding', 'lihat', 'video', 'argentina', 'selebrasi', 'juara']</t>
  </si>
  <si>
    <t>Karna jk yg ngisi sound music fifa 2022 makanya argentina juara wkwk cocokologi gue yahhüêõ</t>
  </si>
  <si>
    <t>karna ngisi sound music fifa makanya argentina juara wkwk cocokologi gue yahh</t>
  </si>
  <si>
    <t>['karna', 'ngisi', 'sound', 'music', 'fifa', 'makanya', 'argentina', 'juara', 'cocokologi', 'gue', 'yahh']</t>
  </si>
  <si>
    <t>@WagimanDeep_IX Alhamdulillah dimasa pemerintahan jokowi Argentina menjadi juara dunia lagi ....üòÅ  https://t.co/B25X9kBpXh</t>
  </si>
  <si>
    <t>alhamdulillah dimasa pemerintahan jokowi argentina menjadi juara dunia lagi</t>
  </si>
  <si>
    <t>['alhamdulillah', 'dimasa', 'pemerintahan', 'jokowi', 'argentina', 'menjadi', 'juara', 'dunia']</t>
  </si>
  <si>
    <t>@jek___ Pantas Argentina juara, ada Jekssi disana</t>
  </si>
  <si>
    <t>pantas argentina juara ada jekssi disana</t>
  </si>
  <si>
    <t>['pantas', 'argentina', 'juara', 'jekssi', 'disana']</t>
  </si>
  <si>
    <t>@Dennysiregar7 Argentina menang jd juara piala dunia 2022 karena wasitnya dibayar</t>
  </si>
  <si>
    <t>argentina menang juara piala dunia karena wasitnya dibayar</t>
  </si>
  <si>
    <t>['argentina', 'menang', 'juara', 'piala', 'dunia', 'wasitnya', 'dibayar']</t>
  </si>
  <si>
    <t>Omnia merita Argentina et Messi sunt.   Et specialius in muri defensionis Argentiniani Emi Martinez   Gratias agimus tibi Domine. Hactenus Argentina attulit mum Leonellus Scaloni.  #Messi  #messi_of_the_king. #FIFAWorldCup  #argentinajuara  https://t.co/0ACuowYwy9</t>
  </si>
  <si>
    <t>omnia merita argentina messi sunt specialius muri defensionis argentiniani emi martinez gratias agimus tibi domine hactenus argentina attulit mum leonellus scaloni the king</t>
  </si>
  <si>
    <t>['omnia', 'merita', 'argentina', 'messi', 'sunt', 'specialius', 'muri', 'defensionis', 'argentiniani', 'emi', 'martinez', 'gratias', 'agimus', 'tibi', 'domine', 'hactenus', 'argentina', 'attulit', 'mum', 'leonellus', 'scaloni', 'the', 'king']</t>
  </si>
  <si>
    <t>Juara Piala Dunia 2022, Argentina Akhiri Penantian 36 Tahun  https://t.co/Yj1DmdNvNb</t>
  </si>
  <si>
    <t>Argentina juara karena mengutamakan adab. Izin dulu kalo mau ngapa ngapain tuh.. Per-messi numpang ngegolin..</t>
  </si>
  <si>
    <t>argentina juara karena mengutamakan adab izin dulu kalo mau ngapa ngapain tuh per messi numpang ngegolin</t>
  </si>
  <si>
    <t>['argentina', 'juara', 'mengutamakan', 'adab', 'izin', 'dulu', 'mau', 'ngapa', 'ngapain', 'per', 'messi', 'numpang', 'ngegolin']</t>
  </si>
  <si>
    <t>Selamat pagi juara dunia @Argentina #Arg</t>
  </si>
  <si>
    <t>selamat pagi juara dunia</t>
  </si>
  <si>
    <t>['selamat', 'pagi', 'juara', 'dunia']</t>
  </si>
  <si>
    <t>Masih ada indonesia kok, Argentina juara Piala Dunia 2022 setelah mengalahkan Prancis di partai final yang berlangsung sangat dramatis.  https://t.co/hFdztCa0BU  https://t.co/YiQXvD0zOm</t>
  </si>
  <si>
    <t>masih ada indonesia kok argentina juara piala dunia setelah mengalahkan prancis partai final yang berlangsung sangat dramatis</t>
  </si>
  <si>
    <t>['indonesia', 'kok', 'argentina', 'juara', 'piala', 'dunia', 'mengalahkan', 'prancis', 'partai', 'final', 'berlangsung', 'sangat', 'dramatis']</t>
  </si>
  <si>
    <t>@ruhutsitompul Sejak pemerintahan jokowilah Argentina baru bisa jd juara piala dunia.. hidup jokowi.. hidup ruhut cebong pnjilat.. ü§£ü§£ü§£ü§£ü§£</t>
  </si>
  <si>
    <t>sejak pemerintahan jokowilah argentina baru bisa juara piala dunia hidup jokowi hidup ruhut cebong pnjilat</t>
  </si>
  <si>
    <t>['sejak', 'pemerintahan', 'jokowilah', 'argentina', 'baru', 'juara', 'piala', 'dunia', 'hidup', 'jokowi', 'hidup', 'ruhut', 'cebong', 'pnjilat']</t>
  </si>
  <si>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</si>
  <si>
    <t>setelah banyak plot twist dan drama adu penalti piala dunia resmi milik argentina walaupun sudah menggapai mimpi membawa timnas argentina menjadi juara piala dunia messi katanya masih belum mau pensiun lho audience aditya</t>
  </si>
  <si>
    <t>['banyak', 'plot', 'twist', 'drama', 'adu', 'penalti', 'piala', 'dunia', 'resmi', 'milik', 'argentina', 'walaupun', 'menggapai', 'mimpi', 'membawa', 'timnas', 'argentina', 'menjadi', 'juara', 'piala', 'dunia', 'messi', 'katanya', 'mau', 'pensiun', 'lho', 'audience', 'aditya']</t>
  </si>
  <si>
    <t>SELAMAT UNTUK ARGENTINA üá¶üá∑ü•≥ Resmi menjadi Juara Piala Dunia Qatar 2022 üèÜ  Siapa yang jagoin Argentina semalem?üëÄ  #AktivitasTanpaBatas  #FIFAWorldCup  https://t.co/lMarwpsWj9</t>
  </si>
  <si>
    <t>selamat untuk argentina resmi menjadi juara piala dunia qatar siapa yang jagoin argentina semalem</t>
  </si>
  <si>
    <t>['selamat', 'argentina', 'resmi', 'menjadi', 'juara', 'piala', 'dunia', 'qatar', 'siapa', 'jagoin', 'argentina', 'semalam']</t>
  </si>
  <si>
    <t>Duo "LIONEL" Berhasil Membawa Argentina Juara Dunia  https://t.co/85SJuoI0T9</t>
  </si>
  <si>
    <t>duo lionel berhasil membawa argentina juara dunia</t>
  </si>
  <si>
    <t>['duo', 'lionel', 'berhasil', 'membawa', 'argentina', 'juara', 'dunia']</t>
  </si>
  <si>
    <t>Mbappe Dapat Sepatu Emas, Tropy Juara Dunia untuk Argentina  https://t.co/I9UBPVSU7M</t>
  </si>
  <si>
    <t>mbappe dapat sepatu emas tropy juara dunia untuk argentina</t>
  </si>
  <si>
    <t>['mbappe', 'sepatu', 'emas', 'tropy', 'juara', 'dunia', 'argentina']</t>
  </si>
  <si>
    <t>@Wildanbayu50 Ya gak bisa gitu lah kita juga harus respect ke mereka walaupun kami suporter Argentina di bully terus saat kalah lawan Saudi memang sakit tapi yang penting sekarang udah juara pildun</t>
  </si>
  <si>
    <t>gak bisa gitu lah kita juga harus respect mereka walaupun kami suporter argentina bully terus saat kalah lawan saudi memang sakit tapi yang penting sekarang udah juara pildun</t>
  </si>
  <si>
    <t>['gitu', 'lah', 'respect', 'walaupun', 'suporter', 'argentina', 'bully', 'terus', 'kalah', 'lawan', 'saudi', 'memang', 'sakit', 'penting', 'sekarang', 'udah', 'juara', 'piala dunia']</t>
  </si>
  <si>
    <t>Eh buset ada yg komen begini, Berarti yg Juara Dunia itu Arab Saudi, mereka yg mengalahkan Argentina  https://t.co/nGkycwH4ke</t>
  </si>
  <si>
    <t>buset ada komen begini berarti juara dunia itu arab saudi mereka mengalahkan argentina</t>
  </si>
  <si>
    <t>['buset', 'komen', 'begini', 'berarti', 'juara', 'dunia', 'arab', 'saudi', 'mengalahkan', 'argentina']</t>
  </si>
  <si>
    <t>Akan banyak perdebatan setelah Argentina dan Messi juara dunia</t>
  </si>
  <si>
    <t>akan banyak perdebatan setelah argentina dan messi juara dunia</t>
  </si>
  <si>
    <t>['banyak', 'perdebatan', 'argentina', 'messi', 'juara', 'dunia']</t>
  </si>
  <si>
    <t>Argentina Rebut Titel Juara Piala Dunia 2022, Kemenangan Lionel Messi Sudah Diramalkan 7 Tahun Lalu  https://t.co/0TPeIsdvIB</t>
  </si>
  <si>
    <t>@tanyakanrl 10/10. ga nyangka maroko bisa 4 besar, tapi kalo argentina juara udah fling dari awal sebelum mulai.</t>
  </si>
  <si>
    <t>nyangka maroko bisa besar tapi kalo argentina juara udah fling dari awal sebelum mulai</t>
  </si>
  <si>
    <t>['nyangka', 'maroko', 'besar', 'argentina', 'juara', 'udah', 'fling', 'awal', 'mulai']</t>
  </si>
  <si>
    <t>Argentina Juara Piala Dunia 2022 Qatar, Messi Jadi Pemain Bola dengan Raihan Paling Lengkap  #ArgentinaVsFrance #Messi #PialaDunia2022 #FIFAWorldCup   https://t.co/rCPFGzMLTo</t>
  </si>
  <si>
    <t>argentina juara piala dunia qatar messi jadi pemain bola dengan raihan paling lengkap</t>
  </si>
  <si>
    <t>['argentina', 'juara', 'piala', 'dunia', 'qatar', 'messi', 'jadi', 'pemain', 'bola', 'raihan', 'paling', 'lengkap']</t>
  </si>
  <si>
    <t>@pangeransiahaan Please bang bahas tentang pelatih argentinanya, kalau bukan karna pelatih argentina yg pilih pemain menjelang piala dunia. Mungkin argentina ga akan jadi juara</t>
  </si>
  <si>
    <t>please bang bahas tentang pelatih argentinanya kalau bukan karna pelatih argentina pilih pemain menjelang piala dunia mungkin argentina akan jadi juara</t>
  </si>
  <si>
    <t>['please', 'bang', 'bahas', 'pelatih', 'argentinanya', 'kalau', 'bukan', 'karna', 'pelatih', 'argentina', 'pilih', 'pemain', 'menjelang', 'piala', 'dunia', 'mungkin', 'argentina', 'jadi', 'juara']</t>
  </si>
  <si>
    <t>Hanya di masa kepemimpinan Pak Nawi Elub, Messi berhasil membawa Argentina menjadi juara Piala Dunia #HaturNuhun</t>
  </si>
  <si>
    <t>hanya masa kepemimpinan pak nawi elub messi berhasil membawa argentina menjadi juara piala dunia</t>
  </si>
  <si>
    <t>['masa', 'kepemimpinan', 'pak', 'nawi', 'elub', 'messi', 'berhasil', 'membawa', 'argentina', 'menjadi', 'juara', 'piala', 'dunia']</t>
  </si>
  <si>
    <t>Sebelum Final, Ternyata Rayyanza Sempat Prediksi Argentina Jadi Juara Piala Dunia 2022  https://t.co/3JN3t9nKJs  https://t.co/GQfpEMefb7</t>
  </si>
  <si>
    <t>sebelum final ternyata rayyanza sempat prediksi argentina jadi juara piala dunia</t>
  </si>
  <si>
    <t>['final', 'ternyata', 'rayyanza', 'sempat', 'prediksi', 'argentina', 'jadi', 'juara', 'piala', 'dunia']</t>
  </si>
  <si>
    <t>Argentina meraih dua gelar juara dalam dua tahun. Setelah Copa America pada 2021, sekarang skuad asuhan Lionel Scaloni sukses memenangkan Piala Dunia 2022.  https://t.co/VrSF3iJmK2</t>
  </si>
  <si>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</si>
  <si>
    <t>gelar juara piala dunia jadi warisan yang ditorehkan messi bagi argentina trofi selama karier profesionalnya itu sekaligus jadi perpisahan terindah yang digoreskan messi sebelum menarik diri dari albiceleste</t>
  </si>
  <si>
    <t>['gelar', 'juara', 'piala', 'dunia', 'jadi', 'warisan', 'ditorehkan', 'messi', 'argentina', 'trofi', 'selama', 'karier', 'profesionalnya', 'sekaligus', 'jadi', 'perpisahan', 'terindah', 'digoreskan', 'messi', 'menarik', 'diri', 'albiceleste']</t>
  </si>
  <si>
    <t>Alhamdulillah. Argentina juara dunia dan Messi kini  "resmi" jadi pemain terbaik dunia sepanjang masa..  https://t.co/kd88fjNKbW</t>
  </si>
  <si>
    <t>walau argentina yang juara piala dunia namun tetap kamu yang juara di hatiku</t>
  </si>
  <si>
    <t>walau argentina yang juara piala dunia namun tetap kamu yang juara hatiku</t>
  </si>
  <si>
    <t>['argentina', 'juara', 'piala', 'dunia', 'tetap', 'kamu', 'juara', 'hatiku']</t>
  </si>
  <si>
    <t>Ke pasar denger obrolan pagi bapak2 soal final piala dunia yg semalem. Ada yg nyeletuk, "Yg juara kok Argentina, padahal Perancis udah mimpin 2-0" ke bapak2 laen. Bapak2 yg diajak ngobrol manggut2 bae. Gue langsung nengok, "apaan sih anj so tau banget nih bapak2 pasar".</t>
  </si>
  <si>
    <t>pasar denger obrolan pagi bapak soal final piala dunia semalem ada nyeletuk juara kok argentina padahal perancis udah mimpin bapak laen bapak diajak ngobrol manggut bae gue langsung nengok apaan sih anj tau banget nih bapak pasar</t>
  </si>
  <si>
    <t>['pasar', 'denger', 'obrolan', 'pagi', 'bapak', 'soal', 'final', 'piala', 'dunia', 'semalam', 'nyeletuk', 'juara', 'kok', 'argentina', 'padahal', 'perancis', 'udah', 'mimpin', 'bapak', 'laen', 'bapak', 'diajak', 'ngobrol', 'manggut', 'bae', 'gue', 'langsung', 'nengok', 'apaan', 'anj', 'banget', 'bapak', 'pasar']</t>
  </si>
  <si>
    <t>Argentina Juara Piala Dunia 2022, Lionel Messi Batal Pensiun   https://t.co/vWM1SiwsYn</t>
  </si>
  <si>
    <t>argentina juara piala dunia lionel messi batal pensiun</t>
  </si>
  <si>
    <t>['argentina', 'juara', 'piala', 'dunia', 'lionel', 'messi', 'batal', 'pensiun']</t>
  </si>
  <si>
    <t>TIMNAS Argentina berhasil merebut gelar juara Piala Dunia 2022 usai mengalahkan Prancis 4-2 dalam adu tendangan penalti pada final Piala Dunia 2022, di Lusail Iconic Stadium, Minggu (18/12) malam WIB.***  https://t.co/5gpeZ5U15E</t>
  </si>
  <si>
    <t>timnas argentina berhasil merebut gelar juara piala dunia usai mengalahkan prancis dalam adu tendangan penalti pada final piala dunia lusail iconic stadium minggu malam wib</t>
  </si>
  <si>
    <t>['timnas', 'argentina', 'berhasil', 'merebut', 'gelar', 'juara', 'piala', 'dunia', 'usai', 'mengalahkan', 'prancis', 'adu', 'tendangan', 'penalti', 'final', 'piala', 'dunia', 'lusail', 'iconic', 'stadium', 'minggu', 'malam', 'wib']</t>
  </si>
  <si>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</si>
  <si>
    <t>hadapan ketidakpastian sebab pertandingan semalam saya tetap anak kecil mendatangi ibu yang tengah tertidur seraya mendekap tangannya agar setidak tidaknya jantung yang mulai berdetak secara liar dapat sedikit tertenangkan selamat juara dunia argentina selamat untuk pulga</t>
  </si>
  <si>
    <t>['hadapan', 'ketidakpastian', 'pertandingan', 'semalam', 'tetap', 'anak', 'kecil', 'mendatangi', 'ibu', 'tengah', 'tertidur', 'mendekap', 'tangannya', 'setidak', 'tidaknya', 'jantung', 'mulai', 'berdetak', 'liar', 'sedikit', 'tertenangkan', 'selamat', 'juara', 'dunia', 'argentina', 'selamat', 'pulga']</t>
  </si>
  <si>
    <t>@KompasTV lagi menikmati kemenangan argentina, ada aja berita kek gini... bukan soal juaranya siapa, tapi tontonan bagus kan jarang2... mudah2an negeri ini bisa juara suatu hari nanti, gak tau kapan, tapi kemungkinan kan gak pernah tau...</t>
  </si>
  <si>
    <t>lagi menikmati kemenangan argentina ada aja berita kek gini bukan soal juaranya siapa tapi tontonan bagus kan jarang mudah negeri ini bisa juara suatu hari nanti gak tau kapan tapi kemungkinan kan gak pernah tau</t>
  </si>
  <si>
    <t>['menikmati', 'kemenangan', 'argentina', 'berita', 'kek', 'gini', 'bukan', 'soal', 'juaranya', 'siapa', 'tontonan', 'bagus', 'kan', 'jarang', 'mudah', 'negeri', 'juara', 'suatu', 'hari', 'kapan', 'kemungkinan', 'kan', 'pernah']</t>
  </si>
  <si>
    <t>Kata Pele Usai Argentina Juara Piala Dunia 2022, Singgung Soal Messi dan Mbappe   https://t.co/HVDp7YCsx6</t>
  </si>
  <si>
    <t>kata pele usai argentina juara piala dunia singgung soal messi dan mbappe</t>
  </si>
  <si>
    <t>['kata', 'pele', 'usai', 'argentina', 'juara', 'piala', 'dunia', 'singgung', 'soal', 'messi', 'mbappe']</t>
  </si>
  <si>
    <t>Sementara itu beginilah ekspresi orang yang gak ngerti bola mendengar temen kantornya ribut ngomongin Argentina juaraüòä  https://t.co/d7ZYoZabtC</t>
  </si>
  <si>
    <t>sementara itu beginilah ekspresi orang yang gak ngerti bola mendengar temen kantornya ribut ngomongin argentina juara</t>
  </si>
  <si>
    <t>['beginilah', 'ekspresi', 'orang', 'ngerti', 'bola', 'mendengar', 'temen', 'kantornya', 'ribut', 'ngomongin', 'argentina', 'juara']</t>
  </si>
  <si>
    <t>isuk" lagi wkp,mbokku omong 'le kae lho argentina juara'</t>
  </si>
  <si>
    <t>isuk lagi wkp mbokku omong kae lho argentina juara</t>
  </si>
  <si>
    <t>['isuk', 'wkp', 'mbokku', 'omong', 'kae', 'lho', 'argentina', 'juara']</t>
  </si>
  <si>
    <t>#ARGENTINA #SANG JUARA  https://t.co/R7zwqY7U1t</t>
  </si>
  <si>
    <t>juara</t>
  </si>
  <si>
    <t>['juara']</t>
  </si>
  <si>
    <t>@SiaranBolaLive Jadi 2026 Argentina juara 2 atau kena kutukan juara pildun</t>
  </si>
  <si>
    <t>jadi argentina juara atau kena kutukan juara pildun</t>
  </si>
  <si>
    <t>['jadi', 'argentina', 'juara', 'kena', 'kutukan', 'juara', 'piala dunia']</t>
  </si>
  <si>
    <t>argentina juara pak answnkwlwkdndeikwkwlowlqlqlwndjekwllqwkw HAHAHAHHAHAA</t>
  </si>
  <si>
    <t>argentina juara pak answnkwlwkdndeikwkwlowlqlqlwndjekwllqwkw hahahahhahaa</t>
  </si>
  <si>
    <t>['argentina', 'juara', 'pak', 'answnkwlwkdndeikwkwlowlqlqlwndjekwllqwkw', 'hahahahhahaa']</t>
  </si>
  <si>
    <t>Argentina sah juara, Perancis putih mata #KampungMamak  https://t.co/5LCSZG8jLk</t>
  </si>
  <si>
    <t>argentina sah juara perancis putih mata</t>
  </si>
  <si>
    <t>['argentina', 'sah', 'juara', 'perancis', 'putih', 'mata']</t>
  </si>
  <si>
    <t>Argentina Juara Piala Dunia 2022, Pelatih Prancis Bilang Sungguh Kejam, Oh Virus  https://t.co/CrTfhllFJO #ArgentinaJuara lewat @jpnncom</t>
  </si>
  <si>
    <t>argentina juara piala dunia pelatih prancis bilang sungguh kejam virus lewat</t>
  </si>
  <si>
    <t>['argentina', 'juara', 'piala', 'dunia', 'pelatih', 'prancis', 'sungguh', 'kejam', 'virus', 'lewat']</t>
  </si>
  <si>
    <t>Akhirnya Argentina Jadi Juara Piala Dunia 2022 Qatar Usai Kalahkan Prancis dengan Drama Adu Penalty  https://t.co/Xhul8bZAnC</t>
  </si>
  <si>
    <t>akhirnya argentina jadi juara piala dunia qatar usai kalahkan prancis dengan drama adu penalty</t>
  </si>
  <si>
    <t>['akhirnya', 'argentina', 'jadi', 'juara', 'piala', 'dunia', 'qatar', 'usai', 'kalahkan', 'prancis', 'drama', 'adu', 'penalty']</t>
  </si>
  <si>
    <t>@cursedkidd Messi cuma bisa bawa, Argentina juara.. üá¶üá∑üá¶üá∑üî•üî•  https://t.co/JpVsw2nW2s</t>
  </si>
  <si>
    <t>messi cuma bisa bawa argentina juara</t>
  </si>
  <si>
    <t>['messi', 'cuma', 'bawa', 'argentina', 'juara']</t>
  </si>
  <si>
    <t>Lionel Messi vs Cristiano Ronaldo: Debat Stempel GOAT Berakhir usai Argentina Juara Piala Dunia 2022  https://t.co/33o3mSKwl3</t>
  </si>
  <si>
    <t>Inilah Profil Emiliano Martinez, Kiper Terbaik Bawa Argentina Juara Piala Dunia 2022 Kalahkan Prancis  https://t.co/akIZOdiLz3</t>
  </si>
  <si>
    <t>inilah profil emiliano martinez kiper terbaik bawa argentina juara piala dunia kalahkan prancis</t>
  </si>
  <si>
    <t>['inilah', 'profil', 'emiliano', 'martinez', 'kiper', 'terbaik', 'bawa', 'argentina', 'juara', 'piala', 'dunia', 'kalahkan', 'prancis']</t>
  </si>
  <si>
    <t>Argentina meraih dua gelar juara dalam dua tahun. Setelah Copa America pada 2021, sekarang skuad asuhan Lionel Scaloni sukses memenangkan Piala Dunia 2022.  https://t.co/VrSF3j1vYa</t>
  </si>
  <si>
    <t>percakapanku dengan mama pagi ini "Ma.. Messi juara dunia" "Hah?" "Messi ma... " "Sopo messi?" "wong Argentina" "Oalaaah tak pikir wong Indonesia" üòîüòîüòîüòîüòîüòîüòîüòîüòîüòîüòî</t>
  </si>
  <si>
    <t>percakapanku dengan mama pagi ini messi juara dunia hah messi sopo messi wong argentina oalaaah tak pikir wong indonesia</t>
  </si>
  <si>
    <t>['percakapanku', 'mama', 'pagi', 'messi', 'juara', 'dunia', 'hah', 'messi', 'sopo', 'messi', 'wong', 'argentina', 'oalaaah', 'tak', 'pikir', 'wong', 'indonesia']</t>
  </si>
  <si>
    <t>Terharu anjirr meskipun bukan fans Argentina,  tapi fans bola pasti ingin melihat salah satu GOAT juara dunia</t>
  </si>
  <si>
    <t>terharu anjirr meskipun bukan fans argentina tapi fans bola pasti ingin melihat salah satu goat juara dunia</t>
  </si>
  <si>
    <t>['terharu', 'anjirr', 'meskipun', 'bukan', 'fans', 'argentina', 'fans', 'bola', 'melihat', 'salah', 'satu', 'goat', 'juara', 'dunia']</t>
  </si>
  <si>
    <t>@RealGomezRM @aguerosergiokun Jika anda berbahagia dengan ocehanmu itu, berbahagia lah. Namun Argentina Juara Dunia hari ini.</t>
  </si>
  <si>
    <t>jika anda berbahagia dengan ocehanmu itu berbahagia lah namun argentina juara dunia hari ini</t>
  </si>
  <si>
    <t>['berbahagia', 'ocehanmu', 'berbahagia', 'lah', 'argentina', 'juara', 'dunia', 'hari']</t>
  </si>
  <si>
    <t>Info Main Bola Bukan Cuma Lionel Messi, Argentina Juga Panen Rekor Usai Juara Piala Dunia 2022 Link :  https://t.co/cfXZ1LeCVe  https://t.co/dm5Z2ss8fh</t>
  </si>
  <si>
    <t>info main bola bukan cuma lionel messi argentina juga panen rekor usai juara piala dunia link</t>
  </si>
  <si>
    <t>['info', 'main', 'bola', 'bukan', 'cuma', 'lionel', 'messi', 'argentina', 'panen', 'rekor', 'usai', 'juara', 'piala', 'dunia', 'link']</t>
  </si>
  <si>
    <t>Congratulation Argentinaüôå #FIFAWorldCup #LionelMessiìÉµ #argentinajuara  https://t.co/GY7uVKgrHz</t>
  </si>
  <si>
    <t>congratulation argentina</t>
  </si>
  <si>
    <t>['congratulation', 'argentina']</t>
  </si>
  <si>
    <t>Gak penting Argentina atau Perancis, ketika kamu yang menjadi juara di hatiku dek...</t>
  </si>
  <si>
    <t>gak penting argentina atau perancis ketika kamu yang menjadi juara hatiku dek</t>
  </si>
  <si>
    <t>['penting', 'argentina', 'perancis', 'kamu', 'menjadi', 'juara', 'hatiku', 'dek']</t>
  </si>
  <si>
    <t>Argentina nunggu 36 tahun baru bisa juara dunia lagi.  Malah pas pertandingan seperti dipermainkan, ada harapan untuk menang terus di patahkan sama Prancis. Ada harapan lagi, terus dipatahkan sama Perancis lagi menyamai skor.   Itulah namanya Perjuangan.  Congratz</t>
  </si>
  <si>
    <t>argentina nunggu tahun baru bisa juara dunia lagi malah pas pertandingan seperti dipermainkan ada harapan untuk menang terus patahkan sama prancis ada harapan lagi terus dipatahkan sama perancis lagi menyamai skor itulah namanya perjuangan congratz</t>
  </si>
  <si>
    <t>['argentina', 'nunggu', 'tahun', 'baru', 'juara', 'dunia', 'malah', 'pas', 'pertandingan', 'dipermainkan', 'harapan', 'menang', 'terus', 'patahkan', 'sama', 'prancis', 'harapan', 'terus', 'dipatahkan', 'sama', 'perancis', 'menyamai', 'skor', 'namanya', 'perjuangan', 'congratz']</t>
  </si>
  <si>
    <t>Argentina Juara Piala Dunia 2022, Erick Thohir: Sesuai Prediksi  https://t.co/ce0NMlZQdR</t>
  </si>
  <si>
    <t>argentina juara piala dunia erick thohir sesuai prediksi</t>
  </si>
  <si>
    <t>['argentina', 'juara', 'piala', 'dunia', 'erick', 'thohir', 'sesuai', 'prediksi']</t>
  </si>
  <si>
    <t>Akhirnya argentina keluar sebagai juara piala dunia mengalahkan sang juara bertahan prancis lewat adu penalti... Selamat buat messi dan team üëçüòáüíØ  https://t.co/QbecD7MuMv</t>
  </si>
  <si>
    <t>akhirnya argentina keluar sebagai juara piala dunia mengalahkan sang juara bertahan prancis lewat adu penalti selamat buat messi dan team</t>
  </si>
  <si>
    <t>['akhirnya', 'argentina', 'keluar', 'juara', 'piala', 'dunia', 'mengalahkan', 'sang', 'juara', 'bertahan', 'prancis', 'lewat', 'adu', 'penalti', 'selamat', 'buat', 'messi', 'team']</t>
  </si>
  <si>
    <t>@Retro_Sport Trio Messi - Di Maria - Aguero ini sdh bersatu sejak Argentina juara emas olimpiade 2008</t>
  </si>
  <si>
    <t>sport trio messi maria aguero ini sdh bersatu sejak argentina juara emas olimpiade</t>
  </si>
  <si>
    <t>['sport', 'trio', 'messi', 'maria', 'aguero', 'bersatu', 'sejak', 'argentina', 'juara', 'emas', 'olimpiade']</t>
  </si>
  <si>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</si>
  <si>
    <t>argentina prancis karena brasil tidak masuk akhirnya erick thohir ingin negara amerika latin juara karena sdh lama gak juara ayo argentina ayo messi tunjukkan kelas kamu kelas dunia prediksi erick thohir bangkit bersama erick thohir</t>
  </si>
  <si>
    <t>['argentina', 'prancis', 'brasil', 'masuk', 'akhirnya', 'erick', 'thohir', 'negara', 'amerika', 'latin', 'juara', 'lama', 'juara', 'ayo', 'argentina', 'ayo', 'messi', 'tunjukkan', 'kelas', 'kamu', 'kelas', 'dunia', 'prediksi', 'erick', 'thohir', 'bangkit', 'bersama', 'erick', 'thohir']</t>
  </si>
  <si>
    <t>Teringat 2014 king leo gagal membawa negaranya menjadi juara dunia, sedih iya, nangis pasti, tapi mantapnya king leo langsung bangkit dan akhirnya 8 tahun kemudian tercapai impiannya membawa negara argentina menjadi juara dunia  #FIFAWorldCup  #Messi  https://t.co/UQlmHs16tD</t>
  </si>
  <si>
    <t>teringat king leo gagal membawa negaranya menjadi juara dunia sedih iya nangis pasti tapi mantapnya king leo langsung bangkit dan akhirnya tahun kemudian tercapai impiannya membawa negara argentina menjadi juara dunia</t>
  </si>
  <si>
    <t>['teringat', 'king', 'leo', 'gagal', 'membawa', 'negaranya', 'menjadi', 'juara', 'dunia', 'sedih', 'iya', 'nangis', 'mantapnya', 'king', 'leo', 'langsung', 'bangkit', 'akhirnya', 'tahun', 'kemudian', 'tercapai', 'impiannya', 'membawa', 'negara', 'argentina', 'menjadi', 'juara', 'dunia']</t>
  </si>
  <si>
    <t>dun capek ngelove love in post argentina juara</t>
  </si>
  <si>
    <t>dun capek ngelove love post argentina juara</t>
  </si>
  <si>
    <t>['dun', 'lelah', 'ngelove', 'love', 'post', 'argentina', 'juara']</t>
  </si>
  <si>
    <t>Argentina Juara Sepak Bola Piala Dunia 2022 üèÜüèÜüèÜ üá¶üá∑üá¶üá∑üá¶üá∑</t>
  </si>
  <si>
    <t>argentina juara sepak bola piala dunia</t>
  </si>
  <si>
    <t>['argentina', 'juara', 'sepak', 'bola', 'piala', 'dunia']</t>
  </si>
  <si>
    <t>Walaupun Argentina sudah resmi juara piala Dunia tapi dipastikan akan pulang kampung juga .. kok bisa ya? #FIFAWorldCup #ArgentinaVsFrance  #Qatar2022</t>
  </si>
  <si>
    <t>walaupun argentina sudah resmi juara piala dunia tapi dipastikan akan pulang kampung juga kok bisa</t>
  </si>
  <si>
    <t>['walaupun', 'argentina', 'resmi', 'juara', 'piala', 'dunia', 'dipastikan', 'pulang', 'kampung', 'kok']</t>
  </si>
  <si>
    <t>Congratulations argentina, juara dunia 2022,perancis juara 2 , dan kroasia juara ke 3.di qatar. ‚öΩ</t>
  </si>
  <si>
    <t>congratulations argentina juara dunia perancis juara dan kroasia juara qatar</t>
  </si>
  <si>
    <t>['congratulations', 'argentina', 'juara', 'dunia', 'perancis', 'juara', 'kroasia', 'juara', 'qatar']</t>
  </si>
  <si>
    <t>Motivator be like :  Siapa juara piala dunia sepakbola sekarang? Argentina. Ada yang tahu awalnya seperti apa? Mereka kalah Bapak Ibu. Secara tidak terduga. Tapi apa mereka menyerah? Tentu tidak! Mereka bangkit dari kekalahan itu. Mereka kalahkan lawan berikutnya dan berikutnya.</t>
  </si>
  <si>
    <t>motivator like siapa juara piala dunia sepakbola sekarang argentina ada yang tahu awalnya seperti apa mereka kalah bapak ibu secara tidak terduga tapi apa mereka menyerah tentu tidak mereka bangkit dari kekalahan itu mereka kalahkan lawan berikutnya dan berikutnya</t>
  </si>
  <si>
    <t>['motivator', 'like', 'siapa', 'juara', 'piala', 'dunia', 'sepakbola', 'sekarang', 'argentina', 'tahu', 'awalnya', 'apa', 'kalah', 'bapak', 'ibu', 'terduga', 'apa', 'menyerah', 'bangkit', 'kekalahan', 'kalahkan', 'lawan', 'berikutnya', 'berikutnya']</t>
  </si>
  <si>
    <t>@SENORPlNK berkat argentina juara</t>
  </si>
  <si>
    <t>berkat argentina juara</t>
  </si>
  <si>
    <t>['berkat', 'argentina', 'juara']</t>
  </si>
  <si>
    <t>Lionel Messi resmi menyandang gelar GOAT setelah membantu Argentina juara Piala Dunia 2022 Qatar.  https://t.co/1V76XcKbMv</t>
  </si>
  <si>
    <t>lionel messi resmi menyandang gelar goat setelah membantu argentina juara piala dunia qatar</t>
  </si>
  <si>
    <t>['lionel', 'messi', 'resmi', 'menyandang', 'gelar', 'goat', 'membantu', 'argentina', 'juara', 'piala', 'dunia', 'qatar']</t>
  </si>
  <si>
    <t>Argentina Juara Usai Hantam Prancis via Adu¬†Penalti  https://t.co/gFUGbhgyfL</t>
  </si>
  <si>
    <t>argentina juara usai hantam prancis via adu penalti</t>
  </si>
  <si>
    <t>['argentina', 'juara', 'usai', 'hantam', 'prancis', 'via', 'adu', 'penalti']</t>
  </si>
  <si>
    <t>kannnn kata w jg argentina yg juara, w mah dukun parlay</t>
  </si>
  <si>
    <t>kannnn kata argentina juara mah dukun parlay</t>
  </si>
  <si>
    <t>['kannnn', 'kata', 'argentina', 'juara', 'mah', 'dukun', 'parlay']</t>
  </si>
  <si>
    <t>Dengan juara nya Argentina dan runner up nya prancis. Ngeliat begimana hebat nya messi dan mbappe di masing2 negara nya. Harus nya sih dengan ngeliat mereka di pildun qatar harus nya sih PSG udah layak jadi juara liga champions next time sih. Tinggal hoki nya aja</t>
  </si>
  <si>
    <t>dengan juara nya argentina dan runner nya prancis ngeliat begimana hebat nya messi dan mbappe masing negara nya harus nya sih dengan ngeliat mereka pildun qatar harus nya sih psg udah layak jadi juara liga champions next time sih tinggal hoki nya aja</t>
  </si>
  <si>
    <t>['juara', 'argentina', 'runner', 'prancis', 'ngeliat', 'begimana', 'hebat', 'messi', 'mbappe', 'masing', 'negara', 'ngeliat', 'piala dunia', 'qatar', 'psg', 'udah', 'layak', 'jadi', 'juara', 'liga', 'champions', 'next', 'time', 'tinggal', 'hoki']</t>
  </si>
  <si>
    <t>FIFA Menyerahkan PIALA  DUNIA kepada pemain terbaik Argentina LIONEL MESSI. ARGENTINA JUARA.  https://t.co/T24N9FxXme</t>
  </si>
  <si>
    <t>fifa menyerahkan piala dunia kepada pemain terbaik argentina lionel messi argentina juara</t>
  </si>
  <si>
    <t>['fifa', 'menyerahkan', 'piala', 'dunia', 'pemain', 'terbaik', 'argentina', 'lionel', 'messi', 'argentina', 'juara']</t>
  </si>
  <si>
    <t>@keisyalevronkaa Menangizzz üò≠ cok argentina juara,deactivate sosmed lah ,isi beritanya argentina juara semua</t>
  </si>
  <si>
    <t>menangizzz cok argentina juara deactivate sosmed lah isi beritanya argentina juara semua</t>
  </si>
  <si>
    <t>['menangizzz', 'cok', 'argentina', 'juara', 'deactivate', 'sosmed', 'lah', 'isi', 'beritanya', 'argentina', 'juara', 'semua']</t>
  </si>
  <si>
    <t>@sahaL_AS @Dennysiregar7 Mbappe mmg jago &amp;amp; boleh jd bintang td mlm. Tapi ini waktunya Argentina juara! üá¶üá∑üèÜüèÖ</t>
  </si>
  <si>
    <t>mbappe mmg jago boleh bintang mlm tapi ini waktunya argentina juara</t>
  </si>
  <si>
    <t>['mbappe', 'mmg', 'jago', 'bintang', 'malam', 'waktunya', 'argentina', 'juara']</t>
  </si>
  <si>
    <t>@tanyakanrl Itu karna Argentina baru juara</t>
  </si>
  <si>
    <t>itu karna argentina baru juara</t>
  </si>
  <si>
    <t>['karna', 'argentina', 'baru', 'juara']</t>
  </si>
  <si>
    <t>Messi Antar Argentina Juara, Ronaldo Banjir Ejekan di Medsos  https://t.co/HeTy5G4d3s</t>
  </si>
  <si>
    <t>messi antar argentina juara ronaldo banjir ejekan medsos</t>
  </si>
  <si>
    <t>['messi', 'antar', 'argentina', 'juara', 'ronaldo', 'banjir', 'ejekan', 'medsos']</t>
  </si>
  <si>
    <t>Juara umumnya arab saudi karena ngalahin argentina üòÅ</t>
  </si>
  <si>
    <t>juara umumnya arab saudi karena ngalahin argentina</t>
  </si>
  <si>
    <t>['juara', 'umumnya', 'arab', 'saudi', 'ngalahin', 'argentina']</t>
  </si>
  <si>
    <t>Selamat buat Argentina... juara Champions 2022 #Messi_GOAT  https://t.co/CEiQ2wxZee</t>
  </si>
  <si>
    <t>selamat buat argentina juara champions goat</t>
  </si>
  <si>
    <t>['selamat', 'buat', 'argentina', 'juara', 'champions', 'goat']</t>
  </si>
  <si>
    <t>walaupun ronaldo gamasuk final, tp final semalem seru bgt! selain nangisin exo dan sebong ternyata aku juga nangisin final piala dunia grgr argentina juaraüò≠üëçüèª</t>
  </si>
  <si>
    <t>walaupun ronaldo gamasuk final final semalem seru bgt selain nangisin exo dan sebong ternyata aku juga nangisin final piala dunia grgr argentina juara</t>
  </si>
  <si>
    <t>['walaupun', 'ronaldo', 'gamasuk', 'final', 'final', 'semalam', 'seru', 'banget', 'nangisin', 'exo', 'sebong', 'ternyata', 'aku', 'nangisin', 'final', 'piala', 'dunia', 'grgr', 'argentina', 'juara']</t>
  </si>
  <si>
    <t>Menang Lewat Adu Penalti, Argentina Juara Piala Dunia 2022: Drama yang tersaji di Lusail Stadium, Senin dinihari WIB (19/12), benar-benar menguras pemain, bahkan ribuan penonton di dalam stadion dan jutaan lainnya yang menyaksikan lewat layar kaca.  baca‚Ä¶  https://t.co/kQkskmcdJl</t>
  </si>
  <si>
    <t>menang lewat adu penalti argentina juara piala dunia drama yang tersaji lusail stadium senin dinihari wib benar benar menguras pemain bahkan ribuan penonton dalam stadion dan jutaan lainnya yang menyaksikan lewat layar kaca baca</t>
  </si>
  <si>
    <t>['menang', 'lewat', 'adu', 'penalti', 'argentina', 'juara', 'piala', 'dunia', 'drama', 'tersaji', 'lusail', 'stadium', 'senin', 'dinihari', 'wib', 'benar', 'benar', 'menguras', 'pemain', 'bahkan', 'ribuan', 'penonton', 'stadion', 'jutaan', 'lainnya', 'menyaksikan', 'lewat', 'layar', 'kaca', 'baca']</t>
  </si>
  <si>
    <t>Argentina keluar sebagai juara Piala Dunia 2022. Selamat! #kumparanBOLA  https://t.co/bozL418fgT</t>
  </si>
  <si>
    <t>argentina keluar sebagai juara piala dunia selamat</t>
  </si>
  <si>
    <t>['argentina', 'keluar', 'juara', 'piala', 'dunia', 'selamat']</t>
  </si>
  <si>
    <t>Argentina Juara Piala Dunia: Terimakasih Messi, Puasa Gelar 36 Tahun Berakhir Indah  https://t.co/ifuyK8tjXx</t>
  </si>
  <si>
    <t>Tapi masih ganjel sama gol pertama argentina, harusnya ga penalti aja sih. Tapi argentina mainnya bagus, tetep layak juara. Cuma agak kepikiran aja üôÉ</t>
  </si>
  <si>
    <t>tapi masih ganjel sama gol pertama argentina harusnya penalti aja sih tapi argentina mainnya bagus tetep layak juara cuma agak kepikiran aja</t>
  </si>
  <si>
    <t>['ganjel', 'sama', 'gol', 'pertama', 'argentina', 'harusnya', 'penalti', 'argentina', 'mainnya', 'bagus', 'tetep', 'layak', 'juara', 'cuma', 'kepikiran']</t>
  </si>
  <si>
    <t>Argentina Juara Piala Dunia 2022, Messi: Pertandingan Ini Sangat Aneh #ArgentinaJuara  https://t.co/fzqbofOtuG</t>
  </si>
  <si>
    <t>argentina juara piala dunia messi pertandingan ini sangat aneh</t>
  </si>
  <si>
    <t>['argentina', 'juara', 'piala', 'dunia', 'messi', 'pertandingan', 'sangat', 'aneh']</t>
  </si>
  <si>
    <t>Lionel Messi resmi menyandang gelar GOAT setelah membantu Argentina juara Piala Dunia 2022 Qatar.  https://t.co/1V76Xd1eOv</t>
  </si>
  <si>
    <t>@jek___ Kira2 pejabat negara Argentina bakal pada pasang baliho selamat juara piala dunia ke Messi ga stad?</t>
  </si>
  <si>
    <t>kira pejabat negara argentina bakal pada pasang baliho selamat juara piala dunia messi stad</t>
  </si>
  <si>
    <t>['kira', 'pejabat', 'negara', 'argentina', 'bakal', 'pasang', 'baliho', 'selamat', 'juara', 'piala', 'dunia', 'messi', 'stad']</t>
  </si>
  <si>
    <t>Dam, Argentina Juara loh. Lu nonton dongg pastii? Buktiin kalo nonton, update kek gituuüòî</t>
  </si>
  <si>
    <t>dam argentina juara loh nonton dongg pastii buktiin kalo nonton update kek gituu</t>
  </si>
  <si>
    <t>['dam', 'argentina', 'juara', 'nonton', 'dongg', 'pastii', 'buktiin', 'nonton', 'update', 'kek', 'gituu']</t>
  </si>
  <si>
    <t>Perjalanan panjang Argentina menjadi Juara Piala Dunia 2022 - Lombok Insider  https://t.co/B7RnxbIWu3</t>
  </si>
  <si>
    <t>perjalanan panjang argentina menjadi juara piala dunia lombok insider</t>
  </si>
  <si>
    <t>['perjalanan', 'panjang', 'argentina', 'menjadi', 'juara', 'piala', 'dunia', 'lombok', 'insider']</t>
  </si>
  <si>
    <t>5 Negara yang Iri Argentina dan Lionel Messi Juara Piala Dunia 2022, Nomor 1 Paling Miris! #LengkapCepatBeritanya #Bola #SepakBola #SepakbolaDunia #BolaDunia .  https://t.co/5S3IIxwBtV</t>
  </si>
  <si>
    <t>negara yang iri argentina dan lionel messi juara piala dunia nomor paling miris</t>
  </si>
  <si>
    <t>['negara', 'iri', 'argentina', 'lionel', 'messi', 'juara', 'piala', 'dunia', 'nomor', 'paling', 'miris']</t>
  </si>
  <si>
    <t>@muika Alhamdulillah argentina juara</t>
  </si>
  <si>
    <t>Ribuan pendukung timnas #Argentina merayakan kemenangan Tim Tango menjadi juara Piala Dunia Qatar 2022 di Lapangan Monumen Obelisco di Kota Buenos Aires, Argentina, Minggu (18/12).   Foto: ANTARA FOTO/REUTERS/Agustin Marcarian  Lihat foto lainnya:  https://t.co/zVO79tfdCn  https://t.co/v1yhkMNNfe</t>
  </si>
  <si>
    <t>ribuan pendukung timnas merayakan kemenangan tim tango menjadi juara piala dunia qatar lapangan monumen obelisco kota buenos aires argentina minggu foto antara foto reuters agustin marcarian lihat foto lainnya</t>
  </si>
  <si>
    <t>['ribuan', 'pendukung', 'timnas', 'merayakan', 'kemenangan', 'tim', 'tango', 'menjadi', 'juara', 'piala', 'dunia', 'qatar', 'lapangan', 'monumen', 'obelisco', 'kota', 'buenos', 'aires', 'argentina', 'minggu', 'foto', 'foto', 'reuters', 'agustin', 'marcarian', 'lihat', 'foto', 'lainnya']</t>
  </si>
  <si>
    <t>Fans ronaldo ( engga smua) keras kepala percaya deh smaa gw, jadi bedebat sama mereka kayak bedebat sama wahabi jangankan kalah seri aja kaga mau, jadi biarin aja yang penting argentina juara dan messi angkat piala dunia udah itu aja #FIFAWorldCup #VamosArgentina üá¶üá∑üá¶üá∑</t>
  </si>
  <si>
    <t>fans ronaldo engga smua keras kepala percaya deh smaa jadi bedebat sama mereka kayak bedebat sama wahabi jangankan kalah seri aja kaga mau jadi biarin aja yang penting argentina juara dan messi angkat piala dunia udah itu aja</t>
  </si>
  <si>
    <t>['fans', 'ronaldo', 'tidak', 'smua', 'keras', 'kepala', 'percaya', 'deh', 'smaa', 'jadi', 'bedebat', 'sama', 'seperti', 'bedebat', 'sama', 'wahabi', 'jangankan', 'kalah', 'seri', 'kaga', 'mau', 'jadi', 'biarin', 'penting', 'argentina', 'juara', 'messi', 'angkat', 'piala', 'dunia', 'udah']</t>
  </si>
  <si>
    <t>Lionel Messi, Jersey Bintang 3 Argentina, dan Ambisi Usai Juara Piala Dunia 2022  https://t.co/O01xq73DXg</t>
  </si>
  <si>
    <t>lionel messi jersey bintang argentina dan ambisi usai juara piala dunia</t>
  </si>
  <si>
    <t>['lionel', 'messi', 'jersey', 'bintang', 'argentina', 'ambisi', 'usai', 'juara', 'piala', 'dunia']</t>
  </si>
  <si>
    <t>Penantian 36 th akhirnya Argentina bisa juara dunia lg terakhir thn 86 oleh si tangan tuhan Diego Armando Maradona,Congrats Argentina</t>
  </si>
  <si>
    <t>penantian akhirnya argentina bisa juara dunia terakhir thn oleh tangan tuhan diego armando maradona congrats argentina</t>
  </si>
  <si>
    <t>['penantian', 'akhirnya', 'argentina', 'juara', 'dunia', 'terakhir', 'thn', 'tangan', 'tuhan', 'diego', 'armando', 'maradona', 'congrats', 'argentina']</t>
  </si>
  <si>
    <t>@Pro2Jak @desialdiana @AnggaSPNV Benar argentina juara</t>
  </si>
  <si>
    <t>benar argentina juara</t>
  </si>
  <si>
    <t>['benar', 'argentina', 'juara']</t>
  </si>
  <si>
    <t>Lionel Messi akhirnya jadi juara dunia. Timnas Argentina dibawa La Pulga menjadi kampiun di Piala Dunia 2022.  https://t.co/PuO194mqmm</t>
  </si>
  <si>
    <t>FINAL PIALA DUNIA 2022 - Argentina Juara Dunia, Lionel Messi Hanya Butuh 23 Menit untuk Jadi Manusia Tertajam sejak 1966  https://t.co/AgjtPp14Wk  Download aplikasi  https://t.co/p3NiHnUoxK untuk akses berita lebih mudah dan cepat: Android:  https://t.co/tvZtrhXQZU</t>
  </si>
  <si>
    <t>final piala dunia argentina juara dunia lionel messi hanya butuh menit untuk jadi manusia tertajam sejak download aplikasi untuk akses berita lebih mudah dan cepat android</t>
  </si>
  <si>
    <t>['final', 'piala', 'dunia', 'argentina', 'juara', 'dunia', 'lionel', 'messi', 'butuh', 'menit', 'jadi', 'manusia', 'tertajam', 'sejak', 'download', 'aplikasi', 'akses', 'berita', 'lebih', 'mudah', 'cepat', 'android']</t>
  </si>
  <si>
    <t>Selamat buat juara dunia Argentina. Fans Prancis, jangan terus menangis. Kalah menang soal biasa, pokoknya dibikin happy terus saja.  https://t.co/BSoTerXd82</t>
  </si>
  <si>
    <t>selamat buat juara dunia argentina fans prancis jangan terus menangis kalah menang soal biasa pokoknya dibikin happy terus saja</t>
  </si>
  <si>
    <t>['selamat', 'buat', 'juara', 'dunia', 'argentina', 'fans', 'prancis', 'jangan', 'terus', 'menangis', 'kalah', 'menang', 'soal', 'biasa', 'pokoknya', 'dibikin', 'happy', 'terus']</t>
  </si>
  <si>
    <t>Selamat! Argentina Juara Piala Dunia 2022, Tumbangkan Prancis lewat Adu Penalti #CelebritiesDotID #InfoCelebTerkini   https://t.co/jWtuxA3pNS</t>
  </si>
  <si>
    <t>selamat argentina juara piala dunia tumbangkan prancis lewat adu penalti</t>
  </si>
  <si>
    <t>['selamat', 'argentina', 'juara', 'piala', 'dunia', 'tumbangkan', 'prancis', 'lewat', 'adu', 'penalti']</t>
  </si>
  <si>
    <t>Argentina Juara Dunia! Pemain Tim Tango Borong Penghargaan | Liputan 6  https://t.co/Jmfxsl5G7I</t>
  </si>
  <si>
    <t>argentina juara dunia pemain tim tango borong penghargaan liputan</t>
  </si>
  <si>
    <t>['argentina', 'juara', 'dunia', 'pemain', 'tim', 'tango', 'borong', 'penghargaan', 'liputan']</t>
  </si>
  <si>
    <t>Setelah #argentina juara #FIFAWorldCup , rasanya aku udah cukup puas. Di pildun selanjutnya aku lebih berharap ada juara baru sih.</t>
  </si>
  <si>
    <t>setelah juara rasanya aku udah cukup puas pildun selanjutnya aku lebih berharap ada juara baru sih</t>
  </si>
  <si>
    <t>['juara', 'rasanya', 'aku', 'udah', 'cukup', 'puas', 'piala dunia', 'selanjutnya', 'aku', 'lebih', 'berharap', 'juara', 'baru']</t>
  </si>
  <si>
    <t>ARGENTINA JUARA DUNIA !! by @aiman_sekaiichi  https://t.co/bQcOa6O2c0</t>
  </si>
  <si>
    <t>argentina juara dunia sekaiichi</t>
  </si>
  <si>
    <t>['argentina', 'juara', 'dunia', 'sekaiichi']</t>
  </si>
  <si>
    <t>@hkmlsseeeee @macanbinmaunggg @dickykcivv @idextratime Terserah lu bang, yang penting argentina juara, ga kayak portugal. Lu mau bacot apapun sampe jari lu patah ga akan menutup fakta bahwa argentina yg juara &amp;amp; Messi jadi pemain terbaik sepanjang masa</t>
  </si>
  <si>
    <t>terserah bang yang penting argentina juara kayak portugal mau bacot apapun sampe jari patah akan menutup fakta bahwa argentina juara messi jadi pemain terbaik sepanjang masa</t>
  </si>
  <si>
    <t>['terserah', 'bang', 'penting', 'argentina', 'juara', 'seperti', 'portugal', 'mau', 'bacot', 'apapun', 'sampai', 'jari', 'patah', 'menutup', 'fakta', 'argentina', 'juara', 'messi', 'jadi', 'pemain', 'terbaik', 'sepanjang', 'masa']</t>
  </si>
  <si>
    <t>Morning tweeps! Gak nyangka akhirnya Argentina jadi juara ya. Siapa nih yang dukung Argentina semalam?  Sekarang waktunya aktivitas lagi nih tweeps. Yuk minum kopi @dseacoffee pagi ini ya! Selamat hari #Senin !  https://t.co/cJTLaiVY7Y</t>
  </si>
  <si>
    <t>morning tweeps gak nyangka akhirnya argentina jadi juara siapa nih yang dukung argentina semalam sekarang waktunya aktivitas lagi nih tweeps yuk minum kopi pagi ini selamat hari</t>
  </si>
  <si>
    <t>['morning', 'tweeps', 'nyangka', 'akhirnya', 'argentina', 'jadi', 'juara', 'siapa', 'dukung', 'argentina', 'semalam', 'sekarang', 'waktunya', 'aktivitas', 'tweeps', 'yuk', 'minum', 'kopi', 'pagi', 'selamat', 'hari']</t>
  </si>
  <si>
    <t>Ga sempet ngikutin. Tp congrats Argentina Juara Piala Dunia</t>
  </si>
  <si>
    <t>sempet ngikutin congrats argentina juara piala dunia</t>
  </si>
  <si>
    <t>['sempet', 'ngikutin', 'congrats', 'argentina', 'juara', 'piala', 'dunia']</t>
  </si>
  <si>
    <t>Keren Argentina juara</t>
  </si>
  <si>
    <t>keren argentina juara</t>
  </si>
  <si>
    <t>['keren', 'argentina', 'juara']</t>
  </si>
  <si>
    <t>@plisitin argentina juara nanti feed ig penuh sama ketua AFA karna argentina bisa menang berkat ketua AFA</t>
  </si>
  <si>
    <t>argentina juara nanti feed penuh sama ketua afa karna argentina bisa menang berkat ketua afa</t>
  </si>
  <si>
    <t>['argentina', 'juara', 'feed', 'penuh', 'sama', 'ketua', 'afa', 'karna', 'argentina', 'menang', 'berkat', 'ketua', 'afa']</t>
  </si>
  <si>
    <t>Tebakan cipung argentina juara piala dunia bener</t>
  </si>
  <si>
    <t>tebakan cipung argentina juara piala dunia bener</t>
  </si>
  <si>
    <t>['tebakan', 'cipung', 'argentina', 'juara', 'piala', 'dunia', 'benar']</t>
  </si>
  <si>
    <t>Jorge Bergoglio : Pemain ke 12 Argentina yang menyebabkan Argentina juara</t>
  </si>
  <si>
    <t>jorge bergoglio pemain argentina yang menyebabkan argentina juara</t>
  </si>
  <si>
    <t>['jorge', 'bergoglio', 'pemain', 'argentina', 'menyebabkan', 'argentina', 'juara']</t>
  </si>
  <si>
    <t>@ATM_GarisLunak Kasian squadnya sebetulnya jadi kena seret ambisi CR. Kebalikan dari squad Argentina, "ayok kita bawa juara messi" kalo portugal CR "ayo juara, gw gendong cok!"</t>
  </si>
  <si>
    <t>garislunak kasian squadnya sebetulnya jadi kena seret ambisi kebalikan dari squad argentina ayok kita bawa juara messi kalo portugal ayo juara gendong cok</t>
  </si>
  <si>
    <t>['garislunak', 'kasian', 'squadnya', 'jadi', 'kena', 'seret', 'ambisi', 'kebalikan', 'squad', 'argentina', 'ayok', 'bawa', 'juara', 'messi', 'portugal', 'ayo', 'juara', 'gendong', 'cok']</t>
  </si>
  <si>
    <t>Argentina juara Piala Dunia, Kamu tetep juara dihati hahahaa</t>
  </si>
  <si>
    <t>argentina juara piala dunia kamu tetep juara dihati hahahaa</t>
  </si>
  <si>
    <t>['argentina', 'juara', 'piala', 'dunia', 'kamu', 'tetep', 'juara', 'dihati', 'hahahaa']</t>
  </si>
  <si>
    <t>Sikat Prancis dan Bawa Argentina Juara Piala Dunia 2022, Lionel Messi: Kami Berhasil!  https://t.co/DXc87C8mbk</t>
  </si>
  <si>
    <t>Arab Saudi, Maroko menang di Piala Dunia karena doa Ibu. Tak mau kalah Argentina juara piala Dunia juga berkat dukungan dan doa ibu  https://t.co/OfHu8nBosj</t>
  </si>
  <si>
    <t>arab saudi maroko menang piala dunia karena doa ibu tak mau kalah argentina juara piala dunia juga berkat dukungan dan doa ibu</t>
  </si>
  <si>
    <t>['arab', 'saudi', 'maroko', 'menang', 'piala', 'dunia', 'doa', 'ibu', 'tak', 'mau', 'kalah', 'argentina', 'juara', 'piala', 'dunia', 'berkat', 'dukungan', 'doa', 'ibu']</t>
  </si>
  <si>
    <t>Sukses Argentina menjadi juara Piala Dunia 2022 semakin manis buat Lionel Messi Messi berhak atas penghargaan Golden Ball (Bola Emas) usai Argentina mengalahkan Prancis di final melalui adu penalti 4-2 (3-3) Semanggi suroboyo jam 07.00 - 09.00  https://t.co/16f2UyTpz9</t>
  </si>
  <si>
    <t>sukses argentina menjadi juara piala dunia semakin manis buat lionel messi messi berhak atas penghargaan golden ball bola emas usai argentina mengalahkan prancis final melalui adu penalti semanggi suroboyo jam</t>
  </si>
  <si>
    <t>['sukses', 'argentina', 'menjadi', 'juara', 'piala', 'dunia', 'semakin', 'manis', 'buat', 'lionel', 'messi', 'messi', 'berhak', 'atas', 'penghargaan', 'golden', 'ball', 'bola', 'emas', 'usai', 'argentina', 'mengalahkan', 'prancis', 'final', 'melalui', 'adu', 'penalti', 'semanggi', 'suroboyo', 'jam']</t>
  </si>
  <si>
    <t>Argentina Terakhir Kali Jadi Juara Dunia di Tahun 1986 dan 1978  #langit7id #cahayamenujukebaikan #argentina    https://t.co/cG4Gw53OBF</t>
  </si>
  <si>
    <t>argentina terakhir kali jadi juara dunia tahun dan</t>
  </si>
  <si>
    <t>['argentina', 'terakhir', 'kali', 'jadi', 'juara', 'dunia', 'tahun']</t>
  </si>
  <si>
    <t>Vamos Argentina!  Messi dkk berhasil menjadi juara Piala Dunia 2022 setelah mengalahkan Perancis di babak adu pinalti, sushimitra. Mana nih suaranya yg yakin Messi bakal juara dari awal piala dunia! #WADUHAPAANSIH  https://t.co/hsOe06Cysn</t>
  </si>
  <si>
    <t>vamos argentina messi dkk berhasil menjadi juara piala dunia setelah mengalahkan perancis babak adu pinalti sushimitra mana nih suaranya yakin messi bakal juara dari awal piala dunia</t>
  </si>
  <si>
    <t>['vamos', 'argentina', 'messi', 'dkk', 'berhasil', 'menjadi', 'juara', 'piala', 'dunia', 'mengalahkan', 'perancis', 'babak', 'adu', 'penalti', 'sushimitra', 'mana', 'suaranya', 'yakin', 'messi', 'bakal', 'juara', 'awal', 'piala', 'dunia']</t>
  </si>
  <si>
    <t>Lionel Messi Bawa Argentina Juara Piala Dunia 2022, Permainan Catur Resmi Selesai  https://t.co/eWrmg326gg</t>
  </si>
  <si>
    <t>lionel messi bawa argentina juara piala dunia permainan catur resmi selesai</t>
  </si>
  <si>
    <t>['lionel', 'messi', 'bawa', 'argentina', 'juara', 'piala', 'dunia', 'permainan', 'catur', 'resmi', 'selesai']</t>
  </si>
  <si>
    <t>Argentina üá¶üá∑ juara Piala Dunia lewat adu penalti atas Prancis üá´üá∑   Prediksi @desialdiana meleset nih, jadi hari ini dia yang ngeoperatorin @AnggaSPNV   Kalo Teman PRO2 gimana, prediksi kamu kali ini benar gak?</t>
  </si>
  <si>
    <t>argentina juara piala dunia lewat adu penalti atas prancis prediksi meleset nih jadi hari ini dia yang ngeoperatorin kalo teman pro gimana prediksi kamu kali ini benar gak</t>
  </si>
  <si>
    <t>['argentina', 'juara', 'piala', 'dunia', 'lewat', 'adu', 'penalti', 'atas', 'prancis', 'prediksi', 'meleset', 'jadi', 'hari', 'ngeoperatorin', 'teman', 'pro', 'gimana', 'prediksi', 'kamu', 'kali', 'benar']</t>
  </si>
  <si>
    <t>Argentina Juara Piala Dunia 2022, Prancis Gagal Ikuti Jejak Italia dan Brasil  https://t.co/cCeY7JxFJ4</t>
  </si>
  <si>
    <t>argentina juara piala dunia prancis gagal ikuti jejak italia dan brasil</t>
  </si>
  <si>
    <t>['argentina', 'juara', 'piala', 'dunia', 'prancis', 'gagal', 'ikuti', 'jejak', 'italia', 'brasil']</t>
  </si>
  <si>
    <t>Duo "LIONEL" Berhasil Membawa Argentina Juara Dunia  https://t.co/E8LcjviWXQ</t>
  </si>
  <si>
    <t>Argentina Juara Dunia 2022, Lionel Messi The Real G.O.A.T  https://t.co/brh9VXvY4T</t>
  </si>
  <si>
    <t>argentina juara dunia lionel messi the real</t>
  </si>
  <si>
    <t>['argentina', 'juara', 'dunia', 'lionel', 'messi', 'the', 'real']</t>
  </si>
  <si>
    <t xml:space="preserve"> https://t.co/lNwecOtTrO  info main bola Bukan Cuma Lionel Messi, Argentina Juga Panen Rekor Usai Juara Piala Dunia 2022  https://t.co/Mm4N95N59n</t>
  </si>
  <si>
    <t>info main bola bukan cuma lionel messi argentina juga panen rekor usai juara piala dunia</t>
  </si>
  <si>
    <t>['info', 'main', 'bola', 'bukan', 'cuma', 'lionel', 'messi', 'argentina', 'panen', 'rekor', 'usai', 'juara', 'piala', 'dunia']</t>
  </si>
  <si>
    <t>#MostPopuler Hadiah Argentina Juara Piala Dunia 2022: Bisa Dapat 2.100 unit Wuling Air ev!  https://t.co/dZjQkAvckN</t>
  </si>
  <si>
    <t>hadiah argentina juara piala dunia bisa dapat unit wuling air</t>
  </si>
  <si>
    <t>['hadiah', 'argentina', 'juara', 'piala', 'dunia', 'unit', 'wuling', 'air']</t>
  </si>
  <si>
    <t>ü•πü•πü•πü•πü•πü•πü•π</t>
  </si>
  <si>
    <t>Awal mula Argentina bisa Juara Dunia  https://t.co/EH2ffnnaQH</t>
  </si>
  <si>
    <t>awal mula argentina bisa juara dunia</t>
  </si>
  <si>
    <t>['awal', 'mula', 'argentina', 'juara', 'dunia']</t>
  </si>
  <si>
    <t>Rekor Lionel Messi Bawa Argentina Juara Piala Dunia 2022  https://t.co/xCPKYgpUWw</t>
  </si>
  <si>
    <t>rekor lionel messi bawa argentina juara piala dunia</t>
  </si>
  <si>
    <t>['rekor', 'lionel', 'messi', 'bawa', 'argentina', 'juara', 'piala', 'dunia']</t>
  </si>
  <si>
    <t>@SunLeoAiolia Yuhuuuy Argentina juara Pildunüéâüéäüëèüëè</t>
  </si>
  <si>
    <t>yuhuuuy argentina juara pildun</t>
  </si>
  <si>
    <t>['yuhuuuy', 'argentina', 'juara', 'piala dunia']</t>
  </si>
  <si>
    <t>Argentina juara, pialanya diakuin sekolah ga itu?</t>
  </si>
  <si>
    <t>argentina juara pialanya diakuin sekolah itu</t>
  </si>
  <si>
    <t>['argentina', 'juara', 'pialanya', 'diakuin', 'sekolah']</t>
  </si>
  <si>
    <t>@hasian666 @idextratime Kasihan udah nangis nya kerja sana gih udah jd juara Messi dan Argentina üòÇüòÇü§£</t>
  </si>
  <si>
    <t>kasihan udah nangis nya kerja sana gih udah juara messi dan argentina</t>
  </si>
  <si>
    <t>['kasihan', 'udah', 'nangis', 'kerja', 'sana', 'gih', 'udah', 'juara', 'messi', 'argentina']</t>
  </si>
  <si>
    <t>"Kami juara dunia!" seru Messi di mikrofon stadion usai dua golnya dan tendangan penaltinya membawa Argentina meraih gelar juara dalam Piala Dunia 2022 Qatar.  #FIFAWorldCup #Argentina #PialaDunia2022    https://t.co/ovZUYsmsQI</t>
  </si>
  <si>
    <t>kami juara dunia seru messi mikrofon stadion usai dua golnya dan tendangan penaltinya membawa argentina meraih gelar juara dalam piala dunia qatar</t>
  </si>
  <si>
    <t>['juara', 'dunia', 'seru', 'messi', 'mikrofon', 'stadion', 'usai', 'golnya', 'tendangan', 'penaltinya', 'membawa', 'argentina', 'meraih', 'gelar', 'juara', 'piala', 'dunia', 'qatar']</t>
  </si>
  <si>
    <t>Argentina Juara Dunia, Messi Pemain Terbaik, Ini Daftar Panjang Prestasinya  https://t.co/lVcAXBwknC</t>
  </si>
  <si>
    <t>argentina juara dunia messi pemain terbaik ini daftar panjang prestasinya</t>
  </si>
  <si>
    <t>['argentina', 'juara', 'dunia', 'messi', 'pemain', 'terbaik', 'daftar', 'panjang', 'prestasinya']</t>
  </si>
  <si>
    <t>gatau coba aja tanya mbappe wkwkw</t>
  </si>
  <si>
    <t>['gatau', 'coba', 'tanya', 'mbappe', 'wkwkw']</t>
  </si>
  <si>
    <t>Ironi Ekonomi Juara Piala Dunia Argentina, Pasien Langganan IMF  https://t.co/eJPodKvYQr</t>
  </si>
  <si>
    <t>ironi ekonomi juara piala dunia argentina pasien langganan imf</t>
  </si>
  <si>
    <t>['ironi', 'ekonomi', 'juara', 'piala', 'dunia', 'argentina', 'pasien', 'langganan', 'imf']</t>
  </si>
  <si>
    <t>Argentina juara, Messi resmi jadi the real GOAT üêê</t>
  </si>
  <si>
    <t>argentina juara messi resmi jadi the real goat</t>
  </si>
  <si>
    <t>['argentina', 'juara', 'messi', 'resmi', 'jadi', 'the', 'real', 'goat']</t>
  </si>
  <si>
    <t>Argentina Jadi Juara Piala Dunia 2022  https://t.co/VGlJCeRHbY</t>
  </si>
  <si>
    <t>argentina jadi juara piala dunia</t>
  </si>
  <si>
    <t>['argentina', 'jadi', 'juara', 'piala', 'dunia']</t>
  </si>
  <si>
    <t>Argentina Jadi Juara Piala Dunia 2022, Lionel Scaloni: Momen Ini Harus Dinikmati oleh Rakyat  https://t.co/e5jWimTFM2</t>
  </si>
  <si>
    <t>argentina jadi juara piala dunia lionel scaloni momen ini harus dinikmati oleh rakyat</t>
  </si>
  <si>
    <t>['argentina', 'jadi', 'juara', 'piala', 'dunia', 'lionel', 'scaloni', 'momen', 'dinikmati', 'rakyat']</t>
  </si>
  <si>
    <t>Samai Cara Spanyol, Begini Perjalanan Argentina Jadi Juara Piala Dunia 2022  https://t.co/UpVjTRStQ8</t>
  </si>
  <si>
    <t>samai cara spanyol begini perjalanan argentina jadi juara piala dunia</t>
  </si>
  <si>
    <t>['samai', 'cara', 'spanyol', 'begini', 'perjalanan', 'argentina', 'jadi', 'juara', 'piala', 'dunia']</t>
  </si>
  <si>
    <t>Argentina lan Messi sing juara, rasane melu bungah ra karu-karuan ‚öΩ  https://t.co/JOdCz5qcQe  https://t.co/WgyxL1mcNx</t>
  </si>
  <si>
    <t>argentina lan messi sing juara rasane melu bungah karu karuan</t>
  </si>
  <si>
    <t>['argentina', 'lan', 'messi', 'sing', 'juara', 'rasane', 'melu', 'bungah', 'karu', 'karuan']</t>
  </si>
  <si>
    <t>@BayuLangit___ Haha untung Argentina juara. Misal kalah po ga tambah nggrentes aku</t>
  </si>
  <si>
    <t>haha untung argentina juara misal kalah tambah nggrentes aku</t>
  </si>
  <si>
    <t>['haha', 'untung', 'argentina', 'juara', 'misal', 'kalah', 'tambah', 'nggrentes', 'aku']</t>
  </si>
  <si>
    <t>Juara pildun Argentina, Messi jadi GOAT. But my mom tetap bercerita tentang Ronaldo.</t>
  </si>
  <si>
    <t>juara pildun argentina messi jadi goat but mom tetap bercerita tentang ronaldo</t>
  </si>
  <si>
    <t>['juara', 'piala dunia', 'argentina', 'messi', 'jadi', 'goat', 'but', 'mom', 'tetap', 'bercerita', 'ronaldo']</t>
  </si>
  <si>
    <t>Inget banget piala Dunia 2014 itu nyesek banget sih buat messi, pilihan yang tepat untuk mencoba main di timnas argentina dan pensiun dengan juara dan title lengkap</t>
  </si>
  <si>
    <t>inget banget piala dunia itu nyesek banget sih buat messi pilihan yang tepat untuk mencoba main timnas argentina dan pensiun dengan juara dan title lengkap</t>
  </si>
  <si>
    <t>['inget', 'banget', 'piala', 'dunia', 'nyesek', 'banget', 'buat', 'messi', 'pilihan', 'tepat', 'mencoba', 'main', 'timnas', 'argentina', 'pensiun', 'juara', 'title', 'lengkap']</t>
  </si>
  <si>
    <t>Lionel Messi merayakan Juara Dunianya brrsama Argentina dengan cara yang sama seperti Diego Maradona! üá¶üá∑üêêü•π  #FIFAWorldCup  https://t.co/xJbgQt1Rpv</t>
  </si>
  <si>
    <t>lionel messi merayakan juara dunianya brrsama argentina dengan cara yang sama seperti diego maradona</t>
  </si>
  <si>
    <t>['lionel', 'messi', 'merayakan', 'juara', 'dunianya', 'brrsama', 'argentina', 'cara', 'sama', 'diego', 'maradona']</t>
  </si>
  <si>
    <t>Selamat Argentina JUARA piala dunia 2022  Bravo KING LEO.. pemain terbaik turnamen &amp;amp; terbaik DUNIA sepanjang masa.  https://t.co/fdbTCLDLyR</t>
  </si>
  <si>
    <t>selamat argentina juara piala dunia bravo king leo pemain terbaik turnamen terbaik dunia sepanjang masa</t>
  </si>
  <si>
    <t>['selamat', 'argentina', 'juara', 'piala', 'dunia', 'bravo', 'king', 'leo', 'pemain', 'terbaik', 'turnamen', 'terbaik', 'dunia', 'sepanjang', 'masa']</t>
  </si>
  <si>
    <t>Ndk nyangka dukung dari bulan kemarin akhirnya tembus juara, vamos argentina üá¶üá∑</t>
  </si>
  <si>
    <t>ndk nyangka dukung dari bulan kemarin akhirnya tembus juara vamos argentina</t>
  </si>
  <si>
    <t>['ndk', 'nyangka', 'dukung', 'bulan', 'kemarin', 'akhirnya', 'tembus', 'juara', 'vamos', 'argentina']</t>
  </si>
  <si>
    <t>@chubbybabao Storyne do full senyum mergo dek bengi argentina juara</t>
  </si>
  <si>
    <t>storyne full senyum mergo dek bengi argentina juara</t>
  </si>
  <si>
    <t>['storyne', 'full', 'senyum', 'mergo', 'dek', 'bengi', 'argentina', 'juara']</t>
  </si>
  <si>
    <t>Felicidades Lionel Messi! Argentina Juara Piala Dunia 2022   https://t.co/6lChNM6NZ8</t>
  </si>
  <si>
    <t>felicidades lionel messi argentina juara piala dunia</t>
  </si>
  <si>
    <t>['felicidades', 'lionel', 'messi', 'argentina', 'juara', 'piala', 'dunia']</t>
  </si>
  <si>
    <t>Selamat utk Argentina 2021 juara Copa America 2022 Juara Dunia  Dan selamat utk MESSI pemain terbaik 2022 ENZO F pemain muda terbaik 2022 MARTINEZ kiper terbaik 2022 Sudah lengkap gelar MESSI di dunia sepak bola... gantung sepatu dg bangga</t>
  </si>
  <si>
    <t>selamat utk argentina juara copa america juara dunia dan selamat utk messi pemain terbaik enzo pemain muda terbaik martinez kiper terbaik sudah lengkap gelar messi dunia sepak bola gantung sepatu bangga</t>
  </si>
  <si>
    <t>['selamat', 'argentina', 'juara', 'copa', 'america', 'juara', 'dunia', 'selamat', 'messi', 'pemain', 'terbaik', 'enzo', 'pemain', 'muda', 'terbaik', 'martinez', 'kiper', 'terbaik', 'lengkap', 'gelar', 'messi', 'dunia', 'sepak', 'bola', 'gantung', 'sepatu', 'bangga']</t>
  </si>
  <si>
    <t>Argentina Juara Piala Dunia 2022, Ini Ritual Nyeleneh Fansnya saat Berlaga Lawan¬†Prancis  https://t.co/cUDs2ScAsC</t>
  </si>
  <si>
    <t>argentina juara piala dunia ini ritual nyeleneh fansnya saat berlaga lawan prancis</t>
  </si>
  <si>
    <t>['argentina', 'juara', 'piala', 'dunia', 'ritual', 'nyeleneh', 'fansnya', 'berlaga', 'lawan', 'prancis']</t>
  </si>
  <si>
    <t>Ini Ucapan Lionel Messi Usai Argentina Dipastikan Menjadi Juara Dunia!  https://t.co/fZJfQ3TP0r</t>
  </si>
  <si>
    <t>ini ucapan lionel messi usai argentina dipastikan menjadi juara dunia</t>
  </si>
  <si>
    <t>['ucapan', 'lionel', 'messi', 'usai', 'argentina', 'dipastikan', 'menjadi', 'juara', 'dunia']</t>
  </si>
  <si>
    <t>Yg juara Argentina yg jadi sorotan Messi tapi Ronaldo ikut jadi perbincangan &amp;amp; ikut keseret. Tapi hari ini udah selesai karena Messi sah menjadi The GOAT, GREATEST OF ALL TIME valid no debat kalau masih ada yg denial fix barisan sakit hati plus iri dengki</t>
  </si>
  <si>
    <t>juara argentina jadi sorotan messi tapi ronaldo ikut jadi perbincangan ikut keseret tapi hari ini udah selesai karena messi sah menjadi the goat greatest all time valid debat kalau masih ada denial fix barisan sakit hati plus iri dengki</t>
  </si>
  <si>
    <t>['juara', 'argentina', 'jadi', 'sorotan', 'messi', 'ronaldo', 'ikut', 'jadi', 'perbincangan', 'ikut', 'keseret', 'hari', 'udah', 'selesai', 'messi', 'sah', 'menjadi', 'the', 'goat', 'greatest', 'all', 'time', 'valid', 'debat', 'kalau', 'denial', 'fix', 'barisan', 'sakit', 'hati', 'plus', 'iri', 'dengki']</t>
  </si>
  <si>
    <t>Argentina Juara Piala Dunia Setelah kalahkan Prancis Lewat Adu¬†Penalti  https://t.co/Mh0mdsY77D</t>
  </si>
  <si>
    <t>Karna futsal gue juara dah, mangkanya Argentina juara :D  https://t.co/ACt6ZTcBbe</t>
  </si>
  <si>
    <t>karna futsal gue juara dah mangkanya argentina juara</t>
  </si>
  <si>
    <t>['karna', 'futsal', 'gue', 'juara', 'dah', 'mangkanya', 'argentina', 'juara']</t>
  </si>
  <si>
    <t>Lionel Messi Bawa Argentina Juara Piala Dunia 2022, Permainan Catur Resmi Selesai  https://t.co/o6bD3ZHH88</t>
  </si>
  <si>
    <t>@vctrkmng Kiper argentina nggak dapet avanza jdi ya juara...</t>
  </si>
  <si>
    <t>kiper argentina nggak dapet avanza jdi juara</t>
  </si>
  <si>
    <t>['kiper', 'argentina', 'dapat', 'avanza', 'jdi', 'juara']</t>
  </si>
  <si>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</si>
  <si>
    <t>benarkan argentina jadi juara meskipun menang lewat adu pinalti argentina prancis tapi score pertandingannya adalah argentina prancis jadi untung untungan dah ternyata yang beruntung argentina argentina pemenang piala dunia qatar</t>
  </si>
  <si>
    <t>['benarkan', 'argentina', 'jadi', 'juara', 'meskipun', 'menang', 'lewat', 'adu', 'penalti', 'argentina', 'prancis', 'score', 'pertandingannya', 'argentina', 'prancis', 'jadi', 'untung', 'untungan', 'dah', 'ternyata', 'beruntung', 'argentina', 'argentina', 'pemenang', 'piala', 'dunia', 'qatar']</t>
  </si>
  <si>
    <t>@idextratime Terima kasih Yesus karena-Mu argentina juara dan terimakasih telah memberikan kado natal terbaik buat messi .  https://t.co/HwAxAq8mBL</t>
  </si>
  <si>
    <t>terima kasih yesus karena argentina juara dan terimakasih telah memberikan kado natal terbaik buat messi</t>
  </si>
  <si>
    <t>['terima', 'kasih', 'yesus', 'argentina', 'juara', 'terimakasih', 'memberikan', 'kado', 'natal', 'terbaik', 'buat', 'messi']</t>
  </si>
  <si>
    <t>Argentina Juara Piala Dunia 2022 Lewat Adu Penalti, Prancis Runner-up  https://t.co/rPQzoNjePF #BandarLampung #Sumatra</t>
  </si>
  <si>
    <t>argentina juara piala dunia lewat adu penalti prancis runner</t>
  </si>
  <si>
    <t>['argentina', 'juara', 'piala', 'dunia', 'lewat', 'adu', 'penalti', 'prancis', 'runner']</t>
  </si>
  <si>
    <t>Messi Bawa Argentina Juara, Mbappe Cetak Sejarah Hattrick Sejak 1966  #langit7id #cahayamenujukebaikan    https://t.co/FxqNVPxBg7</t>
  </si>
  <si>
    <t>messi bawa argentina juara mbappe cetak sejarah hattrick sejak</t>
  </si>
  <si>
    <t>['messi', 'bawa', 'argentina', 'juara', 'mbappe', 'cetak', 'sejarah', 'hattrick', 'sejak']</t>
  </si>
  <si>
    <t>Hasil Pertandingan Piala Dunia 2022 Qatar tadi malam  Argentina Juara Piala Dunia 2022 Qatar üèÜ  #worldcup #pialadunia #pialadunia2022 #qatar2022  https://t.co/bF1Px5nFUL</t>
  </si>
  <si>
    <t>hasil pertandingan piala dunia qatar tadi malam argentina juara piala dunia qatar</t>
  </si>
  <si>
    <t>['hasil', 'pertandingan', 'piala', 'dunia', 'qatar', 'tadi', 'malam', 'argentina', 'juara', 'piala', 'dunia', 'qatar']</t>
  </si>
  <si>
    <t>2014 : pernah Gagal di World Cup Brasil 2014 Argentina vs Germany skor 0 - 1 lewat goal Mario Gotze 2018 : Gagal di 16 Besar melawan France skor 4 - 2 membuat harus pulang lebih awal 2022 : Never give up, Comeback tidak menyerah, Motivas, semangat penuh membuat Mereka juara 2022</t>
  </si>
  <si>
    <t>pernah gagal world cup brasil argentina germany skor lewat goal mario gotze gagal besar melawan france skor membuat harus pulang lebih awal never give comeback tidak menyerah motivas semangat penuh membuat mereka juara</t>
  </si>
  <si>
    <t>['pernah', 'gagal', 'world', 'cup', 'brasil', 'argentina', 'germany', 'skor', 'lewat', 'goal', 'mario', 'gotze', 'gagal', 'besar', 'melawan', 'france', 'skor', 'membuat', 'pulang', 'lebih', 'awal', 'never', 'give', 'comeback', 'menyerah', 'motivas', 'semangat', 'penuh', 'membuat', 'juara']</t>
  </si>
  <si>
    <t>Prediksi masmen @erickthohir jitu, Argentina juara üëèüëèüëè  Putaran Final World Cup Qatar 2022 Argentina VS Perancis telah berakhir yang berlangsung di Stadion Lusail Iconic  #BangkitBersamaET  https://t.co/nYi7TuIzJ8</t>
  </si>
  <si>
    <t>prediksi masmen jitu argentina juara putaran final world cup qatar argentina perancis telah berakhir yang berlangsung stadion lusail iconic</t>
  </si>
  <si>
    <t>['prediksi', 'masmen', 'jitu', 'argentina', 'juara', 'putaran', 'final', 'world', 'cup', 'qatar', 'argentina', 'perancis', 'berakhir', 'berlangsung', 'stadion', 'lusail', 'iconic']</t>
  </si>
  <si>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</si>
  <si>
    <t>tinggal nunggu berita messi aja nih messi juara ini perasaan kedua orang tuanya firasat tetangga messi sehari sebelum messi juara messi bawa argentina juara guru inpres buenos aires bangga pada mantan muridnya itu messi juara ini potret messi ketika paud</t>
  </si>
  <si>
    <t>['tinggal', 'nunggu', 'berita', 'messi', 'messi', 'juara', 'perasaan', 'kedua', 'orang', 'tuanya', 'firasat', 'tetangga', 'messi', 'sehari', 'messi', 'juara', 'messi', 'bawa', 'argentina', 'juara', 'guru', 'inpres', 'buenos', 'aires', 'bangga', 'mantan', 'muridnya', 'messi', 'juara', 'potret', 'messi', 'paud']</t>
  </si>
  <si>
    <t>&lt;FreqDist with 23 samples and 32 outcomes&gt;</t>
  </si>
  <si>
    <t>@budimandjatmiko Saya fans real madrid , sedikit kecewa karena pemain madrid tahun ini gagal terus kan tren juara dunia di saat juara champion . Tapi saya fans argentina 20 tahun, akhirnya lega</t>
  </si>
  <si>
    <t>saya fans real madrid sedikit kecewa karena pemain madrid tahun ini gagal terus kan tren juara dunia saat juara champion tapi saya fans argentina tahun akhirnya lega</t>
  </si>
  <si>
    <t>['fans', 'real', 'madrid', 'sedikit', 'kecewa', 'pemain', 'madrid', 'tahun', 'gagal', 'terus', 'kan', 'tren', 'juara', 'dunia', 'juara', 'champion', 'fans', 'argentina', 'tahun', 'akhirnya', 'lega']</t>
  </si>
  <si>
    <t>Pernah baca tuitan siapa gt saat awal Pildun, Argentina kalah dari Arab Saudi. Trs tuit tsb bilang, ini keknya Argentina mo jadi juara Pildun Qatar.  Laaahhh terbukti. üòÇüòÇüòÇ  Beautiful Coincidence.</t>
  </si>
  <si>
    <t>pernah baca tuitan siapa saat awal pildun argentina kalah dari arab saudi trs tuit tsb bilang ini keknya argentina jadi juara pildun qatar laaahhh terbukti beautiful coincidence</t>
  </si>
  <si>
    <t>['pernah', 'baca', 'tuitan', 'siapa', 'awal', 'piala dunia', 'argentina', 'kalah', 'arab', 'saudi', 'terus', 'tuit', 'tsb', 'sepertinya', 'argentina', 'jadi', 'juara', 'piala dunia', 'qatar', 'laaahhh', 'terbukti', 'beautiful', 'coincidence']</t>
  </si>
  <si>
    <t>Argentina juara dunia, akhirnya Messi memiliki gelar sempurna  https://t.co/6XRmxbtpHs</t>
  </si>
  <si>
    <t>argentina juara dunia akhirnya messi memiliki gelar sempurna</t>
  </si>
  <si>
    <t>['argentina', 'juara', 'dunia', 'akhirnya', 'messi', 'memiliki', 'gelar', 'sempurna']</t>
  </si>
  <si>
    <t>Masih ga rela argentina juara, the real goat itu tessi bukan messi</t>
  </si>
  <si>
    <t>masih rela argentina juara the real goat itu tessi bukan messi</t>
  </si>
  <si>
    <t>['rela', 'argentina', 'juara', 'the', 'real', 'goat', 'tessi', 'bukan', 'messi']</t>
  </si>
  <si>
    <t>Jadi inget waktu di RSCM, sambil antri dipanggil buat serahin resep obat sambil ngobrol sama orang tua yg ngobrolin piala dunia. Pas ditanya gue jagoin Argentina, si kakek bilang "yah, Argentina mah ga bakal juara, penyisihan kemarin aja udah kalah sama Arab, yang juara Inggris"</t>
  </si>
  <si>
    <t>jadi inget waktu rscm sambil antri dipanggil buat serahin resep obat sambil ngobrol sama orang tua ngobrolin piala dunia pas ditanya gue jagoin argentina kakek bilang yah argentina mah bakal juara penyisihan kemarin aja udah kalah sama arab yang juara inggris</t>
  </si>
  <si>
    <t>['jadi', 'inget', 'waktu', 'rscm', 'antri', 'dipanggil', 'buat', 'serahin', 'resep', 'obat', 'ngobrol', 'sama', 'orang', 'tua', 'ngobrolin', 'piala', 'dunia', 'pas', 'ditanya', 'gue', 'jagoin', 'argentina', 'kakek', 'argentina', 'mah', 'bakal', 'juara', 'penyisihan', 'kemarin', 'udah', 'kalah', 'sama', 'arab', 'juara', 'inggris']</t>
  </si>
  <si>
    <t>Argentina Juara Piala Dunia: Tango Terindah Messi dan Pasukan Berani Mati ‚Äì  https://t.co/1ja8h0vj5A ‚Äì  https://t.co/1ja8h0vj5A ‚Äì Google Berita Olahraga ‚Äì  https://t.co/JDLQJhPcgx ‚Äì #Arenanews #Kamidi #Opsiminfo- https://t.co/fDJThWn98w</t>
  </si>
  <si>
    <t>argentina juara piala dunia tango terindah messi dan pasukan berani mati google berita olahraga</t>
  </si>
  <si>
    <t>['argentina', 'juara', 'piala', 'dunia', 'tango', 'terindah', 'messi', 'pasukan', 'berani', 'mati', 'google', 'berita', 'olahraga']</t>
  </si>
  <si>
    <t>Lionel Messi akhirnya jadi juara dunia. Timnas Argentina dibawa La Pulga menjadi kampiun di Piala Dunia 2022.  https://t.co/D3ijb4hnZU</t>
  </si>
  <si>
    <t>Akhirnya argentina juara, keren emang messi sih tulang punggung sepak bola argentina hahaha btw tahun depan masih milih argentina? Haha</t>
  </si>
  <si>
    <t>akhirnya argentina juara keren emang messi sih tulang punggung sepak bola argentina hahaha btw tahun depan masih milih argentina haha</t>
  </si>
  <si>
    <t>['akhirnya', 'argentina', 'juara', 'keren', 'emang', 'messi', 'tulang', 'punggung', 'sepak', 'bola', 'argentina', 'hahaha', 'by the way', 'tahun', 'depan', 'milih', 'argentina', 'haha']</t>
  </si>
  <si>
    <t>Selamat! Argentina Berhasil Menjadi Juara 1 Pada Gelaran Piala Dunia 2022  https://t.co/QxLs91GUFA</t>
  </si>
  <si>
    <t>selamat argentina berhasil menjadi juara pada gelaran piala dunia</t>
  </si>
  <si>
    <t>['selamat', 'argentina', 'berhasil', 'menjadi', 'juara', 'gelaran', 'piala', 'dunia']</t>
  </si>
  <si>
    <t>SELAMAT MESSI &amp;amp; ARGENTINA YANG KELUAR SEBAGAI JUARA PIALA DUNIA TAHUN 2022üèÜüèÜüèÜ‚ú®‚ú®‚ú®</t>
  </si>
  <si>
    <t>selamat messi argentina yang keluar sebagai juara piala dunia tahun</t>
  </si>
  <si>
    <t>['selamat', 'messi', 'argentina', 'keluar', 'juara', 'piala', 'dunia', 'tahun']</t>
  </si>
  <si>
    <t>Selamat Argentina juara Piala Dunia 2022. Tapi sayang Messi belum pernah ke Aceh</t>
  </si>
  <si>
    <t>selamat argentina juara piala dunia tapi sayang messi belum pernah aceh</t>
  </si>
  <si>
    <t>['selamat', 'argentina', 'juara', 'piala', 'dunia', 'sayang', 'messi', 'pernah', 'aceh']</t>
  </si>
  <si>
    <t>Apa dampak dari piala dunia Qatar 22.... Gula darah naik, Tensi naik, Selamat untuk Argentina....sebagai juara 2022...Qatar. Luar biasa</t>
  </si>
  <si>
    <t>apa dampak dari piala dunia qatar gula darah naik tensi naik selamat untuk argentina sebagai juara qatar luar biasa</t>
  </si>
  <si>
    <t>['apa', 'dampak', 'piala', 'dunia', 'qatar', 'gula', 'darah', 'naik', 'tensi', 'naik', 'selamat', 'argentina', 'juara', 'qatar', 'luar', 'biasa']</t>
  </si>
  <si>
    <t>Selamat buat Argentina jadi juara dunia.</t>
  </si>
  <si>
    <t>selamat buat argentina jadi juara dunia</t>
  </si>
  <si>
    <t>['selamat', 'buat', 'argentina', 'jadi', 'juara', 'dunia']</t>
  </si>
  <si>
    <t>Orang-orang yang ga bikin story Argentina juara, mereka adalah fans Ronaldo yang membenci Messi.</t>
  </si>
  <si>
    <t>orang orang yang bikin story argentina juara mereka adalah fans ronaldo yang membenci messi</t>
  </si>
  <si>
    <t>['orang', 'orang', 'story', 'argentina', 'juara', 'fans', 'ronaldo', 'membenci', 'messi']</t>
  </si>
  <si>
    <t>Berkat Doa , Lionel Messi Berhasil Bawa Timnas Argentina juara Final Piala Dunia 2022 setelah lawan France   #worldcup2022 #fifaworldcup2022 #ArgentinavsFrance #doa  https://t.co/zubTjoAxLf</t>
  </si>
  <si>
    <t>berkat doa lionel messi berhasil bawa timnas argentina juara final piala dunia setelah lawan france</t>
  </si>
  <si>
    <t>['berkat', 'doa', 'lionel', 'messi', 'berhasil', 'bawa', 'timnas', 'argentina', 'juara', 'final', 'piala', 'dunia', 'lawan', 'france']</t>
  </si>
  <si>
    <t>Pagi yang cerah...  Matahari bersinar..  Persib menang..  Argentina juara..</t>
  </si>
  <si>
    <t>pagi yang cerah matahari bersinar persib menang argentina juara</t>
  </si>
  <si>
    <t>['pagi', 'cerah', 'matahari', 'bersinar', 'persib', 'menang', 'argentina', 'juara']</t>
  </si>
  <si>
    <t>Tahniah Argentina JUARA WORLD CUP 2022 Hebatla player No 10 dari France &amp;amp; Argentina... Mcm  PM 10</t>
  </si>
  <si>
    <t>tahniah argentina juara world cup hebatla player dari france argentina mcm</t>
  </si>
  <si>
    <t>['tahniah', 'argentina', 'juara', 'world', 'cup', 'hebatla', 'player', 'france', 'argentina', 'mcm']</t>
  </si>
  <si>
    <t>Lionel Mesi Bawa Argentina Raih Juara Piala Dunia 2022  https://t.co/PkW48dYsJW</t>
  </si>
  <si>
    <t>lionel mesi bawa argentina raih juara piala dunia</t>
  </si>
  <si>
    <t>['lionel', 'mesi', 'bawa', 'argentina', 'raih', 'juara', 'piala', 'dunia']</t>
  </si>
  <si>
    <t>Biarpun Argentina sekarang jadi Juara Dunia, tapi dia tetap kalah lawan Arab Saudi...  Arab Saudi juara tanpa mahkota dan piala...</t>
  </si>
  <si>
    <t>biarpun argentina sekarang jadi juara dunia tapi dia tetap kalah lawan arab saudi arab saudi juara tanpa mahkota dan piala</t>
  </si>
  <si>
    <t>['biarpun', 'argentina', 'sekarang', 'jadi', 'juara', 'dunia', 'tetap', 'kalah', 'lawan', 'arab', 'saudi', 'arab', 'saudi', 'juara', 'mahkota', 'piala']</t>
  </si>
  <si>
    <t>Pertandingan yang berakhir dengan adu pinalti ini dimenangkan oleh tim Argentina dan mengukuhkan namanya sebagai juara Piala Dunia Qatar 2022  Sekali lagi selamat ya tim tango Argentina üá¶üá∑üëè  https://t.co/HK5v82JOFG</t>
  </si>
  <si>
    <t>pertandingan yang berakhir dengan adu pinalti ini dimenangkan oleh tim argentina dan mengukuhkan namanya sebagai juara piala dunia qatar sekali lagi selamat tim tango argentina</t>
  </si>
  <si>
    <t>['pertandingan', 'berakhir', 'adu', 'penalti', 'dimenangkan', 'tim', 'argentina', 'mengukuhkan', 'namanya', 'juara', 'piala', 'dunia', 'qatar', 'sekali', 'selamat', 'tim', 'tango', 'argentina']</t>
  </si>
  <si>
    <t>7 Rekor Lionel Messi Usai Bawa Argentina Juara Piala Dunia 2022, Nomor 2 Susah Dikejar  https://t.co/7WR0k51gAp</t>
  </si>
  <si>
    <t>rekor lionel messi usai bawa argentina juara piala dunia nomor susah dikejar</t>
  </si>
  <si>
    <t>['rekor', 'lionel', 'messi', 'usai', 'bawa', 'argentina', 'juara', 'piala', 'dunia', 'nomor', 'susah', 'dikejar']</t>
  </si>
  <si>
    <t xml:space="preserve"> https://t.co/eXhDmyfMK9 -  Argentina Juara Dunia, Messi Lewati Rekor Lothar Mathaeus  https://t.co/YUzNwc7RcQ</t>
  </si>
  <si>
    <t>argentina juara dunia messi lewati rekor lothar mathaeus</t>
  </si>
  <si>
    <t>['argentina', 'juara', 'dunia', 'messi', 'lewati', 'rekor', 'lothar', 'mathaeus']</t>
  </si>
  <si>
    <t>Hasil dari latihan ke Indonesia, Emi Martinez hantarkan Argentina juara dunia  https://t.co/SoKUaDsBTE</t>
  </si>
  <si>
    <t>hasil dari latihan indonesia emi martinez hantarkan argentina juara dunia</t>
  </si>
  <si>
    <t>['hasil', 'latihan', 'indonesia', 'emi', 'martinez', 'hantarkan', 'argentina', 'juara', 'dunia']</t>
  </si>
  <si>
    <t>gak habis Argentina dibilang juara settingan, anjir buta mata Lo? gak lihat mereka struggleny kek mana??! pasti lu komen krn cuma lihat live score kan wkwkwkwk</t>
  </si>
  <si>
    <t>gak habis argentina dibilang juara settingan anjir buta mata gak lihat mereka struggleny kek mana pasti komen krn cuma lihat live score kan wkwkwkwk</t>
  </si>
  <si>
    <t>['habis', 'argentina', 'dibilang', 'juara', 'settingan', 'anjir', 'buta', 'mata', 'lihat', 'struggleny', 'kek', 'mana', 'komen', 'cuma', 'lihat', 'live', 'score', 'kan', 'wkwkwkwk']</t>
  </si>
  <si>
    <t>Yang juara argentina, yg ngamok ngamok fans milan. ü§∑üèª‚Äç‚ôÇÔ∏è</t>
  </si>
  <si>
    <t>yang juara argentina ngamok ngamok fans milan</t>
  </si>
  <si>
    <t>['juara', 'argentina', 'ngamok', 'ngamok', 'fans', 'milan']</t>
  </si>
  <si>
    <t>Masih gak nyangka argentina juara, setelah melewat banyak final yg menyedihkan, Argentina pantas juaraa.</t>
  </si>
  <si>
    <t>masih gak nyangka argentina juara setelah melewat banyak final menyedihkan argentina pantas juaraa</t>
  </si>
  <si>
    <t>['nyangka', 'argentina', 'juara', 'melewat', 'banyak', 'final', 'menyedihkan', 'argentina', 'pantas', 'juaraa']</t>
  </si>
  <si>
    <t>Selamat Argentina juara dunia untuk ketiga kalinya üëèüèª</t>
  </si>
  <si>
    <t>selamat argentina juara dunia untuk ketiga kalinya</t>
  </si>
  <si>
    <t>['selamat', 'argentina', 'juara', 'dunia', 'ketiga', 'kalinya']</t>
  </si>
  <si>
    <t>Grammarly HARGA PROMO + GARANSI FULL. Link ada di BIO ya  Prancis Benzema De Paul Di Maria Lloris #HAPPY_YOUNGK_DAY #FIFAWorldCup #AlchemyOfSouls2Ep4 Rungkad Juara Dunia Argentina Arab Saudi Piala Dunia Giroud Kuat Memegang Syariat Bola Deschamps #TaatHukumAllah</t>
  </si>
  <si>
    <t>grammarly harga promo garansi full link ada bio prancis benzema paul maria lloris youngk day rungkad juara dunia argentina arab saudi piala dunia giroud kuat memegang syariat bola deschamps</t>
  </si>
  <si>
    <t>['grammarly', 'harga', 'promo', 'garansi', 'full', 'link', 'bio', 'prancis', 'benzema', 'paul', 'maria', 'lloris', 'youngk', 'day', 'rungkad', 'juara', 'dunia', 'argentina', 'arab', 'saudi', 'piala', 'dunia', 'giroud', 'kuat', 'memegang', 'syariat', 'bola', 'deschamps']</t>
  </si>
  <si>
    <t>Makin semangat bangun pagi karena argentina juara</t>
  </si>
  <si>
    <t>makin semangat bangun pagi karena argentina juara</t>
  </si>
  <si>
    <t>['makin', 'semangat', 'bangun', 'pagi', 'argentina', 'juara']</t>
  </si>
  <si>
    <t>@chitattooes sayang sekali, prediksi sy piala dunia 2026 nanti yang juara antara Brazil, Uruguay, atau Argentina (lagi.)</t>
  </si>
  <si>
    <t>sayang sekali prediksi piala dunia nanti yang juara antara brazil uruguay atau argentina lagi</t>
  </si>
  <si>
    <t>['sayang', 'sekali', 'prediksi', 'piala', 'dunia', 'juara', 'brazil', 'uruguay', 'argentina']</t>
  </si>
  <si>
    <t>Mbappe vs Argentinaüò≠üò≠ Suk mben 4 tahun ngkas juara‚úä</t>
  </si>
  <si>
    <t>mbappe argentina suk mben tahun ngkas juara</t>
  </si>
  <si>
    <t>['mbappe', 'argentina', 'suk', 'mben', 'tahun', 'ngkas', 'juara']</t>
  </si>
  <si>
    <t>Messi dan Tim Bawa Argentina Jadi Juara Piala Dunia 2022 FIFA World Cup Qatar, Perancis Nyaris  https://t.co/38t4RflwuI</t>
  </si>
  <si>
    <t>messi dan tim bawa argentina jadi juara piala dunia fifa world cup qatar perancis nyaris</t>
  </si>
  <si>
    <t>['messi', 'tim', 'bawa', 'argentina', 'jadi', 'juara', 'piala', 'dunia', 'fifa', 'world', 'cup', 'qatar', 'perancis', 'nyaris']</t>
  </si>
  <si>
    <t>Ini Ucapan Lionel Messi Usai Argentina Dipastikan Menjadi Juara Dunia!   https://t.co/ZLmLaPYLSw #MessiWonTheWorldCup #Messi #Argentina #Prancis #EmiMartinez</t>
  </si>
  <si>
    <t>Argentina Juara! Ini 7 Fakta Penting Final Piala Dunia 2022  https://t.co/dyFg6dYKhw</t>
  </si>
  <si>
    <t>argentina juara ini fakta penting final piala dunia</t>
  </si>
  <si>
    <t>['argentina', 'juara', 'fakta', 'penting', 'final', 'piala', 'dunia']</t>
  </si>
  <si>
    <t>Jarang orang tau; di PSG itulah club yg menaungi kylian mbape (pemain perancis/top scorer #WorldCup ) &amp;amp; juga lionel messi (pemain argentina, bintang #WorldCup ) yg jadi idola penonton sejagat raya. kalo argentina juara, mbape pencetak gol terbanyak, siapa pemenangnya?</t>
  </si>
  <si>
    <t>jarang orang tau psg itulah club menaungi kylian mbape pemain perancis top scorer juga lionel messi pemain argentina bintang jadi idola penonton sejagat raya kalo argentina juara mbape pencetak gol terbanyak siapa pemenangnya</t>
  </si>
  <si>
    <t>['jarang', 'orang', 'psg', 'club', 'menaungi', 'kylian', 'mbape', 'pemain', 'perancis', 'top', 'scorer', 'lionel', 'messi', 'pemain', 'argentina', 'bintang', 'jadi', 'idola', 'penonton', 'sejagat', 'raya', 'argentina', 'juara', 'mbape', 'pencetak', 'gol', 'terbanyak', 'siapa', 'pemenangnya']</t>
  </si>
  <si>
    <t>Ini kek nya argentina menang karena settingan, soalnya yg harus nya juara tuh Brazil</t>
  </si>
  <si>
    <t>ini kek nya argentina menang karena settingan soalnya harus nya juara tuh brazil</t>
  </si>
  <si>
    <t>['kek', 'argentina', 'menang', 'settingan', 'soalnya', 'juara', 'brazil']</t>
  </si>
  <si>
    <t>Argentina Juara Piala Dunia 2022   #Sindonews #BukanBeritaBiasa . https://t.co/EE66lNNFW5</t>
  </si>
  <si>
    <t>7 Rekor Lionel Messi Usai Bawa Argentina Juara Piala Dunia 2022, Nomor 2 Susah Dikejar  https://t.co/oyz1hNBxOs</t>
  </si>
  <si>
    <t>@Box2BoxBola Tidur di babak kedua Karna badan sudah gakuat Jumat sabtu full begadang min. Tp yakin Argentina juara sih</t>
  </si>
  <si>
    <t>tidur babak kedua karna badan sudah gakuat jumat sabtu full begadang min yakin argentina juara sih</t>
  </si>
  <si>
    <t>['tidur', 'babak', 'kedua', 'karna', 'badan', 'gakuat', 'jumat', 'sabtu', 'full', 'begadang', 'min', 'yakin', 'argentina', 'juara']</t>
  </si>
  <si>
    <t>#PialaDunia2022 #argentinajuara #LionelMessi  https://t.co/NIGMaYEKUG</t>
  </si>
  <si>
    <t>sudah berapa teman yang bikin status "Prediksiku bener kan yang juara itu Argentina?"  Prut</t>
  </si>
  <si>
    <t>sudah berapa teman yang bikin status prediksiku bener kan yang juara itu argentina prut</t>
  </si>
  <si>
    <t>['berapa', 'teman', 'status', 'prediksiku', 'benar', 'kan', 'juara', 'argentina', 'prut']</t>
  </si>
  <si>
    <t>Argentina meraih gelar ke 3 Piala Dunia. Mendekati para rival mereka di turnamen ini.  Layakkah mereka juara? Ya, sangat layak.</t>
  </si>
  <si>
    <t>argentina meraih gelar piala dunia mendekati para rival mereka turnamen ini layakkah mereka juara sangat layak</t>
  </si>
  <si>
    <t>['argentina', 'meraih', 'gelar', 'piala', 'dunia', 'mendekati', 'rival', 'turnamen', 'layakkah', 'juara', 'sangat', 'layak']</t>
  </si>
  <si>
    <t>Masih bingung kok argentina juara pildun bukannya kemarin kalah sampe diledekin 'where is messi?' Ga bakat nonton bola emang</t>
  </si>
  <si>
    <t>masih bingung kok argentina juara pildun bukannya kemarin kalah sampe diledekin where messi bakat nonton bola emang</t>
  </si>
  <si>
    <t>['bingung', 'kok', 'argentina', 'juara', 'piala dunia', 'bukannya', 'kemarin', 'kalah', 'sampai', 'diledekin', 'where', 'messi', 'bakat', 'nonton', 'bola', 'emang']</t>
  </si>
  <si>
    <t>Kenapa Heboh Banget Argentina Juara Piala Dunia 2022?  https://t.co/B09Qm4Hmjx</t>
  </si>
  <si>
    <t>kenapa heboh banget argentina juara piala dunia</t>
  </si>
  <si>
    <t>['heboh', 'banget', 'argentina', 'juara', 'piala', 'dunia']</t>
  </si>
  <si>
    <t>Argentina Juara Piala Dunia 2022: Lionel Messi GOAT dan Perjalanan Tim Tango di Qatar  https://t.co/nlucRIBD13</t>
  </si>
  <si>
    <t>argentina juara piala dunia lionel messi goat dan perjalanan tim tango qatar</t>
  </si>
  <si>
    <t>['argentina', 'juara', 'piala', 'dunia', 'lionel', 'messi', 'goat', 'perjalanan', 'tim', 'tango', 'qatar']</t>
  </si>
  <si>
    <t>Argentina dan Messi Juara, Perdebatan Berakhir?  https://t.co/INoEvkhQd8</t>
  </si>
  <si>
    <t>argentina dan messi juara perdebatan berakhir</t>
  </si>
  <si>
    <t>['argentina', 'messi', 'juara', 'perdebatan', 'berakhir']</t>
  </si>
  <si>
    <t>7 Rekor Lionel Messi Usai Bawa Argentina Juara Piala Dunia 2022, Nomor 2 Susah Dikejar  https://t.co/oyz1hNT8G0</t>
  </si>
  <si>
    <t>Piala Dunia 2022: Tah Hanya Juara Dunia, Argentina Panen Penghargaan Pemain Terbaik Hingga Pemain Kiper Terbaik  https://t.co/NaKxjxBzxn</t>
  </si>
  <si>
    <t>piala dunia tah hanya juara dunia argentina panen penghargaan pemain terbaik hingga pemain kiper terbaik</t>
  </si>
  <si>
    <t>['piala', 'dunia', 'tah', 'juara', 'dunia', 'argentina', 'panen', 'penghargaan', 'pemain', 'terbaik', 'hingga', 'pemain', 'kiper', 'terbaik']</t>
  </si>
  <si>
    <t>@Robbi_07 @nextjack1995 @anovaway @idextratime Messi terbebani dengan 2 bintang sebelumnya Ronaldo tidak mempunyai beban itu Namun itulah yg membedakan. Dan mungkin juga itulah yang bisa disebut sebagai argentina punya dna juara sedangkan portugal belum p</t>
  </si>
  <si>
    <t>messi terbebani dengan bintang sebelumnya ronaldo tidak mempunyai beban itu namun itulah membedakan dan mungkin juga itulah yang bisa disebut sebagai argentina punya dna juara sedangkan portugal belum</t>
  </si>
  <si>
    <t>['messi', 'terbebani', 'bintang', 'sebelumnya', 'ronaldo', 'mempunyai', 'beban', 'membedakan', 'mungkin', 'disebut', 'argentina', 'punya', 'dna', 'juara', 'portugal']</t>
  </si>
  <si>
    <t>Rakyat Argentina berkumpul di jantung Buenos Aires. Mereka berpesta merayakan timnas Argentina yang berhasil menjadi juara Piala Dunia Qatar 2022.  https://t.co/ee8VsjpEF1</t>
  </si>
  <si>
    <t>@dapitdong 2 akun disuspen dalam waktu berdekatan, tapi Argentina juara dunia.. gpp lah üòÄ</t>
  </si>
  <si>
    <t>akun disuspen dalam waktu berdekatan tapi argentina juara dunia gpp lah</t>
  </si>
  <si>
    <t>['akun', 'disuspen', 'waktu', 'berdekatan', 'argentina', 'juara', 'dunia', 'gapapa', 'lah']</t>
  </si>
  <si>
    <t>@jihanicorn halooww makji, aku bangun2 hepi karena Argentina juara pildunüíÖüèº</t>
  </si>
  <si>
    <t>halooww makji aku bangun hepi karena argentina juara pildun</t>
  </si>
  <si>
    <t>['halooww', 'makji', 'aku', 'bangun', 'hepi', 'argentina', 'juara', 'piala dunia']</t>
  </si>
  <si>
    <t>Piala Dunia 2022: Argentina Berhasil Menjadi Juara Usai Menang Sengit Atas Prancis dengan Skor 3-3 (Pen. 4-2)  https://t.co/tHPOzz2mdC</t>
  </si>
  <si>
    <t>piala dunia argentina berhasil menjadi juara usai menang sengit atas prancis dengan skor pen</t>
  </si>
  <si>
    <t>['piala', 'dunia', 'argentina', 'berhasil', 'menjadi', 'juara', 'usai', 'menang', 'sengit', 'atas', 'prancis', 'skor']</t>
  </si>
  <si>
    <t>Emiliano Martinez Sebut Argentina Juara Piala Dunia 2022 Adalah Suratan Takdir #EMTEKWORLDCUP2022 #BOLANETWORLDCUP2022 #PialaDunia #PialaDunia2022  https://t.co/ai3SUEJujZ</t>
  </si>
  <si>
    <t>emiliano martinez sebut argentina juara piala dunia adalah suratan takdir</t>
  </si>
  <si>
    <t>['emiliano', 'martinez', 'sebut', 'argentina', 'juara', 'piala', 'dunia', 'suratan', 'takdir']</t>
  </si>
  <si>
    <t>@densoko @bu_yuik @FansNerazzurri 2014 ga ada toro. Setelah toro masuk timnas, argentina juara mulu</t>
  </si>
  <si>
    <t>yuik ada toro setelah toro masuk timnas argentina juara mulu</t>
  </si>
  <si>
    <t>['yuik', 'toro', 'toro', 'masuk', 'timnas', 'argentina', 'juara', 'mulu']</t>
  </si>
  <si>
    <t>@bangggyannn @nextjack1995 @Robbi_07 @anovaway @idextratime alasan baru pens dodo kah ini??????? kocak bngt üò≠ü§£ history dibahas segala, apa hubungannya cok sm argentina prnh juara PD, portugal blm, argentina trakhir menang PD jg 39 thun yg lalu, baha</t>
  </si>
  <si>
    <t>alasan baru pens dodo kah ini kocak bngt history dibahas segala apa hubungannya cok argentina prnh juara portugal blm argentina trakhir menang thun lalu baha</t>
  </si>
  <si>
    <t>['alasan', 'baru', 'pens', 'dodo', 'kocak', 'bngt', 'history', 'dibahas', 'segala', 'apa', 'hubungannya', 'cok', 'argentina', 'prnh', 'juara', 'portugal', 'blm', 'argentina', 'trakhir', 'menang', 'thun', 'lalu', 'baha']</t>
  </si>
  <si>
    <t>Taruhan Rp15 Miliar Pegang Argentina Juara, Kutukan Drake Akhirnya Patah  https://t.co/trYwIrrGRb</t>
  </si>
  <si>
    <t>taruhan miliar pegang argentina juara kutukan drake akhirnya patah</t>
  </si>
  <si>
    <t>['taruhan', 'miliar', 'pegang', 'argentina', 'juara', 'kutukan', 'drake', 'akhirnya', 'patah']</t>
  </si>
  <si>
    <t>Baru kali ini senin rasa bahagia, karena apa? Argentina juara dunia! Ah, baru Argentina aja udah seneng banget ga kebayang kalo Indonesia. Duh...</t>
  </si>
  <si>
    <t>baru kali ini senin rasa bahagia karena apa argentina juara dunia baru argentina aja udah seneng banget kebayang kalo indonesia duh</t>
  </si>
  <si>
    <t>['baru', 'kali', 'senin', 'rasa', 'bahagia', 'apa', 'argentina', 'juara', 'dunia', 'baru', 'argentina', 'udah', 'seneng', 'banget', 'kebayang', 'indonesia', 'duh']</t>
  </si>
  <si>
    <t>Kekalahan di awal bukan berarti kegagalan sampe akhir kompetisi, Spanyol di piala dunia 2010 dan Argentina di piala dunia 2022 sudah membuktikannya, kalah pada laga perdana tapi kemudian mulus melaju sampe partai puncak dan kemudian menjadi juara..</t>
  </si>
  <si>
    <t>kekalahan awal bukan berarti kegagalan sampe akhir kompetisi spanyol piala dunia dan argentina piala dunia sudah membuktikannya kalah pada laga perdana tapi kemudian mulus melaju sampe partai puncak dan kemudian menjadi juara</t>
  </si>
  <si>
    <t>['kekalahan', 'awal', 'bukan', 'berarti', 'kegagalan', 'sampai', 'akhir', 'kompetisi', 'spanyol', 'piala', 'dunia', 'argentina', 'piala', 'dunia', 'membuktikannya', 'kalah', 'laga', 'perdana', 'kemudian', 'mulus', 'melaju', 'sampai', 'partai', 'puncak', 'kemudian', 'menjadi', 'juara']</t>
  </si>
  <si>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</si>
  <si>
    <t>lionel messi berhasil membawa negaranya argentina menjadi juara piala dunia qatar dengan segala prestasinya dunia sepak bola ternyata pemain asal argentina itu memiliki beberapa koleksi mobil mobil mewah dan mahal simak koleksi mobil termahal dari mega bin</t>
  </si>
  <si>
    <t>['lionel', 'messi', 'berhasil', 'membawa', 'negaranya', 'argentina', 'menjadi', 'juara', 'piala', 'dunia', 'qatar', 'segala', 'prestasinya', 'dunia', 'sepak', 'bola', 'ternyata', 'pemain', 'asal', 'argentina', 'memiliki', 'beberapa', 'koleksi', 'mobil', 'mobil', 'mewah', 'mahal', 'simak', 'koleksi', 'mobil', 'termahal', 'mega', 'bin']</t>
  </si>
  <si>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</si>
  <si>
    <t>kemenangan argentina kali ini itu hal biasa karena pengalaman masa lalu argentina udah pernah juara messi juara juga biasa karena squad nya penuh ambisi dan penuh pemain bintang beda dengan ronaldo pemain terhebat yang pernah ada cuma era nya portugal mulai mencetak prestasi</t>
  </si>
  <si>
    <t>['kemenangan', 'argentina', 'kali', 'biasa', 'pengalaman', 'masa', 'lalu', 'argentina', 'udah', 'pernah', 'juara', 'messi', 'juara', 'biasa', 'squad', 'penuh', 'ambisi', 'penuh', 'pemain', 'bintang', 'beda', 'ronaldo', 'pemain', 'terhebat', 'pernah', 'cuma', 'era', 'portugal', 'mulai', 'mencetak', 'prestasi']</t>
  </si>
  <si>
    <t>@freyninekills Sebenernya dari awal pildun juga udah ada feeling Argentina bakal juara, cuma gak ku twit wkwkw</t>
  </si>
  <si>
    <t>sebenernya dari awal pildun juga udah ada feeling argentina bakal juara cuma gak twit wkwkw</t>
  </si>
  <si>
    <t>['sebenernya', 'awal', 'piala dunia', 'udah', 'feeling', 'argentina', 'bakal', 'juara', 'cuma', 'twit', 'wkwkw']</t>
  </si>
  <si>
    <t>Congratulations buat Argentina sukses raih gelar juara Dunia ketiganya . Rut Bahia meski bukan fans Messi</t>
  </si>
  <si>
    <t>congratulations buat argentina sukses raih gelar juara dunia ketiganya rut bahia meski bukan fans messi</t>
  </si>
  <si>
    <t>['congratulations', 'buat', 'argentina', 'sukses', 'raih', 'gelar', 'juara', 'dunia', 'ketiganya', 'rut', 'bahia', 'meski', 'bukan', 'fans', 'messi']</t>
  </si>
  <si>
    <t>@nextjack1995 @anovaway @idextratime Maksudnya dibandingkan tuh sm era portugal sebelum2nya. Bukan dibandingkan sama negara lain. Era portugal sblmnya ampas bgt smp susah bgt lolos world cup, while argentina era sebelumnya udah punya 2 bintang dan bolak b</t>
  </si>
  <si>
    <t>maksudnya dibandingkan tuh era portugal sebelum nya bukan dibandingkan sama negara lain era portugal sblmnya ampas bgt smp susah bgt lolos world cup while argentina era sebelumnya udah punya bintang dan bolak</t>
  </si>
  <si>
    <t>['maksudnya', 'dibandingkan', 'era', 'portugal', 'bukan', 'dibandingkan', 'sama', 'negara', 'era', 'portugal', 'sblmnya', 'ampas', 'banget', 'smp', 'susah', 'banget', 'lolos', 'world', 'cup', 'while', 'argentina', 'era', 'sebelumnya', 'udah', 'punya', 'bintang', 'bolak']</t>
  </si>
  <si>
    <t>Konon ketika Argentina menjadi sombong (karena juara piala dunia), mereka berubah nama menjadi Arogantina.</t>
  </si>
  <si>
    <t>konon ketika argentina menjadi sombong karena juara piala dunia mereka berubah nama menjadi arogantina</t>
  </si>
  <si>
    <t>['konon', 'argentina', 'menjadi', 'sombong', 'juara', 'piala', 'dunia', 'berubah', 'nama', 'menjadi', 'arogantina']</t>
  </si>
  <si>
    <t>No wonder lah yaa Argentina juara....Messi briefing team'a juga ga kaleng2...strategi'a ciamik... üò¨üò¨  https://t.co/ev58tqn5UA</t>
  </si>
  <si>
    <t>wonder lah yaa argentina juara messi briefing team juga kaleng strategi ciamik</t>
  </si>
  <si>
    <t>['wonder', 'lah', 'ya', 'argentina', 'juara', 'messi', 'briefing', 'team', 'kaleng', 'strategi', 'ciamik']</t>
  </si>
  <si>
    <t>Argentina Juara Piala Dunia: Tango Terindah Messi dan Pasukan Berani Mati.  ARGENTINA JUARA DUNIA!! üá¶üá∑ #FIFAWorldCup | #Qatar2022   https://t.co/uU5BO32h1S</t>
  </si>
  <si>
    <t>argentina juara piala dunia tango terindah messi dan pasukan berani mati argentina juara dunia</t>
  </si>
  <si>
    <t>['argentina', 'juara', 'piala', 'dunia', 'tango', 'terindah', 'messi', 'pasukan', 'berani', 'mati', 'argentina', 'juara', 'dunia']</t>
  </si>
  <si>
    <t>Argentina Juara Piala Dunia 2022, Pelatih Prancis Bilang Sungguh Kejam, Oh Virus #ArgentinaJuara  https://t.co/oTiXKcrJZE</t>
  </si>
  <si>
    <t>argentina juara piala dunia pelatih prancis bilang sungguh kejam virus</t>
  </si>
  <si>
    <t>['argentina', 'juara', 'piala', 'dunia', 'pelatih', 'prancis', 'sungguh', 'kejam', 'virus']</t>
  </si>
  <si>
    <t>@ariechsya Gak sudi Argentina juara nih yee, hahah. Bisa dibilang udah selesai lah perdebatan siapa yg goat gaot tu, wkwkw</t>
  </si>
  <si>
    <t>gak sudi argentina juara nih yee hahah bisa dibilang udah selesai lah perdebatan siapa goat gaot wkwkw</t>
  </si>
  <si>
    <t>['sudi', 'argentina', 'juara', 'yee', 'hahah', 'dibilang', 'udah', 'selesai', 'lah', 'perdebatan', 'siapa', 'goat', 'gaot', 'wkwkw']</t>
  </si>
  <si>
    <t>7 Rekor Lionel Messi Usai Bawa Argentina Juara Piala Dunia 2022, Nomor 2 Susah Dikejar  https://t.co/VsRiACtFex</t>
  </si>
  <si>
    <t>Argentina juara  Tapi kamu tetep juara di hatikuüòó</t>
  </si>
  <si>
    <t>argentina juara tapi kamu tetep juara hatiku</t>
  </si>
  <si>
    <t>['argentina', 'juara', 'kamu', 'tetep', 'juara', 'hatiku']</t>
  </si>
  <si>
    <t>Bawa Argentina Juara, Messi Ingin Perpanjang Karier di Timnas  https://t.co/4r8D0xqCzf</t>
  </si>
  <si>
    <t>Argentina Juara Piala Dunia 2022, Penantian Panjang 36 Tahun!  https://t.co/YDFhsMhHMt lewat @KanalnewsC #ArgentinaVsFrance #argentinajuara #PialaDunia2022 #ArgentinaCampeon</t>
  </si>
  <si>
    <t>argentina juara piala dunia penantian panjang tahun lewat</t>
  </si>
  <si>
    <t>['argentina', 'juara', 'piala', 'dunia', 'penantian', 'panjang', 'tahun', 'lewat']</t>
  </si>
  <si>
    <t>@pandji Yg juara AFC bro...Argentina France Croatia</t>
  </si>
  <si>
    <t>juara afc bro argentina france croatia</t>
  </si>
  <si>
    <t>['juara', 'afc', 'bro', 'argentina', 'france', 'croatia']</t>
  </si>
  <si>
    <t>Pagi ini kalo ada yg suka bengong pasti rungkad karna Prancis kalah ü§£ salam Argentina juara piala dunia üéâüî•</t>
  </si>
  <si>
    <t>pagi ini kalo ada suka bengong pasti rungkad karna prancis kalah salam argentina juara piala dunia</t>
  </si>
  <si>
    <t>['pagi', 'suka', 'bengong', 'rungkad', 'karna', 'prancis', 'kalah', 'salam', 'argentina', 'juara', 'piala', 'dunia']</t>
  </si>
  <si>
    <t>Argentina seng juara Kalian kalah piro rek ü§≠ü§≠</t>
  </si>
  <si>
    <t>argentina seng juara kalian kalah piro rek</t>
  </si>
  <si>
    <t>['argentina', 'seng', 'juara', 'kalian', 'kalah', 'piro', 'rek']</t>
  </si>
  <si>
    <t>Cucok prediksi sapi, Argentina juara 2022  https://t.co/OTrvMH4fif</t>
  </si>
  <si>
    <t>cucok prediksi sapi argentina juara</t>
  </si>
  <si>
    <t>['cucok', 'prediksi', 'sapi', 'argentina', 'juara']</t>
  </si>
  <si>
    <t>Hari ini cerah üòÑ Argentina juara ü§©ü§©ü§©</t>
  </si>
  <si>
    <t>hari ini cerah argentina juara</t>
  </si>
  <si>
    <t>['hari', 'cerah', 'argentina', 'juara']</t>
  </si>
  <si>
    <t>@idextratime Sudah kuduga, dgn Argentina juara Pildun, yg kasian fansnya bang dodo, hari2 kedepan bakal terasa lebih sulit untuk dijalani üòÅ</t>
  </si>
  <si>
    <t>sudah kuduga dgn argentina juara pildun kasian fansnya bang dodo hari kedepan bakal terasa lebih sulit untuk dijalani</t>
  </si>
  <si>
    <t>['kuduga', 'argentina', 'juara', 'piala dunia', 'kasian', 'fansnya', 'bang', 'dodo', 'hari', 'kedepan', 'bakal', 'terasa', 'lebih', 'sulit', 'dijalani']</t>
  </si>
  <si>
    <t>Argentina juara Piala Dunia 2022  https://t.co/ll641dUa0x</t>
  </si>
  <si>
    <t>@MiskinTV_ Ga ada var var an, pokoknya argentina harus juara kata FIFA. KONSPIRASI</t>
  </si>
  <si>
    <t>ada var var pokoknya argentina harus juara kata fifa konspirasi</t>
  </si>
  <si>
    <t>['var', 'var', 'pokoknya', 'argentina', 'juara', 'kata', 'fifa', 'konspirasi']</t>
  </si>
  <si>
    <t>Bawa Argentina Juara, Lionel Messi Jadi Pemain Terbaik Piala Dunia 2022   https://t.co/NlJbuDywZp</t>
  </si>
  <si>
    <t>bawa argentina juara lionel messi jadi pemain terbaik piala dunia</t>
  </si>
  <si>
    <t>['bawa', 'argentina', 'juara', 'lionel', 'messi', 'jadi', 'pemain', 'terbaik', 'piala', 'dunia']</t>
  </si>
  <si>
    <t>Argentina kaya tim tc20 ya, pontang panting di grup banyak yg meragukan tapi juara üòÖ</t>
  </si>
  <si>
    <t>argentina kaya tim pontang panting grup banyak meragukan tapi juara</t>
  </si>
  <si>
    <t>['argentina', 'kaya', 'tim', 'pontang', 'panting', 'grup', 'banyak', 'meragukan', 'juara']</t>
  </si>
  <si>
    <t>Hanya di jaman Jokowi, Messi bisa bawa Argentina Juara Dunia</t>
  </si>
  <si>
    <t>hanya jaman jokowi messi bisa bawa argentina juara dunia</t>
  </si>
  <si>
    <t>['jaman', 'jokowi', 'messi', 'bawa', 'argentina', 'juara', 'dunia']</t>
  </si>
  <si>
    <t>Selamat Argentina Juara Piala Dunia 2022 Qatar.  Messi Is GOAT !!!</t>
  </si>
  <si>
    <t>selamat argentina juara piala dunia qatar messi goat</t>
  </si>
  <si>
    <t>['selamat', 'argentina', 'juara', 'piala', 'dunia', 'qatar', 'messi', 'goat']</t>
  </si>
  <si>
    <t>Messi x Di Maria udah jadi juara di:  - Piala Dunia U-20 - Olimpiade - Copa America - Piala Dunia  Kedua mempunyai peran penting Argentina di final Piala Dunia 2022 dengan masing-masing golnya üî•üî•üî•  #FIFAWorldCup #BolalobFootball  https://t.co/1mpVOnQyxM</t>
  </si>
  <si>
    <t>messi maria udah jadi juara piala dunia olimpiade copa america piala dunia kedua mempunyai peran penting argentina final piala dunia dengan masing masing golnya</t>
  </si>
  <si>
    <t>['messi', 'maria', 'udah', 'jadi', 'juara', 'piala', 'dunia', 'olimpiade', 'copa', 'america', 'piala', 'dunia', 'kedua', 'mempunyai', 'peran', 'penting', 'argentina', 'final', 'piala', 'dunia', 'masing', 'masing', 'golnya']</t>
  </si>
  <si>
    <t>di pagi pertama setelah Argentina juara ternyata adalah pagi yg sama juga. sepakbola memang fana. ha ha...  ia hanya--dan tak pernah lebih dari--permainan dan tipu daya.</t>
  </si>
  <si>
    <t>pagi pertama setelah argentina juara ternyata adalah pagi sama juga sepakbola memang fana hanya dan tak pernah lebih dari permainan dan tipu daya</t>
  </si>
  <si>
    <t>['pagi', 'pertama', 'argentina', 'juara', 'ternyata', 'pagi', 'sama', 'sepakbola', 'memang', 'fana', 'tak', 'pernah', 'lebih', 'permainan', 'tipu', 'daya']</t>
  </si>
  <si>
    <t>Argentina Messi Juara Dunia  https://t.co/VKqiWB5tzo</t>
  </si>
  <si>
    <t>argentina messi juara dunia</t>
  </si>
  <si>
    <t>['argentina', 'messi', 'juara', 'dunia']</t>
  </si>
  <si>
    <t>Hadiah Argentina Juara Piala Dunia 2022: Bisa Dapat 2.100 unit Wuling Air ev!  https://t.co/4663FuFYxa</t>
  </si>
  <si>
    <t>Messi Argentina Juara Dunia  https://t.co/29LhgCmz1V</t>
  </si>
  <si>
    <t>messi argentina juara dunia</t>
  </si>
  <si>
    <t>['messi', 'argentina', 'juara', 'dunia']</t>
  </si>
  <si>
    <t>Argentina Messi Juara Dunia  https://t.co/1mkOH4VYss</t>
  </si>
  <si>
    <t>Juara Dunia Messi Argentina  https://t.co/hkgexGlymj</t>
  </si>
  <si>
    <t>juara dunia messi argentina</t>
  </si>
  <si>
    <t>['juara', 'dunia', 'messi', 'argentina']</t>
  </si>
  <si>
    <t>3 Fakta Menarik Usai Argentina Juara Piala Dunia 2022¬†  https://t.co/NbP7gFwBMf</t>
  </si>
  <si>
    <t>fakta menarik usai argentina juara piala dunia</t>
  </si>
  <si>
    <t>['fakta', 'menarik', 'usai', 'argentina', 'juara', 'piala', 'dunia']</t>
  </si>
  <si>
    <t>Usai Argentina Juara Piala Dunia, Presiden Foto Selfie di Depan¬†TV  https://t.co/OnUTz1cPuY</t>
  </si>
  <si>
    <t>usai argentina juara piala dunia presiden foto selfie depan</t>
  </si>
  <si>
    <t>['usai', 'argentina', 'juara', 'piala', 'dunia', 'presiden', 'foto', 'selfie', 'depan']</t>
  </si>
  <si>
    <t>Messi Argentina Juara Dunia  https://t.co/Tg2FJ0CJIo</t>
  </si>
  <si>
    <t>Hasil Final Piala Dunia 2022: Argentina Akhirnya Juara Setelah ‚ÄòPuasa‚Äô 36 Tahun #ArgentinaVsFrance #argentina #FIFAWorldCup #Messi   https://t.co/IZkxOv3cnG via @YouTube</t>
  </si>
  <si>
    <t>hasil final piala dunia argentina akhirnya juara setelah puasa tahun via</t>
  </si>
  <si>
    <t>['hasil', 'final', 'piala', 'dunia', 'argentina', 'akhirnya', 'juara', 'puasa', 'tahun', 'via']</t>
  </si>
  <si>
    <t>Argentina Messi Juara Dunia  https://t.co/2HWBZTGwBr</t>
  </si>
  <si>
    <t>@hypermaxxxx Nah sip gpp yang penting judulnya tetep argentina juara wqwqwq</t>
  </si>
  <si>
    <t>nah sip gpp yang penting judulnya tetep argentina juara wqwqwq</t>
  </si>
  <si>
    <t>['nah', 'sip', 'gapapa', 'penting', 'judulnya', 'tetep', 'argentina', 'juara', 'wqwqwq']</t>
  </si>
  <si>
    <t>5 Fakta Timnas Argentina Juara Piala Dunia 2022</t>
  </si>
  <si>
    <t>fakta timnas argentina juara piala dunia</t>
  </si>
  <si>
    <t>['fakta', 'timnas', 'argentina', 'juara', 'piala', 'dunia']</t>
  </si>
  <si>
    <t>Tahun ini messi dan argentina nya berhasil juara piala dunia, edisi sebelumnya mbappe dengan prancis nya, biar adil edisi selanjutnya portugal yang juara dunia dengan ronaldo sebagai legenda portugal yang nonton di tribun vvip football legends wkwkwk</t>
  </si>
  <si>
    <t>tahun ini messi dan argentina nya berhasil juara piala dunia edisi sebelumnya mbappe dengan prancis nya biar adil edisi selanjutnya portugal yang juara dunia dengan ronaldo sebagai legenda portugal yang nonton tribun vvip football legends wkwkwk</t>
  </si>
  <si>
    <t>['tahun', 'messi', 'argentina', 'berhasil', 'juara', 'piala', 'dunia', 'edisi', 'sebelumnya', 'mbappe', 'prancis', 'adil', 'edisi', 'selanjutnya', 'portugal', 'juara', 'dunia', 'ronaldo', 'legenda', 'portugal', 'nonton', 'tribun', 'vvip', 'football', 'legends', 'wkwkwk']</t>
  </si>
  <si>
    <t>@FaktaSepakbola Juara dalam sebuah pertandingan itu Tim bukan hanya satu pemain. Bahkan dalam sepakbola ada unsur-unsur lain. Saya setuju itulah yang membuat kita tidak senang jika Argentina juara adalah fans Messi seperti kalian. Padahal kedua goat itu d</t>
  </si>
  <si>
    <t>juara dalam sebuah pertandingan itu tim bukan hanya satu pemain bahkan dalam sepakbola ada unsur unsur lain saya setuju itulah yang membuat kita tidak senang jika argentina juara adalah fans messi seperti kalian padahal kedua goat itu</t>
  </si>
  <si>
    <t>['juara', 'sebuah', 'pertandingan', 'tim', 'bukan', 'satu', 'pemain', 'bahkan', 'sepakbola', 'unsur', 'unsur', 'setuju', 'membuat', 'senang', 'argentina', 'juara', 'fans', 'messi', 'kalian', 'padahal', 'kedua', 'goat']</t>
  </si>
  <si>
    <t>Siapa yang happy bgt Argentina juara dunia? Saya bang saya‚òùüèª</t>
  </si>
  <si>
    <t>siapa yang happy bgt argentina juara dunia saya bang saya</t>
  </si>
  <si>
    <t>['siapa', 'happy', 'banget', 'argentina', 'juara', 'dunia', 'bang']</t>
  </si>
  <si>
    <t>awal dihina-hina tapi di akhir jadi juara selamat tuk ARGENTINA</t>
  </si>
  <si>
    <t>awal dihina hina tapi akhir jadi juara selamat tuk argentina</t>
  </si>
  <si>
    <t>['awal', 'dihina', 'hina', 'akhir', 'jadi', 'juara', 'selamat', 'tuk', 'argentina']</t>
  </si>
  <si>
    <t>RT @elzataher: Alhamdulillah. Argentina juara dunia dan Messi kini  "resmi" jadi pemain terbaik dunia sepanjang masa..  https://t.co/nhONjyjgNr</t>
  </si>
  <si>
    <t>// evos juara dunia, argentina juara dunia. Lio juara dihati alfa.. dah bahagia hidupku. @deligtcious</t>
  </si>
  <si>
    <t>evos juara dunia argentina juara dunia lio juara dihati alfa dah bahagia hidupku</t>
  </si>
  <si>
    <t>['evos', 'juara', 'dunia', 'argentina', 'juara', 'dunia', 'lio', 'juara', 'dihati', 'alfa', 'dah', 'bahagia', 'hidupku']</t>
  </si>
  <si>
    <t>WOY ARGENTINA JUARA YHH</t>
  </si>
  <si>
    <t>woy argentina juara yhh</t>
  </si>
  <si>
    <t>['woy', 'argentina', 'juara', 'yhh']</t>
  </si>
  <si>
    <t>Argentina Juara !!!!</t>
  </si>
  <si>
    <t>@idextratime Fighting spirit pemain Argentina gilak mereka ingin banget ngewujudin mimpi Messi buat juara dunia selain buat negaranya</t>
  </si>
  <si>
    <t>fighting spirit pemain argentina gilak mereka ingin banget ngewujudin mimpi messi buat juara dunia selain buat negaranya</t>
  </si>
  <si>
    <t>['fighting', 'spirit', 'pemain', 'argentina', 'gilak', 'banget', 'ngewujudin', 'mimpi', 'messi', 'buat', 'juara', 'dunia', 'buat', 'negaranya']</t>
  </si>
  <si>
    <t>Alhamdulillah. Argentina juara dunia dan Messi kini  "resmi" jadi pemain terbaik dunia sepanjang masa..  https://t.co/0pAgXVwUNd</t>
  </si>
  <si>
    <t>RT @elzataher: Alhamdulillah. Argentina juara dunia dan Messi kini  "resmi" jadi pemain terbaik dunia sepanjang masa..  https://t.co/0pAgXVwUNd</t>
  </si>
  <si>
    <t>Yang juara dunia argentina  Yg pemain terbaik messi Yg hatrick mbappe Yg trending tetep RONALDO RONALDO tidak butuh juara dunia untuk diakui GOAT Tapi messi harus melakukan nya agar dia diakui GOAT.  PERDEBATAN SELESAI.</t>
  </si>
  <si>
    <t>yang juara dunia argentina pemain terbaik messi hatrick mbappe trending tetep ronaldo ronaldo tidak butuh juara dunia untuk diakui goat tapi messi harus melakukan nya agar dia diakui goat perdebatan selesai</t>
  </si>
  <si>
    <t>['juara', 'dunia', 'argentina', 'pemain', 'terbaik', 'messi', 'hatrick', 'mbappe', 'trending', 'tetep', 'ronaldo', 'ronaldo', 'butuh', 'juara', 'dunia', 'diakui', 'goat', 'messi', 'melakukan', 'diakui', 'goat', 'perdebatan', 'selesai']</t>
  </si>
  <si>
    <t>#FotoProfilBaru Edisi Argentina juara  https://t.co/xeTY5qi6WV</t>
  </si>
  <si>
    <t>edisi argentina juara</t>
  </si>
  <si>
    <t>['edisi', 'argentina', 'juara']</t>
  </si>
  <si>
    <t>Argentina juara cooo üî•üî•üî•üèÜüèÜüèÜ</t>
  </si>
  <si>
    <t>argentina juara cooo</t>
  </si>
  <si>
    <t>['argentina', 'juara', 'cooo']</t>
  </si>
  <si>
    <t>Satu hal yg rasanya akan bikin Ronaldo lbh sebal adalah ini.  Skuad Argentina pgn juara karena pgn Messi juara, pgn Messi angkat trofi Piala Dunia, pgn Messi melengkapi pencapaian karirnya.  Ronaldo? Temennya selebrasi gol kadang dia ga ikutan</t>
  </si>
  <si>
    <t>satu hal rasanya akan bikin ronaldo lbh sebal adalah ini skuad argentina pgn juara karena pgn messi juara pgn messi angkat trofi piala dunia pgn messi melengkapi pencapaian karirnya ronaldo temennya selebrasi gol kadang dia ikutan</t>
  </si>
  <si>
    <t>['satu', 'rasanya', 'ronaldo', 'lbh', 'sebal', 'skuad', 'argentina', 'ingin', 'juara', 'ingin', 'messi', 'juara', 'ingin', 'messi', 'angkat', 'trofi', 'piala', 'dunia', 'ingin', 'messi', 'melengkapi', 'pencapaian', 'karirnya', 'ronaldo', 'temennya', 'selebrasi', 'gol', 'kadang', 'ikutan']</t>
  </si>
  <si>
    <t>Ini alasan argentina juara, bekingannya kuat bener</t>
  </si>
  <si>
    <t>ini alasan argentina juara bekingannya kuat bener</t>
  </si>
  <si>
    <t>['alasan', 'argentina', 'juara', 'bekingannya', 'kuat', 'benar']</t>
  </si>
  <si>
    <t>Argentina juara karena didukung bright</t>
  </si>
  <si>
    <t>argentina juara karena didukung bright</t>
  </si>
  <si>
    <t>['argentina', 'juara', 'didukung', 'bright']</t>
  </si>
  <si>
    <t>Vamos Argentina!! üá¶üá∑ üá¶üá∑ üá¶üá∑ üëè  Tahniah Argentina menjadi Juara di Piala Dunia 2022. üèÜüèÜüèÜ  #NegeriSembilanBersihMuafakatSejahtera  #FIFAWorldCup  #Qatar2022  #dunpilah  #pilahku  #NogoriKito  #staysafe  #AllahJagaKita  https://t.co/fgTN3b26Bd</t>
  </si>
  <si>
    <t>vamos argentina tahniah argentina menjadi juara piala dunia</t>
  </si>
  <si>
    <t>['vamos', 'argentina', 'tahniah', 'argentina', 'menjadi', 'juara', 'piala', 'dunia']</t>
  </si>
  <si>
    <t>Widihh, ternyata juara. Congratulations Argentina!üá¶üá∑üèÜ</t>
  </si>
  <si>
    <t>widihh ternyata juara congratulations argentina</t>
  </si>
  <si>
    <t>['widihh', 'ternyata', 'juara', 'congratulations', 'argentina']</t>
  </si>
  <si>
    <t>apakah indonesia akan bisa seperti argentina?dari runner up terus menjadi juara? Hmmm #FIFAWorldCup</t>
  </si>
  <si>
    <t>apakah indonesia akan bisa seperti argentina dari runner terus menjadi juara hmmm</t>
  </si>
  <si>
    <t>['indonesia', 'argentina', 'runner', 'terus', 'menjadi', 'juara', 'hmmm']</t>
  </si>
  <si>
    <t>Selamat pagi dari para pemain #LaLigaSantander yang sukses merengkuh juara bersama timnas Argentina! üá¶üá∑üèÜ  #LaLigaEsMundial  https://t.co/lkLXZdXTem</t>
  </si>
  <si>
    <t>selamat pagi dari para pemain yang sukses merengkuh juara bersama timnas argentina</t>
  </si>
  <si>
    <t>['selamat', 'pagi', 'pemain', 'sukses', 'merengkuh', 'juara', 'bersama', 'timnas', 'argentina']</t>
  </si>
  <si>
    <t>Argentina Sabet Gelar Ketiga, Ini Daftar Lengkap Juara Piala Dunia Sepanjang Masa  https://t.co/LfSVKciVgK</t>
  </si>
  <si>
    <t>argentina sabet gelar ketiga ini daftar lengkap juara piala dunia sepanjang masa</t>
  </si>
  <si>
    <t>['argentina', 'sabet', 'gelar', 'ketiga', 'daftar', 'lengkap', 'juara', 'piala', 'dunia', 'sepanjang', 'masa']</t>
  </si>
  <si>
    <t>Argentina 3 kali Juara World Cup, 3 nama huruf M pengangkat tropi piala dunia 1978  Mario Kempes 1986  Maradona 2022  Mesi</t>
  </si>
  <si>
    <t>argentina kali juara world cup nama huruf pengangkat tropi piala dunia mario kempes maradona mesi</t>
  </si>
  <si>
    <t>['argentina', 'kali', 'juara', 'world', 'cup', 'nama', 'huruf', 'pengangkat', 'trofi', 'piala', 'dunia', 'mario', 'kempes', 'maradona', 'mesi']</t>
  </si>
  <si>
    <t>Argentina Juara Piala Dunia 2022, Prancis Gagal Ikuti Jejak Italia dan Brasil  https://t.co/dnXf1KvIUj</t>
  </si>
  <si>
    <t>"Argentina: Juara Dunia dan Kebencian terhadap Black Communities"  Kayaknya bakal jadi judul yang menarik, nihüòÅ</t>
  </si>
  <si>
    <t>argentina juara dunia dan kebencian terhadap black communities kayaknya bakal jadi judul yang menarik nih</t>
  </si>
  <si>
    <t>['argentina', 'juara', 'dunia', 'kebencian', 'black', 'communities', 'kayaknya', 'bakal', 'jadi', 'judul', 'menarik']</t>
  </si>
  <si>
    <t>pagi pagi dapet kabar argentina juara. aduh jadi gaenak sama fans prancisüôèüèº</t>
  </si>
  <si>
    <t>pagi pagi dapet kabar argentina juara aduh jadi gaenak sama fans prancis</t>
  </si>
  <si>
    <t>['pagi', 'pagi', 'dapat', 'kabar', 'argentina', 'juara', 'aduh', 'jadi', 'gaenak', 'sama', 'fans', 'prancis']</t>
  </si>
  <si>
    <t>Sah! Argentina Juara Piala Dunia 2022  https://t.co/uRraLbl7ZQ</t>
  </si>
  <si>
    <t>Ternyata prediksi ku benar Argentina Juara Piala Dunia Semalam banyak yang percaya Perancis bakal menang. Cuma mamak sendiri yang pegang Argentina üëèüéâ</t>
  </si>
  <si>
    <t>ternyata prediksi benar argentina juara piala dunia semalam banyak yang percaya perancis bakal menang cuma mamak sendiri yang pegang argentina</t>
  </si>
  <si>
    <t>['ternyata', 'prediksi', 'benar', 'argentina', 'juara', 'piala', 'dunia', 'semalam', 'banyak', 'percaya', 'perancis', 'bakal', 'menang', 'cuma', 'mamak', 'sendiri', 'pegang', 'argentina']</t>
  </si>
  <si>
    <t>Presiden Argentina: Kami Juara Dunia  https://t.co/0vzHH4NEEo</t>
  </si>
  <si>
    <t>presiden argentina kami juara dunia</t>
  </si>
  <si>
    <t>Drama Argentina Juara Piala Dunia 2022  https://t.co/JCw91ARZJI</t>
  </si>
  <si>
    <t>drama argentina juara piala dunia</t>
  </si>
  <si>
    <t>['drama', 'argentina', 'juara', 'piala', 'dunia']</t>
  </si>
  <si>
    <t>Sah! Argentina Juara Piala Dunia 2022  https://t.co/mtWp7BqZ6a</t>
  </si>
  <si>
    <t>Juara nya Saudi Arabia karena Argentina hanya kalah dari Saudi üòÅüòÅüòÅ</t>
  </si>
  <si>
    <t>juara nya saudi arabia karena argentina hanya kalah dari saudi</t>
  </si>
  <si>
    <t>['juara', 'saudi', 'arabia', 'argentina', 'kalah', 'saudi']</t>
  </si>
  <si>
    <t>@irwendra Gue cuma ngikutin pas piala dunia aja sih soalnya tahun ininseru gitu banyak yang unexpected dari babak penyisihan kayak waktu awal Argentina dikalahin Arab Saudi eh tapi Argentina yang jadi juara dunia. Sama match yang semalem seru, deg degan p</t>
  </si>
  <si>
    <t>gue cuma ngikutin pas piala dunia aja sih soalnya tahun ininseru gitu banyak yang unexpected dari babak penyisihan kayak waktu awal argentina dikalahin arab saudi tapi argentina yang jadi juara dunia sama match yang semalem seru deg degan</t>
  </si>
  <si>
    <t>['gue', 'cuma', 'ngikutin', 'pas', 'piala', 'dunia', 'soalnya', 'tahun', 'ininseru', 'gitu', 'banyak', 'unexpected', 'babak', 'penyisihan', 'seperti', 'waktu', 'awal', 'argentina', 'dikalahin', 'arab', 'saudi', 'argentina', 'jadi', 'juara', 'dunia', 'sama', 'match', 'semalam', 'seru', 'deg', 'degan']</t>
  </si>
  <si>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</si>
  <si>
    <t>leo messi player the match kembarbola terbesar terpercaya sejak game terlengkap menang berapapun pasti dibayar</t>
  </si>
  <si>
    <t>['leo', 'messi', 'player', 'the', 'match', 'kembarbola', 'terbesar', 'terpercaya', 'sejak', 'game', 'terlengkap', 'menang', 'berapapun', 'dibayar']</t>
  </si>
  <si>
    <t>@alexasaffira argentina pantes buat juara</t>
  </si>
  <si>
    <t>argentina pantes buat juara</t>
  </si>
  <si>
    <t>['argentina', 'pantes', 'buat', 'juara']</t>
  </si>
  <si>
    <t>@CNNIndonesia Tebak, apakah pak Jokowi, Presiden kita, memberikan selamat kepada Presiden Argentina atas raihan Juara di Piala Dunia 2022?</t>
  </si>
  <si>
    <t>tebak apakah pak jokowi presiden kita memberikan selamat kepada presiden argentina atas raihan juara piala dunia</t>
  </si>
  <si>
    <t>['tebak', 'pak', 'jokowi', 'presiden', 'memberikan', 'selamat', 'presiden', 'argentina', 'atas', 'raihan', 'juara', 'piala', 'dunia']</t>
  </si>
  <si>
    <t>@ridwankamil Asyyiikkkk Argentina emang ttp juara tiap piala dunia...huhuuuyyyüíÉüíÉüíÉ</t>
  </si>
  <si>
    <t>asyyiikkkk argentina emang ttp juara tiap piala dunia huhuuuyyy</t>
  </si>
  <si>
    <t>['asyyiikkkk', 'argentina', 'emang', 'ttp', 'juara', 'tiap', 'piala', 'dunia', 'huhuuuyyy']</t>
  </si>
  <si>
    <t>Juara Dunia #Argentina  https://t.co/xHbs4FIV6U</t>
  </si>
  <si>
    <t>juara dunia</t>
  </si>
  <si>
    <t>['juara', 'dunia']</t>
  </si>
  <si>
    <t>Selamat buat Argentina yg sudah menjadi Juara Piala Dunia 2022. Selamat buat Emi yg sebentar lagi namanya dikaitkan sama Arsenal karena berhasil Juara Piala Dunia pertama kalinya setelah pindah dari Arsenal.</t>
  </si>
  <si>
    <t>selamat buat argentina sudah menjadi juara piala dunia selamat buat emi sebentar lagi namanya dikaitkan sama arsenal karena berhasil juara piala dunia pertama kalinya setelah pindah dari arsenal</t>
  </si>
  <si>
    <t>['selamat', 'buat', 'argentina', 'menjadi', 'juara', 'piala', 'dunia', 'selamat', 'buat', 'emi', 'sebentar', 'namanya', 'dikaitkan', 'sama', 'arsenal', 'berhasil', 'juara', 'piala', 'dunia', 'pertama', 'kalinya', 'pindah', 'arsenal']</t>
  </si>
  <si>
    <t>first half france kosong lagi.. second half tu,dia punya plot twist memang terbaik.. takpe mbappe muda lagi üôà terpaling flawless kalah mak üòÇ dia pakai skincare apa eh? mmg mbappe sorg je dlm france btw biru putih juara!  #Argentina  #FIFAWorldCup  #Qatar2022  #FIFAWorldCup2022</t>
  </si>
  <si>
    <t>first half france kosong lagi second half dia punya plot twist memang terbaik takpe mbappe muda lagi terpaling flawless kalah mak dia pakai skincare apa mmg mbappe sorg dlm france btw biru putih juara</t>
  </si>
  <si>
    <t>['first', 'half', 'france', 'kosong', 'second', 'half', 'punya', 'plot', 'twist', 'memang', 'terbaik', 'takpe', 'mbappe', 'muda', 'terpaling', 'flawless', 'kalah', 'mak', 'pakai', 'skincare', 'apa', 'mmg', 'mbappe', 'sorg', 'dlm', 'france', 'by the way', 'biru', 'putih', 'juara']</t>
  </si>
  <si>
    <t>Selamat pagi dan selamat buat para pendukung argentina, bisa menjadi juara piala dunia.  Sampai jumpa 4 tahun lagi dimana aku akan buka jasa cenayang üò§  Maaaak beneran liat messi cium piala maaaak üò≠</t>
  </si>
  <si>
    <t>selamat pagi dan selamat buat para pendukung argentina bisa menjadi juara piala dunia sampai jumpa tahun lagi dimana aku akan buka jasa cenayang maaaak beneran liat messi cium piala maaaak</t>
  </si>
  <si>
    <t>['selamat', 'pagi', 'selamat', 'buat', 'pendukung', 'argentina', 'menjadi', 'juara', 'piala', 'dunia', 'jumpa', 'tahun', 'aku', 'buka', 'jasa', 'cenayang', 'maaaak', 'beneran', 'lihat', 'messi', 'cium', 'piala', 'maaaak']</t>
  </si>
  <si>
    <t>Lewat Drama Finalti Argentina Juara Piala Dunia 2022 di Qatar  https://t.co/iOQusnlbhS</t>
  </si>
  <si>
    <t>lewat drama finalti argentina juara piala dunia qatar</t>
  </si>
  <si>
    <t>['lewat', 'drama', 'finalti', 'argentina', 'juara', 'piala', 'dunia', 'qatar']</t>
  </si>
  <si>
    <t>@The_RedsIndo Masih belom bisa tidur,  Alhamdulillah ya Allah Penantian 17 tahun sebagai fans Argentina dan Messi, akhirnya gue bisa liat doi juara dunia, waktunya cari jodoh</t>
  </si>
  <si>
    <t>redsindo masih belom bisa tidur alhamdulillah allah penantian tahun sebagai fans argentina dan messi akhirnya gue bisa liat doi juara dunia waktunya cari jodoh</t>
  </si>
  <si>
    <t>['redsindo', 'belom', 'tidur', 'alhamdulillah', 'allah', 'penantian', 'tahun', 'fans', 'argentina', 'messi', 'akhirnya', 'gue', 'lihat', 'doi', 'juara', 'dunia', 'waktunya', 'cari', 'jodoh']</t>
  </si>
  <si>
    <t>Juara Dunia Argentina Messi Raul Lemos  https://t.co/VuYRjxDdmX</t>
  </si>
  <si>
    <t>juara dunia argentina messi raul lemos</t>
  </si>
  <si>
    <t>['juara', 'dunia', 'argentina', 'messi', 'raul', 'lemos']</t>
  </si>
  <si>
    <t>Argentina Juara Piala Dunia 2022üèÜüî•  Demam Piala Dunia 2022 ‚úÖ Demam AFF ME Cup 2022 üîú  https://t.co/MExswWSXQO</t>
  </si>
  <si>
    <t>argentina juara piala dunia demam piala dunia demam aff cup</t>
  </si>
  <si>
    <t>['argentina', 'juara', 'piala', 'dunia', 'demam', 'piala', 'dunia', 'demam', 'aff', 'cup']</t>
  </si>
  <si>
    <t>Timnas Argentina Kini Berbintang Tiga, Ini Daftar Juara Piala Dunia Sejak¬†1930  https://t.co/0jMv7u3IFV</t>
  </si>
  <si>
    <t>timnas argentina kini berbintang tiga ini daftar juara piala dunia sejak</t>
  </si>
  <si>
    <t>['timnas', 'argentina', 'kini', 'berbintang', 'tiga', 'daftar', 'juara', 'piala', 'dunia', 'sejak']</t>
  </si>
  <si>
    <t>Timnas Argentina Kini Berbintang Tiga, Ini Daftar Juara Piala Dunia Sejak¬†1930  https://t.co/osMvGQfzgy</t>
  </si>
  <si>
    <t>Juara Dunia Sepakbola antara Argentina Vs Orang Afrika üòÜüòÜ</t>
  </si>
  <si>
    <t>juara dunia sepakbola antara argentina orang afrika</t>
  </si>
  <si>
    <t>['juara', 'dunia', 'sepakbola', 'argentina', 'orang', 'afrika']</t>
  </si>
  <si>
    <t>5 Negara yang Bahagia Argentina Juara Piala Dunia 2022, Nomor 1 Dibikin Malu Prancis 4 Tahun Lalu! #LengkapCepatBeritanya #Bola #SepakBola #SepakbolaDunia #BolaDunia .  https://t.co/ZO9YH7VcKX</t>
  </si>
  <si>
    <t>negara yang bahagia argentina juara piala dunia nomor dibikin malu prancis tahun lalu</t>
  </si>
  <si>
    <t>['negara', 'bahagia', 'argentina', 'juara', 'piala', 'dunia', 'nomor', 'dibikin', 'malu', 'prancis', 'tahun', 'lalu']</t>
  </si>
  <si>
    <t>Timnas Argentina Juara Piala Dunia 2022, Lionel Messi Dapat Pujian dari Rodrigo De Paul #LengkapCepatBeritanya #Bola #SepakBola #SepakbolaDunia #BolaDunia .  https://t.co/Xv3h0ykOFQ</t>
  </si>
  <si>
    <t>timnas argentina juara piala dunia lionel messi dapat pujian dari rodrigo paul</t>
  </si>
  <si>
    <t>['timnas', 'argentina', 'juara', 'piala', 'dunia', 'lionel', 'messi', 'pujian', 'rodrigo', 'paul']</t>
  </si>
  <si>
    <t>Duo " LIONEL" berhasil membawa Argentina Juara Dunia  https://t.co/OnlBlf8Hzo</t>
  </si>
  <si>
    <t>Akhirnya argentina juara</t>
  </si>
  <si>
    <t>Argentina Juara Piala Dunia 2022 setelah Kalahkan Prancis, Akhirnya La Albiceleste Buka Puasa!  https://t.co/nHvCHQ1b9h   ArgentinavsPrancis Juara Dunia #FIFAWorldCup #Messi #Mbappe What A Match</t>
  </si>
  <si>
    <t>argentina juara piala dunia setelah kalahkan prancis akhirnya albiceleste buka puasa argentinavsprancis juara dunia what match</t>
  </si>
  <si>
    <t>['argentina', 'juara', 'piala', 'dunia', 'kalahkan', 'prancis', 'akhirnya', 'albiceleste', 'buka', 'puasa', 'argentinavsprancis', 'juara', 'dunia', 'what', 'match']</t>
  </si>
  <si>
    <t>Bener2 gabisa liat messi angkat piala wkwk, argentina nya juara gapapa dah walaupun gua gagal mendapatkan 350 rebuu cuma yg jadi masalahh bisa gakk argentina nya juara tp messi nya gausa angkat piala? wkwkw fakk lahh</t>
  </si>
  <si>
    <t>bener gabisa liat messi angkat piala wkwk argentina nya juara gapapa dah walaupun gua gagal mendapatkan rebuu cuma jadi masalahh bisa gakk argentina nya juara messi nya gausa angkat piala wkwkw fakk lahh</t>
  </si>
  <si>
    <t>['benar', 'gabisa', 'lihat', 'messi', 'angkat', 'piala', 'argentina', 'juara', 'gapapa', 'dah', 'walaupun', 'gua', 'gagal', 'mendapatkan', 'rebuu', 'cuma', 'jadi', 'masalahh', 'gakk', 'argentina', 'juara', 'messi', 'gausa', 'angkat', 'piala', 'wkwkw', 'fakk', 'lahh']</t>
  </si>
  <si>
    <t>Final Argentina vs Prancis: Menang Adu Penalti, Messi dkk Juara Dunia! | Liputan 6  https://t.co/xG28PHxGWH</t>
  </si>
  <si>
    <t>final argentina prancis menang adu penalti messi dkk juara dunia liputan</t>
  </si>
  <si>
    <t>['final', 'argentina', 'prancis', 'menang', 'adu', 'penalti', 'messi', 'dkk', 'juara', 'dunia', 'liputan']</t>
  </si>
  <si>
    <t>Piala Dunia sudah usai dan Argentina keluar sebagai juara. Setelah sekian lama melalui serangkaian drama, akhirnya Messi bisa mengangkat piala emas paling bergengsi di dunia.  Buat saya, tahun 2022, inilah juaranya. üëá  https://t.co/UnNBuuNvxe</t>
  </si>
  <si>
    <t>piala dunia sudah usai dan argentina keluar sebagai juara setelah sekian lama melalui serangkaian drama akhirnya messi bisa mengangkat piala emas paling bergengsi dunia buat saya tahun inilah juaranya</t>
  </si>
  <si>
    <t>['piala', 'dunia', 'usai', 'argentina', 'keluar', 'juara', 'sekian', 'lama', 'melalui', 'serangkaian', 'drama', 'akhirnya', 'messi', 'mengangkat', 'piala', 'emas', 'paling', 'bergengsi', 'dunia', 'buat', 'tahun', 'inilah', 'juaranya']</t>
  </si>
  <si>
    <t>Argentina Juara Piala Dunia 2022!  https://t.co/VFpPuzYrcS  https://t.co/8zV4Rq3fHo</t>
  </si>
  <si>
    <t>Argentina membuktikan player arab saudi memang layak dapat rolls royce sebab jadi satu-satunya team yang berjaya kalahkan juara piala dunia tahun ni.</t>
  </si>
  <si>
    <t>argentina membuktikan player arab saudi memang layak dapat rolls royce sebab jadi satu satunya team yang berjaya kalahkan juara piala dunia tahun</t>
  </si>
  <si>
    <t>['argentina', 'membuktikan', 'player', 'arab', 'saudi', 'memang', 'layak', 'rolls', 'royce', 'jadi', 'satu', 'satunya', 'team', 'berjaya', 'kalahkan', 'juara', 'piala', 'dunia', 'tahun']</t>
  </si>
  <si>
    <t>Argentina Juara Dunia.. iidup iwan bule...  https://t.co/cFI9u39ccX</t>
  </si>
  <si>
    <t>argentina juara dunia iidup iwan bule</t>
  </si>
  <si>
    <t>['argentina', 'juara', 'dunia', 'iidup', 'iwan', 'bule']</t>
  </si>
  <si>
    <t>Selesai sudah Piala Dunia 2022. Ending yang menyenangkan bagi pendukung Messi dan Argentina.   Setelah ini akan ada Piala Chicky (sebutan Piala AFF oleh Netizen) yang salah satu pesertanya belum bisa juara sama sekali tapi masyarakat dan medianya selalu Overporoud. ü§£üòÅ</t>
  </si>
  <si>
    <t>selesai sudah piala dunia ending yang menyenangkan bagi pendukung messi dan argentina setelah ini akan ada piala chicky sebutan piala aff oleh netizen yang salah satu pesertanya belum bisa juara sama sekali tapi masyarakat dan medianya selalu overporoud</t>
  </si>
  <si>
    <t>['selesai', 'piala', 'dunia', 'ending', 'menyenangkan', 'pendukung', 'messi', 'argentina', 'piala', 'chicky', 'sebutan', 'piala', 'aff', 'netizen', 'salah', 'satu', 'pesertanya', 'juara', 'sama', 'sekali', 'masyarakat', 'medianya', 'selalu', 'overporoud']</t>
  </si>
  <si>
    <t>HISTORY IN THE MAKING   https://t.co/PP4JxEfxi4  Argentina menjadi juara Piala Dunia 2022 setelah menang adu penalti atas Prancis. Berikut adalah reaksi di linimasa media sosial mengenai laga seru itu.</t>
  </si>
  <si>
    <t>history the making argentina menjadi juara piala dunia setelah menang adu penalti atas prancis berikut adalah reaksi linimasa media sosial mengenai laga seru itu</t>
  </si>
  <si>
    <t>['history', 'the', 'making', 'argentina', 'menjadi', 'juara', 'piala', 'dunia', 'menang', 'adu', 'penalti', 'atas', 'prancis', 'berikut', 'reaksi', 'linimasa', 'media', 'sosial', 'mengenai', 'laga', 'seru']</t>
  </si>
  <si>
    <t>ni argentina juara nnti pialanya buat skolah g yh</t>
  </si>
  <si>
    <t>argentina juara nnti pialanya buat skolah</t>
  </si>
  <si>
    <t>['argentina', 'juara', 'nnti', 'pialanya', 'buat', 'skolah']</t>
  </si>
  <si>
    <t>-rek sepurane kurang ngerti sepak bola WC. mau nanya, kemarin Argentina bukane wes kalah sm Arab ya? kok saiki malah bisa jd juara??ü§î</t>
  </si>
  <si>
    <t>rek sepurane kurang ngerti sepak bola mau nanya kemarin argentina bukane wes kalah arab kok saiki malah bisa juara</t>
  </si>
  <si>
    <t>['rek', 'sepurane', 'kurang', 'ngerti', 'sepak', 'bola', 'mau', 'nanya', 'kemarin', 'argentina', 'bukane', 'wes', 'kalah', 'arab', 'kok', 'saiki', 'malah', 'juara']</t>
  </si>
  <si>
    <t>Masih melekat diingatanku ketika pildun waka waka e e bagaimana Argentina di porakporandakan pada saat penyisihan üò≠ seneng banget akhirnya jd juara tahun ini ‚ù§Ô∏è‚ù§Ô∏è‚ù§Ô∏è‚ù§Ô∏è</t>
  </si>
  <si>
    <t>masih melekat diingatanku ketika pildun waka waka bagaimana argentina porakporandakan pada saat penyisihan seneng banget akhirnya juara tahun ini</t>
  </si>
  <si>
    <t>['melekat', 'diingatanku', 'piala dunia', 'waka', 'waka', 'bagaimana', 'argentina', 'porakporandakan', 'penyisihan', 'seneng', 'banget', 'akhirnya', 'juara', 'tahun']</t>
  </si>
  <si>
    <t>Argentina sudah, Liverpool pun sudah.  Saatnya Timnas Indonesia juara u akhiri penantian 31 tahun tidak juara level ASEAN.   https://t.co/B2wCTUi0cy  #AFFMitsubishiElectricCup2022  #AFF  #Indonesia  #Argentina  #Liverpool</t>
  </si>
  <si>
    <t>argentina sudah liverpool pun sudah saatnya timnas indonesia juara akhiri penantian tahun tidak juara level asean</t>
  </si>
  <si>
    <t>['argentina', 'liverpool', 'saatnya', 'timnas', 'indonesia', 'juara', 'akhiri', 'penantian', 'tahun', 'juara', 'level', 'asean']</t>
  </si>
  <si>
    <t>berawal dari caretaker jorge sampaoli, scaloni bawa argentina juara copa america, finalissima dan sekarang pildun 2022 scaloni masterclass</t>
  </si>
  <si>
    <t>berawal dari caretaker jorge sampaoli scaloni bawa argentina juara copa america finalissima dan sekarang pildun scaloni masterclass</t>
  </si>
  <si>
    <t>['berawal', 'caretaker', 'jorge', 'sampaoli', 'scaloni', 'bawa', 'argentina', 'juara', 'copa', 'america', 'finalissima', 'sekarang', 'piala dunia', 'scaloni', 'masterclass']</t>
  </si>
  <si>
    <t>@songkaaang id : alpis  Congratulations Argentina akhirnya juara walaupun di awal pertandingan di bully abis-abisan. Akhirnya Messi bisa pensiun dengan piala yg lengkap.</t>
  </si>
  <si>
    <t>alpis congratulations argentina akhirnya juara walaupun awal pertandingan bully abis abisan akhirnya messi bisa pensiun dengan piala lengkap</t>
  </si>
  <si>
    <t>['alpis', 'congratulations', 'argentina', 'akhirnya', 'juara', 'walaupun', 'awal', 'pertandingan', 'bully', 'abis', 'abisan', 'akhirnya', 'messi', 'pensiun', 'piala', 'lengkap']</t>
  </si>
  <si>
    <t>RINCIAN HADIAH Pemenang Juara Piala Dunia 2022 Lengkap Capai Rp600 Miliar: Argentina, Kroasia, Maroko, Prancis   https://t.co/B61Qsx6zk6</t>
  </si>
  <si>
    <t>rincian hadiah pemenang juara piala dunia lengkap capai miliar argentina kroasia maroko prancis</t>
  </si>
  <si>
    <t>['rincian', 'hadiah', 'pemenang', 'juara', 'piala', 'dunia', 'lengkap', 'capai', 'miliar', 'argentina', 'kroasia', 'maroko', 'prancis']</t>
  </si>
  <si>
    <t>Argentina Juara Piala Dunia ke 3 Kali, Ini Komentar Lionel Messi  https://t.co/TzMg6RT4wl  https://t.co/uJjtp7otXQ</t>
  </si>
  <si>
    <t>argentina juara piala dunia kali ini komentar lionel messi</t>
  </si>
  <si>
    <t>['argentina', 'juara', 'piala', 'dunia', 'kali', 'komentar', 'lionel', 'messi']</t>
  </si>
  <si>
    <t>Gagal sekali, bukan bermaksud kita adalah seorang pecundang.. tapi bangkitlah dan buktikan pada dunia.. kita juga boleh jadi pemenang.. Ibarat Argentina,,  Kalah di game yang pertama, bukan bermaksud tak boleh jadi juara dunia..</t>
  </si>
  <si>
    <t>gagal sekali bukan bermaksud kita adalah seorang pecundang tapi bangkitlah dan buktikan pada dunia kita juga boleh jadi pemenang ibarat argentina kalah game yang pertama bukan bermaksud tak boleh jadi juara dunia</t>
  </si>
  <si>
    <t>['gagal', 'sekali', 'bukan', 'bermaksud', 'seorang', 'pecundang', 'bangkitlah', 'buktikan', 'dunia', 'jadi', 'pemenang', 'ibarat', 'argentina', 'kalah', 'game', 'pertama', 'bukan', 'bermaksud', 'tak', 'jadi', 'juara', 'dunia']</t>
  </si>
  <si>
    <t>Ini Komentar Lionel Messi Mengenai Keberhasilannya Membawa Argentina Juara Piala Dunia 2022  https://t.co/thz65TZGzw  https://t.co/Y06yG66zbb</t>
  </si>
  <si>
    <t>ini komentar lionel messi mengenai keberhasilannya membawa argentina juara piala dunia</t>
  </si>
  <si>
    <t>['komentar', 'lionel', 'messi', 'mengenai', 'keberhasilannya', 'membawa', 'argentina', 'juara', 'piala', 'dunia']</t>
  </si>
  <si>
    <t>Argentina sdh tidak menangis lagi, Don‚Äôt Cry for Me Argentina Juara Piala Dunia 2022 Qatar.</t>
  </si>
  <si>
    <t>argentina sdh tidak menangis lagi don cry for argentina juara piala dunia qatar</t>
  </si>
  <si>
    <t>['argentina', 'menangis', 'don', 'cry', 'for', 'argentina', 'juara', 'piala', 'dunia', 'qatar']</t>
  </si>
  <si>
    <t>YEDAM MUNCUL DAM ARGENTINA JUARAüò≠üò≠üò≠</t>
  </si>
  <si>
    <t>yedam muncul dam argentina juara</t>
  </si>
  <si>
    <t>['yedam', 'muncul', 'dam', 'argentina', 'juara']</t>
  </si>
  <si>
    <t>Pada heboh Argentina, Messi,Martinez...satu2nya tim yg ngalahin sang juara mah kalem aja diem2 bae üòÜ. Juve kapan ya bikin heboh bisa juara UCL lagi...masih sulid  https://t.co/1zT7ZtHQux</t>
  </si>
  <si>
    <t>pada heboh argentina messi martinez satu nya tim ngalahin sang juara mah kalem aja diem bae juve kapan bikin heboh bisa juara ucl lagi masih sulid</t>
  </si>
  <si>
    <t>['heboh', 'argentina', 'messi', 'martinez', 'satu', 'tim', 'ngalahin', 'sang', 'juara', 'mah', 'kalem', 'diem', 'bae', 'juve', 'kapan', 'heboh', 'juara', 'ucl', 'sulid']</t>
  </si>
  <si>
    <t>Edisi Argentina Juara üíôüíô  https://t.co/oijhhu4wdq</t>
  </si>
  <si>
    <t>@thvilysmc7 cieee argentina juara</t>
  </si>
  <si>
    <t>cieee argentina juara</t>
  </si>
  <si>
    <t>['cieee', 'argentina', 'juara']</t>
  </si>
  <si>
    <t>@faizfachnazs Yang penting argentina juaraüôèüèª</t>
  </si>
  <si>
    <t>yang penting argentina juara</t>
  </si>
  <si>
    <t>['penting', 'argentina', 'juara']</t>
  </si>
  <si>
    <t>Pemain Yang membawa ARGENTINA juara Piala Dunia semua Panggilannya diawali huruf M. 1. Mario Kempes 2. Maradona 3. Messi Hebat ya huruf M semua. Well Done  GOAT</t>
  </si>
  <si>
    <t>pemain yang membawa argentina juara piala dunia semua panggilannya diawali huruf mario kempes maradona messi hebat huruf semua well done goat</t>
  </si>
  <si>
    <t>['pemain', 'membawa', 'argentina', 'juara', 'piala', 'dunia', 'semua', 'panggilannya', 'diawali', 'huruf', 'mario', 'kempes', 'maradona', 'messi', 'hebat', 'huruf', 'semua', 'well', 'done', 'goat']</t>
  </si>
  <si>
    <t>Cieee argentina juaraüòÇ</t>
  </si>
  <si>
    <t>Momen Haru Lionel Messi Bersama Ibunya Usai Antarkan Argentina Juara Piala Dunia 2022  https://t.co/oUxtLvdbxZ</t>
  </si>
  <si>
    <t>momen haru lionel messi bersama ibunya usai antarkan argentina juara piala dunia</t>
  </si>
  <si>
    <t>['momen', 'haru', 'lionel', 'messi', 'bersama', 'ibunya', 'usai', 'antarkan', 'argentina', 'juara', 'piala', 'dunia']</t>
  </si>
  <si>
    <t>Messi telah mendapatkan uang, ketenaran, dan juara Dunia sepak bola bersama team sepakbola Argentina. Satu yang belum didapatkan. Hidayah Islam, semoga Segera menyusul Cassius Marcellus Clay (Muhammad Ali) dan Ferdinand Lewis Alcindor (Kareem Abdul Jabbar)</t>
  </si>
  <si>
    <t>messi telah mendapatkan uang ketenaran dan juara dunia sepak bola bersama team sepakbola argentina satu yang belum didapatkan hidayah islam semoga segera menyusul cassius marcellus clay muhammad ali dan ferdinand lewis alcindor kareem abdul jabbar</t>
  </si>
  <si>
    <t>['messi', 'mendapatkan', 'uang', 'ketenaran', 'juara', 'dunia', 'sepak', 'bola', 'bersama', 'team', 'sepakbola', 'argentina', 'satu', 'didapatkan', 'hidayah', 'islam', 'semoga', 'segera', 'menyusul', 'cassius', 'marcellus', 'clay', 'muhammad', 'ali', 'ferdinand', 'lewis', 'alcindor', 'kareem', 'abdul', 'jabbar']</t>
  </si>
  <si>
    <t>Argentina Juara Dunia  Uraaaaaaaaaa</t>
  </si>
  <si>
    <t>argentina juara dunia uraaaaaaaaaa</t>
  </si>
  <si>
    <t>['argentina', 'juara', 'dunia', 'uraaaaaaaaaa']</t>
  </si>
  <si>
    <t>Argentina juara pildun berkat doa ibu para pemainnya, akhirnya messi üôèüèª  https://t.co/dOclyutEXT</t>
  </si>
  <si>
    <t>argentina juara pildun berkat doa ibu para pemainnya akhirnya messi</t>
  </si>
  <si>
    <t>['argentina', 'juara', 'piala dunia', 'berkat', 'doa', 'ibu', 'pemainnya', 'akhirnya', 'messi']</t>
  </si>
  <si>
    <t>Arguentina akhirnya Juara Piala Dunia 2022 , selamat buat tim Argentina, Messi Cs akhirnya membawa Argentina Juara Piala Dunia ke 3 x nya</t>
  </si>
  <si>
    <t>arguentina akhirnya juara piala dunia selamat buat tim argentina messi akhirnya membawa argentina juara piala dunia nya</t>
  </si>
  <si>
    <t>['arguentina', 'akhirnya', 'juara', 'piala', 'dunia', 'selamat', 'buat', 'tim', 'argentina', 'messi', 'akhirnya', 'membawa', 'argentina', 'juara', 'piala', 'dunia']</t>
  </si>
  <si>
    <t>Dominasi ala Messi di Piala Dunia 2022: Borong Gelar Individu, Antar Argentina Juara  https://t.co/XIzovUXWjK  #BeritaSonora via @KompasBola</t>
  </si>
  <si>
    <t>dominasi ala messi piala dunia borong gelar individu antar argentina juara via</t>
  </si>
  <si>
    <t>['dominasi', 'ala', 'messi', 'piala', 'dunia', 'borong', 'gelar', 'individu', 'antar', 'argentina', 'juara', 'via']</t>
  </si>
  <si>
    <t>Pernyataan Mengejutkan Messi Usai Juara Piala Dunia 2022, Singgung Soal Masa Depannya di Argentina  https://t.co/I7ozeo36di #DiMaria #Dybala #FifaWorldCup #JuaraDunia</t>
  </si>
  <si>
    <t>pernyataan mengejutkan messi usai juara piala dunia singgung soal masa depannya argentina</t>
  </si>
  <si>
    <t>['pernyataan', 'mengejutkan', 'messi', 'usai', 'juara', 'piala', 'dunia', 'singgung', 'soal', 'masa', 'depannya', 'argentina']</t>
  </si>
  <si>
    <t>Bacaleg ama bacapres Argentina udah bikin spanduk selamat juara piala dunia pake muka mereka blom nih?</t>
  </si>
  <si>
    <t>bacaleg ama bacapres argentina udah bikin spanduk selamat juara piala dunia pake muka mereka blom nih</t>
  </si>
  <si>
    <t>['bacaleg', 'ama', 'bacapres', 'argentina', 'udah', 'spanduk', 'selamat', 'juara', 'piala', 'dunia', 'pake', 'muka', 'blom']</t>
  </si>
  <si>
    <t>@ruhutsitompul Semoga sejarah Argentina kembali ke Anies....awal kalah oleh fitnah Anijng2 menggonggong setelahnya sang Juara. Semoga</t>
  </si>
  <si>
    <t>semoga sejarah argentina kembali anies awal kalah oleh fitnah anijng menggonggong setelahnya sang juara semoga</t>
  </si>
  <si>
    <t>['semoga', 'sejarah', 'argentina', 'anies', 'awal', 'kalah', 'fitnah', 'anijng', 'menggonggong', 'setelahnya', 'sang', 'juara', 'semoga']</t>
  </si>
  <si>
    <t>Alhamdulillah. Argentina juara dunia dan Messi kini  "resmi" jadi pemain terbaik dunia sepanjang masa..  https://t.co/TzswTqRzvH</t>
  </si>
  <si>
    <t>Alhamdulillah. Argentina juara dunia dan Messi kini  "resmi" jadi pemain terbaik dunia sepanjang masa..  https://t.co/6R0DbaRl74</t>
  </si>
  <si>
    <t>RT @elzataher: Alhamdulillah. Argentina juara dunia dan Messi kini  "resmi" jadi pemain terbaik dunia sepanjang masa..  https://t.co/kd88fjNKbW</t>
  </si>
  <si>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</si>
  <si>
    <t>simak ulasan brsm membahas headline kompas senin desember argentina juara piala dunia warisan kekal messi untuk argentina liburan nataru mobilitas tak dibatasi tapi mesti dijaga streaming</t>
  </si>
  <si>
    <t>['simak', 'ulasan', 'brsm', 'membahas', 'headline', 'kompas', 'senin', 'desember', 'argentina', 'juara', 'piala', 'dunia', 'warisan', 'kekal', 'messi', 'argentina', 'liburan', 'nataru', 'mobilitas', 'tak', 'dibatasi', 'mesti', 'dijaga', 'streaming']</t>
  </si>
  <si>
    <t>Argentina juara #FIFAWorldCup 2022 .. Congratulation  https://t.co/C60rSsSxhU</t>
  </si>
  <si>
    <t>argentina juara congratulation</t>
  </si>
  <si>
    <t>['argentina', 'juara', 'congratulation']</t>
  </si>
  <si>
    <t>Gelar juara Piala Dunia 2022 jadi warisan yang ditorehkan Messi bagi Argentina. Trofi ke-39 selama karier profesionalnya itu sekaligus jadi perpisahan terindah yang digoreskan Messi sebelum menarik diri dari La Albiceleste.   https://t.co/NDredFAiHc  #PestaBolaQatar #AdadiKompas</t>
  </si>
  <si>
    <t>@bukanMasha @fokusfangirl @Pwediehhh @tanyarlfes tar cerita ke Anaknya  "Bapak sama Ibu dulu nikah karena Argentina Juara Worldcup 2022"  Sebelum pertandingan sih kita berdua ke oyo, nonton bareng berdua üòÇüòÇ</t>
  </si>
  <si>
    <t>tar cerita anaknya bapak sama ibu dulu nikah karena argentina juara worldcup sebelum pertandingan sih kita berdua oyo nonton bareng berdua</t>
  </si>
  <si>
    <t>['tar', 'cerita', 'anaknya', 'bapak', 'sama', 'ibu', 'dulu', 'nikah', 'argentina', 'juara', 'worldcup', 'pertandingan', 'berdua', 'oyo', 'nonton', 'bareng', 'berdua']</t>
  </si>
  <si>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</si>
  <si>
    <t>ketiduran skor bangun lngsng mantau dan ternyata tebakan gue bener awal mulai worldcup udah feeling juara argentina brazil sempet terkecoh hebatnya maroko balik juara pst argentina dan menang dihati masyarakat udah pst maroko dong yekan</t>
  </si>
  <si>
    <t>['ketiduran', 'skor', 'bangun', 'lngsng', 'mantau', 'ternyata', 'tebakan', 'gue', 'benar', 'awal', 'mulai', 'worldcup', 'udah', 'feeling', 'juara', 'argentina', 'brazil', 'sempet', 'terkecoh', 'hebatnya', 'maroko', 'balik', 'juara', 'pst', 'argentina', 'menang', 'dihati', 'masyarakat', 'udah', 'pst', 'maroko', 'dong', 'yekan']</t>
  </si>
  <si>
    <t>@ilhmainur @YesisMe30 @idextratime gara gara aguero pensi, argentina juara</t>
  </si>
  <si>
    <t>gara gara aguero pensi argentina juara</t>
  </si>
  <si>
    <t>['gara', 'gara', 'aguero', 'pensi', 'argentina', 'juara']</t>
  </si>
  <si>
    <t>Tuh kan, firasatku bener.  Emng Argentina yg paling juaraüòÇ</t>
  </si>
  <si>
    <t>tuh kan firasatku bener emng argentina paling juara</t>
  </si>
  <si>
    <t>['kan', 'firasatku', 'benar', 'memang', 'argentina', 'paling', 'juara']</t>
  </si>
  <si>
    <t>Argentina Memastikan Diri Sebagai Juara Piala Dunia 2022  https://t.co/87UgFu8bR3</t>
  </si>
  <si>
    <t>argentina memastikan diri sebagai juara piala dunia</t>
  </si>
  <si>
    <t>['argentina', 'memastikan', 'diri', 'juara', 'piala', 'dunia']</t>
  </si>
  <si>
    <t>Ketua PSSI Argentina masang foto baliho gede gak yo ndk Argentina? Kan mari juara wkkw</t>
  </si>
  <si>
    <t>ketua pssi argentina masang foto baliho gede gak ndk argentina kan mari juara wkkw</t>
  </si>
  <si>
    <t>['ketua', 'pssi', 'argentina', 'masang', 'foto', 'baliho', 'gede', 'ndk', 'argentina', 'kan', 'juara', 'wkkw']</t>
  </si>
  <si>
    <t>Thx Qatar, lancar, sukses, dan bekesan juga piala dunia di akhir tahun, yang menurut sebagian kalangan aneh soalnya piala dunia biasanya summer (Juni/Juli). Benerkan prediksiku Argentina yang juara, 20 tahun lalu Jepang/Korea jadi tuan rumah pildun juaranya Brazil</t>
  </si>
  <si>
    <t>thx qatar lancar sukses dan bekesan juga piala dunia akhir tahun yang menurut sebagian kalangan aneh soalnya piala dunia biasanya summer juni juli benerkan prediksiku argentina yang juara tahun lalu jepang korea jadi tuan rumah pildun juaranya brazil</t>
  </si>
  <si>
    <t>['thank you', 'qatar', 'lancar', 'sukses', 'bekesan', 'piala', 'dunia', 'akhir', 'tahun', 'sebagian', 'kalangan', 'aneh', 'soalnya', 'piala', 'dunia', 'biasanya', 'summer', 'juni', 'juli', 'benerkan', 'prediksiku', 'argentina', 'juara', 'tahun', 'lalu', 'jepang', 'korea', 'jadi', 'tuan', 'rumah', 'piala dunia', 'juaranya', 'brazil']</t>
  </si>
  <si>
    <t>Messi aja juara di Piala Dunia 2022 Qatar. Kamu kapan juara di hatinya?   #Argentina #France #FIFAWorldCup #Qatar2022</t>
  </si>
  <si>
    <t>messi aja juara piala dunia qatar kamu kapan juara hatinya</t>
  </si>
  <si>
    <t>['messi', 'juara', 'piala', 'dunia', 'qatar', 'kamu', 'kapan', 'juara', 'hatinya']</t>
  </si>
  <si>
    <t>@folklore13_1989 @Metro_TV @Argentina Juara sebenarnya tuh Arab Saudi</t>
  </si>
  <si>
    <t>juara sebenarnya tuh arab saudi</t>
  </si>
  <si>
    <t>['juara', 'sebenarnya', 'arab', 'saudi']</t>
  </si>
  <si>
    <t>@punyajwan ha dia siapa ya nder üò≠</t>
  </si>
  <si>
    <t>dia siapa nder</t>
  </si>
  <si>
    <t>['siapa', 'nder']</t>
  </si>
  <si>
    <t>@Aguskuw1 tengkyu ingfo nya gan</t>
  </si>
  <si>
    <t>tengkyu ingfo nya gan</t>
  </si>
  <si>
    <t>['tengkyu', 'info', 'juragan']</t>
  </si>
  <si>
    <t>Yedam emg paling kerennn dri maret dia udh bilang dan skrg beneran argentina menang juara pildun huaaa yedaammm ini waktu yg tepat buat muncul dan rilis lagu minimal christmas song juseyoüò≠üò≠</t>
  </si>
  <si>
    <t>yedam emg paling kerennn dri maret dia udh bilang dan skrg beneran argentina menang juara pildun huaaa yedaammm ini waktu tepat buat muncul dan rilis lagu minimal christmas song juseyo</t>
  </si>
  <si>
    <t>['yedam', 'memang', 'paling', 'kerennn', 'dri', 'maret', 'sudah', 'skrg', 'beneran', 'argentina', 'menang', 'juara', 'piala dunia', 'huaaa', 'yedaammm', 'waktu', 'tepat', 'buat', 'muncul', 'rilis', 'lagu', 'minimal', 'christmas', 'song', 'juseyo']</t>
  </si>
  <si>
    <t>Alhamdulillah Argentina juaraüèÜ #FIFAWorldCup2022 Selamat üëèüëèüëèüëè  #Messi ‚ù§Ô∏è  https://t.co/lxQwjN9Lmu</t>
  </si>
  <si>
    <t>alhamdulillah argentina juara selamat</t>
  </si>
  <si>
    <t>['alhamdulillah', 'argentina', 'juara', 'selamat']</t>
  </si>
  <si>
    <t>Argentina Juara Piala Dunia 2022, Messi Jadi Pemain Pertama yang Raih Dua Bola Emas  https://t.co/aK5BJrL7ns</t>
  </si>
  <si>
    <t>argentina juara piala dunia messi jadi pemain pertama yang raih dua bola emas</t>
  </si>
  <si>
    <t>['argentina', 'juara', 'piala', 'dunia', 'messi', 'jadi', 'pemain', 'pertama', 'raih', 'bola', 'emas']</t>
  </si>
  <si>
    <t>Jika Ronaldo atitudenya diclub layaknya Messi tetap Argentina yang juara sih. Anjir ngeyel banget masih aja susah kalo idola yakü§£</t>
  </si>
  <si>
    <t>jika ronaldo atitudenya diclub layaknya messi tetap argentina yang juara sih anjir ngeyel banget masih aja susah kalo idola yak</t>
  </si>
  <si>
    <t>['ronaldo', 'atitudenya', 'diclub', 'layaknya', 'messi', 'tetap', 'argentina', 'juara', 'anjir', 'ngeyel', 'banget', 'susah', 'idola', 'yak']</t>
  </si>
  <si>
    <t>ARGENTINA terakhir juara 1986 berarti butuh waktu 36 tahun buat juara lagi  BELANDA terakhir juara 1988 Jadi pas EURO 2024 nanti genap 36 tahun  SAMPAI SINI PAHAM KAN...</t>
  </si>
  <si>
    <t>argentina terakhir juara berarti butuh waktu tahun buat juara lagi belanda terakhir juara jadi pas euro nanti genap tahun sampai sini paham kan</t>
  </si>
  <si>
    <t>['argentina', 'terakhir', 'juara', 'berarti', 'butuh', 'waktu', 'tahun', 'buat', 'juara', 'belanda', 'terakhir', 'juara', 'jadi', 'pas', 'euro', 'genap', 'tahun', 'sini', 'paham', 'kan']</t>
  </si>
  <si>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</si>
  <si>
    <t>daftar negara pernah juara piala dunia fifa brazil kali italia kali jerman kali uruguay kali argentina kali perancis kali inggris kali spanyol kali indonesia lain kali</t>
  </si>
  <si>
    <t>['daftar', 'negara', 'pernah', 'juara', 'piala', 'dunia', 'fifa', 'brazil', 'kali', 'italia', 'kali', 'jerman', 'kali', 'uruguay', 'kali', 'argentina', 'kali', 'perancis', 'kali', 'inggris', 'kali', 'spanyol', 'kali', 'indonesia', 'kali']</t>
  </si>
  <si>
    <t>Perjuangan yang sangat panjang  Mantap kali argentina selalu kasih yang terbaik dan akhirnyaa juara duniaüò¢üò¢üò¢üôåüôå  https://t.co/yzpNDGAUR4</t>
  </si>
  <si>
    <t>perjuangan yang sangat panjang mantap kali argentina selalu kasih yang terbaik dan akhirnyaa juara dunia</t>
  </si>
  <si>
    <t>['perjuangan', 'sangat', 'panjang', 'mantap', 'kali', 'argentina', 'selalu', 'kasih', 'terbaik', 'akhirnyaa', 'juara', 'dunia']</t>
  </si>
  <si>
    <t>Berkat Argentina juara, sudah dipastikan Seninku ceria, full senyum ^_^</t>
  </si>
  <si>
    <t>berkat argentina juara sudah dipastikan seninku ceria full senyum</t>
  </si>
  <si>
    <t>['berkat', 'argentina', 'juara', 'dipastikan', 'seninku', 'ceria', 'full', 'senyum']</t>
  </si>
  <si>
    <t>@MARV3Louis @erickthohir Argentina juara üòÄüòÄüëçüëçüëç</t>
  </si>
  <si>
    <t>Argentina juara piala dunia. Kalo kamu tetep juara di hati aku.</t>
  </si>
  <si>
    <t>argentina juara piala dunia kalo kamu tetep juara hati aku</t>
  </si>
  <si>
    <t>['argentina', 'juara', 'piala', 'dunia', 'kamu', 'tetep', 'juara', 'hati', 'aku']</t>
  </si>
  <si>
    <t>Hasil Argentina Vs Perancis: Menang Adu Penalti, Messi dkk Juara Piala Dunia!  https://t.co/G1yYUkJvhb  #BeritaSonora via @KompasBola</t>
  </si>
  <si>
    <t>hasil argentina perancis menang adu penalti messi dkk juara piala dunia via</t>
  </si>
  <si>
    <t>['hasil', 'argentina', 'perancis', 'menang', 'adu', 'penalti', 'messi', 'dkk', 'juara', 'piala', 'dunia', 'via']</t>
  </si>
  <si>
    <t>Argentina juara Piala Dunia 2022  https://t.co/NOhFqEhceg</t>
  </si>
  <si>
    <t>gua bisa bolak balik 10 jam IG, tewitter, tiktok untuk liat argentina juara anjg</t>
  </si>
  <si>
    <t>gua bisa bolak balik jam tewitter tiktok untuk liat argentina juara anjg</t>
  </si>
  <si>
    <t>['gua', 'bolak', 'balik', 'jam', 'tewitter', 'tiktok', 'lihat', 'argentina', 'juara', 'anjg']</t>
  </si>
  <si>
    <t>Rekor Baru Messi Usai Argentina Juara Piala Dunia 2022   https://t.co/Gb09nbyXVt</t>
  </si>
  <si>
    <t>rekor baru messi usai argentina juara piala dunia</t>
  </si>
  <si>
    <t>['rekor', 'baru', 'messi', 'usai', 'argentina', 'juara', 'piala', 'dunia']</t>
  </si>
  <si>
    <t>Tahniah Argentina juara WC 2022  https://t.co/V0biqnucAS</t>
  </si>
  <si>
    <t>tahniah argentina juara</t>
  </si>
  <si>
    <t>['tahniah', 'argentina', 'juara']</t>
  </si>
  <si>
    <t>akhirnya, berikut juara-juara piala dunia 1. Argentina 2. Perancis 3. Kroasia dan ke-3nya bukan dari negara yang mempunyai üê™üê´ sbg binatang peliharaannya...........tetapi ü¶Æüêï‚Äçü¶∫. ada yang tiarap sepertinya. bagus kalau sdh mengerti!</t>
  </si>
  <si>
    <t>akhirnya berikut juara juara piala dunia argentina perancis kroasia dan nya bukan dari negara yang mempunyai sbg binatang peliharaannya tetapi ada yang tiarap sepertinya bagus kalau sdh mengerti</t>
  </si>
  <si>
    <t>['akhirnya', 'berikut', 'juara', 'juara', 'piala', 'dunia', 'argentina', 'perancis', 'kroasia', 'bukan', 'negara', 'mempunyai', 'sbg', 'binatang', 'peliharaannya', 'tiarap', 'sepertinya', 'bagus', 'kalau', 'mengerti']</t>
  </si>
  <si>
    <t>Argentina juara, ane ga bisa tidur</t>
  </si>
  <si>
    <t>argentina juara ane bisa tidur</t>
  </si>
  <si>
    <t>['argentina', 'juara', 'ane', 'tidur']</t>
  </si>
  <si>
    <t>Assalamualaikum wr wb Salam sejahtera bg kt semua Semangat pagi Selamat untuk ARGENTINA JUARA DUNIA SEPAK BOLA 2022 terutama buat Kang Messy Sy teh puas pisan.. Salam sukses untuk semua  https://t.co/NV404iUppc</t>
  </si>
  <si>
    <t>assalamualaikum salam sejahtera semua semangat pagi selamat untuk argentina juara dunia sepak bola terutama buat kang messy teh puas pisan salam sukses untuk semua</t>
  </si>
  <si>
    <t>['assalamualaikum', 'salam', 'sejahtera', 'semua', 'semangat', 'pagi', 'selamat', 'argentina', 'juara', 'dunia', 'sepak', 'bola', 'terutama', 'buat', 'kang', 'messy', 'teh', 'puas', 'pisan', 'salam', 'sukses', 'semua']</t>
  </si>
  <si>
    <t>@steveAndrew94 @SiaranBolaLive Argentina juara bro..ü§£ü§£ü§£</t>
  </si>
  <si>
    <t>Timnas Argentina Juara Piala Dunia 2022 Setelah Mengalahkan Prancis Lewat Drama Adu¬†Pinalti  https://t.co/ZEFM3W8nwl</t>
  </si>
  <si>
    <t>timnas argentina juara piala dunia setelah mengalahkan prancis lewat drama adu pinalti</t>
  </si>
  <si>
    <t>['timnas', 'argentina', 'juara', 'piala', 'dunia', 'mengalahkan', 'prancis', 'lewat', 'drama', 'adu', 'penalti']</t>
  </si>
  <si>
    <t>Wes tak kandani -rek all in Argentina ae gak percoyo, wingi aku ngimpi Argentina juara lak bener yo</t>
  </si>
  <si>
    <t>wes tak kandani rek all argentina gak percoyo wingi aku ngimpi argentina juara lak bener</t>
  </si>
  <si>
    <t>['wes', 'tak', 'kandani', 'rek', 'all', 'argentina', 'percoyo', 'wingi', 'aku', 'ngimpi', 'argentina', 'juara', 'lak', 'benar']</t>
  </si>
  <si>
    <t>Harus nya emang dari dulu messi sama argentina juara, kalo CR agak susah berat di pundak.</t>
  </si>
  <si>
    <t>harus nya emang dari dulu messi sama argentina juara kalo agak susah berat pundak</t>
  </si>
  <si>
    <t>['emang', 'dulu', 'messi', 'sama', 'argentina', 'juara', 'susah', 'berat', 'pundak']</t>
  </si>
  <si>
    <t>Selamat Argentina Juara Dunia Sepak Bola 2022. Selamat Messi dpt tambahan gelar Piala World Cup 2022 diakhir karirnya, karena 4th lagi dia gak ikutan ü•∏</t>
  </si>
  <si>
    <t>selamat argentina juara dunia sepak bola selamat messi dpt tambahan gelar piala world cup diakhir karirnya karena lagi dia gak ikutan</t>
  </si>
  <si>
    <t>['selamat', 'argentina', 'juara', 'dunia', 'sepak', 'bola', 'selamat', 'messi', 'dpt', 'tambahan', 'gelar', 'piala', 'world', 'cup', 'diakhir', 'karirnya', 'ikutan']</t>
  </si>
  <si>
    <t>Mesti pada ngomongin Argentina juara Ya kan,dh keliatan tak ada negara yg bisa mempertahankan juara Sesimple itu,,kok masih ada yg pegang prancis</t>
  </si>
  <si>
    <t>mesti pada ngomongin argentina juara kan keliatan tak ada negara bisa mempertahankan juara sesimple itu kok masih ada pegang prancis</t>
  </si>
  <si>
    <t>['mesti', 'ngomongin', 'argentina', 'juara', 'kan', 'keliatan', 'tak', 'negara', 'mempertahankan', 'juara', 'sesimple', 'kok', 'pegang', 'prancis']</t>
  </si>
  <si>
    <t>Dikalahkan Argentina, Prancis Gagal Back to Back Juara Piala Dunia - Bee News  https://t.co/fcp6HFoSaC</t>
  </si>
  <si>
    <t>dikalahkan argentina prancis gagal back back juara piala dunia bee news</t>
  </si>
  <si>
    <t>['dikalahkan', 'argentina', 'prancis', 'gagal', 'back', 'back', 'juara', 'piala', 'dunia', 'bee', 'news']</t>
  </si>
  <si>
    <t>Argentina membuat Prancis mengulangi apa yang dialami ARG thn 1990, juara bertahan yg jadi runner-up.   Akhirnya Messi mendapat Piala Dunia, justru di ujung karirnya.   Mbappe kebagian Golden Boot, prestasi luar biasa di usia muda. Masih banyak peluang mencetak rekor lainnya.</t>
  </si>
  <si>
    <t>argentina membuat prancis mengulangi apa yang dialami arg thn juara bertahan jadi runner akhirnya messi mendapat piala dunia justru ujung karirnya mbappe kebagian golden boot prestasi luar biasa usia muda masih banyak peluang mencetak rekor lainnya</t>
  </si>
  <si>
    <t>['argentina', 'membuat', 'prancis', 'mengulangi', 'apa', 'dialami', 'arg', 'thn', 'juara', 'bertahan', 'jadi', 'runner', 'akhirnya', 'messi', 'mendapat', 'piala', 'dunia', 'justru', 'ujung', 'karirnya', 'mbappe', 'kebagian', 'golden', 'boot', 'prestasi', 'luar', 'biasa', 'usia', 'muda', 'banyak', 'peluang', 'mencetak', 'rekor', 'lainnya']</t>
  </si>
  <si>
    <t>&lt;FreqDist with 34 samples and 34 outcomes&gt;</t>
  </si>
  <si>
    <t>Emi Martinez terpilih sebagai kiper terbaik FIFA World Cup 2022. Tapi ia juga sih tanpa Emi dan Messi Argentina enggak bisa juara. Kira-kira peran Emi untuk Argentina 70% Messi 20% selebihnya 10% untuk kerja sama tim. üëèüëèüëè  https://t.co/ztrZI0jnid</t>
  </si>
  <si>
    <t>emi martinez terpilih sebagai kiper terbaik fifa world cup tapi juga sih tanpa emi dan messi argentina enggak bisa juara kira kira peran emi untuk argentina messi selebihnya untuk kerja sama tim</t>
  </si>
  <si>
    <t>['emi', 'martinez', 'terpilih', 'kiper', 'terbaik', 'fifa', 'world', 'cup', 'emi', 'messi', 'argentina', 'enggak', 'juara', 'kira', 'kira', 'peran', 'emi', 'argentina', 'messi', 'selebihnya', 'kerja', 'sama', 'tim']</t>
  </si>
  <si>
    <t>England ‚ùå Perancis ‚ùå Argentina ‚úÖ Argentina menambah koleksi Pialanya  jadi üèÜüèÜüèÜ.. Nggak Mungkin Perancis  Juara Bertahan akan menang lagi. üòå SepakBola emang kek gitu. üò•</t>
  </si>
  <si>
    <t>england perancis argentina argentina menambah koleksi pialanya jadi nggak mungkin perancis juara bertahan akan menang lagi sepakbola emang kek gitu</t>
  </si>
  <si>
    <t>['england', 'perancis', 'argentina', 'argentina', 'menambah', 'koleksi', 'pialanya', 'jadi', 'mungkin', 'perancis', 'juara', 'bertahan', 'menang', 'sepakbola', 'emang', 'kek', 'gitu']</t>
  </si>
  <si>
    <t>masi pengen nangis terharu keinget Argentina juara world cup semalem üò≠üò≠ papi messiiii love u moreeee</t>
  </si>
  <si>
    <t>masi pengen nangis terharu keinget argentina juara world cup semalem papi messiiii love moreeee</t>
  </si>
  <si>
    <t>['masi', 'pengen', 'nangis', 'terharu', 'keinget', 'argentina', 'juara', 'world', 'cup', 'semalam', 'papi', 'messiiii', 'love', 'moreeee']</t>
  </si>
  <si>
    <t>Hadiah dari FIFA untuk messi, dari semi-final udh mikir pasti argentina yg juara karena pildun terakhir messi</t>
  </si>
  <si>
    <t>hadiah dari fifa untuk messi dari semi final udh mikir pasti argentina juara karena pildun terakhir messi</t>
  </si>
  <si>
    <t>['hadiah', 'fifa', 'messi', 'semi', 'final', 'sudah', 'mikir', 'argentina', 'juara', 'piala dunia', 'terakhir', 'messi']</t>
  </si>
  <si>
    <t>gua inget banget tgl 22 november pas argentina kalah lawan arab, gua langsung uninstall semua sosmed ig twt line fb tele tiktok kecuali wa. asli grgr malu sblm mulai pildun udah koar2 argentina bakal juaraüò≠üò≠üò≠üòÇüòÇüòÇ</t>
  </si>
  <si>
    <t>gua inget banget tgl november pas argentina kalah lawan arab gua langsung uninstall semua sosmed twt line tele tiktok kecuali asli grgr malu sblm mulai pildun udah koar argentina bakal juara</t>
  </si>
  <si>
    <t>['gua', 'inget', 'banget', 'tgl', 'november', 'pas', 'argentina', 'kalah', 'lawan', 'arab', 'gua', 'langsung', 'uninstall', 'semua', 'sosmed', 'twt', 'line', 'tele', 'tiktok', 'asli', 'grgr', 'malu', 'sebelum', 'mulai', 'piala dunia', 'udah', 'koar', 'argentina', 'bakal', 'juara']</t>
  </si>
  <si>
    <t>Lewat Adu Penalti, Argentina Tahbiskan Diri Juara Piala Dunia 2022 - Bee News  https://t.co/YJ6Go8h2sb</t>
  </si>
  <si>
    <t>lewat adu penalti argentina tahbiskan diri juara piala dunia bee news</t>
  </si>
  <si>
    <t>['lewat', 'adu', 'penalti', 'argentina', 'tahbiskan', 'diri', 'juara', 'piala', 'dunia', 'bee', 'news']</t>
  </si>
  <si>
    <t>Selamat buat Messi dan Argentina yang telah meraih juara #PialaDunia2022</t>
  </si>
  <si>
    <t>selamat buat messi dan argentina yang telah meraih juara</t>
  </si>
  <si>
    <t>['selamat', 'buat', 'messi', 'argentina', 'meraih', 'juara']</t>
  </si>
  <si>
    <t>Bek Arab Saudi, Mohamed Kano mengomentari Argentina juara Piala Dunia:  "Sama Argentina aja kalian kalah? Ya salam... Bahlul ente semua!"  Sumber:  https://t.co/Aa5H5uV2Pt,  https://t.co/ZC72IIgOMP  #KSA  https://t.co/LKGx4tCPzl</t>
  </si>
  <si>
    <t>bek arab saudi mohamed kano mengomentari argentina juara piala dunia sama argentina aja kalian kalah salam bahlul ente semua sumber</t>
  </si>
  <si>
    <t>['bek', 'arab', 'saudi', 'mohamed', 'kano', 'mengomentari', 'argentina', 'juara', 'piala', 'dunia', 'sama', 'argentina', 'kalian', 'kalah', 'salam', 'bahlul', 'ente', 'semua', 'sumber']</t>
  </si>
  <si>
    <t>Terlepas dari Argentina keluar sebagai juara dunia YANG PERNAH DIKALAHKAN ARAB SAUDI. Penggemar sepak bola Indonesia sangat militan. Terlihat dari euforia dari awal hingga akhir mendukung Tim jagoannya dan membully tim yg kalah. Wkwkwk Vamos Argentina!  Mbappe Top scorernya!</t>
  </si>
  <si>
    <t>terlepas dari argentina keluar sebagai juara dunia yang pernah dikalahkan arab saudi penggemar sepak bola indonesia sangat militan terlihat dari euforia dari awal hingga akhir mendukung tim jagoannya dan membully tim kalah wkwkwk vamos argentina mbappe top scorernya</t>
  </si>
  <si>
    <t>['terlepas', 'argentina', 'keluar', 'juara', 'dunia', 'pernah', 'dikalahkan', 'arab', 'saudi', 'penggemar', 'sepak', 'bola', 'indonesia', 'sangat', 'militan', 'terlihat', 'euforia', 'awal', 'hingga', 'akhir', 'mendukung', 'tim', 'jagoannya', 'membully', 'tim', 'kalah', 'wkwkwk', 'vamos', 'argentina', 'mbappe', 'top', 'scorernya']</t>
  </si>
  <si>
    <t>@zialogi Waktu tahun 1990 saya masih kecil kecewa Argentina kalah dengan Germany, berselang 30 tahun pennantian panjang akhirnya bisa tertawa dan tersenyum Argentina Juara</t>
  </si>
  <si>
    <t>waktu tahun saya masih kecil kecewa argentina kalah dengan germany berselang tahun pennantian panjang akhirnya bisa tertawa dan tersenyum argentina juara</t>
  </si>
  <si>
    <t>['waktu', 'tahun', 'kecil', 'kecewa', 'argentina', 'kalah', 'germany', 'berselang', 'tahun', 'pennantian', 'panjang', 'akhirnya', 'tertawa', 'tersenyum', 'argentina', 'juara']</t>
  </si>
  <si>
    <t>Walaupun argentina juara 1 piala dunia, bagiku juara 1 tetep dinda</t>
  </si>
  <si>
    <t>walaupun argentina juara piala dunia bagiku juara tetep dinda</t>
  </si>
  <si>
    <t>['walaupun', 'argentina', 'juara', 'piala', 'dunia', 'bagiku', 'juara', 'tetep', 'dinda']</t>
  </si>
  <si>
    <t>Juara Piala Dunia 2022, Messi Masih Terus Bermain untuk Argentina  https://t.co/of0ku4VoDK</t>
  </si>
  <si>
    <t>juara piala dunia messi masih terus bermain untuk argentina</t>
  </si>
  <si>
    <t>Bermimpi menjadi juara Piala Dunia adalah cara warga Argentina melarikan diri saat mereka menderita selama bertahun-tahun karena krisis¬†ekonomi dan inflasi yang tinggi.   https://t.co/Vp187dhzLJ</t>
  </si>
  <si>
    <t>bermimpi menjadi juara piala dunia adalah cara warga argentina melarikan diri saat mereka menderita selama bertahun tahun karena krisis ekonomi dan inflasi yang tinggi</t>
  </si>
  <si>
    <t>['bermimpi', 'menjadi', 'juara', 'piala', 'dunia', 'cara', 'warga', 'argentina', 'melarikan', 'diri', 'menderita', 'selama', 'bertahun', 'tahun', 'krisis', 'ekonomi', 'inflasi', 'tinggi']</t>
  </si>
  <si>
    <t>Argentina Sukses Menjuarai Piala Dunia, Messi Mencatatkan Sejarah Baru #Argentinajuara  https://t.co/ydRFiZUrGk</t>
  </si>
  <si>
    <t>argentina sukses menjuarai piala dunia messi mencatatkan sejarah baru</t>
  </si>
  <si>
    <t>['argentina', 'sukses', 'menjuarai', 'piala', 'dunia', 'messi', 'mencatatkan', 'sejarah', 'baru']</t>
  </si>
  <si>
    <t>Argentina juara ni sebab salah Harry Kane la.</t>
  </si>
  <si>
    <t>argentina juara sebab salah harry kane</t>
  </si>
  <si>
    <t>['argentina', 'juara', 'salah', 'harry', 'kane']</t>
  </si>
  <si>
    <t>ARGENTINA FANS di Tanah Papua. Pawal Setelah Juara Piala Dunia 2022.  https://t.co/2kK4mbLWAx</t>
  </si>
  <si>
    <t>argentina fans tanah papua pawal setelah juara piala dunia</t>
  </si>
  <si>
    <t>['argentina', 'fans', 'tanah', 'papua', 'pawal', 'juara', 'piala', 'dunia']</t>
  </si>
  <si>
    <t>argentina juara Drake full senyum</t>
  </si>
  <si>
    <t>argentina juara drake full senyum</t>
  </si>
  <si>
    <t>['argentina', 'juara', 'drake', 'full', 'senyum']</t>
  </si>
  <si>
    <t>Argentina Juara Dunia 2022, Lionel Messi The Real G.O.A.T  https://t.co/JeimQGiLWp</t>
  </si>
  <si>
    <t>Sengit, Argentina Juara Setelah Menang Pinalti  https://t.co/gFBYJBafRH lewat @kalderadotid</t>
  </si>
  <si>
    <t>sengit argentina juara setelah menang pinalti lewat</t>
  </si>
  <si>
    <t>['sengit', 'argentina', 'juara', 'menang', 'penalti', 'lewat']</t>
  </si>
  <si>
    <t>Alhamdulillah. Argentina juara dunia dan Messi kini  "resmi" jadi pemain terbaik dunia sepanjang masa..  https://t.co/WLaTh7FCYm</t>
  </si>
  <si>
    <t>Argentina Juara! 'Sang Mesias' Telah Tiba di 'Keabadian'  https://t.co/8RSJ3Bc5sq</t>
  </si>
  <si>
    <t>argentina juara sang mesias telah tiba keabadian</t>
  </si>
  <si>
    <t>['argentina', 'juara', 'sang', 'mesias', 'tiba', 'keabadian']</t>
  </si>
  <si>
    <t>Seharusnya bukan Argentina yang Juara, Salah satu wasit mengungkapkan fakta lapangan  https://t.co/oZbJclx2Bk</t>
  </si>
  <si>
    <t>seharusnya bukan argentina yang juara salah satu wasit mengungkapkan fakta lapangan</t>
  </si>
  <si>
    <t>['bukan', 'argentina', 'juara', 'salah', 'satu', 'wasit', 'mengungkapkan', 'fakta', 'lapangan']</t>
  </si>
  <si>
    <t>YAAA (Yang Argentina Argentina Aja) So proud of youuuuu Akhirnya jd juara dunia WCü•∫ü•∫ Terharu bangettt</t>
  </si>
  <si>
    <t>yaaa yang argentina argentina aja proud youuuuu akhirnya juara dunia terharu bangettt</t>
  </si>
  <si>
    <t>['yaaa', 'argentina', 'argentina', 'proud', 'youuuuu', 'akhirnya', 'juara', 'dunia', 'terharu', 'bangettt']</t>
  </si>
  <si>
    <t>@erickthohir @Cintada16 @KMbappe Mental pemain Argentina saat adu penalti lebih baik dari Perancis. Argentina pantas jadi juara dunia.</t>
  </si>
  <si>
    <t>mental pemain argentina saat adu penalti lebih baik dari perancis argentina pantas jadi juara dunia</t>
  </si>
  <si>
    <t>['mental', 'pemain', 'argentina', 'adu', 'penalti', 'lebih', 'baik', 'perancis', 'argentina', 'pantas', 'jadi', 'juara', 'dunia']</t>
  </si>
  <si>
    <t>Timnas Argentina akhirnya Juara Piala Dunia, Qatar 2022üèÜ. dramatis, seru dan menegangkan hingga adu penalti.  mbappe mantap,...  martinez, luar biasa...  messi istimewa,..  https://t.co/RiLKp8ewE2</t>
  </si>
  <si>
    <t>timnas argentina akhirnya juara piala dunia qatar dramatis seru dan menegangkan hingga adu penalti mbappe mantap martinez luar biasa messi istimewa</t>
  </si>
  <si>
    <t>['timnas', 'argentina', 'akhirnya', 'juara', 'piala', 'dunia', 'qatar', 'dramatis', 'seru', 'menegangkan', 'hingga', 'adu', 'penalti', 'mbappe', 'mantap', 'martinez', 'luar', 'biasa', 'messi', 'istimewa']</t>
  </si>
  <si>
    <t>Finally Argentina juara üëè</t>
  </si>
  <si>
    <t>finally argentina juara</t>
  </si>
  <si>
    <t>['finally', 'argentina', 'juara']</t>
  </si>
  <si>
    <t>akhirnya Messi bisa pensiun dengan tenang. congrats Argentina   juara dunia sudah ditanganüéâü•≥</t>
  </si>
  <si>
    <t>akhirnya messi bisa pensiun dengan tenang congrats argentina juara dunia sudah ditangan</t>
  </si>
  <si>
    <t>['akhirnya', 'messi', 'pensiun', 'tenang', 'congrats', 'argentina', 'juara', 'dunia', 'ditangan']</t>
  </si>
  <si>
    <t>Bawa Argentina Juara Piala Dunia 2022, Scaloni : Mereka buat saya bangga ! #FIFAWorldCup  #Qatar2022    https://t.co/PO3u4RTEJJ</t>
  </si>
  <si>
    <t>bawa argentina juara piala dunia scaloni mereka buat saya bangga</t>
  </si>
  <si>
    <t>['bawa', 'argentina', 'juara', 'piala', 'dunia', 'scaloni', 'buat', 'bangga']</t>
  </si>
  <si>
    <t>Argentina Juara Piala Dunia, Puluhan Warga Polewali Mandar Jalan Kaki 7 Km   #Sindonews #BukanBeritaBiasa . https://t.co/kMg0LtxjNo</t>
  </si>
  <si>
    <t>argentina juara piala dunia puluhan warga polewali mandar jalan kaki</t>
  </si>
  <si>
    <t>['argentina', 'juara', 'piala', 'dunia', 'puluhan', 'warga', 'polewali', 'mandar', 'jalan', 'kaki']</t>
  </si>
  <si>
    <t>Baru tau klo argentina kalah sm Arab di awal2, pantas banyak joke yg blg Arab juara 1 üòÖüòÖ</t>
  </si>
  <si>
    <t>baru tau klo argentina kalah arab awal pantas banyak joke blg arab juara</t>
  </si>
  <si>
    <t>['baru', 'argentina', 'kalah', 'arab', 'awal', 'pantas', 'banyak', 'joke', 'blg', 'arab', 'juara']</t>
  </si>
  <si>
    <t>@emanggile Argentina a yng juara 1 ..</t>
  </si>
  <si>
    <t>argentina yng juara</t>
  </si>
  <si>
    <t>['argentina', 'yng', 'juara']</t>
  </si>
  <si>
    <t>FIFA World Cup 2022, Argentina Juara Dunia.  https://t.co/BjaehDZsTJ</t>
  </si>
  <si>
    <t>fifa world cup argentina juara dunia</t>
  </si>
  <si>
    <t>['fifa', 'world', 'cup', 'argentina', 'juara', 'dunia']</t>
  </si>
  <si>
    <t>Jadi juara dapet piala, Kl kalah jangan baper Argentina angkat piala, Prancis angkat koper</t>
  </si>
  <si>
    <t>jadi juara dapet piala kalah jangan baper argentina angkat piala prancis angkat koper</t>
  </si>
  <si>
    <t>['jadi', 'juara', 'dapat', 'piala', 'kalah', 'jangan', 'bawa perasaan', 'argentina', 'angkat', 'piala', 'prancis', 'angkat', 'koper']</t>
  </si>
  <si>
    <t>memang benar kata nenek Tahun ini Argentina yang juara, üá¶üá∑üá¶üá∑üá¶üá∑üëèüëè #Argentina</t>
  </si>
  <si>
    <t>memang benar kata nenek tahun ini argentina yang juara</t>
  </si>
  <si>
    <t>['memang', 'benar', 'kata', 'nenek', 'tahun', 'argentina', 'juara']</t>
  </si>
  <si>
    <t>7 Rekor Gemerlap Lionel Messi Usai Bawa Argentina Juara Piala Dunia 2022, Nomor 2 Susah¬†Dikejar  https://t.co/YT9NfumJUT</t>
  </si>
  <si>
    <t>rekor gemerlap lionel messi usai bawa argentina juara piala dunia nomor susah dikejar</t>
  </si>
  <si>
    <t>['rekor', 'gemerlap', 'lionel', 'messi', 'usai', 'bawa', 'argentina', 'juara', 'piala', 'dunia', 'nomor', 'susah', 'dikejar']</t>
  </si>
  <si>
    <t>Seumur2 ngikutin perjalanan Argentina, perdana lihat Albiceleste masuk babak final dan juara. Andaikan nyokap bisa ntn bareng gw, pasti nyokap bahagia bgt liat Argentina juara</t>
  </si>
  <si>
    <t>seumur ngikutin perjalanan argentina perdana lihat albiceleste masuk babak final dan juara andaikan nyokap bisa ntn bareng pasti nyokap bahagia bgt liat argentina juara</t>
  </si>
  <si>
    <t>['seumur', 'ngikutin', 'perjalanan', 'argentina', 'perdana', 'lihat', 'albiceleste', 'masuk', 'babak', 'final', 'juara', 'andaikan', 'nyokap', 'ntn', 'bareng', 'nyokap', 'bahagia', 'banget', 'lihat', 'argentina', 'juara']</t>
  </si>
  <si>
    <t>Dah feeling argentina yg menangin pildun ,soalnya sekelas messi yg blm kecapai jadi juara di pildun doang kyknya + ambis mau cetak sejarah juga karena udh 36 thn argentina blm sampai final..cmiiw</t>
  </si>
  <si>
    <t>dah feeling argentina menangin pildun soalnya sekelas messi blm kecapai jadi juara pildun doang kyknya ambis mau cetak sejarah juga karena udh thn argentina blm sampai final cmiiw</t>
  </si>
  <si>
    <t>['dah', 'feeling', 'argentina', 'menangin', 'piala dunia', 'soalnya', 'sekelas', 'messi', 'blm', 'kecapai', 'jadi', 'juara', 'piala dunia', 'doang', 'sepertinya', 'ambis', 'mau', 'cetak', 'sejarah', 'sudah', 'thn', 'argentina', 'blm', 'final', 'cmiiw']</t>
  </si>
  <si>
    <t>7 Rekor Gemerlap Lionel Messi Usai Bawa Argentina Juara Piala Dunia 2022, Nomor 2 Susah¬†Dikejar  https://t.co/T5NlF3gGPx</t>
  </si>
  <si>
    <t>@The_RedsIndo FIFA cinta Messi ngebet Argentina juara ya</t>
  </si>
  <si>
    <t>redsindo fifa cinta messi ngebet argentina juara</t>
  </si>
  <si>
    <t>['redsindo', 'fifa', 'cinta', 'messi', 'ngebet', 'argentina', 'juara']</t>
  </si>
  <si>
    <t>Juara Dunia Emilia Martinez #Argentina #FIFAWorldCup #Qatar2022 #MessiìÉµ   Emiliano Martinez Membawa Bendera Argentina me jadi Juara   https://t.co/3ma3WYD8UK</t>
  </si>
  <si>
    <t>juara dunia emilia martinez emiliano martinez membawa bendera argentina jadi juara</t>
  </si>
  <si>
    <t>['juara', 'dunia', 'emilia', 'martinez', 'emiliano', 'martinez', 'membawa', 'bendera', 'argentina', 'jadi', 'juara']</t>
  </si>
  <si>
    <t>Juara dunia memang argentina, tapi juara di hati aku ya cuma kamu @AM_EllaJKT48 @R_AdelJKT48  #SarapanFotoOshi (19/31)  https://t.co/F8LvqziX8Q</t>
  </si>
  <si>
    <t>juara dunia memang argentina tapi juara hati aku cuma kamu ellajkt adeljkt</t>
  </si>
  <si>
    <t>['juara', 'dunia', 'memang', 'argentina', 'juara', 'hati', 'aku', 'cuma', 'kamu', 'ellajkt', 'adeljkt']</t>
  </si>
  <si>
    <t>Argentina Hapus Kutukan Piala Dunia 1990: Kalah di Laga Pembuka, Juara Piala Dunia 2022  https://t.co/UnRG4Cn6MY</t>
  </si>
  <si>
    <t>argentina hapus kutukan piala dunia kalah laga pembuka juara piala dunia</t>
  </si>
  <si>
    <t>['argentina', 'hapus', 'kutukan', 'piala', 'dunia', 'kalah', 'laga', 'pembuka', 'juara', 'piala', 'dunia']</t>
  </si>
  <si>
    <t>Lionel Messi sukses membawa Argentina juara Piala Dunia untuk ketiga kalinya setelah puasa 36 tahun!  https://t.co/EwyljyNtOc</t>
  </si>
  <si>
    <t>lionel messi sukses membawa argentina juara piala dunia untuk ketiga kalinya setelah puasa tahun</t>
  </si>
  <si>
    <t>['lionel', 'messi', 'sukses', 'membawa', 'argentina', 'juara', 'piala', 'dunia', 'ketiga', 'kalinya', 'puasa', 'tahun']</t>
  </si>
  <si>
    <t>Messi Juara Dunia Ronaldo Mbappe Rungkad Argentina France  https://t.co/YSSm7YC3Xi</t>
  </si>
  <si>
    <t>messi juara dunia ronaldo mbappe rungkad argentina france</t>
  </si>
  <si>
    <t>['messi', 'juara', 'dunia', 'ronaldo', 'mbappe', 'rungkad', 'argentina', 'france']</t>
  </si>
  <si>
    <t>Sng juara Argentina sng trending Ronaldo iki maksude opoü§£</t>
  </si>
  <si>
    <t>sng juara argentina sng trending ronaldo iki maksude opo</t>
  </si>
  <si>
    <t>['sng', 'juara', 'argentina', 'sng', 'trending', 'ronaldo', 'iki', 'maksude', 'opo']</t>
  </si>
  <si>
    <t>Argentina Vs Prancis: Lewat Adu Penalti, Tim Tango Juara Piala Dunia¬†2022  https://t.co/vrV8roRxjX</t>
  </si>
  <si>
    <t>argentina prancis lewat adu penalti tim tango juara piala dunia</t>
  </si>
  <si>
    <t>['argentina', 'prancis', 'lewat', 'adu', 'penalti', 'tim', 'tango', 'juara', 'piala', 'dunia']</t>
  </si>
  <si>
    <t>Perdebatan antara Messi dan Ronaldo selesai setelah Argentina juara Dunia</t>
  </si>
  <si>
    <t>perdebatan antara messi dan ronaldo selesai setelah argentina juara dunia</t>
  </si>
  <si>
    <t>['perdebatan', 'messi', 'ronaldo', 'selesai', 'argentina', 'juara', 'dunia']</t>
  </si>
  <si>
    <t>Messi Juara Dunia Ronaldo Rungkad Argentina France  https://t.co/SlYulK6rnk</t>
  </si>
  <si>
    <t>messi juara dunia ronaldo rungkad argentina france</t>
  </si>
  <si>
    <t>['messi', 'juara', 'dunia', 'ronaldo', 'rungkad', 'argentina', 'france']</t>
  </si>
  <si>
    <t>Kalo ga salah dulunya dia pemain, pernah main bareng messi dipiala dunia 2006. Sekarang jd pelatih yg ngelatih messi dan berhasil bawa argentina juara dipiala dunia 2022 üëèüèª</t>
  </si>
  <si>
    <t>kalo salah dulunya dia pemain pernah main bareng messi dipiala dunia sekarang pelatih ngelatih messi dan berhasil bawa argentina juara dipiala dunia</t>
  </si>
  <si>
    <t>['salah', 'pemain', 'pernah', 'main', 'bareng', 'messi', 'dipiala', 'dunia', 'sekarang', 'pelatih', 'ngelatih', 'messi', 'berhasil', 'bawa', 'argentina', 'juara', 'dipiala', 'dunia']</t>
  </si>
  <si>
    <t>Final terseruuu sepanjang nonton bola üò≠ congrats GOAT dan Argentina. Mental juara mau gmn pun ujung2ny juara ‚ú®</t>
  </si>
  <si>
    <t>final terseruuu sepanjang nonton bola congrats goat dan argentina mental juara mau gmn pun ujung juara</t>
  </si>
  <si>
    <t>['final', 'terseruuu', 'sepanjang', 'nonton', 'bola', 'congrats', 'goat', 'argentina', 'mental', 'juara', 'mau', 'gmn', 'ujung', 'juara']</t>
  </si>
  <si>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</si>
  <si>
    <t>walaupun tdk sempat melihat beberapa pemain idola argentina juara senang rasanya bisa nonton laga debut messi dan merengkuh trofi pasca pra tdk terlalu mengikuti apalagi larut dlm perdebatan karena setiap org punya cara nikmati sepak bola</t>
  </si>
  <si>
    <t>['walaupun', 'sempat', 'melihat', 'beberapa', 'pemain', 'idola', 'argentina', 'juara', 'senang', 'rasanya', 'nonton', 'laga', 'debut', 'messi', 'merengkuh', 'trofi', 'pasca', 'pra', 'terlalu', 'mengikuti', 'larut', 'dlm', 'perdebatan', 'org', 'punya', 'cara', 'nikmati', 'sepak', 'bola']</t>
  </si>
  <si>
    <t>Messi Juara Dunia Ronaldo Rungkad Argentina France  https://t.co/wqjwEFbf1P</t>
  </si>
  <si>
    <t>Messi Juara Dunia Ronaldo Rungkad Argentina France  https://t.co/HmMRIjzSqz</t>
  </si>
  <si>
    <t>@Dennysiregar7 dalam¬≤ byk yg nebak,ternyata Rafatar juga Juara nya. ini baru nama nya pembawa keberuntungan ank nya dukung Argentina lsg jd juara ayah nya dukung Jokowi juga jd pemenang. kalau Densi buat rusak yg ada üòÇüòÇüòÇ  https://t.co/rOFYeqAmiU</t>
  </si>
  <si>
    <t>dalam byk nebak ternyata rafatar juga juara nya ini baru nama nya pembawa keberuntungan ank nya dukung argentina lsg juara ayah nya dukung jokowi juga pemenang kalau densi buat rusak ada</t>
  </si>
  <si>
    <t>['byk', 'nebak', 'ternyata', 'rafatar', 'juara', 'baru', 'nama', 'pembawa', 'keberuntungan', 'ank', 'dukung', 'argentina', 'lsg', 'juara', 'ayah', 'dukung', 'jokowi', 'pemenang', 'kalau', 'densi', 'buat', 'rusak']</t>
  </si>
  <si>
    <t>@antonsujarno25 Tolong yang merasa temennya di real lifeagar mengingatkan bahwa orang ini ingin menjilat pantat admin et KLO Argentina juara</t>
  </si>
  <si>
    <t>tolong yang merasa temennya real lifeagar mengingatkan bahwa orang ini ingin menjilat pantat admin klo argentina juara</t>
  </si>
  <si>
    <t>['merasa', 'temennya', 'real', 'lifeagar', 'mengingatkan', 'orang', 'menjilat', 'pantat', 'admin', 'argentina', 'juara']</t>
  </si>
  <si>
    <t>Buenos Aires‚ÄºÔ∏è Bergetar... Argentina sukses ke-3 kali... Juara piala dunia 2022.  Source... IG Ale Petra.  https://t.co/dkGu5nECyL</t>
  </si>
  <si>
    <t>buenos aires bergetar argentina sukses kali juara piala dunia source ale petra</t>
  </si>
  <si>
    <t>['buenos', 'aires', 'bergetar', 'argentina', 'sukses', 'kali', 'juara', 'piala', 'dunia', 'source', 'ale', 'petra']</t>
  </si>
  <si>
    <t>Messi Juara Dunia Ronaldo Rungkad Argentina France  https://t.co/T0LFi52QUC</t>
  </si>
  <si>
    <t>Argentina juara karena Leno.. ytta</t>
  </si>
  <si>
    <t>argentina juara karena leno ytta</t>
  </si>
  <si>
    <t>['argentina', 'juara', 'leno', 'ytta']</t>
  </si>
  <si>
    <t>Setelah kemanangan Argentina, Perancis pun gagal mempertahankan gelar Juara Piala Dunia Qatar 2022.   Tapi Kylian Mbappe mengukir tinta emas sebagai pemain tertajam pada Piala Dunia 2022 Qatar.  https://t.co/FGw7kjcS7a  https://t.co/gulckxOAk0</t>
  </si>
  <si>
    <t>setelah kemanangan argentina perancis pun gagal mempertahankan gelar juara piala dunia qatar tapi kylian mbappe mengukir tinta emas sebagai pemain tertajam pada piala dunia qatar</t>
  </si>
  <si>
    <t>['kemanangan', 'argentina', 'perancis', 'gagal', 'mempertahankan', 'gelar', 'juara', 'piala', 'dunia', 'qatar', 'kylian', 'mbappe', 'mengukir', 'tinta', 'emas', 'pemain', 'tertajam', 'piala', 'dunia', 'qatar']</t>
  </si>
  <si>
    <t>Prediksi gue kenyataanü•∫ Argentina juara Messi pemain terbaik Martinez kiper terbaik  Runner up, third dan top scorer salahüòÅ</t>
  </si>
  <si>
    <t>prediksi gue kenyataan argentina juara messi pemain terbaik martinez kiper terbaik runner third dan top scorer salah</t>
  </si>
  <si>
    <t>['prediksi', 'gue', 'kenyataan', 'argentina', 'juara', 'messi', 'pemain', 'terbaik', 'martinez', 'kiper', 'terbaik', 'runner', 'third', 'top', 'scorer', 'salah']</t>
  </si>
  <si>
    <t>Lionel Messi sukses membawa Argentina juara Piala Dunia untuk ketiga kalinya setelah puasa 36 tahun!  https://t.co/Ewyljz5D2k</t>
  </si>
  <si>
    <t>Argentina Juara Piala Dunia Qatar 2022!  https://t.co/T3vGgj35rX</t>
  </si>
  <si>
    <t>@erickthohir @KMbappe Meski Argentina raih piala juara,tapi sy saluut dgn tim Arab Saudi.Argentina takluk kalah olh Arab Saudi 1-2. Arab Saudi patut dpt penghargaan. @SaudiArabianGP</t>
  </si>
  <si>
    <t>meski argentina raih piala juara tapi saluut dgn tim arab saudi argentina takluk kalah olh arab saudi arab saudi patut dpt penghargaan</t>
  </si>
  <si>
    <t>['meski', 'argentina', 'raih', 'piala', 'juara', 'saluut', 'tim', 'arab', 'saudi', 'argentina', 'takluk', 'kalah', 'olh', 'arab', 'saudi', 'arab', 'saudi', 'patut', 'dpt', 'penghargaan']</t>
  </si>
  <si>
    <t>Baru ge seneng Argentina juara, eh paginya udah ada yg bikin kesel aja</t>
  </si>
  <si>
    <t>baru seneng argentina juara paginya udah ada bikin kesel aja</t>
  </si>
  <si>
    <t>['baru', 'seneng', 'argentina', 'juara', 'paginya', 'udah', 'kesel']</t>
  </si>
  <si>
    <t>dengan juara nya Argentina maka berakhir sudah piala dunia 2022 Qatar, see you soon piala dunia tahun 2026 semoga timnas Indonesia bisa lolos playoff(walaupun mustahil)</t>
  </si>
  <si>
    <t>dengan juara nya argentina maka berakhir sudah piala dunia qatar see you soon piala dunia tahun semoga timnas indonesia bisa lolos playoff walaupun mustahil</t>
  </si>
  <si>
    <t>['juara', 'argentina', 'berakhir', 'piala', 'dunia', 'qatar', 'see', 'you', 'soon', 'piala', 'dunia', 'tahun', 'semoga', 'timnas', 'indonesia', 'lolos', 'playoff', 'walaupun', 'mustahil']</t>
  </si>
  <si>
    <t>Seneng bener si Ayah pasti ni, kalau dia tahu Argentina juara Pesta bola dunia....</t>
  </si>
  <si>
    <t>seneng bener ayah pasti kalau dia tahu argentina juara pesta bola dunia</t>
  </si>
  <si>
    <t>['seneng', 'benar', 'ayah', 'kalau', 'tahu', 'argentina', 'juara', 'pesta', 'bola', 'dunia']</t>
  </si>
  <si>
    <t>Messi memang terbaik dan layak juara. Tapi cristiano tetap jadi yang selalu menginspirasi   congrats Messi dan argentinaüî•  https://t.co/GP92bkxDsC</t>
  </si>
  <si>
    <t>messi memang terbaik dan layak juara tapi cristiano tetap jadi yang selalu menginspirasi congrats messi dan argentina</t>
  </si>
  <si>
    <t>['messi', 'memang', 'terbaik', 'layak', 'juara', 'cristiano', 'tetap', 'jadi', 'selalu', 'menginspirasi', 'congrats', 'messi', 'argentina']</t>
  </si>
  <si>
    <t>Banjir Tangis Bahagia Pemain Argentina Usai Juara Piala Dunia 2022  https://t.co/uqD4pQ8N7x</t>
  </si>
  <si>
    <t>banjir tangis bahagia pemain argentina usai juara piala dunia</t>
  </si>
  <si>
    <t>['banjir', 'tangis', 'bahagia', 'pemain', 'argentina', 'usai', 'juara', 'piala', 'dunia']</t>
  </si>
  <si>
    <t>Dominasi ala Messi di Piala Dunia 2022: Borong Gelar Individu, Antar Argentina Juara  https://t.co/c76YtrsN6D</t>
  </si>
  <si>
    <t>dominasi ala messi piala dunia borong gelar individu antar argentina juara</t>
  </si>
  <si>
    <t>['dominasi', 'ala', 'messi', 'piala', 'dunia', 'borong', 'gelar', 'individu', 'antar', 'argentina', 'juara']</t>
  </si>
  <si>
    <t>Argentina Juara Piala Dunia Setelah Kalahkan Prancis Lewat Adu Penalti  https://t.co/U2UTZPDXUP via @matradata #argentinajuara #prancis #argentina</t>
  </si>
  <si>
    <t>argentina juara piala dunia setelah kalahkan prancis lewat adu penalti via</t>
  </si>
  <si>
    <t>['argentina', 'juara', 'piala', 'dunia', 'kalahkan', 'prancis', 'lewat', 'adu', 'penalti', 'via']</t>
  </si>
  <si>
    <t>Piala dunia selanjutnya mau siapa aja yang menang terserah deh. Argentina sudah juara, Messi sudah terbukti</t>
  </si>
  <si>
    <t>piala dunia selanjutnya mau siapa aja yang menang terserah deh argentina sudah juara messi sudah terbukti</t>
  </si>
  <si>
    <t>['piala', 'dunia', 'selanjutnya', 'mau', 'siapa', 'menang', 'terserah', 'deh', 'argentina', 'juara', 'messi', 'terbukti']</t>
  </si>
  <si>
    <t>@mohmahfudmd untung presiden FIFA tidak mengeluarkan statment nanti yg juara di qatar jerseynya biru putih dan rambutnya hitam semua andai itu terjadi bisa batal sang juaranya Argentina karna diprotes kontestan lain di anggap udah di setting bravo Argenti</t>
  </si>
  <si>
    <t>untung presiden fifa tidak mengeluarkan statment nanti juara qatar jerseynya biru putih dan rambutnya hitam semua andai itu terjadi bisa batal sang juaranya argentina karna diprotes kontestan lain anggap udah setting bravo argenti</t>
  </si>
  <si>
    <t>['untung', 'presiden', 'fifa', 'mengeluarkan', 'statment', 'juara', 'qatar', 'jerseynya', 'biru', 'putih', 'rambutnya', 'hitam', 'semua', 'andai', 'terjadi', 'batal', 'sang', 'juaranya', 'argentina', 'karna', 'diprotes', 'kontestan', 'anggap', 'udah', 'setting', 'bravo', 'argenti']</t>
  </si>
  <si>
    <t>Dari awal gua gak ingin 2 negara ini bisa menjadi juara, ada 2 hal, for the first gua agak kurang rela kalo France juara back to back, second kalo Argentina juara Messi bakal disanjung2 setinggi langit dan skrg benar dan itu nyata.</t>
  </si>
  <si>
    <t>dari awal gua gak ingin negara ini bisa menjadi juara ada hal for the first gua agak kurang rela kalo france juara back back second kalo argentina juara messi bakal disanjung setinggi langit dan skrg benar dan itu nyata</t>
  </si>
  <si>
    <t>['awal', 'gua', 'negara', 'menjadi', 'juara', 'for', 'the', 'first', 'gua', 'kurang', 'rela', 'france', 'juara', 'back', 'back', 'second', 'argentina', 'juara', 'messi', 'bakal', 'disanjung', 'setinggi', 'langit', 'skrg', 'benar', 'nyata']</t>
  </si>
  <si>
    <t>Selesai sudah #WorldcupQatar2022 taniah buat #Argentina sebagai Juaraüí™..merasa juga Messiüêè julang piala besar ini‚ô•..buat France boleh mencuba beraksi kembali di #EURO2024..WC Final yang rancaküî•</t>
  </si>
  <si>
    <t>selesai sudah taniah buat sebagai juara merasa juga messi julang piala besar ini buat france boleh mencuba beraksi kembali final yang rancak</t>
  </si>
  <si>
    <t>['selesai', 'taniah', 'buat', 'juara', 'merasa', 'messi', 'julang', 'piala', 'besar', 'buat', 'france', 'mencuba', 'beraksi', 'final', 'rancak']</t>
  </si>
  <si>
    <t>Ga pengen posting apa-apa, walopun Argentina juara.</t>
  </si>
  <si>
    <t>pengen posting apa apa walopun argentina juara</t>
  </si>
  <si>
    <t>['pengen', 'posting', 'apa', 'apa', 'walopun', 'argentina', 'juara']</t>
  </si>
  <si>
    <t>Dramatis! Kalahkan Prancis, Argentina Juara Piala Dunia 2022    https://t.co/AiTco4MwK9</t>
  </si>
  <si>
    <t>dramatis kalahkan prancis argentina juara piala dunia</t>
  </si>
  <si>
    <t>['dramatis', 'kalahkan', 'prancis', 'argentina', 'juara', 'piala', 'dunia']</t>
  </si>
  <si>
    <t>2018 : Giroud 0 gol. Prancis Juara. 2022 : Lautaro matines 0 gol. Argentina juara. *FACTOS</t>
  </si>
  <si>
    <t>giroud gol prancis juara lautaro matines gol argentina juara factos</t>
  </si>
  <si>
    <t>['giroud', 'gol', 'prancis', 'juara', 'lautaro', 'matines', 'gol', 'argentina', 'juara', 'factos']</t>
  </si>
  <si>
    <t>Semalam merupakan pertandingan yang berlangsung seru, yg akhirnya menjadikan Argentina juara #PialaDunia2022 #FIFAWorldCup #ArgentinaVsFrance #WorldCupFinal #MessiìÉµ #WorldCup #Argentina</t>
  </si>
  <si>
    <t>semalam merupakan pertandingan yang berlangsung seru akhirnya menjadikan argentina juara</t>
  </si>
  <si>
    <t>['semalam', 'merupakan', 'pertandingan', 'berlangsung', 'seru', 'akhirnya', 'menjadikan', 'argentina', 'juara']</t>
  </si>
  <si>
    <t>argentina juara 1, prancis juara 2, kamu loo juara 3 gk diajak sisan huek juh wleowleo</t>
  </si>
  <si>
    <t>argentina juara prancis juara kamu loo juara diajak sisan huek juh wleowleo</t>
  </si>
  <si>
    <t>['argentina', 'juara', 'prancis', 'juara', 'kamu', 'loo', 'juara', 'diajak', 'sisan', 'huek', 'juh', 'wleowleo']</t>
  </si>
  <si>
    <t>@prideuxca argentina hoki doang juara pildun, yg layak cma prancis!!!üò°üò°</t>
  </si>
  <si>
    <t>argentina hoki doang juara pildun layak cma prancis</t>
  </si>
  <si>
    <t>['argentina', 'hoki', 'doang', 'juara', 'piala dunia', 'layak', 'cma', 'prancis']</t>
  </si>
  <si>
    <t>Kemenangan Argentina ,kemenangan Messi  Juara Dunia üòçüëç  https://t.co/lxGSPfpaaJ</t>
  </si>
  <si>
    <t>kemenangan argentina kemenangan messi juara dunia</t>
  </si>
  <si>
    <t>['kemenangan', 'argentina', 'kemenangan', 'messi', 'juara', 'dunia']</t>
  </si>
  <si>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</si>
  <si>
    <t>banyak berharap argentina juara agar messi bisa menutup kariernya timnas dng sempurna sekarang terbukti sebagai bukan mengidolakan messi ucapkan selamat utk argentina juara dunia pencapaian kali ini membuktikan bahwa anda lebih hebat ronaldo</t>
  </si>
  <si>
    <t>['banyak', 'berharap', 'argentina', 'juara', 'messi', 'menutup', 'kariernya', 'timnas', 'dng', 'sempurna', 'sekarang', 'terbukti', 'bukan', 'mengidolakan', 'messi', 'ucapkan', 'selamat', 'argentina', 'juara', 'dunia', 'pencapaian', 'kali', 'membuktikan', 'lebih', 'hebat', 'ronaldo']</t>
  </si>
  <si>
    <t>Argentina Juara Piala Dunia 2022  https://t.co/J7zL71GT4u</t>
  </si>
  <si>
    <t>Selamat untuk Argentina menjadi juara World Cup 2022 di Qatar....  #ArgentinaVsFrance #FIFAWorldCup #Mbappe #WorldCupFinal #Qatar2022 #MessiìÉµ #WorldCup #Argentina #FIFAWorldCup2022 #ARG</t>
  </si>
  <si>
    <t>selamat untuk argentina menjadi juara world cup qatar</t>
  </si>
  <si>
    <t>['selamat', 'argentina', 'menjadi', 'juara', 'world', 'cup', 'qatar']</t>
  </si>
  <si>
    <t>Mbappe Dapat Sepatu Emas, Tropy Juara Dunia Untuk Argentina  https://t.co/lZCoKGMG6N</t>
  </si>
  <si>
    <t>Lionel Messi Bawa Argentina Juara Piala Dunia 2022, Pertegas Status GOAT dan Tinggalkan Cristiano Ronaldo!  https://t.co/ZLr1pjYis7</t>
  </si>
  <si>
    <t>lionel messi bawa argentina juara piala dunia pertegas status goat dan tinggalkan cristiano ronaldo</t>
  </si>
  <si>
    <t>['lionel', 'messi', 'bawa', 'argentina', 'juara', 'piala', 'dunia', 'pertegas', 'status', 'goat', 'tinggalkan', 'cristiano', 'ronaldo']</t>
  </si>
  <si>
    <t>Argentina Sabet Piala Dunia 2022, Rodrigo De Paul: Kami Pantas Juara! #EMTEKWORLDCUP2022 #BOLANETWORLDCUP2022 #PialaDunia #PialaDunia2022  https://t.co/rntcrAuiF3</t>
  </si>
  <si>
    <t>argentina sabet piala dunia rodrigo paul kami pantas juara</t>
  </si>
  <si>
    <t>['argentina', 'sabet', 'piala', 'dunia', 'rodrigo', 'paul', 'pantas', 'juara']</t>
  </si>
  <si>
    <t>Argentina jadi juara karena ada do'a dari pembeli game xbox yang pake peso, karena rate 1 peso di visa Rp 54 ü§£</t>
  </si>
  <si>
    <t>argentina jadi juara karena ada dari pembeli game xbox yang pake peso karena rate peso visa</t>
  </si>
  <si>
    <t>['argentina', 'jadi', 'juara', 'pembeli', 'game', 'xbox', 'pake', 'peso', 'rate', 'peso', 'visa']</t>
  </si>
  <si>
    <t>wih argentina Juara yh, mimin teu nonton teu kuat cape gawe :(</t>
  </si>
  <si>
    <t>wih argentina juara mimin teu nonton teu kuat cape gawe</t>
  </si>
  <si>
    <t>['wih', 'argentina', 'juara', 'mimin', 'teu', 'nonton', 'teu', 'kuat', 'lelah', 'gawe']</t>
  </si>
  <si>
    <t>Met pagi semuanya Senengnya Argentina bisa Juara Piala Dunia üëèüèªüëèüèªüëèüèª</t>
  </si>
  <si>
    <t>met pagi semuanya senengnya argentina bisa juara piala dunia</t>
  </si>
  <si>
    <t>['selamat', 'pagi', 'semuanya', 'senengnya', 'argentina', 'juara', 'piala', 'dunia']</t>
  </si>
  <si>
    <t>Argentina juara piala dunia 2022 Cek link üëáüëáüëáüëá  https://t.co/T9DnsOVWZy</t>
  </si>
  <si>
    <t>argentina juara piala dunia cek link</t>
  </si>
  <si>
    <t>['argentina', 'juara', 'piala', 'dunia', 'cek', 'link']</t>
  </si>
  <si>
    <t>Lionel Messi gak hanya mengantarkan Timnas Argentina juara Piala Dunia 2022, namun ia sendiri juga menciptakan banyak rekor baru sepanjang bergulirnya turnamen ini. Gak mengherankan jika kemudian Messi didapuk sebagai Pemain Terbaik Piala Dunua 2022.  https://t.co/gJKjOr6GEU</t>
  </si>
  <si>
    <t>lionel messi gak hanya mengantarkan timnas argentina juara piala dunia namun sendiri juga menciptakan banyak rekor baru sepanjang bergulirnya turnamen ini gak mengherankan jika kemudian messi didapuk sebagai pemain terbaik piala dunua</t>
  </si>
  <si>
    <t>['lionel', 'messi', 'mengantarkan', 'timnas', 'argentina', 'juara', 'piala', 'dunia', 'sendiri', 'menciptakan', 'banyak', 'rekor', 'baru', 'sepanjang', 'bergulirnya', 'turnamen', 'mengherankan', 'kemudian', 'messi', 'didapuk', 'pemain', 'terbaik', 'piala', 'dunua']</t>
  </si>
  <si>
    <t>#RadioKARIMATA 06:01 Argentina keluar sebagai juara Piala Dunia 2022 Qatar setelah mengalahkan Timnas Prancis lewat drama adu penalti di Lusail Iconic Stadium, Minggu (18/12/2022) 22:00 WIB. (Faz)  https://t.co/ywBwcZMO3h</t>
  </si>
  <si>
    <t>argentina keluar sebagai juara piala dunia qatar setelah mengalahkan timnas prancis lewat drama adu penalti lusail iconic stadium minggu wib faz</t>
  </si>
  <si>
    <t>['argentina', 'keluar', 'juara', 'piala', 'dunia', 'qatar', 'mengalahkan', 'timnas', 'prancis', 'lewat', 'drama', 'adu', 'penalti', 'lusail', 'iconic', 'stadium', 'minggu', 'wib', 'faz']</t>
  </si>
  <si>
    <t>@chicohakim Mesi mengikuti jejak Mario Kempes dan Maradona mengangkat tropi piala dunia, bravo Argentina utk ketiga kalinya mjd Juara Dunia.</t>
  </si>
  <si>
    <t>mesi mengikuti jejak mario kempes dan maradona mengangkat tropi piala dunia bravo argentina utk ketiga kalinya mjd juara dunia</t>
  </si>
  <si>
    <t>['mesi', 'mengikuti', 'jejak', 'mario', 'kempes', 'maradona', 'mengangkat', 'trofi', 'piala', 'dunia', 'bravo', 'argentina', 'ketiga', 'kalinya', 'mjd', 'juara', 'dunia']</t>
  </si>
  <si>
    <t>Argentina Juara, mohon editor pzzi utk segera mendesain foto Ibul segede gaban utk ucapan selamat.</t>
  </si>
  <si>
    <t>argentina juara mohon editor pzzi utk segera mendesain foto ibul segede gaban utk ucapan selamat</t>
  </si>
  <si>
    <t>['argentina', 'juara', 'mohon', 'editor', 'pzzi', 'segera', 'mendesain', 'foto', 'ibul', 'segede', 'gaban', 'ucapan', 'selamat']</t>
  </si>
  <si>
    <t>Selamat berbangga kepada Timnas Arab Saudi yg sudah mengalahkan Argentina Juara Piala Dunia 2022 #ArgentinaVsFrance #FIFAWorldCup #Qatar2022</t>
  </si>
  <si>
    <t>selamat berbangga kepada timnas arab saudi sudah mengalahkan argentina juara piala dunia</t>
  </si>
  <si>
    <t>['selamat', 'berbangga', 'timnas', 'arab', 'saudi', 'mengalahkan', 'argentina', 'juara', 'piala', 'dunia']</t>
  </si>
  <si>
    <t>Bantu Argentina Juara Piala Dunia 2022, Ini Koleksi Mobil Gonzalo Montiel  https://t.co/yBa8us8yyl #TempoOtomotif</t>
  </si>
  <si>
    <t>bantu argentina juara piala dunia ini koleksi mobil gonzalo montiel</t>
  </si>
  <si>
    <t>['bantu', 'argentina', 'juara', 'piala', 'dunia', 'koleksi', 'mobil', 'gonzalo', 'montiel']</t>
  </si>
  <si>
    <t>Ramalan Guardiola dan Fan Soal Argentina Juara Piala Dunia Jadi Nyata  https://t.co/D7FoJQkLt6</t>
  </si>
  <si>
    <t>ramalan guardiola dan fan soal argentina juara piala dunia jadi nyata</t>
  </si>
  <si>
    <t>['ramalan', 'guardiola', 'fan', 'soal', 'argentina', 'juara', 'piala', 'dunia', 'jadi', 'nyata']</t>
  </si>
  <si>
    <t>Mesi mengikuti jejak Mario Kempes dan Maradona mengangkat tropi piala dunia, bravo Argentina utk ketiga kalinya mjd Juara Dunia.</t>
  </si>
  <si>
    <t>Lionel Messi sukses jadi juara Piala Dunia 2022 bersama timnya Argentina. Di bangku penonton ada sosok istrinya, Antonela Roccuzzo yang tegang hingga bahagia.  https://t.co/f4MYwRx8VL</t>
  </si>
  <si>
    <t>Bus Argentina ketika keluar dari stadion setelah juara dunia.  #France #FIFAWorldCup #MessiìÉµ  https://t.co/8ZFMM5EArC</t>
  </si>
  <si>
    <t>bus argentina ketika keluar dari stadion setelah juara dunia</t>
  </si>
  <si>
    <t>['bus', 'argentina', 'keluar', 'stadion', 'juara', 'dunia']</t>
  </si>
  <si>
    <t>gw yakin 1000% argentina juara karna ohmnon nobar  yg ga setuju kti  https://t.co/CueecZqLCx</t>
  </si>
  <si>
    <t>yakin argentina juara karna ohmnon nobar setuju kti</t>
  </si>
  <si>
    <t>['yakin', 'argentina', 'juara', 'karna', 'ohmnon', 'nonton bareng', 'setuju', 'kti']</t>
  </si>
  <si>
    <t>Dan ternyata emang gak sia2, setelah dia comeback akhirnya dia bener2 bisa bawa Argentina juara, ya walau sempat ada gagalnya jg, tp yg kali ini bener2 fight sampai bener2 terwujud üëåüëè</t>
  </si>
  <si>
    <t>dan ternyata emang gak sia setelah dia comeback akhirnya dia bener bisa bawa argentina juara walau sempat ada gagalnya kali ini bener fight sampai bener terwujud</t>
  </si>
  <si>
    <t>['ternyata', 'emang', 'sia', 'comeback', 'akhirnya', 'benar', 'bawa', 'argentina', 'juara', 'sempat', 'gagalnya', 'kali', 'benar', 'fight', 'benar', 'terwujud']</t>
  </si>
  <si>
    <t>Bangun pagi langsung happy, jagoan gw juara. Congratulations Argentina ‚öΩÔ∏èüèÜ. Good morning guys  https://t.co/AayjQWNtaO</t>
  </si>
  <si>
    <t>bangun pagi langsung happy jagoan juara congratulations argentina good morning guys</t>
  </si>
  <si>
    <t>['bangun', 'pagi', 'langsung', 'happy', 'jagoan', 'juara', 'congratulations', 'argentina', 'good', 'morning', 'guys']</t>
  </si>
  <si>
    <t>Leonel Messi dinobatkan sebagai pemain terbaik Piala Dunia 2022 bawa tim Argentina juara dunia ketigakalinya - Lombok Insider  https://t.co/I3cqQmx9hm</t>
  </si>
  <si>
    <t>leonel messi dinobatkan sebagai pemain terbaik piala dunia bawa tim argentina juara dunia ketigakalinya lombok insider</t>
  </si>
  <si>
    <t>['leonel', 'messi', 'dinobatkan', 'pemain', 'terbaik', 'piala', 'dunia', 'bawa', 'tim', 'argentina', 'juara', 'dunia', 'ketigakalinya', 'lombok', 'insider']</t>
  </si>
  <si>
    <t>Lionel Messi jadi pemain terbaik, Argentina berhasil juara Piala Dunia 2022! - Lombok Insider  https://t.co/0XY5lPVviq</t>
  </si>
  <si>
    <t>lionel messi jadi pemain terbaik argentina berhasil juara piala dunia lombok insider</t>
  </si>
  <si>
    <t>['lionel', 'messi', 'jadi', 'pemain', 'terbaik', 'argentina', 'berhasil', 'juara', 'piala', 'dunia', 'lombok', 'insider']</t>
  </si>
  <si>
    <t>Pagi ini deg deg kan nunggu pengumuman GA adinda @OssyDermawan Tembus ngga ya setelah Argentina JuaraüòÇüòÇüòÄ 14 No FAV skrng  https://t.co/EtsqyEDcS0</t>
  </si>
  <si>
    <t>pagi ini deg deg kan nunggu pengumuman adinda tembus ngga setelah argentina juara fav skrng</t>
  </si>
  <si>
    <t>['pagi', 'deg', 'deg', 'kan', 'nunggu', 'pengumuman', 'adinda', 'tembus', 'ngga', 'argentina', 'juara', 'fav', 'skrng']</t>
  </si>
  <si>
    <t>Juara Piala Dunia 2022, Argentina Bergemuruh  https://t.co/bdDcg9V3Sc</t>
  </si>
  <si>
    <t>juara piala dunia argentina bergemuruh</t>
  </si>
  <si>
    <t>['juara', 'piala', 'dunia', 'argentina', 'bergemuruh']</t>
  </si>
  <si>
    <t>üí≠ Cung yang hari ini goodmood karena Argentina juaraüò≠üñê  https://t.co/VkX6sCzLeP</t>
  </si>
  <si>
    <t>cung yang hari ini goodmood karena argentina juara</t>
  </si>
  <si>
    <t>['cung', 'hari', 'goodmood', 'argentina', 'juara']</t>
  </si>
  <si>
    <t>Congratulation untuk argentina yang juara dunia, untuk messi akhirnya bisa pensiun dengan tenang.  Emi martinez aku padamuüòä‚ò∫</t>
  </si>
  <si>
    <t>congratulation untuk argentina yang juara dunia untuk messi akhirnya bisa pensiun dengan tenang emi martinez aku padamu</t>
  </si>
  <si>
    <t>['congratulation', 'argentina', 'juara', 'dunia', 'messi', 'akhirnya', 'pensiun', 'tenang', 'emi', 'martinez', 'aku', 'padamu']</t>
  </si>
  <si>
    <t>Argentina cuma hoki aja bisa juara üòè</t>
  </si>
  <si>
    <t>argentina cuma hoki aja bisa juara</t>
  </si>
  <si>
    <t>['argentina', 'cuma', 'hoki', 'juara']</t>
  </si>
  <si>
    <t>@tifsembiring Juara dunia sesungguhnya Saudi Arabia Ustazd krn satu2nya kesebelasan yg mampu mengalahkan ArgentinaüëçüòÄ</t>
  </si>
  <si>
    <t>juara dunia sesungguhnya saudi arabia ustazd krn satu nya kesebelasan mampu mengalahkan argentina</t>
  </si>
  <si>
    <t>['juara', 'dunia', 'sesungguhnya', 'saudi', 'arabia', 'ustazd', 'satu', 'kesebelasan', 'mampu', 'mengalahkan', 'argentina']</t>
  </si>
  <si>
    <t>Argentina Vs Prancis : Via Adu Penalti, Tim Tango Juara Piala Dunia 2022  https://t.co/OzQDDKEUHq Argentina juara Piala Dunia 2022. Setelah berimbang 3-3 selama 120 menit, Tim Tango berhasil mengalahkan Prancis lewat adu penalti 4-2.  https://t.co/tuWXJcVcvL</t>
  </si>
  <si>
    <t>argentina prancis via adu penalti tim tango juara piala dunia argentina juara piala dunia setelah berimbang selama menit tim tango berhasil mengalahkan prancis lewat adu penalti</t>
  </si>
  <si>
    <t>['argentina', 'prancis', 'via', 'adu', 'penalti', 'tim', 'tango', 'juara', 'piala', 'dunia', 'argentina', 'juara', 'piala', 'dunia', 'berimbang', 'selama', 'menit', 'tim', 'tango', 'berhasil', 'mengalahkan', 'prancis', 'lewat', 'adu', 'penalti']</t>
  </si>
  <si>
    <t>Tampil Lepas, Joget-Joget saat Penalti, Kiper Argentina Sebut Argentina Punya Takdik Juara!  https://t.co/rX5AmJK6j1</t>
  </si>
  <si>
    <t>tampil lepas joget joget saat penalti kiper argentina sebut argentina punya takdik juara</t>
  </si>
  <si>
    <t>['tampil', 'lepas', 'joget', 'joget', 'penalti', 'kiper', 'argentina', 'sebut', 'argentina', 'punya', 'takdik', 'juara']</t>
  </si>
  <si>
    <t>CONGRATS ARGENTINAüî•üî• memang waktu terbaik untuk jadi juara itu sekarang</t>
  </si>
  <si>
    <t>congrats argentina memang waktu terbaik untuk jadi juara itu sekarang</t>
  </si>
  <si>
    <t>['congrats', 'argentina', 'memang', 'waktu', 'terbaik', 'jadi', 'juara', 'sekarang']</t>
  </si>
  <si>
    <t>Fans Barcelona seneng banget Argentina juara. Padahal di Argentina tidak ada pemain Barca. üòÇ</t>
  </si>
  <si>
    <t>fans barcelona seneng banget argentina juara padahal argentina tidak ada pemain barca</t>
  </si>
  <si>
    <t>['fans', 'barcelona', 'seneng', 'banget', 'argentina', 'juara', 'padahal', 'argentina', 'pemain', 'barca']</t>
  </si>
  <si>
    <t>‚≠êÔ∏è‚≠êÔ∏è‚≠êÔ∏è  Argentina Juara Piala Dunia: Tango Terindah Messi dan Pasukan Berani Mati   Klik untuk baca  https://t.co/dWHWOGSNPD   Download aplikasi  https://t.co/77oOYRT3H0 :   Google Play:  https://t.co/7cwQwdcj0u  Apple App Store:  https://t.co/4TZJqKGjOM</t>
  </si>
  <si>
    <t>argentina juara piala dunia tango terindah messi dan pasukan berani mati klik untuk baca download aplikasi google play apple app store</t>
  </si>
  <si>
    <t>['argentina', 'juara', 'piala', 'dunia', 'tango', 'terindah', 'messi', 'pasukan', 'berani', 'mati', 'klik', 'baca', 'download', 'aplikasi', 'google', 'play', 'apple', 'app', 'store']</t>
  </si>
  <si>
    <t>@Info_Ronaldo7 jadi gimana nih? Abis ini Argentina dibantai siapa lagi? kan kebiasaan lo kan selalu ngetik "Argentina bakal dibantai oleh bla bla bla bla" mulu, OH IYA LUPA ARGENTINA UDAH JUARA YAA HAHAHA.</t>
  </si>
  <si>
    <t>ronaldo jadi gimana nih abis ini argentina dibantai siapa lagi kan kebiasaan kan selalu ngetik argentina bakal dibantai oleh bla bla bla bla mulu iya lupa argentina udah juara yaa hahaha</t>
  </si>
  <si>
    <t>['ronaldo', 'jadi', 'gimana', 'abis', 'argentina', 'dibantai', 'siapa', 'kan', 'kebiasaan', 'kan', 'selalu', 'ngetik', 'argentina', 'bakal', 'dibantai', 'bla', 'bla', 'bla', 'bla', 'mulu', 'iya', 'lupa', 'argentina', 'udah', 'juara', 'ya', 'hahaha']</t>
  </si>
  <si>
    <t>Argentina Juara Piala Dunia, Presiden Sibuk Balas Twit Pemimpin Dunia  https://t.co/mUn9w9E5Dg</t>
  </si>
  <si>
    <t>Argentina Juara Piala Dunia 2022 #argentina #fifaworldcup2022  https://t.co/o73zRaEeup</t>
  </si>
  <si>
    <t>Pak, piala dunia tahun iki gayeng. Argentina juara dunia pas Messi sih main, maroko tekan semifinal, mbappe hattrick, tur nek aku keturon saiki gak ana sik nggugah wkwk. Sayang gak isoh nonton bareng ro debat sithik-sithik.</t>
  </si>
  <si>
    <t>pak piala dunia tahun iki gayeng argentina juara dunia pas messi sih main maroko tekan semifinal mbappe hattrick tur nek aku keturon saiki gak ana sik nggugah wkwk sayang gak isoh nonton bareng debat sithik sithik</t>
  </si>
  <si>
    <t>['pak', 'piala', 'dunia', 'tahun', 'iki', 'gayeng', 'argentina', 'juara', 'dunia', 'pas', 'messi', 'main', 'maroko', 'tekan', 'semifinal', 'mbappe', 'hattrick', 'tur', 'nek', 'aku', 'keturon', 'saiki', 'ana', 'sik', 'nggugah', 'sayang', 'isoh', 'nonton', 'bareng', 'debat', 'sithik', 'sithik']</t>
  </si>
  <si>
    <t>Selesai sudah perdebatan GOAT, Messi selangkah lagi cetak gol bawa Argentina juara Piala Dunia 2022 - Lombok Insider  https://t.co/zhoSezI6xD</t>
  </si>
  <si>
    <t>selesai sudah perdebatan goat messi selangkah lagi cetak gol bawa argentina juara piala dunia lombok insider</t>
  </si>
  <si>
    <t>['selesai', 'perdebatan', 'goat', 'messi', 'selangkah', 'cetak', 'gol', 'bawa', 'argentina', 'juara', 'piala', 'dunia', 'lombok', 'insider']</t>
  </si>
  <si>
    <t>Argentina akhirnya keluar sebagai juara Piala Dunia 2022 setelah menang drama adu penalti melawan Prancis - Lombok Insider  https://t.co/YaooD4efNo</t>
  </si>
  <si>
    <t>argentina akhirnya keluar sebagai juara piala dunia setelah menang drama adu penalti melawan prancis lombok insider</t>
  </si>
  <si>
    <t>['argentina', 'akhirnya', 'keluar', 'juara', 'piala', 'dunia', 'menang', 'drama', 'adu', 'penalti', 'melawan', 'prancis', 'lombok', 'insider']</t>
  </si>
  <si>
    <t>Bawa Argentina Juara Piala Dunia 2022, Lionel Messi Sah Lewati Diego Maradona dan Cristiano Ronaldo?</t>
  </si>
  <si>
    <t>bawa argentina juara piala dunia lionel messi sah lewati diego maradona dan cristiano ronaldo</t>
  </si>
  <si>
    <t>['bawa', 'argentina', 'juara', 'piala', 'dunia', 'lionel', 'messi', 'sah', 'lewati', 'diego', 'maradona', 'cristiano', 'ronaldo']</t>
  </si>
  <si>
    <t>Ini total uang yang dibawa Timnas Argentina usai juara Piala Dunia 2022.</t>
  </si>
  <si>
    <t>ini total uang yang dibawa timnas argentina usai juara piala dunia</t>
  </si>
  <si>
    <t>['total', 'uang', 'dibawa', 'timnas', 'argentina', 'usai', 'juara', 'piala', 'dunia']</t>
  </si>
  <si>
    <t>Lionel Messi belum ingin pensiun usai antarkan Argentina juara Piala Dunia 2022</t>
  </si>
  <si>
    <t>lionel messi belum ingin pensiun usai antarkan argentina juara piala dunia</t>
  </si>
  <si>
    <t>['lionel', 'messi', 'pensiun', 'usai', 'antarkan', 'argentina', 'juara', 'piala', 'dunia']</t>
  </si>
  <si>
    <t>Dasar bola memang bundar. Di awal, Argentina kalah dengan Saudi Arabia. Tapi Saudi tidak masuk babak berikutnya, dan kini Argentina JUARA nya.  Qatar emang bikin dunia bergetar‚Ä¶üòä  *FutsalLagiYuk  https://t.co/TyanCIDGqZ</t>
  </si>
  <si>
    <t>dasar bola memang bundar awal argentina kalah dengan saudi arabia tapi saudi tidak masuk babak berikutnya dan kini argentina juara nya qatar emang bikin dunia bergetar futsallagiyuk</t>
  </si>
  <si>
    <t>['dasar', 'bola', 'memang', 'bundar', 'awal', 'argentina', 'kalah', 'saudi', 'arabia', 'saudi', 'masuk', 'babak', 'berikutnya', 'kini', 'argentina', 'juara', 'qatar', 'emang', 'dunia', 'bergetar', 'futsallagiyuk']</t>
  </si>
  <si>
    <t>Pagiku cerah dengan senyum suami yang sumringah pas cerita argentina menang dan pemain kesukaannya (re: messi) bisa ngelengkapin gelar juara. Beneran matanya ada binarnyaü§£ü§£  Terserah apa katamu aja my babygirlü•∞üòç</t>
  </si>
  <si>
    <t>pagiku cerah dengan senyum suami yang sumringah pas cerita argentina menang dan pemain kesukaannya messi bisa ngelengkapin gelar juara beneran matanya ada binarnya terserah apa katamu aja babygirl</t>
  </si>
  <si>
    <t>['pagiku', 'cerah', 'senyum', 'suami', 'sumringah', 'pas', 'cerita', 'argentina', 'menang', 'pemain', 'kesukaannya', 'messi', 'ngelengkapin', 'gelar', 'juara', 'beneran', 'matanya', 'binarnya', 'terserah', 'apa', 'katamu', 'babygirl']</t>
  </si>
  <si>
    <t>Selamat! Argentina Juara Piala Dunia 2022  https://t.co/h8R1ZVKr1t</t>
  </si>
  <si>
    <t>Wihhh argentina jadi juara üèÜ dunia setelah sekian lama</t>
  </si>
  <si>
    <t>wihhh argentina jadi juara dunia setelah sekian lama</t>
  </si>
  <si>
    <t>['wihhh', 'argentina', 'jadi', 'juara', 'dunia', 'sekian', 'lama']</t>
  </si>
  <si>
    <t>Prancis Gagal Juara Piala Dunia usai Ditundukkan Argentina lewat Adu Penalti  https://t.co/6VbZpEhuMq</t>
  </si>
  <si>
    <t>prancis gagal juara piala dunia usai ditundukkan argentina lewat adu penalti</t>
  </si>
  <si>
    <t>['prancis', 'gagal', 'juara', 'piala', 'dunia', 'usai', 'ditundukkan', 'argentina', 'lewat', 'adu', 'penalti']</t>
  </si>
  <si>
    <t>Menang Dramatis, Argentina Juara Piala Dunia 2022 - Lombok Insider  https://t.co/sZCZABu805</t>
  </si>
  <si>
    <t>menang dramatis argentina juara piala dunia lombok insider</t>
  </si>
  <si>
    <t>['menang', 'dramatis', 'argentina', 'juara', 'piala', 'dunia', 'lombok', 'insider']</t>
  </si>
  <si>
    <t>Dramatis, Argentina Juara Piala Dunia 2022  https://t.co/Gjqg4jq0UW  https://t.co/S5FFCGfxB1</t>
  </si>
  <si>
    <t>Argentina menjadi juara Piala Dunia 2022 setelah menang adu penalti atas Prancis. Berikut adalah reaksi di linimaa media sosial mengenai laga seru itu.  https://t.co/S6SwucoQOY</t>
  </si>
  <si>
    <t>argentina menjadi juara piala dunia setelah menang adu penalti atas prancis berikut adalah reaksi linimaa media sosial mengenai laga seru itu</t>
  </si>
  <si>
    <t>['argentina', 'menjadi', 'juara', 'piala', 'dunia', 'menang', 'adu', 'penalti', 'atas', 'prancis', 'berikut', 'reaksi', 'linimaa', 'media', 'sosial', 'mengenai', 'laga', 'seru']</t>
  </si>
  <si>
    <t>@JCLov3Us @Herigondrong91 Haaii pagi say...iya. Argentina juara. Sayang skornya gak ketebak ya. Kedua tim sama2 unggul sampe 3-3</t>
  </si>
  <si>
    <t>haaii pagi say iya argentina juara sayang skornya gak ketebak kedua tim sama unggul sampe</t>
  </si>
  <si>
    <t>['haaii', 'pagi', 'say', 'iya', 'argentina', 'juara', 'sayang', 'skornya', 'ketebak', 'kedua', 'tim', 'sama', 'unggul', 'sampai']</t>
  </si>
  <si>
    <t>Tahun ini Argentina juaranya...tahun depan Indonesia juara...AFF.. semangat....üëç</t>
  </si>
  <si>
    <t>tahun ini argentina juaranya tahun depan indonesia juara aff semangat</t>
  </si>
  <si>
    <t>['tahun', 'argentina', 'juaranya', 'tahun', 'depan', 'indonesia', 'juara', 'aff', 'semangat']</t>
  </si>
  <si>
    <t>Selamat buat Argentina juara #WorldcupQatar2022   Tetap semangat buat Mbappe !!</t>
  </si>
  <si>
    <t>selamat buat argentina juara tetap semangat buat mbappe</t>
  </si>
  <si>
    <t>['selamat', 'buat', 'argentina', 'juara', 'tetap', 'semangat', 'buat', 'mbappe']</t>
  </si>
  <si>
    <t>@Soegijo_ @riooo001 @Dicky_Arya11 @idextratime ASsalamu'alaikum dari masa depan Argentina juara Piala Dunia nih</t>
  </si>
  <si>
    <t>arya assalamu alaikum dari masa depan argentina juara piala dunia nih</t>
  </si>
  <si>
    <t>['arya', 'assalamu', 'alaikum', 'masa', 'depan', 'argentina', 'juara', 'piala', 'dunia']</t>
  </si>
  <si>
    <t>Congratulation Argentina dan Lionel Messi atas berhasil menjadi Juara Piala Dunia 2022. #FIFAWorldCup  https://t.co/2EdkGnTiJi</t>
  </si>
  <si>
    <t>congratulation argentina dan lionel messi atas berhasil menjadi juara piala dunia</t>
  </si>
  <si>
    <t>['congratulation', 'argentina', 'lionel', 'messi', 'atas', 'berhasil', 'menjadi', 'juara', 'piala', 'dunia']</t>
  </si>
  <si>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</si>
  <si>
    <t>keren argentina akhirnya messi bisa bawa pulang piala world cup jadi juara dunia dan qatar penyelenggara worldcup terbaik sampai saat ini sesama saudara muslim aku bangga karakter yang mereka buat sungguh lucu pengen orinya tapi susah carinya</t>
  </si>
  <si>
    <t>['keren', 'argentina', 'akhirnya', 'messi', 'bawa', 'pulang', 'piala', 'world', 'cup', 'jadi', 'juara', 'dunia', 'qatar', 'penyelenggara', 'worldcup', 'terbaik', 'sesama', 'saudara', 'muslim', 'aku', 'bangga', 'karakter', 'buat', 'sungguh', 'lucu', 'pengen', 'orinya', 'susah', 'carinya']</t>
  </si>
  <si>
    <t>Tahniah juara dunia ARGENTINA ‚ù§Ô∏è  #Qatarworldcup2022   @FIFAWorldCup  https://t.co/l3xopKO2nB</t>
  </si>
  <si>
    <t>tahniah juara dunia argentina</t>
  </si>
  <si>
    <t>['tahniah', 'juara', 'dunia', 'argentina']</t>
  </si>
  <si>
    <t>Secara Team suka Argentina üòéüëå Utk Personal suka CR7,Mbapeüëçüëç Selamat buat Argentina üá¶üá∑ Juara Piala Dunia 2022üèÜüéñü•á</t>
  </si>
  <si>
    <t>secara team suka argentina utk personal suka mbape selamat buat argentina juara piala dunia</t>
  </si>
  <si>
    <t>['team', 'suka', 'argentina', 'personal', 'suka', 'mbape', 'selamat', 'buat', 'argentina', 'juara', 'piala', 'dunia']</t>
  </si>
  <si>
    <t>Congratulations ! Argentina untuk juara dunia nya üëè #PialaDunia2022  #Argentina</t>
  </si>
  <si>
    <t>congratulations argentina untuk juara dunia nya</t>
  </si>
  <si>
    <t>['congratulations', 'argentina', 'juara', 'dunia']</t>
  </si>
  <si>
    <t>Dibalik kemenangan Argentina hingga menjadi Juara. Disana banyak kaum yang menangis bukan karena kekalahan tim kebanggaanya. Tapi karena kalah judi.</t>
  </si>
  <si>
    <t>dibalik kemenangan argentina hingga menjadi juara disana banyak kaum yang menangis bukan karena kekalahan tim kebanggaanya tapi karena kalah judi</t>
  </si>
  <si>
    <t>['dibalik', 'kemenangan', 'argentina', 'hingga', 'menjadi', 'juara', 'disana', 'banyak', 'kaum', 'menangis', 'bukan', 'kekalahan', 'tim', 'kebanggaanya', 'kalah', 'judi']</t>
  </si>
  <si>
    <t>Congrats argentina juara piala dunia, thank you messi udah main dan menang jadinya kai update üòÇüòÇüòÇüòÇ</t>
  </si>
  <si>
    <t>congrats argentina juara piala dunia thank you messi udah main dan menang jadinya kai update</t>
  </si>
  <si>
    <t>['congrats', 'argentina', 'juara', 'piala', 'dunia', 'thank', 'you', 'messi', 'udah', 'main', 'menang', 'jadinya', 'kai', 'update']</t>
  </si>
  <si>
    <t>Argentina juara dunia...selamat messi dan timüéâ</t>
  </si>
  <si>
    <t>argentina juara dunia selamat messi dan tim</t>
  </si>
  <si>
    <t>['argentina', 'juara', 'dunia', 'selamat', 'messi', 'tim']</t>
  </si>
  <si>
    <t>Selamat pagi buat yang lagi cuti hari ini karena Argentina juara pildun  https://t.co/pfryDgbzOq</t>
  </si>
  <si>
    <t>selamat pagi buat yang lagi cuti hari ini karena argentina juara pildun</t>
  </si>
  <si>
    <t>['selamat', 'pagi', 'buat', 'cuti', 'hari', 'argentina', 'juara', 'piala dunia']</t>
  </si>
  <si>
    <t>Terlepas teori settingan pildun 2022, emang argentina pantas juaraüëè selamat messi sudah menamatkan career mode nya wkwk. Apalagi yg mau dicari? Semua sudah didapat, memang kambingnya alien</t>
  </si>
  <si>
    <t>terlepas teori settingan pildun emang argentina pantas juara selamat messi sudah menamatkan career mode nya wkwk apalagi mau dicari semua sudah didapat memang kambingnya alien</t>
  </si>
  <si>
    <t>['terlepas', 'teori', 'settingan', 'piala dunia', 'emang', 'argentina', 'pantas', 'juara', 'selamat', 'messi', 'menamatkan', 'career', 'mode', 'mau', 'dicari', 'semua', 'didapat', 'memang', 'kambingnya', 'alien']</t>
  </si>
  <si>
    <t>@Dennysiregar7 Lu yang gila... sama geng lu. Argentina sang juaraüôÇ  https://t.co/sOzaxLpIhJ</t>
  </si>
  <si>
    <t>yang gila sama geng argentina sang juara</t>
  </si>
  <si>
    <t>['gila', 'sama', 'geng', 'argentina', 'sang', 'juara']</t>
  </si>
  <si>
    <t>Argentina Juara, Sepatu Emas Milik Mbappe  https://t.co/LxBTHcCWMv via @Businessupdate.id</t>
  </si>
  <si>
    <t>argentina juara sepatu emas milik mbappe via</t>
  </si>
  <si>
    <t>['argentina', 'juara', 'sepatu', 'emas', 'milik', 'mbappe', 'via']</t>
  </si>
  <si>
    <t>@idextratime Pagi-pagi nonton rerun match tadi di Vidio hasilnya Argentina tetep juara :(</t>
  </si>
  <si>
    <t>pagi pagi nonton rerun match tadi vidio hasilnya argentina tetep juara</t>
  </si>
  <si>
    <t>['pagi', 'pagi', 'nonton', 'rerun', 'match', 'tadi', 'vidio', 'hasilnya', 'argentina', 'tetep', 'juara']</t>
  </si>
  <si>
    <t>@PreciosaKanti Argentina juara dan wajah mempesona yang selalu ceria..‚ú®üéâüéâüéâ  Senang bisa melihat Kak Kanti lagi..üòä</t>
  </si>
  <si>
    <t>argentina juara dan wajah mempesona yang selalu ceria senang bisa melihat kak kanti lagi</t>
  </si>
  <si>
    <t>['argentina', 'juara', 'wajah', 'mempesona', 'selalu', 'ceria', 'senang', 'melihat', 'kak', 'kanti']</t>
  </si>
  <si>
    <t>Argentina juara, Gus.</t>
  </si>
  <si>
    <t>argentina juara gus</t>
  </si>
  <si>
    <t>['argentina', 'juara', 'gus']</t>
  </si>
  <si>
    <t>Argentina juara dunia udah bukan soal sepakbola aja, sejarah umat manusia ternyata superhero itu nyata!!! manusia luar biasa üêê  https://t.co/FrjGdUGySv</t>
  </si>
  <si>
    <t>argentina juara dunia udah bukan soal sepakbola aja sejarah umat manusia ternyata superhero itu nyata manusia luar biasa</t>
  </si>
  <si>
    <t>['argentina', 'juara', 'dunia', 'udah', 'bukan', 'soal', 'sepakbola', 'sejarah', 'umat', 'manusia', 'ternyata', 'superhero', 'nyata', 'manusia', 'luar', 'biasa']</t>
  </si>
  <si>
    <t>@exourcesid Km pasti seneng bgt kannn Argentina juara</t>
  </si>
  <si>
    <t>pasti seneng bgt kannn argentina juara</t>
  </si>
  <si>
    <t>['seneng', 'banget', 'kannn', 'argentina', 'juara']</t>
  </si>
  <si>
    <t>Finally, congrats king Leo, persembahan terakhir untuk negaramu sebelum engkau pensiun..inilah pembuktian yg selama ini publik cari, the real king.. Argentina JUARA, Terimakasih messi!!</t>
  </si>
  <si>
    <t>finally congrats king leo persembahan terakhir untuk negaramu sebelum engkau pensiun inilah pembuktian selama ini publik cari the real king argentina juara terimakasih messi</t>
  </si>
  <si>
    <t>['finally', 'congrats', 'king', 'leo', 'persembahan', 'terakhir', 'negaramu', 'engkau', 'pensiun', 'inilah', 'pembuktian', 'selama', 'publik', 'cari', 'the', 'real', 'king', 'argentina', 'juara', 'terimakasih', 'messi']</t>
  </si>
  <si>
    <t>Selamat Argentina juara FIFA WORLD CUP 2022 üéâüèÜ</t>
  </si>
  <si>
    <t>selamat argentina juara fifa world cup</t>
  </si>
  <si>
    <t>['selamat', 'argentina', 'juara', 'fifa', 'world', 'cup']</t>
  </si>
  <si>
    <t>kalo aja Di Maria ga diganti, gabakal sampe adu penalti, tp gapapa yg penting Messi &amp;amp; Argentina udah juara hehe #FIFAWorldCupFinal #MessiìÉµ #Qatar2022</t>
  </si>
  <si>
    <t>kalo aja maria diganti gabakal sampe adu penalti gapapa penting messi argentina udah juara hehe</t>
  </si>
  <si>
    <t>['maria', 'diganti', 'gabakal', 'sampai', 'adu', 'penalti', 'gapapa', 'penting', 'messi', 'argentina', 'udah', 'juara']</t>
  </si>
  <si>
    <t>Pengen tau reaction jongin pas Argentina juara</t>
  </si>
  <si>
    <t>pengen tau reaction jongin pas argentina juara</t>
  </si>
  <si>
    <t>['pengen', 'reaction', 'jongin', 'pas', 'argentina', 'juara']</t>
  </si>
  <si>
    <t>Final nya seruuu #FIFAWorldCupFinal  Deg deg an pas adu penalti üòÜ  Argentina pantas juara</t>
  </si>
  <si>
    <t>final nya seruuu deg deg pas adu penalti argentina pantas juara</t>
  </si>
  <si>
    <t>['final', 'seruuu', 'deg', 'deg', 'pas', 'adu', 'penalti', 'argentina', 'pantas', 'juara']</t>
  </si>
  <si>
    <t>dimana mana euforia lebih ke messi melangkapi gelar, dibanding argentina juara HAHAH</t>
  </si>
  <si>
    <t>dimana mana euforia lebih messi melangkapi gelar dibanding argentina juara hahah</t>
  </si>
  <si>
    <t>['mana', 'euforia', 'lebih', 'messi', 'melangkapi', 'gelar', 'dibanding', 'argentina', 'juara', 'hahah']</t>
  </si>
  <si>
    <t>Alexis Mac Allister Ungkap Rahasia Argentina Juara Piala Dunia 2022  https://t.co/cNz8z9hvHX</t>
  </si>
  <si>
    <t>alexis mac allister ungkap rahasia argentina juara piala dunia</t>
  </si>
  <si>
    <t>['alexis', 'mac', 'allister', 'ungkap', 'rahasia', 'argentina', 'juara', 'piala', 'dunia']</t>
  </si>
  <si>
    <t>good morning from me yang masih ga nyangka argentina juara, udara hari ini seger banget dehh wkaakakak</t>
  </si>
  <si>
    <t>good morning from yang masih nyangka argentina juara udara hari ini seger banget dehh wkaakakak</t>
  </si>
  <si>
    <t>['good', 'morning', 'from', 'nyangka', 'argentina', 'juara', 'udara', 'hari', 'seger', 'banget', 'dehh', 'wkaakakak']</t>
  </si>
  <si>
    <t>@PapersBoy Sesuai prediksi fifa 23 nih..yg jadi juara argentina..</t>
  </si>
  <si>
    <t>sesuai prediksi fifa nih jadi juara argentina</t>
  </si>
  <si>
    <t>['sesuai', 'prediksi', 'fifa', 'jadi', 'juara', 'argentina']</t>
  </si>
  <si>
    <t>CONGRATULATIONS ARGENTINA  Messi Won The World Cup #FifaWorldCup  Argentina Juara Piala Dunia 2022, Setelah 36 Tahun  https://t.co/DJl7S9wV4S</t>
  </si>
  <si>
    <t>congratulations argentina messi won the world cup argentina juara piala dunia setelah tahun</t>
  </si>
  <si>
    <t>['congratulations', 'argentina', 'messi', 'won', 'the', 'world', 'cup', 'argentina', 'juara', 'piala', 'dunia', 'tahun']</t>
  </si>
  <si>
    <t>Viral! Jose Miguel Polanco Ramal Messi dan Argentina Juara Piala Dunia 2022 Tujuh Tahun Lalu , Ada Buktinya..   https://t.co/wxbA5zwaOr @josepolanco10 #FIFAWorldCup</t>
  </si>
  <si>
    <t>viral jose miguel polanco ramal messi dan argentina juara piala dunia tujuh tahun lalu ada buktinya</t>
  </si>
  <si>
    <t>['viral', 'jose', 'miguel', 'polanco', 'ramal', 'messi', 'argentina', 'juara', 'piala', 'dunia', 'tujuh', 'tahun', 'lalu', 'buktinya']</t>
  </si>
  <si>
    <t>CONGRATULATIONS ARGENTINA  Messi Won The World Cup #FifaWorldCup  Argentina Juara Piala Dunia 2022, Setelah 36 Tahun  https://t.co/7PYnA7RGgR</t>
  </si>
  <si>
    <t>CONGRATULATIONS ARGENTINA  Messi Won The World Cup #FifaWorldCup  Argentina Juara Piala Dunia 2022, Setelah 36 Tahun  https://t.co/WsrkNW5DHq</t>
  </si>
  <si>
    <t>@muika selamat buat Argentina setelah terakhir kemenangan di tahun 1986 Mexico tadi Argentina kembali jd juara piala Dunia 2022</t>
  </si>
  <si>
    <t>selamat buat argentina setelah terakhir kemenangan tahun mexico tadi argentina kembali juara piala dunia</t>
  </si>
  <si>
    <t>['selamat', 'buat', 'argentina', 'terakhir', 'kemenangan', 'tahun', 'mexico', 'tadi', 'argentina', 'juara', 'piala', 'dunia']</t>
  </si>
  <si>
    <t>Argentina Juara Piala Dunia 2022, Lionel Messi Pemain Terbaik  https://t.co/1GPanetcRR lewat @</t>
  </si>
  <si>
    <t>argentina juara piala dunia lionel messi pemain terbaik lewat</t>
  </si>
  <si>
    <t>['argentina', 'juara', 'piala', 'dunia', 'lionel', 'messi', 'pemain', 'terbaik', 'lewat']</t>
  </si>
  <si>
    <t>Kerumunan Besar di Monumen Obelisk Usai Argentina Juara Piala Dunia 2022  https://t.co/gTpvpqdRJf #TempoSport</t>
  </si>
  <si>
    <t>kerumunan besar monumen obelisk usai argentina juara piala dunia</t>
  </si>
  <si>
    <t>['kerumunan', 'besar', 'monumen', 'obelisk', 'usai', 'argentina', 'juara', 'piala', 'dunia']</t>
  </si>
  <si>
    <t>Congrats buat argentina menjadi juara pertama VAMOS ARGENTINA!!</t>
  </si>
  <si>
    <t>congrats buat argentina menjadi juara pertama vamos argentina</t>
  </si>
  <si>
    <t>['congrats', 'buat', 'argentina', 'menjadi', 'juara', 'pertama', 'vamos', 'argentina']</t>
  </si>
  <si>
    <t>Selamat buat yg dukung Argentina  Messi jadi kadrun üòÇüòÇü§≠ Tapi juara dihatiku tetap Maroko üá≤üá¶üëç  https://t.co/OvLk48jnti</t>
  </si>
  <si>
    <t>selamat buat dukung argentina messi jadi kadrun tapi juara dihatiku tetap maroko</t>
  </si>
  <si>
    <t>['selamat', 'buat', 'dukung', 'argentina', 'messi', 'jadi', 'kadrun', 'juara', 'dihatiku', 'tetap', 'maroko']</t>
  </si>
  <si>
    <t>Congrats Argentina, nebak mereka juara pake feeling. Seneng sih akhirnya Di Maria cetak goal üëèüëè</t>
  </si>
  <si>
    <t>congrats argentina nebak mereka juara pake feeling seneng sih akhirnya maria cetak goal</t>
  </si>
  <si>
    <t>['congrats', 'argentina', 'nebak', 'juara', 'pake', 'feeling', 'seneng', 'akhirnya', 'maria', 'cetak', 'goal']</t>
  </si>
  <si>
    <t>Ibarat rival Messi dan Ronaldo dalam sepak bola , gua juga sama punya rival dalam kehidupan, yg mana si rival udah mencapai semua tujuan dlm hidupnya wkwkw dan gua belum ~ Just kesamaan kisah ga penting juga wkwkw  Selamat Messi dan Argentina Juara Word Cup 2022</t>
  </si>
  <si>
    <t>ibarat rival messi dan ronaldo dalam sepak bola gua juga sama punya rival dalam kehidupan mana rival udah mencapai semua tujuan dlm hidupnya wkwkw dan gua belum just kesamaan kisah penting juga wkwkw selamat messi dan argentina juara word cup</t>
  </si>
  <si>
    <t>['ibarat', 'rival', 'messi', 'ronaldo', 'sepak', 'bola', 'gua', 'sama', 'punya', 'rival', 'kehidupan', 'mana', 'rival', 'udah', 'mencapai', 'semua', 'tujuan', 'dlm', 'hidupnya', 'wkwkw', 'gua', 'just', 'kesamaan', 'kisah', 'penting', 'wkwkw', 'selamat', 'messi', 'argentina', 'juara', 'word', 'cup']</t>
  </si>
  <si>
    <t>Tatto pemain Argentina juara pildun #FIFAWorldCup2022 #Qatar2022 bertambah..üòÖüëå</t>
  </si>
  <si>
    <t>tatto pemain argentina juara pildun bertambah</t>
  </si>
  <si>
    <t>['tatto', 'pemain', 'argentina', 'juara', 'piala dunia', 'bertambah']</t>
  </si>
  <si>
    <t>Akhirnya argentina winner dipiala dunia,jadi ingat prediksi cipung kalo dia pilih argentina yg jadi juara dan akhirnya kenyataanüòÖ, terus pas desta sama raffi ahmad main tenis cipung senyum pas ditanya raffi ahmad yg menang,wah cipung benar bayi ajaibü§≠.</t>
  </si>
  <si>
    <t>akhirnya argentina winner dipiala dunia jadi ingat prediksi cipung kalo dia pilih argentina jadi juara dan akhirnya kenyataan terus pas desta sama raffi ahmad main tenis cipung senyum pas ditanya raffi ahmad menang wah cipung benar bayi ajaib</t>
  </si>
  <si>
    <t>['akhirnya', 'argentina', 'winner', 'dipiala', 'dunia', 'jadi', 'ingat', 'prediksi', 'cipung', 'pilih', 'argentina', 'jadi', 'juara', 'akhirnya', 'kenyataan', 'terus', 'pas', 'desta', 'sama', 'raffi', 'ahmad', 'main', 'tenis', 'cipung', 'senyum', 'pas', 'ditanya', 'raffi', 'ahmad', 'menang', 'wah', 'cipung', 'benar', 'bayi', 'ajaib']</t>
  </si>
  <si>
    <t>&lt;FreqDist with 27 samples and 35 outcomes&gt;</t>
  </si>
  <si>
    <t>argentina juara cah , ayo wayah.e ngopi.. kopi hitam semangatku..</t>
  </si>
  <si>
    <t>argentina juara cah ayo wayah ngopi kopi hitam semangatku</t>
  </si>
  <si>
    <t>['argentina', 'juara', 'cah', 'ayo', 'wayah', 'ngopi', 'kopi', 'hitam', 'semangatku']</t>
  </si>
  <si>
    <t>Akhirnya, Messi pantas disebut LEGEND karena (akhirnya) bisa menyabet semua gelar yang pernah diraih oleh Sang legenda bola, Diego Maradona, yang berhasil membawa Argentina juara pada 1986.  https://t.co/oTnqHGn4pz</t>
  </si>
  <si>
    <t>akhirnya messi pantas disebut legend karena akhirnya bisa menyabet semua gelar yang pernah diraih oleh sang legenda bola diego maradona yang berhasil membawa argentina juara pada</t>
  </si>
  <si>
    <t>['akhirnya', 'messi', 'pantas', 'disebut', 'legend', 'akhirnya', 'menyabet', 'semua', 'gelar', 'pernah', 'diraih', 'sang', 'legenda', 'bola', 'diego', 'maradona', 'berhasil', 'membawa', 'argentina', 'juara']</t>
  </si>
  <si>
    <t>VIDEO: Tangis Messi Usai Argentina Akhirnya Juara Piala Dunia ‚Äì CNN Indonesia ‚Äì Google Berita Olahraga ‚Äì  https://t.co/TIveDj0uk5 ‚Äì #Arenanews #Kamidi #Opsiminfo- https://t.co/B6dJ4nL8hj</t>
  </si>
  <si>
    <t>video tangis messi usai argentina akhirnya juara piala dunia cnn indonesia google berita olahraga</t>
  </si>
  <si>
    <t>['video', 'tangis', 'messi', 'usai', 'argentina', 'akhirnya', 'juara', 'piala', 'dunia', 'cnn', 'indonesia', 'google', 'berita', 'olahraga']</t>
  </si>
  <si>
    <t>Terima kasih Tuhan, Argentina Juara!</t>
  </si>
  <si>
    <t>terima kasih tuhan argentina juara</t>
  </si>
  <si>
    <t>['terima', 'kasih', 'tuhan', 'argentina', 'juara']</t>
  </si>
  <si>
    <t>VIDEO: Dramatis, Argentina Juara Piala Dunia 2022!  https://t.co/w6M5RLVvp6</t>
  </si>
  <si>
    <t>video dramatis argentina juara piala dunia</t>
  </si>
  <si>
    <t>['video', 'dramatis', 'argentina', 'juara', 'piala', 'dunia']</t>
  </si>
  <si>
    <t>Lagi nungguin fans nya Dodo bilang Argentina juara karna FIFA wkwk ayo cari celah fans Dodo ü§≠</t>
  </si>
  <si>
    <t>lagi nungguin fans nya dodo bilang argentina juara karna fifa wkwk ayo cari celah fans dodo</t>
  </si>
  <si>
    <t>['nungguin', 'fans', 'dodo', 'argentina', 'juara', 'karna', 'fifa', 'ayo', 'cari', 'celah', 'fans', 'dodo']</t>
  </si>
  <si>
    <t>Messi sunringah, keinginan yang belum tercapai sebelumnya, semalem tercapai. Argentina Juara Dunia!!!! walaupun Messi ini agak lucu, mau pensiun sehabis piala dunia 2014 eh balik main lagi 2015 dan sekarang jadi juara dunia!</t>
  </si>
  <si>
    <t>messi sunringah keinginan yang belum tercapai sebelumnya semalem tercapai argentina juara dunia walaupun messi ini agak lucu mau pensiun sehabis piala dunia balik main lagi dan sekarang jadi juara dunia</t>
  </si>
  <si>
    <t>['messi', 'sunringah', 'keinginan', 'tercapai', 'sebelumnya', 'semalam', 'tercapai', 'argentina', 'juara', 'dunia', 'walaupun', 'messi', 'lucu', 'mau', 'pensiun', 'sehabis', 'piala', 'dunia', 'balik', 'main', 'sekarang', 'jadi', 'juara', 'dunia']</t>
  </si>
  <si>
    <t>@MuhammadAfdalZ3 @idextratime Emang udah di setting kan Argentina juara? Tapi di setting nya sama semesta bukan sama fifa. Dan satu hal lagi, akhirnya Messi mengakhiri perdebatan siapa yang GOAT, karena dia (Messi) adalah satu satunya GOAT</t>
  </si>
  <si>
    <t>emang udah setting kan argentina juara tapi setting nya sama semesta bukan sama fifa dan satu hal lagi akhirnya messi mengakhiri perdebatan siapa yang goat karena dia messi adalah satu satunya goat</t>
  </si>
  <si>
    <t>['emang', 'udah', 'setting', 'kan', 'argentina', 'juara', 'setting', 'sama', 'semesta', 'bukan', 'sama', 'fifa', 'satu', 'akhirnya', 'messi', 'mengakhiri', 'perdebatan', 'siapa', 'goat', 'messi', 'satu', 'satunya', 'goat']</t>
  </si>
  <si>
    <t>Lionel Messi Torehkan Sejarah Bagi Argentina Setelah 36 Tahun 'Puasa': Kami Juara Dunia!  #ArgentinaVsFrance #finalpialadunia     https://t.co/aCLN9XMQ8v</t>
  </si>
  <si>
    <t>lionel messi torehkan sejarah bagi argentina setelah tahun puasa kami juara dunia</t>
  </si>
  <si>
    <t>['lionel', 'messi', 'torehkan', 'sejarah', 'argentina', 'tahun', 'puasa', 'juara', 'dunia']</t>
  </si>
  <si>
    <t>@433 matursuwon argentina, prancis rasido juara tur lotsene ra entek enteküôèüèΩüè¥Û†ÅßÛ†Å¢Û†Å•Û†ÅÆÛ†ÅßÛ†Åø</t>
  </si>
  <si>
    <t>matursuwon argentina prancis rasido juara tur lotsene entek entek</t>
  </si>
  <si>
    <t>['matursuwon', 'argentina', 'prancis', 'rasido', 'juara', 'tur', 'lotsene', 'entek', 'entek']</t>
  </si>
  <si>
    <t>Selamat untuk Argentina. Juara dunia !!!</t>
  </si>
  <si>
    <t>selamat untuk argentina juara dunia</t>
  </si>
  <si>
    <t>"Allah menghendaki kemudahan kamu, dan tidak menghendaki kesukaran bagimu" (QS Albaqarah:185). Semoga kita selalu dimudahkan dalam menghadapi berbagai masalah. Aamiin. Selamat buat tim Argentina sebagai juara dunia 2022.  https://t.co/gbmmZsyxJA</t>
  </si>
  <si>
    <t>allah menghendaki kemudahan kamu dan tidak menghendaki kesukaran bagimu albaqarah semoga kita selalu dimudahkan dalam menghadapi berbagai masalah aamiin selamat buat tim argentina sebagai juara dunia</t>
  </si>
  <si>
    <t>['allah', 'menghendaki', 'kemudahan', 'kamu', 'menghendaki', 'kesukaran', 'bagimu', 'albaqarah', 'semoga', 'selalu', 'dimudahkan', 'menghadapi', 'berbagai', 'masalah', 'aamiin', 'selamat', 'buat', 'tim', 'argentina', 'juara', 'dunia']</t>
  </si>
  <si>
    <t>Argentina Juara Piala Dunia 2022, Ketum PSSI Angkat Trofi Raksasa  https://t.co/dvdfNpDUh7</t>
  </si>
  <si>
    <t>argentina juara piala dunia ketum pssi angkat trofi raksasa</t>
  </si>
  <si>
    <t>['argentina', 'juara', 'piala', 'dunia', 'ketum', 'pssi', 'angkat', 'trofi', 'raksasa']</t>
  </si>
  <si>
    <t>Argentina Juara Dunia, Ini Daftar Penghargaan Piala Dunia 2022 Ada Nama Messi dan Mbappe  https://t.co/h08B6cIDcZ</t>
  </si>
  <si>
    <t>argentina juara dunia ini daftar penghargaan piala dunia ada nama messi dan mbappe</t>
  </si>
  <si>
    <t>['argentina', 'juara', 'dunia', 'daftar', 'penghargaan', 'piala', 'dunia', 'nama', 'messi', 'mbappe']</t>
  </si>
  <si>
    <t>Dah ku bilang kan klo Argentina bakal jadi juara piala dunia</t>
  </si>
  <si>
    <t>dah bilang kan klo argentina bakal jadi juara piala dunia</t>
  </si>
  <si>
    <t>['dah', 'kan', 'argentina', 'bakal', 'jadi', 'juara', 'piala', 'dunia']</t>
  </si>
  <si>
    <t>@Agidione_ @A_ZeeJKT48 Zee dan sekeluarga nge support Timnas Argentina, sampe akhirnya jadi Juara Dunia beneran di Piala Dunia 2022. üá¶üá∑‚öΩüèÜ</t>
  </si>
  <si>
    <t>zeejkt zee dan sekeluarga nge support timnas argentina sampe akhirnya jadi juara dunia beneran piala dunia</t>
  </si>
  <si>
    <t>['zeejkt', 'zee', 'sekeluarga', 'nge', 'support', 'timnas', 'argentina', 'sampai', 'akhirnya', 'jadi', 'juara', 'dunia', 'beneran', 'piala', 'dunia']</t>
  </si>
  <si>
    <t>@iichannisa_ Udah dibilangin yang juara itu Argentina. ü§£</t>
  </si>
  <si>
    <t>udah dibilangin yang juara itu argentina</t>
  </si>
  <si>
    <t>['udah', 'dibilangin', 'juara', 'argentina']</t>
  </si>
  <si>
    <t>Assalamualaikum dan selamat pagi.  Tahniah Argentina juara Piala Dunia 2022.  #WorldCup2022 | #FIFAWorldCup2022  https://t.co/ii4wHUOnQu</t>
  </si>
  <si>
    <t>assalamualaikum dan selamat pagi tahniah argentina juara piala dunia</t>
  </si>
  <si>
    <t>['assalamualaikum', 'selamat', 'pagi', 'tahniah', 'argentina', 'juara', 'piala', 'dunia']</t>
  </si>
  <si>
    <t>Pijet dulu dah habis Juara tadi malem üòÖ   Argentina Champion  https://t.co/rhLDtkt8fy</t>
  </si>
  <si>
    <t>pijet dulu dah habis juara tadi malem argentina champion</t>
  </si>
  <si>
    <t>['pijet', 'dulu', 'dah', 'habis', 'juara', 'tadi', 'malem', 'argentina', 'champion']</t>
  </si>
  <si>
    <t>Meskipun ak seneng bgt argentina juara, tp kamu juga keren kok mbappe üëç</t>
  </si>
  <si>
    <t>meskipun seneng bgt argentina juara kamu juga keren kok mbappe</t>
  </si>
  <si>
    <t>['meskipun', 'seneng', 'banget', 'argentina', 'juara', 'kamu', 'keren', 'kok', 'mbappe']</t>
  </si>
  <si>
    <t xml:space="preserve"> https://t.co/hVLetJMXpS  Argentina Menjadi Juara Dunia Pada Tahun 2022  #bandarbolaterbesar #agenjudibola #bandarbolaterpecaya #bandarbolasbobet #bandarbolanews #infobandarbola #seputarbandarbola #bandarbolaibcbet #bandarbolamedan  https://t.co/3dbrpeatrF</t>
  </si>
  <si>
    <t>argentina menjadi juara dunia pada tahun</t>
  </si>
  <si>
    <t>['argentina', 'menjadi', 'juara', 'dunia', 'tahun']</t>
  </si>
  <si>
    <t>5 Pesepakbola yang Iri Lionel Messi Bawa Argentina Juara Piala Dunia 2022, Nomor 1 Paling Sakit Hati! #LengkapCepatBeritanya #Bola #SepakBola #SepakbolaDunia #BolaDunia .  https://t.co/KJmzbbbvPx</t>
  </si>
  <si>
    <t>buzz cut soon, janji argentina juara sy buzz cut, belajar nepatin janjiiii</t>
  </si>
  <si>
    <t>buzz cut soon janji argentina juara buzz cut belajar nepatin janjiiii</t>
  </si>
  <si>
    <t>['buzz', 'cut', 'soon', 'janji', 'argentina', 'juara', 'buzz', 'cut', 'belajar', 'nepatin', 'janjiiii']</t>
  </si>
  <si>
    <t>Ftd! Teruntuk Taipei, Piala Dunia dan Argentina yang juara piala dunia, terima kasih ya, berkat kalian buddyness dapat moment manis dari ohmnanon üò≠üò≠üò≠üò≠üôèüôèüôèüôè  https://t.co/lRqNtMrPrd</t>
  </si>
  <si>
    <t>ftd teruntuk taipei piala dunia dan argentina yang juara piala dunia terima kasih berkat kalian buddyness dapat moment manis dari ohmnanon</t>
  </si>
  <si>
    <t>['ftd', 'teruntuk', 'taipei', 'piala', 'dunia', 'argentina', 'juara', 'piala', 'dunia', 'terima', 'kasih', 'berkat', 'kalian', 'buddyness', 'moment', 'manis', 'ohmnanon']</t>
  </si>
  <si>
    <t>Senang sekaliii hari ini Argentina juara üòçüòç</t>
  </si>
  <si>
    <t>senang sekaliii hari ini argentina juara</t>
  </si>
  <si>
    <t>['senang', 'sekaliii', 'hari', 'argentina', 'juara']</t>
  </si>
  <si>
    <t>Ketum PSSI ikut bergembira setelah Argentina menjadi juara Piala Dunia 2022 Qatar. Ia mengangkat trofi raksasa dalam acara nonton bareng.   https://t.co/xaexX9An1C</t>
  </si>
  <si>
    <t>ketum pssi ikut bergembira setelah argentina menjadi juara piala dunia qatar mengangkat trofi raksasa dalam acara nonton bareng</t>
  </si>
  <si>
    <t>['ketum', 'pssi', 'ikut', 'bergembira', 'argentina', 'menjadi', 'juara', 'piala', 'dunia', 'qatar', 'mengangkat', 'trofi', 'raksasa', 'acara', 'nonton', 'bareng']</t>
  </si>
  <si>
    <t>Lionel Messi berseru ke suporter Argentina, "Kami juara dunia"    https://t.co/Tx9PXnp4CY</t>
  </si>
  <si>
    <t>lionel messi berseru suporter argentina kami juara dunia</t>
  </si>
  <si>
    <t>['lionel', 'messi', 'berseru', 'suporter', 'argentina', 'juara', 'dunia']</t>
  </si>
  <si>
    <t>Buenos Aeros rayakan Argentina sebagai Juara Dunia 2022 .. Gracias ..hehe   https://t.co/oY5PVeTIQ1</t>
  </si>
  <si>
    <t>buenos aeros rayakan argentina sebagai juara dunia gracias hehe</t>
  </si>
  <si>
    <t>['buenos', 'aeros', 'rayakan', 'argentina', 'juara', 'dunia', 'gracias']</t>
  </si>
  <si>
    <t>yang juara argentina yg trending messi ü§™ pemain yg lain  mbantu messi doang ? üòÇ</t>
  </si>
  <si>
    <t>yang juara argentina trending messi pemain lain mbantu messi doang</t>
  </si>
  <si>
    <t>['juara', 'argentina', 'trending', 'messi', 'pemain', 'mbantu', 'messi', 'doang']</t>
  </si>
  <si>
    <t>Ga tau kenapa tiba-tiba seneng banget Argentina juara üèÜ</t>
  </si>
  <si>
    <t>tau kenapa tiba tiba seneng banget argentina juara</t>
  </si>
  <si>
    <t>['tiba', 'tiba', 'seneng', 'banget', 'argentina', 'juara']</t>
  </si>
  <si>
    <t>Argentina Menang Messi Kami Juara Dunia  https://t.co/JkzuFmtY2A</t>
  </si>
  <si>
    <t>argentina menang messi kami juara dunia</t>
  </si>
  <si>
    <t>['argentina', 'menang', 'messi', 'juara', 'dunia']</t>
  </si>
  <si>
    <t>Congrats Argentina,, degdegserrr akhirnya juara juga üòõ  https://t.co/gyvgCvP2B3</t>
  </si>
  <si>
    <t>congrats argentina degdegserrr akhirnya juara juga</t>
  </si>
  <si>
    <t>['congrats', 'argentina', 'degdegserrr', 'akhirnya', 'juara']</t>
  </si>
  <si>
    <t>argentina ni bos senggol dong yang prancis tidur aja biar mimpi juara</t>
  </si>
  <si>
    <t>argentina bos senggol dong yang prancis tidur aja biar mimpi juara</t>
  </si>
  <si>
    <t>['argentina', 'bos', 'senggol', 'dong', 'prancis', 'tidur', 'mimpi', 'juara']</t>
  </si>
  <si>
    <t>pada anteng nobarnya, mereka pada dukung tim Perancis, sedang yang juara dunia world cup 2022 adalah Argentina. sing sabar maseeeehhh</t>
  </si>
  <si>
    <t>pada anteng nobarnya mereka pada dukung tim perancis sedang yang juara dunia world cup adalah argentina sing sabar maseeeehhh</t>
  </si>
  <si>
    <t>['anteng', 'nobarnya', 'dukung', 'tim', 'perancis', 'sedang', 'juara', 'dunia', 'world', 'cup', 'argentina', 'sing', 'sabar', 'maseeeehhh']</t>
  </si>
  <si>
    <t>Prancis gagal menjadi juara Piala Dunia 2022 usai takluk dari Argentina lewat adu penalti. Babak tos-tosan lagi-lagi menjadi batu sandungan bagi Les Bleus.  https://t.co/Llv8JQQDmB</t>
  </si>
  <si>
    <t>@PolJokesID Terimakasih pak @jokowi, hanya di rezim bapak Argentina juara piala dunia, presiden sebelum bpk ga ada mampu, terimakasih banyak pak.üòÇ</t>
  </si>
  <si>
    <t>terimakasih pak hanya rezim bapak argentina juara piala dunia presiden sebelum bpk ada mampu terimakasih banyak pak</t>
  </si>
  <si>
    <t>['terimakasih', 'pak', 'rezim', 'bapak', 'argentina', 'juara', 'piala', 'dunia', 'presiden', 'bapak', 'mampu', 'terimakasih', 'banyak', 'pak']</t>
  </si>
  <si>
    <t>Argentina berhasil keluar sebagai juara pada Piala Dunia 2022 setelah mengalahkan Prancis lewat babak adu penalti. Kemenangan itu pun dirayakan para suporter yang berada di Lusail Boulevard.  https://t.co/8KFpAf4GZg</t>
  </si>
  <si>
    <t>argentina berhasil keluar sebagai juara pada piala dunia setelah mengalahkan prancis lewat babak adu penalti kemenangan itu pun dirayakan para suporter yang berada lusail boulevard</t>
  </si>
  <si>
    <t>['argentina', 'berhasil', 'keluar', 'juara', 'piala', 'dunia', 'mengalahkan', 'prancis', 'lewat', 'babak', 'adu', 'penalti', 'kemenangan', 'dirayakan', 'suporter', 'berada', 'lusail', 'boulevard']</t>
  </si>
  <si>
    <t>Jangan ribut. Juara dunia sebenarnya itu Arab Saudi. Karena mengalahkan Argentina di Qatar 2022 üòù</t>
  </si>
  <si>
    <t>jangan ribut juara dunia sebenarnya itu arab saudi karena mengalahkan argentina qatar</t>
  </si>
  <si>
    <t>['jangan', 'ribut', 'juara', 'dunia', 'sebenarnya', 'arab', 'saudi', 'mengalahkan', 'argentina', 'qatar']</t>
  </si>
  <si>
    <t>Argentina juara dunia, sekarang gimana ?</t>
  </si>
  <si>
    <t>argentina juara dunia sekarang gimana</t>
  </si>
  <si>
    <t>['argentina', 'juara', 'dunia', 'sekarang', 'gimana']</t>
  </si>
  <si>
    <t>ga ngikutin bola tapi gue dukung argentina dari awal pildun dan ternyata juara üò≠üò≠üò≠ GUE SENENG KARENA ADA MESSI WKWKWK</t>
  </si>
  <si>
    <t>ngikutin bola tapi gue dukung argentina dari awal pildun dan ternyata juara gue seneng karena ada messi wkwkwk</t>
  </si>
  <si>
    <t>['ngikutin', 'bola', 'gue', 'dukung', 'argentina', 'awal', 'piala dunia', 'ternyata', 'juara', 'gue', 'seneng', 'messi', 'wkwkwk']</t>
  </si>
  <si>
    <t>5 Kunci Sukses Argentina Juara Piala Dunia 2022, Nomor 1 Kehebatan Lionel Messi! #LengkapCepatBeritanya #Bola #SepakBola #SepakbolaDunia #BolaDunia .  https://t.co/NyxhAKXloM</t>
  </si>
  <si>
    <t>kunci sukses argentina juara piala dunia nomor kehebatan lionel messi</t>
  </si>
  <si>
    <t>['kunci', 'sukses', 'argentina', 'juara', 'piala', 'dunia', 'nomor', 'kehebatan', 'lionel', 'messi']</t>
  </si>
  <si>
    <t>5 Fakta Timnas Argentina Juara Piala Dunia 2022, Nomor 1 Bikin Malu Cristiano Ronaldo! #LengkapCepatBeritanya #Bola #SepakBola #SepakbolaDunia #BolaDunia .  https://t.co/YNZUzS22Fm</t>
  </si>
  <si>
    <t>fakta timnas argentina juara piala dunia nomor bikin malu cristiano ronaldo</t>
  </si>
  <si>
    <t>['fakta', 'timnas', 'argentina', 'juara', 'piala', 'dunia', 'nomor', 'malu', 'cristiano', 'ronaldo']</t>
  </si>
  <si>
    <t>Bingung mau belanja apa niccc, Argentina juara soale</t>
  </si>
  <si>
    <t>bingung mau belanja apa niccc argentina juara soale</t>
  </si>
  <si>
    <t>['bingung', 'mau', 'belanja', 'apa', 'niccc', 'argentina', 'juara', 'soale']</t>
  </si>
  <si>
    <t>BENERAN ARGENTINA JUARAüò≠üò≠üò≠üò≠üò≠üò≠</t>
  </si>
  <si>
    <t>beneran argentina juara</t>
  </si>
  <si>
    <t>['beneran', 'argentina', 'juara']</t>
  </si>
  <si>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</si>
  <si>
    <t>argentina juara piala dunia perlawanan terpaksa ditentukan menerusi sepakan penalti selepas kedua dua negara terikat hingga masa tambahan minit perlawanan akhir piala dunia paling epik dan dramatik dalam sejarah gol berjaya dihasilkan tahniah argentina</t>
  </si>
  <si>
    <t>['argentina', 'juara', 'piala', 'dunia', 'perlawanan', 'terpaksa', 'ditentukan', 'menerusi', 'sepakan', 'penalti', 'selepas', 'kedua', 'negara', 'terikat', 'hingga', 'masa', 'tambahan', 'minit', 'perlawanan', 'akhir', 'piala', 'dunia', 'paling', 'epik', 'dramatik', 'sejarah', 'gol', 'berjaya', 'dihasilkan', 'tahniah', 'argentina']</t>
  </si>
  <si>
    <t>Bawa Argentina Juara Piala Dunia 2022, Lionel Scaloni Berdearai Air Mata 'Saya Bangga, Kami Menderita'  https://t.co/Fg0wEjaIMy #ArgentinaVsFrance #AlchemyOfSouls2Ep4 #Mbappe #Qatar2022 #WorldCupFinal #MessiìÉµ #Messi #LionelScaloni #ScaloniTactics</t>
  </si>
  <si>
    <t>bawa argentina juara piala dunia lionel scaloni berdearai air mata saya bangga kami menderita</t>
  </si>
  <si>
    <t>['bawa', 'argentina', 'juara', 'piala', 'dunia', 'lionel', 'scaloni', 'berdearai', 'air', 'mata', 'bangga', 'menderita']</t>
  </si>
  <si>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</si>
  <si>
    <t>congrats mess congrats argentina akhirnya yaakkk inget bgt dlu waktu msh ngikuti sepbol bgt gmn nyeseknya messi bisa juara ini itu susah buat dapetin pildun demi bahagiakan negaranya selamat messi sayang bgt gabisa nyaksiin grgr sakit semalem</t>
  </si>
  <si>
    <t>['congrats', 'mess', 'congrats', 'argentina', 'akhirnya', 'yaakkk', 'inget', 'banget', 'dlu', 'waktu', 'msh', 'ngikuti', 'sepbol', 'banget', 'gmn', 'nyeseknya', 'messi', 'juara', 'susah', 'buat', 'dapetin', 'piala dunia', 'bahagiakan', 'negaranya', 'selamat', 'messi', 'sayang', 'banget', 'gabisa', 'nyaksiin', 'grgr', 'sakit', 'semalam']</t>
  </si>
  <si>
    <t>Kalo Brentford gak beli Maupay, Messi dan Argentina gak akan pernah juara dunia üòé</t>
  </si>
  <si>
    <t>kalo brentford gak beli maupay messi dan argentina gak akan pernah juara dunia</t>
  </si>
  <si>
    <t>['brentford', 'beli', 'maupay', 'messi', 'argentina', 'pernah', 'juara', 'dunia']</t>
  </si>
  <si>
    <t>padahal cuma makan nasi putih doang ko enak bgt ya ? oh pantes argentina juara</t>
  </si>
  <si>
    <t>padahal cuma makan nasi putih doang enak bgt pantes argentina juara</t>
  </si>
  <si>
    <t>['padahal', 'cuma', 'makan', 'nasi', 'putih', 'doang', 'enak', 'banget', 'pantes', 'argentina', 'juara']</t>
  </si>
  <si>
    <t>Selamat! Argentina memenangkan juara Piala Dunia 2022 !  Messi bisa tenang sekarang! #worldcup2022 #messi #goat #argentinaüá¶üá∑  https://t.co/q1Wv8Fo2IE</t>
  </si>
  <si>
    <t>selamat argentina memenangkan juara piala dunia messi bisa tenang sekarang</t>
  </si>
  <si>
    <t>['selamat', 'argentina', 'memenangkan', 'juara', 'piala', 'dunia', 'messi', 'tenang', 'sekarang']</t>
  </si>
  <si>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</si>
  <si>
    <t>messi diarak keliling lapangan usai membawa argentina menjadi juara piala dunia sekaligus trofi ketiga bagi albiceleste arak ini jadi mengigatkan pada saat maradona diarak usai membawa tim tango juara mexico messi the greatest all time</t>
  </si>
  <si>
    <t>['messi', 'diarak', 'keliling', 'lapangan', 'usai', 'membawa', 'argentina', 'menjadi', 'juara', 'piala', 'dunia', 'sekaligus', 'trofi', 'ketiga', 'albiceleste', 'arak', 'jadi', 'mengigatkan', 'maradona', 'diarak', 'usai', 'membawa', 'tim', 'tango', 'juara', 'mexico', 'messi', 'the', 'greatest', 'all', 'time']</t>
  </si>
  <si>
    <t>Akhirnya Argentina juara dunia sepakbola..penantian panjang Lionel Messi kesampaian juga di akhir karir dia jadi pemain sepakbola professional Selamat #argentina #lionel messi</t>
  </si>
  <si>
    <t>akhirnya argentina juara dunia sepakbola penantian panjang lionel messi kesampaian juga akhir karir dia jadi pemain sepakbola professional selamat messi</t>
  </si>
  <si>
    <t>['akhirnya', 'argentina', 'juara', 'dunia', 'sepakbola', 'penantian', 'panjang', 'lionel', 'messi', 'kesampaian', 'akhir', 'karir', 'jadi', 'pemain', 'sepakbola', 'professional', 'selamat', 'messi']</t>
  </si>
  <si>
    <t>Argentina juara Piala Dunia FIFA 2022!  https://t.co/YYLwOtUWdQ</t>
  </si>
  <si>
    <t>argentina juara piala dunia fifa</t>
  </si>
  <si>
    <t>['argentina', 'juara', 'piala', 'dunia', 'fifa']</t>
  </si>
  <si>
    <t>Selamat argentina juara piala dunia qatar 2022 setelah mengalahkan perancis lewat adu penalti (4-2)  Waktu normal 3-3  #ArgentinaVsFrance #Qatar2022 #WorldCupFinal #WorldCup #MessiìÉµ  https://t.co/yoLVS5ryWC</t>
  </si>
  <si>
    <t>selamat argentina juara piala dunia qatar setelah mengalahkan perancis lewat adu penalti waktu normal</t>
  </si>
  <si>
    <t>['selamat', 'argentina', 'juara', 'piala', 'dunia', 'qatar', 'mengalahkan', 'perancis', 'lewat', 'adu', 'penalti', 'waktu', 'normal']</t>
  </si>
  <si>
    <t>Selamat, Argentina Juara Piala Dunia 2022  https://t.co/riOEbqbqDC</t>
  </si>
  <si>
    <t>wow argentina juara ya</t>
  </si>
  <si>
    <t>wow argentina juara</t>
  </si>
  <si>
    <t>['wow', 'argentina', 'juara']</t>
  </si>
  <si>
    <t>The real juara itu harus berproses. Aku bangga, aku cinta. Boong bgt kmrn prediksi Argentina juara tanpa alasan. Ada, banyakü´∂üá¶üá∑</t>
  </si>
  <si>
    <t>the real juara itu harus berproses aku bangga aku cinta boong bgt kmrn prediksi argentina juara tanpa alasan ada banyak</t>
  </si>
  <si>
    <t>['the', 'real', 'juara', 'berproses', 'aku', 'bangga', 'aku', 'cinta', 'boong', 'banget', 'kmrn', 'prediksi', 'argentina', 'juara', 'alasan', 'banyak']</t>
  </si>
  <si>
    <t>Argentina juara Dunia, Messi trending, Ronaldo pun ikut Trending Fans Messi Bahagia Fans Ronaldo dah lah masuk gua selamanya</t>
  </si>
  <si>
    <t>argentina juara dunia messi trending ronaldo pun ikut trending fans messi bahagia fans ronaldo dah lah masuk gua selamanya</t>
  </si>
  <si>
    <t>['argentina', 'juara', 'dunia', 'messi', 'trending', 'ronaldo', 'ikut', 'trending', 'fans', 'messi', 'bahagia', 'fans', 'ronaldo', 'dah', 'lah', 'masuk', 'gua', 'selamanya']</t>
  </si>
  <si>
    <t>@emerson_yuntho Bagiku gak penting semua itu.. cuma yang aku tau.. Argentina menang adu penalti atas Francis dan jadi juara dunia.. semoga timnas indonesia bisa ikut ajang piala dunia, meskipun itu cuma mimpi. ü§≠</t>
  </si>
  <si>
    <t>yuntho bagiku gak penting semua itu cuma yang aku tau argentina menang adu penalti atas francis dan jadi juara dunia semoga timnas indonesia bisa ikut ajang piala dunia meskipun itu cuma mimpi</t>
  </si>
  <si>
    <t>['yuntho', 'bagiku', 'penting', 'semua', 'cuma', 'aku', 'argentina', 'menang', 'adu', 'penalti', 'atas', 'francis', 'jadi', 'juara', 'dunia', 'semoga', 'timnas', 'indonesia', 'ikut', 'ajang', 'piala', 'dunia', 'meskipun', 'cuma', 'mimpi']</t>
  </si>
  <si>
    <t>VIDEO: Highlights Piala Dunia 2022, Argentina Juara Usai Menang Adu Penalti 4-2  https://t.co/bkIqFYErOi</t>
  </si>
  <si>
    <t>video highlights piala dunia argentina juara usai menang adu penalti</t>
  </si>
  <si>
    <t>['video', 'highlights', 'piala', 'dunia', 'argentina', 'juara', 'usai', 'menang', 'adu', 'penalti']</t>
  </si>
  <si>
    <t>@ganjarpranowo Selamat kpd Argentina  menjadi Juara World Cup 2022 yg ngalahin Perancis dgn adu finalti. Pasti banyak org di dunia terhibur dg Final World Cup 2022 ini. Selamat Qatar sudah jadi Tuan Rumah yg baik üôè  https://t.co/tYKVJ6pKm9</t>
  </si>
  <si>
    <t>selamat kpd argentina menjadi juara world cup ngalahin perancis dgn adu finalti pasti banyak org dunia terhibur final world cup ini selamat qatar sudah jadi tuan rumah baik</t>
  </si>
  <si>
    <t>['selamat', 'kpd', 'argentina', 'menjadi', 'juara', 'world', 'cup', 'ngalahin', 'perancis', 'adu', 'finalti', 'banyak', 'org', 'dunia', 'terhibur', 'final', 'world', 'cup', 'selamat', 'qatar', 'jadi', 'tuan', 'rumah', 'baik']</t>
  </si>
  <si>
    <t>Jadi Juara Piala Dunia 2022, Pemain Argentina: Kami Dibuat Menderita  https://t.co/MZteLg87Aw #TempoBola</t>
  </si>
  <si>
    <t>jadi juara piala dunia pemain argentina kami dibuat menderita</t>
  </si>
  <si>
    <t>['jadi', 'juara', 'piala', 'dunia', 'pemain', 'argentina', 'dibuat', 'menderita']</t>
  </si>
  <si>
    <t>Rekor Argentina dan Lionel Messi Usai Juara Piala Dunia 2022  https://t.co/IqEB4zJbna</t>
  </si>
  <si>
    <t>rekor argentina dan lionel messi usai juara piala dunia</t>
  </si>
  <si>
    <t>['rekor', 'argentina', 'lionel', 'messi', 'usai', 'juara', 'piala', 'dunia']</t>
  </si>
  <si>
    <t>Tahniah Argentina jadi juara WC22.</t>
  </si>
  <si>
    <t>tahniah argentina jadi juara</t>
  </si>
  <si>
    <t>['tahniah', 'argentina', 'jadi', 'juara']</t>
  </si>
  <si>
    <t>kalo argentina juara maka saudi lebih juara</t>
  </si>
  <si>
    <t>['argentina', 'juara', 'saudi', 'lebih', 'juara']</t>
  </si>
  <si>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</si>
  <si>
    <t>emi martinez orang paling berjasa bantu lionel messi raih kejayaan bersama tim nasional posisi kiper begitu krusial argentina lama tak punya kiper top begitu emi andalan mereka memenangkan copa america dan sekarang juara dunia</t>
  </si>
  <si>
    <t>['emi', 'martinez', 'orang', 'paling', 'berjasa', 'bantu', 'lionel', 'messi', 'raih', 'kejayaan', 'bersama', 'tim', 'nasional', 'posisi', 'kiper', 'krusial', 'argentina', 'lama', 'tak', 'punya', 'kiper', 'top', 'emi', 'andalan', 'memenangkan', 'copa', 'america', 'sekarang', 'juara', 'dunia']</t>
  </si>
  <si>
    <t>Argentina Juara Piala Dunia, Messi Rayakan Kemenangan Bersama Anak dan Istri  https://t.co/dEW1fkkcvf #TempoFoto</t>
  </si>
  <si>
    <t>argentina juara piala dunia messi rayakan kemenangan bersama anak dan istri</t>
  </si>
  <si>
    <t>['argentina', 'juara', 'piala', 'dunia', 'messi', 'rayakan', 'kemenangan', 'bersama', 'anak', 'istri']</t>
  </si>
  <si>
    <t>Prancis gagal mempertahankan gelar juara Piala Dunia. Yang lebih menyakitkan, Les Bleus sempat mendapat harapan sebelum dihempaskan Argentina.  https://t.co/rv2LIuyM5I</t>
  </si>
  <si>
    <t>Prancis gagal mempertahankan gelar juara Piala Dunia. Yang lebih menyakitkan, Les Bleus sempat mendapat harapan sebelum dihempaskan Argentina.  https://t.co/QYJlEOGuNr</t>
  </si>
  <si>
    <t>Bakal kangen sama vibes piala dunia tahun ini. Untuk Argentina, terima kasih sudah jadi juara tahun ini. Well deserved! For Messi, you are the greatest football player of all time.  #GOATìÉµ</t>
  </si>
  <si>
    <t>bakal kangen sama vibes piala dunia tahun ini untuk argentina terima kasih sudah jadi juara tahun ini well deserved for messi you are the greatest football player all time</t>
  </si>
  <si>
    <t>['bakal', 'kangen', 'sama', 'vibes', 'piala', 'dunia', 'tahun', 'argentina', 'terima', 'kasih', 'jadi', 'juara', 'tahun', 'well', 'deserved', 'for', 'messi', 'you', 'are', 'the', 'greatest', 'football', 'player', 'all', 'time']</t>
  </si>
  <si>
    <t>Tpi sekarang Argentina udah Juara Dunia aja, gw telpon suaranya kek serak2 basah gitu abis nangis bahagia mungkin yaa üòÉü´°.  Indahnya sepak bola ini.</t>
  </si>
  <si>
    <t>tpi sekarang argentina udah juara dunia aja telpon suaranya kek serak basah gitu abis nangis bahagia mungkin yaa indahnya sepak bola ini</t>
  </si>
  <si>
    <t>['tpi', 'sekarang', 'argentina', 'udah', 'juara', 'dunia', 'telpon', 'suaranya', 'kek', 'serak', 'basah', 'gitu', 'abis', 'nangis', 'bahagia', 'mungkin', 'ya', 'indahnya', 'sepak', 'bola']</t>
  </si>
  <si>
    <t>JUARA BOLA SEPAK DUNIA üî• ARGENTINA! üá¶üá∑üá¶üá∑  Tahniah Argentina üôåüèªüëèüèª Kemenangan milik Argentina üá¶üá∑üá¶üá∑‚ú®  #argentina #juara #bolasepak #bolasepakdunia #bola  https://t.co/oekWy5PWp0</t>
  </si>
  <si>
    <t>juara bola sepak dunia argentina tahniah argentina kemenangan milik argentina</t>
  </si>
  <si>
    <t>['juara', 'bola', 'sepak', 'dunia', 'argentina', 'tahniah', 'argentina', 'kemenangan', 'milik', 'argentina']</t>
  </si>
  <si>
    <t>@Dennysiregar7 Adem kalau lihat Argentina yang juara, gak ada yg franing issue negara agama tulah inil haha</t>
  </si>
  <si>
    <t>adem kalau lihat argentina yang juara gak ada franing issue negara agama tulah inil haha</t>
  </si>
  <si>
    <t>['adem', 'kalau', 'lihat', 'argentina', 'juara', 'franing', 'issue', 'negara', 'agama', 'tulah', 'inil', 'haha']</t>
  </si>
  <si>
    <t>Felicidades Lionel Messi! Argentina Juara Piala Dunia 2022  https://t.co/ZzLwe3IFy8</t>
  </si>
  <si>
    <t>Complete for messi. Akhirnya messi bisa pensiun tenang kapanpun dia mau. Penantian dan perjuangan panjang berhasil dia capai walau di usia yg sudah tak muda lg. Selamat buat messi membawa argentina juara FIFA World Cup 2022</t>
  </si>
  <si>
    <t>complete for messi akhirnya messi bisa pensiun tenang kapanpun dia mau penantian dan perjuangan panjang berhasil dia capai walau usia sudah tak muda selamat buat messi membawa argentina juara fifa world cup</t>
  </si>
  <si>
    <t>['complete', 'for', 'messi', 'akhirnya', 'messi', 'pensiun', 'tenang', 'kapanpun', 'mau', 'penantian', 'perjuangan', 'panjang', 'berhasil', 'capai', 'usia', 'tak', 'muda', 'selamat', 'buat', 'messi', 'membawa', 'argentina', 'juara', 'fifa', 'world', 'cup']</t>
  </si>
  <si>
    <t>Ketakutan terbesar ketika messi  dengan argentina juara pildun adalah banyak bersleliweran SW¬≤ foto messi dengan segala gelarnya ditambah kepsen¬≤ kegembiraan. bukan pertanyaan-pertanyaan "walah menang cuma ini itu atau mengandalkan ini itu"</t>
  </si>
  <si>
    <t>ketakutan terbesar ketika messi dengan argentina juara pildun adalah banyak bersleliweran foto messi dengan segala gelarnya ditambah kepsen kegembiraan bukan pertanyaan pertanyaan walah menang cuma ini itu atau mengandalkan ini itu</t>
  </si>
  <si>
    <t>['ketakutan', 'terbesar', 'messi', 'argentina', 'juara', 'piala dunia', 'banyak', 'bersleliweran', 'foto', 'messi', 'segala', 'gelarnya', 'ditambah', 'kepsen', 'kegembiraan', 'bukan', 'pertanyaan', 'pertanyaan', 'walah', 'menang', 'cuma', 'mengandalkan']</t>
  </si>
  <si>
    <t>Momen Messi dan Ibunya saling berpelukan sesaat setelah Argentina menjadi Juara Dunia 2022.  Doa seorang Ibu selalu menyertai ü•∞  https://t.co/0MfwmYGjRI</t>
  </si>
  <si>
    <t>momen messi dan ibunya saling berpelukan sesaat setelah argentina menjadi juara dunia doa seorang ibu selalu menyertai</t>
  </si>
  <si>
    <t>['momen', 'messi', 'ibunya', 'saling', 'berpelukan', 'sesaat', 'argentina', 'menjadi', 'juara', 'dunia', 'doa', 'seorang', 'ibu', 'selalu', 'menyertai']</t>
  </si>
  <si>
    <t>Duh semenjak Argentina juara bangun tidur langsung semangat gini yak. Ups...</t>
  </si>
  <si>
    <t>duh semenjak argentina juara bangun tidur langsung semangat gini yak ups</t>
  </si>
  <si>
    <t>['duh', 'semenjak', 'argentina', 'juara', 'bangun', 'tidur', 'langsung', 'semangat', 'gini', 'yak', 'ups']</t>
  </si>
  <si>
    <t>gelo nyak sempet pensiun, frustasi 2x eleh d final copa america ku chile. ayeuna juara worldcup berkat doa jutaan anak yatim argentina ü´∂</t>
  </si>
  <si>
    <t>gelo nyak sempet pensiun frustasi eleh final copa america chile ayeuna juara worldcup berkat doa jutaan anak yatim argentina</t>
  </si>
  <si>
    <t>['gelo', 'nyak', 'sempet', 'pensiun', 'frustasi', 'eleh', 'final', 'copa', 'america', 'chile', 'ayeuna', 'juara', 'worldcup', 'berkat', 'doa', 'jutaan', 'anak', 'yatim', 'argentina']</t>
  </si>
  <si>
    <t>Argentina Juara Piala Dunia 2022, Scaloni: Ini Momen untuk Dinikmati, Terutama bagi Rakyat  https://t.co/kky4ZReKan #TempoBola</t>
  </si>
  <si>
    <t>argentina juara piala dunia scaloni ini momen untuk dinikmati terutama bagi rakyat</t>
  </si>
  <si>
    <t>['argentina', 'juara', 'piala', 'dunia', 'scaloni', 'momen', 'dinikmati', 'terutama', 'rakyat']</t>
  </si>
  <si>
    <t>Karena gak tau bola, adu kiper gue tinggal tidur, eh pagi2 seklebat lewat Argentina juara piala dunia. Messi jadi pensiun nih, di PSG?</t>
  </si>
  <si>
    <t>karena gak tau bola adu kiper gue tinggal tidur pagi seklebat lewat argentina juara piala dunia messi jadi pensiun nih psg</t>
  </si>
  <si>
    <t>['bola', 'adu', 'kiper', 'gue', 'tinggal', 'tidur', 'pagi', 'seklebat', 'lewat', 'argentina', 'juara', 'piala', 'dunia', 'messi', 'jadi', 'pensiun', 'psg']</t>
  </si>
  <si>
    <t>FOTO: Argentina Juara Dunia, Messi Diarak Keliling Stadion  https://t.co/mnPVKodST5</t>
  </si>
  <si>
    <t>foto argentina juara dunia messi diarak keliling stadion</t>
  </si>
  <si>
    <t>['foto', 'argentina', 'juara', 'dunia', 'messi', 'diarak', 'keliling', 'stadion']</t>
  </si>
  <si>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</si>
  <si>
    <t>argentina juara dunia bangsa akan tango sepanjang malam tahun sejak meksiko maradona disini akhirnya adala bangsa yang baru scaloni akan ditakdirkan messi akan disucikan naskanya suda ditulis ini sebua penghormatan untuk sang legenda diego desde cielo podemos ever</t>
  </si>
  <si>
    <t>['argentina', 'juara', 'dunia', 'bangsa', 'tango', 'sepanjang', 'malam', 'tahun', 'sejak', 'meksiko', 'maradona', 'disini', 'akhirnya', 'adala', 'bangsa', 'baru', 'scaloni', 'ditakdirkan', 'messi', 'disucikan', 'naskanya', 'suda', 'ditulis', 'sebua', 'penghormatan', 'sang', 'legenda', 'diego', 'desde', 'cielo', 'podemos', 'ever']</t>
  </si>
  <si>
    <t>argentina-juara-dunia-2022-menang-4-2-atas-perancis-lewat-adu-penalti  https://t.co/gMkTeryDtG</t>
  </si>
  <si>
    <t>argentina juara dunia menang atas perancis lewat adu penalti</t>
  </si>
  <si>
    <t>['argentina', 'juara', 'dunia', 'menang', 'atas', 'perancis', 'lewat', 'adu', 'penalti']</t>
  </si>
  <si>
    <t>pas Argentina juara ae story akeh, kok pas awal group stage gaono suarane kalah ambee Arab. Baru bersuara pas 8 besar haha, contoh seng mulai awal iku seperti mas @7arrr__ setia mulai awal meskipun di hina tetap Argentina sampe juara haha. But congratulations Argentina NT France.</t>
  </si>
  <si>
    <t>pas argentina juara story akeh kok pas awal group stage gaono suarane kalah ambee arab baru bersuara pas besar haha contoh seng mulai awal iku seperti mas setia mulai awal meskipun hina tetap argentina sampe juara haha but congratulations argentina france</t>
  </si>
  <si>
    <t>['pas', 'argentina', 'juara', 'story', 'akeh', 'kok', 'pas', 'awal', 'group', 'stage', 'gaono', 'suarane', 'kalah', 'ambee', 'arab', 'baru', 'bersuara', 'pas', 'besar', 'haha', 'contoh', 'seng', 'mulai', 'awal', 'iku', 'mas', 'setia', 'mulai', 'awal', 'meskipun', 'hina', 'tetap', 'argentina', 'sampai', 'juara', 'haha', 'but', 'congratulations', 'argentina', 'france']</t>
  </si>
  <si>
    <t>&lt;FreqDist with 31 samples and 40 outcomes&gt;</t>
  </si>
  <si>
    <t>Argentina Juara Piala Dunia 2022 Usai Sikat Prancis  https://t.co/QmJwu9ducP  https://t.co/htrPnwsGDu</t>
  </si>
  <si>
    <t>argentina juara piala dunia usai sikat prancis</t>
  </si>
  <si>
    <t>['argentina', 'juara', 'piala', 'dunia', 'usai', 'sikat', 'prancis']</t>
  </si>
  <si>
    <t>Bikin nangis anjirüò≠ dari awal game sampek juara, kalah di bully, menang di hujat di bilang setingan, tpi tetep lahh Argentina emang terbaik. Vamossüá¶üá∑  https://t.co/0IMpXjy1PK</t>
  </si>
  <si>
    <t>bikin nangis anjir dari awal game sampek juara kalah bully menang hujat bilang setingan tpi tetep lahh argentina emang terbaik vamoss</t>
  </si>
  <si>
    <t>['nangis', 'anjir', 'awal', 'game', 'sampek', 'juara', 'kalah', 'bully', 'menang', 'hujat', 'settingan', 'tpi', 'tetep', 'lahh', 'argentina', 'emang', 'terbaik', 'vamoss']</t>
  </si>
  <si>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</si>
  <si>
    <t>@TaufikDamas Argentina juara</t>
  </si>
  <si>
    <t>Skor yg sama waktu Prancis jadi juara dunia 4 tahun yg lalu. Congrats #Argentina</t>
  </si>
  <si>
    <t>skor sama waktu prancis jadi juara dunia tahun lalu congrats</t>
  </si>
  <si>
    <t>['skor', 'sama', 'waktu', 'prancis', 'jadi', 'juara', 'dunia', 'tahun', 'lalu', 'congrats']</t>
  </si>
  <si>
    <t>Argentina menjadi Juara Dunia  di qatar.saya malah melihat kesebelasan argentina melawan tim dari afrika ya..cuma kiper prancis yg kulit putih..ü§£ü§£üòÄ</t>
  </si>
  <si>
    <t>argentina menjadi juara dunia qatar saya malah melihat kesebelasan argentina melawan tim dari afrika cuma kiper prancis kulit putih</t>
  </si>
  <si>
    <t>['argentina', 'menjadi', 'juara', 'dunia', 'qatar', 'malah', 'melihat', 'kesebelasan', 'argentina', 'melawan', 'tim', 'afrika', 'cuma', 'kiper', 'prancis', 'kulit', 'putih']</t>
  </si>
  <si>
    <t>FOTO: Argentina Juara Dunia, Messi Diarak Keliling Stadion  https://t.co/6p5E8CDIde</t>
  </si>
  <si>
    <t>Argentina. Kalah diawal, juara diakhir. Bahwa semua tim yang bertanding dipiala dunia pernah kalah, sekalipun yang juara.</t>
  </si>
  <si>
    <t>argentina kalah diawal juara diakhir bahwa semua tim yang bertanding dipiala dunia pernah kalah sekalipun yang juara</t>
  </si>
  <si>
    <t>['argentina', 'kalah', 'diawal', 'juara', 'diakhir', 'semua', 'tim', 'bertanding', 'dipiala', 'dunia', 'pernah', 'kalah', 'sekalipun', 'juara']</t>
  </si>
  <si>
    <t>Pendukung timnas Argentina di Manado, langsung menggelar konvoi di sepanjang jalan Boulevard, usai Lionel Messi cs memastikan menjadi juara Piala Dunia 2022. #publisherstory #manadobacirita  https://t.co/NiUSHPp3mM</t>
  </si>
  <si>
    <t>pendukung timnas argentina manado langsung menggelar konvoi sepanjang jalan boulevard usai lionel messi memastikan menjadi juara piala dunia</t>
  </si>
  <si>
    <t>['pendukung', 'timnas', 'argentina', 'manado', 'langsung', 'menggelar', 'konvoi', 'sepanjang', 'jalan', 'boulevard', 'usai', 'lionel', 'messi', 'memastikan', 'menjadi', 'juara', 'piala', 'dunia']</t>
  </si>
  <si>
    <t>Kalau ada yg tiba2 pinjem duit ke Lu...jangan dipinjemin yaa...  #argentinajuara #prancisnangis</t>
  </si>
  <si>
    <t>kalau ada tiba pinjem duit jangan dipinjemin yaa</t>
  </si>
  <si>
    <t>['kalau', 'tiba', 'pinjem', 'duit', 'jangan', 'dipinjemin', 'ya']</t>
  </si>
  <si>
    <t>Tarian tango pamungkas nan indah berhasil dipentaskan oleh Lionel Messi bersama pasukan berani mati. Argentina juara Piala Dunia 2022.   https://t.co/zWfonj98Ne</t>
  </si>
  <si>
    <t>tarian tango pamungkas nan indah berhasil dipentaskan oleh lionel messi bersama pasukan berani mati argentina juara piala dunia</t>
  </si>
  <si>
    <t>['tarian', 'tango', 'pamungkas', 'indah', 'berhasil', 'dipentaskan', 'lionel', 'messi', 'bersama', 'pasukan', 'berani', 'mati', 'argentina', 'juara', 'piala', 'dunia']</t>
  </si>
  <si>
    <t>Akhirnya terjawab sudah siapa yang lebih besar antara Lionel Messi dengan Cristiano Ronaldo setelah Argentina menjadi Juara Piala Dunia 2022 di Qatar  https://t.co/Yws8ulNsc6  Selamat Argentina , Selamat Lionel Messi !</t>
  </si>
  <si>
    <t>akhirnya terjawab sudah siapa yang lebih besar antara lionel messi dengan cristiano ronaldo setelah argentina menjadi juara piala dunia qatar selamat argentina selamat lionel messi</t>
  </si>
  <si>
    <t>['akhirnya', 'terjawab', 'siapa', 'lebih', 'besar', 'lionel', 'messi', 'cristiano', 'ronaldo', 'argentina', 'menjadi', 'juara', 'piala', 'dunia', 'qatar', 'selamat', 'argentina', 'selamat', 'lionel', 'messi']</t>
  </si>
  <si>
    <t>Juara Piala Dunia 2022, Ini Total Uang yang Dibawa Timnas Argentina! #LengkapCepatBeritanya #Bola #SepakBola #SepakbolaDunia #BolaDunia .  https://t.co/G5zgBCwMkH</t>
  </si>
  <si>
    <t>juara piala dunia ini total uang yang dibawa timnas argentina</t>
  </si>
  <si>
    <t>['juara', 'piala', 'dunia', 'total', 'uang', 'dibawa', 'timnas', 'argentina']</t>
  </si>
  <si>
    <t>Bawa Argentina Juara Piala Dunia 2022, Lionel Messi Sah Lewati Diego Maradona dan Cristiano Ronaldo? #LengkapCepatBeritanya #Bola #SepakBola #SepakbolaDunia #BolaDunia .  https://t.co/UMq98oBUOE</t>
  </si>
  <si>
    <t>Nah kan argentina, meski adu finalto kurang hipenya, ya tetep aja juara</t>
  </si>
  <si>
    <t>nah kan argentina meski adu finalto kurang hipenya tetep aja juara</t>
  </si>
  <si>
    <t>['nah', 'kan', 'argentina', 'meski', 'adu', 'finalto', 'kurang', 'hipenya', 'tetep', 'juara']</t>
  </si>
  <si>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</si>
  <si>
    <t>setelah penantian akhirnya argentina juara piala dunia yang dan teka teki polemik messi pemain terbaik berakhir sudah argentina juara karena ada dari supporter nya yang menjadi mualaf tuan rumah piala dunia qatar membawa keberuntungan argentina</t>
  </si>
  <si>
    <t>['penantian', 'akhirnya', 'argentina', 'juara', 'piala', 'dunia', 'teka', 'teki', 'polemik', 'messi', 'pemain', 'terbaik', 'berakhir', 'argentina', 'juara', 'supporter', 'menjadi', 'mualaf', 'tuan', 'rumah', 'piala', 'dunia', 'qatar', 'membawa', 'keberuntungan', 'argentina']</t>
  </si>
  <si>
    <t>Ritual Suporter agar Argentina Juara Piala Dunia: Pakai CD Dibalik, Tolak ke Qatar  https://t.co/dzUTdcmsm7</t>
  </si>
  <si>
    <t>ritual suporter agar argentina juara piala dunia pakai dibalik tolak qatar</t>
  </si>
  <si>
    <t>['ritual', 'suporter', 'argentina', 'juara', 'piala', 'dunia', 'pakai', 'dibalik', 'tolak', 'qatar']</t>
  </si>
  <si>
    <t>yang juara messi ama argentina BARCA GAUSA IKUTAN SENENG YA A*J YA</t>
  </si>
  <si>
    <t>yang juara messi ama argentina barca gausa ikutan seneng</t>
  </si>
  <si>
    <t>['juara', 'messi', 'ama', 'argentina', 'barca', 'gausa', 'ikutan', 'seneng']</t>
  </si>
  <si>
    <t>akhirnya argentina juara,  dan messi melengkapi koleksi throphy.   banyak selamat.  prdebatan selesai.</t>
  </si>
  <si>
    <t>akhirnya argentina juara dan messi melengkapi koleksi throphy banyak selamat prdebatan selesai</t>
  </si>
  <si>
    <t>['akhirnya', 'argentina', 'juara', 'messi', 'melengkapi', 'koleksi', 'throphy', 'banyak', 'selamat', 'prdebatan', 'selesai']</t>
  </si>
  <si>
    <t>Tarian tango pamungkas nan indah berhasil dipentaskan oleh Lionel Messi bersama pasukan berani mati. Argentina juara Piala Dunia 2022.   https://t.co/zWfonjri1m</t>
  </si>
  <si>
    <t>Argentina Juara Piala Dunia: Tango Terindah Messi dan Pasukan Berani Mati  https://t.co/cccvmH7QHZ</t>
  </si>
  <si>
    <t>argentina juara piala dunia tango terindah messi dan pasukan berani mati</t>
  </si>
  <si>
    <t>['argentina', 'juara', 'piala', 'dunia', 'tango', 'terindah', 'messi', 'pasukan', 'berani', 'mati']</t>
  </si>
  <si>
    <t>Argentina Juara Piala Dunia 2022: Mbappe Pencetak Gol Terbanyak, Messi Raih Pemain Terbaik Setara Maradona   #Argentina #ArgentinaFrancia #argentinajuara #MessiìÉµ #Mbappe #Martinez #France #PialaDunia2022    https://t.co/gVHGDvB6fG</t>
  </si>
  <si>
    <t>argentina juara piala dunia mbappe pencetak gol terbanyak messi raih pemain terbaik setara maradona</t>
  </si>
  <si>
    <t>['argentina', 'juara', 'piala', 'dunia', 'mbappe', 'pencetak', 'gol', 'terbanyak', 'messi', 'raih', 'pemain', 'terbaik', 'setara', 'maradona']</t>
  </si>
  <si>
    <t>Benerkan Argentina juara piala dunia üèÜüéä</t>
  </si>
  <si>
    <t>benerkan argentina juara piala dunia</t>
  </si>
  <si>
    <t>['benerkan', 'argentina', 'juara', 'piala', 'dunia']</t>
  </si>
  <si>
    <t>Congrats to Argentina üá¶üá∑  Messi emang dah juara üíô</t>
  </si>
  <si>
    <t>congrats argentina messi emang dah juara</t>
  </si>
  <si>
    <t>['congrats', 'argentina', 'messi', 'emang', 'dah', 'juara']</t>
  </si>
  <si>
    <t>Argentina Juara Piala Dunia 2022,  Lewat Hatrick Mbappe  Paksakan Adu Penalti  https://t.co/guTvJxkTdN</t>
  </si>
  <si>
    <t>argentina juara piala dunia lewat hatrick mbappe paksakan adu penalti</t>
  </si>
  <si>
    <t>['argentina', 'juara', 'piala', 'dunia', 'lewat', 'hatrick', 'mbappe', 'paksakan', 'adu', 'penalti']</t>
  </si>
  <si>
    <t>JUARA BOLA SEPAK DUNIA: ARGENTINA üá¶üá∑üî•üî•  Tahniah, Argentina üá¶üá∑üá¶üá∑üá¶üá∑ Kemenangan milik Argentina üî•  #Argentina #France #MolekFM #worldcup #Qatar2022  #bolasepakdunia  https://t.co/qWp1qO7qiv</t>
  </si>
  <si>
    <t>Action Figure   Mbappe  https://t.co/LANqDbiErh  Messi  https://t.co/Wyojb1farN  Pildun Juara Dunia Argentina Prancis Penalti 3-3 Qatar World Cup  https://t.co/sM0rOf9VYG</t>
  </si>
  <si>
    <t>action figure mbappe messi pildun juara dunia argentina prancis penalti qatar world cup</t>
  </si>
  <si>
    <t>['action', 'figure', 'mbappe', 'messi', 'piala dunia', 'juara', 'dunia', 'argentina', 'prancis', 'penalti', 'qatar', 'world', 'cup']</t>
  </si>
  <si>
    <t>Wehh yang juara Argentina wehhh</t>
  </si>
  <si>
    <t>wehh yang juara argentina wehhh</t>
  </si>
  <si>
    <t>['wehh', 'juara', 'argentina', 'wehhh']</t>
  </si>
  <si>
    <t>@urblossomthv @mugentsukoyomii @cursedkidd Wkwkwk ga usah sakit hati emang Argentina layak juara</t>
  </si>
  <si>
    <t>wkwkwk usah sakit hati emang argentina layak juara</t>
  </si>
  <si>
    <t>['wkwkwk', 'usah', 'sakit', 'hati', 'emang', 'argentina', 'layak', 'juara']</t>
  </si>
  <si>
    <t>Usai Bawa Argentina Juara Piala Dunia 2022, Lionel Messi Tegaskan Belum Ingin Pensiun #LengkapCepatBeritanya #Bola #SepakBola #SepakbolaDunia #BolaDunia .  https://t.co/WDAoOsoCPJ</t>
  </si>
  <si>
    <t>usai bawa argentina juara piala dunia lionel messi tegaskan belum ingin pensiun</t>
  </si>
  <si>
    <t>['usai', 'bawa', 'argentina', 'juara', 'piala', 'dunia', 'lionel', 'messi', 'tegaskan', 'pensiun']</t>
  </si>
  <si>
    <t>@PengabdiTantan @ovrthinkillsyou @idextratime @FabriceHawkins Halo ? Sehatkah ? Argentina udah juara ngtddd wkwkk</t>
  </si>
  <si>
    <t>halo sehatkah argentina udah juara ngtddd wkwkk</t>
  </si>
  <si>
    <t>['halo', 'sehatkah', 'argentina', 'udah', 'juara', 'ngtddd', 'wkwkk']</t>
  </si>
  <si>
    <t>Taroan, yg kalah diceburin ka laut. Untung perjanjiannya 90 menit doamg. Jadi kaga nyemplung malem2 üòÇü§£ Btw selamat buat Messi &amp;amp; Argentina, juara piala dunia 2022 @ Bay Walk Mall  https://t.co/jPUqavJWF2</t>
  </si>
  <si>
    <t>taroan kalah diceburin laut untung perjanjiannya menit doamg jadi kaga nyemplung malem btw selamat buat messi argentina juara piala dunia bay walk mall</t>
  </si>
  <si>
    <t>['taroan', 'kalah', 'diceburin', 'laut', 'untung', 'perjanjiannya', 'menit', 'doamg', 'jadi', 'kaga', 'nyemplung', 'malem', 'by the way', 'selamat', 'buat', 'messi', 'argentina', 'juara', 'piala', 'dunia', 'bay', 'walk', 'mall']</t>
  </si>
  <si>
    <t>Argentina Juara Piala Dunia, Ini Komentar Lionel Messi  https://t.co/uPPNWqtUnO</t>
  </si>
  <si>
    <t>argentina juara piala dunia ini komentar lionel messi</t>
  </si>
  <si>
    <t>['argentina', 'juara', 'piala', 'dunia', 'komentar', 'lionel', 'messi']</t>
  </si>
  <si>
    <t>Selamat Argentina juara piala dunia 2022, btw salut juga sama mas Mbappe yg nyetak 3 gol buat Prancis. üò≠üò≠üò≠</t>
  </si>
  <si>
    <t>selamat argentina juara piala dunia btw salut juga sama mas mbappe nyetak gol buat prancis</t>
  </si>
  <si>
    <t>['selamat', 'argentina', 'juara', 'piala', 'dunia', 'by the way', 'salut', 'sama', 'mas', 'mbappe', 'nyetak', 'gol', 'buat', 'prancis']</t>
  </si>
  <si>
    <t>AKHIRNYA AKHIRNYA SETELAH BANYAK PERDEBATAN üò≠üò≠üò≠üò≠ü§ôü§ô KITA MENANG KITA JUARANYA YUUHUUUUUUUü§ü VAMOS ARGENTINA KITA JUARA DUNIA üèÜ  https://t.co/tL9eFv9zjB</t>
  </si>
  <si>
    <t>akhirnya akhirnya setelah banyak perdebatan kita menang kita juaranya yuuhuuuuuuu vamos argentina kita juara dunia</t>
  </si>
  <si>
    <t>['akhirnya', 'akhirnya', 'banyak', 'perdebatan', 'menang', 'juaranya', 'yuuhuuuuuuu', 'vamos', 'argentina', 'juara', 'dunia']</t>
  </si>
  <si>
    <t>Full finally ARGENTINA vs PRANCIY SELAMAT.Argentina juara Qatar FIFA world cup 2022  terakhir menjadi juara dunia saat masa  Diego Maradona  https://t.co/1nNW5n6rfV</t>
  </si>
  <si>
    <t>full finally argentina pranciy selamat argentina juara qatar fifa world cup terakhir menjadi juara dunia saat masa diego maradona</t>
  </si>
  <si>
    <t>['full', 'finally', 'argentina', 'pranciy', 'selamat', 'argentina', 'juara', 'qatar', 'fifa', 'world', 'cup', 'terakhir', 'menjadi', 'juara', 'dunia', 'masa', 'diego', 'maradona']</t>
  </si>
  <si>
    <t>@yusuf_dumdum Selamat Argentina Akhirnya Juara,  Prancis Kalah dengan Terhormat</t>
  </si>
  <si>
    <t>dumdum selamat argentina akhirnya juara prancis kalah dengan terhormat</t>
  </si>
  <si>
    <t>['dumdum', 'selamat', 'argentina', 'akhirnya', 'juara', 'prancis', 'kalah', 'terhormat']</t>
  </si>
  <si>
    <t>Tangi2 Argentina juara..</t>
  </si>
  <si>
    <t>tangi argentina juara</t>
  </si>
  <si>
    <t>['tangi', 'argentina', 'juara']</t>
  </si>
  <si>
    <t>Tapi menurutku mau prancis atau argentina yang menang, nothing surprise and nothing special at all.. kayak ya pildun isi juaranya cuma america selatan + eropa.. dan pemainnya emg punya track bagus.. jd ga bikin kaget.  Beda kalo asia + africa yg juara, bakal WOW BANGET!!</t>
  </si>
  <si>
    <t>tapi menurutku mau prancis atau argentina yang menang nothing surprise and nothing special all kayak pildun isi juaranya cuma america selatan eropa dan pemainnya emg punya track bagus bikin kaget beda kalo asia africa juara bakal wow banget</t>
  </si>
  <si>
    <t>['menurutku', 'mau', 'prancis', 'argentina', 'menang', 'nothing', 'surprise', 'and', 'nothing', 'special', 'all', 'seperti', 'piala dunia', 'isi', 'juaranya', 'cuma', 'america', 'selatan', 'eropa', 'pemainnya', 'memang', 'punya', 'track', 'bagus', 'kaget', 'beda', 'asia', 'africa', 'juara', 'bakal', 'wow', 'banget']</t>
  </si>
  <si>
    <t>masih ga percaya Argentina juaraüò≠üò≠  https://t.co/LZNglmFZw7</t>
  </si>
  <si>
    <t>masih percaya argentina juara</t>
  </si>
  <si>
    <t>pagiku cerahku Argentina juara</t>
  </si>
  <si>
    <t>pagiku cerahku argentina juara</t>
  </si>
  <si>
    <t>['pagiku', 'cerahku', 'argentina', 'juara']</t>
  </si>
  <si>
    <t>Belum Tidur nih lagi lihat cowok Argentina Juara Dunia pasti besar burung nya ü§≠ ready ya open #vcs wa cek bio ya  https://t.co/YBvdDrzrKW</t>
  </si>
  <si>
    <t>belum tidur nih lagi lihat cowok argentina juara dunia pasti besar burung nya ready open cek bio</t>
  </si>
  <si>
    <t>['tidur', 'lihat', 'cowok', 'argentina', 'juara', 'dunia', 'besar', 'burung', 'ready', 'open', 'cek', 'bio']</t>
  </si>
  <si>
    <t>Pemandangan menarik tercipta usai Timnas Argentina dinobatkan menjadi juara Piala Dunia 2022. Pasalnya, Lionel Messi langsung digendong oleh Sergio Aguero dan diarak keliling lapangan.  https://t.co/7ELX9k99et</t>
  </si>
  <si>
    <t>pemandangan menarik tercipta usai timnas argentina dinobatkan menjadi juara piala dunia pasalnya lionel messi langsung digendong oleh sergio aguero dan diarak keliling lapangan</t>
  </si>
  <si>
    <t>['pemandangan', 'menarik', 'tercipta', 'usai', 'timnas', 'argentina', 'dinobatkan', 'menjadi', 'juara', 'piala', 'dunia', 'pasalnya', 'lionel', 'messi', 'langsung', 'digendong', 'sergio', 'aguero', 'diarak', 'keliling', 'lapangan']</t>
  </si>
  <si>
    <t>Berhasil Bawa Argentina Juara Piala Dunia, Lionel Messi: Saya Tidak Akan Pensiun  https://t.co/3cvtPBPylR</t>
  </si>
  <si>
    <t>berhasil bawa argentina juara piala dunia lionel messi saya tidak akan pensiun</t>
  </si>
  <si>
    <t>['berhasil', 'bawa', 'argentina', 'juara', 'piala', 'dunia', 'lionel', 'messi', 'pensiun']</t>
  </si>
  <si>
    <t>Tanpa mengurai rasa hormat ke pada CR7 , messi is the best.  Argentina mirip polisi film India, malah di awal dan menjadi juara.</t>
  </si>
  <si>
    <t>tanpa mengurai rasa hormat pada messi the best argentina mirip polisi film india malah awal dan menjadi juara</t>
  </si>
  <si>
    <t>['mengurai', 'rasa', 'hormat', 'messi', 'the', 'best', 'argentina', 'mirip', 'polisi', 'film', 'india', 'malah', 'awal', 'menjadi', 'juara']</t>
  </si>
  <si>
    <t>puji Tuhan argentina juara jadinya pak zaki full senyum hari ini semoga nilai egpp kita amanüôèüèª</t>
  </si>
  <si>
    <t>puji tuhan argentina juara jadinya pak zaki full senyum hari ini semoga nilai egpp kita aman</t>
  </si>
  <si>
    <t>['puji', 'tuhan', 'argentina', 'juara', 'jadinya', 'pak', 'zaki', 'full', 'senyum', 'hari', 'semoga', 'nilai', 'egpp', 'aman']</t>
  </si>
  <si>
    <t>üá¶üá∑ argentina yesssssyessss üá¶üá∑ juara bola 2022üíöüíöüíöüíöüíö  https://t.co/9GNYTYOLgS</t>
  </si>
  <si>
    <t>argentina yesssssyessss juara bola</t>
  </si>
  <si>
    <t>['argentina', 'yesssssyessss', 'juara', 'bola']</t>
  </si>
  <si>
    <t>Argentina akhirnya juara piala dunia kembali stlh 36 th, pemain yg membawa keberuntungan mnrt saya kiper Martinez. #VamosArgentina #MessiìÉµ</t>
  </si>
  <si>
    <t>argentina akhirnya juara piala dunia kembali stlh pemain membawa keberuntungan mnrt saya kiper martinez</t>
  </si>
  <si>
    <t>['argentina', 'akhirnya', 'juara', 'piala', 'dunia', 'stlh', 'pemain', 'membawa', 'keberuntungan', 'mnrt', 'kiper', 'martinez']</t>
  </si>
  <si>
    <t>Pemain Argentina pawai menggunakan Bus usai berhasil menjadi Juara Piala Dunia 2022 üëèüëç   Messi The GREATEST OF ALL TIME üî•  https://t.co/urqoX20gnb</t>
  </si>
  <si>
    <t>pemain argentina pawai menggunakan bus usai berhasil menjadi juara piala dunia messi the greatest all time</t>
  </si>
  <si>
    <t>['pemain', 'argentina', 'pawai', 'menggunakan', 'bus', 'usai', 'berhasil', 'menjadi', 'juara', 'piala', 'dunia', 'messi', 'the', 'greatest', 'all', 'time']</t>
  </si>
  <si>
    <t>Tak hanya juara, Argentina juga kukuhkan diri sebagai raja adu penalti di pentas Piala Dunia.  #EmtekWorldCup2022 #BolacomWorldCup2022 #PialaDunia2022 #PialaDunia   https://t.co/1yMhlagz2E</t>
  </si>
  <si>
    <t>tak hanya juara argentina juga kukuhkan diri sebagai raja adu penalti pentas piala dunia</t>
  </si>
  <si>
    <t>['tak', 'juara', 'argentina', 'kukuhkan', 'diri', 'raja', 'adu', 'penalti', 'pentas', 'piala', 'dunia']</t>
  </si>
  <si>
    <t>baru bangun ehh tiba2 keinget Argentina Juara Duniaü•∞</t>
  </si>
  <si>
    <t>baru bangun ehh tiba keinget argentina juara dunia</t>
  </si>
  <si>
    <t>['baru', 'bangun', 'ehh', 'tiba', 'keinget', 'argentina', 'juara', 'dunia']</t>
  </si>
  <si>
    <t>Udah feeling dr jaman kalah dr Arab saudi  Duh pas vid callan sm orang rumah g direkam sih pas bilang klo Argentina yg bakal juara hahaha</t>
  </si>
  <si>
    <t>udah feeling jaman kalah arab saudi duh pas vid callan orang rumah direkam sih pas bilang klo argentina bakal juara hahaha</t>
  </si>
  <si>
    <t>['udah', 'feeling', 'jaman', 'kalah', 'arab', 'saudi', 'duh', 'pas', 'vid', 'callan', 'orang', 'rumah', 'direkam', 'pas', 'argentina', 'bakal', 'juara', 'hahaha']</t>
  </si>
  <si>
    <t>Ramalannya benar, Argentina juara titisan si tangan Tuhan</t>
  </si>
  <si>
    <t>ramalannya benar argentina juara titisan tangan tuhan</t>
  </si>
  <si>
    <t>['ramalannya', 'benar', 'argentina', 'juara', 'titisan', 'tangan', 'tuhan']</t>
  </si>
  <si>
    <t>Udah jadi juara. Messi akhirnya bisa pulang juga. #Argentinajuara #PialaDunia2022  https://t.co/sO8ZtDdgbV</t>
  </si>
  <si>
    <t>udah jadi juara messi akhirnya bisa pulang juga</t>
  </si>
  <si>
    <t>['udah', 'jadi', 'juara', 'messi', 'akhirnya', 'pulang']</t>
  </si>
  <si>
    <t>2014 - 2022. Hidup tambah berat tapi yang penting Argentina juara cooook  https://t.co/D4Qvzlr4yC</t>
  </si>
  <si>
    <t>hidup tambah berat tapi yang penting argentina juara cooook</t>
  </si>
  <si>
    <t>['hidup', 'tambah', 'berat', 'penting', 'argentina', 'juara', 'cooook']</t>
  </si>
  <si>
    <t>Girang Argentina Juara, Presiden ‚ÄòSelfie‚Äô di Depan TV  https://t.co/RBtrLLCuAj #AlbertoFernandes #Argentina #PresidenArgentina #PialaDunia</t>
  </si>
  <si>
    <t>girang argentina juara presiden selfie depan</t>
  </si>
  <si>
    <t>['girang', 'argentina', 'juara', 'presiden', 'selfie', 'depan']</t>
  </si>
  <si>
    <t>Bawa Argentina Juara, Lionel Messi Jadi Pemain Terbaik Piala Dunia 2022  https://t.co/xJcEyC6n4e #LionelMessi #Messi #PialaDunia #PialaDunia2022</t>
  </si>
  <si>
    <t>Argentina Juara Dunia Lewat Adu Penalti Lawan Prancis, Messi dan Mbappe Pesta Gol  https://t.co/otwJUC8ruy</t>
  </si>
  <si>
    <t>argentina juara dunia lewat adu penalti lawan prancis messi dan mbappe pesta gol</t>
  </si>
  <si>
    <t>['argentina', 'juara', 'dunia', 'lewat', 'adu', 'penalti', 'lawan', 'prancis', 'messi', 'mbappe', 'pesta', 'gol']</t>
  </si>
  <si>
    <t>Sudah kuduga pasti Argentina Juara Dunia hehe</t>
  </si>
  <si>
    <t>sudah kuduga pasti argentina juara dunia hehe</t>
  </si>
  <si>
    <t>['kuduga', 'argentina', 'juara', 'dunia']</t>
  </si>
  <si>
    <t>Scaloni ajak rakyat Argentina nikmati sukses juara Piala Dunia  https://t.co/B7zr1DUWx3</t>
  </si>
  <si>
    <t>@anaknyabpk1 @Box2BoxBola Pernah gak sih walau argentina JuaraüèÜüèÜüèÜ, gak bisa dan gak akan bisa ngalahin tim nasional Indonesia, iyakan</t>
  </si>
  <si>
    <t>pernah gak sih walau argentina juara gak bisa dan gak akan bisa ngalahin tim nasional indonesia iyakan</t>
  </si>
  <si>
    <t>['pernah', 'argentina', 'juara', 'ngalahin', 'tim', 'nasional', 'indonesia', 'iyakan']</t>
  </si>
  <si>
    <t>@Sachinettiyil also Paredes  https://t.co/oKr6WFrn81</t>
  </si>
  <si>
    <t>also paredes</t>
  </si>
  <si>
    <t>['also', 'paredes']</t>
  </si>
  <si>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</si>
  <si>
    <t>spotify harga promo garansi full link ada bio menang copa america mac allister argentina benzema enzo fernandez raul lemos drake aguero jantung pildun piala dunia juara dunia giroud pemain king leo madrid lloris kolo muani</t>
  </si>
  <si>
    <t>['spotify', 'harga', 'promo', 'garansi', 'full', 'link', 'bio', 'menang', 'copa', 'america', 'mac', 'allister', 'argentina', 'benzema', 'enzo', 'fernandez', 'raul', 'lemos', 'drake', 'aguero', 'jantung', 'piala dunia', 'piala', 'dunia', 'juara', 'dunia', 'giroud', 'pemain', 'king', 'leo', 'madrid', 'lloris', 'kolo', 'muani']</t>
  </si>
  <si>
    <t>yang juara pildun boleh argentina juara hati mah only u is number one Kiwkiwüò≠ü§åüèº</t>
  </si>
  <si>
    <t>yang juara pildun boleh argentina juara hati mah only number one kiwkiw</t>
  </si>
  <si>
    <t>['juara', 'piala dunia', 'argentina', 'juara', 'hati', 'mah', 'only', 'number', 'one', 'kiwkiw']</t>
  </si>
  <si>
    <t>Tundukkan Prancis, Argentina Juara Piala Dunia¬†2022  https://t.co/1gKyNK8K9C</t>
  </si>
  <si>
    <t>tundukkan prancis argentina juara piala dunia</t>
  </si>
  <si>
    <t>['tundukkan', 'prancis', 'argentina', 'juara', 'piala', 'dunia']</t>
  </si>
  <si>
    <t>Prancis gagal menjadi juara Piala Dunia 2022 usai takluk dari Argentina lewat adu penalti. Babak tos-tosan lagi-lagi menjadi batu sandungan bagi Les Bleus.  https://t.co/heWLN6KzIC</t>
  </si>
  <si>
    <t>Nah kan, bener 1 nih prediksi gw yg jadi juara dunia argentina hehee... #PialaDunia2022  #Argentina</t>
  </si>
  <si>
    <t>nah kan bener nih prediksi jadi juara dunia argentina hehee</t>
  </si>
  <si>
    <t>['nah', 'kan', 'benar', 'prediksi', 'jadi', 'juara', 'dunia', 'argentina', 'hehee']</t>
  </si>
  <si>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</si>
  <si>
    <t>pada akhirnya messi membawa argentina untuk menjadi juara piala dunia sebagai pemain terbaik pildun sekali lagi selamat leomessi kamu berhak mendapatkan itu semua berkat kerja kerasmu timnas dari messi kita belajar kekalahan adalah kesuksesan tertunda</t>
  </si>
  <si>
    <t>['akhirnya', 'messi', 'membawa', 'argentina', 'menjadi', 'juara', 'piala', 'dunia', 'pemain', 'terbaik', 'piala dunia', 'sekali', 'selamat', 'leomessi', 'kamu', 'berhak', 'mendapatkan', 'semua', 'berkat', 'kerja', 'kerasmu', 'timnas', 'messi', 'belajar', 'kekalahan', 'kesuksesan', 'tertunda']</t>
  </si>
  <si>
    <t>Sing kalah Perancis sing menang Argentina sing juara tetep jenengan, hhh..</t>
  </si>
  <si>
    <t>sing kalah perancis sing menang argentina sing juara tetep jenengan hhh</t>
  </si>
  <si>
    <t>['sing', 'kalah', 'perancis', 'sing', 'menang', 'argentina', 'sing', 'juara', 'tetep', 'jenengan', 'hhh']</t>
  </si>
  <si>
    <t>IHIYYY  #dybala #messi #argentina emi martinez #DiMaria #Mbappe  juara dunia  https://t.co/265VAF3vMd</t>
  </si>
  <si>
    <t>ihiyyy emi martinez juara dunia</t>
  </si>
  <si>
    <t>['ihiyyy', 'emi', 'martinez', 'juara', 'dunia']</t>
  </si>
  <si>
    <t>Prancis gagal menjadi juara Piala Dunia 2022 usai takluk dari Argentina lewat adu penalti. Babak tos-tosan lagi-lagi menjadi batu sandungan bagi Les Bleus.  https://t.co/F5kyYwGfZ7</t>
  </si>
  <si>
    <t>Jakarta, CNBC Indonesia - Argentina memastikan diri menjadi juara Piala Dunia FIFA 2022. Kepastian itu didapat usai Argentina menaklukkan Prancis melalui adu penalti 4-2 (3-3) di Stadion Lusail, Qatar, Senin (19/12/2022) dini hari WIB.   https://t.co/RJurhCv6d4</t>
  </si>
  <si>
    <t>jakarta cnbc indonesia argentina memastikan diri menjadi juara piala dunia fifa kepastian itu didapat usai argentina menaklukkan prancis melalui adu penalti stadion lusail qatar senin dini hari wib</t>
  </si>
  <si>
    <t>['jakarta', 'cnbc', 'indonesia', 'argentina', 'memastikan', 'diri', 'menjadi', 'juara', 'piala', 'dunia', 'fifa', 'kepastian', 'didapat', 'usai', 'argentina', 'menaklukkan', 'prancis', 'melalui', 'adu', 'penalti', 'stadion', 'lusail', 'qatar', 'senin', 'dini', 'hari', 'wib']</t>
  </si>
  <si>
    <t>Airmata laki-laki lebih jujur daripada air mata perempuan dan air mata Perancis üá®üáµ lebih pedihhh liat Argentina üá¶üá∑ juara piala dunia 2022 :v</t>
  </si>
  <si>
    <t>airmata laki laki lebih jujur daripada air mata perempuan dan air mata perancis lebih pedihhh liat argentina juara piala dunia</t>
  </si>
  <si>
    <t>['airmata', 'laki', 'laki', 'lebih', 'jujur', 'air', 'mata', 'perempuan', 'air', 'mata', 'perancis', 'lebih', 'pedihhh', 'lihat', 'argentina', 'juara', 'piala', 'dunia']</t>
  </si>
  <si>
    <t>Argentina akhirnya keluar sebagai Juara Dunia  setelah mengalahkan Prancis dalam drama adu penalti. Selamat untuk Messi dan squad</t>
  </si>
  <si>
    <t>argentina akhirnya keluar sebagai juara dunia setelah mengalahkan prancis dalam drama adu penalti selamat untuk messi dan squad</t>
  </si>
  <si>
    <t>['argentina', 'akhirnya', 'keluar', 'juara', 'dunia', 'mengalahkan', 'prancis', 'drama', 'adu', 'penalti', 'selamat', 'messi', 'squad']</t>
  </si>
  <si>
    <t>@pantungalimar Ternyata Argentina juara karena udah vidcall-an sama pak ibul</t>
  </si>
  <si>
    <t>ternyata argentina juara karena udah vidcall sama pak ibul</t>
  </si>
  <si>
    <t>['ternyata', 'argentina', 'juara', 'udah', 'vidcall', 'sama', 'pak', 'ibul']</t>
  </si>
  <si>
    <t>Bawa Argentina Juara Piala Dunia 2022, Lionel Messi Belum Akan Pensiun dari Tim Nasional  https://t.co/A9zlGI5BhS #TempoBola</t>
  </si>
  <si>
    <t>bawa argentina juara piala dunia lionel messi belum akan pensiun dari tim nasional</t>
  </si>
  <si>
    <t>['bawa', 'argentina', 'juara', 'piala', 'dunia', 'lionel', 'messi', 'pensiun', 'tim', 'nasional']</t>
  </si>
  <si>
    <t>Salah satu alasan ga mau Argentina juara ya karena banyak pemainnya yang arogan. Ini baru si Emi, belum Paredes, De Paul, Romero, tapi di sisi lain pengen juga liat Messi juara Piala Dunia.</t>
  </si>
  <si>
    <t>salah satu alasan mau argentina juara karena banyak pemainnya yang arogan ini baru emi belum paredes paul romero tapi sisi lain pengen juga liat messi juara piala dunia</t>
  </si>
  <si>
    <t>['salah', 'satu', 'alasan', 'mau', 'argentina', 'juara', 'banyak', 'pemainnya', 'arogan', 'baru', 'emi', 'paredes', 'paul', 'romero', 'sisi', 'pengen', 'lihat', 'messi', 'juara', 'piala', 'dunia']</t>
  </si>
  <si>
    <t>@prasetyoseven Hore Argentina juara.. jgn lupa pilih saya pak üôèüèº</t>
  </si>
  <si>
    <t>hore argentina juara jgn lupa pilih saya pak</t>
  </si>
  <si>
    <t>['hore', 'argentina', 'juara', 'lupa', 'pilih', 'pak']</t>
  </si>
  <si>
    <t>Bungkam Prancis, Argentina Juara Piala Dunia¬†2022  https://t.co/g4v4E4dlJ8</t>
  </si>
  <si>
    <t>bungkam prancis argentina juara piala dunia</t>
  </si>
  <si>
    <t>['bungkam', 'prancis', 'argentina', 'juara', 'piala', 'dunia']</t>
  </si>
  <si>
    <t>Argentina JUARA!!!! Vamos!!!!!üá¶üá∑üá¶üá∑üá¶üá∑</t>
  </si>
  <si>
    <t>argentina juara vamos</t>
  </si>
  <si>
    <t>['argentina', 'juara', 'vamos']</t>
  </si>
  <si>
    <t>Piala Dunia 2022. Hebat Perancis, Juara Argentina üëçüëçüëçüëç</t>
  </si>
  <si>
    <t>piala dunia hebat perancis juara argentina</t>
  </si>
  <si>
    <t>['piala', 'dunia', 'hebat', 'perancis', 'juara', 'argentina']</t>
  </si>
  <si>
    <t>Kemenangan Argentina penting untuk Messi, tapi ada juga sebagian rakyat di Argentina berharap Argentina tidak juara karna ditakutkan jadi bahan pengalihan isu dari hancurnya ekonomi Argentina saat ini.</t>
  </si>
  <si>
    <t>kemenangan argentina penting untuk messi tapi ada juga sebagian rakyat argentina berharap argentina tidak juara karna ditakutkan jadi bahan pengalihan isu dari hancurnya ekonomi argentina saat ini</t>
  </si>
  <si>
    <t>['kemenangan', 'argentina', 'penting', 'messi', 'sebagian', 'rakyat', 'argentina', 'berharap', 'argentina', 'juara', 'karna', 'ditakutkan', 'jadi', 'bahan', 'pengalihan', 'isu', 'hancurnya', 'ekonomi', 'argentina']</t>
  </si>
  <si>
    <t>@MatunWong @MafiaWasit The real factos : argentina juara piala dunia 2022 di qatar...</t>
  </si>
  <si>
    <t>the real factos argentina juara piala dunia qatar</t>
  </si>
  <si>
    <t>['the', 'real', 'factos', 'argentina', 'juara', 'piala', 'dunia', 'qatar']</t>
  </si>
  <si>
    <t>Pertama tau Messi dari sebuah artikel di majalah, mungkin ga lama dari dia juara piala dunia u-20. Artikelnya bilang dia itu wonderkid baru dari Argentina. Dia orang yg bikin gua cinta sama sepakbola. Gua suka gaya bermain dia. Tiap pagi nontonin doi di berita olahraga.</t>
  </si>
  <si>
    <t>pertama tau messi dari sebuah artikel majalah mungkin lama dari dia juara piala dunia artikelnya bilang dia itu wonderkid baru dari argentina dia orang bikin gua cinta sama sepakbola gua suka gaya bermain dia tiap pagi nontonin doi berita olahraga</t>
  </si>
  <si>
    <t>['pertama', 'messi', 'sebuah', 'artikel', 'majalah', 'mungkin', 'lama', 'juara', 'piala', 'dunia', 'artikelnya', 'wonderkid', 'baru', 'argentina', 'orang', 'gua', 'cinta', 'sama', 'sepakbola', 'gua', 'suka', 'gaya', 'bermain', 'tiap', 'pagi', 'nontonin', 'doi', 'berita', 'olahraga']</t>
  </si>
  <si>
    <t>Selamat! Argentina Juara Piala Dunia 2022! Baca Selengkapnya di  &amp;gt;&amp;gt;&amp;gt;  https://t.co/9qBEbW46m9 Daftarkan sekarang juga!  Link :  https://t.co/XROb5m6iiV WA : +6282169213327  https://t.co/XG1ddXcJkd</t>
  </si>
  <si>
    <t>selamat argentina juara piala dunia baca selengkapnya daftarkan sekarang juga link</t>
  </si>
  <si>
    <t>['selamat', 'argentina', 'juara', 'piala', 'dunia', 'baca', 'selengkapnya', 'daftarkan', 'sekarang', 'link']</t>
  </si>
  <si>
    <t>Terbukti! Ramalan Jose Miguel Polanco bahwa Messi dan Argentina Juara FIFA World Cup Qatar 2022  https://t.co/trSFuKE5a0</t>
  </si>
  <si>
    <t>terbukti ramalan jose miguel polanco bahwa messi dan argentina juara fifa world cup qatar</t>
  </si>
  <si>
    <t>['terbukti', 'ramalan', 'jose', 'miguel', 'polanco', 'messi', 'argentina', 'juara', 'fifa', 'world', 'cup', 'qatar']</t>
  </si>
  <si>
    <t>Masih dikasur senyum2 liat footage Argentina juara üòäüòäüòäüòäüòäüòäüòäüòä</t>
  </si>
  <si>
    <t>masih dikasur senyum liat footage argentina juara</t>
  </si>
  <si>
    <t>['dikasur', 'senyum', 'lihat', 'footage', 'argentina', 'juara']</t>
  </si>
  <si>
    <t>#day272 Stack #bitcoin  -- Argentina semalam juara piala dunia 2022 -- #bitcoin  https://t.co/262R8ePm7V</t>
  </si>
  <si>
    <t>stack argentina semalam juara piala dunia</t>
  </si>
  <si>
    <t>['stack', 'argentina', 'semalam', 'juara', 'piala', 'dunia']</t>
  </si>
  <si>
    <t>Pesan menyentuh Presiden Argentina setelah Messi cs juara Piala Dunia.  #EmtekWorldCup2022 #BolacomWorldCup2022 #PialaDunia2022 #PialaDunia   https://t.co/8X4G5i8EIH</t>
  </si>
  <si>
    <t>pesan menyentuh presiden argentina setelah messi juara piala dunia</t>
  </si>
  <si>
    <t>['pesan', 'menyentuh', 'presiden', 'argentina', 'messi', 'juara', 'piala', 'dunia']</t>
  </si>
  <si>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</si>
  <si>
    <t>sampai akhirnya tahun scaloni ditunjuk untuk melatih argentina dan banyak pemain punya visi misi sama dan menghormati dan bermain untuk messi dimulai kesuksesan nya mengalahkan brazil final mengalahkan italia juara euro finalissama</t>
  </si>
  <si>
    <t>['akhirnya', 'tahun', 'scaloni', 'ditunjuk', 'melatih', 'argentina', 'banyak', 'pemain', 'punya', 'visi', 'misi', 'sama', 'menghormati', 'bermain', 'messi', 'dimulai', 'kesuksesan', 'mengalahkan', 'brazil', 'final', 'mengalahkan', 'italia', 'juara', 'euro', 'finalissama']</t>
  </si>
  <si>
    <t>Argentina juara duniaü•π</t>
  </si>
  <si>
    <t>Mimpi Argentina yg jadi juara, eh ternyata bener ü•π contrast Argentina!! ü•≥üèÜ</t>
  </si>
  <si>
    <t>mimpi argentina jadi juara ternyata bener contrast argentina</t>
  </si>
  <si>
    <t>['mimpi', 'argentina', 'jadi', 'juara', 'ternyata', 'benar', 'contrast', 'argentina']</t>
  </si>
  <si>
    <t>Apakah gelar juara #FIFAWorldCup yang diraih Argentina bisa menutup perdebatan dan mendeklarasikan "GOAT" üêê - greatest of all time (terbaik sepanjang masa) kepada Messi?  https://t.co/NAK6FY37s3</t>
  </si>
  <si>
    <t>apakah gelar juara yang diraih argentina bisa menutup perdebatan dan mendeklarasikan goat greatest all time terbaik sepanjang masa kepada messi</t>
  </si>
  <si>
    <t>['gelar', 'juara', 'diraih', 'argentina', 'menutup', 'perdebatan', 'mendeklarasikan', 'goat', 'greatest', 'all', 'time', 'terbaik', 'sepanjang', 'masa', 'messi']</t>
  </si>
  <si>
    <t>@erickthohir @KMbappe Pak Mentri keren üëç Argentina Juara</t>
  </si>
  <si>
    <t>pak mentri keren argentina juara</t>
  </si>
  <si>
    <t>['pak', 'mentri', 'keren', 'argentina', 'juara']</t>
  </si>
  <si>
    <t>Perayaan kemenangan Maradona saat membawa Argentina Juara Piala Dunia di Mexico 1986.   Dan pesta kemenangan Messi setelah membawa La Albiceleste meraih trofi Piala Dunia ketiganya di Qatar 2022   GREATEST OF ALL TIME  https://t.co/OnH1ts38IU</t>
  </si>
  <si>
    <t>perayaan kemenangan maradona saat membawa argentina juara piala dunia mexico dan pesta kemenangan messi setelah membawa albiceleste meraih trofi piala dunia ketiganya qatar greatest all time</t>
  </si>
  <si>
    <t>['perayaan', 'kemenangan', 'maradona', 'membawa', 'argentina', 'juara', 'piala', 'dunia', 'mexico', 'pesta', 'kemenangan', 'messi', 'membawa', 'albiceleste', 'meraih', 'trofi', 'piala', 'dunia', 'ketiganya', 'qatar', 'greatest', 'all', 'time']</t>
  </si>
  <si>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</si>
  <si>
    <t>senang deh rasanya kebanggaan dari awal argentina menang juara dunia skor akhir apalagi ada mas messi yang top care terus kita juga kudu top care terus walaupun udah masuk tanggal tua jgn byk mikirin kebutuhan selagi ada gopaylater bisa slalu kalian naikin limitnya</t>
  </si>
  <si>
    <t>['senang', 'deh', 'rasanya', 'kebanggaan', 'awal', 'argentina', 'menang', 'juara', 'dunia', 'skor', 'akhir', 'mas', 'messi', 'top', 'care', 'terus', 'kudu', 'top', 'care', 'terus', 'walaupun', 'udah', 'masuk', 'tanggal', 'tua', 'byk', 'mikirin', 'kebutuhan', 'gopaylater', 'slalu', 'kalian', 'naikin', 'limitnya']</t>
  </si>
  <si>
    <t>Akhirnya cita-cita Messi untuk membawa timnas Argentina menjadi Juara Dunia keturutan Congratulations !</t>
  </si>
  <si>
    <t>akhirnya cita cita messi untuk membawa timnas argentina menjadi juara dunia keturutan congratulations</t>
  </si>
  <si>
    <t>['akhirnya', 'cita', 'cita', 'messi', 'membawa', 'timnas', 'argentina', 'menjadi', 'juara', 'dunia', 'keturutan', 'congratulations']</t>
  </si>
  <si>
    <t>Argentina Raih Juara Piala Dunia, Neymar Ucapkan Selamat kepada Lionel Messi  https://t.co/J9VF9Bdqni</t>
  </si>
  <si>
    <t>argentina raih juara piala dunia neymar ucapkan selamat kepada lionel messi</t>
  </si>
  <si>
    <t>['argentina', 'raih', 'juara', 'piala', 'dunia', 'neymar', 'ucapkan', 'selamat', 'lionel', 'messi']</t>
  </si>
  <si>
    <t>Juara Piala Dunia, Argentina Berpesta di Tengah Krisis Mencekik  https://t.co/O1SLlvPYgD</t>
  </si>
  <si>
    <t>juara piala dunia argentina berpesta tengah krisis mencekik</t>
  </si>
  <si>
    <t>['juara', 'piala', 'dunia', 'argentina', 'berpesta', 'tengah', 'krisis', 'mencekik']</t>
  </si>
  <si>
    <t>Argentina menang terus kecuali lawan Saudi. Saudi kalah terus kecuali lawan Argentina. Jadi kesimpulannya Saudi juara ü§£</t>
  </si>
  <si>
    <t>argentina menang terus kecuali lawan saudi saudi kalah terus kecuali lawan argentina jadi kesimpulannya saudi juara</t>
  </si>
  <si>
    <t>['argentina', 'menang', 'terus', 'lawan', 'saudi', 'saudi', 'kalah', 'terus', 'lawan', 'argentina', 'jadi', 'kesimpulannya', 'saudi', 'juara']</t>
  </si>
  <si>
    <t>Pendukung Prancis mengkritik wasit dan menyepelekan Argentina, tetapi lupa terhadap penyingkiran Benzema dari skuad timnas.</t>
  </si>
  <si>
    <t>pendukung prancis mengkritik wasit dan menyepelekan argentina tetapi lupa terhadap penyingkiran benzema dari skuad timnas</t>
  </si>
  <si>
    <t>['pendukung', 'prancis', 'mengkritik', 'wasit', 'menyepelekan', 'argentina', 'lupa', 'penyingkiran', 'benzema', 'skuad', 'timnas']</t>
  </si>
  <si>
    <t>Argentina berhasil menjadi juara piala dunia Qatar 2022 usai menumbangkan Prancis lewat drama adu penalti. Berikut perjalanan Lionel Messi Cs dari fase Grup C hingga berhasil memboyong trofi piala dunia.  https://t.co/cB2pOEX8rj</t>
  </si>
  <si>
    <t>argentina berhasil menjadi juara piala dunia qatar usai menumbangkan prancis lewat drama adu penalti berikut perjalanan lionel messi dari fase grup hingga berhasil memboyong trofi piala dunia</t>
  </si>
  <si>
    <t>['argentina', 'berhasil', 'menjadi', 'juara', 'piala', 'dunia', 'qatar', 'usai', 'menumbangkan', 'prancis', 'lewat', 'drama', 'adu', 'penalti', 'berikut', 'perjalanan', 'lionel', 'messi', 'fase', 'grup', 'hingga', 'berhasil', 'memboyong', 'trofi', 'piala', 'dunia']</t>
  </si>
  <si>
    <t>VIDEO: Highlights Piala Dunia 2022, Argentina Juara Usai Menang Adu Penalti 4-2  https://t.co/X08nCVmpvw</t>
  </si>
  <si>
    <t>Akhirnya beneran Argentina yg juara tpi gile prancia bgs bgt tdi malem, tpi emang belom rejeki aja sih üòÖ</t>
  </si>
  <si>
    <t>akhirnya beneran argentina juara tpi gile prancia bgs bgt tdi malem tpi emang belom rejeki aja sih</t>
  </si>
  <si>
    <t>['akhirnya', 'beneran', 'argentina', 'juara', 'tpi', 'gile', 'prancia', 'bgs', 'banget', 'tdi', 'malem', 'tpi', 'emang', 'belom', 'rejeki']</t>
  </si>
  <si>
    <t>Argentina juara tadi, Terengganu cuti banjir..  Banjir doh</t>
  </si>
  <si>
    <t>argentina juara tadi terengganu cuti banjir banjir doh</t>
  </si>
  <si>
    <t>['argentina', 'juara', 'tadi', 'terengganu', 'cuti', 'banjir', 'banjir', 'doh']</t>
  </si>
  <si>
    <t>2010: Spanyol kalah di laga pertama fase grup. 2010: Spanyol juara Piala Dunia. üèÜ  2022: Argentina kalah di laga pertama fase grup. 2022: Argentina juara Piala dunia  Ternyata validüò≠üò≠üò≠üò≠üò≠</t>
  </si>
  <si>
    <t>spanyol kalah laga pertama fase grup spanyol juara piala dunia argentina kalah laga pertama fase grup argentina juara piala dunia ternyata valid</t>
  </si>
  <si>
    <t>['spanyol', 'kalah', 'laga', 'pertama', 'fase', 'grup', 'spanyol', 'juara', 'piala', 'dunia', 'argentina', 'kalah', 'laga', 'pertama', 'fase', 'grup', 'argentina', 'juara', 'piala', 'dunia', 'ternyata', 'valid']</t>
  </si>
  <si>
    <t>&lt;FreqDist with 12 samples and 22 outcomes&gt;</t>
  </si>
  <si>
    <t>Wah, argentina yg juara, adek gue pasti seneng bgt</t>
  </si>
  <si>
    <t>wah argentina juara adek gue pasti seneng bgt</t>
  </si>
  <si>
    <t>['wah', 'argentina', 'juara', 'adek', 'gue', 'seneng', 'banget']</t>
  </si>
  <si>
    <t>Argentina Juara Dunia kamu juara dihatiku open #vcs  Selesai keramas nih habis Nobar  https://t.co/CliuV2b1iC</t>
  </si>
  <si>
    <t>argentina juara dunia kamu juara dihatiku open selesai keramas nih habis nobar</t>
  </si>
  <si>
    <t>['argentina', 'juara', 'dunia', 'kamu', 'juara', 'dihatiku', 'open', 'selesai', 'keramas', 'habis', 'nonton bareng']</t>
  </si>
  <si>
    <t>Setelah Belanda tersisih, aku senang Argentina yang juara sekalipun mereka yang telah menyisihkan Oranje</t>
  </si>
  <si>
    <t>setelah belanda tersisih aku senang argentina yang juara sekalipun mereka yang telah menyisihkan oranje</t>
  </si>
  <si>
    <t>['belanda', 'tersisih', 'aku', 'senang', 'argentina', 'juara', 'sekalipun', 'menyisihkan', 'oranje']</t>
  </si>
  <si>
    <t>Yg awalnya foto editan dan dibully "where is Messi?" akhirnya menang juara dunia, The Greatest of all Time-GOAT.  #MessiìÉµ #Argentina  #WorldCupFinal From this                  To this  https://t.co/hecG8I5tUv</t>
  </si>
  <si>
    <t>awalnya foto editan dan dibully where messi akhirnya menang juara dunia the greatest all time goat from this this</t>
  </si>
  <si>
    <t>['awalnya', 'foto', 'editan', 'dibully', 'where', 'messi', 'akhirnya', 'menang', 'juara', 'dunia', 'the', 'greatest', 'all', 'time', 'goat', 'from', 'this', 'this']</t>
  </si>
  <si>
    <t>Para pemain Kroasia sebagai juara 3 menerima medali dengan rasa kegembiraan  Perancis menerima medali dengan rasa kekecewaan Sedangkan Argentina dengan penuh  kebanggaan  #FIFAWorldCup</t>
  </si>
  <si>
    <t>para pemain kroasia sebagai juara menerima medali dengan rasa kegembiraan perancis menerima medali dengan rasa kekecewaan sedangkan argentina dengan penuh kebanggaan</t>
  </si>
  <si>
    <t>['pemain', 'kroasia', 'juara', 'menerima', 'medali', 'rasa', 'kegembiraan', 'perancis', 'menerima', 'medali', 'rasa', 'kekecewaan', 'argentina', 'penuh', 'kebanggaan']</t>
  </si>
  <si>
    <t>Argentina akhirnya meraih juara Piala Dunia 2022 usai mengalahkan Prancis melalui drama adu penalti 4-2 (3-3), Munggu 18 Desember 2022.   https://t.co/S8kC4Ulauj</t>
  </si>
  <si>
    <t>argentina akhirnya meraih juara piala dunia usai mengalahkan prancis melalui drama adu penalti munggu desember</t>
  </si>
  <si>
    <t>['argentina', 'akhirnya', 'meraih', 'juara', 'piala', 'dunia', 'usai', 'mengalahkan', 'prancis', 'melalui', 'drama', 'adu', 'penalti', 'munggu', 'desember']</t>
  </si>
  <si>
    <t>VIDEO: Highlights Piala Dunia 2022, Argentina Juara Usai Menang Adu Penalti 4-2  https://t.co/QKHkjjzadP</t>
  </si>
  <si>
    <t>Kalo Argentina juara dunia, kalo @L_MarshaJKT48 juara dihatiku~ #FIFAWorldCup  https://t.co/Y342u4IRMl</t>
  </si>
  <si>
    <t>kalo argentina juara dunia kalo marshajkt juara dihatiku</t>
  </si>
  <si>
    <t>['argentina', 'juara', 'dunia', 'marshajkt', 'juara', 'dihatiku']</t>
  </si>
  <si>
    <t>Selamat utk Timnas Argentina yg berhasil menjadi juara Piala Dunia utk ketiga kalinya dan ini menjadi Piala Dunia pertama bagi Lionel Messi dan kawan-kawan secara pribadi.üëèüëèüëè  https://t.co/bLqNYZG2aX</t>
  </si>
  <si>
    <t>selamat utk timnas argentina berhasil menjadi juara piala dunia utk ketiga kalinya dan ini menjadi piala dunia pertama bagi lionel messi dan kawan kawan secara pribadi</t>
  </si>
  <si>
    <t>['selamat', 'timnas', 'argentina', 'berhasil', 'menjadi', 'juara', 'piala', 'dunia', 'ketiga', 'kalinya', 'menjadi', 'piala', 'dunia', 'pertama', 'lionel', 'messi', 'kawan', 'kawan', 'pribadi']</t>
  </si>
  <si>
    <t>Alhamdulillah Argentina juara pildun! Tp angger weh teu turun harga endog mah üò≠</t>
  </si>
  <si>
    <t>alhamdulillah argentina juara pildun angger weh teu turun harga endog mah</t>
  </si>
  <si>
    <t>['alhamdulillah', 'argentina', 'juara', 'piala dunia', 'angger', 'weh', 'teu', 'turun', 'harga', 'endog', 'mah']</t>
  </si>
  <si>
    <t>Terlalu bahagia selebrasi argentina juara ü§£ üèÜüèÖ  . #fifaworldcup #argentina #juara #messi #goat  https://t.co/p6YBh8as07</t>
  </si>
  <si>
    <t>terlalu bahagia selebrasi argentina juara</t>
  </si>
  <si>
    <t>['terlalu', 'bahagia', 'selebrasi', 'argentina', 'juara']</t>
  </si>
  <si>
    <t>gokill sih argentina jadi juara dunia</t>
  </si>
  <si>
    <t>['gokill', 'argentina', 'jadi', 'juara', 'dunia']</t>
  </si>
  <si>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</si>
  <si>
    <t>selamat argentina juara dunia mengalahkan perancis dengan adu penalti dalam the greatest final ever messi akhirnya membawa negaranya jadi juara dunia mengakhiri debat ttg pemain terbesar sepanjang sejarah meski kalah mbappe hattrick final meraih golden boot</t>
  </si>
  <si>
    <t>['selamat', 'argentina', 'juara', 'dunia', 'mengalahkan', 'perancis', 'adu', 'penalti', 'the', 'greatest', 'final', 'ever', 'messi', 'akhirnya', 'membawa', 'negaranya', 'jadi', 'juara', 'dunia', 'mengakhiri', 'debat', 'ttg', 'pemain', 'terbesar', 'sepanjang', 'sejarah', 'meski', 'kalah', 'mbappe', 'hattrick', 'final', 'meraih', 'golden', 'boot']</t>
  </si>
  <si>
    <t>Dibalik kesuksesan seseorang pasti ada seorang Ibu yg selalu mendoakan dan mendukungnya.  Begitu juga dengan Ibunya Messi yg menangis haru sambil memeluk anak tercintanya itu usai Argentina menjadi Juara Piala Dunia 2022 üò•üëç.   GREATEST OF ALL TIME  https://t.co/64xkWM26M9</t>
  </si>
  <si>
    <t>dibalik kesuksesan seseorang pasti ada seorang ibu selalu mendoakan dan mendukungnya begitu juga dengan ibunya messi menangis haru sambil memeluk anak tercintanya itu usai argentina menjadi juara piala dunia greatest all time</t>
  </si>
  <si>
    <t>['dibalik', 'kesuksesan', 'seseorang', 'seorang', 'ibu', 'selalu', 'mendoakan', 'mendukungnya', 'ibunya', 'messi', 'menangis', 'haru', 'memeluk', 'anak', 'tercintanya', 'usai', 'argentina', 'menjadi', 'juara', 'piala', 'dunia', 'greatest', 'all', 'time']</t>
  </si>
  <si>
    <t>Lionel Messi Banjir Rekor Usai Argentina Juara Piala Dunia 2022  https://t.co/TImjZnX0kK</t>
  </si>
  <si>
    <t>lionel messi banjir rekor usai argentina juara piala dunia</t>
  </si>
  <si>
    <t>['lionel', 'messi', 'banjir', 'rekor', 'usai', 'argentina', 'juara', 'piala', 'dunia']</t>
  </si>
  <si>
    <t>Argentina muncul juara Piala Dunia selepas 36 tahun  https://t.co/uyBLUvDNoQ</t>
  </si>
  <si>
    <t>argentina muncul juara piala dunia selepas tahun</t>
  </si>
  <si>
    <t>['argentina', 'muncul', 'juara', 'piala', 'dunia', 'selepas', 'tahun']</t>
  </si>
  <si>
    <t>Piala Dunia Qatar: Neymar ucap tahniah kepada Messi selepas Argentina muncul juara | Stadium Astro  https://t.co/HIIYeNewYH</t>
  </si>
  <si>
    <t>piala dunia qatar neymar ucap tahniah kepada messi selepas argentina muncul juara stadium astro</t>
  </si>
  <si>
    <t>['piala', 'dunia', 'qatar', 'neymar', 'ucap', 'tahniah', 'messi', 'selepas', 'argentina', 'muncul', 'juara', 'stadium', 'astro']</t>
  </si>
  <si>
    <t>Fakta unik !   Hanya Arab Saudi yang bisa mengalahkan Argentina di Piala Dunia Qatar üî•   Berawal dari kekalahan dan Quote "Where is Messi?" Berkahir dengan juara dan Quote " Messi is Here üèÜ"  üòÅ  #Argentina #MessiìÉµ  https://t.co/40bDse1FXX</t>
  </si>
  <si>
    <t>fakta unik hanya arab saudi yang bisa mengalahkan argentina piala dunia qatar berawal dari kekalahan dan quote where messi berkahir dengan juara dan quote messi here</t>
  </si>
  <si>
    <t>['fakta', 'unik', 'arab', 'saudi', 'mengalahkan', 'argentina', 'piala', 'dunia', 'qatar', 'berawal', 'kekalahan', 'quote', 'where', 'messi', 'berkahir', 'juara', 'quote', 'messi', 'here']</t>
  </si>
  <si>
    <t>@memefess Buff eva elfie emang gg, 2 team dota, team spirit sama tundra juara TI terus sekarang argentina  wkwkw</t>
  </si>
  <si>
    <t>buff eva elfie emang team dota team spirit sama tundra juara terus sekarang argentina wkwkw</t>
  </si>
  <si>
    <t>['buff', 'eva', 'elfie', 'emang', 'team', 'dota', 'team', 'spirit', 'sama', 'tundra', 'juara', 'terus', 'sekarang', 'argentina', 'wkwkw']</t>
  </si>
  <si>
    <t>Emang gila Argentina 2021/2022 ini.  1. Juara Copa America 2021 2. Juara Finalisima 2022 3. Juara World Cup 2022</t>
  </si>
  <si>
    <t>emang gila argentina ini juara copa america juara finalisima juara world cup</t>
  </si>
  <si>
    <t>['emang', 'gila', 'argentina', 'juara', 'copa', 'america', 'juara', 'finalisima', 'juara', 'world', 'cup']</t>
  </si>
  <si>
    <t>Congratulation's !  Argentina Juara ü•áüèÜüá¶üá∑ Messi pensiun dengan indah.   #WorldCup  #FIFAWorldCup    #FIFAWorldCup2022 #FIFAWorldCupQatar2022 #Argentina #Messi #Qatar2022  https://t.co/AeK6sNIQD5</t>
  </si>
  <si>
    <t>congratulation argentina juara messi pensiun dengan indah</t>
  </si>
  <si>
    <t>['congratulation', 'argentina', 'juara', 'messi', 'pensiun', 'indah']</t>
  </si>
  <si>
    <t>Morninggg senin open vcs berbayar  Melayani yang serius no basa basi   Argentina juara dunia menang pinalti ,  https://t.co/FAoDC8MN01</t>
  </si>
  <si>
    <t>morninggg senin open vcs berbayar melayani yang serius basa basi argentina juara dunia menang pinalti</t>
  </si>
  <si>
    <t>['morninggg', 'senin', 'open', 'vcs', 'berbayar', 'melayani', 'serius', 'basa', 'basi', 'argentina', 'juara', 'dunia', 'menang', 'penalti']</t>
  </si>
  <si>
    <t>Argentina Juara Piala Dunia Setelah Kalahkan Prancis Lewat Adu Penalti  https://t.co/0njreUiywb via @Metrosulawesi</t>
  </si>
  <si>
    <t>Dimana-mana tl gua isinya piala dunia.. btw congrats Argentina sebagai juara dunia</t>
  </si>
  <si>
    <t>dimana mana gua isinya piala dunia btw congrats argentina sebagai juara dunia</t>
  </si>
  <si>
    <t>['mana', 'gua', 'isinya', 'piala', 'dunia', 'by the way', 'congrats', 'argentina', 'juara', 'dunia']</t>
  </si>
  <si>
    <t>Argentina di Piala Dunia Qatar 2022,  JUARA!  https://t.co/MsXBEcBx1c</t>
  </si>
  <si>
    <t>argentina piala dunia qatar juara</t>
  </si>
  <si>
    <t>['argentina', 'piala', 'dunia', 'qatar', 'juara']</t>
  </si>
  <si>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</si>
  <si>
    <t>piala dunia tlh usai argentina juara menang adu penalti stlh babak normal argentina dpt hadiah pemain pemain muda kiper pemain terbaik prancis kebagian pencetak gol terbanyak dlm skala nasional saja entah brp banyak uang beredar untuk perjudian pertaruhan</t>
  </si>
  <si>
    <t>['piala', 'dunia', 'tlh', 'usai', 'argentina', 'juara', 'menang', 'adu', 'penalti', 'stlh', 'babak', 'normal', 'argentina', 'dpt', 'hadiah', 'pemain', 'pemain', 'muda', 'kiper', 'pemain', 'terbaik', 'prancis', 'kebagian', 'pencetak', 'gol', 'terbanyak', 'dlm', 'skala', 'nasional', 'entah', 'brp', 'banyak', 'uang', 'beredar', 'perjudian', 'pertaruhan']</t>
  </si>
  <si>
    <t>argentina vs mbappe. gpp, perancis ttp juara 1 di hatiku</t>
  </si>
  <si>
    <t>argentina mbappe gpp perancis ttp juara hatiku</t>
  </si>
  <si>
    <t>['argentina', 'mbappe', 'gapapa', 'perancis', 'ttp', 'juara', 'hatiku']</t>
  </si>
  <si>
    <t>Juara Piala Dunia 2022, Argentina Kantongi Hadiah Rp655 miliar   #Sindonews #BukanBeritaBiasa . https://t.co/arBOXw6BgK</t>
  </si>
  <si>
    <t>juara piala dunia argentina kantongi hadiah miliar</t>
  </si>
  <si>
    <t>['juara', 'piala', 'dunia', 'argentina', 'kantongi', 'hadiah', 'miliar']</t>
  </si>
  <si>
    <t>@Dennysiregar7 Tanggung jawab woi gara-gara lu Perancis kalah, eh gajadi lah soalnya karena tebakan elu Argentina jadi juara, biasa main boneka terus sekarang mendadak sipaling paham bola, gini deh hasilnya, mending cari info jual urat maluü§£ü§£</t>
  </si>
  <si>
    <t>tanggung jawab woi gara gara perancis kalah gajadi lah soalnya karena tebakan elu argentina jadi juara biasa main boneka terus sekarang mendadak sipaling paham bola gini deh hasilnya mending cari info jual urat malu</t>
  </si>
  <si>
    <t>['tanggung', 'jawab', 'gara', 'gara', 'perancis', 'kalah', 'gajadi', 'lah', 'soalnya', 'tebakan', 'elu', 'argentina', 'jadi', 'juara', 'biasa', 'main', 'boneka', 'terus', 'sekarang', 'mendadak', 'sipaling', 'paham', 'bola', 'gini', 'deh', 'hasilnya', 'mending', 'cari', 'info', 'jual', 'urat', 'malu']</t>
  </si>
  <si>
    <t>argentina juara gw malah jadi keinget "do you like messi?"</t>
  </si>
  <si>
    <t>argentina juara malah jadi keinget you like messi</t>
  </si>
  <si>
    <t>['argentina', 'juara', 'malah', 'jadi', 'keinget', 'you', 'like', 'messi']</t>
  </si>
  <si>
    <t>Spanyol 2010 kalah di pertandingan pertama akhirnya juara dunia. Sama kayak Argentina 2022</t>
  </si>
  <si>
    <t>spanyol kalah pertandingan pertama akhirnya juara dunia sama kayak argentina</t>
  </si>
  <si>
    <t>['spanyol', 'kalah', 'pertandingan', 'pertama', 'akhirnya', 'juara', 'dunia', 'sama', 'seperti', 'argentina']</t>
  </si>
  <si>
    <t>Semua negara ingin seperti Argentina yg juara piala dunia 2022, pemainnya diarak dijalan-jalan Qatar dan dielu-elukan.</t>
  </si>
  <si>
    <t>semua negara ingin seperti argentina juara piala dunia pemainnya diarak dijalan jalan qatar dan dielu elukan</t>
  </si>
  <si>
    <t>['semua', 'negara', 'argentina', 'juara', 'piala', 'dunia', 'pemainnya', 'diarak', 'dijalan', 'jalan', 'qatar', 'dielu', 'elukan']</t>
  </si>
  <si>
    <t>JUARA DUNIA ARGENTINA üéâüéâüéâüéâüéâ</t>
  </si>
  <si>
    <t>Gabisa tidurrr, ini beneran argentina juara kannnnnn?</t>
  </si>
  <si>
    <t>gabisa tidurrr ini beneran argentina juara kannnnnn</t>
  </si>
  <si>
    <t>['gabisa', 'tidurrr', 'beneran', 'argentina', 'juara', 'kannnnnn']</t>
  </si>
  <si>
    <t>pemain bintang yang membuat Argentina jadi juara piala dunia</t>
  </si>
  <si>
    <t>pemain bintang yang membuat argentina jadi juara piala dunia</t>
  </si>
  <si>
    <t>['pemain', 'bintang', 'membuat', 'argentina', 'jadi', 'juara', 'piala', 'dunia']</t>
  </si>
  <si>
    <t>Pantesan dari awal fase KO ga rela Argentina yang juara, ternyata udah feeling bakal juara wk</t>
  </si>
  <si>
    <t>pantesan dari awal fase rela argentina yang juara ternyata udah feeling bakal juara</t>
  </si>
  <si>
    <t>['pantesan', 'awal', 'fase', 'rela', 'argentina', 'juara', 'ternyata', 'udah', 'feeling', 'bakal', 'juara']</t>
  </si>
  <si>
    <t>perjalanan argentina untuk mraih 3 teropy itu gak mudah, karena harus ngalahin juara copa america, juara uero, dan juara pildun, bukan kaleng kaleng</t>
  </si>
  <si>
    <t>perjalanan argentina untuk mraih teropy itu gak mudah karena harus ngalahin juara copa america juara uero dan juara pildun bukan kaleng kaleng</t>
  </si>
  <si>
    <t>['perjalanan', 'argentina', 'mraih', 'teropy', 'mudah', 'ngalahin', 'juara', 'copa', 'america', 'juara', 'uero', 'juara', 'piala dunia', 'bukan', 'kaleng', 'kaleng']</t>
  </si>
  <si>
    <t>Bangga dong, yg bisa ngalahin argentina cm dia.  Berarti yang juara pildun arab bang. üò≥</t>
  </si>
  <si>
    <t>bangga dong bisa ngalahin argentina dia berarti yang juara pildun arab bang</t>
  </si>
  <si>
    <t>['bangga', 'dong', 'ngalahin', 'argentina', 'berarti', 'juara', 'piala dunia', 'arab', 'bang']</t>
  </si>
  <si>
    <t>#Argentina juara 1 piala dunia #France juara 2 piala dunia #Croatia juara 3 piala dunia #Marocco mencetak rekor baru #Indonesia semoga menyusul ,, semoga ya ,,tapi janji gak pakai gas air mata.. canda.. @PSSI</t>
  </si>
  <si>
    <t>juara piala dunia juara piala dunia juara piala dunia mencetak rekor baru semoga menyusul semoga tapi janji gak pakai gas air mata canda</t>
  </si>
  <si>
    <t>['juara', 'piala', 'dunia', 'juara', 'piala', 'dunia', 'juara', 'piala', 'dunia', 'mencetak', 'rekor', 'baru', 'semoga', 'menyusul', 'semoga', 'janji', 'pakai', 'gas', 'air', 'mata', 'canda']</t>
  </si>
  <si>
    <t>bete sih france kalah, tp argentina berhak juara jg sih bersama messiüôåüèº</t>
  </si>
  <si>
    <t>bete sih france kalah argentina berhak juara sih bersama messi</t>
  </si>
  <si>
    <t>['bete', 'france', 'kalah', 'argentina', 'berhak', 'juara', 'bersama', 'messi']</t>
  </si>
  <si>
    <t>pildun di setting biar messi juara? knp ga di setting biar ronaldo aja yang juara? biar lebih drama lg knp ga di setting argentina portugal ketemu di final?</t>
  </si>
  <si>
    <t>pildun setting biar messi juara knp setting biar ronaldo aja yang juara biar lebih drama knp setting argentina portugal ketemu final</t>
  </si>
  <si>
    <t>['piala dunia', 'setting', 'messi', 'juara', 'kenapa', 'setting', 'ronaldo', 'juara', 'lebih', 'drama', 'kenapa', 'setting', 'argentina', 'portugal', 'ketemu', 'final']</t>
  </si>
  <si>
    <t>Yang juara Argentina, yang kepanasan fansnya Ronaldo. ü§£</t>
  </si>
  <si>
    <t>yang juara argentina yang kepanasan fansnya ronaldo</t>
  </si>
  <si>
    <t>['juara', 'argentina', 'kepanasan', 'fansnya', 'ronaldo']</t>
  </si>
  <si>
    <t>Yg ngalahin Kroasia pasti juara di piala dunia. Prancis 2018,argentina 2022</t>
  </si>
  <si>
    <t>ngalahin kroasia pasti juara piala dunia prancis argentina</t>
  </si>
  <si>
    <t>['ngalahin', 'kroasia', 'juara', 'piala', 'dunia', 'prancis', 'argentina']</t>
  </si>
  <si>
    <t>@deacon09719930 @FaktaSepakbola Squad Portugal lebih bintang dan mahal darri Argentina, tapi Messi mampu membuktikan kalau dia bisa memimpin squadnya untuk juara</t>
  </si>
  <si>
    <t>squad portugal lebih bintang dan mahal darri argentina tapi messi mampu membuktikan kalau dia bisa memimpin squadnya untuk juara</t>
  </si>
  <si>
    <t>['squad', 'portugal', 'lebih', 'bintang', 'mahal', 'darri', 'argentina', 'messi', 'mampu', 'membuktikan', 'kalau', 'memimpin', 'squadnya', 'juara']</t>
  </si>
  <si>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</si>
  <si>
    <t>kalah diawal juara diakhir congratulation for argentina finally salah satu jagoanku meskipun pilihan pertama brazil tapi dalam hati pengen banget tahun ini argentina yang juara yang mungkin bisa jadi kado perpisahan buat messi kalo memang ini terakhirnya</t>
  </si>
  <si>
    <t>['kalah', 'diawal', 'juara', 'diakhir', 'congratulation', 'for', 'argentina', 'finally', 'salah', 'satu', 'jagoanku', 'meskipun', 'pilihan', 'pertama', 'brazil', 'hati', 'pengen', 'banget', 'tahun', 'argentina', 'juara', 'mungkin', 'jadi', 'kado', 'perpisahan', 'buat', 'messi', 'memang', 'terakhirnya']</t>
  </si>
  <si>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</si>
  <si>
    <t>dari dulu rumus juara dunia selalu sama tim generasi sdg emas emasnya tak dipungkiri argentina tengah memiliki itu karir puncak messi maria prancis sudah lewat generasinya selamat datang generasi emas italia jangan sampai tidak lolos lagi selamat argentina</t>
  </si>
  <si>
    <t>['dulu', 'rumus', 'juara', 'dunia', 'selalu', 'sama', 'tim', 'generasi', 'sdg', 'emas', 'emasnya', 'tak', 'dipungkiri', 'argentina', 'tengah', 'memiliki', 'karir', 'puncak', 'messi', 'maria', 'prancis', 'lewat', 'generasinya', 'selamat', 'datang', 'generasi', 'emas', 'italia', 'jangan', 'lolos', 'selamat', 'argentina']</t>
  </si>
  <si>
    <t>Lionel Messi Torehkan Sejarah Bagi Argentina Setelah 36 Tahun 'Puasa': Kami Juara Dunia! #LionelMessi  https://t.co/JCPs6iW8nD</t>
  </si>
  <si>
    <t>@idextratime @immawhut dibilangin Argentina yang juara ngeyel sih. Ini udah ada prediksi dari EA sport. Dari awal aku udah tau prediksi ini.</t>
  </si>
  <si>
    <t>dibilangin argentina yang juara ngeyel sih ini udah ada prediksi dari sport dari awal aku udah tau prediksi ini</t>
  </si>
  <si>
    <t>['dibilangin', 'argentina', 'juara', 'ngeyel', 'udah', 'prediksi', 'sport', 'awal', 'aku', 'udah', 'prediksi']</t>
  </si>
  <si>
    <t>@penikmatpelukmu @idextratime Bukan gitu maksudnya, maksudnya Argentina juara</t>
  </si>
  <si>
    <t>bukan gitu maksudnya maksudnya argentina juara</t>
  </si>
  <si>
    <t>['bukan', 'gitu', 'maksudnya', 'maksudnya', 'argentina', 'juara']</t>
  </si>
  <si>
    <t>Good morning. It's Monday. Selamat buat Argentina yang juara Piala Dunia 2022.</t>
  </si>
  <si>
    <t>good morning monday selamat buat argentina yang juara piala dunia</t>
  </si>
  <si>
    <t>['good', 'morning', 'monday', 'selamat', 'buat', 'argentina', 'juara', 'piala', 'dunia']</t>
  </si>
  <si>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</si>
  <si>
    <t>sampai detik ini kita tidak bisa ikut piala dunia sepak bola seperti argentina yang jadi juara kali ini bukan karena kita tdk punya lionnel messi tetapi itu yang buat bisa jadi juara mana revolusi mental pak</t>
  </si>
  <si>
    <t>['detik', 'ikut', 'piala', 'dunia', 'sepak', 'bola', 'argentina', 'jadi', 'juara', 'kali', 'bukan', 'punya', 'lionnel', 'messi', 'buat', 'jadi', 'juara', 'mana', 'revolusi', 'mental', 'pak']</t>
  </si>
  <si>
    <t>Argentina juara copa america dan juara dunia karena Bernd Leno sempat cedera</t>
  </si>
  <si>
    <t>argentina juara copa america dan juara dunia karena bernd leno sempat cedera</t>
  </si>
  <si>
    <t>['argentina', 'juara', 'copa', 'america', 'juara', 'dunia', 'bernd', 'leno', 'sempat', 'cedera']</t>
  </si>
  <si>
    <t>Awalnya nonton permainan Jepang, trus ngedukung paling ngga masuk 4 besar. Kalah. Lalu dukung Portugal masuk final lawan Argentina. Kalah. Pas final inginnya France menang supaya patah aja tuh katanya kutukan kalo juara 1 lalu gabisa juara lagi. Kalah</t>
  </si>
  <si>
    <t>awalnya nonton permainan jepang trus ngedukung paling ngga masuk besar kalah lalu dukung portugal masuk final lawan argentina kalah pas final inginnya france menang supaya patah aja tuh katanya kutukan kalo juara lalu gabisa juara lagi kalah</t>
  </si>
  <si>
    <t>['awalnya', 'nonton', 'permainan', 'jepang', 'trus', 'ngedukung', 'paling', 'ngga', 'masuk', 'besar', 'kalah', 'lalu', 'dukung', 'portugal', 'masuk', 'final', 'lawan', 'argentina', 'kalah', 'pas', 'final', 'inginnya', 'france', 'menang', 'patah', 'katanya', 'kutukan', 'juara', 'lalu', 'gabisa', 'juara', 'kalah']</t>
  </si>
  <si>
    <t>argentina juara: tidur nyenyak ‚ùå dikejar deadline ‚úÖ heuheuheu  https://t.co/dk7wyL0Jcr</t>
  </si>
  <si>
    <t>argentina juara tidur nyenyak dikejar deadline heuheuheu</t>
  </si>
  <si>
    <t>['argentina', 'juara', 'tidur', 'nyenyak', 'dikejar', 'deadline', 'heuheuheu']</t>
  </si>
  <si>
    <t>[World Cup 2022 Recap: A Thread] Dengan Argentina keluar sebagai juara, Piala Dunia 2022 resmi berakhir. Banyak cerita yang kecatet di edisi kali ini. Here are some of those:</t>
  </si>
  <si>
    <t>world cup recap thread dengan argentina keluar sebagai juara piala dunia resmi berakhir banyak cerita yang kecatet edisi kali ini here are some those</t>
  </si>
  <si>
    <t>['world', 'cup', 'recap', 'thread', 'argentina', 'keluar', 'juara', 'piala', 'dunia', 'resmi', 'berakhir', 'banyak', 'cerita', 'kecatet', 'edisi', 'kali', 'here', 'are', 'some', 'those']</t>
  </si>
  <si>
    <t>Bangsad ketiduran tiba tiba juara aja Argentina</t>
  </si>
  <si>
    <t>bangsad ketiduran tiba tiba juara aja argentina</t>
  </si>
  <si>
    <t>['bangsad', 'ketiduran', 'tiba', 'tiba', 'juara', 'argentina']</t>
  </si>
  <si>
    <t>sumpah masih seneng banget argentina juara ‚≠ê‚≠ê‚≠ê</t>
  </si>
  <si>
    <t>sumpah masih seneng banget argentina juara</t>
  </si>
  <si>
    <t>['sumpah', 'seneng', 'banget', 'argentina', 'juara']</t>
  </si>
  <si>
    <t>Oiiiii @CoachJustinL argentina juara nih, mau apa?? #MessiìÉµ  https://t.co/PGgzbn8W8u</t>
  </si>
  <si>
    <t>oiiiii argentina juara nih mau apa</t>
  </si>
  <si>
    <t>['oiiiii', 'argentina', 'juara', 'mau', 'apa']</t>
  </si>
  <si>
    <t>Eh lu ga sih ?, Klo Argentina juara piala dunia hari ini</t>
  </si>
  <si>
    <t>sih klo argentina juara piala dunia hari ini</t>
  </si>
  <si>
    <t>['argentina', 'juara', 'piala', 'dunia', 'hari']</t>
  </si>
  <si>
    <t>Lionel Messi Jadi Pemain Terbaik Piala Dunia 2022 dan Raih Penghargaan 'Golden Ball': Catatan gemilang diraih oleh Lionel Messi di Piala Dunia 2022 ini, selain mengantarkan Argentina menjadi juara Piala‚Ä¶  https://t.co/JddcoSuRNI #Bola #LionelMessi #Argentina #Messi #GoldenBall</t>
  </si>
  <si>
    <t>lionel messi jadi pemain terbaik piala dunia dan raih penghargaan golden ball catatan gemilang diraih oleh lionel messi piala dunia ini selain mengantarkan argentina menjadi juara piala</t>
  </si>
  <si>
    <t>['lionel', 'messi', 'jadi', 'pemain', 'terbaik', 'piala', 'dunia', 'raih', 'penghargaan', 'golden', 'ball', 'catatan', 'gemilang', 'diraih', 'lionel', 'messi', 'piala', 'dunia', 'mengantarkan', 'argentina', 'menjadi', 'juara', 'piala']</t>
  </si>
  <si>
    <t>Argentina juara ya? Yah ga bisa ngeledekin bapaku</t>
  </si>
  <si>
    <t>argentina juara yah bisa ngeledekin bapaku</t>
  </si>
  <si>
    <t>['argentina', 'juara', 'ngeledekin', 'bapaku']</t>
  </si>
  <si>
    <t>Penantian 36 Tahun Terbayar, Argentina Kembali Juara   #ArgentinaVsFrance  #Argentina  #WorldCupFinal #WorldCup #Qatar2022 #FIFAWorldCupFinal #FIFAWorldCupQatar2022   https://t.co/gmMJdXdURR</t>
  </si>
  <si>
    <t>penantian tahun terbayar argentina kembali juara</t>
  </si>
  <si>
    <t>['penantian', 'tahun', 'terbayar', 'argentina', 'juara']</t>
  </si>
  <si>
    <t>Lionel Messi Bawa Argentina Juara Piala Dunia 2022  https://t.co/loQ4Um6Ll7  https://t.co/VaKwwIGFoW</t>
  </si>
  <si>
    <t>lionel messi bawa argentina juara piala dunia</t>
  </si>
  <si>
    <t>['lionel', 'messi', 'bawa', 'argentina', 'juara', 'piala', 'dunia']</t>
  </si>
  <si>
    <t>hari pertama argentina juara pildun jd pgn punya pacar</t>
  </si>
  <si>
    <t>hari pertama argentina juara pildun pgn punya pacar</t>
  </si>
  <si>
    <t>['hari', 'pertama', 'argentina', 'juara', 'piala dunia', 'ingin', 'punya', 'pacar']</t>
  </si>
  <si>
    <t>@Im__n_o_b_o_d_y Males mikir....  ARGENTINA JUARA üî•üî•</t>
  </si>
  <si>
    <t>males mikir argentina juara</t>
  </si>
  <si>
    <t>['males', 'mikir', 'argentina', 'juara']</t>
  </si>
  <si>
    <t>@cupznoona Hehe gajadi, Yang juara Argentina. Padahal aku mau beliin kamu Ipon kalo France juara üòòü•∞üòòü•∞üòòü•∞üòò</t>
  </si>
  <si>
    <t>hehe gajadi yang juara argentina padahal aku mau beliin kamu ipon kalo france juara</t>
  </si>
  <si>
    <t>['gajadi', 'juara', 'argentina', 'padahal', 'aku', 'mau', 'beliin', 'kamu', 'ipon', 'france', 'juara']</t>
  </si>
  <si>
    <t>@panditfootball Beruntung lisandro gk main, klo main Argentina bisa gagal juara karena kebawa apes klubnya üòÇ</t>
  </si>
  <si>
    <t>beruntung lisandro main klo main argentina bisa gagal juara karena kebawa apes klubnya</t>
  </si>
  <si>
    <t>['beruntung', 'lisandro', 'main', 'main', 'argentina', 'gagal', 'juara', 'kebawa', 'apes', 'klubnya']</t>
  </si>
  <si>
    <t>ARGENTINA Juara Dunia, Kalahkan PRANCIS Lewat Adu Penalti  https://t.co/c0bJLcZ1pe</t>
  </si>
  <si>
    <t>argentina juara dunia kalahkan prancis lewat adu penalti</t>
  </si>
  <si>
    <t>['argentina', 'juara', 'dunia', 'kalahkan', 'prancis', 'lewat', 'adu', 'penalti']</t>
  </si>
  <si>
    <t>Dari rentetan kebahagiaan Timnas Argentina, sudah tentu lebih bahagia warga Arab Saudi yang dapet jatah libur gegara Timnasnya ngalahin Tim juara.</t>
  </si>
  <si>
    <t>dari rentetan kebahagiaan timnas argentina sudah tentu lebih bahagia warga arab saudi yang dapet jatah libur gegara timnasnya ngalahin tim juara</t>
  </si>
  <si>
    <t>['rentetan', 'kebahagiaan', 'timnas', 'argentina', 'lebih', 'bahagia', 'warga', 'arab', 'saudi', 'dapat', 'jatah', 'libur', 'gegara', 'timnasnya', 'ngalahin', 'tim', 'juara']</t>
  </si>
  <si>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</si>
  <si>
    <t>unik sepakbola ada tau kedepannya gmna ketika lapangan sbnernya pildun skrng dukung negara manapun karna rasa tim negara lolos pildun skrng pemain nya pada bagus bagus nmun sempat tersirat pikiran argentina akan juara pildun dan ternyata bner</t>
  </si>
  <si>
    <t>['unik', 'sepakbola', 'kedepannya', 'gmna', 'lapangan', 'sbnernya', 'piala dunia', 'skrng', 'dukung', 'negara', 'manapun', 'karna', 'rasa', 'tim', 'negara', 'lolos', 'piala dunia', 'skrng', 'pemain', 'bagus', 'bagus', 'nmun', 'sempat', 'tersirat', 'pikiran', 'argentina', 'juara', 'piala dunia', 'ternyata', 'bner']</t>
  </si>
  <si>
    <t>Argentina juara FIFA WORLD CUP ‚ú®  https://t.co/99kV4lUvQW</t>
  </si>
  <si>
    <t>argentina juara fifa world cup</t>
  </si>
  <si>
    <t>['argentina', 'juara', 'fifa', 'world', 'cup']</t>
  </si>
  <si>
    <t>German tok sing juara, terus kalah ganti Spain terus kalah Mane ganti Prancis, terus kalah Mane ganti Argentina. Halah taek karbitan</t>
  </si>
  <si>
    <t>german tok sing juara terus kalah ganti spain terus kalah mane ganti prancis terus kalah mane ganti argentina halah taek karbitan</t>
  </si>
  <si>
    <t>['german', 'tok', 'sing', 'juara', 'terus', 'kalah', 'ganti', 'spain', 'terus', 'kalah', 'mane', 'ganti', 'prancis', 'terus', 'kalah', 'mane', 'ganti', 'argentina', 'halah', 'taek', 'karbitan']</t>
  </si>
  <si>
    <t>fansclub99 Dybala Juara Dunia Drake Aguero Saudi Arabia Haaland Dembele Di Maria Kolo Muani Jantung GREATEST OF ALL TIME Lloris Madrid Penalti Higuain Mac Allister Coman De Paul #FIFAWorldCup #PialaDunia2022 argentina mbappe messi  https://t.co/7rTigHuRnK</t>
  </si>
  <si>
    <t>fansclub dybala juara dunia drake aguero saudi arabia haaland dembele maria kolo muani jantung greatest all time lloris madrid penalti higuain mac allister coman paul argentina mbappe messi</t>
  </si>
  <si>
    <t>['fansclub', 'dybala', 'juara', 'dunia', 'drake', 'aguero', 'saudi', 'arabia', 'haaland', 'dembele', 'maria', 'kolo', 'muani', 'jantung', 'greatest', 'all', 'time', 'lloris', 'madrid', 'penalti', 'higuain', 'mac', 'allister', 'coman', 'paul', 'argentina', 'mbappe', 'messi']</t>
  </si>
  <si>
    <t>Kita terbiasa dgn pengaturan di Indonesia, sampai pemikiran kita juga nebak FIFA sudah ngatur Messi untuk juara. Saya suka Jerman &amp;amp; Jepang, tp dr awal sudah yakin Argentina (selain Brazil) yang juara karena mrka memang hebat dgn rentetan unbeaten sblm kalah dr arab saudi.</t>
  </si>
  <si>
    <t>kita terbiasa dgn pengaturan indonesia sampai pemikiran kita juga nebak fifa sudah ngatur messi untuk juara saya suka jerman jepang awal sudah yakin argentina selain brazil yang juara karena mrka memang hebat dgn rentetan unbeaten sblm kalah arab saudi</t>
  </si>
  <si>
    <t>['terbiasa', 'pengaturan', 'indonesia', 'pemikiran', 'nebak', 'fifa', 'ngatur', 'messi', 'juara', 'suka', 'jerman', 'jepang', 'awal', 'yakin', 'argentina', 'brazil', 'juara', 'mrka', 'memang', 'hebat', 'rentetan', 'unbeaten', 'sebelum', 'kalah', 'arab', 'saudi']</t>
  </si>
  <si>
    <t>Terakhir Juara 26 Tahun Lalu, Argentina Tambah Bintang di Piala Dunia¬†2022  https://t.co/0FrmprxdNM</t>
  </si>
  <si>
    <t>terakhir juara tahun lalu argentina tambah bintang piala dunia</t>
  </si>
  <si>
    <t>['terakhir', 'juara', 'tahun', 'lalu', 'argentina', 'tambah', 'bintang', 'piala', 'dunia']</t>
  </si>
  <si>
    <t>Jangan nanya Raul Lemos  Kata Messi Tutorial ngalahin Argentina si juara dunia ada di YouTube Saudi Arabia  #FIFAWorldCup</t>
  </si>
  <si>
    <t>jangan nanya raul lemos kata messi tutorial ngalahin argentina juara dunia ada youtube saudi arabia</t>
  </si>
  <si>
    <t>['jangan', 'nanya', 'raul', 'lemos', 'kata', 'messi', 'tutorial', 'ngalahin', 'argentina', 'juara', 'dunia', 'youtube', 'saudi', 'arabia']</t>
  </si>
  <si>
    <t>Terakhir Juara 26 Tahun Lalu, Argentina Tambah Bintang di Piala Dunia¬†2022  https://t.co/2lgofo874v</t>
  </si>
  <si>
    <t>Gabisa berkata kata, intinya argentina 2 tahun ini luar biasa. Gak bisa dijelaskan krn kalian gak akan mengerti ‚ÄºÔ∏è Semenjak SCALONI jadi Pelatih, Argentina Juara Copa America 2021, Finalissima 2022, dan Piala Dunia 2022 ‚ú® üá¶üá∑</t>
  </si>
  <si>
    <t>gabisa berkata kata intinya argentina tahun ini luar biasa gak bisa dijelaskan krn kalian gak akan mengerti semenjak scaloni jadi pelatih argentina juara copa america finalissima dan piala dunia</t>
  </si>
  <si>
    <t>['gabisa', 'berkata', 'kata', 'intinya', 'argentina', 'tahun', 'luar', 'biasa', 'dijelaskan', 'kalian', 'mengerti', 'semenjak', 'scaloni', 'jadi', 'pelatih', 'argentina', 'juara', 'copa', 'america', 'finalissima', 'piala', 'dunia']</t>
  </si>
  <si>
    <t>Hasil Argentina Vs Prancis: Menang Adu Penalti, La Albiceleste Juara Piala Dunia 2022  https://t.co/yfagX16mKS</t>
  </si>
  <si>
    <t>hasil argentina prancis menang adu penalti albiceleste juara piala dunia</t>
  </si>
  <si>
    <t>['hasil', 'argentina', 'prancis', 'menang', 'adu', 'penalti', 'albiceleste', 'juara', 'piala', 'dunia']</t>
  </si>
  <si>
    <t>Katanya juna semalam, kalau menurut juna sih mi yg juara itu nanti argentina dan ternyata bener dong ü§≠</t>
  </si>
  <si>
    <t>katanya juna semalam kalau menurut juna sih juara itu nanti argentina dan ternyata bener dong</t>
  </si>
  <si>
    <t>['katanya', 'juna', 'semalam', 'kalau', 'juna', 'juara', 'argentina', 'ternyata', 'benar', 'dong']</t>
  </si>
  <si>
    <t>SELAMAT ! Argentina Juara Piala Dunia 2022 Qatar setelah 36 tahun Argentina juara Piala Dunia 1986 Meksiko.  https://t.co/9ch7kvD548</t>
  </si>
  <si>
    <t>selamat argentina juara piala dunia qatar setelah tahun argentina juara piala dunia meksiko</t>
  </si>
  <si>
    <t>['selamat', 'argentina', 'juara', 'piala', 'dunia', 'qatar', 'tahun', 'argentina', 'juara', 'piala', 'dunia', 'meksiko']</t>
  </si>
  <si>
    <t>obrolan orang¬≤ pagi ini: "argentina juara woi" "messi is the goat" "halah. pildun taun ini kan seTTinGaN" "eh si onoh kok mukanya pucet? kalah taruhan ye?"</t>
  </si>
  <si>
    <t>obrolan orang pagi ini argentina juara woi messi the goat halah pildun taun ini kan settingan onoh kok mukanya pucet kalah taruhan</t>
  </si>
  <si>
    <t>['obrolan', 'orang', 'pagi', 'argentina', 'juara', 'messi', 'the', 'goat', 'halah', 'piala dunia', 'taun', 'kan', 'settingan', 'onoh', 'kok', 'mukanya', 'pucet', 'kalah', 'taruhan']</t>
  </si>
  <si>
    <t>Selamat Argentina, bersama Leo Messi Juara Dunia, End of Era GOAT Respect  https://t.co/3nFGzSfbPR</t>
  </si>
  <si>
    <t>selamat argentina bersama leo messi juara dunia end era goat respect</t>
  </si>
  <si>
    <t>['selamat', 'argentina', 'bersama', 'leo', 'messi', 'juara', 'dunia', 'end', 'era', 'goat', 'respect']</t>
  </si>
  <si>
    <t>Lionel Scaloni Ajak Rakyat Argentina Menikmati Sukses Menjadi Juara Piala Dunia Qatar 2022  https://t.co/pfUppuudRq</t>
  </si>
  <si>
    <t>lionel scaloni ajak rakyat argentina menikmati sukses menjadi juara piala dunia qatar</t>
  </si>
  <si>
    <t>['lionel', 'scaloni', 'ajak', 'rakyat', 'argentina', 'menikmati', 'sukses', 'menjadi', 'juara', 'piala', 'dunia', 'qatar']</t>
  </si>
  <si>
    <t>tetap saja argentina memenangkan juara 1 tidak akan membuatmu memenangkan hatinya #pildun #nuhun #mbappe #menangis</t>
  </si>
  <si>
    <t>tetap saja argentina memenangkan juara tidak akan membuatmu memenangkan hatinya</t>
  </si>
  <si>
    <t>['tetap', 'argentina', 'memenangkan', 'juara', 'membuatmu', 'memenangkan', 'hatinya']</t>
  </si>
  <si>
    <t>Argentina Juara Piala Dunia 2022, Lionel Messi Akhiri Penantian Panjang La Albiceleste  https://t.co/2w5QwDRfgj</t>
  </si>
  <si>
    <t>argentina juara piala dunia lionel messi akhiri penantian panjang albiceleste</t>
  </si>
  <si>
    <t>['argentina', 'juara', 'piala', 'dunia', 'lionel', 'messi', 'akhiri', 'penantian', 'panjang', 'albiceleste']</t>
  </si>
  <si>
    <t>Argentina juara, ingat senin kerja</t>
  </si>
  <si>
    <t>argentina juara ingat senin kerja</t>
  </si>
  <si>
    <t>['argentina', 'juara', 'ingat', 'senin', 'kerja']</t>
  </si>
  <si>
    <t>@OddonkP @SiaranBolaLive Yang dimaksud Admin masuk final berturut-turut. 1978 Argentina memang juara tapi 1982 Argentina tidak masuk final</t>
  </si>
  <si>
    <t>yang dimaksud admin masuk final berturut turut argentina memang juara tapi argentina tidak masuk final</t>
  </si>
  <si>
    <t>['dimaksud', 'admin', 'masuk', 'final', 'berturut', 'turut', 'argentina', 'memang', 'juara', 'argentina', 'masuk', 'final']</t>
  </si>
  <si>
    <t>Argentina Juara, Wow! Segini Uang Yang Dibawa Messi dkk  https://t.co/TfYi39cnkg</t>
  </si>
  <si>
    <t>argentina juara wow segini uang yang dibawa messi dkk</t>
  </si>
  <si>
    <t>['argentina', 'juara', 'wow', 'segini', 'uang', 'dibawa', 'messi', 'dkk']</t>
  </si>
  <si>
    <t>Akhirnya Messi bawa Argentina Juara Piala Dunia 2022, Selamat üèÜ üá¶üá∑  Link Bola :  https://t.co/ByjLu4C5zh   https://t.co/ZDQ53zdpe9</t>
  </si>
  <si>
    <t>akhirnya messi bawa argentina juara piala dunia selamat link bola</t>
  </si>
  <si>
    <t>['akhirnya', 'messi', 'bawa', 'argentina', 'juara', 'piala', 'dunia', 'selamat', 'link', 'bola']</t>
  </si>
  <si>
    <t>Fakta-fakta Menarik Argentina Juara Piala Dunia 2022: Messi Lampaui Rekor Ronaldo  https://t.co/SAxekeparS</t>
  </si>
  <si>
    <t>fakta fakta menarik argentina juara piala dunia messi lampaui rekor ronaldo</t>
  </si>
  <si>
    <t>['fakta', 'fakta', 'menarik', 'argentina', 'juara', 'piala', 'dunia', 'messi', 'lampaui', 'rekor', 'ronaldo']</t>
  </si>
  <si>
    <t>AKHIR Penantian 36 Tahun, Argentina Juara Piala Dunia 2022 Qatar  https://t.co/3LLXSXab0p</t>
  </si>
  <si>
    <t>akhir penantian tahun argentina juara piala dunia qatar</t>
  </si>
  <si>
    <t>['akhir', 'penantian', 'tahun', 'argentina', 'juara', 'piala', 'dunia', 'qatar']</t>
  </si>
  <si>
    <t>"Kita juara dunia!" seru Messi lewat mikrofon stadion setelah dua gol dan satu tendangan penaltinya membawa Argentina meraih gelar juara turnamen terbesar sepak bola dunia itu.   https://t.co/bq5lYG9NZA</t>
  </si>
  <si>
    <t>kita juara dunia seru messi lewat mikrofon stadion setelah dua gol dan satu tendangan penaltinya membawa argentina meraih gelar juara turnamen terbesar sepak bola dunia itu</t>
  </si>
  <si>
    <t>['juara', 'dunia', 'seru', 'messi', 'lewat', 'mikrofon', 'stadion', 'gol', 'satu', 'tendangan', 'penaltinya', 'membawa', 'argentina', 'meraih', 'gelar', 'juara', 'turnamen', 'terbesar', 'sepak', 'bola', 'dunia']</t>
  </si>
  <si>
    <t>Argentina Juara Piala Dunia 2022: La Albiceleste Jagoan Adu Penalti  https://t.co/HQBjryWw28</t>
  </si>
  <si>
    <t>argentina juara piala dunia albiceleste jagoan adu penalti</t>
  </si>
  <si>
    <t>['argentina', 'juara', 'piala', 'dunia', 'albiceleste', 'jagoan', 'adu', 'penalti']</t>
  </si>
  <si>
    <t>The power of Sholawat, Akhirnya membawa Argentina juara üá¶üá∑ #WorldCupFinal  *Background suara video adalah editan oleh fans Argentina üòÇ  https://t.co/Aj7AcrWTRv</t>
  </si>
  <si>
    <t>the power sholawat akhirnya membawa argentina juara background suara video adalah editan oleh fans argentina</t>
  </si>
  <si>
    <t>['the', 'power', 'sholawat', 'akhirnya', 'membawa', 'argentina', 'juara', 'background', 'suara', 'video', 'editan', 'fans', 'argentina']</t>
  </si>
  <si>
    <t>Daftar Lengkap Juara Piala Dunia: Sejarah Trofi Ketiga Argentina   #Sindonews #BukanBeritaBiasa . https://t.co/j47ROVrppP</t>
  </si>
  <si>
    <t>daftar lengkap juara piala dunia sejarah trofi ketiga argentina</t>
  </si>
  <si>
    <t>['daftar', 'lengkap', 'juara', 'piala', 'dunia', 'sejarah', 'trofi', 'ketiga', 'argentina']</t>
  </si>
  <si>
    <t>Mau suka atau tidak, memang benar, Piala Dunia 2022 disetting untuk Messi. Argentina juara. üòÇ</t>
  </si>
  <si>
    <t>mau suka atau tidak memang benar piala dunia disetting untuk messi argentina juara</t>
  </si>
  <si>
    <t>['mau', 'suka', 'memang', 'benar', 'piala', 'dunia', 'disetting', 'messi', 'argentina', 'juara']</t>
  </si>
  <si>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</si>
  <si>
    <t>bisa mengerti apa yang dirasakan kylian mbappe ini meski menjadi top skor tapi dia malah sedih kecewa dan sangat terpukul karna gagal membawa prancis meraih trofi ketiganya dan gagal membuat sejarah juara back back setelah dikalahkan argentina bersama goat messi</t>
  </si>
  <si>
    <t>['mengerti', 'apa', 'dirasakan', 'kylian', 'mbappe', 'meski', 'menjadi', 'top', 'skor', 'malah', 'sedih', 'kecewa', 'sangat', 'terpukul', 'karna', 'gagal', 'membawa', 'prancis', 'meraih', 'trofi', 'ketiganya', 'gagal', 'membuat', 'sejarah', 'juara', 'back', 'back', 'dikalahkan', 'argentina', 'bersama', 'goat', 'messi']</t>
  </si>
  <si>
    <t>@panditfootball PANDIT ? Bodo amat, terbaik atau tidak, ga peduli. Yang jelas, Messi telah memenuhi impian masa kecil, dan banyak impian pendukung Argentina di mana saja, menjadi juara untuk ketiga kali. Kempes 1978 Maradona 1986 Messi 2022 ,,,</t>
  </si>
  <si>
    <t>pandit bodo amat terbaik atau tidak peduli yang jelas messi telah memenuhi impian masa kecil dan banyak impian pendukung argentina mana saja menjadi juara untuk ketiga kali kempes maradona messi</t>
  </si>
  <si>
    <t>['pandit', 'bodo', 'terbaik', 'peduli', 'jelas', 'messi', 'memenuhi', 'impian', 'masa', 'kecil', 'banyak', 'impian', 'pendukung', 'argentina', 'mana', 'menjadi', 'juara', 'ketiga', 'kali', 'kempes', 'maradona', 'messi']</t>
  </si>
  <si>
    <t>Parade Jawara Piala Dunia dari Berbagai Era: Argentina 3, Brasil Terakhir Juara 2002  https://t.co/1zTYY82bbC</t>
  </si>
  <si>
    <t>parade jawara piala dunia dari berbagai era argentina brasil terakhir juara</t>
  </si>
  <si>
    <t>['parade', 'jawara', 'piala', 'dunia', 'berbagai', 'era', 'argentina', 'brasil', 'terakhir', 'juara']</t>
  </si>
  <si>
    <t>Argentina Juara Piala Dunia 2022, Lionel Messi Sabet Gelar Pemain Terbaik  https://t.co/SG8f0eRb26</t>
  </si>
  <si>
    <t>argentina juara piala dunia lionel messi sabet gelar pemain terbaik</t>
  </si>
  <si>
    <t>['argentina', 'juara', 'piala', 'dunia', 'lionel', 'messi', 'sabet', 'gelar', 'pemain', 'terbaik']</t>
  </si>
  <si>
    <t>Argentina Juara Piala Dunia 2022, Lionel Messi Sabet Gelar Pemain Terbaik  https://t.co/BnumCMrBT9</t>
  </si>
  <si>
    <t>AKHIR Penantian 36 Tahun, Argentina Juara Piala Dunia 2022 Qatar  https://t.co/cIjiekwX6f</t>
  </si>
  <si>
    <t>@idextratime SAMA MIN GA BISA TIDUR GARA GARA ARGENTINA KING GOAT MESSI CS JUARA PILDUN 2022!!</t>
  </si>
  <si>
    <t>sama min bisa tidur gara gara argentina king goat messi juara pildun</t>
  </si>
  <si>
    <t>['sama', 'min', 'tidur', 'gara', 'gara', 'argentina', 'king', 'goat', 'messi', 'juara', 'piala dunia']</t>
  </si>
  <si>
    <t>Lionel Messi said :  üó£Ô∏èUtutu tayangg.. iyaa tium ya&amp;lt;3 unchh!!!  -  ( pildun, juara dunia, jantung, Messi, Argentina , nobar, aquadulu, brilianfest2022, world cup final, FIFA world cup 2022, Qatar 2022, All in Argentina )  https://t.co/ybTT9DBgMn</t>
  </si>
  <si>
    <t>lionel messi said ututu tayangg iyaa tium unchh pildun juara dunia jantung messi argentina nobar aquadulu brilianfest world cup final fifa world cup qatar all argentina</t>
  </si>
  <si>
    <t>['lionel', 'messi', 'said', 'ututu', 'tayangg', 'iyaa', 'tium', 'unchh', 'piala dunia', 'juara', 'dunia', 'jantung', 'messi', 'argentina', 'nonton bareng', 'aquadulu', 'brilianfest', 'world', 'cup', 'final', 'fifa', 'world', 'cup', 'qatar', 'all', 'argentina']</t>
  </si>
  <si>
    <t>Dramatis, Argentina Juara Piala Dunia 2022  https://t.co/SsNI2icEG6  https://t.co/rEXjgh8oag</t>
  </si>
  <si>
    <t>Headline berita media negeri kita ini keesokan harinya :  SIAPA SANGKA, PEMAIN YANG PERNAH MEMBAWA ARGENTINA JUARA PIALA DUNIA 1978 INI PERNAH BERMAIN DI KLUB LIGA INDONESIA.!1!1!</t>
  </si>
  <si>
    <t>headline berita media negeri kita ini keesokan harinya siapa sangka pemain yang pernah membawa argentina juara piala dunia ini pernah bermain klub liga indonesia</t>
  </si>
  <si>
    <t>['headline', 'berita', 'media', 'negeri', 'keesokan', 'harinya', 'siapa', 'sangka', 'pemain', 'pernah', 'membawa', 'argentina', 'juara', 'piala', 'dunia', 'pernah', 'bermain', 'klub', 'liga', 'indonesia']</t>
  </si>
  <si>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</si>
  <si>
    <t>bahagia banget jagoanku juara dunia congrats argentina kalian semua warbiasah menang berturut copa america finalissima fifa world cup messi goat coach scaloni best</t>
  </si>
  <si>
    <t>['bahagia', 'banget', 'jagoanku', 'juara', 'dunia', 'congrats', 'argentina', 'kalian', 'semua', 'warbiasah', 'menang', 'berturut', 'copa', 'america', 'finalissima', 'fifa', 'world', 'cup', 'messi', 'goat', 'coach', 'scaloni', 'best']</t>
  </si>
  <si>
    <t>Fakta-fakta Menarik Argentina Juara Piala Dunia 2022: Messi Lampaui Rekor Ronaldo  https://t.co/CioncgFedi</t>
  </si>
  <si>
    <t>@alterbanget_ @pabjigameharam0 @idextratime nanti bangun tidur coba cek aja tvone kak biasanya kan beritanya disana tuh beda. barangkali yg juara wc 2022 laen argentina</t>
  </si>
  <si>
    <t>nanti bangun tidur coba cek aja tvone kak biasanya kan beritanya disana tuh beda barangkali juara laen argentina</t>
  </si>
  <si>
    <t>['bangun', 'tidur', 'coba', 'cek', 'tvone', 'kak', 'biasanya', 'kan', 'beritanya', 'disana', 'beda', 'barangkali', 'juara', 'laen', 'argentina']</t>
  </si>
  <si>
    <t>Akhirnya Argentina Juara Dunia FIFA WORDCUP ‚ú® #MessiìÉµ #Argentina #PialaDunia2022  #FIFAWorldCupFinal  https://t.co/MSfkyMwCnR</t>
  </si>
  <si>
    <t>akhirnya argentina juara dunia fifa wordcup</t>
  </si>
  <si>
    <t>['akhirnya', 'argentina', 'juara', 'dunia', 'fifa', 'wordcup']</t>
  </si>
  <si>
    <t>Argentina dan Messi Juara, Perdebatan Berakhir?  https://t.co/R4N4AFzINO</t>
  </si>
  <si>
    <t>VIDEO: Tangis Messi Usai Argentina Akhirnya Juara Piala Dunia  https://t.co/4EURH7AKTk</t>
  </si>
  <si>
    <t>video tangis messi usai argentina akhirnya juara piala dunia</t>
  </si>
  <si>
    <t>['video', 'tangis', 'messi', 'usai', 'argentina', 'akhirnya', 'juara', 'piala', 'dunia']</t>
  </si>
  <si>
    <t>Argentina Juara Dunia 2022, Lionel Messi Masih Belum Ingin Pensiun  https://t.co/7FJdp9wdXo</t>
  </si>
  <si>
    <t>argentina juara dunia lionel messi masih belum ingin pensiun</t>
  </si>
  <si>
    <t>['argentina', 'juara', 'dunia', 'lionel', 'messi', 'pensiun']</t>
  </si>
  <si>
    <t>Happy Ending untuk Lionel Messi, Argentina Juara Piala Dunia 2022  https://t.co/wjA9xMpsUD</t>
  </si>
  <si>
    <t>happy ending untuk lionel messi argentina juara piala dunia</t>
  </si>
  <si>
    <t>['happy', 'ending', 'lionel', 'messi', 'argentina', 'juara', 'piala', 'dunia']</t>
  </si>
  <si>
    <t>Kek beneran nunggu ada bayi yg bakal bawa Argentina juara ke-3 kalinya, dan itu Messi</t>
  </si>
  <si>
    <t>kek beneran nunggu ada bayi bakal bawa argentina juara kalinya dan itu messi</t>
  </si>
  <si>
    <t>['kek', 'beneran', 'nunggu', 'bayi', 'bakal', 'bawa', 'argentina', 'juara', 'kalinya', 'messi']</t>
  </si>
  <si>
    <t>@txtbuaya Aku gak peduli lgi Argentina atau Perancis yg jdi juaranya karena yg kupedulikan hanya kehadiranmu yg telah menjadi juara hatiku...mas</t>
  </si>
  <si>
    <t>aku gak peduli lgi argentina atau perancis jdi juaranya karena kupedulikan hanya kehadiranmu telah menjadi juara hatiku mas</t>
  </si>
  <si>
    <t>['aku', 'peduli', 'lgi', 'argentina', 'perancis', 'jdi', 'juaranya', 'kupedulikan', 'kehadiranmu', 'menjadi', 'juara', 'hatiku', 'mas']</t>
  </si>
  <si>
    <t>@radenrauf Bodoamat! Yg penting argentina juara!</t>
  </si>
  <si>
    <t>bodoamat penting argentina juara</t>
  </si>
  <si>
    <t>['bodoamat', 'penting', 'argentina', 'juara']</t>
  </si>
  <si>
    <t>Ciee Argentina juara dunia, chukka hyeong2</t>
  </si>
  <si>
    <t>ciee argentina juara dunia chukka hyeong</t>
  </si>
  <si>
    <t>['ciee', 'argentina', 'juara', 'dunia', 'chukka', 'hyeong']</t>
  </si>
  <si>
    <t>Detik-detik Dramatis Lionel Messi Bawa Argentina Juara Piala Dunia 2022  https://t.co/cfmq4KFHnC</t>
  </si>
  <si>
    <t>detik detik dramatis lionel messi bawa argentina juara piala dunia</t>
  </si>
  <si>
    <t>['detik', 'detik', 'dramatis', 'lionel', 'messi', 'bawa', 'argentina', 'juara', 'piala', 'dunia']</t>
  </si>
  <si>
    <t>Argentina Juara Piala Dunia 2022, Messi Pemain Terbaik  https://t.co/t17Cz8A62o</t>
  </si>
  <si>
    <t>argentina juara piala dunia messi pemain terbaik</t>
  </si>
  <si>
    <t>['argentina', 'juara', 'piala', 'dunia', 'messi', 'pemain', 'terbaik']</t>
  </si>
  <si>
    <t>Argentina juara Piala Dunia setelah kalahkan Prancis lewat adu penalti  https://t.co/NAeEQpt1f1</t>
  </si>
  <si>
    <t>GILAA JUARA HHAHAAüò≠ CONGRATS ARGENTINAüò≠üéâ</t>
  </si>
  <si>
    <t>gilaa juara hhahaa congrats argentina</t>
  </si>
  <si>
    <t>['gilaa', 'juara', 'hhahaa', 'congrats', 'argentina']</t>
  </si>
  <si>
    <t>Tidur nyenyak karena Argentina yg juara üíô</t>
  </si>
  <si>
    <t>tidur nyenyak karena argentina juara</t>
  </si>
  <si>
    <t>['tidur', 'nyenyak', 'argentina', 'juara']</t>
  </si>
  <si>
    <t>Final malam ini  Adek : menang argentina 2-0 Aku : oke üò¥ Adek : penaltian  Aku : argentina juara üò¥  Bangun bangun beneran juara üôÉ</t>
  </si>
  <si>
    <t>final malam ini adek menang argentina aku oke adek penaltian aku argentina juara bangun bangun beneran juara</t>
  </si>
  <si>
    <t>['final', 'malam', 'adek', 'menang', 'argentina', 'aku', 'oke', 'adek', 'penaltian', 'aku', 'argentina', 'juara', 'bangun', 'bangun', 'beneran', 'juara']</t>
  </si>
  <si>
    <t>Misi &amp;amp; Rencana,  Tuntas Terselenggara.  Messi &amp;amp; Argentina,  Pantas Juara.  #FIFAWorldCup #Qatar2022  https://t.co/EEBX9v27fJ</t>
  </si>
  <si>
    <t>misi rencana tuntas terselenggara messi argentina pantas juara</t>
  </si>
  <si>
    <t>['misi', 'rencana', 'tuntas', 'terselenggara', 'messi', 'argentina', 'pantas', 'juara']</t>
  </si>
  <si>
    <t>Aktor penting dibalik kesuksesan Argentina, selain sang kiper Emiliano Martinez 2021 juara Copa America 2022 juara Finalisima 2022 Juara Piala Dunia</t>
  </si>
  <si>
    <t>aktor penting dibalik kesuksesan argentina selain sang kiper emiliano martinez juara copa america juara finalisima juara piala dunia</t>
  </si>
  <si>
    <t>['aktor', 'penting', 'dibalik', 'kesuksesan', 'argentina', 'sang', 'kiper', 'emiliano', 'martinez', 'juara', 'copa', 'america', 'juara', 'finalisima', 'juara', 'piala', 'dunia']</t>
  </si>
  <si>
    <t>Scaloni ajak rakyat Argentina nikmati sukses juara Piala Dunia  https://t.co/SvYzfybZdg</t>
  </si>
  <si>
    <t>@night_lustfull Demikian argentina juara!</t>
  </si>
  <si>
    <t>lustfull demikian argentina juara</t>
  </si>
  <si>
    <t>['lustfull', 'argentina', 'juara']</t>
  </si>
  <si>
    <t>@tetestuang Gak penting yg juara Argentina atau Perancis ketika aku udah menjadi juara dihatimu....masku</t>
  </si>
  <si>
    <t>gak penting juara argentina atau perancis ketika aku udah menjadi juara dihatimu masku</t>
  </si>
  <si>
    <t>['penting', 'juara', 'argentina', 'perancis', 'aku', 'udah', 'menjadi', 'juara', 'dihatimu', 'masku']</t>
  </si>
  <si>
    <t>subuh2 buka twitter tuk liat juara world cup setelah semalem nonton match pertama trus tak tinggal bobok. Mamak pasti seneng bgt nih gacoannya dr jaman baheula menangüòÉ selamat Argentina!üá¶üá∑</t>
  </si>
  <si>
    <t>subuh buka twitter tuk liat juara world cup setelah semalem nonton match pertama trus tak tinggal bobok mamak pasti seneng bgt nih gacoannya jaman baheula menang selamat argentina</t>
  </si>
  <si>
    <t>['subuh', 'buka', 'twitter', 'tuk', 'lihat', 'juara', 'world', 'cup', 'semalam', 'nonton', 'match', 'pertama', 'trus', 'tak', 'tinggal', 'bobok', 'mamak', 'seneng', 'banget', 'gacoannya', 'jaman', 'baheula', 'menang', 'selamat', 'argentina']</t>
  </si>
  <si>
    <t>@FWBESS Gue tau ini cringe tapi plis apresiasi gombalan gue. Wkwkkw.  Argentina juara pildun, kalo kamu, juara di hatikuuuü§£ü§£ü§£</t>
  </si>
  <si>
    <t>gue tau ini cringe tapi plis apresiasi gombalan gue wkwkkw argentina juara pildun kalo kamu juara hatikuuu</t>
  </si>
  <si>
    <t>['gue', 'cringe', 'plis', 'apresiasi', 'gombalan', 'gue', 'wkwkkw', 'argentina', 'juara', 'piala dunia', 'kamu', 'juara', 'hatikuuu']</t>
  </si>
  <si>
    <t>HAHAHAHAHAHHA fans nya pun pada belagu mentang juara di tahun 2018 . Argentina lagi gacorr parah woy malah disepelekan! Sabar yaa uda gendong prancis, gue akui lu kencang, tp TIM lu ga sehebat TIM Andalankuu üá¶üá∑üá¶üá∑</t>
  </si>
  <si>
    <t>hahahahahahha fans nya pun pada belagu mentang juara tahun argentina lagi gacorr parah woy malah disepelekan sabar yaa uda gendong prancis gue akui kencang tim sehebat tim andalankuu</t>
  </si>
  <si>
    <t>['hahahahahahha', 'fans', 'belagu', 'mentang', 'juara', 'tahun', 'argentina', 'gacorr', 'parah', 'woy', 'malah', 'disepelekan', 'sabar', 'ya', 'uda', 'gendong', 'prancis', 'gue', 'akui', 'kencang', 'tim', 'sehebat', 'tim', 'andalankuu']</t>
  </si>
  <si>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</si>
  <si>
    <t>congrats argentina emang keren banget layak juara nice try perancis udah sangat keren juga semua pemain hebat dan kalo dibilang pantas juara namun ada satu faktor membuat keberuntungan dan ttp hrus ada best the best and</t>
  </si>
  <si>
    <t>['congrats', 'argentina', 'emang', 'keren', 'banget', 'layak', 'juara', 'nice', 'try', 'perancis', 'udah', 'sangat', 'keren', 'semua', 'pemain', 'hebat', 'dibilang', 'pantas', 'juara', 'satu', 'faktor', 'membuat', 'keberuntungan', 'ttp', 'hrus', 'best', 'the', 'best', 'and']</t>
  </si>
  <si>
    <t>Argentina juara piala dunia karna penalti.  #WorldcupQatar2022</t>
  </si>
  <si>
    <t>argentina juara piala dunia karna penalti</t>
  </si>
  <si>
    <t>['argentina', 'juara', 'piala', 'dunia', 'karna', 'penalti']</t>
  </si>
  <si>
    <t>Argentina menjadi juara Piala Dunia 2022, setelah berhasil menumbangkan Prancis lewat adu penalti.  Jagoan mimin juara guys! üî• Selamat untuk Lionel Messi Cs!  https://t.co/MJE9EVcznB</t>
  </si>
  <si>
    <t>argentina menjadi juara piala dunia setelah berhasil menumbangkan prancis lewat adu penalti jagoan mimin juara guys selamat untuk lionel messi</t>
  </si>
  <si>
    <t>['argentina', 'menjadi', 'juara', 'piala', 'dunia', 'berhasil', 'menumbangkan', 'prancis', 'lewat', 'adu', 'penalti', 'jagoan', 'mimin', 'juara', 'guys', 'selamat', 'lionel', 'messi']</t>
  </si>
  <si>
    <t>Sesuai janji  Argentina juara gua balik pake wig ü´°üï∫üòÜ  https://t.co/hYbNaiwArY</t>
  </si>
  <si>
    <t>sesuai janji argentina juara gua balik pake wig</t>
  </si>
  <si>
    <t>['sesuai', 'janji', 'argentina', 'juara', 'gua', 'balik', 'pake', 'wig']</t>
  </si>
  <si>
    <t>Tumbangkan Prancis lewat Adu Penalti, Argentina Juara Piala Dunia 2022  https://t.co/RP88etZTF8</t>
  </si>
  <si>
    <t>@xxstanisa Gara" kmu Argentina Juara</t>
  </si>
  <si>
    <t>gara kmu argentina juara</t>
  </si>
  <si>
    <t>['gara', 'kmu', 'argentina', 'juara']</t>
  </si>
  <si>
    <t>Niat banget gambar Messi jam segini,walau jelek gambarnya, gpp lah Argentina juara World Cup ini üòÇ  https://t.co/snmde3oWpE</t>
  </si>
  <si>
    <t>niat banget gambar messi jam segini walau jelek gambarnya gpp lah argentina juara world cup ini</t>
  </si>
  <si>
    <t>['niat', 'banget', 'gambar', 'messi', 'jam', 'segini', 'jelek', 'gambarnya', 'gapapa', 'lah', 'argentina', 'juara', 'world', 'cup']</t>
  </si>
  <si>
    <t>Selamat hari bela negara üáÆüá©  #FIFAWorldCup | #WorldCup | Messi | Argentina | Juara Dunia | GREATEST OF ALL TIME | Madrid | Dembele  https://t.co/9JwYIG0pjA</t>
  </si>
  <si>
    <t>selamat hari bela negara messi argentina juara dunia greatest all time madrid dembele</t>
  </si>
  <si>
    <t>['selamat', 'hari', 'bela', 'negara', 'messi', 'argentina', 'juara', 'dunia', 'greatest', 'all', 'time', 'madrid', 'dembele']</t>
  </si>
  <si>
    <t>meskipun argentina juara tapi tidak dapat dipungkiri performa mbappe sangat GILA</t>
  </si>
  <si>
    <t>meskipun argentina juara tapi tidak dapat dipungkiri performa mbappe sangat gila</t>
  </si>
  <si>
    <t>['meskipun', 'argentina', 'juara', 'dipungkiri', 'performa', 'mbappe', 'sangat', 'gila']</t>
  </si>
  <si>
    <t>2022. No words. Sempat kalah dari Saudi Arabia. Argentina akhirnya menjadi juara dunia setelah terakhir kali bersama Maradona di 1986. üá¶üá∑üá¶üá∑üá¶üá∑  https://t.co/J06PuqeFGj</t>
  </si>
  <si>
    <t>words sempat kalah dari saudi arabia argentina akhirnya menjadi juara dunia setelah terakhir kali bersama maradona</t>
  </si>
  <si>
    <t>['words', 'sempat', 'kalah', 'saudi', 'arabia', 'argentina', 'akhirnya', 'menjadi', 'juara', 'dunia', 'terakhir', 'kali', 'bersama', 'maradona']</t>
  </si>
  <si>
    <t>Argentina Juara Piala Dunia 2022  https://t.co/gWcWzhwjPJ</t>
  </si>
  <si>
    <t>Argentina Juara Piala Dunia 2022: Keajaiban Tendangan Cungkil Di Maria  https://t.co/Pzg5VeOw2B</t>
  </si>
  <si>
    <t>argentina juara piala dunia keajaiban tendangan cungkil maria</t>
  </si>
  <si>
    <t>['argentina', 'juara', 'piala', 'dunia', 'keajaiban', 'tendangan', 'cungkil', 'maria']</t>
  </si>
  <si>
    <t>Messi emang berkelas dan Argentina layak juara, tapi dalam hati menangis karna dukung France ü•≤ #FIFAWorldCup</t>
  </si>
  <si>
    <t>messi emang berkelas dan argentina layak juara tapi dalam hati menangis karna dukung france</t>
  </si>
  <si>
    <t>['messi', 'emang', 'berkelas', 'argentina', 'layak', 'juara', 'hati', 'menangis', 'karna', 'dukung', 'france']</t>
  </si>
  <si>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</si>
  <si>
    <t>lionel scaloni emang bener pelatih bertangan dingin diusianya yang masih muda dan minim pengalaman tapi dia mampu membuat skuad argentina tangguh dan berprestasi hebat dengan mencetak hattrick gelar juara copa america finalissima piala dunia</t>
  </si>
  <si>
    <t>['lionel', 'scaloni', 'emang', 'benar', 'pelatih', 'bertangan', 'dingin', 'diusianya', 'muda', 'minim', 'pengalaman', 'mampu', 'membuat', 'skuad', 'argentina', 'tangguh', 'berprestasi', 'hebat', 'mencetak', 'hattrick', 'gelar', 'juara', 'copa', 'america', 'finalissima', 'piala', 'dunia']</t>
  </si>
  <si>
    <t>kalo ad yg bikin video ttg perjalanan Argentina di world cup 2022 smpe juara tolong masukkan video" ini ü•∂</t>
  </si>
  <si>
    <t>kalo bikin video ttg perjalanan argentina world cup smpe juara tolong masukkan video ini</t>
  </si>
  <si>
    <t>['video', 'ttg', 'perjalanan', 'argentina', 'world', 'cup', 'smpe', 'juara', 'masukkan', 'video']</t>
  </si>
  <si>
    <t>Congrats Argentina juara FIFA World Cup 2022</t>
  </si>
  <si>
    <t>congrats argentina juara fifa world cup</t>
  </si>
  <si>
    <t>['congrats', 'argentina', 'juara', 'fifa', 'world', 'cup']</t>
  </si>
  <si>
    <t>Fans Timnas Argentina menangis bangga usai Lionel Messi cs juara Piala Dunia 2022</t>
  </si>
  <si>
    <t>fans timnas argentina menangis bangga usai lionel messi juara piala dunia</t>
  </si>
  <si>
    <t>['fans', 'timnas', 'argentina', 'menangis', 'bangga', 'usai', 'lionel', 'messi', 'juara', 'piala', 'dunia']</t>
  </si>
  <si>
    <t>Argentina juara, notif mbanking langsung bunyiüòÇ</t>
  </si>
  <si>
    <t>argentina juara notif mbanking langsung bunyi</t>
  </si>
  <si>
    <t>['argentina', 'juara', 'notif', 'mbanking', 'langsung', 'bunyi']</t>
  </si>
  <si>
    <t>debat goat messi-ronaldo berarti udah berakhir nih ya? messi juga kudu salim sama emi martinez. bareng dia, argentina bisa juara copa america &amp;amp; pildun.</t>
  </si>
  <si>
    <t>debat goat messi ronaldo berarti udah berakhir nih messi juga kudu salim sama emi martinez bareng dia argentina bisa juara copa america pildun</t>
  </si>
  <si>
    <t>['debat', 'goat', 'messi', 'ronaldo', 'berarti', 'udah', 'berakhir', 'messi', 'kudu', 'salim', 'sama', 'emi', 'martinez', 'bareng', 'argentina', 'juara', 'copa', 'america', 'piala dunia']</t>
  </si>
  <si>
    <t>Tekuk Prancis 4-2, Argentina Akhirnya Juara Piala Dunia Qatar 2022   https://t.co/3KbVuKCbSf</t>
  </si>
  <si>
    <t>tekuk prancis argentina akhirnya juara piala dunia qatar</t>
  </si>
  <si>
    <t>['tekuk', 'prancis', 'argentina', 'akhirnya', 'juara', 'piala', 'dunia', 'qatar']</t>
  </si>
  <si>
    <t>eusebio mati, portugal juara euro. maradona mati, argentina juara copa dan worldcup. nah tinggal tunggu giliran pele mati, baru brazil juara.</t>
  </si>
  <si>
    <t>eusebio mati portugal juara euro maradona mati argentina juara copa dan worldcup nah tinggal tunggu giliran pele mati baru brazil juara</t>
  </si>
  <si>
    <t>['eusebio', 'mati', 'portugal', 'juara', 'euro', 'maradona', 'mati', 'argentina', 'juara', 'copa', 'worldcup', 'nah', 'tinggal', 'tunggu', 'giliran', 'pele', 'mati', 'baru', 'brazil', 'juara']</t>
  </si>
  <si>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</si>
  <si>
    <t>boleh dibilang skuad argentina saat ini adalah skuad terbaik mereka dengan membuat prestasi hebat meraih hattrick gelar juara dalam juara copa america juara finalissima juara piala dunia messi kapten dari kesuksesan itu greatest all time</t>
  </si>
  <si>
    <t>['dibilang', 'skuad', 'argentina', 'skuad', 'terbaik', 'membuat', 'prestasi', 'hebat', 'meraih', 'hattrick', 'gelar', 'juara', 'juara', 'copa', 'america', 'juara', 'finalissima', 'juara', 'piala', 'dunia', 'messi', 'kapten', 'kesuksesan', 'greatest', 'all', 'time']</t>
  </si>
  <si>
    <t>Momen Argentina Meraih Juara Piala Dunia 2022  https://t.co/ogqoA5lUSL  https://t.co/qvSNWKmWCo</t>
  </si>
  <si>
    <t>momen argentina meraih juara piala dunia</t>
  </si>
  <si>
    <t>['momen', 'argentina', 'meraih', 'juara', 'piala', 'dunia']</t>
  </si>
  <si>
    <t>2018. Mungkin versi terburuk yang pernah kutotonton. Bersama Sampaoli, Argentina main seperti anak ayam kehilangan induknya. Tanpa visi yang jelas Argentina kalah melawan yang menjadi juara dunia saat itu, Prancis.  https://t.co/tSO0dF2pUV</t>
  </si>
  <si>
    <t>mungkin versi terburuk yang pernah kutotonton bersama sampaoli argentina main seperti anak ayam kehilangan induknya tanpa visi yang jelas argentina kalah melawan yang menjadi juara dunia saat itu prancis</t>
  </si>
  <si>
    <t>['mungkin', 'versi', 'terburuk', 'pernah', 'kutotonton', 'bersama', 'sampaoli', 'argentina', 'main', 'anak', 'ayam', 'kehilangan', 'induknya', 'visi', 'jelas', 'argentina', 'kalah', 'melawan', 'menjadi', 'juara', 'dunia', 'prancis']</t>
  </si>
  <si>
    <t>Fans Timnas Argentina Menangis Bangga Usai Lionel Messi Cs Juara Piala Dunia 2022 #LengkapCepatBeritanya #Bola #SepakBola #SepakbolaDunia #BolaDunia .  https://t.co/gNlnzjK8JL</t>
  </si>
  <si>
    <t>Bravo Argentina üòçüòçüòÅüòÅ Pertandingan penuh drama yang menegangkan  Selamat buat Argentina...juara piala üèÜüèÜüèÜüèÜ dunia 2022  https://t.co/y9nHAkdkf7</t>
  </si>
  <si>
    <t>bravo argentina pertandingan penuh drama yang menegangkan selamat buat argentina juara piala dunia</t>
  </si>
  <si>
    <t>['bravo', 'argentina', 'pertandingan', 'penuh', 'drama', 'menegangkan', 'selamat', 'buat', 'argentina', 'juara', 'piala', 'dunia']</t>
  </si>
  <si>
    <t>Secara teknis Arab Saudi adalah juara dunia karena mereka telah mengalahkan Argentina.</t>
  </si>
  <si>
    <t>secara teknis arab saudi adalah juara dunia karena mereka telah mengalahkan argentina</t>
  </si>
  <si>
    <t>['teknis', 'arab', 'saudi', 'juara', 'dunia', 'mengalahkan', 'argentina']</t>
  </si>
  <si>
    <t>mana senyumnya anak ganteng??? 1 2 3 cekreküòÅüòÄüòÅüòê</t>
  </si>
  <si>
    <t>mana senyumnya anak ganteng cekrek</t>
  </si>
  <si>
    <t>['mana', 'senyumnya', 'anak', 'ganteng', 'cekrek']</t>
  </si>
  <si>
    <t>@registaco selamat argentina juara world cup 2022 dan messi meraih gelar perdana nya silahkan jersey original nya selagi masih ada!!!  https://t.co/o2wZgooqEN</t>
  </si>
  <si>
    <t>selamat argentina juara world cup dan messi meraih gelar perdana nya silahkan jersey original nya selagi masih ada</t>
  </si>
  <si>
    <t>['selamat', 'argentina', 'juara', 'world', 'cup', 'messi', 'meraih', 'gelar', 'perdana', 'silahkan', 'jersey', 'original']</t>
  </si>
  <si>
    <t>Biodata Dan Foto Foto Artis Instagram Helen Owen #hotmodel #seksimodel #cewekseksi Juara Dunia #argentina  https://t.co/puf2dOqEJl  https://t.co/dv25TgT9PT</t>
  </si>
  <si>
    <t>biodata dan foto foto artis instagram helen owen juara dunia</t>
  </si>
  <si>
    <t>['biodata', 'foto', 'foto', 'artis', 'instagram', 'helen', 'owen', 'juara', 'dunia']</t>
  </si>
  <si>
    <t>@registaco selamat argentina juara world cup 2022 dan messi meraih gelar perdana nya silahkan jersey original nya selagi masih ada!  https://t.co/inbpfLpAed</t>
  </si>
  <si>
    <t>Lionel Scaloni membuktikan usia bukan halangan membawa Argentina juara Piala Dunia 2022. Dia baru saja mengikuti jejak Cesar Luis Menotti. Apa itu?  https://t.co/GzpVZAZrIt</t>
  </si>
  <si>
    <t>2014. Nyaris. Masih teringat jelas memori ini. Masih teringat jelas sumpah serapah sesama pendukung Argentina saat nobar final melawan Jerman kepada Higuain. Argentina nyaris saja menjadi juara dunia di negeri rival mereka Brazil. Tapi nyaris tidaklah cukup.  https://t.co/ccXiG8uL8G</t>
  </si>
  <si>
    <t>nyaris masih teringat jelas memori ini masih teringat jelas sumpah serapah sesama pendukung argentina saat nobar final melawan jerman kepada higuain argentina nyaris saja menjadi juara dunia negeri rival mereka brazil tapi nyaris tidaklah cukup</t>
  </si>
  <si>
    <t>['nyaris', 'teringat', 'jelas', 'memori', 'teringat', 'jelas', 'sumpah', 'serapah', 'sesama', 'pendukung', 'argentina', 'nonton bareng', 'final', 'melawan', 'jerman', 'higuain', 'argentina', 'nyaris', 'menjadi', 'juara', 'dunia', 'negeri', 'rival', 'brazil', 'nyaris', 'tidaklah', 'cukup']</t>
  </si>
  <si>
    <t>Argentina Juara Piala Dunia FIFA 2022, Menyambut Hari Natal Dan Tahun Baru 2023,  Crystal138 event setiap hari gratis, Lucky Wheel, Untuk mendapatkan tiket GRATIS, #crystal138 #sbobet #pragmatic #pgsoft #jokerslot #habanero #bojal #slotgame #JPpaus #2023</t>
  </si>
  <si>
    <t>argentina juara piala dunia fifa menyambut hari natal dan tahun baru crystal event setiap hari gratis lucky wheel untuk mendapatkan tiket gratis</t>
  </si>
  <si>
    <t>['argentina', 'juara', 'piala', 'dunia', 'fifa', 'menyambut', 'hari', 'natal', 'tahun', 'baru', 'crystal', 'event', 'hari', 'gratis', 'lucky', 'wheel', 'mendapatkan', 'tiket', 'gratis']</t>
  </si>
  <si>
    <t>@The_RedsIndo selamat argentina juara world cup 2022 dan messi meraih gelar perdana nya  https://t.co/vWCyc74lHn</t>
  </si>
  <si>
    <t>redsindo selamat argentina juara world cup dan messi meraih gelar perdana nya</t>
  </si>
  <si>
    <t>['redsindo', 'selamat', 'argentina', 'juara', 'world', 'cup', 'messi', 'meraih', 'gelar', 'perdana']</t>
  </si>
  <si>
    <t>Argentina Juara, Emiliano Martinez Jadi Kiper Terbaik: Ini Takdir Kami  https://t.co/KL9w8imNOD</t>
  </si>
  <si>
    <t>argentina juara emiliano martinez jadi kiper terbaik ini takdir kami</t>
  </si>
  <si>
    <t>['argentina', 'juara', 'emiliano', 'martinez', 'jadi', 'kiper', 'terbaik', 'takdir']</t>
  </si>
  <si>
    <t>Biodata Dan Foto Foto Artis Instagram Yua Mikami #hotmodel #seksimodel #cewekseksi Juara Dunia #argentina  https://t.co/YRvkTiF1E1  https://t.co/dH0D3lVU12</t>
  </si>
  <si>
    <t>biodata dan foto foto artis instagram yua mikami juara dunia</t>
  </si>
  <si>
    <t>['biodata', 'foto', 'foto', 'artis', 'instagram', 'yua', 'mikami', 'juara', 'dunia']</t>
  </si>
  <si>
    <t>Argentina Juara Piala Dunia FIFA 2022, Menyambut Hari Natal Dan Tahun Baru 2023,  Crystal138 event setiap hari gratis, Lucky Wheel, Untuk mendapatkan tiket GRATIS, #crystal138 #sbobet #pragmatic #pgsoft #jokerslot #habanero #bojal #slotgame #JPpaus #2023  https://t.co/aXc6Xa5wcg</t>
  </si>
  <si>
    <t>@The_RedsIndo selamat argentina juara world cup 2022 dan messi meraih gelar perdana nya #YNWA  https://t.co/NJ0hLVcsBM</t>
  </si>
  <si>
    <t>@LisandrMartinez Argentina patut jadi juara Dunia, karena semangat nya seperti Maradona...Selamat dan Sukses, Saya Bangga pada semua Pemainnya</t>
  </si>
  <si>
    <t>argentina patut jadi juara dunia karena semangat nya seperti maradona selamat dan sukses saya bangga pada semua pemainnya</t>
  </si>
  <si>
    <t>['argentina', 'patut', 'jadi', 'juara', 'dunia', 'semangat', 'maradona', 'selamat', 'sukses', 'bangga', 'semua', 'pemainnya']</t>
  </si>
  <si>
    <t>@realmeindonesia Tebakan ku benar Argentina juara. Tpi skornya salah ini gmna min wkwkw ü§£</t>
  </si>
  <si>
    <t>tebakan benar argentina juara tpi skornya salah ini gmna min wkwkw</t>
  </si>
  <si>
    <t>['tebakan', 'benar', 'argentina', 'juara', 'tpi', 'skornya', 'salah', 'gmna', 'min', 'wkwkw']</t>
  </si>
  <si>
    <t>@The_RedsIndo selamat argentina juara world cup 2022 #YNWA  https://t.co/vwJpz8sZxL</t>
  </si>
  <si>
    <t>redsindo selamat argentina juara world cup</t>
  </si>
  <si>
    <t>['redsindo', 'selamat', 'argentina', 'juara', 'world', 'cup']</t>
  </si>
  <si>
    <t>@utdfocusid Argentina sedang dilanda resesi ekonomi parah, setidaknya Messi cs juara piala dunia bisa melupakan sejenak hiruk pikuk ekonomi.</t>
  </si>
  <si>
    <t>argentina sedang dilanda resesi ekonomi parah setidaknya messi juara piala dunia bisa melupakan sejenak hiruk pikuk ekonomi</t>
  </si>
  <si>
    <t>['argentina', 'sedang', 'dilanda', 'resesi', 'ekonomi', 'parah', 'messi', 'juara', 'piala', 'dunia', 'melupakan', 'sejenak', 'hiruk', 'pikuk', 'ekonomi']</t>
  </si>
  <si>
    <t>Biodata Dan Foto Foto Artis Instagram Jordyn Woods #hotmodel #seksimodel #cewekseksi Juara Dunia #argentina  https://t.co/2tBErT05Fi  https://t.co/j76psH5JHt</t>
  </si>
  <si>
    <t>biodata dan foto foto artis instagram jordyn woods juara dunia</t>
  </si>
  <si>
    <t>['biodata', 'foto', 'foto', 'artis', 'instagram', 'jordyn', 'woods', 'juara', 'dunia']</t>
  </si>
  <si>
    <t>Argentina Juara Piala Dunia 2022, Lionel Messi Raih Penghargaan Pemain Terbaik    https://t.co/ShIWdQsXVb   #pialadunia #PialaDunia2022 #pialadunia2022qatar #FIFAWorldCupFinal #FIFAWorldCupQatar2022 #fifa #ArgentinaVsFrance</t>
  </si>
  <si>
    <t>argentina juara piala dunia lionel messi raih penghargaan pemain terbaik</t>
  </si>
  <si>
    <t>['argentina', 'juara', 'piala', 'dunia', 'lionel', 'messi', 'raih', 'penghargaan', 'pemain', 'terbaik']</t>
  </si>
  <si>
    <t>@jek___ sesuai prediksi stad. argentina juara</t>
  </si>
  <si>
    <t>sesuai prediksi stad argentina juara</t>
  </si>
  <si>
    <t>['sesuai', 'prediksi', 'stad', 'argentina', 'juara']</t>
  </si>
  <si>
    <t>Biodata Dan Foto Foto Artis Instagram Pia Muehlenbeck #hotmodel #seksimodel #cewekseksi Juara Dunia #argentina  https://t.co/8gHIAZYnbN  https://t.co/HDuo3NlQZN</t>
  </si>
  <si>
    <t>biodata dan foto foto artis instagram pia muehlenbeck juara dunia</t>
  </si>
  <si>
    <t>['biodata', 'foto', 'foto', 'artis', 'instagram', 'pia', 'muehlenbeck', 'juara', 'dunia']</t>
  </si>
  <si>
    <t>@jek___ Lah knp juara 2..juara 1 lah si arab ngab abis ngalahin argentina</t>
  </si>
  <si>
    <t>lah knp juara juara lah arab ngab abis ngalahin argentina</t>
  </si>
  <si>
    <t>['lah', 'kenapa', 'juara', 'juara', 'lah', 'arab', 'ngab', 'abis', 'ngalahin', 'argentina']</t>
  </si>
  <si>
    <t>Argentina Raih Juara Piala Dunia, Neymar Ucapkan Selamat kepada Lionel Messi  https://t.co/uWFB6F0C6V</t>
  </si>
  <si>
    <t>@tiwexers @Fandom_ID Gak laah..  Sejak juara Copa, Emi selalu kesorot. Messi selalu menuju dia. Krn sblmnya memang Argentina ndak punya kiper bagus. Emi pahlawan.  Lalu knp Messi? Semua tahu jawabannya.</t>
  </si>
  <si>
    <t>gak laah sejak juara copa emi selalu kesorot messi selalu menuju dia krn sblmnya memang argentina ndak punya kiper bagus emi pahlawan lalu knp messi semua tahu jawabannya</t>
  </si>
  <si>
    <t>['laah', 'sejak', 'juara', 'copa', 'emi', 'selalu', 'kesorot', 'messi', 'selalu', 'menuju', 'sblmnya', 'memang', 'argentina', 'ndak', 'punya', 'kiper', 'bagus', 'emi', 'pahlawan', 'lalu', 'kenapa', 'messi', 'semua', 'tahu', 'jawabannya']</t>
  </si>
  <si>
    <t>iya. #Argentina juara #PialaDunia2022.  tapi besok uda hari senin &amp;amp; klen musti kerja lagi. ok? ingat, klen belum se kaya raya messi.  yg besok boleh tidur sampe siang cuma #MessiìÉµ   #WorldCupFinal #PialaDunia2022</t>
  </si>
  <si>
    <t>iya juara tapi besok uda hari senin klen musti kerja lagi ingat klen belum kaya raya messi besok boleh tidur sampe siang cuma</t>
  </si>
  <si>
    <t>['iya', 'juara', 'besok', 'uda', 'hari', 'senin', 'klen', 'musti', 'kerja', 'ingat', 'klen', 'kaya', 'raya', 'messi', 'besok', 'tidur', 'sampai', 'siang', 'cuma']</t>
  </si>
  <si>
    <t>1986-2022..36 Tahun Argentina baru bisa meraih gelar Juara Dunia..setelah mengalahkan Francis..dan selamat kepada Arab Saudi Yang Telah Mengalahkan Argentina..</t>
  </si>
  <si>
    <t>tahun argentina baru bisa meraih gelar juara dunia setelah mengalahkan francis dan selamat kepada arab saudi yang telah mengalahkan argentina</t>
  </si>
  <si>
    <t>['tahun', 'argentina', 'baru', 'meraih', 'gelar', 'juara', 'dunia', 'mengalahkan', 'francis', 'selamat', 'arab', 'saudi', 'mengalahkan', 'argentina']</t>
  </si>
  <si>
    <t>Klo gada @KMbappe ... Mungkin 3-0 ...buat Argentina. Knapa Strikernya pada keluar....  Juara Dunia  Raul lemos  https://t.co/Luj4z9a3Zy</t>
  </si>
  <si>
    <t>klo gada mungkin buat argentina knapa strikernya pada keluar juara dunia raul lemos</t>
  </si>
  <si>
    <t>['gada', 'mungkin', 'buat', 'argentina', 'kenapa', 'strikernya', 'keluar', 'juara', 'dunia', 'raul', 'lemos']</t>
  </si>
  <si>
    <t>Biodata Dan Foto Foto Artis Instagram Allegra Shaw #hotmodel #seksimodel #cewekseksi Juara Dunia #argentina  https://t.co/3dtIPDeoM0  https://t.co/jPnTzez3hC</t>
  </si>
  <si>
    <t>biodata dan foto foto artis instagram allegra shaw juara dunia</t>
  </si>
  <si>
    <t>['biodata', 'foto', 'foto', 'artis', 'instagram', 'allegra', 'shaw', 'juara', 'dunia']</t>
  </si>
  <si>
    <t>Sebelum piala dunia ini udah diniatin ga beli jersey argentina yg terbaru gegara mau nunggu update jersey nambah bintang jadi tiga plus pake emblem juara dunia. Eh kesampaiann üòá</t>
  </si>
  <si>
    <t>sebelum piala dunia ini udah diniatin beli jersey argentina terbaru gegara mau nunggu update jersey nambah bintang jadi tiga plus pake emblem juara dunia kesampaiann</t>
  </si>
  <si>
    <t>['piala', 'dunia', 'udah', 'diniatin', 'beli', 'jersey', 'argentina', 'terbaru', 'gegara', 'mau', 'nunggu', 'update', 'jersey', 'nambah', 'bintang', 'jadi', 'tiga', 'plus', 'pake', 'emblem', 'juara', 'dunia', 'kesampaiann']</t>
  </si>
  <si>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</si>
  <si>
    <t>fansclub argentina messi the goat drake penalties what final ronaldo benzema all france dybala the greatest all time paredes camavinga mbappe maria aguero kolo muani higuain camavinga maradona enzo fernandez pildun otamendi juara dunia lloris kounde</t>
  </si>
  <si>
    <t>['fansclub', 'argentina', 'messi', 'the', 'goat', 'drake', 'penalties', 'what', 'final', 'ronaldo', 'benzema', 'all', 'france', 'dybala', 'the', 'greatest', 'all', 'time', 'paredes', 'camavinga', 'mbappe', 'maria', 'aguero', 'kolo', 'muani', 'higuain', 'camavinga', 'maradona', 'enzo', 'fernandez', 'piala dunia', 'otamendi', 'juara', 'dunia', 'lloris', 'kounde']</t>
  </si>
  <si>
    <t>@bobbykuuu Belanda juara euro 2024, habis itu Indonesia juara AFF masse, pacayolah masse, tebakan wak batua Argentina ma masse</t>
  </si>
  <si>
    <t>belanda juara euro habis itu indonesia juara aff masse pacayolah masse tebakan wak batua argentina masse</t>
  </si>
  <si>
    <t>['belanda', 'juara', 'euro', 'habis', 'indonesia', 'juara', 'aff', 'masse', 'pacayolah', 'masse', 'tebakan', 'wak', 'batua', 'argentina', 'masse']</t>
  </si>
  <si>
    <t>Argentina juara nie congrats</t>
  </si>
  <si>
    <t>argentina juara nie congrats</t>
  </si>
  <si>
    <t>['argentina', 'juara', 'nie', 'congrats']</t>
  </si>
  <si>
    <t>@seycila Katanya kalo argentina juara, kita jadianüò≠</t>
  </si>
  <si>
    <t>katanya kalo argentina juara kita jadian</t>
  </si>
  <si>
    <t>['katanya', 'argentina', 'juara', 'jadian']</t>
  </si>
  <si>
    <t>aku skrg tidur nyenyak bukan karna argentina juara, tp jantung ku lemes cok</t>
  </si>
  <si>
    <t>aku skrg tidur nyenyak bukan karna argentina juara jantung lemes cok</t>
  </si>
  <si>
    <t>['aku', 'skrg', 'tidur', 'nyenyak', 'bukan', 'karna', 'argentina', 'juara', 'jantung', 'lemes', 'cok']</t>
  </si>
  <si>
    <t>Seneng sih liat Argentina juara, yg ga senengnya itu bbrp waktu ke depan mesti liat chelsea mainüò≠</t>
  </si>
  <si>
    <t>seneng sih liat argentina juara senengnya itu bbrp waktu depan mesti liat chelsea main</t>
  </si>
  <si>
    <t>['seneng', 'lihat', 'argentina', 'juara', 'senengnya', 'bbrp', 'waktu', 'depan', 'mesti', 'lihat', 'chelsea', 'main']</t>
  </si>
  <si>
    <t>@Max1verstappenF @idextratime Argentina baru juara lagi, terakhir udah lama banget pas era maradona anjengggg üò≠üò≠üò≠</t>
  </si>
  <si>
    <t>argentina baru juara lagi terakhir udah lama banget pas era maradona anjengggg</t>
  </si>
  <si>
    <t>['argentina', 'baru', 'juara', 'terakhir', 'udah', 'lama', 'banget', 'pas', 'era', 'maradona', 'anjengggg']</t>
  </si>
  <si>
    <t>fansclub99 Argentina Messi is the GOAT Drake Penalties WHAT A FINAL Ronaldo Benzema All in France Dybala THE GREATEST OF ALL TIME Paredes Camavinga mbappe Di Maria Aguero Kolo Muani Higuain Camavinga Maradona Enzo Fernandez Pildun Otamendi Juara Dunia  https://t.co/GzEFIaa4t3</t>
  </si>
  <si>
    <t>fansclub argentina messi the goat drake penalties what final ronaldo benzema all france dybala the greatest all time paredes camavinga mbappe maria aguero kolo muani higuain camavinga maradona enzo fernandez pildun otamendi juara dunia</t>
  </si>
  <si>
    <t>['fansclub', 'argentina', 'messi', 'the', 'goat', 'drake', 'penalties', 'what', 'final', 'ronaldo', 'benzema', 'all', 'france', 'dybala', 'the', 'greatest', 'all', 'time', 'paredes', 'camavinga', 'mbappe', 'maria', 'aguero', 'kolo', 'muani', 'higuain', 'camavinga', 'maradona', 'enzo', 'fernandez', 'piala dunia', 'otamendi', 'juara', 'dunia']</t>
  </si>
  <si>
    <t>De Paul jika tidak ditarik keluar, habis lu. Cidera parah pasti disikat pemain Prancis. Untungnya cepat keluar. Hingga Argentina juara dan saatnya selebrasi üôå #ARG  https://t.co/PqoPKN67oz</t>
  </si>
  <si>
    <t>paul jika tidak ditarik keluar habis cidera parah pasti disikat pemain prancis untungnya cepat keluar hingga argentina juara dan saatnya selebrasi</t>
  </si>
  <si>
    <t>['paul', 'ditarik', 'keluar', 'habis', 'cidera', 'parah', 'disikat', 'pemain', 'prancis', 'untungnya', 'cepat', 'keluar', 'hingga', 'argentina', 'juara', 'saatnya', 'selebrasi']</t>
  </si>
  <si>
    <t>VIDEO - ARGENTINA Juara Piala Dunia Qatar 2022 Lewat Drama Penalti, Akhir Indah Karir Lionel Messi  https://t.co/CSz652lEgk  https://t.co/n7QO2bQNdG</t>
  </si>
  <si>
    <t>video argentina juara piala dunia qatar lewat drama penalti akhir indah karir lionel messi</t>
  </si>
  <si>
    <t>['video', 'argentina', 'juara', 'piala', 'dunia', 'qatar', 'lewat', 'drama', 'penalti', 'akhir', 'indah', 'karir', 'lionel', 'messi']</t>
  </si>
  <si>
    <t>Messi Cs Juara Piala Dunia 2022, Argentina Kalahkan Prancis Lewat Adu Penalti, Mbappe Top Skor  https://t.co/CpsYWUAjob  https://t.co/jmiPtxrGjx</t>
  </si>
  <si>
    <t>messi juara piala dunia argentina kalahkan prancis lewat adu penalti mbappe top skor</t>
  </si>
  <si>
    <t>['messi', 'juara', 'piala', 'dunia', 'argentina', 'kalahkan', 'prancis', 'lewat', 'adu', 'penalti', 'mbappe', 'top', 'skor']</t>
  </si>
  <si>
    <t>@FaktaSepakbola 1) Unbeaten Argentina terhenti di tangan Arab Saudi.  2) Tim - tim yang diremehkan unjuk gigi dan bikin ketar ketir tim kuat (Arab Saudi, Jepang, Maroko, Kroasia)  3) Hattrick di final belum tentu bawa timnya juara (Mbappe)  4) Tangisan CR</t>
  </si>
  <si>
    <t>unbeaten argentina terhenti tangan arab saudi tim tim yang diremehkan unjuk gigi dan bikin ketar ketir tim kuat arab saudi jepang maroko kroasia hattrick final belum tentu bawa timnya juara mbappe tangisan</t>
  </si>
  <si>
    <t>['unbeaten', 'argentina', 'terhenti', 'tangan', 'arab', 'saudi', 'tim', 'tim', 'diremehkan', 'unjuk', 'gigi', 'ketar', 'ketir', 'tim', 'kuat', 'arab', 'saudi', 'jepang', 'maroko', 'kroasia', 'hattrick', 'final', 'bawa', 'timnya', 'juara', 'mbappe', 'tangisan']</t>
  </si>
  <si>
    <t>@beratjodoh @idextratime Bukan maen, biasa ajae kaleee Argentina juara masih lo ajing2in Mbappe‚Ä¶ kocak lo hashhh</t>
  </si>
  <si>
    <t>bukan maen biasa ajae kaleee argentina juara masih ajing mbappe kocak hashhh</t>
  </si>
  <si>
    <t>['bukan', 'maen', 'biasa', 'ajae', 'kaleee', 'argentina', 'juara', 'ajing', 'mbappe', 'kocak', 'hashhh']</t>
  </si>
  <si>
    <t>ga sia2 dukung argentina dari awal sampe juara , setelah ngerasain paitnya final pildun 2014 sekarang akhirnya bisa liat idola gw angkat piala üò≠üêê ,bener2 one of the best moment in my life üèÜüî•.</t>
  </si>
  <si>
    <t>sia dukung argentina dari awal sampe juara setelah ngerasain paitnya final pildun sekarang akhirnya bisa liat idola angkat piala bener one the best moment life</t>
  </si>
  <si>
    <t>['sia', 'dukung', 'argentina', 'awal', 'sampai', 'juara', 'ngerasain', 'paitnya', 'final', 'piala dunia', 'sekarang', 'akhirnya', 'lihat', 'idola', 'angkat', 'piala', 'benar', 'one', 'the', 'best', 'moment', 'life']</t>
  </si>
  <si>
    <t>Siapa yang kemarin koar-koar? "Prancis juara, Argentina sepele."  https://t.co/5ha53Jk35f</t>
  </si>
  <si>
    <t>siapa yang kemarin koar koar prancis juara argentina sepele</t>
  </si>
  <si>
    <t>['siapa', 'kemarin', 'koar', 'koar', 'prancis', 'juara', 'argentina', 'sepele']</t>
  </si>
  <si>
    <t>Ini Distribusi Gelar Juara Piala Dunia 2022, Pemain Argentina Borong Gelar  https://t.co/oTxXchsrLF</t>
  </si>
  <si>
    <t>ini distribusi gelar juara piala dunia pemain argentina borong gelar</t>
  </si>
  <si>
    <t>['distribusi', 'gelar', 'juara', 'piala', 'dunia', 'pemain', 'argentina', 'borong', 'gelar']</t>
  </si>
  <si>
    <t>Argentina dah juara, tp kamu ttp juara dihati. Eya</t>
  </si>
  <si>
    <t>argentina dah juara kamu ttp juara dihati eya</t>
  </si>
  <si>
    <t>['argentina', 'dah', 'juara', 'kamu', 'ttp', 'juara', 'dihati', 'eya']</t>
  </si>
  <si>
    <t>Usai sudah üèÜ Mengisahkan banyak cerita dalam drama, semua datang dengan amunisi, optimis pulang dengan membawa misi, semua Tim adalah pemenang. Namun Juara adalah Impian  Selamat untuk ARGENTINA üá¶üá∑</t>
  </si>
  <si>
    <t>usai sudah mengisahkan banyak cerita dalam drama semua datang dengan amunisi optimis pulang dengan membawa misi semua tim adalah pemenang namun juara adalah impian selamat untuk argentina</t>
  </si>
  <si>
    <t>['usai', 'mengisahkan', 'banyak', 'cerita', 'drama', 'semua', 'datang', 'amunisi', 'optimis', 'pulang', 'membawa', 'misi', 'semua', 'tim', 'pemenang', 'juara', 'impian', 'selamat', 'argentina']</t>
  </si>
  <si>
    <t>@Nadyayufer Full Senyum Argentina Juara ü•áüèÜ</t>
  </si>
  <si>
    <t>Raih Juara Piala Dunia 2022, Ucapan Selamat untuk Argentina dan Messi Mengalir di Twitter  https://t.co/FYlMmaSmla</t>
  </si>
  <si>
    <t>raih juara piala dunia ucapan selamat untuk argentina dan messi mengalir twitter</t>
  </si>
  <si>
    <t>['raih', 'juara', 'piala', 'dunia', 'ucapan', 'selamat', 'argentina', 'messi', 'mengalir', 'twitter']</t>
  </si>
  <si>
    <t>semua berawal dari wawancara ronaldo, banyak yg disrespect sm ronaldo mgkn doain biar argentina juara, and see argentina is the winner</t>
  </si>
  <si>
    <t>semua berawal dari wawancara ronaldo banyak disrespect ronaldo mgkn doain biar argentina juara and see argentina the winner</t>
  </si>
  <si>
    <t>['semua', 'berawal', 'wawancara', 'ronaldo', 'banyak', 'disrespect', 'ronaldo', 'mgkn', 'doain', 'argentina', 'juara', 'and', 'see', 'argentina', 'the', 'winner']</t>
  </si>
  <si>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</si>
  <si>
    <t>buenos aires berpesta rosario boleh bangga pernah melahirkan putra terbaik bangsa yang terbaik selalu mendapatkan yang terbaik selamat messi selamat argentina kalian juara dunia</t>
  </si>
  <si>
    <t>['buenos', 'aires', 'berpesta', 'rosario', 'bangga', 'pernah', 'melahirkan', 'putra', 'terbaik', 'bangsa', 'terbaik', 'selalu', 'mendapatkan', 'terbaik', 'selamat', 'messi', 'selamat', 'argentina', 'kalian', 'juara', 'dunia']</t>
  </si>
  <si>
    <t>setelah melihat argentina juara dan messi namatin bola.alhamdulillah waras ndess wkwkwk.cenat cenut,kliyengan,tenggorokan kejiret,demam pun ilang.tapi besok senin</t>
  </si>
  <si>
    <t>setelah melihat argentina juara dan messi namatin bola alhamdulillah waras ndess wkwkwk cenat cenut kliyengan tenggorokan kejiret demam pun ilang tapi besok senin</t>
  </si>
  <si>
    <t>['melihat', 'argentina', 'juara', 'messi', 'namatin', 'bola', 'alhamdulillah', 'waras', 'ndess', 'wkwkwk', 'cenat', 'cenut', 'kliyengan', 'tenggorokan', 'kejiret', 'demam', 'ilang', 'besok', 'senin']</t>
  </si>
  <si>
    <t>Pada tahun 2022, tim yang dikalahkan oleh Arab Saudi di laga pertama fase grup berhasil menjadi Juara üèÜ  AFC Futsal: üáØüáµ Jepang 1 √ó 2 Arab Saudi üá∏üá¶  FIFA World Cup: üá¶üá∑ Argentina 1 √ó 2 Arab Saudi üá∏üá¶</t>
  </si>
  <si>
    <t>pada tahun tim yang dikalahkan oleh arab saudi laga pertama fase grup berhasil menjadi juara afc futsal jepang arab saudi fifa world cup argentina arab saudi</t>
  </si>
  <si>
    <t>['tahun', 'tim', 'dikalahkan', 'arab', 'saudi', 'laga', 'pertama', 'fase', 'grup', 'berhasil', 'menjadi', 'juara', 'afc', 'futsal', 'jepang', 'arab', 'saudi', 'fifa', 'world', 'cup', 'argentina', 'arab', 'saudi']</t>
  </si>
  <si>
    <t>Lionel Messi Pemain Terbaik Piala Dunia 2022 di Qatar, Argentina Juara 1   https://t.co/2FBSDE02Fr</t>
  </si>
  <si>
    <t>lionel messi pemain terbaik piala dunia qatar argentina juara</t>
  </si>
  <si>
    <t>['lionel', 'messi', 'pemain', 'terbaik', 'piala', 'dunia', 'qatar', 'argentina', 'juara']</t>
  </si>
  <si>
    <t>@YudistiraAN95 @Dooni_fir @idextratime Sebelum Alvarez main di timnas.. toro udah jadi tumpuan goal argentina saat juara copa America, juara finalissima, &amp;amp; kualifikasi pildun.. sayang di pildun dia kurang beruntung, mungkin kena mental saat lawan arab</t>
  </si>
  <si>
    <t>fir sebelum alvarez main timnas toro udah jadi tumpuan goal argentina saat juara copa america juara finalissima kualifikasi pildun sayang pildun dia kurang beruntung mungkin kena mental saat lawan arab</t>
  </si>
  <si>
    <t>['fir', 'alvarez', 'main', 'timnas', 'toro', 'udah', 'jadi', 'tumpuan', 'goal', 'argentina', 'juara', 'copa', 'america', 'juara', 'finalissima', 'kualifikasi', 'piala dunia', 'sayang', 'piala dunia', 'kurang', 'beruntung', 'mungkin', 'kena', 'mental', 'lawan', 'arab']</t>
  </si>
  <si>
    <t>Argentina juara dunia sementara jerman dan gotzenya tersingkir di fase grup xixixi</t>
  </si>
  <si>
    <t>argentina juara dunia sementara jerman dan gotzenya tersingkir fase grup xixixi</t>
  </si>
  <si>
    <t>['argentina', 'juara', 'dunia', 'jerman', 'gotzenya', 'tersingkir', 'fase', 'grup', 'xixixi']</t>
  </si>
  <si>
    <t>Argentina Vs Prancis: Selamat! Argentina Menjadi Juara Dunia 2022  https://t.co/GBaW0OO78c</t>
  </si>
  <si>
    <t>argentina prancis selamat argentina menjadi juara dunia</t>
  </si>
  <si>
    <t>['argentina', 'prancis', 'selamat', 'argentina', 'menjadi', 'juara', 'dunia']</t>
  </si>
  <si>
    <t>Argentina juara juga ajg</t>
  </si>
  <si>
    <t>argentina juara juga ajg</t>
  </si>
  <si>
    <t>['argentina', 'juara', 'ajg']</t>
  </si>
  <si>
    <t>Semenjak Pak Moh Iriawan memimpin PSSI, Messi Baru bisa merasakan Juara Piala Dunia Bersama Argentina, Sebuah Prestasi yang sangat membanggakan buat PSSI üëèüëè</t>
  </si>
  <si>
    <t>semenjak pak moh iriawan memimpin pssi messi baru bisa merasakan juara piala dunia bersama argentina sebuah prestasi yang sangat membanggakan buat pssi</t>
  </si>
  <si>
    <t>['semenjak', 'pak', 'moh', 'iriawan', 'memimpin', 'pssi', 'messi', 'baru', 'merasakan', 'juara', 'piala', 'dunia', 'bersama', 'argentina', 'sebuah', 'prestasi', 'sangat', 'membanggakan', 'buat', 'pssi']</t>
  </si>
  <si>
    <t>seneng banget rasanya pas rayain argentina juara di tongkrongan. tapi sampe rumah sedih ngelamun piala dunia udahan besok2 gaada hiburan lagi, nongkrong gabakal serame kemaren2. hiks</t>
  </si>
  <si>
    <t>seneng banget rasanya pas rayain argentina juara tongkrongan tapi sampe rumah sedih ngelamun piala dunia udahan besok gaada hiburan lagi nongkrong gabakal serame kemaren hiks</t>
  </si>
  <si>
    <t>['seneng', 'banget', 'rasanya', 'pas', 'rayain', 'argentina', 'juara', 'tongkrongan', 'sampai', 'rumah', 'sedih', 'ngelamun', 'piala', 'dunia', 'udahan', 'besok', 'gaada', 'hiburan', 'nongkrong', 'gabakal', 'serame', 'kemarin', 'hiks']</t>
  </si>
  <si>
    <t>Mac Allister bisa sombong ke temen-temennya di Brighton bisa juara dunia bareng Argentina. Juara mah bebas wkwk ü§£ #FifaWorldCup #ARG</t>
  </si>
  <si>
    <t>mac allister bisa sombong temen temennya brighton bisa juara dunia bareng argentina juara mah bebas wkwk</t>
  </si>
  <si>
    <t>['mac', 'allister', 'sombong', 'temen', 'temennya', 'brighton', 'juara', 'dunia', 'bareng', 'argentina', 'juara', 'mah', 'bebas']</t>
  </si>
  <si>
    <t>2006 juga tidak begitu baik. Saya melihat Argentina kalah adu pinalti di 8 besar. Lehmann sangat ngeri waktu itu. Foto ini adalah gol Maxi ke gawang Meksiko di babak 16. Gol terbaik di turnamen itu. Italia juara dunia setelah menang dramatis atas Prancis.  https://t.co/k9kp8ZyuDB</t>
  </si>
  <si>
    <t>juga tidak begitu baik saya melihat argentina kalah adu pinalti besar lehmann sangat ngeri waktu itu foto ini adalah gol maxi gawang meksiko babak gol terbaik turnamen itu italia juara dunia setelah menang dramatis atas prancis</t>
  </si>
  <si>
    <t>['baik', 'melihat', 'argentina', 'kalah', 'adu', 'penalti', 'besar', 'lehmann', 'sangat', 'ngeri', 'waktu', 'foto', 'gol', 'maxi', 'gawang', 'meksiko', 'babak', 'gol', 'terbaik', 'turnamen', 'italia', 'juara', 'dunia', 'menang', 'dramatis', 'atas', 'prancis']</t>
  </si>
  <si>
    <t>pengen turu tpi masih pengen liat juga tweet argentina juara</t>
  </si>
  <si>
    <t>['pengen', 'tidur', 'tpi', 'pengen', 'lihat', 'tweet', 'argentina', 'juara']</t>
  </si>
  <si>
    <t>Tidur nyenyak Argentina juara</t>
  </si>
  <si>
    <t>tidur nyenyak argentina juara</t>
  </si>
  <si>
    <t>Presiden Argentina: Kami Juara Dunia  https://t.co/RP2cAA03II</t>
  </si>
  <si>
    <t>Argentina juara malah gak bisa tidur, euphoria nya masih berasa gak abis pikir dengan drama gol yg bikin senam jantung. VAMOSSSS!!! üá¶üá∑ü•áüêê</t>
  </si>
  <si>
    <t>argentina juara malah gak bisa tidur euphoria nya masih berasa gak abis pikir dengan drama gol bikin senam jantung vamossss</t>
  </si>
  <si>
    <t>['argentina', 'juara', 'malah', 'tidur', 'euphoria', 'berasa', 'abis', 'pikir', 'drama', 'gol', 'senam', 'jantung', 'vamossss']</t>
  </si>
  <si>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</si>
  <si>
    <t>rakyat argentina berpesta buenos aires merayakan kesuksesan negaranya berhasil menjadi juara piala dunia untuk ketiga kalinya akhirnya penantian panjang selama mampu diwujudkan oleh messi dan kawan qatar greatest all time</t>
  </si>
  <si>
    <t>['rakyat', 'argentina', 'berpesta', 'buenos', 'aires', 'merayakan', 'kesuksesan', 'negaranya', 'berhasil', 'menjadi', 'juara', 'piala', 'dunia', 'ketiga', 'kalinya', 'akhirnya', 'penantian', 'panjang', 'selama', 'mampu', 'diwujudkan', 'messi', 'kawan', 'qatar', 'greatest', 'all', 'time']</t>
  </si>
  <si>
    <t>Juara Dunia yang ketiga buat Argentina, Dan Messi komplit sudah medalinya. GOAT messi</t>
  </si>
  <si>
    <t>juara dunia yang ketiga buat argentina dan messi komplit sudah medalinya goat messi</t>
  </si>
  <si>
    <t>['juara', 'dunia', 'ketiga', 'buat', 'argentina', 'messi', 'komplit', 'medalinya', 'goat', 'messi']</t>
  </si>
  <si>
    <t>@_BangFu Beneran juara lho bang Argentina. Congrats! üôå</t>
  </si>
  <si>
    <t>beneran juara lho bang argentina congrats</t>
  </si>
  <si>
    <t>['beneran', 'juara', 'lho', 'bang', 'argentina', 'congrats']</t>
  </si>
  <si>
    <t>gilak sih hari ini, pertama adek yg ikut sebuah perlombaan ke luar kota dapet juara satu, kedua argentina juara, dan yg ketiga parlay tembus bus busss. ada ga sih org yg lebih bahagia dariku? wqwqwq</t>
  </si>
  <si>
    <t>gilak sih hari ini pertama adek ikut sebuah perlombaan luar kota dapet juara satu kedua argentina juara dan ketiga parlay tembus bus busss ada sih org lebih bahagia dariku wqwqwq</t>
  </si>
  <si>
    <t>['gilak', 'hari', 'pertama', 'adek', 'ikut', 'sebuah', 'perlombaan', 'luar', 'kota', 'dapat', 'juara', 'satu', 'kedua', 'argentina', 'juara', 'ketiga', 'parlay', 'tembus', 'bus', 'busss', 'org', 'lebih', 'bahagia', 'dariku', 'wqwqwq']</t>
  </si>
  <si>
    <t>Seluruh pemain timnas Argentina akan tampil di acara Dahsyatnya Juara Piala Dunia yg akan dipandu oleh Raffi Ahmad dan Luna Maya</t>
  </si>
  <si>
    <t>seluruh pemain timnas argentina akan tampil acara dahsyatnya juara piala dunia akan dipandu oleh raffi ahmad dan luna maya</t>
  </si>
  <si>
    <t>['seluruh', 'pemain', 'timnas', 'argentina', 'tampil', 'acara', 'dahsyatnya', 'juara', 'piala', 'dunia', 'dipandu', 'raffi', 'ahmad', 'luna', 'maya']</t>
  </si>
  <si>
    <t>Malem ini kita stel kompor duluüëª bahagia banget Argentina Juara Piala Dunia ‚ò∫Ô∏è‚ò∫Ô∏è‚ò∫Ô∏è  https://t.co/c4bDkgMOSi</t>
  </si>
  <si>
    <t>malem ini kita stel kompor dulu bahagia banget argentina juara piala dunia</t>
  </si>
  <si>
    <t>['malem', 'stel', 'kompor', 'dulu', 'bahagia', 'banget', 'argentina', 'juara', 'piala', 'dunia']</t>
  </si>
  <si>
    <t>@CNNIndonesia Argentina menang adu pinalty bukan hal yg membanggakan prancis tetap jdi juara brthan di piala dunia yg jarang kalah menang pinalty membuktikan prancis emang juara brthan dunia yg jarang kalah bru x nich klah adu pinalty krn argentina berunt</t>
  </si>
  <si>
    <t>argentina menang adu pinalty bukan hal membanggakan prancis tetap jdi juara brthan piala dunia jarang kalah menang pinalty membuktikan prancis emang juara brthan dunia jarang kalah bru nich klah adu pinalty krn argentina berunt</t>
  </si>
  <si>
    <t>['argentina', 'menang', 'adu', 'pinalty', 'bukan', 'membanggakan', 'prancis', 'tetap', 'jdi', 'juara', 'brthan', 'piala', 'dunia', 'jarang', 'kalah', 'menang', 'pinalty', 'membuktikan', 'prancis', 'emang', 'juara', 'brthan', 'dunia', 'jarang', 'kalah', 'bru', 'nich', 'klah', 'adu', 'pinalty', 'argentina', 'berunt']</t>
  </si>
  <si>
    <t>&lt;FreqDist with 21 samples and 32 outcomes&gt;</t>
  </si>
  <si>
    <t>ARGENTINA JUARA PIALA DUNIA, WAKTUNYA NANGISIN CWKKU MULET üò≠üò≠üò≠üò≠üò≠üò≠üò≠üò≠üò≠üò≠üò≠üò≠</t>
  </si>
  <si>
    <t>argentina juara piala dunia waktunya nangisin cwkku mulet</t>
  </si>
  <si>
    <t>['argentina', 'juara', 'piala', 'dunia', 'waktunya', 'nangisin', 'cwkku', 'mulet']</t>
  </si>
  <si>
    <t>"aku nanti mau nonton final." "wih udh final aja. mana sama mana?" "prancis sama argentina." "argentina tar menang." "ngga lah. prancis! semalem kroasia menang juara 3 tapi dia tim doa ibu."  [HAHAHAHA KAANNNN!!]</t>
  </si>
  <si>
    <t>aku nanti mau nonton final wih udh final aja mana sama mana prancis sama argentina argentina tar menang ngga lah prancis semalem kroasia menang juara tapi dia tim doa ibu hahahaha kaannnn</t>
  </si>
  <si>
    <t>['aku', 'mau', 'nonton', 'final', 'wih', 'sudah', 'final', 'mana', 'sama', 'mana', 'prancis', 'sama', 'argentina', 'argentina', 'tar', 'menang', 'ngga', 'lah', 'prancis', 'semalam', 'kroasia', 'menang', 'juara', 'tim', 'doa', 'ibu', 'hahahaha', 'kaannnn']</t>
  </si>
  <si>
    <t>Selamat untuk Argentina dan Messi atas capaiannya sbg Juara Piala Dunia 2022!  #GOATìÉµ  https://t.co/Y8GDhzasag</t>
  </si>
  <si>
    <t>selamat untuk argentina dan messi atas capaiannya sbg juara piala dunia</t>
  </si>
  <si>
    <t>['selamat', 'argentina', 'messi', 'atas', 'capaiannya', 'sbg', 'juara', 'piala', 'dunia']</t>
  </si>
  <si>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</si>
  <si>
    <t>selain minions gua pernah sedeg seharu tadi pas argentina juara gua intens ngikutin bola gua tau messi dari kecil pas denger ini last dance dia auto pengen dia juara akhirnya terkabul semoga minions mengikuti jejaknya dlm memenangkan juara major event</t>
  </si>
  <si>
    <t>['minions', 'gua', 'pernah', 'sedeg', 'seharu', 'tadi', 'pas', 'argentina', 'juara', 'gua', 'intens', 'ngikutin', 'bola', 'gua', 'messi', 'kecil', 'pas', 'denger', 'last', 'dance', 'auto', 'pengen', 'juara', 'akhirnya', 'terkabul', 'semoga', 'minions', 'mengikuti', 'jejaknya', 'dlm', 'memenangkan', 'juara', 'major', 'event']</t>
  </si>
  <si>
    <t>Berhenti coli dulu, argentina juaraüá¶üá∑üá¶üá∑üá¶üá∑üá¶üá∑üá¶üá∑üá¶üá∑üá¶üá∑</t>
  </si>
  <si>
    <t>berhenti coli dulu argentina juara</t>
  </si>
  <si>
    <t>['berhenti', 'coli', 'dulu', 'argentina', 'juara']</t>
  </si>
  <si>
    <t>Dendam Terbalas, Argentina Rebut Gelar Juara Piala Dunia 2022 dari Perancis Messi Akhiri Pensiun Sukacita  https://t.co/cjwESfAaHU</t>
  </si>
  <si>
    <t>dendam terbalas argentina rebut gelar juara piala dunia dari perancis messi akhiri pensiun sukacita</t>
  </si>
  <si>
    <t>['dendam', 'terbalas', 'argentina', 'rebut', 'gelar', 'juara', 'piala', 'dunia', 'perancis', 'messi', 'akhiri', 'pensiun', 'sukacita']</t>
  </si>
  <si>
    <t>Respect buat Argentina juara piala dunia 2022üëè</t>
  </si>
  <si>
    <t>respect buat argentina juara piala dunia</t>
  </si>
  <si>
    <t>['respect', 'buat', 'argentina', 'juara', 'piala', 'dunia']</t>
  </si>
  <si>
    <t>Hari ini full senyum Argentina juara, eh hoki akhir tahun kepake juga grgr di repost @alexasaffira üòÇüòÇ  https://t.co/6lpdE3gdHE</t>
  </si>
  <si>
    <t>hari ini full senyum argentina juara hoki akhir tahun kepake juga grgr repost</t>
  </si>
  <si>
    <t>['hari', 'full', 'senyum', 'argentina', 'juara', 'hoki', 'akhir', 'tahun', 'kepake', 'grgr', 'repost']</t>
  </si>
  <si>
    <t>oiya disatu sisi seneng banget liat messi dan argentina juara piala dunia,tapi di sisi lain sedih juga tahun ini gadapet cewe yg sena incer,gpp gpp GG messi</t>
  </si>
  <si>
    <t>oiya disatu sisi seneng banget liat messi dan argentina juara piala dunia tapi sisi lain sedih juga tahun ini gadapet cewe sena incer gpp gpp messi</t>
  </si>
  <si>
    <t>['oiya', 'disatu', 'sisi', 'seneng', 'banget', 'lihat', 'messi', 'argentina', 'juara', 'piala', 'dunia', 'sisi', 'sedih', 'tahun', 'gadapet', 'cewe', 'sena', 'incer', 'gapapa', 'gapapa', 'messi']</t>
  </si>
  <si>
    <t>gapapa rungkad yang penting argentina juara</t>
  </si>
  <si>
    <t>['gapapa', 'rungkad', 'penting', 'argentina', 'juara']</t>
  </si>
  <si>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</si>
  <si>
    <t>ibarat orang meninggal messi ini husnul khatimah dia mengakhiri karir internasionalnya bersama argentina dengan indah dengan meraih semua trofi level negara juara piala dunia juara olimpiade juara copa america juara piala dunia greatest all time</t>
  </si>
  <si>
    <t>['ibarat', 'orang', 'meninggal', 'messi', 'husnul', 'khatimah', 'mengakhiri', 'karir', 'internasionalnya', 'bersama', 'argentina', 'indah', 'meraih', 'semua', 'trofi', 'level', 'negara', 'juara', 'piala', 'dunia', 'juara', 'olimpiade', 'juara', 'copa', 'america', 'juara', 'piala', 'dunia', 'greatest', 'all', 'time']</t>
  </si>
  <si>
    <t>Masih ga nyangka Argentina juara Piala Dunia üò≠üò≠üò≠üá¶üá∑üá¶üá∑üá¶üá∑</t>
  </si>
  <si>
    <t>masih nyangka argentina juara piala dunia</t>
  </si>
  <si>
    <t>['nyangka', 'argentina', 'juara', 'piala', 'dunia']</t>
  </si>
  <si>
    <t>@idextratime Dari tadi yang gue pikirin pas Argentina juara tweet lu yang begini nih...</t>
  </si>
  <si>
    <t>dari tadi yang gue pikirin pas argentina juara tweet yang begini nih</t>
  </si>
  <si>
    <t>['tadi', 'gue', 'pikirin', 'pas', 'argentina', 'juara', 'tweet', 'begini']</t>
  </si>
  <si>
    <t>Vamos, vamos Argentina! La Albiceleste adalah juara #WorldCup 2022 Anda! üèÜüá¶üá∑  Lionel Messi dan rekan. memberikan segalanya untuk akhirnya mendapatkan trofi yang sangat didambakan ini! Mantap.  #Selecci√≥nMayor  https://t.co/cuHjbybuo8</t>
  </si>
  <si>
    <t>vamos vamos argentina albiceleste adalah juara anda lionel messi dan rekan memberikan segalanya untuk akhirnya mendapatkan trofi yang sangat didambakan ini mantap nmayor</t>
  </si>
  <si>
    <t>['vamos', 'vamos', 'argentina', 'albiceleste', 'juara', 'lionel', 'messi', 'rekan', 'memberikan', 'segalanya', 'akhirnya', 'mendapatkan', 'trofi', 'sangat', 'didambakan', 'mantap', 'nmayor']</t>
  </si>
  <si>
    <t>Nonton bola disamping orang yang ngomongin tentang settingan, mafia dan politik gaenak bgt yaa. Argentina layak Juara Dunia ‚≠êÔ∏è‚≠êÔ∏è‚≠êÔ∏è</t>
  </si>
  <si>
    <t>nonton bola disamping orang yang ngomongin tentang settingan mafia dan politik gaenak bgt yaa argentina layak juara dunia</t>
  </si>
  <si>
    <t>['nonton', 'bola', 'disamping', 'orang', 'ngomongin', 'settingan', 'mafia', 'politik', 'gaenak', 'banget', 'ya', 'argentina', 'layak', 'juara', 'dunia']</t>
  </si>
  <si>
    <t>@Dennysiregar7 Argentina menang krn kbtulan saja di thn 2022 lawan ale bolak balik kalah dg prancis menang adu pinalty bukan kebnggaan mutlak kcuali menang 2x45menit bru boleh bngga mesi argentina jdi juara piala dunia 2022 krn lgi beruntung aja paling2 t</t>
  </si>
  <si>
    <t>argentina menang krn kbtulan saja thn lawan ale bolak balik kalah prancis menang adu pinalty bukan kebnggaan mutlak kcuali menang menit bru boleh bngga mesi argentina jdi juara piala dunia krn lgi beruntung aja paling</t>
  </si>
  <si>
    <t>['argentina', 'menang', 'kbtulan', 'thn', 'lawan', 'ale', 'bolak', 'balik', 'kalah', 'prancis', 'menang', 'adu', 'pinalty', 'bukan', 'kebnggaan', 'mutlak', 'kcuali', 'menang', 'menit', 'bru', 'bngga', 'mesi', 'argentina', 'jdi', 'juara', 'piala', 'dunia', 'lgi', 'beruntung', 'paling']</t>
  </si>
  <si>
    <t>Argentina Juara, Begini Kemeriahan Nobar Piala Dunia di Aceh Barat  https://t.co/K9r9isablN via @acehkita  https://t.co/XPpSc26Dfv</t>
  </si>
  <si>
    <t>argentina juara begini kemeriahan nobar piala dunia aceh barat via</t>
  </si>
  <si>
    <t>['argentina', 'juara', 'begini', 'kemeriahan', 'nonton bareng', 'piala', 'dunia', 'aceh', 'barat', 'via']</t>
  </si>
  <si>
    <t>Argentina Juara, Begini Kemeriahan Nobar Piala Dunia di Aceh Barat  https://t.co/eeONCaxvhj  https://t.co/6ef0mZXAKU</t>
  </si>
  <si>
    <t>argentina juara begini kemeriahan nobar piala dunia aceh barat</t>
  </si>
  <si>
    <t>['argentina', 'juara', 'begini', 'kemeriahan', 'nonton bareng', 'piala', 'dunia', 'aceh', 'barat']</t>
  </si>
  <si>
    <t>@lord_robi @gakadagunanya_ @FaktaSepakbola Sebelum Messi Juara dunia juga Argentina juga udah juara dunia bang. Portugal mah kek tim hore, juara euro juga itu termasuknya keajaiban</t>
  </si>
  <si>
    <t>robi sebelum messi juara dunia juga argentina juga udah juara dunia bang portugal mah kek tim hore juara euro juga itu termasuknya keajaiban</t>
  </si>
  <si>
    <t>['robi', 'messi', 'juara', 'dunia', 'argentina', 'udah', 'juara', 'dunia', 'bang', 'portugal', 'mah', 'kek', 'tim', 'hore', 'juara', 'euro', 'termasuknya', 'keajaiban']</t>
  </si>
  <si>
    <t>@hunaefiii @idextratime akwokwok</t>
  </si>
  <si>
    <t>akwokwok</t>
  </si>
  <si>
    <t>['akwokwok']</t>
  </si>
  <si>
    <t>Fans CR7, tapi ga sampai ngebenci Messi, apalagi argentina. Final World Cup Qatar 2022 menampilkan pertandingan seru, keren, bikin senam jantung. Siapapun pantas juara diantara mereka (France Vs Argentina).</t>
  </si>
  <si>
    <t>fans tapi sampai ngebenci messi apalagi argentina final world cup qatar menampilkan pertandingan seru keren bikin senam jantung siapapun pantas juara diantara mereka france argentina</t>
  </si>
  <si>
    <t>['fans', 'ngebenci', 'messi', 'argentina', 'final', 'world', 'cup', 'qatar', 'menampilkan', 'pertandingan', 'seru', 'keren', 'senam', 'jantung', 'siapapun', 'pantas', 'juara', 'diantara', 'france', 'argentina']</t>
  </si>
  <si>
    <t>@pantungalimar Pantes Argentina juara, ternyata disaksikan langsung sama ketua</t>
  </si>
  <si>
    <t>pantes argentina juara ternyata disaksikan langsung sama ketua</t>
  </si>
  <si>
    <t>['pantes', 'argentina', 'juara', 'ternyata', 'disaksikan', 'langsung', 'sama', 'ketua']</t>
  </si>
  <si>
    <t>Hattrick Mbappe Tak Mampu Bendung Pembuktian GOAT Messi, Argentina Juara!  https://t.co/gKlUjUNN2h</t>
  </si>
  <si>
    <t>hattrick mbappe tak mampu bendung pembuktian goat messi argentina juara</t>
  </si>
  <si>
    <t>['hattrick', 'mbappe', 'tak', 'mampu', 'bendung', 'pembuktian', 'goat', 'messi', 'argentina', 'juara']</t>
  </si>
  <si>
    <t>beruntung banget orang2 yang nonton fifa wc langsung di qatar terus liat argentina juara</t>
  </si>
  <si>
    <t>beruntung banget orang yang nonton fifa langsung qatar terus liat argentina juara</t>
  </si>
  <si>
    <t>['beruntung', 'banget', 'orang', 'nonton', 'fifa', 'langsung', 'qatar', 'terus', 'lihat', 'argentina', 'juara']</t>
  </si>
  <si>
    <t>Statistik dan Drama Warnai Argentina Juara Piala Dunia Qatar 2022  https://t.co/bgVFqojM8B lewat @WartaKepri.co.id</t>
  </si>
  <si>
    <t>statistik dan drama warnai argentina juara piala dunia qatar lewat</t>
  </si>
  <si>
    <t>['statistik', 'drama', 'warnai', 'argentina', 'juara', 'piala', 'dunia', 'qatar', 'lewat']</t>
  </si>
  <si>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</si>
  <si>
    <t>bapak kasih namaku diego karena bapak suka diego maradona jersey pertamaku adalah gabriel batistuta nomor timnas argentina piala dunia akhirnya aku dan bapak bisa melihat argentina juara dunia bersama sama</t>
  </si>
  <si>
    <t>['bapak', 'kasih', 'namaku', 'diego', 'bapak', 'suka', 'diego', 'maradona', 'jersey', 'pertamaku', 'gabriel', 'batistuta', 'nomor', 'timnas', 'argentina', 'piala', 'dunia', 'akhirnya', 'aku', 'bapak', 'melihat', 'argentina', 'juara', 'dunia', 'bersama', 'sama']</t>
  </si>
  <si>
    <t>Tidur dari sore, bangun2 argentina udah jadi juara, mileapo udah ada video baru aja #FallforYouFHxMileApo</t>
  </si>
  <si>
    <t>tidur dari sore bangun argentina udah jadi juara mileapo udah ada video baru aja</t>
  </si>
  <si>
    <t>['tidur', 'sore', 'bangun', 'argentina', 'udah', 'jadi', 'juara', 'mileapo', 'udah', 'video', 'baru']</t>
  </si>
  <si>
    <t>Argentina juara Piala Dunia 2022.  #mediapermata #BeritaBrunei #sukan #Argentina #juara #pialadunia #Qatar #piala   https://t.co/mIEubWRhke</t>
  </si>
  <si>
    <t>Akhirnya #Argentina juara Goat LM10</t>
  </si>
  <si>
    <t>akhirnya juara goat</t>
  </si>
  <si>
    <t>['akhirnya', 'juara', 'goat']</t>
  </si>
  <si>
    <t>@septemberendsss @realmadridindo1 Jadi selama ini mungkin karena terlalu gendong Barca jadinya Messi udh memble pas main di turnamen timnas akhir musim. Dan seperti kata mimin, keluar dari Barca bisa dapat 2 gelar juara ama timnas Argentina</t>
  </si>
  <si>
    <t>jadi selama ini mungkin karena terlalu gendong barca jadinya messi udh memble pas main turnamen timnas akhir musim dan seperti kata mimin keluar dari barca bisa dapat gelar juara ama timnas argentina</t>
  </si>
  <si>
    <t>['jadi', 'selama', 'mungkin', 'terlalu', 'gendong', 'barca', 'jadinya', 'messi', 'sudah', 'memble', 'pas', 'main', 'turnamen', 'timnas', 'akhir', 'musim', 'kata', 'mimin', 'keluar', 'barca', 'gelar', 'juara', 'ama', 'timnas', 'argentina']</t>
  </si>
  <si>
    <t>@ShoyouHinata25 @FansNerazzurri Harusnya prancis yg juara, Argentina ketolong g  punya pemain ac.milan üò¨</t>
  </si>
  <si>
    <t>harusnya prancis juara argentina ketolong punya pemain milan</t>
  </si>
  <si>
    <t>['harusnya', 'prancis', 'juara', 'argentina', 'ketolong', 'punya', 'pemain', 'milan']</t>
  </si>
  <si>
    <t>Semoga PSM Makassar ketularan Juara Liga untuk musim ini.. üòá</t>
  </si>
  <si>
    <t>semoga psm makassar ketularan juara liga untuk musim ini</t>
  </si>
  <si>
    <t>['semoga', 'psm', 'makassar', 'ketularan', 'juara', 'liga', 'musim']</t>
  </si>
  <si>
    <t>Lionel Scaloni membuktikan usia bukan halangan membawa Argentina juara Piala Dunia 2022. Dia baru saja mengikuti jejak Cesar Luis Menotti. Apa itu?  https://t.co/xkBZIbqbpk</t>
  </si>
  <si>
    <t>@MythiaVTuber Wow... Miti meramalkan Argentina bakal jadi Juara World Cup 2022 kah ? Mantab Miti. Selamat untuk Argentina dan Miti.</t>
  </si>
  <si>
    <t>wow miti meramalkan argentina bakal jadi juara world cup kah mantab miti selamat untuk argentina dan miti</t>
  </si>
  <si>
    <t>['wow', 'miti', 'meramalkan', 'argentina', 'bakal', 'jadi', 'juara', 'world', 'cup', 'mantab', 'miti', 'selamat', 'argentina', 'miti']</t>
  </si>
  <si>
    <t>Selamat Argentina telah menjadi juara dunia, FIFA world cup 2022 Qatar.  https://t.co/ZLhasvdr3b</t>
  </si>
  <si>
    <t>selamat argentina telah menjadi juara dunia fifa world cup qatar</t>
  </si>
  <si>
    <t>['selamat', 'argentina', 'menjadi', 'juara', 'dunia', 'fifa', 'world', 'cup', 'qatar']</t>
  </si>
  <si>
    <t>Lionel Scaloni membuktikan usia bukan halangan membawa Argentina juara Piala Dunia 2022. Dia baru saja mengikuti jejak Cesar Luis Menotti. Apa itu?  https://t.co/gCzeYp5zuq</t>
  </si>
  <si>
    <t>Yang bilang Argentina juara udah disetting itu yang pada iri dan sakit hati karena jagoannya udah pulang duluan üòÜ</t>
  </si>
  <si>
    <t>yang bilang argentina juara udah disetting itu yang pada iri dan sakit hati karena jagoannya udah pulang duluan</t>
  </si>
  <si>
    <t>['argentina', 'juara', 'udah', 'disetting', 'iri', 'sakit', 'hati', 'jagoannya', 'udah', 'pulang', 'duluan']</t>
  </si>
  <si>
    <t>argentina juara dan aku tetap ditinggal nikah</t>
  </si>
  <si>
    <t>['argentina', 'juara', 'aku', 'tetap', 'ditinggal', 'nikah']</t>
  </si>
  <si>
    <t>Kalahkan Prancis Lewat Drama Adu Penalti, Argentina Juara Dunia 2022  https://t.co/o0NO9qSHGJ</t>
  </si>
  <si>
    <t>kalahkan prancis lewat drama adu penalti argentina juara dunia</t>
  </si>
  <si>
    <t>['kalahkan', 'prancis', 'lewat', 'drama', 'adu', 'penalti', 'argentina', 'juara', 'dunia']</t>
  </si>
  <si>
    <t>Berapa Kali Argentina Juara Piala Dunia? Berikut Catatan Perjalanan Argentina di Piala Dunia  https://t.co/Ro8OYcrIXd</t>
  </si>
  <si>
    <t>berapa kali argentina juara piala dunia berikut catatan perjalanan argentina piala dunia</t>
  </si>
  <si>
    <t>['berapa', 'kali', 'argentina', 'juara', 'piala', 'dunia', 'berikut', 'catatan', 'perjalanan', 'argentina', 'piala', 'dunia']</t>
  </si>
  <si>
    <t>Lionel Scaloni membuktikan usia bukan halangan membawa Argentina juara Piala Dunia 2022. Dia baru saja mengikuti jejak Cesar Luis Menotti. Apa itu?  https://t.co/xkBZIb82bc</t>
  </si>
  <si>
    <t>Vamoss Argentina  Akhirnya Impian mu Juara Dunia tercapai Idola #LeoMessi  https://t.co/3C9UusKnru</t>
  </si>
  <si>
    <t>vamoss argentina akhirnya impian juara dunia tercapai idola</t>
  </si>
  <si>
    <t>['vamoss', 'argentina', 'akhirnya', 'impian', 'juara', 'dunia', 'tercapai', 'idola']</t>
  </si>
  <si>
    <t>untung w gajadi pake jersey argentina, kalo ga w gatau apa yang bakalan terjadi, mungkin gajadi juaraüò≠</t>
  </si>
  <si>
    <t>untung gajadi pake jersey argentina kalo gatau apa yang bakalan terjadi mungkin gajadi juara</t>
  </si>
  <si>
    <t>['untung', 'gajadi', 'pake', 'jersey', 'argentina', 'gatau', 'apa', 'bakalan', 'terjadi', 'mungkin', 'gajadi', 'juara']</t>
  </si>
  <si>
    <t>Semua bukan tanpa impression yang hanya bisa didapatkan, tapi mental juara mana yg lebih hebat itu adalah pembuktian yg ada.. Terimakasih France Vs Argentina, hiburan terbaik dalam permainan akhir tahun ini.. Walau kalah aku tetap Le Blues, dari France dari SMP dulu..</t>
  </si>
  <si>
    <t>semua bukan tanpa impression yang hanya bisa didapatkan tapi mental juara mana lebih hebat itu adalah pembuktian ada terimakasih france argentina hiburan terbaik dalam permainan akhir tahun ini walau kalah aku tetap blues dari france dari smp dulu</t>
  </si>
  <si>
    <t>['semua', 'bukan', 'impression', 'didapatkan', 'mental', 'juara', 'mana', 'lebih', 'hebat', 'pembuktian', 'terimakasih', 'france', 'argentina', 'hiburan', 'terbaik', 'permainan', 'akhir', 'tahun', 'kalah', 'aku', 'tetap', 'blues', 'france', 'smp', 'dulu']</t>
  </si>
  <si>
    <t>@BuayaUbanan Gue dari Argentina vs Kroasia udah jagoin Argentina  Prediksiku Juara 1 Argentina Juara 2 Perancis Juara 3 Maroko ü§£ü§£ü§£</t>
  </si>
  <si>
    <t>gue dari argentina kroasia udah jagoin argentina prediksiku juara argentina juara perancis juara maroko</t>
  </si>
  <si>
    <t>['gue', 'argentina', 'kroasia', 'udah', 'jagoin', 'argentina', 'prediksiku', 'juara', 'argentina', 'juara', 'perancis', 'juara', 'maroko']</t>
  </si>
  <si>
    <t>Mayan gae penghibur argentina juara üî•üî•üíêü§ù  https://t.co/s5YZXsKKz9</t>
  </si>
  <si>
    <t>mayan gae penghibur argentina juara</t>
  </si>
  <si>
    <t>['mayan', 'gae', 'penghibur', 'argentina', 'juara']</t>
  </si>
  <si>
    <t>Ngga bisa jadi saksi Argentina juaraüòû</t>
  </si>
  <si>
    <t>ngga bisa jadi saksi argentina juara</t>
  </si>
  <si>
    <t>['ngga', 'jadi', 'saksi', 'argentina', 'juara']</t>
  </si>
  <si>
    <t>Cewek2 jagoin argentina jadi juara Piala Dunia karena Messi dan Pemainnya ganteng. Ngaku gak lo hey</t>
  </si>
  <si>
    <t>cewek jagoin argentina jadi juara piala dunia karena messi dan pemainnya ganteng ngaku gak hey</t>
  </si>
  <si>
    <t>['cewek', 'jagoin', 'argentina', 'jadi', 'juara', 'piala', 'dunia', 'messi', 'pemainnya', 'ganteng', 'ngaku', 'hey']</t>
  </si>
  <si>
    <t>kangenband x argentina anjayyy : kamu dimana.. dengan siapa.. semalam argentina juaraüôè  https://t.co/yRyAyMgnxa</t>
  </si>
  <si>
    <t>kangenband argentina anjayyy kamu dimana dengan siapa semalam argentina juara</t>
  </si>
  <si>
    <t>['kangenband', 'argentina', 'anjayyy', 'kamu', 'siapa', 'semalam', 'argentina', 'juara']</t>
  </si>
  <si>
    <t>Argentina Juara Piala Dunia FIFA 2022, Menyambut Hari Natal Dan Tahun Baru 2023,  Crystal138 event setiap hari gratis, Lucky Wheel, Untuk mendapatkan tiket GRATIS, #crystal138 #sbobet #pragmatic #pgsoft #jokerslot #habanero #bojal #slotgame #JPpaus #2023  https://t.co/Fv8OPOVlYH</t>
  </si>
  <si>
    <t>Aku jagoib Argentina Juara Dunia. Meskipun suami n temen2 pada france. Hahahah pengen ketawa takut dosa</t>
  </si>
  <si>
    <t>aku jagoib argentina juara dunia meskipun suami temen pada france hahahah pengen ketawa takut dosa</t>
  </si>
  <si>
    <t>['aku', 'jagoib', 'argentina', 'juara', 'dunia', 'meskipun', 'suami', 'temen', 'france', 'hahahah', 'pengen', 'ketawa', 'takut', 'dosa']</t>
  </si>
  <si>
    <t>Benerkan. Buktinya skrg argentina juara. Di bilangin ngeyel sih</t>
  </si>
  <si>
    <t>benerkan buktinya skrg argentina juara bilangin ngeyel sih</t>
  </si>
  <si>
    <t>['benerkan', 'buktinya', 'skrg', 'argentina', 'juara', 'bilangin', 'ngeyel']</t>
  </si>
  <si>
    <t>Warga Kavling Agraria Nonton Bareng Ketika ARGENTINA Juara Piala Dunia 2022  https://t.co/l5ET5YGCYh via @YouTube</t>
  </si>
  <si>
    <t>warga kavling agraria nonton bareng ketika argentina juara piala dunia via</t>
  </si>
  <si>
    <t>['warga', 'kavling', 'agraria', 'nonton', 'bareng', 'argentina', 'juara', 'piala', 'dunia', 'via']</t>
  </si>
  <si>
    <t>Menang atau kalah prancis tetap juara,selamat buat argentina,mata merah besok senin apesss</t>
  </si>
  <si>
    <t>menang atau kalah prancis tetap juara selamat buat argentina mata merah besok senin apesss</t>
  </si>
  <si>
    <t>['menang', 'kalah', 'prancis', 'tetap', 'juara', 'selamat', 'buat', 'argentina', 'mata', 'merah', 'besok', 'senin', 'apesss']</t>
  </si>
  <si>
    <t>Jadi tadi otw ke malang brenti dulu di warkop daerah sidoarjo cuma mau nntn bola. Hmm sebelahan sm bapak" bau kelek tp gpp. Tetep argentina juara!</t>
  </si>
  <si>
    <t>jadi tadi otw malang brenti dulu warkop daerah sidoarjo cuma mau nntn bola hmm sebelahan bapak bau kelek gpp tetep argentina juara</t>
  </si>
  <si>
    <t>['jadi', 'tadi', 'on the way', 'malang', 'brenti', 'dulu', 'warkop', 'daerah', 'sidoarjo', 'cuma', 'mau', 'nonton', 'bola', 'hmm', 'sebelahan', 'bapak', 'bau', 'kelek', 'gapapa', 'tetep', 'argentina', 'juara']</t>
  </si>
  <si>
    <t>Warga Kavling Agraria Nonton Bareng Ketika ARGENTINA Juara Piala Dunia 2022  https://t.co/maT6QNjOJ2 via @YouTube</t>
  </si>
  <si>
    <t>Argentina Sabet Piala Dunia 2022, Kami Pantas Juara!  https://t.co/HVFWtkOMTB  @bhp_semarang #BeritaTerkini #news #BreakingNew #sports #WorldCup2022 #sport #soccer #football #Argentina #Berita #bola #sepakbola #MessiìÉµ #Argentina #PialaDunia2022 #hotnews #LionelMessiìÉµ</t>
  </si>
  <si>
    <t>argentina sabet piala dunia kami pantas juara semarang</t>
  </si>
  <si>
    <t>['argentina', 'sabet', 'piala', 'dunia', 'pantas', 'juara', 'semarang']</t>
  </si>
  <si>
    <t>@kitashirn Gabisa bobo, terlalu senang Argentina juara world cup</t>
  </si>
  <si>
    <t>gabisa bobo terlalu senang argentina juara world cup</t>
  </si>
  <si>
    <t>['gabisa', 'bobo', 'terlalu', 'senang', 'argentina', 'juara', 'world', 'cup']</t>
  </si>
  <si>
    <t>Juara piala dunia.2022  Argentina üëèüëèüëèüëèüëè  https://t.co/tQfmXO36SQ</t>
  </si>
  <si>
    <t>Argentina Juara Piala Dunia 2022!  https://t.co/WgI7tNnewl   @bhp_semarang #BeritaTerkini #news #BreakingNew #sports #WorldCup2022 #sport #soccer #football #Argentina #Berita #bola #sepakbola #MessiìÉµ #Argentina #PialaDunia2022 #hotnews #LionelMessiìÉµ</t>
  </si>
  <si>
    <t>argentina juara piala dunia semarang</t>
  </si>
  <si>
    <t>['argentina', 'juara', 'piala', 'dunia', 'semarang']</t>
  </si>
  <si>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</si>
  <si>
    <t>umur merantau inggris pertama tim senior arsenal dipinjamkan sana sini baru musim terakhir dapat tempat utama arsenal aston villa akhirnya bawa arsenal juara piala bawa argentina juara copa america piala dunia congrats martinez</t>
  </si>
  <si>
    <t>['umur', 'merantau', 'inggris', 'pertama', 'tim', 'senior', 'arsenal', 'dipinjamkan', 'sana', 'sini', 'baru', 'musim', 'terakhir', 'tempat', 'utama', 'arsenal', 'aston', 'villa', 'akhirnya', 'bawa', 'arsenal', 'juara', 'piala', 'bawa', 'argentina', 'juara', 'copa', 'america', 'piala', 'dunia', 'congrats', 'martinez']</t>
  </si>
  <si>
    <t>Argentina Juara Piala Dunia 2022, Akhiri Penantian 36 Tahun  https://t.co/oq6v436GDi   @bhp_semarang #BeritaTerkini #news #BreakingNew #sports #WorldCup2022 #sport #soccer #football #Argentina #Berita #bola #sepakbola #MessiìÉµ #Argentina #PialaDunia2022 #hotnews #LionelMessiìÉµ</t>
  </si>
  <si>
    <t>argentina juara piala dunia akhiri penantian tahun semarang</t>
  </si>
  <si>
    <t>['argentina', 'juara', 'piala', 'dunia', 'akhiri', 'penantian', 'tahun', 'semarang']</t>
  </si>
  <si>
    <t>Prancis atau Argentina pemenangnya, Di hatiku tetep kamu yang juara</t>
  </si>
  <si>
    <t>prancis atau argentina pemenangnya hatiku tetep kamu yang juara</t>
  </si>
  <si>
    <t>['prancis', 'argentina', 'pemenangnya', 'hatiku', 'tetep', 'kamu', 'juara']</t>
  </si>
  <si>
    <t>masio Argentina juara, Messi entuk Pildun. kamu tetep yg terbaik untukku ‚ù§Ô∏è hilihhh hilih</t>
  </si>
  <si>
    <t>masio argentina juara messi entuk pildun kamu tetep terbaik untukku hilihhh hilih</t>
  </si>
  <si>
    <t>['masio', 'argentina', 'juara', 'messi', 'entuk', 'piala dunia', 'kamu', 'tetep', 'terbaik', 'untukku', 'hilihhh', 'hilih']</t>
  </si>
  <si>
    <t>Argentina Juara Piala Dunia 2022, Messi Terpilih sebagai Pemain Terbaik  https://t.co/cLcJl2B35e   @bhp_semarang #bhpsemarang #KumhamPasti #BeritaTerkini #news #BreakingNew #sports #WorldCup2022 #sport #soccer #football #Argentina #Berita #bola #sepakbola #MessiìÉµ #Argentina</t>
  </si>
  <si>
    <t>argentina juara piala dunia messi terpilih sebagai pemain terbaik semarang</t>
  </si>
  <si>
    <t>['argentina', 'juara', 'piala', 'dunia', 'messi', 'terpilih', 'pemain', 'terbaik', 'semarang']</t>
  </si>
  <si>
    <t>@dexglenniza Argentina juara di jaman ibul jadi ketum</t>
  </si>
  <si>
    <t>argentina juara jaman ibul jadi ketum</t>
  </si>
  <si>
    <t>['argentina', 'juara', 'jaman', 'ibul', 'jadi', 'ketum']</t>
  </si>
  <si>
    <t>Kapten Argentina, Lionel Messi, akhirnya bisa menyempurnakan karier dengan juara Piala Dunia 2022. Ketika mengangkat trofi, Messi begitu terlihat bahagia.  https://t.co/Hmurg57PTh</t>
  </si>
  <si>
    <t>Antar Timnas Argentina Juara Piala Dunia 2022, Lionel Messi Jadi Pemain Pertama yang Sabet 2 Penghargaan Golden Ball : Okezone Bola  https://t.co/cbnfOsdGYx</t>
  </si>
  <si>
    <t>antar timnas argentina juara piala dunia lionel messi jadi pemain pertama yang sabet penghargaan golden ball okezone bola</t>
  </si>
  <si>
    <t>['antar', 'timnas', 'argentina', 'juara', 'piala', 'dunia', 'lionel', 'messi', 'jadi', 'pemain', 'pertama', 'sabet', 'penghargaan', 'golden', 'ball', 'okezone', 'bola']</t>
  </si>
  <si>
    <t>Bravo! Argentina Juara Piala Dunia 2022  https://t.co/8hDEJYHTnh</t>
  </si>
  <si>
    <t>bravo argentina juara piala dunia</t>
  </si>
  <si>
    <t>['bravo', 'argentina', 'juara', 'piala', 'dunia']</t>
  </si>
  <si>
    <t>@just922_ Respect aseli. Masih bingung aja kenapa gak pas menang 2-0 aja udh. Argentina juara clear. Pake drama2 ujung2nya messi juga yg menang. Francis mem‚Äùbelanda‚Äùkan diri? üòÇüòÇ.</t>
  </si>
  <si>
    <t>respect aseli masih bingung aja kenapa gak pas menang aja udh argentina juara clear pake drama ujung nya messi juga menang francis mem belanda kan diri</t>
  </si>
  <si>
    <t>['respect', 'aseli', 'bingung', 'pas', 'menang', 'sudah', 'argentina', 'juara', 'clear', 'pake', 'drama', 'ujung', 'messi', 'menang', 'francis', 'mem', 'belanda', 'kan', 'diri']</t>
  </si>
  <si>
    <t>@Dennysiregar7 Argentina menang krn adu pinalty menang cemen adu pinalty koq bngga mnjijikan&amp;amp; memuakan dunia prancis juara brthan dunia patut dibnggakan dunia krn prancis slma ini jdi juara brthan dunia klah dg argentina krn klah adu pinalty bukan sua</t>
  </si>
  <si>
    <t>argentina menang krn adu pinalty menang cemen adu pinalty koq bngga mnjijikan memuakan dunia prancis juara brthan dunia patut dibnggakan dunia krn prancis slma ini jdi juara brthan dunia klah argentina krn klah adu pinalty bukan sua</t>
  </si>
  <si>
    <t>['argentina', 'menang', 'adu', 'pinalty', 'menang', 'cemen', 'adu', 'pinalty', 'koq', 'bngga', 'mnjijikan', 'memuakan', 'dunia', 'prancis', 'juara', 'brthan', 'dunia', 'patut', 'dibnggakan', 'dunia', 'prancis', 'slma', 'jdi', 'juara', 'brthan', 'dunia', 'klah', 'argentina', 'klah', 'adu', 'pinalty', 'bukan', 'sua']</t>
  </si>
  <si>
    <t>Argentina Juara dunia, Raul remos kenapa ha, semoga Jantung kalian sehat selalu</t>
  </si>
  <si>
    <t>argentina juara dunia raul remos kenapa semoga jantung kalian sehat selalu</t>
  </si>
  <si>
    <t>['argentina', 'juara', 'dunia', 'raul', 'remos', 'semoga', 'jantung', 'kalian', 'sehat', 'selalu']</t>
  </si>
  <si>
    <t>Argentina layak menang, selamat messi. Next prancis juara euro</t>
  </si>
  <si>
    <t>argentina layak menang selamat messi next prancis juara euro</t>
  </si>
  <si>
    <t>['argentina', 'layak', 'menang', 'selamat', 'messi', 'next', 'prancis', 'juara', 'euro']</t>
  </si>
  <si>
    <t>- Datang melatih Argentina yang "hancur lebur" - Dicemooh sebagai pelatih "amatiran" - Membangun ulang fondasi tim - Membawa Argentina juara Copa America - Pelatih termuda di #Qatar2022 - Sukses memfungsikan Lionel Messi dengan baik - Jadi juara #FIFAWorl</t>
  </si>
  <si>
    <t>datang melatih argentina yang hancur lebur dicemooh sebagai pelatih amatiran membangun ulang fondasi tim membawa argentina juara copa america pelatih termuda sukses memfungsikan lionel messi dengan baik jadi juara</t>
  </si>
  <si>
    <t>['datang', 'melatih', 'argentina', 'hancur', 'lebur', 'dicemooh', 'pelatih', 'amatiran', 'membangun', 'ulang', 'fondasi', 'tim', 'membawa', 'argentina', 'juara', 'copa', 'america', 'pelatih', 'termuda', 'sukses', 'memfungsikan', 'lionel', 'messi', 'baik', 'jadi', 'juara']</t>
  </si>
  <si>
    <t>Di tengah gejolak ekonomi yang sedang dialami argentina, juara piala dunia adalah sebuah kado termanis.</t>
  </si>
  <si>
    <t>tengah gejolak ekonomi yang sedang dialami argentina juara piala dunia adalah sebuah kado termanis</t>
  </si>
  <si>
    <t>['tengah', 'gejolak', 'ekonomi', 'sedang', 'dialami', 'argentina', 'juara', 'piala', 'dunia', 'sebuah', 'kado', 'termanis']</t>
  </si>
  <si>
    <t>Info konvoi argentina juara mbah.</t>
  </si>
  <si>
    <t>info konvoi argentina juara mbah</t>
  </si>
  <si>
    <t>['info', 'konvoi', 'argentina', 'juara', 'mbah']</t>
  </si>
  <si>
    <t>Gelar juara Piala Dunia kedua diraih pada tahun 1986. Artinya sudah 36 tahun sejak Argentina terakhir meraih gelar juara tersebut dan kini menjadi juara di Piala Dunia 2022.  üé• @khabib_nurmagomedov  Baca berita selengkapnya dengan klik link di bio atau di website kami</t>
  </si>
  <si>
    <t>gelar juara piala dunia kedua diraih pada tahun artinya sudah tahun sejak argentina terakhir meraih gelar juara tersebut dan kini menjadi juara piala dunia nurmagomedov baca berita selengkapnya dengan klik link bio atau website kami</t>
  </si>
  <si>
    <t>['gelar', 'juara', 'piala', 'dunia', 'kedua', 'diraih', 'tahun', 'artinya', 'tahun', 'sejak', 'argentina', 'terakhir', 'meraih', 'gelar', 'juara', 'tersebut', 'kini', 'menjadi', 'juara', 'piala', 'dunia', 'nurmagomedov', 'baca', 'berita', 'selengkapnya', 'klik', 'link', 'bio', 'website']</t>
  </si>
  <si>
    <t>Pesta juara Argentina bukan hanya milik 24 pemain yang masuk dalam daftar skuat Argentina 2022. Di situ, juga ada Kun Aguero yang mengangkat trofi.  https://t.co/Zp0wgqWGrL</t>
  </si>
  <si>
    <t>pesta juara argentina bukan hanya milik pemain yang masuk dalam daftar skuat argentina situ juga ada kun aguero yang mengangkat trofi</t>
  </si>
  <si>
    <t>['pesta', 'juara', 'argentina', 'bukan', 'milik', 'pemain', 'masuk', 'daftar', 'skuat', 'argentina', 'situ', 'kun', 'aguero', 'mengangkat', 'trofi']</t>
  </si>
  <si>
    <t>Sukses Argentina menjadi juara Piala Dunia 2022 semakin manis buat Lionel Messi. Sang megabintang turut didapuk sebagai pemain terbaik turnamen itu.  https://t.co/PyAEHQ8BV8</t>
  </si>
  <si>
    <t>Argentina mengalahkan Prancis dalam drama adu penalti dengan Skore akhir 3-3 (4-2), Argentina menjadi Juara Piala Dunia 2022 Qatar.  https://t.co/bB6mWKh0bj</t>
  </si>
  <si>
    <t>argentina mengalahkan prancis dalam drama adu penalti dengan skore akhir argentina menjadi juara piala dunia qatar</t>
  </si>
  <si>
    <t>['argentina', 'mengalahkan', 'prancis', 'drama', 'adu', 'penalti', 'skore', 'akhir', 'argentina', 'menjadi', 'juara', 'piala', 'dunia', 'qatar']</t>
  </si>
  <si>
    <t>Memang pantas Argentina Juara dan MESSI pemain terbaik dunia sepanjang masa tidak ada yg bisa menandinginyaüëëüèÜ‚ù§Ô∏è selamat @TeamMessi @Argentina @afa  https://t.co/GkVdtqhVyZ</t>
  </si>
  <si>
    <t>memang pantas argentina juara dan messi pemain terbaik dunia sepanjang masa tidak ada bisa menandinginya selamat</t>
  </si>
  <si>
    <t>['memang', 'pantas', 'argentina', 'juara', 'messi', 'pemain', 'terbaik', 'dunia', 'sepanjang', 'masa', 'menandinginya', 'selamat']</t>
  </si>
  <si>
    <t>bener kata coach justin, argentina layak juara karena efektivitas, aku padamu coach @CoachJustinL</t>
  </si>
  <si>
    <t>bener kata coach justin argentina layak juara karena efektivitas aku padamu coach</t>
  </si>
  <si>
    <t>['benar', 'kata', 'coach', 'justin', 'argentina', 'layak', 'juara', 'efektivitas', 'aku', 'padamu', 'coach']</t>
  </si>
  <si>
    <t>Argentina juara üòç  https://t.co/e2xJKr0ET4</t>
  </si>
  <si>
    <t>karena besar kemungkinan ini adalah Piala Dunia terakhirnya. Mengingat usianya yang sudah menginjak 35 tahun.  Bagi Argentina, ini adalah trofi Piala Dunia mereka yang ketiga sepanjang sejarah. Mereka jadi juara dunia untuk pertama kalinya pada tahun 1978.</t>
  </si>
  <si>
    <t>karena besar kemungkinan ini adalah piala dunia terakhirnya mengingat usianya yang sudah menginjak tahun bagi argentina ini adalah trofi piala dunia mereka yang ketiga sepanjang sejarah mereka jadi juara dunia untuk pertama kalinya pada tahun</t>
  </si>
  <si>
    <t>['besar', 'kemungkinan', 'piala', 'dunia', 'terakhirnya', 'mengingat', 'usianya', 'menginjak', 'tahun', 'argentina', 'trofi', 'piala', 'dunia', 'ketiga', 'sepanjang', 'sejarah', 'jadi', 'juara', 'dunia', 'pertama', 'kalinya', 'tahun']</t>
  </si>
  <si>
    <t>Jokowi Tinjau Rumah Contoh Tahan Gempa Di Cianjur. Raul Lemos MessiGREATEST OF ALL TIME Juara Dunia All in France Argentina Penalti Pildun Prancis Argentina Di Maria Emi Martinez WHAT A FINAL Arab Saudi WHAT A GAME #FIFAWorldCup  https://t.co/aHOnn5jXyd</t>
  </si>
  <si>
    <t>jokowi tinjau rumah contoh tahan gempa cianjur raul lemos messigreatest all time juara dunia all france argentina penalti pildun prancis argentina maria emi martinez what final arab saudi what game</t>
  </si>
  <si>
    <t>['jokowi', 'tinjau', 'rumah', 'contoh', 'tahan', 'gempa', 'cianjur', 'raul', 'lemos', 'messigreatest', 'all', 'time', 'juara', 'dunia', 'all', 'france', 'argentina', 'penalti', 'piala dunia', 'prancis', 'argentina', 'maria', 'emi', 'martinez', 'what', 'final', 'arab', 'saudi', 'what', 'game']</t>
  </si>
  <si>
    <t>DPR Apresiasi Lima Langkah Jokowi Antisipasi Resesi Tahun 2023. Raul Lemos MessiGREATEST OF ALL TIME Juara Dunia All in France Argentina Penalti Pildun Prancis Argentina Di Maria Emi Martinez WHAT A FINAL Arab Saudi WHAT A GAME #FIFAWorldCup  https://t.co/S6p1ZrWTB2</t>
  </si>
  <si>
    <t>dpr apresiasi lima langkah jokowi antisipasi resesi tahun raul lemos messigreatest all time juara dunia all france argentina penalti pildun prancis argentina maria emi martinez what final arab saudi what game</t>
  </si>
  <si>
    <t>['dpr', 'apresiasi', 'lima', 'langkah', 'jokowi', 'antisipasi', 'resesi', 'tahun', 'raul', 'lemos', 'messigreatest', 'all', 'time', 'juara', 'dunia', 'all', 'france', 'argentina', 'penalti', 'piala dunia', 'prancis', 'argentina', 'maria', 'emi', 'martinez', 'what', 'final', 'arab', 'saudi', 'what', 'game']</t>
  </si>
  <si>
    <t>Meski hari ini 2 jam lebih di buat senam jantung sama Argentina tetapi Argentina cocok banget untuk juara di fifa wc 22 ini #congratsargentina #ArgentinaVsFrance</t>
  </si>
  <si>
    <t>meski hari ini jam lebih buat senam jantung sama argentina tetapi argentina cocok banget untuk juara fifa ini</t>
  </si>
  <si>
    <t>['meski', 'hari', 'jam', 'lebih', 'buat', 'senam', 'jantung', 'sama', 'argentina', 'argentina', 'cocok', 'banget', 'juara', 'fifa']</t>
  </si>
  <si>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</si>
  <si>
    <t>dibanding final sebelumnya ini final bener seru bin gokil bener dibuat deg sampe titik penghabisan bener finalis layak main final tapi namanya hanya bisa pemenang argentina lah akhirnya layak jadi juara but still respect for france</t>
  </si>
  <si>
    <t>['dibanding', 'final', 'sebelumnya', 'final', 'benar', 'seru', 'bin', 'gila', 'benar', 'dibuat', 'deg', 'sampai', 'titik', 'penghabisan', 'benar', 'finalis', 'layak', 'main', 'final', 'namanya', 'pemenang', 'argentina', 'lah', 'akhirnya', 'layak', 'jadi', 'juara', 'but', 'still', 'respect', 'for', 'france']</t>
  </si>
  <si>
    <t>Argentina yang juara ronaldo yang kena bully ü§£</t>
  </si>
  <si>
    <t>argentina yang juara ronaldo yang kena bully</t>
  </si>
  <si>
    <t>['argentina', 'juara', 'ronaldo', 'kena', 'bully']</t>
  </si>
  <si>
    <t>@barcastuff_idn Doa Terbaik saja utk GOAT Messi. Tanggungjawab Gelar Juara bersama Timnas Argentina sdh tuntas.  1. Juara Piala Dunia U-20 2. Juara Olimpiade 3. Juara Copa America 2021 4. Juara Finalisima 2022 5. Juara World Cup 2022üôåüî•</t>
  </si>
  <si>
    <t>idn doa terbaik saja utk goat messi tanggungjawab gelar juara bersama timnas argentina sdh tuntas juara piala dunia juara olimpiade juara copa america juara finalisima juara world cup</t>
  </si>
  <si>
    <t>['idn', 'doa', 'terbaik', 'goat', 'messi', 'tanggungjawab', 'gelar', 'juara', 'bersama', 'timnas', 'argentina', 'tuntas', 'juara', 'piala', 'dunia', 'juara', 'olimpiade', 'juara', 'copa', 'america', 'juara', 'finalisima', 'juara', 'world', 'cup']</t>
  </si>
  <si>
    <t>Piala Dunia terbaik, Argentina JUARA!  https://t.co/j2eC3tQqqj</t>
  </si>
  <si>
    <t>piala dunia terbaik argentina juara</t>
  </si>
  <si>
    <t>['piala', 'dunia', 'terbaik', 'argentina', 'juara']</t>
  </si>
  <si>
    <t>Argentina Juara Piala Dunia 2022 Usai Kalahkan Prancis, Messi Pensiun Full Senyum Ronaldo Nangis   https://t.co/DllI2cedSv  Messi #Messi Juara Dunia Dybala Madrid Maradona Kolo Muani Lloris Dembele Mbappe #WorldCup2022</t>
  </si>
  <si>
    <t>argentina juara piala dunia usai kalahkan prancis messi pensiun full senyum ronaldo nangis messi juara dunia dybala madrid maradona kolo muani lloris dembele mbappe</t>
  </si>
  <si>
    <t>['argentina', 'juara', 'piala', 'dunia', 'usai', 'kalahkan', 'prancis', 'messi', 'pensiun', 'full', 'senyum', 'ronaldo', 'nangis', 'messi', 'juara', 'dunia', 'dybala', 'madrid', 'maradona', 'kolo', 'muani', 'lloris', 'dembele', 'mbappe']</t>
  </si>
  <si>
    <t>Vamos argentina, dam yedam jagoanmu juara i lo</t>
  </si>
  <si>
    <t>vamos argentina dam yedam jagoanmu juara</t>
  </si>
  <si>
    <t>['vamos', 'argentina', 'dam', 'yedam', 'jagoanmu', 'juara']</t>
  </si>
  <si>
    <t>maroko menang berkat doa ibu ARGENTINA JUARA BERKAT DOA PAUS BROO @pnggmrhsa</t>
  </si>
  <si>
    <t>maroko menang berkat doa ibu argentina juara berkat doa paus broo</t>
  </si>
  <si>
    <t>['maroko', 'menang', 'berkat', 'doa', 'ibu', 'argentina', 'juara', 'berkat', 'doa', 'paus', 'broo']</t>
  </si>
  <si>
    <t>BERBAGI CERITA TYLER UPDATE  #SahabatTyler Argentina berhasil menjadi juara dunia untuk ketiga kalinya. Tim besutan Lionel Scaloni berhasil mengalahkan Prancis dalam pertandingan yang sangat dramatis.  https://t.co/FkPJzvPl7R</t>
  </si>
  <si>
    <t>berbagi cerita tyler update argentina berhasil menjadi juara dunia untuk ketiga kalinya tim besutan lionel scaloni berhasil mengalahkan prancis dalam pertandingan yang sangat dramatis</t>
  </si>
  <si>
    <t>['berbagi', 'cerita', 'tyler', 'update', 'argentina', 'berhasil', 'menjadi', 'juara', 'dunia', 'ketiga', 'kalinya', 'tim', 'besutan', 'lionel', 'scaloni', 'berhasil', 'mengalahkan', 'prancis', 'pertandingan', 'sangat', 'dramatis']</t>
  </si>
  <si>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</si>
  <si>
    <t>mario kempes diego maradona lionel messi pemain bintang membawa argentina menjadi juara piala dunia tapi dari ketiga bintang itu tetap goat messi terbaik dengan segudang prestasinya baik diklub maupun timnas argentina greatest all time</t>
  </si>
  <si>
    <t>['mario', 'kempes', 'diego', 'maradona', 'lionel', 'messi', 'pemain', 'bintang', 'membawa', 'argentina', 'menjadi', 'juara', 'piala', 'dunia', 'ketiga', 'bintang', 'tetap', 'goat', 'messi', 'terbaik', 'segudang', 'prestasinya', 'baik', 'diklub', 'maupun', 'timnas', 'argentina', 'greatest', 'all', 'time']</t>
  </si>
  <si>
    <t>Drama Argentina Juara Piala Dunia 2022  https://t.co/HG2Wzf2FEa</t>
  </si>
  <si>
    <t>Sah! Argentina Juara Piala Dunia 2022  https://t.co/Ai08LDxQkn</t>
  </si>
  <si>
    <t>Argentina juara world cup Messi bisa pensiun dengan indah achievement udah dicapai semuanya. Di level klub juara udah banyak dan di negara udah lengkap.</t>
  </si>
  <si>
    <t>argentina juara world cup messi bisa pensiun dengan indah achievement udah dicapai semuanya level klub juara udah banyak dan negara udah lengkap</t>
  </si>
  <si>
    <t>['argentina', 'juara', 'world', 'cup', 'messi', 'pensiun', 'indah', 'achievement', 'udah', 'dicapai', 'semuanya', 'level', 'klub', 'juara', 'udah', 'banyak', 'negara', 'udah', 'lengkap']</t>
  </si>
  <si>
    <t>@budimandjatmiko Menang adu pinalty bukan hal membanggakan bagi mesi dg argentina menang 2x45menit bru menang mutlak hal.mnjijikan&amp;amp; memuakan jgn dibnggakan hrusnya bngga jdi juara piala dunia di thn 2022 di qatar dg menang 90 menit bru menang mutlak d</t>
  </si>
  <si>
    <t>menang adu pinalty bukan hal membanggakan bagi mesi argentina menang menit bru menang mutlak hal mnjijikan memuakan jgn dibnggakan hrusnya bngga jdi juara piala dunia thn qatar menang menit bru menang mutlak</t>
  </si>
  <si>
    <t>['menang', 'adu', 'pinalty', 'bukan', 'membanggakan', 'mesi', 'argentina', 'menang', 'menit', 'bru', 'menang', 'mutlak', 'mnjijikan', 'memuakan', 'dibnggakan', 'hrusnya', 'bngga', 'jdi', 'juara', 'piala', 'dunia', 'thn', 'qatar', 'menang', 'menit', 'bru', 'menang', 'mutlak']</t>
  </si>
  <si>
    <t>Mao dikata settingan kek, mao dibilang dibantu fifa kek, bodo amat! Sejarah tetap menulis dan tertulis Argentina Juara Piala Dunia 2022! #WorldCup2022 #messi</t>
  </si>
  <si>
    <t>mao dikata settingan kek mao dibilang dibantu fifa kek bodo amat sejarah tetap menulis dan tertulis argentina juara piala dunia</t>
  </si>
  <si>
    <t>['mao', 'dikata', 'settingan', 'kek', 'mao', 'dibilang', 'dibantu', 'fifa', 'kek', 'bodo', 'sejarah', 'tetap', 'menulis', 'tertulis', 'argentina', 'juara', 'piala', 'dunia']</t>
  </si>
  <si>
    <t>Presiden Argentina, Alberto Fernandez mengunggah foto Selfie bersama sang istri Fabiola Yanez dan anak di depan TV usai Argentina jadi juara Piala Dunia 2022.  https://t.co/REFd190iTu</t>
  </si>
  <si>
    <t>presiden argentina alberto fernandez mengunggah foto selfie bersama sang istri fabiola yanez dan anak depan usai argentina jadi juara piala dunia</t>
  </si>
  <si>
    <t>['presiden', 'argentina', 'alberto', 'fernandez', 'mengunggah', 'foto', 'selfie', 'bersama', 'sang', 'istri', 'fabiola', 'yanez', 'anak', 'depan', 'usai', 'argentina', 'jadi', 'juara', 'piala', 'dunia']</t>
  </si>
  <si>
    <t>Argentina juara, pendukung LORD Laotaro be like ü§≠  https://t.co/Xok9kUne4B</t>
  </si>
  <si>
    <t>argentina juara pendukung lord laotaro like</t>
  </si>
  <si>
    <t>['argentina', 'juara', 'pendukung', 'lord', 'laotaro', 'like']</t>
  </si>
  <si>
    <t>24tahun support DSAI Takla ikut perkembangan bola tapi awal worldcup aku dah habaq tok laki aku Argentina bakal juara</t>
  </si>
  <si>
    <t>tahun support dsai takla ikut perkembangan bola tapi awal worldcup aku dah habaq tok laki aku argentina bakal juara</t>
  </si>
  <si>
    <t>['tahun', 'support', 'dsai', 'takla', 'ikut', 'perkembangan', 'bola', 'awal', 'worldcup', 'aku', 'dah', 'habaq', 'tok', 'laki', 'aku', 'argentina', 'bakal', 'juara']</t>
  </si>
  <si>
    <t>Ini yg bikin gw ga suka kalo Argentina juara dunia</t>
  </si>
  <si>
    <t>ini bikin suka kalo argentina juara dunia</t>
  </si>
  <si>
    <t>['suka', 'argentina', 'juara', 'dunia']</t>
  </si>
  <si>
    <t>Argentina juara ne uwes, bahagia pol pokoe ngelingi 2002 jek cilik melu nangis ndelok batistuta nangis argentina kalah gur tekan fase grup</t>
  </si>
  <si>
    <t>argentina juara uwes bahagia pol pokoe ngelingi jek cilik melu nangis ndelok batistuta nangis argentina kalah gur tekan fase grup</t>
  </si>
  <si>
    <t>['argentina', 'juara', 'uwes', 'bahagia', 'pol', 'pokoe', 'ngelingi', 'jek', 'cilik', 'melu', 'nangis', 'ndelok', 'batistuta', 'nangis', 'argentina', 'kalah', 'gur', 'tekan', 'fase', 'grup']</t>
  </si>
  <si>
    <t>Selamat messi misi berhasil argentina juara dunia #MessiìÉµ #MessiìÉµday #Argentina #ArgentinavsPerancis #argentinajuara #pialadunia #WorldCup2022  https://t.co/MxjQRpq9yg</t>
  </si>
  <si>
    <t>selamat messi misi berhasil argentina juara dunia day</t>
  </si>
  <si>
    <t>['selamat', 'messi', 'misi', 'berhasil', 'argentina', 'juara', 'dunia', 'day']</t>
  </si>
  <si>
    <t>Argentina juara pildun??? tadi keponakan tiba2 telp buat ngomong sama bokap terus tanya "opa Argentina - Prancis? menang mana?' bokap jawab 'opa sih megang Argentina pil' padahal ga ngikutin bola dr awal gegara di indihome ga dapet siaran bolaü§£ü§£</t>
  </si>
  <si>
    <t>argentina juara pildun tadi keponakan tiba telp buat ngomong sama bokap terus tanya opa argentina prancis menang mana bokap jawab opa sih megang argentina pil padahal ngikutin bola awal gegara indihome dapet siaran bola</t>
  </si>
  <si>
    <t>['argentina', 'juara', 'piala dunia', 'tadi', 'keponakan', 'tiba', 'telp', 'buat', 'ngomong', 'sama', 'bokap', 'terus', 'tanya', 'opa', 'argentina', 'prancis', 'menang', 'mana', 'bokap', 'jawab', 'opa', 'megang', 'argentina', 'pil', 'padahal', 'ngikutin', 'bola', 'awal', 'gegara', 'indihome', 'dapat', 'siaran', 'bola']</t>
  </si>
  <si>
    <t>Hasil Argentina Vs Prancis: Argentina Menang Adu Penalti dan Jadi Juara Piala Dunia 2022!: Argentina berhasil merjadi juara Piala Dunia 2022 usai mengalahkan Prancis lewat drama adu penalti‚Ä¶  https://t.co/7Uu3q0E18b #Bola #PialaDunia2022 #finalpialadunia2022 #argentinavsprancis</t>
  </si>
  <si>
    <t>hasil argentina prancis argentina menang adu penalti dan jadi juara piala dunia argentina berhasil merjadi juara piala dunia usai mengalahkan prancis lewat drama adu penalti</t>
  </si>
  <si>
    <t>['hasil', 'argentina', 'prancis', 'argentina', 'menang', 'adu', 'penalti', 'jadi', 'juara', 'piala', 'dunia', 'argentina', 'berhasil', 'merjadi', 'juara', 'piala', 'dunia', 'usai', 'mengalahkan', 'prancis', 'lewat', 'drama', 'adu', 'penalti']</t>
  </si>
  <si>
    <t>@Musaagstian @The_RedsIndo Kalau tadi kolor mouni tidak diantisipasi sama emi martinez /bola diflect bisa come back 4-3 mas,tapi ya syukur lah argentina yg juara ,wkwk puas ngolok¬≤in fans dodo hihi</t>
  </si>
  <si>
    <t>redsindo kalau tadi kolor mouni tidak diantisipasi sama emi martinez bola diflect bisa come back mas tapi syukur lah argentina juara wkwk puas ngolok fans dodo hihi</t>
  </si>
  <si>
    <t>['redsindo', 'kalau', 'tadi', 'kolor', 'mouni', 'diantisipasi', 'sama', 'emi', 'martinez', 'bola', 'diflect', 'come', 'back', 'mas', 'syukur', 'lah', 'argentina', 'juara', 'puas', 'ngolok', 'fans', 'dodo', 'hihi']</t>
  </si>
  <si>
    <t>#youtube Argentina juara melawan Perancis, beda cerita kalau bertemu Arab Saudi üòÖ #worldcup #qatar  https://t.co/4C6MwUtuye</t>
  </si>
  <si>
    <t>argentina juara melawan perancis beda cerita kalau bertemu arab saudi</t>
  </si>
  <si>
    <t>['argentina', 'juara', 'melawan', 'perancis', 'beda', 'cerita', 'kalau', 'bertemu', 'arab', 'saudi']</t>
  </si>
  <si>
    <t>1 Argentina 2 Prancis 3 Kroasia  inilah tim2 yang tempati podium di Piala Dunia 2022 Qatar. untuk pertama kalinya setelah 20 tahun, tim diluar benua Eropa sukses jadi juara dunia.</t>
  </si>
  <si>
    <t>argentina prancis kroasia inilah tim yang tempati podium piala dunia qatar untuk pertama kalinya setelah tahun tim diluar benua eropa sukses jadi juara dunia</t>
  </si>
  <si>
    <t>['argentina', 'prancis', 'kroasia', 'inilah', 'tim', 'tempati', 'podium', 'piala', 'dunia', 'qatar', 'pertama', 'kalinya', 'tahun', 'tim', 'diluar', 'benua', 'eropa', 'sukses', 'jadi', 'juara', 'dunia']</t>
  </si>
  <si>
    <t>PLAYLIST LAGU KEMENANGAN:  - We Are The Champion‚ùé - Stand Up For The Champion‚ùé - Campeones ole ole ole‚ùé - DALE CAMPEON‚úÖ  Mari memulai untuk menormalisasi nyanyiin "Dale Campeon" kalo event juara xixixiüîä  DALE CAMPEON ARGENTINA‚ÄºÔ∏èüá¶üá∑  https://t.co/7n0MW8obUo</t>
  </si>
  <si>
    <t>playlist lagu kemenangan are the champion stand for the champion campeones ole ole ole dale campeon mari memulai untuk menormalisasi nyanyiin dale campeon kalo event juara xixixi dale campeon argentina</t>
  </si>
  <si>
    <t>['playlist', 'lagu', 'kemenangan', 'are', 'the', 'champion', 'stand', 'for', 'the', 'champion', 'campeones', 'ole', 'ole', 'ole', 'dale', 'campeon', 'memulai', 'menormalisasi', 'nyanyiin', 'dale', 'campeon', 'event', 'juara', 'xixixi', 'dale', 'campeon', 'argentina']</t>
  </si>
  <si>
    <t>Nangis kejer. Argentina Juara Dunia #ArgentinaVsFrance #WorldCup .  What a perfect final üëè</t>
  </si>
  <si>
    <t>nangis kejer argentina juara dunia what perfect final</t>
  </si>
  <si>
    <t>['nangis', 'kejer', 'argentina', 'juara', 'dunia', 'what', 'perfect', 'final']</t>
  </si>
  <si>
    <t>mau argentina atau france yang menang, tetap kamu yang juara dihatiku.</t>
  </si>
  <si>
    <t>mau argentina atau france yang menang tetap kamu yang juara dihatiku</t>
  </si>
  <si>
    <t>['mau', 'argentina', 'france', 'menang', 'tetap', 'kamu', 'juara', 'dihatiku']</t>
  </si>
  <si>
    <t>Sebuah judul:  "Kalah dari Arab, Argentina jadi Juara Dunia"</t>
  </si>
  <si>
    <t>sebuah judul kalah dari arab argentina jadi juara dunia</t>
  </si>
  <si>
    <t>['sebuah', 'judul', 'kalah', 'arab', 'argentina', 'jadi', 'juara', 'dunia']</t>
  </si>
  <si>
    <t>@FaktaSepakbola Argentina sukses juara lagi setelah 36 tahun dan messi sukses menamatkan sepakbola dengan semua gelar bergengsi level klub dan negara dia udah dapet</t>
  </si>
  <si>
    <t>argentina sukses juara lagi setelah tahun dan messi sukses menamatkan sepakbola dengan semua gelar bergengsi level klub dan negara dia udah dapet</t>
  </si>
  <si>
    <t>['argentina', 'sukses', 'juara', 'tahun', 'messi', 'sukses', 'menamatkan', 'sepakbola', 'semua', 'gelar', 'bergengsi', 'level', 'klub', 'negara', 'udah', 'dapat']</t>
  </si>
  <si>
    <t>Antar Timnas Argentina Juara Piala Dunia 2022, Lionel Messi Jadi Pemain Pertama yang Sabet 2 Penghargaan Golden Ball #LengkapCepatBeritanya #Bola #SepakBola #SepakbolaDunia #BolaDunia .  https://t.co/l6RutLhY0w</t>
  </si>
  <si>
    <t>antar timnas argentina juara piala dunia lionel messi jadi pemain pertama yang sabet penghargaan golden ball</t>
  </si>
  <si>
    <t>['antar', 'timnas', 'argentina', 'juara', 'piala', 'dunia', 'lionel', 'messi', 'jadi', 'pemain', 'pertama', 'sabet', 'penghargaan', 'golden', 'ball']</t>
  </si>
  <si>
    <t>Yg hebat itu Arab Saudi.. pernah ngalahin juara dunia.. üí™üí™üòÇ  Btw, congratulations Argentina... üéäüéäüéäüéâüéâüéâ</t>
  </si>
  <si>
    <t>hebat itu arab saudi pernah ngalahin juara dunia btw congratulations argentina</t>
  </si>
  <si>
    <t>['hebat', 'arab', 'saudi', 'pernah', 'ngalahin', 'juara', 'dunia', 'by the way', 'congratulations', 'argentina']</t>
  </si>
  <si>
    <t>Sukses Argentina menjadi juara Piala Dunia 2022 semakin manis buat Lionel Messi. Sang megabintang turut didapuk sebagai pemain terbaik turnamen itu.  https://t.co/QGN1Vjl6sg</t>
  </si>
  <si>
    <t>Kapten Argentina, Lionel Messi, akhirnya bisa menyempurnakan karier dengan juara Piala Dunia 2022. Ketika mengangkat trofi, Messi begitu terlihat bahagia.  https://t.co/hIUhs9VZDK</t>
  </si>
  <si>
    <t>Kalahkan Prancis, Argentina Juara Piala Dunia Qatar 2022  #ArgentinaVsFrance   https://t.co/7tyHZiSXW5</t>
  </si>
  <si>
    <t>@bebesushi18 @pantungalimar Gabisa tidur karna argentina juara</t>
  </si>
  <si>
    <t>gabisa tidur karna argentina juara</t>
  </si>
  <si>
    <t>['gabisa', 'tidur', 'karna', 'argentina', 'juara']</t>
  </si>
  <si>
    <t>*Argentina juara*  "asik drake cair,,drake cair"  drake : "bacot kntl"</t>
  </si>
  <si>
    <t>argentina juara asik drake cair drake cair drake bacot kntl</t>
  </si>
  <si>
    <t>['argentina', 'juara', 'asik', 'drake', 'cair', 'drake', 'cair', 'drake', 'bacot', 'kntl']</t>
  </si>
  <si>
    <t>Tim Tango Argentina sabet juara Piala Dunia Qatar 2022  https://t.co/CXiOtmE5Iv</t>
  </si>
  <si>
    <t>Argentina Juara Piala Dunia Kalahkah Prancis Adu Penalti  https://t.co/qUBFNujz3c</t>
  </si>
  <si>
    <t>argentina juara piala dunia kalahkah prancis adu penalti</t>
  </si>
  <si>
    <t>['argentina', 'juara', 'piala', 'dunia', 'kalahkah', 'prancis', 'adu', 'penalti']</t>
  </si>
  <si>
    <t>@CNNIndonesia Thn 2014argentina klah lawan ale dg1-0 &amp;amp; di thn 1990 argentina klah lawan ale dg 1-0  di thn 1930 argentina klah lawan uruguay dg 4-2 skrg bru menang adu pinalty 4-2 argentina mrsa bngga lwan prancis menang adu pinalty mrsa bngga menjiji</t>
  </si>
  <si>
    <t>thn argentina klah lawan ale thn argentina klah lawan ale thn argentina klah lawan uruguay skrg bru menang adu pinalty argentina mrsa bngga lwan prancis menang adu pinalty mrsa bngga menjiji</t>
  </si>
  <si>
    <t>['thn', 'argentina', 'klah', 'lawan', 'ale', 'thn', 'argentina', 'klah', 'lawan', 'ale', 'thn', 'argentina', 'klah', 'lawan', 'uruguay', 'skrg', 'bru', 'menang', 'adu', 'pinalty', 'argentina', 'mrsa', 'bngga', 'lwan', 'prancis', 'menang', 'adu', 'pinalty', 'mrsa', 'bngga', 'menjiji']</t>
  </si>
  <si>
    <t>&lt;FreqDist with 16 samples and 31 outcomes&gt;</t>
  </si>
  <si>
    <t>Argentina juara tp hadiahnya dipotong Pajak, Pelatih, Biaya Adm, Biaya Pemerintah, Transportasi, apalagi yaa</t>
  </si>
  <si>
    <t>argentina juara hadiahnya dipotong pajak pelatih biaya adm biaya pemerintah transportasi apalagi yaa</t>
  </si>
  <si>
    <t>['argentina', 'juara', 'hadiahnya', 'dipotong', 'pajak', 'pelatih', 'biaya', 'adm', 'biaya', 'pemerintah', 'transportasi', 'ya']</t>
  </si>
  <si>
    <t>Breaking News Argentina Juara Piala Dunia 2022  @Bolanet @bhp_semarang #bhpsemarang #KumhamPasti #BeritaTerkini #news #BreakingNew #sports #WorldCup2022 #sport #soccer #football #Argentina #Berita #Kemenkumham #kemenkumhamri #Kumham #KamiPasti #KumhamSemakinPasti #Twitter #bola  https://t.co/2j1Sh1mhgu</t>
  </si>
  <si>
    <t>breaking news argentina juara piala dunia semarang</t>
  </si>
  <si>
    <t>['breaking', 'news', 'argentina', 'juara', 'piala', 'dunia', 'semarang']</t>
  </si>
  <si>
    <t>Tweet hopelessku mengantarkan Argentina jadi juara. Damn.</t>
  </si>
  <si>
    <t>tweet hopelessku mengantarkan argentina jadi juara damn</t>
  </si>
  <si>
    <t>['tweet', 'hopelessku', 'mengantarkan', 'argentina', 'jadi', 'juara', 'damn']</t>
  </si>
  <si>
    <t>dari konseran sabtu siang sampe malem jam 11an langsung cuss puncak kaga tidur, minggu paginya diceburin + ijar jadi ketua djavu, balik sampe kosan minggu maghrib, tepar, bangun jam 10 malem senin dan argentina juara!!!  yapss stress gua seengganya terobati walaupun skrg demamü•∞</t>
  </si>
  <si>
    <t>dari konseran sabtu siang sampe malem jam langsung cuss puncak kaga tidur minggu paginya diceburin ijar jadi ketua djavu balik sampe kosan minggu maghrib tepar bangun jam malem senin dan argentina juara yapss stress gua seengganya terobati walaupun skrg demam</t>
  </si>
  <si>
    <t>['konseran', 'sabtu', 'siang', 'sampai', 'malem', 'jam', 'langsung', 'cuss', 'puncak', 'kaga', 'tidur', 'minggu', 'paginya', 'diceburin', 'ijar', 'jadi', 'ketua', 'djavu', 'balik', 'sampai', 'kosan', 'minggu', 'maghrib', 'tepar', 'bangun', 'jam', 'malem', 'senin', 'argentina', 'juara', 'yapss', 'stress', 'gua', 'seengganya', 'terobati', 'walaupun', 'skrg', 'demam']</t>
  </si>
  <si>
    <t>&lt;FreqDist with 34 samples and 38 outcomes&gt;</t>
  </si>
  <si>
    <t>Argentina juara bsok maju kdpn lpngan pas upacara</t>
  </si>
  <si>
    <t>argentina juara bsok maju kdpn lpngan pas upacara</t>
  </si>
  <si>
    <t>['argentina', 'juara', 'bsok', 'maju', 'kdpn', 'lpngan', 'pas', 'upacara']</t>
  </si>
  <si>
    <t>Biodata Dan Foto Foto Artis Instagram Linda Morselli #hotmodel #seksimodel #cewekseksi Juara Dunia #argentina  https://t.co/K8s3LhES4I  https://t.co/24rvRVpSDv</t>
  </si>
  <si>
    <t>biodata dan foto foto artis instagram linda morselli juara dunia</t>
  </si>
  <si>
    <t>['biodata', 'foto', 'foto', 'artis', 'instagram', 'linda', 'morselli', 'juara', 'dunia']</t>
  </si>
  <si>
    <t>Bisa bisa nya ga megang argentina orang orang tolol ini hadeh. Argentina menang Copa aja udh fix argen juara pildun. Juara euro aja jadi tai 3-0 gblk gblk</t>
  </si>
  <si>
    <t>bisa bisa nya megang argentina orang orang tolol ini hadeh argentina menang copa aja udh fix argen juara pildun juara euro aja jadi tai gblk gblk</t>
  </si>
  <si>
    <t>['megang', 'argentina', 'orang', 'orang', 'tolol', 'hadeh', 'argentina', 'menang', 'copa', 'sudah', 'fix', 'argen', 'juara', 'piala dunia', 'juara', 'euro', 'jadi', 'tai', 'gblk', 'gblk']</t>
  </si>
  <si>
    <t>Selamat argentina..juara pildun 2022..messi dah sah jadi GOAT..ü§©üëèüëè</t>
  </si>
  <si>
    <t>selamat argentina juara pildun messi dah sah jadi goat</t>
  </si>
  <si>
    <t>['selamat', 'argentina', 'juara', 'piala dunia', 'messi', 'dah', 'sah', 'jadi', 'goat']</t>
  </si>
  <si>
    <t>Sukses Argentina menjadi juara Piala Dunia 2022 semakin manis buat Lionel Messi. Sang megabintang turut didapuk sebagai pemain terbaik turnamen itu.  https://t.co/D4aciL9txQ</t>
  </si>
  <si>
    <t>@yusuf_dumdum @Dennysiregar7 Udah jagokan argentina dari awal, cuma di era pak jokowi messi bisa juara dunia üá≤üá®ü§£</t>
  </si>
  <si>
    <t>dumdum udah jagokan argentina dari awal cuma era pak jokowi messi bisa juara dunia</t>
  </si>
  <si>
    <t>['dumdum', 'udah', 'jagokan', 'argentina', 'awal', 'cuma', 'era', 'pak', 'jokowi', 'messi', 'juara', 'dunia']</t>
  </si>
  <si>
    <t>#MessiìÉµ   Dia yang selalu di cap sebagai kutukan untuk negaranya, Tapi hari ini, dia membuktikan diri menjadi juara piala dunia bersama negaranya, Argentina.  Mission complete untuk Messi, tinggal menikmati sisa karir yang manis ini.  MESSI MENAMATKAN SEPAKBOLA!</t>
  </si>
  <si>
    <t>dia yang selalu cap sebagai kutukan untuk negaranya tapi hari ini dia membuktikan diri menjadi juara piala dunia bersama negaranya argentina mission complete untuk messi tinggal menikmati sisa karir yang manis ini messi menamatkan sepakbola</t>
  </si>
  <si>
    <t>['selalu', 'cap', 'kutukan', 'negaranya', 'hari', 'membuktikan', 'diri', 'menjadi', 'juara', 'piala', 'dunia', 'bersama', 'negaranya', 'argentina', 'mission', 'complete', 'messi', 'tinggal', 'menikmati', 'sisa', 'karir', 'manis', 'messi', 'menamatkan', 'sepakbola']</t>
  </si>
  <si>
    <t>@jebreeetmedia @pahlevinho @pahlevinho  &amp;gt; koci. Suarakan terus pendapatmu bro. Terbukti kali ini bener Argentina yg juara.</t>
  </si>
  <si>
    <t>koci suarakan terus pendapatmu bro terbukti kali ini bener argentina juara</t>
  </si>
  <si>
    <t>['koci', 'suarakan', 'terus', 'pendapatmu', 'bro', 'terbukti', 'kali', 'benar', 'argentina', 'juara']</t>
  </si>
  <si>
    <t>Tuhan sudah menakdirkan Messi dan timnas Argentina untuk juara‚Ä¶Terima kasih ü•πü•πü•π</t>
  </si>
  <si>
    <t>tuhan sudah menakdirkan messi dan timnas argentina untuk juara terima kasih</t>
  </si>
  <si>
    <t>['tuhan', 'menakdirkan', 'messi', 'timnas', 'argentina', 'juara', 'terima', 'kasih']</t>
  </si>
  <si>
    <t>@hrdnmuhammad @jovisaputra14 Ni senang kali karna argentina juara atau menang judi?</t>
  </si>
  <si>
    <t>senang kali karna argentina juara atau menang judi</t>
  </si>
  <si>
    <t>['senang', 'kali', 'karna', 'argentina', 'juara', 'menang', 'judi']</t>
  </si>
  <si>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</si>
  <si>
    <t>ngajarin bahwa hidup itu slalu harus idealis pas pemelihan negara buat taruhan ada slot kosong belgia kroasia argentina ambil slot belgia krn idealisnya mau dukung argentina selama ada messi tapi akhirnya argentina jadi juara dpt cuan</t>
  </si>
  <si>
    <t>['ngajarin', 'hidup', 'slalu', 'idealis', 'pas', 'pemelihan', 'negara', 'buat', 'taruhan', 'slot', 'kosong', 'belgia', 'kroasia', 'argentina', 'ambil', 'slot', 'belgia', 'idealisnya', 'mau', 'dukung', 'argentina', 'selama', 'messi', 'akhirnya', 'argentina', 'jadi', 'juara', 'dpt', 'cuan']</t>
  </si>
  <si>
    <t>Ditambah malem ini nonton Argentina juara dunia</t>
  </si>
  <si>
    <t>ditambah malem ini nonton argentina juara dunia</t>
  </si>
  <si>
    <t>['ditambah', 'malem', 'nonton', 'argentina', 'juara', 'dunia']</t>
  </si>
  <si>
    <t>argentina juara pasti ketua PSSA (Persatuan Sepakbola Seluruh Argentina) bakal bikin poster yang mukanya lebih gede dari pada pemain.</t>
  </si>
  <si>
    <t>argentina juara pasti ketua pssa persatuan sepakbola seluruh argentina bakal bikin poster yang mukanya lebih gede dari pada pemain</t>
  </si>
  <si>
    <t>['argentina', 'juara', 'ketua', 'pssa', 'persatuan', 'sepakbola', 'seluruh', 'argentina', 'bakal', 'poster', 'mukanya', 'lebih', 'gede', 'pemain']</t>
  </si>
  <si>
    <t>Sukses Argentina menjadi juara Piala Dunia 2022 semakin manis buat Lionel Messi. Sang megabintang turut didapuk sebagai pemain terbaik turnamen itu.  https://t.co/D4aciLrCLY</t>
  </si>
  <si>
    <t>. . . Y E S . . . Campeones del mundo ü•áüèÜ‚öΩÔ∏è Vamos Argentina ‚úäÔ∏èüá¶üá∑üëä  ‚≠êÔ∏è‚≠êÔ∏è‚≠êÔ∏è  #Juara #PialaDunia #Qatar2022  https://t.co/xDPSO7XdRO</t>
  </si>
  <si>
    <t>campeones del mundo vamos argentina</t>
  </si>
  <si>
    <t>['campeones', 'del', 'mundo', 'vamos', 'argentina']</t>
  </si>
  <si>
    <t>Biodata Dan Foto Foto Artis Instagram Celia Lora #hotmodel #seksimodel #cewekseksi Juara Dunia #argentina  https://t.co/KZNnx50Sai  https://t.co/Q0ygRd3dqV</t>
  </si>
  <si>
    <t>biodata dan foto foto artis instagram celia lora juara dunia</t>
  </si>
  <si>
    <t>['biodata', 'foto', 'foto', 'artis', 'instagram', 'celia', 'lora', 'juara', 'dunia']</t>
  </si>
  <si>
    <t>Lionel Messi torehkan rekor apik usai antar Argentina juara Piala Dunia 2022</t>
  </si>
  <si>
    <t>lionel messi torehkan rekor apik usai antar argentina juara piala dunia</t>
  </si>
  <si>
    <t>['lionel', 'messi', 'torehkan', 'rekor', 'apik', 'usai', 'antar', 'argentina', 'juara', 'piala', 'dunia']</t>
  </si>
  <si>
    <t>yg juara nyakitin ttp km kok, gausah peduli sm argentina‚úåüèª</t>
  </si>
  <si>
    <t>juara nyakitin ttp kok gausah peduli argentina</t>
  </si>
  <si>
    <t>['juara', 'nyakitin', 'ttp', 'kok', 'gausah', 'peduli', 'argentina']</t>
  </si>
  <si>
    <t>Berhubung lek ¬Ω atas argentina minimal yoo sek oleh laaah tipis tipis... Belanono argentina sampek nobar ngarepe proyektor yo tetep mlungkerüòÇ dari awal argentina bakal juara.. Tapi presentase for e kan yo permainan üòÅ</t>
  </si>
  <si>
    <t>berhubung lek atas argentina minimal yoo sek oleh laaah tipis tipis belanono argentina sampek nobar ngarepe proyektor tetep mlungker dari awal argentina bakal juara tapi presentase for kan permainan</t>
  </si>
  <si>
    <t>['berhubung', 'lek', 'atas', 'argentina', 'minimal', 'yoo', 'sek', 'laaah', 'tipis', 'tipis', 'belanono', 'argentina', 'sampek', 'nonton bareng', 'ngarepe', 'proyektor', 'tetep', 'mlungker', 'awal', 'argentina', 'bakal', 'juara', 'presentase', 'for', 'kan', 'permainan']</t>
  </si>
  <si>
    <t>K. Mbappe dan Van Gaal bermulut besar sebelum pertandingan. Dan akhirnya; Messi dkk mampu membungkam mulut keduanya diakhir pertandingan.  Selamat untuk Argentina menjadi Juara Dunia üèÜüá¶üá∑  https://t.co/VDmecpRG4B</t>
  </si>
  <si>
    <t>mbappe dan van gaal bermulut besar sebelum pertandingan dan akhirnya messi dkk mampu membungkam mulut keduanya diakhir pertandingan selamat untuk argentina menjadi juara dunia</t>
  </si>
  <si>
    <t>['mbappe', 'van', 'gaal', 'bermulut', 'besar', 'pertandingan', 'akhirnya', 'messi', 'dkk', 'mampu', 'membungkam', 'mulut', 'keduanya', 'diakhir', 'pertandingan', 'selamat', 'argentina', 'menjadi', 'juara', 'dunia']</t>
  </si>
  <si>
    <t>Dari jaman sekolah saya fans argentina dan di pertandingan awal argentina kalah lawan arab argentina langsung dibully  Tp saya optimis yg juara tetap argentina dan juara beneran üòÖüòÇ  Apa kabar pengabdi prancis dan portugal üòÖ   Tetap respect buat prancis üôè</t>
  </si>
  <si>
    <t>dari jaman sekolah saya fans argentina dan pertandingan awal argentina kalah lawan arab argentina langsung dibully saya optimis juara tetap argentina dan juara beneran apa kabar pengabdi prancis dan portugal tetap respect buat prancis</t>
  </si>
  <si>
    <t>['jaman', 'sekolah', 'fans', 'argentina', 'pertandingan', 'awal', 'argentina', 'kalah', 'lawan', 'arab', 'argentina', 'langsung', 'dibully', 'optimis', 'juara', 'tetap', 'argentina', 'juara', 'beneran', 'apa', 'kabar', 'pengabdi', 'prancis', 'portugal', 'tetap', 'respect', 'buat', 'prancis']</t>
  </si>
  <si>
    <t>BREAKING NEWS, Argentina Juara Piala Dunia 2022 dengan skor 4-2  https://t.co/zFLRUc5bSH</t>
  </si>
  <si>
    <t>breaking news argentina juara piala dunia dengan skor</t>
  </si>
  <si>
    <t>['breaking', 'news', 'argentina', 'juara', 'piala', 'dunia', 'skor']</t>
  </si>
  <si>
    <t>Breaking News: Argentina Juara Piala Dunia 2022, kalahkan juara bertahan Prancis!  https://t.co/zdRzlsXo4Y</t>
  </si>
  <si>
    <t>breaking news argentina juara piala dunia kalahkan juara bertahan prancis</t>
  </si>
  <si>
    <t>['breaking', 'news', 'argentina', 'juara', 'piala', 'dunia', 'kalahkan', 'juara', 'bertahan', 'prancis']</t>
  </si>
  <si>
    <t>prediksi gue sih argentina juara piala dunia</t>
  </si>
  <si>
    <t>['prediksi', 'gue', 'argentina', 'juara', 'piala', 'dunia']</t>
  </si>
  <si>
    <t>Melalui Adu Penalti, Argentina Juara FIFA World Cup 2022¬†Qatar  https://t.co/6y9ZTgkAp7</t>
  </si>
  <si>
    <t>melalui adu penalti argentina juara fifa world cup qatar</t>
  </si>
  <si>
    <t>['melalui', 'adu', 'penalti', 'argentina', 'juara', 'fifa', 'world', 'cup', 'qatar']</t>
  </si>
  <si>
    <t>Melalui Adu Penalti, Argentina Juara FIFA World Cup 2022¬†Qatar  https://t.co/R2Z9r8nXy7</t>
  </si>
  <si>
    <t>Trofi Lionel Messi Semakin Lengkap Usai Bawa Argentina Juara Piala¬†Dunia  https://t.co/Ag5rzHgLrZ</t>
  </si>
  <si>
    <t>trofi lionel messi semakin lengkap usai bawa argentina juara piala dunia</t>
  </si>
  <si>
    <t>['trofi', 'lionel', 'messi', 'semakin', 'lengkap', 'usai', 'bawa', 'argentina', 'juara', 'piala', 'dunia']</t>
  </si>
  <si>
    <t>Juara dunia argentina messi the best #PialaDunia2022 #MessiìÉµ #Argentina  https://t.co/btWP40Zoxu</t>
  </si>
  <si>
    <t>juara dunia argentina messi the best</t>
  </si>
  <si>
    <t>['juara', 'dunia', 'argentina', 'messi', 'the', 'best']</t>
  </si>
  <si>
    <t>Biodata Dan Foto Foto Artis Instagram Alexis Clark #hotmodel #seksimodel #cewekseksi Juara Dunia #argentina  https://t.co/od7n5yvu1x  https://t.co/V071U89Gfo</t>
  </si>
  <si>
    <t>biodata dan foto foto artis instagram alexis clark juara dunia</t>
  </si>
  <si>
    <t>['biodata', 'foto', 'foto', 'artis', 'instagram', 'alexis', 'clark', 'juara', 'dunia']</t>
  </si>
  <si>
    <t>Argentina Raih Juara Piala Dunia, Neymar Ucapkan Selamat kepada Lionel¬†Messi  https://t.co/AlQxl67LId</t>
  </si>
  <si>
    <t>AET: Argentina 3-3 Prancis (23'108' Messi, 36' Di Maria ; 80'82'118' Mbappe) (Pen: 4-2) | Possessions 54%-46% | Shots 19-9 | Tackles 22-26  Argentina Juara Piala Dunia 2022  @Bolanet @bhp_semarang #bhpsemarang #KumhamPasti #BeritaTerkini #news #BreakingNew #sports #WorldCup2022  https://t.co/vQO3JKtMd6</t>
  </si>
  <si>
    <t>aet argentina prancis messi maria mbappe pen possessions shots tackles argentina juara piala dunia semarang</t>
  </si>
  <si>
    <t>['aet', 'argentina', 'prancis', 'messi', 'maria', 'mbappe', 'possessions', 'shots', 'tackles', 'argentina', 'juara', 'piala', 'dunia', 'semarang']</t>
  </si>
  <si>
    <t>Argentina juara, besok tetep kerja.</t>
  </si>
  <si>
    <t>argentina juara besok tetep kerja</t>
  </si>
  <si>
    <t>['argentina', 'juara', 'besok', 'tetep', 'kerja']</t>
  </si>
  <si>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</si>
  <si>
    <t>rumahnya para dewa kaki kiri sejarah mencatat argentina hanya akan menjadi juara piala dunia apabila memiliki pemain bernomor punggung dengan kualifikasi kaki kiri terbaik dunia mario kempes diego maradona lionel messi</t>
  </si>
  <si>
    <t>['rumahnya', 'dewa', 'kaki', 'kiri', 'sejarah', 'mencatat', 'argentina', 'menjadi', 'juara', 'piala', 'dunia', 'apabila', 'memiliki', 'pemain', 'bernomor', 'punggung', 'kualifikasi', 'kaki', 'kiri', 'terbaik', 'dunia', 'mario', 'kempes', 'diego', 'maradona', 'lionel', 'messi']</t>
  </si>
  <si>
    <t>Biodata Dan Foto Foto Artis Instagram Athena Megaloudis #hotmodel #seksimodel #cewekseksi Juara Dunia #argentina  https://t.co/0yoLHh91xJ  https://t.co/JA7nAPbvoO</t>
  </si>
  <si>
    <t>biodata dan foto foto artis instagram athena megaloudis juara dunia</t>
  </si>
  <si>
    <t>['biodata', 'foto', 'foto', 'artis', 'instagram', 'athena', 'megaloudis', 'juara', 'dunia']</t>
  </si>
  <si>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</si>
  <si>
    <t>sebuah thread husnul khotimah and the end messi mencapai mimpi terbesarnya membawa argentina juara dunia copa america finallisima world cup maria cetak gol lagi final paul bodyguard emiliano martinez save krusial</t>
  </si>
  <si>
    <t>['sebuah', 'thread', 'husnul', 'khotimah', 'and', 'the', 'end', 'messi', 'mencapai', 'mimpi', 'terbesarnya', 'membawa', 'argentina', 'juara', 'dunia', 'copa', 'america', 'finallisima', 'world', 'cup', 'maria', 'cetak', 'gol', 'final', 'paul', 'bodyguard', 'emiliano', 'martinez', 'save', 'krusial']</t>
  </si>
  <si>
    <t>@CNNIndonesia Argentina lawan prancis menang adu pinalty bukan hal yg membanggakan bsok di thn 2026 argentina lawan italia lum tntu menang mutlak palgi lawan brasil jdi jgn bngga argentina jdi juara piala dunia 2022 di qatar mnjijikan&amp;amp; memuakan adu pi</t>
  </si>
  <si>
    <t>argentina lawan prancis menang adu pinalty bukan hal membanggakan bsok thn argentina lawan italia lum tntu menang mutlak palgi lawan brasil jdi jgn bngga argentina jdi juara piala dunia qatar mnjijikan memuakan adu</t>
  </si>
  <si>
    <t>['argentina', 'lawan', 'prancis', 'menang', 'adu', 'pinalty', 'bukan', 'membanggakan', 'bsok', 'thn', 'argentina', 'lawan', 'italia', 'lum', 'tntu', 'menang', 'mutlak', 'palgi', 'lawan', 'brasil', 'jdi', 'bngga', 'argentina', 'jdi', 'juara', 'piala', 'dunia', 'qatar', 'mnjijikan', 'memuakan', 'adu']</t>
  </si>
  <si>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</si>
  <si>
    <t>tendangan penalti gonzalo montiel gagal blok oleh hugo lloris menghantarkan timnas argentina juara dengan kemenangan ini timnas argentina mengakhiri paceklik gelar juara piala dunia selama kurun waktu tahun berpuasa gelar juara selamat</t>
  </si>
  <si>
    <t>['tendangan', 'penalti', 'gonzalo', 'montiel', 'gagal', 'blok', 'hugo', 'lloris', 'menghantarkan', 'timnas', 'argentina', 'juara', 'kemenangan', 'timnas', 'argentina', 'mengakhiri', 'paceklik', 'gelar', 'juara', 'piala', 'dunia', 'selama', 'kurun', 'waktu', 'tahun', 'berpuasa', 'gelar', 'juara', 'selamat']</t>
  </si>
  <si>
    <t>Selamat.. Argentina juara dunia  https://t.co/8uKt1EjAFz</t>
  </si>
  <si>
    <t>argentina juara duniaaa ,dia juara dihati akuuu ‚ù§Ô∏è  https://t.co/WVGh8GbN7h</t>
  </si>
  <si>
    <t>argentina juara duniaaa dia juara dihati akuuu</t>
  </si>
  <si>
    <t>['argentina', 'juara', 'duniaaa', 'juara', 'dihati', 'akuuu']</t>
  </si>
  <si>
    <t>Nonton bola skrg agak sulit ye. Ikut seneng karena Messi juara, eh malah dikira fans Argentina dadakan wkwk. Pertandingan final kayak tadi emang pantas dinikmati bagi seluruh fans negara apapun brow. Enjoy ur football.</t>
  </si>
  <si>
    <t>nonton bola skrg agak sulit ikut seneng karena messi juara malah dikira fans argentina dadakan wkwk pertandingan final kayak tadi emang pantas dinikmati bagi seluruh fans negara apapun brow enjoy football</t>
  </si>
  <si>
    <t>['nonton', 'bola', 'skrg', 'sulit', 'ikut', 'seneng', 'messi', 'juara', 'malah', 'dikira', 'fans', 'argentina', 'dadakan', 'pertandingan', 'final', 'seperti', 'tadi', 'emang', 'pantas', 'dinikmati', 'seluruh', 'fans', 'negara', 'apapun', 'brow', 'enjoy', 'football']</t>
  </si>
  <si>
    <t>@registaco Nah gini dong.  Dunia pada puji-puji Messi, Emi Martinez, Mbappe.. tapi gak banyak yg muji Scaloni, seakan-akan terlupakan.. Padahal prestasi nya hebat bisa bawa argentina juara 3x</t>
  </si>
  <si>
    <t>nah gini dong dunia pada puji puji messi emi martinez mbappe tapi gak banyak muji scaloni seakan akan terlupakan padahal prestasi nya hebat bisa bawa argentina juara</t>
  </si>
  <si>
    <t>['nah', 'gini', 'dong', 'dunia', 'puji', 'puji', 'messi', 'emi', 'martinez', 'mbappe', 'banyak', 'muji', 'scaloni', 'seakan', 'terlupakan', 'padahal', 'prestasi', 'hebat', 'bawa', 'argentina', 'juara']</t>
  </si>
  <si>
    <t>argentina memang juara trus aku kapan jadi juara dihatimu?</t>
  </si>
  <si>
    <t>argentina memang juara trus aku kapan jadi juara dihatimu</t>
  </si>
  <si>
    <t>['argentina', 'memang', 'juara', 'trus', 'aku', 'kapan', 'jadi', 'juara', 'dihatimu']</t>
  </si>
  <si>
    <t>Selamat Kamu Juara Dunia üá¶üá∑üèÜ #Argentina</t>
  </si>
  <si>
    <t>selamat kamu juara dunia</t>
  </si>
  <si>
    <t>['selamat', 'kamu', 'juara', 'dunia']</t>
  </si>
  <si>
    <t>@estywukak di NTT lagi konvoi argentina juara ya kak ?</t>
  </si>
  <si>
    <t>ntt lagi konvoi argentina juara kak</t>
  </si>
  <si>
    <t>['ntt', 'konvoi', 'argentina', 'juara', 'kak']</t>
  </si>
  <si>
    <t>@The_RedsIndo setelah mendapatkan gelar juara dunia , messi akan tetap terus bermain membela timnas argentina dg status sebagai sang juara üêê</t>
  </si>
  <si>
    <t>redsindo setelah mendapatkan gelar juara dunia messi akan tetap terus bermain membela timnas argentina status sebagai sang juara</t>
  </si>
  <si>
    <t>['redsindo', 'mendapatkan', 'gelar', 'juara', 'dunia', 'messi', 'tetap', 'terus', 'bermain', 'membela', 'timnas', 'argentina', 'status', 'sang', 'juara']</t>
  </si>
  <si>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</si>
  <si>
    <t>argentina juara dunia thanks messi mnt penalti adakah tebakan teman yang benar hadiah dari</t>
  </si>
  <si>
    <t>['argentina', 'juara', 'dunia', 'thanks', 'messi', 'mnt', 'penalti', 'adakah', 'tebakan', 'teman', 'benar', 'hadiah']</t>
  </si>
  <si>
    <t>Argentina Juara Pildun Qatar 2022 üòç selamat Leo Messi, GOAT üòçü•∞  https://t.co/F2nwMwjPlx</t>
  </si>
  <si>
    <t>argentina juara pildun qatar selamat leo messi goat</t>
  </si>
  <si>
    <t>['argentina', 'juara', 'piala dunia', 'qatar', 'selamat', 'leo', 'messi', 'goat']</t>
  </si>
  <si>
    <t>Woaaaa setelah sekian lama, akhirnya kembali juara üéäüéâ congrats Argentina ‚ù§Ô∏è  https://t.co/p6z8n2ESJP</t>
  </si>
  <si>
    <t>woaaaa setelah sekian lama akhirnya kembali juara congrats argentina</t>
  </si>
  <si>
    <t>['woaaaa', 'sekian', 'lama', 'akhirnya', 'juara', 'congrats', 'argentina']</t>
  </si>
  <si>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</si>
  <si>
    <t>alhamdulillah allah udah halal pialanya bisa cium ajak tidur peluk sahhhhh argentina keluar sebagai juara piala dunia qatar mantap kado terbaik bulan desember jadi tolong jangan bandingin lagi sama lain baik maradona maupun pele apalagi</t>
  </si>
  <si>
    <t>['alhamdulillah', 'allah', 'udah', 'halal', 'pialanya', 'cium', 'ajak', 'tidur', 'peluk', 'sahhhhh', 'argentina', 'keluar', 'juara', 'piala', 'dunia', 'qatar', 'mantap', 'kado', 'terbaik', 'bulan', 'desember', 'jadi', 'jangan', 'bandingin', 'sama', 'baik', 'maradona', 'maupun', 'pele']</t>
  </si>
  <si>
    <t>Dari final tahun 2006 sampai 2022, inilah final yang seru ditonton, banyak drama nya, tapi tetap sloww karena argentina pasti juara. Yaa kann massee? @Rullysatria1</t>
  </si>
  <si>
    <t>dari final tahun sampai inilah final yang seru ditonton banyak drama nya tapi tetap sloww karena argentina pasti juara yaa kann massee</t>
  </si>
  <si>
    <t>['final', 'tahun', 'inilah', 'final', 'seru', 'ditonton', 'banyak', 'drama', 'tetap', 'sloww', 'argentina', 'juara', 'ya', 'kann', 'massee']</t>
  </si>
  <si>
    <t>@Bolanet #LiveBolanet AET Argentina 3-3 Prancis (23'108' Messi, 36' Di Maria ; 80'82'118' Mbappe) (Pen: 4-2) | Possessions 54%-46% | Shots 19-9 | Tackles 22-26  Argentina Juara Piala Dunia 2022  @bhp_semarang #bhpsemarang #KumhamPasti #BeritaTerkini #Twit</t>
  </si>
  <si>
    <t>Sengaja buat gini lagi, biar yang juara argentina :))</t>
  </si>
  <si>
    <t>sengaja buat gini lagi biar yang juara argentina</t>
  </si>
  <si>
    <t>['sengaja', 'buat', 'gini', 'juara', 'argentina']</t>
  </si>
  <si>
    <t>Potret kebahagiaan Argentina juara Piala Dunia 2022. (Part 2) Cek artikel seputar Piala Dunia 2022 di  https://t.co/AI5mvZSsJ8  #PestaDiQatar #PialaDunia2022 #PialaDunia  https://t.co/pfXSnVGC11</t>
  </si>
  <si>
    <t>potret kebahagiaan argentina juara piala dunia part cek artikel seputar piala dunia</t>
  </si>
  <si>
    <t>['potret', 'kebahagiaan', 'argentina', 'juara', 'piala', 'dunia', 'part', 'cek', 'artikel', 'seputar', 'piala', 'dunia']</t>
  </si>
  <si>
    <t>Potret kebahagiaan Argentina juara Piala Dunia 2022. (Part 1) Cek artikel seputar Piala Dunia 2022 di  https://t.co/AI5mvZSsJ8  #PestaDiQatar #PialaDunia2022 #PialaDunia  https://t.co/6W5Ps3I5B8</t>
  </si>
  <si>
    <t>Jijik bgt dgn kata2 netijen yg "mbappe dan 10 batang kayu lawan argentina"  Mbappe emg ngegendong. Main bagus bgt. Tp sepakbola ya main tim, emangnya catur</t>
  </si>
  <si>
    <t>jijik bgt dgn kata netijen mbappe dan batang kayu lawan argentina mbappe emg ngegendong main bagus bgt sepakbola main tim emangnya catur</t>
  </si>
  <si>
    <t>['jijik', 'banget', 'kata', 'netijen', 'mbappe', 'batang', 'kayu', 'lawan', 'argentina', 'mbappe', 'memang', 'ngegendong', 'main', 'bagus', 'banget', 'sepakbola', 'main', 'tim', 'emangnya', 'catur']</t>
  </si>
  <si>
    <t>#Argentina, Akhirnya Juara Dunia Di #FIFAWorldCupFinal #Qatar2022 = üíô-üá¶üá∑-üèÜ &amp;amp; :-)))!. #ArgentinaChampion = üå§Ô∏è-üî•-üëë ¬± :-D!.  https://t.co/CgXePEZFes</t>
  </si>
  <si>
    <t>akhirnya juara dunia</t>
  </si>
  <si>
    <t>['akhirnya', 'juara', 'dunia']</t>
  </si>
  <si>
    <t>ameh prancis opo argentina juara, tetep dekne seng juara neng atimu</t>
  </si>
  <si>
    <t>ameh prancis opo argentina juara tetep dekne seng juara neng atimu</t>
  </si>
  <si>
    <t>['ameh', 'prancis', 'opo', 'argentina', 'juara', 'tetep', 'dekne', 'seng', 'juara', 'neng', 'atimu']</t>
  </si>
  <si>
    <t>Argentina vs France Skor 3-3 dan Adu Pinalty 4-2 hasilnya Argetina juara piala duniaüá¶üá∑‚ú®</t>
  </si>
  <si>
    <t>argentina france skor dan adu pinalty hasilnya argetina juara piala dunia</t>
  </si>
  <si>
    <t>['argentina', 'france', 'skor', 'adu', 'pinalty', 'hasilnya', 'argetina', 'juara', 'piala', 'dunia']</t>
  </si>
  <si>
    <t>Walau seteruk mana sekalipun Argentina diuji &amp;amp; ditekan, jikalau takdir mengatakan Argentina juara, maka Argentina tetap akan menang walau dgn cara apa sekalipun.</t>
  </si>
  <si>
    <t>walau seteruk mana sekalipun argentina diuji ditekan jikalau takdir mengatakan argentina juara maka argentina tetap akan menang walau dgn cara apa sekalipun</t>
  </si>
  <si>
    <t>['seteruk', 'mana', 'sekalipun', 'argentina', 'diuji', 'ditekan', 'jikalau', 'takdir', 'mengatakan', 'argentina', 'juara', 'argentina', 'tetap', 'menang', 'cara', 'apa', 'sekalipun']</t>
  </si>
  <si>
    <t>Pembuktian GOAT Messi dan Argentina Juara yang Tak Mampu Dibendung Hat Trick Mbappe  https://t.co/A8A0vAbrMB</t>
  </si>
  <si>
    <t>pembuktian goat messi dan argentina juara yang tak mampu dibendung hat trick mbappe</t>
  </si>
  <si>
    <t>['pembuktian', 'goat', 'messi', 'argentina', 'juara', 'tak', 'mampu', 'dibendung', 'hat', 'trick', 'mbappe']</t>
  </si>
  <si>
    <t>Pembuktian GOAT Messi dan Argentina Juara yang Tak Mampu Dibendung Hat Trick Mbappe  https://t.co/ElcR7FF561</t>
  </si>
  <si>
    <t>argentina juara dunia  #FIFAWorldCupFinal</t>
  </si>
  <si>
    <t>@vidialdiano Capek ga tuh ngegendongü§£ü§£ tpi Argentina memang layak juara sih #MessiìÉµ #MessiìÉµday üòç</t>
  </si>
  <si>
    <t>capek tuh ngegendong tpi argentina memang layak juara sih day</t>
  </si>
  <si>
    <t>['lelah', 'ngegendong', 'tpi', 'argentina', 'memang', 'layak', 'juara', 'day']</t>
  </si>
  <si>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</si>
  <si>
    <t>sahabat saya bung fecho tadi ngomong kita dukung argentina ini tanpa analisa analisa masak sampai kita mati tidak lihat argentina juara lagi sejak terakhir tahun dan memang butuh tahun menunggu itu selamat untuk lionel messi dan seluruh pendukung argentina</t>
  </si>
  <si>
    <t>['sahabat', 'bung', 'fecho', 'tadi', 'ngomong', 'dukung', 'argentina', 'analisa', 'analisa', 'masak', 'mati', 'lihat', 'argentina', 'juara', 'sejak', 'terakhir', 'tahun', 'memang', 'butuh', 'tahun', 'menunggu', 'selamat', 'lionel', 'messi', 'seluruh', 'pendukung', 'argentina']</t>
  </si>
  <si>
    <t>Feeling tokcer bener. Pas nobar sama @altosumbang maunya Prancis juara, cuma feeling keknya Argentina. Eh kejadian</t>
  </si>
  <si>
    <t>feeling tokcer bener pas nobar sama maunya prancis juara cuma feeling keknya argentina kejadian</t>
  </si>
  <si>
    <t>['feeling', 'tokcer', 'benar', 'pas', 'nonton bareng', 'sama', 'maunya', 'prancis', 'juara', 'cuma', 'feeling', 'sepertinya', 'argentina', 'kejadian']</t>
  </si>
  <si>
    <t>Syukuran Argentina Juara üá¶üá∑, giveaway saldo e-money? üëÄ</t>
  </si>
  <si>
    <t>syukuran argentina juara giveaway saldo money</t>
  </si>
  <si>
    <t>['syukuran', 'argentina', 'juara', 'giveaway', 'saldo', 'money']</t>
  </si>
  <si>
    <t>Maradona Jika diperhatikan pd tahun 1986 saat maradona juara dunia, tangan kirinya menunjuk pada bendera qatar... Saat argentina kembali juara dunia...  https://t.co/I2RRhZSX2v</t>
  </si>
  <si>
    <t>maradona jika diperhatikan tahun saat maradona juara dunia tangan kirinya menunjuk pada bendera qatar saat argentina kembali juara dunia</t>
  </si>
  <si>
    <t>['maradona', 'diperhatikan', 'tahun', 'maradona', 'juara', 'dunia', 'tangan', 'kirinya', 'menunjuk', 'bendera', 'qatar', 'argentina', 'juara', 'dunia']</t>
  </si>
  <si>
    <t>@marcel17320 @frozen_beku @kegblgnunfaedh Ada aja fans dodo wkw,di setting tuhan buat Argentina juara.</t>
  </si>
  <si>
    <t>beku ada aja fans dodo wkw setting tuhan buat argentina juara</t>
  </si>
  <si>
    <t>['beku', 'fans', 'dodo', 'wkw', 'setting', 'tuhan', 'buat', 'argentina', 'juara']</t>
  </si>
  <si>
    <t>Kebalik dong kan Arab yang ngalahin argentina, berarti arab yang juara 1üòÇ</t>
  </si>
  <si>
    <t>kebalik dong kan arab yang ngalahin argentina berarti arab yang juara</t>
  </si>
  <si>
    <t>['kebalik', 'dong', 'kan', 'arab', 'ngalahin', 'argentina', 'berarti', 'arab', 'juara']</t>
  </si>
  <si>
    <t>@idextratime andai Argentina gagal juara, itu yang di belakang bakal jd musuh 1 negara üòÇ</t>
  </si>
  <si>
    <t>andai argentina gagal juara itu yang belakang bakal musuh negara</t>
  </si>
  <si>
    <t>['andai', 'argentina', 'gagal', 'juara', 'belakang', 'bakal', 'musuh', 'negara']</t>
  </si>
  <si>
    <t>argentina juara, ga kebayang sebahagia apa bokap gue sekarang karna doi pemuja messi</t>
  </si>
  <si>
    <t>argentina juara kebayang sebahagia apa bokap gue sekarang karna doi pemuja messi</t>
  </si>
  <si>
    <t>['argentina', 'juara', 'kebayang', 'sebahagia', 'apa', 'bokap', 'gue', 'sekarang', 'karna', 'doi', 'pemuja', 'messi']</t>
  </si>
  <si>
    <t>Mau kelen bilang dia flop kek, ga guna kek, Lukakunya Argentina kek, yg penting dia Juara Dunia!!!!  https://t.co/J6gMT4UMn4</t>
  </si>
  <si>
    <t>mau kelen bilang dia flop kek guna kek lukakunya argentina kek penting dia juara dunia</t>
  </si>
  <si>
    <t>['mau', 'kelen', 'flop', 'kek', 'kek', 'lukakunya', 'argentina', 'kek', 'penting', 'juara', 'dunia']</t>
  </si>
  <si>
    <t>Anjaaaaay selamat Argentina Juara Piala Dunia üèÜ Selamat juga babang Messi ü•≥ #FIFAWorldCupFinal #FIFAWorldCup  #ARG  https://t.co/c99qoXnfbc</t>
  </si>
  <si>
    <t>anjaaaaay selamat argentina juara piala dunia selamat juga babang messi</t>
  </si>
  <si>
    <t>['anjaaaaay', 'selamat', 'argentina', 'juara', 'piala', 'dunia', 'selamat', 'babang', 'messi']</t>
  </si>
  <si>
    <t>World cup mengajarkan kita agar jangan jumawa. Di awal dikatain ‚Äúwhere‚Äôs Messi?‚Äù. Juara kan dia  Tapi ya emang hebat sih Argentina.</t>
  </si>
  <si>
    <t>world cup mengajarkan kita agar jangan jumawa awal dikatain where messi juara kan dia tapi emang hebat sih argentina</t>
  </si>
  <si>
    <t>['world', 'cup', 'mengajarkan', 'jangan', 'jumawa', 'awal', 'dikatain', 'where', 'messi', 'juara', 'kan', 'emang', 'hebat', 'argentina']</t>
  </si>
  <si>
    <t>Skor 3-2 dinilai cukup adil melihat dari kerja keras dan jatuh bangun kedua tim untuk menang. Argentina dan messi pantas juara. Tidak ada pengaturan tidak ada konspirasi atau apapun itu. Argentina pantas juara.</t>
  </si>
  <si>
    <t>skor dinilai cukup adil melihat dari kerja keras dan jatuh bangun kedua tim untuk menang argentina dan messi pantas juara tidak ada pengaturan tidak ada konspirasi atau apapun itu argentina pantas juara</t>
  </si>
  <si>
    <t>['skor', 'dinilai', 'cukup', 'adil', 'melihat', 'kerja', 'keras', 'jatuh', 'bangun', 'kedua', 'tim', 'menang', 'argentina', 'messi', 'pantas', 'juara', 'pengaturan', 'konspirasi', 'apapun', 'argentina', 'pantas', 'juara']</t>
  </si>
  <si>
    <t>@firdausrama4 @al_mhiii @Expertttttt1 @idextratime Gua menikmati hasil dari menang taroan dulu ye bang. Intinya Argentina juara gua gak rugi-rugi amat buat gua hari ini, malah balik modal. Silahkan kalo masih mau bacotü§£</t>
  </si>
  <si>
    <t>mhiii gua menikmati hasil dari menang taroan dulu bang intinya argentina juara gua gak rugi rugi amat buat gua hari ini malah balik modal silahkan kalo masih mau bacot</t>
  </si>
  <si>
    <t>['mhiii', 'gua', 'menikmati', 'hasil', 'menang', 'taroan', 'dulu', 'bang', 'intinya', 'argentina', 'juara', 'gua', 'rugi', 'rugi', 'buat', 'gua', 'hari', 'malah', 'balik', 'modal', 'silahkan', 'mau', 'bacot']</t>
  </si>
  <si>
    <t>Bahkan Neymar, Dani Alves, Rivaldo yg orang Brazil dukung Argentina demi liat Messi juara. Emang special nih orang bikin rivalitas Brazil Argentina hilang sejenak</t>
  </si>
  <si>
    <t>bahkan neymar dani alves rivaldo orang brazil dukung argentina demi liat messi juara emang special nih orang bikin rivalitas brazil argentina hilang sejenak</t>
  </si>
  <si>
    <t>['bahkan', 'neymar', 'dani', 'alves', 'rivaldo', 'orang', 'brazil', 'dukung', 'argentina', 'lihat', 'messi', 'juara', 'emang', 'special', 'orang', 'rivalitas', 'brazil', 'argentina', 'hilang', 'sejenak']</t>
  </si>
  <si>
    <t>Video Highlights Argentina vs Prancis, Argentina Juara Piala Dunia 2022, Menang Adu Penalti Setelah Imbang 3-3 Selama 120 Menit  https://t.co/R5Zldln0SL</t>
  </si>
  <si>
    <t>video highlights argentina prancis argentina juara piala dunia menang adu penalti setelah imbang selama menit</t>
  </si>
  <si>
    <t>['video', 'highlights', 'argentina', 'prancis', 'argentina', 'juara', 'piala', 'dunia', 'menang', 'adu', 'penalti', 'imbang', 'selama', 'menit']</t>
  </si>
  <si>
    <t>Juara Piala Dunia Argentina, tapi juara dihati masyarakat Twitter tetep Mbape.</t>
  </si>
  <si>
    <t>juara piala dunia argentina tapi juara dihati masyarakat twitter tetep mbape</t>
  </si>
  <si>
    <t>['juara', 'piala', 'dunia', 'argentina', 'juara', 'dihati', 'masyarakat', 'twitter', 'tetep', 'mbape']</t>
  </si>
  <si>
    <t>Anjir Argentina udah juara Pildun 2022 sebagian Fans Ronaldo masih bilang "Pildun Settingan"üòë. Kalo emang settingan kenapa kayak Mbappe bisa cetak hattrick 3 gol, malahan Prancis sempet mau menang di extra timeüòë. Gila... ngerasa kayak gak terima Wkwkwkwkwkwkwkwkü§£ü§£ü§£ü§£ü§£</t>
  </si>
  <si>
    <t>anjir argentina udah juara pildun sebagian fans ronaldo masih bilang pildun settingan kalo emang settingan kenapa kayak mbappe bisa cetak hattrick gol malahan prancis sempet mau menang extra time gila ngerasa kayak gak terima wkwkwkwkwkwkwkwk</t>
  </si>
  <si>
    <t>['anjir', 'argentina', 'udah', 'juara', 'piala dunia', 'sebagian', 'fans', 'ronaldo', 'piala dunia', 'settingan', 'emang', 'settingan', 'seperti', 'mbappe', 'cetak', 'hattrick', 'gol', 'malahan', 'prancis', 'sempet', 'mau', 'menang', 'extra', 'time', 'gila', 'ngerasa', 'seperti', 'terima', 'wkwkwkwkwkwkwkwk']</t>
  </si>
  <si>
    <t>ngeritwit ini soalnya messi abis juara pildun bersama argentina. congrats messi selamat telah menamatkan sepakbola ü•≥ü•≥</t>
  </si>
  <si>
    <t>ngeritwit ini soalnya messi abis juara pildun bersama argentina congrats messi selamat telah menamatkan sepakbola</t>
  </si>
  <si>
    <t>['ngeritwit', 'soalnya', 'messi', 'abis', 'juara', 'piala dunia', 'bersama', 'argentina', 'congrats', 'messi', 'selamat', 'menamatkan', 'sepakbola']</t>
  </si>
  <si>
    <t>Selamat buat mas @Sukirman_Kir dan gus @yusuf_ch yang pagi ini sedang bergembira ria menyambut kemenangan Argentina di #FIFAWorldCup2022. Sementara, saya harus lapang dada menunda gembira hingga 2024 ketika PKB jadi juara seperti Argentina.  #loveMBAPPE</t>
  </si>
  <si>
    <t>selamat buat mas kir dan gus yang pagi ini sedang bergembira ria menyambut kemenangan argentina sementara saya harus lapang dada menunda gembira hingga ketika pkb jadi juara seperti argentina</t>
  </si>
  <si>
    <t>['selamat', 'buat', 'mas', 'kir', 'gus', 'pagi', 'sedang', 'bergembira', 'ria', 'menyambut', 'kemenangan', 'argentina', 'lapang', 'dada', 'menunda', 'gembira', 'hingga', 'pkb', 'jadi', 'juara', 'argentina']</t>
  </si>
  <si>
    <t>Drama Argentina Juara Piala Dunia 2022   https://t.co/ErJpLSFHi1</t>
  </si>
  <si>
    <t>acehkini: Selamat!! Argentina Juara Piala Dunia Qatar 2022  Dengan demikian, usai sudah 64 pertandingan di Piala Dunia 2022. Terima kasih Qatar sudah menjadi tuan rumah Piala Dunia yang luar biasa..   #acehkini #WorldCup2022 #FIFAWorldCupQatar2022  https://t.co/EfZOBAHuss</t>
  </si>
  <si>
    <t>acehkini selamat argentina juara piala dunia qatar dengan demikian usai sudah pertandingan piala dunia terima kasih qatar sudah menjadi tuan rumah piala dunia yang luar biasa</t>
  </si>
  <si>
    <t>['acehkini', 'selamat', 'argentina', 'juara', 'piala', 'dunia', 'qatar', 'usai', 'pertandingan', 'piala', 'dunia', 'terima', 'kasih', 'qatar', 'menjadi', 'tuan', 'rumah', 'piala', 'dunia', 'luar', 'biasa']</t>
  </si>
  <si>
    <t>Selamat untuk Messi dan Kawan-kawan, Selamat Untuk Argentina. Juara Dunia FIFA World Cup - Qatar 2022 #FIFAWorldCup #FIFAWorldCup2022  GREATEST OF ALL TIME #QatarWorldCup2022 #Congratulations  https://t.co/EAnTlsOL9g</t>
  </si>
  <si>
    <t>selamat untuk messi dan kawan kawan selamat untuk argentina juara dunia fifa world cup qatar greatest all time</t>
  </si>
  <si>
    <t>['selamat', 'messi', 'kawan', 'kawan', 'selamat', 'argentina', 'juara', 'dunia', 'fifa', 'world', 'cup', 'qatar', 'greatest', 'all', 'time']</t>
  </si>
  <si>
    <t>@EnzyStoria Kaka cantik itu foto jersey argentina juara copa 2021</t>
  </si>
  <si>
    <t>kaka cantik itu foto jersey argentina juara copa</t>
  </si>
  <si>
    <t>['kaka', 'cantik', 'foto', 'jersey', 'argentina', 'juara', 'copa']</t>
  </si>
  <si>
    <t>Congratz argentina juara piala dunia 2022 üèÜ Messi the real goat üôåüêêüá¶üá∑</t>
  </si>
  <si>
    <t>congratz argentina juara piala dunia messi the real goat</t>
  </si>
  <si>
    <t>['congratz', 'argentina', 'juara', 'piala', 'dunia', 'messi', 'the', 'real', 'goat']</t>
  </si>
  <si>
    <t>@HasbullaHive Katanya kalo Argentina juara bakalan bagi-bagi duit</t>
  </si>
  <si>
    <t>katanya kalo argentina juara bakalan bagi bagi duit</t>
  </si>
  <si>
    <t>['katanya', 'argentina', 'juara', 'bakalan', 'duit']</t>
  </si>
  <si>
    <t>Reaksi Netizen Setelah Argentina Juara Piala Dunia 2022: Debat GOAT Selesai, Pemenangnya Lionel Messi! ‚Äì  https://t.co/g2F046JCR1 ‚Äì  https://t.co/Bn7VZqMz2P ‚Äì #Arenanews #Kamidi #Opsiminfo- https://t.co/4rF0Q42sCf</t>
  </si>
  <si>
    <t>reaksi netizen setelah argentina juara piala dunia debat goat selesai pemenangnya lionel messi</t>
  </si>
  <si>
    <t>['reaksi', 'netizen', 'argentina', 'juara', 'piala', 'dunia', 'debat', 'goat', 'selesai', 'pemenangnya', 'lionel', 'messi']</t>
  </si>
  <si>
    <t>Presiden Argentina, Alberto Fernandez mengunggah foto Selfie bersama sang istri Fabiola Yanez dan anak di depan TV usai Argentina jadi juara Piala Dunia 2022.  https://t.co/S45enzsWcM</t>
  </si>
  <si>
    <t>Hasil Piala Dunia 2022: Argentina Juara, Ada Senyum Merekah Messi di Pelukan sang Ibu    https://t.co/4qGjvRByZS via @tribunnews</t>
  </si>
  <si>
    <t>hasil piala dunia argentina juara ada senyum merekah messi pelukan sang ibu via</t>
  </si>
  <si>
    <t>['hasil', 'piala', 'dunia', 'argentina', 'juara', 'senyum', 'merekah', 'messi', 'pelukan', 'sang', 'ibu', 'via']</t>
  </si>
  <si>
    <t>Tak kek i saran, sek dukung perancis ojo buka tiktok ro ig sek mesti beranda mung kebak argentina juara</t>
  </si>
  <si>
    <t>tak kek saran sek dukung perancis ojo buka tiktok sek mesti beranda mung kebak argentina juara</t>
  </si>
  <si>
    <t>['tak', 'kek', 'saran', 'sek', 'dukung', 'perancis', 'ojo', 'buka', 'tiktok', 'sek', 'mesti', 'beranda', 'mung', 'kebak', 'argentina', 'juara']</t>
  </si>
  <si>
    <t>Salah satu alasan Argentina juara pildun  https://t.co/NtD7pPDZqy</t>
  </si>
  <si>
    <t>salah satu alasan argentina juara pildun</t>
  </si>
  <si>
    <t>['salah', 'satu', 'alasan', 'argentina', 'juara', 'piala dunia']</t>
  </si>
  <si>
    <t>Argentina keluar sebagai juara Piala Dunia 2022 usai menaklukkan Prancis lewat adu penalti 3-3 (4-2).   https://t.co/vvzNYtvN2i</t>
  </si>
  <si>
    <t>argentina keluar sebagai juara piala dunia usai menaklukkan prancis lewat adu penalti</t>
  </si>
  <si>
    <t>['argentina', 'keluar', 'juara', 'piala', 'dunia', 'usai', 'menaklukkan', 'prancis', 'lewat', 'adu', 'penalti']</t>
  </si>
  <si>
    <t>Selamat Argentina menjadi Juara #FIFAWorldCup 2022  https://t.co/uvWsdFCtbf</t>
  </si>
  <si>
    <t>selamat argentina menjadi juara</t>
  </si>
  <si>
    <t>['selamat', 'argentina', 'menjadi', 'juara']</t>
  </si>
  <si>
    <t>Presiden Argentina, Alberto Fernandez mengunggah foto Selfie bersama sang istri Fabiola Yanez dan anak di depan TV usai Argentina jadi juara Piala Dunia 2022.  https://t.co/S45enzbTaM</t>
  </si>
  <si>
    <t>Bahagianya Maradona liat Messi debut sama Argentina di piala 2006 lawan Serbia &amp;amp; Montenegro  Mungkin #D10S sekarang juga bahagia liat Messi juara piala dunia 2022 bersama Argentina   https://t.co/Mg7Sk1ZnM7</t>
  </si>
  <si>
    <t>bahagianya maradona liat messi debut sama argentina piala lawan serbia montenegro mungkin sekarang juga bahagia liat messi juara piala dunia bersama argentina</t>
  </si>
  <si>
    <t>['bahagianya', 'maradona', 'lihat', 'messi', 'debut', 'sama', 'argentina', 'piala', 'lawan', 'serbia', 'montenegro', 'mungkin', 'sekarang', 'bahagia', 'lihat', 'messi', 'juara', 'piala', 'dunia', 'bersama', 'argentina']</t>
  </si>
  <si>
    <t>Congratulations to Argentina,setelah penantian panjang selama 36 tahun(terakhir juara piala dunia 1986) akhirnya Argentina bisa meraih Piala Dunia untuk ketiga kalinya,dan salah satu kado terindah buat Lionel Messi dkk üòÅüëçüá¶üá∑üéâ</t>
  </si>
  <si>
    <t>congratulations argentina setelah penantian panjang selama tahun terakhir juara piala dunia akhirnya argentina bisa meraih piala dunia untuk ketiga kalinya dan salah satu kado terindah buat lionel messi dkk</t>
  </si>
  <si>
    <t>['congratulations', 'argentina', 'penantian', 'panjang', 'selama', 'tahun', 'terakhir', 'juara', 'piala', 'dunia', 'akhirnya', 'argentina', 'meraih', 'piala', 'dunia', 'ketiga', 'kalinya', 'salah', 'satu', 'kado', 'terindah', 'buat', 'lionel', 'messi', 'dkk']</t>
  </si>
  <si>
    <t>Tumpaskandaskan Prancis 4-2 di Adu Penalti, Argentina Juara Piala Dunia 2022 #Kompolmas #ArgentinaVsFrance #Argentina #ArgentinaFrancia #WorldCup #wordcup2022    https://t.co/lW5j3JN7TV</t>
  </si>
  <si>
    <t>tumpaskandaskan prancis adu penalti argentina juara piala dunia</t>
  </si>
  <si>
    <t>['tumpaskandaskan', 'prancis', 'adu', 'penalti', 'argentina', 'juara', 'piala', 'dunia']</t>
  </si>
  <si>
    <t>Selamat untuk Team Argentina yg telah menjadi Juara Dunia setelah melalui pertandingan Final yg sangat seru melawan Prancis. kedua team sama bagusnya dalam bermain tapi keberintungan berpihak kepada Argentina  #FIFAWorldCupFinal   https://t.co/AUmiIv8sWQ  https://t.co/jObmpZdmDP</t>
  </si>
  <si>
    <t>selamat untuk team argentina telah menjadi juara dunia setelah melalui pertandingan final sangat seru melawan prancis kedua team sama bagusnya dalam bermain tapi keberintungan berpihak kepada argentina</t>
  </si>
  <si>
    <t>['selamat', 'team', 'argentina', 'menjadi', 'juara', 'dunia', 'melalui', 'pertandingan', 'final', 'sangat', 'seru', 'melawan', 'prancis', 'kedua', 'team', 'sama', 'bagusnya', 'bermain', 'keberintungan', 'berpihak', 'argentina']</t>
  </si>
  <si>
    <t>Argentina Juara Dunia Word Cup 2022  https://t.co/n4RTooEbn7</t>
  </si>
  <si>
    <t>Argentina juara dunia . But Morocco is the people‚Äôs champion !</t>
  </si>
  <si>
    <t>argentina juara dunia but morocco the people champion</t>
  </si>
  <si>
    <t>['argentina', 'juara', 'dunia', 'but', 'morocco', 'the', 'people', 'champion']</t>
  </si>
  <si>
    <t>Timnas Argentina keluar sebagai juara Piala Dunia 2022. Dengan demikian, akhirnya kini ada juara dunia lagi dari luar Eropa setelah 20 tahun lamanya.  https://t.co/7hPSVwJhmE</t>
  </si>
  <si>
    <t>timnas argentina keluar sebagai juara piala dunia dengan demikian akhirnya kini ada juara dunia lagi dari luar eropa setelah tahun lamanya</t>
  </si>
  <si>
    <t>['timnas', 'argentina', 'keluar', 'juara', 'piala', 'dunia', 'akhirnya', 'kini', 'juara', 'dunia', 'luar', 'eropa', 'tahun', 'lamanya']</t>
  </si>
  <si>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</si>
  <si>
    <t>congratulation argentina argentina berhasil menjadi juara piala dunia qatar setelah mengalahkan francis lewat tendang adu pinalti dengan skor pinalti</t>
  </si>
  <si>
    <t>['congratulation', 'argentina', 'argentina', 'berhasil', 'menjadi', 'juara', 'piala', 'dunia', 'qatar', 'mengalahkan', 'francis', 'lewat', 'tendang', 'adu', 'penalti', 'skor', 'penalti']</t>
  </si>
  <si>
    <t>Argentina Juara NO DEBAT  #vamosargentina  @Henk_18  https://t.co/SEvp200eYZ</t>
  </si>
  <si>
    <t>argentina juara debat</t>
  </si>
  <si>
    <t>['argentina', 'juara', 'debat']</t>
  </si>
  <si>
    <t>@karimafwan @vhanquish @idextratime Nah kebukti kann, mereka come back 2 kali plus ada penalty 2 kali juga. So thiss is final...ada bnyak faktor tpi yg pasti tim yang paling siap adalah pemenangnya dan argentina layak juara.</t>
  </si>
  <si>
    <t>nah kebukti kann mereka come back kali plus ada penalty kali juga thiss final ada bnyak faktor tpi pasti tim yang paling siap adalah pemenangnya dan argentina layak juara</t>
  </si>
  <si>
    <t>['nah', 'kebukti', 'kann', 'come', 'back', 'kali', 'plus', 'penalty', 'kali', 'thiss', 'final', 'bnyak', 'faktor', 'tpi', 'tim', 'paling', 'siap', 'pemenangnya', 'argentina', 'layak', 'juara']</t>
  </si>
  <si>
    <t>@CNNIndonesia Menang adu pinalty jgn bngga argentina  wjar presiden prancis emanuel macron twiteran dg presiden argentina juara pinalty jgn mrsa bngga jdi juara piala dunia krn menangnya bukan menang mutlak jdi jgn bngga argentina jdi juara piala dunia di</t>
  </si>
  <si>
    <t>menang adu pinalty jgn bngga argentina wjar presiden prancis emanuel macron twiteran presiden argentina juara pinalty jgn mrsa bngga jdi juara piala dunia krn menangnya bukan menang mutlak jdi jgn bngga argentina jdi juara piala dunia</t>
  </si>
  <si>
    <t>['menang', 'adu', 'pinalty', 'bngga', 'argentina', 'wjar', 'presiden', 'prancis', 'emanuel', 'macron', 'twiteran', 'presiden', 'argentina', 'juara', 'pinalty', 'mrsa', 'bngga', 'jdi', 'juara', 'piala', 'dunia', 'menangnya', 'bukan', 'menang', 'mutlak', 'jdi', 'bngga', 'argentina', 'jdi', 'juara', 'piala', 'dunia']</t>
  </si>
  <si>
    <t>Argentina juara karena settingan !</t>
  </si>
  <si>
    <t>argentina juara karena settingan</t>
  </si>
  <si>
    <t>['argentina', 'juara', 'settingan']</t>
  </si>
  <si>
    <t>Argentina Juara cuyyy  https://t.co/4rC9i6GnHa</t>
  </si>
  <si>
    <t>argentina juara cuyyy</t>
  </si>
  <si>
    <t>['argentina', 'juara', 'cuyyy']</t>
  </si>
  <si>
    <t>PENANTIAN MESSI ADALAH PENANTIAN GUE SEJAK DAHULU PENGEN BANGET ARGENTINA JUARA DUNIA. ü•áüèÜüá¶üá∑</t>
  </si>
  <si>
    <t>penantian messi adalah penantian gue sejak dahulu pengen banget argentina juara dunia</t>
  </si>
  <si>
    <t>['penantian', 'messi', 'penantian', 'gue', 'sejak', 'pengen', 'banget', 'argentina', 'juara', 'dunia']</t>
  </si>
  <si>
    <t>Minggu pagi kamu juara, minggu malam argentina juara</t>
  </si>
  <si>
    <t>minggu pagi kamu juara minggu malam argentina juara</t>
  </si>
  <si>
    <t>['minggu', 'pagi', 'kamu', 'juara', 'minggu', 'malam', 'argentina', 'juara']</t>
  </si>
  <si>
    <t>Argentina Juara Piala Dunia, Lionel Messi... Sempurna!  https://t.co/n9Iv5aYlPu</t>
  </si>
  <si>
    <t>Argentina baru saja memenangi edisi teranyar Piala Dunia. Berikut daftar juara turnamen terakbar sepakbola itu dari masa ke masa, yang dimulai sejak 1930.  https://t.co/cLl1ErdGiS</t>
  </si>
  <si>
    <t>Semenjak ada piala dunia pola tidur jadi kebalik. Karena Argentina udah jadi juara mari kita tata kembali pola tidur yang sudah kacau ini wkwkkw.</t>
  </si>
  <si>
    <t>semenjak ada piala dunia pola tidur jadi kebalik karena argentina udah jadi juara mari kita tata kembali pola tidur yang sudah kacau ini wkwkkw</t>
  </si>
  <si>
    <t>['semenjak', 'piala', 'dunia', 'pola', 'tidur', 'jadi', 'kebalik', 'argentina', 'udah', 'jadi', 'juara', 'tata', 'pola', 'tidur', 'kacau', 'wkwkkw']</t>
  </si>
  <si>
    <t>Argentina juara akhirnya brow, love you messiü´∂üèªüíõü§çüß°‚ù§Ô∏è‚Äçüî•üíñüí•üî•‚òÑÔ∏è‚ú®</t>
  </si>
  <si>
    <t>argentina juara akhirnya brow love you messi</t>
  </si>
  <si>
    <t>['argentina', 'juara', 'akhirnya', 'brow', 'love', 'you', 'messi']</t>
  </si>
  <si>
    <t>Argentina Juara Piala Dunia, Mbappe Hattrick, Prancis Kalah Adu Penalti  https://t.co/zV6e8T4LVf  https://t.co/gqBBu8qYLL</t>
  </si>
  <si>
    <t>argentina juara piala dunia mbappe hattrick prancis kalah adu penalti</t>
  </si>
  <si>
    <t>['argentina', 'juara', 'piala', 'dunia', 'mbappe', 'hattrick', 'prancis', 'kalah', 'adu', 'penalti']</t>
  </si>
  <si>
    <t>Argentina Juara, Istri dan Pacar Pemain Kompak Bikin Tato  https://t.co/W0xtzizojH  https://t.co/aOMlfCvXCu</t>
  </si>
  <si>
    <t>argentina juara istri dan pacar pemain kompak bikin tato</t>
  </si>
  <si>
    <t>['argentina', 'juara', 'istri', 'pacar', 'pemain', 'kompak', 'tato']</t>
  </si>
  <si>
    <t>fans barca seneng banget argentina juara sampai mereka lupa kalo di argentina gaada pemain barcaü§£</t>
  </si>
  <si>
    <t>fans barca seneng banget argentina juara sampai mereka lupa kalo argentina gaada pemain barca</t>
  </si>
  <si>
    <t>['fans', 'barca', 'seneng', 'banget', 'argentina', 'juara', 'lupa', 'argentina', 'gaada', 'pemain', 'barca']</t>
  </si>
  <si>
    <t>Tadi nobar gue sendiri yang ngehype Argentina. Pas perancis ngepur pada bacot anying. Tapi seru dan senengnya Argentina yang juara üòà</t>
  </si>
  <si>
    <t>tadi nobar gue sendiri yang ngehype argentina pas perancis ngepur pada bacot anying tapi seru dan senengnya argentina yang juara</t>
  </si>
  <si>
    <t>['tadi', 'nonton bareng', 'gue', 'sendiri', 'ngehype', 'argentina', 'pas', 'perancis', 'ngepur', 'bacot', 'anying', 'seru', 'senengnya', 'argentina', 'juara']</t>
  </si>
  <si>
    <t>Udah ga ada di perdebatkan lagi, Sepakbola sudah TAMAT. Juara Dunia Argentina, Pemain GOAT MESSI üëç. Aku sendiri Respect Messi dan Fansnya yang dewasa   intinya Messi dan Cristiano Ronaldo adalah terbaik sepanjang masa  https://t.co/XmoqNBwoEE</t>
  </si>
  <si>
    <t>udah ada perdebatkan lagi sepakbola sudah tamat juara dunia argentina pemain goat messi aku sendiri respect messi dan fansnya yang dewasa intinya messi dan cristiano ronaldo adalah terbaik sepanjang masa</t>
  </si>
  <si>
    <t>['udah', 'perdebatkan', 'sepakbola', 'tamat', 'juara', 'dunia', 'argentina', 'pemain', 'goat', 'messi', 'aku', 'sendiri', 'respect', 'messi', 'fansnya', 'dewasa', 'intinya', 'messi', 'cristiano', 'ronaldo', 'terbaik', 'sepanjang', 'masa']</t>
  </si>
  <si>
    <t>full senyum karna argentina juara tuh udh di setting kok wkwkwkwkkwkekwkekwkekwkwkwkwkwkke</t>
  </si>
  <si>
    <t>full senyum karna argentina juara tuh udh setting kok wkwkwkwkkwkekwkekwkekwkwkwkwkwkke</t>
  </si>
  <si>
    <t>['full', 'senyum', 'karna', 'argentina', 'juara', 'sudah', 'setting', 'kok', 'wkwkwkwkkwkekwkekwkekwkwkwkwkwkke']</t>
  </si>
  <si>
    <t>Argentina aja udh juara piala dunia lagi kamu gamau jadi juara di hatiku lagi? Wkwk</t>
  </si>
  <si>
    <t>argentina aja udh juara piala dunia lagi kamu gamau jadi juara hatiku lagi wkwk</t>
  </si>
  <si>
    <t>['argentina', 'sudah', 'juara', 'piala', 'dunia', 'kamu', 'gamau', 'jadi', 'juara', 'hatiku']</t>
  </si>
  <si>
    <t>congratulations argentina winning for the world cup final and good game for france üëèüèª gue akuin france bebas dari kutukan sang juara bertahan. not bad lah untuk france, next nya lebih matang lagi, lebih kompak lagi. gpp runner-up, gg france üá®üáµüëèüèª</t>
  </si>
  <si>
    <t>congratulations argentina winning for the world cup final and good game for france gue akuin france bebas dari kutukan sang juara bertahan not bad lah untuk france next nya lebih matang lagi lebih kompak lagi gpp runner france</t>
  </si>
  <si>
    <t>['congratulations', 'argentina', 'winning', 'for', 'the', 'world', 'cup', 'final', 'and', 'good', 'game', 'for', 'france', 'gue', 'akuin', 'france', 'bebas', 'kutukan', 'sang', 'juara', 'bertahan', 'not', 'bad', 'lah', 'france', 'next', 'lebih', 'matang', 'lebih', 'kompak', 'gapapa', 'runner', 'france']</t>
  </si>
  <si>
    <t>Apakah kemenangan Argentina atas Prancis ini berarti Saudi Arabia yang jadi juara dunia? üòÖ</t>
  </si>
  <si>
    <t>apakah kemenangan argentina atas prancis ini berarti saudi arabia yang jadi juara dunia</t>
  </si>
  <si>
    <t>['kemenangan', 'argentina', 'atas', 'prancis', 'berarti', 'saudi', 'arabia', 'jadi', 'juara', 'dunia']</t>
  </si>
  <si>
    <t>Timnas Argentina berpesta. Mereka berhasil menjadi juara Piala Dunia Qatar 2022 setelah menundukkan Prancis lewat drama adu penalti, 3-3 (4-2).  https://t.co/yrZ9mxlJk9</t>
  </si>
  <si>
    <t>timnas argentina berpesta mereka berhasil menjadi juara piala dunia qatar setelah menundukkan prancis lewat drama adu penalti</t>
  </si>
  <si>
    <t>['timnas', 'argentina', 'berpesta', 'berhasil', 'menjadi', 'juara', 'piala', 'dunia', 'qatar', 'menundukkan', 'prancis', 'lewat', 'drama', 'adu', 'penalti']</t>
  </si>
  <si>
    <t>Argentina baru saja memenangi edisi teranyar Piala Dunia. Berikut daftar juara turnamen terakbar sepakbola itu dari masa ke masa, yang dimulai sejak 1930.  https://t.co/cLl1EruJkS</t>
  </si>
  <si>
    <t>@CNNIndonesia Menang adu pinalty membuktikan prancis emang hbat slalu menang di fifa world cup dunia juara brthan lawan argentina thn 2018 di piala dunia prancis menang 4-2 lawan kroasia dan thn 1998 prancis menang 3-0 lawan brasil dan thn 2006 prancis dr</t>
  </si>
  <si>
    <t>menang adu pinalty membuktikan prancis emang hbat slalu menang fifa world cup dunia juara brthan lawan argentina thn piala dunia prancis menang lawan kroasia dan thn prancis menang lawan brasil dan thn prancis</t>
  </si>
  <si>
    <t>['menang', 'adu', 'pinalty', 'membuktikan', 'prancis', 'emang', 'hbat', 'slalu', 'menang', 'fifa', 'world', 'cup', 'dunia', 'juara', 'brthan', 'lawan', 'argentina', 'thn', 'piala', 'dunia', 'prancis', 'menang', 'lawan', 'kroasia', 'thn', 'prancis', 'menang', 'lawan', 'brasil', 'thn', 'prancis']</t>
  </si>
  <si>
    <t>&lt;FreqDist with 20 samples and 31 outcomes&gt;</t>
  </si>
  <si>
    <t>PERDEBATAN SELESAI‚ÄºÔ∏èüò≠  MESSI  GREATEST OF ALL TIMEüêê  GOAT NO DOUBT.  Maradona pasti Tersenyum dan sangat bangga padamu LEOü•π  Argentina Sangat layak JUARA DUNIAüá¶üá∑  #FIFAWorldCupFinal #FIFAWorldcup  Aguero Dybala  https://t.co/ZRKTW7yV1a</t>
  </si>
  <si>
    <t>Argentina ditunggu Persipura dari wilayah Timur untuk rebutin siapa juara sesungguhnya.</t>
  </si>
  <si>
    <t>argentina ditunggu persipura dari wilayah timur untuk rebutin siapa juara sesungguhnya</t>
  </si>
  <si>
    <t>['argentina', 'ditunggu', 'persipura', 'wilayah', 'timur', 'rebutin', 'siapa', 'juara', 'sesungguhnya']</t>
  </si>
  <si>
    <t>pildun qatar salah satu pildun yg gakan bisa dilupain, setiap match penuh emosi sama drama, ga ada yg nyangka maroko tembus semi final, jepang korea lolos grup, apalagi pas final tadi sama sama kuat sampe akhirnya d tentuin lewat adu pinalti dan akhirnya argentina juara dunia</t>
  </si>
  <si>
    <t>pildun qatar salah satu pildun gakan bisa dilupain setiap match penuh emosi sama drama ada nyangka maroko tembus semi final jepang korea lolos grup apalagi pas final tadi sama sama kuat sampe akhirnya tentuin lewat adu pinalti dan akhirnya argentina juara dunia</t>
  </si>
  <si>
    <t>['piala dunia', 'qatar', 'salah', 'satu', 'piala dunia', 'gakan', 'dilupain', 'match', 'penuh', 'emosi', 'sama', 'drama', 'nyangka', 'maroko', 'tembus', 'semi', 'final', 'jepang', 'korea', 'lolos', 'grup', 'pas', 'final', 'tadi', 'sama', 'sama', 'kuat', 'sampai', 'akhirnya', 'tentuin', 'lewat', 'adu', 'penalti', 'akhirnya', 'argentina', 'juara', 'dunia']</t>
  </si>
  <si>
    <t>Selamat ya Argentina juara #PialaDunia2022</t>
  </si>
  <si>
    <t>Argentina baru saja memenangi edisi teranyar Piala Dunia. Berikut daftar juara turnamen terakbar sepakbola itu dari masa ke masa, yang dimulai sejak 1930.  https://t.co/LtZTuv0LpB</t>
  </si>
  <si>
    <t>argentina juara, drake tetep turu</t>
  </si>
  <si>
    <t>argentina juara drake tetep turu</t>
  </si>
  <si>
    <t>['argentina', 'juara', 'drake', 'tetep', 'tidur']</t>
  </si>
  <si>
    <t>@frzftllh12 @konakanii @idextratime Leno cedera - Emi Martinez starter - Main bagus - Kiper utama Aston Villa - Kiper utama Argentina di Copa Amerika - Juara - Kiper Utama WC - dan sejarah tercipta</t>
  </si>
  <si>
    <t>leno cedera emi martinez starter main bagus kiper utama aston villa kiper utama argentina copa amerika juara kiper utama dan sejarah tercipta</t>
  </si>
  <si>
    <t>['leno', 'cedera', 'emi', 'martinez', 'starter', 'main', 'bagus', 'kiper', 'utama', 'aston', 'villa', 'kiper', 'utama', 'argentina', 'copa', 'amerika', 'juara', 'kiper', 'utama', 'sejarah', 'tercipta']</t>
  </si>
  <si>
    <t>Argentina Juara Dunia, Lionel Messi Catat Sejarah Besar  https://t.co/7SEUwZCXHz</t>
  </si>
  <si>
    <t>argentina juara dunia lionel messi catat sejarah besar</t>
  </si>
  <si>
    <t>['argentina', 'juara', 'dunia', 'lionel', 'messi', 'catat', 'sejarah', 'besar']</t>
  </si>
  <si>
    <t>@firdausrama4 @al_mhiii @Expertttttt1 @idextratime Lah ini Argentina menang? Malah juara dunia gua kaga ngumpet tuh. Malu itu yang diawal ngumpet pas menang doang dia keluarü§£  https://t.co/Um2m4KWQiF</t>
  </si>
  <si>
    <t>mhiii lah ini argentina menang malah juara dunia gua kaga ngumpet tuh malu itu yang diawal ngumpet pas menang doang dia keluar</t>
  </si>
  <si>
    <t>['mhiii', 'lah', 'argentina', 'menang', 'malah', 'juara', 'dunia', 'gua', 'kaga', 'ngumpet', 'malu', 'diawal', 'ngumpet', 'pas', 'menang', 'doang', 'keluar']</t>
  </si>
  <si>
    <t>@Faturfemuhammad @al_mhiii @Expertttttt1 @idextratime Pertanyaannya, wkt arab diatas ente mention2, skng argentina juara ente panas bru keluar, gua bales tuh wkt ente mention arab bahkan gua jg mention belanda. Kalo kalah, mengakui dan diem, apa yang mw d</t>
  </si>
  <si>
    <t>mhiii pertanyaannya wkt arab diatas ente mention skng argentina juara ente panas bru keluar gua bales tuh wkt ente mention arab bahkan gua mention belanda kalo kalah mengakui dan diem apa yang</t>
  </si>
  <si>
    <t>['mhiii', 'pertanyaannya', 'wkt', 'arab', 'diatas', 'ente', 'mention', 'skng', 'argentina', 'juara', 'ente', 'panas', 'bru', 'keluar', 'gua', 'bales', 'wkt', 'ente', 'mention', 'arab', 'bahkan', 'gua', 'mention', 'belanda', 'kalah', 'mengakui', 'diem', 'apa']</t>
  </si>
  <si>
    <t>Ini buatan fans ronaldo buat pengalihan berita tentang argentina juara dan messi jadi goatüò°üò°üò°</t>
  </si>
  <si>
    <t>ini buatan fans ronaldo buat pengalihan berita tentang argentina juara dan messi jadi goat</t>
  </si>
  <si>
    <t>['buatan', 'fans', 'ronaldo', 'buat', 'pengalihan', 'berita', 'argentina', 'juara', 'messi', 'jadi', 'goat']</t>
  </si>
  <si>
    <t>Congrats ARG! Ternyata bener yee kalian yg juara. Mau gmn pun udah rezeki nya hari ini, gak bakal kemana... Vamos Argentinaüá¶üá∑</t>
  </si>
  <si>
    <t>congrats arg ternyata bener yee kalian juara mau gmn pun udah rezeki nya hari ini gak bakal kemana vamos argentina</t>
  </si>
  <si>
    <t>['congrats', 'arg', 'ternyata', 'benar', 'yee', 'kalian', 'juara', 'mau', 'gmn', 'udah', 'rezeki', 'hari', 'bakal', 'vamos', 'argentina']</t>
  </si>
  <si>
    <t>BREAKING: Argentina juara Piala Dunia 2022, tapi Manchester United tetap klub terbaik di Inggris #GGMU  https://t.co/z0tUmzKfTQ</t>
  </si>
  <si>
    <t>breaking argentina juara piala dunia tapi manchester united tetap klub terbaik inggris</t>
  </si>
  <si>
    <t>['breaking', 'argentina', 'juara', 'piala', 'dunia', 'manchester', 'united', 'tetap', 'klub', 'terbaik', 'inggris']</t>
  </si>
  <si>
    <t>19 Desember 2022,  Argentina juara di hari ulang tahun mama, What a beautiful day, Vamos ‚ù§Ô∏è‚Äçüî•üá¶üá∑  https://t.co/1n1n7GyUNH</t>
  </si>
  <si>
    <t>desember argentina juara hari ulang tahun mama what beautiful day vamos</t>
  </si>
  <si>
    <t>['desember', 'argentina', 'juara', 'hari', 'ulang', 'tahun', 'mama', 'what', 'beautiful', 'day', 'vamos']</t>
  </si>
  <si>
    <t>@jolayjali @KMbappe @ChampionsLeague @ManUtd Juara DUNIA nya tetep ARGENTINA jal ü§™</t>
  </si>
  <si>
    <t>juara dunia nya tetep argentina jal</t>
  </si>
  <si>
    <t>['juara', 'dunia', 'tetep', 'argentina', 'jal']</t>
  </si>
  <si>
    <t>selesai sudah perdebatan permain terbaik dunia, messi the real goat, 2x wc final, 2x best player, 1x runner up, 1x juara  OUR GOATüá¶üá∑üêê VAMOS ARGENTINA‚≠êÔ∏è‚≠êÔ∏è‚≠êÔ∏è @ID_Albiceleste  https://t.co/AVc3V5ibRk</t>
  </si>
  <si>
    <t>selesai sudah perdebatan permain terbaik dunia messi the real goat final best player runner juara our goat vamos argentina albiceleste</t>
  </si>
  <si>
    <t>['selesai', 'perdebatan', 'permain', 'terbaik', 'dunia', 'messi', 'the', 'real', 'goat', 'final', 'best', 'player', 'runner', 'juara', 'our', 'goat', 'vamos', 'argentina', 'albiceleste']</t>
  </si>
  <si>
    <t>Argentina baru saja memenangi edisi teranyar Piala Dunia. Berikut daftar juara turnamen terakbar sepakbola itu dari masa ke masa, yang dimulai sejak 1930.  https://t.co/yZiYeNdAG8</t>
  </si>
  <si>
    <t>Rossi suda PENSIUN argentina suda JUARA tinggal tunggu One piece TAMAT Kalau itu semua suda tamat berarti suda selesai juga masa muda ku.   Akhirnya sa suda tua.</t>
  </si>
  <si>
    <t>rossi suda pensiun argentina suda juara tinggal tunggu one piece tamat kalau itu semua suda tamat berarti suda selesai juga masa muda akhirnya suda tua</t>
  </si>
  <si>
    <t>['rossi', 'suda', 'pensiun', 'argentina', 'suda', 'juara', 'tinggal', 'tunggu', 'one', 'piece', 'tamat', 'kalau', 'semua', 'suda', 'tamat', 'berarti', 'suda', 'selesai', 'masa', 'muda', 'akhirnya', 'suda', 'tua']</t>
  </si>
  <si>
    <t>Selamat Argentina Juara 3 Kali Penobatan Congratulations Argentina Champion 3 Times of Coronation Felicidades Argentina Campe√≥n 3 Veces de Coronaci√≥n #SuperWings #FifaWorldCupQatar2022  https://t.co/e1lpkKOp3x</t>
  </si>
  <si>
    <t>selamat argentina juara kali penobatan congratulations argentina champion times coronation felicidades argentina campe veces coronaci</t>
  </si>
  <si>
    <t>['selamat', 'argentina', 'juara', 'kali', 'penobatan', 'congratulations', 'argentina', 'champion', 'times', 'coronation', 'felicidades', 'argentina', 'campe', 'veces', 'coronaci']</t>
  </si>
  <si>
    <t>Gegara tau Marquinhos nyuruh Messi rebahan di lapangan sama liat video Mbappe nabrak bahu Messi . Sejak itu jadi berharap banget Argentina ada di final FWC lawan brazil or  Prancis dan bisa juara. Biar mereka tau Messi juga harus di hormati walau " anak baru " di PSG.</t>
  </si>
  <si>
    <t>gegara tau marquinhos nyuruh messi rebahan lapangan sama liat video mbappe nabrak bahu messi sejak itu jadi berharap banget argentina ada final fwc lawan brazil prancis dan bisa juara biar mereka tau messi juga harus hormati walau anak baru psg</t>
  </si>
  <si>
    <t>['gegara', 'marquinhos', 'nyuruh', 'messi', 'rebahan', 'lapangan', 'sama', 'lihat', 'video', 'mbappe', 'nabrak', 'bahu', 'messi', 'sejak', 'jadi', 'berharap', 'banget', 'argentina', 'final', 'fwc', 'lawan', 'brazil', 'prancis', 'juara', 'messi', 'hormati', 'anak', 'baru', 'psg']</t>
  </si>
  <si>
    <t>bangun bangun argentina juara mana kalah tarohan lagi wakakakaküò≠ congrats mesi dan fam argenüëèüèªüëèüèª</t>
  </si>
  <si>
    <t>bangun bangun argentina juara mana kalah tarohan lagi wakakakak congrats mesi dan fam argen</t>
  </si>
  <si>
    <t>['bangun', 'bangun', 'argentina', 'juara', 'mana', 'kalah', 'tarohan', 'wakakakak', 'congrats', 'mesi', 'fam', 'argen']</t>
  </si>
  <si>
    <t>yg juara argentina yg dibully ronaldo ü§£ü§£</t>
  </si>
  <si>
    <t>juara argentina dibully ronaldo</t>
  </si>
  <si>
    <t>['juara', 'argentina', 'dibully', 'ronaldo']</t>
  </si>
  <si>
    <t>sejujurnya keputusan Argentina juara ni luck je bagi aku. Messi not the goat. Mbappe is the real goat!</t>
  </si>
  <si>
    <t>sejujurnya keputusan argentina juara luck bagi aku messi not the goat mbappe the real goat</t>
  </si>
  <si>
    <t>['sejujurnya', 'keputusan', 'argentina', 'juara', 'luck', 'aku', 'messi', 'not', 'the', 'goat', 'mbappe', 'the', 'real', 'goat']</t>
  </si>
  <si>
    <t>Di Piala Dunia tahun ini, Arab Saudi satu2nya yg bisa mengalahkan juara piala dunia Argentina</t>
  </si>
  <si>
    <t>piala dunia tahun ini arab saudi satu nya bisa mengalahkan juara piala dunia argentina</t>
  </si>
  <si>
    <t>['piala', 'dunia', 'tahun', 'arab', 'saudi', 'satu', 'mengalahkan', 'juara', 'piala', 'dunia', 'argentina']</t>
  </si>
  <si>
    <t>btw perasaan baru kemarin argentina dikalah sama arab, sekarang jadi juara mi</t>
  </si>
  <si>
    <t>btw perasaan baru kemarin argentina dikalah sama arab sekarang jadi juara</t>
  </si>
  <si>
    <t>['by the way', 'perasaan', 'baru', 'kemarin', 'argentina', 'dikalah', 'sama', 'arab', 'sekarang', 'jadi', 'juara']</t>
  </si>
  <si>
    <t>@TxtdariHI Penyebab argentina juara. üòÇ  https://t.co/qO0AVQlKAj</t>
  </si>
  <si>
    <t>penyebab argentina juara</t>
  </si>
  <si>
    <t>['penyebab', 'argentina', 'juara']</t>
  </si>
  <si>
    <t>Jangan nanggis jangan bimbang Fans France kok banyak Tumbang ü§£ #Argentina #Juara</t>
  </si>
  <si>
    <t>jangan nanggis jangan bimbang fans france kok banyak tumbang</t>
  </si>
  <si>
    <t>['jangan', 'nanggis', 'jangan', 'bimbang', 'fans', 'france', 'kok', 'banyak', 'tumbang']</t>
  </si>
  <si>
    <t>argentina juara tidur nyenyak ehh jam 7 ada kelas harus ke kampus üò©</t>
  </si>
  <si>
    <t>argentina juara tidur nyenyak ehh jam ada kelas harus kampus</t>
  </si>
  <si>
    <t>['argentina', 'juara', 'tidur', 'nyenyak', 'ehh', 'jam', 'kelas', 'kampus']</t>
  </si>
  <si>
    <t>Argentina Juara Dunia</t>
  </si>
  <si>
    <t>Argentina Juara Piala Dunia 2022, Tekuk Prancis Lewat Adu Penalti  https://t.co/2ZxdEX9TGi  https://t.co/7ZOMTgZ0ro</t>
  </si>
  <si>
    <t>argentina juara piala dunia tekuk prancis lewat adu penalti</t>
  </si>
  <si>
    <t>['argentina', 'juara', 'piala', 'dunia', 'tekuk', 'prancis', 'lewat', 'adu', 'penalti']</t>
  </si>
  <si>
    <t>Hasil Piala Dunia 2022: Argentina Juara, Ada Senyum Merekah Messi di Pelukan sang Ibu  https://t.co/86VugyYBa4  https://t.co/mLycm2tSoQ</t>
  </si>
  <si>
    <t>hasil piala dunia argentina juara ada senyum merekah messi pelukan sang ibu</t>
  </si>
  <si>
    <t>['hasil', 'piala', 'dunia', 'argentina', 'juara', 'senyum', 'merekah', 'messi', 'pelukan', 'sang', 'ibu']</t>
  </si>
  <si>
    <t>Bungkam Prancis, Argentina Juara Piala Dunia 2022  https://t.co/g6siuuInfa</t>
  </si>
  <si>
    <t>coba ikut taruhan, cair dah udah yakin argentina juara ü§£</t>
  </si>
  <si>
    <t>coba ikut taruhan cair dah udah yakin argentina juara</t>
  </si>
  <si>
    <t>['coba', 'ikut', 'taruhan', 'cair', 'dah', 'udah', 'yakin', 'argentina', 'juara']</t>
  </si>
  <si>
    <t>Pemain Muda Terbaik #EnzoFernandez  Kiper Terbaik #EmilianoMartinez  Pencetak Gol Terbanyak #Kylian_Mbappe  Pemain Terbaik #LionelMessi  Selamat untuk #ARGENTINA yang membawa gelar JUARA üèÜüá¶üá∑ #FIFAWorldCup  https://t.co/axwiw1UN03</t>
  </si>
  <si>
    <t>pemain muda terbaik kiper terbaik pencetak gol terbanyak mbappe pemain terbaik selamat untuk yang membawa gelar juara</t>
  </si>
  <si>
    <t>['pemain', 'muda', 'terbaik', 'kiper', 'terbaik', 'pencetak', 'gol', 'terbanyak', 'mbappe', 'pemain', 'terbaik', 'selamat', 'membawa', 'gelar', 'juara']</t>
  </si>
  <si>
    <t>Congratulations Argentina Champions FIFA WORLD CUP 2022, Gelar Juara ke 3 üëè  https://t.co/lLdjVb3NYx</t>
  </si>
  <si>
    <t>congratulations argentina champions fifa world cup gelar juara</t>
  </si>
  <si>
    <t>['congratulations', 'argentina', 'champions', 'fifa', 'world', 'cup', 'gelar', 'juara']</t>
  </si>
  <si>
    <t>Setalah penantian panjang, pada akhirnya Argentina menjadi juara di Piala Dunia 2022. Messi mengakhiri kisah manis bersama Timnas Argentina.  https://t.co/qkXmvFEXir</t>
  </si>
  <si>
    <t>setalah penantian panjang pada akhirnya argentina menjadi juara piala dunia messi mengakhiri kisah manis bersama timnas argentina</t>
  </si>
  <si>
    <t>['setalah', 'penantian', 'panjang', 'akhirnya', 'argentina', 'menjadi', 'juara', 'piala', 'dunia', 'messi', 'mengakhiri', 'kisah', 'manis', 'bersama', 'timnas', 'argentina']</t>
  </si>
  <si>
    <t>@mohmahfudmd Argentina Juara prof.</t>
  </si>
  <si>
    <t>argentina juara prof</t>
  </si>
  <si>
    <t>['argentina', 'juara', 'prof']</t>
  </si>
  <si>
    <t>Desember full senyum soalnye argentina juaraüá¶üá∑</t>
  </si>
  <si>
    <t>desember full senyum soalnye argentina juara</t>
  </si>
  <si>
    <t>['desember', 'full', 'senyum', 'soalnye', 'argentina', 'juara']</t>
  </si>
  <si>
    <t>@randi267 @duckasdf @dodancuk @txtfrombrand Dan Argentina juaraüòÖ</t>
  </si>
  <si>
    <t>dan argentina juara</t>
  </si>
  <si>
    <t>TIDAK APA PUTUS CINTA YANG PENTING ARGENTINA JUARA</t>
  </si>
  <si>
    <t>tidak apa putus cinta yang penting argentina juara</t>
  </si>
  <si>
    <t>['apa', 'putus', 'cinta', 'penting', 'argentina', 'juara']</t>
  </si>
  <si>
    <t>Dukung Prancis krna dulu sa kaka jagoin Prancis ü•≤ wlpun sa tau Argentina pasti yg juara. Padahal sa tratau pemain Prancis cuma tau Giroud, krna da dulu di Arsenal, sa cma kenal pemain Arsenal krna kakakku gooners parahh. Tanpa sadar semua yg sa kaka suka sa jadi ikut sukaüò´</t>
  </si>
  <si>
    <t>dukung prancis krna dulu kaka jagoin prancis wlpun tau argentina pasti juara padahal tratau pemain prancis cuma tau giroud krna dulu arsenal cma kenal pemain arsenal krna kakakku gooners parahh tanpa sadar semua kaka suka jadi ikut suka</t>
  </si>
  <si>
    <t>['dukung', 'prancis', 'krna', 'dulu', 'kaka', 'jagoin', 'prancis', 'wlpun', 'argentina', 'juara', 'padahal', 'tratau', 'pemain', 'prancis', 'cuma', 'giroud', 'krna', 'dulu', 'arsenal', 'cma', 'kenal', 'pemain', 'arsenal', 'krna', 'kakakku', 'gooners', 'parahh', 'sadar', 'semua', 'kaka', 'suka', 'jadi', 'ikut', 'suka']</t>
  </si>
  <si>
    <t>Argentina keluar sebagai juara Piala Dunia 2022 setelah mengalahkan Prancis 4-2 lewat adu penalti.  https://t.co/Mb1YD6Xh7n  https://t.co/JQt6tlkRfU</t>
  </si>
  <si>
    <t>argentina keluar sebagai juara piala dunia setelah mengalahkan prancis lewat adu penalti</t>
  </si>
  <si>
    <t>['argentina', 'keluar', 'juara', 'piala', 'dunia', 'mengalahkan', 'prancis', 'lewat', 'adu', 'penalti']</t>
  </si>
  <si>
    <t>Wes kate merem tp kepikiran nasibe jersey jersey Argentina ku..  Bintang e sek bintang 2 Argentina juara piala dunia kan berarti bintang e nambah siji maneh .. piye ii lek nambahi üòÖ</t>
  </si>
  <si>
    <t>wes kate merem kepikiran nasibe jersey jersey argentina bintang sek bintang argentina juara piala dunia kan berarti bintang nambah siji maneh piye lek nambahi</t>
  </si>
  <si>
    <t>['wes', 'kate', 'merem', 'kepikiran', 'nasibe', 'jersey', 'jersey', 'argentina', 'bintang', 'sek', 'bintang', 'argentina', 'juara', 'piala', 'dunia', 'kan', 'berarti', 'bintang', 'nambah', 'siji', 'maneh', 'piye', 'lek', 'nambahi']</t>
  </si>
  <si>
    <t>argentina juara dunia, tapi arsenal masih di puncak EPL damnn</t>
  </si>
  <si>
    <t>argentina juara dunia tapi arsenal masih puncak epl damnn</t>
  </si>
  <si>
    <t>['argentina', 'juara', 'dunia', 'arsenal', 'puncak', 'epl', 'damnn']</t>
  </si>
  <si>
    <t>Argentina Berhasil rebut trofi juara Piala dunia 2022   https://t.co/pqtUpGxm9A</t>
  </si>
  <si>
    <t>argentina berhasil rebut trofi juara piala dunia</t>
  </si>
  <si>
    <t>['argentina', 'berhasil', 'rebut', 'trofi', 'juara', 'piala', 'dunia']</t>
  </si>
  <si>
    <t>#SalutBuatTimnasArgentina Argentina berhasil mengawinkan tropi juara Piala Copa Amerika 2021 dan tropi juara Piala dunia 2022. #BravoArgentina #BravoMessiDiMariaMartinez  https://t.co/Fxi4YYJq6b</t>
  </si>
  <si>
    <t>argentina berhasil mengawinkan tropi juara piala copa amerika dan tropi juara piala dunia</t>
  </si>
  <si>
    <t>['argentina', 'berhasil', 'mengawinkan', 'trofi', 'juara', 'piala', 'copa', 'amerika', 'trofi', 'juara', 'piala', 'dunia']</t>
  </si>
  <si>
    <t>Congrat! Argentina Juara Dunia 2022, Ini Kisah Drama¬†Kemenangannya  https://t.co/cUBOzVe9pC</t>
  </si>
  <si>
    <t>congrat argentina juara dunia ini kisah drama kemenangannya</t>
  </si>
  <si>
    <t>['congrat', 'argentina', 'juara', 'dunia', 'kisah', 'drama', 'kemenangannya']</t>
  </si>
  <si>
    <t>Timnas Argentina selama ini kekurangan kiper yang bagus. Moment kala Emi Martinez lahir kembali menjadi kiper yang mampu mengantarkan argentina juara copa amerika 2021 dan piala dunia 2022.  #Martinez  #WorldCup  https://t.co/qdHg3FENQ2</t>
  </si>
  <si>
    <t>timnas argentina selama ini kekurangan kiper yang bagus moment kala emi martinez lahir kembali menjadi kiper yang mampu mengantarkan argentina juara copa amerika dan piala dunia</t>
  </si>
  <si>
    <t>['timnas', 'argentina', 'selama', 'kekurangan', 'kiper', 'bagus', 'moment', 'kala', 'emi', 'martinez', 'lahir', 'menjadi', 'kiper', 'mampu', 'mengantarkan', 'argentina', 'juara', 'copa', 'amerika', 'piala', 'dunia']</t>
  </si>
  <si>
    <t>@nextjack1995 @idextratime Argentina 3 juara, Italia 4 juara. Perdebatan berakhir....</t>
  </si>
  <si>
    <t>argentina juara italia juara perdebatan berakhir</t>
  </si>
  <si>
    <t>['argentina', 'juara', 'italia', 'juara', 'perdebatan', 'berakhir']</t>
  </si>
  <si>
    <t>Congrat! Argentina Juara Dunia 2022, Ini Kisah Drama¬†Kemenangannya  https://t.co/rSI5AjP4FN</t>
  </si>
  <si>
    <t>Congrat! Argentina Juara Dunia 2022, Ini Kisah Drama¬†Kemenangannya  https://t.co/kad9srFljt</t>
  </si>
  <si>
    <t>Congrat! Argentina Juara Dunia 2022, Ini Kisah Drama¬†Kemenangannya  https://t.co/Eq1C9QCcur</t>
  </si>
  <si>
    <t>Congrat! Argentina Juara Dunia 2022, Ini Kisah Drama¬†Kemenangannya  https://t.co/NRpAKYglTW</t>
  </si>
  <si>
    <t>Congrat! Argentina Juara Dunia 2022, Ini Kisah Drama¬†Kemenangannya  https://t.co/PTV9uEBU7u</t>
  </si>
  <si>
    <t>Fun Fact, negara dataran Amerika Selatan justru pada gamau Argentina yang juara.  Karena secara garis besar mereka paling beda diantara negara2 Amerika Latin lainnya alias bisa sombong 4 tahun kalo kata @pangeransiahaan ü§£ü§£ü§£</t>
  </si>
  <si>
    <t>fun fact negara dataran amerika selatan justru pada gamau argentina yang juara karena secara garis besar mereka paling beda diantara negara amerika latin lainnya alias bisa sombong tahun kalo kata</t>
  </si>
  <si>
    <t>['fun', 'fact', 'negara', 'dataran', 'amerika', 'selatan', 'justru', 'gamau', 'argentina', 'juara', 'garis', 'besar', 'paling', 'beda', 'diantara', 'negara', 'amerika', 'latin', 'lainnya', 'alias', 'sombong', 'tahun', 'kata']</t>
  </si>
  <si>
    <t>Final yang sangat menarikkk.. Congrats argentina. Messi the real Goat. Nice Try Prancis udh ngasih game yang seruüëè  Next harus brazil yg juara</t>
  </si>
  <si>
    <t>final yang sangat menarikkk congrats argentina messi the real goat nice try prancis udh ngasih game yang seru next harus brazil juara</t>
  </si>
  <si>
    <t>['final', 'sangat', 'menarikkk', 'congrats', 'argentina', 'messi', 'the', 'real', 'goat', 'nice', 'try', 'prancis', 'sudah', 'ngasih', 'game', 'seru', 'next', 'brazil', 'juara']</t>
  </si>
  <si>
    <t>@idextratime bismillah semoga gua bisa liat ronaldo juara sm portugal tanpa jd beban kyk messi di argentina aamiin ya allahü§≤</t>
  </si>
  <si>
    <t>bismillah semoga gua bisa liat ronaldo juara portugal tanpa beban kyk messi argentina aamiin allah</t>
  </si>
  <si>
    <t>['bismillah', 'semoga', 'gua', 'lihat', 'ronaldo', 'juara', 'portugal', 'beban', 'seperti', 'messi', 'argentina', 'aamiin', 'allah']</t>
  </si>
  <si>
    <t>Argentina juara Piala Dunia karena Messi masuk Islam  https://t.co/wy20OR3qqU</t>
  </si>
  <si>
    <t>argentina juara piala dunia karena messi masuk islam</t>
  </si>
  <si>
    <t>['argentina', 'juara', 'piala', 'dunia', 'messi', 'masuk', 'islam']</t>
  </si>
  <si>
    <t>alhamdulillah, walau gak berharap Argentina juara setidaknya yang juara bukan dari negara Eropa</t>
  </si>
  <si>
    <t>alhamdulillah walau gak berharap argentina juara setidaknya yang juara bukan dari negara eropa</t>
  </si>
  <si>
    <t>['alhamdulillah', 'berharap', 'argentina', 'juara', 'juara', 'bukan', 'negara', 'eropa']</t>
  </si>
  <si>
    <t>Scaloni Menganti Di Maria Dibabak Kedua Paksa Argentina Juara Lewat Adu Penalti,  Mbappe Cetak Hattrick Raih Sepatu Emas  https://t.co/QiI1eR3ZhL</t>
  </si>
  <si>
    <t>scaloni menganti maria dibabak kedua paksa argentina juara lewat adu penalti mbappe cetak hattrick raih sepatu emas</t>
  </si>
  <si>
    <t>['scaloni', 'menganti', 'maria', 'dibabak', 'kedua', 'paksa', 'argentina', 'juara', 'lewat', 'adu', 'penalti', 'mbappe', 'cetak', 'hattrick', 'raih', 'sepatu', 'emas']</t>
  </si>
  <si>
    <t>Alasan Argentina Juara Dunia!  https://t.co/U8QY7thoSO</t>
  </si>
  <si>
    <t>alasan argentina juara dunia</t>
  </si>
  <si>
    <t>['alasan', 'argentina', 'juara', 'dunia']</t>
  </si>
  <si>
    <t>'Harga' yang juga harus messi dan argentina bayar untuk jadi juara dunia  https://t.co/SkHA8bcTKw</t>
  </si>
  <si>
    <t>harga yang juga harus messi dan argentina bayar untuk jadi juara dunia</t>
  </si>
  <si>
    <t>['harga', 'messi', 'argentina', 'bayar', 'jadi', 'juara', 'dunia']</t>
  </si>
  <si>
    <t>Argentina Juara Piala Dunia 2022 Qatar, Messi gelar lengkap, fans tidur nyenyak</t>
  </si>
  <si>
    <t>argentina juara piala dunia qatar messi gelar lengkap fans tidur nyenyak</t>
  </si>
  <si>
    <t>['argentina', 'juara', 'piala', 'dunia', 'qatar', 'messi', 'gelar', 'lengkap', 'fans', 'tidur', 'nyenyak']</t>
  </si>
  <si>
    <t>Argentina wis juara, messi ngangkat piala. perancis juara 3, juara 2 tetep arab suadi, merga iso ngalahke argen</t>
  </si>
  <si>
    <t>argentina wis juara messi ngangkat piala perancis juara juara tetep arab suadi merga iso ngalahke argen</t>
  </si>
  <si>
    <t>['argentina', 'wis', 'juara', 'messi', 'ngangkat', 'piala', 'perancis', 'juara', 'juara', 'tetep', 'arab', 'suadi', 'merga', 'iso', 'ngalahke', 'argen']</t>
  </si>
  <si>
    <t>Sebelum Argentina juara.  https://t.co/2HqBQQHDup</t>
  </si>
  <si>
    <t>sebelum argentina juara</t>
  </si>
  <si>
    <t>BREAKING: Setelah Argentina juara Piala Dunia 2022, klasemen sementara LaLiga belum berubah. Barcelona masih memimpin ü•∂  https://t.co/ectLwRpmsy</t>
  </si>
  <si>
    <t>breaking setelah argentina juara piala dunia klasemen sementara laliga belum berubah barcelona masih memimpin</t>
  </si>
  <si>
    <t>['breaking', 'argentina', 'juara', 'piala', 'dunia', 'klasemen', 'laliga', 'berubah', 'barcelona', 'memimpin']</t>
  </si>
  <si>
    <t>Leonel Messi pemenang piala dunia ‚ò∫Ô∏èü§≠ Mana tau kan awal pertandingan lawan Saudi dia kalah gak nyangka bakalan jadi juara di penghujung tahun üèÜüá¶üá∑ selamat buat yg dukung Argentina üòÅ</t>
  </si>
  <si>
    <t>leonel messi pemenang piala dunia mana tau kan awal pertandingan lawan saudi dia kalah gak nyangka bakalan jadi juara penghujung tahun selamat buat dukung argentina</t>
  </si>
  <si>
    <t>['leonel', 'messi', 'pemenang', 'piala', 'dunia', 'mana', 'kan', 'awal', 'pertandingan', 'lawan', 'saudi', 'kalah', 'nyangka', 'bakalan', 'jadi', 'juara', 'penghujung', 'tahun', 'selamat', 'buat', 'dukung', 'argentina']</t>
  </si>
  <si>
    <t>Good game untuk prancis, tapi kali ini Argentina juara #LionelMessi #Argentina #WorldCup2022 #WorldCupFinal #LeoMessi</t>
  </si>
  <si>
    <t>good game untuk prancis tapi kali ini argentina juara</t>
  </si>
  <si>
    <t>['good', 'game', 'prancis', 'kali', 'argentina', 'juara']</t>
  </si>
  <si>
    <t>Argentina dan Messi layak juara, dan melengkapi gelar major Messi di football.  GREATEST ALL OF TIME</t>
  </si>
  <si>
    <t>argentina dan messi layak juara dan melengkapi gelar major messi football greatest all time</t>
  </si>
  <si>
    <t>['argentina', 'messi', 'layak', 'juara', 'melengkapi', 'gelar', 'major', 'messi', 'football', 'greatest', 'all', 'time']</t>
  </si>
  <si>
    <t>FOTO: Menang Dramatis, Argentina Juara Piala Dunia 2022  https://t.co/nXhfxj1Nt1</t>
  </si>
  <si>
    <t>foto menang dramatis argentina juara piala dunia</t>
  </si>
  <si>
    <t>['foto', 'menang', 'dramatis', 'argentina', 'juara', 'piala', 'dunia']</t>
  </si>
  <si>
    <t>nazar argentina juaraüôèüèªüôèüèª  https://t.co/eob7cwtUBa</t>
  </si>
  <si>
    <t>nazar argentina juara</t>
  </si>
  <si>
    <t>['nazar', 'argentina', 'juara']</t>
  </si>
  <si>
    <t>Perancis kalah terhormat. Argentina layak juara!! Happy pensiun messii. Mbappe amanlah masih bisa 3x pildun lagi ü§† #BestFinalEver #WorldCup2022</t>
  </si>
  <si>
    <t>perancis kalah terhormat argentina layak juara happy pensiun messii mbappe amanlah masih bisa pildun lagi</t>
  </si>
  <si>
    <t>['perancis', 'kalah', 'terhormat', 'argentina', 'layak', 'juara', 'happy', 'pensiun', 'messii', 'mbappe', 'amanlah', 'piala dunia']</t>
  </si>
  <si>
    <t>@idextratime Selamat Messi lu layak mendapatkan Trofi Piala Dunia berkat kerja keras lu dan teman2 lu di timnas argentina gua fans Ronaldo dari tahun 2016 pas dia nendang penalti kegawang Atletico madrid dan membawa Madrid juara UCL. gua akui Messi ada di</t>
  </si>
  <si>
    <t>selamat messi layak mendapatkan trofi piala dunia berkat kerja keras dan teman timnas argentina gua fans ronaldo dari tahun pas dia nendang penalti kegawang atletico madrid dan membawa madrid juara ucl gua akui messi ada</t>
  </si>
  <si>
    <t>['selamat', 'messi', 'layak', 'mendapatkan', 'trofi', 'piala', 'dunia', 'berkat', 'kerja', 'keras', 'teman', 'timnas', 'argentina', 'gua', 'fans', 'ronaldo', 'tahun', 'pas', 'nendang', 'penalti', 'kegawang', 'atletico', 'madrid', 'membawa', 'madrid', 'juara', 'ucl', 'gua', 'akui', 'messi']</t>
  </si>
  <si>
    <t>sek , argentina juara ngasi kampanye mbleyer mbleyer ki rodo bodo sitik yo wkwkk</t>
  </si>
  <si>
    <t>sek argentina juara ngasi kampanye mbleyer mbleyer rodo bodo sitik wkwkk</t>
  </si>
  <si>
    <t>['sek', 'argentina', 'juara', 'ngasi', 'kampanye', 'mbleyer', 'mbleyer', 'rodo', 'bodo', 'sitik', 'wkwkk']</t>
  </si>
  <si>
    <t>Argentina juara tapi gak traktiran kosu mae</t>
  </si>
  <si>
    <t>argentina juara tapi gak traktiran kosu mae</t>
  </si>
  <si>
    <t>['argentina', 'juara', 'traktiran', 'kosu', 'mae']</t>
  </si>
  <si>
    <t>Gila gila!!!gue nangis terharu tadi pas tendangan keempat penalti, bahagia banget Argentina bisa juara dunia üò≠üò≠ bakalan jadi kado terindah buat bang Messi sebelum pensiun üò≠üò≠ampe keder tangan gue anjirrr!!asgsjskskskkk  https://t.co/Rqkys0sogB</t>
  </si>
  <si>
    <t>gila gila gue nangis terharu tadi pas tendangan keempat penalti bahagia banget argentina bisa juara dunia bakalan jadi kado terindah buat bang messi sebelum pensiun ampe keder tangan gue anjirrr asgsjskskskkk</t>
  </si>
  <si>
    <t>['gila', 'gila', 'gue', 'nangis', 'terharu', 'tadi', 'pas', 'tendangan', 'keempat', 'penalti', 'bahagia', 'banget', 'argentina', 'juara', 'dunia', 'bakalan', 'jadi', 'kado', 'terindah', 'buat', 'bang', 'messi', 'pensiun', 'sampai', 'keder', 'tangan', 'gue', 'anjirrr', 'asgsjskskskkk']</t>
  </si>
  <si>
    <t>sesuai tebakan, yg juara argentina, topscore mbappe</t>
  </si>
  <si>
    <t>sesuai tebakan juara argentina topscore mbappe</t>
  </si>
  <si>
    <t>['sesuai', 'tebakan', 'juara', 'argentina', 'topscore', 'mbappe']</t>
  </si>
  <si>
    <t>Argentina juara piala dunia 2022. selamat!</t>
  </si>
  <si>
    <t>argentina juara piala dunia selamat</t>
  </si>
  <si>
    <t>['argentina', 'juara', 'piala', 'dunia', 'selamat']</t>
  </si>
  <si>
    <t>argentina pantas juara, france memberikan perlawanan sengitüëå  https://t.co/f2YpXeKV3x</t>
  </si>
  <si>
    <t>argentina pantas juara france memberikan perlawanan sengit</t>
  </si>
  <si>
    <t>['argentina', 'pantas', 'juara', 'france', 'memberikan', 'perlawanan', 'sengit']</t>
  </si>
  <si>
    <t>Messi bisa juara di pildun ke-5.. sekali lg gue tegasin "KE-5", kalau di negara hebat seperti argentina saja dia keteteran, gimana bisa lu bandingin sama Ronaldo yg cuman main buat negara sekelas Portugal? Btw Ronaldo bisa buat Portugal juara EURO dgn skuat pas"an.</t>
  </si>
  <si>
    <t>messi bisa juara pildun sekali gue tegasin kalau negara hebat seperti argentina saja dia keteteran gimana bisa bandingin sama ronaldo cuman main buat negara sekelas portugal btw ronaldo bisa buat portugal juara euro dgn skuat pas</t>
  </si>
  <si>
    <t>['messi', 'juara', 'piala dunia', 'sekali', 'gue', 'tegasin', 'kalau', 'negara', 'hebat', 'argentina', 'keteteran', 'gimana', 'bandingin', 'sama', 'ronaldo', 'cuman', 'main', 'buat', 'negara', 'sekelas', 'portugal', 'by the way', 'ronaldo', 'buat', 'portugal', 'juara', 'euro', 'skuat', 'pas']</t>
  </si>
  <si>
    <t>Respect buat fans Portugal dan Ronaldo yang udah bela-belain begadang cuman buat loat Argentina juaraüêê</t>
  </si>
  <si>
    <t>respect buat fans portugal dan ronaldo yang udah bela belain begadang cuman buat loat argentina juara</t>
  </si>
  <si>
    <t>['respect', 'buat', 'fans', 'portugal', 'ronaldo', 'udah', 'bela', 'belain', 'begadang', 'cuman', 'buat', 'loat', 'argentina', 'juara']</t>
  </si>
  <si>
    <t>Lagi lagi gue top up coins buat GA, tapi gpp yang penting Argentina juara üòàüî•</t>
  </si>
  <si>
    <t>lagi lagi gue top coins buat tapi gpp yang penting argentina juara</t>
  </si>
  <si>
    <t>['gue', 'top', 'coins', 'buat', 'gapapa', 'penting', 'argentina', 'juara']</t>
  </si>
  <si>
    <t>Semua orang pamer kemenangan Argentina di medsos, seolah2 dialah yg utama memposting informasi itu. Padahal semua orang di dunia ini tahu bahwa Argentina juara piala dunia.   Kehebatan media sosial memang hebat.</t>
  </si>
  <si>
    <t>semua orang pamer kemenangan argentina medsos seolah dialah utama memposting informasi itu padahal semua orang dunia ini tahu bahwa argentina juara piala dunia kehebatan media sosial memang hebat</t>
  </si>
  <si>
    <t>['semua', 'orang', 'pamer', 'kemenangan', 'argentina', 'medsos', 'dialah', 'utama', 'memposting', 'informasi', 'padahal', 'semua', 'orang', 'dunia', 'tahu', 'argentina', 'juara', 'piala', 'dunia', 'kehebatan', 'media', 'sosial', 'memang', 'hebat']</t>
  </si>
  <si>
    <t>Yg menikmati sepakbola harusnya ikut seneng liat messi juara piala dunia, gak suka argentina ya minimal ikut seneng liat messi di penghujung karirnya angkat piala dunia, Selamat menikamati masa pensiunmu GOAT</t>
  </si>
  <si>
    <t>menikmati sepakbola harusnya ikut seneng liat messi juara piala dunia gak suka argentina minimal ikut seneng liat messi penghujung karirnya angkat piala dunia selamat menikamati masa pensiunmu goat</t>
  </si>
  <si>
    <t>['menikmati', 'sepakbola', 'harusnya', 'ikut', 'seneng', 'lihat', 'messi', 'juara', 'piala', 'dunia', 'suka', 'argentina', 'minimal', 'ikut', 'seneng', 'lihat', 'messi', 'penghujung', 'karirnya', 'angkat', 'piala', 'dunia', 'selamat', 'menikamati', 'masa', 'pensiunmu', 'goat']</t>
  </si>
  <si>
    <t>Messi juara... CONGRATULATION ARGENTINA  https://t.co/vOITA9JY60</t>
  </si>
  <si>
    <t>messi juara congratulation argentina</t>
  </si>
  <si>
    <t>['messi', 'juara', 'congratulation', 'argentina']</t>
  </si>
  <si>
    <t>Argentina selalu main dengan formasi awal 4-3-3 di partai penentuan gelar juara pada tiga ajang tersebut. Melawan Brasil dan Italia tanding dengan trio gelandang tipikal petarung. Saat menghadapi Prancis, Mac Allister dan Enzo Fernandez membuat lini tengah aktif mengalirkan bola.</t>
  </si>
  <si>
    <t>argentina selalu main dengan formasi awal partai penentuan gelar juara pada tiga ajang tersebut melawan brasil dan italia tanding dengan trio gelandang tipikal petarung saat menghadapi prancis mac allister dan enzo fernandez membuat lini tengah aktif mengalirkan bola</t>
  </si>
  <si>
    <t>['argentina', 'selalu', 'main', 'formasi', 'awal', 'partai', 'penentuan', 'gelar', 'juara', 'tiga', 'ajang', 'tersebut', 'melawan', 'brasil', 'italia', 'tanding', 'trio', 'gelandang', 'tipikal', 'petarung', 'menghadapi', 'prancis', 'mac', 'allister', 'enzo', 'fernandez', 'membuat', 'lini', 'tengah', 'aktif', 'mengalirkan', 'bola']</t>
  </si>
  <si>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</si>
  <si>
    <t>alhamdulillah allah akhirnya argentina juara pildun dan pulga angkat trofi piala dunia terakhir dalam karir sepakbolanya walaupun ultah gua tinggal hitungan beberapa hari lagi tapi gpp ini udh jadi kado ultah terindah tahun ini</t>
  </si>
  <si>
    <t>['alhamdulillah', 'allah', 'akhirnya', 'argentina', 'juara', 'piala dunia', 'pulga', 'angkat', 'trofi', 'piala', 'dunia', 'terakhir', 'karir', 'sepakbolanya', 'walaupun', 'ultah', 'gua', 'tinggal', 'hitungan', 'beberapa', 'hari', 'gapapa', 'sudah', 'jadi', 'kado', 'ultah', 'terindah', 'tahun']</t>
  </si>
  <si>
    <t>@idextratime Gilak sih lo min. Tiap kali lo bikin cocoklogi beginian aku cuma bisa ngaminin, dan semoga nggak ngejinx. Eeeh emang rezekinya Argentina juara. Admin gila emang.</t>
  </si>
  <si>
    <t>gilak sih min tiap kali bikin cocoklogi beginian aku cuma bisa ngaminin dan semoga nggak ngejinx eeeh emang rezekinya argentina juara admin gila emang</t>
  </si>
  <si>
    <t>['gilak', 'min', 'tiap', 'kali', 'cocoklogi', 'beginian', 'aku', 'cuma', 'ngaminin', 'semoga', 'ngejinx', 'eeeh', 'emang', 'rezekinya', 'argentina', 'juara', 'admin', 'gila', 'emang']</t>
  </si>
  <si>
    <t>Argentina baru saja mengukir sejarah 3 kali juara Piala Dunia. Messi melunasi karirnya dengan bahagia. Tapi ingatkah kalian bahwa Arab Saudi menaklukkan mereka di laga pembuka? #TerminalMojok  https://t.co/MNAx29SUJi</t>
  </si>
  <si>
    <t>argentina baru saja mengukir sejarah kali juara piala dunia messi melunasi karirnya dengan bahagia tapi ingatkah kalian bahwa arab saudi menaklukkan mereka laga pembuka</t>
  </si>
  <si>
    <t>['argentina', 'baru', 'mengukir', 'sejarah', 'kali', 'juara', 'piala', 'dunia', 'messi', 'melunasi', 'karirnya', 'bahagia', 'ingatkah', 'kalian', 'arab', 'saudi', 'menaklukkan', 'laga', 'pembuka']</t>
  </si>
  <si>
    <t>Argentina nu juara,jol sisidueun kieu. Pertanda naon ieu gusti üò´</t>
  </si>
  <si>
    <t>argentina juara jol sisidueun kieu pertanda naon ieu gusti</t>
  </si>
  <si>
    <t>['argentina', 'juara', 'jol', 'sisidueun', 'kieu', 'pertanda', 'naon', 'ieu', 'gusti']</t>
  </si>
  <si>
    <t>Selamat Untuk Argentina Sebagai Juara Piala Dunia 2022 Qatar . Dan Selamat Untul @leomessi  Sebagai Pemain Terbaik ‚Ä¶Sungguh Luar Biasa  ,,, Kami Amat Terhibur dengan Laga Argentina VS Francis ‚Ä¶.Laksana Drama Korea . . #argentina #juarapialadunia #qatar #leomessi  https://t.co/PvkIFl4aoR</t>
  </si>
  <si>
    <t>selamat untuk argentina sebagai juara piala dunia qatar dan selamat untul sebagai pemain terbaik sungguh luar biasa kami amat terhibur dengan laga argentina francis laksana drama korea</t>
  </si>
  <si>
    <t>['selamat', 'argentina', 'juara', 'piala', 'dunia', 'qatar', 'selamat', 'untul', 'pemain', 'terbaik', 'sungguh', 'luar', 'biasa', 'terhibur', 'laga', 'argentina', 'francis', 'laksana', 'drama', 'korea']</t>
  </si>
  <si>
    <t>Karena Argentina udah jd juara, jadian yuk</t>
  </si>
  <si>
    <t>karena argentina udah juara jadian yuk</t>
  </si>
  <si>
    <t>['argentina', 'udah', 'juara', 'jadian', 'yuk']</t>
  </si>
  <si>
    <t>Ciat ciat hatersnya messi mulai mencaci maki wkwkw, intinya argentina juara</t>
  </si>
  <si>
    <t>ciat ciat hatersnya messi mulai mencaci maki wkwkw intinya argentina juara</t>
  </si>
  <si>
    <t>['ciat', 'ciat', 'hatersnya', 'messi', 'mulai', 'mencaci', 'maki', 'wkwkw', 'intinya', 'argentina', 'juara']</t>
  </si>
  <si>
    <t>Gue seneng Messi juara pildun.. tapi fansnya pada katro &amp;amp; kardus dgn ngomong "goat debate is over". Maradona juara sama argentina, mario kempes juara juga sama argentina, so what? Argentina dari dulu memang negara kuat yg selalu jadi kandidat juara.</t>
  </si>
  <si>
    <t>gue seneng messi juara pildun tapi fansnya pada katro kardus dgn ngomong goat debate over maradona juara sama argentina mario kempes juara juga sama argentina what argentina dari dulu memang negara kuat selalu jadi kandidat juara</t>
  </si>
  <si>
    <t>['gue', 'seneng', 'messi', 'juara', 'piala dunia', 'fansnya', 'katro', 'kardus', 'ngomong', 'goat', 'debate', 'over', 'maradona', 'juara', 'sama', 'argentina', 'mario', 'kempes', 'juara', 'sama', 'argentina', 'what', 'argentina', 'dulu', 'memang', 'negara', 'kuat', 'selalu', 'jadi', 'kandidat', 'juara']</t>
  </si>
  <si>
    <t>@FaktaSepakbola Argentina jd juara dunia üòá‚ù§Ô∏è</t>
  </si>
  <si>
    <t>Lionel Messi Sukses Bawa Argentina Juara Piala Dunia 2022  https://t.co/3EWbST2iaP  https://t.co/FvRuLXrI5V</t>
  </si>
  <si>
    <t>lionel messi sukses bawa argentina juara piala dunia</t>
  </si>
  <si>
    <t>['lionel', 'messi', 'sukses', 'bawa', 'argentina', 'juara', 'piala', 'dunia']</t>
  </si>
  <si>
    <t>Mengawali dengan kekalahan, mengakhiri dengan menjadi juara Piala Dunia 2022. Congrats Argentina üëè</t>
  </si>
  <si>
    <t>mengawali dengan kekalahan mengakhiri dengan menjadi juara piala dunia congrats argentina</t>
  </si>
  <si>
    <t>['mengawali', 'kekalahan', 'mengakhiri', 'menjadi', 'juara', 'piala', 'dunia', 'congrats', 'argentina']</t>
  </si>
  <si>
    <t>Selamat!! Argentina Juara Piala Dunia Qatar 2022  Dengan demikian, usai sudah 64 pertandingan di Piala Dunia 2022. Terima kasih Qatar sudah menjadi tuan rumah Piala Dunia yang luar biasa..   #acehkini #WorldCup2022 #FIFAWorldCupQatar2022  https://t.co/YTv7DezTmb</t>
  </si>
  <si>
    <t>selamat argentina juara piala dunia qatar dengan demikian usai sudah pertandingan piala dunia terima kasih qatar sudah menjadi tuan rumah piala dunia yang luar biasa</t>
  </si>
  <si>
    <t>['selamat', 'argentina', 'juara', 'piala', 'dunia', 'qatar', 'usai', 'pertandingan', 'piala', 'dunia', 'terima', 'kasih', 'qatar', 'menjadi', 'tuan', 'rumah', 'piala', 'dunia', 'luar', 'biasa']</t>
  </si>
  <si>
    <t>@shylverstone pas 2 peluang terakhir sih, kalo gol jadi gak usah pinaltiüò≠üò≠ tapi semuanya udah kerja keras kok, dr awal argentina udah ngotot banget pengen menang tp pertahanan juga keren banget, real juara sihüá´üá∑ semoga dia gak kecewa sama grup</t>
  </si>
  <si>
    <t>pas peluang terakhir sih kalo gol jadi gak usah pinalti tapi semuanya udah kerja keras kok awal argentina udah ngotot banget pengen menang pertahanan juga keren banget real juara sih semoga dia gak kecewa sama grup</t>
  </si>
  <si>
    <t>['pas', 'peluang', 'terakhir', 'gol', 'jadi', 'usah', 'penalti', 'semuanya', 'udah', 'kerja', 'keras', 'kok', 'awal', 'argentina', 'udah', 'ngotot', 'banget', 'pengen', 'menang', 'pertahanan', 'keren', 'banget', 'real', 'juara', 'semoga', 'kecewa', 'sama', 'grup']</t>
  </si>
  <si>
    <t>Kabeh storyne og meng Argentina juara, hakeneki kekepruk Prancis weruh kongono marai ndase panas</t>
  </si>
  <si>
    <t>kabeh storyne meng argentina juara hakeneki kekepruk prancis weruh kongono marai ndase panas</t>
  </si>
  <si>
    <t>['kabeh', 'storyne', 'meng', 'argentina', 'juara', 'hakeneki', 'kekepruk', 'prancis', 'weruh', 'kongono', 'marai', 'ndase', 'panas']</t>
  </si>
  <si>
    <t>Martinez neng arsenal dadi cadangan pirang" taun, leno cedera, dadi inti terus didol,barkui mah dadi pahlawan neng argentina juara copa ro dunia, urip ki cen misteri</t>
  </si>
  <si>
    <t>martinez neng arsenal dadi cadangan pirang taun leno cedera dadi inti terus didol barkui mah dadi pahlawan neng argentina juara copa dunia urip cen misteri</t>
  </si>
  <si>
    <t>['martinez', 'neng', 'arsenal', 'dadi', 'cadangan', 'pirang', 'taun', 'leno', 'cedera', 'dadi', 'inti', 'terus', 'didol', 'barkui', 'mah', 'dadi', 'pahlawan', 'neng', 'argentina', 'juara', 'copa', 'dunia', 'urip', 'cen', 'misteri']</t>
  </si>
  <si>
    <t>Juara dunia argentina Poin penutup #FIFAWorldCup  Yg baik messi üî•üî•üî• #FantasyFootball  https://t.co/mQ8wN3Bsie</t>
  </si>
  <si>
    <t>juara dunia argentina poin penutup baik messi</t>
  </si>
  <si>
    <t>['juara', 'dunia', 'argentina', 'poin', 'penutup', 'baik', 'messi']</t>
  </si>
  <si>
    <t>Perdebatan goat selesai, Messi di akui sebagai goat üî• penutupan karir di negara dengan manisss üëê Vamous Argentina, Juara!!!!!</t>
  </si>
  <si>
    <t>perdebatan goat selesai messi akui sebagai goat penutupan karir negara dengan manisss vamous argentina juara</t>
  </si>
  <si>
    <t>['perdebatan', 'goat', 'selesai', 'messi', 'akui', 'goat', 'penutupan', 'karir', 'negara', 'manisss', 'vamous', 'argentina', 'juara']</t>
  </si>
  <si>
    <t>@wordfangs @aktifeast_ Bapak presiden ikut serta membela Argentina Juara. Kerenn abiss</t>
  </si>
  <si>
    <t>bapak presiden ikut serta membela argentina juara kerenn abiss</t>
  </si>
  <si>
    <t>['bapak', 'presiden', 'ikut', 'membela', 'argentina', 'juara', 'kerenn', 'abiss']</t>
  </si>
  <si>
    <t xml:space="preserve">@udilsurmemek @kepinteraan @idextratime Ya wajar, dia kan selalu ada di official timnas Argentina. Lagian dia disuruh awalnya buat angkat trofi. Lu bayangin kalo Indonesia juara piala dunia, pasti sampe para komisi DPR pada mau ikutan selebrasi di podium </t>
  </si>
  <si>
    <t>wajar dia kan selalu ada official timnas argentina lagian dia disuruh awalnya buat angkat trofi bayangin kalo indonesia juara piala dunia pasti sampe para komisi dpr pada mau ikutan selebrasi podium</t>
  </si>
  <si>
    <t>['wajar', 'kan', 'selalu', 'official', 'timnas', 'argentina', 'lagian', 'disuruh', 'awalnya', 'buat', 'angkat', 'trofi', 'bayangin', 'indonesia', 'juara', 'piala', 'dunia', 'sampai', 'komisi', 'dpr', 'mau', 'ikutan', 'selebrasi', 'podium']</t>
  </si>
  <si>
    <t>@GOAL_ID Dunia pada puji-puji Messi, Emi Martinez, Mbappe.. tapi gak banyak yg muji Scaloni, seakan-akan terlupakan.. Padahal prestasi nya hebat bisa bawa argentina juara 3x</t>
  </si>
  <si>
    <t>dunia pada puji puji messi emi martinez mbappe tapi gak banyak muji scaloni seakan akan terlupakan padahal prestasi nya hebat bisa bawa argentina juara</t>
  </si>
  <si>
    <t>['dunia', 'puji', 'puji', 'messi', 'emi', 'martinez', 'mbappe', 'banyak', 'muji', 'scaloni', 'seakan', 'terlupakan', 'padahal', 'prestasi', 'hebat', 'bawa', 'argentina', 'juara']</t>
  </si>
  <si>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</si>
  <si>
    <t>fun fact walau juara harus mengembalikan trophy jules rimet copa mundial berlapis emas karat lapisan perunggu fifa museum zurich swiss sebagai gantinya hanya bisa membawa pulang replikanya berupa perunggu berlapis emas saja</t>
  </si>
  <si>
    <t>['fun', 'fact', 'juara', 'mengembalikan', 'trophy', 'jules', 'rimet', 'copa', 'mundial', 'berlapis', 'emas', 'karat', 'lapisan', 'perunggu', 'fifa', 'museum', 'zurich', 'swiss', 'gantinya', 'membawa', 'pulang', 'replikanya', 'berupa', 'perunggu', 'berlapis', 'emas']</t>
  </si>
  <si>
    <t>@idextratime Kalah dilaga pembukaan lawan arab saudi,  dihujat, diremehin ga akan lolos dan bakalan pulang kampung duluan. Tapi tetep yakin 90% argentina bakalan lolos sampe final dan jadi juara. In the end messi cs proved themselves as a champion candida</t>
  </si>
  <si>
    <t>kalah dilaga pembukaan lawan arab saudi dihujat diremehin akan lolos dan bakalan pulang kampung duluan tapi tetep yakin argentina bakalan lolos sampe final dan jadi juara the end messi proved themselves champion candida</t>
  </si>
  <si>
    <t>['kalah', 'dilaga', 'pembukaan', 'lawan', 'arab', 'saudi', 'dihujat', 'diremehin', 'lolos', 'bakalan', 'pulang', 'kampung', 'duluan', 'tetep', 'yakin', 'argentina', 'bakalan', 'lolos', 'sampai', 'final', 'jadi', 'juara', 'the', 'end', 'messi', 'proved', 'themselves', 'champion', 'candida']</t>
  </si>
  <si>
    <t>@Cristiano_time7 @idextratime bang, gacapek lu gini mulu?</t>
  </si>
  <si>
    <t>time bang gacapek gini mulu</t>
  </si>
  <si>
    <t>['time', 'bang', 'gacapek', 'gini', 'mulu']</t>
  </si>
  <si>
    <t>Selamat Argentina Juara World Cup Qatar 2022 Messi the best  https://t.co/26FX7jSIco</t>
  </si>
  <si>
    <t>selamat argentina juara world cup qatar messi the best</t>
  </si>
  <si>
    <t>['selamat', 'argentina', 'juara', 'world', 'cup', 'qatar', 'messi', 'the', 'best']</t>
  </si>
  <si>
    <t>argentina juara 1, mbappe juara 2, croatia juara 3</t>
  </si>
  <si>
    <t>argentina juara mbappe juara croatia juara</t>
  </si>
  <si>
    <t>['argentina', 'juara', 'mbappe', 'juara', 'croatia', 'juara']</t>
  </si>
  <si>
    <t>Nonton Argentina dari 2010, masih jaman Messi gondrong sama Carlos Tevez.   2014 sudah bahagia tapi harus kecewa karena Juara 2.  2018, tahun terburuk wkwk.   Then, 2022! Yes akhirnya üòÅüòÅüòÅ Full Senyum</t>
  </si>
  <si>
    <t>nonton argentina dari masih jaman messi gondrong sama carlos tevez sudah bahagia tapi harus kecewa karena juara tahun terburuk wkwk then yes akhirnya full senyum</t>
  </si>
  <si>
    <t>['nonton', 'argentina', 'jaman', 'messi', 'gondrong', 'sama', 'carlos', 'tevez', 'bahagia', 'kecewa', 'juara', 'tahun', 'terburuk', 'then', 'yes', 'akhirnya', 'full', 'senyum']</t>
  </si>
  <si>
    <t>@neszt_ Semenjak Scaloni turun tangan jadi pelatih, banyak yang dirombak squad nya. Alhasil yang beneran punya kualitas lah yang bikin argentina bisa dapet juara copa amerika dan piala dunia. Tapi semua berkat Messi juga akhirnya x)</t>
  </si>
  <si>
    <t>semenjak scaloni turun tangan jadi pelatih banyak yang dirombak squad nya alhasil yang beneran punya kualitas lah yang bikin argentina bisa dapet juara copa amerika dan piala dunia tapi semua berkat messi juga akhirnya</t>
  </si>
  <si>
    <t>['semenjak', 'scaloni', 'turun', 'tangan', 'jadi', 'pelatih', 'banyak', 'dirombak', 'squad', 'alhasil', 'beneran', 'punya', 'kualitas', 'lah', 'argentina', 'dapat', 'juara', 'copa', 'amerika', 'piala', 'dunia', 'semua', 'berkat', 'messi', 'akhirnya']</t>
  </si>
  <si>
    <t>@A_ZeeJKT48 Farid the cat berhasil membawa Argentina juara yeeeeeyyy  https://t.co/86li8Qn0T2</t>
  </si>
  <si>
    <t>zeejkt farid the cat berhasil membawa argentina juara yeeeeeyyy</t>
  </si>
  <si>
    <t>['zeejkt', 'farid', 'the', 'cat', 'berhasil', 'membawa', 'argentina', 'juara', 'yeeeeeyyy']</t>
  </si>
  <si>
    <t>juara dunia emang argentina, tapi juara dihati aku ya cuma kamu</t>
  </si>
  <si>
    <t>juara dunia emang argentina tapi juara dihati aku cuma kamu</t>
  </si>
  <si>
    <t>['juara', 'dunia', 'emang', 'argentina', 'juara', 'dihati', 'aku', 'cuma', 'kamu']</t>
  </si>
  <si>
    <t>Argentina juara boss ga sia‚Äù gw natto üá¶üá∑üá¶üá∑ . . #ArgentinaVsFrance #PialaDunia2022 #finalPialaDunia2022 #ARGFRA #WorldCupFinal #Argentina #Messi  https://t.co/I7Llq8ror1</t>
  </si>
  <si>
    <t>argentina juara boss sia natto</t>
  </si>
  <si>
    <t>['argentina', 'juara', 'boss', 'sia', 'natto']</t>
  </si>
  <si>
    <t>Walaupun argentina juara, dimata gua prancis tetep no 2</t>
  </si>
  <si>
    <t>walaupun argentina juara dimata gua prancis tetep</t>
  </si>
  <si>
    <t>['walaupun', 'argentina', 'juara', 'dimata', 'gua', 'prancis', 'tetep']</t>
  </si>
  <si>
    <t>Makasih bang, Argentina jadi juara akhirnya üòÑ</t>
  </si>
  <si>
    <t>makasih bang argentina jadi juara akhirnya</t>
  </si>
  <si>
    <t>['makasih', 'bang', 'argentina', 'jadi', 'juara', 'akhirnya']</t>
  </si>
  <si>
    <t>Inget banget 2018 dulu pernah nangis kejer karna Argentina pulang duluan di 16 besar karna Prancis eh 2022 jadi juara dunia ngalahin Prancis üò≠ sempet kalah dari Kroasia , eh 4tahun kemudian dibales juga üò≠üò≠üò≠ Messi emang gapernah main main</t>
  </si>
  <si>
    <t>inget banget dulu pernah nangis kejer karna argentina pulang duluan besar karna prancis jadi juara dunia ngalahin prancis sempet kalah dari kroasia tahun kemudian dibales juga messi emang gapernah main main</t>
  </si>
  <si>
    <t>['inget', 'banget', 'dulu', 'pernah', 'nangis', 'kejer', 'karna', 'argentina', 'pulang', 'duluan', 'besar', 'karna', 'prancis', 'jadi', 'juara', 'dunia', 'ngalahin', 'prancis', 'sempet', 'kalah', 'kroasia', 'tahun', 'kemudian', 'dibales', 'messi', 'emang', 'gapernah', 'main', 'main']</t>
  </si>
  <si>
    <t>Argentina  vs  Perancis        3          ft         3       4  Adu Pinalty  2 Messi/Agt  juara Dunia Mbappe/Prc  Top score PSG turut berbaagia jagoan2nya tampil menawan Rekor2 tercipta , yg nonton bahagia ga bisa marah pertandingannya seru. Desember ceria dehüòÑüòÑ</t>
  </si>
  <si>
    <t>argentina perancis adu pinalty messi agt juara dunia mbappe prc top score psg turut berbaagia jagoan nya tampil menawan rekor tercipta nonton bahagia bisa marah pertandingannya seru desember ceria deh</t>
  </si>
  <si>
    <t>['argentina', 'perancis', 'adu', 'pinalty', 'messi', 'agt', 'juara', 'dunia', 'mbappe', 'prc', 'top', 'score', 'psg', 'turut', 'berbaagia', 'jagoan', 'tampil', 'menawan', 'rekor', 'tercipta', 'nonton', 'bahagia', 'marah', 'pertandingannya', 'seru', 'desember', 'ceria', 'deh']</t>
  </si>
  <si>
    <t>Argentina menang ‚úÖ Tebak juara ‚úÖ</t>
  </si>
  <si>
    <t>argentina menang tebak juara</t>
  </si>
  <si>
    <t>['argentina', 'menang', 'tebak', 'juara']</t>
  </si>
  <si>
    <t>satu satunya hal yg baik di 2022 cuma argentina juara   emiliano martinez pahlawan argentina üòÜ  https://t.co/twys0bpaYn</t>
  </si>
  <si>
    <t>satu satunya hal baik cuma argentina juara emiliano martinez pahlawan argentina</t>
  </si>
  <si>
    <t>['satu', 'satunya', 'baik', 'cuma', 'argentina', 'juara', 'emiliano', 'martinez', 'pahlawan', 'argentina']</t>
  </si>
  <si>
    <t>@havihsan Messi aktif bela Argentina sejak 2007. 2007 Kalah lawan Brazil, 2 kali kalah beruntun oleh Chile (2015-2016) dan akhirnya juara di Maracana, Brazil (2021).  https://t.co/cvku8oRfjW</t>
  </si>
  <si>
    <t>messi aktif bela argentina sejak kalah lawan brazil kali kalah beruntun oleh chile dan akhirnya juara maracana brazil</t>
  </si>
  <si>
    <t>['messi', 'aktif', 'bela', 'argentina', 'sejak', 'kalah', 'lawan', 'brazil', 'kali', 'kalah', 'beruntun', 'chile', 'akhirnya', 'juara', 'maracana', 'brazil']</t>
  </si>
  <si>
    <t>Argentina menjadi juara pildun Qatar 2022 setelah menaklukkan Perancis lewat adu pinalti. Inilah daftar juara pildun 2022-1930...  https://t.co/9LiHytk3sq</t>
  </si>
  <si>
    <t>argentina menjadi juara pildun qatar setelah menaklukkan perancis lewat adu pinalti inilah daftar juara pildun</t>
  </si>
  <si>
    <t>['argentina', 'menjadi', 'juara', 'piala dunia', 'qatar', 'menaklukkan', 'perancis', 'lewat', 'adu', 'penalti', 'inilah', 'daftar', 'juara', 'piala dunia']</t>
  </si>
  <si>
    <t>Nungguin Argentina juara kaya nungguin kamu balikan sama aku, rasanya dag dig dug wkwkwk</t>
  </si>
  <si>
    <t>nungguin argentina juara kaya nungguin kamu balikan sama aku rasanya dag dig dug wkwkwk</t>
  </si>
  <si>
    <t>['nungguin', 'argentina', 'juara', 'kaya', 'nungguin', 'kamu', 'balikan', 'sama', 'aku', 'rasanya', 'dag', 'dig', 'dug', 'wkwkwk']</t>
  </si>
  <si>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</si>
  <si>
    <t>even udah feeling juara pasti argentina tapi memilih tidak mendukungnya alesannya yah karena suka messi why karena era sepak bola modern ini dia terlampau jago sampe semua orang didunia mengagung agungkan doi makannya sama sekali suka messi</t>
  </si>
  <si>
    <t>['even', 'udah', 'feeling', 'juara', 'argentina', 'memilih', 'mendukungnya', 'alesannya', 'suka', 'messi', 'why', 'era', 'sepak', 'bola', 'modern', 'terlampau', 'jago', 'sampai', 'semua', 'orang', 'didunia', 'mengagung', 'agungkan', 'doi', 'makannya', 'sama', 'sekali', 'suka', 'messi']</t>
  </si>
  <si>
    <t>@vidio rada bangsat sih emang, tp gapapalah yg penting Argentina juara</t>
  </si>
  <si>
    <t>rada bangsat sih emang gapapalah penting argentina juara</t>
  </si>
  <si>
    <t>['rada', 'bangsat', 'emang', 'gapapalah', 'penting', 'argentina', 'juara']</t>
  </si>
  <si>
    <t>Prediksi dari tgl 6 Desember terwujud, Amazing LIONEL MESSI @leomessi &amp;amp; ARGENTINA @afaseleccion Juara üëèüèªüèÜ‚öΩüî• #prediksibola #prediction #amazing #leo #messi #leomessi #argentina #juara @ Bali, Indonesia  https://t.co/Dpif97wnon</t>
  </si>
  <si>
    <t>prediksi dari tgl desember terwujud amazing lionel messi argentina juara bali indonesia</t>
  </si>
  <si>
    <t>['prediksi', 'tgl', 'desember', 'terwujud', 'amazing', 'lionel', 'messi', 'argentina', 'juara', 'bali', 'indonesia']</t>
  </si>
  <si>
    <t>SELAMAT, ARGENTINA JUARA PIALA DUNIA 2022 Babak pertama berakhir dengan Skor imbang 2-2. Babak kedua berakhir dengan Skor 3-3. sesi mendebarkan terjadi dengan adu penalti. 4 jagoan Argentina berhasil menjebol tuntas gawang. Sedangkan Prancis hanya mampu menjebol 2 #FIFAWorldCup</t>
  </si>
  <si>
    <t>selamat argentina juara piala dunia babak pertama berakhir dengan skor imbang babak kedua berakhir dengan skor sesi mendebarkan terjadi dengan adu penalti jagoan argentina berhasil menjebol tuntas gawang sedangkan prancis hanya mampu menjebol</t>
  </si>
  <si>
    <t>['selamat', 'argentina', 'juara', 'piala', 'dunia', 'babak', 'pertama', 'berakhir', 'skor', 'imbang', 'babak', 'kedua', 'berakhir', 'skor', 'sesi', 'mendebarkan', 'terjadi', 'adu', 'penalti', 'jagoan', 'argentina', 'berhasil', 'menjebol', 'tuntas', 'gawang', 'prancis', 'mampu', 'menjebol']</t>
  </si>
  <si>
    <t>üá¶üá∑ ARGENTINA , Juara FIFA World Cup Qatar 2022 ! üèÜ  - @afaseleccion @fifaworldcup -  #FIFAWorldCup #FIFAWorldCup2022 #FIFAWC2022 #WorldCup2022 #Qatar2022 #Argentina #ARG #TodosJuntos  https://t.co/Ft86WGxOkT</t>
  </si>
  <si>
    <t>argentina juara fifa world cup qatar</t>
  </si>
  <si>
    <t>['argentina', 'juara', 'fifa', 'world', 'cup', 'qatar']</t>
  </si>
  <si>
    <t>Yang juara Messi dan Argentina.  Yang nangis: 1. Mbappe 2. Prancis 3. Ronaldo 4. Portugal 5. Penyefong-penyefong Dodo 6. IShowSpeed 7. @filantropiskere gara2 tim negative football dan Inglateranya gaada yg masuk final</t>
  </si>
  <si>
    <t>yang juara messi dan argentina yang nangis mbappe prancis ronaldo portugal penyefong penyefong dodo ishowspeed gara tim negative football dan inglateranya gaada masuk final</t>
  </si>
  <si>
    <t>['juara', 'messi', 'argentina', 'nangis', 'mbappe', 'prancis', 'ronaldo', 'portugal', 'penyefong', 'penyefong', 'dodo', 'ishowspeed', 'gara', 'tim', 'negative', 'football', 'inglateranya', 'gaada', 'masuk', 'final']</t>
  </si>
  <si>
    <t>Kylian Mbappe Quattrick, Namun Gagal Bawa Prancis Juara 3 Kali Beruntun    https://t.co/R5DzsdbtC0   #WorldCupFinal #pialadunia #Argentina</t>
  </si>
  <si>
    <t>kylian mbappe quattrick namun gagal bawa prancis juara kali beruntun</t>
  </si>
  <si>
    <t>['kylian', 'mbappe', 'quattrick', 'gagal', 'bawa', 'prancis', 'juara', 'kali', 'beruntun']</t>
  </si>
  <si>
    <t>Argentina Juara  The Jak bertambah usia!Jaya raya di segala lini, KAMI MASIH ADA!</t>
  </si>
  <si>
    <t>argentina juara the jak bertambah usia jaya raya segala lini kami masih ada</t>
  </si>
  <si>
    <t>['argentina', 'juara', 'the', 'jak', 'bertambah', 'usia', 'jaya', 'raya', 'segala', 'lini']</t>
  </si>
  <si>
    <t>Congrats Messi cs!   Argentina juara Piala Dunia 2022  #FIFAWorldCup #ArgentinaVsFrance #WorldCupFinal #PialaDunia2022  https://t.co/nPVp6j4SiF</t>
  </si>
  <si>
    <t>congrats messi argentina juara piala dunia</t>
  </si>
  <si>
    <t>['congrats', 'messi', 'argentina', 'juara', 'piala', 'dunia']</t>
  </si>
  <si>
    <t>Messi dan Argentina juara berkat doa ibu. Ibu dunia dan paus fransiskus. üòÅ #FIFAWorldCup</t>
  </si>
  <si>
    <t>messi dan argentina juara berkat doa ibu ibu dunia dan paus fransiskus</t>
  </si>
  <si>
    <t>['messi', 'argentina', 'juara', 'berkat', 'doa', 'ibu', 'ibu', 'dunia', 'paus', 'fransiskus']</t>
  </si>
  <si>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</si>
  <si>
    <t>terlepas argentina juara taktik deschamps bener bener keren buat ngejar ketertinggalan pemain muda turunin semua buat gempur pemain argentina uda pada cape kualitas pemain argentina bales semua taktiknya layak juaraaa</t>
  </si>
  <si>
    <t>['terlepas', 'argentina', 'juara', 'taktik', 'deschamps', 'benar', 'benar', 'keren', 'buat', 'ngejar', 'ketertinggalan', 'pemain', 'muda', 'turunin', 'semua', 'buat', 'gempur', 'pemain', 'argentina', 'uda', 'lelah', 'kualitas', 'pemain', 'argentina', 'bales', 'semua', 'taktiknya', 'layak', 'juaraaa']</t>
  </si>
  <si>
    <t>Argentina yg di dlmnya ada messi juara piala dunia. Luarbiasa</t>
  </si>
  <si>
    <t>argentina dlmnya ada messi juara piala dunia luarbiasa</t>
  </si>
  <si>
    <t>['argentina', 'dlmnya', 'messi', 'juara', 'piala', 'dunia', 'luarbiasa']</t>
  </si>
  <si>
    <t>yang juara argentina, yang trending twitter arab saudi.. netizen emang tai</t>
  </si>
  <si>
    <t>yang juara argentina yang trending twitter arab saudi netizen emang tai</t>
  </si>
  <si>
    <t>['juara', 'argentina', 'trending', 'twitter', 'arab', 'saudi', 'netizen', 'emang', 'tai']</t>
  </si>
  <si>
    <t>Ternyata harus nunggu 4 tahun lagi buat ngulang momen seru Piala Dunia kayak tahun ini Banyak kejutan, drama dan cerita. mulai dari gimmick dari Timnas pelangi yg akhirnya mudik duluan. Sampe Argentina yg kalah lawan Arab di match pertama tapi mengakhiri turnamen sebagai juara</t>
  </si>
  <si>
    <t>ternyata harus nunggu tahun lagi buat ngulang momen seru piala dunia kayak tahun ini banyak kejutan drama dan cerita mulai dari gimmick dari timnas pelangi akhirnya mudik duluan sampe argentina kalah lawan arab match pertama tapi mengakhiri turnamen sebagai juara</t>
  </si>
  <si>
    <t>['ternyata', 'nunggu', 'tahun', 'buat', 'ngulang', 'momen', 'seru', 'piala', 'dunia', 'seperti', 'tahun', 'banyak', 'kejutan', 'drama', 'cerita', 'mulai', 'gimmick', 'timnas', 'pelangi', 'akhirnya', 'mudik', 'duluan', 'sampai', 'argentina', 'kalah', 'lawan', 'arab', 'match', 'pertama', 'mengakhiri', 'turnamen', 'juara']</t>
  </si>
  <si>
    <t>Argentina dah juara, aku bobo nyenyakü•∫</t>
  </si>
  <si>
    <t>argentina dah juara aku bobo nyenyak</t>
  </si>
  <si>
    <t>['argentina', 'dah', 'juara', 'aku', 'bobo', 'nyenyak']</t>
  </si>
  <si>
    <t>padahal udah ngedfaft tweet since Argentina vs Arab, kalau Argentina tersingkir mau ngetweet "striker lu Aguero-Higuain aja gabisa juara, apalagi Lautaro Martinez" ü§£ü§£</t>
  </si>
  <si>
    <t>padahal udah ngedfaft tweet since argentina arab kalau argentina tersingkir mau ngetweet striker aguero higuain aja gabisa juara apalagi lautaro martinez</t>
  </si>
  <si>
    <t>['padahal', 'udah', 'ngedfaft', 'tweet', 'since', 'argentina', 'arab', 'kalau', 'argentina', 'tersingkir', 'mau', 'ngetweet', 'striker', 'aguero', 'higuain', 'gabisa', 'juara', 'lautaro', 'martinez']</t>
  </si>
  <si>
    <t>Banyak momen dramatis yang akhirnya mengantarkan Argentina menjadi juara Piala Dunia 2022. Ini salah satunya! #PialaDunia2022 #FinalPialaDunia2022  https://t.co/JRta3p7HEk</t>
  </si>
  <si>
    <t>banyak momen dramatis yang akhirnya mengantarkan argentina menjadi juara piala dunia ini salah satunya</t>
  </si>
  <si>
    <t>['banyak', 'momen', 'dramatis', 'akhirnya', 'mengantarkan', 'argentina', 'menjadi', 'juara', 'piala', 'dunia', 'salah', 'satunya']</t>
  </si>
  <si>
    <t>hari ini akan ditetapkan sebagai hari libur nasional argentina selama satu minggu untuk merayakan dan melakukan konvoi juara piala dunia</t>
  </si>
  <si>
    <t>['hari', 'ditetapkan', 'hari', 'libur', 'nasional', 'argentina', 'selama', 'satu', 'minggu', 'merayakan', 'melakukan', 'konvoi', 'juara', 'piala', 'dunia']</t>
  </si>
  <si>
    <t>Setelah era maradona di tahun 1986 argentina terakhir juara dunia, beruntung bisa jadi saksi argentina kembali menjadi juara dunia dengan pemain terbaiknya kembali. üèÜüêê  https://t.co/jPJgIjoqrx</t>
  </si>
  <si>
    <t>setelah era maradona tahun argentina terakhir juara dunia beruntung bisa jadi saksi argentina kembali menjadi juara dunia dengan pemain terbaiknya kembali</t>
  </si>
  <si>
    <t>['era', 'maradona', 'tahun', 'argentina', 'terakhir', 'juara', 'dunia', 'beruntung', 'jadi', 'saksi', 'argentina', 'menjadi', 'juara', 'dunia', 'pemain', 'terbaiknya']</t>
  </si>
  <si>
    <t>Argentina menjadi juara Piala Dunia 2022 setelah mengalahkan Prancis 4-2 melalui adu penalti di Stadion Lusail, Qatar, Minggu (18/12/2022).   https://t.co/4K0OdnDoQ0  https://t.co/XtICKLkWQU</t>
  </si>
  <si>
    <t>argentina menjadi juara piala dunia setelah mengalahkan prancis melalui adu penalti stadion lusail qatar minggu</t>
  </si>
  <si>
    <t>['argentina', 'menjadi', 'juara', 'piala', 'dunia', 'mengalahkan', 'prancis', 'melalui', 'adu', 'penalti', 'stadion', 'lusail', 'qatar', 'minggu']</t>
  </si>
  <si>
    <t>seneng banget hari ini, argentina juara world cupüò≠</t>
  </si>
  <si>
    <t>seneng banget hari ini argentina juara world cup</t>
  </si>
  <si>
    <t>['seneng', 'banget', 'hari', 'argentina', 'juara', 'world', 'cup']</t>
  </si>
  <si>
    <t>Argentina juara kirain bakal tidur nyenyak, malah ga bisa tidur</t>
  </si>
  <si>
    <t>argentina juara kirain bakal tidur nyenyak malah bisa tidur</t>
  </si>
  <si>
    <t>['argentina', 'juara', 'kirain', 'bakal', 'tidur', 'nyenyak', 'malah', 'tidur']</t>
  </si>
  <si>
    <t>Sepanjang pertandingan dukung Prancis tp klo juara lg gak seru, untungnya Argentina yg Juara #WorldcupQatar2022 lebih seru dan menjadi sejarah panjang yg tak terlupakan untuk Messi dan pecinta sepakbola dunia  #FIFAWorldCup  #ArgentinaVsFrance</t>
  </si>
  <si>
    <t>sepanjang pertandingan dukung prancis klo juara gak seru untungnya argentina juara lebih seru dan menjadi sejarah panjang tak terlupakan untuk messi dan pecinta sepakbola dunia</t>
  </si>
  <si>
    <t>['sepanjang', 'pertandingan', 'dukung', 'prancis', 'juara', 'seru', 'untungnya', 'argentina', 'juara', 'lebih', 'seru', 'menjadi', 'sejarah', 'panjang', 'tak', 'terlupakan', 'messi', 'pecinta', 'sepakbola', 'dunia']</t>
  </si>
  <si>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</si>
  <si>
    <t>dalam beberapa edisi piala dunia sebelumnya penghargaan pemain terbaik turnamen diberi kepada pemain timnya menjadi runner tapi tidak untuk kali ini leo messi meraihnya dan tim nya menjadi juara dan ini sangat layak entah apa jadinya argentina match saja tanpa dia</t>
  </si>
  <si>
    <t>['beberapa', 'edisi', 'piala', 'dunia', 'sebelumnya', 'penghargaan', 'pemain', 'terbaik', 'turnamen', 'diberi', 'pemain', 'timnya', 'menjadi', 'runner', 'kali', 'leo', 'messi', 'meraihnya', 'tim', 'menjadi', 'juara', 'sangat', 'layak', 'entah', 'apa', 'jadinya', 'argentina', 'match']</t>
  </si>
  <si>
    <t>@idextratime Aamiinn, makasih eti sudah menemani pildun 2022 sampai argentina juara</t>
  </si>
  <si>
    <t>aamiinn makasih eti sudah menemani pildun sampai argentina juara</t>
  </si>
  <si>
    <t>['aamiinn', 'makasih', 'eti', 'menemani', 'piala dunia', 'argentina', 'juara']</t>
  </si>
  <si>
    <t>Akhirnya setelah penantian sekian lamanya Argentina üá¶üá∑ keluar sebagai juara</t>
  </si>
  <si>
    <t>akhirnya setelah penantian sekian lamanya argentina keluar sebagai juara</t>
  </si>
  <si>
    <t>['akhirnya', 'penantian', 'sekian', 'lamanya', 'argentina', 'keluar', 'juara']</t>
  </si>
  <si>
    <t>Argentina juara üòÅ</t>
  </si>
  <si>
    <t>Argentina Juara Piala Dunia dan Kado Indah Lionel Messi  https://t.co/nzzqkhsMOX</t>
  </si>
  <si>
    <t>argentina juara piala dunia dan kado indah lionel messi</t>
  </si>
  <si>
    <t>['argentina', 'juara', 'piala', 'dunia', 'kado', 'indah', 'lionel', 'messi']</t>
  </si>
  <si>
    <t>Akhir partai final semakin dekat, fix Argentina juara dan Messi menamatkan game petualangannya dengan happy ending. Laga sudah mulai memasuki 10 menit akhir. Tinggal bertahan menunggu waktu habis dan buang buang waktu saja sambil melancarkan counter attack. Dan ya, Pinalti lagi!.</t>
  </si>
  <si>
    <t>akhir partai final semakin dekat fix argentina juara dan messi menamatkan game petualangannya dengan happy ending laga sudah mulai memasuki menit akhir tinggal bertahan menunggu waktu habis dan buang buang waktu saja sambil melancarkan counter attack dan pinalti lagi</t>
  </si>
  <si>
    <t>['akhir', 'partai', 'final', 'semakin', 'dekat', 'fix', 'argentina', 'juara', 'messi', 'menamatkan', 'game', 'petualangannya', 'happy', 'ending', 'laga', 'mulai', 'memasuki', 'menit', 'akhir', 'tinggal', 'bertahan', 'menunggu', 'waktu', 'habis', 'buang', 'buang', 'waktu', 'melancarkan', 'counter', 'attack', 'penalti']</t>
  </si>
  <si>
    <t>Selamat untuk Team Sepak Bola Argentina yang telah meraih Juara Piala Dunia 2022 ... üéâüéâüéâ</t>
  </si>
  <si>
    <t>selamat untuk team sepak bola argentina yang telah meraih juara piala dunia</t>
  </si>
  <si>
    <t>['selamat', 'team', 'sepak', 'bola', 'argentina', 'meraih', 'juara', 'piala', 'dunia']</t>
  </si>
  <si>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</si>
  <si>
    <t>argentina berhasil menjadi juara piala dunia setelah mengalahkan prancis lewat adu tendangan penalti lusail iconic stadium pada ahad desember day</t>
  </si>
  <si>
    <t>['argentina', 'berhasil', 'menjadi', 'juara', 'piala', 'dunia', 'mengalahkan', 'prancis', 'lewat', 'adu', 'tendangan', 'penalti', 'lusail', 'iconic', 'stadium', 'ahad', 'desember', 'day']</t>
  </si>
  <si>
    <t>alhamdulillah di masa kepemimpinan pak jokowi argentina bisa juara dunia.</t>
  </si>
  <si>
    <t>alhamdulillah masa kepemimpinan pak jokowi argentina bisa juara dunia</t>
  </si>
  <si>
    <t>['alhamdulillah', 'masa', 'kepemimpinan', 'pak', 'jokowi', 'argentina', 'juara', 'dunia']</t>
  </si>
  <si>
    <t>ngalaman oge ningali Argentina Juara euy..terharu</t>
  </si>
  <si>
    <t>ngalaman oge ningali argentina juara euy terharu</t>
  </si>
  <si>
    <t>['ngalaman', 'oge', 'ningali', 'argentina', 'juara', 'euy', 'terharu']</t>
  </si>
  <si>
    <t>CHAMPIONSüèÜü•á Akhirnya mimpi Lionel Messi sebelum gantung sepatu ingin bawa argentina juara piala dunia tercapai setelah penantian selama 36 thnüî•üá¶üá∑  https://t.co/kNQ1D6dQtK</t>
  </si>
  <si>
    <t>champions akhirnya mimpi lionel messi sebelum gantung sepatu ingin bawa argentina juara piala dunia tercapai setelah penantian selama thn</t>
  </si>
  <si>
    <t>['champions', 'akhirnya', 'mimpi', 'lionel', 'messi', 'gantung', 'sepatu', 'bawa', 'argentina', 'juara', 'piala', 'dunia', 'tercapai', 'penantian', 'selama', 'thn']</t>
  </si>
  <si>
    <t>Argentinaüá¶üá∑ juara üî•üî•üî•</t>
  </si>
  <si>
    <t>Maaf y ga ikutan bikin instastory Argentina juara, soalnya ak mw jd cwok cool n misterius</t>
  </si>
  <si>
    <t>maaf ikutan bikin instastory argentina juara soalnya cwok cool misterius</t>
  </si>
  <si>
    <t>['maaf', 'ikutan', 'instastory', 'argentina', 'juara', 'soalnya', 'cwok', 'cool', 'misterius']</t>
  </si>
  <si>
    <t>Selamat Argentina Juara Piala Dunia 2022  The Best Player Messi Argentina Top Score Mbappe 8 Gol Prancis The Best Goal Keeper Martinez Argentina  https://t.co/HcWig1btMn</t>
  </si>
  <si>
    <t>selamat argentina juara piala dunia the best player messi argentina top score mbappe gol prancis the best goal keeper martinez argentina</t>
  </si>
  <si>
    <t>['selamat', 'argentina', 'juara', 'piala', 'dunia', 'the', 'best', 'player', 'messi', 'argentina', 'top', 'score', 'mbappe', 'gol', 'prancis', 'the', 'best', 'goal', 'keeper', 'martinez', 'argentina']</t>
  </si>
  <si>
    <t>It's real. It's happened.  Lionel Messi dan Argentina adalah juara dunia üèÜ   ‚≠ê‚≠ê‚≠ê     üá¶üá∑ IT'S DONE.   #FIFAWorldCup #Qatar2022  https://t.co/TBK66T7LVR</t>
  </si>
  <si>
    <t>real happened lionel messi dan argentina adalah juara dunia done</t>
  </si>
  <si>
    <t>['real', 'happened', 'lionel', 'messi', 'argentina', 'juara', 'dunia', 'done']</t>
  </si>
  <si>
    <t>@RisnayaniHannah Terima kasih banyak untuk ETI yg pasang badan tetap percaya Argentina juara pildun‚ù§Ô∏èü•π</t>
  </si>
  <si>
    <t>terima kasih banyak untuk eti pasang badan tetap percaya argentina juara pildun</t>
  </si>
  <si>
    <t>['terima', 'kasih', 'banyak', 'eti', 'pasang', 'badan', 'tetap', 'percaya', 'argentina', 'juara', 'piala dunia']</t>
  </si>
  <si>
    <t>Congrats Argentina!! üá¶üá∑ Messi pensiun dengan tenang!!üëç‚öΩ#argentinajuara  https://t.co/0kKjpCaZH9</t>
  </si>
  <si>
    <t>congrats argentina messi pensiun dengan tenang</t>
  </si>
  <si>
    <t>['congrats', 'argentina', 'messi', 'pensiun', 'tenang']</t>
  </si>
  <si>
    <t>Argentina juara, kado natal terindah ‚ú®</t>
  </si>
  <si>
    <t>argentina juara kado natal terindah</t>
  </si>
  <si>
    <t>['argentina', 'juara', 'kado', 'natal', 'terindah']</t>
  </si>
  <si>
    <t>Percuma Argentina juara dunia kalo gak juara di hati dia.</t>
  </si>
  <si>
    <t>percuma argentina juara dunia kalo gak juara hati dia</t>
  </si>
  <si>
    <t>['percuma', 'argentina', 'juara', 'dunia', 'juara', 'hati']</t>
  </si>
  <si>
    <t>@FaktaSepakbola Juara piala dunia 2022 Argentina. #ArgentinaVsFrance #FIFAWorldCup #WorldCupFinals #QatarWorldCup</t>
  </si>
  <si>
    <t>@jek___ ga peduli argentina juara apa kaga, yang w peduliin kapan w juara di keluarganyaüíî</t>
  </si>
  <si>
    <t>peduli argentina juara apa kaga yang peduliin kapan juara keluarganya</t>
  </si>
  <si>
    <t>['peduli', 'argentina', 'juara', 'apa', 'kaga', 'peduliin', 'kapan', 'juara', 'keluarganya']</t>
  </si>
  <si>
    <t>@bodoamamat @FaktaSepakbola Ya namanya media, coba kl prancis yg juara dia jg bakal bikin isu pemain prancis ngejel pemain argentina</t>
  </si>
  <si>
    <t>namanya media coba prancis juara dia bakal bikin isu pemain prancis ngejel pemain argentina</t>
  </si>
  <si>
    <t>['namanya', 'media', 'coba', 'prancis', 'juara', 'bakal', 'isu', 'pemain', 'prancis', 'ngejel', 'pemain', 'argentina']</t>
  </si>
  <si>
    <t>@setiawann2001 @idextratime Konteks: Argentina juara gegara Maupay bercanda ama Leno</t>
  </si>
  <si>
    <t>konteks argentina juara gegara maupay bercanda ama leno</t>
  </si>
  <si>
    <t>['konteks', 'argentina', 'juara', 'gegara', 'maupay', 'bercanda', 'ama', 'leno']</t>
  </si>
  <si>
    <t>Dybala Messi Di Maria Raul Lemos Cristiano Juara Dunia Aguero All in Meme Argentina Prancis   https://t.co/0N6cq2pm0W</t>
  </si>
  <si>
    <t>dybala messi maria raul lemos cristiano juara dunia aguero all meme argentina prancis</t>
  </si>
  <si>
    <t>['dybala', 'messi', 'maria', 'raul', 'lemos', 'cristiano', 'juara', 'dunia', 'aguero', 'all', 'meme', 'argentina', 'prancis']</t>
  </si>
  <si>
    <t>Argentina Juara Piala Dunia 2022  https://t.co/oPjqLulJXi</t>
  </si>
  <si>
    <t>Menangi Drama Penalti dari Francis, Argentina Juara Piala Dunia 2022  https://t.co/t435LOKhHC</t>
  </si>
  <si>
    <t>menangi drama penalti dari francis argentina juara piala dunia</t>
  </si>
  <si>
    <t>['menangi', 'drama', 'penalti', 'francis', 'argentina', 'juara', 'piala', 'dunia']</t>
  </si>
  <si>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</si>
  <si>
    <t>sejujurnya gue nonton kalau ada argentina doang ini juga karena ada jagoan gue dari man city alvarez soalnya waktu main dini hari bgt sibuk skripsian cari duit dikit lah and finally mereka juara nunggu dari dan berhasil bawa pulang piala</t>
  </si>
  <si>
    <t>['sejujurnya', 'gue', 'nonton', 'kalau', 'argentina', 'doang', 'jagoan', 'gue', 'man', 'city', 'alvarez', 'soalnya', 'waktu', 'main', 'dini', 'hari', 'banget', 'sibuk', 'skripsian', 'cari', 'duit', 'dikit', 'lah', 'and', 'finally', 'juara', 'nunggu', 'berhasil', 'bawa', 'pulang', 'piala']</t>
  </si>
  <si>
    <t>Argentina juara üò≠üò≠üò≠üò≠üî•üî•üî•üî•üî•üá¶üá∑üá¶üá∑üá¶üá∑üá¶üá∑</t>
  </si>
  <si>
    <t>Cristiano Maradona Raul Lemos Lionel Messi Argentina Dybala Juara Dunia All In France Deschamps WHAT A FINAL Di Maria Arsenal Madrid Higuain Kolo Muani Good Game GREATEST OF ALL TIME Prancis    https://t.co/HKnbl38hy0</t>
  </si>
  <si>
    <t>cristiano maradona raul lemos lionel messi argentina dybala juara dunia all france deschamps what final maria arsenal madrid higuain kolo muani good game greatest all time prancis</t>
  </si>
  <si>
    <t>['cristiano', 'maradona', 'raul', 'lemos', 'lionel', 'messi', 'argentina', 'dybala', 'juara', 'dunia', 'all', 'france', 'deschamps', 'what', 'final', 'maria', 'arsenal', 'madrid', 'higuain', 'kolo', 'muani', 'good', 'game', 'greatest', 'all', 'time', 'prancis']</t>
  </si>
  <si>
    <t>ARAB SAUDI "Sang juara sejati" Champion of champion World Cup Qatar 2022 (Satu satunya negara yg bisa mengalahkan Argentina dalam Piala Dunia Qatar 2022)</t>
  </si>
  <si>
    <t>arab saudi sang juara sejati champion champion world cup qatar satu satunya negara bisa mengalahkan argentina dalam piala dunia qatar</t>
  </si>
  <si>
    <t>['arab', 'saudi', 'sang', 'juara', 'sejati', 'champion', 'champion', 'world', 'cup', 'qatar', 'satu', 'satunya', 'negara', 'mengalahkan', 'argentina', 'piala', 'dunia', 'qatar']</t>
  </si>
  <si>
    <t>gimana nih kabarnya yg katanya pildun kali ini udh di setting buat argentina juara? klo udah di setting buat jadi juara harusnya ga sampe babak penaltiü§™</t>
  </si>
  <si>
    <t>gimana nih kabarnya katanya pildun kali ini udh setting buat argentina juara klo udah setting buat jadi juara harusnya sampe babak penalti</t>
  </si>
  <si>
    <t>['gimana', 'kabarnya', 'katanya', 'piala dunia', 'kali', 'sudah', 'setting', 'buat', 'argentina', 'juara', 'udah', 'setting', 'buat', 'jadi', 'juara', 'harusnya', 'sampai', 'babak', 'penalti']</t>
  </si>
  <si>
    <t>Kiper Terbaik piala dunia 2022 di berikan pada emi martinez  @emimartinezz1   Argentina juara piala dunia Qatar 2022  https://t.co/ZzVtGnRb3C</t>
  </si>
  <si>
    <t>kiper terbaik piala dunia berikan pada emi martinez argentina juara piala dunia qatar</t>
  </si>
  <si>
    <t>['kiper', 'terbaik', 'piala', 'dunia', 'berikan', 'emi', 'martinez', 'argentina', 'juara', 'piala', 'dunia', 'qatar']</t>
  </si>
  <si>
    <t>@jek___ Arab juara dong, kan arab nglahir argentina ü§£</t>
  </si>
  <si>
    <t>arab juara dong kan arab nglahir argentina</t>
  </si>
  <si>
    <t>['arab', 'juara', 'dong', 'kan', 'arab', 'nglahir', 'argentina']</t>
  </si>
  <si>
    <t>Argentina juara, Drake full party 7 hari 7 malam 42M depen komuk  https://t.co/bmRBS2zwG3</t>
  </si>
  <si>
    <t>argentina juara drake full party hari malam depen komuk</t>
  </si>
  <si>
    <t>['argentina', 'juara', 'drake', 'full', 'party', 'hari', 'malam', 'depen', 'muka']</t>
  </si>
  <si>
    <t>@theflankerID semenjak kalah dari arab performa argentina jd makin bagus jadi yaa pantes sih mereka juara</t>
  </si>
  <si>
    <t>semenjak kalah dari arab performa argentina makin bagus jadi yaa pantes sih mereka juara</t>
  </si>
  <si>
    <t>['semenjak', 'kalah', 'arab', 'performa', 'argentina', 'makin', 'bagus', 'jadi', 'ya', 'pantes', 'juara']</t>
  </si>
  <si>
    <t>@idextratime KONSPIRASI: FIFA memakai ava dg background sinar matahari dibelakang trofi. Bendera Argentina ada ikon matahari. fix! dari awal memang sudah disetting agar Argentina juara. pertandingannya dibikin sedramatis mungkin agar penonton tidak ada ya</t>
  </si>
  <si>
    <t>konspirasi fifa memakai ava background sinar matahari dibelakang trofi bendera argentina ada ikon matahari fix dari awal memang sudah disetting agar argentina juara pertandingannya dibikin sedramatis mungkin agar penonton tidak ada</t>
  </si>
  <si>
    <t>['konspirasi', 'fifa', 'memakai', 'ava', 'background', 'sinar', 'matahari', 'dibelakang', 'trofi', 'bendera', 'argentina', 'ikon', 'matahari', 'fix', 'awal', 'memang', 'disetting', 'argentina', 'juara', 'pertandingannya', 'dibikin', 'sedramatis', 'mungkin', 'penonton']</t>
  </si>
  <si>
    <t>Cristiano Maradona Raul Lemos Lionel Messi Argentina Dybala Juara Dunia All In France Deschamps WHAT A FINAL Di Maria Arsenal Madrid Higuain Kolo Muani Good Game GREATEST OF ALL TIME Prancis    https://t.co/Q0v9M8Nmb6</t>
  </si>
  <si>
    <t>Terbaik! Bawa Argentina Juara Piala Dunia, Ini Rekor Messi  https://t.co/qu5kjoo6BN #beritajogja #jogja #jogjaistimewa  https://t.co/kA4btGLSJM</t>
  </si>
  <si>
    <t>terbaik bawa argentina juara piala dunia ini rekor messi</t>
  </si>
  <si>
    <t>['terbaik', 'bawa', 'argentina', 'juara', 'piala', 'dunia', 'rekor', 'messi']</t>
  </si>
  <si>
    <t>final nya seru banget!! hadiah pensiun terbaik buat Messi yang bawa Argentina juara. buat Prancis, klen keren!! apalagi Mbapp√© yang bisa mengejar ketertinggalan di menit-menit akhir, tripple shoot lagi! next FIFA 2026 harus comeback better dari yang ini.</t>
  </si>
  <si>
    <t>final nya seru banget hadiah pensiun terbaik buat messi yang bawa argentina juara buat prancis klen keren apalagi mbapp yang bisa mengejar ketertinggalan menit menit akhir tripple shoot lagi next fifa harus comeback better dari yang ini</t>
  </si>
  <si>
    <t>['final', 'seru', 'banget', 'hadiah', 'pensiun', 'terbaik', 'buat', 'messi', 'bawa', 'argentina', 'juara', 'buat', 'prancis', 'klen', 'keren', 'mbapp', 'mengejar', 'ketertinggalan', 'menit', 'menit', 'akhir', 'tripple', 'shoot', 'next', 'fifa', 'comeback', 'better']</t>
  </si>
  <si>
    <t>@WeAreMessi Luar biasa buat Timnas Argentina ....3 pemain  merk terhebat , Messi, enjo, E.Martines....Selamat buat Tim Argentina akhirnya Juara Piala Dunia Qatar 2022.</t>
  </si>
  <si>
    <t>luar biasa buat timnas argentina pemain merk terhebat messi enjo martines selamat buat tim argentina akhirnya juara piala dunia qatar</t>
  </si>
  <si>
    <t>['luar', 'biasa', 'buat', 'timnas', 'argentina', 'pemain', 'merk', 'terhebat', 'messi', 'enjo', 'martines', 'selamat', 'buat', 'tim', 'argentina', 'akhirnya', 'juara', 'piala', 'dunia', 'qatar']</t>
  </si>
  <si>
    <t>Daftar Lengkap Juara Piala Dunia: Sejarah Trofi Ketiga Argentina  https://t.co/9m6zLTCR68</t>
  </si>
  <si>
    <t>@anggaimaginer @anggiklubis @idextratime Ya terus kalo Argentina juara gua harus ngapain?</t>
  </si>
  <si>
    <t>terus kalo argentina juara gua harus ngapain</t>
  </si>
  <si>
    <t>['terus', 'argentina', 'juara', 'gua', 'ngapain']</t>
  </si>
  <si>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</si>
  <si>
    <t>terbitnya nomor ini menandakan jokowi merestui bahan baku nuklir sebagai bagian pertambangan indonesia messi dybala all france juara dunia cristiano greatest all time maradona what final argentina higuain kolo aguero madrid maria</t>
  </si>
  <si>
    <t>['terbitnya', 'nomor', 'menandakan', 'jokowi', 'merestui', 'bahan', 'baku', 'nuklir', 'bagian', 'pertambangan', 'indonesia', 'messi', 'dybala', 'all', 'france', 'juara', 'dunia', 'cristiano', 'greatest', 'all', 'time', 'maradona', 'what', 'final', 'argentina', 'higuain', 'kolo', 'aguero', 'madrid', 'maria']</t>
  </si>
  <si>
    <t>Argentina juara dunia. Indonesia revolusi.  https://t.co/73T2PRAxLp</t>
  </si>
  <si>
    <t>argentina juara dunia indonesia revolusi</t>
  </si>
  <si>
    <t>['argentina', 'juara', 'dunia', 'indonesia', 'revolusi']</t>
  </si>
  <si>
    <t>udh gua bilang argentina juara cok</t>
  </si>
  <si>
    <t>['sudah', 'gua', 'argentina', 'juara', 'cok']</t>
  </si>
  <si>
    <t>@kegblgnunfaedh Argentina juara, tapi ingat Arab sudah mengalahkanmu.</t>
  </si>
  <si>
    <t>argentina juara tapi ingat arab sudah mengalahkanmu</t>
  </si>
  <si>
    <t>['argentina', 'juara', 'ingat', 'arab', 'mengalahkanmu']</t>
  </si>
  <si>
    <t>@hilangaarah @anggiklubis @idextratime Ngasih tau aja kalo yang juara Argentina, siapa tau nggak nonton tadi pas adu penalti</t>
  </si>
  <si>
    <t>ngasih tau aja kalo yang juara argentina siapa tau nggak nonton tadi pas adu penalti</t>
  </si>
  <si>
    <t>['ngasih', 'juara', 'argentina', 'siapa', 'nonton', 'tadi', 'pas', 'adu', 'penalti']</t>
  </si>
  <si>
    <t>argentina udah juara, jeje udah ganti ava juga shsjshsjh</t>
  </si>
  <si>
    <t>argentina udah juara jeje udah ganti ava juga shsjshsjh</t>
  </si>
  <si>
    <t>['argentina', 'udah', 'juara', 'jeje', 'udah', 'ganti', 'ava', 'shsjshsjh']</t>
  </si>
  <si>
    <t>@yudiharahap46 Inilah kelas sang juara, Argentina mampu bangkit dan sukses menjadi juara...Messi dan Kawan2 menunjukkan kemampuan mereka lewat drama adu finalti...</t>
  </si>
  <si>
    <t>inilah kelas sang juara argentina mampu bangkit dan sukses menjadi juara messi dan kawan menunjukkan kemampuan mereka lewat drama adu finalti</t>
  </si>
  <si>
    <t>['inilah', 'kelas', 'sang', 'juara', 'argentina', 'mampu', 'bangkit', 'sukses', 'menjadi', 'juara', 'messi', 'kawan', 'menunjukkan', 'kemampuan', 'lewat', 'drama', 'adu', 'finalti']</t>
  </si>
  <si>
    <t>Argentina Juara Piala Dunia 2022, Lionel Messi Sabet Gelar Pemain Terbaik  https://t.co/BT7oTtt5Ib</t>
  </si>
  <si>
    <t>Argentina juara üèÜ  babak pertama argentina bermain offensive menyerang sudah unggul 2 gol tp babak pertama argentina bermain defensive,prancis terus menakan berhasil menyamakan kedudukan  Pertandingan yang seru  Argentina juara üèÜ Prancis keren</t>
  </si>
  <si>
    <t>argentina juara babak pertama argentina bermain offensive menyerang sudah unggul gol babak pertama argentina bermain defensive prancis terus menakan berhasil menyamakan kedudukan pertandingan yang seru argentina juara prancis keren</t>
  </si>
  <si>
    <t>['argentina', 'juara', 'babak', 'pertama', 'argentina', 'bermain', 'offensive', 'menyerang', 'unggul', 'gol', 'babak', 'pertama', 'argentina', 'bermain', 'defensive', 'prancis', 'terus', 'menakan', 'berhasil', 'menyamakan', 'kedudukan', 'pertandingan', 'seru', 'argentina', 'juara', 'prancis', 'keren']</t>
  </si>
  <si>
    <t>Ronaldo hanya kurang beruntung berada di tim yang tidak punya tradisi juara kayak Argentina, Brazil, Italia, Jerman, Spanyol &amp;amp; Perancis</t>
  </si>
  <si>
    <t>ronaldo hanya kurang beruntung berada tim yang tidak punya tradisi juara kayak argentina brazil italia jerman spanyol perancis</t>
  </si>
  <si>
    <t>['ronaldo', 'kurang', 'beruntung', 'berada', 'tim', 'punya', 'tradisi', 'juara', 'seperti', 'argentina', 'brazil', 'italia', 'jerman', 'spanyol', 'perancis']</t>
  </si>
  <si>
    <t>@nextjack1995 @milanirgi @neohistoria_id @idextratime Udh berkali2 dijelasin masih aja denialü§£. Yg nyambungin final world cup lu sendiri tololü§£ lampirin ss opini gw yg cuma sepenggal buat nyerang gw? ü§£  Final 2009 itu penjelasan gw tentang perjal</t>
  </si>
  <si>
    <t>udh berkali dijelasin masih aja denial nyambungin final world cup sendiri tolol lampirin opini cuma sepenggal buat nyerang final itu penjelasan tentang perjal</t>
  </si>
  <si>
    <t>['sudah', 'berkali', 'dijelasin', 'denial', 'nyambungin', 'final', 'world', 'cup', 'sendiri', 'tolol', 'lampirin', 'opini', 'cuma', 'sepenggal', 'buat', 'nyerang', 'final', 'penjelasan', 'perjal']</t>
  </si>
  <si>
    <t>@gtg_rangga @ZiiX469 @meddyDLuffy @idextratime pointya yg terpenting adu pinalti Argentina pemenangnya ..gitu aja jadi ga perlu crita soal konspirasi ,suap dan sgala tetek bengeknya .perancis Tim bagus tp Argentina lebih bagus krn dewi fortuna ada di mere</t>
  </si>
  <si>
    <t>rangga pointya terpenting adu pinalti argentina pemenangnya gitu aja jadi perlu crita soal konspirasi suap dan sgala tetek bengeknya perancis tim bagus argentina lebih bagus krn dewi fortuna ada mere</t>
  </si>
  <si>
    <t>['rangga', 'pointya', 'terpenting', 'adu', 'penalti', 'argentina', 'pemenangnya', 'gitu', 'jadi', 'perlu', 'crita', 'soal', 'konspirasi', 'suap', 'sgala', 'tetek', 'bengeknya', 'perancis', 'tim', 'bagus', 'argentina', 'lebih', 'bagus', 'dewi', 'fortuna', 'mere']</t>
  </si>
  <si>
    <t>@penerbitfandom Benar Final yg mnarik, tapi Krn keadan Perancis babak 1 sdh bnar adanya konspirasi FIFA. Dan itu semua hilang di babak 2 Perancis bangkit n cemerlangnya kiper ARG di babak extra-time. akhirya Messi juara dgn perjuangan. Hanya pendukung Dod</t>
  </si>
  <si>
    <t>benar final mnarik tapi krn keadan perancis babak sdh bnar adanya konspirasi fifa dan itu semua hilang babak perancis bangkit cemerlangnya kiper arg babak extra time akhirya messi juara dgn perjuangan hanya pendukung dod</t>
  </si>
  <si>
    <t>['benar', 'final', 'mnarik', 'keadan', 'perancis', 'babak', 'bnar', 'adanya', 'konspirasi', 'fifa', 'semua', 'hilang', 'babak', 'perancis', 'bangkit', 'cemerlangnya', 'kiper', 'arg', 'babak', 'extra', 'time', 'akhirya', 'messi', 'juara', 'perjuangan', 'pendukung', 'dod']</t>
  </si>
  <si>
    <t>2. Attack on Titan : The Final Season Part 2  Anime dengan alur cerita paling banyak konspirasi dan teori menurut gw  https://t.co/rOd2iNOeV2</t>
  </si>
  <si>
    <t>attack titan the final season part anime dengan alur cerita paling banyak konspirasi dan teori menurut</t>
  </si>
  <si>
    <t>['attack', 'titan', 'the', 'final', 'season', 'part', 'anime', 'alur', 'cerita', 'paling', 'banyak', 'konspirasi', 'teori']</t>
  </si>
  <si>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</si>
  <si>
    <t>piala dunia terdramatis sih ini mulai dari konspirasi qatar tuan rumah juara dunia kalah lawan arab saudi rekor added time tim asia gokil tangisan ronaldo catatan sejarah tim afrika sampai final match hattrick finalnya mbappe sampai drama adu penalty goks</t>
  </si>
  <si>
    <t>['piala', 'dunia', 'terdramatis', 'mulai', 'konspirasi', 'qatar', 'tuan', 'rumah', 'juara', 'dunia', 'kalah', 'lawan', 'arab', 'saudi', 'rekor', 'added', 'time', 'tim', 'asia', 'gila', 'tangisan', 'ronaldo', 'catatan', 'sejarah', 'tim', 'afrika', 'final', 'match', 'hattrick', 'finalnya', 'mbappe', 'drama', 'adu', 'penalty', 'goks']</t>
  </si>
  <si>
    <t>Namanya juga teori konspirasi jadi bebas..  Tapi fakta dilapangan kerja keras setiap negara dan pemain hingga penentuan dibabak adu pinalti untuk menentukan siapa pemenangnya membuktikan betapa ketatnya persaingan final.</t>
  </si>
  <si>
    <t>namanya juga teori konspirasi jadi bebas tapi fakta dilapangan kerja keras setiap negara dan pemain hingga penentuan dibabak adu pinalti untuk menentukan siapa pemenangnya membuktikan betapa ketatnya persaingan final</t>
  </si>
  <si>
    <t>['namanya', 'teori', 'konspirasi', 'jadi', 'bebas', 'fakta', 'dilapangan', 'kerja', 'keras', 'negara', 'pemain', 'hingga', 'penentuan', 'dibabak', 'adu', 'penalti', 'menentukan', 'siapa', 'pemenangnya', 'membuktikan', 'betapa', 'ketatnya', 'persaingan', 'final']</t>
  </si>
  <si>
    <t>gud morning, pertandingan final kemaren itu hanyalah settingan konspirasi eskrim aice  https://t.co/V0AEgWFIHV</t>
  </si>
  <si>
    <t>gud morning pertandingan final kemaren itu hanyalah settingan konspirasi eskrim aice</t>
  </si>
  <si>
    <t>['gud', 'morning', 'pertandingan', 'final', 'kemarin', 'hanyalah', 'settingan', 'konspirasi', 'eskrim', 'aice']</t>
  </si>
  <si>
    <t>Serunya Final, Bukti Tudingan Konspirasi Itu Sangat Lemah  https://t.co/R5Dh14Kmq9</t>
  </si>
  <si>
    <t>serunya final bukti tudingan konspirasi itu sangat lemah</t>
  </si>
  <si>
    <t>['serunya', 'final', 'bukti', 'tudingan', 'konspirasi', 'sangat', 'lemah']</t>
  </si>
  <si>
    <t>Serunya Final, Bukti Tudingan Konspirasi Itu Sangat Lemah  https://t.co/KUJ1Ahuol1</t>
  </si>
  <si>
    <t>gimana konspirasi final pildun, menakjubkan?</t>
  </si>
  <si>
    <t>gimana konspirasi final pildun menakjubkan</t>
  </si>
  <si>
    <t>['gimana', 'konspirasi', 'final', 'piala dunia', 'menakjubkan']</t>
  </si>
  <si>
    <t>Konspirasi kenapa UAS mikro dibolehin bawa cheatsheet: biar yg nonton final pildun tetep tenang pas UAS</t>
  </si>
  <si>
    <t>konspirasi kenapa uas mikro dibolehin bawa cheatsheet biar nonton final pildun tetep tenang pas uas</t>
  </si>
  <si>
    <t>['konspirasi', 'uas', 'mikro', 'dibolehin', 'bawa', 'cheatsheet', 'nonton', 'final', 'piala dunia', 'tetep', 'tenang', 'pas', 'uas']</t>
  </si>
  <si>
    <t>Konspirasi tai kucing, gua liat final ini memang pantes dua negara ini main di partai puncak.</t>
  </si>
  <si>
    <t>konspirasi tai kucing gua liat final ini memang pantes dua negara ini main partai puncak</t>
  </si>
  <si>
    <t>['konspirasi', 'tai', 'kucing', 'gua', 'lihat', 'final', 'memang', 'pantes', 'negara', 'main', 'partai', 'puncak']</t>
  </si>
  <si>
    <t>Apart dari semua tragedi dan konspirasi untuk Qatar jadi tuan rumah world cup, Qatar sukses bikin turnamen dan ditutup dengan final ter-epik sepanjang masa.  Thank u Qatar.</t>
  </si>
  <si>
    <t>apart dari semua tragedi dan konspirasi untuk qatar jadi tuan rumah world cup qatar sukses bikin turnamen dan ditutup dengan final ter epik sepanjang masa thank qatar</t>
  </si>
  <si>
    <t>['apart', 'semua', 'tragedi', 'konspirasi', 'qatar', 'jadi', 'tuan', 'rumah', 'world', 'cup', 'qatar', 'sukses', 'turnamen', 'ditutup', 'final', 'ter', 'epik', 'sepanjang', 'masa', 'thank', 'qatar']</t>
  </si>
  <si>
    <t>PSG yang punyanya dari Qatar Di final yang adu skill pemain PSG  Konspirasi!</t>
  </si>
  <si>
    <t>psg yang punyanya dari qatar final yang adu skill pemain psg konspirasi</t>
  </si>
  <si>
    <t>['psg', 'punyanya', 'qatar', 'final', 'adu', 'skill', 'pemain', 'psg', 'konspirasi']</t>
  </si>
  <si>
    <t>WHAT A FINAL  ARGENTINA üëçüëç  KONSPIRASI YG TERKONSPIRASI üòÇüòÇüòÇ</t>
  </si>
  <si>
    <t>what final argentina konspirasi terkonspirasi</t>
  </si>
  <si>
    <t>['what', 'final', 'argentina', 'konspirasi', 'terkonspirasi']</t>
  </si>
  <si>
    <t>Ayo sape yg blang final Konspirasi FIFA üòÜüòÜ</t>
  </si>
  <si>
    <t>ayo sape blang final konspirasi fifa</t>
  </si>
  <si>
    <t>['ayo', 'sape', 'blang', 'final', 'konspirasi', 'fifa']</t>
  </si>
  <si>
    <t>@panjifadhlurr bung, Sa, gimna pendapatnya Final World Cup 2022. Apa benar ini konspirasi</t>
  </si>
  <si>
    <t>bung gimna pendapatnya final world cup apa benar ini konspirasi</t>
  </si>
  <si>
    <t>['bung', 'gimna', 'pendapatnya', 'final', 'world', 'cup', 'apa', 'benar', 'konspirasi']</t>
  </si>
  <si>
    <t>Best final ever!  Konspirasi lovers malu harusnya üòÇ</t>
  </si>
  <si>
    <t>best final ever konspirasi lovers malu harusnya</t>
  </si>
  <si>
    <t>['best', 'final', 'ever', 'konspirasi', 'lovers', 'malu', 'harusnya']</t>
  </si>
  <si>
    <t>Bukti kalau final ini adalah konspirasi, admin HMNS aja bisa tepat memprediksi ü§£</t>
  </si>
  <si>
    <t>bukti kalau final ini adalah konspirasi admin hmns aja bisa tepat memprediksi</t>
  </si>
  <si>
    <t>['bukti', 'kalau', 'final', 'konspirasi', 'admin', 'hmns', 'tepat', 'memprediksi']</t>
  </si>
  <si>
    <t>konspirasi bgt final malem senin biar kaga produktif</t>
  </si>
  <si>
    <t>['konspirasi', 'banget', 'final', 'malem', 'senin', 'kaga', 'produktif']</t>
  </si>
  <si>
    <t>Yo yo, yg masih punya teori konspirasi final settingannya dikeluarin lagi.. wkwk</t>
  </si>
  <si>
    <t>masih punya teori konspirasi final settingannya dikeluarin lagi wkwk</t>
  </si>
  <si>
    <t>['punya', 'teori', 'konspirasi', 'final', 'settingannya', 'dikeluarin']</t>
  </si>
  <si>
    <t>Final ni konspirasi nak kasi messi menang je. Tibah</t>
  </si>
  <si>
    <t>final konspirasi nak kasi messi menang tibah</t>
  </si>
  <si>
    <t>['final', 'konspirasi', 'nak', 'kasi', 'messi', 'menang', 'tibah']</t>
  </si>
  <si>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</si>
  <si>
    <t>teori konspirasi yoyoyo guys gimana nih eas nya bentar lagi juga bakal libur nih guys nah sebelum liburan mimin mau kasi sedikit info nih guys kalian tau sih kalau dalam dunia sepakbola itu ada teori konspirasinya kali ini mimin bakal bahas teori konspirasi dari final</t>
  </si>
  <si>
    <t>['teori', 'konspirasi', 'yoyoyo', 'guys', 'gimana', 'eas', 'bentar', 'bakal', 'libur', 'guys', 'nah', 'liburan', 'mimin', 'mau', 'kasi', 'sedikit', 'info', 'guys', 'kalian', 'kalau', 'dunia', 'sepakbola', 'teori', 'konspirasinya', 'kali', 'mimin', 'bakal', 'bahas', 'teori', 'konspirasi', 'final']</t>
  </si>
  <si>
    <t>Dulu pas jerman vs argentina 433 vs 4231, argentina ketahan  Skrng final 433 vs 4231 lagi, argen unggul   Konspirasi kah</t>
  </si>
  <si>
    <t>dulu pas jerman argentina argentina ketahan skrng final lagi argen unggul konspirasi kah</t>
  </si>
  <si>
    <t>['dulu', 'pas', 'jerman', 'argentina', 'argentina', 'ketahan', 'skrng', 'final', 'argen', 'unggul', 'konspirasi']</t>
  </si>
  <si>
    <t>1998 Skuad Brazil, sang juara bertahan, keracunan makanan jelang laga final vs Perancis. Hasilnya antiklimaks Brazil kalah 3-0. 2022 Skuad Perancis, sang juara bertahan, kena wabah flu, jelang laga final vs Argentina. Hasil sementara HT 0-2. Konspirasi atau karma? #FIFAWorldCup</t>
  </si>
  <si>
    <t>skuad brazil sang juara bertahan keracunan makanan jelang laga final perancis hasilnya antiklimaks brazil kalah skuad perancis sang juara bertahan kena wabah flu jelang laga final argentina hasil sementara konspirasi atau karma</t>
  </si>
  <si>
    <t>['skuad', 'brazil', 'sang', 'juara', 'bertahan', 'keracunan', 'makanan', 'jelang', 'laga', 'final', 'perancis', 'hasilnya', 'antiklimaks', 'brazil', 'kalah', 'skuad', 'perancis', 'sang', 'juara', 'bertahan', 'kena', 'wabah', 'flu', 'jelang', 'laga', 'final', 'argentina', 'hasil', 'konspirasi', 'karma']</t>
  </si>
  <si>
    <t>Ronaldo Nazario di Final Piala Dunia 98 kabarnya diracun biar tampil gak maksimal, hasilnya Brazil kalah 3-0. Prancis menjelang Final Piala Dunia 22, 5 pemain tiba-tiba sakit, hasilnya kalah 2-0 half time. #Konspirasi</t>
  </si>
  <si>
    <t>ronaldo nazario final piala dunia kabarnya diracun biar tampil gak maksimal hasilnya brazil kalah prancis menjelang final piala dunia pemain tiba tiba sakit hasilnya kalah half time</t>
  </si>
  <si>
    <t>['ronaldo', 'nazario', 'final', 'piala', 'dunia', 'kabarnya', 'diracun', 'tampil', 'maksimal', 'hasilnya', 'brazil', 'kalah', 'prancis', 'menjelang', 'final', 'piala', 'dunia', 'pemain', 'tiba', 'tiba', 'sakit', 'hasilnya', 'kalah', 'half', 'time']</t>
  </si>
  <si>
    <t>@nessiejudge Tolong bahas di nerror konspirasi final piala dunia 2022 ini wkwkwk</t>
  </si>
  <si>
    <t>tolong bahas nerror konspirasi final piala dunia ini wkwkwk</t>
  </si>
  <si>
    <t>['bahas', 'nerror', 'konspirasi', 'final', 'piala', 'dunia', 'wkwkwk']</t>
  </si>
  <si>
    <t>@FIFAWorldCup  Sebenarnya final kali ini konspirasi menurut saya. Semua sudah tau Argentina üá¶üá∑ bakalan juara, karena matchnya di adakan di Lusail. Lusail itu mirip-mirip Lionel. Yah! Lionel Mbappe  #ArgentinaVsFrance #WorldCup #FIFAWorldCup #LionelM</t>
  </si>
  <si>
    <t>sebenarnya final kali ini konspirasi menurut saya semua sudah tau argentina bakalan juara karena matchnya adakan lusail lusail itu mirip mirip lionel yah lionel mbappe</t>
  </si>
  <si>
    <t>['sebenarnya', 'final', 'kali', 'konspirasi', 'semua', 'argentina', 'bakalan', 'juara', 'matchnya', 'adakan', 'lusail', 'lusail', 'mirip', 'mirip', 'lionel', 'lionel', 'mbappe']</t>
  </si>
  <si>
    <t>Ni juga konspirasi wahyudi bangat firstmedia di rumah bisa2an modar pas lg final beginih. Hhhhhhh.</t>
  </si>
  <si>
    <t>juga konspirasi wahyudi bangat firstmedia rumah bisa modar pas final beginih hhhhhhh</t>
  </si>
  <si>
    <t>['konspirasi', 'wahyudi', 'bangat', 'firstmedia', 'rumah', 'modar', 'pas', 'final', 'beginih', 'hhhhhhh']</t>
  </si>
  <si>
    <t>Fix konspirasi final iki!</t>
  </si>
  <si>
    <t>fix konspirasi final iki</t>
  </si>
  <si>
    <t>['fix', 'konspirasi', 'final', 'iki']</t>
  </si>
  <si>
    <t>@chitattooes Tp bisa jd konspirasi itu benar melihat yg masuk final 2 2nya bintang psg yg notabennya pemiliknya dr qatar</t>
  </si>
  <si>
    <t>bisa konspirasi itu benar melihat masuk final nya bintang psg notabennya pemiliknya qatar</t>
  </si>
  <si>
    <t>['konspirasi', 'benar', 'melihat', 'masuk', 'final', 'bintang', 'psg', 'notabennya', 'pemiliknya', 'qatar']</t>
  </si>
  <si>
    <t>@rivalkahpi persetan dengan konspirasi‚Äù argentina di final ini, sing penting juara</t>
  </si>
  <si>
    <t>persetan dengan konspirasi argentina final ini sing penting juara</t>
  </si>
  <si>
    <t>['persetan', 'konspirasi', 'argentina', 'final', 'sing', 'penting', 'juara']</t>
  </si>
  <si>
    <t>Ini konspirasi atau settingan dari @vidio  pas final piala dunia kok error siarannya.   Tolong segera perbaiki!</t>
  </si>
  <si>
    <t>ini konspirasi atau settingan dari pas final piala dunia kok error siarannya tolong segera perbaiki</t>
  </si>
  <si>
    <t>['konspirasi', 'settingan', 'pas', 'final', 'piala', 'dunia', 'kok', 'error', 'siarannya', 'segera', 'perbaiki']</t>
  </si>
  <si>
    <t>@mfh2903 @txtdrimedia Coba cek Google, konspirasi tim yang didukung Drake pasti kalah setiap final</t>
  </si>
  <si>
    <t>coba cek google konspirasi tim yang didukung drake pasti kalah setiap final</t>
  </si>
  <si>
    <t>['coba', 'cek', 'google', 'konspirasi', 'tim', 'didukung', 'drake', 'kalah', 'final']</t>
  </si>
  <si>
    <t>MAU KONSPIRASI ATAU BUKAN  FINAL NIH GUYSSSS</t>
  </si>
  <si>
    <t>mau konspirasi atau bukan final nih guyssss</t>
  </si>
  <si>
    <t>['mau', 'konspirasi', 'bukan', 'final', 'guyssss']</t>
  </si>
  <si>
    <t>Dugaan Konspirasi, Penyebab Karim Benzema Gagal Tampil di Final Piala  https://t.co/qHD1XASFus  https://t.co/0lez3KVNho</t>
  </si>
  <si>
    <t>dugaan konspirasi penyebab karim benzema gagal tampil final piala</t>
  </si>
  <si>
    <t>['dugaan', 'konspirasi', 'penyebab', 'karim', 'benzema', 'gagal', 'tampil', 'final', 'piala']</t>
  </si>
  <si>
    <t>ni grup wa kebanyakan teori konspirasi abcd soal final piala dunia, tinggal nonton doang apa susahnya sih anjing.</t>
  </si>
  <si>
    <t>grup kebanyakan teori konspirasi abcd soal final piala dunia tinggal nonton doang apa susahnya sih anjing</t>
  </si>
  <si>
    <t>['grup', 'kebanyakan', 'teori', 'konspirasi', 'abcd', 'soal', 'final', 'piala', 'dunia', 'tinggal', 'nonton', 'doang', 'apa', 'susahnya', 'anjing']</t>
  </si>
  <si>
    <t>@novellanedy Wkwk, ahli teori konspirasi gak tuh. Sampai final dibantu wasit jgn sok keras. Ntar malam juga nangis üòõ</t>
  </si>
  <si>
    <t>wkwk ahli teori konspirasi gak tuh sampai final dibantu wasit jgn sok keras ntar malam juga nangis</t>
  </si>
  <si>
    <t>['ahli', 'teori', 'konspirasi', 'final', 'dibantu', 'wasit', 'sok', 'keras', 'ntar', 'malam', 'nangis']</t>
  </si>
  <si>
    <t>@adammalik01z @idextratime Settingan itu ug euro pas lawan prancis, udah di atur pialanya buat ronaldo. Jelas‚Äù prancis yg mengusai permaianan, mana pake nengis segala di final  Kalo fansnya di gituin panas gak ya</t>
  </si>
  <si>
    <t>settingan itu euro pas lawan prancis udah atur pialanya buat ronaldo jelas prancis mengusai permaianan mana pake nengis segala final kalo fansnya gituin panas gak</t>
  </si>
  <si>
    <t>['settingan', 'euro', 'pas', 'lawan', 'prancis', 'udah', 'atur', 'pialanya', 'buat', 'ronaldo', 'jelas', 'prancis', 'mengusai', 'permaianan', 'mana', 'pake', 'nengis', 'segala', 'final', 'fansnya', 'gituin', 'panas']</t>
  </si>
  <si>
    <t>Final pidun settingan?  Ya makanya waktu kecil nonton conan sama Tsubasa jangan digabungin.</t>
  </si>
  <si>
    <t>final pidun settingan makanya waktu kecil nonton conan sama tsubasa jangan digabungin</t>
  </si>
  <si>
    <t>['final', 'pidun', 'settingan', 'makanya', 'waktu', 'kecil', 'nonton', 'conan', 'sama', 'tsubasa', 'jangan', 'digabungin']</t>
  </si>
  <si>
    <t>@Cristiano_time7 @idextratime Nih keluar contohnya. Perancis dapet penalti terus di final 2018 sama 2022 ga lu anggap settingan juga njing?</t>
  </si>
  <si>
    <t>time nih keluar contohnya perancis dapet penalti terus final sama anggap settingan juga njing</t>
  </si>
  <si>
    <t>['time', 'keluar', 'contohnya', 'perancis', 'dapat', 'penalti', 'terus', 'final', 'sama', 'anggap', 'settingan', 'njing']</t>
  </si>
  <si>
    <t>@GedGreddy @Zkurniawan_ @idextratime BIASALAH EFEK GA KUAT NEMBUS FINAL YA GINI BILANG SETTINGAN KALO GAK IKUT DUKUNG NEGARA LAINüòõ</t>
  </si>
  <si>
    <t>biasalah efek kuat nembus final gini bilang settingan kalo gak ikut dukung negara lain</t>
  </si>
  <si>
    <t>['biasalah', 'efek', 'kuat', 'nembus', 'final', 'gini', 'settingan', 'ikut', 'dukung', 'negara']</t>
  </si>
  <si>
    <t>@ChefRealMadrid @BarcaBandidos Settingan nih boss, klo settingan tuh final kok bisa 3-3?? Akwokwkw saling comback katanya settingan</t>
  </si>
  <si>
    <t>settingan nih boss klo settingan tuh final kok bisa akwokwkw saling comback katanya settingan</t>
  </si>
  <si>
    <t>['settingan', 'boss', 'settingan', 'final', 'kok', 'akwokwkw', 'saling', 'comback', 'katanya', 'settingan']</t>
  </si>
  <si>
    <t>@GedGreddy @Zkurniawan_ @idextratime Dari taun 2014 aja fans dodo udh buat kata kata settingan gara gara Messi masuk final bang</t>
  </si>
  <si>
    <t>dari taun aja fans dodo udh buat kata kata settingan gara gara messi masuk final bang</t>
  </si>
  <si>
    <t>['taun', 'fans', 'dodo', 'sudah', 'buat', 'kata', 'kata', 'settingan', 'gara', 'gara', 'messi', 'masuk', 'final', 'bang']</t>
  </si>
  <si>
    <t>@BangAlo @idextratime Final seseru ini dibilang settingan hadeuh, kalo settingan kenapa wasit ngasih pinalti 2x anjir udah menit 116 lhoo itu kenapa wasit ngasih pinalti ke France . Padahal 4menit lagi udahan tuh argen juara tanpa adu pinaltiü§¶ LOGIKA D</t>
  </si>
  <si>
    <t>final seseru ini dibilang settingan hadeuh kalo settingan kenapa wasit ngasih pinalti anjir udah menit lhoo itu kenapa wasit ngasih pinalti france padahal menit lagi udahan tuh argen juara tanpa adu pinalti logika</t>
  </si>
  <si>
    <t>['final', 'seseru', 'dibilang', 'settingan', 'hadeuh', 'settingan', 'wasit', 'ngasih', 'penalti', 'anjir', 'udah', 'menit', 'lhoo', 'wasit', 'ngasih', 'penalti', 'france', 'padahal', 'menit', 'udahan', 'argen', 'juara', 'adu', 'penalti', 'logika']</t>
  </si>
  <si>
    <t>@idextratime Masih ada yg bilang ini settingan? Anda pikir sendiri tolong kalau ini settingan Qatar yg juara atau negara Islam lain atau final lawan Maroko pinter ü´¢ pasti fans yg kalah lawan Maroko</t>
  </si>
  <si>
    <t>masih ada bilang ini settingan anda pikir sendiri tolong kalau ini settingan qatar juara atau negara islam lain atau final lawan maroko pinter pasti fans kalah lawan maroko</t>
  </si>
  <si>
    <t>['settingan', 'pikir', 'sendiri', 'kalau', 'settingan', 'qatar', 'juara', 'negara', 'islam', 'final', 'lawan', 'maroko', 'pinter', 'fans', 'kalah', 'lawan', 'maroko']</t>
  </si>
  <si>
    <t>@neohistoria_id @idextratime Aktingnya bagus banget untuk sebuah final settingan üòÇ  https://t.co/QvPByI2wyG</t>
  </si>
  <si>
    <t>aktingnya bagus banget untuk sebuah final settingan</t>
  </si>
  <si>
    <t>['aktingnya', 'bagus', 'banget', 'sebuah', 'final', 'settingan']</t>
  </si>
  <si>
    <t>@rafsandi_ @idextratime Ekspresi mereka terlalu berlebihan untuk sebuah final settingan üòÇ  https://t.co/1PpOqpSMtv</t>
  </si>
  <si>
    <t>ekspresi mereka terlalu berlebihan untuk sebuah final settingan</t>
  </si>
  <si>
    <t>['ekspresi', 'terlalu', 'berlebihan', 'sebuah', 'final', 'settingan']</t>
  </si>
  <si>
    <t>@idextratime Astaga gini amat sdm penyepong idola dodoglopes üòÇüòÇüòÇ dari final th 2014 bilang settingan, sekarang settingan lagi. Bukan kata netizen yang settingan tapi fans dodoglopes yang iri, dengki karena idolanya tidak bisa berbuat banyak untuk</t>
  </si>
  <si>
    <t>astaga gini amat sdm penyepong idola dodoglopes dari final bilang settingan sekarang settingan lagi bukan kata netizen yang settingan tapi fans dodoglopes yang iri dengki karena idolanya tidak bisa berbuat banyak untuk</t>
  </si>
  <si>
    <t>['astaga', 'gini', 'sdm', 'penyepong', 'idola', 'dodoglopes', 'final', 'settingan', 'sekarang', 'settingan', 'bukan', 'kata', 'netizen', 'settingan', 'fans', 'dodoglopes', 'iri', 'dengki', 'idolanya', 'berbuat', 'banyak']</t>
  </si>
  <si>
    <t>Dulu foto messi di jadiin meme saat kalah di final berkali kali. Sekarang dia gugur, fans nya ngeframing wc qatar settingan. Pas ngeliat final nya seseru itu dan ngeliat messi angkat piala. Eh mereka ngemis respect wkwkwkw (jgn gt lah, mereka berdua sama sama kerja keras) taiiii</t>
  </si>
  <si>
    <t>dulu foto messi jadiin meme saat kalah final berkali kali sekarang dia gugur fans nya ngeframing qatar settingan pas ngeliat final nya seseru itu dan ngeliat messi angkat piala mereka ngemis respect wkwkwkw jgn lah mereka berdua sama sama kerja keras taiiii</t>
  </si>
  <si>
    <t>['dulu', 'foto', 'messi', 'jadiin', 'meme', 'kalah', 'final', 'berkali', 'kali', 'sekarang', 'gugur', 'fans', 'ngeframing', 'qatar', 'settingan', 'pas', 'ngeliat', 'final', 'seseru', 'ngeliat', 'messi', 'angkat', 'piala', 'ngemis', 'respect', 'wkwkwkw', 'lah', 'berdua', 'sama', 'sama', 'kerja', 'keras', 'taiiii']</t>
  </si>
  <si>
    <t>@shizutzyy @afrizalpradito @denbagushari @FaktaSepakbola Munafik bet lu memek idolanya kalah malah bilang final settingan najis manusia ngentod</t>
  </si>
  <si>
    <t>munafik bet memek idolanya kalah malah bilang final settingan najis manusia ngentod</t>
  </si>
  <si>
    <t>['munafik', 'bet', 'memek', 'idolanya', 'kalah', 'malah', 'final', 'settingan', 'najis', 'manusia', 'ngentod']</t>
  </si>
  <si>
    <t>@vickyh23_ @idextratime Kocak perkara bus aja di bilang Settingan. Sejauh mn lu udh nonton partai Final di sepakbola? Bukannya setiap tim yg bertanding baik negara atau klub selalu ada bus yg disiapkan utk jaga kemungkinan mereka juara? Percaya brita sett</t>
  </si>
  <si>
    <t>kocak perkara bus aja bilang settingan sejauh udh nonton partai final sepakbola bukannya setiap tim bertanding baik negara atau klub selalu ada bus disiapkan utk jaga kemungkinan mereka juara percaya brita sett</t>
  </si>
  <si>
    <t>['kocak', 'perkara', 'bus', 'settingan', 'sejauh', 'sudah', 'nonton', 'partai', 'final', 'sepakbola', 'bukannya', 'tim', 'bertanding', 'baik', 'negara', 'klub', 'selalu', 'bus', 'disiapkan', 'jaga', 'kemungkinan', 'juara', 'percaya', 'brita', 'sett']</t>
  </si>
  <si>
    <t>@Bahrulcup @dickykcivv @idextratime Final settingan, pessi pensiun brp kali ?.  Yg di RT :  https://t.co/sqJmHjPGJh</t>
  </si>
  <si>
    <t>final settingan pessi pensiun brp kali</t>
  </si>
  <si>
    <t>['final', 'settingan', 'pessi', 'pensiun', 'brp', 'kali']</t>
  </si>
  <si>
    <t>Masih rame aja bahas final settingan. Kalau emang iya rugi apa sih kita? Paling kalah taruhan, kan?  Eh itu mah ttp rugi, yhaaa.  Xixixi</t>
  </si>
  <si>
    <t>masih rame aja bahas final settingan kalau emang iya rugi apa sih kita paling kalah taruhan kan itu mah ttp rugi yhaaa xixixi</t>
  </si>
  <si>
    <t>['ramai', 'bahas', 'final', 'settingan', 'kalau', 'emang', 'iya', 'rugi', 'apa', 'paling', 'kalah', 'taruhan', 'kan', 'mah', 'ttp', 'rugi', 'yhaaa', 'xixixi']</t>
  </si>
  <si>
    <t>Kok banyak yg bilang final settingan</t>
  </si>
  <si>
    <t>kok banyak bilang final settingan</t>
  </si>
  <si>
    <t>['kok', 'banyak', 'final', 'settingan']</t>
  </si>
  <si>
    <t>@vickyh23_ @idextratime Seperti final  liga champions itu tim juara pasti lsg pakai kaos champione,,,apakah final liga champions  juga sudah settingan??</t>
  </si>
  <si>
    <t>seperti final liga champions itu tim juara pasti lsg pakai kaos champione apakah final liga champions juga sudah settingan</t>
  </si>
  <si>
    <t>['final', 'liga', 'champions', 'tim', 'juara', 'lsg', 'pakai', 'kaos', 'champione', 'final', 'liga', 'champions', 'settingan']</t>
  </si>
  <si>
    <t>@KaKa01175473 @Gaotronaldo32 @idextratime Logika tertololl. Klo settingan ngapain capek " main sampek 120 menit penalti an pas lawan Belanda, kalah lawan arab, final gilakkk gilak an. Save martinez gilak?? Logika dodolover Emng tololll</t>
  </si>
  <si>
    <t>logika tertololl klo settingan ngapain capek main sampek menit penalti pas lawan belanda kalah lawan arab final gilakkk gilak save martinez gilak logika dodolover emng tololll</t>
  </si>
  <si>
    <t>['logika', 'tertololl', 'settingan', 'ngapain', 'lelah', 'main', 'sampek', 'menit', 'penalti', 'pas', 'lawan', 'belanda', 'kalah', 'lawan', 'arab', 'final', 'gilakkk', 'gilak', 'save', 'martinez', 'gilak', 'logika', 'dodolover', 'memang', 'tololll']</t>
  </si>
  <si>
    <t>@vickyh23_ @idextratime Kalau emang settingan kenapa ga menangin dari 2014 aja? Atau lolosin ke final di 2018? Hehe</t>
  </si>
  <si>
    <t>kalau emang settingan kenapa menangin dari aja atau lolosin final hehe</t>
  </si>
  <si>
    <t>['kalau', 'emang', 'settingan', 'menangin', 'lolosin', 'final']</t>
  </si>
  <si>
    <t>@DurisAbdul @idextratime Wkwkw udah tau bro sebenarnya, cuma mau diperhalus aja diawali dengan nanya. Kalo dipancing langsung "final settingan blm kluar juara bus sudah siap" terlalu konyol üòÇ mau mancing kata kata settingan intinya mah hahahaha</t>
  </si>
  <si>
    <t>wkwkw udah tau bro sebenarnya cuma mau diperhalus aja diawali dengan nanya kalo dipancing langsung final settingan blm kluar juara bus sudah siap terlalu konyol mau mancing kata kata settingan intinya mah hahahaha</t>
  </si>
  <si>
    <t>['wkwkw', 'udah', 'bro', 'sebenarnya', 'cuma', 'mau', 'diperhalus', 'diawali', 'nanya', 'dipancing', 'langsung', 'final', 'settingan', 'blm', 'kluar', 'juara', 'bus', 'siap', 'terlalu', 'konyol', 'mau', 'mancing', 'kata', 'kata', 'settingan', 'intinya', 'mah', 'hahahaha']</t>
  </si>
  <si>
    <t>@vickyh23_ @idextratime Itu karna setiap team yg berlaga sudah menyiapkan masing2 perayaannya. Trus lu pikir setiap ajang olahraga yg juara ada tulisan/perayaannya langsung itu settingan semua?! Baru nonton final olahraga ya cong?!  Begok kok diambil semu</t>
  </si>
  <si>
    <t>itu karna setiap team berlaga sudah menyiapkan masing perayaannya trus pikir setiap ajang olahraga juara ada tulisan perayaannya langsung itu settingan semua baru nonton final olahraga cong begok kok diambil semu</t>
  </si>
  <si>
    <t>['karna', 'team', 'berlaga', 'menyiapkan', 'masing', 'perayaannya', 'trus', 'pikir', 'ajang', 'olahraga', 'juara', 'tulisan', 'perayaannya', 'langsung', 'settingan', 'semua', 'baru', 'nonton', 'final', 'olahraga', 'cong', 'begok', 'kok', 'diambil', 'semu']</t>
  </si>
  <si>
    <t>@cepat_internet @wongndomble @mkemal2508 @Info_Ronaldo7 @SatriaS14398284 @vickyh23_ @idextratime Bang kalo tolol jangan diliatin banget maluu ü§£ kalo memang settingan dari awal aja udah menang,final ga bakal 3 sama mikir pake otak iri dengki gabakal men</t>
  </si>
  <si>
    <t>internet ronaldo bang kalo tolol jangan diliatin banget maluu kalo memang settingan dari awal aja udah menang final bakal sama mikir pake otak iri dengki gabakal men</t>
  </si>
  <si>
    <t>['internet', 'ronaldo', 'bang', 'tolol', 'jangan', 'diliatin', 'banget', 'maluu', 'memang', 'settingan', 'awal', 'udah', 'menang', 'final', 'bakal', 'sama', 'mikir', 'pake', 'otak', 'iri', 'dengki', 'gabakal', 'men']</t>
  </si>
  <si>
    <t>@Elcapito75 @TokiAnakJoyboy @realmadridindo1 buset piala settingan they said hahahaha, 2 kali argen leading di final trus bisa di samain sm prancis sampe adu pinalty masih aja di bilang settinganüòÇüòÇ. emang haters kalo udah benci bener2 jadi goblok se</t>
  </si>
  <si>
    <t>buset piala settingan they said hahahaha kali argen leading final trus bisa samain prancis sampe adu pinalty masih aja bilang settingan emang haters kalo udah benci bener jadi goblok</t>
  </si>
  <si>
    <t>['buset', 'piala', 'settingan', 'they', 'said', 'hahahaha', 'kali', 'argen', 'leading', 'final', 'trus', 'samain', 'prancis', 'sampai', 'adu', 'pinalty', 'settingan', 'emang', 'haters', 'udah', 'benci', 'benar', 'jadi', 'goblok']</t>
  </si>
  <si>
    <t>@_rewhy @idextratime Banyak bacot kalah2 aja todd, ga liat full final semalam? Masi ngomong settingan?</t>
  </si>
  <si>
    <t>banyak bacot kalah aja todd liat full final semalam masi ngomong settingan</t>
  </si>
  <si>
    <t>['banyak', 'bacot', 'kalah', 'todd', 'lihat', 'full', 'final', 'semalam', 'masi', 'ngomong', 'settingan']</t>
  </si>
  <si>
    <t>piala dunia settingan haruse final e portugal vs. madrid/utdüôèüèΩüôÇ</t>
  </si>
  <si>
    <t>piala dunia settingan haruse final portugal madrid utd</t>
  </si>
  <si>
    <t>['piala', 'dunia', 'settingan', 'haruse', 'final', 'portugal', 'madrid', 'utd']</t>
  </si>
  <si>
    <t>Piala dunia ini mungkin settingan, tapi di final kemarin, gw jadi gak peduli siapa juara. Serunya masih lengket di badan.  https://t.co/Ym5xvQRJJm</t>
  </si>
  <si>
    <t>piala dunia ini mungkin settingan tapi final kemarin jadi gak peduli siapa juara serunya masih lengket badan</t>
  </si>
  <si>
    <t>['piala', 'dunia', 'mungkin', 'settingan', 'final', 'kemarin', 'jadi', 'peduli', 'siapa', 'juara', 'serunya', 'lengket', 'badan']</t>
  </si>
  <si>
    <t>@dirgantara301 @CoachJustinL @YouTube Terus di final dapet 2 penalty bukan settingan üòÇ coba deh menit akhir muani masukin, ga ada tuh bilang settinganüòÇ</t>
  </si>
  <si>
    <t>terus final dapet penalty bukan settingan coba deh menit akhir muani masukin ada tuh bilang settingan</t>
  </si>
  <si>
    <t>['terus', 'final', 'dapat', 'penalty', 'bukan', 'settingan', 'coba', 'deh', 'menit', 'akhir', 'muani', 'masukin', 'settingan']</t>
  </si>
  <si>
    <t>Fans cry baby bilang final settingan..ngahahaa</t>
  </si>
  <si>
    <t>fans cry baby bilang final settingan ngahahaa</t>
  </si>
  <si>
    <t>['fans', 'cry', 'baby', 'final', 'settingan', 'ngahahaa']</t>
  </si>
  <si>
    <t>@idextratime Yg disetting cuma penempatan grup, ini klo sesuai settingan fifa harusnya final argentin vs portugal. Eh maroko nya menggila wkwk</t>
  </si>
  <si>
    <t>disetting cuma penempatan grup ini klo sesuai settingan fifa harusnya final argentin portugal maroko nya menggila wkwk</t>
  </si>
  <si>
    <t>['disetting', 'cuma', 'penempatan', 'grup', 'sesuai', 'settingan', 'fifa', 'harusnya', 'final', 'argentin', 'portugal', 'maroko', 'menggila']</t>
  </si>
  <si>
    <t>semakin menguatkan argumen final settingan</t>
  </si>
  <si>
    <t>['semakin', 'menguatkan', 'argumen', 'final', 'settingan']</t>
  </si>
  <si>
    <t>@tmmchnplz @sayalusia @bintangemon Bedain lagi mana penalty yg soft mana yg layak penalty. Jangan cuma "oh dapet penalty terus, fix dibantu fifa, fix settingan". Objektif dikit. 1 gol emang bisa ubah alur game, tapi liat juga mental Argentina. Vs. Belanda</t>
  </si>
  <si>
    <t>bedain lagi mana penalty soft mana layak penalty jangan cuma dapet penalty terus fix dibantu fifa fix settingan objektif dikit gol emang bisa ubah alur game tapi liat juga mental argentina belanda</t>
  </si>
  <si>
    <t>['bedain', 'mana', 'penalty', 'soft', 'mana', 'layak', 'penalty', 'jangan', 'cuma', 'dapat', 'penalty', 'terus', 'fix', 'dibantu', 'fifa', 'fix', 'settingan', 'objektif', 'dikit', 'gol', 'emang', 'ubah', 'alur', 'game', 'lihat', 'mental', 'argentina', 'belanda']</t>
  </si>
  <si>
    <t>@kegblgnunfaedh banyak yng bilang settingan kenapa ga dari awal bilang argentina settingan? apa jangan jangan pada iri ya club nya ga lolos ke final wkwk</t>
  </si>
  <si>
    <t>banyak yng bilang settingan kenapa dari awal bilang argentina settingan apa jangan jangan pada iri club nya lolos final wkwk</t>
  </si>
  <si>
    <t>['banyak', 'yng', 'settingan', 'awal', 'argentina', 'settingan', 'apa', 'jangan', 'jangan', 'iri', 'club', 'lolos', 'final']</t>
  </si>
  <si>
    <t>@idextratime Apakah ini indikasi final Settingan???</t>
  </si>
  <si>
    <t>apakah ini indikasi final settingan</t>
  </si>
  <si>
    <t>['indikasi', 'final', 'settingan']</t>
  </si>
  <si>
    <t>Sek do iseh iyik nek muni juara piala dunia settingan, tapi final nyekel prancis kuii tolol ü§£</t>
  </si>
  <si>
    <t>sek iseh iyik nek muni juara piala dunia settingan tapi final nyekel prancis kuii tolol</t>
  </si>
  <si>
    <t>['sek', 'iseh', 'iyik', 'nek', 'muni', 'juara', 'piala', 'dunia', 'settingan', 'final', 'nyekel', 'prancis', 'kuii', 'tolol']</t>
  </si>
  <si>
    <t>@idextratime di final juga prancis juga ngotot main nya ngga mau kalah, kalo settingan ya dibiarin aja argentina nyetak 100 gol juga bisa, tapi yang ada skor prancis 3-3 bisa dibilang bisa nyamain argentina sampe et</t>
  </si>
  <si>
    <t>final juga prancis juga ngotot main nya ngga mau kalah kalo settingan dibiarin aja argentina nyetak gol juga bisa tapi yang ada skor prancis bisa dibilang bisa nyamain argentina sampe</t>
  </si>
  <si>
    <t>['final', 'prancis', 'ngotot', 'main', 'ngga', 'mau', 'kalah', 'settingan', 'dibiarin', 'argentina', 'nyetak', 'gol', 'skor', 'prancis', 'dibilang', 'nyamain', 'argentina', 'sampai']</t>
  </si>
  <si>
    <t>@idextratime Nah setuju nih min dan kan di final keliatan ngga ada settingan france ngga mau kalah juga mereka berusaha untuk cetak gol</t>
  </si>
  <si>
    <t>nah setuju nih min dan kan final keliatan ngga ada settingan france ngga mau kalah juga mereka berusaha untuk cetak gol</t>
  </si>
  <si>
    <t>['nah', 'setuju', 'min', 'kan', 'final', 'keliatan', 'ngga', 'settingan', 'france', 'ngga', 'mau', 'kalah', 'berusaha', 'cetak', 'gol']</t>
  </si>
  <si>
    <t>satu-satunya yang ngebuat orang-orang lupa kalo ini mungkin 'settingan' adalah..., golnya banyak, jadi seru.  emang ada berapa final piala dunia yang golnya sebanyak semalem?</t>
  </si>
  <si>
    <t>satu satunya yang ngebuat orang orang lupa kalo ini mungkin settingan adalah golnya banyak jadi seru emang ada berapa final piala dunia yang golnya sebanyak semalem</t>
  </si>
  <si>
    <t>['satu', 'satunya', 'ngebuat', 'orang', 'orang', 'lupa', 'mungkin', 'settingan', 'golnya', 'banyak', 'jadi', 'seru', 'emang', 'berapa', 'final', 'piala', 'dunia', 'golnya', 'sebanyak', 'semalam']</t>
  </si>
  <si>
    <t>@Elcapito75 @yogesthinaga @utdfocusid pemuja Dodo final terbaik dibilang settingan wkwk</t>
  </si>
  <si>
    <t>pemuja dodo final terbaik dibilang settingan wkwk</t>
  </si>
  <si>
    <t>['pemuja', 'dodo', 'final', 'terbaik', 'dibilang', 'settingan']</t>
  </si>
  <si>
    <t>@idextratime Udah dibilang nih final settingan biar Messi angkat piala</t>
  </si>
  <si>
    <t>udah dibilang nih final settingan biar messi angkat piala</t>
  </si>
  <si>
    <t>['udah', 'dibilang', 'final', 'settingan', 'messi', 'angkat', 'piala']</t>
  </si>
  <si>
    <t>Dari tahun ke tahun, era ke era. Akhr piala dunia sll menyisakan kata ‚Äúsettingan‚Äù. Lah kalau udh tau settingan ngpain ditonton?  Ya appn itu final piala dunia kemarin adalah final paling ngakcak!</t>
  </si>
  <si>
    <t>dari tahun tahun era era akhr piala dunia sll menyisakan kata settingan lah kalau udh tau settingan ngpain ditonton appn itu final piala dunia kemarin adalah final paling ngakcak</t>
  </si>
  <si>
    <t>['tahun', 'tahun', 'era', 'era', 'akhr', 'piala', 'dunia', 'sll', 'menyisakan', 'kata', 'settingan', 'lah', 'kalau', 'sudah', 'settingan', 'ngpain', 'ditonton', 'appn', 'final', 'piala', 'dunia', 'kemarin', 'final', 'paling', 'ngakcak']</t>
  </si>
  <si>
    <t>Mau settingan kek, mau murni kek final kemaren seru gila</t>
  </si>
  <si>
    <t>mau settingan kek mau murni kek final kemaren seru gila</t>
  </si>
  <si>
    <t>['mau', 'settingan', 'kek', 'mau', 'murni', 'kek', 'final', 'kemarin', 'seru', 'gila']</t>
  </si>
  <si>
    <t>@biylski @pandji ini yg bikin orang2 jadi dungu, dah kayak judi online aja settingan, padahal  mah tinggal duduk bareng2, seru2an ma temen2 adu caci maki nikmati final kelas dunia tanpa pikiran macem2, ini mah abis liat bola yg notabene hiburan malah pada</t>
  </si>
  <si>
    <t>ini bikin orang jadi dungu dah kayak judi online aja settingan padahal mah tinggal duduk bareng seru temen adu caci maki nikmati final kelas dunia tanpa pikiran macem ini mah abis liat bola notabene hiburan malah pada</t>
  </si>
  <si>
    <t>['orang', 'jadi', 'dungu', 'dah', 'seperti', 'judi', 'online', 'settingan', 'padahal', 'mah', 'tinggal', 'duduk', 'bareng', 'seru', 'temen', 'adu', 'caci', 'maki', 'nikmati', 'final', 'kelas', 'dunia', 'pikiran', 'macem', 'mah', 'abis', 'lihat', 'bola', 'notabene', 'hiburan', 'malah']</t>
  </si>
  <si>
    <t>Buat yang bilang Piala Dunia settingan buat Messi, antum pikir wasit final ngasih 2 penalti ke Perancis di menit2 kritis ga sengaja?</t>
  </si>
  <si>
    <t>buat yang bilang piala dunia settingan buat messi antum pikir wasit final ngasih penalti perancis menit kritis sengaja</t>
  </si>
  <si>
    <t>['buat', 'piala', 'dunia', 'settingan', 'buat', 'messi', 'antum', 'pikir', 'wasit', 'final', 'ngasih', 'penalti', 'perancis', 'menit', 'kritis', 'sengaja']</t>
  </si>
  <si>
    <t>@Elcapito75 @yogesthinaga @utdfocusid Lihat mahluk ini, dah jelas kemaren final tuh laga final terbaik abad ini, masih aja bilang settingan. Agak ga sehat ni orang</t>
  </si>
  <si>
    <t>lihat mahluk ini dah jelas kemaren final tuh laga final terbaik abad ini masih aja bilang settingan agak sehat orang</t>
  </si>
  <si>
    <t>['lihat', 'mahluk', 'dah', 'jelas', 'kemarin', 'final', 'laga', 'final', 'terbaik', 'abad', 'settingan', 'sehat', 'orang']</t>
  </si>
  <si>
    <t>Yakin piala dunia bukan settingan?  dari awal babak penyisihan grup sampe final selalu dapat penalty  Goal pertama Argentina vs France karna divingnya Di Maria dan tidak check VAR @hayder_imron  @BonekGL</t>
  </si>
  <si>
    <t>yakin piala dunia bukan settingan dari awal babak penyisihan grup sampe final selalu dapat penalty goal pertama argentina france karna divingnya maria dan tidak check var imron</t>
  </si>
  <si>
    <t>['yakin', 'piala', 'dunia', 'bukan', 'settingan', 'awal', 'babak', 'penyisihan', 'grup', 'sampai', 'final', 'selalu', 'penalty', 'goal', 'pertama', 'argentina', 'france', 'karna', 'divingnya', 'maria', 'check', 'var', 'imron']</t>
  </si>
  <si>
    <t>@Cristiano_time7 @idextratime Argentina ke final kamu bilang aneh...terus kamu maunya Portugal gitu... Portugal gimana mau ke final lawan Maroko aja kalah...kamu bilang settingan?...hehe</t>
  </si>
  <si>
    <t>time argentina final kamu bilang aneh terus kamu maunya portugal gitu portugal gimana mau final lawan maroko aja kalah kamu bilang settingan hehe</t>
  </si>
  <si>
    <t>['time', 'argentina', 'final', 'kamu', 'aneh', 'terus', 'kamu', 'maunya', 'portugal', 'gitu', 'portugal', 'gimana', 'mau', 'final', 'lawan', 'maroko', 'kalah', 'kamu', 'settingan']</t>
  </si>
  <si>
    <t>@iky_muhammad_ @GOAL_ID Settingan Nasser ,biar pemainnya yg cetak goal d Final World Cup ü§£ü§£üòÜüòÇüòÜü§£üòÜüòÇüòÜü§£ wkwkw</t>
  </si>
  <si>
    <t>muhammad settingan nasser biar pemainnya cetak goal final world cup wkwkw</t>
  </si>
  <si>
    <t>['muhammad', 'settingan', 'nasser', 'pemainnya', 'cetak', 'goal', 'final', 'world', 'cup', 'wkwkw']</t>
  </si>
  <si>
    <t>@BayuSigma88 @_adlayy_ @trastzy @The_RedsIndo Yaelah isu settingan muncul pas portugal gugur, sebelum¬≤ nya adem ayem aja bahkan fans nya jumawa portugal bakal ke final eh taunya? Busuk</t>
  </si>
  <si>
    <t>redsindo yaelah isu settingan muncul pas portugal gugur sebelum nya adem ayem aja bahkan fans nya jumawa portugal bakal final taunya busuk</t>
  </si>
  <si>
    <t>['redsindo', 'yaelah', 'isu', 'settingan', 'muncul', 'pas', 'portugal', 'gugur', 'adem', 'ayem', 'bahkan', 'fans', 'jumawa', 'portugal', 'bakal', 'final', 'taunya', 'busuk']</t>
  </si>
  <si>
    <t>@SiaranBolaLive Nah dan final terbukti ngga ada settingan</t>
  </si>
  <si>
    <t>nah dan final terbukti ngga ada settingan</t>
  </si>
  <si>
    <t>['nah', 'final', 'terbukti', 'ngga', 'settingan']</t>
  </si>
  <si>
    <t>gws yg bilang pildun settingan. itu final udah kek roller coaster cook jantungku koyo meh mandek (hiperbola)</t>
  </si>
  <si>
    <t>gws bilang pildun settingan itu final udah kek roller coaster cook jantungku koyo meh mandek hiperbola</t>
  </si>
  <si>
    <t>['get well soon', 'piala dunia', 'settingan', 'final', 'udah', 'kek', 'roller', 'coaster', 'cook', 'jantungku', 'koyo', 'meh', 'mandek', 'hiperbola']</t>
  </si>
  <si>
    <t>@idextratime Kurang tegang apa lagi final td masih mau blg settingan?</t>
  </si>
  <si>
    <t>kurang tegang apa lagi final masih mau blg settingan</t>
  </si>
  <si>
    <t>['kurang', 'tegang', 'apa', 'final', 'mau', 'blg', 'settingan']</t>
  </si>
  <si>
    <t>@cursedkidd Begitulah netijen pendukung rival messi,giliran messi ke final yg diliat gol pinalti,ketika juara di bilang settingan,apalah netijen2 bodoh,gua fans cr7,tpi giliran liat postingan kek gini,kok jadi esmosi yaa,ane kasih selamat buat Messi,Skali</t>
  </si>
  <si>
    <t>begitulah netijen pendukung rival messi giliran messi final diliat gol pinalti ketika juara bilang settingan apalah netijen bodoh gua fans tpi giliran liat postingan kek gini kok jadi esmosi yaa ane kasih selamat buat messi skali</t>
  </si>
  <si>
    <t>['begitulah', 'netijen', 'pendukung', 'rival', 'messi', 'giliran', 'messi', 'final', 'diliat', 'gol', 'penalti', 'juara', 'settingan', 'apalah', 'netijen', 'bodoh', 'gua', 'fans', 'tpi', 'giliran', 'lihat', 'postingan', 'kek', 'gini', 'kok', 'jadi', 'esmosi', 'ya', 'ane', 'kasih', 'selamat', 'buat', 'messi', 'skali']</t>
  </si>
  <si>
    <t>bangke..  belom bisa merem gegara final settingan fifa..   ü§£ü§£ü§£</t>
  </si>
  <si>
    <t>bangke belom bisa merem gegara final settingan fifa</t>
  </si>
  <si>
    <t>['bangke', 'belom', 'merem', 'gegara', 'final', 'settingan', 'fifa']</t>
  </si>
  <si>
    <t>YANG BILANG SETTINGAN NOH MAKAN TUH PERTANDINGAN FINAL HARI INI! JANTUNGAN GA LOOO HAHAHA</t>
  </si>
  <si>
    <t>yang bilang settingan noh makan tuh pertandingan final hari ini jantungan looo hahaha</t>
  </si>
  <si>
    <t>['settingan', 'noh', 'makan', 'pertandingan', 'final', 'hari', 'jantungan', 'looo', 'hahaha']</t>
  </si>
  <si>
    <t>@idextratime Sudah jelas ini final world cup paling gila, stop bilang settingan.  Adu pinalti saja karna skor 3-3, bukan hanya 0-0 atau 1-1. Gimana mau settingan, emang Messi lebih besar dari negara" yg ikut world cup. Yok berfikir cerdas...</t>
  </si>
  <si>
    <t>sudah jelas ini final world cup paling gila stop bilang settingan adu pinalti saja karna skor bukan hanya atau gimana mau settingan emang messi lebih besar dari negara ikut world cup yok berfikir cerdas</t>
  </si>
  <si>
    <t>['jelas', 'final', 'world', 'cup', 'paling', 'gila', 'stop', 'settingan', 'adu', 'penalti', 'karna', 'skor', 'bukan', 'gimana', 'mau', 'settingan', 'emang', 'messi', 'lebih', 'besar', 'negara', 'ikut', 'world', 'cup', 'yok', 'berfikir', 'cerdas']</t>
  </si>
  <si>
    <t>@idextratime Yg bilang settingan,gigi bapak lu settingan anjing,final Ter seru yg pernah gw liat</t>
  </si>
  <si>
    <t>bilang settingan gigi bapak settingan anjing final ter seru pernah liat</t>
  </si>
  <si>
    <t>['settingan', 'gigi', 'bapak', 'settingan', 'anjing', 'final', 'ter', 'seru', 'pernah', 'lihat']</t>
  </si>
  <si>
    <t>@idextratime Nunggu komentar yg bilang Final settingan, masih nongol gak yaaaaaa</t>
  </si>
  <si>
    <t>nunggu komentar bilang final settingan masih nongol gak yaaaaaa</t>
  </si>
  <si>
    <t>['nunggu', 'komentar', 'final', 'settingan', 'nongol', 'yaaaaaa']</t>
  </si>
  <si>
    <t>Final world cup yg paling keren yg pernah gue tonton. Membungkam suara2 sumbang final atau juara settingan apalah ituu</t>
  </si>
  <si>
    <t>final world cup paling keren pernah gue tonton membungkam suara sumbang final atau juara settingan apalah ituu</t>
  </si>
  <si>
    <t>['final', 'world', 'cup', 'paling', 'keren', 'pernah', 'gue', 'tonton', 'membungkam', 'suara', 'sumbang', 'final', 'juara', 'settingan', 'apalah', 'ituu']</t>
  </si>
  <si>
    <t>Sumpah settingan bgt ini final ajg giroud grizman dembele di ganti semua sisa mbappe doang</t>
  </si>
  <si>
    <t>sumpah settingan bgt ini final ajg giroud grizman dembele ganti semua sisa mbappe doang</t>
  </si>
  <si>
    <t>['sumpah', 'settingan', 'banget', 'final', 'ajg', 'giroud', 'grizman', 'dembele', 'ganti', 'semua', 'sisa', 'mbappe', 'doang']</t>
  </si>
  <si>
    <t>tu yg bilang settingan tlol bgt njing. ini tuh final trseruuuu perasaan penonton dibuat jatuh bangunüò≠üò≠üò≠</t>
  </si>
  <si>
    <t>bilang settingan tlol bgt njing ini tuh final trseruuuu perasaan penonton dibuat jatuh bangun</t>
  </si>
  <si>
    <t>['settingan', 'tlol', 'banget', 'njing', 'final', 'trseruuuu', 'perasaan', 'penonton', 'dibuat', 'jatuh', 'bangun']</t>
  </si>
  <si>
    <t>Yang masih bilang settingan gak nonton apa final tadi seemosi itu sepanas itu</t>
  </si>
  <si>
    <t>yang masih bilang settingan gak nonton apa final tadi seemosi itu sepanas itu</t>
  </si>
  <si>
    <t>['settingan', 'nonton', 'apa', 'final', 'tadi', 'seemosi', 'sepanas']</t>
  </si>
  <si>
    <t>Dari awal sampai akhir, jantung gak henti berpacu Settingan apa bukan, ini final terbaik yang pernah saya lihat</t>
  </si>
  <si>
    <t>dari awal sampai akhir jantung gak henti berpacu settingan apa bukan ini final terbaik yang pernah saya lihat</t>
  </si>
  <si>
    <t>['awal', 'akhir', 'jantung', 'henti', 'berpacu', 'settingan', 'apa', 'bukan', 'final', 'terbaik', 'pernah', 'lihat']</t>
  </si>
  <si>
    <t>Kirain settingan, ternyata seru banget final ini.  Pertama sejak 2006: yg gue dukung di final Pildun angkat pialaüèÜ</t>
  </si>
  <si>
    <t>kirain settingan ternyata seru banget final ini pertama sejak gue dukung final pildun angkat piala</t>
  </si>
  <si>
    <t>['kirain', 'settingan', 'ternyata', 'seru', 'banget', 'final', 'pertama', 'sejak', 'gue', 'dukung', 'final', 'piala dunia', 'angkat', 'piala']</t>
  </si>
  <si>
    <t>yg bilang final pildun kali ini settingan, fix kalian bener. settingan allah</t>
  </si>
  <si>
    <t>bilang final pildun kali ini settingan fix kalian bener settingan allah</t>
  </si>
  <si>
    <t>['final', 'piala dunia', 'kali', 'settingan', 'fix', 'kalian', 'benar', 'settingan', 'allah']</t>
  </si>
  <si>
    <t>W fans ronaldo dri umur 5 tahun w ngakuin ini itu NO DEBAT MESSI is the best ever üêê WHAT A FINAL ü§Øüëèüôå Yg msih blg settingan tolol sii</t>
  </si>
  <si>
    <t>fans ronaldo dri umur tahun ngakuin ini itu debat messi the best ever what final msih blg settingan tolol sii</t>
  </si>
  <si>
    <t>['fans', 'ronaldo', 'dri', 'umur', 'tahun', 'ngakuin', 'debat', 'messi', 'the', 'best', 'ever', 'what', 'final', 'msih', 'blg', 'settingan', 'tolol', 'sii']</t>
  </si>
  <si>
    <t>yang masih bilang final wc22 settingan gatau lagi dah tu pikirannya gmana</t>
  </si>
  <si>
    <t>yang masih bilang final settingan gatau lagi dah pikirannya gmana</t>
  </si>
  <si>
    <t>['final', 'settingan', 'gatau', 'dah', 'pikirannya', 'gmana']</t>
  </si>
  <si>
    <t>@idextratime Argentina itu tim besar, langganan masuk final dan dah pernah juara pildun masa disebut settingan kalo tim kecil kyk portugal yg blm pernah masuk final trus ujug2 juara itu baru settingan</t>
  </si>
  <si>
    <t>argentina itu tim besar langganan masuk final dan dah pernah juara pildun masa disebut settingan kalo tim kecil kyk portugal blm pernah masuk final trus ujug juara itu baru settingan</t>
  </si>
  <si>
    <t>['argentina', 'tim', 'besar', 'langganan', 'masuk', 'final', 'dah', 'pernah', 'juara', 'piala dunia', 'masa', 'disebut', 'settingan', 'tim', 'kecil', 'seperti', 'portugal', 'blm', 'pernah', 'masuk', 'final', 'trus', 'ujug', 'juara', 'baru', 'settingan']</t>
  </si>
  <si>
    <t>Final seru kayak gini, ngilang dah yang bilang world cup ini settingan ü§° #ArgentinaVsFrance</t>
  </si>
  <si>
    <t>final seru kayak gini ngilang dah yang bilang world cup ini settingan</t>
  </si>
  <si>
    <t>['final', 'seru', 'seperti', 'gini', 'ngilang', 'dah', 'world', 'cup', 'settingan']</t>
  </si>
  <si>
    <t>@idextratime Final yang luar biasa.  OOOOOIII SIAPA YG DARI KEMARIN TERIAK SETTINGAN SETTINGAN??!!üòÅ</t>
  </si>
  <si>
    <t>final yang luar biasa oooooiii siapa dari kemarin teriak settingan settingan</t>
  </si>
  <si>
    <t>['final', 'luar', 'biasa', 'oooooiii', 'siapa', 'kemarin', 'teriak', 'settingan', 'settingan']</t>
  </si>
  <si>
    <t>Kalau ada yang bilang final settingan parah si. Soalnya ga bisa ketebak euy!! Gilak parah</t>
  </si>
  <si>
    <t>kalau ada yang bilang final settingan parah soalnya bisa ketebak euy gilak parah</t>
  </si>
  <si>
    <t>['kalau', 'final', 'settingan', 'parah', 'soalnya', 'ketebak', 'euy', 'gilak', 'parah']</t>
  </si>
  <si>
    <t>Terlepas dri byk yg blg settingan W tetap enjoy &amp;amp; terhibur bgt liat final x ini</t>
  </si>
  <si>
    <t>terlepas dri byk blg settingan tetap enjoy terhibur bgt liat final ini</t>
  </si>
  <si>
    <t>['terlepas', 'dri', 'byk', 'blg', 'settingan', 'tetap', 'enjoy', 'terhibur', 'banget', 'lihat', 'final']</t>
  </si>
  <si>
    <t>Yg bilang settingan. Nonton noh final. Gila anjir kejar2an. Atmosfir, emosi drama nya. Final terbaik yang pernah ada. VAMOS ARGENTINA!</t>
  </si>
  <si>
    <t>bilang settingan nonton noh final gila anjir kejar atmosfir emosi drama nya final terbaik yang pernah ada vamos argentina</t>
  </si>
  <si>
    <t>['settingan', 'nonton', 'noh', 'final', 'gila', 'anjir', 'kejar', 'atmosfir', 'emosi', 'drama', 'final', 'terbaik', 'pernah', 'vamos', 'argentina']</t>
  </si>
  <si>
    <t>@KautsarWidi97 Yang bilang ini final settingan, mamam tuh -99 jantung wkwkwwk</t>
  </si>
  <si>
    <t>yang bilang ini final settingan mamam tuh jantung wkwkwwk</t>
  </si>
  <si>
    <t>['final', 'settingan', 'mamam', 'jantung', 'wkwkwwk']</t>
  </si>
  <si>
    <t>settingan sih gue rasa ini final. drama bgt anjir seru kyk sinetron</t>
  </si>
  <si>
    <t>settingan sih gue rasa ini final drama bgt anjir seru kyk sinetron</t>
  </si>
  <si>
    <t>['settingan', 'gue', 'rasa', 'final', 'drama', 'banget', 'anjir', 'seru', 'seperti', 'sinetron']</t>
  </si>
  <si>
    <t>@AfifXavi Messi &amp;gt; Ronaldo No Doubt, Kita akhiri debate ini, fans settingan minggir dulu, mana ada settingan seseru ini, ini final terbaik dipildun dihidup gwüî•üî•üôåüôå 3 Stars For Argentina</t>
  </si>
  <si>
    <t>messi ronaldo doubt kita akhiri debate ini fans settingan minggir dulu mana ada settingan seseru ini ini final terbaik dipildun dihidup stars for argentina</t>
  </si>
  <si>
    <t>['messi', 'ronaldo', 'doubt', 'akhiri', 'debate', 'fans', 'settingan', 'minggir', 'dulu', 'mana', 'settingan', 'seseru', 'final', 'terbaik', 'dipildun', 'dihidup', 'stars', 'for', 'argentina']</t>
  </si>
  <si>
    <t>Maju semua sini lo bangsat yang bilang world cup ini udah disetting biar argentina juara. Final aja begini sempet2nya bilang settingan fakkk!!! Emang ada yang bilang begitu? Ada, pundit si paling Belanda inisialnya justinus lhaksana.</t>
  </si>
  <si>
    <t>maju semua sini bangsat yang bilang world cup ini udah disetting biar argentina juara final aja begini sempet nya bilang settingan fakkk emang ada yang bilang begitu ada pundit paling belanda inisialnya justinus lhaksana</t>
  </si>
  <si>
    <t>['maju', 'semua', 'sini', 'bangsat', 'world', 'cup', 'udah', 'disetting', 'argentina', 'juara', 'final', 'begini', 'sempet', 'settingan', 'fakkk', 'emang', 'pundit', 'paling', 'belanda', 'inisialnya', 'justinus', 'lhaksana']</t>
  </si>
  <si>
    <t>@idextratime Buat yang bilang ini udah settingan, MUKA KAU KEK KONTOL  INI FINAL TERSERU PALING BERDRAMA ANJINGüò≠</t>
  </si>
  <si>
    <t>buat yang bilang ini udah settingan muka kau kek kontol ini final terseru paling berdrama anjing</t>
  </si>
  <si>
    <t>['buat', 'udah', 'settingan', 'muka', 'kau', 'kek', 'kontol', 'final', 'terseru', 'paling', 'berdrama', 'anjing']</t>
  </si>
  <si>
    <t>@Mangujang_fc Final settingan</t>
  </si>
  <si>
    <t>final settingan</t>
  </si>
  <si>
    <t>['final', 'settingan']</t>
  </si>
  <si>
    <t>gua lebih penasaran sama pendapat nya coach justin soal final malam ini, dia bilang argentina keliatan settingan, terus dikasih penalti mulu alias dibantu wasit.</t>
  </si>
  <si>
    <t>gua lebih penasaran sama pendapat nya coach justin soal final malam ini dia bilang argentina keliatan settingan terus dikasih penalti mulu alias dibantu wasit</t>
  </si>
  <si>
    <t>['gua', 'lebih', 'penasaran', 'sama', 'pendapat', 'coach', 'justin', 'soal', 'final', 'malam', 'argentina', 'keliatan', 'settingan', 'terus', 'dikasih', 'penalti', 'mulu', 'alias', 'dibantu', 'wasit']</t>
  </si>
  <si>
    <t>Messi &amp;gt; Ronaldo No Doubt, Kita akhiri debate ini, fans settingan minggir dulu, mana ada settingan seseru ini, ini final terbaik dipildun dihidup ku üî•üî•üôåüôå 3 Stars For Argentina</t>
  </si>
  <si>
    <t>Yang bilang settingan kudu ditampol ku tiang menara eiffel , final se epic gini</t>
  </si>
  <si>
    <t>yang bilang settingan kudu ditampol tiang menara eiffel final epic gini</t>
  </si>
  <si>
    <t>['settingan', 'kudu', 'ditampol', 'tiang', 'menara', 'eiffel', 'final', 'epic', 'gini']</t>
  </si>
  <si>
    <t>@idextratime Final terbaik yang dibilang settingan .</t>
  </si>
  <si>
    <t>final terbaik yang dibilang settingan</t>
  </si>
  <si>
    <t>['final', 'terbaik', 'dibilang', 'settingan']</t>
  </si>
  <si>
    <t>Terlepas dari settingan bukan ini final seru Argentina vs Perancis. Congrats buat Messi dan rekan seperjuangan lainnya üèÜ</t>
  </si>
  <si>
    <t>terlepas dari settingan bukan ini final seru argentina perancis congrats buat messi dan rekan seperjuangan lainnya</t>
  </si>
  <si>
    <t>['terlepas', 'settingan', 'bukan', 'final', 'seru', 'argentina', 'perancis', 'congrats', 'buat', 'messi', 'rekan', 'seperjuangan', 'lainnya']</t>
  </si>
  <si>
    <t>@idextratime Sini yang bilang settingan bangsat,final pecah</t>
  </si>
  <si>
    <t>sini yang bilang settingan bangsat final pecah</t>
  </si>
  <si>
    <t>['sini', 'settingan', 'bangsat', 'final', 'pecah']</t>
  </si>
  <si>
    <t>arep settingan arep orak tapi final iki seru banget cokkkk</t>
  </si>
  <si>
    <t>['arep', 'settingan', 'arep', 'orak', 'final', 'iki', 'seru', 'banget', 'cokkkk']</t>
  </si>
  <si>
    <t>@idextratime Yg katanya Pildun settingan wkwwk ternyata mbappe yg gosok voucher 2x  di final</t>
  </si>
  <si>
    <t>katanya pildun settingan wkwwk ternyata mbappe gosok voucher final</t>
  </si>
  <si>
    <t>['katanya', 'piala dunia', 'settingan', 'wkwwk', 'ternyata', 'mbappe', 'gosok', 'voucher', 'final']</t>
  </si>
  <si>
    <t>Final settingan yang sangat seru sekali bangsaaatt</t>
  </si>
  <si>
    <t>final settingan yang sangat seru sekali bangsaaatt</t>
  </si>
  <si>
    <t>['final', 'settingan', 'sangat', 'seru', 'sekali', 'bangsaaatt']</t>
  </si>
  <si>
    <t>@akbarfaizal68 Final settingan gak nih?</t>
  </si>
  <si>
    <t>final settingan gak nih</t>
  </si>
  <si>
    <t>YG BILANG FINAL SETTINGAN GUA CEKEK SIAH MANEH</t>
  </si>
  <si>
    <t>bilang final settingan gua cekek siah maneh</t>
  </si>
  <si>
    <t>['final', 'settingan', 'gua', 'cekek', 'siah', 'maneh']</t>
  </si>
  <si>
    <t>PENALTI SETTINGAN FINAL SETTINGAN FIFA SETTINGAN!!!</t>
  </si>
  <si>
    <t>penalti settingan final settingan fifa settingan</t>
  </si>
  <si>
    <t>['penalti', 'settingan', 'final', 'settingan', 'fifa', 'settingan']</t>
  </si>
  <si>
    <t>seneng banget gw liat yg td awal awal ngomong final settingan argentina, fix gak bisa tidur lu #FIFAWorldCup</t>
  </si>
  <si>
    <t>seneng banget liat awal awal ngomong final settingan argentina fix gak bisa tidur</t>
  </si>
  <si>
    <t>['seneng', 'banget', 'lihat', 'awal', 'awal', 'ngomong', 'final', 'settingan', 'argentina', 'fix', 'tidur']</t>
  </si>
  <si>
    <t>Masa final seru gini dibilang settingan üò≠üò≠üò≠</t>
  </si>
  <si>
    <t>masa final seru gini dibilang settingan</t>
  </si>
  <si>
    <t>['masa', 'final', 'seru', 'gini', 'dibilang', 'settingan']</t>
  </si>
  <si>
    <t>tapi keren anjir final ini, apa itu settingan wkwk</t>
  </si>
  <si>
    <t>tapi keren anjir final ini apa itu settingan wkwk</t>
  </si>
  <si>
    <t>['keren', 'anjir', 'final', 'apa', 'settingan']</t>
  </si>
  <si>
    <t>yang bilang final worldcup settingan, NYETTING BEGITU GIMANA CARANYA BGSTTTT</t>
  </si>
  <si>
    <t>yang bilang final worldcup settingan nyetting begitu gimana caranya bgstttt</t>
  </si>
  <si>
    <t>['final', 'worldcup', 'settingan', 'nyetting', 'gimana', 'caranya', 'bgstttt']</t>
  </si>
  <si>
    <t>final ini ngebantah pildun settingan</t>
  </si>
  <si>
    <t>['final', 'ngebantah', 'piala dunia', 'settingan']</t>
  </si>
  <si>
    <t>Ini final settingan, wasit berat sebelah, begitu France menyerang, dan mendapatkan keutungan bola, ada-ada "ulahnya" untuk menghentikan momentum.</t>
  </si>
  <si>
    <t>ini final settingan wasit berat sebelah begitu france menyerang dan mendapatkan keutungan bola ada ada ulahnya untuk menghentikan momentum</t>
  </si>
  <si>
    <t>['final', 'settingan', 'wasit', 'berat', 'sebelah', 'france', 'menyerang', 'mendapatkan', 'keutungan', 'bola', 'ulahnya', 'menghentikan', 'momentum']</t>
  </si>
  <si>
    <t>Final settingan kata fans dodo</t>
  </si>
  <si>
    <t>final settingan kata fans dodo</t>
  </si>
  <si>
    <t>['final', 'settingan', 'kata', 'fans', 'dodo']</t>
  </si>
  <si>
    <t>Trending twitter dari awal Settingan tetiba What A Final</t>
  </si>
  <si>
    <t>trending twitter dari awal settingan tetiba what final</t>
  </si>
  <si>
    <t>['trending', 'twitter', 'awal', 'settingan', 'tetiba', 'what', 'final']</t>
  </si>
  <si>
    <t>kek settingan njir ini final</t>
  </si>
  <si>
    <t>['kek', 'settingan', 'njir', 'final']</t>
  </si>
  <si>
    <t>PERSETAN DENGAN YG BILANG INI SETTINGAN, INI FINAL PALING SERUUUUüî•üî•üî•üî•üî•üî•üî•üî•üî•üî•</t>
  </si>
  <si>
    <t>persetan dengan bilang ini settingan ini final paling seruuuu</t>
  </si>
  <si>
    <t>['persetan', 'settingan', 'final', 'paling', 'seruuuu']</t>
  </si>
  <si>
    <t>@idextratime Final macth terseru... Lo bilang settingan lo gilak cok</t>
  </si>
  <si>
    <t>final macth terseru bilang settingan gilak cok</t>
  </si>
  <si>
    <t>['final', 'macth', 'terseru', 'settingan', 'gilak', 'cok']</t>
  </si>
  <si>
    <t>COK MESSI DAN ARGENTINA ANGKAT PIALAüò≠WHAT A MATCH SERU SEKALI FINAL INI #FIFAWorldCup pangan tu settingan</t>
  </si>
  <si>
    <t>cok messi dan argentina angkat piala what match seru sekali final ini pangan settingan</t>
  </si>
  <si>
    <t>['cok', 'messi', 'argentina', 'angkat', 'piala', 'what', 'match', 'seru', 'sekali', 'final', 'pangan', 'settingan']</t>
  </si>
  <si>
    <t>Herman sama yg bilang final world cup settingan</t>
  </si>
  <si>
    <t>herman sama bilang final world cup settingan</t>
  </si>
  <si>
    <t>['herman', 'sama', 'final', 'world', 'cup', 'settingan']</t>
  </si>
  <si>
    <t>Memang final settingan ini sangat2 sport jantung wkwkwkwkwk</t>
  </si>
  <si>
    <t>memang final settingan ini sangat sport jantung wkwkwkwkwk</t>
  </si>
  <si>
    <t>['memang', 'final', 'settingan', 'sangat', 'sport', 'jantung', 'wkwkwkwkwk']</t>
  </si>
  <si>
    <t>@barcastuff_idn Final macth terseru... Lo bilang settingan lo gilak cok</t>
  </si>
  <si>
    <t>idn final macth terseru bilang settingan gilak cok</t>
  </si>
  <si>
    <t>['idn', 'final', 'macth', 'terseru', 'settingan', 'gilak', 'cok']</t>
  </si>
  <si>
    <t>Sing ngomong iki final settingan, menengo saiki timbang isin</t>
  </si>
  <si>
    <t>sing ngomong iki final settingan menengo saiki timbang isin</t>
  </si>
  <si>
    <t>['sing', 'ngomong', 'iki', 'final', 'settingan', 'menengo', 'saiki', 'timbang', 'isin']</t>
  </si>
  <si>
    <t>Makan tuh settingan,Final terseru</t>
  </si>
  <si>
    <t>makan tuh settingan final terseru</t>
  </si>
  <si>
    <t>['makan', 'settingan', 'final', 'terseru']</t>
  </si>
  <si>
    <t>Serruu bgtt nih final pildun. kek settingan.</t>
  </si>
  <si>
    <t>serruu bgtt nih final pildun kek settingan</t>
  </si>
  <si>
    <t>['serruu', 'bgtt', 'final', 'piala dunia', 'kek', 'settingan']</t>
  </si>
  <si>
    <t>Baru nonton final World Cup dari 1998. Ini Final terbaik. Mana yg katanya settingan. Apalagi bikin ngantuk, lebih seru perebutan tempat ke 3‚Ä¶  Mamam tuh!</t>
  </si>
  <si>
    <t>baru nonton final world cup dari ini final terbaik mana katanya settingan apalagi bikin ngantuk lebih seru perebutan tempat mamam tuh</t>
  </si>
  <si>
    <t>['baru', 'nonton', 'final', 'world', 'cup', 'final', 'terbaik', 'mana', 'katanya', 'settingan', 'ngantuk', 'lebih', 'seru', 'perebutan', 'tempat', 'mamam']</t>
  </si>
  <si>
    <t>Final match kayak gini dibilang settingan</t>
  </si>
  <si>
    <t>final match kayak gini dibilang settingan</t>
  </si>
  <si>
    <t>['final', 'match', 'seperti', 'gini', 'dibilang', 'settingan']</t>
  </si>
  <si>
    <t>#FIFAWorldCup final ini settingan AICE ice cream.  https://t.co/CDwhjI6sZT</t>
  </si>
  <si>
    <t>final ini settingan aice ice cream</t>
  </si>
  <si>
    <t>['final', 'settingan', 'aice', 'ice', 'cream']</t>
  </si>
  <si>
    <t>Dasar final settingan, kok bisa2nya jadi adu pinalti.</t>
  </si>
  <si>
    <t>dasar final settingan kok bisa nya jadi adu pinalti</t>
  </si>
  <si>
    <t>['dasar', 'final', 'settingan', 'kok', 'jadi', 'adu', 'penalti']</t>
  </si>
  <si>
    <t>@barcastuff_idn Mana yg bilang argen gosok voucher ajaaaaa.. france 2x dapet voucher.. yg bilang settingan manaaaa.. final terseru!!!üëçüëçüëç</t>
  </si>
  <si>
    <t>idn mana bilang argen gosok voucher ajaaaaa france dapet voucher bilang settingan manaaaa final terseru</t>
  </si>
  <si>
    <t>['idn', 'mana', 'argen', 'gosok', 'voucher', 'ajaaaaa', 'france', 'dapat', 'voucher', 'settingan', 'manaaaa', 'final', 'terseru']</t>
  </si>
  <si>
    <t>Puas bgt nonton final ini seru cuyy duaduanya!! Padahal babak 1 bosenin bat anjir kayak settingan biar argentina menang, mainnya pada lemes2 ga ngeshoot, eh babak 2 sama et seru cooyy</t>
  </si>
  <si>
    <t>puas bgt nonton final ini seru cuyy duaduanya padahal babak bosenin bat anjir kayak settingan biar argentina menang mainnya pada lemes ngeshoot babak sama seru cooyy</t>
  </si>
  <si>
    <t>['puas', 'banget', 'nonton', 'final', 'seru', 'cuyy', 'duaduanya', 'padahal', 'babak', 'bosenin', 'bat', 'anjir', 'seperti', 'settingan', 'argentina', 'menang', 'mainnya', 'lemes', 'ngeshoot', 'babak', 'sama', 'seru', 'cooyy']</t>
  </si>
  <si>
    <t>Banyak yg bilang ini final settingan Tapi settingan kok rapih bener sampe drama adu pinalti? Dan emang bener2 nggak bisa ketauan siapa yang juara üòÇüòÇüá¶üá∑üá®üáµ</t>
  </si>
  <si>
    <t>banyak bilang ini final settingan tapi settingan kok rapih bener sampe drama adu pinalti dan emang bener nggak bisa ketauan siapa yang juara</t>
  </si>
  <si>
    <t>['banyak', 'final', 'settingan', 'settingan', 'kok', 'rapih', 'benar', 'sampai', 'drama', 'adu', 'penalti', 'emang', 'benar', 'ketauan', 'siapa', 'juara']</t>
  </si>
  <si>
    <t>@idextratime Final settingan</t>
  </si>
  <si>
    <t>Msh percaya final settingan?</t>
  </si>
  <si>
    <t>msh percaya final settingan</t>
  </si>
  <si>
    <t>['msh', 'percaya', 'final', 'settingan']</t>
  </si>
  <si>
    <t>BLOODY HELL BEST WORLD CUP FINAL EVER A LOT OF DRAMA  FAKYU SETTINGAN‚Ä¶ RIP PENALDO FC</t>
  </si>
  <si>
    <t>bloody hell best world cup final ever lot drama fakyu settingan rip penaldo</t>
  </si>
  <si>
    <t>['bloody', 'hell', 'best', 'world', 'cup', 'final', 'ever', 'lot', 'drama', 'fakyu', 'settingan', 'rip', 'penaldo']</t>
  </si>
  <si>
    <t>Moso final pinalti elahhhh tp jujur seru iki settingan bandar e wkwk</t>
  </si>
  <si>
    <t>moso final pinalti elahhhh jujur seru iki settingan bandar wkwk</t>
  </si>
  <si>
    <t>['moso', 'final', 'penalti', 'elahhhh', 'jujur', 'seru', 'iki', 'settingan', 'bandar']</t>
  </si>
  <si>
    <t>buset final bales"an gini, mbappe hattrick  masih mau bilang pildun kali ini settingan??</t>
  </si>
  <si>
    <t>buset final bales gini mbappe hattrick masih mau bilang pildun kali ini settingan</t>
  </si>
  <si>
    <t>['buset', 'final', 'bales', 'gini', 'mbappe', 'hattrick', 'mau', 'piala dunia', 'kali', 'settingan']</t>
  </si>
  <si>
    <t>EH SUMPAH SETTINGAN GAKSI NI FINAL WKWKWKWK</t>
  </si>
  <si>
    <t>sumpah settingan gaksi final wkwkwkwk</t>
  </si>
  <si>
    <t>['sumpah', 'settingan', 'gaksi', 'final', 'wkwkwkwk']</t>
  </si>
  <si>
    <t>Ni final saking serunya berasa settingan</t>
  </si>
  <si>
    <t>final saking serunya berasa settingan</t>
  </si>
  <si>
    <t>['final', 'saking', 'serunya', 'berasa', 'settingan']</t>
  </si>
  <si>
    <t>ANJINNG SERU BGT INI PASTI SETTINGAN KANNN FINAL NIPUUUU</t>
  </si>
  <si>
    <t>anjinng seru bgt ini pasti settingan kannn final nipuuuu</t>
  </si>
  <si>
    <t>['anjinng', 'seru', 'banget', 'settingan', 'kannn', 'final', 'nipuuuu']</t>
  </si>
  <si>
    <t>Final FIFA berasa settingan wkwk</t>
  </si>
  <si>
    <t>final fifa berasa settingan wkwk</t>
  </si>
  <si>
    <t>['final', 'fifa', 'berasa', 'settingan']</t>
  </si>
  <si>
    <t>Udah kayak settingan ini final ampe 3-3 begini</t>
  </si>
  <si>
    <t>udah kayak settingan ini final ampe begini</t>
  </si>
  <si>
    <t>['udah', 'seperti', 'settingan', 'final', 'sampai', 'begini']</t>
  </si>
  <si>
    <t>@idextratime Mana yang katanya final settingan anjinggg?!!!!</t>
  </si>
  <si>
    <t>mana yang katanya final settingan anjinggg</t>
  </si>
  <si>
    <t>['mana', 'katanya', 'final', 'settingan', 'anjinggg']</t>
  </si>
  <si>
    <t>gila final kayak settingan cok wkwk</t>
  </si>
  <si>
    <t>['gila', 'final', 'seperti', 'settingan', 'cok']</t>
  </si>
  <si>
    <t>Settingan bandar ini final</t>
  </si>
  <si>
    <t>settingan bandar ini final</t>
  </si>
  <si>
    <t>['settingan', 'bandar', 'final']</t>
  </si>
  <si>
    <t>Terlepas dari settingan atau endak Ini match final paling seru üî•</t>
  </si>
  <si>
    <t>terlepas dari settingan atau endak ini match final paling seru</t>
  </si>
  <si>
    <t>['terlepas', 'settingan', 'endak', 'match', 'final', 'paling', 'seru']</t>
  </si>
  <si>
    <t>final settingan ndashmu --"</t>
  </si>
  <si>
    <t>final settingan ndashmu</t>
  </si>
  <si>
    <t>['final', 'settingan', 'ndashmu']</t>
  </si>
  <si>
    <t>Udah settingan nya biar ga kentang2 bgt final world cup kali ini wkwkwk</t>
  </si>
  <si>
    <t>udah settingan nya biar kentang bgt final world cup kali ini wkwkwk</t>
  </si>
  <si>
    <t>['udah', 'settingan', 'kentang', 'banget', 'final', 'world', 'cup', 'kali', 'wkwkwk']</t>
  </si>
  <si>
    <t>Haters argentin gajadi bilang final settinganüòÇ</t>
  </si>
  <si>
    <t>haters argentin gajadi bilang final settingan</t>
  </si>
  <si>
    <t>['haters', 'argentin', 'gajadi', 'final', 'settingan']</t>
  </si>
  <si>
    <t>Settingan terseru sihh final dunia kali ini cuaakkss</t>
  </si>
  <si>
    <t>settingan terseru sihh final dunia kali ini cuaakkss</t>
  </si>
  <si>
    <t>['settingan', 'terseru', 'sihh', 'final', 'dunia', 'kali', 'cuaakkss']</t>
  </si>
  <si>
    <t>Woiiiwwouwwuuu. Ini Final settingan ini</t>
  </si>
  <si>
    <t>woiiiwwouwwuuu ini final settingan ini</t>
  </si>
  <si>
    <t>['woiiiwwouwwuuu', 'final', 'settingan']</t>
  </si>
  <si>
    <t>@idextratime Final settingan coyy wkwkwkw</t>
  </si>
  <si>
    <t>final settingan coyy wkwkwkw</t>
  </si>
  <si>
    <t>['final', 'settingan', 'coyy', 'wkwkwkw']</t>
  </si>
  <si>
    <t>Wc final. Settingan.</t>
  </si>
  <si>
    <t>Final settingan ü§£</t>
  </si>
  <si>
    <t>Final settingan, final settingan ini. Udah diatur ama Bandar Taiwan.   Matamu, noh Konde dikocok ama DiMaria üíÄ  https://t.co/665r5JHWqB</t>
  </si>
  <si>
    <t>final settingan final settingan ini udah diatur ama bandar taiwan matamu noh konde dikocok ama dimaria</t>
  </si>
  <si>
    <t>['final', 'settingan', 'final', 'settingan', 'udah', 'diatur', 'ama', 'bandar', 'taiwan', 'matamu', 'noh', 'konde', 'dikocok', 'ama', 'dimaria']</t>
  </si>
  <si>
    <t>SETTINGAN NIH ANJIR FINAL MASA IYA NGA DAPET BOLA SAMA SEKALI YANG BENER AJE LUUUU</t>
  </si>
  <si>
    <t>settingan nih anjir final masa iya nga dapet bola sama sekali yang bener aje luuuu</t>
  </si>
  <si>
    <t>['settingan', 'anjir', 'final', 'masa', 'iya', 'tidak', 'dapat', 'bola', 'sama', 'sekali', 'benar', 'aje', 'luuuu']</t>
  </si>
  <si>
    <t>@idextratime di blg settingan mah kagak kocak, tpi klo diblg byk yg lebih condong ke argentina bisa jadi, kek barca dulu final ama chelsea kan wasitnya kek tae.</t>
  </si>
  <si>
    <t>blg settingan mah kagak kocak tpi klo diblg byk lebih condong argentina bisa jadi kek barca dulu final ama chelsea kan wasitnya kek tae</t>
  </si>
  <si>
    <t>['blg', 'settingan', 'mah', 'kagak', 'kocak', 'tpi', 'diblg', 'byk', 'lebih', 'condong', 'argentina', 'jadi', 'kek', 'barca', 'dulu', 'final', 'ama', 'chelsea', 'kan', 'wasitnya', 'kek', 'tae']</t>
  </si>
  <si>
    <t>Argentina masuk ke final dan sekarang berpeluang besar utk jadi juara, ada yang bilang itu adalah settingan dari FIFA. Entah settingan atau bukan yg jelas wasitnya dibayar! #PialaDunia2022 #WorldcupQatar2022 #FIFAWorldCup</t>
  </si>
  <si>
    <t>argentina masuk final dan sekarang berpeluang besar utk jadi juara ada yang bilang itu adalah settingan dari fifa entah settingan atau bukan jelas wasitnya dibayar</t>
  </si>
  <si>
    <t>['argentina', 'masuk', 'final', 'sekarang', 'berpeluang', 'besar', 'jadi', 'juara', 'settingan', 'fifa', 'entah', 'settingan', 'bukan', 'jelas', 'wasitnya', 'dibayar']</t>
  </si>
  <si>
    <t>Emiliano ngapain maju anying biar Prancis nyekor ya, ketara bgt final settingan</t>
  </si>
  <si>
    <t>emiliano ngapain maju anying biar prancis nyekor ketara bgt final settingan</t>
  </si>
  <si>
    <t>['emiliano', 'ngapain', 'maju', 'anying', 'prancis', 'nyekor', 'ketara', 'banget', 'final', 'settingan']</t>
  </si>
  <si>
    <t>Kalah dihujat habis-habisan, menang dibilang settingan. Ayo dong, Prancis. Jadikan final ini jauh lebih menegangkan wkwk  üá¶üá∑üî•</t>
  </si>
  <si>
    <t>kalah dihujat habis habisan menang dibilang settingan ayo dong prancis jadikan final ini jauh lebih menegangkan wkwk</t>
  </si>
  <si>
    <t>['kalah', 'dihujat', 'habis', 'habisan', 'menang', 'dibilang', 'settingan', 'ayo', 'dong', 'prancis', 'jadikan', 'final', 'jauh', 'lebih', 'menegangkan']</t>
  </si>
  <si>
    <t>Griezmann yang dari babak grup sampai semi-final mainnya bagus terus eh tiba2 balik settingan pabrik di atletico  Dimaria babak group cedera sampe semi-final eh final cetak goal. Universe bener2 ingin argentina menang dan layak kalau diliat permainannya sejauh ini</t>
  </si>
  <si>
    <t>griezmann yang dari babak grup sampai semi final mainnya bagus terus tiba balik settingan pabrik atletico dimaria babak group cedera sampe semi final final cetak goal universe bener ingin argentina menang dan layak kalau diliat permainannya sejauh ini</t>
  </si>
  <si>
    <t>['griezmann', 'babak', 'grup', 'semi', 'final', 'mainnya', 'bagus', 'terus', 'tiba', 'balik', 'settingan', 'pabrik', 'atletico', 'dimaria', 'babak', 'group', 'cedera', 'sampai', 'semi', 'final', 'final', 'cetak', 'goal', 'universe', 'benar', 'argentina', 'menang', 'layak', 'kalau', 'diliat', 'permainannya', 'sejauh']</t>
  </si>
  <si>
    <t>Settingan Arab Lawan Argentina 2-1 Argentina Mengalah Buat Maju Ke final Lawan Prancis Udah 2-0  Lanjut Kan Argentina  https://t.co/FArTh3Yf5y</t>
  </si>
  <si>
    <t>settingan arab lawan argentina argentina mengalah buat maju final lawan prancis udah lanjut kan argentina</t>
  </si>
  <si>
    <t>['settingan', 'arab', 'lawan', 'argentina', 'argentina', 'mengalah', 'buat', 'maju', 'final', 'lawan', 'prancis', 'udah', 'lanjut', 'kan', 'argentina']</t>
  </si>
  <si>
    <t>Banyak yang teriak final settingan tapi dari data aja jomplang</t>
  </si>
  <si>
    <t>banyak yang teriak final settingan tapi dari data aja jomplang</t>
  </si>
  <si>
    <t>['banyak', 'teriak', 'final', 'settingan', 'data', 'jomplang']</t>
  </si>
  <si>
    <t>@UKTrollFootball Settingan Final WC 2022</t>
  </si>
  <si>
    <t>settingan final</t>
  </si>
  <si>
    <t>['settingan', 'final']</t>
  </si>
  <si>
    <t>Giliran match pertama kalah sama Arab dibully kaya apaan tau. Tetiba bisa melenggang ke final dibilang settingan. Kocak bener awokawok</t>
  </si>
  <si>
    <t>giliran match pertama kalah sama arab dibully kaya apaan tau tetiba bisa melenggang final dibilang settingan kocak bener awokawok</t>
  </si>
  <si>
    <t>['giliran', 'match', 'pertama', 'kalah', 'sama', 'arab', 'dibully', 'kaya', 'apaan', 'tetiba', 'melenggang', 'final', 'dibilang', 'settingan', 'kocak', 'benar', 'awokawok']</t>
  </si>
  <si>
    <t>@PinoLAW @stfubtch666 @idextratime Kalo bikin settingan ya gausah nanggung2 ya, ketemuin 2 goat di final auto full cuan</t>
  </si>
  <si>
    <t>kalo bikin settingan gausah nanggung ketemuin goat final auto full cuan</t>
  </si>
  <si>
    <t>['settingan', 'gausah', 'nanggung', 'ketemuin', 'goat', 'final', 'auto', 'full', 'cuan']</t>
  </si>
  <si>
    <t>Ga nonton final soalnya katanya udah settingan yg menang Argentina</t>
  </si>
  <si>
    <t>nonton final soalnya katanya udah settingan menang argentina</t>
  </si>
  <si>
    <t>['nonton', 'final', 'soalnya', 'katanya', 'udah', 'settingan', 'menang', 'argentina']</t>
  </si>
  <si>
    <t>FINAL SETTINGAN DENNY SIREGAR</t>
  </si>
  <si>
    <t>final settingan denny siregar</t>
  </si>
  <si>
    <t>['final', 'settingan', 'denny', 'siregar']</t>
  </si>
  <si>
    <t>Ini final settingan kah?</t>
  </si>
  <si>
    <t>ini final settingan kah</t>
  </si>
  <si>
    <t>@koerniawans_ @denyharrestia LAH LAHH HAHAHA GINI NIH FANS DODOLOPERS IDOLA NYA KALAH TIM DUKUNGANNYA KALAH MALAH BAHAS SETTINGAN YA JELAS SETINGGAN DARI TUHAN DAN JUGA TAKDIR, MANGKNYA BILANG SURUH IDOLA LU KE FINAL HAHAHA PAKAI BILANG GW BARU KENAL BOLA</t>
  </si>
  <si>
    <t>lah lahh hahaha gini nih fans dodolopers idola nya kalah tim dukungannya kalah malah bahas settingan jelas setinggan dari tuhan dan juga takdir mangknya bilang suruh idola final hahaha pakai bilang baru kenal bola</t>
  </si>
  <si>
    <t>['lah', 'lahh', 'hahaha', 'gini', 'fans', 'dodolopers', 'idola', 'kalah', 'tim', 'dukungannya', 'kalah', 'malah', 'bahas', 'settingan', 'jelas', 'setinggan', 'tuhan', 'takdir', 'mangknya', 'suruh', 'idola', 'final', 'hahaha', 'pakai', 'baru', 'kenal', 'bola']</t>
  </si>
  <si>
    <t>Settingan pie 2018 prancis final yo entuk penalti .. pekok ..</t>
  </si>
  <si>
    <t>settingan pie prancis final entuk penalti pekok</t>
  </si>
  <si>
    <t>['settingan', 'pie', 'prancis', 'final', 'entuk', 'penalti', 'pekok']</t>
  </si>
  <si>
    <t>wong goblog yg bilang final world cup settingan</t>
  </si>
  <si>
    <t>wong goblog bilang final world cup settingan</t>
  </si>
  <si>
    <t>['wong', 'goblog', 'final', 'world', 'cup', 'settingan']</t>
  </si>
  <si>
    <t>Tidur tidur final settingan</t>
  </si>
  <si>
    <t>tidur tidur final settingan</t>
  </si>
  <si>
    <t>['tidur', 'tidur', 'final', 'settingan']</t>
  </si>
  <si>
    <t>Kalo kata orang final Pildunnya settingan ges</t>
  </si>
  <si>
    <t>kalo kata orang final pildunnya settingan ges</t>
  </si>
  <si>
    <t>['kata', 'orang', 'final', 'pildunnya', 'settingan', 'guys']</t>
  </si>
  <si>
    <t>Yang bilang  final piala dunia 2022 settingan buat argentina itu ada bukti gak ya ? Dan kalau yg juara prancis gmn ? Apa mau bilang settingannya di cancel ganti settingan baru lagi ? Awokawokawok</t>
  </si>
  <si>
    <t>yang bilang final piala dunia settingan buat argentina itu ada bukti gak dan kalau juara prancis gmn apa mau bilang settingannya cancel ganti settingan baru lagi awokawokawok</t>
  </si>
  <si>
    <t>['final', 'piala', 'dunia', 'settingan', 'buat', 'argentina', 'bukti', 'kalau', 'juara', 'prancis', 'gmn', 'apa', 'mau', 'settingannya', 'cancel', 'ganti', 'settingan', 'baru', 'awokawokawok']</t>
  </si>
  <si>
    <t>@idextratime Final settingan, gelar juara sdh dijatah buat messiüòÅ. Tenang, voucher penalti masih tersedia klo argentina kebobolan</t>
  </si>
  <si>
    <t>final settingan gelar juara sdh dijatah buat messi tenang voucher penalti masih tersedia klo argentina kebobolan</t>
  </si>
  <si>
    <t>['final', 'settingan', 'gelar', 'juara', 'dijatah', 'buat', 'messi', 'tenang', 'voucher', 'penalti', 'tersedia', 'argentina', 'kebobolan']</t>
  </si>
  <si>
    <t>MINIMAL KALO MAU BILANG FINAL SETTINGAN TU NYERANG SUWWWW</t>
  </si>
  <si>
    <t>minimal kalo mau bilang final settingan nyerang suwwww</t>
  </si>
  <si>
    <t>['minimal', 'mau', 'final', 'settingan', 'nyerang', 'suwwww']</t>
  </si>
  <si>
    <t>@idextratime Final settingan pinalty haram</t>
  </si>
  <si>
    <t>final settingan pinalty haram</t>
  </si>
  <si>
    <t>['final', 'settingan', 'pinalty', 'haram']</t>
  </si>
  <si>
    <t>ada tuh yg ga pernah nonton pildun 22 sama sekali pas nonton final doang langsung bilang "SETTINGAN" üò¥</t>
  </si>
  <si>
    <t>ada tuh pernah nonton pildun sama sekali pas nonton final doang langsung bilang settingan</t>
  </si>
  <si>
    <t>['pernah', 'nonton', 'piala dunia', 'sama', 'sekali', 'pas', 'nonton', 'final', 'doang', 'langsung', 'settingan']</t>
  </si>
  <si>
    <t>@vickyh23_ @idextratime klo final settingan napa lu nntn cuy, buang buang waktu doang</t>
  </si>
  <si>
    <t>klo final settingan napa nntn cuy buang buang waktu doang</t>
  </si>
  <si>
    <t>['final', 'settingan', 'napa', 'nonton', 'buang', 'buang', 'waktu', 'doang']</t>
  </si>
  <si>
    <t>final settingan njing</t>
  </si>
  <si>
    <t>['final', 'settingan', 'njing']</t>
  </si>
  <si>
    <t>final settingan bangsattt bandar full senyum</t>
  </si>
  <si>
    <t>['final', 'settingan', 'bangsattt', 'bandar', 'full', 'senyum']</t>
  </si>
  <si>
    <t>Yaaaa dodolopers pada panass argen unggul 2-0 kalau idola lu ga mampu ke final jangan bilang diving dan settingan blok HAHAHAHA</t>
  </si>
  <si>
    <t>yaaaa dodolopers pada panass argen unggul kalau idola mampu final jangan bilang diving dan settingan blok hahahaha</t>
  </si>
  <si>
    <t>['yaaaa', 'dodolopers', 'panass', 'argen', 'unggul', 'kalau', 'idola', 'mampu', 'final', 'jangan', 'diving', 'settingan', 'blok', 'hahahaha']</t>
  </si>
  <si>
    <t>@idextratime Dah lah mending turu ra resiko, final settingan wasit dibayar FIFA sudah jelas keliatan yg menang yg ga kalah üò¥</t>
  </si>
  <si>
    <t>dah lah mending turu resiko final settingan wasit dibayar fifa sudah jelas keliatan menang kalah</t>
  </si>
  <si>
    <t>['dah', 'lah', 'mending', 'tidur', 'resiko', 'final', 'settingan', 'wasit', 'dibayar', 'fifa', 'jelas', 'keliatan', 'menang', 'kalah']</t>
  </si>
  <si>
    <t>Bocil final settingan menyerang kah</t>
  </si>
  <si>
    <t>bocil final settingan menyerang kah</t>
  </si>
  <si>
    <t>['bocil', 'final', 'settingan', 'menyerang']</t>
  </si>
  <si>
    <t>Final settingan wkwkw</t>
  </si>
  <si>
    <t>final settingan wkwkw</t>
  </si>
  <si>
    <t>['final', 'settingan', 'wkwkw']</t>
  </si>
  <si>
    <t>@idextratime Argentina belakangnya "A". Wasit pimpin final asal Polandia belakangnya "A".  Jelas settingan FIFA, belakangnya "A" juga.</t>
  </si>
  <si>
    <t>argentina belakangnya wasit pimpin final asal polandia belakangnya jelas settingan fifa belakangnya juga</t>
  </si>
  <si>
    <t>['argentina', 'belakangnya', 'wasit', 'pimpin', 'final', 'asal', 'polandia', 'belakangnya', 'jelas', 'settingan', 'fifa', 'belakangnya']</t>
  </si>
  <si>
    <t>Final settingan.</t>
  </si>
  <si>
    <t>dahlah final world cup settingan elit global</t>
  </si>
  <si>
    <t>['dahlah', 'final', 'world', 'cup', 'settingan', 'elit', 'global']</t>
  </si>
  <si>
    <t>Final Argentina vs Prancis Di Maria diving wasit kaga ngecek VAR lalu pemain Prancis juga enggak ada yang protes padahal jelas jelas Di Maria diving sangat mulus settingan nya agar Messi juara piala dunia tahun ini  #WorldcupQatar2022 #ArgentinaVsFrance #WorldCup #Qatar2022</t>
  </si>
  <si>
    <t>final argentina prancis maria diving wasit kaga ngecek var lalu pemain prancis juga enggak ada yang protes padahal jelas jelas maria diving sangat mulus settingan nya agar messi juara piala dunia tahun ini</t>
  </si>
  <si>
    <t>['final', 'argentina', 'prancis', 'maria', 'diving', 'wasit', 'kaga', 'ngecek', 'var', 'lalu', 'pemain', 'prancis', 'enggak', 'protes', 'padahal', 'jelas', 'jelas', 'maria', 'diving', 'sangat', 'mulus', 'settingan', 'messi', 'juara', 'piala', 'dunia', 'tahun']</t>
  </si>
  <si>
    <t>final settingan elite global fix</t>
  </si>
  <si>
    <t>['final', 'settingan', 'elite', 'global', 'fix']</t>
  </si>
  <si>
    <t>@idextratime Final settingan üòÖ</t>
  </si>
  <si>
    <t>final settingan anjjirrrr</t>
  </si>
  <si>
    <t>['final', 'settingan', 'anjjirrrr']</t>
  </si>
  <si>
    <t>Apaan coba, final kok settingan</t>
  </si>
  <si>
    <t>apaan coba final kok settingan</t>
  </si>
  <si>
    <t>['apaan', 'coba', 'final', 'kok', 'settingan']</t>
  </si>
  <si>
    <t>pasti ini pendukung yang timnya kalah di final piala dunia ngomel-ngomel settingan. kalah mah kalah ajaü§£</t>
  </si>
  <si>
    <t>pasti ini pendukung yang timnya kalah final piala dunia ngomel ngomel settingan kalah mah kalah aja</t>
  </si>
  <si>
    <t>['pendukung', 'timnya', 'kalah', 'final', 'piala', 'dunia', 'ngomel', 'ngomel', 'settingan', 'kalah', 'mah', 'kalah']</t>
  </si>
  <si>
    <t>Privileged nonton di rumah, langsung masuk kamar terus tiduran wkwkwk udah males. Gila kali penalty, ketauan banget wasitnya settingan. Final apaan kayak gini</t>
  </si>
  <si>
    <t>privileged nonton rumah langsung masuk kamar terus tiduran wkwkwk udah males gila kali penalty ketauan banget wasitnya settingan final apaan kayak gini</t>
  </si>
  <si>
    <t>['privileged', 'nonton', 'rumah', 'langsung', 'masuk', 'kamar', 'terus', 'tiduran', 'wkwkwk', 'udah', 'males', 'gila', 'kali', 'penalty', 'ketauan', 'banget', 'wasitnya', 'settingan', 'final', 'apaan', 'seperti', 'gini']</t>
  </si>
  <si>
    <t>gue orgnya denial ini final settingan buat final matchnya messi di pildun</t>
  </si>
  <si>
    <t>gue orgnya denial ini final settingan buat final matchnya messi pildun</t>
  </si>
  <si>
    <t>['gue', 'orgnya', 'denial', 'final', 'settingan', 'buat', 'final', 'matchnya', 'messi', 'piala dunia']</t>
  </si>
  <si>
    <t>@howlisheet @ilyaserdns @idextratime tereak setting harusnya dari awal dek, jgn pas udh final baru tereak settingan wkwk</t>
  </si>
  <si>
    <t>tereak setting harusnya dari awal dek jgn pas udh final baru tereak settingan wkwk</t>
  </si>
  <si>
    <t>['teriak', 'setting', 'harusnya', 'awal', 'dek', 'pas', 'sudah', 'final', 'baru', 'teriak', 'settingan']</t>
  </si>
  <si>
    <t>yg bilang settingan semoga pala lu mledug, argentina udh try hard bgt sampe ke final kontol. cuma grgr dikasih penalty doang tolol ya lu harusnya sus si wasitnya lah geblek</t>
  </si>
  <si>
    <t>bilang settingan semoga pala mledug argentina udh try hard bgt sampe final kontol cuma grgr dikasih penalty doang tolol harusnya sus wasitnya lah geblek</t>
  </si>
  <si>
    <t>['settingan', 'semoga', 'pala', 'mledug', 'argentina', 'sudah', 'try', 'hard', 'banget', 'sampai', 'final', 'kontol', 'cuma', 'grgr', 'dikasih', 'penalty', 'doang', 'tolol', 'harusnya', 'sus', 'wasitnya', 'lah', 'geblek']</t>
  </si>
  <si>
    <t>kan dah dibilang kasih aja langsung. Final settingan</t>
  </si>
  <si>
    <t>kan dah dibilang kasih aja langsung final settingan</t>
  </si>
  <si>
    <t>['kan', 'dah', 'dibilang', 'kasih', 'langsung', 'final', 'settingan']</t>
  </si>
  <si>
    <t>Ayo dong France bales Argentina, saya mengharapkan final yg seru padahal atau apakah performa France termasuk settingan FIFA hmm...</t>
  </si>
  <si>
    <t>ayo dong france bales argentina saya mengharapkan final seru padahal atau apakah performa france termasuk settingan fifa hmm</t>
  </si>
  <si>
    <t>['ayo', 'dong', 'france', 'bales', 'argentina', 'mengharapkan', 'final', 'seru', 'padahal', 'performa', 'france', 'termasuk', 'settingan', 'fifa', 'hmm']</t>
  </si>
  <si>
    <t>@epfrskr Final settingan</t>
  </si>
  <si>
    <t>hmm final settingan</t>
  </si>
  <si>
    <t>['hmm', 'final', 'settingan']</t>
  </si>
  <si>
    <t>Final Piala Dunia Settingan</t>
  </si>
  <si>
    <t>final piala dunia settingan</t>
  </si>
  <si>
    <t>['final', 'piala', 'dunia', 'settingan']</t>
  </si>
  <si>
    <t>@idextratime Awal2 kalah hujat messi pas final bilang settingan wkww</t>
  </si>
  <si>
    <t>awal kalah hujat messi pas final bilang settingan wkww</t>
  </si>
  <si>
    <t>['awal', 'kalah', 'hujat', 'messi', 'pas', 'final', 'settingan', 'wkww']</t>
  </si>
  <si>
    <t>settingan tau ini final pildun</t>
  </si>
  <si>
    <t>['settingan', 'final', 'piala dunia']</t>
  </si>
  <si>
    <t>Final settingan (?)</t>
  </si>
  <si>
    <t>Hari hari pinalti terussss dari phase grup sampe final. Fix settingan bandar</t>
  </si>
  <si>
    <t>hari hari pinalti terussss dari phase grup sampe final fix settingan bandar</t>
  </si>
  <si>
    <t>['hari', 'hari', 'penalti', 'terussss', 'phase', 'grup', 'sampai', 'final', 'fix', 'settingan', 'bandar']</t>
  </si>
  <si>
    <t>Final settingan is coming</t>
  </si>
  <si>
    <t>final settingan coming</t>
  </si>
  <si>
    <t>['final', 'settingan', 'coming']</t>
  </si>
  <si>
    <t>ALAH BABI FINAL SETTINGAN FIFA NAJIS</t>
  </si>
  <si>
    <t>alah babi final settingan fifa najis</t>
  </si>
  <si>
    <t>['alah', 'babi', 'final', 'settingan', 'fifa', 'najis']</t>
  </si>
  <si>
    <t>Final settingan</t>
  </si>
  <si>
    <t>Final settingan. Fifa sayang Messi #ArgentinaVsFrance</t>
  </si>
  <si>
    <t>final settingan fifa sayang messi</t>
  </si>
  <si>
    <t>['final', 'settingan', 'fifa', 'sayang', 'messi']</t>
  </si>
  <si>
    <t>Final piala dunia settingan kah njir kocak</t>
  </si>
  <si>
    <t>final piala dunia settingan kah njir kocak</t>
  </si>
  <si>
    <t>['final', 'piala', 'dunia', 'settingan', 'njir', 'kocak']</t>
  </si>
  <si>
    <t>Semakin menjadi jadi dikatain final settingan ini mah üòÇ</t>
  </si>
  <si>
    <t>semakin menjadi jadi dikatain final settingan ini mah</t>
  </si>
  <si>
    <t>['semakin', 'menjadi', 'jadi', 'dikatain', 'final', 'settingan', 'mah']</t>
  </si>
  <si>
    <t>Final "settingan" moment going much better and better</t>
  </si>
  <si>
    <t>final settingan moment going much better and better</t>
  </si>
  <si>
    <t>['final', 'settingan', 'moment', 'going', 'much', 'better', 'and', 'better']</t>
  </si>
  <si>
    <t>Kata-kata ‚ÄúFinal settingan‚Äù is coming‚Ä¶‚Ä¶</t>
  </si>
  <si>
    <t>kata kata final settingan coming</t>
  </si>
  <si>
    <t>['kata', 'kata', 'final', 'settingan', 'coming']</t>
  </si>
  <si>
    <t>final settingan üëé</t>
  </si>
  <si>
    <t>Bola bengak, final settingan</t>
  </si>
  <si>
    <t>bola bengak final settingan</t>
  </si>
  <si>
    <t>['bola', 'bengak', 'final', 'settingan']</t>
  </si>
  <si>
    <t>Final settingan malezz</t>
  </si>
  <si>
    <t>final settingan malezz</t>
  </si>
  <si>
    <t>['final', 'settingan', 'malezz']</t>
  </si>
  <si>
    <t>kata dika final fifa settingan soalnya messi yahudi</t>
  </si>
  <si>
    <t>['kata', 'dika', 'final', 'fifa', 'settingan', 'soalnya', 'messi', 'yahudi']</t>
  </si>
  <si>
    <t>Di grup arisan kantor masa yg megang Prancis gw doang dah. Final settingan kah manieezz</t>
  </si>
  <si>
    <t>grup arisan kantor masa megang prancis doang dah final settingan kah manieezz</t>
  </si>
  <si>
    <t>['grup', 'arisan', 'kantor', 'masa', 'megang', 'prancis', 'doang', 'dah', 'final', 'settingan', 'manieezz']</t>
  </si>
  <si>
    <t>Pada nungguin siapa juara final Piala Dunia settingan yah? FIFA sudah mengatur semua dari awal sampe final, wasit dibayar termasuk wasit VAR. Semua sudah jelas settingan yg juara itu yg menang di final bukan yg kalah dan pemain no 10 inisial M akan angkat trofi saya jamin 100%</t>
  </si>
  <si>
    <t>pada nungguin siapa juara final piala dunia settingan yah fifa sudah mengatur semua dari awal sampe final wasit dibayar termasuk wasit var semua sudah jelas settingan juara itu menang final bukan kalah dan pemain inisial akan angkat trofi saya jamin</t>
  </si>
  <si>
    <t>['nungguin', 'siapa', 'juara', 'final', 'piala', 'dunia', 'settingan', 'fifa', 'mengatur', 'semua', 'awal', 'sampai', 'final', 'wasit', 'dibayar', 'termasuk', 'wasit', 'var', 'semua', 'jelas', 'settingan', 'juara', 'menang', 'final', 'bukan', 'kalah', 'pemain', 'inisial', 'angkat', 'trofi', 'jamin']</t>
  </si>
  <si>
    <t>Final piala dunia Argentina vs Perancis yg juara siapa?  Yang juara Qatar lah, gimana engga udah tuan rumah penyelenggaraa, trus yg main di final 2 negara yg beberapa pemain topnya main di klub PSG, yg notabene dimilikin Qatar Sports Investments  Settingan kah?</t>
  </si>
  <si>
    <t>final piala dunia argentina perancis juara siapa yang juara qatar lah gimana engga udah tuan rumah penyelenggaraa trus main final negara beberapa pemain topnya main klub psg notabene dimilikin qatar sports investments settingan kah</t>
  </si>
  <si>
    <t>['final', 'piala', 'dunia', 'argentina', 'perancis', 'juara', 'siapa', 'juara', 'qatar', 'lah', 'gimana', 'tidak', 'udah', 'tuan', 'rumah', 'penyelenggaraa', 'trus', 'main', 'final', 'negara', 'beberapa', 'pemain', 'topnya', 'main', 'klub', 'psg', 'notabene', 'dimilikin', 'qatar', 'sports', 'investments', 'settingan']</t>
  </si>
  <si>
    <t xml:space="preserve">@idextratime Pada nungguin siapa juara final Piala Dunia settingan yah? FIFA sudah mengatur semua dari awal sampe final, wasit dibayar termasuk wasit VAR. Semua sudah jelas settingan yg juara itu yg menang di final bukan yg kalah dan pemain no 10 inisial </t>
  </si>
  <si>
    <t>pada nungguin siapa juara final piala dunia settingan yah fifa sudah mengatur semua dari awal sampe final wasit dibayar termasuk wasit var semua sudah jelas settingan juara itu menang final bukan kalah dan pemain inisial</t>
  </si>
  <si>
    <t>['nungguin', 'siapa', 'juara', 'final', 'piala', 'dunia', 'settingan', 'fifa', 'mengatur', 'semua', 'awal', 'sampai', 'final', 'wasit', 'dibayar', 'termasuk', 'wasit', 'var', 'semua', 'jelas', 'settingan', 'juara', 'menang', 'final', 'bukan', 'kalah', 'pemain', 'inisial']</t>
  </si>
  <si>
    <t>Info settingan fifa final malam ini?</t>
  </si>
  <si>
    <t>info settingan fifa final malam ini</t>
  </si>
  <si>
    <t>['info', 'settingan', 'fifa', 'final', 'malam']</t>
  </si>
  <si>
    <t>yang gue pelajarin jelang final malem ini: kalo Argentina juara dibilang settingan kalo Argentina gagal juara abis dikata katain</t>
  </si>
  <si>
    <t>yang gue pelajarin jelang final malem ini kalo argentina juara dibilang settingan kalo argentina gagal juara abis dikata katain</t>
  </si>
  <si>
    <t>['gue', 'pelajarin', 'jelang', 'final', 'malem', 'argentina', 'juara', 'dibilang', 'settingan', 'argentina', 'gagal', 'juara', 'abis', 'dikata', 'katain']</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</si>
  <si>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</si>
  <si>
    <t>mending turu piala dunia sudah jelas settingan semua sudah diatur juara kalah final semua perangkat pertandingan dari wasit hakim garis sampe wasit var sudah dibayar fifa ditambah fakta jelas inisial main final akan angkat trofi piala dunia</t>
  </si>
  <si>
    <t>['mending', 'tidur', 'piala', 'dunia', 'jelas', 'settingan', 'semua', 'diatur', 'juara', 'kalah', 'final', 'semua', 'perangkat', 'pertandingan', 'wasit', 'hakim', 'garis', 'sampai', 'wasit', 'var', 'dibayar', 'fifa', 'ditambah', 'fakta', 'jelas', 'inisial', 'main', 'final', 'angkat', 'trofi', 'piala', 'dunia']</t>
  </si>
  <si>
    <t>Bau bau settingan final malam ini üòû</t>
  </si>
  <si>
    <t>bau bau settingan final malam ini</t>
  </si>
  <si>
    <t>['bau', 'bau', 'settingan', 'final', 'malam']</t>
  </si>
  <si>
    <t>@vicmarhugo @Rian70451068 @dukeofbeduland @Kirasaaa @TriCahyyow @idextratime Emng orang yg begitu mentang¬≤ goblok gratis jdi diborong semua wkwkwk Padahal dari awal match sampe perempat final sering diremehkan gabakal bisa msuk final, eh giliran dibuktik</t>
  </si>
  <si>
    <t>emng orang begitu mentang goblok gratis jdi diborong semua wkwkwk padahal dari awal match sampe perempat final sering diremehkan gabakal bisa msuk final giliran dibuktik</t>
  </si>
  <si>
    <t>['memang', 'orang', 'mentang', 'goblok', 'gratis', 'jdi', 'diborong', 'semua', 'wkwkwk', 'padahal', 'awal', 'match', 'sampai', 'perempat', 'final', 'sering', 'diremehkan', 'gabakal', 'msuk', 'final', 'giliran', 'dibuktik']</t>
  </si>
  <si>
    <t>@UmarHasibuan77 Mending turu, piala dunia sudah jelas settingan semua sudah diatur yg juara yg ga kalah di final üò• semua perangkat pertandingan dari wasit hakim garis sampe wasit VAR sudah dibayar FIFA. Ditambah fakta jelas no10 inisial M yg main di fi</t>
  </si>
  <si>
    <t>mending turu piala dunia sudah jelas settingan semua sudah diatur juara kalah final semua perangkat pertandingan dari wasit hakim garis sampe wasit var sudah dibayar fifa ditambah fakta jelas inisial main</t>
  </si>
  <si>
    <t>['mending', 'tidur', 'piala', 'dunia', 'jelas', 'settingan', 'semua', 'diatur', 'juara', 'kalah', 'final', 'semua', 'perangkat', 'pertandingan', 'wasit', 'hakim', 'garis', 'sampai', 'wasit', 'var', 'dibayar', 'fifa', 'ditambah', 'fakta', 'jelas', 'inisial', 'main']</t>
  </si>
  <si>
    <t>@idextratime Mending turu, piala dunia sudah jelas settingan semua sudah diatur yg juara yg ga kalah di final üò• semua perangkat pertandingan dari wasit hakim garis sampe wasit VAR sudah dibayar FIFA. Ditambah fakta jelas no10 inisial M yg main di final</t>
  </si>
  <si>
    <t>mending turu piala dunia sudah jelas settingan semua sudah diatur juara kalah final semua perangkat pertandingan dari wasit hakim garis sampe wasit var sudah dibayar fifa ditambah fakta jelas inisial main final</t>
  </si>
  <si>
    <t>['mending', 'tidur', 'piala', 'dunia', 'jelas', 'settingan', 'semua', 'diatur', 'juara', 'kalah', 'final', 'semua', 'perangkat', 'pertandingan', 'wasit', 'hakim', 'garis', 'sampai', 'wasit', 'var', 'dibayar', 'fifa', 'ditambah', 'fakta', 'jelas', 'inisial', 'main', 'final']</t>
  </si>
  <si>
    <t>@f4iryessx pede si prancis menang, tapi ada kabar burung ini final settingan untuk messi biar juara pildun di penghujung karir, krn setiap match arg selalu dapet pinaltiüòÇ</t>
  </si>
  <si>
    <t>pede prancis menang tapi ada kabar burung ini final settingan untuk messi biar juara pildun penghujung karir krn setiap match arg selalu dapet pinalti</t>
  </si>
  <si>
    <t>['percaya diri', 'prancis', 'menang', 'kabar', 'burung', 'final', 'settingan', 'messi', 'juara', 'piala dunia', 'penghujung', 'karir', 'match', 'arg', 'selalu', 'dapat', 'penalti']</t>
  </si>
  <si>
    <t>Final yg sulit buat Argentina messi cs, menang dibilang settingan kalah dibully behari hari, kaya di liga dagelan.</t>
  </si>
  <si>
    <t>final sulit buat argentina messi menang dibilang settingan kalah dibully behari hari kaya liga dagelan</t>
  </si>
  <si>
    <t>['final', 'sulit', 'buat', 'argentina', 'messi', 'menang', 'dibilang', 'settingan', 'kalah', 'dibully', 'behari', 'hari', 'kaya', 'liga', 'dagelan']</t>
  </si>
  <si>
    <t>@idextratime Final settingan Zionis Yahudi</t>
  </si>
  <si>
    <t>final settingan zionis yahudi</t>
  </si>
  <si>
    <t>['final', 'settingan', 'zionis', 'yahudi']</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</si>
  <si>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t>
  </si>
  <si>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</si>
  <si>
    <t>ada nulis piala dunia sudah jelas settingan semua sudah diatur juara kalah final semua perangkat pertandingan dari wasit hakim garis sampe wasit var sudah dibayar fifa ditambah fakta jelas inisial main final pasti angkat trofi piala dunia</t>
  </si>
  <si>
    <t>['nulis', 'piala', 'dunia', 'jelas', 'settingan', 'semua', 'diatur', 'juara', 'kalah', 'final', 'semua', 'perangkat', 'pertandingan', 'wasit', 'hakim', 'garis', 'sampai', 'wasit', 'var', 'dibayar', 'fifa', 'ditambah', 'fakta', 'jelas', 'inisial', 'main', 'final', 'angkat', 'trofi', 'piala', 'dunia']</t>
  </si>
  <si>
    <t>Lawan Francis di final dikatain settingan, kalo lawannya Afghanistan sih masuk akal. Francis juga punya harga diri dan ga mungkin mau ngalah</t>
  </si>
  <si>
    <t>lawan francis final dikatain settingan kalo lawannya afghanistan sih masuk akal francis juga punya harga diri dan mungkin mau ngalah</t>
  </si>
  <si>
    <t>['lawan', 'francis', 'final', 'dikatain', 'settingan', 'lawannya', 'afghanistan', 'masuk', 'akal', 'francis', 'punya', 'harga', 'diri', 'mungkin', 'mau', 'ngalah']</t>
  </si>
  <si>
    <t>@originalhvman bener wkwkw masuk final aja dituduh settingan</t>
  </si>
  <si>
    <t>bener wkwkw masuk final aja dituduh settingan</t>
  </si>
  <si>
    <t>['benar', 'wkwkw', 'masuk', 'final', 'dituduh', 'settingan']</t>
  </si>
  <si>
    <t>@SiaranBolaLive Mending turu, piala dunia sudah jelas settingan semua sudah diatur yg juara yg ga kalah di final üò• semua perangkat pertandingan dari wasit hakim garis sampe wasit VAR sudah dibayar FIFA. Ditambah fakta jelas no10 inisial M yg main di fi</t>
  </si>
  <si>
    <t>@BroadcastBola Wasit indo bruntung y... Cb klo mmpin d liga argentina apa kolombia... Psty dpt tror pmbnhan</t>
  </si>
  <si>
    <t>wasit indo bruntung klo mmpin liga argentina apa kolombia psty dpt tror pmbnhan</t>
  </si>
  <si>
    <t>['wasit', 'indo', 'bruntung', 'mmpin', 'liga', 'argentina', 'apa', 'kolombia', 'psty', 'dpt', 'tror', 'pmbnhan']</t>
  </si>
  <si>
    <t>@YudddSkieee29 @SiaranBolaLive Wkwkwkwkwk kalo wasit di pertandingan kmrn mau nge cek VAR pasti gol terakhir Argentina ga disahkan, soalnya pemain pengganti Argentina udah masuk lapangan sebelum terjadi gol,auto 3-2 menang Prancis hoki aja wasit kmrn ga n</t>
  </si>
  <si>
    <t>wkwkwkwkwk kalo wasit pertandingan kmrn mau nge cek var pasti gol terakhir argentina disahkan soalnya pemain pengganti argentina udah masuk lapangan sebelum terjadi gol auto menang prancis hoki aja wasit kmrn</t>
  </si>
  <si>
    <t>['wkwkwkwkwk', 'wasit', 'pertandingan', 'kmrn', 'mau', 'nge', 'cek', 'var', 'gol', 'terakhir', 'argentina', 'disahkan', 'soalnya', 'pemain', 'pengganti', 'argentina', 'udah', 'masuk', 'lapangan', 'terjadi', 'gol', 'auto', 'menang', 'prancis', 'hoki', 'wasit', 'kmrn']</t>
  </si>
  <si>
    <t>@Cristiano_time7 @Zkurniawan_ @idextratime GOBLOK PADAHAL ADA SALAH SATU MATCH ARGENTINA DI PIMPIN SAMA WASIT YANG NEGARANYA MASIH MAIN DI PILDUN</t>
  </si>
  <si>
    <t>time goblok padahal ada salah satu match argentina pimpin sama wasit yang negaranya masih main pildun</t>
  </si>
  <si>
    <t>['time', 'goblok', 'padahal', 'salah', 'satu', 'match', 'argentina', 'pimpin', 'sama', 'wasit', 'negaranya', 'main', 'piala dunia']</t>
  </si>
  <si>
    <t>@Lendraady @GedGreddy @Zkurniawan_ @idextratime waktu belanda kalah lawan argentina dia ngomong di channelny kalo wasit fair saat match tersebut, stlh pepe ngomng klo pildun ini disetting dia ikut" jugaüò≠üò≠üò≠</t>
  </si>
  <si>
    <t>waktu belanda kalah lawan argentina dia ngomong channelny kalo wasit fair saat match tersebut stlh pepe ngomng klo pildun ini disetting dia ikut juga</t>
  </si>
  <si>
    <t>['waktu', 'belanda', 'kalah', 'lawan', 'argentina', 'ngomong', 'channelny', 'wasit', 'fair', 'match', 'tersebut', 'stlh', 'pepe', 'ngomng', 'piala dunia', 'disetting', 'ikut']</t>
  </si>
  <si>
    <t>@BangAlo @idextratime Klo d setting juaranya Ngapain Argentina sampe adu penalti lawan belanda dan prancis Ketika unggul 3-2 lawan prancis wasit bs aj meniup peluit berakhir sblm prancis dpt penalti Susah bgt fans Ronaldo terima kenyataan ü§£</t>
  </si>
  <si>
    <t>klo setting juaranya ngapain argentina sampe adu penalti lawan belanda dan prancis ketika unggul lawan prancis wasit meniup peluit berakhir sblm prancis dpt penalti susah bgt fans ronaldo terima kenyataan</t>
  </si>
  <si>
    <t>['setting', 'juaranya', 'ngapain', 'argentina', 'sampai', 'adu', 'penalti', 'lawan', 'belanda', 'prancis', 'unggul', 'lawan', 'prancis', 'wasit', 'meniup', 'peluit', 'berakhir', 'sebelum', 'prancis', 'dpt', 'penalti', 'susah', 'banget', 'fans', 'ronaldo', 'terima', 'kenyataan']</t>
  </si>
  <si>
    <t>@Zkurniawan_ @idextratime Ya jelas settingan masak secara logika Argentina sama Portugal bisa di bilang rival di sepakbola karena ada Messi dan Ronaldo, pas pertandingan itu di kasik 5 wasit dari Argentina, dimana negara Argentina juga masih main, ya siap</t>
  </si>
  <si>
    <t>jelas settingan masak secara logika argentina sama portugal bisa bilang rival sepakbola karena ada messi dan ronaldo pas pertandingan itu kasik wasit dari argentina dimana negara argentina juga masih main siap</t>
  </si>
  <si>
    <t>['jelas', 'settingan', 'masak', 'logika', 'argentina', 'sama', 'portugal', 'rival', 'sepakbola', 'messi', 'ronaldo', 'pas', 'pertandingan', 'kasik', 'wasit', 'argentina', 'negara', 'argentina', 'main', 'siap']</t>
  </si>
  <si>
    <t>@tempodotco Klo mau tayang ulang tuh menit pas perpanjangan waktu babak ke 2 sebelum si Mbaep dikasih kick penalty, pemain perancis sudah lebih dulu handsball sebelum si mbaep nendang kena pemain argentina, disini wasit sebenarnya sdh blunder, legowo trim</t>
  </si>
  <si>
    <t>klo mau tayang ulang tuh menit pas perpanjangan waktu babak sebelum mbaep dikasih kick penalty pemain perancis sudah lebih dulu handsball sebelum mbaep nendang kena pemain argentina disini wasit sebenarnya sdh blunder legowo trim</t>
  </si>
  <si>
    <t>['mau', 'tayang', 'ulang', 'menit', 'pas', 'perpanjangan', 'waktu', 'babak', 'mbaep', 'dikasih', 'kick', 'penalty', 'pemain', 'perancis', 'lebih', 'dulu', 'handsball', 'mbaep', 'nendang', 'kena', 'pemain', 'argentina', 'disini', 'wasit', 'sebenarnya', 'blunder', 'legowo', 'trim']</t>
  </si>
  <si>
    <t>Polemik Gol Argentina Belum Berakhir, Wasit Marciniak Buka Suara  https://t.co/05BptgLSBd</t>
  </si>
  <si>
    <t>polemik gol argentina belum berakhir wasit marciniak buka suara</t>
  </si>
  <si>
    <t>['polemik', 'gol', 'argentina', 'berakhir', 'wasit', 'marciniak', 'buka', 'suara']</t>
  </si>
  <si>
    <t>@CNNIndonesia Ooo...ternyata wasit yg memimpin pertandingan Final Argentina vs Perancis itu orang Padang yak?  Simon Marciniak üòÅüòÅ</t>
  </si>
  <si>
    <t>ooo ternyata wasit memimpin pertandingan final argentina perancis itu orang padang yak simon marciniak</t>
  </si>
  <si>
    <t>['ooo', 'ternyata', 'wasit', 'memimpin', 'pertandingan', 'final', 'argentina', 'perancis', 'orang', 'padang', 'yak', 'simon', 'marciniak']</t>
  </si>
  <si>
    <t>Alasan permintaan mengulang pertandingan Argentina vs Prancis tersebut tidak lain karena keputusan wasit Szymon Marciniak yang dianggap kontroversial.  Mungkinkah?  https://t.co/KmVrUTisRy</t>
  </si>
  <si>
    <t>alasan permintaan mengulang pertandingan argentina prancis tersebut tidak lain karena keputusan wasit szymon marciniak yang dianggap kontroversial mungkinkah</t>
  </si>
  <si>
    <t>['alasan', 'permintaan', 'mengulang', 'pertandingan', 'argentina', 'prancis', 'tersebut', 'keputusan', 'wasit', 'szymon', 'marciniak', 'dianggap', 'kontroversial', 'mungkinkah']</t>
  </si>
  <si>
    <t>Sayang ya, acara sebesar itu dan semegah itu dinodai oleh ketidakprofesionalan "pipa" Karena wasit yang lebih condong ke negara argentina untuk memenangkan messi dan melukai CR7. Mereka fikir akan berhasil, oh tentu tidak kawan-kawaaann. Lanjut üëá  https://t.co/JyHB6WlhGW</t>
  </si>
  <si>
    <t>sayang acara sebesar itu dan semegah itu dinodai oleh ketidakprofesionalan pipa karena wasit yang lebih condong negara argentina untuk memenangkan messi dan melukai mereka fikir akan berhasil tentu tidak kawan kawaaann lanjut</t>
  </si>
  <si>
    <t>['sayang', 'acara', 'sebesar', 'semegah', 'dinodai', 'ketidakprofesionalan', 'pipa', 'wasit', 'lebih', 'condong', 'negara', 'argentina', 'memenangkan', 'messi', 'melukai', 'fikir', 'berhasil', 'kawan', 'kawaaann', 'lanjut']</t>
  </si>
  <si>
    <t>Bukan e aku ra seneng messi. Tapi argentina pinalti lo akeh tenan. Pinaltine barang akeh sing iseh iso dipertanyakan? Jan e wasit e ra abot sebelah. Tapi sering2 e wasit pertandingan argentina salah keputusan ng moment2 penting</t>
  </si>
  <si>
    <t>bukan aku seneng messi tapi argentina pinalti akeh tenan pinaltine barang akeh sing iseh iso dipertanyakan jan wasit abot sebelah tapi sering wasit pertandingan argentina salah keputusan moment penting</t>
  </si>
  <si>
    <t>['bukan', 'aku', 'seneng', 'messi', 'argentina', 'penalti', 'akeh', 'tenan', 'pinaltine', 'barang', 'akeh', 'sing', 'iseh', 'iso', 'dipertanyakan', 'jan', 'wasit', 'abot', 'sebelah', 'sering', 'wasit', 'pertandingan', 'argentina', 'salah', 'keputusan', 'moment', 'penting']</t>
  </si>
  <si>
    <t>Rifuh pisan ieu wasit, jelas dilanggar dikotak pinalti oge malah teu pinalti</t>
  </si>
  <si>
    <t>rifuh pisan ieu wasit jelas dilanggar dikotak pinalti oge malah teu pinalti</t>
  </si>
  <si>
    <t>['rifuh', 'pisan', 'ieu', 'wasit', 'jelas', 'dilanggar', 'dikotak', 'penalti', 'oge', 'malah', 'teu', 'penalti']</t>
  </si>
  <si>
    <t>@Kuyt_25 Pelanggaran berbuah penalti ini mksdnya bang? Pemain prancis hansball di depan wasit ngerubah arah bola ke mbape pake tangan, tapi yg kena hansball malah argentina? Hha  https://t.co/AiMv60hejA</t>
  </si>
  <si>
    <t>pelanggaran berbuah penalti ini mksdnya bang pemain prancis hansball depan wasit ngerubah arah bola mbape pake tangan tapi kena hansball malah argentina hha</t>
  </si>
  <si>
    <t>['pelanggaran', 'berbuah', 'penalti', 'mksdnya', 'bang', 'pemain', 'prancis', 'hansball', 'depan', 'wasit', 'ngerubah', 'arah', 'bola', 'mbape', 'pake', 'tangan', 'kena', 'hansball', 'malah', 'argentina', 'hha']</t>
  </si>
  <si>
    <t>@masvrz @satyadhiw @gandibarri @idextratime Dari moment ini aja jelas wasit pro ke prancis, kejadian hansball depan mata wasit tapi yg hansball malah argentina wkwk</t>
  </si>
  <si>
    <t>dari moment ini aja jelas wasit pro prancis kejadian hansball depan mata wasit tapi hansball malah argentina wkwk</t>
  </si>
  <si>
    <t>['moment', 'jelas', 'wasit', 'pro', 'prancis', 'kejadian', 'hansball', 'depan', 'mata', 'wasit', 'hansball', 'malah', 'argentina']</t>
  </si>
  <si>
    <t>Piala Dunia telah selesai dan Argentina menjadi juaranya. Salah satu yang menyita perhatian adalah adanya wasit wanita pertama di Piala Dunia 2022 Qatar. #juaraboladunia    https://t.co/hW7cktLHVe</t>
  </si>
  <si>
    <t>piala dunia telah selesai dan argentina menjadi juaranya salah satu yang menyita perhatian adalah adanya wasit wanita pertama piala dunia qatar</t>
  </si>
  <si>
    <t>['piala', 'dunia', 'selesai', 'argentina', 'menjadi', 'juaranya', 'salah', 'satu', 'menyita', 'perhatian', 'adanya', 'wasit', 'wanita', 'pertama', 'piala', 'dunia', 'qatar']</t>
  </si>
  <si>
    <t>Piala Dunia telah selesai dan Argentina menjadi juaranya. Salah satu yang menyita perhatian adalah adanya wasit wanita pertama di Piala Dunia 2022 Qatar. #juaraboladunia    https://t.co/HUDqfiL0y7</t>
  </si>
  <si>
    <t>Belum bisa move on dari #Qatar2022 terutama Messi yang meskipun bukan berstatus naturalisasi karena lahir di Argentina tapi ga pernah berkarir profesional di Liga lokal Negaranya. Meskipun sempat di SSB Grandoli dan Newell's Old Boys sih.</t>
  </si>
  <si>
    <t>belum bisa move dari terutama messi yang meskipun bukan berstatus naturalisasi karena lahir argentina tapi pernah berkarir profesional liga lokal negaranya meskipun sempat ssb grandoli dan newell old boys sih</t>
  </si>
  <si>
    <t>['move', 'terutama', 'messi', 'meskipun', 'bukan', 'berstatus', 'naturalisasi', 'lahir', 'argentina', 'pernah', 'berkarir', 'profesional', 'liga', 'lokal', 'negaranya', 'meskipun', 'sempat', 'ssb', 'grandoli', 'newell', 'old', 'boys']</t>
  </si>
  <si>
    <t>@ronggorengge @idextratime Kenyatan ko. Pas Argentina lawan maroko ada 5 wasit asal Argentina</t>
  </si>
  <si>
    <t>kenyatan pas argentina lawan maroko ada wasit asal argentina</t>
  </si>
  <si>
    <t>['kenyatan', 'pas', 'argentina', 'lawan', 'maroko', 'wasit', 'asal', 'argentina']</t>
  </si>
  <si>
    <t>@idextratime kalah ya kalah aja ga usah jelek jelekin Argentina. Emangnya itu kejuaraan makan kerupuk apa ga ada wasitnya, jelas jelas semua wasit yg ada di pildun itu berlisensi internasional, mana ada suap menyuap mana ada sogok menyogok hahhahahhhh. Ar</t>
  </si>
  <si>
    <t>kalah kalah aja usah jelek jelekin argentina emangnya itu kejuaraan makan kerupuk apa ada wasitnya jelas jelas semua wasit ada pildun itu berlisensi internasional mana ada suap menyuap mana ada sogok menyogok hahhahahhhh</t>
  </si>
  <si>
    <t>['kalah', 'kalah', 'usah', 'jelek', 'jelekin', 'argentina', 'emangnya', 'kejuaraan', 'makan', 'kerupuk', 'apa', 'wasitnya', 'jelas', 'jelas', 'semua', 'wasit', 'piala dunia', 'berlisensi', 'internasional', 'mana', 'suap', 'menyuap', 'mana', 'sogok', 'menyogok', 'hahhahahhhh']</t>
  </si>
  <si>
    <t>@nadaquarious @idextratime Ril banget, bahkan peluit wasit juga udah dikasih alat, jadi kalo yang pelanggaran Argentina otomatis peluitnya gabisa bunyi  üôèüèª</t>
  </si>
  <si>
    <t>ril banget bahkan peluit wasit juga udah dikasih alat jadi kalo yang pelanggaran argentina otomatis peluitnya gabisa bunyi</t>
  </si>
  <si>
    <t>['ril', 'banget', 'bahkan', 'peluit', 'wasit', 'udah', 'dikasih', 'alat', 'jadi', 'pelanggaran', 'argentina', 'otomatis', 'peluitnya', 'gabisa', 'bunyi']</t>
  </si>
  <si>
    <t>@ZiiX469 @meddyDLuffy @idextratime VAR pas laga final kemarin emang gk ngapa-ngapain, itu gol kedua Mbappe dari bola yang direbut dari Messi klo mau diliat dari VAR pasti pelanggaran tuh tangannya pemain Prancis ikut andil soalnya, makanya tuh pelatih Arg</t>
  </si>
  <si>
    <t>var pas laga final kemarin emang ngapa ngapain itu gol kedua mbappe dari bola yang direbut dari messi klo mau diliat dari var pasti pelanggaran tuh tangannya pemain prancis ikut andil soalnya makanya tuh pelatih arg</t>
  </si>
  <si>
    <t>['var', 'pas', 'laga', 'final', 'kemarin', 'emang', 'ngapa', 'ngapain', 'gol', 'kedua', 'mbappe', 'bola', 'direbut', 'messi', 'mau', 'diliat', 'var', 'pelanggaran', 'tangannya', 'pemain', 'prancis', 'ikut', 'andil', 'soalnya', 'makanya', 'pelatih', 'arg']</t>
  </si>
  <si>
    <t>PSSI akan bertanding dengan Argentina. Karena tahu bakal keok, maka dibangunlah narasi semprul, PSSI akan kalah hanya jika dicurangi. Wasit sudah dikuasai oligarki.  https://t.co/lQckj2HXIb</t>
  </si>
  <si>
    <t>pssi akan bertanding dengan argentina karena tahu bakal keok maka dibangunlah narasi semprul pssi akan kalah hanya jika dicurangi wasit sudah dikuasai oligarki</t>
  </si>
  <si>
    <t>['pssi', 'bertanding', 'argentina', 'tahu', 'bakal', 'keok', 'dibangunlah', 'narasi', 'semprul', 'pssi', 'kalah', 'dicurangi', 'wasit', 'dikuasai', 'oligarki']</t>
  </si>
  <si>
    <t>klo emang diatur fifa demi messi, wasit ngga akan tuh kasih prancis dua kali penalti; argentina menang 2-0 or 3-2. because of fair refereeing and the final game was something we‚Äôve never seen before, it was felt like a horror show until the drama must ended by shoot-out.</t>
  </si>
  <si>
    <t>klo emang diatur fifa demi messi wasit ngga akan tuh kasih prancis dua kali penalti argentina menang because fair refereeing and the final game was something never seen before was felt like horror show until the drama must ended shoot out</t>
  </si>
  <si>
    <t>['emang', 'diatur', 'fifa', 'messi', 'wasit', 'ngga', 'kasih', 'prancis', 'kali', 'penalti', 'argentina', 'menang', 'because', 'fair', 'refereeing', 'and', 'the', 'final', 'game', 'was', 'something', 'never', 'seen', 'before', 'was', 'felt', 'like', 'horror', 'show', 'until', 'the', 'drama', 'must', 'ended', 'shoot', 'out']</t>
  </si>
  <si>
    <t>@SunArsenal Di arsenal beda ama di argentina ya sering di curangin wasit harus siap mental</t>
  </si>
  <si>
    <t>arsenal beda ama argentina sering curangin wasit harus siap mental</t>
  </si>
  <si>
    <t>['arsenal', 'beda', 'ama', 'argentina', 'sering', 'curangin', 'wasit', 'siap', 'mental']</t>
  </si>
  <si>
    <t>@shizutzyy @bgmujam @sambalkemiri @FaktaSepakbola Argentina lagi kena krisis ekonomi gimana mau bayar  wasit FIFA goblok? Padahal Prancis lebih diuntungkan dengan 2 penalti kemarin</t>
  </si>
  <si>
    <t>argentina lagi kena krisis ekonomi gimana mau bayar wasit fifa goblok padahal prancis lebih diuntungkan dengan penalti kemarin</t>
  </si>
  <si>
    <t>['argentina', 'kena', 'krisis', 'ekonomi', 'gimana', 'mau', 'bayar', 'wasit', 'fifa', 'goblok', 'padahal', 'prancis', 'lebih', 'diuntungkan', 'penalti', 'kemarin']</t>
  </si>
  <si>
    <t>@FaktaSepakbola Pantes dia di depak dr arsenal.ahklaknya minus.argentina menang karena banyak diuntungkan sama wasit.</t>
  </si>
  <si>
    <t>pantes dia depak arsenal ahklaknya minus argentina menang karena banyak diuntungkan sama wasit</t>
  </si>
  <si>
    <t>['pantes', 'depak', 'arsenal', 'ahklaknya', 'minus', 'argentina', 'menang', 'banyak', 'diuntungkan', 'sama', 'wasit']</t>
  </si>
  <si>
    <t>@ausa93867139 @theabdulhadi Cocoklogi. Wasit argentina. Padahal misal lolos lawan maroko... France / england menanti.  Pepe dan bruno ga sportif. Pepe telad cover heading. Bruno frustasi main jelek.</t>
  </si>
  <si>
    <t>cocoklogi wasit argentina padahal misal lolos lawan maroko france england menanti pepe dan bruno sportif pepe telad cover heading bruno frustasi main jelek</t>
  </si>
  <si>
    <t>['cocoklogi', 'wasit', 'argentina', 'padahal', 'misal', 'lolos', 'lawan', 'maroko', 'france', 'england', 'menanti', 'pepe', 'bruno', 'sportif', 'pepe', 'telad', 'cover', 'heading', 'bruno', 'frustasi', 'main', 'jelek']</t>
  </si>
  <si>
    <t>@theabdulhadi Kok setelah Portugal tersingkir baru muncul kata2 settingan ?kata2 settingan begitu kencang setelah  Bruno Fernandes komen soal wasit yg berasal dari Argentina pas lawan Maroko ,dan mereka kalah.knp gak sebelum match mereka protes soal wasit</t>
  </si>
  <si>
    <t>kok setelah portugal tersingkir baru muncul kata settingan kata settingan begitu kencang setelah bruno fernandes komen soal wasit berasal dari argentina pas lawan maroko dan mereka kalah knp gak sebelum match mereka protes soal wasit</t>
  </si>
  <si>
    <t>['kok', 'portugal', 'tersingkir', 'baru', 'muncul', 'kata', 'settingan', 'kata', 'settingan', 'kencang', 'bruno', 'fernandes', 'komen', 'soal', 'wasit', 'berasal', 'argentina', 'pas', 'lawan', 'maroko', 'kalah', 'kenapa', 'match', 'protes', 'soal', 'wasit']</t>
  </si>
  <si>
    <t>Santri Lampung For Ganjar Pranowo. Zelensky | Best Actor | Evan Dimas |  Vogue Korea | Argentina's World Cup | Pele  https://t.co/XafTaNeZ1N</t>
  </si>
  <si>
    <t>santri lampung for ganjar pranowo zelensky best actor evan dimas vogue korea argentina world cup pele</t>
  </si>
  <si>
    <t>['santri', 'lampung', 'for', 'ganjar', 'pranowo', 'zelensky', 'best', 'actor', 'evan', 'dimas', 'vogue', 'korea', 'argentina', 'world', 'cup', 'pele']</t>
  </si>
  <si>
    <t>@AgustWahyudiAli @idextratime Seenggaknya kalah terhormat NJING ANJING!!! bukan menang karena bantuan pinalti, GOBLOK lu penyepong PESSI TOLOL!!! Tanpa bantuan wasit si pessi sama argentina udah di pulangin belanda di 16 besar BLOK GOBLOK!!!</t>
  </si>
  <si>
    <t>seenggaknya kalah terhormat njing anjing bukan menang karena bantuan pinalti goblok penyepong pessi tolol tanpa bantuan wasit pessi sama argentina udah pulangin belanda besar blok goblok</t>
  </si>
  <si>
    <t>['seenggaknya', 'kalah', 'terhormat', 'njing', 'anjing', 'bukan', 'menang', 'bantuan', 'penalti', 'goblok', 'penyepong', 'pessi', 'tolol', 'bantuan', 'wasit', 'pessi', 'sama', 'argentina', 'udah', 'pulangin', 'belanda', 'besar', 'blok', 'goblok']</t>
  </si>
  <si>
    <t>@dd_3388_oo @FaktaSepakbola Kenapa argemtina mjd tim paling bnyak dpt pinalti? Knp pertandimgam portugal dipimpin wasit asal argentina?</t>
  </si>
  <si>
    <t>kenapa argemtina mjd tim paling bnyak dpt pinalti knp pertandimgam portugal dipimpin wasit asal argentina</t>
  </si>
  <si>
    <t>['argemtina', 'mjd', 'tim', 'paling', 'bnyak', 'dpt', 'penalti', 'kenapa', 'pertandimgam', 'portugal', 'dipimpin', 'wasit', 'asal', 'argentina']</t>
  </si>
  <si>
    <t>Demi 3 Bintang di atas logo AFA di dada Argentina!  https://t.co/nvw2IY1mn8</t>
  </si>
  <si>
    <t>demi bintang atas logo afa dada argentina</t>
  </si>
  <si>
    <t>['bintang', 'atas', 'logo', 'afa', 'dada', 'argentina']</t>
  </si>
  <si>
    <t>Media Prancis L'Equipe mengungkap fakta bahwa menurut aturan, gol kedua Messi seharusnya dianulir oleh wasit. Meski demikian, wasit tetap mengesahkan gol tersebut untuk membuat Argentina unggul 3-2 atas Prancis di babak tambahan waktu. #MorningVoice  https://t.co/J6Xb54wQav</t>
  </si>
  <si>
    <t>media prancis equipe mengungkap fakta bahwa menurut aturan gol kedua messi seharusnya dianulir oleh wasit meski demikian wasit tetap mengesahkan gol tersebut untuk membuat argentina unggul atas prancis babak tambahan waktu</t>
  </si>
  <si>
    <t>['media', 'prancis', 'equipe', 'mengungkap', 'fakta', 'aturan', 'gol', 'kedua', 'messi', 'dianulir', 'wasit', 'meski', 'wasit', 'tetap', 'mengesahkan', 'gol', 'tersebut', 'membuat', 'argentina', 'unggul', 'atas', 'prancis', 'babak', 'tambahan', 'waktu']</t>
  </si>
  <si>
    <t>Fans Dodo yang masih suka nyalahin wasit &amp;amp; bekoar bela Argentina, mending salahin Kolo Muani aja deh.. ü§≠</t>
  </si>
  <si>
    <t>fans dodo yang masih suka nyalahin wasit bekoar bela argentina mending salahin kolo muani aja deh</t>
  </si>
  <si>
    <t>['fans', 'dodo', 'suka', 'nyalahin', 'wasit', 'bekoar', 'bela', 'argentina', 'mending', 'salahin', 'kolo', 'muani', 'deh']</t>
  </si>
  <si>
    <t>@bintangdcp_ @idextratime Wasit jelas tau lah nampol bola pake tangan nggak sportif,nendang bola ke bench gak sportif,diving di kotak pinalti gak sportif,tp mau gimana lagi wong wasit udah di setir buat mihak argentina üòÇ</t>
  </si>
  <si>
    <t>wasit jelas tau lah nampol bola pake tangan nggak sportif nendang bola bench gak sportif diving kotak pinalti gak sportif mau gimana lagi wong wasit udah setir buat mihak argentina</t>
  </si>
  <si>
    <t>['wasit', 'jelas', 'lah', 'nampol', 'bola', 'pake', 'tangan', 'sportif', 'nendang', 'bola', 'bench', 'sportif', 'diving', 'kotak', 'penalti', 'sportif', 'mau', 'gimana', 'wong', 'wasit', 'udah', 'setir', 'buat', 'mihak', 'argentina']</t>
  </si>
  <si>
    <t>@vickyh23_ @idextratime Misteri portugal dipimpin wasit argentina ü§î</t>
  </si>
  <si>
    <t>misteri portugal dipimpin wasit argentina</t>
  </si>
  <si>
    <t>['misteri', 'portugal', 'dipimpin', 'wasit', 'argentina']</t>
  </si>
  <si>
    <t>@bintangdcp_ @TXXRZZD @idextratime inilah cara messi dan argentina meraih piala dunia, eea eeeaa eeeaaaa ü§£ ... terima kasih wasit terima kasih FIFA ü§£ü§£ü§£  https://t.co/S2nnjhSUs3</t>
  </si>
  <si>
    <t>inilah cara messi dan argentina meraih piala dunia eea eeeaa eeeaaaa terima kasih wasit terima kasih fifa</t>
  </si>
  <si>
    <t>['inilah', 'cara', 'messi', 'argentina', 'meraih', 'piala', 'dunia', 'eea', 'eeeaa', 'eeeaaaa', 'terima', 'kasih', 'wasit', 'terima', 'kasih', 'fifa']</t>
  </si>
  <si>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</si>
  <si>
    <t>yang kemarin paling heboh pas argentina kalah lawan arab saudi pada kemana yang paling heboh argentina jadi runner tiga tahun beruntun kemana yang paling heboh ngatain argentina bantu wasit kemana itu perancis dapet penalty mental gak goyang bos</t>
  </si>
  <si>
    <t>['kemarin', 'paling', 'heboh', 'pas', 'argentina', 'kalah', 'lawan', 'arab', 'saudi', 'paling', 'heboh', 'argentina', 'jadi', 'runner', 'tiga', 'tahun', 'beruntun', 'paling', 'heboh', 'ngatain', 'argentina', 'bantu', 'wasit', 'perancis', 'dapat', 'penalty', 'mental', 'goyang', 'bos']</t>
  </si>
  <si>
    <t>Banyak sekali perdebatan tentang penalty pertama untuk argentina  F messi : gak perlu dicek VAR bro, orang kejadian pelanggarannya di depan wasit, perancis juga dikasih 2 kali penalty tuh  Me : hei bro, ini match grand final, wasit perlu berhati2 membuat keputusan.  Lanjut üëá</t>
  </si>
  <si>
    <t>banyak sekali perdebatan tentang penalty pertama untuk argentina messi gak perlu dicek var bro orang kejadian pelanggarannya depan wasit perancis juga dikasih kali penalty tuh hei bro ini match grand final wasit perlu berhati membuat keputusan lanjut</t>
  </si>
  <si>
    <t>['banyak', 'sekali', 'perdebatan', 'penalty', 'pertama', 'argentina', 'messi', 'perlu', 'dicek', 'var', 'bro', 'orang', 'kejadian', 'pelanggarannya', 'depan', 'wasit', 'perancis', 'dikasih', 'kali', 'penalty', 'hei', 'bro', 'match', 'grand', 'final', 'wasit', 'perlu', 'berhati', 'membuat', 'keputusan', 'lanjut']</t>
  </si>
  <si>
    <t>@achidfauzi805 Dan gol ke 3 Argentina di final iku sakjane iso dianulir karo wasit yen dekne ndelok neng var mergo onok pemain cadangan sik mlebu lapangan pas masih on play ü§≠</t>
  </si>
  <si>
    <t>dan gol argentina final iku sakjane iso dianulir karo wasit yen dekne ndelok neng var mergo onok pemain cadangan sik mlebu lapangan pas masih play</t>
  </si>
  <si>
    <t>['gol', 'argentina', 'final', 'iku', 'sakjane', 'iso', 'dianulir', 'karo', 'wasit', 'yen', 'dekne', 'ndelok', 'neng', 'var', 'mergo', 'onok', 'pemain', 'cadangan', 'sik', 'mlebu', 'lapangan', 'pas', 'play']</t>
  </si>
  <si>
    <t>@tonycherchi Fifa messi atau fifa argentina Tidak ada gunanya VAR, seharusnya bukan penalti dan pemain argentina harus mendapatkan kartu kuning serta mungkin juga merah "permainan jelek dan kasar, dan dapat bantuan oleh wasit". Fair play sudah tidak ada l</t>
  </si>
  <si>
    <t>fifa messi atau fifa argentina tidak ada gunanya var seharusnya bukan penalti dan pemain argentina harus mendapatkan kartu kuning serta mungkin juga merah permainan jelek dan kasar dan dapat bantuan oleh wasit fair play sudah tidak ada</t>
  </si>
  <si>
    <t>['fifa', 'messi', 'fifa', 'argentina', 'gunanya', 'var', 'bukan', 'penalti', 'pemain', 'argentina', 'mendapatkan', 'kartu', 'kuning', 'mungkin', 'merah', 'permainan', 'jelek', 'kasar', 'bantuan', 'wasit', 'fair', 'play']</t>
  </si>
  <si>
    <t>@idextratime Fakta bahwa messi adalah pemain sepakbola terbaik. Tidak ada manusia yang lebih jenius mengolah bola dibandingkan Messi. Dan juga fakta bahwa piala dunia milik Argentina jauh dari kata sempurna, piala itu milik Argentina dan keputusan kontrov</t>
  </si>
  <si>
    <t>fakta bahwa messi adalah pemain sepakbola terbaik tidak ada manusia yang lebih jenius mengolah bola dibandingkan messi dan juga fakta bahwa piala dunia milik argentina jauh dari kata sempurna piala itu milik argentina dan keputusan kontrov</t>
  </si>
  <si>
    <t>['fakta', 'messi', 'pemain', 'sepakbola', 'terbaik', 'manusia', 'lebih', 'jenius', 'mengolah', 'bola', 'dibandingkan', 'messi', 'fakta', 'piala', 'dunia', 'milik', 'argentina', 'jauh', 'kata', 'sempurna', 'piala', 'milik', 'argentina', 'keputusan', 'kontrov']</t>
  </si>
  <si>
    <t>@yogach_ Kembaran Argentina dalam hal ancestry ya Uruguay. Pernah dalam derby Milan, Godin memprotes wasit dgn gaya mimik Italia. Banyak orang heran dgn begitu cepatnya dia menjadi Italia. Padahal itu sudah darah Uruguay üòÇüòÇ</t>
  </si>
  <si>
    <t>kembaran argentina dalam hal ancestry uruguay pernah dalam derby milan godin memprotes wasit dgn gaya mimik italia banyak orang heran dgn begitu cepatnya dia menjadi italia padahal itu sudah darah uruguay</t>
  </si>
  <si>
    <t>['kembaran', 'argentina', 'ancestry', 'uruguay', 'pernah', 'derby', 'milan', 'godin', 'memprotes', 'wasit', 'gaya', 'mimik', 'italia', 'banyak', 'orang', 'heran', 'cepatnya', 'menjadi', 'italia', 'padahal', 'darah', 'uruguay']</t>
  </si>
  <si>
    <t>@detikcom Laga argentina vs belanda merupakan laga terbanyak wasit mengeluarkan kartu..</t>
  </si>
  <si>
    <t>laga argentina belanda merupakan laga terbanyak wasit mengeluarkan kartu</t>
  </si>
  <si>
    <t>['laga', 'argentina', 'belanda', 'merupakan', 'laga', 'terbanyak', 'wasit', 'mengeluarkan', 'kartu']</t>
  </si>
  <si>
    <t>@PorosHalangID Pada bilang bruno sering drama,jaman sekarang semua pemain drama dan suka tdk suka itu mempengaruhi wasit. Pemain argentina lwn perancis jg byk drama dan itu menguntungkan argentina. Justru pemain mu ni byk polos, sering dikibulin pemain2 l</t>
  </si>
  <si>
    <t>pada bilang bruno sering drama jaman sekarang semua pemain drama dan suka tdk suka itu mempengaruhi wasit pemain argentina lwn perancis byk drama dan itu menguntungkan argentina justru pemain byk polos sering dikibulin pemain</t>
  </si>
  <si>
    <t>['bruno', 'sering', 'drama', 'jaman', 'sekarang', 'semua', 'pemain', 'drama', 'suka', 'suka', 'mempengaruhi', 'wasit', 'pemain', 'argentina', 'lwn', 'perancis', 'byk', 'drama', 'menguntungkan', 'argentina', 'justru', 'pemain', 'byk', 'polos', 'sering', 'dikibulin', 'pemain']</t>
  </si>
  <si>
    <t>Deschamps pertanyakan sejumlah keputusan wasit Szymon Marciniak.  #bolaskorcom #france #argentina #qatar2022      https://t.co/Q1EvHQphMb</t>
  </si>
  <si>
    <t>deschamps pertanyakan sejumlah keputusan wasit szymon marciniak</t>
  </si>
  <si>
    <t>['deschamps', 'pertanyakan', 'sejumlah', 'keputusan', 'wasit', 'szymon', 'marciniak']</t>
  </si>
  <si>
    <t>@Wahyu_setiawaan @idextratime Piala hasil settingan aja banggaü§≠, Argentina ank FIFA. Coba kemaren wasit chek bar auto kelar tuh argen</t>
  </si>
  <si>
    <t>setiawaan piala hasil settingan aja bangga argentina ank fifa coba kemaren wasit chek bar auto kelar tuh argen</t>
  </si>
  <si>
    <t>['setiawaan', 'piala', 'hasil', 'settingan', 'bangga', 'argentina', 'ank', 'fifa', 'coba', 'kemarin', 'wasit', 'chek', 'bar', 'auto', 'kelar', 'argen']</t>
  </si>
  <si>
    <t>@idextratime Gua fans senegal, gua masih kurang setuju Argentina dpt penalti, hrusnya wasit cek var lbih dhulu, di lihat dr tyangan ulang itu kayak diving</t>
  </si>
  <si>
    <t>gua fans senegal gua masih kurang setuju argentina dpt penalti hrusnya wasit cek var lbih dhulu lihat tyangan ulang itu kayak diving</t>
  </si>
  <si>
    <t>['gua', 'fans', 'senegal', 'gua', 'kurang', 'setuju', 'argentina', 'dpt', 'penalti', 'hrusnya', 'wasit', 'cek', 'var', 'lbih', 'dhulu', 'lihat', 'tyangan', 'ulang', 'seperti', 'diving']</t>
  </si>
  <si>
    <t>@Shinoa_hiiragii nah itu, pdhl wasitnya jg adil, toh pemain maroko dpt kartu merah sdgkan pas 8 besar itu, argentina malah yg dicurangi wasit, liat aja brp kartu kuning yg didapat sm keputusan yg rugiin argen, untung gk gugur kan yaüò≠</t>
  </si>
  <si>
    <t>hiiragii nah itu pdhl wasitnya adil toh pemain maroko dpt kartu merah sdgkan pas besar itu argentina malah dicurangi wasit liat aja brp kartu kuning didapat keputusan rugiin argen untung gugur kan</t>
  </si>
  <si>
    <t>['hiiragii', 'nah', 'pdhl', 'wasitnya', 'adil', 'pemain', 'maroko', 'dpt', 'kartu', 'merah', 'sdgkan', 'pas', 'besar', 'argentina', 'malah', 'dicurangi', 'wasit', 'lihat', 'brp', 'kartu', 'kuning', 'didapat', 'keputusan', 'rugiin', 'argen', 'untung', 'gugur', 'kan']</t>
  </si>
  <si>
    <t>@yaelaadi @FaktaSepakbola Betul,rata2 tim amerika latin banyak trik kasar dan licik dalam permainan,ga fair,di bantu wasit lg argentina,bayangkan aja tiap pertandingan dapet penalti,pada sadar ga..??</t>
  </si>
  <si>
    <t>betul rata tim amerika latin banyak trik kasar dan licik dalam permainan fair bantu wasit argentina bayangkan aja tiap pertandingan dapet penalti pada sadar</t>
  </si>
  <si>
    <t>['betul', 'rata', 'tim', 'amerika', 'latin', 'banyak', 'trik', 'kasar', 'licik', 'permainan', 'fair', 'bantu', 'wasit', 'argentina', 'bayangkan', 'tiap', 'pertandingan', 'dapat', 'penalti', 'sadar']</t>
  </si>
  <si>
    <t>@FaktaSepakbola 4 kali pildun starter mulu semifinal juga kaga pernah kesampaian malah skrg alasan dicadangin lah wasit argentina lah bruno egois lah messi anak emas fifa lah pildun setingan lah fans dodolovers kalian bener bener siuuuuu üí©</t>
  </si>
  <si>
    <t>kali pildun starter mulu semifinal juga kaga pernah kesampaian malah skrg alasan dicadangin lah wasit argentina lah bruno egois lah messi anak emas fifa lah pildun setingan lah fans dodolovers kalian bener bener siuuuuu</t>
  </si>
  <si>
    <t>['kali', 'piala dunia', 'starter', 'mulu', 'semifinal', 'kaga', 'pernah', 'kesampaian', 'malah', 'skrg', 'alasan', 'dicadangin', 'lah', 'wasit', 'argentina', 'lah', 'bruno', 'egois', 'lah', 'messi', 'anak', 'emas', 'fifa', 'lah', 'piala dunia', 'settingan', 'lah', 'fans', 'dodolovers', 'kalian', 'benar', 'benar', 'siuuuuu']</t>
  </si>
  <si>
    <t>Lu Yang Kalah Parlay Lu Bilang Vamos Argentina Gua Yang Dibantu Wasit Pake Bilang Anaak FIFA segala memang bgst Lu Main Masang 50k ocehan kayak kalah miliaran lu bgst gblk sih lu  https://t.co/1AzaVQoVwN</t>
  </si>
  <si>
    <t>yang kalah parlay bilang vamos argentina gua yang dibantu wasit pake bilang anaak fifa segala memang bgst main masang ocehan kayak kalah miliaran bgst gblk sih</t>
  </si>
  <si>
    <t>['kalah', 'parlay', 'vamos', 'argentina', 'gua', 'dibantu', 'wasit', 'pake', 'anaak', 'fifa', 'segala', 'memang', 'bgst', 'main', 'masang', 'ocehan', 'seperti', 'kalah', 'miliaran', 'bgst', 'gblk']</t>
  </si>
  <si>
    <t>Wasit Argentina vs Perancis udh bener, perancis dikasih 2p. Mbappe kalo tanpa p, cuman mbae!</t>
  </si>
  <si>
    <t>wasit argentina perancis udh bener perancis dikasih mbappe kalo tanpa cuman mbae</t>
  </si>
  <si>
    <t>['wasit', 'argentina', 'perancis', 'sudah', 'benar', 'perancis', 'dikasih', 'mbappe', 'cuman', 'mbae']</t>
  </si>
  <si>
    <t>@fbyskm_ Gw dari bayi udah tau Argentina ada Gabriel Batistuta, Ariel Ortega, Mathias Almeyda, Diego Simone dll... Gw udah begadang nonton bola jaman Zinedine Zidane, Didier Deschamps, Karbeu, Emanuel Petit, Lizarazu, Lilian Thuram. Ampe wasit sekelas Per</t>
  </si>
  <si>
    <t>dari bayi udah tau argentina ada gabriel batistuta ariel ortega mathias almeyda diego simone dll udah begadang nonton bola jaman zinedine zidane didier deschamps karbeu emanuel petit lizarazu lilian thuram ampe wasit sekelas per</t>
  </si>
  <si>
    <t>['bayi', 'udah', 'argentina', 'gabriel', 'batistuta', 'ariel', 'ortega', 'mathias', 'almeyda', 'diego', 'simone', 'udah', 'begadang', 'nonton', 'bola', 'jaman', 'zinedine', 'zidane', 'didier', 'deschamps', 'karbeu', 'emanuel', 'petit', 'lizarazu', 'lilian', 'thuram', 'sampai', 'wasit', 'sekelas', 'per']</t>
  </si>
  <si>
    <t>Media Perancis, masih meributkan pemain cadangan Argentina yg kedapatan masuk ke lapangan saat messi mencetak gol kedua di babak tambahan waktu, mereka menyayangkan sikap wasit Szymon Marciniak yg tidak menganulir gol tersebut.</t>
  </si>
  <si>
    <t>media perancis masih meributkan pemain cadangan argentina kedapatan masuk lapangan saat messi mencetak gol kedua babak tambahan waktu mereka menyayangkan sikap wasit szymon marciniak tidak menganulir gol tersebut</t>
  </si>
  <si>
    <t>['media', 'perancis', 'meributkan', 'pemain', 'cadangan', 'argentina', 'kedapatan', 'masuk', 'lapangan', 'messi', 'mencetak', 'gol', 'kedua', 'babak', 'tambahan', 'waktu', 'menyayangkan', 'sikap', 'wasit', 'szymon', 'marciniak', 'menganulir', 'gol', 'tersebut']</t>
  </si>
  <si>
    <t>@ciyesungie Wasitnya emg kurang adil krn nguntungin argentina di awal nah makanya messi di hujat,mana gol pertama hasil pinalti juga ya kan,wajarlah‚Ä¶ Tp pas babak kedua wasit mulai adil‚Ä¶</t>
  </si>
  <si>
    <t>wasitnya emg kurang adil krn nguntungin argentina awal nah makanya messi hujat mana gol pertama hasil pinalti juga kan wajarlah pas babak kedua wasit mulai adil</t>
  </si>
  <si>
    <t>['wasitnya', 'memang', 'kurang', 'adil', 'nguntungin', 'argentina', 'awal', 'nah', 'makanya', 'messi', 'hujat', 'mana', 'gol', 'pertama', 'hasil', 'penalti', 'kan', 'wajarlah', 'pas', 'babak', 'kedua', 'wasit', 'mulai', 'adil']</t>
  </si>
  <si>
    <t>@WerArYuuuu @_anggisaputra_ @madmoron33 @rio_andikawrr @yoga_rezza @ardynshufi Ada video coman dilanggar di injurytime babak kedua gak? Yang harusnya play on malah dihentiin wasit krn argentina gak ada pertahanan?</t>
  </si>
  <si>
    <t>andikawrr rezza ada video coman dilanggar injurytime babak kedua gak yang harusnya play malah dihentiin wasit krn argentina gak ada pertahanan</t>
  </si>
  <si>
    <t>['andikawrr', 'rezza', 'video', 'coman', 'dilanggar', 'injurytime', 'babak', 'kedua', 'harusnya', 'play', 'malah', 'dihentiin', 'wasit', 'argentina', 'pertahanan']</t>
  </si>
  <si>
    <t>@yaafiii @anggiofficiale @ardynshufi Pelanggaran di extra time babak ke 2, saat serangan balik coman dilanggar harusnya play on eh si wasit malah niup peluit pelanggaran. Padahal 2 pemain prancis udh didepan dan gak ada pertahanan argentina. Nonton gak ba</t>
  </si>
  <si>
    <t>pelanggaran extra time babak saat serangan balik coman dilanggar harusnya play wasit malah niup peluit pelanggaran padahal pemain prancis udh didepan dan gak ada pertahanan argentina nonton gak</t>
  </si>
  <si>
    <t>['pelanggaran', 'extra', 'time', 'babak', 'serangan', 'balik', 'coman', 'dilanggar', 'harusnya', 'play', 'wasit', 'malah', 'niup', 'peluit', 'pelanggaran', 'padahal', 'pemain', 'prancis', 'sudah', 'didepan', 'pertahanan', 'argentina', 'nonton']</t>
  </si>
  <si>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</si>
  <si>
    <t>ada apa dengan argentina setiap laga mereka punya hak atas penalti wasit tidak meninjau var saat pinalti diberikan untuk argentina gol messi pantas anulir karena dua pemain benz argentina berada dalam lapangan apa yang fifa sembunyikan untuk anak emasnya messi</t>
  </si>
  <si>
    <t>['apa', 'argentina', 'laga', 'punya', 'hak', 'atas', 'penalti', 'wasit', 'meninjau', 'var', 'penalti', 'diberikan', 'argentina', 'gol', 'messi', 'pantas', 'anulir', 'pemain', 'benz', 'argentina', 'berada', 'lapangan', 'apa', 'fifa', 'sembunyikan', 'anak', 'emasnya', 'messi']</t>
  </si>
  <si>
    <t>@idextratime Bukan settingannya sih yang dilihat orang2 adalah keputusan wasit ngasih pinalti untuk argentina dari foulnya dembele</t>
  </si>
  <si>
    <t>bukan settingannya sih yang dilihat orang adalah keputusan wasit ngasih pinalti untuk argentina dari foulnya dembele</t>
  </si>
  <si>
    <t>['bukan', 'settingannya', 'dilihat', 'orang', 'keputusan', 'wasit', 'ngasih', 'penalti', 'argentina', 'foulnya', 'dembele']</t>
  </si>
  <si>
    <t>Ok katakanlah setting an, tp ya apa iya  lawan2 argentina kmrn ngalah atau misalkan di bantu wasit gw kagak ngeliat terlalu gimana2, nggak ada juga kan yg negara nya mau kalah sma argentina semua mati2 an biar menang. üá´üá∑ contohnya,,, 3-3 sampe adu pinalti loh,,,</t>
  </si>
  <si>
    <t>katakanlah setting apa iya lawan argentina kmrn ngalah atau misalkan bantu wasit kagak ngeliat terlalu gimana nggak ada juga kan negara nya mau kalah sma argentina semua mati biar menang contohnya sampe adu pinalti loh</t>
  </si>
  <si>
    <t>['katakanlah', 'setting', 'apa', 'iya', 'lawan', 'argentina', 'kmrn', 'ngalah', 'misalkan', 'bantu', 'wasit', 'kagak', 'ngeliat', 'terlalu', 'gimana', 'kan', 'negara', 'mau', 'kalah', 'sma', 'argentina', 'semua', 'mati', 'menang', 'contohnya', 'sampai', 'adu', 'penalti']</t>
  </si>
  <si>
    <t>@lollipark Kalo menurut gw fifa organisasi super kotor yg kemungkinan besar judi internal untuk menangin Argentina... Tapiiii... Cuma sebatas ngasih putusan2 wasit yg (kalo bisa) menguntungkan.  Argentina dapet 6 penalty sepanjang turnamen itu apalah.</t>
  </si>
  <si>
    <t>kalo menurut fifa organisasi super kotor kemungkinan besar judi internal untuk menangin argentina tapiiii cuma sebatas ngasih putusan wasit kalo bisa menguntungkan argentina dapet penalty sepanjang turnamen itu apalah</t>
  </si>
  <si>
    <t>['fifa', 'organisasi', 'super', 'kotor', 'kemungkinan', 'besar', 'judi', 'internal', 'menangin', 'argentina', 'tapiiii', 'cuma', 'sebatas', 'ngasih', 'putusan', 'wasit', 'menguntungkan', 'argentina', 'dapat', 'penalty', 'sepanjang', 'turnamen', 'apalah']</t>
  </si>
  <si>
    <t>@Themann__98 @idextratime MENURUT pengamat2 sepakbola, dari negara yg kompetisinya bobrok. FIFA itu mafia. VAR nggak guna. Argentina dibantu wasit.  Hmmm...memang otaknya sudah rusak semua dikaitkan dengan judi, mafia, mafia wasit. Orang2 yg IQnya cuma 78</t>
  </si>
  <si>
    <t>menurut pengamat sepakbola dari negara kompetisinya bobrok fifa itu mafia var nggak guna argentina dibantu wasit hmmm memang otaknya sudah rusak semua dikaitkan dengan judi mafia mafia wasit orang iqnya cuma</t>
  </si>
  <si>
    <t>['pengamat', 'sepakbola', 'negara', 'kompetisinya', 'bobrok', 'fifa', 'mafia', 'var', 'argentina', 'dibantu', 'wasit', 'hmmm', 'memang', 'otaknya', 'rusak', 'semua', 'dikaitkan', 'judi', 'mafia', 'mafia', 'wasit', 'orang', 'iqnya', 'cuma']</t>
  </si>
  <si>
    <t>@idextratime MENURUT pengamat2 sepakbola, dari negara yg kompetisinya bobrok. FIFA itu mafia. VAR nggak guna. Argentina dibantu wasit.  Hmmm...memang otaknya sudah rusak semua dikaitkan dengan judi, mafia, mafia wasit. Orang2 yg IQnya cuma 78,9 Merasa leb</t>
  </si>
  <si>
    <t>menurut pengamat sepakbola dari negara kompetisinya bobrok fifa itu mafia var nggak guna argentina dibantu wasit hmmm memang otaknya sudah rusak semua dikaitkan dengan judi mafia mafia wasit orang iqnya cuma merasa leb</t>
  </si>
  <si>
    <t>['pengamat', 'sepakbola', 'negara', 'kompetisinya', 'bobrok', 'fifa', 'mafia', 'var', 'argentina', 'dibantu', 'wasit', 'hmmm', 'memang', 'otaknya', 'rusak', 'semua', 'dikaitkan', 'judi', 'mafia', 'mafia', 'wasit', 'orang', 'iqnya', 'cuma', 'merasa', 'leb']</t>
  </si>
  <si>
    <t>@snowy_icebear @idextratime Perasaanku malah wasit kurang fair ke Argentina lebih pro Perancis</t>
  </si>
  <si>
    <t>icebear perasaanku malah wasit kurang fair argentina lebih pro perancis</t>
  </si>
  <si>
    <t>['icebear', 'perasaanku', 'malah', 'wasit', 'kurang', 'fair', 'argentina', 'lebih', 'pro', 'perancis']</t>
  </si>
  <si>
    <t>Karena Argentina menang makanya lu pada permasalahin wasit karena gak bisa terima. Padahal france juga banyak diuntungin wasit tapi gak ada yang bahasüòí</t>
  </si>
  <si>
    <t>karena argentina menang makanya pada permasalahin wasit karena gak bisa terima padahal france juga banyak diuntungin wasit tapi gak ada yang bahas</t>
  </si>
  <si>
    <t>['argentina', 'menang', 'makanya', 'permasalahin', 'wasit', 'terima', 'padahal', 'france', 'banyak', 'diuntungin', 'wasit', 'bahas']</t>
  </si>
  <si>
    <t>@CoachJustinL @YouTube Orang tolol apa yg gk bisa lawak banget apa lagi sekelas antar negara mafia banyak lihat korsel vs italia jelas mafia wasit waktu itu makanya dek masih baru netas jangan terlalu percaya btw gue aj menang ya all in ke argentina ü§£</t>
  </si>
  <si>
    <t>orang tolol apa bisa lawak banget apa lagi sekelas antar negara mafia banyak lihat korsel italia jelas mafia wasit waktu itu makanya dek masih baru netas jangan terlalu percaya btw gue menang all argentina</t>
  </si>
  <si>
    <t>['orang', 'tolol', 'apa', 'lawak', 'banget', 'apa', 'sekelas', 'antar', 'negara', 'mafia', 'banyak', 'lihat', 'korsel', 'italia', 'jelas', 'mafia', 'wasit', 'waktu', 'makanya', 'dek', 'baru', 'netas', 'jangan', 'terlalu', 'percaya', 'by the way', 'gue', 'menang', 'all', 'argentina']</t>
  </si>
  <si>
    <t>WKWKWKW mana udah banyak yang bilang Argentina dibantu wasit banget, padahal prancis lebih parah. Pokoknya jadi masalah kalau menang</t>
  </si>
  <si>
    <t>wkwkwkw mana udah banyak yang bilang argentina dibantu wasit banget padahal prancis lebih parah pokoknya jadi masalah kalau menang</t>
  </si>
  <si>
    <t>['wkwkwkw', 'mana', 'udah', 'banyak', 'argentina', 'dibantu', 'wasit', 'banget', 'padahal', 'prancis', 'lebih', 'parah', 'pokoknya', 'jadi', 'masalah', 'kalau', 'menang']</t>
  </si>
  <si>
    <t>@idextratime Ini karena argentina yg menang, andai Perancis yg menang mungkin wasit langsung jadi sasaran nya</t>
  </si>
  <si>
    <t>ini karena argentina menang andai perancis menang mungkin wasit langsung jadi sasaran nya</t>
  </si>
  <si>
    <t>['argentina', 'menang', 'andai', 'perancis', 'menang', 'mungkin', 'wasit', 'langsung', 'jadi', 'sasaran']</t>
  </si>
  <si>
    <t>@rahmadalfhito @iamdionluky @idextratime Wasit dan asisten VAR nya kalo gk salah emang dr argentina.. CMIWW</t>
  </si>
  <si>
    <t>wasit dan asisten var nya kalo salah emang argentina cmiww</t>
  </si>
  <si>
    <t>['wasit', 'asisten', 'var', 'salah', 'emang', 'argentina', 'cmiww']</t>
  </si>
  <si>
    <t>Ovt story bruno gk direpost licha, apakah satru krna wawancara bruno pas kalah nyalahin wasit argentina. üôÄ</t>
  </si>
  <si>
    <t>ovt story bruno direpost licha apakah satru krna wawancara bruno pas kalah nyalahin wasit argentina</t>
  </si>
  <si>
    <t>['ovt', 'story', 'bruno', 'direpost', 'licha', 'satru', 'krna', 'wawancara', 'bruno', 'pas', 'kalah', 'nyalahin', 'wasit', 'argentina']</t>
  </si>
  <si>
    <t>@idextratime Giliran offside aja detail banget, sampe berapa mm keitung. Lah beberapa orang pemain cadangan sampe masuk ke lapangan diem aja. Padahal bisa di anulir gol nya, ga cuma argentina. Ada momen pas Perancis juga. Wasit var nya turu</t>
  </si>
  <si>
    <t>giliran offside aja detail banget sampe berapa keitung lah beberapa orang pemain cadangan sampe masuk lapangan diem aja padahal bisa anulir gol nya cuma argentina ada momen pas perancis juga wasit var nya turu</t>
  </si>
  <si>
    <t>['giliran', 'offside', 'detail', 'banget', 'sampai', 'berapa', 'keitung', 'lah', 'beberapa', 'orang', 'pemain', 'cadangan', 'sampai', 'masuk', 'lapangan', 'diem', 'padahal', 'anulir', 'gol', 'cuma', 'argentina', 'momen', 'pas', 'perancis', 'wasit', 'var', 'tidur']</t>
  </si>
  <si>
    <t>@ikiinya @adamantium9929 @idextratime Mbappe udah dapet voucher penalty 2x masih ngatain argentina dibantu wasit emang tulul fans dodo ü§£</t>
  </si>
  <si>
    <t>mbappe udah dapet voucher penalty masih ngatain argentina dibantu wasit emang tulul fans dodo</t>
  </si>
  <si>
    <t>['mbappe', 'udah', 'dapat', 'voucher', 'penalty', 'ngatain', 'argentina', 'dibantu', 'wasit', 'emang', 'tulul', 'fans', 'dodo']</t>
  </si>
  <si>
    <t>@agustinus_a94 @detikcom Semua ditentukan oleh FIFA, bahkan wasit &amp;amp; hakim garisnya nya bermain untuk tim Argentina.</t>
  </si>
  <si>
    <t>semua ditentukan oleh fifa bahkan wasit hakim garisnya nya bermain untuk tim argentina</t>
  </si>
  <si>
    <t>['semua', 'ditentukan', 'fifa', 'bahkan', 'wasit', 'hakim', 'garisnya', 'bermain', 'tim', 'argentina']</t>
  </si>
  <si>
    <t>@idextratime dalam pertandingan apalagi sepenting ini, rasanya kesalahan wasit masih dalam taraf manusiawi, skor 7/10 Argentina udah menang meski ada beberapa yg diperdebatkan. Gak ada pertandingan yg mulus 100%, inilah SEPAKBOLA</t>
  </si>
  <si>
    <t>dalam pertandingan apalagi sepenting ini rasanya kesalahan wasit masih dalam taraf manusiawi skor argentina udah menang meski ada beberapa diperdebatkan gak ada pertandingan mulus inilah sepakbola</t>
  </si>
  <si>
    <t>['pertandingan', 'sepenting', 'rasanya', 'kesalahan', 'wasit', 'taraf', 'manusiawi', 'skor', 'argentina', 'udah', 'menang', 'meski', 'beberapa', 'diperdebatkan', 'pertandingan', 'mulus', 'inilah', 'sepakbola']</t>
  </si>
  <si>
    <t>@stfuright kayanya kejadiannya habis thuram kena kartu deh ya ini, jadi kaya gak terima giroudnya, padahal kan argentina jelas2 diving juga didekat wasit tapi enggak ketauan gitu.</t>
  </si>
  <si>
    <t>kayanya kejadiannya habis thuram kena kartu deh ini jadi kaya gak terima giroudnya padahal kan argentina jelas diving juga didekat wasit tapi enggak ketauan gitu</t>
  </si>
  <si>
    <t>['kayanya', 'kejadiannya', 'habis', 'thuram', 'kena', 'kartu', 'deh', 'jadi', 'kaya', 'terima', 'giroudnya', 'padahal', 'kan', 'argentina', 'jelas', 'diving', 'didekat', 'wasit', 'enggak', 'ketauan', 'gitu']</t>
  </si>
  <si>
    <t>Yang lebih panas dari final World Cup  Ya ngebahas argentina menang hoki/harusnya Prancis yang menang kalo wasit netral   üòÇ lucu banget debatin yang ga penting</t>
  </si>
  <si>
    <t>yang lebih panas dari final world cup ngebahas argentina menang hoki harusnya prancis yang menang kalo wasit netral lucu banget debatin yang penting</t>
  </si>
  <si>
    <t>['lebih', 'panas', 'final', 'world', 'cup', 'ngebahas', 'argentina', 'menang', 'hoki', 'harusnya', 'prancis', 'menang', 'wasit', 'netral', 'lucu', 'banget', 'debatin', 'penting']</t>
  </si>
  <si>
    <t>@PorosHalangID tapi story nya Bruno tidak di repost sama martinez sdgkan mctom di repost, apa mungkin gegara pernyataan bruno mengenai kepemimpinan wasit asal argentina semua waktu portugal melawan maroko?üòÖü§î</t>
  </si>
  <si>
    <t>tapi story nya bruno tidak repost sama martinez sdgkan mctom repost apa mungkin gegara pernyataan bruno mengenai kepemimpinan wasit asal argentina semua waktu portugal melawan maroko</t>
  </si>
  <si>
    <t>['story', 'bruno', 'repost', 'sama', 'martinez', 'sdgkan', 'mctom', 'repost', 'apa', 'mungkin', 'gegara', 'pernyataan', 'bruno', 'mengenai', 'kepemimpinan', 'wasit', 'asal', 'argentina', 'semua', 'waktu', 'portugal', 'melawan', 'maroko']</t>
  </si>
  <si>
    <t>@CoachJustinL @YouTube Alkohol berimbas ke fifa karna gk wajar aj 1 match portugal 5 wasit argentina lagian mana ada tim piala dunia yg terus terusan dapat pinalti kalau gk di seting ,logika bro mafia is real</t>
  </si>
  <si>
    <t>alkohol berimbas fifa karna wajar match portugal wasit argentina lagian mana ada tim piala dunia terus terusan dapat pinalti kalau seting logika bro mafia real</t>
  </si>
  <si>
    <t>['alkohol', 'berimbas', 'fifa', 'karna', 'wajar', 'match', 'portugal', 'wasit', 'argentina', 'lagian', 'mana', 'tim', 'piala', 'dunia', 'terus', 'terusan', 'penalti', 'kalau', 'seting', 'logika', 'bro', 'mafia', 'real']</t>
  </si>
  <si>
    <t>@FebriYafi1 @ardiptm @plsdontfindme_ @hrvione @idextratime Menangis lah sekarang menangislah besok menangislah sampai kapanpun, dan kalo mau correct kinerja wasit kenapa Lo cuma menekan dari sisi ke burukan Argentina kan tadi malam juga France ada üò≠ oh</t>
  </si>
  <si>
    <t>menangis lah sekarang menangislah besok menangislah sampai kapanpun dan kalo mau correct kinerja wasit kenapa cuma menekan dari sisi burukan argentina kan tadi malam juga france ada</t>
  </si>
  <si>
    <t>['menangis', 'lah', 'sekarang', 'menangislah', 'besok', 'menangislah', 'kapanpun', 'mau', 'correct', 'kinerja', 'wasit', 'cuma', 'menekan', 'sisi', 'burukan', 'argentina', 'kan', 'tadi', 'malam', 'france']</t>
  </si>
  <si>
    <t>@CoachJustinL @YouTube Wasit berpihak ke messi ü§°ü§° why 2nd penalty mbappe not even checking var, maybe handball just for argentinaü§°ü§°  https://t.co/qE39MvSrGE</t>
  </si>
  <si>
    <t>wasit berpihak messi why penalty mbappe not even checking var maybe handball just for argentina</t>
  </si>
  <si>
    <t>['wasit', 'berpihak', 'messi', 'why', 'penalty', 'mbappe', 'not', 'even', 'checking', 'var', 'maybe', 'handball', 'just', 'for', 'argentina']</t>
  </si>
  <si>
    <t>@idextratime Sekelas final piala dunia di bialng setingan , sampe mbappe dapet pinalti 2x di menit akhir itu masih lu bilang ssetinggan , kalo emng itu buat argentina ngapain wasit ngasih pinalti di menit akhir yang udah jelas argentina unggul 1 dari fran</t>
  </si>
  <si>
    <t>sekelas final piala dunia bialng setingan sampe mbappe dapet pinalti menit akhir itu masih bilang ssetinggan kalo emng itu buat argentina ngapain wasit ngasih pinalti menit akhir yang udah jelas argentina unggul dari fran</t>
  </si>
  <si>
    <t>['sekelas', 'final', 'piala', 'dunia', 'bialng', 'settingan', 'sampai', 'mbappe', 'dapat', 'penalti', 'menit', 'akhir', 'ssetinggan', 'memang', 'buat', 'argentina', 'ngapain', 'wasit', 'ngasih', 'penalti', 'menit', 'akhir', 'udah', 'jelas', 'argentina', 'unggul', 'fran']</t>
  </si>
  <si>
    <t>Wasit e koyo elek2 skrng. Kyk gk adil. Gue gk bela Argentina atau Perancis, gue suka aj sm Maroko, dan gue lihat cara kerja wasit itu pas nonton maroko main, itupun sekali pertandingan itu thok. Jd piala dunia th ini kyk settingan. Tp yaudahlah. Argentina selamat ya</t>
  </si>
  <si>
    <t>wasit koyo elek skrng kyk adil gue bela argentina atau perancis gue suka maroko dan gue lihat cara kerja wasit itu pas nonton maroko main itupun sekali pertandingan itu thok piala dunia ini kyk settingan yaudahlah argentina selamat</t>
  </si>
  <si>
    <t>['wasit', 'koyo', 'elek', 'skrng', 'seperti', 'adil', 'gue', 'bela', 'argentina', 'perancis', 'gue', 'suka', 'maroko', 'gue', 'lihat', 'cara', 'kerja', 'wasit', 'pas', 'nonton', 'maroko', 'main', 'itupun', 'sekali', 'pertandingan', 'thok', 'piala', 'dunia', 'seperti', 'settingan', 'yaudahlah', 'argentina', 'selamat']</t>
  </si>
  <si>
    <t>udah banyak kejadian di wc 2022 semua wasit berpihak pada argentina, dan var ga kepake</t>
  </si>
  <si>
    <t>udah banyak kejadian semua wasit berpihak pada argentina dan var kepake</t>
  </si>
  <si>
    <t>['udah', 'banyak', 'kejadian', 'semua', 'wasit', 'berpihak', 'argentina', 'var', 'kepake']</t>
  </si>
  <si>
    <t>@idextratime * Argentina dapet 5 Voucher penalty tanpa wasit cek VAR ( * ) Mungkin ini alasan messi mau pindah ke klub ghoib PSG dijanjikan Trophy Piala Dunia yg blm dia dpt. Mbappe meski prancis klh tttp WIN dpt gelar Top score. Hanya alurnya di buat aga</t>
  </si>
  <si>
    <t>argentina dapet voucher penalty tanpa wasit cek var mungkin ini alasan messi mau pindah klub ghoib psg dijanjikan trophy piala dunia blm dia dpt mbappe meski prancis klh tttp win dpt gelar top score hanya alurnya buat aga</t>
  </si>
  <si>
    <t>['argentina', 'dapat', 'voucher', 'penalty', 'wasit', 'cek', 'var', 'mungkin', 'alasan', 'messi', 'mau', 'pindah', 'klub', 'ghoib', 'psg', 'dijanjikan', 'trophy', 'piala', 'dunia', 'blm', 'dpt', 'mbappe', 'meski', 'prancis', 'klh', 'tttp', 'win', 'dpt', 'gelar', 'top', 'score', 'alurnya', 'buat', 'aga']</t>
  </si>
  <si>
    <t>@idextratime Wkwk langsung tercounter tuh yg bahas kalo wasit jeli gol ketiga argentina biaa dianulir wkwkkwk</t>
  </si>
  <si>
    <t>wkwk langsung tercounter tuh bahas kalo wasit jeli gol ketiga argentina biaa dianulir wkwkkwk</t>
  </si>
  <si>
    <t>['langsung', 'tercounter', 'bahas', 'wasit', 'jeli', 'gol', 'ketiga', 'argentina', 'biaa', 'dianulir', 'wkwkkwk']</t>
  </si>
  <si>
    <t>@Two0Face @idextratime kalo wasit jeli gol nya messi juga bis di anulir karena pemain cadangan Argentina udah masuk lapangan sebelum gol terjadi</t>
  </si>
  <si>
    <t>kalo wasit jeli gol nya messi juga bis anulir karena pemain cadangan argentina udah masuk lapangan sebelum gol terjadi</t>
  </si>
  <si>
    <t>['wasit', 'jeli', 'gol', 'messi', 'bis', 'anulir', 'pemain', 'cadangan', 'argentina', 'udah', 'masuk', 'lapangan', 'gol', 'terjadi']</t>
  </si>
  <si>
    <t>Perancis Vs FIFA?  Bukannya tidak menerima kekalahan timnas Perancis, tetapi apa yg terjadi dilapangan sangat menggambarkan pembelaan Wasit kepada timnas argentina.   Kontrovesi Gol pertama Lionel Messi, D beberapa pelanggaran dikotak pinalti argentina tetapi tidak di tiup wasit.</t>
  </si>
  <si>
    <t>perancis fifa bukannya tidak menerima kekalahan timnas perancis tetapi apa terjadi dilapangan sangat menggambarkan pembelaan wasit kepada timnas argentina kontrovesi gol pertama lionel messi beberapa pelanggaran dikotak pinalti argentina tetapi tidak tiup wasit</t>
  </si>
  <si>
    <t>['perancis', 'fifa', 'bukannya', 'menerima', 'kekalahan', 'timnas', 'perancis', 'apa', 'terjadi', 'dilapangan', 'sangat', 'menggambarkan', 'pembelaan', 'wasit', 'timnas', 'argentina', 'kontrovesi', 'gol', 'pertama', 'lionel', 'messi', 'beberapa', 'pelanggaran', 'dikotak', 'penalti', 'argentina', 'tiup', 'wasit']</t>
  </si>
  <si>
    <t>@indigoblok @idextratime var selalu ngecek, namun kalau memang gak ada hal yg janggal ya berarti ga ada interversi dr var.. bkn cuman argentina aja hampir semua penalty yg spot on dr wasit..  https://t.co/oqMonuIiwe</t>
  </si>
  <si>
    <t>var selalu ngecek namun kalau memang gak ada hal janggal berarti ada interversi var bkn cuman argentina aja hampir semua penalty spot wasit</t>
  </si>
  <si>
    <t>['var', 'selalu', 'ngecek', 'kalau', 'memang', 'janggal', 'berarti', 'interversi', 'var', 'bkn', 'cuman', 'argentina', 'hampir', 'semua', 'penalty', 'spot', 'wasit']</t>
  </si>
  <si>
    <t>@ajisluuuuuur @idextratime Kalo nilai pertandingan jangan dari satu perspektif doang, mentang¬≤ benci messi jadi bilang dia ga layak menang. Keputusan wasit emang bisa jadi ambigu kalo tensi permainan tinggi.  Tapi setengah pertandingan awal Argentina dom</t>
  </si>
  <si>
    <t>kalo nilai pertandingan jangan dari satu perspektif doang mentang benci messi jadi bilang dia layak menang keputusan wasit emang bisa jadi ambigu kalo tensi permainan tinggi tapi setengah pertandingan awal argentina dom</t>
  </si>
  <si>
    <t>['nilai', 'pertandingan', 'jangan', 'satu', 'perspektif', 'doang', 'mentang', 'benci', 'messi', 'jadi', 'layak', 'menang', 'keputusan', 'wasit', 'emang', 'jadi', 'ambigu', 'tensi', 'permainan', 'tinggi', 'setengah', 'pertandingan', 'awal', 'argentina', 'dom']</t>
  </si>
  <si>
    <t>@idextratime Wkwk pada ributin settingan, wasit ga adil, intinya skor udh dibikin sama 3-3, udah dikasih adu pinalti tp emang france kalah nasib kan, atau france sengaja setting ga gol pinalti??  ü§£ü§£ Vamos Argentina üá¶üá∑</t>
  </si>
  <si>
    <t>wkwk pada ributin settingan wasit adil intinya skor udh dibikin sama udah dikasih adu pinalti emang france kalah nasib kan atau france sengaja setting gol pinalti vamos argentina</t>
  </si>
  <si>
    <t>['ributin', 'settingan', 'wasit', 'adil', 'intinya', 'skor', 'sudah', 'dibikin', 'sama', 'udah', 'dikasih', 'adu', 'penalti', 'emang', 'france', 'kalah', 'nasib', 'kan', 'france', 'sengaja', 'setting', 'gol', 'penalti', 'vamos', 'argentina']</t>
  </si>
  <si>
    <t xml:space="preserve">@ardynshufi Gol ketiga argentina sama finalti pertama,kalau bisa di protes sih kayak e keputusan wasit keliru,pinalti pertama jika kita teliti di maria diving tapi oke lah pinalti soalnya ada dorongan juga dari dembele,tapi untuk gol ketiga yang di cetak </t>
  </si>
  <si>
    <t>gol ketiga argentina sama finalti pertama kalau bisa protes sih kayak keputusan wasit keliru pinalti pertama jika kita teliti maria diving tapi oke lah pinalti soalnya ada dorongan juga dari dembele tapi untuk gol ketiga yang cetak</t>
  </si>
  <si>
    <t>['gol', 'ketiga', 'argentina', 'sama', 'finalti', 'pertama', 'kalau', 'protes', 'seperti', 'keputusan', 'wasit', 'keliru', 'penalti', 'pertama', 'teliti', 'maria', 'diving', 'oke', 'lah', 'penalti', 'soalnya', 'dorongan', 'dembele', 'gol', 'ketiga', 'cetak']</t>
  </si>
  <si>
    <t>Banyak sekali tiupan peluit wasit menghadiahi argentina untuk pelanggaran kecil</t>
  </si>
  <si>
    <t>banyak sekali tiupan peluit wasit menghadiahi argentina untuk pelanggaran kecil</t>
  </si>
  <si>
    <t>['banyak', 'sekali', 'tiupan', 'peluit', 'wasit', 'menghadiahi', 'argentina', 'pelanggaran', 'kecil']</t>
  </si>
  <si>
    <t>Tantangan Bangsa Indonesia. #DavidoQatar2022  #FIFAWorldCup   Giroud | Congratulations to Qatar | Antonella | My GOAT | Argentina's World Cup | Dembele | Kylian  https://t.co/mOR531EVJS</t>
  </si>
  <si>
    <t>tantangan bangsa indonesia giroud congratulations qatar antonella goat argentina world cup dembele kylian</t>
  </si>
  <si>
    <t>['tantangan', 'bangsa', 'indonesia', 'giroud', 'congratulations', 'qatar', 'antonella', 'goat', 'argentina', 'world', 'cup', 'dembele', 'kylian']</t>
  </si>
  <si>
    <t>@Themann__98 @idextratime Ngentod Argentina bersama wasit</t>
  </si>
  <si>
    <t>ngentod argentina bersama wasit</t>
  </si>
  <si>
    <t>['ngentod', 'argentina', 'bersama', 'wasit']</t>
  </si>
  <si>
    <t>Ada teman ku bilang wasit di bayar argentina :(((</t>
  </si>
  <si>
    <t>ada teman bilang wasit bayar argentina</t>
  </si>
  <si>
    <t>['teman', 'wasit', 'bayar', 'argentina']</t>
  </si>
  <si>
    <t>yang fans prancis marah2 sama wasit dan pd bilang menang krn pinalti gausa bangga yang fans argentina upload kambing üêê</t>
  </si>
  <si>
    <t>yang fans prancis marah sama wasit dan bilang menang krn pinalti gausa bangga yang fans argentina upload kambing</t>
  </si>
  <si>
    <t>['fans', 'prancis', 'marah', 'sama', 'wasit', 'menang', 'penalti', 'gausa', 'bangga', 'fans', 'argentina', 'upload', 'kambing']</t>
  </si>
  <si>
    <t>@ommi_siregar Jujur aja, penalti pertama Argentina diving de Maria itu ga banget tambah yang ke dua agak offside gitu, pendapat pribadi sih, wasit berpihak</t>
  </si>
  <si>
    <t>siregar jujur aja penalti pertama argentina diving maria itu banget tambah yang dua agak offside gitu pendapat pribadi sih wasit berpihak</t>
  </si>
  <si>
    <t>['siregar', 'jujur', 'penalti', 'pertama', 'argentina', 'diving', 'maria', 'banget', 'tambah', 'offside', 'gitu', 'pendapat', 'pribadi', 'wasit', 'berpihak']</t>
  </si>
  <si>
    <t>@idextratime Overall Oke Wasit semalam ini, Tapi ada 1 Kesalahan di Goal 1 Argentina</t>
  </si>
  <si>
    <t>overall oke wasit semalam ini tapi ada kesalahan goal argentina</t>
  </si>
  <si>
    <t>['overall', 'oke', 'wasit', 'semalam', 'kesalahan', 'goal', 'argentina']</t>
  </si>
  <si>
    <t>@idextratime Memang sperti berpihak sebelah wasit. Walaupun aku dukung argentina. Hati merasa tak puas</t>
  </si>
  <si>
    <t>memang sperti berpihak sebelah wasit walaupun aku dukung argentina hati merasa tak puas</t>
  </si>
  <si>
    <t>['memang', 'sperti', 'berpihak', 'sebelah', 'wasit', 'walaupun', 'aku', 'dukung', 'argentina', 'hati', 'merasa', 'tak', 'puas']</t>
  </si>
  <si>
    <t>2 pemain cadangan Argentina masuk ke lapangan beberapa saat sebelum goal Messi.  Berdasarkan Law of the game wasit bisa menganulir goal tersebut jika mereka jeli dan akan sangat menyakitkan jika itu terjadi.. üò¨  https://t.co/zEq39R5xnG</t>
  </si>
  <si>
    <t>pemain cadangan argentina masuk lapangan beberapa saat sebelum goal messi berdasarkan law the game wasit bisa menganulir goal tersebut jika mereka jeli dan akan sangat menyakitkan jika itu terjadi</t>
  </si>
  <si>
    <t>['pemain', 'cadangan', 'argentina', 'masuk', 'lapangan', 'beberapa', 'goal', 'messi', 'berdasarkan', 'law', 'the', 'game', 'wasit', 'menganulir', 'goal', 'tersebut', 'jeli', 'sangat', 'menyakitkan', 'terjadi']</t>
  </si>
  <si>
    <t>@extimeunoffial @dlaffly @Kirasaaa @barcastuff_idn Pemain Argentina dapat 6 kartu kuning bro. Pemain Prancis 2 kartu kuning dan 1 kuning Giroud krn argumentasi dgn wasit.</t>
  </si>
  <si>
    <t>idn pemain argentina dapat kartu kuning bro pemain prancis kartu kuning dan kuning giroud krn argumentasi dgn wasit</t>
  </si>
  <si>
    <t>['idn', 'pemain', 'argentina', 'kartu', 'kuning', 'bro', 'pemain', 'prancis', 'kartu', 'kuning', 'kuning', 'giroud', 'argumentasi', 'wasit']</t>
  </si>
  <si>
    <t>@Kirasaaa @extimeunoffial @barcastuff_idn Nah bener itu bro. Kalo misal wasit mihak Argentina sdh selesai itu Prancis. Pemain Prancis bnyk tekel keras. Hnya dikasih teguran. Tekel 2 kaki Rabiot menit 55 ke Paredes bisa saja kartu merah. Bola tdk kena kaki</t>
  </si>
  <si>
    <t>idn nah bener itu bro kalo misal wasit mihak argentina sdh selesai itu prancis pemain prancis bnyk tekel keras hnya dikasih teguran tekel kaki rabiot menit paredes bisa saja kartu merah bola tdk kena kaki</t>
  </si>
  <si>
    <t>['idn', 'nah', 'benar', 'bro', 'misal', 'wasit', 'mihak', 'argentina', 'selesai', 'prancis', 'pemain', 'prancis', 'bnyk', 'tekel', 'keras', 'hnya', 'dikasih', 'teguran', 'tekel', 'kaki', 'rabiot', 'menit', 'paredes', 'kartu', 'merah', 'bola', 'kena', 'kaki']</t>
  </si>
  <si>
    <t>@extimeunoffial @dlaffly @Kirasaaa @barcastuff_idn Kalo misal menit 55 itu Rabiot dpt kartu merah selesai sdh Prancis. Saat itu Argentina unggul 2 gol. Sdh lah akuin saja kekalahan Prancis. Tdk usah bnyk alasan bro. Krg baik apa itu wasit utk Prancis. Bny</t>
  </si>
  <si>
    <t>idn kalo misal menit itu rabiot dpt kartu merah selesai sdh prancis saat itu argentina unggul gol sdh lah akuin saja kekalahan prancis tdk usah bnyk alasan bro krg baik apa itu wasit utk prancis bny</t>
  </si>
  <si>
    <t>['idn', 'misal', 'menit', 'rabiot', 'dpt', 'kartu', 'merah', 'selesai', 'prancis', 'argentina', 'unggul', 'gol', 'lah', 'akuin', 'kekalahan', 'prancis', 'usah', 'bnyk', 'alasan', 'bro', 'krg', 'baik', 'apa', 'wasit', 'prancis', 'bny']</t>
  </si>
  <si>
    <t>@hamisholt Sorry jagoanku argentina.</t>
  </si>
  <si>
    <t>sorry jagoanku argentina</t>
  </si>
  <si>
    <t>['sorry', 'jagoanku', 'argentina']</t>
  </si>
  <si>
    <t>@Fandom_ID PSSI dan PT.LIB harus belajar cara mengatur pertandingan dr FIFA supaya seru. Selain bayar wasit, bayarlah pemain yg tidak terkenal. Contohnya menyuap Kolo Muani, yg dengan sengaja tidak menceploskan bola ke gawang Argentina di babak perpanjang</t>
  </si>
  <si>
    <t>pssi dan lib harus belajar cara mengatur pertandingan fifa supaya seru selain bayar wasit bayarlah pemain tidak terkenal contohnya menyuap kolo muani dengan sengaja tidak menceploskan bola gawang argentina babak perpanjang</t>
  </si>
  <si>
    <t>['pssi', 'lib', 'belajar', 'cara', 'mengatur', 'pertandingan', 'fifa', 'seru', 'bayar', 'wasit', 'bayarlah', 'pemain', 'terkenal', 'contohnya', 'menyuap', 'kolo', 'muani', 'sengaja', 'menceploskan', 'bola', 'gawang', 'argentina', 'babak', 'perpanjang']</t>
  </si>
  <si>
    <t>Berarti logo Argentina di dada dah resmi setara dengan Bhayangkara FC dengan Tiga Bintang  https://t.co/no8XnwBQsu</t>
  </si>
  <si>
    <t>berarti logo argentina dada dah resmi setara dengan bhayangkara dengan tiga bintang</t>
  </si>
  <si>
    <t>['berarti', 'logo', 'argentina', 'dada', 'dah', 'resmi', 'setara', 'bhayangkara', 'tiga', 'bintang']</t>
  </si>
  <si>
    <t>@slurdlordeh @RendyBagusp @utdfocusid Kritik wasit dari argentina bukan timnasnya lol</t>
  </si>
  <si>
    <t>kritik wasit dari argentina bukan timnasnya lol</t>
  </si>
  <si>
    <t>['kritik', 'wasit', 'argentina', 'bukan', 'timnasnya', 'laugh out loud']</t>
  </si>
  <si>
    <t>@Krist888 @WagimanDeep_IX @erickthohir @gibran_tweet Pait pait.. Ini gegara Pakmen @erickthohir wasit jadinya berat sebelah,dukung Argentina. Coba kalo Pakmen diam bae ü§¶</t>
  </si>
  <si>
    <t>tweet pait pait ini gegara pakmen wasit jadinya berat sebelah dukung argentina coba kalo pakmen diam bae</t>
  </si>
  <si>
    <t>['tweet', 'pait', 'pait', 'gegara', 'pakmen', 'wasit', 'jadinya', 'berat', 'sebelah', 'dukung', 'argentina', 'coba', 'pakmen', 'diam', 'bae']</t>
  </si>
  <si>
    <t>@PorosHalangID Gw barusan cek instastory Licha. Dia ngerepost story De Gea, McTom, Garnacho tapi tidak ngerepost story Bruno, apakah gara2 ucapan Bruno ttg wasit Argentina? ü§®. Waduh</t>
  </si>
  <si>
    <t>barusan cek instastory licha dia ngerepost story gea mctom garnacho tapi tidak ngerepost story bruno apakah gara ucapan bruno ttg wasit argentina waduh</t>
  </si>
  <si>
    <t>['barusan', 'cek', 'instastory', 'licha', 'ngerepost', 'story', 'gea', 'mctom', 'garnacho', 'ngerepost', 'story', 'bruno', 'gara', 'ucapan', 'bruno', 'ttg', 'wasit', 'argentina', 'waduh']</t>
  </si>
  <si>
    <t>Wasit final Piala Dunia 2022 Argentina vs Prancis Ternyata Dibayar Rp4,7 Miliar   https://t.co/M6I5ShPm8x</t>
  </si>
  <si>
    <t>wasit final piala dunia argentina prancis ternyata dibayar miliar</t>
  </si>
  <si>
    <t>['wasit', 'final', 'piala', 'dunia', 'argentina', 'prancis', 'ternyata', 'dibayar', 'miliar']</t>
  </si>
  <si>
    <t>Ga dukung Brazil dan Argentina karena kebanyakan drama.. mereka pinter diving plus ambil hati wasit.. Mainnya kasar gradakan.. Bagiku, Messi ngeselin sih.. dia selalu ambil posisi di kotak pinalti terus diving (sengaja ngaitin kakinya ke kaki lawan).</t>
  </si>
  <si>
    <t>dukung brazil dan argentina karena kebanyakan drama mereka pinter diving plus ambil hati wasit mainnya kasar gradakan bagiku messi ngeselin sih dia selalu ambil posisi kotak pinalti terus diving sengaja ngaitin kakinya kaki lawan</t>
  </si>
  <si>
    <t>['dukung', 'brazil', 'argentina', 'kebanyakan', 'drama', 'pinter', 'diving', 'plus', 'ambil', 'hati', 'wasit', 'mainnya', 'kasar', 'gradakan', 'bagiku', 'messi', 'ngeselin', 'selalu', 'ambil', 'posisi', 'kotak', 'penalti', 'terus', 'diving', 'sengaja', 'ngaitin', 'kakinya', 'kaki', 'lawan']</t>
  </si>
  <si>
    <t>@utdfocusid Licha kira2 kesel gak ya sama bruno atas pernyataannya tentang wasit asal argentina waktu portugal kalah, sejauh ini stories ig bruno yg ngucapin blm di repost sama dia tpi yg lain udh</t>
  </si>
  <si>
    <t>licha kira kesel gak sama bruno atas pernyataannya tentang wasit asal argentina waktu portugal kalah sejauh ini stories bruno ngucapin blm repost sama dia tpi lain udh</t>
  </si>
  <si>
    <t>['licha', 'kira', 'kesel', 'sama', 'bruno', 'atas', 'pernyataannya', 'wasit', 'asal', 'argentina', 'waktu', 'portugal', 'kalah', 'sejauh', 'stories', 'bruno', 'ngucapin', 'blm', 'repost', 'sama', 'tpi', 'sudah']</t>
  </si>
  <si>
    <t>Wasit setiap Argentina maen "pinaltinya kakak"</t>
  </si>
  <si>
    <t>wasit setiap argentina maen pinaltinya kakak</t>
  </si>
  <si>
    <t>['wasit', 'argentina', 'maen', 'pinaltinya', 'kakak']</t>
  </si>
  <si>
    <t>@almuwahidan Kalo dipikir2 wasit td mlm jg ga ngaco2 amat. Penalti argentina mungkin rada2 tp ceuk urg mah valid eta</t>
  </si>
  <si>
    <t>kalo dipikir wasit mlm ngaco amat penalti argentina mungkin rada ceuk urg mah valid eta</t>
  </si>
  <si>
    <t>['dipikir', 'wasit', 'malam', 'ngaco', 'penalti', 'argentina', 'mungkin', 'rada', 'ceuk', 'urg', 'mah', 'valid', 'eta']</t>
  </si>
  <si>
    <t>--------- belajar dari pendukung Prancis, walaupun kalah tak merasa dicurangi wasit dan menerima kenyataan jika kalah serta mengakui kemenangan argentina --------  semoga pendukung capres  juga demikian pada pilpres 2024 nanti  aku disini untukmu, menyepi</t>
  </si>
  <si>
    <t>belajar dari pendukung prancis walaupun kalah tak merasa dicurangi wasit dan menerima kenyataan jika kalah serta mengakui kemenangan argentina semoga pendukung capres juga demikian pada pilpres nanti aku disini untukmu menyepi</t>
  </si>
  <si>
    <t>['belajar', 'pendukung', 'prancis', 'walaupun', 'kalah', 'tak', 'merasa', 'dicurangi', 'wasit', 'menerima', 'kenyataan', 'kalah', 'mengakui', 'kemenangan', 'argentina', 'semoga', 'pendukung', 'capres', 'pilpres', 'aku', 'disini', 'untukmu', 'menyepi']</t>
  </si>
  <si>
    <t>@alumni_fakboi @luthfiahadian @rizal_hafidz17 @ruangtaktik Penalti buat Perancis itu cuma buat nutupin kesalahan si wasit karena ngasih penalti buat Argentina di awal babak pertama, dengan harapan si Argentina menang 2-1 Untk menutup kebusukan wasit, eh d</t>
  </si>
  <si>
    <t>fakboi hafidz penalti buat perancis itu cuma buat nutupin kesalahan wasit karena ngasih penalti buat argentina awal babak pertama dengan harapan argentina menang untk menutup kebusukan wasit</t>
  </si>
  <si>
    <t>['fakboi', 'hafidz', 'penalti', 'buat', 'perancis', 'cuma', 'buat', 'nutupin', 'kesalahan', 'wasit', 'ngasih', 'penalti', 'buat', 'argentina', 'awal', 'babak', 'pertama', 'harapan', 'argentina', 'menang', 'untk', 'menutup', 'kebusukan', 'wasit']</t>
  </si>
  <si>
    <t>@justdewaaa First penalty argentina &amp;amp; second penalty prancis,mohon penjelasannya bapak wasit. Rodok wagu soalnyaüôè</t>
  </si>
  <si>
    <t>first penalty argentina second penalty prancis mohon penjelasannya bapak wasit rodok wagu soalnya</t>
  </si>
  <si>
    <t>['first', 'penalty', 'argentina', 'second', 'penalty', 'prancis', 'mohon', 'penjelasannya', 'bapak', 'wasit', 'rodok', 'wagu', 'soalnya']</t>
  </si>
  <si>
    <t>Alasan wasit memberi penalti kepada Prancis agar dia dianggap tidak berat sebelah, padahal nyatanya fia berat sebelah ü§£, dan benar skor tetap sama hingga penalti. Jika seandainya wasit tidak memberi penalti kepada Argentina, sudah pasti Prancis lah yang membawa piala dunia 2022.</t>
  </si>
  <si>
    <t>alasan wasit memberi penalti kepada prancis agar dia dianggap tidak berat sebelah padahal nyatanya fia berat sebelah dan benar skor tetap sama hingga penalti jika seandainya wasit tidak memberi penalti kepada argentina sudah pasti prancis lah yang membawa piala dunia</t>
  </si>
  <si>
    <t>['alasan', 'wasit', 'memberi', 'penalti', 'prancis', 'dianggap', 'berat', 'sebelah', 'padahal', 'nyatanya', 'fia', 'berat', 'sebelah', 'benar', 'skor', 'tetap', 'sama', 'hingga', 'penalti', 'seandainya', 'wasit', 'memberi', 'penalti', 'argentina', 'prancis', 'lah', 'membawa', 'piala', 'dunia']</t>
  </si>
  <si>
    <t>Maka itu dia berpikir untuk memberikan Prancis sebuah goal penalty dengan mbappe sebagai algojonya, dan bagi wasit itu keputusan benar, mengingat waktu tersisa 10 menit dengan harapan Argentina menang 2-1, tapi wasit lupa Prancis memiliki mbappe.</t>
  </si>
  <si>
    <t>maka itu dia berpikir untuk memberikan prancis sebuah goal penalty dengan mbappe sebagai algojonya dan bagi wasit itu keputusan benar mengingat waktu tersisa menit dengan harapan argentina menang tapi wasit lupa prancis memiliki mbappe</t>
  </si>
  <si>
    <t>['berpikir', 'memberikan', 'prancis', 'sebuah', 'goal', 'penalty', 'mbappe', 'algojonya', 'wasit', 'keputusan', 'benar', 'mengingat', 'waktu', 'tersisa', 'menit', 'harapan', 'argentina', 'menang', 'wasit', 'lupa', 'prancis', 'memiliki', 'mbappe']</t>
  </si>
  <si>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</si>
  <si>
    <t>berita pilihan kalah lewat drama adu penalti bos prancis merasa perlu berdiskusi dengan wasit alexis mac allister ungkap rahasia argentina slot gacor</t>
  </si>
  <si>
    <t>['berita', 'pilihan', 'kalah', 'lewat', 'drama', 'adu', 'penalti', 'bos', 'prancis', 'merasa', 'perlu', 'berdiskusi', 'wasit', 'alexis', 'mac', 'allister', 'ungkap', 'rahasia', 'argentina', 'slot', 'gacor']</t>
  </si>
  <si>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</si>
  <si>
    <t>tetap selamat for argentina tim kocak plus plus so memenangi ngoni pe permainan caparuni, kasar, tukang complain wasit padahal sapa yg bakasar sapa yg drama baciri kong complain pa wasit mengemis kartu kuning tuhaaaaaayyyy nda pernah sejijik tadi bauni bolaüò≠</t>
  </si>
  <si>
    <t>tetap selamat for argentina tim kocak plus plus memenangi ngoni permainan caparuni kasar tukang complain wasit padahal sapa bakasar sapa drama baciri kong complain wasit mengemis kartu kuning tuhaaaaaayyyy nda pernah sejijik tadi bauni bola</t>
  </si>
  <si>
    <t>['tetap', 'selamat', 'for', 'argentina', 'tim', 'kocak', 'plus', 'plus', 'memenangi', 'ngoni', 'permainan', 'caparuni', 'kasar', 'tukang', 'complain', 'wasit', 'padahal', 'sapa', 'bakasar', 'sapa', 'drama', 'baciri', 'kong', 'complain', 'wasit', 'mengemis', 'kartu', 'kuning', 'tuhaaaaaayyyy', 'nda', 'pernah', 'sejijik', 'tadi', 'bauni', 'bola']</t>
  </si>
  <si>
    <t>@ruangtaktik Percuma min bahas beginian yang ada di bilang nya kalah mah kalah atau enggak itu fungsinya diving itu doang yang mereka tahu coba mereka di posisi seperti itu pasti juga bakal nyalahin wasit, setiap melawan argentina fungsi var gak kepake sa</t>
  </si>
  <si>
    <t>percuma min bahas beginian yang ada bilang nya kalah mah kalah atau enggak itu fungsinya diving itu doang yang mereka tahu coba mereka posisi seperti itu pasti juga bakal nyalahin wasit setiap melawan argentina fungsi var gak kepake</t>
  </si>
  <si>
    <t>['percuma', 'min', 'bahas', 'beginian', 'kalah', 'mah', 'kalah', 'enggak', 'fungsinya', 'diving', 'doang', 'tahu', 'coba', 'posisi', 'bakal', 'nyalahin', 'wasit', 'melawan', 'argentina', 'fungsi', 'var', 'kepake']</t>
  </si>
  <si>
    <t>@bvcgurl @yourvunny @darkjokes24 @cursedkidd Lah ngomong fakta ke lu liat aja kalo argentina nyodorin duit ke wasit... Cuma asumsi lo doang gak usah bilang fakta... Kalo aregentina menang piala dunia dan messi jadi best player itu baru fakta... ü§≠ü§≠ü</t>
  </si>
  <si>
    <t>lah ngomong fakta liat aja kalo argentina nyodorin duit wasit cuma asumsi doang gak usah bilang fakta kalo aregentina menang piala dunia dan messi jadi best player itu baru fakta</t>
  </si>
  <si>
    <t>['lah', 'ngomong', 'fakta', 'lihat', 'argentina', 'nyodorin', 'duit', 'wasit', 'cuma', 'asumsi', 'doang', 'usah', 'fakta', 'aregentina', 'menang', 'piala', 'dunia', 'messi', 'jadi', 'best', 'player', 'baru', 'fakta']</t>
  </si>
  <si>
    <t>@bvcgurl @yourvunny @darkjokes24 @cursedkidd Wkwkwkwk udah kalah yah kalah aja lu... Pake bawa2 wasit... kalah dengaj terhormat  wkwkwkwk Sorry argentina juga menang terhormat... Pffffttt</t>
  </si>
  <si>
    <t>wkwkwkwk udah kalah yah kalah aja pake bawa wasit kalah dengaj terhormat wkwkwkwk sorry argentina juga menang terhormat pffffttt</t>
  </si>
  <si>
    <t>['wkwkwkwk', 'udah', 'kalah', 'kalah', 'pake', 'bawa', 'wasit', 'kalah', 'dengaj', 'terhormat', 'wkwkwkwk', 'sorry', 'argentina', 'menang', 'terhormat', 'pffffttt']</t>
  </si>
  <si>
    <t>@FaktaSepakbola Di bayar berapa sih wasit nya  Dimulai dari lawan argentina vs australia ü§îü§îü§îü§î</t>
  </si>
  <si>
    <t>bayar berapa sih wasit nya dimulai dari lawan argentina australia</t>
  </si>
  <si>
    <t>['bayar', 'berapa', 'wasit', 'dimulai', 'lawan', 'argentina', 'australia']</t>
  </si>
  <si>
    <t>@CoachJustinL Pasti di kontennya Argentina diunggulkan wasit pokoknya ada aja yg gak setuju sama Argentina mng, wkwkwkw fans belanda tim kampung</t>
  </si>
  <si>
    <t>pasti kontennya argentina diunggulkan wasit pokoknya ada aja gak setuju sama argentina mng wkwkwkw fans belanda tim kampung</t>
  </si>
  <si>
    <t>['kontennya', 'argentina', 'diunggulkan', 'wasit', 'pokoknya', 'setuju', 'sama', 'argentina', 'mng', 'wkwkwkw', 'fans', 'belanda', 'tim', 'kampung']</t>
  </si>
  <si>
    <t>@alnglnd mereka emang bagus cm kalah bejo üò≠üò≠üò≠ ni FWC emang disetting Argentina yg menang dr kmren keputusan wasit mereka yg diuntungkan üíî  #LesBleus  üá´üá∑</t>
  </si>
  <si>
    <t>mereka emang bagus kalah bejo fwc emang disetting argentina menang kmren keputusan wasit mereka diuntungkan</t>
  </si>
  <si>
    <t>['emang', 'bagus', 'kalah', 'bejo', 'fwc', 'emang', 'disetting', 'argentina', 'menang', 'kmren', 'keputusan', 'wasit', 'diuntungkan']</t>
  </si>
  <si>
    <t>meanwhile mak gw masi marah2 ke wasit + ga terima gol pertamanya argentina</t>
  </si>
  <si>
    <t>meanwhile mak masi marah wasit terima gol pertamanya argentina</t>
  </si>
  <si>
    <t>['meanwhile', 'mak', 'masi', 'marah', 'wasit', 'terima', 'gol', 'pertamanya', 'argentina']</t>
  </si>
  <si>
    <t>@CoachJustinL Bacot apa lo anjing botak anak anjing bacot anak babi argentina di beka wasit, tuh liat kontil fraces dapat finalti 2 kali kontol</t>
  </si>
  <si>
    <t>bacot apa anjing botak anak anjing bacot anak babi argentina beka wasit tuh liat kontil fraces dapat finalti kali kontol</t>
  </si>
  <si>
    <t>['bacot', 'apa', 'anjing', 'botak', 'anak', 'anjing', 'bacot', 'anak', 'babi', 'argentina', 'beka', 'wasit', 'lihat', 'kontil', 'fraces', 'finalti', 'kali', 'kontol']</t>
  </si>
  <si>
    <t>Prancis dapat 2x voucher penalty, masih aja bilang Argentina dibantu wasit ü§£ #FIFAWorldCup</t>
  </si>
  <si>
    <t>prancis dapat voucher penalty masih aja bilang argentina dibantu wasit</t>
  </si>
  <si>
    <t>['prancis', 'voucher', 'penalty', 'argentina', 'dibantu', 'wasit']</t>
  </si>
  <si>
    <t>pas pinalti awal dibilangnya wasit berat ke argentina, pas pertandingan kelar keliatan kan wasit itu netral</t>
  </si>
  <si>
    <t>pas pinalti awal dibilangnya wasit berat argentina pas pertandingan kelar keliatan kan wasit itu netral</t>
  </si>
  <si>
    <t>['pas', 'penalti', 'awal', 'dibilangnya', 'wasit', 'berat', 'argentina', 'pas', 'pertandingan', 'kelar', 'keliatan', 'kan', 'wasit', 'netral']</t>
  </si>
  <si>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</si>
  <si>
    <t>mbappe outstanding bisa carry tim usia segitu tapi prancis minim umpan kreatif secara gaada pogba kante apresiasi sama effort timnya walaupun argentina kebanyakan help wasit tapi gapapa messi udah saatnya juara aing fans jerman jadi netral wkkwkwwk</t>
  </si>
  <si>
    <t>['mbappe', 'outstanding', 'carry', 'tim', 'usia', 'segitu', 'prancis', 'minim', 'umpan', 'kreatif', 'gaada', 'pogba', 'kante', 'apresiasi', 'sama', 'effort', 'timnya', 'walaupun', 'argentina', 'kebanyakan', 'help', 'wasit', 'gapapa', 'messi', 'udah', 'saatnya', 'juara', 'aing', 'fans', 'jerman', 'jadi', 'netral', 'wkkwkwwk']</t>
  </si>
  <si>
    <t>&lt;FreqDist with 33 samples and 33 outcomes&gt;</t>
  </si>
  <si>
    <t>@arvaen_ udah nih ? gua g bilang argentina g layak juara ya. gua bilang keputusan wasit banyak ngutungin argentina. jd ya settingan wasitnya. tapi dari permainan argentina di atas perancis layak juara.</t>
  </si>
  <si>
    <t>udah nih gua bilang argentina layak juara gua bilang keputusan wasit banyak ngutungin argentina settingan wasitnya tapi dari permainan argentina atas perancis layak juara</t>
  </si>
  <si>
    <t>['udah', 'gua', 'argentina', 'layak', 'juara', 'gua', 'keputusan', 'wasit', 'banyak', 'ngutungin', 'argentina', 'settingan', 'wasitnya', 'permainan', 'argentina', 'atas', 'perancis', 'layak', 'juara']</t>
  </si>
  <si>
    <t>@_BangFu Dari wasit keliatan kalau lebih ke argentina si Ga dari final inj Yg semi final itu juga parah juga Hands nya messi ga d kartu kuning</t>
  </si>
  <si>
    <t>dari wasit keliatan kalau lebih argentina dari final inj semi final itu juga parah juga hands nya messi kartu kuning</t>
  </si>
  <si>
    <t>['wasit', 'keliatan', 'kalau', 'lebih', 'argentina', 'final', 'inj', 'semi', 'final', 'parah', 'hands', 'messi', 'kartu', 'kuning']</t>
  </si>
  <si>
    <t>akhirnya pemain kesayangan fifa menang piala dunia, jadi ga sia-sia perjuangan wasit ngasih penalti setiap argentina main üëçüëç</t>
  </si>
  <si>
    <t>akhirnya pemain kesayangan fifa menang piala dunia jadi sia sia perjuangan wasit ngasih penalti setiap argentina main</t>
  </si>
  <si>
    <t>['akhirnya', 'pemain', 'kesayangan', 'fifa', 'menang', 'piala', 'dunia', 'jadi', 'sia', 'sia', 'perjuangan', 'wasit', 'ngasih', 'penalti', 'argentina', 'main']</t>
  </si>
  <si>
    <t>@idextratime @pantungalimar Temen2nya Messi kerja keras ngebantu biar Messi angkat piala, sedangkan temen2 Ronaldo sibuk nyalahin wasit argentina</t>
  </si>
  <si>
    <t>temen nya messi kerja keras ngebantu biar messi angkat piala sedangkan temen ronaldo sibuk nyalahin wasit argentina</t>
  </si>
  <si>
    <t>['temen', 'messi', 'kerja', 'keras', 'ngebantu', 'messi', 'angkat', 'piala', 'temen', 'ronaldo', 'sibuk', 'nyalahin', 'wasit', 'argentina']</t>
  </si>
  <si>
    <t>@arvaen_ ya itu namanya settingan keputusan wasit selalu nguntungin argentina ,gua g pernah bilang menang penalti salah, belanda sama peracis bukti itu. nyamain kedudukan sampe adu penalti.yang gua bilang udah di bantu wasit g bisa pertahankan kedudukan.</t>
  </si>
  <si>
    <t>itu namanya settingan keputusan wasit selalu nguntungin argentina gua pernah bilang menang penalti salah belanda sama peracis bukti itu nyamain kedudukan sampe adu penalti yang gua bilang udah bantu wasit bisa pertahankan kedudukan</t>
  </si>
  <si>
    <t>['namanya', 'settingan', 'keputusan', 'wasit', 'selalu', 'nguntungin', 'argentina', 'gua', 'pernah', 'menang', 'penalti', 'salah', 'belanda', 'sama', 'peracis', 'bukti', 'nyamain', 'kedudukan', 'sampai', 'adu', 'penalti', 'gua', 'udah', 'bantu', 'wasit', 'pertahankan', 'kedudukan']</t>
  </si>
  <si>
    <t>@arvaen_ 5 kali penalti kurang nguntungin apa? , ya lawan arab kalo arab ngegoalin 2 kali dari penalti baru dah jg baru g setingan. lg jg pas argentina offside 3 kali posisinya jg dalem posisi unggul. intinyakan argentina udah di bantu wasit g bisa manfaa</t>
  </si>
  <si>
    <t>kali penalti kurang nguntungin apa lawan arab kalo arab ngegoalin kali dari penalti baru dah baru setingan pas argentina offside kali posisinya dalem posisi unggul intinyakan argentina udah bantu wasit bisa manfaa</t>
  </si>
  <si>
    <t>['kali', 'penalti', 'kurang', 'nguntungin', 'apa', 'lawan', 'arab', 'arab', 'ngegoalin', 'kali', 'penalti', 'baru', 'dah', 'baru', 'settingan', 'pas', 'argentina', 'offside', 'kali', 'posisinya', 'dalem', 'posisi', 'unggul', 'intinyakan', 'argentina', 'udah', 'bantu', 'wasit', 'manfaa']</t>
  </si>
  <si>
    <t>@CoachJustinL Final yang mengganjal 1. Di Maria diving wasit ga cek VAR 2. Pemain Prancis kaga protes saat Di Maria diving 3. Prancis kaya males gitu mainnya 4. Pilar Prancis seperti Giroud dan Dembele di ganti 5. Tiap match Argentina dapet voucher penalt</t>
  </si>
  <si>
    <t>final yang mengganjal maria diving wasit cek var pemain prancis kaga protes saat maria diving prancis kaya males gitu mainnya pilar prancis seperti giroud dan dembele ganti tiap match argentina dapet voucher penalt</t>
  </si>
  <si>
    <t>['final', 'mengganjal', 'maria', 'diving', 'wasit', 'cek', 'var', 'pemain', 'prancis', 'kaga', 'protes', 'maria', 'diving', 'prancis', 'kaya', 'males', 'gitu', 'mainnya', 'pilar', 'prancis', 'giroud', 'dembele', 'ganti', 'tiap', 'match', 'argentina', 'dapat', 'voucher', 'penalt']</t>
  </si>
  <si>
    <t>Argentina vs Prancis  Pertandingan terbaik sepanjang sejarah sepakbola modern.   Messi vs Mbappe menggila Wasit bagus Atmosfer duaar</t>
  </si>
  <si>
    <t>argentina prancis pertandingan terbaik sepanjang sejarah sepakbola modern messi mbappe menggila wasit bagus atmosfer duaar</t>
  </si>
  <si>
    <t>['argentina', 'prancis', 'pertandingan', 'terbaik', 'sepanjang', 'sejarah', 'sepakbola', 'modern', 'messi', 'mbappe', 'menggila', 'wasit', 'bagus', 'atmosfer', 'duaar']</t>
  </si>
  <si>
    <t>Sudah keluar video sejarah ini, tanpa cek VAR Argentina langsung dikasi pinalty sama wasit.   Para pendukung Argentina jangan terlalu bahagia ya, keputusan wasit ini mesti kalian pahami bahwa keputusan itu yg membuat Argentina menang. No debat!  https://t.co/U04csDo9e8</t>
  </si>
  <si>
    <t>sudah keluar video sejarah ini tanpa cek var argentina langsung dikasi pinalty sama wasit para pendukung argentina jangan terlalu bahagia keputusan wasit ini mesti kalian pahami bahwa keputusan itu membuat argentina menang debat</t>
  </si>
  <si>
    <t>['keluar', 'video', 'sejarah', 'cek', 'var', 'argentina', 'langsung', 'dikasi', 'pinalty', 'sama', 'wasit', 'pendukung', 'argentina', 'jangan', 'terlalu', 'bahagia', 'keputusan', 'wasit', 'mesti', 'kalian', 'pahami', 'keputusan', 'membuat', 'argentina', 'menang', 'debat']</t>
  </si>
  <si>
    <t>Prancis di gendong mbappe  Argentina di gendong wasit FIFA</t>
  </si>
  <si>
    <t>prancis gendong mbappe argentina gendong wasit fifa</t>
  </si>
  <si>
    <t>['prancis', 'gendong', 'mbappe', 'argentina', 'gendong', 'wasit', 'fifa']</t>
  </si>
  <si>
    <t>tapi kemenangan ini memuaskan bgt sih wkwkw ga akan ada yg berani bilang argentina di bantu wasit atau fifa lagi HAHAHA</t>
  </si>
  <si>
    <t>tapi kemenangan ini memuaskan bgt sih wkwkw akan ada berani bilang argentina bantu wasit atau fifa lagi hahaha</t>
  </si>
  <si>
    <t>['kemenangan', 'memuaskan', 'banget', 'wkwkw', 'berani', 'argentina', 'bantu', 'wasit', 'fifa', 'hahaha']</t>
  </si>
  <si>
    <t>@macanbinmaunggg @dickykcivv @idextratime lu gak liat wasit nya ngebela argentina dari pinalti ke 1 aja udah jelas di setting ini mah</t>
  </si>
  <si>
    <t>gak liat wasit nya ngebela argentina dari pinalti aja udah jelas setting ini mah</t>
  </si>
  <si>
    <t>['lihat', 'wasit', 'ngebela', 'argentina', 'penalti', 'udah', 'jelas', 'setting', 'mah']</t>
  </si>
  <si>
    <t>@JCLov3Us @Argentina Kalau menurut saya, drama penuh ketegangan dimulai sejak France berhasil menyamakan kedudukan menjadi 2-2. Sejak itu sampai adu penalti, penuh dengan drama. Pemain Perancis bahkan sengaja diving untuk "mencuri" penalti sehingga diganj</t>
  </si>
  <si>
    <t>kalau menurut saya drama penuh ketegangan dimulai sejak france berhasil menyamakan kedudukan menjadi sejak itu sampai adu penalti penuh dengan drama pemain perancis bahkan sengaja diving untuk mencuri penalti sehingga diganj</t>
  </si>
  <si>
    <t>['kalau', 'drama', 'penuh', 'ketegangan', 'dimulai', 'sejak', 'france', 'berhasil', 'menyamakan', 'kedudukan', 'menjadi', 'sejak', 'adu', 'penalti', 'penuh', 'drama', 'pemain', 'perancis', 'bahkan', 'sengaja', 'diving', 'mencuri', 'penalti', 'diganj']</t>
  </si>
  <si>
    <t>Kalo ketemu pendukung prancis saat ini dong akan bilang : -yang penting mbape 3 gol -yang penting su kasih yg terbaik -semua fifa su ator -wasit babela -argentina harap pinalti</t>
  </si>
  <si>
    <t>kalo ketemu pendukung prancis saat ini dong akan bilang yang penting mbape gol yang penting kasih terbaik semua fifa ator wasit babela argentina harap pinalti</t>
  </si>
  <si>
    <t>['ketemu', 'pendukung', 'prancis', 'dong', 'penting', 'mbape', 'gol', 'penting', 'kasih', 'terbaik', 'semua', 'fifa', 'ator', 'wasit', 'babela', 'argentina', 'harap', 'penalti']</t>
  </si>
  <si>
    <t>Fans Prancisüá´üá∑ be like:  - Kasihan Messi udah tua - Pildun Terkahir untuk Messi - Cuman kalah pinalti - Ga papa yang penting masuk final - Udah juara tahun sebelumnya - Wasit ga adil - Janji ga lihat VAR - Ngalah aja agar Argentina juara    ü§≠ü§≠ü§≠</t>
  </si>
  <si>
    <t>fans prancis like kasihan messi udah tua pildun terkahir untuk messi cuman kalah pinalti papa yang penting masuk final udah juara tahun sebelumnya wasit adil janji lihat var ngalah aja agar argentina juara</t>
  </si>
  <si>
    <t>['fans', 'prancis', 'like', 'kasihan', 'messi', 'udah', 'tua', 'piala dunia', 'terkahir', 'messi', 'cuman', 'kalah', 'penalti', 'papa', 'penting', 'masuk', 'final', 'udah', 'juara', 'tahun', 'sebelumnya', 'wasit', 'adil', 'janji', 'lihat', 'var', 'ngalah', 'argentina', 'juara']</t>
  </si>
  <si>
    <t>"Selamat anak-anakku Argentina, telah berhasil Juara di Piala Dunia 2022. Saya akan tambahi bonus dari kantong pribadi." postingan ketum AFA.  https://t.co/pVvrCCLHjK</t>
  </si>
  <si>
    <t>selamat anak anakku argentina telah berhasil juara piala dunia saya akan tambahi bonus dari kantong pribadi postingan ketum afa</t>
  </si>
  <si>
    <t>['selamat', 'anak', 'anakku', 'argentina', 'berhasil', 'juara', 'piala', 'dunia', 'tambahi', 'bonus', 'kantong', 'pribadi', 'postingan', 'ketum', 'afa']</t>
  </si>
  <si>
    <t>SILAHKAN MENGHIBUR DIRI  A. JUARA SETTING-AN B. DIBANTU WASIT C. PENALTI TERBANYAK SEPANJANG SEJARAH WORLD CUP  BEBAS.....  SEJARAH TETAP MENULIS ARGENTINA &amp;amp; LIONEL MESSI JUARA DUNIA 2022  SELAMAT MENGHIBUR DIRI!!!!!!</t>
  </si>
  <si>
    <t>silahkan menghibur diri juara setting dibantu wasit penalti terbanyak sepanjang sejarah world cup bebas sejarah tetap menulis argentina lionel messi juara dunia selamat menghibur diri</t>
  </si>
  <si>
    <t>['silahkan', 'menghibur', 'diri', 'juara', 'setting', 'dibantu', 'wasit', 'penalti', 'terbanyak', 'sepanjang', 'sejarah', 'world', 'cup', 'bebas', 'sejarah', 'tetap', 'menulis', 'argentina', 'lionel', 'messi', 'juara', 'dunia', 'selamat', 'menghibur', 'diri']</t>
  </si>
  <si>
    <t>Dah ya argentina, ngana cuma gol 1 aja. 2x hasil kegoblokan wasit</t>
  </si>
  <si>
    <t>dah argentina ngana cuma gol aja hasil kegoblokan wasit</t>
  </si>
  <si>
    <t>['dah', 'argentina', 'ngana', 'cuma', 'gol', 'hasil', 'kegoblokan', 'wasit']</t>
  </si>
  <si>
    <t>Wasit dari Polandia  Argentina kalah dari Polandia  Polandia kalah dari Prancis  dendam nasionalisme?  ü§îü§∑‚Äç‚ôÇÔ∏èü§∑‚Äç‚ôÇÔ∏èü§∑‚Äç‚ôÇÔ∏è</t>
  </si>
  <si>
    <t>wasit dari polandia argentina kalah dari polandia polandia kalah dari prancis dendam nasionalisme</t>
  </si>
  <si>
    <t>['wasit', 'polandia', 'argentina', 'kalah', 'polandia', 'polandia', 'kalah', 'prancis', 'dendam', 'nasionalisme']</t>
  </si>
  <si>
    <t>@Johnnz_ @idextratime Kalau Argentina bayar wasit, kenapa Prancis dpt dua kali penaltiüòÇü§≠</t>
  </si>
  <si>
    <t>kalau argentina bayar wasit kenapa prancis dpt dua kali penalti</t>
  </si>
  <si>
    <t>['kalau', 'argentina', 'bayar', 'wasit', 'prancis', 'dpt', 'kali', 'penalti']</t>
  </si>
  <si>
    <t>Daftar kalimat untuk para pembenci argentina Juara setitingan Gosok voucher Dibantu wasit Messi anak emas fifa Main dukun Kalah angin üòÇüòÇüòÇ</t>
  </si>
  <si>
    <t>daftar kalimat untuk para pembenci argentina juara setitingan gosok voucher dibantu wasit messi anak emas fifa main dukun kalah angin</t>
  </si>
  <si>
    <t>['daftar', 'kalimat', 'pembenci', 'argentina', 'juara', 'setitingan', 'gosok', 'voucher', 'dibantu', 'wasit', 'messi', 'anak', 'emas', 'fifa', 'main', 'dukun', 'kalah', 'angin']</t>
  </si>
  <si>
    <t>@IDGoonerscom Banyak fans Messi di Qatar Atau bahkan, Qatar-nya yg memang fans Messi  Karpet emas utk Messi menutup karirnya kudu terlaksanalah..  Wasit ngawal Qatar dukung Tim Argentina kasar Tim Prancis naas  Coman buat Messi jadi Complete GOAT aj..  Su</t>
  </si>
  <si>
    <t>banyak fans messi qatar atau bahkan qatar nya memang fans messi karpet emas utk messi menutup karirnya kudu terlaksanalah wasit ngawal qatar dukung tim argentina kasar tim prancis naas coman buat messi jadi complete goat</t>
  </si>
  <si>
    <t>['banyak', 'fans', 'messi', 'qatar', 'bahkan', 'qatar', 'memang', 'fans', 'messi', 'karpet', 'emas', 'messi', 'menutup', 'karirnya', 'kudu', 'terlaksanalah', 'wasit', 'ngawal', 'qatar', 'dukung', 'tim', 'argentina', 'kasar', 'tim', 'prancis', 'naas', 'coman', 'buat', 'messi', 'jadi', 'complete', 'goat']</t>
  </si>
  <si>
    <t>seenggaknya kemenangan Argentina penuh perjuangan ngga dikasih cuma-cuma sama wasit wkwkwk congrats</t>
  </si>
  <si>
    <t>seenggaknya kemenangan argentina penuh perjuangan ngga dikasih cuma cuma sama wasit wkwkwk congrats</t>
  </si>
  <si>
    <t>['seenggaknya', 'kemenangan', 'argentina', 'penuh', 'perjuangan', 'ngga', 'dikasih', 'cuma', 'cuma', 'sama', 'wasit', 'wkwkwk', 'congrats']</t>
  </si>
  <si>
    <t>Selamat buat Argentina yang juara #FIFAWorldCup #Qatar2022  https://t.co/VN93fe09mM</t>
  </si>
  <si>
    <t>selamat buat argentina yang juara</t>
  </si>
  <si>
    <t>['selamat', 'buat', 'argentina', 'juara']</t>
  </si>
  <si>
    <t>Ngga dikasih penalti keputusan wasit bakal disoal. Menangnya ga enak. Dikasih ya sbnrnya krg layak. Dah bener Argentina yg menang adu penalti</t>
  </si>
  <si>
    <t>ngga dikasih penalti keputusan wasit bakal disoal menangnya enak dikasih sbnrnya krg layak dah bener argentina menang adu penalti</t>
  </si>
  <si>
    <t>['ngga', 'dikasih', 'penalti', 'keputusan', 'wasit', 'bakal', 'disoal', 'menangnya', 'enak', 'dikasih', 'sebenarnya', 'krg', 'layak', 'dah', 'benar', 'argentina', 'menang', 'adu', 'penalti']</t>
  </si>
  <si>
    <t>Ada yang aneh dari wasit Argentina VS France ? ü§Ø</t>
  </si>
  <si>
    <t>ada yang aneh dari wasit argentina france</t>
  </si>
  <si>
    <t>['aneh', 'wasit', 'argentina', 'france']</t>
  </si>
  <si>
    <t>@idextratime lautaro busuk, tp penentu kemenangan pas Belanda. Montreal yg eksekusi terakhir Argentina final penebus dosa sikutnya yg jd pinalti France tadi.  skenario terbaik, kebayang 2-0 bertahan. Messi dikira diuntungkan pinalti. Dan wasit final ini s</t>
  </si>
  <si>
    <t>lautaro busuk penentu kemenangan pas belanda montreal eksekusi terakhir argentina final penebus dosa sikutnya pinalti france tadi skenario terbaik kebayang bertahan messi dikira diuntungkan pinalti dan wasit final ini</t>
  </si>
  <si>
    <t>['lautaro', 'busuk', 'penentu', 'kemenangan', 'pas', 'belanda', 'montreal', 'eksekusi', 'terakhir', 'argentina', 'final', 'penebus', 'dosa', 'sikutnya', 'penalti', 'france', 'tadi', 'skenario', 'terbaik', 'kebayang', 'bertahan', 'messi', 'dikira', 'diuntungkan', 'penalti', 'wasit', 'final']</t>
  </si>
  <si>
    <t>Final terbaik ini world cup 22, kalo ga gosok voucher dari wasit itu argentina</t>
  </si>
  <si>
    <t>final terbaik ini world cup kalo gosok voucher dari wasit itu argentina</t>
  </si>
  <si>
    <t>['final', 'terbaik', 'world', 'cup', 'gosok', 'voucher', 'wasit', 'argentina']</t>
  </si>
  <si>
    <t>120 menit yg paling gila..!!! Wasit Kalegha..!!  Selamat Buat Rakyat Argentina..!! Selamat Di Maria &amp;amp; Paredes..!!  *ang hebat Messi..!! #ArgentinaFrancia #ArgentinaVsFrance #MessiìÉµ #WorldCupFinal</t>
  </si>
  <si>
    <t>menit paling gila wasit kalegha selamat buat rakyat argentina selamat maria paredes ang hebat messi</t>
  </si>
  <si>
    <t>['menit', 'paling', 'gila', 'wasit', 'kalegha', 'selamat', 'buat', 'rakyat', 'argentina', 'selamat', 'maria', 'paredes', 'ang', 'hebat', 'messi']</t>
  </si>
  <si>
    <t>Yg ngata¬≤in Argentina tim yg diuntungin wasit skrg malah prancis dpt penalty 2x aowkwkwk</t>
  </si>
  <si>
    <t>ngata argentina tim diuntungin wasit skrg malah prancis dpt penalty aowkwkwk</t>
  </si>
  <si>
    <t>['ngata', 'argentina', 'tim', 'diuntungin', 'wasit', 'skrg', 'malah', 'prancis', 'dpt', 'penalty', 'aowkwkwk']</t>
  </si>
  <si>
    <t>Prancis kalah, mampus!! Kmaren dibelain sm wasit melawan Maroko, doa org yg terdzolimi terlabul, alhamdulillah Argentina menang, congrats Argentina, wasit hari ini adil hingga penalti #FIFAWorldCup</t>
  </si>
  <si>
    <t>prancis kalah mampus kmaren dibelain wasit melawan maroko doa org terdzolimi terlabul alhamdulillah argentina menang congrats argentina wasit hari ini adil hingga penalti</t>
  </si>
  <si>
    <t>['prancis', 'kalah', 'mampus', 'kmaren', 'dibelain', 'wasit', 'melawan', 'maroko', 'doa', 'org', 'terdzolimi', 'terlabul', 'alhamdulillah', 'argentina', 'menang', 'congrats', 'argentina', 'wasit', 'hari', 'adil', 'hingga', 'penalti']</t>
  </si>
  <si>
    <t>Alhamdulillah Argentina menang!! Gw puaass!! Pgn lihat presidennya Prancis mewek!! Gw sbg fans Maroko msh nyesek prancis kmaren menang dibelain wasit tai, congrats Argentina, wasit yg ini adil üëèüëèüëè</t>
  </si>
  <si>
    <t>alhamdulillah argentina menang puaass pgn lihat presidennya prancis mewek sbg fans maroko msh nyesek prancis kmaren menang dibelain wasit tai congrats argentina wasit ini adil</t>
  </si>
  <si>
    <t>['alhamdulillah', 'argentina', 'menang', 'puaass', 'ingin', 'lihat', 'presidennya', 'prancis', 'mewek', 'sbg', 'fans', 'maroko', 'msh', 'nyesek', 'prancis', 'kmaren', 'menang', 'dibelain', 'wasit', 'tai', 'congrats', 'argentina', 'wasit', 'adil']</t>
  </si>
  <si>
    <t>@rubyjendugi @idextratime Argentina + wasit</t>
  </si>
  <si>
    <t>argentina wasit</t>
  </si>
  <si>
    <t>['argentina', 'wasit']</t>
  </si>
  <si>
    <t>Wasit sama france masih fairplay Argentina berkali-kali mencoba spending time dan juga beberapa kali pake kekerasan</t>
  </si>
  <si>
    <t>wasit sama france masih fairplay argentina berkali kali mencoba spending time dan juga beberapa kali pake kekerasan</t>
  </si>
  <si>
    <t>['wasit', 'sama', 'france', 'fairplay', 'argentina', 'berkali', 'kali', 'mencoba', 'spending', 'time', 'beberapa', 'kali', 'pake', 'kekerasan']</t>
  </si>
  <si>
    <t>@ChrisBayuDewa Saya kan orang kelurahan Qatar pak , kl cepet beres gak cuan. Menang ini Argentina pak Pinalty . Mbappe nendang bolanya wasit pak</t>
  </si>
  <si>
    <t>saya kan orang kelurahan qatar pak cepet beres gak cuan menang ini argentina pak pinalty mbappe nendang bolanya wasit pak</t>
  </si>
  <si>
    <t>['kan', 'orang', 'kelurahan', 'qatar', 'pak', 'cepet', 'beres', 'cuan', 'menang', 'argentina', 'pak', 'pinalty', 'mbappe', 'nendang', 'bolanya', 'wasit', 'pak']</t>
  </si>
  <si>
    <t>@idextratime Messi kalau gak dibantu wasit penalti pertama sudah habis argentina wkwkwi</t>
  </si>
  <si>
    <t>messi kalau gak dibantu wasit penalti pertama sudah habis argentina wkwkwi</t>
  </si>
  <si>
    <t>['messi', 'kalau', 'dibantu', 'wasit', 'penalti', 'pertama', 'habis', 'argentina', 'wkwkwi']</t>
  </si>
  <si>
    <t>@azwar__19 Wasit e seko argentina kok</t>
  </si>
  <si>
    <t>wasit seko argentina kok</t>
  </si>
  <si>
    <t>['wasit', 'seko', 'argentina', 'kok']</t>
  </si>
  <si>
    <t>Drake daripada buat taruhan mending sogok wasit #FIFAWorldCup #Argentina</t>
  </si>
  <si>
    <t>drake daripada buat taruhan mending sogok wasit</t>
  </si>
  <si>
    <t>['drake', 'buat', 'taruhan', 'mending', 'sogok', 'wasit']</t>
  </si>
  <si>
    <t>dua kata lucu dari fans argentina : WASIT TAEK üòÇüòÇüòÇ</t>
  </si>
  <si>
    <t>dua kata lucu dari fans argentina wasit taek</t>
  </si>
  <si>
    <t>['kata', 'lucu', 'fans', 'argentina', 'wasit', 'taek']</t>
  </si>
  <si>
    <t>Bapak gue dukung argentina: dari tadi marah2 wasit nya ini itu dan tangan nya parkinson hebat sekarang saking stress nya nonton bola.  Gue dukung perancis : makan indomie goreng dengan santai. Kalah ya udah, menang yah udah. GG aja</t>
  </si>
  <si>
    <t>bapak gue dukung argentina dari tadi marah wasit nya ini itu dan tangan nya parkinson hebat sekarang saking stress nya nonton bola gue dukung perancis makan indomie goreng dengan santai kalah udah menang yah udah aja</t>
  </si>
  <si>
    <t>['bapak', 'gue', 'dukung', 'argentina', 'tadi', 'marah', 'wasit', 'tangan', 'parkinson', 'hebat', 'sekarang', 'saking', 'stress', 'nonton', 'bola', 'gue', 'dukung', 'perancis', 'makan', 'indomie', 'goreng', 'santai', 'kalah', 'udah', 'menang', 'udah']</t>
  </si>
  <si>
    <t>@icaldis Lebih kacau dari wasit Argentina v Belanda.</t>
  </si>
  <si>
    <t>lebih kacau dari wasit argentina belanda</t>
  </si>
  <si>
    <t>['lebih', 'kacau', 'wasit', 'argentina', 'belanda']</t>
  </si>
  <si>
    <t>LIAT AJA TU WASIT ANJ. BERAT BGT NGASIH KARTU KUNING KE ARGENTINA</t>
  </si>
  <si>
    <t>liat aja wasit anj berat bgt ngasih kartu kuning argentina</t>
  </si>
  <si>
    <t>['lihat', 'wasit', 'anj', 'berat', 'banget', 'ngasih', 'kartu', 'kuning', 'argentina']</t>
  </si>
  <si>
    <t>Congrats argentina + wasit</t>
  </si>
  <si>
    <t>congrats argentina wasit</t>
  </si>
  <si>
    <t>['congrats', 'argentina', 'wasit']</t>
  </si>
  <si>
    <t>Jam wasit bergetar. Goal ga nih Argentina?</t>
  </si>
  <si>
    <t>jam wasit bergetar goal nih argentina</t>
  </si>
  <si>
    <t>['jam', 'wasit', 'bergetar', 'goal', 'argentina']</t>
  </si>
  <si>
    <t>GOLLLLL ARGENTINA</t>
  </si>
  <si>
    <t>golllll argentina</t>
  </si>
  <si>
    <t>['golllll', 'argentina']</t>
  </si>
  <si>
    <t>@idextratime Udh d bantu wasit pula argentina masih aja pea wkwkwkw</t>
  </si>
  <si>
    <t>udh bantu wasit pula argentina masih aja pea wkwkwkw</t>
  </si>
  <si>
    <t>['sudah', 'bantu', 'wasit', 'argentina', 'pea', 'wkwkwkw']</t>
  </si>
  <si>
    <t>@rickyfibonacci Bisa aja, wasit mutusin ga liat var wkwkwkwk. Mau gol prancis atau argentina pokoknya harus kontroversial biar rame berantem pasca finalnya di sosmed HAHAHAHAHAHAAH</t>
  </si>
  <si>
    <t>bisa aja wasit mutusin liat var wkwkwkwk mau gol prancis atau argentina pokoknya harus kontroversial biar rame berantem pasca finalnya sosmed hahahahahahaah</t>
  </si>
  <si>
    <t>['wasit', 'mutusin', 'lihat', 'var', 'wkwkwkwk', 'mau', 'gol', 'prancis', 'argentina', 'pokoknya', 'kontroversial', 'ramai', 'berantem', 'pasca', 'finalnya', 'sosmed', 'hahahahahahaah']</t>
  </si>
  <si>
    <t>walau gue pegang argentina, jujur sebel juga daritadi ngeliat wasit lebih berat ke argentina :(</t>
  </si>
  <si>
    <t>walau gue pegang argentina jujur sebel juga daritadi ngeliat wasit lebih berat argentina</t>
  </si>
  <si>
    <t>['gue', 'pegang', 'argentina', 'jujur', 'sebel', 'daritadi', 'ngeliat', 'wasit', 'lebih', 'berat', 'argentina']</t>
  </si>
  <si>
    <t>@faris11jr @riyan_____ @idextratime Argentina inflasi gara¬≤ bayar wasit ü§£</t>
  </si>
  <si>
    <t>argentina inflasi gara bayar wasit</t>
  </si>
  <si>
    <t>['argentina', 'inflasi', 'gara', 'bayar', 'wasit']</t>
  </si>
  <si>
    <t>wasit berat di argentina nih bener kata evra</t>
  </si>
  <si>
    <t>wasit berat argentina nih bener kata evra</t>
  </si>
  <si>
    <t>['wasit', 'berat', 'argentina', 'benar', 'kata', 'evra']</t>
  </si>
  <si>
    <t>Saya merasa wasit ini bela Argentina deh</t>
  </si>
  <si>
    <t>saya merasa wasit ini bela argentina deh</t>
  </si>
  <si>
    <t>['merasa', 'wasit', 'bela', 'argentina', 'deh']</t>
  </si>
  <si>
    <t>Mafia wasit njago Argentina , iwak chana njago Prancis  Imbang ae wes, dadi juara bersama</t>
  </si>
  <si>
    <t>mafia wasit njago argentina iwak chana njago prancis imbang wes dadi juara bersama</t>
  </si>
  <si>
    <t>['mafia', 'wasit', 'njago', 'argentina', 'iwak', 'chana', 'njago', 'prancis', 'imbang', 'wes', 'dadi', 'juara', 'bersama']</t>
  </si>
  <si>
    <t>Enak banget Argentina dikasih tuh wasit.</t>
  </si>
  <si>
    <t>enak banget argentina dikasih tuh wasit</t>
  </si>
  <si>
    <t>['enak', 'banget', 'argentina', 'dikasih', 'wasit']</t>
  </si>
  <si>
    <t>Benar saja, Argentina memimpin di babak pertama usai dihadiahi tendangan penalti oleh wasit. Lionel Messi yang menjadi eksekutor tak menyia-nyiakan kesempatan tersebut. Gol pertama Argentina tercipta di menit 23 dan mengubah papan skor menjadi 1-0.  https://t.co/eRQzw0IC70</t>
  </si>
  <si>
    <t>benar saja argentina memimpin babak pertama usai dihadiahi tendangan penalti oleh wasit lionel messi yang menjadi eksekutor tak menyia nyiakan kesempatan tersebut gol pertama argentina tercipta menit dan mengubah papan skor menjadi</t>
  </si>
  <si>
    <t>['benar', 'argentina', 'memimpin', 'babak', 'pertama', 'usai', 'dihadiahi', 'tendangan', 'penalti', 'wasit', 'lionel', 'messi', 'menjadi', 'eksekutor', 'tak', 'menyia', 'nyiakan', 'kesempatan', 'tersebut', 'gol', 'pertama', 'argentina', 'tercipta', 'menit', 'mengubah', 'papan', 'skor', 'menjadi']</t>
  </si>
  <si>
    <t>Nih yang bilang argentina bayar wasit sini sini tak tapuk e lambene</t>
  </si>
  <si>
    <t>nih yang bilang argentina bayar wasit sini sini tak tapuk lambene</t>
  </si>
  <si>
    <t>['argentina', 'bayar', 'wasit', 'sini', 'sini', 'tak', 'tapuk', 'lambene']</t>
  </si>
  <si>
    <t>Yellow card woy wasit anj pemain Argentina dikasi enteng mulu lu sit</t>
  </si>
  <si>
    <t>yellow card woy wasit anj pemain argentina dikasi enteng mulu sit</t>
  </si>
  <si>
    <t>['yellow', 'card', 'woy', 'wasit', 'anj', 'pemain', 'argentina', 'dikasi', 'enteng', 'mulu', 'sit']</t>
  </si>
  <si>
    <t>Pertandingan piala dunia Argentina vs Francis Memasuki babak tambahan 2√ó15menit, wasit mengganti baju biru putih  ..  #ArgentinaVsFrance  #FIFAWorldCup  #PialaDuniaQatar2022</t>
  </si>
  <si>
    <t>pertandingan piala dunia argentina francis memasuki babak tambahan menit wasit mengganti baju biru putih</t>
  </si>
  <si>
    <t>['pertandingan', 'piala', 'dunia', 'argentina', 'francis', 'memasuki', 'babak', 'tambahan', 'menit', 'wasit', 'mengganti', 'baju', 'biru', 'putih']</t>
  </si>
  <si>
    <t>Gilakkk, fifa dan wasit udah berpihak ke argentina tapi prancis masih kasih perlawanan juga. Boleh tahan lah</t>
  </si>
  <si>
    <t>gilakkk fifa dan wasit udah berpihak argentina tapi prancis masih kasih perlawanan juga boleh tahan lah</t>
  </si>
  <si>
    <t>['gilakkk', 'fifa', 'wasit', 'udah', 'berpihak', 'argentina', 'prancis', 'kasih', 'perlawanan', 'tahan', 'lah']</t>
  </si>
  <si>
    <t>@riyan_____ @idextratime Wasit nya di bon argentina bg</t>
  </si>
  <si>
    <t>wasit nya bon argentina</t>
  </si>
  <si>
    <t>['wasit', 'bon', 'argentina']</t>
  </si>
  <si>
    <t>Wasit: ‚ÄúJangan sentuh sedikit pun pemain Argentina yang ku sayang. Kalo nggak, aku kartuin kamu!! Kalo pemain Perancis kamu injek lehernya pun, gapapa.. gak ku kasih kartu. Paling tendangan bebas aja.‚Äù</t>
  </si>
  <si>
    <t>wasit jangan sentuh sedikit pun pemain argentina yang sayang kalo nggak aku kartuin kamu kalo pemain perancis kamu injek lehernya pun gapapa gak kasih kartu paling tendangan bebas aja</t>
  </si>
  <si>
    <t>['wasit', 'jangan', 'sentuh', 'sedikit', 'pemain', 'argentina', 'sayang', 'aku', 'kartuin', 'kamu', 'pemain', 'perancis', 'kamu', 'injek', 'lehernya', 'gapapa', 'kasih', 'kartu', 'paling', 'tendangan', 'bebas']</t>
  </si>
  <si>
    <t>Wasit oh wasit Ngak Argentina ngak makannnn.</t>
  </si>
  <si>
    <t>wasit wasit ngak argentina ngak makannnn</t>
  </si>
  <si>
    <t>['wasit', 'wasit', 'ngak', 'argentina', 'ngak', 'makannnn']</t>
  </si>
  <si>
    <t>aku netral padahal, tp lek delok wasit e kok mihak argentina</t>
  </si>
  <si>
    <t>aku netral padahal lek delok wasit kok mihak argentina</t>
  </si>
  <si>
    <t>['aku', 'netral', 'padahal', 'lek', 'delok', 'wasit', 'kok', 'mihak', 'argentina']</t>
  </si>
  <si>
    <t>Argentina+Fifa+Var+Wasit      VS  France     2 - 2</t>
  </si>
  <si>
    <t>argentina fifa var wasit france</t>
  </si>
  <si>
    <t>['argentina', 'fifa', 'var', 'wasit', 'france']</t>
  </si>
  <si>
    <t>Wasit netral banget, sampe netralnya tiap argentina ngelakuin foul ga perlu cek VAR</t>
  </si>
  <si>
    <t>wasit netral banget sampe netralnya tiap argentina ngelakuin foul perlu cek var</t>
  </si>
  <si>
    <t>['wasit', 'netral', 'banget', 'sampai', 'netralnya', 'tiap', 'argentina', 'ngelakuin', 'foul', 'perlu', 'cek', 'var']</t>
  </si>
  <si>
    <t>ARGENTINA UDH MAIN SAMA WASIT TETEP AJE SERI</t>
  </si>
  <si>
    <t>argentina udh main sama wasit tetep aje seri</t>
  </si>
  <si>
    <t>['argentina', 'sudah', 'main', 'sama', 'wasit', 'tetep', 'aje', 'seri']</t>
  </si>
  <si>
    <t>@MadridKaskus Iya klo pemain argentina yg dilanggar dikotak penalti kaya coman tdi wasit dah niup peluit pasti tuh wkwk</t>
  </si>
  <si>
    <t>iya klo pemain argentina dilanggar dikotak penalti kaya coman tdi wasit dah niup peluit pasti tuh wkwk</t>
  </si>
  <si>
    <t>['iya', 'pemain', 'argentina', 'dilanggar', 'dikotak', 'penalti', 'kaya', 'coman', 'tdi', 'wasit', 'dah', 'niup', 'peluit']</t>
  </si>
  <si>
    <t>Wasit : Maaf pinalti cuma berlaku untuk Argentina</t>
  </si>
  <si>
    <t>wasit maaf pinalti cuma berlaku untuk argentina</t>
  </si>
  <si>
    <t>['wasit', 'maaf', 'penalti', 'cuma', 'berlaku', 'argentina']</t>
  </si>
  <si>
    <t>Seruuu seruuu  Wasit ny cocok banget buat partai final . Semoga ARGENTINA JUARA üá¶üá∑üá¶üá∑üá¶üá∑</t>
  </si>
  <si>
    <t>seruuu seruuu wasit cocok banget buat partai final semoga argentina juara</t>
  </si>
  <si>
    <t>['seruuu', 'seruuu', 'wasit', 'cocok', 'banget', 'buat', 'partai', 'final', 'semoga', 'argentina', 'juara']</t>
  </si>
  <si>
    <t>@coffebit Wasit nya dari pemda argentina</t>
  </si>
  <si>
    <t>wasit nya dari pemda argentina</t>
  </si>
  <si>
    <t>['wasit', 'pemda', 'argentina']</t>
  </si>
  <si>
    <t>90 menit wis diewangi wasit sak FIFA ne isih gak iso menang naa argentina wkwkwkwkwkwk</t>
  </si>
  <si>
    <t>menit wis diewangi wasit sak fifa isih gak iso menang naa argentina wkwkwkwkwkwk</t>
  </si>
  <si>
    <t>['menit', 'wis', 'diewangi', 'wasit', 'sak', 'fifa', 'isih', 'iso', 'menang', 'naa', 'argentina', 'wkwkwkwkwkwk']</t>
  </si>
  <si>
    <t>Argentina mah, ditolong wasit mulu. #ArgentinaVsFrance</t>
  </si>
  <si>
    <t>argentina mah ditolong wasit mulu</t>
  </si>
  <si>
    <t>['argentina', 'mah', 'ditolong', 'wasit', 'mulu']</t>
  </si>
  <si>
    <t>Hahaha gini bener biar Argentina juara, Sampek bayar wasit</t>
  </si>
  <si>
    <t>hahaha gini bener biar argentina juara sampek bayar wasit</t>
  </si>
  <si>
    <t>['hahaha', 'gini', 'benar', 'argentina', 'juara', 'sampek', 'bayar', 'wasit']</t>
  </si>
  <si>
    <t>Kocak sih kalo argentina kalah, udah dibantu wasit + dapet voucher padahal wkwk</t>
  </si>
  <si>
    <t>kocak sih kalo argentina kalah udah dibantu wasit dapet voucher padahal wkwk</t>
  </si>
  <si>
    <t>['kocak', 'argentina', 'kalah', 'udah', 'dibantu', 'wasit', 'dapat', 'voucher', 'padahal']</t>
  </si>
  <si>
    <t>Agak-agak tapi nih wasit ya ke argentina</t>
  </si>
  <si>
    <t>agak agak tapi nih wasit argentina</t>
  </si>
  <si>
    <t>['wasit', 'argentina']</t>
  </si>
  <si>
    <t>Maaf saya rasa ini bukan Argentina Vs Prancis, tp Wasit vs Prancis ü§£ü§£</t>
  </si>
  <si>
    <t>maaf saya rasa ini bukan argentina prancis wasit prancis</t>
  </si>
  <si>
    <t>['maaf', 'rasa', 'bukan', 'argentina', 'prancis', 'wasit', 'prancis']</t>
  </si>
  <si>
    <t>Lol wasit jelek banget berat ke argentina</t>
  </si>
  <si>
    <t>lol wasit jelek banget berat argentina</t>
  </si>
  <si>
    <t>['laugh out loud', 'wasit', 'jelek', 'banget', 'berat', 'argentina']</t>
  </si>
  <si>
    <t>iki wasit e disogok argentina piro se ?</t>
  </si>
  <si>
    <t>iki wasit disogok argentina piro</t>
  </si>
  <si>
    <t>['iki', 'wasit', 'disogok', 'argentina', 'piro']</t>
  </si>
  <si>
    <t>@idextratime Wasit pengen argentina juara.  Botak ajg</t>
  </si>
  <si>
    <t>wasit pengen argentina juara botak ajg</t>
  </si>
  <si>
    <t>['wasit', 'pengen', 'argentina', 'juara', 'botak', 'ajg']</t>
  </si>
  <si>
    <t>Kayaknya wasit agak berat sebelah ke Argentina yak hmm</t>
  </si>
  <si>
    <t>kayaknya wasit agak berat sebelah argentina yak hmm</t>
  </si>
  <si>
    <t>['kayaknya', 'wasit', 'berat', 'sebelah', 'argentina', 'yak', 'hmm']</t>
  </si>
  <si>
    <t>Wasit man of the match Argentina</t>
  </si>
  <si>
    <t>wasit man the match argentina</t>
  </si>
  <si>
    <t>['wasit', 'man', 'the', 'match', 'argentina']</t>
  </si>
  <si>
    <t>wasit dari argentina wkwk</t>
  </si>
  <si>
    <t>Wasit piala dunia mihak argentina bangett</t>
  </si>
  <si>
    <t>wasit piala dunia mihak argentina bangett</t>
  </si>
  <si>
    <t>['wasit', 'piala', 'dunia', 'mihak', 'argentina', 'bangett']</t>
  </si>
  <si>
    <t>Fix sih wasit bayaran Argentina wkwkwk</t>
  </si>
  <si>
    <t>fix sih wasit bayaran argentina wkwkwk</t>
  </si>
  <si>
    <t>['fix', 'wasit', 'bayaran', 'argentina', 'wkwkwk']</t>
  </si>
  <si>
    <t>Ni wasit keknya ngebelain argentina bgt tai</t>
  </si>
  <si>
    <t>wasit keknya ngebelain argentina bgt tai</t>
  </si>
  <si>
    <t>['wasit', 'sepertinya', 'ngebelain', 'argentina', 'banget', 'tai']</t>
  </si>
  <si>
    <t>Ambilmi piala Argentina. Wasit üí©</t>
  </si>
  <si>
    <t>ambilmi piala argentina wasit</t>
  </si>
  <si>
    <t>['ambilmi', 'piala', 'argentina', 'wasit']</t>
  </si>
  <si>
    <t>@444yokai444 dari side wasit keliatan dia yang nabrakin kaki ke bek Argentina. padahal harusnya emang foul buat Prancis.</t>
  </si>
  <si>
    <t>dari side wasit keliatan dia yang nabrakin kaki bek argentina padahal harusnya emang foul buat prancis</t>
  </si>
  <si>
    <t>['side', 'wasit', 'keliatan', 'nabrakin', 'kaki', 'bek', 'argentina', 'padahal', 'harusnya', 'emang', 'foul', 'buat', 'prancis']</t>
  </si>
  <si>
    <t>Langsung kacaw Argentina wkwk</t>
  </si>
  <si>
    <t>langsung kacaw argentina wkwk</t>
  </si>
  <si>
    <t>['langsung', 'kacaw', 'argentina']</t>
  </si>
  <si>
    <t>nah siapa tuh yg tadi bilang wasit mihak argentina ü§£</t>
  </si>
  <si>
    <t>nah siapa tuh tadi bilang wasit mihak argentina</t>
  </si>
  <si>
    <t>['nah', 'siapa', 'tadi', 'wasit', 'mihak', 'argentina']</t>
  </si>
  <si>
    <t>@idextratime Ayo france, gulingkan wasit argentina wkwkwkw</t>
  </si>
  <si>
    <t>ayo france gulingkan wasit argentina wkwkwkw</t>
  </si>
  <si>
    <t>['ayo', 'france', 'gulingkan', 'wasit', 'argentina', 'wkwkwkw']</t>
  </si>
  <si>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</si>
  <si>
    <t>final yang mengganjal maria diving wasit cek var pemain prancis kaga protes saat maria diving prancis kaya males gitu mainnya pilar prancis seperti giroud dan dembele ganti tiap match argentina dapet voucher penalti ronaldo messi</t>
  </si>
  <si>
    <t>['final', 'mengganjal', 'maria', 'diving', 'wasit', 'cek', 'var', 'pemain', 'prancis', 'kaga', 'protes', 'maria', 'diving', 'prancis', 'kaya', 'males', 'gitu', 'mainnya', 'pilar', 'prancis', 'giroud', 'dembele', 'ganti', 'tiap', 'match', 'argentina', 'dapat', 'voucher', 'penalti', 'ronaldo', 'messi']</t>
  </si>
  <si>
    <t>Wasit membayar pinalty awal argentina, impass</t>
  </si>
  <si>
    <t>wasit membayar pinalty awal argentina impass</t>
  </si>
  <si>
    <t>['wasit', 'membayar', 'pinalty', 'awal', 'argentina', 'impass']</t>
  </si>
  <si>
    <t>@idextratime Ta tapi kan argentina dibantu wasitüò§</t>
  </si>
  <si>
    <t>tapi kan argentina dibantu wasit</t>
  </si>
  <si>
    <t>['kan', 'argentina', 'dibantu', 'wasit']</t>
  </si>
  <si>
    <t>@stfubtch666 @idextratime yg masih bilang settingn, galiat apa de paul tuh jatoh terus mana ada wasit niup pluitüò≠üò≠üò≠üò≠. Pokoknya malam ini argentina keren malam ini</t>
  </si>
  <si>
    <t>masih bilang settingn galiat apa paul tuh jatoh terus mana ada wasit niup pluit pokoknya malam ini argentina keren malam ini</t>
  </si>
  <si>
    <t>['settingn', 'galiat', 'apa', 'paul', 'jatoh', 'terus', 'mana', 'wasit', 'niup', 'pluit', 'pokoknya', 'malam', 'argentina', 'keren', 'malam']</t>
  </si>
  <si>
    <t>@FaktaSepakbola Piala argentina dimana wasit argentina berkeliaran disaat negaranya masih ada di fase gugur</t>
  </si>
  <si>
    <t>piala argentina dimana wasit argentina berkeliaran disaat negaranya masih ada fase gugur</t>
  </si>
  <si>
    <t>['piala', 'argentina', 'wasit', 'argentina', 'berkeliaran', 'disaat', 'negaranya', 'fase', 'gugur']</t>
  </si>
  <si>
    <t>"Argentina dibantu wasit" ü•¥  https://t.co/CyFanlOTPB</t>
  </si>
  <si>
    <t>argentina dibantu wasit</t>
  </si>
  <si>
    <t>['argentina', 'dibantu', 'wasit']</t>
  </si>
  <si>
    <t>GAPAPA ARGENTINA MENANG TAPI YA GA GITU LAH WASIT!</t>
  </si>
  <si>
    <t>gapapa argentina menang tapi gitu lah wasit</t>
  </si>
  <si>
    <t>['gapapa', 'argentina', 'menang', 'gitu', 'lah', 'wasit']</t>
  </si>
  <si>
    <t>Final yang mengganjal 1. Di Maria diving wasit ga cek VAR 2. Pemain Prancis kaga protes saat Di Maria diving 3. Prancis kaya males gitu mainnya 4. Pilar Prancis seperti Giroud dan Dembele di ganti 5. Tiap match Argentina dapet voucher penalti 6. Ronaldo&amp;gt;Messi</t>
  </si>
  <si>
    <t>ribut wasit/fifa belain messi/argentina tapi prancis sendiri maennya amburadul.. shot on target ga ada nafsu maen jg ga sehebat Argentina..</t>
  </si>
  <si>
    <t>ribut wasit fifa belain messi argentina tapi prancis sendiri maennya amburadul shot target ada nafsu maen sehebat argentina</t>
  </si>
  <si>
    <t>['ribut', 'wasit', 'fifa', 'belain', 'messi', 'argentina', 'prancis', 'sendiri', 'maennya', 'amburadul', 'shot', 'target', 'nafsu', 'maen', 'sehebat', 'argentina']</t>
  </si>
  <si>
    <t>Pemain Argentina mirip pemain Indo wkwkw kebanyakan minta belas kasihan wasit kl ditabrak dikit.</t>
  </si>
  <si>
    <t>pemain argentina mirip pemain indo wkwkw kebanyakan minta belas kasihan wasit ditabrak dikit</t>
  </si>
  <si>
    <t>['pemain', 'argentina', 'mirip', 'pemain', 'indo', 'wkwkw', 'kebanyakan', 'minta', 'belas', 'kasihan', 'wasit', 'ditabrak', 'dikit']</t>
  </si>
  <si>
    <t>@urcutieyay Betul argentina udh dapet 5 pinalti dari 7 pertandingan, menang hoki selalu di untungkan wasit.. Shit</t>
  </si>
  <si>
    <t>betul argentina udh dapet pinalti dari pertandingan menang hoki selalu untungkan wasit shit</t>
  </si>
  <si>
    <t>['betul', 'argentina', 'sudah', 'dapat', 'penalti', 'pertandingan', 'menang', 'hoki', 'selalu', 'untungkan', 'wasit', 'shit']</t>
  </si>
  <si>
    <t>Ini gak usah dibantu wasit juga udah pasti menang argentina sih, wong perancisnya maen kaya sayur oyong gini ü§∑</t>
  </si>
  <si>
    <t>ini gak usah dibantu wasit juga udah pasti menang argentina sih wong perancisnya maen kaya sayur oyong gini</t>
  </si>
  <si>
    <t>['usah', 'dibantu', 'wasit', 'udah', 'menang', 'argentina', 'wong', 'perancisnya', 'maen', 'kaya', 'sayur', 'oyong', 'gini']</t>
  </si>
  <si>
    <t>@IDGoonerscom Wasit VAR? Voor Argentina maksudnya? Memang timnas mancing emosi melulu ini. Ga pake malu¬≤ lagi diatur sama bandar.</t>
  </si>
  <si>
    <t>wasit var voor argentina maksudnya memang timnas mancing emosi melulu ini pake malu lagi diatur sama bandar</t>
  </si>
  <si>
    <t>['wasit', 'var', 'voor', 'argentina', 'maksudnya', 'memang', 'timnas', 'mancing', 'emosi', 'melulu', 'pake', 'malu', 'diatur', 'sama', 'bandar']</t>
  </si>
  <si>
    <t>@saya_fikrii Padahal ga dibantu wasit pun bisa ini juara Argentina üòÇ</t>
  </si>
  <si>
    <t>fikrii padahal dibantu wasit pun bisa ini juara argentina</t>
  </si>
  <si>
    <t>['fikrii', 'padahal', 'dibantu', 'wasit', 'juara', 'argentina']</t>
  </si>
  <si>
    <t>kayak e prancis di dholimi wasit deh..  kui mau digaplok pemain argentina kok ora pelanggaran üòÇ</t>
  </si>
  <si>
    <t>kayak prancis dholimi wasit deh kui mau digaplok pemain argentina kok ora pelanggaran</t>
  </si>
  <si>
    <t>['seperti', 'prancis', 'dholimi', 'wasit', 'deh', 'kui', 'mau', 'digaplok', 'pemain', 'argentina', 'kok', 'ora', 'pelanggaran']</t>
  </si>
  <si>
    <t>@Hardyyy_11 @Tnwahyu20 @Riiiyyy_ @idextratime Tanpa bantuan wasit argentina udah di pulangin belanda njing. Messi yg harusnya kartu kuning, paredes yg harusnya kartu merah plus pinalti haram, masih bangga? wkwkwk... fans GOBLOK!!!</t>
  </si>
  <si>
    <t>tanpa bantuan wasit argentina udah pulangin belanda njing messi harusnya kartu kuning paredes harusnya kartu merah plus pinalti haram masih bangga wkwkwk fans goblok</t>
  </si>
  <si>
    <t>['bantuan', 'wasit', 'argentina', 'udah', 'pulangin', 'belanda', 'njing', 'messi', 'harusnya', 'kartu', 'kuning', 'paredes', 'harusnya', 'kartu', 'merah', 'plus', 'penalti', 'haram', 'bangga', 'wkwkwk', 'fans', 'goblok']</t>
  </si>
  <si>
    <t>wasit pengen mewujudkan messi and argentina menjadi juara</t>
  </si>
  <si>
    <t>['wasit', 'pengen', 'mewujudkan', 'messi', 'and', 'argentina', 'menjadi', 'juara']</t>
  </si>
  <si>
    <t>Argentina di ewak i wasit wkwkwk</t>
  </si>
  <si>
    <t>argentina ewak wasit wkwkwk</t>
  </si>
  <si>
    <t>['argentina', 'ewak', 'wasit', 'wkwkwk']</t>
  </si>
  <si>
    <t>Gol pertama¬†Argentina¬†dicetak¬†Lionel Messi¬†melalui titik 12 pas atau penalti di menit ke-23. Wasit Szymon Marciniak dari Polandia memberikan hadiah tendangan penalti setelah¬†Angel Di Maria¬†tampak dijatuhkan¬†Ousmane Dembele¬†dengan sengaja di kotak terlarang  https://t.co/VIX6k8QPNp</t>
  </si>
  <si>
    <t>gol pertama argentina dicetak lionel messi melalui titik pas atau penalti menit wasit szymon marciniak dari polandia memberikan hadiah tendangan penalti setelah angel maria tampak dijatuhkan ousmane dembele dengan sengaja kotak terlarang</t>
  </si>
  <si>
    <t>['gol', 'pertama', 'argentina', 'dicetak', 'lionel', 'messi', 'melalui', 'titik', 'pas', 'penalti', 'menit', 'wasit', 'szymon', 'marciniak', 'polandia', 'memberikan', 'hadiah', 'tendangan', 'penalti', 'angel', 'maria', 'tampak', 'dijatuhkan', 'ousmane', 'dembele', 'sengaja', 'kotak', 'terlarang']</t>
  </si>
  <si>
    <t>Argentina walaupun wasitnya wasit BRI liga 1 juga bakalan menang</t>
  </si>
  <si>
    <t>argentina walaupun wasitnya wasit bri liga juga bakalan menang</t>
  </si>
  <si>
    <t>['argentina', 'walaupun', 'wasitnya', 'wasit', 'bri', 'liga', 'bakalan', 'menang']</t>
  </si>
  <si>
    <t>@ingatmati62 @Box2BoxBola pak ini final jangan cm ngandelin teknik harus main trik juga, kasih lah tekanan ke wasit, contoh liat aja pemain argentina babak pertama selesai masih ngerubungin wasit komplain soal kartu kuning fernandez</t>
  </si>
  <si>
    <t>pak ini final jangan ngandelin teknik harus main trik juga kasih lah tekanan wasit contoh liat aja pemain argentina babak pertama selesai masih ngerubungin wasit komplain soal kartu kuning fernandez</t>
  </si>
  <si>
    <t>['pak', 'final', 'jangan', 'ngandelin', 'teknik', 'main', 'trik', 'kasih', 'lah', 'tekanan', 'wasit', 'contoh', 'lihat', 'pemain', 'argentina', 'babak', 'pertama', 'selesai', 'ngerubungin', 'wasit', 'komplain', 'soal', 'kartu', 'kuning', 'fernandez']</t>
  </si>
  <si>
    <t>@CoklatGlitter Kena mental argentina dibela wasit soalnya. Apalagi penalty pertama diving</t>
  </si>
  <si>
    <t>kena mental argentina dibela wasit soalnya apalagi penalty pertama diving</t>
  </si>
  <si>
    <t>['kena', 'mental', 'argentina', 'dibela', 'wasit', 'soalnya', 'penalty', 'pertama', 'diving']</t>
  </si>
  <si>
    <t>@idextratime ga harus jadi fans dodo untuk paham kalo argentina ga ada apa-apanya tanpa belas kasih wasit (penalti)</t>
  </si>
  <si>
    <t>harus jadi fans dodo untuk paham kalo argentina ada apa apanya tanpa belas kasih wasit penalti</t>
  </si>
  <si>
    <t>['jadi', 'fans', 'dodo', 'paham', 'argentina', 'apa', 'apanya', 'belas', 'kasih', 'wasit', 'penalti']</t>
  </si>
  <si>
    <t>@AstutiPendragon @ArvyzaA Kroasia digendong modric Portugal digendong bruno Prancis digendong mbappe Argentina digendong wasit</t>
  </si>
  <si>
    <t>kroasia digendong modric portugal digendong bruno prancis digendong mbappe argentina digendong wasit</t>
  </si>
  <si>
    <t>['kroasia', 'digendong', 'modric', 'portugal', 'digendong', 'bruno', 'prancis', 'digendong', 'mbappe', 'argentina', 'digendong', 'wasit']</t>
  </si>
  <si>
    <t>@Bg_aha58 goat darimana dpt voucher terus, wasit selalu nguntungkan argentina</t>
  </si>
  <si>
    <t>aha goat darimana dpt voucher terus wasit selalu nguntungkan argentina</t>
  </si>
  <si>
    <t>['aha', 'goat', 'darimana', 'dpt', 'voucher', 'terus', 'wasit', 'selalu', 'nguntungkan', 'argentina']</t>
  </si>
  <si>
    <t>Wasit e nek dibayar ceto nek ra dibayar yo ra gelem kerjo. Sek perlu dipertanyakan ki ketoke wasite diiming-imingi purel nek sek menang argentina</t>
  </si>
  <si>
    <t>wasit nek dibayar ceto nek dibayar gelem kerjo sek perlu dipertanyakan ketoke wasite diiming imingi purel nek sek menang argentina</t>
  </si>
  <si>
    <t>['wasit', 'nek', 'dibayar', 'ceto', 'nek', 'dibayar', 'gelem', 'kerjo', 'sek', 'perlu', 'dipertanyakan', 'ketoke', 'wasite', 'diiming', 'imingi', 'purel', 'nek', 'sek', 'menang', 'argentina']</t>
  </si>
  <si>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</si>
  <si>
    <t>argentina negara paling banyak dapat bonus penalti paiala dunia begitu mudahnya wasit beri penalti seolah olah memang piala dunia didesain menang untuk argentina messi anggota freemason tuh pakai tatto the all seeing eye mata satu jangan dilaqan boss</t>
  </si>
  <si>
    <t>['argentina', 'negara', 'paling', 'banyak', 'bonus', 'penalti', 'paiala', 'dunia', 'mudahnya', 'wasit', 'beri', 'penalti', 'olah', 'memang', 'piala', 'dunia', 'didesain', 'menang', 'argentina', 'messi', 'anggota', 'freemason', 'pakai', 'tatto', 'the', 'all', 'seeing', 'eye', 'mata', 'satu', 'jangan', 'dilaqan', 'boss']</t>
  </si>
  <si>
    <t>@IDGoonerscom Kalo ini wasit nya pierluigi collina gk bakal di kasih ini pinalti, terlalu soft bgt. Tapi buat goal ke 2 sama permainan argentina layak unggul.</t>
  </si>
  <si>
    <t>kalo ini wasit nya pierluigi collina bakal kasih ini pinalti terlalu soft bgt tapi buat goal sama permainan argentina layak unggul</t>
  </si>
  <si>
    <t>['wasit', 'pierluigi', 'collina', 'bakal', 'kasih', 'penalti', 'terlalu', 'soft', 'banget', 'buat', 'goal', 'sama', 'permainan', 'argentina', 'layak', 'unggul']</t>
  </si>
  <si>
    <t>Tapi ga heran klo argentina juga diuntungin wasit. Kepemilikan Qatar FA di PSG, ngangkat nama Messi sebagai "goat"nya mereka dg ngorbanin mbappe, ngangkat nama liga perancis dg ngorbanin perancis. Semua win win solution buat 2 tim klo skenarionya Argentina menang wkwkw</t>
  </si>
  <si>
    <t>tapi heran klo argentina juga diuntungin wasit kepemilikan qatar psg ngangkat nama messi sebagai goat nya mereka ngorbanin mbappe ngangkat nama liga perancis ngorbanin perancis semua win win solution buat tim klo skenarionya argentina menang wkwkw</t>
  </si>
  <si>
    <t>['heran', 'argentina', 'diuntungin', 'wasit', 'kepemilikan', 'qatar', 'psg', 'ngangkat', 'nama', 'messi', 'goat', 'ngorbanin', 'mbappe', 'ngangkat', 'nama', 'liga', 'perancis', 'ngorbanin', 'perancis', 'semua', 'win', 'win', 'solution', 'buat', 'tim', 'skenarionya', 'argentina', 'menang', 'wkwkw']</t>
  </si>
  <si>
    <t>Wasit dagelan ngebantu Argentina Mulu cuiih najiss lah</t>
  </si>
  <si>
    <t>wasit dagelan ngebantu argentina mulu cuiih najiss lah</t>
  </si>
  <si>
    <t>['wasit', 'dagelan', 'ngebantu', 'argentina', 'mulu', 'cuiih', 'najiss', 'lah']</t>
  </si>
  <si>
    <t>Dari total 7 pertandingan Argentina selama di Piala Dunia, CUMA lawan Meksiko sama Australia yang ngga "di kasih" pinalti sama wasit.</t>
  </si>
  <si>
    <t>dari total pertandingan argentina selama piala dunia cuma lawan meksiko sama australia yang ngga kasih pinalti sama wasit</t>
  </si>
  <si>
    <t>['total', 'pertandingan', 'argentina', 'selama', 'piala', 'dunia', 'cuma', 'lawan', 'meksiko', 'sama', 'australia', 'ngga', 'kasih', 'penalti', 'sama', 'wasit']</t>
  </si>
  <si>
    <t>Tim angtum yg bapuk, wasit pulak disalahkan</t>
  </si>
  <si>
    <t>tim angtum bapuk wasit pulak disalahkan</t>
  </si>
  <si>
    <t>['tim', 'angtum', 'bapuk', 'wasit', 'pulak', 'disalahkan']</t>
  </si>
  <si>
    <t>Elu bukan wasit suuu</t>
  </si>
  <si>
    <t>elu bukan wasit suuu</t>
  </si>
  <si>
    <t>['elu', 'bukan', 'wasit', 'suuu']</t>
  </si>
  <si>
    <t>Jare wasit e dibayar Argentina</t>
  </si>
  <si>
    <t>jare wasit dibayar argentina</t>
  </si>
  <si>
    <t>['jare', 'wasit', 'dibayar', 'argentina']</t>
  </si>
  <si>
    <t>You mau percaya, Argentina yng menang wasit yng kasih kemenangan kita lihat saja,smua dah diatur</t>
  </si>
  <si>
    <t>you mau percaya argentina yng menang wasit yng kasih kemenangan kita lihat saja smua dah diatur</t>
  </si>
  <si>
    <t>['you', 'mau', 'percaya', 'argentina', 'yng', 'menang', 'wasit', 'yng', 'kasih', 'kemenangan', 'lihat', 'smua', 'dah', 'diatur']</t>
  </si>
  <si>
    <t>@SiaranBolaLive Penalti mulu Goal Pertama Argentina</t>
  </si>
  <si>
    <t>penalti mulu goal pertama argentina</t>
  </si>
  <si>
    <t>['penalti', 'mulu', 'goal', 'pertama', 'argentina']</t>
  </si>
  <si>
    <t>Sejak pertandingan pertama worldcup, kapan laga Argentina tidak diberikan pinalty oleh wasit? Heheuheuheu... #ArgentinaVsFrance #FIFAWorldCup #finalpialadunia</t>
  </si>
  <si>
    <t>sejak pertandingan pertama worldcup kapan laga argentina tidak diberikan pinalty oleh wasit heheuheuheu</t>
  </si>
  <si>
    <t>['sejak', 'pertandingan', 'pertama', 'worldcup', 'kapan', 'laga', 'argentina', 'diberikan', 'pinalty', 'wasit', 'heheuheuheu']</t>
  </si>
  <si>
    <t>Ada satu pertanyaan di Piala Dunia tahun ini. ‚ÄúBerapa kali Argentina bermain dan wasit tidak memberikan penalti?‚Äù</t>
  </si>
  <si>
    <t>ada satu pertanyaan piala dunia tahun ini berapa kali argentina bermain dan wasit tidak memberikan penalti</t>
  </si>
  <si>
    <t>['satu', 'pertanyaan', 'piala', 'dunia', 'tahun', 'berapa', 'kali', 'argentina', 'bermain', 'wasit', 'memberikan', 'penalti']</t>
  </si>
  <si>
    <t>@sampankecil_zh @idextratime Itulah kecerdikan di maria. tetep wasit melihat kaki ke kaki. Argentina dari jaman sebelum maradona terkenal sama pemain malice kaya gitu. Trik khas Amerika Latin</t>
  </si>
  <si>
    <t>itulah kecerdikan maria tetep wasit melihat kaki kaki argentina dari jaman sebelum maradona terkenal sama pemain malice kaya gitu trik khas amerika latin</t>
  </si>
  <si>
    <t>['kecerdikan', 'maria', 'tetep', 'wasit', 'melihat', 'kaki', 'kaki', 'argentina', 'jaman', 'maradona', 'terkenal', 'sama', 'pemain', 'malice', 'kaya', 'gitu', 'trik', 'khas', 'amerika', 'latin']</t>
  </si>
  <si>
    <t>walo argentina main wasit tapi ini prancis emang jelek bgt juga asu</t>
  </si>
  <si>
    <t>['walo', 'argentina', 'main', 'wasit', 'prancis', 'emang', 'jelek', 'banget', 'asu']</t>
  </si>
  <si>
    <t>@idextratime Itu menandakan kalo serangan Argentina berbahaya Masih aja mikir dibantu wasitüòå</t>
  </si>
  <si>
    <t>itu menandakan kalo serangan argentina berbahaya masih aja mikir dibantu wasit</t>
  </si>
  <si>
    <t>['menandakan', 'serangan', 'argentina', 'berbahaya', 'mikir', 'dibantu', 'wasit']</t>
  </si>
  <si>
    <t>@juveindonesia Partai final yg kurang menarik bukan karena argentina yg bermain bagus tapi karena wasit mudah sekali kasih penalti ke argentina</t>
  </si>
  <si>
    <t>partai final kurang menarik bukan karena argentina bermain bagus tapi karena wasit mudah sekali kasih penalti argentina</t>
  </si>
  <si>
    <t>['partai', 'final', 'kurang', 'menarik', 'bukan', 'argentina', 'bermain', 'bagus', 'wasit', 'mudah', 'sekali', 'kasih', 'penalti', 'argentina']</t>
  </si>
  <si>
    <t>Argentina kebanyakan diving + di bantu wasit  Mesi kebanyakan penalti  Sekarang gw kasih gelar buat messi  PELESSI</t>
  </si>
  <si>
    <t>argentina kebanyakan diving bantu wasit mesi kebanyakan penalti sekarang kasih gelar buat messi pelessi</t>
  </si>
  <si>
    <t>['argentina', 'kebanyakan', 'diving', 'bantu', 'wasit', 'mesi', 'kebanyakan', 'penalti', 'sekarang', 'kasih', 'gelar', 'buat', 'messi', 'pelessi']</t>
  </si>
  <si>
    <t>Miss Penalti ü§£ Messi ooh Messi ü§™ Di Maria murni diving ü§™ü§™ü§™ VAR tak ada gunanya di Final FIFA World Cup 2022 ini....  Yaaaaa udaaa karna wasit cuek, tak fokus maka Argentina berpotensi tumbangkan juara bertahan Perancis pada Piala Dunia 2022 üòÑü§™  https://t.co/LXA3VPHVsJ</t>
  </si>
  <si>
    <t>miss penalti messi ooh messi maria murni diving var tak ada gunanya final fifa world cup ini yaaaaa udaaa karna wasit cuek tak fokus maka argentina berpotensi tumbangkan juara bertahan perancis pada piala dunia</t>
  </si>
  <si>
    <t>['miss', 'penalti', 'messi', 'ooh', 'messi', 'maria', 'murni', 'diving', 'var', 'tak', 'gunanya', 'final', 'fifa', 'world', 'cup', 'yaaaaa', 'udaaa', 'karna', 'wasit', 'cuek', 'tak', 'fokus', 'argentina', 'berpotensi', 'tumbangkan', 'juara', 'bertahan', 'perancis', 'piala', 'dunia']</t>
  </si>
  <si>
    <t>masih aja ada yg bilang argentina diuntungin wasit, lah dari tadi nonton apa ?  jelas-jelas dari awal udah diobok-obok argentina, prancis shot aja gk ada.</t>
  </si>
  <si>
    <t>masih aja ada bilang argentina diuntungin wasit lah dari tadi nonton apa jelas jelas dari awal udah diobok obok argentina prancis shot aja ada</t>
  </si>
  <si>
    <t>['argentina', 'diuntungin', 'wasit', 'lah', 'tadi', 'nonton', 'apa', 'jelas', 'jelas', 'awal', 'udah', 'diobok', 'obok', 'argentina', 'prancis', 'shot']</t>
  </si>
  <si>
    <t>Jujur Argentina main bagus, tapi gol pertama kayaknya gak layak penalti, dan wasit juga g coba cek var lagi, dan untuk France ga main seperti biasanya, Dembele di ganti ok lah, Giroud di ganti patut di perdebatkan jga, padahal peluang babak pertama dri France cmn sundulan giroud</t>
  </si>
  <si>
    <t>jujur argentina main bagus tapi gol pertama kayaknya gak layak penalti dan wasit juga coba cek var lagi dan untuk france main seperti biasanya dembele ganti lah giroud ganti patut perdebatkan jga padahal peluang babak pertama dri france cmn sundulan giroud</t>
  </si>
  <si>
    <t>['jujur', 'argentina', 'main', 'bagus', 'gol', 'pertama', 'kayaknya', 'layak', 'penalti', 'wasit', 'coba', 'cek', 'var', 'france', 'main', 'biasanya', 'dembele', 'ganti', 'lah', 'giroud', 'ganti', 'patut', 'perdebatkan', 'jga', 'padahal', 'peluang', 'babak', 'pertama', 'dri', 'france', 'cmn', 'sundulan', 'giroud']</t>
  </si>
  <si>
    <t>Kbh kie podho mesakke messi wes arep pensiun durung pernah menang pildun, dadi saiki kudu dimenangke..üòÖ  Final Piala Dunia  Prancis vs wasit  Eehhh..  Prancis vs Argentina  https://t.co/zRo6IDIMn2</t>
  </si>
  <si>
    <t>kbh kie podho mesakke messi wes arep pensiun durung pernah menang pildun dadi saiki kudu dimenangke final piala dunia prancis wasit eehhh prancis argentina</t>
  </si>
  <si>
    <t>['kbh', 'kie', 'podho', 'mesakke', 'messi', 'wes', 'arep', 'pensiun', 'durung', 'pernah', 'menang', 'piala dunia', 'dadi', 'saiki', 'kudu', 'dimenangke', 'final', 'piala', 'dunia', 'prancis', 'wasit', 'eehhh', 'prancis', 'argentina']</t>
  </si>
  <si>
    <t>Terlepas dari wasit yang kodompol, Argentina mainnya bagus, rapih, efisien. Prancis kek tai mainnya.</t>
  </si>
  <si>
    <t>terlepas dari wasit yang kodompol argentina mainnya bagus rapih efisien prancis kek tai mainnya</t>
  </si>
  <si>
    <t>['terlepas', 'wasit', 'kodompol', 'argentina', 'mainnya', 'bagus', 'rapih', 'efisien', 'prancis', 'kek', 'tai', 'mainnya']</t>
  </si>
  <si>
    <t>Sepanjang WC Argentina emg bagus mainnya. Tapi banyak dikasih keuntungan juga ama wasit heeuu</t>
  </si>
  <si>
    <t>sepanjang argentina emg bagus mainnya tapi banyak dikasih keuntungan juga ama wasit heeuu</t>
  </si>
  <si>
    <t>['sepanjang', 'argentina', 'memang', 'bagus', 'mainnya', 'banyak', 'dikasih', 'keuntungan', 'ama', 'wasit', 'heeuu']</t>
  </si>
  <si>
    <t>@idextratime Apapun tentang Argentina di bantu wasit, setingan apalah.. Yang jelas penampilan Messi dari awal grup sampai final bner bner luar biasa. Factos</t>
  </si>
  <si>
    <t>apapun tentang argentina bantu wasit setingan apalah yang jelas penampilan messi dari awal grup sampai final bner bner luar biasa factos</t>
  </si>
  <si>
    <t>['apapun', 'argentina', 'bantu', 'wasit', 'settingan', 'apalah', 'jelas', 'penampilan', 'messi', 'awal', 'grup', 'final', 'bner', 'bner', 'luar', 'biasa', 'factos']</t>
  </si>
  <si>
    <t>@idextratime Settingan !! Kalo Perancis yg juara = mereka mmg layak juara karena kerja keras dan Perancis lebih fairplay karena tdk dapat penalti Kalo Argentina juara = settingan , Messi anak emas FIFA, FIFA korup, piala dunia terburuk, wasit memihak Arge</t>
  </si>
  <si>
    <t>settingan kalo perancis juara mereka mmg layak juara karena kerja keras dan perancis lebih fairplay karena tdk dapat penalti kalo argentina juara settingan messi anak emas fifa fifa korup piala dunia terburuk wasit memihak arge</t>
  </si>
  <si>
    <t>['settingan', 'perancis', 'juara', 'mmg', 'layak', 'juara', 'kerja', 'keras', 'perancis', 'lebih', 'fairplay', 'penalti', 'argentina', 'juara', 'settingan', 'messi', 'anak', 'emas', 'fifa', 'fifa', 'korup', 'piala', 'dunia', 'terburuk', 'wasit', 'memihak', 'arge']</t>
  </si>
  <si>
    <t>Yg dukung Argentina apa tidak merasa malu?  Tiap maen diuntungkan terus wasit dgn ngasih pinalty.</t>
  </si>
  <si>
    <t>dukung argentina apa tidak merasa malu tiap maen diuntungkan terus wasit dgn ngasih pinalty</t>
  </si>
  <si>
    <t>['dukung', 'argentina', 'apa', 'merasa', 'malu', 'tiap', 'maen', 'diuntungkan', 'terus', 'wasit', 'ngasih', 'pinalty']</t>
  </si>
  <si>
    <t>Memang asu itu wasit argentina vs prancis,,ü§¨</t>
  </si>
  <si>
    <t>memang asu itu wasit argentina prancis</t>
  </si>
  <si>
    <t>['memang', 'asu', 'wasit', 'argentina', 'prancis']</t>
  </si>
  <si>
    <t>Terlepas dari penalti, determinasi Argentina menang jauh dari Perancis yang pragmatis. Gausah nyalahin wasit, memang babak pertama Perancis mainnya underperform.</t>
  </si>
  <si>
    <t>terlepas dari penalti determinasi argentina menang jauh dari perancis yang pragmatis gausah nyalahin wasit memang babak pertama perancis mainnya underperform</t>
  </si>
  <si>
    <t>['terlepas', 'penalti', 'determinasi', 'argentina', 'menang', 'jauh', 'perancis', 'pragmatis', 'gausah', 'nyalahin', 'wasit', 'memang', 'babak', 'pertama', 'perancis', 'mainnya', 'underperform']</t>
  </si>
  <si>
    <t>dari awal turnamen berharap final Argen vs Por, biar messi atau CR dpt worldcup, tapi yo gak ngene pisan carane wkwkwkkw wasit terlalu mudah kasih P utk argentina, padahal scr permainan, argen emang layak menang dan juara</t>
  </si>
  <si>
    <t>dari awal turnamen berharap final argen por biar messi atau dpt worldcup tapi gak ngene pisan carane wkwkwkkw wasit terlalu mudah kasih utk argentina padahal scr permainan argen emang layak menang dan juara</t>
  </si>
  <si>
    <t>['awal', 'turnamen', 'berharap', 'final', 'argen', 'por', 'messi', 'dpt', 'worldcup', 'ngene', 'pisan', 'carane', 'wkwkwkkw', 'wasit', 'terlalu', 'mudah', 'kasih', 'argentina', 'padahal', 'scr', 'permainan', 'argen', 'emang', 'layak', 'menang', 'juara']</t>
  </si>
  <si>
    <t>dari fase grup sampe final sering dikasih hadiah penalti. Argentina bayar wasit berapa? üò≠</t>
  </si>
  <si>
    <t>dari fase grup sampe final sering dikasih hadiah penalti argentina bayar wasit berapa</t>
  </si>
  <si>
    <t>['fase', 'grup', 'sampai', 'final', 'sering', 'dikasih', 'hadiah', 'penalti', 'argentina', 'bayar', 'wasit', 'berapa']</t>
  </si>
  <si>
    <t>Argentina tiap kali pinalty ga pernah lit VAR wasit nya wkwk beda ama negara yg lain ü§£</t>
  </si>
  <si>
    <t>argentina tiap kali pinalty pernah lit var wasit nya wkwk beda ama negara lain</t>
  </si>
  <si>
    <t>['argentina', 'tiap', 'kali', 'pinalty', 'pernah', 'lit', 'var', 'wasit', 'beda', 'ama', 'negara']</t>
  </si>
  <si>
    <t>Argentina tanpa diving, laksana wasit ga pake priwitan</t>
  </si>
  <si>
    <t>argentina tanpa diving laksana wasit pake priwitan</t>
  </si>
  <si>
    <t>['argentina', 'diving', 'laksana', 'wasit', 'pake', 'priwitan']</t>
  </si>
  <si>
    <t>@ingatmati62 @ibnu_dumadi @Box2BoxBola Seakan-akan wasit mmg ingin membantu Argentina untuk menjadi juara, bahkan pihak boradcaster hnya menampilkan sedikit replay,  Memang benar bahwa piala dunia kali ini sudah disetting untuk Argentina Juara, karena Mes</t>
  </si>
  <si>
    <t>dumadi seakan akan wasit mmg ingin membantu argentina untuk menjadi juara bahkan pihak boradcaster hnya menampilkan sedikit replay memang benar bahwa piala dunia kali ini sudah disetting untuk argentina juara karena mes</t>
  </si>
  <si>
    <t>['dumadi', 'seakan', 'wasit', 'mmg', 'membantu', 'argentina', 'menjadi', 'juara', 'bahkan', 'pihak', 'boradcaster', 'hnya', 'menampilkan', 'sedikit', 'replay', 'memang', 'benar', 'piala', 'dunia', 'kali', 'disetting', 'argentina', 'juara', 'mes']</t>
  </si>
  <si>
    <t>Males banget liat wasit yang nguntungin Argentina</t>
  </si>
  <si>
    <t>males banget liat wasit yang nguntungin argentina</t>
  </si>
  <si>
    <t>['males', 'banget', 'lihat', 'wasit', 'nguntungin', 'argentina']</t>
  </si>
  <si>
    <t>@idextratime Diobok obok karena Perancis di lapangan 11 orang vs Argentina di lapangan 11 orang + 1 wasit ü§£</t>
  </si>
  <si>
    <t>diobok obok karena perancis lapangan orang argentina lapangan orang wasit</t>
  </si>
  <si>
    <t>['diobok', 'obok', 'perancis', 'lapangan', 'orang', 'argentina', 'lapangan', 'orang', 'wasit']</t>
  </si>
  <si>
    <t>@shxxisme settingan ini wasit anjing Argentina dikasih pinalti terus ü§¨ü§¨ü§¨</t>
  </si>
  <si>
    <t>settingan ini wasit anjing argentina dikasih pinalti terus</t>
  </si>
  <si>
    <t>['settingan', 'wasit', 'anjing', 'argentina', 'dikasih', 'penalti', 'terus']</t>
  </si>
  <si>
    <t>Keputusan wasit ga check var buat pinalti argentina, pasti jadi kontroversi neh</t>
  </si>
  <si>
    <t>keputusan wasit check var buat pinalti argentina pasti jadi kontroversi neh</t>
  </si>
  <si>
    <t>['keputusan', 'wasit', 'check', 'var', 'buat', 'penalti', 'argentina', 'jadi', 'kontroversi', 'neh']</t>
  </si>
  <si>
    <t>@kegblgnunfaedh Wasit dan var sayang argentina</t>
  </si>
  <si>
    <t>wasit dan var sayang argentina</t>
  </si>
  <si>
    <t>['wasit', 'var', 'sayang', 'argentina']</t>
  </si>
  <si>
    <t>Hanya dua pertandingan Argentina tidak memperoleh penalti. Semua penalti bahkan bisa dibilang soft penalty. Gimana nggak sulit menepis kesangsian soal adanya konspirasi? Atau utamanya kualitas keputusan wasit.</t>
  </si>
  <si>
    <t>hanya dua pertandingan argentina tidak memperoleh penalti semua penalti bahkan bisa dibilang soft penalty gimana nggak sulit menepis kesangsian soal adanya konspirasi atau utamanya kualitas keputusan wasit</t>
  </si>
  <si>
    <t>['pertandingan', 'argentina', 'memperoleh', 'penalti', 'semua', 'penalti', 'bahkan', 'dibilang', 'soft', 'penalty', 'gimana', 'sulit', 'menepis', 'kesangsian', 'soal', 'adanya', 'konspirasi', 'utamanya', 'kualitas', 'keputusan', 'wasit']</t>
  </si>
  <si>
    <t>Wasit ini mirip di Liga 1.. Merusak pertandingan dengan hadiah untuk Argentina..tanpa VAR sama sekali.  Ini penalti ke berapa Argentina selama di Qatar?</t>
  </si>
  <si>
    <t>wasit ini mirip liga merusak pertandingan dengan hadiah untuk argentina tanpa var sama sekali ini penalti berapa argentina selama qatar</t>
  </si>
  <si>
    <t>['wasit', 'mirip', 'liga', 'merusak', 'pertandingan', 'hadiah', 'argentina', 'var', 'sama', 'sekali', 'penalti', 'berapa', 'argentina', 'selama', 'qatar']</t>
  </si>
  <si>
    <t>Sorry, tapi Argentina terlalu dibela wasit.</t>
  </si>
  <si>
    <t>sorry tapi argentina terlalu dibela wasit</t>
  </si>
  <si>
    <t>['sorry', 'argentina', 'terlalu', 'dibela', 'wasit']</t>
  </si>
  <si>
    <t>@idextratime Final yang mengganjal 1. Di Maria diving wasit ga cek VAR 2. Pemain Prancis kaga protes saat Di Maria diving 3. Prancis kaya males gitu mainnya 4. Pilar Prancis seperti Giroud dan Dembele di ganti 5. Tiap match Argentina dapet voucher penalti</t>
  </si>
  <si>
    <t>final yang mengganjal maria diving wasit cek var pemain prancis kaga protes saat maria diving prancis kaya males gitu mainnya pilar prancis seperti giroud dan dembele ganti tiap match argentina dapet voucher penalti</t>
  </si>
  <si>
    <t>['final', 'mengganjal', 'maria', 'diving', 'wasit', 'cek', 'var', 'pemain', 'prancis', 'kaga', 'protes', 'maria', 'diving', 'prancis', 'kaya', 'males', 'gitu', 'mainnya', 'pilar', 'prancis', 'giroud', 'dembele', 'ganti', 'tiap', 'match', 'argentina', 'dapat', 'voucher', 'penalti']</t>
  </si>
  <si>
    <t>@idextratime Yg bilang Argentina di bantu wasit, mungkin matanya picek</t>
  </si>
  <si>
    <t>bilang argentina bantu wasit mungkin matanya picek</t>
  </si>
  <si>
    <t>['argentina', 'bantu', 'wasit', 'mungkin', 'matanya', 'picek']</t>
  </si>
  <si>
    <t>wasit gak adil,fifa uler fifa manipulasi, settingan bla bla , tapi liat juga cara main dan semangat argentina. Imo lebih baik dari tim lawan</t>
  </si>
  <si>
    <t>wasit gak adil fifa uler fifa manipulasi settingan bla bla tapi liat juga cara main dan semangat argentina imo lebih baik dari tim lawan</t>
  </si>
  <si>
    <t>['wasit', 'adil', 'fifa', 'uler', 'fifa', 'manipulasi', 'settingan', 'bla', 'bla', 'lihat', 'cara', 'main', 'semangat', 'argentina', 'imo', 'lebih', 'baik', 'tim', 'lawan']</t>
  </si>
  <si>
    <t>@idextratime Argentina bersama wasit anjing</t>
  </si>
  <si>
    <t>argentina bersama wasit anjing</t>
  </si>
  <si>
    <t>['argentina', 'bersama', 'wasit', 'anjing']</t>
  </si>
  <si>
    <t>@idextratime Wasit+var sayang argentina</t>
  </si>
  <si>
    <t>wasit var sayang argentina</t>
  </si>
  <si>
    <t>@idextratime Liat postingan Evra. Yg ditakutkan bukan Argentina, tapi wasit ü´£</t>
  </si>
  <si>
    <t>liat postingan evra ditakutkan bukan argentina tapi wasit</t>
  </si>
  <si>
    <t>['lihat', 'postingan', 'evra', 'ditakutkan', 'bukan', 'argentina', 'wasit']</t>
  </si>
  <si>
    <t>Wasit itu kalo mau bias liat-liat gitu loh. Kalo team nya bagus gausah bias sih. Soalnya kalo menang yang disorot malah bias wasitnya, walau team nya sendiri udah bagus. Kek Argentina gini #ArgentinaVsFrance</t>
  </si>
  <si>
    <t>wasit itu kalo mau bias liat liat gitu loh kalo team nya bagus gausah bias sih soalnya kalo menang yang disorot malah bias wasitnya walau team nya sendiri udah bagus kek argentina gini</t>
  </si>
  <si>
    <t>['wasit', 'mau', 'bias', 'lihat', 'lihat', 'gitu', 'team', 'bagus', 'gausah', 'bias', 'soalnya', 'menang', 'disorot', 'malah', 'bias', 'wasitnya', 'team', 'sendiri', 'udah', 'bagus', 'kek', 'argentina', 'gini']</t>
  </si>
  <si>
    <t>Wasit gercep bener niup peluit untuk pinalti Argentina wkwk</t>
  </si>
  <si>
    <t>wasit gercep bener niup peluit untuk pinalti argentina wkwk</t>
  </si>
  <si>
    <t>['wasit', 'gerak cepat', 'benar', 'niup', 'peluit', 'penalti', 'argentina']</t>
  </si>
  <si>
    <t>Dah yok bobok,paling kalah 2-0 atau lebih parah.Babak kedua si argentina palingan kayak lawan belanda bertahan+gampang jatuhin diri dan buang2 waktu+mancing emosi+kerubungin wasit tiap ngelakuin pelanggaran wkwkwkwüòÖü§£</t>
  </si>
  <si>
    <t>dah yok bobok paling kalah atau lebih parah babak kedua argentina palingan kayak lawan belanda bertahan gampang jatuhin diri dan buang waktu mancing emosi kerubungin wasit tiap ngelakuin pelanggaran wkwkwkw</t>
  </si>
  <si>
    <t>['dah', 'yok', 'bobok', 'paling', 'kalah', 'lebih', 'parah', 'babak', 'kedua', 'argentina', 'palingan', 'seperti', 'lawan', 'belanda', 'bertahan', 'gampang', 'jatuhin', 'diri', 'buang', 'waktu', 'mancing', 'emosi', 'kerubungin', 'wasit', 'tiap', 'ngelakuin', 'pelanggaran', 'wkwkwkw']</t>
  </si>
  <si>
    <t>@idextratime Wasit nya agak berat sebelah yak, berat ke Argentina :')</t>
  </si>
  <si>
    <t>wasit nya agak berat sebelah yak berat argentina</t>
  </si>
  <si>
    <t>['wasit', 'berat', 'sebelah', 'yak', 'berat', 'argentina']</t>
  </si>
  <si>
    <t>wasit nua bangsat nih memihak banget argentina</t>
  </si>
  <si>
    <t>['wasit', 'nua', 'bangsat', 'memihak', 'banget', 'argentina']</t>
  </si>
  <si>
    <t>Tengah dan sayap Argentina lebih rapih passing dan dribbling ny. Udah gitu diawal wasit ny jg aneh. Berat di prancis</t>
  </si>
  <si>
    <t>tengah dan sayap argentina lebih rapih passing dan dribbling udah gitu diawal wasit aneh berat prancis</t>
  </si>
  <si>
    <t>['tengah', 'sayap', 'argentina', 'lebih', 'rapih', 'passing', 'dribbling', 'udah', 'gitu', 'diawal', 'wasit', 'aneh', 'berat', 'prancis']</t>
  </si>
  <si>
    <t>@maman1965 Loh, bukannya jadi wasit final Argentina Prancis Kang ?</t>
  </si>
  <si>
    <t>loh bukannya jadi wasit final argentina prancis kang</t>
  </si>
  <si>
    <t>['bukannya', 'jadi', 'wasit', 'final', 'argentina', 'prancis', 'kang']</t>
  </si>
  <si>
    <t>@hummercuts @idextratime Coba wasit nya bukan dari argentina. Ucap pens tololü§£ü§£ü§£</t>
  </si>
  <si>
    <t>coba wasit nya bukan dari argentina ucap pens tolol</t>
  </si>
  <si>
    <t>['coba', 'wasit', 'bukan', 'argentina', 'ucap', 'pens', 'tolol']</t>
  </si>
  <si>
    <t>Argentina diuntungkan ama keputusan wasit di gol pertama. Itu harusnya gak penalti. Asu!</t>
  </si>
  <si>
    <t>argentina diuntungkan ama keputusan wasit gol pertama itu harusnya gak penalti asu</t>
  </si>
  <si>
    <t>['argentina', 'diuntungkan', 'ama', 'keputusan', 'wasit', 'gol', 'pertama', 'harusnya', 'penalti', 'asu']</t>
  </si>
  <si>
    <t>Terlepas stigma sahabat fifa, sahabat wasit. Objektif aja, di lapangan emang argentina menang segalanya kok. Perancis shot aja masih telor</t>
  </si>
  <si>
    <t>terlepas stigma sahabat fifa sahabat wasit objektif aja lapangan emang argentina menang segalanya kok perancis shot aja masih telor</t>
  </si>
  <si>
    <t>['terlepas', 'stigma', 'sahabat', 'fifa', 'sahabat', 'wasit', 'objektif', 'lapangan', 'emang', 'argentina', 'menang', 'segalanya', 'kok', 'perancis', 'shot', 'telor']</t>
  </si>
  <si>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</si>
  <si>
    <t>meskipun final piala dunia qatar sudah diatur dan juara sudah disetting sejak awal dengan argentina sebagai negara yang paling banyak dapat voucher gratis pinalti dari wasit fifa final ini akan tetap menjadi penonton layar kaca saja</t>
  </si>
  <si>
    <t>['meskipun', 'final', 'piala', 'dunia', 'qatar', 'diatur', 'juara', 'disetting', 'sejak', 'awal', 'argentina', 'negara', 'paling', 'banyak', 'voucher', 'gratis', 'penalti', 'wasit', 'fifa', 'final', 'tetap', 'menjadi', 'penonton', 'layar', 'kaca']</t>
  </si>
  <si>
    <t>@idextratime Heran sama fans france masih aja nyalahin wasit dll,jelas" france kali ini mainnya di obok" dan berantakan,malah lebih dominan argentina mainnya bagus.</t>
  </si>
  <si>
    <t>heran sama fans france masih aja nyalahin wasit dll jelas france kali ini mainnya obok dan berantakan malah lebih dominan argentina mainnya bagus</t>
  </si>
  <si>
    <t>['heran', 'sama', 'fans', 'france', 'nyalahin', 'wasit', 'jelas', 'france', 'kali', 'mainnya', 'obok', 'berantakan', 'malah', 'lebih', 'dominan', 'argentina', 'mainnya', 'bagus']</t>
  </si>
  <si>
    <t>Sebab-sebab Argentina unggul dibabak pertama:  1. Gol pertama dibantu wasit(Penalti) 2. Semua pemain Prancis kesurupan pemain Indonesia  #PialaDunia2022</t>
  </si>
  <si>
    <t>sebab sebab argentina unggul dibabak pertama gol pertama dibantu wasit penalti semua pemain prancis kesurupan pemain indonesia</t>
  </si>
  <si>
    <t>['argentina', 'unggul', 'dibabak', 'pertama', 'gol', 'pertama', 'dibantu', 'wasit', 'penalti', 'semua', 'pemain', 'prancis', 'kesurupan', 'pemain', 'indonesia']</t>
  </si>
  <si>
    <t>Pemain Prancis terlalu lama pegang bola gak kayak pemain Argentina. ü§£  Giroud dituruni pula. Uda gak seru ini. Asli propagandanya semakin terlihat. Wasit brengsek!!</t>
  </si>
  <si>
    <t>pemain prancis terlalu lama pegang bola gak kayak pemain argentina giroud dituruni pula uda gak seru ini asli propagandanya semakin terlihat wasit brengsek</t>
  </si>
  <si>
    <t>['pemain', 'prancis', 'terlalu', 'lama', 'pegang', 'bola', 'seperti', 'pemain', 'argentina', 'giroud', 'dituruni', 'uda', 'seru', 'asli', 'propagandanya', 'semakin', 'terlihat', 'wasit', 'brengsek']</t>
  </si>
  <si>
    <t>Terlepas dari goal kedua argentina yang bagus, sebagian pemainnya agak kntol + didkung wasit</t>
  </si>
  <si>
    <t>terlepas dari goal kedua argentina yang bagus sebagian pemainnya agak kntol didkung wasit</t>
  </si>
  <si>
    <t>['terlepas', 'goal', 'kedua', 'argentina', 'bagus', 'sebagian', 'pemainnya', 'kntol', 'didkung', 'wasit']</t>
  </si>
  <si>
    <t>@Danang_Ardii @Box2BoxBola Bukan. Argentina harus cetak gol pertama. Makanya wasit selalu nyari celah buat ngasih penalti. Gol pertama, bakal bikin lawan main lebih terbuka, ujung-ujungnya dapet gol ke dua. Skemanya persis kaya match vs Kroasia.</t>
  </si>
  <si>
    <t>ardii bukan argentina harus cetak gol pertama makanya wasit selalu nyari celah buat ngasih penalti gol pertama bakal bikin lawan main lebih terbuka ujung ujungnya dapet gol dua skemanya persis kaya match kroasia</t>
  </si>
  <si>
    <t>['ardii', 'bukan', 'argentina', 'cetak', 'gol', 'pertama', 'makanya', 'wasit', 'selalu', 'nyari', 'celah', 'buat', 'ngasih', 'penalti', 'gol', 'pertama', 'bakal', 'lawan', 'main', 'lebih', 'terbuka', 'ujung', 'ujungnya', 'dapat', 'gol', 'skemanya', 'persis', 'kaya', 'match', 'kroasia']</t>
  </si>
  <si>
    <t>Wasit jangan ketara2 amad lah dukung Argentina wkwkw</t>
  </si>
  <si>
    <t>wasit jangan ketara amad lah dukung argentina wkwkw</t>
  </si>
  <si>
    <t>['wasit', 'jangan', 'ketara', 'amad', 'lah', 'dukung', 'argentina', 'wkwkw']</t>
  </si>
  <si>
    <t>Argentina bayar wasit anjeng</t>
  </si>
  <si>
    <t>argentina bayar wasit anjeng</t>
  </si>
  <si>
    <t>['argentina', 'bayar', 'wasit', 'anjeng']</t>
  </si>
  <si>
    <t>Udh jelas kan ini wasit dibayar buat menangin Argentina,, td di reply pemain France yg ngambil bola duluan malah dikasi foul wtf mana komentator nya diem aja anj.. #ArgentinaVsFrance</t>
  </si>
  <si>
    <t>udh jelas kan ini wasit dibayar buat menangin argentina reply pemain france ngambil bola duluan malah dikasi foul wtf mana komentator nya diem aja anj</t>
  </si>
  <si>
    <t>['sudah', 'jelas', 'kan', 'wasit', 'dibayar', 'buat', 'menangin', 'argentina', 'reply', 'pemain', 'france', 'ngambil', 'bola', 'duluan', 'malah', 'dikasi', 'foul', 'wtf', 'mana', 'komentator', 'diem', 'anj']</t>
  </si>
  <si>
    <t>Fix wasit nya dari Argentina</t>
  </si>
  <si>
    <t>fix wasit nya dari argentina</t>
  </si>
  <si>
    <t>['fix', 'wasit', 'argentina']</t>
  </si>
  <si>
    <t>Argentina gesek voucher teross, wasit tolol emang</t>
  </si>
  <si>
    <t>argentina gesek voucher teross wasit tolol emang</t>
  </si>
  <si>
    <t>['argentina', 'gesek', 'voucher', 'teross', 'wasit', 'tolol', 'emang']</t>
  </si>
  <si>
    <t>@arvaen_ aneh gua yg di nilai tuh intinya aja . penaltinya layak apa kagak. ngapa jd cara main . mau di sleding gmn jg kalo kagak penalti mah  ya g penalti. wasit masa mikir ini argentina gaya mainya bola selalu di kaki jd harus sering dapet penalti. aneh</t>
  </si>
  <si>
    <t>aneh gua nilai tuh intinya aja penaltinya layak apa kagak ngapa cara main mau sleding gmn kalo kagak penalti mah penalti wasit masa mikir ini argentina gaya mainya bola selalu kaki harus sering dapet penalti aneh</t>
  </si>
  <si>
    <t>['aneh', 'gua', 'nilai', 'intinya', 'penaltinya', 'layak', 'apa', 'kagak', 'ngapa', 'cara', 'main', 'mau', 'sleding', 'gmn', 'kagak', 'penalti', 'mah', 'penalti', 'wasit', 'masa', 'mikir', 'argentina', 'gaya', 'mainya', 'bola', 'selalu', 'kaki', 'sering', 'dapat', 'penalti', 'aneh']</t>
  </si>
  <si>
    <t>wasit teamnya argentina ya ?</t>
  </si>
  <si>
    <t>wasit teamnya argentina</t>
  </si>
  <si>
    <t>['wasit', 'teamnya', 'argentina']</t>
  </si>
  <si>
    <t>fix argentina bolo wasit</t>
  </si>
  <si>
    <t>['fix', 'argentina', 'bolo', 'wasit']</t>
  </si>
  <si>
    <t>Dan terjadi.. tp bakal byk yg bilang Argentina dibantu wasit bahkan FIFA ü§£</t>
  </si>
  <si>
    <t>dan terjadi bakal byk bilang argentina dibantu wasit bahkan fifa</t>
  </si>
  <si>
    <t>['terjadi', 'bakal', 'byk', 'argentina', 'dibantu', 'wasit', 'bahkan', 'fifa']</t>
  </si>
  <si>
    <t>@idextratime Mental Prancis hancur gara2 Argentina dikasih pinalti, itu lah taktik pengecut Argentina..menit2 awal nyari pinalti, akhirnya kiper JD takut, pemain juga down Krn wasit membela Argentina.. udah ketahuan lah juara settingan</t>
  </si>
  <si>
    <t>mental prancis hancur gara argentina dikasih pinalti itu lah taktik pengecut argentina menit awal nyari pinalti akhirnya kiper takut pemain juga down krn wasit membela argentina udah ketahuan lah juara settingan</t>
  </si>
  <si>
    <t>['mental', 'prancis', 'hancur', 'gara', 'argentina', 'dikasih', 'penalti', 'lah', 'taktik', 'pengecut', 'argentina', 'menit', 'awal', 'nyari', 'penalti', 'akhirnya', 'kiper', 'takut', 'pemain', 'down', 'wasit', 'membela', 'argentina', 'udah', 'ketahuan', 'lah', 'juara', 'settingan']</t>
  </si>
  <si>
    <t>Anj Wasit td senyum ke pemain Argentina tau dia udh dibayar fifa buat menangin world cup</t>
  </si>
  <si>
    <t>anj wasit senyum pemain argentina tau dia udh dibayar fifa buat menangin world cup</t>
  </si>
  <si>
    <t>['anj', 'wasit', 'senyum', 'pemain', 'argentina', 'sudah', 'dibayar', 'fifa', 'buat', 'menangin', 'world', 'cup']</t>
  </si>
  <si>
    <t>dejavu kayak lawan kroasia ya jadinya   terlepas penalti argentina hampir dtiap pertandingan ....perancis keren lah klo bisa balikkan keputusan wasit</t>
  </si>
  <si>
    <t>dejavu kayak lawan kroasia jadinya terlepas penalti argentina hampir dtiap pertandingan perancis keren lah klo bisa balikkan keputusan wasit</t>
  </si>
  <si>
    <t>['dejavu', 'seperti', 'lawan', 'kroasia', 'jadinya', 'terlepas', 'penalti', 'argentina', 'hampir', 'dtiap', 'pertandingan', 'perancis', 'keren', 'lah', 'balikkan', 'keputusan', 'wasit']</t>
  </si>
  <si>
    <t>aturan wasit lawan argentina = dilarang menyentuh pemaij argentina sedikit pun. kalo ngeyel auto kena pinalti tanpa cek var wkwkwk</t>
  </si>
  <si>
    <t>aturan wasit lawan argentina dilarang menyentuh pemaij argentina sedikit pun kalo ngeyel auto kena pinalti tanpa cek var wkwkwk</t>
  </si>
  <si>
    <t>['aturan', 'wasit', 'lawan', 'argentina', 'dilarang', 'menyentuh', 'pemaij', 'argentina', 'sedikit', 'ngeyel', 'auto', 'kena', 'penalti', 'cek', 'var', 'wkwkwk']</t>
  </si>
  <si>
    <t>@idextratime Argentina main tarkam, wasit main mata. Kasiii trophy nya kasiiiiii</t>
  </si>
  <si>
    <t>argentina main tarkam wasit main mata kasiii trophy nya kasiiiiii</t>
  </si>
  <si>
    <t>['argentina', 'main', 'tarkam', 'wasit', 'main', 'mata', 'kasiii', 'trophy', 'kasiiiiii']</t>
  </si>
  <si>
    <t>Udah ga mungkin ini perancis menang, wasit ga ngeluarin kartu, wasit ga ngecek var, pemain argentina berdrama bwt buang2 waktu walau unggul 2-0 ü§£</t>
  </si>
  <si>
    <t>udah mungkin ini perancis menang wasit ngeluarin kartu wasit ngecek var pemain argentina berdrama bwt buang waktu walau unggul</t>
  </si>
  <si>
    <t>['udah', 'mungkin', 'perancis', 'menang', 'wasit', 'ngeluarin', 'kartu', 'wasit', 'ngecek', 'var', 'pemain', 'argentina', 'berdrama', 'bwt', 'buang', 'waktu', 'unggul']</t>
  </si>
  <si>
    <t>Wasit haram jadah gak di apa apain de Maria jatoh sendiri Argentina dibantu wasit lagi gaess...  https://t.co/NGhNXEztbT</t>
  </si>
  <si>
    <t>wasit haram jadah gak apa apain maria jatoh sendiri argentina dibantu wasit lagi gaess</t>
  </si>
  <si>
    <t>['wasit', 'haram', 'jadah', 'apa', 'apain', 'maria', 'jatoh', 'sendiri', 'argentina', 'dibantu', 'wasit', 'gaess']</t>
  </si>
  <si>
    <t>Dukung prancis tapi argentina maenna bagus gening ü•∂  Hanyakal tadi dikasih give away pinalti sama wasit hoho  G apa2 ttp dukung prancis hayyu gasss ngeng</t>
  </si>
  <si>
    <t>dukung prancis tapi argentina maenna bagus gening hanyakal tadi dikasih give away pinalti sama wasit hoho apa ttp dukung prancis hayyu gasss ngeng</t>
  </si>
  <si>
    <t>['dukung', 'prancis', 'argentina', 'maenna', 'bagus', 'gening', 'hanyakal', 'tadi', 'dikasih', 'give', 'away', 'penalti', 'sama', 'wasit', 'hoho', 'apa', 'ttp', 'dukung', 'prancis', 'hayyu', 'gasss', 'ngeng']</t>
  </si>
  <si>
    <t>@IDGoonerscom Argentina main tarkam, wasit main mata. Dahlah. Kasi trophy kasiii</t>
  </si>
  <si>
    <t>argentina main tarkam wasit main mata dahlah kasi trophy kasiii</t>
  </si>
  <si>
    <t>['argentina', 'main', 'tarkam', 'wasit', 'main', 'mata', 'dahlah', 'kasi', 'trophy', 'kasiii']</t>
  </si>
  <si>
    <t>@jebreeetmedia @433 Enggak, wasit bantu argentina</t>
  </si>
  <si>
    <t>enggak wasit bantu argentina</t>
  </si>
  <si>
    <t>['enggak', 'wasit', 'bantu', 'argentina']</t>
  </si>
  <si>
    <t>Terulang lagi Argentina dibantu wasit</t>
  </si>
  <si>
    <t>terulang lagi argentina dibantu wasit</t>
  </si>
  <si>
    <t>['terulang', 'argentina', 'dibantu', 'wasit']</t>
  </si>
  <si>
    <t>@SiaranBolaLive Selamat argentina juara dibantu wasit</t>
  </si>
  <si>
    <t>selamat argentina juara dibantu wasit</t>
  </si>
  <si>
    <t>['selamat', 'argentina', 'juara', 'dibantu', 'wasit']</t>
  </si>
  <si>
    <t>Kotor kali permainannya Argentina ini, wasit nya pun macem di suap üò§ #FIFAWorldCup #ArgentinaVsFrance</t>
  </si>
  <si>
    <t>kotor kali permainannya argentina ini wasit nya pun macem suap</t>
  </si>
  <si>
    <t>['kotor', 'kali', 'permainannya', 'argentina', 'wasit', 'macem', 'suap']</t>
  </si>
  <si>
    <t>@idextratime Prancis bukan takut pada Argentina tapi pada wasit karena udah di bayar Argentina</t>
  </si>
  <si>
    <t>prancis bukan takut pada argentina tapi pada wasit karena udah bayar argentina</t>
  </si>
  <si>
    <t>['prancis', 'bukan', 'takut', 'argentina', 'wasit', 'udah', 'bayar', 'argentina']</t>
  </si>
  <si>
    <t>@detiksport Argentina memalukan!!! Selalu dapat hadiah penlty dr wasit tnp check VAR terlebih dahulu. Benar kata Modric, ‚ÄúBerikan aja langsug pialanya ke Argentina‚Äù</t>
  </si>
  <si>
    <t>argentina memalukan selalu dapat hadiah penlty wasit tnp check var terlebih dahulu benar kata modric berikan aja langsug pialanya argentina</t>
  </si>
  <si>
    <t>['argentina', 'memalukan', 'selalu', 'hadiah', 'penlty', 'wasit', 'tnp', 'check', 'var', 'terlebih', 'benar', 'kata', 'modric', 'berikan', 'langsug', 'pialanya', 'argentina']</t>
  </si>
  <si>
    <t>Argentina control the game + wasit agak berat sebelah. Kelar ini Prancis.</t>
  </si>
  <si>
    <t>argentina control the game wasit agak berat sebelah kelar ini prancis</t>
  </si>
  <si>
    <t>['argentina', 'control', 'the', 'game', 'wasit', 'berat', 'sebelah', 'kelar', 'prancis']</t>
  </si>
  <si>
    <t>boring banget nih final, tambah lagi keputusan wasit yang agak condong ke Argentina sih rasanya</t>
  </si>
  <si>
    <t>boring banget nih final tambah lagi keputusan wasit yang agak condong argentina sih rasanya</t>
  </si>
  <si>
    <t>['boring', 'banget', 'final', 'tambah', 'keputusan', 'wasit', 'condong', 'argentina', 'rasanya']</t>
  </si>
  <si>
    <t>@arvaen_ final ini wasit harus lebih mikir ambil keputusan . var kagak di cek.  dari match2 sebelumnya jg udah keliatan. berapa kali france dapet penalti di pildun ini ? argentina berapa kali?</t>
  </si>
  <si>
    <t>final ini wasit harus lebih mikir ambil keputusan var kagak cek dari match sebelumnya udah keliatan berapa kali france dapet penalti pildun ini argentina berapa kali</t>
  </si>
  <si>
    <t>['final', 'wasit', 'lebih', 'mikir', 'ambil', 'keputusan', 'var', 'kagak', 'cek', 'match', 'sebelumnya', 'udah', 'keliatan', 'berapa', 'kali', 'france', 'dapat', 'penalti', 'piala dunia', 'argentina', 'berapa', 'kali']</t>
  </si>
  <si>
    <t>Dah kasih aj utk Messi, lha tiap main kok dapat penalti. Sentuhan2 minimal langsung priitt. Galak bener wasit klu Argentina main. Turnamennya adidas dab.</t>
  </si>
  <si>
    <t>dah kasih utk messi lha tiap main kok dapat penalti sentuhan minimal langsung priitt galak bener wasit klu argentina main turnamennya adidas dab</t>
  </si>
  <si>
    <t>['dah', 'kasih', 'messi', 'lha', 'tiap', 'main', 'kok', 'penalti', 'sentuhan', 'minimal', 'langsung', 'priitt', 'galak', 'benar', 'wasit', 'klu', 'argentina', 'main', 'turnamennya', 'adidas', 'dab']</t>
  </si>
  <si>
    <t>Argentina menang 1-0 Jelas sekali dibantu penalti kontroversial. Argentina sejak dari penyisihan grup dibantu penalti. Wasit tidak melihat VAR  .  Tetap optimis pegang Perancis  . #penalti #penalty</t>
  </si>
  <si>
    <t>argentina menang jelas sekali dibantu penalti kontroversial argentina sejak dari penyisihan grup dibantu penalti wasit tidak melihat var tetap optimis pegang perancis</t>
  </si>
  <si>
    <t>['argentina', 'menang', 'jelas', 'sekali', 'dibantu', 'penalti', 'kontroversial', 'argentina', 'sejak', 'penyisihan', 'grup', 'dibantu', 'penalti', 'wasit', 'melihat', 'var', 'tetap', 'optimis', 'pegang', 'perancis']</t>
  </si>
  <si>
    <t>@PorosHalangID Harusnya final begini wasit harus tegas dan adil, tapi kalo ngerugiin Argentina gpp</t>
  </si>
  <si>
    <t>harusnya final begini wasit harus tegas dan adil tapi kalo ngerugiin argentina gpp</t>
  </si>
  <si>
    <t>['harusnya', 'final', 'begini', 'wasit', 'tegas', 'adil', 'ngerugiin', 'argentina', 'gapapa']</t>
  </si>
  <si>
    <t>Anjirrr, wasit ga pake liat VAR lagi.. Asal ada pemaen argentina jatuh langsung semprittt penalti.. Geus maen panon ieu mah</t>
  </si>
  <si>
    <t>anjirrr wasit pake liat var lagi asal ada pemaen argentina jatuh langsung semprittt penalti geus maen panon ieu mah</t>
  </si>
  <si>
    <t>['anjirrr', 'wasit', 'pake', 'lihat', 'var', 'asal', 'pemaen', 'argentina', 'jatuh', 'langsung', 'semprittt', 'penalti', 'geus', 'maen', 'panon', 'ieu', 'mah']</t>
  </si>
  <si>
    <t>udah fix argentina. wasit sangat berpihak</t>
  </si>
  <si>
    <t>udah fix argentina wasit sangat berpihak</t>
  </si>
  <si>
    <t>['udah', 'fix', 'argentina', 'wasit', 'sangat', 'berpihak']</t>
  </si>
  <si>
    <t>Selama piala dunia Qatar Argentina sudah dapat 5x hadiah penalti dari wasit üòõüòõüòõüòõü§îü§îü§îü§î #ArgentinaVsFrance #WorldCup #penaltiargentina</t>
  </si>
  <si>
    <t>selama piala dunia qatar argentina sudah dapat hadiah penalti dari wasit</t>
  </si>
  <si>
    <t>['selama', 'piala', 'dunia', 'qatar', 'argentina', 'hadiah', 'penalti', 'wasit']</t>
  </si>
  <si>
    <t>Prancis vs Argentina+Wasit</t>
  </si>
  <si>
    <t>prancis argentina wasit</t>
  </si>
  <si>
    <t>['prancis', 'argentina', 'wasit']</t>
  </si>
  <si>
    <t>Nonton Argentina üá¶üá∑ - Perancis üá´üá∑ lahhh tiap kali ngeliat wasit pertandingan ini kok ya langsung ingat Om @maman1965 heheheh   Btw kopi Komeng darimu tempo hari genap ludes malam ini nih om Maman heheheh</t>
  </si>
  <si>
    <t>nonton argentina perancis lahhh tiap kali ngeliat wasit pertandingan ini kok langsung ingat heheheh btw kopi komeng darimu tempo hari genap ludes malam ini nih maman heheheh</t>
  </si>
  <si>
    <t>['nonton', 'argentina', 'perancis', 'lahhh', 'tiap', 'kali', 'ngeliat', 'wasit', 'pertandingan', 'kok', 'langsung', 'ingat', 'heheheh', 'by the way', 'kopi', 'komeng', 'darimu', 'tempo', 'hari', 'genap', 'ludes', 'malam', 'maman', 'heheheh']</t>
  </si>
  <si>
    <t>Bener nih, arah angin wasit ke Argentina</t>
  </si>
  <si>
    <t>bener nih arah angin wasit argentina</t>
  </si>
  <si>
    <t>['benar', 'arah', 'angin', 'wasit', 'argentina']</t>
  </si>
  <si>
    <t>Argentina diewangi wasit</t>
  </si>
  <si>
    <t>argentina diewangi wasit</t>
  </si>
  <si>
    <t>['argentina', 'diewangi', 'wasit']</t>
  </si>
  <si>
    <t>Maunya sih Argentina juara karena pgn lihat messi angkat piala, tapi knp wasit nya kok kayak gini. Pinaltinya gak fair banget, Di Maria keliatan divingnya kasian Prancis ya</t>
  </si>
  <si>
    <t>maunya sih argentina juara karena pgn lihat messi angkat piala tapi knp wasit nya kok kayak gini pinaltinya gak fair banget maria keliatan divingnya kasian prancis</t>
  </si>
  <si>
    <t>['maunya', 'argentina', 'juara', 'ingin', 'lihat', 'messi', 'angkat', 'piala', 'kenapa', 'wasit', 'kok', 'seperti', 'gini', 'pinaltinya', 'fair', 'banget', 'maria', 'keliatan', 'divingnya', 'kasian', 'prancis']</t>
  </si>
  <si>
    <t>@danidanii55 @idextratime Iya aneh bet argentina menang dibantu wasit penalti lah, pas kalah sama arab bacotin messi juga</t>
  </si>
  <si>
    <t>iya aneh bet argentina menang dibantu wasit penalti lah pas kalah sama arab bacotin messi juga</t>
  </si>
  <si>
    <t>['iya', 'aneh', 'bet', 'argentina', 'menang', 'dibantu', 'wasit', 'penalti', 'lah', 'pas', 'kalah', 'sama', 'arab', 'bacotin', 'messi']</t>
  </si>
  <si>
    <t>padahal tadinya b aja ama perancis, tapi setelah liat gimana gampangnya argentina selalu dapet penalti, gue jadi berat ke perancis. semoga mereka bisa balas dengan goal yang lebih terhormat dari sekedar gol hasil belas kasih wasit üòè</t>
  </si>
  <si>
    <t>padahal tadinya aja ama perancis tapi setelah liat gimana gampangnya argentina selalu dapet penalti gue jadi berat perancis semoga mereka bisa balas dengan goal yang lebih terhormat dari sekedar gol hasil belas kasih wasit</t>
  </si>
  <si>
    <t>['padahal', 'tadinya', 'ama', 'perancis', 'lihat', 'gimana', 'gampangnya', 'argentina', 'selalu', 'dapat', 'penalti', 'gue', 'jadi', 'berat', 'perancis', 'semoga', 'balas', 'goal', 'lebih', 'terhormat', 'sekedar', 'gol', 'hasil', 'belas', 'kasih', 'wasit']</t>
  </si>
  <si>
    <t>Setelah kekalahan Argentina dari arab saudi, wasit FIFA langsung gercep2 kasih penalti ke argentina.. Sangat bernafsu memenangkan messi piala dunia..</t>
  </si>
  <si>
    <t>setelah kekalahan argentina dari arab saudi wasit fifa langsung gercep kasih penalti argentina sangat bernafsu memenangkan messi piala dunia</t>
  </si>
  <si>
    <t>['kekalahan', 'argentina', 'arab', 'saudi', 'wasit', 'fifa', 'langsung', 'gerak cepat', 'kasih', 'penalti', 'argentina', 'sangat', 'bernafsu', 'memenangkan', 'messi', 'piala', 'dunia']</t>
  </si>
  <si>
    <t>@Dyatmikha Biar messi enak pensiunnya jo, ini France vs Argentina, wasit, VAR, Fifa ü§£</t>
  </si>
  <si>
    <t>biar messi enak pensiunnya ini france argentina wasit var fifa</t>
  </si>
  <si>
    <t>['messi', 'enak', 'pensiunnya', 'france', 'argentina', 'wasit', 'var', 'fifa']</t>
  </si>
  <si>
    <t>wasit goblok lindungin aja trs argentina</t>
  </si>
  <si>
    <t>['wasit', 'goblok', 'lindungin', 'terus', 'argentina']</t>
  </si>
  <si>
    <t>@idextratime Argentina pp, wasit ngentt</t>
  </si>
  <si>
    <t>argentina wasit ngentt</t>
  </si>
  <si>
    <t>['argentina', 'wasit', 'ngentt']</t>
  </si>
  <si>
    <t>Wasit asli berat sebelah, de Paul 2x pelanggaran berat ga dikasih kartu, bener kata @CoachJustinL semesta mendukung Messi dan Argentina. #argenfifa</t>
  </si>
  <si>
    <t>wasit asli berat sebelah paul pelanggaran berat dikasih kartu bener kata semesta mendukung messi dan argentina</t>
  </si>
  <si>
    <t>['wasit', 'asli', 'berat', 'sebelah', 'paul', 'pelanggaran', 'berat', 'dikasih', 'kartu', 'benar', 'kata', 'semesta', 'mendukung', 'messi', 'argentina']</t>
  </si>
  <si>
    <t>Wasitnya tolol. Argentina sering dapat advantage dari wasit melalui pelanggaran minor di kotak pinalti. Parahnya, wasitnya sama sekali tidak berinisiatif cek VAR.  #WorldCup #FIFAWorldCup #ArgentinaVsFrance</t>
  </si>
  <si>
    <t>wasitnya tolol argentina sering dapat advantage dari wasit melalui pelanggaran minor kotak pinalti parahnya wasitnya sama sekali tidak berinisiatif cek var</t>
  </si>
  <si>
    <t>['wasitnya', 'tolol', 'argentina', 'sering', 'advantage', 'wasit', 'melalui', 'pelanggaran', 'minor', 'kotak', 'penalti', 'parahnya', 'wasitnya', 'sama', 'sekali', 'berinisiatif', 'cek', 'var']</t>
  </si>
  <si>
    <t>@pfh23 @idextratime kecuali vs mexico sama australia doang wkwk, wasit fetish ngasih penalti ke argentina</t>
  </si>
  <si>
    <t>kecuali mexico sama australia doang wkwk wasit fetish ngasih penalti argentina</t>
  </si>
  <si>
    <t>['mexico', 'sama', 'australia', 'doang', 'wasit', 'fetish', 'ngasih', 'penalti', 'argentina']</t>
  </si>
  <si>
    <t>Argentina kalau gak dibantu Wasit aslinya sama PSIS semarang kalah</t>
  </si>
  <si>
    <t>argentina kalau gak dibantu wasit aslinya sama psis semarang kalah</t>
  </si>
  <si>
    <t>['argentina', 'kalau', 'dibantu', 'wasit', 'aslinya', 'sama', 'psis', 'semarang', 'kalah']</t>
  </si>
  <si>
    <t>Penalti untuk Argentina.  Gol Messi.  Pemain Prancis sebetulnya bisa minta wasit untuk cek Var. Karena dari tayangan ulang di TV minim sentuhan kepada Dimaria yang kemudian jatuh.</t>
  </si>
  <si>
    <t>penalti untuk argentina gol messi pemain prancis sebetulnya bisa minta wasit untuk cek var karena dari tayangan ulang minim sentuhan kepada dimaria yang kemudian jatuh</t>
  </si>
  <si>
    <t>['penalti', 'argentina', 'gol', 'messi', 'pemain', 'prancis', 'minta', 'wasit', 'cek', 'var', 'tayangan', 'ulang', 'minim', 'sentuhan', 'dimaria', 'kemudian', 'jatuh']</t>
  </si>
  <si>
    <t>wasit dibayar nih sama argentina wuuuuuu messi anak media</t>
  </si>
  <si>
    <t>['wasit', 'dibayar', 'sama', 'argentina', 'wuuuuuu', 'messi', 'anak', 'media']</t>
  </si>
  <si>
    <t>@idextratime IYA DIVING LAH. EMANG DAH ARGENTINA PALING JAGO PELET WASIT BIAR DAPET PENALTY DAN NGANDALIN LORD MESSI</t>
  </si>
  <si>
    <t>iya diving lah emang dah argentina paling jago pelet wasit biar dapet penalty dan ngandalin lord messi</t>
  </si>
  <si>
    <t>['iya', 'diving', 'lah', 'emang', 'dah', 'argentina', 'paling', 'jago', 'pelet', 'wasit', 'dapat', 'penalty', 'ngandalin', 'lord', 'messi']</t>
  </si>
  <si>
    <t>gw dukung Argentina, tapi masa Dembele nyentuh Dimaria kek gtu penalty anjiiiing.. wasit tolol.. kaga seru jadinya cooook.. Argentina bisa nge golin tanpa drama¬≤ an jatuh...</t>
  </si>
  <si>
    <t>dukung argentina tapi masa dembele nyentuh dimaria kek gtu penalty anjiiiing wasit tolol kaga seru jadinya cooook argentina bisa nge golin tanpa drama jatuh</t>
  </si>
  <si>
    <t>['dukung', 'argentina', 'masa', 'dembele', 'nyentuh', 'dimaria', 'kek', 'gtu', 'penalty', 'anjiiiing', 'wasit', 'tolol', 'kaga', 'seru', 'jadinya', 'cooook', 'argentina', 'nge', 'golin', 'drama', 'jatuh']</t>
  </si>
  <si>
    <t>Klo kata tmn gw argentina bersama wasit, prancis bersama Allah hahahahhaa</t>
  </si>
  <si>
    <t>klo kata tmn argentina bersama wasit prancis bersama allah hahahahhaa</t>
  </si>
  <si>
    <t>['kata', 'tmn', 'argentina', 'bersama', 'wasit', 'prancis', 'bersama', 'allah', 'hahahahhaa']</t>
  </si>
  <si>
    <t>Bruh, brp pinalti wasit ngasih argentina di world cup ini? ü§®</t>
  </si>
  <si>
    <t>bruh brp pinalti wasit ngasih argentina world cup ini</t>
  </si>
  <si>
    <t>['bruh', 'brp', 'penalti', 'wasit', 'ngasih', 'argentina', 'world', 'cup']</t>
  </si>
  <si>
    <t>Berbagai konspirasi tentang para wasit bias ke Argentina harus diakui memang masuk akal.  Yang paling ngawur cuma klaim Portugal abis kalah lawan Maroko üòÖ</t>
  </si>
  <si>
    <t>berbagai konspirasi tentang para wasit bias argentina harus diakui memang masuk akal yang paling ngawur cuma klaim portugal abis kalah lawan maroko</t>
  </si>
  <si>
    <t>['berbagai', 'konspirasi', 'wasit', 'bias', 'argentina', 'diakui', 'memang', 'masuk', 'akal', 'paling', 'ngawur', 'cuma', 'klaim', 'portugal', 'abis', 'kalah', 'lawan', 'maroko']</t>
  </si>
  <si>
    <t>Para pendukung teori konspirasi "FIFA pengen Argentina juara" akan semakin kesal melihat lagi-lagi hadiah penalti dari wasit untuk Argentina (Messi)  Hahhahaha</t>
  </si>
  <si>
    <t>para pendukung teori konspirasi fifa pengen argentina juara akan semakin kesal melihat lagi lagi hadiah penalti dari wasit untuk argentina messi hahhahaha</t>
  </si>
  <si>
    <t>['pendukung', 'teori', 'konspirasi', 'fifa', 'pengen', 'argentina', 'juara', 'semakin', 'kesal', 'melihat', 'hadiah', 'penalti', 'wasit', 'argentina', 'messi', 'hahhahaha']</t>
  </si>
  <si>
    <t>Benar kata mafia wasit mbah @MafiaWasit , argentina mesti selalu dapat hadiah penalti</t>
  </si>
  <si>
    <t>benar kata mafia wasit mbah argentina mesti selalu dapat hadiah penalti</t>
  </si>
  <si>
    <t>['benar', 'kata', 'mafia', 'wasit', 'mbah', 'argentina', 'mesti', 'selalu', 'hadiah', 'penalti']</t>
  </si>
  <si>
    <t>wkwkwkwk semua orang di dunia menginginkan Messi angkat piala sebelum purna wasit salah satunya ü§≠ sudah ambil 1 kesempatan masih 1 lagi dana umum buat Argentina</t>
  </si>
  <si>
    <t>wkwkwkwk semua orang dunia menginginkan messi angkat piala sebelum purna wasit salah satunya sudah ambil kesempatan masih lagi dana umum buat argentina</t>
  </si>
  <si>
    <t>['wkwkwkwk', 'semua', 'orang', 'dunia', 'menginginkan', 'messi', 'angkat', 'piala', 'purna', 'wasit', 'salah', 'satunya', 'ambil', 'kesempatan', 'dana', 'umum', 'buat', 'argentina']</t>
  </si>
  <si>
    <t xml:space="preserve"> https://t.co/88DPJAFixN</t>
  </si>
  <si>
    <t>Sepanjang world Cup gampang bgt wasit kasih penalti buat Argentina</t>
  </si>
  <si>
    <t>sepanjang world cup gampang bgt wasit kasih penalti buat argentina</t>
  </si>
  <si>
    <t>['sepanjang', 'world', 'cup', 'gampang', 'banget', 'wasit', 'kasih', 'penalti', 'buat', 'argentina']</t>
  </si>
  <si>
    <t>@1trenggalek Argentina min, Wasit Penalty</t>
  </si>
  <si>
    <t>argentina min wasit penalty</t>
  </si>
  <si>
    <t>['argentina', 'min', 'wasit', 'penalty']</t>
  </si>
  <si>
    <t>Ncen Argentina dibelo wasit karo FIFA</t>
  </si>
  <si>
    <t>ncen argentina dibelo wasit karo fifa</t>
  </si>
  <si>
    <t>['ncen', 'argentina', 'dibelo', 'wasit', 'karo', 'fifa']</t>
  </si>
  <si>
    <t>Nek gak juara nemen argentina ki, wes dibelani wasit kaet laga awal sampek final padal</t>
  </si>
  <si>
    <t>nek gak juara nemen argentina wes dibelani wasit kaet laga awal sampek final padal</t>
  </si>
  <si>
    <t>['nek', 'juara', 'nemen', 'argentina', 'wes', 'dibelani', 'wasit', 'kaet', 'laga', 'awal', 'sampek', 'final', 'padal']</t>
  </si>
  <si>
    <t>Hahaha emang udah semesta dan wasit mengarah ke Argentina. Kalau gak menang emang tolol aja hahaha</t>
  </si>
  <si>
    <t>hahaha emang udah semesta dan wasit mengarah argentina kalau gak menang emang tolol aja hahaha</t>
  </si>
  <si>
    <t>['hahaha', 'emang', 'udah', 'semesta', 'wasit', 'mengarah', 'argentina', 'kalau', 'menang', 'emang', 'tolol', 'hahaha']</t>
  </si>
  <si>
    <t>Gileee argentina bantuan nya wasit wkwkk</t>
  </si>
  <si>
    <t>gileee argentina bantuan nya wasit wkwkk</t>
  </si>
  <si>
    <t>['gileee', 'argentina', 'bantuan', 'wasit', 'wkwkk']</t>
  </si>
  <si>
    <t>Pelatih argentina "bawa bola sampai kotak penalty lalu jatuh, wasit otomatis tiup pluit"</t>
  </si>
  <si>
    <t>pelatih argentina bawa bola sampai kotak penalty lalu jatuh wasit otomatis tiup pluit</t>
  </si>
  <si>
    <t>['pelatih', 'argentina', 'bawa', 'bola', 'kotak', 'penalty', 'lalu', 'jatuh', 'wasit', 'otomatis', 'tiup', 'pluit']</t>
  </si>
  <si>
    <t>Argentina 3 kali loh kasar dibiarin wasit, ini perancis dorong dikit penalti??? Wtf??</t>
  </si>
  <si>
    <t>argentina kali loh kasar dibiarin wasit ini perancis dorong dikit penalti wtf</t>
  </si>
  <si>
    <t>['argentina', 'kali', 'kasar', 'dibiarin', 'wasit', 'perancis', 'dorong', 'dikit', 'penalti', 'wtf']</t>
  </si>
  <si>
    <t>Argentina di tolong wasit berkali-kali lewat penalti.</t>
  </si>
  <si>
    <t>argentina tolong wasit berkali kali lewat penalti</t>
  </si>
  <si>
    <t>['argentina', 'wasit', 'berkali', 'kali', 'lewat', 'penalti']</t>
  </si>
  <si>
    <t>Argentina dukungan wasit kwwkw gk foul padahal</t>
  </si>
  <si>
    <t>argentina dukungan wasit kwwkw foul padahal</t>
  </si>
  <si>
    <t>['argentina', 'dukungan', 'wasit', 'kwwkw', 'foul', 'padahal']</t>
  </si>
  <si>
    <t>DAMN YOU ARGENTINA suka tricky mempengaruhi wasit, maennya kasar... damn...  üò§üëä</t>
  </si>
  <si>
    <t>damn you argentina suka tricky mempengaruhi wasit maennya kasar damn</t>
  </si>
  <si>
    <t>['damn', 'you', 'argentina', 'suka', 'tricky', 'mempengaruhi', 'wasit', 'maennya', 'kasar', 'damn']</t>
  </si>
  <si>
    <t>Dahlah wasit.. Kasih mi Argentina pialanya.. Kodals..</t>
  </si>
  <si>
    <t>dahlah wasit kasih argentina pialanya kodals</t>
  </si>
  <si>
    <t>['dahlah', 'wasit', 'kasih', 'argentina', 'pialanya', 'kodals']</t>
  </si>
  <si>
    <t>Ayo wasittt berpihak ke argentina dong plsssssa lahh jangan kaya wasit bapuk maroko kemarinüò≠</t>
  </si>
  <si>
    <t>ayo wasittt berpihak argentina dong plsssssa lahh jangan kaya wasit bapuk maroko kemarin</t>
  </si>
  <si>
    <t>['ayo', 'wasittt', 'berpihak', 'argentina', 'dong', 'plsssssa', 'lahh', 'jangan', 'kaya', 'wasit', 'bapuk', 'maroko', 'kemarin']</t>
  </si>
  <si>
    <t>#LiveBolanet 0' Priiittt!!! Peluit dari wasit pertanda Kick off babak pertama sudah dimulai, Prediksi Bolaneters?  Argentina 0-0 Prancis</t>
  </si>
  <si>
    <t>priiittt peluit dari wasit pertanda kick off babak pertama sudah dimulai prediksi bolaneters argentina prancis</t>
  </si>
  <si>
    <t>['priiittt', 'peluit', 'wasit', 'pertanda', 'kick', 'off', 'babak', 'pertama', 'dimulai', 'prediksi', 'bolaneters', 'argentina', 'prancis']</t>
  </si>
  <si>
    <t>@CGRETSX @tanyarlfes 85% penjudi bakal pasang Argentina, pastilah bandar akan melakukan berbagai macam cara agar Perancis menang. Misal: gak ngasih free kick kurang dari 20 meter ke Argentina dengan nyogok wasit tentunya. Kita bisa liat seberapa adil wasi</t>
  </si>
  <si>
    <t>penjudi bakal pasang argentina pastilah bandar akan melakukan berbagai macam cara agar perancis menang misal gak ngasih free kick kurang dari meter argentina dengan nyogok wasit tentunya kita bisa liat seberapa adil wasi</t>
  </si>
  <si>
    <t>['penjudi', 'bakal', 'pasang', 'argentina', 'pastilah', 'bandar', 'melakukan', 'berbagai', 'macam', 'cara', 'perancis', 'menang', 'misal', 'ngasih', 'free', 'kick', 'kurang', 'meter', 'argentina', 'nyogok', 'wasit', 'tentunya', 'lihat', 'seberapa', 'adil', 'wasi']</t>
  </si>
  <si>
    <t>Oke, kita dah siap nobar Messi di Final #WorldCup 2022 Argentina vs Perancis!!  https://t.co/e2UWNcNmqq</t>
  </si>
  <si>
    <t>oke kita dah siap nobar messi final argentina perancis</t>
  </si>
  <si>
    <t>['oke', 'dah', 'siap', 'nonton bareng', 'messi', 'final', 'argentina', 'perancis']</t>
  </si>
  <si>
    <t>nyatanya si panitia ketakutan lihat portugal setelah match lawan swiss.. mereka pun masang 3 wasit asal argentina saat 1/4 final lawan maroko.. BOOM, success, portugal berhasil dipulangin.. di 1/4 lain, si panitia berusaha keras agar tim anak fifa dapet calon lawan segam (cont..)</t>
  </si>
  <si>
    <t>nyatanya panitia ketakutan lihat portugal setelah match lawan swiss mereka pun masang wasit asal argentina saat final lawan maroko boom success portugal berhasil dipulangin lain panitia berusaha keras agar tim anak fifa dapet calon lawan segam cont</t>
  </si>
  <si>
    <t>['nyatanya', 'panitia', 'ketakutan', 'lihat', 'portugal', 'match', 'lawan', 'swiss', 'masang', 'wasit', 'asal', 'argentina', 'final', 'lawan', 'maroko', 'boom', 'success', 'portugal', 'berhasil', 'dipulangin', 'panitia', 'berusaha', 'keras', 'tim', 'anak', 'fifa', 'dapat', 'calon', 'lawan', 'segam', 'cont']</t>
  </si>
  <si>
    <t>@keuangannews_id Aktivis: diduga wasit dikuasai argentina,perancis dapat kalah di pildun 2022. Bosok...  Ini akun twitter harusnya dikasih nama politik dan uang.  Kalimat2 ini pernah muncul ketika jokowi nyapres.</t>
  </si>
  <si>
    <t>aktivis diduga wasit dikuasai argentina perancis dapat kalah pildun bosok ini akun twitter harusnya dikasih nama politik dan uang kalimat ini pernah muncul ketika jokowi nyapres</t>
  </si>
  <si>
    <t>['aktivis', 'diduga', 'wasit', 'dikuasai', 'argentina', 'perancis', 'kalah', 'piala dunia', 'bosok', 'akun', 'twitter', 'harusnya', 'dikasih', 'nama', 'politik', 'uang', 'kalimat', 'pernah', 'muncul', 'jokowi', 'nyapres']</t>
  </si>
  <si>
    <t>1986: Wasit pertandingan final adalah Romualdo Arppi Filho yang lahir pada tanggal 7 Januari 1986: Argentina juara Piala Dunia  2022: Wasit pertandingan final adalah Szymon Marciniak yang lahir pada tanggal 7 Januari 2022: Argentina juara Piala Dunia??  https://t.co/CrC2TP3kWi</t>
  </si>
  <si>
    <t>wasit pertandingan final adalah romualdo arppi filho yang lahir pada tanggal januari argentina juara piala dunia wasit pertandingan final adalah szymon marciniak yang lahir pada tanggal januari argentina juara piala dunia</t>
  </si>
  <si>
    <t>['wasit', 'pertandingan', 'final', 'romualdo', 'arppi', 'filho', 'lahir', 'tanggal', 'januari', 'argentina', 'juara', 'piala', 'dunia', 'wasit', 'pertandingan', 'final', 'szymon', 'marciniak', 'lahir', 'tanggal', 'januari', 'argentina', 'juara', 'piala', 'dunia']</t>
  </si>
  <si>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</si>
  <si>
    <t>sebentar kita melihat prancis melawan pemain pemain argentina semua tamatan diving shcool wasit sbg orkestranya emang kecepatan dan akurasi lah menang bravo prancis jika prancis calmdown gol tanpa balasan bila wasit orkestra ulung gol utk argentina</t>
  </si>
  <si>
    <t>['sebentar', 'melihat', 'prancis', 'melawan', 'pemain', 'pemain', 'argentina', 'semua', 'tamatan', 'diving', 'shcool', 'wasit', 'sbg', 'orkestranya', 'emang', 'kecepatan', 'akurasi', 'lah', 'menang', 'bravo', 'prancis', 'prancis', 'calmdown', 'gol', 'balasan', 'bila', 'wasit', 'orkestra', 'ulung', 'gol', 'argentina']</t>
  </si>
  <si>
    <t>@idextratime 1986: wasit yang memimpin pertandingan final, romualdo arppi filho lahir pada 7 januari  1986: argentina juara  2022: wasit yang memimpin pertandingan final, szymon marciniak lahir pada 7 januari  2022: argentina juara??  https://t.co/DkJUHCM</t>
  </si>
  <si>
    <t>wasit yang memimpin pertandingan final romualdo arppi filho lahir pada januari argentina juara wasit yang memimpin pertandingan final szymon marciniak lahir pada januari argentina juara</t>
  </si>
  <si>
    <t>['wasit', 'memimpin', 'pertandingan', 'final', 'romualdo', 'arppi', 'filho', 'lahir', 'januari', 'argentina', 'juara', 'wasit', 'memimpin', 'pertandingan', 'final', 'szymon', 'marciniak', 'lahir', 'januari', 'argentina', 'juara']</t>
  </si>
  <si>
    <t>Ini Profil Wasit yang Pimpin Final Piala Dunia 2022 Prancis vs Argentina  https://t.co/Slw6sHIFw6</t>
  </si>
  <si>
    <t>ini profil wasit yang pimpin final piala dunia prancis argentina</t>
  </si>
  <si>
    <t>['profil', 'wasit', 'pimpin', 'final', 'piala', 'dunia', 'prancis', 'argentina']</t>
  </si>
  <si>
    <t>yakin Perancis bisa dominasi Argentina, yang cuma w takutin keputusan wasit ini bakal berimbang apa kaga aja nantiüòÇ</t>
  </si>
  <si>
    <t>yakin perancis bisa dominasi argentina yang cuma takutin keputusan wasit ini bakal berimbang apa kaga aja nanti</t>
  </si>
  <si>
    <t>['yakin', 'perancis', 'dominasi', 'argentina', 'cuma', 'takutin', 'keputusan', 'wasit', 'bakal', 'berimbang', 'apa', 'kaga']</t>
  </si>
  <si>
    <t>@UmarHasibuan77 Yang menang Perancis,  adapun score :  Perancis.   : 2 Argentina.  : 1 ini permainan, menang kalah sdh hukum sebuah  kompetisi,  nikmati proses permainan dgn kegembiraan dan hiburan olah raga,  buang jauh2 berpikir ini permainan sdh diatur</t>
  </si>
  <si>
    <t>yang menang perancis adapun score perancis argentina ini permainan menang kalah sdh hukum sebuah kompetisi nikmati proses permainan dgn kegembiraan dan hiburan olah raga buang jauh berpikir ini permainan sdh diatur</t>
  </si>
  <si>
    <t>['menang', 'perancis', 'adapun', 'score', 'perancis', 'argentina', 'permainan', 'menang', 'kalah', 'hukum', 'sebuah', 'kompetisi', 'nikmati', 'proses', 'permainan', 'kegembiraan', 'hiburan', 'olah', 'raga', 'buang', 'jauh', 'berpikir', 'permainan', 'diatur']</t>
  </si>
  <si>
    <t>Heran gue, sama orang yang pada ngira kalo Argentina bayar wasit. Kalah ya kalah aja anjg.</t>
  </si>
  <si>
    <t>heran gue sama orang yang pada ngira kalo argentina bayar wasit kalah kalah aja anjg</t>
  </si>
  <si>
    <t>['heran', 'gue', 'sama', 'orang', 'ngira', 'argentina', 'bayar', 'wasit', 'kalah', 'kalah', 'anjg']</t>
  </si>
  <si>
    <t>Kayanya Argentina sih? Ini semesta kaya mendukung banget Messi buat angkat piala. Mulai dari wasit dan para pemain lawan maupun kawan. Pasang judi gitu di Argentina adik adik sekalian?</t>
  </si>
  <si>
    <t>kayanya argentina sih ini semesta kaya mendukung banget messi buat angkat piala mulai dari wasit dan para pemain lawan maupun kawan pasang judi gitu argentina adik adik sekalian</t>
  </si>
  <si>
    <t>['kayanya', 'argentina', 'semesta', 'kaya', 'mendukung', 'banget', 'messi', 'buat', 'angkat', 'piala', 'mulai', 'wasit', 'pemain', 'lawan', 'maupun', 'kawan', 'pasang', 'judi', 'gitu', 'argentina', 'adik', 'adik', 'sekalian']</t>
  </si>
  <si>
    <t>Piala dunia nanti malem udah selesai. Gakuat cuk liat pemain yg nangis nanti üò≠üò≠üò≠  Ini argentina sama perancis langsung adu penalty aja sit wasit</t>
  </si>
  <si>
    <t>piala dunia nanti malem udah selesai gakuat cuk liat pemain nangis nanti ini argentina sama perancis langsung adu penalty aja sit wasit</t>
  </si>
  <si>
    <t>['piala', 'dunia', 'malem', 'udah', 'selesai', 'gakuat', 'cuk', 'lihat', 'pemain', 'nangis', 'argentina', 'sama', 'perancis', 'langsung', 'adu', 'penalty', 'sit', 'wasit']</t>
  </si>
  <si>
    <t>@ekaannass Argentina di bantu wasit, dpt pinalti terus</t>
  </si>
  <si>
    <t>argentina bantu wasit dpt pinalti terus</t>
  </si>
  <si>
    <t>['argentina', 'bantu', 'wasit', 'dpt', 'penalti', 'terus']</t>
  </si>
  <si>
    <t>moga wasit lebih mihak argentinaüôè</t>
  </si>
  <si>
    <t>moga wasit lebih mihak argentina</t>
  </si>
  <si>
    <t>['semoga', 'wasit', 'lebih', 'mihak', 'argentina']</t>
  </si>
  <si>
    <t>Argentina vs Prancis, Lionel Scaloni Berharap Wasit Berlaku Adil di Final Piala Dunia 2022  https://t.co/544ksputMC</t>
  </si>
  <si>
    <t>argentina prancis lionel scaloni berharap wasit berlaku adil final piala dunia</t>
  </si>
  <si>
    <t>['argentina', 'prancis', 'lionel', 'scaloni', 'berharap', 'wasit', 'berlaku', 'adil', 'final', 'piala', 'dunia']</t>
  </si>
  <si>
    <t>@Catatan_ali7 @ArwahMiliter WASIT MEMIHAK ARGENTINA AGAR BISA JUARA TAHUN INI. AKU TAU ITU SIASAT FIFA UNTUK MESSI.üòü</t>
  </si>
  <si>
    <t>ali wasit memihak argentina agar bisa juara tahun ini aku tau itu siasat fifa untuk messi</t>
  </si>
  <si>
    <t>['ali', 'wasit', 'memihak', 'argentina', 'juara', 'tahun', 'aku', 'siasat', 'fifa', 'messi']</t>
  </si>
  <si>
    <t>Senang jika Argentina kalah. Dari awal sudah terlalu banyak dibantu wasit</t>
  </si>
  <si>
    <t>senang jika argentina kalah dari awal sudah terlalu banyak dibantu wasit</t>
  </si>
  <si>
    <t>['senang', 'argentina', 'kalah', 'awal', 'terlalu', 'banyak', 'dibantu', 'wasit']</t>
  </si>
  <si>
    <t>@andihiyat Perancislah Argentina dibantu wasit masuk final</t>
  </si>
  <si>
    <t>perancislah argentina dibantu wasit masuk final</t>
  </si>
  <si>
    <t>['perancislah', 'argentina', 'dibantu', 'wasit', 'masuk', 'final']</t>
  </si>
  <si>
    <t>Argentina Vs Perancis, Penunjukan Wasit Szymon Marciniak Bangkitkan Kenangan Buruk Messi Halaman all ‚Äì Kompas ‚Äì  https://t.co/Dwn2keJwrv ‚Äì #Arenanews #Kamidi #Opsiminfo- https://t.co/OjJDUxvClg</t>
  </si>
  <si>
    <t>argentina perancis penunjukan wasit szymon marciniak bangkitkan kenangan buruk messi halaman all kompas</t>
  </si>
  <si>
    <t>['argentina', 'perancis', 'penunjukan', 'wasit', 'szymon', 'marciniak', 'bangkitkan', 'kenangan', 'buruk', 'messi', 'halaman', 'all', 'kompas']</t>
  </si>
  <si>
    <t>dari segi mental prancis dari segi wasit argentina, dari segi permainan prancis dari segi keberuntungan argentina, ini tergantung griezman kalau mainnya kacau kalah prancis.</t>
  </si>
  <si>
    <t>dari segi mental prancis dari segi wasit argentina dari segi permainan prancis dari segi keberuntungan argentina ini tergantung griezman kalau mainnya kacau kalah prancis</t>
  </si>
  <si>
    <t>['segi', 'mental', 'prancis', 'segi', 'wasit', 'argentina', 'segi', 'permainan', 'prancis', 'segi', 'keberuntungan', 'argentina', 'tergantung', 'griezman', 'kalau', 'mainnya', 'kacau', 'kalah', 'prancis']</t>
  </si>
  <si>
    <t>Argentina Vs Perancis, Penunjukan Wasit Szymon Marciniak Bangkitkan Kenangan Buruk Messi Halaman all ‚Äì Kompas ‚Äì  https://t.co/9bTYWWNIoQ ‚Äì #Arenanews #Kamidi¬†#Opsiminfo  https://t.co/2tV6PxkNPW</t>
  </si>
  <si>
    <t>Szymon Marciniak, Wasit Final Piala Dunia 2022 Argentina vs Prancis yang Dibayar Rp4,7 Miliar #LengkapCepatBeritanya #Keuangan #Ekonomi #Ekonomi #EkonomiIndonesia .  https://t.co/6OwJXHHMyI</t>
  </si>
  <si>
    <t>szymon marciniak wasit final piala dunia argentina prancis yang dibayar miliar</t>
  </si>
  <si>
    <t>['szymon', 'marciniak', 'wasit', 'final', 'piala', 'dunia', 'argentina', 'prancis', 'dibayar', 'miliar']</t>
  </si>
  <si>
    <t>@FaktaSepakbola Fakta unik: - Final Piala Dunia 1986 dipimpin oleh wasit bernama Romualdo Arppi Filho yang lahir tanggal 7 Januari 1939 (Argentina juara) - Final Piala Dunia 2022 dipimpin oleh wasit bernama Szymon Marciniak yang lahir tanggal 7 Januari 19</t>
  </si>
  <si>
    <t>fakta unik final piala dunia dipimpin oleh wasit bernama romualdo arppi filho yang lahir tanggal januari argentina juara final piala dunia dipimpin oleh wasit bernama szymon marciniak yang lahir tanggal januari</t>
  </si>
  <si>
    <t>['fakta', 'unik', 'final', 'piala', 'dunia', 'dipimpin', 'wasit', 'bernama', 'romualdo', 'arppi', 'filho', 'lahir', 'tanggal', 'januari', 'argentina', 'juara', 'final', 'piala', 'dunia', 'dipimpin', 'wasit', 'bernama', 'szymon', 'marciniak', 'lahir', 'tanggal', 'januari']</t>
  </si>
  <si>
    <t>@JeanCarter__ Argentina dibantu wasit ü§£ü§£ü§£ü§£ü§£</t>
  </si>
  <si>
    <t>Secara resmi, FIFA telah mengumumkan wasit yang akan memimpin laga Final Piala Dunia 2022 yakni Szymon Marciniak.   https://t.co/SLuaUi8jTM  #FIFA #wasit #PialaDunia2022 #final #SzymonMarciniak #Argentina #Prancis</t>
  </si>
  <si>
    <t>secara resmi fifa telah mengumumkan wasit yang akan memimpin laga final piala dunia yakni szymon marciniak</t>
  </si>
  <si>
    <t>['resmi', 'fifa', 'mengumumkan', 'wasit', 'memimpin', 'laga', 'final', 'piala', 'dunia', 'szymon', 'marciniak']</t>
  </si>
  <si>
    <t>Belajar dari permainan kemarin malam partai di penuhi kontroversial dimana sang wasit lebih sayang kroasia ketimbang maroko, cuman mengingat kan nanti malam jangan kaget kalau argentina emng bener-bener di setting untuk menang wkwkwk</t>
  </si>
  <si>
    <t>belajar dari permainan kemarin malam partai penuhi kontroversial dimana sang wasit lebih sayang kroasia ketimbang maroko cuman mengingat kan nanti malam jangan kaget kalau argentina emng bener bener setting untuk menang wkwkwk</t>
  </si>
  <si>
    <t>['belajar', 'permainan', 'kemarin', 'malam', 'partai', 'penuhi', 'kontroversial', 'sang', 'wasit', 'lebih', 'sayang', 'kroasia', 'ketimbang', 'maroko', 'cuman', 'mengingat', 'kan', 'malam', 'jangan', 'kaget', 'kalau', 'argentina', 'memang', 'benar', 'benar', 'setting', 'menang', 'wkwkwk']</t>
  </si>
  <si>
    <t>Tomasz Kwiatkowski, Wasit VAR Final Piala Dunia 2022 Argentina Vs Prancis  https://t.co/R5dAYIcMmT #TempoSport</t>
  </si>
  <si>
    <t>tomasz kwiatkowski wasit var final piala dunia argentina prancis</t>
  </si>
  <si>
    <t>['tomasz', 'kwiatkowski', 'wasit', 'var', 'final', 'piala', 'dunia', 'argentina', 'prancis']</t>
  </si>
  <si>
    <t>FINAL Argentina Vs Prancis Malam Ini Dipimpin Wasit Mimpi Buruk Messi, Scaloni Was-was?    https://t.co/UNbPw60Ere lewat @tribunmedan</t>
  </si>
  <si>
    <t>final argentina prancis malam ini dipimpin wasit mimpi buruk messi scaloni was was lewat</t>
  </si>
  <si>
    <t>['final', 'argentina', 'prancis', 'malam', 'dipimpin', 'wasit', 'mimpi', 'buruk', 'messi', 'scaloni', 'was', 'was', 'lewat']</t>
  </si>
  <si>
    <t>@beINSPORTSid Juaranya Prancis menang 1-0,itupun kalau wasit dan FIFA tidak bersekongkol untk menangkan Argentinaüòé</t>
  </si>
  <si>
    <t>juaranya prancis menang itupun kalau wasit dan fifa tidak bersekongkol untk menangkan argentina</t>
  </si>
  <si>
    <t>['juaranya', 'prancis', 'menang', 'itupun', 'kalau', 'wasit', 'fifa', 'bersekongkol', 'untk', 'menangkan', 'argentina']</t>
  </si>
  <si>
    <t>@Kilat_com Pemenang sudah diatur FIFA yaitu ARGENTINA,kalau tidak dibantu wasit prediksiku Perancis juarA menang 1-0 üèêüåé</t>
  </si>
  <si>
    <t>com pemenang sudah diatur fifa yaitu argentina kalau tidak dibantu wasit prediksiku perancis juara menang</t>
  </si>
  <si>
    <t>['com', 'pemenang', 'diatur', 'fifa', 'argentina', 'kalau', 'dibantu', 'wasit', 'prediksiku', 'perancis', 'juara', 'menang']</t>
  </si>
  <si>
    <t>@anggaimaginer @anggiklubis @idextratime Kalau perlu semua jajaran wasit untuk pertandingan final  berasal dari Argentina, agar wasit berkesempatan mencetak gol untuk negaranya üòÅ  https://t.co/dxJUfS0S5n</t>
  </si>
  <si>
    <t>kalau perlu semua jajaran wasit untuk pertandingan final berasal dari argentina agar wasit berkesempatan mencetak gol untuk negaranya</t>
  </si>
  <si>
    <t>['kalau', 'perlu', 'semua', 'jajaran', 'wasit', 'pertandingan', 'final', 'berasal', 'argentina', 'wasit', 'berkesempatan', 'mencetak', 'gol', 'negaranya']</t>
  </si>
  <si>
    <t>@alexasaffira Semakin banyak yg taruhan untuk Argentina, Bandar Semakin Takut Kalah, salah satu caranya Bandar nyogok Wasit spy France Menang.. üòÇüòÇü§≠</t>
  </si>
  <si>
    <t>semakin banyak taruhan untuk argentina bandar semakin takut kalah salah satu caranya bandar nyogok wasit spy france menang</t>
  </si>
  <si>
    <t>['semakin', 'banyak', 'taruhan', 'argentina', 'bandar', 'semakin', 'takut', 'kalah', 'salah', 'satu', 'caranya', 'bandar', 'nyogok', 'wasit', 'spy', 'france', 'menang']</t>
  </si>
  <si>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</si>
  <si>
    <t>rapha varane main final menang cuma kalah terakhir kali varane kalah final uefa super cup atletico nya diego simeone wasit saat itu szymon marciniak final pildun tim varane perancis argentina yang jdi wasit szymon marciniak</t>
  </si>
  <si>
    <t>['rapha', 'varane', 'main', 'final', 'menang', 'cuma', 'kalah', 'terakhir', 'kali', 'varane', 'kalah', 'final', 'uefa', 'super', 'cup', 'atletico', 'diego', 'simeone', 'wasit', 'szymon', 'marciniak', 'final', 'piala dunia', 'tim', 'varane', 'perancis', 'argentina', 'jdi', 'wasit', 'szymon', 'marciniak']</t>
  </si>
  <si>
    <t>INFO A1 : Kabarnya, nanti malam wasit akan memihak Argentina agar Messi dapat piala dunia, bahkan kalo perlu wasitnya sendiri yang cetak gol ke gawang Perancis. Ngasih penalti ketika pemain dilanggar di kotak penalti udah nggak level.</t>
  </si>
  <si>
    <t>info kabarnya nanti malam wasit akan memihak argentina agar messi dapat piala dunia bahkan kalo perlu wasitnya sendiri yang cetak gol gawang perancis ngasih penalti ketika pemain dilanggar kotak penalti udah nggak level</t>
  </si>
  <si>
    <t>['info', 'kabarnya', 'malam', 'wasit', 'memihak', 'argentina', 'messi', 'piala', 'dunia', 'bahkan', 'perlu', 'wasitnya', 'sendiri', 'cetak', 'gol', 'gawang', 'perancis', 'ngasih', 'penalti', 'pemain', 'dilanggar', 'kotak', 'penalti', 'udah', 'level']</t>
  </si>
  <si>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</si>
  <si>
    <t>yuk pulsa utk akun bisa nebak skor final argentina prancis perlu follow maupun ngetag mention siapapun cukup tulis aja reply bawah tebakan kalian dan kasih tagar ditutup berbarengan peluit tanda kick off disebul wasit</t>
  </si>
  <si>
    <t>['yuk', 'pulsa', 'akun', 'nebak', 'skor', 'final', 'argentina', 'prancis', 'perlu', 'follow', 'maupun', 'ngetag', 'mention', 'siapapun', 'cukup', 'tulis', 'reply', 'bawah', 'tebakan', 'kalian', 'kasih', 'tagar', 'ditutup', 'berbarengan', 'peluit', 'tanda', 'kick', 'off', 'disebul', 'wasit']</t>
  </si>
  <si>
    <t>Waw Wasit Final Piala Dunia 2022 Bisa jadi Faktor X yang Bisa Buat Argentina Kalahkan Prancis, Cek Fakta  https://t.co/VTGYJpGfa8 #Samarinda #menujupilwali2020 #kalimantantimur #bontang #sangatta #bulungan #malinau #kukar #balikpapan #penajam #ppu #ibukotabaru</t>
  </si>
  <si>
    <t>waw wasit final piala dunia bisa jadi faktor yang bisa buat argentina kalahkan prancis cek fakta</t>
  </si>
  <si>
    <t>['waw', 'wasit', 'final', 'piala', 'dunia', 'jadi', 'faktor', 'buat', 'argentina', 'kalahkan', 'prancis', 'cek', 'fakta']</t>
  </si>
  <si>
    <t>Wasit asal Inggris Anthony Taylor dicopot pada pertandingan final Argentina vs Prancis  üî• üî• #ArgentinaVsFrance #WorldCup #ANC55NC #FIFAWorldCup #WorldCup2022 #BolaDunia #kuatbacacom  https://t.co/IpnJWFOTB8</t>
  </si>
  <si>
    <t>wasit asal inggris anthony taylor dicopot pada pertandingan final argentina prancis</t>
  </si>
  <si>
    <t>['wasit', 'asal', 'inggris', 'anthony', 'taylor', 'dicopot', 'pertandingan', 'final', 'argentina', 'prancis']</t>
  </si>
  <si>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</si>
  <si>
    <t>michal listkiewicz asisten wasit final piala dunia argentina jerman barat hasil akhir argentina kalah putranya tomasz listkiewicz menjadi asisten wasit final piala dunia argentina prancis apakah hasilnya juga sama desky</t>
  </si>
  <si>
    <t>['michal', 'listkiewicz', 'asisten', 'wasit', 'final', 'piala', 'dunia', 'argentina', 'jerman', 'barat', 'hasil', 'akhir', 'argentina', 'kalah', 'putranya', 'tomasz', 'listkiewicz', 'menjadi', 'asisten', 'wasit', 'final', 'piala', 'dunia', 'argentina', 'prancis', 'hasilnya', 'sama', 'desky']</t>
  </si>
  <si>
    <t>Timnas Argentina menghadapi Timnas Prancis di final Piala Dunia 2022. Albiceleste tak khawatir dengan kinerja wasit di babak perebutan trofi.   https://t.co/y2tMyLxVIG</t>
  </si>
  <si>
    <t>timnas argentina menghadapi timnas prancis final piala dunia albiceleste tak khawatir dengan kinerja wasit babak perebutan trofi</t>
  </si>
  <si>
    <t>['timnas', 'argentina', 'menghadapi', 'timnas', 'prancis', 'final', 'piala', 'dunia', 'albiceleste', 'tak', 'khawatir', 'kinerja', 'wasit', 'babak', 'perebutan', 'trofi']</t>
  </si>
  <si>
    <t>@idextratime Dari menit 1-90 karena wasit pro Argentina</t>
  </si>
  <si>
    <t>dari menit karena wasit pro argentina</t>
  </si>
  <si>
    <t>['menit', 'wasit', 'pro', 'argentina']</t>
  </si>
  <si>
    <t>@Sport77Official @Indostransfer Wah Polandia kan kemaren dikalahin Argentina, bakal balas dendam ni wasit</t>
  </si>
  <si>
    <t>wah polandia kan kemaren dikalahin argentina bakal balas dendam wasit</t>
  </si>
  <si>
    <t>['wah', 'polandia', 'kan', 'kemarin', 'dikalahin', 'argentina', 'bakal', 'balas', 'dendam', 'wasit']</t>
  </si>
  <si>
    <t>@petransyech @indosupporter @SerieA_Lawas FYI, itu wasit final 2006 orang Argentina. Horacio Elizondoüòâ</t>
  </si>
  <si>
    <t>lawas fyi itu wasit final orang argentina horacio elizondo</t>
  </si>
  <si>
    <t>['lawas', 'for your information', 'wasit', 'final', 'orang', 'argentina', 'horacio', 'elizondo']</t>
  </si>
  <si>
    <t>Wasit asal Polandia Szymon Marciniak bakal memimpin laga final Piala Dunia Qatar 2022 antara Argentina vs Prancis, Minggu (18/12/2022). Dipilihnya Szymon Mariniak tidak sembarangan, wasit Polandia ini lebih dulu harus mengalahkan 4 kandidat wasit lain‚Ä¶  https://t.co/o6tDzUm77v</t>
  </si>
  <si>
    <t>wasit asal polandia szymon marciniak bakal memimpin laga final piala dunia qatar antara argentina prancis minggu dipilihnya szymon mariniak tidak sembarangan wasit polandia ini lebih dulu harus mengalahkan kandidat wasit lain</t>
  </si>
  <si>
    <t>['wasit', 'asal', 'polandia', 'szymon', 'marciniak', 'bakal', 'memimpin', 'laga', 'final', 'piala', 'dunia', 'qatar', 'argentina', 'prancis', 'minggu', 'dipilihnya', 'szymon', 'mariniak', 'sembarangan', 'wasit', 'polandia', 'lebih', 'dulu', 'mengalahkan', 'kandidat', 'wasit']</t>
  </si>
  <si>
    <t>Mengenal Szymon Marciniak, Wasit Final Piala Dunia 2022 Argentina Vs Prancis  https://t.co/IYt1Sj9P7x #TempoSport</t>
  </si>
  <si>
    <t>mengenal szymon marciniak wasit final piala dunia argentina prancis</t>
  </si>
  <si>
    <t>['mengenal', 'szymon', 'marciniak', 'wasit', 'final', 'piala', 'dunia', 'argentina', 'prancis']</t>
  </si>
  <si>
    <t>Wasit final Piala Dunia 2022 adalah Szymon Marciniak. Dia akan memimpin duel antara Argentina Vs Prancis malam ini.  https://t.co/343sUt7i9P</t>
  </si>
  <si>
    <t>wasit final piala dunia adalah szymon marciniak dia akan memimpin duel antara argentina prancis malam ini</t>
  </si>
  <si>
    <t>['wasit', 'final', 'piala', 'dunia', 'szymon', 'marciniak', 'memimpin', 'duel', 'argentina', 'prancis', 'malam']</t>
  </si>
  <si>
    <t>Wasit final Piala Dunia 2022 adalah Szymon Marciniak. Dia akan memimpin duel antara Argentina Vs Prancis malam ini.  https://t.co/343sUsP8VH</t>
  </si>
  <si>
    <t>@idextratime Selamat untuk Argentina juara üèÜü•ápiala dunia 2022,kita sudah tau rencana wasit &amp;amp; var &amp;amp; sudah bocor Argentina sang juara piala dunia 2022üèÜü•áüéâüéâüéâüéä‚öΩü§ùü´Ç.</t>
  </si>
  <si>
    <t>selamat untuk argentina juara piala dunia kita sudah tau rencana wasit var sudah bocor argentina sang juara piala dunia</t>
  </si>
  <si>
    <t>['selamat', 'argentina', 'juara', 'piala', 'dunia', 'rencana', 'wasit', 'var', 'bocor', 'argentina', 'sang', 'juara', 'piala', 'dunia']</t>
  </si>
  <si>
    <t>Analisis Seputar Wasit Final Piala Dunia 2022 Argentina vs France  https://t.co/9ZRLDDBrxk</t>
  </si>
  <si>
    <t>analisis seputar wasit final piala dunia argentina france</t>
  </si>
  <si>
    <t>['analisis', 'seputar', 'wasit', 'final', 'piala', 'dunia', 'argentina', 'france']</t>
  </si>
  <si>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</si>
  <si>
    <t>michal listkiewicz asisten wasit final piala dunia antara argentina dan jerman menampilkan diego maradona putranya tomasz listkiewicz menjadi asisten wasit final piala dunia antara argentina prancis menampilkan lionel messi like father like son</t>
  </si>
  <si>
    <t>['michal', 'listkiewicz', 'asisten', 'wasit', 'final', 'piala', 'dunia', 'argentina', 'jerman', 'menampilkan', 'diego', 'maradona', 'putranya', 'tomasz', 'listkiewicz', 'menjadi', 'asisten', 'wasit', 'final', 'piala', 'dunia', 'argentina', 'prancis', 'menampilkan', 'lionel', 'messi', 'like', 'father', 'like', 'son']</t>
  </si>
  <si>
    <t>@idextratime argentina 3 : 2 france ada tim yang kena kartu kuning sampe 3x bisa jadi ada yg kena kartu merah. ada pemain yang ribut sama wasit. ada pemain inti yang cidera.</t>
  </si>
  <si>
    <t>argentina france ada tim yang kena kartu kuning sampe bisa jadi ada kena kartu merah ada pemain yang ribut sama wasit ada pemain inti yang cidera</t>
  </si>
  <si>
    <t>['argentina', 'france', 'tim', 'kena', 'kartu', 'kuning', 'sampai', 'jadi', 'kena', 'kartu', 'merah', 'pemain', 'ribut', 'sama', 'wasit', 'pemain', 'inti', 'cidera']</t>
  </si>
  <si>
    <t>Pelatih timnas Argentina, Lionel Scaloni, tenang dengan penunjukkan wasit final Piala Dunia 2022, Szymon Marciniak.  https://t.co/nMJJzDeAby</t>
  </si>
  <si>
    <t>pelatih timnas argentina lionel scaloni tenang dengan penunjukkan wasit final piala dunia szymon marciniak</t>
  </si>
  <si>
    <t>['pelatih', 'timnas', 'argentina', 'lionel', 'scaloni', 'tenang', 'penunjukkan', 'wasit', 'final', 'piala', 'dunia', 'szymon', 'marciniak']</t>
  </si>
  <si>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</si>
  <si>
    <t>teman saya punya tiga hadiah khusus dari untuk tiga penebak skor final pastikan postingan berakhir saat prit wasit mulai mention hestek</t>
  </si>
  <si>
    <t>['teman', 'punya', 'tiga', 'hadiah', 'khusus', 'tiga', 'penebak', 'skor', 'final', 'pastikan', 'postingan', 'berakhir', 'prit', 'wasit', 'mulai', 'mention', 'hestek']</t>
  </si>
  <si>
    <t>Argentina Vs Perancis, Lionel Scaloni Singgung Wasit  https://t.co/tTYDwBD1vN</t>
  </si>
  <si>
    <t>argentina perancis lionel scaloni singgung wasit</t>
  </si>
  <si>
    <t>['argentina', 'perancis', 'lionel', 'scaloni', 'singgung', 'wasit']</t>
  </si>
  <si>
    <t>Breaking News Terbesar Hari ini.  Wasit Final nanti malam , ternyata di Bayar Transfer oleh FIFA  Peluit sudah disiapkan  Argentina vs Perancis</t>
  </si>
  <si>
    <t>breaking news terbesar hari ini wasit final nanti malam ternyata bayar transfer oleh fifa peluit sudah disiapkan argentina perancis</t>
  </si>
  <si>
    <t>['breaking', 'news', 'terbesar', 'hari', 'wasit', 'final', 'malam', 'ternyata', 'bayar', 'transfer', 'fifa', 'peluit', 'disiapkan', 'argentina', 'perancis']</t>
  </si>
  <si>
    <t>@vivayogamauladi @PSSI @BeritaPAN @Official_PAN @kahminasionalRI Argentina 3 Perancis 2...</t>
  </si>
  <si>
    <t>pan argentina perancis</t>
  </si>
  <si>
    <t>['pan', 'argentina', 'perancis']</t>
  </si>
  <si>
    <t>@idextratime Piala FIFA makanya juara sudah disetting jatuh ke Argentina...tim2 Sekelas Belgia,Jerman,Brazil,Belanda,Spain,Portugal pulkamp....liat aja nanti mlm wasit akan membantu kemenangan bagi Argentna üòéüòéüòé</t>
  </si>
  <si>
    <t>piala fifa makanya juara sudah disetting jatuh argentina tim sekelas belgia jerman brazil belanda spain portugal pulkamp liat aja nanti mlm wasit akan membantu kemenangan bagi argentna</t>
  </si>
  <si>
    <t>['piala', 'fifa', 'makanya', 'juara', 'disetting', 'jatuh', 'argentina', 'tim', 'sekelas', 'belgia', 'jerman', 'brazil', 'belanda', 'spain', 'portugal', 'pulkamp', 'lihat', 'malam', 'wasit', 'membantu', 'kemenangan', 'argentna']</t>
  </si>
  <si>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</si>
  <si>
    <t>fifa menunjuk szymon marciniak sebagai wasit pada final piala dunia minggu mendatang sepanjang piala dunia bergulir szymon marciniak tercatat telah memimpin dua pertandingan mana keduanya melibatkan argentina serta prancis</t>
  </si>
  <si>
    <t>['fifa', 'menunjuk', 'szymon', 'marciniak', 'wasit', 'final', 'piala', 'dunia', 'minggu', 'mendatang', 'sepanjang', 'piala', 'dunia', 'bergulir', 'szymon', 'marciniak', 'tercatat', 'memimpin', 'pertandingan', 'mana', 'keduanya', 'melibatkan', 'argentina', 'prancis']</t>
  </si>
  <si>
    <t>Timnas Argentina menghadapi Timnas Prancis di final Piala Dunia 2022. Albiceleste tak khawatir dengan kinerja wasit di babak perebutan trofi.  https://t.co/CMNwn54fY0</t>
  </si>
  <si>
    <t>Timnas Argentina menghadapi Timnas Prancis di final Piala Dunia 2022. Albiceleste tak khawatir dengan kinerja wasit di babak perebutan trofi.  https://t.co/CMNwn4NcW0</t>
  </si>
  <si>
    <t>Timnas Argentina menghadapi Timnas Prancis di final Piala Dunia 2022. Albiceleste tak khawatir dengan kinerja wasit di babak perebutan trofi.  https://t.co/8VNUEyeCuG</t>
  </si>
  <si>
    <t>Wasit Szymon Marciniak Bisa Jadi Mimpi Buruk Argentina   https://t.co/D90xB13KTc</t>
  </si>
  <si>
    <t>wasit szymon marciniak bisa jadi mimpi buruk argentina</t>
  </si>
  <si>
    <t>['wasit', 'szymon', 'marciniak', 'jadi', 'mimpi', 'buruk', 'argentina']</t>
  </si>
  <si>
    <t>Argentina Vs Prancis: Profil Stadion, Wasit dan Prediksi Pemain  https://t.co/mGkJaA2FJv</t>
  </si>
  <si>
    <t>argentina prancis profil stadion wasit dan prediksi pemain</t>
  </si>
  <si>
    <t>['argentina', 'prancis', 'profil', 'stadion', 'wasit', 'prediksi', 'pemain']</t>
  </si>
  <si>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</si>
  <si>
    <t>prediksi pertandingan final antara perancis argentina skor pada saat kick off jumlah pemain lawan jumlah wasit jumlah hakim garis pemenangnya adalah kemasukan gol lebih sedikit pemenangnya akan jadi juara</t>
  </si>
  <si>
    <t>['prediksi', 'pertandingan', 'final', 'perancis', 'argentina', 'skor', 'kick', 'off', 'jumlah', 'pemain', 'lawan', 'jumlah', 'wasit', 'jumlah', 'hakim', 'garis', 'pemenangnya', 'kemasukan', 'gol', 'lebih', 'sedikit', 'pemenangnya', 'jadi', 'juara']</t>
  </si>
  <si>
    <t>wasit asal Polandia, Szymon Marciniak akan memimpin partai puncak pagelaran piala dunia 2022 Qatar antara France vs Argentina  https://t.co/yfTQFNFATu</t>
  </si>
  <si>
    <t>wasit asal polandia szymon marciniak akan memimpin partai puncak pagelaran piala dunia qatar antara france argentina</t>
  </si>
  <si>
    <t>['wasit', 'asal', 'polandia', 'szymon', 'marciniak', 'memimpin', 'partai', 'puncak', 'pagelaran', 'piala', 'dunia', 'qatar', 'france', 'argentina']</t>
  </si>
  <si>
    <t>Coba bayangin gimana perasaan pemain France ketika nyundul bola ke gawang Argentina dan goal , tapi malah di anulir wasit karena dia ga check-in peduli lindungi di pintu masuk stadion . Sakit pasti ..</t>
  </si>
  <si>
    <t>coba bayangin gimana perasaan pemain france ketika nyundul bola gawang argentina dan goal tapi malah anulir wasit karena dia check peduli lindungi pintu masuk stadion sakit pasti</t>
  </si>
  <si>
    <t>['coba', 'bayangin', 'gimana', 'perasaan', 'pemain', 'france', 'nyundul', 'bola', 'gawang', 'argentina', 'goal', 'malah', 'anulir', 'wasit', 'check', 'peduli', 'lindungi', 'pintu', 'masuk', 'stadion', 'sakit']</t>
  </si>
  <si>
    <t>Mengenal Szymon Marciniak, Wasit Final Piala Dunia 2022 Antara Argentina vs Prancis  https://t.co/f7AywPxSUH  https://t.co/fPezVEnthU</t>
  </si>
  <si>
    <t>mengenal szymon marciniak wasit final piala dunia antara argentina prancis</t>
  </si>
  <si>
    <t>@duan_indra @SiaranBolaLive tanya aja mas, sejak kpn portugal punya rivalitas sama argentina?. argentina selalu menganggap brasil sebagai rival. selain itu coba tunjukkan keputusan wasit yg salah ketika match portugal vs maroko! udah lawan 10 pemain,dikas</t>
  </si>
  <si>
    <t>indra tanya aja mas sejak kpn portugal punya rivalitas sama argentina argentina selalu menganggap brasil sebagai rival selain itu coba tunjukkan keputusan wasit salah ketika match portugal maroko udah lawan pemain dikas</t>
  </si>
  <si>
    <t>['indra', 'tanya', 'mas', 'sejak', 'kpn', 'portugal', 'punya', 'rivalitas', 'sama', 'argentina', 'argentina', 'selalu', 'menganggap', 'brasil', 'rival', 'coba', 'tunjukkan', 'keputusan', 'wasit', 'salah', 'match', 'portugal', 'maroko', 'udah', 'lawan', 'pemain', 'dikas']</t>
  </si>
  <si>
    <t>@idextratime cocoklogi yg gak bisa dipertanggungjawabkan, Ibra? Neymar? ada kah ngaruh? wkwk, intinya ya Prancis sama Argentina menang pildun udah takdirnya</t>
  </si>
  <si>
    <t>cocoklogi gak bisa dipertanggungjawabkan ibra neymar ada kah ngaruh wkwk intinya prancis sama argentina menang pildun udah takdirnya</t>
  </si>
  <si>
    <t>['cocoklogi', 'dipertanggungjawabkan', 'ibra', 'neymar', 'ngaruh', 'intinya', 'prancis', 'sama', 'argentina', 'menang', 'piala dunia', 'udah', 'takdirnya']</t>
  </si>
  <si>
    <t>Berterimakasih banget sih ama Argentina. Karena menang pildun, bokap gua Alhamdulillah suka ngasih duit jajan lebih terus kembalian dari beli rokok selalu dikasih ü•∞üíóüíñ</t>
  </si>
  <si>
    <t>berterimakasih banget sih ama argentina karena menang pildun bokap gua alhamdulillah suka ngasih duit jajan lebih terus kembalian dari beli rokok selalu dikasih</t>
  </si>
  <si>
    <t>['berterimakasih', 'banget', 'ama', 'argentina', 'menang', 'piala dunia', 'bokap', 'gua', 'alhamdulillah', 'suka', 'ngasih', 'duit', 'jajan', 'lebih', 'terus', 'kembalian', 'beli', 'rokok', 'selalu', 'dikasih']</t>
  </si>
  <si>
    <t>Presiden FIFA diundang G20 kemarin buat apa? Ya buat Pak Jokowi melobi agar yg menang pildun itu Argentina</t>
  </si>
  <si>
    <t>presiden fifa diundang kemarin buat apa buat pak jokowi melobi agar menang pildun itu argentina</t>
  </si>
  <si>
    <t>['presiden', 'fifa', 'diundang', 'kemarin', 'buat', 'apa', 'buat', 'pak', 'jokowi', 'melobi', 'menang', 'piala dunia', 'argentina']</t>
  </si>
  <si>
    <t>@traguydlw Happy birthday kakk!! Semoga sehat selaluu, dilancarkan rejekinya, bahagia selalu yaaü•∞ü•∞ Congrats juga tim Argentina menang pildun huaaaa seru bangett ü§©ü§©ü§© Semoga aku terpick, terimakasih banyak kak sudah adain giveaway inii‚ù§‚ù§‚</t>
  </si>
  <si>
    <t>happy birthday kakk semoga sehat selaluu dilancarkan rejekinya bahagia selalu yaa congrats juga tim argentina menang pildun huaaaa seru bangett semoga aku terpick terimakasih banyak kak sudah adain giveaway inii</t>
  </si>
  <si>
    <t>['happy', 'birthday', 'kakk', 'semoga', 'sehat', 'selaluu', 'dilancarkan', 'rejekinya', 'bahagia', 'selalu', 'ya', 'congrats', 'tim', 'argentina', 'menang', 'piala dunia', 'huaaaa', 'seru', 'bangett', 'semoga', 'aku', 'terpick', 'terimakasih', 'banyak', 'kak', 'adain', 'giveaway', 'inii']</t>
  </si>
  <si>
    <t>bos bikin acara nebak pildun di kantor, yang menang dapet jutaan wkwk. semua temenku bilang dukung inggris/perancis tp aku ngirim jawaban argentina. wkwkwk menang anjrrr dasar pejudi akuü§£</t>
  </si>
  <si>
    <t>bos bikin acara nebak pildun kantor yang menang dapet jutaan wkwk semua temenku bilang dukung inggris perancis aku ngirim jawaban argentina wkwkwk menang anjrrr dasar pejudi aku</t>
  </si>
  <si>
    <t>['bos', 'acara', 'nebak', 'piala dunia', 'kantor', 'menang', 'dapat', 'jutaan', 'semua', 'temenku', 'dukung', 'inggris', 'perancis', 'aku', 'ngirim', 'jawaban', 'argentina', 'wkwkwk', 'menang', 'anjrrr', 'dasar', 'pejudi', 'aku']</t>
  </si>
  <si>
    <t>Timnas argentina diangkat jadi PNS ga ya habis menang pildun ?</t>
  </si>
  <si>
    <t>timnas argentina diangkat jadi pns habis menang pildun</t>
  </si>
  <si>
    <t>['timnas', 'argentina', 'diangkat', 'jadi', 'pns', 'habis', 'menang', 'piala dunia']</t>
  </si>
  <si>
    <t>Ternyata para legenda &amp;amp; ikon sepakbola dunia banyak yang gasuka Argentina menang pildun.</t>
  </si>
  <si>
    <t>ternyata para legenda ikon sepakbola dunia banyak yang gasuka argentina menang pildun</t>
  </si>
  <si>
    <t>['ternyata', 'legenda', 'ikon', 'sepakbola', 'dunia', 'banyak', 'gasuka', 'argentina', 'menang', 'piala dunia']</t>
  </si>
  <si>
    <t>Kayaknya argentina menang pildun, bakalan sampe tahun depan di goreng teruss.. laku bgt</t>
  </si>
  <si>
    <t>kayaknya argentina menang pildun bakalan sampe tahun depan goreng teruss laku bgt</t>
  </si>
  <si>
    <t>['kayaknya', 'argentina', 'menang', 'piala dunia', 'bakalan', 'sampai', 'tahun', 'depan', 'goreng', 'teruss', 'laku', 'banget']</t>
  </si>
  <si>
    <t>@eIgrean Makaci elgre! Sebenernya itu kayaknya tanda tanda buat argentina menang pildun! Warna nya argentina banget üò≠</t>
  </si>
  <si>
    <t>makaci elgre sebenernya itu kayaknya tanda tanda buat argentina menang pildun warna nya argentina banget</t>
  </si>
  <si>
    <t>['makaci', 'elgre', 'sebenernya', 'kayaknya', 'tanda', 'tanda', 'buat', 'argentina', 'menang', 'piala dunia', 'warna', 'argentina', 'banget']</t>
  </si>
  <si>
    <t>@agus_sihite @jokowi Arab Saudi vs Argentina. Dan Arab Saudi menang... Hmmmm...  Atau mau tau kegemilangan Maroko di PilDun 2022 ini?</t>
  </si>
  <si>
    <t>sihite arab saudi argentina dan arab saudi menang hmmmm atau mau tau kegemilangan maroko pildun ini</t>
  </si>
  <si>
    <t>['sihite', 'arab', 'saudi', 'argentina', 'arab', 'saudi', 'menang', 'hmmmm', 'mau', 'kegemilangan', 'maroko', 'piala dunia']</t>
  </si>
  <si>
    <t>Sampe skrg msh kepikiran soal pildun Argentina yg menang, kek membekas diingatkan gitu</t>
  </si>
  <si>
    <t>sampe skrg msh kepikiran soal pildun argentina menang kek membekas diingatkan gitu</t>
  </si>
  <si>
    <t>['sampai', 'skrg', 'msh', 'kepikiran', 'soal', 'piala dunia', 'argentina', 'menang', 'kek', 'membekas', 'diingatkan', 'gitu']</t>
  </si>
  <si>
    <t>@TxtdariHI Mario kempes dan Maradona sakit hati gak ya mereka juga bawa argentina menang pildun</t>
  </si>
  <si>
    <t>mario kempes dan maradona sakit hati gak mereka juga bawa argentina menang pildun</t>
  </si>
  <si>
    <t>['mario', 'kempes', 'maradona', 'sakit', 'hati', 'bawa', 'argentina', 'menang', 'piala dunia']</t>
  </si>
  <si>
    <t>@musthofa411 @idextratime Lu gak ingat apa messi di hujat segimana parah waktu gagal di pildun 2014 sama copa 2015 sama 2016 ditambah waktu itu ronaldo menang euro,sampe org argentina hancurin patung dan bakar baju dia</t>
  </si>
  <si>
    <t>gak ingat apa messi hujat segimana parah waktu gagal pildun sama copa sama ditambah waktu itu ronaldo menang euro sampe org argentina hancurin patung dan bakar baju dia</t>
  </si>
  <si>
    <t>['ingat', 'apa', 'messi', 'hujat', 'segimana', 'parah', 'waktu', 'gagal', 'piala dunia', 'sama', 'copa', 'sama', 'ditambah', 'waktu', 'ronaldo', 'menang', 'euro', 'sampai', 'org', 'argentina', 'hancurin', 'patung', 'bakar', 'baju']</t>
  </si>
  <si>
    <t>@shandytepe bahas kongspirasi argentina menang pildun dong banh</t>
  </si>
  <si>
    <t>bahas kongspirasi argentina menang pildun dong banh</t>
  </si>
  <si>
    <t>['bahas', 'kongspirasi', 'argentina', 'menang', 'piala dunia', 'dong', 'banh']</t>
  </si>
  <si>
    <t>tp nyet gue gapernah tau doi seseneng ini pas argentina menang, pamer di sw yg yailah ni org masang sw bisa setaun sekali doang, nelfonin temen2nya pamer klo akhirnya messi menang ini pdhl udh hari ke 4 setelah pildun tp dia masih antusias cok buat pamerin</t>
  </si>
  <si>
    <t>nyet gue gapernah tau doi seseneng ini pas argentina menang pamer yailah org masang bisa setaun sekali doang nelfonin temen nya pamer klo akhirnya messi menang ini pdhl udh hari setelah pildun dia masih antusias cok buat pamerin</t>
  </si>
  <si>
    <t>['nyet', 'gue', 'gapernah', 'doi', 'seseneng', 'pas', 'argentina', 'menang', 'pamer', 'yailah', 'org', 'masang', 'setaun', 'sekali', 'doang', 'nelfonin', 'temen', 'pamer', 'akhirnya', 'messi', 'menang', 'pdhl', 'sudah', 'hari', 'piala dunia', 'antusias', 'cok', 'buat', 'pamerin']</t>
  </si>
  <si>
    <t>intine sing menang pildun Argentina kan gaes?.</t>
  </si>
  <si>
    <t>intine sing menang pildun argentina kan gaes</t>
  </si>
  <si>
    <t>['intine', 'sing', 'menang', 'piala dunia', 'argentina', 'kan', 'guys']</t>
  </si>
  <si>
    <t>@neohistoria_id @idextratime Efek Sakit hati karna argentina menang pildun?</t>
  </si>
  <si>
    <t>efek sakit hati karna argentina menang pildun</t>
  </si>
  <si>
    <t>['efek', 'sakit', 'hati', 'karna', 'argentina', 'menang', 'piala dunia']</t>
  </si>
  <si>
    <t>@milanirgi @neohistoria_id @idextratime Buat gw 2 2nya goat sih soalnya throphy prestisius milik mereka sama2 banyak. Even argentina gak menang pildun pun mereka ber2 ttp goat buat gw. Beruntung banget ngerasain era mereka, meskipun ya gw kalo ke messi ag</t>
  </si>
  <si>
    <t>buat nya goat sih soalnya throphy prestisius milik mereka sama banyak even argentina gak menang pildun pun mereka ber ttp goat buat beruntung banget ngerasain era mereka meskipun kalo messi</t>
  </si>
  <si>
    <t>['buat', 'goat', 'soalnya', 'throphy', 'prestisius', 'milik', 'sama', 'banyak', 'even', 'argentina', 'menang', 'piala dunia', 'ber', 'ttp', 'goat', 'buat', 'beruntung', 'banget', 'ngerasain', 'era', 'meskipun', 'messi']</t>
  </si>
  <si>
    <t>He is nerd, wearing glasses like me, suka banget sama lionel messi, kemarin pas pildun excited banget karena argentina menang, dan suka ngerekomendasiin film-film bagus</t>
  </si>
  <si>
    <t>nerd wearing glasses like suka banget sama lionel messi kemarin pas pildun excited banget karena argentina menang dan suka ngerekomendasiin film film bagus</t>
  </si>
  <si>
    <t>['nerd', 'wearing', 'glasses', 'like', 'suka', 'banget', 'sama', 'lionel', 'messi', 'kemarin', 'pas', 'piala dunia', 'excited', 'banget', 'argentina', 'menang', 'suka', 'ngerekomendasiin', 'film', 'film', 'bagus']</t>
  </si>
  <si>
    <t>No becoz krna w dah jdi fans mereka dri 2010, dan pas 2014 sakit bgt Kalo di inget2 dan pas 2018 w ga yg ngikutin pildun wktu krna w posisinya lg idi asrama yg gaada wifi dan bahkan w gatau sapa yg menang, TAPI DI 2022 W MASI GA PERCAYA ARGENTINA MENANG</t>
  </si>
  <si>
    <t>becoz krna dah jdi fans mereka dri dan pas sakit bgt kalo inget dan pas ngikutin pildun wktu krna posisinya idi asrama gaada wifi dan bahkan gatau sapa menang tapi masi percaya argentina menang</t>
  </si>
  <si>
    <t>['becoz', 'krna', 'dah', 'jdi', 'fans', 'dri', 'pas', 'sakit', 'banget', 'inget', 'pas', 'ngikutin', 'piala dunia', 'wktu', 'krna', 'posisinya', 'idi', 'asrama', 'gaada', 'wifi', 'bahkan', 'gatau', 'sapa', 'menang', 'masi', 'percaya', 'argentina', 'menang']</t>
  </si>
  <si>
    <t>@junglovaa Argentina emang menang pildun tp yg menangkan hatiku ttp Lionel Jeno</t>
  </si>
  <si>
    <t>argentina emang menang pildun menangkan hatiku ttp lionel jeno</t>
  </si>
  <si>
    <t>['argentina', 'emang', 'menang', 'piala dunia', 'menangkan', 'hatiku', 'ttp', 'lionel', 'jeno']</t>
  </si>
  <si>
    <t>@sbtcon Alasan Argentina menang pildun soalnya Messi suka commis wm disini sih</t>
  </si>
  <si>
    <t>alasan argentina menang pildun soalnya messi suka commis disini sih</t>
  </si>
  <si>
    <t>['alasan', 'argentina', 'menang', 'piala dunia', 'soalnya', 'messi', 'suka', 'commis', 'disini']</t>
  </si>
  <si>
    <t>Lho br tau kl argentina menang dan pildun ud beres?</t>
  </si>
  <si>
    <t>lho tau argentina menang dan pildun beres</t>
  </si>
  <si>
    <t>['lho', 'argentina', 'menang', 'piala dunia', 'beres']</t>
  </si>
  <si>
    <t>@howoozii aamiin makasi ya sofiaa,btw Argentina menang pildun loh</t>
  </si>
  <si>
    <t>aamiin makasi sofiaa btw argentina menang pildun loh</t>
  </si>
  <si>
    <t>['aamiin', 'makasi', 'sofiaa', 'by the way', 'argentina', 'menang', 'piala dunia']</t>
  </si>
  <si>
    <t>@YoutubeILC @aniesbaswedan @ganjarpranowo @airlangga_hrt @prabowo Jadi inget poling pildun dari akun bola luar yg menang indonesia. Ngalahin argentina, germany, inggris, sama spain. Joss</t>
  </si>
  <si>
    <t>hrt jadi inget poling pildun dari akun bola luar menang indonesia ngalahin argentina germany inggris sama spain joss</t>
  </si>
  <si>
    <t>['hrt', 'jadi', 'inget', 'poling', 'piala dunia', 'akun', 'bola', 'luar', 'menang', 'indonesia', 'ngalahin', 'argentina', 'germany', 'inggris', 'sama', 'spain', 'joss']</t>
  </si>
  <si>
    <t>Gua udah berkali-kali ngomong pas pildun ini kalo si Argentina ini pasti ngehalalin segala cara buat menang. Bener terjadi. Dan baru inget ternyata emang ini udah jadi heritage mereka: Simeone ke Beckham, Maradona ke Inggris. Ada yang bisa nambahin?</t>
  </si>
  <si>
    <t>gua udah berkali kali ngomong pas pildun ini kalo argentina ini pasti ngehalalin segala cara buat menang bener terjadi dan baru inget ternyata emang ini udah jadi heritage mereka simeone beckham maradona inggris ada yang bisa nambahin</t>
  </si>
  <si>
    <t>['gua', 'udah', 'berkali', 'kali', 'ngomong', 'pas', 'piala dunia', 'argentina', 'ngehalalin', 'segala', 'cara', 'buat', 'menang', 'benar', 'terjadi', 'baru', 'inget', 'ternyata', 'emang', 'udah', 'jadi', 'heritage', 'simeone', 'beckham', 'maradona', 'inggris', 'nambahin']</t>
  </si>
  <si>
    <t>Ngelihat foto masyarakat Argentina, nyambut kepulangan timnya karena menang pildun. Kayak ada trauma ga sih. Takut kehabisan nafas üò≠üò≠</t>
  </si>
  <si>
    <t>ngelihat foto masyarakat argentina nyambut kepulangan timnya karena menang pildun kayak ada trauma sih takut kehabisan nafas</t>
  </si>
  <si>
    <t>['ngelihat', 'foto', 'masyarakat', 'argentina', 'nyambut', 'kepulangan', 'timnya', 'menang', 'piala dunia', 'seperti', 'trauma', 'takut', 'kehabisan', 'nafas']</t>
  </si>
  <si>
    <t>@idextratime Pdhl rakyat Argentina dah doain mereka kalah loh, inflasi tinggi (72%) ketutup menang pildun</t>
  </si>
  <si>
    <t>pdhl rakyat argentina dah doain mereka kalah loh inflasi tinggi ketutup menang pildun</t>
  </si>
  <si>
    <t>['pdhl', 'rakyat', 'argentina', 'dah', 'doain', 'kalah', 'inflasi', 'tinggi', 'ketutup', 'menang', 'piala dunia']</t>
  </si>
  <si>
    <t>@Davidzioso @rifftyaditya @katasizarwo @psychicmew2 @SerieA_Lawas Yang lolosin GOAL paling banyak Argentina ke Qatar siapa? Emang Tonali bikin gagal ke pildun. Yang menang adu pinalti 8 besar  lawan Belanda siapa? Yang create GOAL ke 3 Argentina siapa?</t>
  </si>
  <si>
    <t>lawas yang lolosin goal paling banyak argentina qatar siapa emang tonali bikin gagal pildun yang menang adu pinalti besar lawan belanda siapa yang create goal argentina siapa</t>
  </si>
  <si>
    <t>['lawas', 'lolosin', 'goal', 'paling', 'banyak', 'argentina', 'qatar', 'siapa', 'emang', 'tonali', 'gagal', 'piala dunia', 'menang', 'adu', 'penalti', 'besar', 'lawan', 'belanda', 'siapa', 'create', 'goal', 'argentina', 'siapa']</t>
  </si>
  <si>
    <t>weh baru tau kalo argentina menang pildun 2022 selamattt yuhuuu, walaupun awal2 kalah sama arab trs di roasting, akhir2 jadi juaraa cuyyy, kerennn üôåüèª‚ù§Ô∏è</t>
  </si>
  <si>
    <t>weh baru tau kalo argentina menang pildun selamattt yuhuuu walaupun awal kalah sama arab trs roasting akhir jadi juaraa cuyyy kerennn</t>
  </si>
  <si>
    <t>['weh', 'baru', 'argentina', 'menang', 'piala dunia', 'selamattt', 'yuhuuu', 'walaupun', 'awal', 'kalah', 'sama', 'arab', 'terus', 'roasting', 'akhir', 'jadi', 'juaraa', 'cuyyy', 'kerennn']</t>
  </si>
  <si>
    <t>@rizadirm Bangun-bangun, argentina udah menang pildun aja.</t>
  </si>
  <si>
    <t>bangun bangun argentina udah menang pildun aja</t>
  </si>
  <si>
    <t>['bangun', 'bangun', 'argentina', 'udah', 'menang', 'piala dunia']</t>
  </si>
  <si>
    <t>semenjak Argentina menang Pildun, kok aku kepikiran nasib e Messi pas balek nang Stadion Parc de Princes yooo ??ü§îü§î</t>
  </si>
  <si>
    <t>semenjak argentina menang pildun kok aku kepikiran nasib messi pas balek nang stadion parc princes yooo</t>
  </si>
  <si>
    <t>['semenjak', 'argentina', 'menang', 'piala dunia', 'kok', 'aku', 'kepikiran', 'nasib', 'messi', 'pas', 'balek', 'nang', 'stadion', 'parc', 'princes', 'yooo']</t>
  </si>
  <si>
    <t>@sipalingjuara @idextratime Blunder sih reply pake foto ini ü§£ argentina udah menang Copa America sama pildun loh</t>
  </si>
  <si>
    <t>blunder sih reply pake foto ini argentina udah menang copa america sama pildun loh</t>
  </si>
  <si>
    <t>['blunder', 'reply', 'pake', 'foto', 'argentina', 'udah', 'menang', 'copa', 'america', 'sama', 'piala dunia']</t>
  </si>
  <si>
    <t>well gelar pildun terakhir kan perancis menang ya, yauda ini saatnya argentina ya messi terkahir main di pildun n apalagi ada si bala no punggung 21 yg menarik perhatian gw wkwk, okelah gw dukung argentina sampe pinalti :D kata adek gw gitu dong mba kita satukan dukungan ...</t>
  </si>
  <si>
    <t>well gelar pildun terakhir kan perancis menang yauda ini saatnya argentina messi terkahir main pildun apalagi ada bala punggung menarik perhatian wkwk okelah dukung argentina sampe pinalti kata adek gitu dong mba kita satukan dukungan</t>
  </si>
  <si>
    <t>['well', 'gelar', 'piala dunia', 'terakhir', 'kan', 'perancis', 'menang', 'yauda', 'saatnya', 'argentina', 'messi', 'terkahir', 'main', 'piala dunia', 'bala', 'punggung', 'menarik', 'perhatian', 'okelah', 'dukung', 'argentina', 'sampai', 'penalti', 'kata', 'adek', 'gitu', 'dong', 'mba', 'satukan', 'dukungan']</t>
  </si>
  <si>
    <t>jdi ini alesan Argentina menang pildun kmrn  https://t.co/Nfv6rosp04</t>
  </si>
  <si>
    <t>jdi ini alesan argentina menang pildun kmrn</t>
  </si>
  <si>
    <t>['jdi', 'alesan', 'argentina', 'menang', 'piala dunia', 'kmrn']</t>
  </si>
  <si>
    <t>Karna kuat sesajen dari Indonesia maka Argentina menang haha #pildun  https://t.co/c5MpwLPJJH</t>
  </si>
  <si>
    <t>karna kuat sesajen dari indonesia maka argentina menang haha</t>
  </si>
  <si>
    <t>['karna', 'kuat', 'sesajen', 'indonesia', 'argentina', 'menang', 'haha']</t>
  </si>
  <si>
    <t>@idextratime Awalnya msh bisa nahan tangisnya, tpi pas paredes nyamperin, udh gabisa ditahan lgi. Pelatih yg paling cool selama pildun, mau argentina ngegolin atau menang, pasti ekspresi nya b aja sambil minum air putih</t>
  </si>
  <si>
    <t>awalnya msh bisa nahan tangisnya tpi pas paredes nyamperin udh gabisa ditahan lgi pelatih paling cool selama pildun mau argentina ngegolin atau menang pasti ekspresi nya aja sambil minum air putih</t>
  </si>
  <si>
    <t>['awalnya', 'msh', 'nahan', 'tangisnya', 'tpi', 'pas', 'paredes', 'nyamperin', 'sudah', 'gabisa', 'ditahan', 'lgi', 'pelatih', 'paling', 'cool', 'selama', 'piala dunia', 'mau', 'argentina', 'ngegolin', 'menang', 'ekspresi', 'minum', 'air', 'putih']</t>
  </si>
  <si>
    <t>Suka banget w liatnya, citizen pada bela-belain Aguero jadi staff. Udahlah nyet, legenda lo itu bukan siapa-siapa, cuma fans ber-privilege yang kenal sama seantero tim Argentina.  Udahlah legend lu emang kaga menang pildun, negaranya doang. Alvarez noh yg menang dari tim luu wkwk</t>
  </si>
  <si>
    <t>suka banget liatnya citizen pada bela belain aguero jadi staff udahlah nyet legenda itu bukan siapa siapa cuma fans ber privilege yang kenal sama seantero tim argentina udahlah legend emang kaga menang pildun negaranya doang alvarez noh menang dari tim luu wkwk</t>
  </si>
  <si>
    <t>['suka', 'banget', 'liatnya', 'citizen', 'bela', 'belain', 'aguero', 'jadi', 'staff', 'udahlah', 'nyet', 'legenda', 'bukan', 'siapa', 'siapa', 'cuma', 'fans', 'ber', 'privilege', 'kenal', 'sama', 'seantero', 'tim', 'argentina', 'udahlah', 'legend', 'emang', 'kaga', 'menang', 'piala dunia', 'negaranya', 'doang', 'alvarez', 'noh', 'menang', 'tim', 'luu']</t>
  </si>
  <si>
    <t>Wkt pas nulis prediksi siapa yg bakal menang di pildun, di otak pdhl cuma ada jerman atau argentina, tp trs malah kek ah pilih yg laen aja jgn tuh negara dua, akhirnya nulis spanyol üò≠</t>
  </si>
  <si>
    <t>wkt pas nulis prediksi siapa bakal menang pildun otak pdhl cuma ada jerman atau argentina trs malah kek pilih laen aja jgn tuh negara dua akhirnya nulis spanyol</t>
  </si>
  <si>
    <t>['wkt', 'pas', 'nulis', 'prediksi', 'siapa', 'bakal', 'menang', 'piala dunia', 'otak', 'pdhl', 'cuma', 'jerman', 'argentina', 'terus', 'malah', 'kek', 'pilih', 'laen', 'negara', 'akhirnya', 'nulis', 'spanyol']</t>
  </si>
  <si>
    <t>Desember Achivement - Yudisium - Wisuda - Banggain ortu - Argentina menang pildun üî•üî•üî•</t>
  </si>
  <si>
    <t>desember achivement yudisium wisuda banggain ortu argentina menang pildun</t>
  </si>
  <si>
    <t>['desember', 'achivement', 'yudisium', 'wisuda', 'banggain', 'ortu', 'argentina', 'menang', 'piala dunia']</t>
  </si>
  <si>
    <t>@jimxaszh gila sih pildun tahun ini, kek gak bisa ditebak siapa yg menang.. mana rame banget lagi, gak di tl gak di rl. seru banget pokoknya btw congrats Argentinaüéâüéâüéâ</t>
  </si>
  <si>
    <t>gila sih pildun tahun ini kek gak bisa ditebak siapa menang mana rame banget lagi gak gak seru banget pokoknya btw congrats argentina</t>
  </si>
  <si>
    <t>['gila', 'piala dunia', 'tahun', 'kek', 'ditebak', 'siapa', 'menang', 'mana', 'ramai', 'banget', 'seru', 'banget', 'pokoknya', 'by the way', 'congrats', 'argentina']</t>
  </si>
  <si>
    <t>diarykaeruu `   01. Argentina aaaa gila. uda sehari aja ni semenjak argentina menang pildun. congrats ! terutama buat messi ! jujur masi berharap messi main buat pildun 4 tahun ke dpn. mau beli jersey argentina, tapi telat ga sii ? tpi gapapa, itung itung koleksi, haha.</t>
  </si>
  <si>
    <t>diarykaeruu argentina aaaa gila uda sehari aja semenjak argentina menang pildun congrats terutama buat messi jujur masi berharap messi main buat pildun tahun dpn mau beli jersey argentina tapi telat sii tpi gapapa itung itung koleksi haha</t>
  </si>
  <si>
    <t>['diarykaeruu', 'argentina', 'aaaa', 'gila', 'uda', 'sehari', 'semenjak', 'argentina', 'menang', 'piala dunia', 'congrats', 'terutama', 'buat', 'messi', 'jujur', 'masi', 'berharap', 'messi', 'main', 'buat', 'piala dunia', 'tahun', 'depan', 'mau', 'beli', 'jersey', 'argentina', 'telat', 'sii', 'tpi', 'gapapa', 'itung', 'itung', 'koleksi', 'haha']</t>
  </si>
  <si>
    <t>kmrn tmn gue ngajak taruhan pildun pdahal gue kaga ngikutin katanya kalo argentina yang menang gue di tf duit AMPE SEKARANG BATANG IDUNGNYA KAGA MUNCUL</t>
  </si>
  <si>
    <t>kmrn tmn gue ngajak taruhan pildun pdahal gue kaga ngikutin katanya kalo argentina yang menang gue duit ampe sekarang batang idungnya kaga muncul</t>
  </si>
  <si>
    <t>['kmrn', 'tmn', 'gue', 'ngajak', 'taruhan', 'piala dunia', 'pdahal', 'gue', 'kaga', 'ngikutin', 'katanya', 'argentina', 'menang', 'gue', 'duit', 'sampai', 'sekarang', 'batang', 'idungnya', 'kaga', 'muncul']</t>
  </si>
  <si>
    <t>@Official_PAN @ZUL_Hasan @eddy_soeparno @YandriSusanto @vivayogamauladi Kemarin sempet prediksi skor juga sama temen2. Argentina unggul dari perancis 2-1 gitu.. Eh.... ternyata beneran argentina yg menang pildun</t>
  </si>
  <si>
    <t>pan hasan soeparno kemarin sempet prediksi skor juga sama temen argentina unggul dari perancis gitu ternyata beneran argentina menang pildun</t>
  </si>
  <si>
    <t>['pan', 'hasan', 'soeparno', 'kemarin', 'sempet', 'prediksi', 'skor', 'sama', 'temen', 'argentina', 'unggul', 'perancis', 'gitu', 'ternyata', 'beneran', 'argentina', 'menang', 'piala dunia']</t>
  </si>
  <si>
    <t>Dan akhirnya keterusan argentina. Kalau semisal argentina ga lolos pastilah beralih ke portugal. Dua itu aja pokok andelanku wkwk dan sekarang bener aja argentina akhirnya menang hihi selamat argentina. Euforia pildun kali ini juga baru dapet lagi, meski hanya nonton cuplikannya</t>
  </si>
  <si>
    <t>dan akhirnya keterusan argentina kalau semisal argentina lolos pastilah beralih portugal dua itu aja pokok andelanku wkwk dan sekarang bener aja argentina akhirnya menang hihi selamat argentina euforia pildun kali ini juga baru dapet lagi meski hanya nonton cuplikannya</t>
  </si>
  <si>
    <t>['akhirnya', 'keterusan', 'argentina', 'kalau', 'semisal', 'argentina', 'lolos', 'pastilah', 'beralih', 'portugal', 'pokok', 'andelanku', 'sekarang', 'benar', 'argentina', 'akhirnya', 'menang', 'hihi', 'selamat', 'argentina', 'euforia', 'piala dunia', 'kali', 'baru', 'dapat', 'meski', 'nonton', 'cuplikannya']</t>
  </si>
  <si>
    <t>Gw udh 5 juta kali kayanya play video ohm meluk pas ngucapin ultah ke nanon, dan video ohmnanon ngerayain argentina menang pildun.  Abisnya wholesome bgt cuy, bikin gw bahagia sepanjang hariü•∫ü•∫‚ù§Ô∏è‚ù§Ô∏è‚ù§Ô∏è‚ù§Ô∏è</t>
  </si>
  <si>
    <t>udh juta kali kayanya play video ohm meluk pas ngucapin ultah nanon dan video ohmnanon ngerayain argentina menang pildun abisnya wholesome bgt cuy bikin bahagia sepanjang hari</t>
  </si>
  <si>
    <t>['sudah', 'juta', 'kali', 'kayanya', 'play', 'video', 'ohm', 'meluk', 'pas', 'ngucapin', 'ultah', 'nanon', 'video', 'ohmnanon', 'ngerayain', 'argentina', 'menang', 'piala dunia', 'abisnya', 'wholesome', 'banget', 'bahagia', 'sepanjang', 'hari']</t>
  </si>
  <si>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</si>
  <si>
    <t>ini pildun terakhir bagi messi jadi wajar jika semua pemain argentina memberikan kenangan manis harus disiapin mentall pasti kerja keras juga bakal mati buat menang kegini masih bilang setingan tim sama jual beli serangan hee manusia otaklu dimana udh paham</t>
  </si>
  <si>
    <t>['piala dunia', 'terakhir', 'messi', 'jadi', 'wajar', 'semua', 'pemain', 'argentina', 'memberikan', 'kenangan', 'manis', 'disiapin', 'mentall', 'kerja', 'keras', 'bakal', 'mati', 'buat', 'menang', 'kegini', 'settingan', 'tim', 'sama', 'jual', 'beli', 'serangan', 'hee', 'manusia', 'otaklu', 'sudah', 'paham']</t>
  </si>
  <si>
    <t>18 desember 2022, argentina menang pildun vs perancis, akhir yg bahagia di hari tuanya messi‚ú®</t>
  </si>
  <si>
    <t>desember argentina menang pildun perancis akhir bahagia hari tuanya messi</t>
  </si>
  <si>
    <t>['desember', 'argentina', 'menang', 'piala dunia', 'perancis', 'akhir', 'bahagia', 'hari', 'tuanya', 'messi']</t>
  </si>
  <si>
    <t>Weh aku telat update pildun. Ternyata Argentina menang yaa wiwiwiwiwiwww</t>
  </si>
  <si>
    <t>weh aku telat update pildun ternyata argentina menang yaa wiwiwiwiwiwww</t>
  </si>
  <si>
    <t>['weh', 'aku', 'telat', 'update', 'piala dunia', 'ternyata', 'argentina', 'menang', 'ya', 'wiwiwiwiwiwww']</t>
  </si>
  <si>
    <t>@tanyarlfes Kemaren bgt hari minggu aku ke Mall liat tulisan "Jersey Argentina SLOD OUT" aku langsung bilang ke temenku "abis menang tadi malem jerseynya langsung abis" terus sama dia di-iyain karena sama2 gatau bola. Baru tadi pagi kita kaget ternyata pi</t>
  </si>
  <si>
    <t>kemaren bgt hari minggu aku mall liat tulisan jersey argentina slod out aku langsung bilang temenku abis menang tadi malem jerseynya langsung abis terus sama dia iyain karena sama gatau bola baru tadi pagi kita kaget ternyata</t>
  </si>
  <si>
    <t>['kemarin', 'banget', 'hari', 'minggu', 'aku', 'mall', 'lihat', 'tulisan', 'jersey', 'argentina', 'slod', 'out', 'aku', 'langsung', 'temenku', 'abis', 'menang', 'tadi', 'malem', 'jerseynya', 'langsung', 'abis', 'terus', 'sama', 'iyain', 'sama', 'gatau', 'bola', 'baru', 'tadi', 'pagi', 'kaget', 'ternyata']</t>
  </si>
  <si>
    <t>iki mau sekolah ra petukan crush belas tp tpp full senyum Argentina menang pildun ogüï∫</t>
  </si>
  <si>
    <t>iki mau sekolah petukan crush belas tpp full senyum argentina menang pildun</t>
  </si>
  <si>
    <t>['iki', 'mau', 'sekolah', 'petukan', 'crush', 'belas', 'tpp', 'full', 'senyum', 'argentina', 'menang', 'piala dunia']</t>
  </si>
  <si>
    <t>@taewoniee_ mbappe 2018 udh pernah menang pildun skrg gantian messi mbappe vs argentina ü§£</t>
  </si>
  <si>
    <t>mbappe udh pernah menang pildun skrg gantian messi mbappe argentina</t>
  </si>
  <si>
    <t>['mbappe', 'sudah', 'pernah', 'menang', 'piala dunia', 'skrg', 'gantian', 'messi', 'mbappe', 'argentina']</t>
  </si>
  <si>
    <t>gua ngucapin selamat ke crush gua karna argentina menang pildun üëçüèª</t>
  </si>
  <si>
    <t>gua ngucapin selamat crush gua karna argentina menang pildun</t>
  </si>
  <si>
    <t>['gua', 'ngucapin', 'selamat', 'crush', 'gua', 'karna', 'argentina', 'menang', 'piala dunia']</t>
  </si>
  <si>
    <t>Messi itu agamanya Khatolik tapi di beri gelar Sheik setelah Argentina menang pildun 2022.üòÅ</t>
  </si>
  <si>
    <t>messi itu agamanya khatolik tapi beri gelar sheik setelah argentina menang pildun</t>
  </si>
  <si>
    <t>['messi', 'agamanya', 'khatolik', 'beri', 'gelar', 'sheik', 'argentina', 'menang', 'piala dunia']</t>
  </si>
  <si>
    <t>tetap brasil si era argentina menang pildun üáßüá∑</t>
  </si>
  <si>
    <t>tetap brasil era argentina menang pildun</t>
  </si>
  <si>
    <t>['tetap', 'brasil', 'era', 'argentina', 'menang', 'piala dunia']</t>
  </si>
  <si>
    <t>Argentina menang pildun Tapi,sa kalah Menangkan ko pu hati</t>
  </si>
  <si>
    <t>argentina menang pildun tapi kalah menangkan hati</t>
  </si>
  <si>
    <t>['argentina', 'menang', 'piala dunia', 'kalah', 'menangkan', 'hati']</t>
  </si>
  <si>
    <t>"Pa, Argentina menang pildun!!"</t>
  </si>
  <si>
    <t>argentina menang pildun</t>
  </si>
  <si>
    <t>['argentina', 'menang', 'piala dunia']</t>
  </si>
  <si>
    <t>@itsthatlang @idextratime Harusnya yg menang kan menyemangati yg kalah, ini kok malah kyak gitu. No respect ahh sama pemain2 Argentina, mau menang pildun 10x pun kalo nggak punya attittude ya sama aja üëé</t>
  </si>
  <si>
    <t>harusnya menang kan menyemangati kalah ini kok malah kyak gitu respect ahh sama pemain argentina mau menang pildun pun kalo nggak punya attittude sama aja</t>
  </si>
  <si>
    <t>['harusnya', 'menang', 'kan', 'menyemangati', 'kalah', 'kok', 'malah', 'kyak', 'gitu', 'respect', 'ahh', 'sama', 'pemain', 'argentina', 'mau', 'menang', 'piala dunia', 'punya', 'attittude', 'sama']</t>
  </si>
  <si>
    <t>@syoqee Ak waktu 2010 dukung argentina, sedih juga waktu kalah lawan jerman 2014 sama 2018 jeda nonton pildun 2022 nonton pildun lagi dukung argentina bersyukur banget argentina menang</t>
  </si>
  <si>
    <t>waktu dukung argentina sedih juga waktu kalah lawan jerman sama jeda nonton pildun nonton pildun lagi dukung argentina bersyukur banget argentina menang</t>
  </si>
  <si>
    <t>['waktu', 'dukung', 'argentina', 'sedih', 'waktu', 'kalah', 'lawan', 'jerman', 'sama', 'jeda', 'nonton', 'piala dunia', 'nonton', 'piala dunia', 'dukung', 'argentina', 'bersyukur', 'banget', 'argentina', 'menang']</t>
  </si>
  <si>
    <t>Argentina kalo Messi pensiun dan gak dilanjutin regenerasinya bisa kek Jerman nasibnya. abis menang pildun langsung nyungsep ditinggal pemain hebat macem Klose dan Podolski   Alvarez semoga makin gacor mainnya</t>
  </si>
  <si>
    <t>argentina kalo messi pensiun dan gak dilanjutin regenerasinya bisa kek jerman nasibnya abis menang pildun langsung nyungsep ditinggal pemain hebat macem klose dan podolski alvarez semoga makin gacor mainnya</t>
  </si>
  <si>
    <t>['argentina', 'messi', 'pensiun', 'dilanjutin', 'regenerasinya', 'kek', 'jerman', 'nasibnya', 'abis', 'menang', 'piala dunia', 'langsung', 'nyungsep', 'ditinggal', 'pemain', 'hebat', 'macem', 'klose', 'podolski', 'alvarez', 'semoga', 'makin', 'gacor', 'mainnya']</t>
  </si>
  <si>
    <t>@Smsl_alghozali Mentang mentang team dukungan di pildun menang, kue lapisnya, kue lapis Argentina</t>
  </si>
  <si>
    <t>alghozali mentang mentang team dukungan pildun menang kue lapisnya kue lapis argentina</t>
  </si>
  <si>
    <t>['alghozali', 'mentang', 'mentang', 'team', 'dukungan', 'piala dunia', 'menang', 'kue', 'lapisnya', 'kue', 'lapis', 'argentina']</t>
  </si>
  <si>
    <t>@convomfs argentina, soalnya menang pildun</t>
  </si>
  <si>
    <t>argentina soalnya menang pildun</t>
  </si>
  <si>
    <t>['argentina', 'soalnya', 'menang', 'piala dunia']</t>
  </si>
  <si>
    <t>gaberasa pildun qatar udah kelar, baru kemaren ojeb gajadi menang 3juta gara2 argen kalah lawan arab eh semalem menang 3juta Allin argentina</t>
  </si>
  <si>
    <t>gaberasa pildun qatar udah kelar baru kemaren ojeb gajadi menang juta gara argen kalah lawan arab semalem menang juta allin argentina</t>
  </si>
  <si>
    <t>['gaberasa', 'piala dunia', 'qatar', 'udah', 'kelar', 'baru', 'kemarin', 'ojeb', 'gajadi', 'menang', 'juta', 'gara', 'argen', 'kalah', 'lawan', 'arab', 'semalam', 'menang', 'juta', 'allin', 'argentina']</t>
  </si>
  <si>
    <t>hari minggu paginya tiba" wa klo dia diwa sm resita, asw gatel lop anjing. trs aku pamitan ke greja. trs mlmnya tiba" wa minta ditemeni vc lagi. dia cerita hbs dr jepara trs baru disemarang. sampe rmh nonton pildun bareng. akhirnya argentina menang aku dijajakin mixue wkwkw.</t>
  </si>
  <si>
    <t>hari minggu paginya tiba klo dia diwa resita asw gatel lop anjing trs aku pamitan greja trs mlmnya tiba minta ditemeni lagi dia cerita hbs jepara trs baru disemarang sampe rmh nonton pildun bareng akhirnya argentina menang aku dijajakin mixue wkwkw</t>
  </si>
  <si>
    <t>['hari', 'minggu', 'paginya', 'tiba', 'diwa', 'resita', 'asw', 'gatel', 'lop', 'anjing', 'terus', 'aku', 'pamitan', 'greja', 'terus', 'mlmnya', 'tiba', 'minta', 'ditemeni', 'cerita', 'hbs', 'jepara', 'terus', 'baru', 'disemarang', 'sampai', 'rmh', 'nonton', 'piala dunia', 'bareng', 'akhirnya', 'argentina', 'menang', 'aku', 'dijajakin', 'mixue', 'wkwkw']</t>
  </si>
  <si>
    <t>Terharu sy ba nonton argentina menang pildun ü•≤</t>
  </si>
  <si>
    <t>terharu nonton argentina menang pildun</t>
  </si>
  <si>
    <t>['terharu', 'nonton', 'argentina', 'menang', 'piala dunia']</t>
  </si>
  <si>
    <t>@andikamalreza @idextratime gua juga fans dodo tetep respect ke argentina menang pildun, ga kaya lu argentina menang, masih kurang seru kalau ga bawa dodo.</t>
  </si>
  <si>
    <t>gua juga fans dodo tetep respect argentina menang pildun kaya argentina menang masih kurang seru kalau bawa dodo</t>
  </si>
  <si>
    <t>['gua', 'fans', 'dodo', 'tetep', 'respect', 'argentina', 'menang', 'piala dunia', 'kaya', 'argentina', 'menang', 'kurang', 'seru', 'kalau', 'bawa', 'dodo']</t>
  </si>
  <si>
    <t>tiap hari gue ngikutin pildun gegara kerjaan, tapi ga ada waktu ngehype, sampe sering ngoceh ngomel ma ayah nebak2 messi ato ronaldo yg top score. trus pas gue seneng argentina menang apakah gue ga boleh ngehype idola gue??</t>
  </si>
  <si>
    <t>tiap hari gue ngikutin pildun gegara kerjaan tapi ada waktu ngehype sampe sering ngoceh ngomel ayah nebak messi ato ronaldo top score trus pas gue seneng argentina menang apakah gue boleh ngehype idola gue</t>
  </si>
  <si>
    <t>['tiap', 'hari', 'gue', 'ngikutin', 'piala dunia', 'gegara', 'kerjaan', 'waktu', 'ngehype', 'sampai', 'sering', 'ngoceh', 'ngomel', 'ayah', 'nebak', 'messi', 'ato', 'ronaldo', 'top', 'score', 'trus', 'pas', 'gue', 'seneng', 'argentina', 'menang', 'gue', 'ngehype', 'idola', 'gue']</t>
  </si>
  <si>
    <t>@aimya_qq Yg dibuli tuh Argentina, dibilang pildun settingan biar Messi menang.. Pdhal dua-duanya sama-sama balas-balasan gol semalam.</t>
  </si>
  <si>
    <t>dibuli tuh argentina dibilang pildun settingan biar messi menang pdhal dua duanya sama sama balas balasan gol semalam</t>
  </si>
  <si>
    <t>['dibuli', 'argentina', 'dibilang', 'piala dunia', 'settingan', 'messi', 'menang', 'pdhal', 'duanya', 'sama', 'sama', 'balas', 'balasan', 'gol', 'semalam']</t>
  </si>
  <si>
    <t>@tanyakanrl apa cuman aku yang mainnya tuh selalu sama cwo?? kalo sm cwe tu kek gosip mulu ga sihh ü•∫ aku main sm cwo bahasnya bolaa, seruuu bangett apalagi semalem nobar pildun dan argentina menang, aku tim argentina btwü•∞ aku juga ga suka skincare a</t>
  </si>
  <si>
    <t>apa cuman aku yang mainnya tuh selalu sama cwo kalo cwe kek gosip mulu sihh aku main cwo bahasnya bolaa seruuu bangett apalagi semalem nobar pildun dan argentina menang aku tim argentina btw aku juga suka skincare</t>
  </si>
  <si>
    <t>['apa', 'cuman', 'aku', 'mainnya', 'selalu', 'sama', 'cwo', 'cwe', 'kek', 'gosip', 'mulu', 'sihh', 'aku', 'main', 'cwo', 'bahasnya', 'bolaa', 'seruuu', 'bangett', 'semalam', 'nonton bareng', 'piala dunia', 'argentina', 'menang', 'aku', 'tim', 'argentina', 'by the way', 'aku', 'suka', 'skincare']</t>
  </si>
  <si>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</si>
  <si>
    <t>yuhuuuu berhubung argentina menang piala dunia gue mau menuhin janji gue buat saldo dana untuk orang hehehe rulesnya wajib fans argentina anjer sama like terakhir coba mentions moment pildun menurut epic banget besok malem gue umumin pemenangnya</t>
  </si>
  <si>
    <t>['yuhuuuu', 'berhubung', 'argentina', 'menang', 'piala', 'dunia', 'gue', 'mau', 'menuhin', 'janji', 'gue', 'buat', 'saldo', 'dana', 'orang', 'hehehe', 'rulesnya', 'wajib', 'fans', 'argentina', 'anjer', 'sama', 'like', 'terakhir', 'coba', 'mentions', 'moment', 'piala dunia', 'epic', 'banget', 'besok', 'malem', 'gue', 'umumin', 'pemenangnya']</t>
  </si>
  <si>
    <t>Pejabat Argentina kok belum ada update foto menang pildun</t>
  </si>
  <si>
    <t>pejabat argentina kok belum ada update foto menang pildun</t>
  </si>
  <si>
    <t>['pejabat', 'argentina', 'kok', 'update', 'foto', 'menang', 'piala dunia']</t>
  </si>
  <si>
    <t>Exol Argentina bahagia karena Argentina menang jadi mereka puter lagu power ditambah prediksi kai tepat semua sampai dapat julukan gurita pildun üò≠üò≠üò≠ , kai penboy setia Messi üò≠üò≠</t>
  </si>
  <si>
    <t>exol argentina bahagia karena argentina menang jadi mereka puter lagu power ditambah prediksi kai tepat semua sampai dapat julukan gurita pildun kai penboy setia messi</t>
  </si>
  <si>
    <t>['exol', 'argentina', 'bahagia', 'argentina', 'menang', 'jadi', 'puter', 'lagu', 'power', 'ditambah', 'prediksi', 'kai', 'tepat', 'semua', 'julukan', 'gurita', 'piala dunia', 'kai', 'penboy', 'setia', 'messi']</t>
  </si>
  <si>
    <t>@senogp @MoooiPustaka Semalam @rakeanr mauk nonton pildun trs aku pilih Argentina dia milih Perancis, pas subuh liat berita Argentina menang. üòè pdhl ga tau yg main siapa dan ga nonton juga üò≠ baru install Twitter lagi trs muncul twit kak @senogp mauk</t>
  </si>
  <si>
    <t>semalam mauk nonton pildun trs aku pilih argentina dia milih perancis pas subuh liat berita argentina menang pdhl tau main siapa dan nonton juga baru install twitter lagi trs muncul twit kak mauk</t>
  </si>
  <si>
    <t>['semalam', 'mauk', 'nonton', 'piala dunia', 'terus', 'aku', 'pilih', 'argentina', 'milih', 'perancis', 'pas', 'subuh', 'lihat', 'berita', 'argentina', 'menang', 'pdhl', 'main', 'siapa', 'nonton', 'baru', 'install', 'twitter', 'terus', 'muncul', 'twit', 'kak', 'mauk']</t>
  </si>
  <si>
    <t>Aku taruhan baru dua kali pas pildun 2006 sama tahun ini, duaduanya menang hehe megang italia argentinaü§≠</t>
  </si>
  <si>
    <t>aku taruhan baru dua kali pas pildun sama tahun ini duaduanya menang hehe megang italia argentina</t>
  </si>
  <si>
    <t>['aku', 'taruhan', 'baru', 'kali', 'pas', 'piala dunia', 'sama', 'tahun', 'duaduanya', 'menang', 'megang', 'italia', 'argentina']</t>
  </si>
  <si>
    <t>argentina kalo abis menang pildun gini libur ngga ya sekolahan?</t>
  </si>
  <si>
    <t>argentina kalo abis menang pildun gini libur ngga sekolahan</t>
  </si>
  <si>
    <t>['argentina', 'abis', 'menang', 'piala dunia', 'gini', 'libur', 'ngga', 'sekolahan']</t>
  </si>
  <si>
    <t>Argentina menang Pildun , France masih Mbape!</t>
  </si>
  <si>
    <t>argentina menang pildun france masih mbape</t>
  </si>
  <si>
    <t>['argentina', 'menang', 'piala dunia', 'france', 'mbape']</t>
  </si>
  <si>
    <t>tanda naon deui ieu? pildun argentina menang, 2024 demokrat menang kitu? :v</t>
  </si>
  <si>
    <t>tanda naon deui ieu pildun argentina menang demokrat menang kitu</t>
  </si>
  <si>
    <t>['tanda', 'naon', 'deui', 'ieu', 'piala dunia', 'argentina', 'menang', 'demokrat', 'menang', 'kitu']</t>
  </si>
  <si>
    <t>Jujur w ga ikutin pildun sejak argentina kalah 2014 dn alhamdulillah tadi malam menangüò≠ nonton dri messi masih muda belum kepala 3üòû</t>
  </si>
  <si>
    <t>jujur ikutin pildun sejak argentina kalah alhamdulillah tadi malam menang nonton dri messi masih muda belum kepala</t>
  </si>
  <si>
    <t>['jujur', 'ikutin', 'piala dunia', 'sejak', 'argentina', 'kalah', 'alhamdulillah', 'tadi', 'malam', 'menang', 'nonton', 'dri', 'messi', 'muda', 'kepala']</t>
  </si>
  <si>
    <t>TL isinya Argentina menang pildun doang.  https://t.co/TrhtAKsNfB</t>
  </si>
  <si>
    <t>isinya argentina menang pildun doang</t>
  </si>
  <si>
    <t>['isinya', 'argentina', 'menang', 'piala dunia', 'doang']</t>
  </si>
  <si>
    <t>@jimxaszh sangat speechless, akhirnya argentina bisa menang pildun lagi yang ketiga kali. bangga banget liat messi ‚ù§</t>
  </si>
  <si>
    <t>sangat speechless akhirnya argentina bisa menang pildun lagi yang ketiga kali bangga banget liat messi</t>
  </si>
  <si>
    <t>['sangat', 'speechless', 'akhirnya', 'argentina', 'menang', 'piala dunia', 'ketiga', 'kali', 'bangga', 'banget', 'lihat', 'messi']</t>
  </si>
  <si>
    <t>ketiduran nonton pildun, bangun" argentina menang tuh another level of happy for today anjass</t>
  </si>
  <si>
    <t>ketiduran nonton pildun bangun argentina menang tuh another level happy for today anjass</t>
  </si>
  <si>
    <t>['ketiduran', 'nonton', 'piala dunia', 'bangun', 'argentina', 'menang', 'another', 'level', 'happy', 'for', 'today', 'anjass']</t>
  </si>
  <si>
    <t>Cnth Argentina ekonominya br krisis tp tetap menang pildun, kesimpulannya ga gagas politik ga gagas ekonomi, federasi fokus pd sepakbola dan intinya hny niat para pemangku kebijakan, mau tdk mereka membenahi sepak bola nasional, klu niat ada bnyk jln menuju roma  #PialaDunia2022</t>
  </si>
  <si>
    <t>cnth argentina ekonominya krisis tetap menang pildun kesimpulannya gagas politik gagas ekonomi federasi fokus sepakbola dan intinya hny niat para pemangku kebijakan mau tdk mereka membenahi sepak bola nasional klu niat ada bnyk jln menuju roma</t>
  </si>
  <si>
    <t>['cnth', 'argentina', 'ekonominya', 'krisis', 'tetap', 'menang', 'piala dunia', 'kesimpulannya', 'gagas', 'politik', 'gagas', 'ekonomi', 'federasi', 'fokus', 'sepakbola', 'intinya', 'hny', 'niat', 'pemangku', 'kebijakan', 'mau', 'membenahi', 'sepak', 'bola', 'nasional', 'klu', 'niat', 'bnyk', 'jln', 'menuju', 'roma']</t>
  </si>
  <si>
    <t>@riombee @ginanjarfauz @7ckngNeg @FansNerazzurri Wkwk pemain yg dibangga banggain ga ada kontribusinya sepanjang pildunüòÇü§£, mainin Evan Dimas jga Argentina ttp menangü§£</t>
  </si>
  <si>
    <t>wkwk pemain dibangga banggain ada kontribusinya sepanjang pildun mainin evan dimas jga argentina ttp menang</t>
  </si>
  <si>
    <t>['pemain', 'dibangga', 'banggain', 'kontribusinya', 'sepanjang', 'piala dunia', 'mainin', 'evan', 'dimas', 'jga', 'argentina', 'ttp', 'menang']</t>
  </si>
  <si>
    <t>Pas awal2 pildun suamik bilang, kayaknya argentina menang  Lah bener</t>
  </si>
  <si>
    <t>pas awal pildun suamik bilang kayaknya argentina menang lah bener</t>
  </si>
  <si>
    <t>['pas', 'awal', 'piala dunia', 'suamik', 'kayaknya', 'argentina', 'menang', 'lah', 'benar']</t>
  </si>
  <si>
    <t>sengaja ga nonton pildun, karena papa juga ganonton. tapi Argentina menang, ndut!ü§™</t>
  </si>
  <si>
    <t>sengaja nonton pildun karena papa juga ganonton tapi argentina menang ndut</t>
  </si>
  <si>
    <t>['sengaja', 'nonton', 'piala dunia', 'papa', 'ganonton', 'argentina', 'menang', 'ndut']</t>
  </si>
  <si>
    <t>Liat euphoria Argentina pas menang pildun, i kinda wonder... Indonesia kapan ya bisa join??</t>
  </si>
  <si>
    <t>liat euphoria argentina pas menang pildun kinda wonder indonesia kapan bisa join</t>
  </si>
  <si>
    <t>['lihat', 'euphoria', 'argentina', 'pas', 'menang', 'piala dunia', 'kinda', 'wonder', 'indonesia', 'kapan', 'join']</t>
  </si>
  <si>
    <t>Sedih bngt anjr kalo yedam masih bisa update aj pasti heboh anjr nonton pildun argentina menang üò≠üëéüèº. Sengaja mantau argentina demi yedam tp anak nya ilang</t>
  </si>
  <si>
    <t>sedih bngt anjr kalo yedam masih bisa update pasti heboh anjr nonton pildun argentina menang sengaja mantau argentina demi yedam anak nya ilang</t>
  </si>
  <si>
    <t>['sedih', 'bngt', 'anjr', 'yedam', 'update', 'heboh', 'anjr', 'nonton', 'piala dunia', 'argentina', 'menang', 'sengaja', 'mantau', 'argentina', 'yedam', 'anak', 'ilang']</t>
  </si>
  <si>
    <t>Selain memahami skill pemain, judi bola juga memerlukan pengetahuan mengenai teori-teori lain di luar lapangan. Seperti argentina yg kemungkinan besar akan menang karena ini pildun terakhir bagi messi, sedangkan mbape masih bisa menang di pildun selanjutnyaüëÄ</t>
  </si>
  <si>
    <t>selain memahami skill pemain judi bola juga memerlukan pengetahuan mengenai teori teori lain luar lapangan seperti argentina kemungkinan besar akan menang karena ini pildun terakhir bagi messi sedangkan mbape masih bisa menang pildun selanjutnya</t>
  </si>
  <si>
    <t>['memahami', 'skill', 'pemain', 'judi', 'bola', 'memerlukan', 'pengetahuan', 'mengenai', 'teori', 'teori', 'luar', 'lapangan', 'argentina', 'kemungkinan', 'besar', 'menang', 'piala dunia', 'terakhir', 'messi', 'mbape', 'menang', 'piala dunia', 'selanjutnya']</t>
  </si>
  <si>
    <t>aku ga ngerti bola dan ga ngikutin pildun tapi semalem gue ngomong ‚Äúah aku megang argentina hehe‚Äù beneran menang heheheh üòÅ</t>
  </si>
  <si>
    <t>aku ngerti bola dan ngikutin pildun tapi semalem gue ngomong aku megang argentina hehe beneran menang heheheh</t>
  </si>
  <si>
    <t>['aku', 'ngerti', 'bola', 'ngikutin', 'piala dunia', 'semalam', 'gue', 'ngomong', 'aku', 'megang', 'argentina', 'beneran', 'menang', 'heheheh']</t>
  </si>
  <si>
    <t>kmrn ada yg nanyain pildun gue pegang apa. iseng jawab argentina. eh menang. emg feeling cewe selalu benar ü§≠</t>
  </si>
  <si>
    <t>kmrn ada nanyain pildun gue pegang apa iseng jawab argentina menang emg feeling cewe selalu benar</t>
  </si>
  <si>
    <t>['kmrn', 'nanyain', 'piala dunia', 'gue', 'pegang', 'apa', 'iseng', 'jawab', 'argentina', 'menang', 'memang', 'feeling', 'cewe', 'selalu', 'benar']</t>
  </si>
  <si>
    <t>argentina menang pildun, coba lu pd bayangin kalo yedam tbtb ngechat hyunsuk "HYUNGGG TERNYATA PREDIKSI AKU BENER, ARGENTINA MENANGGGG!!" hyunsuk responnya "VAMOS ARGENTINA"   argentina menang si yedam masi ngilang :" dam nongol ke dam sekali aja</t>
  </si>
  <si>
    <t>argentina menang pildun coba bayangin kalo yedam tbtb ngechat hyunsuk hyunggg ternyata prediksi aku bener argentina menangggg hyunsuk responnya vamos argentina argentina menang yedam masi ngilang dam nongol dam sekali aja</t>
  </si>
  <si>
    <t>['argentina', 'menang', 'piala dunia', 'coba', 'bayangin', 'yedam', 'tbtb', 'ngechat', 'hyunsuk', 'hyunggg', 'ternyata', 'prediksi', 'aku', 'benar', 'argentina', 'menangggg', 'hyunsuk', 'responnya', 'vamos', 'argentina', 'argentina', 'menang', 'yedam', 'masi', 'ngilang', 'dam', 'nongol', 'dam', 'sekali']</t>
  </si>
  <si>
    <t>Yang jelas kebanyakan dari mereka yang gak seneng argentina menang pildun adalah fans ronaldo sakit hati bukan pendukung france.</t>
  </si>
  <si>
    <t>yang jelas kebanyakan dari mereka yang gak seneng argentina menang pildun adalah fans ronaldo sakit hati bukan pendukung france</t>
  </si>
  <si>
    <t>['jelas', 'kebanyakan', 'seneng', 'argentina', 'menang', 'piala dunia', 'fans', 'ronaldo', 'sakit', 'hati', 'bukan', 'pendukung', 'france']</t>
  </si>
  <si>
    <t>dari awal piala dunia udah punya feeling argentina menang walaupun aku ga ngikutin pildun wkwk, luv ama argentinaü´∂üèª</t>
  </si>
  <si>
    <t>dari awal piala dunia udah punya feeling argentina menang walaupun aku ngikutin pildun wkwk luv ama argentina</t>
  </si>
  <si>
    <t>['awal', 'piala', 'dunia', 'udah', 'punya', 'feeling', 'argentina', 'menang', 'walaupun', 'aku', 'ngikutin', 'piala dunia', 'luv', 'ama', 'argentina']</t>
  </si>
  <si>
    <t>Kira kira di Argentina sana sekarang ada yg ngomel ngomel macet gegara konvoi/pawai euforia menang pildun gk ya</t>
  </si>
  <si>
    <t>kira kira argentina sana sekarang ada ngomel ngomel macet gegara konvoi pawai euforia menang pildun</t>
  </si>
  <si>
    <t>['kira', 'kira', 'argentina', 'sana', 'sekarang', 'ngomel', 'ngomel', 'macet', 'gegara', 'konvoi', 'pawai', 'euforia', 'menang', 'piala dunia']</t>
  </si>
  <si>
    <t>yang menang ARGENTINA tapi yang gua nya ikut seneng kek berasa indo menang pildun olimpiade kalik yak</t>
  </si>
  <si>
    <t>yang menang argentina tapi yang gua nya ikut seneng kek berasa indo menang pildun olimpiade kalik yak</t>
  </si>
  <si>
    <t>['menang', 'argentina', 'gua', 'ikut', 'seneng', 'kek', 'berasa', 'indo', 'menang', 'piala dunia', 'olimpiade', 'kalik', 'yak']</t>
  </si>
  <si>
    <t>Pildun brazil dukung Argentina yg menang Jerman, pildun rusia dukung Kroasia yg menang Perancis, pildun qatar dukung Perancis yg menang Argentina</t>
  </si>
  <si>
    <t>pildun brazil dukung argentina menang jerman pildun rusia dukung kroasia menang perancis pildun qatar dukung perancis menang argentina</t>
  </si>
  <si>
    <t>['piala dunia', 'brazil', 'dukung', 'argentina', 'menang', 'jerman', 'piala dunia', 'rusia', 'dukung', 'kroasia', 'menang', 'perancis', 'piala dunia', 'qatar', 'dukung', 'perancis', 'menang', 'argentina']</t>
  </si>
  <si>
    <t>&lt;FreqDist with 10 samples and 18 outcomes&gt;</t>
  </si>
  <si>
    <t>Walopun argentina menang mereka harus pulang merayakan Natal sekalian.sama tim perancis.hanya qatar yang gak pulang2.walopun gak lolos penyisihan.drama pildun penuh rekayasa ü§£ü§£</t>
  </si>
  <si>
    <t>walopun argentina menang mereka harus pulang merayakan natal sekalian sama tim perancis hanya qatar yang gak pulang walopun gak lolos penyisihan drama pildun penuh rekayasa</t>
  </si>
  <si>
    <t>['walopun', 'argentina', 'menang', 'pulang', 'merayakan', 'natal', 'sekalian', 'sama', 'tim', 'perancis', 'qatar', 'pulang', 'walopun', 'lolos', 'penyisihan', 'drama', 'piala dunia', 'penuh', 'rekayasa']</t>
  </si>
  <si>
    <t>Argentina bikin syukuran ga ya di negaranya abis menang pildun</t>
  </si>
  <si>
    <t>argentina bikin syukuran negaranya abis menang pildun</t>
  </si>
  <si>
    <t>['argentina', 'syukuran', 'negaranya', 'abis', 'menang', 'piala dunia']</t>
  </si>
  <si>
    <t>Pantes aja banyak yg ragu, Argentina terakhir kali menang pildun tuh 36 tahun lalu. Dan sekarang menang lagi yg ke3 kalinya. Wow hebat! Tim yg diragukan orang-orang semua pada naik. Sama kyak Maroko yg buat orang kaget krn tim underdog bisa sampai semi-finals bersama para jagoan.</t>
  </si>
  <si>
    <t>pantes aja banyak ragu argentina terakhir kali menang pildun tuh tahun lalu dan sekarang menang lagi kalinya wow hebat tim diragukan orang orang semua pada naik sama kyak maroko buat orang kaget krn tim underdog bisa sampai semi finals bersama para jagoan</t>
  </si>
  <si>
    <t>['pantes', 'banyak', 'ragu', 'argentina', 'terakhir', 'kali', 'menang', 'piala dunia', 'tahun', 'lalu', 'sekarang', 'menang', 'kalinya', 'wow', 'hebat', 'tim', 'diragukan', 'orang', 'orang', 'semua', 'naik', 'sama', 'kyak', 'maroko', 'buat', 'orang', 'kaget', 'tim', 'underdog', 'semi', 'finals', 'bersama', 'jagoan']</t>
  </si>
  <si>
    <t>Ini kalo bapak masih ada, bakal heboh bener pasti karena tau Argentina menang wkwkwk. Inget dulu masa-masa bapak nonton pildun sampe pagi terus diomelin sama mama karena berisik ü§£</t>
  </si>
  <si>
    <t>ini kalo bapak masih ada bakal heboh bener pasti karena tau argentina menang wkwkwk inget dulu masa masa bapak nonton pildun sampe pagi terus diomelin sama mama karena berisik</t>
  </si>
  <si>
    <t>['bapak', 'bakal', 'heboh', 'benar', 'argentina', 'menang', 'wkwkwk', 'inget', 'dulu', 'masa', 'masa', 'bapak', 'nonton', 'piala dunia', 'sampai', 'pagi', 'terus', 'diomelin', 'sama', 'mama', 'berisik']</t>
  </si>
  <si>
    <t>Hari Senin ini kira-kira kantor di Argentina pada libur ga ya? Ya kan kemarin baru menang pildun, atau siapa tau ada dispensasi buat karyawannya merayakan kemenganan.</t>
  </si>
  <si>
    <t>hari senin ini kira kira kantor argentina pada libur kan kemarin baru menang pildun atau siapa tau ada dispensasi buat karyawannya merayakan kemenganan</t>
  </si>
  <si>
    <t>['hari', 'senin', 'kira', 'kira', 'kantor', 'argentina', 'libur', 'kan', 'kemarin', 'baru', 'menang', 'piala dunia', 'siapa', 'dispensasi', 'buat', 'karyawannya', 'merayakan', 'kemenganan']</t>
  </si>
  <si>
    <t>Ternyata Argentina menang pildun itu masih masuk ke bagian penampilan encore konser kemarin sekaligus last show-nya Messi.</t>
  </si>
  <si>
    <t>ternyata argentina menang pildun itu masih masuk bagian penampilan encore konser kemarin sekaligus last show nya messi</t>
  </si>
  <si>
    <t>['ternyata', 'argentina', 'menang', 'piala dunia', 'masuk', 'bagian', 'penampilan', 'encore', 'konser', 'kemarin', 'sekaligus', 'last', 'show', 'messi']</t>
  </si>
  <si>
    <t>@eisminee Iyaaa dukung mbappeüò≠ tp disisi lain mau argentina menang jg karena katanya pildun terakgir messi.   IYAAAAA UDAH SI PALING KEREN POKOKBYAA BISA NGEJAR KETINGGALAN KAYA GITUUU KALO GW JD MEREKA UDH KEBELET PUP ITUüò≠</t>
  </si>
  <si>
    <t>iyaaa dukung mbappe disisi lain mau argentina menang karena katanya pildun terakgir messi iyaaaaa udah paling keren pokokbyaa bisa ngejar ketinggalan kaya gituuu kalo mereka udh kebelet pup itu</t>
  </si>
  <si>
    <t>['iyaaa', 'dukung', 'mbappe', 'disisi', 'mau', 'argentina', 'menang', 'katanya', 'piala dunia', 'terakgir', 'messi', 'iyaaaaa', 'udah', 'paling', 'keren', 'pokokbyaa', 'ngejar', 'ketinggalan', 'kaya', 'gituuu', 'sudah', 'kebelet', 'pup']</t>
  </si>
  <si>
    <t>&amp;lt;&amp;lt; emak yg cuma nyimak Pildun 2022 dari berita. Sudah lewat masa2 bucin sama Ronaldo Luiz Nazario da Lima. Bukan C. Ronaldo yg belum pernah menang di Pildun, hehehe.  Congrats, Argentina!</t>
  </si>
  <si>
    <t>emak cuma nyimak pildun dari berita sudah lewat masa bucin sama ronaldo luiz nazario lima bukan ronaldo belum pernah menang pildun hehehe congrats argentina</t>
  </si>
  <si>
    <t>['emak', 'cuma', 'nyimak', 'piala dunia', 'berita', 'lewat', 'masa', 'budak cinta', 'sama', 'ronaldo', 'luiz', 'nazario', 'lima', 'bukan', 'ronaldo', 'pernah', 'menang', 'piala dunia', 'hehehe', 'congrats', 'argentina']</t>
  </si>
  <si>
    <t>Dari awal pildun feeling Argentina yg menang, eh beneran dong üò≠ jadi takut sama feeling diri sendiri apapun yg di feeling in selalu bener üò≠ feeling gua jodohnya jungkook itu gua üòú #FIFAWorldCup #BTSARMY #JungkookDreamers</t>
  </si>
  <si>
    <t>dari awal pildun feeling argentina menang beneran dong jadi takut sama feeling diri sendiri apapun feeling selalu bener feeling gua jodohnya jungkook itu gua</t>
  </si>
  <si>
    <t>['awal', 'piala dunia', 'feeling', 'argentina', 'menang', 'beneran', 'dong', 'jadi', 'takut', 'sama', 'feeling', 'diri', 'sendiri', 'apapun', 'feeling', 'selalu', 'benar', 'feeling', 'gua', 'jodohnya', 'jungkook', 'gua']</t>
  </si>
  <si>
    <t>Cukup MBAPPE Saja, ARGENTINA Kewalahan Lawan FRANCE, belum lg Pogba dengan kawan¬≤ yg masih cedera kalau mereka lengkap, pasti peluang menang besar ü•∫ü•∫ #pildun  https://t.co/adwvRjOdCu</t>
  </si>
  <si>
    <t>cukup mbappe saja argentina kewalahan lawan france belum pogba dengan kawan masih cedera kalau mereka lengkap pasti peluang menang besar</t>
  </si>
  <si>
    <t>['cukup', 'mbappe', 'argentina', 'kewalahan', 'lawan', 'france', 'pogba', 'kawan', 'cedera', 'kalau', 'lengkap', 'peluang', 'menang', 'besar']</t>
  </si>
  <si>
    <t>gabisa nonton pildun karena ketiduran udah yakin argentina menang sampe kebawa mimpi</t>
  </si>
  <si>
    <t>['gabisa', 'nonton', 'piala dunia', 'ketiduran', 'udah', 'yakin', 'argentina', 'menang', 'sampai', 'kebawa', 'mimpi']</t>
  </si>
  <si>
    <t>Argentina menang pildun Aku menang giveaway AMINNN</t>
  </si>
  <si>
    <t>argentina menang pildun aku menang giveaway aminnn</t>
  </si>
  <si>
    <t>['argentina', 'menang', 'piala dunia', 'aku', 'menang', 'giveaway', 'aminnn']</t>
  </si>
  <si>
    <t>Argentina menang pildun langsung keinget wawancara P'Zee yg ini. Pasti dia lagi full senyum sekarang. üòÇ P'Zee seandainya ikut judi bola pasti menang banyak. ü§≠</t>
  </si>
  <si>
    <t>argentina menang pildun langsung keinget wawancara zee ini pasti dia lagi full senyum sekarang zee seandainya ikut judi bola pasti menang banyak</t>
  </si>
  <si>
    <t>['argentina', 'menang', 'piala dunia', 'langsung', 'keinget', 'wawancara', 'zee', 'full', 'senyum', 'sekarang', 'zee', 'seandainya', 'ikut', 'judi', 'bola', 'menang', 'banyak']</t>
  </si>
  <si>
    <t>Argentina berarti yang menang PilDun, ya?</t>
  </si>
  <si>
    <t>argentina berarti yang menang pildun</t>
  </si>
  <si>
    <t>['argentina', 'berarti', 'menang', 'piala dunia']</t>
  </si>
  <si>
    <t xml:space="preserve">@tanyakanrl infinity/10 soalnya argentina menang. tapi selain itu juga seru si. matchnya sangat unexpected, komentar orang2 di sosmed juga lucu2, meme2nya, bacotan bocil2 tiktok yang ga masuk akal. intinya seru dan seneng banget. btw gara2 pildun ini gua </t>
  </si>
  <si>
    <t>infinity soalnya argentina menang tapi selain itu juga seru matchnya sangat unexpected komentar orang sosmed juga lucu meme nya bacotan bocil tiktok yang masuk akal intinya seru dan seneng banget btw gara pildun ini gua</t>
  </si>
  <si>
    <t>['infinity', 'soalnya', 'argentina', 'menang', 'seru', 'matchnya', 'sangat', 'unexpected', 'komentar', 'orang', 'sosmed', 'lucu', 'meme', 'bacotan', 'bocil', 'tiktok', 'masuk', 'akal', 'intinya', 'seru', 'seneng', 'banget', 'by the way', 'gara', 'piala dunia', 'gua']</t>
  </si>
  <si>
    <t>@omkecee OM AKU NANGIS BARU SEMPET BUKA TWT DAN GASEMPET LIHAT PILDUN SEMALEM TERNYATA ARGENTINA MENANGüò≠</t>
  </si>
  <si>
    <t>aku nangis baru sempet buka twt dan gasempet lihat pildun semalem ternyata argentina menang</t>
  </si>
  <si>
    <t>['aku', 'nangis', 'baru', 'sempet', 'buka', 'twt', 'gasempet', 'lihat', 'piala dunia', 'semalam', 'ternyata', 'argentina', 'menang']</t>
  </si>
  <si>
    <t>Bentar lagi penjabat Argentina bikin baliho ucapan selamat menang pildun, dengan tampang mereka mendominasi baliho</t>
  </si>
  <si>
    <t>bentar lagi penjabat argentina bikin baliho ucapan selamat menang pildun dengan tampang mereka mendominasi baliho</t>
  </si>
  <si>
    <t>['bentar', 'penjabat', 'argentina', 'baliho', 'ucapan', 'selamat', 'menang', 'piala dunia', 'tampang', 'mendominasi', 'baliho']</t>
  </si>
  <si>
    <t>MinQu telat nih, tapi selamat buat Argentina yang menang Pildun 2022 üá¶üá∑üá¶üá∑  https://t.co/DEn6ERUuRv</t>
  </si>
  <si>
    <t>minqu telat nih tapi selamat buat argentina yang menang pildun</t>
  </si>
  <si>
    <t>['minqu', 'telat', 'selamat', 'buat', 'argentina', 'menang', 'piala dunia']</t>
  </si>
  <si>
    <t>Masih mules gara-gara pildun padahal Argentina menang.</t>
  </si>
  <si>
    <t>masih mules gara gara pildun padahal argentina menang</t>
  </si>
  <si>
    <t>['mules', 'gara', 'gara', 'piala dunia', 'padahal', 'argentina', 'menang']</t>
  </si>
  <si>
    <t>argentina menang yach.. kongrets.. dr italia hardcore yg ga nonton pildun ü•¥</t>
  </si>
  <si>
    <t>argentina menang yach kongrets italia hardcore nonton pildun</t>
  </si>
  <si>
    <t>['argentina', 'menang', 'yach', 'kongrets', 'italia', 'hardcore', 'nonton', 'piala dunia']</t>
  </si>
  <si>
    <t>2018 w nontin pildun gak ketiduran argentina kalah skrg 2022 ketiduran argentina menangüëç intinya kudu ditinggal turuüëç</t>
  </si>
  <si>
    <t>nontin pildun gak ketiduran argentina kalah skrg ketiduran argentina menang intinya kudu ditinggal turu</t>
  </si>
  <si>
    <t>['nontin', 'piala dunia', 'ketiduran', 'argentina', 'kalah', 'skrg', 'ketiduran', 'argentina', 'menang', 'intinya', 'kudu', 'ditinggal', 'tidur']</t>
  </si>
  <si>
    <t>@yedamfess DAM AYO MUNCUL ARGENTINA MENANG PILDUN üò≠üò≠üò≠</t>
  </si>
  <si>
    <t>dam ayo muncul argentina menang pildun</t>
  </si>
  <si>
    <t>['dam', 'ayo', 'muncul', 'argentina', 'menang', 'piala dunia']</t>
  </si>
  <si>
    <t>Pagi2 denger berita argentina menang pildun.Trs liat komen pada nyebut Messi pantas dapat predikat GOAT. Awalnya sering aku lihat orang2 pada ribut siapa yg pantas dapat GOAT. CUMA karna aku ga tertarik begituan yasudah lah ya. Trs ada dong orang kira GOAT=Kambing=Berjenggot ü§£</t>
  </si>
  <si>
    <t>pagi denger berita argentina menang pildun trs liat komen pada nyebut messi pantas dapat predikat goat awalnya sering aku lihat orang pada ribut siapa pantas dapat goat cuma karna aku tertarik begituan yasudah lah trs ada dong orang kira goat kambing berjenggot</t>
  </si>
  <si>
    <t>['pagi', 'denger', 'berita', 'argentina', 'menang', 'piala dunia', 'terus', 'lihat', 'komen', 'nyebut', 'messi', 'pantas', 'predikat', 'goat', 'awalnya', 'sering', 'aku', 'lihat', 'orang', 'ribut', 'siapa', 'pantas', 'goat', 'cuma', 'karna', 'aku', 'tertarik', 'begituan', 'yasudah', 'lah', 'terus', 'dong', 'orang', 'kira', 'goat', 'kambing', 'berjenggot']</t>
  </si>
  <si>
    <t>Good morning~ denger denger Argentina menang pildun ya? Selamat yg dukung Argentina!!!</t>
  </si>
  <si>
    <t>good morning denger denger argentina menang pildun selamat dukung argentina</t>
  </si>
  <si>
    <t>['good', 'morning', 'denger', 'denger', 'argentina', 'menang', 'piala dunia', 'selamat', 'dukung', 'argentina']</t>
  </si>
  <si>
    <t>kukira Argentina tu udh biasa menang pildun, soalnya Messi kan y siapa gatau Messi? ternyata baru kali ini Messi pildun pantesan pada terharu biru gitu, congrats si!</t>
  </si>
  <si>
    <t>kukira argentina udh biasa menang pildun soalnya messi kan siapa gatau messi ternyata baru kali ini messi pildun pantesan pada terharu biru gitu congrats</t>
  </si>
  <si>
    <t>['kukira', 'argentina', 'sudah', 'biasa', 'menang', 'piala dunia', 'soalnya', 'messi', 'kan', 'siapa', 'gatau', 'messi', 'ternyata', 'baru', 'kali', 'messi', 'piala dunia', 'pantesan', 'terharu', 'biru', 'gitu', 'congrats']</t>
  </si>
  <si>
    <t>babi ketiduran nonton pildunüòîüòî WRWRWR TP SENENG KRN GUE SDH MENEBAK ARGENTINA YG MENANGüòãüòãüòã</t>
  </si>
  <si>
    <t>babi ketiduran nonton pildun wrwrwr seneng krn gue sdh menebak argentina menang</t>
  </si>
  <si>
    <t>['babi', 'ketiduran', 'nonton', 'piala dunia', 'wrwrwr', 'seneng', 'gue', 'menebak', 'argentina', 'menang']</t>
  </si>
  <si>
    <t>ihh yedam ni pasti pasti pasti bgt nonton final pildun, sblm final update story wv lg mau nobar pildun bareng hyunsuk walau timnnya hyunsuk ga masuk final, trs pas Argentina menang, ni anak pasti spam sm heboh di wv ((hrsnya gini yah klo ga keluar wrwr))   https://t.co/GMdz37hFsh</t>
  </si>
  <si>
    <t>ihh yedam pasti pasti pasti bgt nonton final pildun sblm final update story mau nobar pildun bareng hyunsuk walau timnnya hyunsuk masuk final trs pas argentina menang anak pasti spam heboh hrsnya gini yah klo keluar wrwr</t>
  </si>
  <si>
    <t>['ihh', 'yedam', 'banget', 'nonton', 'final', 'piala dunia', 'sebelum', 'final', 'update', 'story', 'mau', 'nonton bareng', 'piala dunia', 'bareng', 'hyunsuk', 'timnnya', 'hyunsuk', 'masuk', 'final', 'terus', 'pas', 'argentina', 'menang', 'anak', 'spam', 'heboh', 'hrsnya', 'gini', 'keluar', 'wrwr']</t>
  </si>
  <si>
    <t>Bangun bangun isi tl pildun. Menang taruhan gue sama Faka. Dia pilih Prancis gue Argentina. Mau siapa pun yang menang, tetep dia yang harus traktir.</t>
  </si>
  <si>
    <t>bangun bangun isi pildun menang taruhan gue sama faka dia pilih prancis gue argentina mau siapa pun yang menang tetep dia yang harus traktir</t>
  </si>
  <si>
    <t>['bangun', 'bangun', 'isi', 'piala dunia', 'menang', 'taruhan', 'gue', 'sama', 'faka', 'pilih', 'prancis', 'gue', 'argentina', 'mau', 'siapa', 'menang', 'tetep', 'traktir']</t>
  </si>
  <si>
    <t>@TsukiyoMiho Miho nee selalu menang di hatiku  Btw Argentina menang pildun wkwkwk</t>
  </si>
  <si>
    <t>miho nee selalu menang hatiku btw argentina menang pildun wkwkwk</t>
  </si>
  <si>
    <t>['miho', 'nee', 'selalu', 'menang', 'hatiku', 'by the way', 'argentina', 'menang', 'piala dunia', 'wkwkwk']</t>
  </si>
  <si>
    <t>Gue ga ngikutin pildun dari awal si. Tapi kok gemes ya liat editan editan yg lwt tl ttg argentina menang. Cutesss overload ü§èü§èü§èü§èü§è</t>
  </si>
  <si>
    <t>gue ngikutin pildun dari awal tapi kok gemes liat editan editan lwt ttg argentina menang cutesss overload</t>
  </si>
  <si>
    <t>['gue', 'ngikutin', 'piala dunia', 'awal', 'kok', 'gemes', 'lihat', 'editan', 'editan', 'lwt', 'ttg', 'argentina', 'menang', 'cutesss', 'overload']</t>
  </si>
  <si>
    <t>It's a perfect ending!ini terakhir kali messi main pildun since argentina belum pernah menang pildun. Messi cuman kurang piala dunia buat namatin sepakbola. At least, sebelum  messi pensiun dia berhasil meraih impiannya. Well, congrats buat Argentina!!!</t>
  </si>
  <si>
    <t>perfect ending ini terakhir kali messi main pildun since argentina belum pernah menang pildun messi cuman kurang piala dunia buat namatin sepakbola least sebelum messi pensiun dia berhasil meraih impiannya well congrats buat argentina</t>
  </si>
  <si>
    <t>['perfect', 'ending', 'terakhir', 'kali', 'messi', 'main', 'piala dunia', 'since', 'argentina', 'pernah', 'menang', 'piala dunia', 'messi', 'cuman', 'kurang', 'piala', 'dunia', 'buat', 'namatin', 'sepakbola', 'least', 'messi', 'pensiun', 'berhasil', 'meraih', 'impiannya', 'well', 'congrats', 'buat', 'argentina']</t>
  </si>
  <si>
    <t>Argentina menang pildun?</t>
  </si>
  <si>
    <t>pas lihat ini, apaa yedam nonton pildun ya? YA SAPA TAU KAN DOI NONTON KAN ARGENTINA NI TDO MLM MENANGüò≠KLO IYAA KEREN SI YV DUDUK SEBELAHAN SAMA YEDAM</t>
  </si>
  <si>
    <t>pas lihat ini apaa yedam nonton pildun sapa tau kan doi nonton kan argentina tdo mlm menang klo iyaa keren duduk sebelahan sama yedam</t>
  </si>
  <si>
    <t>['pas', 'lihat', 'apaa', 'yedam', 'nonton', 'piala dunia', 'sapa', 'kan', 'doi', 'nonton', 'kan', 'argentina', 'tdo', 'malam', 'menang', 'iyaa', 'keren', 'duduk', 'sebelahan', 'sama', 'yedam']</t>
  </si>
  <si>
    <t>heran d gw, Argentina yg menang üòÖ tp msh aja senyum2 sendiri n terharu inget perjuangan panjang anak la masia itu di bbrp pildun dan akhirnya menuntaskan mimpinya di usia 35, congrats Messi üëçüëèüëèüëè</t>
  </si>
  <si>
    <t>heran argentina menang msh aja senyum sendiri terharu inget perjuangan panjang anak masia itu bbrp pildun dan akhirnya menuntaskan mimpinya usia congrats messi</t>
  </si>
  <si>
    <t>['heran', 'argentina', 'menang', 'msh', 'senyum', 'sendiri', 'terharu', 'inget', 'perjuangan', 'panjang', 'anak', 'masia', 'bbrp', 'piala dunia', 'akhirnya', 'menuntaskan', 'mimpinya', 'usia', 'congrats', 'messi']</t>
  </si>
  <si>
    <t>@tanyakanrl Diawali dengan argentina menang pildun</t>
  </si>
  <si>
    <t>diawali dengan argentina menang pildun</t>
  </si>
  <si>
    <t>['diawali', 'argentina', 'menang', 'piala dunia']</t>
  </si>
  <si>
    <t>Nonton Final Pildun kmrn smpe 2-0 trs ketiduran. Ya udahlah ya pasti menang Argentina. Bangun lg, posisi lg extra time. Ktiduran lg, bangun pas 3-2. Dah yakin Argentina menang lah. Eh pagi2 tnyata 3-3 trs Argentina menangnya lewat tendangan penaltiü§£. Haduh. Psti sengit nih kmrn</t>
  </si>
  <si>
    <t>nonton final pildun kmrn smpe trs ketiduran udahlah pasti menang argentina bangun posisi extra time ktiduran bangun pas dah yakin argentina menang lah pagi tnyata trs argentina menangnya lewat tendangan penalti haduh psti sengit nih kmrn</t>
  </si>
  <si>
    <t>['nonton', 'final', 'piala dunia', 'kmrn', 'smpe', 'terus', 'ketiduran', 'udahlah', 'menang', 'argentina', 'bangun', 'posisi', 'extra', 'time', 'ktiduran', 'bangun', 'pas', 'dah', 'yakin', 'argentina', 'menang', 'lah', 'pagi', 'tnyata', 'terus', 'argentina', 'menangnya', 'lewat', 'tendangan', 'penalti', 'haduh', 'psti', 'sengit', 'kmrn']</t>
  </si>
  <si>
    <t>@sashinori üò≠üò≠üíî bayangin masih ada yedam, weverse isinya tentang pildun semua wkwkwk apalagi Argentina menang sesuai prediksi dia lagiü•∫</t>
  </si>
  <si>
    <t>bayangin masih ada yedam weverse isinya tentang pildun semua wkwkwk apalagi argentina menang sesuai prediksi dia lagi</t>
  </si>
  <si>
    <t>['bayangin', 'yedam', 'weverse', 'isinya', 'piala dunia', 'semua', 'wkwkwk', 'argentina', 'menang', 'sesuai', 'prediksi']</t>
  </si>
  <si>
    <t>kemarin nonton pildun pas unmood jadinya ketiduran tapi untung argentina menangüò¥</t>
  </si>
  <si>
    <t>kemarin nonton pildun pas unmood jadinya ketiduran tapi untung argentina menang</t>
  </si>
  <si>
    <t>['kemarin', 'nonton', 'piala dunia', 'pas', 'unmood', 'jadinya', 'ketiduran', 'untung', 'argentina', 'menang']</t>
  </si>
  <si>
    <t>Semua tiba tiba pildunüòÇ, gpp mungkin mereka baru dpt euforianya. Saya sih masih blm bisa lupa pildun afrika selatan dan brazil. Btw selamat utk Argentina. Dan yg menang entah judi,arisan atau apa pun bentuknya semoga uang panasnya gk buat celaka yahüòÇü§£. Ngingetin aja</t>
  </si>
  <si>
    <t>semua tiba tiba pildun gpp mungkin mereka baru dpt euforianya saya sih masih blm bisa lupa pildun afrika selatan dan brazil btw selamat utk argentina dan menang entah judi arisan atau apa pun bentuknya semoga uang panasnya buat celaka yah ngingetin aja</t>
  </si>
  <si>
    <t>['semua', 'tiba', 'tiba', 'piala dunia', 'gapapa', 'mungkin', 'baru', 'dpt', 'euforianya', 'blm', 'lupa', 'piala dunia', 'afrika', 'selatan', 'brazil', 'by the way', 'selamat', 'argentina', 'menang', 'entah', 'judi', 'arisan', 'apa', 'bentuknya', 'semoga', 'uang', 'panasnya', 'buat', 'celaka', 'ngingetin']</t>
  </si>
  <si>
    <t>Cuma gue keknya yg ga selebrasi argentina menang pildun. Ga relate üò™</t>
  </si>
  <si>
    <t>cuma gue keknya selebrasi argentina menang pildun relate</t>
  </si>
  <si>
    <t>['cuma', 'gue', 'sepertinya', 'selebrasi', 'argentina', 'menang', 'piala dunia', 'relate']</t>
  </si>
  <si>
    <t>Ga ngikutin pildun, tp kemaren asal ngomong aja paling yg menang argentina ehh bener dong</t>
  </si>
  <si>
    <t>ngikutin pildun kemaren asal ngomong aja paling menang argentina ehh bener dong</t>
  </si>
  <si>
    <t>['ngikutin', 'piala dunia', 'kemarin', 'asal', 'ngomong', 'paling', 'menang', 'argentina', 'ehh', 'benar', 'dong']</t>
  </si>
  <si>
    <t>Selain tim argentina menang, seneng banget liat story ig byk bgt jujur yg pake soundtracknya pildun ini alias pake lagu dreamersnya Jungkook. Keren banget adek lagunya makin didenger banyak orangü§ó‚ù§Ô∏è</t>
  </si>
  <si>
    <t>selain tim argentina menang seneng banget liat story byk bgt jujur pake soundtracknya pildun ini alias pake lagu dreamersnya jungkook keren banget adek lagunya makin didenger banyak orang</t>
  </si>
  <si>
    <t>['tim', 'argentina', 'menang', 'seneng', 'banget', 'lihat', 'story', 'byk', 'banget', 'jujur', 'pake', 'soundtracknya', 'piala dunia', 'alias', 'pake', 'lagu', 'dreamersnya', 'jungkook', 'keren', 'banget', 'adek', 'lagunya', 'makin', 'didenger', 'banyak', 'orang']</t>
  </si>
  <si>
    <t>ga terlalu ngikutin bola, tapi ak memang suka messi dari pildun 2010. kemarin2 juga ga hype argentina. eh menang üò≠üíò</t>
  </si>
  <si>
    <t>terlalu ngikutin bola tapi memang suka messi dari pildun kemarin juga hype argentina menang</t>
  </si>
  <si>
    <t>['terlalu', 'ngikutin', 'bola', 'memang', 'suka', 'messi', 'piala dunia', 'kemarin', 'hype', 'argentina', 'menang']</t>
  </si>
  <si>
    <t>ga nonton pildun tapi gue udh nebak dr sebelum mulai pertandingan kalo argentina bakal menang, dan hasilnya bener cuy menang</t>
  </si>
  <si>
    <t>nonton pildun tapi gue udh nebak sebelum mulai pertandingan kalo argentina bakal menang dan hasilnya bener cuy menang</t>
  </si>
  <si>
    <t>['nonton', 'piala dunia', 'gue', 'sudah', 'nebak', 'mulai', 'pertandingan', 'argentina', 'bakal', 'menang', 'hasilnya', 'benar', 'menang']</t>
  </si>
  <si>
    <t>Sebenarnya mau nonton pildun nemenin ayah, tapi kok malah ketiduran?? Pas buka Twitter lah kok udah rame Argentina menang</t>
  </si>
  <si>
    <t>sebenarnya mau nonton pildun nemenin ayah tapi kok malah ketiduran pas buka twitter lah kok udah rame argentina menang</t>
  </si>
  <si>
    <t>['sebenarnya', 'mau', 'nonton', 'piala dunia', 'nemenin', 'ayah', 'kok', 'malah', 'ketiduran', 'pas', 'buka', 'twitter', 'lah', 'kok', 'udah', 'ramai', 'argentina', 'menang']</t>
  </si>
  <si>
    <t>Ditanya pildun pilih siapa w jawab prancis krn bisa bhs pranciw tau2 yg menang argentina wkwk tau gt pilih argentina kan w jg bisa bahasanya wkwküòåüòÇ</t>
  </si>
  <si>
    <t>ditanya pildun pilih siapa jawab prancis krn bisa bhs pranciw tau menang argentina wkwk tau pilih argentina kan bisa bahasanya wkwk</t>
  </si>
  <si>
    <t>['ditanya', 'piala dunia', 'pilih', 'siapa', 'jawab', 'prancis', 'bhs', 'pranciw', 'menang', 'argentina', 'pilih', 'argentina', 'kan', 'bahasanya']</t>
  </si>
  <si>
    <t>Ini coba aja w ikut judi bola kayanya oke bangeettt, awal pildun belum maen, adi tanya kira2 siapa yang menang, kujawab lah argentina wkwkwkw padahal emang cuma negara itu yang aku ngerti wkwk</t>
  </si>
  <si>
    <t>ini coba aja ikut judi bola kayanya oke bangeettt awal pildun belum maen adi tanya kira siapa yang menang kujawab lah argentina wkwkwkw padahal emang cuma negara itu yang aku ngerti wkwk</t>
  </si>
  <si>
    <t>['coba', 'ikut', 'judi', 'bola', 'kayanya', 'oke', 'bangeettt', 'awal', 'piala dunia', 'maen', 'adi', 'tanya', 'kira', 'siapa', 'menang', 'kujawab', 'lah', 'argentina', 'wkwkwkw', 'padahal', 'emang', 'cuma', 'negara', 'aku', 'ngerti']</t>
  </si>
  <si>
    <t>Hehehehe Argentina menang, seperti doa gw di awal pildun dan gw jga ngetwit begini, Dan seperti jga ramalan cipung, Jadi kmrn cipung di tanya siapa yg menang argentina atau prancis dan tiga kali cipung milih bola argentina, üòÇüòÇüòÇ</t>
  </si>
  <si>
    <t>hehehehe argentina menang seperti doa awal pildun dan jga ngetwit begini dan seperti jga ramalan cipung jadi kmrn cipung tanya siapa menang argentina atau prancis dan tiga kali cipung milih bola argentina</t>
  </si>
  <si>
    <t>['hehehehe', 'argentina', 'menang', 'doa', 'awal', 'piala dunia', 'jga', 'ngetwit', 'begini', 'jga', 'ramalan', 'cipung', 'jadi', 'kmrn', 'cipung', 'tanya', 'siapa', 'menang', 'argentina', 'prancis', 'tiga', 'kali', 'cipung', 'milih', 'bola', 'argentina']</t>
  </si>
  <si>
    <t>@songkaaang # anjaayy Argentina menang?? Keren! Congrats for Argentina! Ren semalam ga nonton, tapi denger suara dari rumah dan diluar rame banget karena pildun ini.. hebat sihh Argentina bisa menang! Congratss congratss! üèÜ  Id : fouxy</t>
  </si>
  <si>
    <t>anjaayy argentina menang keren congrats for argentina ren semalam nonton tapi denger suara dari rumah dan diluar rame banget karena pildun ini hebat sihh argentina bisa menang congratss congratss fouxy</t>
  </si>
  <si>
    <t>['anjaayy', 'argentina', 'menang', 'keren', 'congrats', 'for', 'argentina', 'ren', 'semalam', 'nonton', 'denger', 'suara', 'rumah', 'diluar', 'ramai', 'banget', 'piala dunia', 'hebat', 'sihh', 'argentina', 'menang', 'congratss', 'congratss', 'fouxy']</t>
  </si>
  <si>
    <t>menang cokkk argentina gua menang pildun cokkkküò≠üá¶üá∑üá¶üá∑</t>
  </si>
  <si>
    <t>menang cokkk argentina gua menang pildun cokkkk</t>
  </si>
  <si>
    <t>['menang', 'cokkk', 'argentina', 'gua', 'menang', 'piala dunia', 'cokkkk']</t>
  </si>
  <si>
    <t>kan sudah kuduga argentina yg menang wkwkkw pdhl aku ga ngikutin pildun</t>
  </si>
  <si>
    <t>kan sudah kuduga argentina menang wkwkkw pdhl aku ngikutin pildun</t>
  </si>
  <si>
    <t>['kan', 'kuduga', 'argentina', 'menang', 'wkwkkw', 'pdhl', 'aku', 'ngikutin', 'piala dunia']</t>
  </si>
  <si>
    <t>Argentina menang, bapak gue kalo masih hidup pasti bakal seneng banget, tim kesayangannya menang pildun ü•∫</t>
  </si>
  <si>
    <t>argentina menang bapak gue kalo masih hidup pasti bakal seneng banget tim kesayangannya menang pildun</t>
  </si>
  <si>
    <t>['argentina', 'menang', 'bapak', 'gue', 'hidup', 'bakal', 'seneng', 'banget', 'tim', 'kesayangannya', 'menang', 'piala dunia']</t>
  </si>
  <si>
    <t>Senin ini cerah bgt soalnya argentina menang pildun 2022 ü´£  #BRILIANFest2022 #FIFAWorldCup #WorldCupFinal #MessiìÉµ #Qatar2022</t>
  </si>
  <si>
    <t>senin ini cerah bgt soalnya argentina menang pildun</t>
  </si>
  <si>
    <t>['senin', 'cerah', 'banget', 'soalnya', 'argentina', 'menang', 'piala dunia']</t>
  </si>
  <si>
    <t>pildun emak dukung Perancis aku Argentina kan bener menang Argentina hehhehe üòé</t>
  </si>
  <si>
    <t>pildun emak dukung perancis aku argentina kan bener menang argentina hehhehe</t>
  </si>
  <si>
    <t>['piala dunia', 'emak', 'dukung', 'perancis', 'aku', 'argentina', 'kan', 'benar', 'menang', 'argentina', 'hehhehe']</t>
  </si>
  <si>
    <t>meskipun gue gak nonton pildun dari awal, tapi gue tau endingnya tetep argentina yg menang üò≠  https://t.co/4Pewk6dcOV</t>
  </si>
  <si>
    <t>meskipun gue gak nonton pildun dari awal tapi gue tau endingnya tetep argentina menang</t>
  </si>
  <si>
    <t>['meskipun', 'gue', 'nonton', 'piala dunia', 'awal', 'gue', 'endingnya', 'tetep', 'argentina', 'menang']</t>
  </si>
  <si>
    <t>selamat ya mas gojek yang td tengah malem nganterin saya trs ngajakin ngobrol ttg pildun biar gue ga ngantuk dijalan, padahal gue gangerti jg. dia kmaren ga pede argentina menang. selamat mas km gausah overthinking lg dan bs bobo nyenyak ü´∞üèª</t>
  </si>
  <si>
    <t>selamat mas gojek yang tengah malem nganterin saya trs ngajakin ngobrol ttg pildun biar gue ngantuk dijalan padahal gue gangerti dia kmaren pede argentina menang selamat mas gausah overthinking dan bobo nyenyak</t>
  </si>
  <si>
    <t>['selamat', 'mas', 'gojek', 'tengah', 'malem', 'nganterin', 'terus', 'ngajakin', 'ngobrol', 'ttg', 'piala dunia', 'gue', 'ngantuk', 'dijalan', 'padahal', 'gue', 'gangerti', 'kmaren', 'percaya diri', 'argentina', 'menang', 'selamat', 'mas', 'gausah', 'overthinking', 'bobo', 'nyenyak']</t>
  </si>
  <si>
    <t>@alohabbyri perasaan lagi pildun argentina lawan france yang menang argentina, terus yang di video siapa yang menang?</t>
  </si>
  <si>
    <t>perasaan lagi pildun argentina lawan france yang menang argentina terus yang video siapa yang menang</t>
  </si>
  <si>
    <t>['perasaan', 'piala dunia', 'argentina', 'lawan', 'france', 'menang', 'argentina', 'terus', 'video', 'siapa', 'menang']</t>
  </si>
  <si>
    <t>Jam 0.50 kebangun karena suara bocil rame bgt pada nobar. Cek ada notif pildun Argentina menang karena adu penalti, udah lanjut tidur lagi wkwk</t>
  </si>
  <si>
    <t>jam kebangun karena suara bocil rame bgt pada nobar cek ada notif pildun argentina menang karena adu penalti udah lanjut tidur lagi wkwk</t>
  </si>
  <si>
    <t>['jam', 'kebangun', 'suara', 'bocil', 'ramai', 'banget', 'nonton bareng', 'cek', 'notif', 'piala dunia', 'argentina', 'menang', 'adu', 'penalti', 'udah', 'lanjut', 'tidur']</t>
  </si>
  <si>
    <t>Dari awal pildun berharap Argentina menang. Karena gak mau lihat Mateo nangis üòÇ</t>
  </si>
  <si>
    <t>dari awal pildun berharap argentina menang karena gak mau lihat mateo nangis</t>
  </si>
  <si>
    <t>['awal', 'piala dunia', 'berharap', 'argentina', 'menang', 'mau', 'lihat', 'mateo', 'nangis']</t>
  </si>
  <si>
    <t>Argentina menang pildun ya kan???</t>
  </si>
  <si>
    <t>argentina menang pildun kan</t>
  </si>
  <si>
    <t>['argentina', 'menang', 'piala dunia', 'kan']</t>
  </si>
  <si>
    <t>kemaren debat sama bapake siapa yg menang pildun. w bilang pasti argentina tp kata bapake prancis. ehh ternyata tebakanku bener wkwkw</t>
  </si>
  <si>
    <t>kemaren debat sama bapake siapa menang pildun bilang pasti argentina kata bapake prancis ehh ternyata tebakanku bener wkwkw</t>
  </si>
  <si>
    <t>['kemarin', 'debat', 'sama', 'bapake', 'siapa', 'menang', 'piala dunia', 'argentina', 'kata', 'bapake', 'prancis', 'ehh', 'ternyata', 'tebakanku', 'benar', 'wkwkw']</t>
  </si>
  <si>
    <t>Argentina. Pas lihat mereka lolos ke perempat final, aku gak pernah umbar di publik dan blg seakan-akan aku berharap bgt mereka menang pildun 2022 (ya walaupun dlm hati rada sombong, pastiüá¶üá∑ menang). Bahkan sampai ke final pun aku samsek b aja, gk mau terlihat sombong (cont‚Ä¶)</t>
  </si>
  <si>
    <t>argentina pas lihat mereka lolos perempat final aku gak pernah umbar publik dan blg seakan akan aku berharap bgt mereka menang pildun walaupun dlm hati rada sombong pasti menang bahkan sampai final pun aku samsek aja mau terlihat sombong cont</t>
  </si>
  <si>
    <t>['argentina', 'pas', 'lihat', 'lolos', 'perempat', 'final', 'aku', 'pernah', 'umbar', 'publik', 'blg', 'seakan', 'aku', 'berharap', 'banget', 'menang', 'piala dunia', 'walaupun', 'dlm', 'hati', 'rada', 'sombong', 'menang', 'bahkan', 'final', 'aku', 'samsek', 'mau', 'terlihat', 'sombong', 'cont']</t>
  </si>
  <si>
    <t>full senyum hari ni, kawanku random membawai ke alun-alun, dapat Wanderer, Argentina menang pildun, beuh, dasar harus giveaway si keknya kita kena ni</t>
  </si>
  <si>
    <t>full senyum hari kawanku random membawai alun alun dapat wanderer argentina menang pildun beuh dasar harus giveaway keknya kita kena</t>
  </si>
  <si>
    <t>['full', 'senyum', 'hari', 'kawanku', 'random', 'membawai', 'alun', 'alun', 'wanderer', 'argentina', 'menang', 'piala dunia', 'beuh', 'dasar', 'giveaway', 'sepertinya', 'kena']</t>
  </si>
  <si>
    <t>@SiaranBolaLive Bukannya th 78 Argentina menang pildun juga, oleh bapak Mario Kempes</t>
  </si>
  <si>
    <t>bukannya argentina menang pildun juga oleh bapak mario kempes</t>
  </si>
  <si>
    <t>['bukannya', 'argentina', 'menang', 'piala dunia', 'bapak', 'mario', 'kempes']</t>
  </si>
  <si>
    <t>rame bgt argentina menang pildunü§∏üèª‚Äç‚ôÄÔ∏è</t>
  </si>
  <si>
    <t>rame bgt argentina menang pildun</t>
  </si>
  <si>
    <t>['ramai', 'banget', 'argentina', 'menang', 'piala dunia']</t>
  </si>
  <si>
    <t>Bangkeeeüò≠ humor gw cuma sebates Argentina menang pildun tp yg trending Raul lemos krn mirip mbappe</t>
  </si>
  <si>
    <t>bangkeee humor cuma sebates argentina menang pildun trending raul lemos krn mirip mbappe</t>
  </si>
  <si>
    <t>['bangkeee', 'humor', 'cuma', 'sebates', 'argentina', 'menang', 'piala dunia', 'trending', 'raul', 'lemos', 'mirip', 'mbappe']</t>
  </si>
  <si>
    <t>@idextratime kasian mbape gatega liatnya ü•∫ü•≤ü•≤gpp tahun kmren 2018 kan pildun lu udah menang gantian argentina ya boy tahun ini ü•∫üá¶üá∑üá¶üá∑ü•≥ü•≥ü•≥ü•≥ü•≥</t>
  </si>
  <si>
    <t>kasian mbape gatega liatnya gpp tahun kmren kan pildun udah menang gantian argentina boy tahun ini</t>
  </si>
  <si>
    <t>['kasian', 'mbape', 'gatega', 'liatnya', 'gapapa', 'tahun', 'kmren', 'kan', 'piala dunia', 'udah', 'menang', 'gantian', 'argentina', 'boy', 'tahun']</t>
  </si>
  <si>
    <t>Deg-degan banget nonton final pildun gara-gara beberapa kali lewat di sosmed beberapa peramal katanya yg menang benderanya biru putih sama merah. Makasih Argentina telah membuktikan kalo yg namanya peramal itu bullshit!!</t>
  </si>
  <si>
    <t>deg degan banget nonton final pildun gara gara beberapa kali lewat sosmed beberapa peramal katanya menang benderanya biru putih sama merah makasih argentina telah membuktikan kalo namanya peramal itu bullshit</t>
  </si>
  <si>
    <t>['deg', 'degan', 'banget', 'nonton', 'final', 'piala dunia', 'gara', 'gara', 'beberapa', 'kali', 'lewat', 'sosmed', 'beberapa', 'peramal', 'katanya', 'menang', 'benderanya', 'biru', 'putih', 'sama', 'merah', 'makasih', 'argentina', 'membuktikan', 'namanya', 'peramal', 'bullshit']</t>
  </si>
  <si>
    <t>AAAAAAA final pildun ter the best!! jingkrak argentina menang congrats buat messi dkk!!</t>
  </si>
  <si>
    <t>aaaaaaa final pildun ter the best jingkrak argentina menang congrats buat messi dkk</t>
  </si>
  <si>
    <t>['aaaaaaa', 'final', 'piala dunia', 'ter', 'the', 'best', 'jingkrak', 'argentina', 'menang', 'congrats', 'buat', 'messi', 'dkk']</t>
  </si>
  <si>
    <t>ayah sama abang lagi seneng banget busetttt argentina menangüò≠üò≠ ga ikutin pildun tapi ikut senengggggggg</t>
  </si>
  <si>
    <t>ayah sama abang lagi seneng banget busetttt argentina menang ikutin pildun tapi ikut senengggggggg</t>
  </si>
  <si>
    <t>['ayah', 'sama', 'abang', 'seneng', 'banget', 'busetttt', 'argentina', 'menang', 'ikutin', 'piala dunia', 'ikut', 'senengggggggg']</t>
  </si>
  <si>
    <t>@GanangWisantoro @idextratime Lagi2 kalo pildun atau euro gt penentu sukses tim ya dr strategi pelatih. Dulu era keemasan inggris, sm argentina padahal banyak bintang terkenal tp gak menang wc ya gara2 strategi pelatih ngaco.</t>
  </si>
  <si>
    <t>lagi kalo pildun atau euro penentu sukses tim strategi pelatih dulu era keemasan inggris argentina padahal banyak bintang terkenal gak menang gara strategi pelatih ngaco</t>
  </si>
  <si>
    <t>['piala dunia', 'euro', 'penentu', 'sukses', 'tim', 'strategi', 'pelatih', 'dulu', 'era', 'keemasan', 'inggris', 'argentina', 'padahal', 'banyak', 'bintang', 'terkenal', 'menang', 'gara', 'strategi', 'pelatih', 'ngaco']</t>
  </si>
  <si>
    <t>@s0eclist Wis genah argentina wingi menang kocokan pildun taun kie koh pada ngeyel</t>
  </si>
  <si>
    <t>wis genah argentina wingi menang kocokan pildun taun kie koh pada ngeyel</t>
  </si>
  <si>
    <t>['wis', 'genah', 'argentina', 'wingi', 'menang', 'kocokan', 'piala dunia', 'taun', 'kie', 'koh', 'ngeyel']</t>
  </si>
  <si>
    <t>mmg dah lama gk ngikutin bola tapi pas final pildun tadi yakin banget Argentina menang dan ya Argentina menang!</t>
  </si>
  <si>
    <t>mmg dah lama ngikutin bola tapi pas final pildun tadi yakin banget argentina menang dan argentina menang</t>
  </si>
  <si>
    <t>['mmg', 'dah', 'lama', 'ngikutin', 'bola', 'pas', 'final', 'piala dunia', 'tadi', 'yakin', 'banget', 'argentina', 'menang', 'argentina', 'menang']</t>
  </si>
  <si>
    <t>messi u emg the best bgt tahun lalu ga menang tp tahun ini menang &amp;amp; walaupun emg argentina sebelumnya pernah juara dunia tapi first time dia menang pildun thn ini + megang pialanya mana dah mau pensiun kan ya, kerja kerasnya terbayar skrg, mimpi indah bgt‚ú®Ô∏è</t>
  </si>
  <si>
    <t>messi emg the best bgt tahun lalu menang tahun ini menang walaupun emg argentina sebelumnya pernah juara dunia tapi first time dia menang pildun thn ini megang pialanya mana dah mau pensiun kan kerja kerasnya terbayar skrg mimpi indah bgt</t>
  </si>
  <si>
    <t>['messi', 'memang', 'the', 'best', 'banget', 'tahun', 'lalu', 'menang', 'tahun', 'menang', 'walaupun', 'memang', 'argentina', 'sebelumnya', 'pernah', 'juara', 'dunia', 'first', 'time', 'menang', 'piala dunia', 'thn', 'megang', 'pialanya', 'mana', 'dah', 'mau', 'pensiun', 'kan', 'kerja', 'kerasnya', 'terbayar', 'skrg', 'mimpi', 'indah', 'banget']</t>
  </si>
  <si>
    <t>Keren si ya main nya emg prancis argentina bikin dag dig dug serr wkwk pertama kalinya argentina menang yaa haha pdhl baru ngikutin tahun ini pildun langsung bangga krna dr awal dukung nya argentinaü§£</t>
  </si>
  <si>
    <t>keren main nya emg prancis argentina bikin dag dig dug serr wkwk pertama kalinya argentina menang yaa haha pdhl baru ngikutin tahun ini pildun langsung bangga krna awal dukung nya argentina</t>
  </si>
  <si>
    <t>['keren', 'main', 'memang', 'prancis', 'argentina', 'dag', 'dig', 'dug', 'serr', 'pertama', 'kalinya', 'argentina', 'menang', 'ya', 'haha', 'pdhl', 'baru', 'ngikutin', 'tahun', 'piala dunia', 'langsung', 'bangga', 'krna', 'awal', 'dukung', 'argentina']</t>
  </si>
  <si>
    <t>apasi? emang tadi pertandingan siapa lawan siapa? gue baru pulang nih gatau nih oh pildun ya? maaf banget ya gue ketinggalan berita siapa tuh yg menang? sorry bgt gue gatau, madun lawan argentina? apa gimana?</t>
  </si>
  <si>
    <t>apasi emang tadi pertandingan siapa lawan siapa gue baru pulang nih gatau nih pildun maaf banget gue ketinggalan berita siapa tuh menang sorry bgt gue gatau madun lawan argentina apa gimana</t>
  </si>
  <si>
    <t>['apasi', 'emang', 'tadi', 'pertandingan', 'siapa', 'lawan', 'siapa', 'gue', 'baru', 'pulang', 'gatau', 'piala dunia', 'maaf', 'banget', 'gue', 'ketinggalan', 'berita', 'siapa', 'menang', 'sorry', 'banget', 'gue', 'gatau', 'madun', 'lawan', 'argentina', 'apa', 'gimana']</t>
  </si>
  <si>
    <t>argentina menang pildun, jtek menang v league, yaalah senang sekali malamku</t>
  </si>
  <si>
    <t>argentina menang pildun jtek menang league yaalah senang sekali malamku</t>
  </si>
  <si>
    <t>['argentina', 'menang', 'piala dunia', 'jtek', 'menang', 'league', 'yaalah', 'senang', 'sekali', 'malamku']</t>
  </si>
  <si>
    <t>dari awal pildun gw juga udh optimis bgt argentina yg menang woooyy hahaha</t>
  </si>
  <si>
    <t>dari awal pildun juga udh optimis bgt argentina menang woooyy hahaha</t>
  </si>
  <si>
    <t>['awal', 'piala dunia', 'sudah', 'optimis', 'banget', 'argentina', 'menang', 'woooyy', 'hahaha']</t>
  </si>
  <si>
    <t>Bener2 lu ye @vidio giniari baru dikirim ini kode otp udah kgk guna, pildun nya dah kelar dahhhh Argentina menang fyi aje, gue udah kgk butuh elu lg  https://t.co/tPhsYSRukQ</t>
  </si>
  <si>
    <t>bener giniari baru dikirim ini kode otp udah kgk guna pildun nya dah kelar dahhhh argentina menang fyi aje gue udah kgk butuh elu</t>
  </si>
  <si>
    <t>['benar', 'giniari', 'baru', 'dikirim', 'kode', 'otp', 'udah', 'kgk', 'piala dunia', 'dah', 'kelar', 'dahhhh', 'argentina', 'menang', 'for your information', 'aje', 'gue', 'udah', 'kgk', 'butuh', 'elu']</t>
  </si>
  <si>
    <t>YEDAMMMM ARGENTINA MENANG PILDUN DAMMM NANGIS BGT</t>
  </si>
  <si>
    <t>yedammmm argentina menang pildun dammm nangis bgt</t>
  </si>
  <si>
    <t>['yedammmm', 'argentina', 'menang', 'piala dunia', 'dammm', 'nangis', 'banget']</t>
  </si>
  <si>
    <t>Masih terharu Messi berhasil bawa Argentina menang pildun sebelum doi pensiun</t>
  </si>
  <si>
    <t>masih terharu messi berhasil bawa argentina menang pildun sebelum doi pensiun</t>
  </si>
  <si>
    <t>['terharu', 'messi', 'berhasil', 'bawa', 'argentina', 'menang', 'piala dunia', 'doi', 'pensiun']</t>
  </si>
  <si>
    <t>argentina menang, yedam lagi ngerayain sama siapa ya? yedam nonton pildun sama siapa ya? yedam kng gasih nonton bola sama hyunsuk ?   :)</t>
  </si>
  <si>
    <t>argentina menang yedam lagi ngerayain sama siapa yedam nonton pildun sama siapa yedam kng gasih nonton bola sama hyunsuk</t>
  </si>
  <si>
    <t>['argentina', 'menang', 'yedam', 'ngerayain', 'sama', 'siapa', 'yedam', 'nonton', 'piala dunia', 'sama', 'siapa', 'yedam', 'kng', 'gasih', 'nonton', 'bola', 'sama', 'hyunsuk']</t>
  </si>
  <si>
    <t>@idextratime Kenapa Argentina menang pildun? Karena Hitler mati di Argentina</t>
  </si>
  <si>
    <t>kenapa argentina menang pildun karena hitler mati argentina</t>
  </si>
  <si>
    <t>['argentina', 'menang', 'piala dunia', 'hitler', 'mati', 'argentina']</t>
  </si>
  <si>
    <t>36 tahun 9 kali pildun bapak gua nunggu Argentina menang akhirnya kesampaian.</t>
  </si>
  <si>
    <t>tahun kali pildun bapak gua nunggu argentina menang akhirnya kesampaian</t>
  </si>
  <si>
    <t>['tahun', 'kali', 'piala dunia', 'bapak', 'gua', 'nunggu', 'argentina', 'menang', 'akhirnya', 'kesampaian']</t>
  </si>
  <si>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</si>
  <si>
    <t>alay bgt gue nangis liat argen gimana yah pertama kali gue liat pildun umur tahun kepincut argentina dan sampe skrng tiap liga dan tiap pildun gue absen buat dukung mereka sampe skrng gue umur dan tepat hari ini mereka menang dan hari ini pula gue ulang tahun</t>
  </si>
  <si>
    <t>['alay', 'banget', 'gue', 'nangis', 'lihat', 'argen', 'gimana', 'pertama', 'kali', 'gue', 'lihat', 'piala dunia', 'umur', 'tahun', 'kepincut', 'argentina', 'sampai', 'skrng', 'tiap', 'liga', 'tiap', 'piala dunia', 'gue', 'absen', 'buat', 'dukung', 'sampai', 'skrng', 'gue', 'umur', 'tepat', 'hari', 'menang', 'hari', 'gue', 'ulang', 'tahun']</t>
  </si>
  <si>
    <t>&lt;FreqDist with 25 samples and 37 outcomes&gt;</t>
  </si>
  <si>
    <t>@mingyuotai FAAAKKKKK INGET AWAL DIBULLY KALAH DARI ARAB TRS SKRG MENANG PILDUN ANJG BANGGA BANGET VAMOS ARGENTINA üá¶üá∑üò≠üá¶üá∑üò≠üá¶üá∑üò≠üá¶üá∑üò≠üá¶üá∑üò≠üá¶üá∑üò≠üá¶üá∑üò≠üá¶üá∑üò≠üá¶üá∑üò≠üá¶üá∑üò≠üá¶üá∑üò≠üá¶üá∑</t>
  </si>
  <si>
    <t>faaakkkkk inget awal dibully kalah dari arab trs skrg menang pildun anjg bangga banget vamos argentina</t>
  </si>
  <si>
    <t>['faaakkkkk', 'inget', 'awal', 'dibully', 'kalah', 'arab', 'terus', 'skrg', 'menang', 'piala dunia', 'anjg', 'bangga', 'banget', 'vamos', 'argentina']</t>
  </si>
  <si>
    <t>yg menang pildun Argentina, tp aku malah keinget konser terakhir jin di Argentina üò¢üò¢üò¢ HuaaAaa kangen seokjin ü•∫ü•∫ü•∫</t>
  </si>
  <si>
    <t>menang pildun argentina aku malah keinget konser terakhir jin argentina huaaaaa kangen seokjin</t>
  </si>
  <si>
    <t>['menang', 'piala dunia', 'argentina', 'aku', 'malah', 'keinget', 'konser', 'terakhir', 'jin', 'argentina', 'huaaaaa', 'kangen', 'seokjin']</t>
  </si>
  <si>
    <t>Gak nonton tapi ikutan seneng. Dulu inget pernah nonton pildun (lupa tahun berapa) ada Argentina di final tapi kalah, sedih banget karna dulu aku suka Messi. Alhamdulillah sekarang menang üôå</t>
  </si>
  <si>
    <t>gak nonton tapi ikutan seneng dulu inget pernah nonton pildun lupa tahun berapa ada argentina final tapi kalah sedih banget karna dulu aku suka messi alhamdulillah sekarang menang</t>
  </si>
  <si>
    <t>['nonton', 'ikutan', 'seneng', 'dulu', 'inget', 'pernah', 'nonton', 'piala dunia', 'lupa', 'tahun', 'berapa', 'argentina', 'final', 'kalah', 'sedih', 'banget', 'karna', 'dulu', 'aku', 'suka', 'messi', 'alhamdulillah', 'sekarang', 'menang']</t>
  </si>
  <si>
    <t>AKHIRNYA ARGENTINA GUYSSSS AKHIRNYAAAAAAHHHH HAHAHAHAHAHA PUAS BANGET. Masih trauma pildun tahun sebelumnya Argentina gagal menang dari Jerman. Terus skrg Argentina berhasil menang tuh rasanya kek PUAS bat. Congrats Messi and team!</t>
  </si>
  <si>
    <t>akhirnya argentina guyssss akhirnyaaaaaahhhh hahahahahaha puas banget masih trauma pildun tahun sebelumnya argentina gagal menang dari jerman terus skrg argentina berhasil menang tuh rasanya kek puas bat congrats messi and team</t>
  </si>
  <si>
    <t>['akhirnya', 'argentina', 'guyssss', 'akhirnyaaaaaahhhh', 'hahahahahaha', 'puas', 'banget', 'trauma', 'piala dunia', 'tahun', 'sebelumnya', 'argentina', 'gagal', 'menang', 'jerman', 'terus', 'skrg', 'argentina', 'berhasil', 'menang', 'rasanya', 'kek', 'puas', 'bat', 'congrats', 'messi', 'and', 'team']</t>
  </si>
  <si>
    <t>Inget banget si Rafathar bilang argentina yg bakal menang terus si cipung ambil bola ngasal gitu awal-awal pildun, dapetnya prancis apa argentina gitu wkwk mantep</t>
  </si>
  <si>
    <t>inget banget rafathar bilang argentina bakal menang terus cipung ambil bola ngasal gitu awal awal pildun dapetnya prancis apa argentina gitu wkwk mantep</t>
  </si>
  <si>
    <t>['inget', 'banget', 'rafathar', 'argentina', 'bakal', 'menang', 'terus', 'cipung', 'ambil', 'bola', 'ngasal', 'gitu', 'awal', 'awal', 'piala dunia', 'dapetnya', 'prancis', 'apa', 'argentina', 'gitu', 'mantap']</t>
  </si>
  <si>
    <t>makasi dah nemenin nonton pildun sampe final. sama ikut seneng argentina menang, loveyouuu!! @ httpxgae</t>
  </si>
  <si>
    <t>makasi dah nemenin nonton pildun sampe final sama ikut seneng argentina menang loveyouuu httpxgae</t>
  </si>
  <si>
    <t>['makasi', 'dah', 'nemenin', 'nonton', 'piala dunia', 'sampai', 'final', 'sama', 'ikut', 'seneng', 'argentina', 'menang', 'loveyouuu', 'httpxgae']</t>
  </si>
  <si>
    <t>Harusnya Arab Saudi yang menang pildun soalnya pernah ngalahin Argentina</t>
  </si>
  <si>
    <t>harusnya arab saudi yang menang pildun soalnya pernah ngalahin argentina</t>
  </si>
  <si>
    <t>['harusnya', 'arab', 'saudi', 'menang', 'piala dunia', 'soalnya', 'pernah', 'ngalahin', 'argentina']</t>
  </si>
  <si>
    <t>dari kemaren setiap hari w nangis, bahkan sebelum otw nonton pildun pun tadi nangis dulu. tapi akhirnya bisa happy bgt karna Argentina menang. semoga robby sehat selalu dan happy terussss makasih robbyüíôüíôüíôüíô</t>
  </si>
  <si>
    <t>dari kemaren setiap hari nangis bahkan sebelum otw nonton pildun pun tadi nangis dulu tapi akhirnya bisa happy bgt karna argentina menang semoga robby sehat selalu dan happy terussss makasih robby</t>
  </si>
  <si>
    <t>['kemarin', 'hari', 'nangis', 'bahkan', 'on the way', 'nonton', 'piala dunia', 'tadi', 'nangis', 'dulu', 'akhirnya', 'happy', 'banget', 'karna', 'argentina', 'menang', 'semoga', 'robby', 'sehat', 'selalu', 'happy', 'terussss', 'makasih', 'robby']</t>
  </si>
  <si>
    <t>tapii bisa ginii yaa????üëÜüèª pildun 2018 itu france trs mbappe masuk psg di 2017. waktu dulu ada jg yg masuk psg tapi lupa siapa dan itu negara dia menang pildun... trs messi 2021 masuk psg, sekarang argentina menang pildun 2022 üôÇ</t>
  </si>
  <si>
    <t>tapii bisa ginii yaa pildun itu france trs mbappe masuk psg waktu dulu ada masuk psg tapi lupa siapa dan itu negara dia menang pildun trs messi masuk psg sekarang argentina menang pildun</t>
  </si>
  <si>
    <t>['tapii', 'ginii', 'ya', 'piala dunia', 'france', 'terus', 'mbappe', 'masuk', 'psg', 'waktu', 'dulu', 'masuk', 'psg', 'lupa', 'siapa', 'negara', 'menang', 'piala dunia', 'terus', 'messi', 'masuk', 'psg', 'sekarang', 'argentina', 'menang', 'piala dunia']</t>
  </si>
  <si>
    <t>pertama kali nntn pildun argentina kalah sm arab,trs gua bilang ke temen gua "lu percaya ga champion pildun ini argentina?"  temen gua bilang gamungkin "org dari awal aja udah kalah gmn mau menang haha" dan sekarang argentina championnya ;)</t>
  </si>
  <si>
    <t>pertama kali nntn pildun argentina kalah arab trs gua bilang temen gua percaya champion pildun ini argentina temen gua bilang gamungkin org dari awal aja udah kalah gmn mau menang haha dan sekarang argentina championnya</t>
  </si>
  <si>
    <t>['pertama', 'kali', 'nonton', 'piala dunia', 'argentina', 'kalah', 'arab', 'terus', 'gua', 'temen', 'gua', 'percaya', 'champion', 'piala dunia', 'argentina', 'temen', 'gua', 'gamungkin', 'org', 'awal', 'udah', 'kalah', 'gmn', 'mau', 'menang', 'haha', 'sekarang', 'argentina', 'championnya']</t>
  </si>
  <si>
    <t>iseng padahal nanyain adek perihal siapa yang bakal menang pildun. he said france but aku pede jawab argentina, TURNS OUT TEBAKAN AKU BENER WKWKWKüò≠. siap-siap gue ledekin lu cil ntar pagi</t>
  </si>
  <si>
    <t>iseng padahal nanyain adek perihal siapa yang bakal menang pildun said france but aku pede jawab argentina turns out tebakan aku bener wkwkwk siap siap gue ledekin cil ntar pagi</t>
  </si>
  <si>
    <t>['iseng', 'padahal', 'nanyain', 'adek', 'perihal', 'siapa', 'bakal', 'menang', 'piala dunia', 'said', 'france', 'but', 'aku', 'percaya diri', 'jawab', 'argentina', 'turns', 'out', 'tebakan', 'aku', 'benar', 'wkwkwk', 'siap', 'siap', 'gue', 'ledekin', 'cil', 'ntar', 'pagi']</t>
  </si>
  <si>
    <t>dari abis isya kepala gue butek banget pusing sampe hampir muntah gegara pusing kerjain latsol, eh malem nya kebayar sama Argentina menang pildun ahahahah seneng banget Ya Allah makasih banyakkk aku seneng );</t>
  </si>
  <si>
    <t>dari abis isya kepala gue butek banget pusing sampe hampir muntah gegara pusing kerjain latsol malem nya kebayar sama argentina menang pildun ahahahah seneng banget allah makasih banyakkk aku seneng</t>
  </si>
  <si>
    <t>['abis', 'isya', 'kepala', 'gue', 'butek', 'banget', 'pusing', 'sampai', 'hampir', 'muntah', 'gegara', 'pusing', 'kerjain', 'latsol', 'malem', 'kebayar', 'sama', 'argentina', 'menang', 'piala dunia', 'ahahahah', 'seneng', 'banget', 'allah', 'makasih', 'banyakkk', 'aku', 'seneng']</t>
  </si>
  <si>
    <t>Congrats Argentina, walaupun jagoan w maroko kalah sama kroasia tp tetep banggaüî•  Mgkn prancis bisa menang kl pemain2 unggulnya keluar tp sgt disygkan pd cidera dan terlihat unggul di mbappe aja,, hebat kl pildun kali ini dipegang prancis lagi</t>
  </si>
  <si>
    <t>congrats argentina walaupun jagoan maroko kalah sama kroasia tetep bangga mgkn prancis bisa menang pemain unggulnya keluar sgt disygkan cidera dan terlihat unggul mbappe aja hebat pildun kali ini dipegang prancis lagi</t>
  </si>
  <si>
    <t>['congrats', 'argentina', 'walaupun', 'jagoan', 'maroko', 'kalah', 'sama', 'kroasia', 'tetep', 'bangga', 'mgkn', 'prancis', 'menang', 'pemain', 'unggulnya', 'keluar', 'sangat', 'disygkan', 'cidera', 'terlihat', 'unggul', 'mbappe', 'hebat', 'piala dunia', 'kali', 'dipegang', 'prancis']</t>
  </si>
  <si>
    <t>Ih kmrn tu gw liat ada tweet taun 2015 yg ngeramal argentina menang pildun 2022 mana ya</t>
  </si>
  <si>
    <t>kmrn liat ada tweet taun ngeramal argentina menang pildun mana</t>
  </si>
  <si>
    <t>['kmrn', 'lihat', 'tweet', 'taun', 'ngeramal', 'argentina', 'menang', 'piala dunia', 'mana']</t>
  </si>
  <si>
    <t>Hasil yang objektif aku rasa... Dengan adu penalti, hilanglah teori konspirasi bahwa FIFA bantu Argentina di Pildun 2022 Qatar... Bravo Argentina... Bravo Messi... Kamu layak menang(is) bahagia saat ini!!! @CoachJustinL  Sebagai pengamat, anda gagal total!!!</t>
  </si>
  <si>
    <t>hasil yang objektif aku rasa dengan adu penalti hilanglah teori konspirasi bahwa fifa bantu argentina pildun qatar bravo argentina bravo messi kamu layak menang bahagia saat ini sebagai pengamat anda gagal total</t>
  </si>
  <si>
    <t>['hasil', 'objektif', 'aku', 'rasa', 'adu', 'penalti', 'hilanglah', 'teori', 'konspirasi', 'fifa', 'bantu', 'argentina', 'piala dunia', 'qatar', 'bravo', 'argentina', 'bravo', 'messi', 'kamu', 'layak', 'menang', 'bahagia', 'pengamat', 'gagal', 'total']</t>
  </si>
  <si>
    <t>Efek nonton pildun malem ni = perut keram ,dag dig dug ser, ngga sia2, menang guysss ,argentina love youu pull</t>
  </si>
  <si>
    <t>efek nonton pildun malem perut keram dag dig dug ser ngga sia menang guysss argentina love youu pull</t>
  </si>
  <si>
    <t>['efek', 'nonton', 'piala dunia', 'malem', 'perut', 'keram', 'dag', 'dig', 'dug', 'ser', 'ngga', 'sia', 'menang', 'guysss', 'argentina', 'love', 'youu', 'pull']</t>
  </si>
  <si>
    <t>argentina menang pildun dam!! balik cpt</t>
  </si>
  <si>
    <t>argentina menang pildun dam balik cpt</t>
  </si>
  <si>
    <t>['argentina', 'menang', 'piala dunia', 'dam', 'balik', 'cpt']</t>
  </si>
  <si>
    <t>Argentina Menang Pildun  Gue yang gak nonton pildun :   ._.</t>
  </si>
  <si>
    <t>argentina menang pildun gue yang gak nonton pildun</t>
  </si>
  <si>
    <t>['argentina', 'menang', 'piala dunia', 'gue', 'nonton', 'piala dunia']</t>
  </si>
  <si>
    <t>Nontonin pildun dari babak grup sampe final, kek gila bangga banget gue Argentina menang akhirnya setelah terakhir di era Legend The hand of God Maradona üò≠üôèüèº</t>
  </si>
  <si>
    <t>nontonin pildun dari babak grup sampe final kek gila bangga banget gue argentina menang akhirnya setelah terakhir era legend the hand god maradona</t>
  </si>
  <si>
    <t>['nontonin', 'piala dunia', 'babak', 'grup', 'sampai', 'final', 'kek', 'gila', 'bangga', 'banget', 'gue', 'argentina', 'menang', 'akhirnya', 'terakhir', 'era', 'legend', 'the', 'hand', 'god', 'maradona']</t>
  </si>
  <si>
    <t>dam argentina menang... pasti abis nonton pildun juga anaknya..</t>
  </si>
  <si>
    <t>dam argentina menang pasti abis nonton pildun juga anaknya</t>
  </si>
  <si>
    <t>['dam', 'argentina', 'menang', 'abis', 'nonton', 'piala dunia', 'anaknya']</t>
  </si>
  <si>
    <t>enzo versi argentina aja dah menang pildun masa enzo versi china ngilang</t>
  </si>
  <si>
    <t>['enzo', 'versi', 'argentina', 'dah', 'menang', 'piala dunia', 'masa', 'enzo', 'versi', 'china', 'ngilang']</t>
  </si>
  <si>
    <t>Taunya Messi beneran bawa Argentina menang Pildun üò≠üò≠üò≠ what a great time to be alive! Bodo amat dikatain fans bola musiman mah yang penting au ah pokoknya seru banget dah itu ajaaaa</t>
  </si>
  <si>
    <t>taunya messi beneran bawa argentina menang pildun what great time alive bodo amat dikatain fans bola musiman mah yang penting pokoknya seru banget dah itu ajaaaa</t>
  </si>
  <si>
    <t>['taunya', 'messi', 'beneran', 'bawa', 'argentina', 'menang', 'piala dunia', 'what', 'great', 'time', 'alive', 'bodo', 'dikatain', 'fans', 'bola', 'musiman', 'mah', 'penting', 'pokoknya', 'seru', 'banget', 'dah', 'ajaaaa']</t>
  </si>
  <si>
    <t>@denindafp pildun di Qatar kaya ada aja-aja :) paling epic, argentina kalah sama KSA sih üòÇ  wuah babak pertamaaa kek, mereka nda malu apa ya üò≠kalau mereka nda loyo babak pertama, Prancis menang dan nda pinalti (tetep keukeuh) Mbappe 4 gol berturut-t</t>
  </si>
  <si>
    <t>pildun qatar kaya ada aja aja paling epic argentina kalah sama ksa sih wuah babak pertamaaa kek mereka nda malu apa kalau mereka nda loyo babak pertama prancis menang dan nda pinalti tetep keukeuh mbappe gol berturut</t>
  </si>
  <si>
    <t>['piala dunia', 'qatar', 'kaya', 'paling', 'epic', 'argentina', 'kalah', 'sama', 'ksa', 'wuah', 'babak', 'pertamaaa', 'kek', 'nda', 'malu', 'apa', 'kalau', 'nda', 'loyo', 'babak', 'pertama', 'prancis', 'menang', 'nda', 'penalti', 'tetep', 'keukeuh', 'mbappe', 'gol', 'berturut']</t>
  </si>
  <si>
    <t>Argentina menang pildun ,tapi di hati ku kamu pemenang nya Krn kamu NnattaWINüòÇ  https://t.co/SKPLkbtlin</t>
  </si>
  <si>
    <t>argentina menang pildun tapi hati kamu pemenang nya krn kamu nnattawin</t>
  </si>
  <si>
    <t>['argentina', 'menang', 'piala dunia', 'hati', 'kamu', 'pemenang', 'kamu', 'nnattawin']</t>
  </si>
  <si>
    <t>FAAAAKKKK GW ABIS KENA NT TAPI ARGENTINA MENANG PILDUN BINGUNG MAU NANGIS</t>
  </si>
  <si>
    <t>faaaakkkk abis kena tapi argentina menang pildun bingung mau nangis</t>
  </si>
  <si>
    <t>['faaaakkkk', 'abis', 'kena', 'argentina', 'menang', 'piala dunia', 'bingung', 'mau', 'nangis']</t>
  </si>
  <si>
    <t>All of this madness..  Papaku pasti lagi seneng sekarang wkwk. Tim kesayangannya Argentina menang pildun</t>
  </si>
  <si>
    <t>all this madness papaku pasti lagi seneng sekarang wkwk tim kesayangannya argentina menang pildun</t>
  </si>
  <si>
    <t>['all', 'this', 'madness', 'papaku', 'seneng', 'sekarang', 'tim', 'kesayangannya', 'argentina', 'menang', 'piala dunia']</t>
  </si>
  <si>
    <t>Lika-liku pildun, ayah dukung Brazil bunda dukung Argentina sih udah pasti terus ada adik gw dukung Portugal dan gw setia dengan Spanyol emang bener Argentina menang berkat doa ibu üòá</t>
  </si>
  <si>
    <t>lika liku pildun ayah dukung brazil bunda dukung argentina sih udah pasti terus ada adik dukung portugal dan setia dengan spanyol emang bener argentina menang berkat doa ibu</t>
  </si>
  <si>
    <t>['lika', 'liku', 'piala dunia', 'ayah', 'dukung', 'brazil', 'bunda', 'dukung', 'argentina', 'udah', 'terus', 'adik', 'dukung', 'portugal', 'setia', 'spanyol', 'emang', 'benar', 'argentina', 'menang', 'berkat', 'doa', 'ibu']</t>
  </si>
  <si>
    <t>Penantian gua dari 2014 akhirnya liat ARGENTINA menang pildun üò≠</t>
  </si>
  <si>
    <t>penantian gua dari akhirnya liat argentina menang pildun</t>
  </si>
  <si>
    <t>['penantian', 'gua', 'akhirnya', 'lihat', 'argentina', 'menang', 'piala dunia']</t>
  </si>
  <si>
    <t>Habis messi, argentina ga akan pernah menang pildun lagi... Negara rasis banyak yg dukung aneh</t>
  </si>
  <si>
    <t>habis messi argentina akan pernah menang pildun lagi negara rasis banyak dukung aneh</t>
  </si>
  <si>
    <t>['habis', 'messi', 'argentina', 'pernah', 'menang', 'piala dunia', 'negara', 'rasis', 'banyak', 'dukung', 'aneh']</t>
  </si>
  <si>
    <t>gw bukan gamau Messi menang pildun, cuma emg berusaha objektif aja kyk menurut gw argentina permainannya jg gabagus2 amat sbnrnya. Tp kalo bicara pantas, ya pantas bgt buat Messi untuk menutup karir dia dengan piala dunia. Once again congratulations GOATüëè</t>
  </si>
  <si>
    <t>bukan gamau messi menang pildun cuma emg berusaha objektif aja kyk menurut argentina permainannya gabagus amat sbnrnya kalo bicara pantas pantas bgt buat messi untuk menutup karir dia dengan piala dunia once again congratulations goat</t>
  </si>
  <si>
    <t>['bukan', 'gamau', 'messi', 'menang', 'piala dunia', 'cuma', 'memang', 'berusaha', 'objektif', 'seperti', 'argentina', 'permainannya', 'gabagus', 'sebenarnya', 'bicara', 'pantas', 'pantas', 'banget', 'buat', 'messi', 'menutup', 'karir', 'piala', 'dunia', 'once', 'again', 'congratulations', 'goat']</t>
  </si>
  <si>
    <t>Dri awal pildun diajakin tebak2an ama temen kuliah, karena Italy ga masuk, sy yg biasanya jagoin Italy jadi bngung. By feeling nebak argentina, sempet ragu pas match pertama, eh alhamdulillah menang ternyata. Lumayan ü§ëü§ëü§ë</t>
  </si>
  <si>
    <t>dri awal pildun diajakin tebak ama temen kuliah karena italy masuk biasanya jagoin italy jadi bngung feeling nebak argentina sempet ragu pas match pertama alhamdulillah menang ternyata lumayan</t>
  </si>
  <si>
    <t>['dri', 'awal', 'piala dunia', 'diajakin', 'tebak', 'ama', 'temen', 'kuliah', 'italy', 'masuk', 'biasanya', 'jagoin', 'italy', 'jadi', 'bngung', 'feeling', 'nebak', 'argentina', 'sempet', 'ragu', 'pas', 'match', 'pertama', 'alhamdulillah', 'menang', 'ternyata', 'lumayan']</t>
  </si>
  <si>
    <t>Argentina, rejeki negara krisis menang pildun~ apakah mereka merayakan atau tetap demo ke presidennya wkwk</t>
  </si>
  <si>
    <t>argentina rejeki negara krisis menang pildun apakah mereka merayakan atau tetap demo presidennya wkwk</t>
  </si>
  <si>
    <t>['argentina', 'rejeki', 'negara', 'krisis', 'menang', 'piala dunia', 'merayakan', 'tetap', 'demo', 'presidennya']</t>
  </si>
  <si>
    <t>demi apa argentina yg menang adu pinalty?? wohoo saatnya messi pensiun gpp mbappe tim kau kan udh pernah angkat piala perjuangan mu masih panjang di next pildunüò≠üò≠</t>
  </si>
  <si>
    <t>demi apa argentina menang adu pinalty wohoo saatnya messi pensiun gpp mbappe tim kau kan udh pernah angkat piala perjuangan masih panjang next pildun</t>
  </si>
  <si>
    <t>['apa', 'argentina', 'menang', 'adu', 'pinalty', 'wohoo', 'saatnya', 'messi', 'pensiun', 'gapapa', 'mbappe', 'tim', 'kau', 'kan', 'sudah', 'pernah', 'angkat', 'piala', 'perjuangan', 'panjang', 'next', 'piala dunia']</t>
  </si>
  <si>
    <t>Gara2 udah diprediksi AI kalo Argentina menang. Jadi hambar banget kemenangan Argentina, tapi final ini emng seru  3 Pildun AI bener terus wkwk</t>
  </si>
  <si>
    <t>gara udah diprediksi kalo argentina menang jadi hambar banget kemenangan argentina tapi final ini emng seru pildun bener terus wkwk</t>
  </si>
  <si>
    <t>['gara', 'udah', 'diprediksi', 'argentina', 'menang', 'jadi', 'hambar', 'banget', 'kemenangan', 'argentina', 'final', 'memang', 'seru', 'piala dunia', 'benar', 'terus']</t>
  </si>
  <si>
    <t>anjir gue seseneng itu argentina menang, soalnya pildun yg lalu liat messi murung krn cuma dapet runner up rasanya nyelekit bgtüòì</t>
  </si>
  <si>
    <t>anjir gue seseneng itu argentina menang soalnya pildun lalu liat messi murung krn cuma dapet runner rasanya nyelekit bgt</t>
  </si>
  <si>
    <t>['anjir', 'gue', 'seseneng', 'argentina', 'menang', 'soalnya', 'piala dunia', 'lalu', 'lihat', 'messi', 'murung', 'cuma', 'dapat', 'runner', 'rasanya', 'nyelekit', 'banget']</t>
  </si>
  <si>
    <t>@ZEUXXX_ Fine, namanya juga pertandingan ada menang ada kalah.  Prancis dah angkat piala 2018 kmrn, saatnya argentina skrng.  Lagipula bapak lu 4 taun lagi gak bakalan main di pildun jadi yaudah aokwkwkwk.</t>
  </si>
  <si>
    <t>fine namanya juga pertandingan ada menang ada kalah prancis dah angkat piala kmrn saatnya argentina skrng lagipula bapak taun lagi gak bakalan main pildun jadi yaudah aokwkwkwk</t>
  </si>
  <si>
    <t>['fine', 'namanya', 'pertandingan', 'menang', 'kalah', 'prancis', 'dah', 'angkat', 'piala', 'kmrn', 'saatnya', 'argentina', 'skrng', 'lagipula', 'bapak', 'taun', 'bakalan', 'main', 'piala dunia', 'jadi', 'yaudah', 'aokwkwkwk']</t>
  </si>
  <si>
    <t>Proud, bagian ga ngikutin pildun negara yang di idolainnya menang üò∂ tapi gapapa ikut senenggg , Congrats Argentina especially mu fav player ever after MESSI‚ù§Ô∏è‚Äçüî•‚ù§Ô∏è‚Äçüî•‚ù§Ô∏è‚Äçüî•‚ù§Ô∏è‚Äçüî•‚ù§Ô∏è‚Äçüî•  https://t.co/OccQmirCA1</t>
  </si>
  <si>
    <t>proud bagian ngikutin pildun negara yang idolainnya menang tapi gapapa ikut senenggg congrats argentina especially fav player ever after messi</t>
  </si>
  <si>
    <t>['proud', 'bagian', 'ngikutin', 'piala dunia', 'negara', 'idolainnya', 'menang', 'gapapa', 'ikut', 'senenggg', 'congrats', 'argentina', 'especially', 'fav', 'player', 'ever', 'after', 'messi']</t>
  </si>
  <si>
    <t>@idextratime Hanya di era iwan bule sebagai ketum pssi Argentina menang pildun, ü§£ü§£</t>
  </si>
  <si>
    <t>hanya era iwan bule sebagai ketum pssi argentina menang pildun</t>
  </si>
  <si>
    <t>['era', 'iwan', 'bule', 'ketum', 'pssi', 'argentina', 'menang', 'piala dunia']</t>
  </si>
  <si>
    <t>MASA ARGENTINA JUARA PILDUN LU MASIH GA ADA KABAR??? JAGOAN LO NIH DAM MENANG</t>
  </si>
  <si>
    <t>masa argentina juara pildun masih ada kabar jagoan nih dam menang</t>
  </si>
  <si>
    <t>['masa', 'argentina', 'juara', 'piala dunia', 'kabar', 'jagoan', 'dam', 'menang']</t>
  </si>
  <si>
    <t>dari awal mulai pildun udah yakin sihh Argentina bakal menang</t>
  </si>
  <si>
    <t>dari awal mulai pildun udah yakin sihh argentina bakal menang</t>
  </si>
  <si>
    <t>['awal', 'mulai', 'piala dunia', 'udah', 'yakin', 'sihh', 'argentina', 'bakal', 'menang']</t>
  </si>
  <si>
    <t>senang liat Argentina menang karena pildun terakhir nya Messi, tapi sedih juga liat Francis kalah</t>
  </si>
  <si>
    <t>senang liat argentina menang karena pildun terakhir nya messi tapi sedih juga liat francis kalah</t>
  </si>
  <si>
    <t>['senang', 'lihat', 'argentina', 'menang', 'piala dunia', 'terakhir', 'messi', 'sedih', 'lihat', 'francis', 'kalah']</t>
  </si>
  <si>
    <t>kali ini ga terlalu ngikutin pildun, tpi pildun terakhir pilihan ku yo messi, squarez, ozil, neymar doang. proud juga sama argentina bisa menang, selamat ya bang messi dkk üëç</t>
  </si>
  <si>
    <t>kali ini terlalu ngikutin pildun tpi pildun terakhir pilihan messi squarez ozil neymar doang proud juga sama argentina bisa menang selamat bang messi dkk</t>
  </si>
  <si>
    <t>['kali', 'terlalu', 'ngikutin', 'piala dunia', 'tpi', 'piala dunia', 'terakhir', 'pilihan', 'messi', 'squarez', 'ozil', 'neymar', 'doang', 'proud', 'sama', 'argentina', 'menang', 'selamat', 'bang', 'messi', 'dkk']</t>
  </si>
  <si>
    <t>perbedaan ndelok pildun lanang : Argentina menang wadon : Messi menang</t>
  </si>
  <si>
    <t>perbedaan ndelok pildun lanang argentina menang wadon messi menang</t>
  </si>
  <si>
    <t>['perbedaan', 'ndelok', 'piala dunia', 'lanang', 'argentina', 'menang', 'wadon', 'messi', 'menang']</t>
  </si>
  <si>
    <t>Alhamdulillah :) Dari SMP setiap pildun selalu megang Argentina. Akhirnya menang juga ya, papa Thiago :)  https://t.co/PtmCxjVYY4</t>
  </si>
  <si>
    <t>alhamdulillah dari smp setiap pildun selalu megang argentina akhirnya menang juga papa thiago</t>
  </si>
  <si>
    <t>['alhamdulillah', 'smp', 'piala dunia', 'selalu', 'megang', 'argentina', 'akhirnya', 'menang', 'papa', 'thiago']</t>
  </si>
  <si>
    <t>argentina menang pildun karna ada namaku diujung hahaha</t>
  </si>
  <si>
    <t>['argentina', 'menang', 'piala dunia', 'karna', 'namaku', 'diujung', 'hahaha']</t>
  </si>
  <si>
    <t>@ndagels Argentina abis menang pildun...  https://t.co/aLPRfqJvXJ</t>
  </si>
  <si>
    <t>argentina abis menang pildun</t>
  </si>
  <si>
    <t>['argentina', 'abis', 'menang', 'piala dunia']</t>
  </si>
  <si>
    <t>Jk yg nyanyii di pildun argentina yg menang, wow sungguh luar biasa keren pildun 2022 ini üò≠üò≠üá¶üá∑</t>
  </si>
  <si>
    <t>nyanyii pildun argentina menang wow sungguh luar biasa keren pildun ini</t>
  </si>
  <si>
    <t>['nyanyii', 'piala dunia', 'argentina', 'menang', 'wow', 'sungguh', 'luar', 'biasa', 'keren', 'piala dunia']</t>
  </si>
  <si>
    <t>fyi gw td sempet nangis soalnya tempe gw diabisin adek gw sebelum mulai pildun anjing marah sekali</t>
  </si>
  <si>
    <t>fyi sempet nangis soalnya tempe diabisin adek sebelum mulai pildun anjing marah sekali</t>
  </si>
  <si>
    <t>['for your information', 'sempet', 'nangis', 'soalnya', 'tempe', 'diabisin', 'adek', 'mulai', 'piala dunia', 'anjing', 'marah', 'sekali']</t>
  </si>
  <si>
    <t>Akhirny setelah dari Pildun 2002 dukung Argentina, menang juga edisi Pildun 2022 ü§£ü§£ü§£ü§£</t>
  </si>
  <si>
    <t>akhirny setelah dari pildun dukung argentina menang juga edisi pildun</t>
  </si>
  <si>
    <t>['akhirny', 'piala dunia', 'dukung', 'argentina', 'menang', 'edisi', 'piala dunia']</t>
  </si>
  <si>
    <t>The best match of final world cup sih, goksss, congrats argentina üëçüèª  *asli terharu lihat messi akhirnya dia bisa menang pildun</t>
  </si>
  <si>
    <t>the best match final world cup sih goksss congrats argentina asli terharu lihat messi akhirnya dia bisa menang pildun</t>
  </si>
  <si>
    <t>['the', 'best', 'match', 'final', 'world', 'cup', 'goksss', 'congrats', 'argentina', 'asli', 'terharu', 'lihat', 'messi', 'akhirnya', 'menang', 'piala dunia']</t>
  </si>
  <si>
    <t>ikut seneng buat argentina ü•π udah lama banget gak menang pildun</t>
  </si>
  <si>
    <t>ikut seneng buat argentina udah lama banget gak menang pildun</t>
  </si>
  <si>
    <t>['ikut', 'seneng', 'buat', 'argentina', 'udah', 'lama', 'banget', 'menang', 'piala dunia']</t>
  </si>
  <si>
    <t>God plan lah ya, france udah menang pildun di rusia, gantian argentina sekalian last present dari messi utk negaranya ü•∞</t>
  </si>
  <si>
    <t>god plan lah france udah menang pildun rusia gantian argentina sekalian last present dari messi utk negaranya</t>
  </si>
  <si>
    <t>['god', 'plan', 'lah', 'france', 'udah', 'menang', 'piala dunia', 'rusia', 'gantian', 'argentina', 'sekalian', 'last', 'present', 'messi', 'negaranya']</t>
  </si>
  <si>
    <t>di wa sama di twitter sama2 rame pada nonton pildun, yang menang argentina ya?</t>
  </si>
  <si>
    <t>sama twitter sama rame pada nonton pildun yang menang argentina</t>
  </si>
  <si>
    <t>['sama', 'twitter', 'sama', 'ramai', 'nonton', 'piala dunia', 'menang', 'argentina']</t>
  </si>
  <si>
    <t>argentina menang pildun, prancis menang oscar</t>
  </si>
  <si>
    <t>argentina menang pildun prancis menang oscar</t>
  </si>
  <si>
    <t>['argentina', 'menang', 'piala dunia', 'prancis', 'menang', 'oscar']</t>
  </si>
  <si>
    <t>ARGENTINA BENERAN SE DESERVE ITU UNTUK MENANG PILDUNüò≠üò≠üò≠üò≠üò≠</t>
  </si>
  <si>
    <t>argentina beneran deserve itu untuk menang pildun</t>
  </si>
  <si>
    <t>['argentina', 'beneran', 'deserve', 'menang', 'piala dunia']</t>
  </si>
  <si>
    <t>Dari awal udah feeling bakalan Argentina yang menang pildun, ngeliat ambisi Messi yg udah greget pengen menang pildun</t>
  </si>
  <si>
    <t>dari awal udah feeling bakalan argentina yang menang pildun ngeliat ambisi messi udah greget pengen menang pildun</t>
  </si>
  <si>
    <t>['awal', 'udah', 'feeling', 'bakalan', 'argentina', 'menang', 'piala dunia', 'ngeliat', 'ambisi', 'messi', 'udah', 'greget', 'pengen', 'menang', 'piala dunia']</t>
  </si>
  <si>
    <t>Tapi jujur, momen paling epic itu ya Saudi bisa menang lawan Argentina di babak2 awal dan Maroko bisa sejauh itu carrying Africa üòÇ kalian berdua sih yg paling GG menurutku sepanjang Pildun</t>
  </si>
  <si>
    <t>tapi jujur momen paling epic itu saudi bisa menang lawan argentina babak awal dan maroko bisa sejauh itu carrying africa kalian berdua sih paling menurutku sepanjang pildun</t>
  </si>
  <si>
    <t>['jujur', 'momen', 'paling', 'epic', 'saudi', 'menang', 'lawan', 'argentina', 'babak', 'awal', 'maroko', 'sejauh', 'carrying', 'africa', 'kalian', 'berdua', 'paling', 'menurutku', 'sepanjang', 'piala dunia']</t>
  </si>
  <si>
    <t>Wow yg menang pildun  Argentina bener kan</t>
  </si>
  <si>
    <t>wow menang pildun argentina bener kan</t>
  </si>
  <si>
    <t>['wow', 'menang', 'piala dunia', 'argentina', 'benar', 'kan']</t>
  </si>
  <si>
    <t>Gw nemenin Kakak nonton Pildun bangun-bangun kaget anjing tbtb dia teriak "Prancis kontol" üò≠üò≠üò≠ ternyata Argentina menang WKKAKWKAKWKA</t>
  </si>
  <si>
    <t>nemenin kakak nonton pildun bangun bangun kaget anjing tbtb dia teriak prancis kontol ternyata argentina menang wkkakwkakwka</t>
  </si>
  <si>
    <t>['nemenin', 'kakak', 'nonton', 'piala dunia', 'bangun', 'bangun', 'kaget', 'anjing', 'tbtb', 'teriak', 'prancis', 'kontol', 'ternyata', 'argentina', 'menang', 'wkkakwkakwka']</t>
  </si>
  <si>
    <t>Congrats Argentina :(  What a game  Messi, a sweet victory, a sweet ending to a wonderful career  Yaudah lah ya, ada menang ada kalah  Pildun Qatar seru abis anjeer, jauh beda sama 4 tahun lalu</t>
  </si>
  <si>
    <t>congrats argentina what game messi sweet victory sweet ending wonderful career yaudah lah ada menang ada kalah pildun qatar seru abis anjeer jauh beda sama tahun lalu</t>
  </si>
  <si>
    <t>['congrats', 'argentina', 'what', 'game', 'messi', 'sweet', 'victory', 'sweet', 'ending', 'wonderful', 'career', 'yaudah', 'lah', 'menang', 'kalah', 'piala dunia', 'qatar', 'seru', 'abis', 'anjeer', 'jauh', 'beda', 'sama', 'tahun', 'lalu']</t>
  </si>
  <si>
    <t>Argentina menang Pildun bakalan diputer lagu "I'm A Winner Baby" by Rupaul gak ya?</t>
  </si>
  <si>
    <t>argentina menang pildun bakalan diputer lagu winner baby rupaul gak</t>
  </si>
  <si>
    <t>['argentina', 'menang', 'piala dunia', 'bakalan', 'diputer', 'lagu', 'winner', 'baby', 'rupaul']</t>
  </si>
  <si>
    <t>Dibalik Argentina menang, messi pensiun Pildun #FIFAWorldCup #MessiìÉµ</t>
  </si>
  <si>
    <t>dibalik argentina menang messi pensiun pildun</t>
  </si>
  <si>
    <t>['dibalik', 'argentina', 'menang', 'messi', 'pensiun', 'piala dunia']</t>
  </si>
  <si>
    <t>Fixed argentina ini ya yg menang? Sipp at least gk kliatan2 bngt gk suka bola pas besok dikantor pada ngobrolin pildun</t>
  </si>
  <si>
    <t>fixed argentina ini menang sipp least kliatan bngt suka bola pas besok dikantor pada ngobrolin pildun</t>
  </si>
  <si>
    <t>['fixed', 'argentina', 'menang', 'sipp', 'least', 'kliatan', 'bngt', 'suka', 'bola', 'pas', 'besok', 'dikantor', 'ngobrolin', 'piala dunia']</t>
  </si>
  <si>
    <t>Kan bener Argentina menang, selamat tebakan romi rafael bener wkwk. Congrats bang messi pildun terakhir lu menang euy, memang diharuskan utk adu penalty</t>
  </si>
  <si>
    <t>kan bener argentina menang selamat tebakan romi rafael bener wkwk congrats bang messi pildun terakhir menang euy memang diharuskan utk adu penalty</t>
  </si>
  <si>
    <t>['kan', 'benar', 'argentina', 'menang', 'selamat', 'tebakan', 'romi', 'rafael', 'benar', 'congrats', 'bang', 'messi', 'piala dunia', 'terakhir', 'menang', 'euy', 'memang', 'diharuskan', 'adu', 'penalty']</t>
  </si>
  <si>
    <t>Ga nonton pildun, ga paham tapi yg menang argentina ya?</t>
  </si>
  <si>
    <t>nonton pildun paham tapi menang argentina</t>
  </si>
  <si>
    <t>['nonton', 'piala dunia', 'paham', 'menang', 'argentina']</t>
  </si>
  <si>
    <t>Terakhir Argentina menang Pildun pas gw lahir. Suka dpt cerita dari nyokap, tadi nya gw mau di namain Diego. Gara2 si Maradona üòÖ</t>
  </si>
  <si>
    <t>terakhir argentina menang pildun pas lahir suka dpt cerita dari nyokap tadi nya mau namain diego gara maradona</t>
  </si>
  <si>
    <t>['terakhir', 'argentina', 'menang', 'piala dunia', 'pas', 'lahir', 'suka', 'dpt', 'cerita', 'nyokap', 'tadi', 'mau', 'namain', 'diego', 'gara', 'maradona']</t>
  </si>
  <si>
    <t>prancis kalah tp gapapa mbappe km keren. Selamat buat argentina yg akhirnya menang pildun</t>
  </si>
  <si>
    <t>prancis kalah gapapa mbappe keren selamat buat argentina akhirnya menang pildun</t>
  </si>
  <si>
    <t>['prancis', 'kalah', 'gapapa', 'mbappe', 'keren', 'selamat', 'buat', 'argentina', 'akhirnya', 'menang', 'piala dunia']</t>
  </si>
  <si>
    <t>Woylahhh coyyy akhirnya w bisa liat argentina menang pildun setelah pildun2 sebelumnya cuma smpe 16 besar ajaüò≠üò≠ü´∂. Bapak w seneng bet dah ni pasti</t>
  </si>
  <si>
    <t>woylahhh coyyy akhirnya bisa liat argentina menang pildun setelah pildun sebelumnya cuma smpe besar aja bapak seneng bet dah pasti</t>
  </si>
  <si>
    <t>['woylahhh', 'coyyy', 'akhirnya', 'lihat', 'argentina', 'menang', 'piala dunia', 'piala dunia', 'sebelumnya', 'cuma', 'smpe', 'besar', 'bapak', 'seneng', 'bet', 'dah']</t>
  </si>
  <si>
    <t>Terharu bgt dari dulu kalau nobar dirmh selalu dukung argentina gapernah menang pildun, skrg akhirnya menang :"D aaaaaak</t>
  </si>
  <si>
    <t>terharu bgt dari dulu kalau nobar dirmh selalu dukung argentina gapernah menang pildun skrg akhirnya menang aaaaaak</t>
  </si>
  <si>
    <t>['terharu', 'banget', 'dulu', 'kalau', 'nonton bareng', 'dirmh', 'selalu', 'dukung', 'argentina', 'gapernah', 'menang', 'piala dunia', 'skrg', 'akhirnya', 'menang', 'aaaaaak']</t>
  </si>
  <si>
    <t>Juara pildun Menang penalty ga usah banyak gaya lu messi #france #argentina</t>
  </si>
  <si>
    <t>juara pildun menang penalty usah banyak gaya messi</t>
  </si>
  <si>
    <t>['juara', 'piala dunia', 'menang', 'penalty', 'usah', 'banyak', 'gaya', 'messi']</t>
  </si>
  <si>
    <t>@tokopedia Udh di bilang prediksi tahun ini pildun yang menang Argentina üá¶üá∑üá¶üá∑ ##MintoLiveTweet</t>
  </si>
  <si>
    <t>udh bilang prediksi tahun ini pildun yang menang argentina</t>
  </si>
  <si>
    <t>['sudah', 'prediksi', 'tahun', 'piala dunia', 'menang', 'argentina']</t>
  </si>
  <si>
    <t>REAL DRAMA  !!!!  ASLI WORLD CUP 2022 DI TUTUP SEMPURNA BGT  CONGRATS ARGENTINA üá¶üá∑üá¶üá∑üá¶üá∑ MESSI AKHIRNYA MENANG PILDUN üåù</t>
  </si>
  <si>
    <t>real drama asli world cup tutup sempurna bgt congrats argentina messi akhirnya menang pildun</t>
  </si>
  <si>
    <t>['real', 'drama', 'asli', 'world', 'cup', 'tutup', 'sempurna', 'banget', 'congrats', 'argentina', 'messi', 'akhirnya', 'menang', 'piala dunia']</t>
  </si>
  <si>
    <t>pildun terakhir messi dan argentina menang, keren sih üëçüèªüëçüèªüëçüèª</t>
  </si>
  <si>
    <t>pildun terakhir messi dan argentina menang keren sih</t>
  </si>
  <si>
    <t>['piala dunia', 'terakhir', 'messi', 'argentina', 'menang', 'keren']</t>
  </si>
  <si>
    <t>Udah emang layak Argentina menang ni pildun.</t>
  </si>
  <si>
    <t>udah emang layak argentina menang pildun</t>
  </si>
  <si>
    <t>['udah', 'emang', 'layak', 'argentina', 'menang', 'piala dunia']</t>
  </si>
  <si>
    <t>Gokil menang Argentina Pinalty. Ini Final paling terseru dan paling terpuaskan Mardona bangga dengan kalian.  Messi lengkap.Emas Olimpiade,Copa Amerika&amp;amp;Pildun mantap</t>
  </si>
  <si>
    <t>gokil menang argentina pinalty ini final paling terseru dan paling terpuaskan mardona bangga dengan kalian messi lengkap emas olimpiade copa amerika pildun mantap</t>
  </si>
  <si>
    <t>['gila', 'menang', 'argentina', 'pinalty', 'final', 'paling', 'terseru', 'paling', 'terpuaskan', 'mardona', 'bangga', 'kalian', 'messi', 'lengkap', 'emas', 'olimpiade', 'copa', 'amerika', 'piala dunia', 'mantap']</t>
  </si>
  <si>
    <t>Udah!!!! Argentina menang!!!  Mesi bisa pensiun pildun dengan tenang!!!!!!</t>
  </si>
  <si>
    <t>udah argentina menang mesi bisa pensiun pildun dengan tenang</t>
  </si>
  <si>
    <t>['udah', 'argentina', 'menang', 'mesi', 'pensiun', 'piala dunia', 'tenang']</t>
  </si>
  <si>
    <t>YO SELAMAT ARGENTINAA YO BANGUN YO ARGENTINA MENANG PILDUN  https://t.co/hPPh4RvEvH</t>
  </si>
  <si>
    <t>selamat argentinaa bangun argentina menang pildun</t>
  </si>
  <si>
    <t>['selamat', 'argentinaa', 'bangun', 'argentina', 'menang', 'piala dunia']</t>
  </si>
  <si>
    <t>gw sabeb argentina ato prancis yg menang, mereka emang 2 tim yang performanya konsisten di pildun 2022</t>
  </si>
  <si>
    <t>sabeb argentina ato prancis menang mereka emang tim yang performanya konsisten pildun</t>
  </si>
  <si>
    <t>['bebas', 'argentina', 'ato', 'prancis', 'menang', 'emang', 'tim', 'performanya', 'konsisten', 'piala dunia']</t>
  </si>
  <si>
    <t>Argentina menang pildun 2022 qatar [doa lengkap detail]</t>
  </si>
  <si>
    <t>argentina menang pildun qatar doa lengkap detail</t>
  </si>
  <si>
    <t>['argentina', 'menang', 'piala dunia', 'qatar', 'doa', 'lengkap', 'detail']</t>
  </si>
  <si>
    <t>Gue tuh pengen Argentina menang karena ini pildun terakhir Messi. Si kampret Mbappe, lu masih muda, ngalah aja sih anying</t>
  </si>
  <si>
    <t>gue tuh pengen argentina menang karena ini pildun terakhir messi kampret mbappe masih muda ngalah aja sih anying</t>
  </si>
  <si>
    <t>['gue', 'pengen', 'argentina', 'menang', 'piala dunia', 'terakhir', 'messi', 'kampret', 'mbappe', 'muda', 'ngalah', 'anying']</t>
  </si>
  <si>
    <t>@mentariksh lebih mengunggulkan argentina soal penalti, tapi kalo perancis menang‚Ä¶. beuh dahlah terdrama final pildun tahun ini</t>
  </si>
  <si>
    <t>lebih mengunggulkan argentina soal penalti tapi kalo perancis menang beuh dahlah terdrama final pildun tahun ini</t>
  </si>
  <si>
    <t>['lebih', 'mengunggulkan', 'argentina', 'soal', 'penalti', 'perancis', 'menang', 'beuh', 'dahlah', 'terdrama', 'final', 'piala dunia', 'tahun']</t>
  </si>
  <si>
    <t>Martinez yukk bisaa yukk bawa argentina menang. Bawa messi menang di pildun terakhirüòî</t>
  </si>
  <si>
    <t>martinez yukk bisaa yukk bawa argentina menang bawa messi menang pildun terakhir</t>
  </si>
  <si>
    <t>['martinez', 'yukk', 'bisaa', 'yukk', 'bawa', 'argentina', 'menang', 'bawa', 'messi', 'menang', 'piala dunia', 'terakhir']</t>
  </si>
  <si>
    <t>Oke penalty bismillah bisa yuk argentina menang bismillah juala pildun 2022</t>
  </si>
  <si>
    <t>oke penalty bismillah bisa yuk argentina menang bismillah juala pildun</t>
  </si>
  <si>
    <t>['oke', 'penalty', 'bismillah', 'yuk', 'argentina', 'menang', 'bismillah', 'juala', 'piala dunia']</t>
  </si>
  <si>
    <t>Final pildun ini gila sih. Siapapun yang menang yaaudah aja gitu. Tapi masih berharap Argentina menang, mau liat Messi juaraaaaak!!!</t>
  </si>
  <si>
    <t>final pildun ini gila sih siapapun yang menang yaaudah aja gitu tapi masih berharap argentina menang mau liat messi juaraaaaak</t>
  </si>
  <si>
    <t>['final', 'piala dunia', 'gila', 'siapapun', 'menang', 'yaaudah', 'gitu', 'berharap', 'argentina', 'menang', 'mau', 'lihat', 'messi', 'juaraaaaak']</t>
  </si>
  <si>
    <t>Udah sempet yaudahlah yaa keknya argentina jagoan suami dr awal pildun yang bakal menang, taunyaaaa masih ada kesempatan !!!!</t>
  </si>
  <si>
    <t>udah sempet yaudahlah yaa keknya argentina jagoan suami awal pildun yang bakal menang taunyaaaa masih ada kesempatan</t>
  </si>
  <si>
    <t>['udah', 'sempet', 'yaudahlah', 'ya', 'sepertinya', 'argentina', 'jagoan', 'suami', 'awal', 'piala dunia', 'bakal', 'menang', 'taunyaaaa', 'kesempatan']</t>
  </si>
  <si>
    <t>@nuqraheni ü§£ kalo dari awal dulu sebelum mulai pildun milih Argentina si di GA GA,tapi pas penyisihan malan dukung maroko,ü§£ Final Pengennya Argentina menang manatau kepilih di GA,tapi hati ini lebih ke Perancis siü§£</t>
  </si>
  <si>
    <t>kalo dari awal dulu sebelum mulai pildun milih argentina tapi pas penyisihan malan dukung maroko final pengennya argentina menang manatau kepilih tapi hati ini lebih perancis</t>
  </si>
  <si>
    <t>['awal', 'dulu', 'mulai', 'piala dunia', 'milih', 'argentina', 'pas', 'penyisihan', 'malan', 'dukung', 'maroko', 'final', 'pengennya', 'argentina', 'menang', 'manatau', 'kepilih', 'hati', 'lebih', 'perancis']</t>
  </si>
  <si>
    <t>2-2 anjrr bismillah manifesting ini agentina yang menang semoga pildun kali ini buat Messi dan argentina aamiin</t>
  </si>
  <si>
    <t>anjrr bismillah manifesting ini agentina yang menang semoga pildun kali ini buat messi dan argentina aamiin</t>
  </si>
  <si>
    <t>['anjrr', 'bismillah', 'manifesting', 'agentina', 'menang', 'semoga', 'piala dunia', 'kali', 'buat', 'messi', 'argentina', 'aamiin']</t>
  </si>
  <si>
    <t>Pildun kali ini tidak menarik. Menang Argentina kasian bang Dodo, Francee menang @Lausirysofyan full senyum. Serba salah.</t>
  </si>
  <si>
    <t>pildun kali ini tidak menarik menang argentina kasian bang dodo francee menang full senyum serba salah</t>
  </si>
  <si>
    <t>['piala dunia', 'kali', 'menarik', 'menang', 'argentina', 'kasian', 'bang', 'dodo', 'francee', 'menang', 'full', 'senyum', 'serba', 'salah']</t>
  </si>
  <si>
    <t>@tokopedia Tahun ini ARGENTINA MENANG pildun üá¶üá∑ #MintoLiveTweet</t>
  </si>
  <si>
    <t>tahun ini argentina menang pildun</t>
  </si>
  <si>
    <t>['tahun', 'argentina', 'menang', 'piala dunia']</t>
  </si>
  <si>
    <t>@arvaen_ Argentina udah 5 kali penalti di pildun ini. Hampir setiap pertandingan dapet penalti.  Terus karna perancis dapet penalti  1 kali  g akan ngebantah ini settingan . Kalo mbappe g goalin lg jg arentina udah menang.  Gue ngomong settingan jg berdas</t>
  </si>
  <si>
    <t>argentina udah kali penalti pildun ini hampir setiap pertandingan dapet penalti terus karna perancis dapet penalti kali akan ngebantah ini settingan kalo mbappe goalin arentina udah menang gue ngomong settingan berdas</t>
  </si>
  <si>
    <t>['argentina', 'udah', 'kali', 'penalti', 'piala dunia', 'hampir', 'pertandingan', 'dapat', 'penalti', 'terus', 'karna', 'perancis', 'dapat', 'penalti', 'kali', 'ngebantah', 'settingan', 'mbappe', 'goalin', 'arentina', 'udah', 'menang', 'gue', 'ngomong', 'settingan', 'berdas']</t>
  </si>
  <si>
    <t>Sebelah semoga gak bangun gara2 suara2 aneh gw nonton pildun.  Pengen Prancis menang tp lalau Argentina juara jg gak apa2 lah</t>
  </si>
  <si>
    <t>sebelah semoga gak bangun gara suara aneh nonton pildun pengen prancis menang lalau argentina juara gak apa lah</t>
  </si>
  <si>
    <t>['sebelah', 'semoga', 'bangun', 'gara', 'suara', 'aneh', 'nonton', 'piala dunia', 'pengen', 'prancis', 'menang', 'lalau', 'argentina', 'juara', 'apa', 'lah']</t>
  </si>
  <si>
    <t>Saya berdoa agar argentina menang pildun, akankah doa saya terdengar dan di ijabah?</t>
  </si>
  <si>
    <t>saya berdoa agar argentina menang pildun akankah doa saya terdengar dan ijabah</t>
  </si>
  <si>
    <t>['berdoa', 'argentina', 'menang', 'piala dunia', 'akankah', 'doa', 'terdengar', 'ijabah']</t>
  </si>
  <si>
    <t>@tokopedia Prediksi tahun ini Argentina menang pildun 2022 #MintoLiveTweet</t>
  </si>
  <si>
    <t>prediksi tahun ini argentina menang pildun</t>
  </si>
  <si>
    <t>['prediksi', 'tahun', 'argentina', 'menang', 'piala dunia']</t>
  </si>
  <si>
    <t>Final pildun ini sangat epics klo pinlati dan argentina yang menang..</t>
  </si>
  <si>
    <t>final pildun ini sangat epics klo pinlati dan argentina yang menang</t>
  </si>
  <si>
    <t>['final', 'piala dunia', 'sangat', 'epics', 'pinlati', 'argentina', 'menang']</t>
  </si>
  <si>
    <t>argentina kasih menang aja pls persembahan terakhir messi ikut pildun</t>
  </si>
  <si>
    <t>['argentina', 'kasih', 'menang', 'pls', 'persembahan', 'terakhir', 'messi', 'ikut', 'piala dunia']</t>
  </si>
  <si>
    <t>Kuserahkan pantauan pildun ke mama sama bapak aku aja yg surprisingly masih kuat nontonü•≤ aku nunggu di kamar berharap argentina yg menang.</t>
  </si>
  <si>
    <t>kuserahkan pantauan pildun mama sama bapak aku aja surprisingly masih kuat nonton aku nunggu kamar berharap argentina menang</t>
  </si>
  <si>
    <t>['kuserahkan', 'pantauan', 'piala dunia', 'mama', 'sama', 'bapak', 'aku', 'surprisingly', 'kuat', 'nonton', 'aku', 'nunggu', 'kamar', 'berharap', 'argentina', 'menang']</t>
  </si>
  <si>
    <t>Final pildun yg seru euy. Kalo argentina langsung menang, messi sempurna sebagai pemain udah menang di sgala level kompetisi. Go üá´üá∑</t>
  </si>
  <si>
    <t>final pildun seru euy kalo argentina langsung menang messi sempurna sebagai pemain udah menang sgala level kompetisi</t>
  </si>
  <si>
    <t>['final', 'piala dunia', 'seru', 'euy', 'argentina', 'langsung', 'menang', 'messi', 'sempurna', 'pemain', 'udah', 'menang', 'sgala', 'level', 'kompetisi']</t>
  </si>
  <si>
    <t>maafin hamba ya Allah udh ngomongin asdos pas pildun smg argentina menang üôèüèªüôèüèªüôèüèªüôèüèªüôèüèªüôèüèª</t>
  </si>
  <si>
    <t>maafin hamba allah udh ngomongin asdos pas pildun smg argentina menang</t>
  </si>
  <si>
    <t>['maafin', 'hamba', 'allah', 'sudah', 'ngomongin', 'asdos', 'pas', 'piala dunia', 'smg', 'argentina', 'menang']</t>
  </si>
  <si>
    <t>Yang diinginkan banyak fans Bola, termasuk saya, karena itu, banyak juga yang ingin Argentina menang, jadj spekulasi saya, alur yang diinginkan banyak fans Bola akan dirusak lagi, kali ini oleh Prancis, dan Prancis bakal menang pildun back-to-back</t>
  </si>
  <si>
    <t>yang diinginkan banyak fans bola termasuk saya karena itu banyak juga yang ingin argentina menang jadj spekulasi saya alur yang diinginkan banyak fans bola akan dirusak lagi kali ini oleh prancis dan prancis bakal menang pildun back back</t>
  </si>
  <si>
    <t>['diinginkan', 'banyak', 'fans', 'bola', 'termasuk', 'banyak', 'argentina', 'menang', 'jadj', 'spekulasi', 'alur', 'diinginkan', 'banyak', 'fans', 'bola', 'dirusak', 'kali', 'prancis', 'prancis', 'bakal', 'menang', 'piala dunia', 'back', 'back']</t>
  </si>
  <si>
    <t>Walaupun +8 tapi udah ngerasa dan yakin banget bakal adu penalti, kalo ngga Prancis comeback  Kenapa saya bilang Prancis comeback? Walaupun banyak yang berspekulasi Messi yang menang karena ini pildun terakhir, ingat, Maroko ngerusak alur Final Argentina v Portugal</t>
  </si>
  <si>
    <t>walaupun tapi udah ngerasa dan yakin banget bakal adu penalti kalo ngga prancis comeback kenapa saya bilang prancis comeback walaupun banyak yang berspekulasi messi yang menang karena ini pildun terakhir ingat maroko ngerusak alur final argentina portugal</t>
  </si>
  <si>
    <t>['walaupun', 'udah', 'ngerasa', 'yakin', 'banget', 'bakal', 'adu', 'penalti', 'ngga', 'prancis', 'comeback', 'prancis', 'comeback', 'walaupun', 'banyak', 'berspekulasi', 'messi', 'menang', 'piala dunia', 'terakhir', 'ingat', 'maroko', 'ngerusak', 'alur', 'final', 'argentina', 'portugal']</t>
  </si>
  <si>
    <t>@adaapasihh Seru yah wkwkwk Kalo prancis menang teoriku ga berlaku di pildun skrg Kalo argentina menang kutukan pildun dibantah messi üòé</t>
  </si>
  <si>
    <t>seru yah wkwkwk kalo prancis menang teoriku berlaku pildun skrg kalo argentina menang kutukan pildun dibantah messi</t>
  </si>
  <si>
    <t>['seru', 'wkwkwk', 'prancis', 'menang', 'teoriku', 'berlaku', 'piala dunia', 'skrg', 'argentina', 'menang', 'kutukan', 'piala dunia', 'dibantah', 'messi']</t>
  </si>
  <si>
    <t>jancuk ketiduran 3 menit doang katena merasa gamenya boring + udah pede Argentina bakal menang easy. bangun-bangun udah 2-2  bocil penyepong bang dodo masih mikir ini pildun setinggan lagi gak ya??</t>
  </si>
  <si>
    <t>jancuk ketiduran menit doang katena merasa gamenya boring udah pede argentina bakal menang easy bangun bangun udah bocil penyepong bang dodo masih mikir ini pildun setinggan lagi gak</t>
  </si>
  <si>
    <t>['jancuk', 'ketiduran', 'menit', 'doang', 'katena', 'merasa', 'gamenya', 'boring', 'udah', 'percaya diri', 'argentina', 'bakal', 'menang', 'easy', 'bangun', 'bangun', 'udah', 'bocil', 'penyepong', 'bang', 'dodo', 'mikir', 'piala dunia', 'setinggan']</t>
  </si>
  <si>
    <t>Nobar pildun sama ayah berdua doang, ayah Argentina aku France. Siapa ya yang kira-kira menang? üôÇ</t>
  </si>
  <si>
    <t>nobar pildun sama ayah berdua doang ayah argentina aku france siapa yang kira kira menang</t>
  </si>
  <si>
    <t>['nonton bareng', 'piala dunia', 'sama', 'ayah', 'berdua', 'doang', 'ayah', 'argentina', 'aku', 'france', 'siapa', 'kira', 'kira', 'menang']</t>
  </si>
  <si>
    <t>ga nonton pildun si tp ini ada live reports segala dari google trs daritadi yg menang argentina trs kece bgt france oui oui baguette</t>
  </si>
  <si>
    <t>nonton pildun ini ada live reports segala dari google trs daritadi menang argentina trs kece bgt france oui oui baguette</t>
  </si>
  <si>
    <t>['nonton', 'piala dunia', 'live', 'reports', 'segala', 'google', 'terus', 'daritadi', 'menang', 'argentina', 'terus', 'kece', 'banget', 'france', 'oui', 'oui', 'baguette']</t>
  </si>
  <si>
    <t>@GemaShowIndo Prancis udh gak ada hasrat juara karna udh pernah menang, Argentina mainnya lbh ngotot karna pildun terakhir Messi jd pgn ngasih piala terakhir buat Messi.</t>
  </si>
  <si>
    <t>prancis udh gak ada hasrat juara karna udh pernah menang argentina mainnya lbh ngotot karna pildun terakhir messi pgn ngasih piala terakhir buat messi</t>
  </si>
  <si>
    <t>['prancis', 'sudah', 'hasrat', 'juara', 'karna', 'sudah', 'pernah', 'menang', 'argentina', 'mainnya', 'lbh', 'ngotot', 'karna', 'piala dunia', 'terakhir', 'messi', 'ingin', 'ngasih', 'piala', 'terakhir', 'buat', 'messi']</t>
  </si>
  <si>
    <t>@idextratime Min...lu sangar sih...dan ini udah jadi prediksi dari orang2 di seluruh dunia...rahasia umum kalo Argentina bakal dapet penalty dan menang pildun...aje gilaa...</t>
  </si>
  <si>
    <t>min sangar sih dan ini udah jadi prediksi dari orang seluruh dunia rahasia umum kalo argentina bakal dapet penalty dan menang pildun aje gilaa</t>
  </si>
  <si>
    <t>['min', 'sangar', 'udah', 'jadi', 'prediksi', 'orang', 'seluruh', 'dunia', 'rahasia', 'umum', 'argentina', 'bakal', 'dapat', 'penalty', 'menang', 'piala dunia', 'aje', 'gilaa']</t>
  </si>
  <si>
    <t>pusing bgt liat sw temen" gue yang cowo isinya pildun semua. semoga argentina menang yaa</t>
  </si>
  <si>
    <t>pusing bgt liat temen gue yang cowo isinya pildun semua semoga argentina menang yaa</t>
  </si>
  <si>
    <t>['pusing', 'banget', 'lihat', 'temen', 'gue', 'cowo', 'isinya', 'piala dunia', 'semua', 'semoga', 'argentina', 'menang', 'ya']</t>
  </si>
  <si>
    <t>brazil nt parah, minimal argentina bisa yuk bisa, gua ga ikhlas anjing kalo bukan argen yang menang pildun tahun ini, sedih anjir neymar udah kesepak, ronaldo juga iya, ayo om messi pasti bisa, [muke nye merah anjay kalo maen bola], btw sekarang score nya masih 2-0 argen vs pran</t>
  </si>
  <si>
    <t>brazil parah minimal argentina bisa yuk bisa gua ikhlas anjing kalo bukan argen yang menang pildun tahun ini sedih anjir neymar udah kesepak ronaldo juga iya ayo messi pasti bisa muke nye merah anjay kalo maen bola btw sekarang score nya masih argen pran</t>
  </si>
  <si>
    <t>['brazil', 'parah', 'minimal', 'argentina', 'yuk', 'gua', 'ikhlas', 'anjing', 'bukan', 'argen', 'menang', 'piala dunia', 'tahun', 'sedih', 'anjir', 'neymar', 'udah', 'kesepak', 'ronaldo', 'iya', 'ayo', 'messi', 'muke', 'nye', 'merah', 'anjay', 'maen', 'bola', 'by the way', 'sekarang', 'score', 'argen', 'pran']</t>
  </si>
  <si>
    <t>kalo argentina menang pildun, fix skill messi emang diatas ronaldo üëçüèº</t>
  </si>
  <si>
    <t>kalo argentina menang pildun fix skill messi emang diatas ronaldo</t>
  </si>
  <si>
    <t>['argentina', 'menang', 'piala dunia', 'fix', 'skill', 'messi', 'emang', 'diatas', 'ronaldo']</t>
  </si>
  <si>
    <t>gak babibu argentina menang pildun</t>
  </si>
  <si>
    <t>['babibu', 'argentina', 'menang', 'piala dunia']</t>
  </si>
  <si>
    <t>Kalau Argentina juara jadi flashback waktu Spanyol menang pildun 2010, sama sama kalah di laga awal fase grup</t>
  </si>
  <si>
    <t>kalau argentina juara jadi flashback waktu spanyol menang pildun sama sama kalah laga awal fase grup</t>
  </si>
  <si>
    <t>['kalau', 'argentina', 'juara', 'jadi', 'flashback', 'waktu', 'spanyol', 'menang', 'piala dunia', 'sama', 'sama', 'kalah', 'laga', 'awal', 'fase', 'grup']</t>
  </si>
  <si>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</si>
  <si>
    <t>stages grief final pildun version denial diving anjg gamungkin penalti anger taiiiii gol lagi anjingggg bargaining hmmm gpp masi half time depression sisa menit masi acceptance yaudahlah gpp kesian argentina udh lama menang</t>
  </si>
  <si>
    <t>['stages', 'grief', 'final', 'piala dunia', 'version', 'denial', 'diving', 'anjg', 'gamungkin', 'penalti', 'anger', 'taiiiii', 'gol', 'anjingggg', 'bargaining', 'hmmm', 'gapapa', 'masi', 'half', 'time', 'depression', 'sisa', 'menit', 'masi', 'acceptance', 'yaudahlah', 'gapapa', 'kesian', 'argentina', 'sudah', 'lama', 'menang']</t>
  </si>
  <si>
    <t>Beli hophop terus disuruh nebak yg juara pildun, i si bola bgt tuh mengikuti perkembangan. Dgn diiming¬≤i hadiah xbox akhirnya kutanya ke spg tsb, kau pilih apa? Dia jawap pasti prancis kak, baikla kuiisi jawapan argentina. Kumasukin kedlm kotak undian. Semoga menang kak, ujarnya</t>
  </si>
  <si>
    <t>beli hophop terus disuruh nebak juara pildun bola bgt tuh mengikuti perkembangan dgn diiming hadiah xbox akhirnya kutanya spg tsb kau pilih apa dia jawap pasti prancis kak baikla kuiisi jawapan argentina kumasukin kedlm kotak undian semoga menang kak ujarnya</t>
  </si>
  <si>
    <t>['beli', 'hophop', 'terus', 'disuruh', 'nebak', 'juara', 'piala dunia', 'bola', 'banget', 'mengikuti', 'perkembangan', 'diiming', 'hadiah', 'xbox', 'akhirnya', 'kutanya', 'spg', 'tsb', 'kau', 'pilih', 'apa', 'jawap', 'prancis', 'kak', 'baikla', 'kuiisi', 'jawapan', 'argentina', 'kumasukin', 'kedlm', 'kotak', 'undian', 'semoga', 'menang', 'kak', 'ujarnya']</t>
  </si>
  <si>
    <t>@ayyyningsihdry hahaha. griezman nih orang yg paling menarik di pildun 2014. Cuma tetep aja, argentina harus menangü§ô</t>
  </si>
  <si>
    <t>hahaha griezman nih orang paling menarik pildun cuma tetep aja argentina harus menang</t>
  </si>
  <si>
    <t>['hahaha', 'griezman', 'orang', 'paling', 'menarik', 'piala dunia', 'cuma', 'tetep', 'argentina', 'menang']</t>
  </si>
  <si>
    <t>Ternyata udh ngikutin griezman dari jamannya pildun 2014 wkwk tp gue ga hapal dia negara mana.. Aduh skrg baru sadar lg dr france,  tp maap kali ini Argentina harus yg menang üòù</t>
  </si>
  <si>
    <t>ternyata udh ngikutin griezman dari jamannya pildun wkwk gue hapal dia negara mana aduh skrg baru sadar france maap kali ini argentina harus menang</t>
  </si>
  <si>
    <t>['ternyata', 'sudah', 'ngikutin', 'griezman', 'jamannya', 'piala dunia', 'gue', 'hapal', 'negara', 'mana', 'aduh', 'skrg', 'baru', 'sadar', 'france', 'maap', 'kali', 'argentina', 'menang']</t>
  </si>
  <si>
    <t>@GarisInter Ini Argentina skuad burik kaya gini bisa menang pildun, heran gue  Dulu jaman Riquelme, Zanetti, Ayala, Cambiasso malah gk bsa tembus final.</t>
  </si>
  <si>
    <t>ini argentina skuad burik kaya gini bisa menang pildun heran gue dulu jaman riquelme zanetti ayala cambiasso malah bsa tembus final</t>
  </si>
  <si>
    <t>['argentina', 'skuad', 'burik', 'kaya', 'gini', 'menang', 'piala dunia', 'heran', 'gue', 'dulu', 'jaman', 'riquelme', 'zanetti', 'ayala', 'cambiasso', 'malah', 'bsa', 'tembus', 'final']</t>
  </si>
  <si>
    <t>Moga argentina menang, biar messi bisa mengakhiri karirnya di pildun dengan tenang :"</t>
  </si>
  <si>
    <t>moga argentina menang biar messi bisa mengakhiri karirnya pildun dengan tenang</t>
  </si>
  <si>
    <t>['semoga', 'argentina', 'menang', 'messi', 'mengakhiri', 'karirnya', 'piala dunia', 'tenang']</t>
  </si>
  <si>
    <t>Babi = Haram üò± Taruhan pildun = (isi sendiri) üôà  btw Argentina dah pasti menang wkkwwk</t>
  </si>
  <si>
    <t>babi haram taruhan pildun isi sendiri btw argentina dah pasti menang wkkwwk</t>
  </si>
  <si>
    <t>['babi', 'haram', 'taruhan', 'piala dunia', 'isi', 'sendiri', 'by the way', 'argentina', 'dah', 'menang', 'wkkwwk']</t>
  </si>
  <si>
    <t>bor, kalo argentina menang update soal pildun gitu üôåüèª</t>
  </si>
  <si>
    <t>bor kalo argentina menang update soal pildun gitu</t>
  </si>
  <si>
    <t>['bor', 'argentina', 'menang', 'update', 'soal', 'piala dunia', 'gitu']</t>
  </si>
  <si>
    <t>Udaah argentina aja menang udah. Prancis kan periode sebelumnya menaang. Ini dah keren baru 1 babak udh 2-0 dah menang dahüí™   Untung ada wifi+subscribe vidio. Jd bisa ngikutin pildun ampe final :")   #InternetnyaIndonesia #AktivitasTanpaBatas #ArgentinaVsFrance  https://t.co/Fk8pCIUnEA</t>
  </si>
  <si>
    <t>udaah argentina aja menang udah prancis kan periode sebelumnya menaang ini dah keren baru babak udh dah menang dah untung ada wifi subscribe vidio bisa ngikutin pildun ampe final</t>
  </si>
  <si>
    <t>['udaah', 'argentina', 'menang', 'udah', 'prancis', 'kan', 'periode', 'sebelumnya', 'menaang', 'dah', 'keren', 'baru', 'babak', 'sudah', 'dah', 'menang', 'dah', 'untung', 'wifi', 'subscribe', 'vidio', 'ngikutin', 'piala dunia', 'sampai', 'final']</t>
  </si>
  <si>
    <t>@Windekind_Budi Dipecat PSG pun kayanya Messi Ga peduli mbah.. yg penting bawa Argentina menang pildun apapun cara dan konsekuensinya</t>
  </si>
  <si>
    <t>budi dipecat psg pun kayanya messi peduli mbah penting bawa argentina menang pildun apapun cara dan konsekuensinya</t>
  </si>
  <si>
    <t>['budi', 'dipecat', 'psg', 'kayanya', 'messi', 'peduli', 'mbah', 'penting', 'bawa', 'argentina', 'menang', 'piala dunia', 'apapun', 'cara', 'konsekuensinya']</t>
  </si>
  <si>
    <t>Udh gantian Argentina yg menang ya, pildun kemaren France udhh, biar adil gantian wkwkwkwk ü•πü•πü•π</t>
  </si>
  <si>
    <t>udh gantian argentina menang pildun kemaren france udhh biar adil gantian wkwkwkwk</t>
  </si>
  <si>
    <t>['sudah', 'gantian', 'argentina', 'menang', 'piala dunia', 'kemarin', 'france', 'udhh', 'adil', 'gantian', 'wkwkwkwk']</t>
  </si>
  <si>
    <t>woii gwehj gasalah pilih argentina, babak 1 aja udah 2-0, bisalahh messi last pildun menangü§©ü§©ü§©</t>
  </si>
  <si>
    <t>woii gwehj gasalah pilih argentina babak aja udah bisalahh messi last pildun menang</t>
  </si>
  <si>
    <t>['woii', 'gwehj', 'gasalah', 'pilih', 'argentina', 'babak', 'udah', 'bisalahh', 'messi', 'last', 'piala dunia', 'menang']</t>
  </si>
  <si>
    <t>Yakin gue emang dari awal pildun Argentina menang, kemauannya tuh tinggi bgt</t>
  </si>
  <si>
    <t>yakin gue emang dari awal pildun argentina menang kemauannya tuh tinggi bgt</t>
  </si>
  <si>
    <t>['yakin', 'gue', 'emang', 'awal', 'piala dunia', 'argentina', 'menang', 'kemauannya', 'tinggi', 'banget']</t>
  </si>
  <si>
    <t>@idextratime Argentina menang haram asu, kasih langsung ae pildun nya ke PESSIUN</t>
  </si>
  <si>
    <t>argentina menang haram asu kasih langsung pildun nya pessiun</t>
  </si>
  <si>
    <t>['argentina', 'menang', 'haram', 'asu', 'kasih', 'langsung', 'piala dunia', 'pessiun']</t>
  </si>
  <si>
    <t>Tapi kalaupun Argentina yang menang, gue gapapa sih. Apalagi Pildun terakhir Messi. Penting bukan Inggris. Kebanyakan omong wkwk. ü§£</t>
  </si>
  <si>
    <t>tapi kalaupun argentina yang menang gue gapapa sih apalagi pildun terakhir messi penting bukan inggris kebanyakan omong wkwk</t>
  </si>
  <si>
    <t>['kalaupun', 'argentina', 'menang', 'gue', 'gapapa', 'piala dunia', 'terakhir', 'messi', 'penting', 'bukan', 'inggris', 'kebanyakan', 'omong']</t>
  </si>
  <si>
    <t>Prediksi sih memang tahun ini Amerika latin soalnya terakhir menang pildun itu brazil 2002 üòÖüòÖjd apakah setelah 20 tahun piala dunia ini Argentina yg menang, jd ditunggu aja semoga</t>
  </si>
  <si>
    <t>prediksi sih memang tahun ini amerika latin soalnya terakhir menang pildun itu brazil apakah setelah tahun piala dunia ini argentina menang ditunggu aja semoga</t>
  </si>
  <si>
    <t>['prediksi', 'memang', 'tahun', 'amerika', 'latin', 'soalnya', 'terakhir', 'menang', 'piala dunia', 'brazil', 'tahun', 'piala', 'dunia', 'argentina', 'menang', 'ditunggu', 'semoga']</t>
  </si>
  <si>
    <t>Pildun 2018 perancis menang. Sekarang fix argentina. The last liga messi sebelum pensiun dahlah apalagi</t>
  </si>
  <si>
    <t>pildun perancis menang sekarang fix argentina the last liga messi sebelum pensiun dahlah apalagi</t>
  </si>
  <si>
    <t>['piala dunia', 'perancis', 'menang', 'sekarang', 'fix', 'argentina', 'the', 'last', 'liga', 'messi', 'pensiun', 'dahlah']</t>
  </si>
  <si>
    <t>Minimal juara pildun 2022 gak sih, Argentinaaaa!! üò≠‚ù§Ô∏è‚Äçüî•  VAMOS ARGENTINAAAAA GUE UDAH NUNGGU LO MENANG 8 TAHUN MENN. SEMOGA INI HARI LO YA BANG MESSI CINTA KASIHKU üò≠üôèüèª  All in Argentina! üò≠ü´∂üèªüá¶üá∑ #ArgentinaVsFrance  https://t.co/0yCvTOlmbd</t>
  </si>
  <si>
    <t>minimal juara pildun gak sih argentinaaaa vamos argentinaaaaa gue udah nunggu menang tahun menn semoga ini hari bang messi cinta kasihku all argentina</t>
  </si>
  <si>
    <t>['minimal', 'juara', 'piala dunia', 'argentinaaaa', 'vamos', 'argentinaaaaa', 'gue', 'udah', 'nunggu', 'menang', 'tahun', 'menn', 'semoga', 'hari', 'bang', 'messi', 'cinta', 'kasihku', 'all', 'argentina']</t>
  </si>
  <si>
    <t>HEYYY SIAPA YANG NONTON PILDUN, AYO HYPE BARENG</t>
  </si>
  <si>
    <t>heyyy siapa yang nonton pildun ayo hype bareng</t>
  </si>
  <si>
    <t>['heyyy', 'siapa', 'nonton', 'piala dunia', 'ayo', 'hype', 'bareng']</t>
  </si>
  <si>
    <t>ga nonton pildun dr awal, tp feel gue knp argentina yg menang ya?</t>
  </si>
  <si>
    <t>nonton pildun awal feel gue knp argentina menang</t>
  </si>
  <si>
    <t>['nonton', 'piala dunia', 'awal', 'feel', 'gue', 'kenapa', 'argentina', 'menang']</t>
  </si>
  <si>
    <t>dah dibilang argentina fix menang pildun</t>
  </si>
  <si>
    <t>['dah', 'dibilang', 'argentina', 'fix', 'menang', 'piala dunia']</t>
  </si>
  <si>
    <t>Banyak yang bilang FRANCIS MENANG tapi aku bilang ARGENTINA juara #pildun #final #francisVSargentina  https://t.co/IfiiKCPQQk</t>
  </si>
  <si>
    <t>banyak yang bilang francis menang tapi aku bilang argentina juara</t>
  </si>
  <si>
    <t>['banyak', 'francis', 'menang', 'aku', 'argentina', 'juara']</t>
  </si>
  <si>
    <t>Makin kenceng ini narasi settingan pildun. Udah lah biar argentina juara dan pag menang ucl. Buat menyudahi drama goat, kambing kambingan</t>
  </si>
  <si>
    <t>makin kenceng ini narasi settingan pildun udah lah biar argentina juara dan pag menang ucl buat menyudahi drama goat kambing kambingan</t>
  </si>
  <si>
    <t>['makin', 'kenceng', 'narasi', 'settingan', 'piala dunia', 'udah', 'lah', 'argentina', 'juara', 'pag', 'menang', 'ucl', 'buat', 'menyudahi', 'drama', 'goat', 'kambing', 'kambingan']</t>
  </si>
  <si>
    <t>SETIDAKNYA KASIH LIAT VAR LAH anjinggg bener2 sakjiw bgt pildun kali ini kalo argentina menang</t>
  </si>
  <si>
    <t>setidaknya kasih liat var lah anjinggg bener sakjiw bgt pildun kali ini kalo argentina menang</t>
  </si>
  <si>
    <t>['kasih', 'lihat', 'var', 'lah', 'anjinggg', 'benar', 'sakjiw', 'banget', 'piala dunia', 'kali', 'argentina', 'menang']</t>
  </si>
  <si>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</si>
  <si>
    <t>sepupu pada pasang taruhan coki besok terakhir kerja hiks sedihnya pending dulu mari hura hura pildun nobar pildun temanin suara bacot latto latto punya keponakan dan terompet argentina menang hayukkk udh</t>
  </si>
  <si>
    <t>['sepupu', 'pasang', 'taruhan', 'coki', 'besok', 'terakhir', 'kerja', 'hiks', 'sedihnya', 'pending', 'dulu', 'hura', 'hura', 'piala dunia', 'nonton bareng', 'piala dunia', 'temanin', 'suara', 'bacot', 'latto', 'latto', 'punya', 'keponakan', 'terompet', 'argentina', 'menang', 'hayukkk', 'sudah']</t>
  </si>
  <si>
    <t>hayo prancis vs argentina menang siapa.... asli ini pildun plot twist bgt wkwkwk walaupun gak pernah ngikutin langsung cuma liat di berita</t>
  </si>
  <si>
    <t>hayo prancis argentina menang siapa asli ini pildun plot twist bgt wkwkwk walaupun gak pernah ngikutin langsung cuma liat berita</t>
  </si>
  <si>
    <t>['hayo', 'prancis', 'argentina', 'menang', 'siapa', 'asli', 'piala dunia', 'plot', 'twist', 'banget', 'wkwkwk', 'walaupun', 'pernah', 'ngikutin', 'langsung', 'cuma', 'lihat', 'berita']</t>
  </si>
  <si>
    <t>Nnton final pildun karna apa.  Prancis menang ‚ùå Argentina menang ‚ùå Karena pemain real Madrid ‚úÖ</t>
  </si>
  <si>
    <t>nnton final pildun karna apa prancis menang argentina menang karena pemain real madrid</t>
  </si>
  <si>
    <t>['nnton', 'final', 'piala dunia', 'karna', 'apa', 'prancis', 'menang', 'argentina', 'menang', 'pemain', 'real', 'madrid']</t>
  </si>
  <si>
    <t>Argentina harus juara sih ini krn stadionnya penuh banget sama supporter mereka. Ditambah satu dunia juga dukung messi buat menang pildun.</t>
  </si>
  <si>
    <t>argentina harus juara sih ini krn stadionnya penuh banget sama supporter mereka ditambah satu dunia juga dukung messi buat menang pildun</t>
  </si>
  <si>
    <t>['argentina', 'juara', 'stadionnya', 'penuh', 'banget', 'sama', 'supporter', 'ditambah', 'satu', 'dunia', 'dukung', 'messi', 'buat', 'menang', 'piala dunia']</t>
  </si>
  <si>
    <t>pildun siapa yang menang ??  me : argentina</t>
  </si>
  <si>
    <t>pildun siapa yang menang argentina</t>
  </si>
  <si>
    <t>['piala dunia', 'siapa', 'menang', 'argentina']</t>
  </si>
  <si>
    <t>@dprayoga011 Ahahaha ga ngikutin pildun üò© nunggu info aja ya.  Kasi tau aja nanti yg menang prancis atau argentina.  Eh bener ga?  Hahaha</t>
  </si>
  <si>
    <t>ahahaha ngikutin pildun nunggu info aja kasi tau aja nanti menang prancis atau argentina bener hahaha</t>
  </si>
  <si>
    <t>['ahahaha', 'ngikutin', 'piala dunia', 'nunggu', 'info', 'kasi', 'menang', 'prancis', 'argentina', 'benar', 'hahaha']</t>
  </si>
  <si>
    <t>FINAL PILDUN!!! Tahun ini siapa ya sek menang? Argentina atau Prancis?</t>
  </si>
  <si>
    <t>final pildun tahun ini siapa sek menang argentina atau prancis</t>
  </si>
  <si>
    <t>['final', 'piala dunia', 'tahun', 'siapa', 'sek', 'menang', 'argentina', 'prancis']</t>
  </si>
  <si>
    <t>/sv taruhan final pildun yuk klo argentina menang kamu jd pacar aku tp klo perancis yg menang aku jd pacar kamu deh  https://t.co/mslr27K2XJ</t>
  </si>
  <si>
    <t>taruhan final pildun yuk klo argentina menang kamu pacar aku klo perancis menang aku pacar kamu deh</t>
  </si>
  <si>
    <t>['taruhan', 'final', 'piala dunia', 'yuk', 'argentina', 'menang', 'kamu', 'pacar', 'aku', 'perancis', 'menang', 'aku', 'pacar', 'kamu', 'deh']</t>
  </si>
  <si>
    <t>Yuukk bisa yuukk Argentina. Dah bosen nih liat Perancis menang pildun.</t>
  </si>
  <si>
    <t>yuukk bisa yuukk argentina dah bosen nih liat perancis menang pildun</t>
  </si>
  <si>
    <t>['yuukk', 'yuukk', 'argentina', 'dah', 'bosen', 'lihat', 'perancis', 'menang', 'piala dunia']</t>
  </si>
  <si>
    <t>@CoachJustinL Kalau argentina menang sih berarti EA sport fifa (game) bisa menebak juara pildun dari 2010 sampe 2022 dong keren prediksinya atau mungkin EA tau info dari mafia ü§î.  Tapi semoga france menang kalau bisa menang pinalti lebih seru tapi jang</t>
  </si>
  <si>
    <t>kalau argentina menang sih berarti sport fifa game bisa menebak juara pildun dari sampe dong keren prediksinya atau mungkin tau info dari mafia tapi semoga france menang kalau bisa menang pinalti lebih seru tapi jang</t>
  </si>
  <si>
    <t>['kalau', 'argentina', 'menang', 'berarti', 'sport', 'fifa', 'game', 'menebak', 'juara', 'piala dunia', 'sampai', 'dong', 'keren', 'prediksinya', 'mungkin', 'info', 'mafia', 'semoga', 'france', 'menang', 'kalau', 'menang', 'penalti', 'lebih', 'seru', 'jang']</t>
  </si>
  <si>
    <t>Taruhan pildun kalo Argentina menang kamu pacarin aku tapi kalo Prancis menang aku pacarin kamu</t>
  </si>
  <si>
    <t>taruhan pildun kalo argentina menang kamu pacarin aku tapi kalo prancis menang aku pacarin kamu</t>
  </si>
  <si>
    <t>['taruhan', 'piala dunia', 'argentina', 'menang', 'kamu', 'pacarin', 'aku', 'prancis', 'menang', 'aku', 'pacarin', 'kamu']</t>
  </si>
  <si>
    <t>main pes buat ramal pildun pake argentina (com) vs prancis (com) dengan status pemain on fire semua tadi sih argentina menang 2-1  tapi gatau yak wkwkwk</t>
  </si>
  <si>
    <t>main pes buat ramal pildun pake argentina com prancis com dengan status pemain fire semua tadi sih argentina menang tapi gatau yak wkwkwk</t>
  </si>
  <si>
    <t>['main', 'pes', 'buat', 'ramal', 'piala dunia', 'pake', 'argentina', 'com', 'prancis', 'com', 'status', 'pemain', 'fire', 'semua', 'tadi', 'argentina', 'menang', 'gatau', 'yak', 'wkwkwk']</t>
  </si>
  <si>
    <t>konon katanya malem ini argentina menang pildun</t>
  </si>
  <si>
    <t>['konon', 'katanya', 'malem', 'argentina', 'menang', 'piala dunia']</t>
  </si>
  <si>
    <t>@Siiti Khusus nobar final pildun aja biar bisa gua peluk kalo Argentina menang.</t>
  </si>
  <si>
    <t>khusus nobar final pildun aja biar bisa gua peluk kalo argentina menang</t>
  </si>
  <si>
    <t>['khusus', 'nonton bareng', 'final', 'piala dunia', 'gua', 'peluk', 'argentina', 'menang']</t>
  </si>
  <si>
    <t>Dr awal pildun dukung prancis tp feeling argentina yg menang wkwk gmna yaüòÖ</t>
  </si>
  <si>
    <t>awal pildun dukung prancis feeling argentina menang wkwk gmna</t>
  </si>
  <si>
    <t>['awal', 'piala dunia', 'dukung', 'prancis', 'feeling', 'argentina', 'menang', 'gmna']</t>
  </si>
  <si>
    <t>argentina menang pildun yedam nongol</t>
  </si>
  <si>
    <t>['argentina', 'menang', 'piala dunia', 'yedam', 'nongol']</t>
  </si>
  <si>
    <t>Waahhh final pildun, tp aku ngantuk. Yh semoga menang argentina yha</t>
  </si>
  <si>
    <t>waahhh final pildun aku ngantuk semoga menang argentina yha</t>
  </si>
  <si>
    <t>['waahhh', 'final', 'piala dunia', 'aku', 'ngantuk', 'semoga', 'menang', 'argentina', 'yha']</t>
  </si>
  <si>
    <t>asli dah gue td nonton berita juga katanya banyak yg pengen argentina menang, bukan karna mereka dukung argentinanya tp karna mereka pengen liat messi menang bawa piala pildun sebelum blio pensiun</t>
  </si>
  <si>
    <t>asli dah gue nonton berita juga katanya banyak pengen argentina menang bukan karna mereka dukung argentinanya karna mereka pengen liat messi menang bawa piala pildun sebelum blio pensiun</t>
  </si>
  <si>
    <t>['asli', 'dah', 'gue', 'nonton', 'berita', 'katanya', 'banyak', 'pengen', 'argentina', 'menang', 'bukan', 'karna', 'dukung', 'argentinanya', 'karna', 'pengen', 'lihat', 'messi', 'menang', 'bawa', 'piala', 'piala dunia', 'blio', 'pensiun']</t>
  </si>
  <si>
    <t>Taruhan sm suami siapa yg menang pildun. Bukan taruhan duit si. trus gue kan ga ikutin sm sekali ni dari awal. Asal aja gue megang argentina. Bener ga si pilihan gue hahaha</t>
  </si>
  <si>
    <t>taruhan suami siapa menang pildun bukan taruhan duit trus gue kan ikutin sekali dari awal asal aja gue megang argentina bener pilihan gue hahaha</t>
  </si>
  <si>
    <t>['taruhan', 'suami', 'siapa', 'menang', 'piala dunia', 'bukan', 'taruhan', 'duit', 'trus', 'gue', 'kan', 'ikutin', 'sekali', 'awal', 'asal', 'gue', 'megang', 'argentina', 'benar', 'pilihan', 'gue', 'hahaha']</t>
  </si>
  <si>
    <t>@anrasar tebak saha nu menang pildun? Aing Argentina Nu bener traktir ayce</t>
  </si>
  <si>
    <t>tebak saha menang pildun aing argentina bener traktir ayce</t>
  </si>
  <si>
    <t>['tebak', 'saha', 'menang', 'piala dunia', 'aing', 'argentina', 'benar', 'traktir', 'ayce']</t>
  </si>
  <si>
    <t>Mantab, megang persib nu aing atuh buat pildun Winning Elepen üòÅ  Bingung euy mau megang Perancis apa Argentina. Mending pegang yg menang aja lah biar ga salah. üëç</t>
  </si>
  <si>
    <t>mantab megang persib aing atuh buat pildun winning elepen bingung euy mau megang perancis apa argentina mending pegang menang aja lah biar salah</t>
  </si>
  <si>
    <t>['mantab', 'megang', 'persib', 'aing', 'atuh', 'buat', 'piala dunia', 'winning', 'elepen', 'bingung', 'euy', 'mau', 'megang', 'perancis', 'apa', 'argentina', 'mending', 'pegang', 'menang', 'lah', 'salah']</t>
  </si>
  <si>
    <t>Argentina harus menang pildun kali iniüò´üëçüèº</t>
  </si>
  <si>
    <t>argentina harus menang pildun kali ini</t>
  </si>
  <si>
    <t>['argentina', 'menang', 'piala dunia', 'kali']</t>
  </si>
  <si>
    <t>Jayy kan nanti mau nonton pildun,kamu pegang siapa??? Klo argentina menang kamu yang harus jadi pacarku,tapi klo prancis menang aku yang harus jadi pacarmu</t>
  </si>
  <si>
    <t>jayy kan nanti mau nonton pildun kamu pegang siapa klo argentina menang kamu yang harus jadi pacarku tapi klo prancis menang aku yang harus jadi pacarmu</t>
  </si>
  <si>
    <t>['jayy', 'kan', 'mau', 'nonton', 'piala dunia', 'kamu', 'pegang', 'siapa', 'argentina', 'menang', 'kamu', 'jadi', 'pacarku', 'prancis', 'menang', 'aku', 'jadi', 'pacarmu']</t>
  </si>
  <si>
    <t>Di era sepak bola modern, belum ada yang juara back to back pildun. Agak ragu Prancis bisa menang, tapi gak rela juga kalau Argentina menang. Tapi bola itu bundar, bismillah bang jirut obrak-abrik Martinezüôèüá´üá∑</t>
  </si>
  <si>
    <t>era sepak bola modern belum ada yang juara back back pildun agak ragu prancis bisa menang tapi gak rela juga kalau argentina menang tapi bola itu bundar bismillah bang jirut obrak abrik martinez</t>
  </si>
  <si>
    <t>['era', 'sepak', 'bola', 'modern', 'juara', 'back', 'back', 'piala dunia', 'ragu', 'prancis', 'menang', 'rela', 'kalau', 'argentina', 'menang', 'bola', 'bundar', 'bismillah', 'bang', 'jirut', 'obrak', 'abrik', 'martinez']</t>
  </si>
  <si>
    <t>Lawan terberat Argentina bukanlah Perancis... Tapi mereka yang mendengungkan adanya konspirasi FIFA untuk memuluskan Argentina meraih Pildun 2022 di akhir masa pengabdian Messi di Timnas Argentina... Menang ibarat "membenarkan" adanya konspirasi... Mudah-mudahan adu pinalti!!!</t>
  </si>
  <si>
    <t>lawan terberat argentina bukanlah perancis tapi mereka yang mendengungkan adanya konspirasi fifa untuk memuluskan argentina meraih pildun akhir masa pengabdian messi timnas argentina menang ibarat membenarkan adanya konspirasi mudah mudahan adu pinalti</t>
  </si>
  <si>
    <t>['lawan', 'terberat', 'argentina', 'bukanlah', 'perancis', 'mendengungkan', 'adanya', 'konspirasi', 'fifa', 'memuluskan', 'argentina', 'meraih', 'piala dunia', 'akhir', 'masa', 'pengabdian', 'messi', 'timnas', 'argentina', 'menang', 'ibarat', 'membenarkan', 'adanya', 'konspirasi', 'mudah', 'mudahan', 'adu', 'penalti']</t>
  </si>
  <si>
    <t>Diajak taruhan sama gemini pildun, ARGENTINA bisa yok menang biar gw menang</t>
  </si>
  <si>
    <t>diajak taruhan sama gemini pildun argentina bisa yok menang biar menang</t>
  </si>
  <si>
    <t>['diajak', 'taruhan', 'sama', 'gemini', 'piala dunia', 'argentina', 'yok', 'menang', 'menang']</t>
  </si>
  <si>
    <t>Hati ingin menonton pildun tetapi otak ingin argentina menang</t>
  </si>
  <si>
    <t>hati ingin menonton pildun tetapi otak ingin argentina menang</t>
  </si>
  <si>
    <t>['hati', 'menonton', 'piala dunia', 'otak', 'argentina', 'menang']</t>
  </si>
  <si>
    <t>Bismillah ing pildun menang okeh Argentina menang yok gaske</t>
  </si>
  <si>
    <t>bismillah ing pildun menang okeh argentina menang yok gaske</t>
  </si>
  <si>
    <t>['bismillah', 'ing', 'piala dunia', 'menang', 'okeh', 'argentina', 'menang', 'yok', 'gaske']</t>
  </si>
  <si>
    <t>Temen bilang bangunin gue kalo argentina menang pildun Orangnya ga bangun bangun Soalnya argentinanya kaga menang  üò≠üò≠üò≠üò≠üò≠üò≠üò≠üò≠üò≠üò≠üò≠üòÇ</t>
  </si>
  <si>
    <t>temen bilang bangunin gue kalo argentina menang pildun orangnya bangun bangun soalnya argentinanya kaga menang</t>
  </si>
  <si>
    <t>['temen', 'bangunin', 'gue', 'argentina', 'menang', 'piala dunia', 'orangnya', 'bangun', 'bangun', 'soalnya', 'argentinanya', 'kaga', 'menang']</t>
  </si>
  <si>
    <t>dari awal pildun siswaku tanya "menurut ibu siapa Juara?" aku bilang "Argentina sih" tanpa tau alasan nya nyeletuk aja argentina ternyata beneran masuk Final masih berharap nihhhh menang wkwkwk</t>
  </si>
  <si>
    <t>dari awal pildun siswaku tanya menurut ibu siapa juara aku bilang argentina sih tanpa tau alasan nya nyeletuk aja argentina ternyata beneran masuk final masih berharap nihhhh menang wkwkwk</t>
  </si>
  <si>
    <t>['awal', 'piala dunia', 'siswaku', 'tanya', 'ibu', 'siapa', 'juara', 'aku', 'argentina', 'alasan', 'nyeletuk', 'argentina', 'ternyata', 'beneran', 'masuk', 'final', 'berharap', 'nihhhh', 'menang', 'wkwkwk']</t>
  </si>
  <si>
    <t>Taruhan yuk pildun. Kalo Argentina menang aku tidur sama kamu, kalo Prancis menang kamu tidur sama aku. Ytta</t>
  </si>
  <si>
    <t>taruhan yuk pildun kalo argentina menang aku tidur sama kamu kalo prancis menang kamu tidur sama aku ytta</t>
  </si>
  <si>
    <t>['taruhan', 'yuk', 'piala dunia', 'argentina', 'menang', 'aku', 'tidur', 'sama', 'kamu', 'prancis', 'menang', 'kamu', 'tidur', 'sama', 'aku', 'ytta']</t>
  </si>
  <si>
    <t>Mau liat Argentina menang biar Messi bisa pensiun dgn tenang.. Tpi mau liat Prancis menang juga. Secara udh lama banget ngga liat negara menang 2 kali berturut¬≤ di pildun ü•π‚ù§Ô∏è</t>
  </si>
  <si>
    <t>mau liat argentina menang biar messi bisa pensiun dgn tenang tpi mau liat prancis menang juga secara udh lama banget ngga liat negara menang kali berturut pildun</t>
  </si>
  <si>
    <t>['mau', 'lihat', 'argentina', 'menang', 'messi', 'pensiun', 'tenang', 'tpi', 'mau', 'lihat', 'prancis', 'menang', 'sudah', 'lama', 'banget', 'ngga', 'lihat', 'negara', 'menang', 'kali', 'berturut', 'piala dunia']</t>
  </si>
  <si>
    <t>Arisan pildun dapet Prancis. Masuk final, ketemu Argentina. Brarti tinggal nyari taruhan lagi yang mau megang Prancis dan aku Argentina. Taruhan dengan modal awal arisan. Kalo Prancis menang, untung banyak. Kalo Argentina menang, bakbuk. Sebuah trik berjudi yang cerdas üòõüòõ</t>
  </si>
  <si>
    <t>arisan pildun dapet prancis masuk final ketemu argentina brarti tinggal nyari taruhan lagi yang mau megang prancis dan aku argentina taruhan dengan modal awal arisan kalo prancis menang untung banyak kalo argentina menang bakbuk sebuah trik berjudi yang cerdas</t>
  </si>
  <si>
    <t>['arisan', 'piala dunia', 'dapat', 'prancis', 'masuk', 'final', 'ketemu', 'argentina', 'brarti', 'tinggal', 'nyari', 'taruhan', 'mau', 'megang', 'prancis', 'aku', 'argentina', 'taruhan', 'modal', 'awal', 'arisan', 'prancis', 'menang', 'untung', 'banyak', 'argentina', 'menang', 'bakbuk', 'sebuah', 'trik', 'berjudi', 'cerdas']</t>
  </si>
  <si>
    <t>Argentina menang pildun</t>
  </si>
  <si>
    <t>Sok-sokan nganalisis final pildun Argentina x Perancis  Bisa Argentina, bisa juga Perancis yang menang. Atau sebaliknya. Tapi kemungkinan besar salah satunya menang.</t>
  </si>
  <si>
    <t>sok sokan nganalisis final pildun argentina perancis bisa argentina bisa juga perancis yang menang atau sebaliknya tapi kemungkinan besar salah satunya menang</t>
  </si>
  <si>
    <t>['sok', 'sokan', 'nganalisis', 'final', 'piala dunia', 'argentina', 'perancis', 'argentina', 'perancis', 'menang', 'sebaliknya', 'kemungkinan', 'besar', 'salah', 'satunya', 'menang']</t>
  </si>
  <si>
    <t>Info nobar pildun sing pertandingan e Argentina sing menang</t>
  </si>
  <si>
    <t>info nobar pildun sing pertandingan argentina sing menang</t>
  </si>
  <si>
    <t>['info', 'nonton bareng', 'piala dunia', 'sing', 'pertandingan', 'argentina', 'sing', 'menang']</t>
  </si>
  <si>
    <t>Argentina menang pildun, gua kayang</t>
  </si>
  <si>
    <t>argentina menang pildun gua kayang</t>
  </si>
  <si>
    <t>['argentina', 'menang', 'piala dunia', 'gua', 'kayang']</t>
  </si>
  <si>
    <t>sumuk bgt ges.. opo iki mergo akune sng rung adus telong dina,, opo iki tanda2 Argentina meh menang pildun 2022 üôèüèª</t>
  </si>
  <si>
    <t>sumuk bgt ges opo iki mergo akune sng rung adus telong dina opo iki tanda argentina meh menang pildun</t>
  </si>
  <si>
    <t>['sumuk', 'banget', 'guys', 'opo', 'iki', 'mergo', 'akune', 'sng', 'rung', 'adus', 'telong', 'dina', 'opo', 'iki', 'tanda', 'argentina', 'meh', 'menang', 'piala dunia']</t>
  </si>
  <si>
    <t>Final pildun nanti pegang Argentina walaupun Perancis masih jago banget dan mungkin menang lagi buat pertahanin juara ü•≤ cuman berharap klo kalah semoga kaga dibantai deh wkwk soalnya tarohan di skor2an gol ü•≤</t>
  </si>
  <si>
    <t>final pildun nanti pegang argentina walaupun perancis masih jago banget dan mungkin menang lagi buat pertahanin juara cuman berharap klo kalah semoga kaga dibantai deh wkwk soalnya tarohan skor gol</t>
  </si>
  <si>
    <t>['final', 'piala dunia', 'pegang', 'argentina', 'walaupun', 'perancis', 'jago', 'banget', 'mungkin', 'menang', 'buat', 'pertahanin', 'juara', 'cuman', 'berharap', 'kalah', 'semoga', 'kaga', 'dibantai', 'deh', 'soalnya', 'tarohan', 'skor', 'gol']</t>
  </si>
  <si>
    <t>Taruhan yo! Siapa bakal menang pildun 2022 hari ini ,  gw pegang argentina üá¶üá∑</t>
  </si>
  <si>
    <t>taruhan siapa bakal menang pildun hari ini pegang argentina</t>
  </si>
  <si>
    <t>['taruhan', 'siapa', 'bakal', 'menang', 'piala dunia', 'hari', 'pegang', 'argentina']</t>
  </si>
  <si>
    <t>listrik nyala dong mo nobar pildun sekaligus mo liat argentina menang</t>
  </si>
  <si>
    <t>listrik nyala dong nobar pildun sekaligus liat argentina menang</t>
  </si>
  <si>
    <t>['listrik', 'nyala', 'dong', 'nonton bareng', 'piala dunia', 'sekaligus', 'lihat', 'argentina', 'menang']</t>
  </si>
  <si>
    <t>MAU PRANCIS ATAU ARGENTINA YANG MENANG TETEP QATAR YANG AKAN JADI JUARA. SELENGKAPNYA NONTON DI PILDUN FC!  https://t.co/Xka6aFYAD7</t>
  </si>
  <si>
    <t>mau prancis atau argentina yang menang tetep qatar yang akan jadi juara selengkapnya nonton pildun</t>
  </si>
  <si>
    <t>['mau', 'prancis', 'argentina', 'menang', 'tetep', 'qatar', 'jadi', 'juara', 'selengkapnya', 'nonton', 'piala dunia']</t>
  </si>
  <si>
    <t>Pildun FC: Argentina vs Prancis, yang menang Qatar  Messi dan Mbapp√©, bintang Argentina dan Prancis, main buat PSG yang notabene dimiliki oleh Qatar. Jadi apakah apapun hasilnya tetap Qatar yang juara?  Bareng @podcastretropus nonton di Spotify!   https://t.co/Of63DEJBqV  https://t.co/AecJqc29Ms</t>
  </si>
  <si>
    <t>pildun argentina prancis yang menang qatar messi dan mbapp bintang argentina dan prancis main buat psg yang notabene dimiliki oleh qatar jadi apakah apapun hasilnya tetap qatar yang juara bareng nonton spotify</t>
  </si>
  <si>
    <t>['piala dunia', 'argentina', 'prancis', 'menang', 'qatar', 'messi', 'mbapp', 'bintang', 'argentina', 'prancis', 'main', 'buat', 'psg', 'notabene', 'dimiliki', 'qatar', 'jadi', 'apapun', 'hasilnya', 'tetap', 'qatar', 'juara', 'bareng', 'nonton', 'spotify']</t>
  </si>
  <si>
    <t>WOI AKU SEWA SAMA PAPA BUAT PILDUN TOLONG ARGENTINA MENANG BIAR AKU UNTUNG üò≠üëçüèª</t>
  </si>
  <si>
    <t>woi aku sewa sama papa buat pildun tolong argentina menang biar aku untung</t>
  </si>
  <si>
    <t>['aku', 'sewa', 'sama', 'papa', 'buat', 'piala dunia', 'argentina', 'menang', 'aku', 'untung']</t>
  </si>
  <si>
    <t>Argentina menang buat pildun kali ini üèÜ</t>
  </si>
  <si>
    <t>argentina menang buat pildun kali ini</t>
  </si>
  <si>
    <t>['argentina', 'menang', 'buat', 'piala dunia', 'kali']</t>
  </si>
  <si>
    <t>@cakimiNOW Prancis (1) - Argentina (1), adu pinalty Argentina menang, juara pildun 2022 #ArgentinaVsFrance #Argentina #gusmuhaimin</t>
  </si>
  <si>
    <t>prancis argentina adu pinalty argentina menang juara pildun</t>
  </si>
  <si>
    <t>['prancis', 'argentina', 'adu', 'pinalty', 'argentina', 'menang', 'juara', 'piala dunia']</t>
  </si>
  <si>
    <t>gue bukan pildun enjoyer, tapi semoga argentina menang. biar author au favorite gue mau post update-annya T___T</t>
  </si>
  <si>
    <t>gue bukan pildun enjoyer tapi semoga argentina menang biar author favorite gue mau post update annya</t>
  </si>
  <si>
    <t>['gue', 'bukan', 'piala dunia', 'enjoyer', 'semoga', 'argentina', 'menang', 'author', 'favorite', 'gue', 'mau', 'post', 'update', 'annya']</t>
  </si>
  <si>
    <t>@lakstala Aku pernah waktu pildun 2014 jagoin argentina eh yang menang jerman. Taun ini kira kira argentina menang ga ya</t>
  </si>
  <si>
    <t>aku pernah waktu pildun jagoin argentina yang menang jerman taun ini kira kira argentina menang</t>
  </si>
  <si>
    <t>['aku', 'pernah', 'waktu', 'piala dunia', 'jagoin', 'argentina', 'menang', 'jerman', 'taun', 'kira', 'kira', 'argentina', 'menang']</t>
  </si>
  <si>
    <t>Argentina menang pildun min gue udah senangüòÇ</t>
  </si>
  <si>
    <t>argentina menang pildun min gue udah senang</t>
  </si>
  <si>
    <t>['argentina', 'menang', 'piala dunia', 'min', 'gue', 'udah', 'senang']</t>
  </si>
  <si>
    <t>Gue bagitau kalian dulu ya, ga akan menang itu Argentina sama Pildun itu.</t>
  </si>
  <si>
    <t>gue bagitau kalian dulu akan menang itu argentina sama pildun itu</t>
  </si>
  <si>
    <t>['gue', 'bagitau', 'kalian', 'dulu', 'menang', 'argentina', 'sama', 'piala dunia']</t>
  </si>
  <si>
    <t>@tanyakanrl Argentina karna w ikut arisan pildun Menang kek</t>
  </si>
  <si>
    <t>argentina karna ikut arisan pildun menang kek</t>
  </si>
  <si>
    <t>['argentina', 'karna', 'ikut', 'arisan', 'piala dunia', 'menang', 'kek']</t>
  </si>
  <si>
    <t>@BesokLi81614742 @menherraa @idextratime arab mngkn diremehkan tp apa? argentina aja keok, polandia sm meksiko lu blg mudah? ochoa tuh kiper  spesialis pildun bro, szczesny jg sring gg klo di timnasnya, blm lg pemain lain, lewy yg hrusnya menang balloon d</t>
  </si>
  <si>
    <t>arab mngkn diremehkan apa argentina aja keok polandia meksiko blg mudah ochoa tuh kiper spesialis pildun bro szczesny sring klo timnasnya blm pemain lain lewy hrusnya menang balloon</t>
  </si>
  <si>
    <t>['arab', 'mngkn', 'diremehkan', 'apa', 'argentina', 'keok', 'polandia', 'meksiko', 'blg', 'mudah', 'ochoa', 'kiper', 'spesialis', 'piala dunia', 'bro', 'szczesny', 'sring', 'timnasnya', 'blm', 'pemain', 'lewy', 'hrusnya', 'menang', 'balloon']</t>
  </si>
  <si>
    <t>@aswanreiga @idextratime Yang all in argen juga rungkad kok bang yg menang bandar judi</t>
  </si>
  <si>
    <t>yang all argen juga rungkad kok bang menang bandar judi</t>
  </si>
  <si>
    <t>['all', 'argen', 'rungkad', 'kok', 'bang', 'menang', 'bandar', 'judi']</t>
  </si>
  <si>
    <t>@YedamieUdami Maygadd berarti kmrn pas argen menang kak wil merayakan yak spt yedam üò± wkwk apaka skrng balik ke messi lg dan ninggalin kpop üëÄ</t>
  </si>
  <si>
    <t>maygadd berarti kmrn pas argen menang kak wil merayakan yak spt yedam wkwk apaka skrng balik messi dan ninggalin kpop</t>
  </si>
  <si>
    <t>['maygadd', 'berarti', 'kmrn', 'pas', 'argen', 'menang', 'kak', 'wil', 'merayakan', 'yak', 'spt', 'yedam', 'apaka', 'skrng', 'balik', 'messi', 'ninggalin', 'kpop']</t>
  </si>
  <si>
    <t>Memang nasib nya Lau aja ga dapet gol di qatar (padahal bisa tuh pas lawan Saudi, cuma anulir) Tapi seenggaknya Lau bantu (banget) bawa argen lah melalui qualifier, jadinya argen bisa masuk dan juara deh di World Cup 2022.. Semua senang, semua menang..</t>
  </si>
  <si>
    <t>memang nasib nya lau aja dapet gol qatar padahal bisa tuh pas lawan saudi cuma anulir tapi seenggaknya lau bantu banget bawa argen lah melalui qualifier jadinya argen bisa masuk dan juara deh world cup semua senang semua menang</t>
  </si>
  <si>
    <t>['memang', 'nasib', 'lau', 'dapat', 'gol', 'qatar', 'padahal', 'pas', 'lawan', 'saudi', 'cuma', 'anulir', 'seenggaknya', 'lau', 'bantu', 'banget', 'bawa', 'argen', 'lah', 'melalui', 'qualifier', 'jadinya', 'argen', 'masuk', 'juara', 'deh', 'world', 'cup', 'semua', 'senang', 'semua', 'menang']</t>
  </si>
  <si>
    <t>@setiaonebudhi @idextratime Bukan terkesan bang, tp yang emang murni tolol dr awal itumah wkwk. Sama kek fans Messi, sejak Argen menang kedua fans R ama M yang rada¬≤ itu banyak muncul wkwk</t>
  </si>
  <si>
    <t>bukan terkesan bang yang emang murni tolol awal itumah wkwk sama kek fans messi sejak argen menang kedua fans ama yang rada itu banyak muncul wkwk</t>
  </si>
  <si>
    <t>['bukan', 'terkesan', 'bang', 'emang', 'murni', 'tolol', 'awal', 'itumah', 'sama', 'kek', 'fans', 'messi', 'sejak', 'argen', 'menang', 'kedua', 'fans', 'ama', 'rada', 'banyak', 'muncul']</t>
  </si>
  <si>
    <t>Jir otak gua, muter laguu "Kylian Mbape" "Ngolo Kante...." "Maestro Kipembe, Kipembe..." dari semenjak Argen menang pildun :)</t>
  </si>
  <si>
    <t>jir otak gua muter laguu kylian mbape ngolo kante maestro kipembe kipembe dari semenjak argen menang pildun</t>
  </si>
  <si>
    <t>['jir', 'otak', 'gua', 'muter', 'laguu', 'kylian', 'mbape', 'ngolo', 'kante', 'maestro', 'kipembe', 'kipembe', 'semenjak', 'argen', 'menang', 'piala dunia']</t>
  </si>
  <si>
    <t>@joel_lynx @frozenyogirI Bkan, mksd gw bukti tebakan dia apa buat argen bsa menang</t>
  </si>
  <si>
    <t>lynx bkan mksd bukti tebakan dia apa buat argen bsa menang</t>
  </si>
  <si>
    <t>['lynx', 'bkan', 'mksd', 'bukti', 'tebakan', 'apa', 'buat', 'argen', 'bsa', 'menang']</t>
  </si>
  <si>
    <t>@Y59753211 @YudddSkieee29 @SiaranBolaLive Lah ngapain berandai2 argen kalah orang faktanya udh menang wkwk</t>
  </si>
  <si>
    <t>lah ngapain berandai argen kalah orang faktanya udh menang wkwk</t>
  </si>
  <si>
    <t>['lah', 'ngapain', 'berandai', 'argen', 'kalah', 'orang', 'faktanya', 'sudah', 'menang']</t>
  </si>
  <si>
    <t>btw argen udah menang, perasaanku blum</t>
  </si>
  <si>
    <t>btw argen udah menang perasaanku blum</t>
  </si>
  <si>
    <t>['by the way', 'argen', 'udah', 'menang', 'perasaanku', 'blum']</t>
  </si>
  <si>
    <t>@Rocky13115442 @SiaranBolaLive Lah buat apa masyarakat argen ngehujat pemain prancis, yg jelas¬≤ argen menang, lu buka dah tuh akun coman sama cuameni liat kolom komentar, buka profile, orang¬≤ eropa yg ngehujatü§£ wkwkw lawak lu</t>
  </si>
  <si>
    <t>lah buat apa masyarakat argen ngehujat pemain prancis jelas argen menang buka dah tuh akun coman sama cuameni liat kolom komentar buka profile orang eropa ngehujat wkwkw lawak</t>
  </si>
  <si>
    <t>['lah', 'buat', 'apa', 'masyarakat', 'argen', 'ngehujat', 'pemain', 'prancis', 'jelas', 'argen', 'menang', 'buka', 'dah', 'akun', 'coman', 'sama', 'cuameni', 'lihat', 'kolom', 'komentar', 'buka', 'profile', 'orang', 'eropa', 'ngehujat', 'wkwkw', 'lawak']</t>
  </si>
  <si>
    <t>@aprakooso kenapasyi kawan? argen udh menang masi marah aja :(</t>
  </si>
  <si>
    <t>kenapasyi kawan argen udh menang masi marah aja</t>
  </si>
  <si>
    <t>['kenapasyi', 'kawan', 'argen', 'sudah', 'menang', 'masi', 'marah']</t>
  </si>
  <si>
    <t>@mlzmfkf Oiya argen gw menang yakk, yuk sekalian bercengkrama</t>
  </si>
  <si>
    <t>oiya argen menang yakk yuk sekalian bercengkrama</t>
  </si>
  <si>
    <t>['oiya', 'argen', 'menang', 'yakk', 'yuk', 'sekalian', 'bercengkrama']</t>
  </si>
  <si>
    <t>Fens cr udah benar2 gila, kaga terima kalo argen menangüòÇüòÇ</t>
  </si>
  <si>
    <t>fens udah benar gila kaga terima kalo argen menang</t>
  </si>
  <si>
    <t>['fens', 'udah', 'benar', 'gila', 'kaga', 'terima', 'argen', 'menang']</t>
  </si>
  <si>
    <t>@bii_ava @fachri_azhari @SiaranBolaLive pas prancis menang pildun 2018 dan 1 tim ngecengin messi emangnya messi/argen baper? kocak lo manusia.</t>
  </si>
  <si>
    <t>ava azhari pas prancis menang pildun dan tim ngecengin messi emangnya messi argen baper kocak manusia</t>
  </si>
  <si>
    <t>['ava', 'azhari', 'pas', 'prancis', 'menang', 'piala dunia', 'tim', 'ngecengin', 'messi', 'emangnya', 'messi', 'argen', 'bawa perasaan', 'kocak', 'manusia']</t>
  </si>
  <si>
    <t>@Adibalanshori21 @randomrandomn_ @idextratime @GFFN goblok, dimaria kaga diving tolol. kalo diitung tanpa penalty argen menang telak 2-1 blok</t>
  </si>
  <si>
    <t>goblok dimaria kaga diving tolol kalo diitung tanpa penalty argen menang telak blok</t>
  </si>
  <si>
    <t>['goblok', 'dimaria', 'kaga', 'diving', 'tolol', 'diitung', 'penalty', 'argen', 'menang', 'telak', 'blok']</t>
  </si>
  <si>
    <t>@ultimatefebs @idextratime @GFFN mbappe umur 19th menang world cup tp ga norak. beda ya emng, people negara maju sama negara berflower, sama ni kek fans argen di indonesia ü§≠ udah ah, males gue nanggepin lu, intinya mbappe menang world cup duluan diband</t>
  </si>
  <si>
    <t>mbappe umur menang world cup norak beda emng people negara maju sama negara berflower sama kek fans argen indonesia udah males gue nanggepin intinya mbappe menang world cup duluan diband</t>
  </si>
  <si>
    <t>['mbappe', 'umur', 'menang', 'world', 'cup', 'norak', 'beda', 'memang', 'people', 'negara', 'maju', 'sama', 'negara', 'berflower', 'sama', 'kek', 'fans', 'argen', 'indonesia', 'udah', 'males', 'gue', 'nanggepin', 'intinya', 'mbappe', 'menang', 'world', 'cup', 'duluan', 'diband']</t>
  </si>
  <si>
    <t>grgr argen menang kan sponsornya adidas, eh adidas omsetnya naik banget cuiii dan lo tau apa? tgl 28-30 ga jadi di liburinüòÉ</t>
  </si>
  <si>
    <t>grgr argen menang kan sponsornya adidas adidas omsetnya naik banget cuiii dan tau apa tgl jadi liburin</t>
  </si>
  <si>
    <t>['grgr', 'argen', 'menang', 'kan', 'sponsornya', 'adidas', 'adidas', 'omsetnya', 'naik', 'banget', 'cuiii', 'apa', 'tgl', 'jadi', 'liburin']</t>
  </si>
  <si>
    <t>@randomrandomn_ @idextratime @GFFN ngebobol 3 kali penalty wkwkwk, gaada penalty juga argen bakal menang si</t>
  </si>
  <si>
    <t>ngebobol kali penalty wkwkwk gaada penalty juga argen bakal menang</t>
  </si>
  <si>
    <t>['ngebobol', 'kali', 'penalty', 'wkwkwk', 'gaada', 'penalty', 'argen', 'bakal', 'menang']</t>
  </si>
  <si>
    <t>@wizard_azaka @idextratime @GFFN Gk perlu lu ngomong, gw juga tahu argen menang.</t>
  </si>
  <si>
    <t>azaka perlu ngomong juga tahu argen menang</t>
  </si>
  <si>
    <t>['azaka', 'perlu', 'ngomong', 'tahu', 'argen', 'menang']</t>
  </si>
  <si>
    <t>@murytech @idextratime Emng argen prnah menang lawan negara kite?</t>
  </si>
  <si>
    <t>emng argen prnah menang lawan negara kite</t>
  </si>
  <si>
    <t>['memang', 'argen', 'prnah', 'menang', 'lawan', 'negara', 'kite']</t>
  </si>
  <si>
    <t>@stillparma @pinkybunny_ @idextratime Odd itu perkalian, mungkin si temennya mas pas argen menang 2-0 si temen mas nebak di draw dan oddnya bisa 250 dan kalau masang 100k ya jadi 25 juta sih bener</t>
  </si>
  <si>
    <t>odd itu perkalian mungkin temennya mas pas argen menang temen mas nebak draw dan oddnya bisa dan kalau masang jadi juta sih bener</t>
  </si>
  <si>
    <t>['odd', 'perkalian', 'mungkin', 'temennya', 'mas', 'pas', 'argen', 'menang', 'temen', 'mas', 'nebak', 'draw', 'oddnya', 'kalau', 'masang', 'jadi', 'juta', 'benar']</t>
  </si>
  <si>
    <t>@convomf tema tahun ini white and blue soalnya argen menang kata akungüòîüôè  https://t.co/ljt8lYfA0c</t>
  </si>
  <si>
    <t>tema tahun ini white and blue soalnya argen menang kata akung</t>
  </si>
  <si>
    <t>['tema', 'tahun', 'white', 'and', 'blue', 'soalnya', 'argen', 'menang', 'kata', 'akung']</t>
  </si>
  <si>
    <t>@MUSIKMENFESS argen menang jadi bawaannya pengen dengerin we are the champion mulu  https://t.co/qSG2HdDKWv</t>
  </si>
  <si>
    <t>argen menang jadi bawaannya pengen dengerin are the champion mulu</t>
  </si>
  <si>
    <t>['argen', 'menang', 'jadi', 'bawaannya', 'pengen', 'dengerin', 'are', 'the', 'champion', 'mulu']</t>
  </si>
  <si>
    <t>@c0mbowingz @Elef_240 @idextratime @GFFN iya deh iyaa kalah, argen kan menang yaa, menang settingsn itukan hahaha</t>
  </si>
  <si>
    <t>iya deh iyaa kalah argen kan menang yaa menang settingsn itukan hahaha</t>
  </si>
  <si>
    <t>['iya', 'deh', 'iyaa', 'kalah', 'argen', 'kan', 'menang', 'ya', 'menang', 'settingsn', 'itukan', 'hahaha']</t>
  </si>
  <si>
    <t>@angga_me46 @idextratime Italy sama Argen tuh mirip-mirip bakal ngelakuin apapun untuk menang walaupun kotor, makanya orang yang gak terima dikalahin biasanya bakal berisik banget setelah match selesai üòÖ</t>
  </si>
  <si>
    <t>italy sama argen tuh mirip mirip bakal ngelakuin apapun untuk menang walaupun kotor makanya orang yang gak terima dikalahin biasanya bakal berisik banget setelah match selesai</t>
  </si>
  <si>
    <t>['italy', 'sama', 'argen', 'mirip', 'mirip', 'bakal', 'ngelakuin', 'apapun', 'menang', 'walaupun', 'kotor', 'makanya', 'orang', 'terima', 'dikalahin', 'biasanya', 'bakal', 'berisik', 'banget', 'match', 'selesai']</t>
  </si>
  <si>
    <t>@suhuruangan @pinkybunny_ @ovrthinkillsyou @idextratime @GFFN Lagian hal ginian udah biasa. Dulu jerman pas menang ngalahin argen juga gitu.</t>
  </si>
  <si>
    <t>lagian hal ginian udah biasa dulu jerman pas menang ngalahin argen juga gitu</t>
  </si>
  <si>
    <t>['lagian', 'ginian', 'udah', 'biasa', 'dulu', 'jerman', 'pas', 'menang', 'ngalahin', 'argen', 'gitu']</t>
  </si>
  <si>
    <t>@idextratime emg prancis maunya brp pinalty si? wkkwk pdhl argen cmn 1 pinalty prancis dikasi 2 tp ttp aja gbs menang</t>
  </si>
  <si>
    <t>emg prancis maunya brp pinalty wkkwk pdhl argen cmn pinalty prancis dikasi ttp aja gbs menang</t>
  </si>
  <si>
    <t>['memang', 'prancis', 'maunya', 'brp', 'pinalty', 'wkkwk', 'pdhl', 'argen', 'cmn', 'pinalty', 'prancis', 'dikasi', 'ttp', 'tidak bisa', 'menang']</t>
  </si>
  <si>
    <t>@idextratime Iya ulang, harusnya argen menang ft 90 menit aja ga lebih</t>
  </si>
  <si>
    <t>iya ulang harusnya argen menang menit aja lebih</t>
  </si>
  <si>
    <t>['iya', 'ulang', 'harusnya', 'argen', 'menang', 'menit', 'lebih']</t>
  </si>
  <si>
    <t>@cbangkyun lah katanya kemaren pas argen menang apa?!?!?!?!</t>
  </si>
  <si>
    <t>lah katanya kemaren pas argen menang apa</t>
  </si>
  <si>
    <t>['lah', 'katanya', 'kemarin', 'pas', 'argen', 'menang', 'apa']</t>
  </si>
  <si>
    <t>@idextratime Banyak yang pasang Argen tapi dibuat menang Argen biar bandar untung besar gimana ceritanya ü§£ü§£ü§£</t>
  </si>
  <si>
    <t>banyak yang pasang argen tapi dibuat menang argen biar bandar untung besar gimana ceritanya</t>
  </si>
  <si>
    <t>['banyak', 'pasang', 'argen', 'dibuat', 'menang', 'argen', 'bandar', 'untung', 'besar', 'gimana', 'ceritanya']</t>
  </si>
  <si>
    <t>@UNSfess_ wkwkwkwk lihatlah aku, sampe nail art tema bendera perancis that will last till next 6 months tapii ga sampe segitunya deh, argen menang yaudah menang üòÇ lagian yg pas final perancis kalahnya ga malu2in lah yaa, keren juga kok ü§∑üèª‚Äç‚ôÄÔ∏</t>
  </si>
  <si>
    <t>wkwkwkwk lihatlah aku sampe nail art tema bendera perancis that will last till next months tapii sampe segitunya deh argen menang yaudah menang lagian pas final perancis kalahnya malu lah yaa keren juga kok</t>
  </si>
  <si>
    <t>['wkwkwkwk', 'lihatlah', 'aku', 'sampai', 'nail', 'art', 'tema', 'bendera', 'perancis', 'that', 'will', 'last', 'till', 'next', 'months', 'tapii', 'sampai', 'segitunya', 'deh', 'argen', 'menang', 'yaudah', 'menang', 'lagian', 'pas', 'final', 'perancis', 'kalahnya', 'malu', 'lah', 'ya', 'keren', 'kok']</t>
  </si>
  <si>
    <t>@IboyAlghazali @registaco jadi menang adu penalti itu keberuntungan? argen juara copa america juga lewat adu penalti</t>
  </si>
  <si>
    <t>jadi menang adu penalti itu keberuntungan argen juara copa america juga lewat adu penalti</t>
  </si>
  <si>
    <t>['jadi', 'menang', 'adu', 'penalti', 'keberuntungan', 'argen', 'juara', 'copa', 'america', 'lewat', 'adu', 'penalti']</t>
  </si>
  <si>
    <t>pantes menang orang manchae dipihak argen</t>
  </si>
  <si>
    <t>['pantes', 'menang', 'orang', 'manchae', 'dipihak', 'argen']</t>
  </si>
  <si>
    <t>@Zchrl_Kei @Notfar1910 @_silviaps @vidialdiano tapi kok yang menang argen ya kalo mbappe gol in juga?</t>
  </si>
  <si>
    <t>kei tapi kok yang menang argen kalo mbappe gol juga</t>
  </si>
  <si>
    <t>['kei', 'kok', 'menang', 'argen', 'mbappe', 'gol']</t>
  </si>
  <si>
    <t>@TukangBermimpi @Indiyutt @ngakakbingits @idextratime Macam jerman kalo di friendly match vs Argen biasa kalah, giliran di World Cup Argen gk pernah menang</t>
  </si>
  <si>
    <t>macam jerman kalo friendly match argen biasa kalah giliran world cup argen pernah menang</t>
  </si>
  <si>
    <t>['macam', 'jerman', 'friendly', 'match', 'argen', 'biasa', 'kalah', 'giliran', 'world', 'cup', 'argen', 'pernah', 'menang']</t>
  </si>
  <si>
    <t>@Arkham_asylumm ahhh iyaa anjirr. apalagi pas pildun Argen yg menang malah Ronaldo yg trending, gmna mau move onüòî</t>
  </si>
  <si>
    <t>asylumm ahhh iyaa anjirr apalagi pas pildun argen menang malah ronaldo trending gmna mau move</t>
  </si>
  <si>
    <t>['asylumm', 'ahhh', 'iyaa', 'anjirr', 'pas', 'piala dunia', 'argen', 'menang', 'malah', 'ronaldo', 'trending', 'gmna', 'mau', 'move']</t>
  </si>
  <si>
    <t>@koonbifu @sternritt3rs Tapi abis menang all in argen kan</t>
  </si>
  <si>
    <t>tapi abis menang all argen kan</t>
  </si>
  <si>
    <t>['abis', 'menang', 'all', 'argen', 'kan']</t>
  </si>
  <si>
    <t>@BettrCallMessi Betul. Lo liat aja sebelum ada emi, menang apa argen dr debut messi?  Sama kaya madrid pas gada ancelotti. Skuat gabanyak berubah, 2014 menang ucl. Ya krn ancelotti bikin taktik yg pas. Di carry dia</t>
  </si>
  <si>
    <t>betul liat aja sebelum ada emi menang apa argen debut messi sama kaya madrid pas gada ancelotti skuat gabanyak berubah menang ucl krn ancelotti bikin taktik pas carry dia</t>
  </si>
  <si>
    <t>['betul', 'lihat', 'emi', 'menang', 'apa', 'argen', 'debut', 'messi', 'sama', 'kaya', 'madrid', 'pas', 'gada', 'ancelotti', 'skuat', 'gabanyak', 'berubah', 'menang', 'ucl', 'ancelotti', 'taktik', 'pas', 'carry']</t>
  </si>
  <si>
    <t>@dikifahmii @saputra_bakti25 @bamslearntorock @SiaranBolaLive Btull, sejak pertengahan match udh yakin klo masuk adu pinalti ya argen menang, soalnya gua akuin si emi emang jago pinaltian. Tpi ya ttp aja gasuka attitude nya dia, awal gasuka sih pas adu pi</t>
  </si>
  <si>
    <t>bakti btull sejak pertengahan match udh yakin klo masuk adu pinalti argen menang soalnya gua akuin emi emang jago pinaltian tpi ttp aja gasuka attitude nya dia awal gasuka sih pas adu</t>
  </si>
  <si>
    <t>['bakti', 'btull', 'sejak', 'pertengahan', 'match', 'sudah', 'yakin', 'masuk', 'adu', 'penalti', 'argen', 'menang', 'soalnya', 'gua', 'akuin', 'emi', 'emang', 'jago', 'pinaltian', 'tpi', 'ttp', 'gasuka', 'attitude', 'awal', 'gasuka', 'pas', 'adu']</t>
  </si>
  <si>
    <t>@idextratime Masih nggak terima kayak nya argen menang</t>
  </si>
  <si>
    <t>masih nggak terima kayak nya argen menang</t>
  </si>
  <si>
    <t>['terima', 'seperti', 'argen', 'menang']</t>
  </si>
  <si>
    <t>@badruszaf @AnkurMessi_ gaya bgtt yyy argen menang..</t>
  </si>
  <si>
    <t>gaya bgtt yyy argen menang</t>
  </si>
  <si>
    <t>['gaya', 'bgtt', 'yyy', 'argen', 'menang']</t>
  </si>
  <si>
    <t>@idextratime Aya2 wae ahhh min, ini sekelas negara looh pertaruhan diri nya tinggi, klw sekelas club masih rada bisa dipercaya krna berpusat diperusahaan, klw pildun nggk mungkin siih, apalagi presiden france aja smpe dtang, ini murni Argen menang krna ke</t>
  </si>
  <si>
    <t>aya wae ahhh min ini sekelas negara looh pertaruhan diri nya tinggi klw sekelas club masih rada bisa dipercaya krna berpusat diperusahaan klw pildun nggk mungkin siih apalagi presiden france aja smpe dtang ini murni argen menang krna</t>
  </si>
  <si>
    <t>['aya', 'wae', 'ahhh', 'min', 'sekelas', 'negara', 'looh', 'pertaruhan', 'diri', 'tinggi', 'klw', 'sekelas', 'club', 'rada', 'dipercaya', 'krna', 'berpusat', 'diperusahaan', 'klw', 'piala dunia', 'nggk', 'mungkin', 'siih', 'presiden', 'france', 'smpe', 'dtang', 'murni', 'argen', 'menang', 'krna']</t>
  </si>
  <si>
    <t>@convomfs suka ngomong "affh iyh dik?" üò†, dukung argentina kemarin, ampe nangis pas argen hampir kena comeback sama prancis, untung menang WKWK</t>
  </si>
  <si>
    <t>suka ngomong affh iyh dik dukung argentina kemarin ampe nangis pas argen hampir kena comeback sama prancis untung menang wkwk</t>
  </si>
  <si>
    <t>['suka', 'ngomong', 'affh', 'iyh', 'dik', 'dukung', 'argentina', 'kemarin', 'sampai', 'nangis', 'pas', 'argen', 'hampir', 'kena', 'comeback', 'sama', 'prancis', 'untung', 'menang']</t>
  </si>
  <si>
    <t>@LeebBae_ @user14162122112 @BahtiarKiki26 @ngakakbingits @azmeeex @idextratime ih kok jealous sama anak kemaren sore botak pula mentang2 dia ngangkat tropi piala dunia duluan daripada messi yg udah tua? :( tp untung sih argen menang wc, ntar kasian kalo b</t>
  </si>
  <si>
    <t>kok jealous sama anak kemaren sore botak pula mentang dia ngangkat tropi piala dunia duluan daripada messi udah tua untung sih argen menang ntar kasian kalo</t>
  </si>
  <si>
    <t>['kok', 'jealous', 'sama', 'anak', 'kemarin', 'sore', 'botak', 'mentang', 'ngangkat', 'trofi', 'piala', 'dunia', 'duluan', 'messi', 'udah', 'tua', 'untung', 'argen', 'menang', 'ntar', 'kasian']</t>
  </si>
  <si>
    <t>@collegemenfess Mungkin kamu dijadiin nazar nder "kalo argen menang, saya ngajak bimbingan duluan"</t>
  </si>
  <si>
    <t>mungkin kamu dijadiin nazar nder kalo argen menang saya ngajak bimbingan duluan</t>
  </si>
  <si>
    <t>['mungkin', 'kamu', 'dijadiin', 'nazar', 'nder', 'argen', 'menang', 'ngajak', 'bimbingan', 'duluan']</t>
  </si>
  <si>
    <t>Semenjak messi menang WC, semua ejekan fans Ronaldo terhadap Messi di putar balikan oleh fans Ronaldo. Waktu itu messi dikata katain karena gk ada trophy bersama Argentina, sekarang waktu messi lebih banyak trophy. Mereka bilang kalo timnas Argen lebih kuat dari pada Portugal</t>
  </si>
  <si>
    <t>semenjak messi menang semua ejekan fans ronaldo terhadap messi putar balikan oleh fans ronaldo waktu itu messi dikata katain karena ada trophy bersama argentina sekarang waktu messi lebih banyak trophy mereka bilang kalo timnas argen lebih kuat dari pada portugal</t>
  </si>
  <si>
    <t>['semenjak', 'messi', 'menang', 'semua', 'ejekan', 'fans', 'ronaldo', 'messi', 'putar', 'balikan', 'fans', 'ronaldo', 'waktu', 'messi', 'dikata', 'katain', 'trophy', 'bersama', 'argentina', 'sekarang', 'waktu', 'messi', 'lebih', 'banyak', 'trophy', 'timnas', 'argen', 'lebih', 'kuat', 'portugal']</t>
  </si>
  <si>
    <t>gua kira mah abis messi menang ama argen udah kelar gitu ya perdebatan, eh ternyata masih banyak pens sebelah yg denial WKWKWK, tp gapapa hiburan asli ngedengerin argumen2 bodohnya wkwkwk ü§£ü§£ü§£ü§£ü§£</t>
  </si>
  <si>
    <t>gua kira mah abis messi menang ama argen udah kelar gitu perdebatan ternyata masih banyak pens sebelah denial wkwkwk gapapa hiburan asli ngedengerin argumen bodohnya wkwkwk</t>
  </si>
  <si>
    <t>['gua', 'kira', 'mah', 'abis', 'messi', 'menang', 'ama', 'argen', 'udah', 'kelar', 'gitu', 'perdebatan', 'ternyata', 'banyak', 'pens', 'sebelah', 'denial', 'wkwkwk', 'gapapa', 'hiburan', 'asli', 'ngedengerin', 'argumen', 'bodohnya', 'wkwkwk']</t>
  </si>
  <si>
    <t>semenjak argen menang pildun medsos jadi makin seru anj wkwkwk</t>
  </si>
  <si>
    <t>['semenjak', 'argen', 'menang', 'piala dunia', 'medsos', 'jadi', 'makin', 'seru', 'anj', 'wkwkwk']</t>
  </si>
  <si>
    <t>@idextratime sttment apaan nih, nyari informasi sebegitunya bgt, emg kalo klean berhasil menguak kebenarannya klean dpt apa? dpt ngerubah keadaan prancis yg menang? kalo udah yaudah si gais, biarin mskipun argen menangnya nyogok ato ga jujur lah urusan me</t>
  </si>
  <si>
    <t>sttment apaan nih nyari informasi sebegitunya bgt emg kalo klean berhasil menguak kebenarannya klean dpt apa dpt ngerubah keadaan prancis menang kalo udah yaudah gais biarin mskipun argen menangnya nyogok ato jujur lah urusan</t>
  </si>
  <si>
    <t>['sttment', 'apaan', 'nyari', 'informasi', 'sebegitunya', 'banget', 'memang', 'klean', 'berhasil', 'menguak', 'kebenarannya', 'klean', 'dpt', 'apa', 'dpt', 'ngerubah', 'keadaan', 'prancis', 'menang', 'udah', 'yaudah', 'guys', 'biarin', 'mskipun', 'argen', 'menangnya', 'nyogok', 'ato', 'jujur', 'lah', 'urusan']</t>
  </si>
  <si>
    <t>@AfiandimasD @idextratime si anton mana si anton..  dah menang argen malah ngumpet dia</t>
  </si>
  <si>
    <t>anton mana anton dah menang argen malah ngumpet dia</t>
  </si>
  <si>
    <t>['anton', 'mana', 'anton', 'dah', 'menang', 'argen', 'malah', 'ngumpet']</t>
  </si>
  <si>
    <t>@AnggaPutraF Iya dan gol tangan maradona bakal di anulir var kalo di era sekarang, terus maradona di kawal 3 pemain pakai taktik parkir bus mourinho, terus kena bullyan rasis di sosmed kalo timnas argen gagal menang. Maradona pun belum tentu bakal hebat k</t>
  </si>
  <si>
    <t>iya dan gol tangan maradona bakal anulir var kalo era sekarang terus maradona kawal pemain pakai taktik parkir bus mourinho terus kena bullyan rasis sosmed kalo timnas argen gagal menang maradona pun belum tentu bakal hebat</t>
  </si>
  <si>
    <t>['iya', 'gol', 'tangan', 'maradona', 'bakal', 'anulir', 'var', 'era', 'sekarang', 'terus', 'maradona', 'kawal', 'pemain', 'pakai', 'taktik', 'parkir', 'bus', 'mourinho', 'terus', 'kena', 'bullyan', 'rasis', 'sosmed', 'timnas', 'argen', 'gagal', 'menang', 'maradona', 'bakal', 'hebat']</t>
  </si>
  <si>
    <t>@idextratime Itu bandar judinya untung besar atau rugi besar ya? Kan banyak yg megang argen harusnya banyak juga yg menang argen, bandarnya jadi rugi dongggg</t>
  </si>
  <si>
    <t>itu bandar judinya untung besar atau rugi besar kan banyak megang argen harusnya banyak juga menang argen bandarnya jadi rugi dongggg</t>
  </si>
  <si>
    <t>['bandar', 'judinya', 'untung', 'besar', 'rugi', 'besar', 'kan', 'banyak', 'megang', 'argen', 'harusnya', 'banyak', 'menang', 'argen', 'bandarnya', 'jadi', 'rugi', 'dongggg']</t>
  </si>
  <si>
    <t>@onyoctariza poinnya apa dari twit balasan gua? selain adu penalti dan save final menit 120, emi ga terlalu berdampak buat kemenangan argen, argen bisa menang ya krn depannya jago, liat setelah lawan arab selalu cetak minimal 2, bandingin sama depannya ma</t>
  </si>
  <si>
    <t>poinnya apa dari twit balasan gua selain adu penalti dan save final menit emi terlalu berdampak buat kemenangan argen argen bisa menang krn depannya jago liat setelah lawan arab selalu cetak minimal bandingin sama depannya</t>
  </si>
  <si>
    <t>['poinnya', 'apa', 'twit', 'balasan', 'gua', 'adu', 'penalti', 'save', 'final', 'menit', 'emi', 'terlalu', 'berdampak', 'buat', 'kemenangan', 'argen', 'argen', 'menang', 'depannya', 'jago', 'lihat', 'lawan', 'arab', 'selalu', 'cetak', 'minimal', 'bandingin', 'sama', 'depannya']</t>
  </si>
  <si>
    <t>semenjak argen menang gua malah lebih santai,ga suka post2 argen juga eh malah fams sebelah yg paling gacor,ntar gua kluarin banteran gua kelar lu pada ye,klo di wa gua kga bisa ngerem soalny</t>
  </si>
  <si>
    <t>semenjak argen menang gua malah lebih santai suka post argen juga malah fams sebelah paling gacor ntar gua kluarin banteran gua kelar pada klo gua kga bisa ngerem soalny</t>
  </si>
  <si>
    <t>['semenjak', 'argen', 'menang', 'gua', 'malah', 'lebih', 'santai', 'suka', 'post', 'argen', 'malah', 'fams', 'sebelah', 'paling', 'gacor', 'ntar', 'gua', 'kluarin', 'banteran', 'gua', 'kelar', 'gua', 'kga', 'ngerem', 'soalny']</t>
  </si>
  <si>
    <t>@therealbetjanda @yoRApai argen menang tapi koküëÄüëÄüëÄ</t>
  </si>
  <si>
    <t>argen menang tapi kok</t>
  </si>
  <si>
    <t>['argen', 'menang', 'kok']</t>
  </si>
  <si>
    <t>@idextratime Kalo bandar jagoin argen otomatis dikit dong dapetnya kalo menang ü§£</t>
  </si>
  <si>
    <t>kalo bandar jagoin argen otomatis dikit dong dapetnya kalo menang</t>
  </si>
  <si>
    <t>['bandar', 'jagoin', 'argen', 'otomatis', 'dikit', 'dong', 'dapetnya', 'menang']</t>
  </si>
  <si>
    <t>lagipula ye, kl emg banyak yg masang Argen yaa bandar bakal rugi gila kl Argen yg menangü§£</t>
  </si>
  <si>
    <t>lagipula emg banyak masang argen yaa bandar bakal rugi gila argen menang</t>
  </si>
  <si>
    <t>['lagipula', 'memang', 'banyak', 'masang', 'argen', 'ya', 'bandar', 'bakal', 'rugi', 'gila', 'argen', 'menang']</t>
  </si>
  <si>
    <t>@suaminyonya @idextratime metode apa nih yg bisa bikin bandar  untung jika banyak org megang argen dan argentinanya menang?</t>
  </si>
  <si>
    <t>metode apa nih bisa bikin bandar untung jika banyak org megang argen dan argentinanya menang</t>
  </si>
  <si>
    <t>['metode', 'apa', 'bandar', 'untung', 'banyak', 'org', 'megang', 'argen', 'argentinanya', 'menang']</t>
  </si>
  <si>
    <t>@idextratime beberapa kata diakhir yg sangat ngehek bgt, yakali banyak yg pasang argen, argen menang trs bandar jdi untung ü§£</t>
  </si>
  <si>
    <t>beberapa kata diakhir sangat ngehek bgt yakali banyak pasang argen argen menang trs bandar jdi untung</t>
  </si>
  <si>
    <t>['beberapa', 'kata', 'diakhir', 'sangat', 'ngehek', 'banget', 'yakali', 'banyak', 'pasang', 'argen', 'argen', 'menang', 'terus', 'bandar', 'jdi', 'untung']</t>
  </si>
  <si>
    <t>@FaktaSepakbola Pep kan messi fanboy, y mo tahun berapa pun kalo mesi di argen tetep sama aja peluang menang djjawab pep mah</t>
  </si>
  <si>
    <t>pep kan messi fanboy tahun berapa pun kalo mesi argen tetep sama aja peluang menang djjawab pep mah</t>
  </si>
  <si>
    <t>['pep', 'kan', 'messi', 'fanboy', 'tahun', 'berapa', 'mesi', 'argen', 'tetep', 'sama', 'peluang', 'menang', 'djjawab', 'pep', 'mah']</t>
  </si>
  <si>
    <t>@idextratime Nih orang ga pernah nonton film Hari Ini Pasti Menang. Mana ada pasar megang argen, bandar dukung argen, ya rugi lah bandar klo pasar megang argen yg menang argen</t>
  </si>
  <si>
    <t>nih orang pernah nonton film hari ini pasti menang mana ada pasar megang argen bandar dukung argen rugi lah bandar klo pasar megang argen menang argen</t>
  </si>
  <si>
    <t>['orang', 'pernah', 'nonton', 'film', 'hari', 'menang', 'mana', 'pasar', 'megang', 'argen', 'bandar', 'dukung', 'argen', 'rugi', 'lah', 'bandar', 'pasar', 'megang', 'argen', 'menang', 'argen']</t>
  </si>
  <si>
    <t>@idextratime Pasaran banyak yang megang argen. Tapi yang menang argen. Tolol wkwk, bandar judi ketawa ngeliat opini kaya gini</t>
  </si>
  <si>
    <t>pasaran banyak yang megang argen tapi yang menang argen tolol wkwk bandar judi ketawa ngeliat opini kaya gini</t>
  </si>
  <si>
    <t>['pasaran', 'banyak', 'megang', 'argen', 'menang', 'argen', 'tolol', 'bandar', 'judi', 'ketawa', 'ngeliat', 'opini', 'kaya', 'gini']</t>
  </si>
  <si>
    <t>@idextratime "faktanya emng bner pasar taruhan banyak pemansang yg mengunggulkan argentina,makanya argentina dibuat menang"  Fixs dia gak paham dunia judiüòÇklw banyak pemasang argentina y dibikin kalah lah argen nya sma bandarü§£  https://t.co/OYPfpOL8</t>
  </si>
  <si>
    <t>faktanya emng bner pasar taruhan banyak pemansang mengunggulkan argentina makanya argentina dibuat menang fixs dia gak paham dunia judi klw banyak pemasang argentina dibikin kalah lah argen nya sma bandar</t>
  </si>
  <si>
    <t>['faktanya', 'memang', 'bner', 'pasar', 'taruhan', 'banyak', 'pemansang', 'mengunggulkan', 'argentina', 'makanya', 'argentina', 'dibuat', 'menang', 'fixs', 'paham', 'dunia', 'judi', 'klw', 'banyak', 'pemasang', 'argentina', 'dibikin', 'kalah', 'lah', 'argen', 'sma', 'bandar']</t>
  </si>
  <si>
    <t>@idextratime Lah kalo banyak yang pasang Argen &amp;amp; Argen menang bukannya malah bandarnya yang rugi?</t>
  </si>
  <si>
    <t>lah kalo banyak yang pasang argen argen menang bukannya malah bandarnya yang rugi</t>
  </si>
  <si>
    <t>['lah', 'banyak', 'pasang', 'argen', 'argen', 'menang', 'bukannya', 'malah', 'bandarnya', 'rugi']</t>
  </si>
  <si>
    <t>@reinfourth engga al gue ga suka aja lo sombong argen menang‚úåüèº</t>
  </si>
  <si>
    <t>engga gue suka aja sombong argen menang</t>
  </si>
  <si>
    <t>['tidak', 'gue', 'suka', 'sombong', 'argen', 'menang']</t>
  </si>
  <si>
    <t>@wleowleowleowoh @false10s @FaktaSepakbola kenapa jadi ronaldo... yang menang argen, yang banyak tingkah emil yang di bacotin mbappe. yang kena RONALDO, se berpengaruh itukah RONALDO?</t>
  </si>
  <si>
    <t>kenapa jadi ronaldo yang menang argen yang banyak tingkah emil yang bacotin mbappe yang kena ronaldo berpengaruh itukah ronaldo</t>
  </si>
  <si>
    <t>['jadi', 'ronaldo', 'menang', 'argen', 'banyak', 'tingkah', 'emil', 'bacotin', 'mbappe', 'kena', 'ronaldo', 'berpengaruh', 'itukah', 'ronaldo']</t>
  </si>
  <si>
    <t>@anotherside666 @alpokatmentega minta ditraktir, thiranoasajidjsijdsiiurs menang tuh argen zel wkwk</t>
  </si>
  <si>
    <t>minta ditraktir thiranoasajidjsijdsiiurs menang tuh argen zel wkwk</t>
  </si>
  <si>
    <t>['minta', 'ditraktir', 'thiranoasajidjsijdsiiurs', 'menang', 'argen', 'zel']</t>
  </si>
  <si>
    <t>@AndalasGuy03_ @PS_AmandaJKT48 argen kemaren menang brp lu</t>
  </si>
  <si>
    <t>amandajkt argen kemaren menang brp</t>
  </si>
  <si>
    <t>['amandajkt', 'argen', 'kemarin', 'menang', 'brp']</t>
  </si>
  <si>
    <t>Argen menang</t>
  </si>
  <si>
    <t>argen menang</t>
  </si>
  <si>
    <t>['argen', 'menang']</t>
  </si>
  <si>
    <t>@boemiputra1 @ipul_ipulll @zenrs Mas udah menang argen 3-0 lawan Itali sebelum pildun wkwkwk</t>
  </si>
  <si>
    <t>ipulll mas udah menang argen lawan itali sebelum pildun wkwkwk</t>
  </si>
  <si>
    <t>['ipulll', 'mas', 'udah', 'menang', 'argen', 'lawan', 'itali', 'piala dunia', 'wkwkwk']</t>
  </si>
  <si>
    <t>@txtdrimedia lucu banget rumahnyaa, ini baru all-inü§£ pas argen menang pada silahturahmi kali yaüòÇ</t>
  </si>
  <si>
    <t>lucu banget rumahnyaa ini baru all pas argen menang pada silahturahmi kali</t>
  </si>
  <si>
    <t>['lucu', 'banget', 'rumahnyaa', 'baru', 'all', 'pas', 'argen', 'menang', 'silahturahmi', 'kali']</t>
  </si>
  <si>
    <t>@PapitoMamski Asli, makanya aing ga pengen argen atau portugal yg menang wc ya begini haha</t>
  </si>
  <si>
    <t>asli makanya aing pengen argen atau portugal menang begini haha</t>
  </si>
  <si>
    <t>['asli', 'makanya', 'aing', 'pengen', 'argen', 'portugal', 'menang', 'begini', 'haha']</t>
  </si>
  <si>
    <t>@fangirlbucin17 AWIAKWOAKWOK MORE LIKE GW TAKUT KUALAT TIMNYA KALAH. Kek kejadian final kmrn. Mostly pada ngebet France tp yg menang Argenüò≠üò≠ü§£ü§£ü§£</t>
  </si>
  <si>
    <t>awiakwoakwok more like takut kualat timnya kalah kek kejadian final kmrn mostly pada ngebet france menang argen</t>
  </si>
  <si>
    <t>['awiakwoakwok', 'more', 'like', 'takut', 'kualat', 'timnya', 'kalah', 'kek', 'kejadian', 'final', 'kmrn', 'mostly', 'ngebet', 'france', 'menang', 'argen']</t>
  </si>
  <si>
    <t>thanks abang yehe traktiran argen menang @graveyarcd üòã  https://t.co/AfsM9Bu5al</t>
  </si>
  <si>
    <t>thanks abang yehe traktiran argen menang</t>
  </si>
  <si>
    <t>['thanks', 'abang', 'yehe', 'traktiran', 'argen', 'menang']</t>
  </si>
  <si>
    <t>@nihaqus Pas adu penalti mah gw udh 100% yakin Argentina menang. Kipernya jago penalti, penendangnya argen berpengalaman dan free kick taker smua üòÇ. Pemain Prancis malah yg muda2 yg nendang penalti wajar kl grogi</t>
  </si>
  <si>
    <t>pas adu penalti mah udh yakin argentina menang kipernya jago penalti penendangnya argen berpengalaman dan free kick taker smua pemain prancis malah muda nendang penalti wajar grogi</t>
  </si>
  <si>
    <t>['pas', 'adu', 'penalti', 'mah', 'sudah', 'yakin', 'argentina', 'menang', 'kipernya', 'jago', 'penalti', 'penendangnya', 'argen', 'berpengalaman', 'free', 'kick', 'taker', 'smua', 'pemain', 'prancis', 'malah', 'muda', 'nendang', 'penalti', 'wajar', 'grogi']</t>
  </si>
  <si>
    <t>@FRSFRSFRSFRS91 @Enginebroke @txtdariAdit_22 @FaktaSepakbola Ya emang orang berkali2 gua menang tarohan lawan argen final juga kalo parlay menang gw gua pegang perancis</t>
  </si>
  <si>
    <t>emang orang berkali gua menang tarohan lawan argen final juga kalo parlay menang gua pegang perancis</t>
  </si>
  <si>
    <t>['emang', 'orang', 'berkali', 'gua', 'menang', 'tarohan', 'lawan', 'argen', 'final', 'parlay', 'menang', 'gua', 'pegang', 'perancis']</t>
  </si>
  <si>
    <t>liat tweet ini yg bikin gue sebel sm tweet lain ttg argen menang. seneng2 aja messi menang dan namatin sepakbola tp kesel sm bocil2 fans argen nih apa2 yg ngasih opini lain dibilang penyepong ronaldo. bgst lah musnah kek fans begitu anyink ga seru bgt.</t>
  </si>
  <si>
    <t>liat tweet ini bikin gue sebel tweet lain ttg argen menang seneng aja messi menang dan namatin sepakbola kesel bocil fans argen nih apa ngasih opini lain dibilang penyepong ronaldo bgst lah musnah kek fans begitu anyink seru bgt</t>
  </si>
  <si>
    <t>['lihat', 'tweet', 'gue', 'sebel', 'tweet', 'ttg', 'argen', 'menang', 'seneng', 'messi', 'menang', 'namatin', 'sepakbola', 'kesel', 'bocil', 'fans', 'argen', 'apa', 'ngasih', 'opini', 'dibilang', 'penyepong', 'ronaldo', 'bgst', 'lah', 'musnah', 'kek', 'fans', 'anyink', 'seru', 'banget']</t>
  </si>
  <si>
    <t>duarrr, messi dan argen menang WORLD CUP. ehhh alesan fans sebelah bilang udh disetting ü§£ trs ada yg bilang ngapain sih banding2in mereka berdua, lah dari dlu kemana aja masss ü§£ trs lucunya lg pas smua bilang messi the real GOAT, pd bandingin ama pele yg punya 3 world cup ü§£ü§£</t>
  </si>
  <si>
    <t>duarrr messi dan argen menang world cup ehhh alesan fans sebelah bilang udh disetting trs ada bilang ngapain sih banding mereka berdua lah dari dlu kemana aja masss trs lucunya pas smua bilang messi the real goat bandingin ama pele punya world cup</t>
  </si>
  <si>
    <t>['duarrr', 'messi', 'argen', 'menang', 'world', 'cup', 'ehhh', 'alesan', 'fans', 'sebelah', 'sudah', 'disetting', 'terus', 'ngapain', 'banding', 'berdua', 'lah', 'dlu', 'masss', 'terus', 'lucunya', 'pas', 'smua', 'messi', 'the', 'real', 'goat', 'bandingin', 'ama', 'pele', 'punya', 'world', 'cup']</t>
  </si>
  <si>
    <t>terus messi menang Finalissima lawan juara EURO yang katanya EURO&amp;gt;Copa America. juara euro yang katanya piala yg lebih bergengsi dikalahin tuh ama argen.  ehhhh fans sebelah bilangnya, piala boong2an, buatan FIFA. piala yang baru dibikin.   oke gua mantau aja, diem aja dgn ksl</t>
  </si>
  <si>
    <t>terus messi menang finalissima lawan juara euro yang katanya euro copa america juara euro yang katanya piala lebih bergengsi dikalahin tuh ama argen ehhhh fans sebelah bilangnya piala boong buatan fifa piala yang baru dibikin oke gua mantau aja diem aja dgn ksl</t>
  </si>
  <si>
    <t>['terus', 'messi', 'menang', 'finalissima', 'lawan', 'juara', 'euro', 'katanya', 'euro', 'copa', 'america', 'juara', 'euro', 'katanya', 'piala', 'lebih', 'bergengsi', 'dikalahin', 'ama', 'argen', 'ehhhh', 'fans', 'sebelah', 'bilangnya', 'piala', 'boong', 'buatan', 'fifa', 'piala', 'baru', 'dibikin', 'oke', 'gua', 'mantau', 'diem', 'ksl']</t>
  </si>
  <si>
    <t>@SamFerkyFers10 @Fasa77342812 @idextratime iya deh france menang udh 2√ó juara wc selamat üëè argen cuman 1√ó juara wc dalam sejarah yg lu buat wkswks</t>
  </si>
  <si>
    <t>iya deh france menang udh juara selamat argen cuman juara dalam sejarah buat wkswks</t>
  </si>
  <si>
    <t>['iya', 'deh', 'france', 'menang', 'sudah', 'juara', 'selamat', 'argen', 'cuman', 'juara', 'sejarah', 'buat', 'wkswks']</t>
  </si>
  <si>
    <t>@orrshktse @smbalgorengati @CubemanArt @Kangkuwe @LeahkimNosredna @idextratime ya sama, fans france kesel karena negaranya gagal juara WC karena Argen. makanya jersey argen dijadiin keset, beda cerita lagi kalo France yang menang apakah hal yang serupa ba</t>
  </si>
  <si>
    <t>sama fans france kesel karena negaranya gagal juara karena argen makanya jersey argen dijadiin keset beda cerita lagi kalo france yang menang apakah hal yang serupa</t>
  </si>
  <si>
    <t>['sama', 'fans', 'france', 'kesel', 'negaranya', 'gagal', 'juara', 'argen', 'makanya', 'jersey', 'argen', 'dijadiin', 'keset', 'beda', 'cerita', 'france', 'menang', 'serupa']</t>
  </si>
  <si>
    <t>@ID_Albiceleste @SiaranBolaLive Ini atmosfir gila bolanya antusias argen apa brazil? Dlu waktu korea japan. Brazil menang g seramai ini</t>
  </si>
  <si>
    <t>albiceleste ini atmosfir gila bolanya antusias argen apa brazil dlu waktu korea japan brazil menang seramai ini</t>
  </si>
  <si>
    <t>['albiceleste', 'atmosfir', 'gila', 'bolanya', 'antusias', 'argen', 'apa', 'brazil', 'dlu', 'waktu', 'korea', 'japan', 'brazil', 'menang', 'seramai']</t>
  </si>
  <si>
    <t>@CubemanArt @smbalgorengati @Kangkuwe @LeahkimNosredna @idextratime coba cek sosmed pemain prancis deh atau gk gmn perlakuan org prancis ke pemain argen yg menang, apa smua org prancis gk rasis? ya gk mngkn lah</t>
  </si>
  <si>
    <t>coba cek sosmed pemain prancis deh atau gmn perlakuan org prancis pemain argen menang apa smua org prancis rasis mngkn lah</t>
  </si>
  <si>
    <t>['coba', 'cek', 'sosmed', 'pemain', 'prancis', 'deh', 'gmn', 'perlakuan', 'org', 'prancis', 'pemain', 'argen', 'menang', 'apa', 'smua', 'org', 'prancis', 'rasis', 'mngkn', 'lah']</t>
  </si>
  <si>
    <t>@labiebsadat pilihan sulit sih soalnya ketiganya bener bener layak... tapi gue sih terima aja kalo Emi Martinez yg menang karena kontribusi savenya gokil... gaada save dia udh pasti out argen kebantai belandaü§£</t>
  </si>
  <si>
    <t>pilihan sulit sih soalnya ketiganya bener bener layak tapi gue sih terima aja kalo emi martinez menang karena kontribusi savenya gokil gaada save dia udh pasti out argen kebantai belanda</t>
  </si>
  <si>
    <t>['pilihan', 'sulit', 'soalnya', 'ketiganya', 'benar', 'benar', 'layak', 'gue', 'terima', 'emi', 'martinez', 'menang', 'kontribusi', 'savenya', 'gila', 'gaada', 'save', 'sudah', 'out', 'argen', 'kebantai', 'belanda']</t>
  </si>
  <si>
    <t>@darklvnch @westenthu lah argen kan udh menang 3x??</t>
  </si>
  <si>
    <t>lah argen kan udh menang</t>
  </si>
  <si>
    <t>['lah', 'argen', 'kan', 'sudah', 'menang']</t>
  </si>
  <si>
    <t>@tsdaughterr argen menang penalti üòÇüòÇüòÇ</t>
  </si>
  <si>
    <t>argen menang penalti</t>
  </si>
  <si>
    <t>['argen', 'menang', 'penalti']</t>
  </si>
  <si>
    <t>@tanyakanrl Perasaan kemarin megang argen menangüóø  https://t.co/Lb3eqpHCh1</t>
  </si>
  <si>
    <t>perasaan kemarin megang argen menang</t>
  </si>
  <si>
    <t>['perasaan', 'kemarin', 'megang', 'argen', 'menang']</t>
  </si>
  <si>
    <t>@DaveOCKOP Tai bener Martinez - Mbappe udh menang WC pas masi 19 taun - Mbappe nyetak 4 gol ke gawang dia - Kenapa pemain Argen lain pada setuju ya Martinez selebrasi kaya gini wkwk</t>
  </si>
  <si>
    <t>tai bener martinez mbappe udh menang pas masi taun mbappe nyetak gol gawang dia kenapa pemain argen lain pada setuju martinez selebrasi kaya gini wkwk</t>
  </si>
  <si>
    <t>['tai', 'benar', 'martinez', 'mbappe', 'sudah', 'menang', 'pas', 'masi', 'taun', 'mbappe', 'nyetak', 'gol', 'gawang', 'pemain', 'argen', 'setuju', 'martinez', 'selebrasi', 'kaya', 'gini']</t>
  </si>
  <si>
    <t>@labiebsadat Saya (fans Argen) juga berpikir Livakovic yang akan dapat. Jumlah save nya banyak, dan tidak kebobolan banyak. Dua kali menang penalty shoot-out.</t>
  </si>
  <si>
    <t>saya fans argen juga berpikir livakovic yang akan dapat jumlah save nya banyak dan tidak kebobolan banyak dua kali menang penalty shoot out</t>
  </si>
  <si>
    <t>['fans', 'argen', 'berpikir', 'livakovic', 'jumlah', 'save', 'banyak', 'kebobolan', 'banyak', 'kali', 'menang', 'penalty', 'shoot', 'out']</t>
  </si>
  <si>
    <t>@okydokiiii @idextratime Ini ngomongin euro 2016?. Gue setuju peak karir babang do rentang 2014-2018 abis itu ya kembali biasa lagi di luar sempet dapet UNL  Kalo babang do masih kayak 2014-2018 dengan skuad portugal kayak sekarang pasti masuk final kemar</t>
  </si>
  <si>
    <t>ini ngomongin euro gue setuju peak karir babang rentang abis itu kembali biasa lagi luar sempet dapet unl kalo babang masih kayak dengan skuad portugal kayak sekarang pasti masuk final kemar</t>
  </si>
  <si>
    <t>['ngomongin', 'euro', 'gue', 'setuju', 'peak', 'karir', 'babang', 'rentang', 'abis', 'biasa', 'luar', 'sempet', 'dapat', 'unl', 'babang', 'seperti', 'skuad', 'portugal', 'seperti', 'sekarang', 'masuk', 'final', 'kemar']</t>
  </si>
  <si>
    <t>Gua kasih tau sebagai pemaen sbobet, yang menurut lu ini kompetitif dan keliatan kompetitif itu bandar @HideTride wkwkwk. Jadi misal argen pur SURINAME 3 ternyata menang nya cuma 1.</t>
  </si>
  <si>
    <t>gua kasih tau sebagai pemaen sbobet yang menurut ini kompetitif dan keliatan kompetitif itu bandar wkwkwk jadi misal argen pur suriname ternyata menang nya cuma</t>
  </si>
  <si>
    <t>['gua', 'kasih', 'pemaen', 'sbobet', 'kompetitif', 'keliatan', 'kompetitif', 'bandar', 'wkwkwk', 'jadi', 'misal', 'argen', 'pur', 'suriname', 'ternyata', 'menang', 'cuma']</t>
  </si>
  <si>
    <t xml:space="preserve">@Shinoa_hiiragii @orrshktse @haruuuuharuuuya @idextratime ‚ÄúKalo lagi stress karena argen menang jangan buka medsos, nanti tambah stress‚Äù üôèüèº. Jgn standar ganda gitu kalo ribut2 aja gausa tbtb woman support woman. Lo mah woman support sesama fans </t>
  </si>
  <si>
    <t>hiiragii kalo lagi stress karena argen menang jangan buka medsos nanti tambah stress jgn standar ganda gitu kalo ribut aja gausa tbtb woman support woman mah woman support sesama fans</t>
  </si>
  <si>
    <t>['hiiragii', 'stress', 'argen', 'menang', 'jangan', 'buka', 'medsos', 'tambah', 'stress', 'standar', 'ganda', 'gitu', 'ribut', 'gausa', 'tbtb', 'woman', 'support', 'woman', 'mah', 'woman', 'support', 'sesama', 'fans']</t>
  </si>
  <si>
    <t>@TophBeifongOfc @orrshktse @haruuuuharuuuya @idextratime Kalo lagi stress karena argen menang jangan buka medsos, nanti tambah stress</t>
  </si>
  <si>
    <t>kalo lagi stress karena argen menang jangan buka medsos nanti tambah stress</t>
  </si>
  <si>
    <t>['stress', 'argen', 'menang', 'jangan', 'buka', 'medsos', 'tambah', 'stress']</t>
  </si>
  <si>
    <t>@shizutzyy @afrizalpradito @denbagushari @FaktaSepakbola Terkenal halu? Wkwkwk  Uda bang pelajaran di sekolah yg ga diajarin guru itu soal menerima kekalahan  Gw tau lu kalah judi, gausa bawa2 urusan lain intinya argen menang wkwkwk</t>
  </si>
  <si>
    <t>terkenal halu wkwkwk uda bang pelajaran sekolah diajarin guru itu soal menerima kekalahan tau kalah judi gausa bawa urusan lain intinya argen menang wkwkwk</t>
  </si>
  <si>
    <t>['terkenal', 'halusinasi', 'wkwkwk', 'uda', 'bang', 'pelajaran', 'sekolah', 'diajarin', 'guru', 'soal', 'menerima', 'kekalahan', 'kalah', 'judi', 'gausa', 'bawa', 'urusan', 'intinya', 'argen', 'menang', 'wkwkwk']</t>
  </si>
  <si>
    <t>@FaktaSepakbola Mbape jebolin  4 gol ke lo bosss lupa? iya argen bebas menang kok  ,messi pensiun kelarr kaliann cuma ampas2nya doang ,</t>
  </si>
  <si>
    <t>mbape jebolin gol bosss lupa iya argen bebas menang kok messi pensiun kelarr kaliann cuma ampas nya doang</t>
  </si>
  <si>
    <t>['mbape', 'jebolin', 'gol', 'bosss', 'lupa', 'iya', 'argen', 'bebas', 'menang', 'kok', 'messi', 'pensiun', 'kelarr', 'kaliann', 'cuma', 'ampas', 'doang']</t>
  </si>
  <si>
    <t>@shizutzyy @FaktaSepakbola Boleh perancis juga gak dapat 2 penalti masih menang argen kalau penalti dihapus üòÅüòÅ</t>
  </si>
  <si>
    <t>boleh perancis juga gak dapat penalti masih menang argen kalau penalti dihapus</t>
  </si>
  <si>
    <t>['perancis', 'penalti', 'menang', 'argen', 'kalau', 'penalti', 'dihapus']</t>
  </si>
  <si>
    <t>gabakal berenti sg argen menang pildun seminggu üòõüòõüòõüòõüòõüòõüòõüòõüòõüòõüòõüòõüòõ</t>
  </si>
  <si>
    <t>gabakal berenti argen menang pildun seminggu</t>
  </si>
  <si>
    <t>['gabakal', 'berenti', 'argen', 'menang', 'piala dunia', 'seminggu']</t>
  </si>
  <si>
    <t>@UcupCarrick Lah kan udh menang , udh kelar kali skrg party2 aja sama argen .. ini msh aja</t>
  </si>
  <si>
    <t>lah kan udh menang udh kelar kali skrg party aja sama argen ini msh aja</t>
  </si>
  <si>
    <t>['lah', 'kan', 'sudah', 'menang', 'sudah', 'kelar', 'kali', 'skrg', 'party', 'sama', 'argen', 'msh']</t>
  </si>
  <si>
    <t>@exyriously Yang penting menang argen</t>
  </si>
  <si>
    <t>yang penting menang argen</t>
  </si>
  <si>
    <t>['penting', 'menang', 'argen']</t>
  </si>
  <si>
    <t>kirain gak mungkin argen bakal menang</t>
  </si>
  <si>
    <t>['kirain', 'mungkin', 'argen', 'bakal', 'menang']</t>
  </si>
  <si>
    <t>@rismadwip @SiaranBolaLive ga pernah menang? wkwkwk waktu di barca messi bawa argen juara world cup u20 mba</t>
  </si>
  <si>
    <t>pernah menang wkwkwk waktu barca messi bawa argen juara world cup mba</t>
  </si>
  <si>
    <t>['pernah', 'menang', 'wkwkwk', 'waktu', 'barca', 'messi', 'bawa', 'argen', 'juara', 'world', 'cup', 'mba']</t>
  </si>
  <si>
    <t>@komedigelaap argen menang sih menang tp ga smpe 7 juta orang di monas jg üíÄ</t>
  </si>
  <si>
    <t>argen menang sih menang smpe juta orang monas</t>
  </si>
  <si>
    <t>['argen', 'menang', 'menang', 'smpe', 'juta', 'orang', 'monas']</t>
  </si>
  <si>
    <t>@UTDwib @idextratime Pemain lo bawa sial, 3 Gol Argen ke gawang Prancis itu pas Beknya pemain Tim Favorit lo, pas Konate masuk gantiin pemain lo itu, Konate kasih umpan Bagus ke Kolo Muani menit ke 123, sayang ga gol, harusnya Prancis bisa menang 4-3</t>
  </si>
  <si>
    <t>pemain bawa sial gol argen gawang prancis itu pas beknya pemain tim favorit pas konate masuk gantiin pemain itu konate kasih umpan bagus kolo muani menit sayang gol harusnya prancis bisa menang</t>
  </si>
  <si>
    <t>['pemain', 'bawa', 'sial', 'gol', 'argen', 'gawang', 'prancis', 'pas', 'beknya', 'pemain', 'tim', 'favorit', 'pas', 'konate', 'masuk', 'gantiin', 'pemain', 'konate', 'kasih', 'umpan', 'bagus', 'kolo', 'muani', 'menit', 'sayang', 'gol', 'harusnya', 'prancis', 'menang']</t>
  </si>
  <si>
    <t>@yaudaiyhh argen menang</t>
  </si>
  <si>
    <t>@BettrCallMessi @farizpahlev Ronaldo ucl 1 nya itu beneran main. Di madrid menang ucl dia juga kontribusi..ga cm penalti doang. 50%++ penalty messi di wc ini.  Messi 2006 wc, dr ro16/qf gamain...ya kaya kiper cadangan argen aja, gamain tp dpt medali wcü§</t>
  </si>
  <si>
    <t>ronaldo ucl nya itu beneran main madrid menang ucl dia juga kontribusi penalti doang penalty messi ini messi gamain kaya kiper cadangan argen aja gamain dpt medali</t>
  </si>
  <si>
    <t>['ronaldo', 'ucl', 'beneran', 'main', 'madrid', 'menang', 'ucl', 'kontribusi', 'penalti', 'doang', 'penalty', 'messi', 'messi', 'gamain', 'kaya', 'kiper', 'cadangan', 'argen', 'gamain', 'dpt', 'medali']</t>
  </si>
  <si>
    <t>Kalo kemarin world cup final ga seru, gw mungkin akan sangat frustrasi argen menang dan betingkah giniü§£ü§£ü§£ü§£ü§£ü§£</t>
  </si>
  <si>
    <t>kalo kemarin world cup final seru mungkin akan sangat frustrasi argen menang dan betingkah gini</t>
  </si>
  <si>
    <t>['kemarin', 'world', 'cup', 'final', 'seru', 'mungkin', 'sangat', 'frustrasi', 'argen', 'menang', 'betingkah', 'gini']</t>
  </si>
  <si>
    <t>Aku buat kebodohan din wkwk aku judi ambil argen pas udh final ku g pd soalnya dijudi Bola pd megang prancis   akhirnya ku lepas argennya 200k eh argen menang klo menang dpt 1.6 loh din ;( kan klo menang ku bisa dpt beli minum banyak banyak wkwk huft bodo kali aku. :(</t>
  </si>
  <si>
    <t>aku buat kebodohan din wkwk aku judi ambil argen pas udh final soalnya dijudi bola megang prancis akhirnya lepas argennya argen menang klo menang dpt loh din kan klo menang bisa dpt beli minum banyak banyak wkwk huft bodo kali aku</t>
  </si>
  <si>
    <t>['aku', 'buat', 'kebodohan', 'din', 'aku', 'judi', 'ambil', 'argen', 'pas', 'sudah', 'final', 'soalnya', 'dijudi', 'bola', 'megang', 'prancis', 'akhirnya', 'lepas', 'argennya', 'argen', 'menang', 'menang', 'dpt', 'din', 'kan', 'menang', 'dpt', 'beli', 'minum', 'banyak', 'banyak', 'huft', 'bodo', 'kali', 'aku']</t>
  </si>
  <si>
    <t>DAM GAMAU BUKA GIVEAWAY ATAU BALIK TREJO GITU KARENA ARGEN MENANG!?</t>
  </si>
  <si>
    <t>dam gamau buka giveaway atau balik trejo gitu karena argen menang</t>
  </si>
  <si>
    <t>['dam', 'gamau', 'buka', 'giveaway', 'balik', 'trejo', 'gitu', 'argen', 'menang']</t>
  </si>
  <si>
    <t>@jinhoon Happy ga argen menang, hyung?</t>
  </si>
  <si>
    <t>happy argen menang hyung</t>
  </si>
  <si>
    <t>['happy', 'argen', 'menang', 'hyung']</t>
  </si>
  <si>
    <t>@desembria_ Argen menang loh:)</t>
  </si>
  <si>
    <t>argen menang loh</t>
  </si>
  <si>
    <t>@idextratime emng tolol. gw ga suka liat argen menang tp ya mereka menang jadi gausah diganggu lah anjg. biarkan mereka rayain. dah kek aguero aja</t>
  </si>
  <si>
    <t>emng tolol suka liat argen menang mereka menang jadi gausah diganggu lah anjg biarkan mereka rayain dah kek aguero aja</t>
  </si>
  <si>
    <t>['memang', 'tolol', 'suka', 'lihat', 'argen', 'menang', 'menang', 'jadi', 'gausah', 'diganggu', 'lah', 'anjg', 'biarkan', 'rayain', 'dah', 'kek', 'aguero']</t>
  </si>
  <si>
    <t>pas argen menang tuh ky bisul pecah, krn selama ini messi udah menrefreshing mata gua disetiap tarian dia di atas lapangan. ky mikir "haduh nih org sayang bgt pesiun tnpa world cup, gak cocok doi tnp world cup"</t>
  </si>
  <si>
    <t>pas argen menang tuh bisul pecah krn selama ini messi udah menrefreshing mata gua disetiap tarian dia atas lapangan mikir haduh nih org sayang bgt pesiun tnpa world cup gak cocok doi tnp world cup</t>
  </si>
  <si>
    <t>['pas', 'argen', 'menang', 'bisul', 'pecah', 'selama', 'messi', 'udah', 'menrefreshing', 'mata', 'gua', 'disetiap', 'tarian', 'atas', 'lapangan', 'mikir', 'haduh', 'org', 'sayang', 'banget', 'pesiun', 'tnpa', 'world', 'cup', 'cocok', 'doi', 'tnp', 'world', 'cup']</t>
  </si>
  <si>
    <t>@Caallot untung argen yg menang, kalo amerika gua jadi gini  https://t.co/13LESXfgft</t>
  </si>
  <si>
    <t>untung argen menang kalo amerika gua jadi gini</t>
  </si>
  <si>
    <t>['untung', 'argen', 'menang', 'amerika', 'gua', 'jadi', 'gini']</t>
  </si>
  <si>
    <t>Habis argen menang, terbitlah liburan panjangg</t>
  </si>
  <si>
    <t>habis argen menang terbitlah liburan panjangg</t>
  </si>
  <si>
    <t>['habis', 'argen', 'menang', 'terbitlah', 'liburan', 'panjangg']</t>
  </si>
  <si>
    <t>@BettrCallMessi @farizpahlev @tjampurdebu @DeeaAlya Madrid kalah apa.. ucl juara  Lebron 2020 juara‚Ä¶  Madrid w itu, kl ketemu argen menang jauh</t>
  </si>
  <si>
    <t>madrid kalah apa ucl juara lebron juara madrid itu ketemu argen menang jauh</t>
  </si>
  <si>
    <t>['madrid', 'kalah', 'apa', 'ucl', 'juara', 'lebron', 'juara', 'madrid', 'ketemu', 'argen', 'menang', 'jauh']</t>
  </si>
  <si>
    <t>@weaupon argen juara menang pildun dybala menang juara 1 dihatiku</t>
  </si>
  <si>
    <t>argen juara menang pildun dybala menang juara dihatiku</t>
  </si>
  <si>
    <t>['argen', 'juara', 'menang', 'piala dunia', 'dybala', 'menang', 'juara', 'dihatiku']</t>
  </si>
  <si>
    <t>@CoinExIndonesia @prawiradiawan Baik min, semoga bisa menang udh nebak argen dri tgl 3 kmarin wkwkwk</t>
  </si>
  <si>
    <t>baik min semoga bisa menang udh nebak argen dri tgl kmarin wkwkwk</t>
  </si>
  <si>
    <t>['baik', 'min', 'semoga', 'menang', 'sudah', 'nebak', 'argen', 'dri', 'tgl', 'kmarin', 'wkwkwk']</t>
  </si>
  <si>
    <t>@sbyfess bersyukur banget argen menang üòçü§£ü§£</t>
  </si>
  <si>
    <t>bersyukur banget argen menang</t>
  </si>
  <si>
    <t>['bersyukur', 'banget', 'argen', 'menang']</t>
  </si>
  <si>
    <t>Puji Tuhan argen menang  https://t.co/UznUU5IP9J</t>
  </si>
  <si>
    <t>puji tuhan argen menang</t>
  </si>
  <si>
    <t>['puji', 'tuhan', 'argen', 'menang']</t>
  </si>
  <si>
    <t>@vanxnoe Alhamdulillah argen menang üò≠üôåüèÜüèÜ</t>
  </si>
  <si>
    <t>alhamdulillah argen menang</t>
  </si>
  <si>
    <t>['alhamdulillah', 'argen', 'menang']</t>
  </si>
  <si>
    <t xml:space="preserve">@polyisilane @idextratime fakta nya ya juara, menang adu penalti, trofi diserahin ke argen bukan france, keputusan kontroversi wasit itu opini orang-orang termasuk elu, kecuali udh ada banding dan FIFA keluarin statement kalo wasit emg salah, baru itu jd </t>
  </si>
  <si>
    <t>fakta nya juara menang adu penalti trofi diserahin argen bukan france keputusan kontroversi wasit itu opini orang orang termasuk elu kecuali udh ada banding dan fifa keluarin statement kalo wasit emg salah baru itu</t>
  </si>
  <si>
    <t>['fakta', 'juara', 'menang', 'adu', 'penalti', 'trofi', 'diserahin', 'argen', 'bukan', 'france', 'keputusan', 'kontroversi', 'wasit', 'opini', 'orang', 'orang', 'termasuk', 'elu', 'sudah', 'banding', 'fifa', 'keluarin', 'statement', 'wasit', 'memang', 'salah', 'baru']</t>
  </si>
  <si>
    <t>ini kayany kalo ga ada kejadian 27 mei gajelas itu kayany damie kemarin pas argen menang dia up foto bareng hyunsuk lagi nonton bola deh sambil pake jersey gitu  https://t.co/Q7rfaGPVdL</t>
  </si>
  <si>
    <t>ini kayany kalo ada kejadian mei gajelas itu kayany damie kemarin pas argen menang dia foto bareng hyunsuk lagi nonton bola deh sambil pake jersey gitu</t>
  </si>
  <si>
    <t>['kayany', 'kejadian', 'mei', 'gajelas', 'kayany', 'damie', 'kemarin', 'pas', 'argen', 'menang', 'foto', 'bareng', 'hyunsuk', 'nonton', 'bola', 'deh', 'pake', 'jersey', 'gitu']</t>
  </si>
  <si>
    <t>No offense ya fans perancis üôè w juga maren berharap kalian yg menang tbh biar ga besar kepala aja sih  Tapi ya.... Gimana, settingannya uda begitu üôè turut berduka cita pran dan selamat argen</t>
  </si>
  <si>
    <t>offense fans perancis juga maren berharap kalian menang tbh biar besar kepala aja sih tapi gimana settingannya uda begitu turut berduka cita pran dan selamat argen</t>
  </si>
  <si>
    <t>['offense', 'fans', 'perancis', 'maren', 'berharap', 'kalian', 'menang', 'tbh', 'besar', 'kepala', 'gimana', 'settingannya', 'uda', 'turut', 'berduka', 'cita', 'pran', 'selamat', 'argen']</t>
  </si>
  <si>
    <t xml:space="preserve">@Txt_Babekoe @KaKa01175473 @Gaotronaldo32 @idextratime Maen aluss matamu , Lo pikir adu penalti udah ada garansi yg menang pasti argen? Lo galiat spanyol , Brazil yg tim gede ada aja lewat adu penalti bisa kalah sama yg bukan unggulan.   Ilangin dulu deh </t>
  </si>
  <si>
    <t>babekoe maen aluss matamu pikir adu penalti udah ada garansi menang pasti argen galiat spanyol brazil tim gede ada aja lewat adu penalti bisa kalah sama bukan unggulan ilangin dulu deh</t>
  </si>
  <si>
    <t>['babekoe', 'maen', 'aluss', 'matamu', 'pikir', 'adu', 'penalti', 'udah', 'garansi', 'menang', 'argen', 'galiat', 'spanyol', 'brazil', 'tim', 'gede', 'lewat', 'adu', 'penalti', 'kalah', 'sama', 'bukan', 'unggulan', 'ilangin', 'dulu', 'deh']</t>
  </si>
  <si>
    <t>kalah dibully abis abisan menang dikira setingan....üòÄ#argen</t>
  </si>
  <si>
    <t>kalah dibully abis abisan menang dikira setingan</t>
  </si>
  <si>
    <t>['kalah', 'dibully', 'abis', 'abisan', 'menang', 'dikira', 'settingan']</t>
  </si>
  <si>
    <t>@Txt_Babekoe @Jaseeeeeeee27 @KaKa01175473 @Gaotronaldo32 @idextratime main alus, emang ada garansi argen menang klo di kasi pinalti ?</t>
  </si>
  <si>
    <t>babekoe main alus emang ada garansi argen menang klo kasi pinalti</t>
  </si>
  <si>
    <t>['babekoe', 'main', 'alus', 'emang', 'garansi', 'argen', 'menang', 'kasi', 'penalti']</t>
  </si>
  <si>
    <t>@433 @aguerosergiokun Tbtb jd lupa sama penyakitnya gra gra argen menang wkwk</t>
  </si>
  <si>
    <t>tbtb lupa sama penyakitnya gra gra argen menang wkwk</t>
  </si>
  <si>
    <t>['tbtb', 'lupa', 'sama', 'penyakitnya', 'gra', 'gra', 'argen', 'menang']</t>
  </si>
  <si>
    <t xml:space="preserve">@vickyh23_ @idextratime Itu sih emang uda di siapkan bagi tim tim yg masuk final. Yg jdi pertanyaan itu kenapa stadion hampir penuh suporter argentina dan suporter francia hanya sedikit, lebih mikir suporter uda tau kalau francia bakal kalah dan argen yg </t>
  </si>
  <si>
    <t>itu sih emang uda siapkan bagi tim tim masuk final jdi pertanyaan itu kenapa stadion hampir penuh suporter argentina dan suporter francia hanya sedikit lebih mikir suporter uda tau kalau francia bakal kalah dan argen</t>
  </si>
  <si>
    <t>['emang', 'uda', 'siapkan', 'tim', 'tim', 'masuk', 'final', 'jdi', 'pertanyaan', 'stadion', 'hampir', 'penuh', 'suporter', 'argentina', 'suporter', 'francia', 'sedikit', 'lebih', 'mikir', 'suporter', 'uda', 'kalau', 'francia', 'bakal', 'kalah', 'argen']</t>
  </si>
  <si>
    <t>@KaKa01175473 @Gaotronaldo32 @idextratime Kalo jelas setting-an ngapain pake sampe adu penalti segala blok , ngapain juga mbappe dikasih penalti di extra , kasih menang aja lgsg kalo argen yg menang gausah di buat sampe penalti segala , kocak fans Dodo yg</t>
  </si>
  <si>
    <t>kalo jelas setting ngapain pake sampe adu penalti segala blok ngapain juga mbappe dikasih penalti extra kasih menang aja lgsg kalo argen menang gausah buat sampe penalti segala kocak fans dodo</t>
  </si>
  <si>
    <t>['jelas', 'setting', 'ngapain', 'pake', 'sampai', 'adu', 'penalti', 'segala', 'blok', 'ngapain', 'mbappe', 'dikasih', 'penalti', 'extra', 'kasih', 'menang', 'lgsg', 'argen', 'menang', 'gausah', 'buat', 'sampai', 'penalti', 'segala', 'kocak', 'fans', 'dodo']</t>
  </si>
  <si>
    <t>Udah dong pamernya, kan skornya sama, bukan kalah skill, kalah beruntung. Lo bisa aja PD skrang, gaya skrang, padahal dulunya gak dukung Argen, skenag baru menang koar2:v setidaknya gua bangga udh ada sejak awal sampai akhir untuk Les bleus Prancis. Daripada muncul pas juara aja</t>
  </si>
  <si>
    <t>udah dong pamernya kan skornya sama bukan kalah skill kalah beruntung bisa aja skrang gaya skrang padahal dulunya gak dukung argen skenag baru menang koar setidaknya gua bangga udh ada sejak awal sampai akhir untuk les bleus prancis daripada muncul pas juara aja</t>
  </si>
  <si>
    <t>['udah', 'dong', 'pamernya', 'kan', 'skornya', 'sama', 'bukan', 'kalah', 'skill', 'kalah', 'beruntung', 'skrang', 'gaya', 'skrang', 'padahal', 'dukung', 'argen', 'skenag', 'baru', 'menang', 'koar', 'gua', 'bangga', 'sudah', 'sejak', 'awal', 'akhir', 'les', 'bleus', 'prancis', 'muncul', 'pas', 'juara']</t>
  </si>
  <si>
    <t>@AoiKanakoVT Soalnya aku menang waktu bet argen jepang 200k</t>
  </si>
  <si>
    <t>soalnya aku menang waktu bet argen jepang</t>
  </si>
  <si>
    <t>['soalnya', 'aku', 'menang', 'waktu', 'bet', 'argen', 'jepang']</t>
  </si>
  <si>
    <t>@The_RedsIndo Kenapa ngak tanya Giovani LoCeslo sekalian yg gamasuk squad terus ikutan ngangkat piala ? ,mungkin itu cara Argen buat hargain kinerjanya pas sebelum pensiun sempet kalah 3 final .misal Bepe ikut angkat piala Aff kalo Indonesia menang juga g</t>
  </si>
  <si>
    <t>redsindo kenapa ngak tanya giovani loceslo sekalian gamasuk squad terus ikutan ngangkat piala mungkin itu cara argen buat hargain kinerjanya pas sebelum pensiun sempet kalah final misal bepe ikut angkat piala aff kalo indonesia menang juga</t>
  </si>
  <si>
    <t>['redsindo', 'ngak', 'tanya', 'giovani', 'loceslo', 'sekalian', 'gamasuk', 'squad', 'terus', 'ikutan', 'ngangkat', 'piala', 'mungkin', 'cara', 'argen', 'buat', 'hargain', 'kinerjanya', 'pas', 'pensiun', 'sempet', 'kalah', 'final', 'misal', 'bepe', 'ikut', 'angkat', 'piala', 'aff', 'indonesia', 'menang']</t>
  </si>
  <si>
    <t>@gigiyaya99 @FaktaSepakbola @gastypm Lah justru karena mereka paham kapasitasnya seberapa trus malah menang jadi suatu kebanggan lah. apalagi kemarin kan statusnya argen unbeaten dipatahin sama saudi, ya mungkin mereka merasa bangga itu pencapaian dan cat</t>
  </si>
  <si>
    <t>lah justru karena mereka paham kapasitasnya seberapa trus malah menang jadi suatu kebanggan lah apalagi kemarin kan statusnya argen unbeaten dipatahin sama saudi mungkin mereka merasa bangga itu pencapaian dan cat</t>
  </si>
  <si>
    <t>['lah', 'justru', 'paham', 'kapasitasnya', 'seberapa', 'trus', 'malah', 'menang', 'jadi', 'suatu', 'kebanggan', 'lah', 'kemarin', 'kan', 'statusnya', 'argen', 'unbeaten', 'dipatahin', 'sama', 'saudi', 'mungkin', 'merasa', 'bangga', 'pencapaian', 'cat']</t>
  </si>
  <si>
    <t>@qorygore gwejh qor yang full senyum argen menang  https://t.co/HmzJxtBrMC</t>
  </si>
  <si>
    <t>gwejh qor yang full senyum argen menang</t>
  </si>
  <si>
    <t>['gwejh', 'qor', 'full', 'senyum', 'argen', 'menang']</t>
  </si>
  <si>
    <t>@idextratime pelatih yang wajahnya selalu flat saat argen menang  underrated coach</t>
  </si>
  <si>
    <t>pelatih yang wajahnya selalu flat saat argen menang underrated coach</t>
  </si>
  <si>
    <t>['pelatih', 'wajahnya', 'selalu', 'flat', 'argen', 'menang', 'underrated', 'coach']</t>
  </si>
  <si>
    <t>@jalalalfaruk @recehtapisayng all in argen ke moal menang</t>
  </si>
  <si>
    <t>all argen moal menang</t>
  </si>
  <si>
    <t>['all', 'argen', 'moal', 'menang']</t>
  </si>
  <si>
    <t>@yourjiminie aku kmrn pegang prancis walau tau argen yg bakal menang wkwkw</t>
  </si>
  <si>
    <t>aku kmrn pegang prancis walau tau argen bakal menang wkwkw</t>
  </si>
  <si>
    <t>['aku', 'kmrn', 'pegang', 'prancis', 'argen', 'bakal', 'menang', 'wkwkw']</t>
  </si>
  <si>
    <t>@Jmyz_01 @realmadridindo1 Orang indonesia aja banyak yg bereuforia + songong waktu argen menang, masa dia gabole foto gitu, padahal kan org argen asli üòî</t>
  </si>
  <si>
    <t>orang indonesia aja banyak bereuforia songong waktu argen menang masa dia gabole foto gitu padahal kan org argen asli</t>
  </si>
  <si>
    <t>['orang', 'indonesia', 'banyak', 'bereuforia', 'songong', 'waktu', 'argen', 'menang', 'masa', 'gabole', 'foto', 'gitu', 'padahal', 'kan', 'org', 'argen', 'asli']</t>
  </si>
  <si>
    <t>yedam cenayang argen menang üò≠üò≠</t>
  </si>
  <si>
    <t>yedam cenayang argen menang</t>
  </si>
  <si>
    <t>['yedam', 'cenayang', 'argen', 'menang']</t>
  </si>
  <si>
    <t>@hpystrx @ignatiuswisnu01 hahaha argen menang wisnu nt</t>
  </si>
  <si>
    <t>hahaha argen menang wisnu</t>
  </si>
  <si>
    <t>['hahaha', 'argen', 'menang', 'wisnu']</t>
  </si>
  <si>
    <t>@Rchkm_ lebih kangen giroud sama theo main si sampe abis cang, biar bisa menang 90 menit argen, pake ditarik, prancis jd bisa ngejar. wkwkwkwkwk</t>
  </si>
  <si>
    <t>lebih kangen giroud sama theo main sampe abis cang biar bisa menang menit argen pake ditarik prancis bisa ngejar wkwkwkwkwk</t>
  </si>
  <si>
    <t>['lebih', 'kangen', 'giroud', 'sama', 'theo', 'main', 'sampai', 'abis', 'cang', 'menang', 'menit', 'argen', 'pake', 'ditarik', 'prancis', 'ngejar', 'wkwkwkwkwk']</t>
  </si>
  <si>
    <t>@inikyaaw @aMrazing argen menang cuy</t>
  </si>
  <si>
    <t>argen menang cuy</t>
  </si>
  <si>
    <t>karena yg menang messi (argen) ??</t>
  </si>
  <si>
    <t>karena menang messi argen</t>
  </si>
  <si>
    <t>['menang', 'messi', 'argen']</t>
  </si>
  <si>
    <t>gapapa france kalah sama argen yang penting nanti MU menang. lawan barca</t>
  </si>
  <si>
    <t>gapapa france kalah sama argen yang penting nanti menang lawan barca</t>
  </si>
  <si>
    <t>['gapapa', 'france', 'kalah', 'sama', 'argen', 'penting', 'menang', 'lawan', 'barca']</t>
  </si>
  <si>
    <t>Tapi Alhamdulillah ARGEN MENANG</t>
  </si>
  <si>
    <t>tapi alhamdulillah argen menang</t>
  </si>
  <si>
    <t>Kapan abisnya ini berita argen menang pildun  https://t.co/FllbXIaEFT</t>
  </si>
  <si>
    <t>kapan abisnya ini berita argen menang pildun</t>
  </si>
  <si>
    <t>['kapan', 'abisnya', 'berita', 'argen', 'menang', 'piala dunia']</t>
  </si>
  <si>
    <t>¬π¬π kita sedang manifest semoga argen menang, trs abis itu guah ketiduran wkwkwk  https://t.co/qgsKqT2yN1</t>
  </si>
  <si>
    <t>kita sedang manifest semoga argen menang trs abis itu guah ketiduran wkwkwk</t>
  </si>
  <si>
    <t>['sedang', 'manifest', 'semoga', 'argen', 'menang', 'terus', 'abis', 'guah', 'ketiduran', 'wkwkwk']</t>
  </si>
  <si>
    <t>Keknya emang bener deh, argentina menang dari france ga murni, emang dari wasitnya aja yg selalu menangin argen, dari pelanggaran dimaria aja udah jelas gampang bgt dptin pinalti, sedangkan france susah bgt dptin pelanggaran dri argen klo ga fatal mah.</t>
  </si>
  <si>
    <t>keknya emang bener deh argentina menang dari france murni emang dari wasitnya aja selalu menangin argen dari pelanggaran dimaria aja udah jelas gampang bgt dptin pinalti sedangkan france susah bgt dptin pelanggaran dri argen klo fatal mah</t>
  </si>
  <si>
    <t>['sepertinya', 'emang', 'benar', 'deh', 'argentina', 'menang', 'france', 'murni', 'emang', 'wasitnya', 'selalu', 'menangin', 'argen', 'pelanggaran', 'dimaria', 'udah', 'jelas', 'gampang', 'banget', 'dptin', 'penalti', 'france', 'susah', 'banget', 'dptin', 'pelanggaran', 'dri', 'argen', 'fatal', 'mah']</t>
  </si>
  <si>
    <t>@Cidanaiskadar seneng bgtt argen menang walaupun sblmnya sempat ketar ketir sm mbappeüò≠üëç</t>
  </si>
  <si>
    <t>seneng bgtt argen menang walaupun sblmnya sempat ketar ketir mbappe</t>
  </si>
  <si>
    <t>['seneng', 'bgtt', 'argen', 'menang', 'walaupun', 'sblmnya', 'sempat', 'ketar', 'ketir', 'mbappe']</t>
  </si>
  <si>
    <t>@Oathkeeper____ Iya bisa berangkat, pulangnya gak bisaüòå, Terlalu Memaksakan keadaan, tapi kalo udah fanatik apapun dilakukan.  Timnas argen menang pun pasti jadi buat nutupin berita inflasi nya, yah tau lah.</t>
  </si>
  <si>
    <t>iya bisa berangkat pulangnya gak bisa terlalu memaksakan keadaan tapi kalo udah fanatik apapun dilakukan timnas argen menang pun pasti jadi buat nutupin berita inflasi nya yah tau lah</t>
  </si>
  <si>
    <t>['iya', 'berangkat', 'pulangnya', 'terlalu', 'memaksakan', 'keadaan', 'udah', 'fanatik', 'apapun', 'dilakukan', 'timnas', 'argen', 'menang', 'jadi', 'buat', 'nutupin', 'berita', 'inflasi', 'lah']</t>
  </si>
  <si>
    <t>@Tome_Tome002 @idextratime @Santi_J_FM Udah smile dik, berkat argen menang di final dompet gw full senyum</t>
  </si>
  <si>
    <t>tome udah smile dik berkat argen menang final dompet full senyum</t>
  </si>
  <si>
    <t>['tome', 'udah', 'smile', 'dik', 'berkat', 'argen', 'menang', 'final', 'dompet', 'full', 'senyum']</t>
  </si>
  <si>
    <t>@muika Menang ga ya kaya argen kira kira</t>
  </si>
  <si>
    <t>menang kaya argen kira kira</t>
  </si>
  <si>
    <t>['menang', 'kaya', 'argen', 'kira', 'kira']</t>
  </si>
  <si>
    <t>@memefess sma" rungkad lahü§£90menit berakhir seri. klopun psang bola jalan wktu et jg seri. kcuali yg psang outrightnya Argen baru menang</t>
  </si>
  <si>
    <t>sma rungkad lah menit berakhir seri klopun psang bola jalan wktu seri kcuali psang outrightnya argen baru menang</t>
  </si>
  <si>
    <t>['sma', 'rungkad', 'lah', 'menit', 'berakhir', 'seri', 'klopun', 'psang', 'bola', 'jalan', 'wktu', 'seri', 'kcuali', 'psang', 'outrightnya', 'argen', 'baru', 'menang']</t>
  </si>
  <si>
    <t>@kelelalay @aguerosergiokun aslinaa, kun tengil parah ajg abong menang argen</t>
  </si>
  <si>
    <t>aslinaa kun tengil parah ajg abong menang argen</t>
  </si>
  <si>
    <t>['aslinaa', 'kun', 'tengil', 'parah', 'ajg', 'abong', 'menang', 'argen']</t>
  </si>
  <si>
    <t>@RiyaniWidiarso @GanoraID @andri_amico @NicoRomald @idextratime kalo menang kalah iya, kalo tebak juara yang pegang argen full senyum</t>
  </si>
  <si>
    <t>amico kalo menang kalah iya kalo tebak juara yang pegang argen full senyum</t>
  </si>
  <si>
    <t>['amico', 'menang', 'kalah', 'iya', 'tebak', 'juara', 'pegang', 'argen', 'full', 'senyum']</t>
  </si>
  <si>
    <t>@bobbyndk mimpi aq kau kasih aq uangüò≠ karma menang argen WKWKWK KOCAKüò≠üò≠</t>
  </si>
  <si>
    <t>mimpi kau kasih uang karma menang argen wkwkwk kocak</t>
  </si>
  <si>
    <t>['mimpi', 'kau', 'kasih', 'uang', 'karma', 'menang', 'argen', 'wkwkwk', 'kocak']</t>
  </si>
  <si>
    <t>menang argen sih</t>
  </si>
  <si>
    <t>['menang', 'argen']</t>
  </si>
  <si>
    <t>wkwkwkwk kocak bener, mau prancis atau argen yg menang lo dapet apaansi padaan</t>
  </si>
  <si>
    <t>wkwkwkwk kocak bener mau prancis atau argen menang dapet apaansi padaan</t>
  </si>
  <si>
    <t>['wkwkwkwk', 'kocak', 'benar', 'mau', 'prancis', 'argen', 'menang', 'dapat', 'apaansi', 'padaan']</t>
  </si>
  <si>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</si>
  <si>
    <t>dari dikatain jagoan kandang gabisa ngasih apa negaranya pahlawan chile prank pensiun gagal penalty semuanya pada ngeledekin pas messi gagal terus bawa argen juara dan akhirnya bisa bungkam haters dgn cara elegan menang copa america finallisima dan</t>
  </si>
  <si>
    <t>['dikatain', 'jagoan', 'kandang', 'gabisa', 'ngasih', 'apa', 'negaranya', 'pahlawan', 'chile', 'prank', 'pensiun', 'gagal', 'penalty', 'semuanya', 'ngeledekin', 'pas', 'messi', 'gagal', 'terus', 'bawa', 'argen', 'juara', 'akhirnya', 'bungkam', 'haters', 'cara', 'elegan', 'menang', 'copa', 'america', 'finallisima']</t>
  </si>
  <si>
    <t>dibabak pertama ga nyangka bgt permainan argen mendominasi &amp;amp; ngeliat di maria starter awalüòç bbak 1 nyetak 2 golüò≥ temen gue pada udh bilang menang, org2 yg nobar sekitar gue juga tp gue gatau kenapa gatenang aja gitu, ini perancis loh.</t>
  </si>
  <si>
    <t>dibabak pertama nyangka bgt permainan argen mendominasi ngeliat maria starter awal bbak nyetak gol temen gue pada udh bilang menang org nobar sekitar gue juga gue gatau kenapa gatenang aja gitu ini perancis loh</t>
  </si>
  <si>
    <t>['dibabak', 'pertama', 'nyangka', 'banget', 'permainan', 'argen', 'mendominasi', 'ngeliat', 'maria', 'starter', 'awal', 'bbak', 'nyetak', 'gol', 'temen', 'gue', 'sudah', 'menang', 'org', 'nonton bareng', 'gue', 'gue', 'gatau', 'gatenang', 'gitu', 'perancis']</t>
  </si>
  <si>
    <t>di semifinal lawan kroasia,GUE KETIDURAN PADAHAL UDH ALARMüò° tp gatauu gue pede bgt aja yaa itu argen menang..karna kroasia agak kurang aja pildun tahun ini. dan akhirnya menang 3-0.üòÅ  https://t.co/XDlL92IXGH</t>
  </si>
  <si>
    <t>semifinal lawan kroasia gue ketiduran padahal udh alarm gatauu gue pede bgt aja yaa itu argen menang karna kroasia agak kurang aja pildun tahun ini dan akhirnya menang</t>
  </si>
  <si>
    <t>['semifinal', 'lawan', 'kroasia', 'gue', 'ketiduran', 'padahal', 'sudah', 'alarm', 'gatauu', 'gue', 'percaya diri', 'banget', 'ya', 'argen', 'menang', 'karna', 'kroasia', 'kurang', 'piala dunia', 'tahun', 'akhirnya', 'menang']</t>
  </si>
  <si>
    <t>itu tidur aja gue cuma 2 jam saking kepikirannya anjirüò≠üò≠ bangun2 ngecek menang adu pinalti, dari situ gue pede bgt siapapun lawan argen kalo sampe pinalti, FIX MEREKA MENANG. üòÇüá¶üá∑</t>
  </si>
  <si>
    <t>itu tidur aja gue cuma jam saking kepikirannya anjir bangun ngecek menang adu pinalti dari situ gue pede bgt siapapun lawan argen kalo sampe pinalti fix mereka menang</t>
  </si>
  <si>
    <t>['tidur', 'gue', 'cuma', 'jam', 'saking', 'kepikirannya', 'anjir', 'bangun', 'ngecek', 'menang', 'adu', 'penalti', 'situ', 'gue', 'percaya diri', 'banget', 'siapapun', 'lawan', 'argen', 'sampai', 'penalti', 'fix', 'menang']</t>
  </si>
  <si>
    <t>emg dramatis bgt sih argentina vs belanda, ditambah sblmnya pelatih belanda ada komen bikin panas pemain argen, banyak ribut pas main, kek tarkam njir sampe 17 kartu kuningüò≥üò•yaa pantes kl menang terus tengilü§£  https://t.co/4DGas9Z6vo</t>
  </si>
  <si>
    <t>emg dramatis bgt sih argentina belanda ditambah sblmnya pelatih belanda ada komen bikin panas pemain argen banyak ribut pas main kek tarkam njir sampe kartu kuning yaa pantes menang terus tengil</t>
  </si>
  <si>
    <t>['memang', 'dramatis', 'banget', 'argentina', 'belanda', 'ditambah', 'sblmnya', 'pelatih', 'belanda', 'komen', 'panas', 'pemain', 'argen', 'banyak', 'ribut', 'pas', 'main', 'kek', 'tarkam', 'njir', 'sampai', 'kartu', 'kuning', 'ya', 'pantes', 'menang', 'terus', 'tengil']</t>
  </si>
  <si>
    <t>dipertambahan waktu 15x2 mnt gue ganonton ,udah gakuat nonton sendiri..jantung udah gajelas, akhirnya lebih milih tidur...biar kalo bangun liat argen kalah, ga nyesek dibanding nonton secara liveüòÖü§£ tidur juga cmn  2 jam saking kepikiran,kebangun kepikiran menang apa kalah yaüò≠</t>
  </si>
  <si>
    <t>dipertambahan waktu mnt gue ganonton udah gakuat nonton sendiri jantung udah gajelas akhirnya lebih milih tidur biar kalo bangun liat argen kalah nyesek dibanding nonton secara live tidur juga cmn jam saking kepikiran kebangun kepikiran menang apa kalah</t>
  </si>
  <si>
    <t>['dipertambahan', 'waktu', 'mnt', 'gue', 'ganonton', 'udah', 'gakuat', 'nonton', 'sendiri', 'jantung', 'udah', 'gajelas', 'akhirnya', 'lebih', 'milih', 'tidur', 'bangun', 'lihat', 'argen', 'kalah', 'nyesek', 'dibanding', 'nonton', 'live', 'tidur', 'cmn', 'jam', 'saking', 'kepikiran', 'kebangun', 'kepikiran', 'menang', 'apa', 'kalah']</t>
  </si>
  <si>
    <t>@dialogceyi Aaaaaaaakkk üíïüíï  ga kebayang deh itu kalo bukan argen yg menang.. bisa2 kena backlash ga sih yg menangnya secara pendukung nopung 10 banyak bgt dan some of them fanatic nya serem. -.</t>
  </si>
  <si>
    <t>aaaaaaaakkk kebayang deh itu kalo bukan argen menang bisa kena backlash sih menangnya secara pendukung nopung banyak bgt dan some them fanatic nya serem</t>
  </si>
  <si>
    <t>['aaaaaaaakkk', 'kebayang', 'deh', 'bukan', 'argen', 'menang', 'kena', 'backlash', 'menangnya', 'pendukung', 'nopung', 'banyak', 'banget', 'some', 'them', 'fanatic', 'serem']</t>
  </si>
  <si>
    <t>*ehem argen menang,  ü´≥üèªcolek @agilyulianto1 ditunggu ya</t>
  </si>
  <si>
    <t>ehem argen menang colek ditunggu</t>
  </si>
  <si>
    <t>['ehem', 'argen', 'menang', 'colek', 'ditunggu']</t>
  </si>
  <si>
    <t>@reyhanynrr fyi gue bukan fans messi tp gue seneng argen menang , yuhuu jackpot</t>
  </si>
  <si>
    <t>fyi gue bukan fans messi gue seneng argen menang yuhuu jackpot</t>
  </si>
  <si>
    <t>['for your information', 'gue', 'bukan', 'fans', 'messi', 'gue', 'seneng', 'argen', 'menang', 'yuhuu', 'jackpot']</t>
  </si>
  <si>
    <t>‚ö†Ô∏è‚ö†Ô∏èGIVEAWAY‚ö†Ô∏è‚ö†Ô∏è üö©üö©HELP RETWEET Hi everyone karena argen menang aku mau giveaway 3 poca ini -jaehyun universe -haechan glimo -seungmin oddinary syaratnya hanya like retweet and perhaps be my moots? (sbt acc only) -packing aku tanggung  https://t.co/qPxGpcReC9</t>
  </si>
  <si>
    <t>giveaway help retweet everyone karena argen menang aku mau giveaway poca ini jaehyun universe haechan glimo seungmin oddinary syaratnya hanya like retweet and perhaps moots sbt acc only packing aku tanggung</t>
  </si>
  <si>
    <t>['giveaway', 'help', 'retweet', 'everyone', 'argen', 'menang', 'aku', 'mau', 'giveaway', 'poca', 'jaehyun', 'universe', 'haechan', 'glimo', 'seungmin', 'oddinary', 'syaratnya', 'like', 'retweet', 'and', 'perhaps', 'moots', 'sbt', 'acc', 'only', 'packing', 'aku', 'tanggung']</t>
  </si>
  <si>
    <t>masih ga terima argen menang !!</t>
  </si>
  <si>
    <t>masih terima argen menang</t>
  </si>
  <si>
    <t>['terima', 'argen', 'menang']</t>
  </si>
  <si>
    <t>kalo gini caranya mah w rela anying argen menang , emang bangsat menteri olahraganya ü§Æüò°</t>
  </si>
  <si>
    <t>kalo gini caranya mah rela anying argen menang emang bangsat menteri olahraganya</t>
  </si>
  <si>
    <t>['gini', 'caranya', 'mah', 'rela', 'anying', 'argen', 'menang', 'emang', 'bangsat', 'menteri', 'olahraganya']</t>
  </si>
  <si>
    <t>@sekangkung Menang bege doi ngebid argen</t>
  </si>
  <si>
    <t>menang bege doi ngebid argen</t>
  </si>
  <si>
    <t>['menang', 'bege', 'doi', 'ngebid', 'argen']</t>
  </si>
  <si>
    <t>@lezatbergiziges @azidane2802 @indigoblok @idextratime Ya, karena lu puas argen yg menang, klo yg menang prancis paling juga ngangengong lu</t>
  </si>
  <si>
    <t>karena puas argen menang klo menang prancis paling juga ngangengong</t>
  </si>
  <si>
    <t>['puas', 'argen', 'menang', 'menang', 'prancis', 'paling', 'ngangengong']</t>
  </si>
  <si>
    <t>@qorygore Gue Qor, bodoamat ama pildun ke. Argen menang ke, Perancis kalah ke. Maksud gue. Sama-sama aja hidup gue begini kaga ada beda-bedanya.</t>
  </si>
  <si>
    <t>gue qor bodoamat ama pildun argen menang perancis kalah maksud gue sama sama aja hidup gue begini kaga ada beda bedanya</t>
  </si>
  <si>
    <t>['gue', 'qor', 'bodoamat', 'ama', 'piala dunia', 'argen', 'menang', 'perancis', 'kalah', 'maksud', 'gue', 'sama', 'sama', 'hidup', 'gue', 'begini', 'kaga', 'beda', 'bedanya']</t>
  </si>
  <si>
    <t>@ignatiuswisnu01 cieee argen menang</t>
  </si>
  <si>
    <t>cieee argen menang</t>
  </si>
  <si>
    <t>['cieee', 'argen', 'menang']</t>
  </si>
  <si>
    <t>@bintangmoehtar Gua kalo argen menang 2-1 dapet sejuta tuh peb wkwk</t>
  </si>
  <si>
    <t>gua kalo argen menang dapet sejuta tuh peb wkwk</t>
  </si>
  <si>
    <t>['gua', 'argen', 'menang', 'dapat', 'sejuta', 'peb']</t>
  </si>
  <si>
    <t>@dutagoldluck haruse nganggo coro ne wingi pasang argen, yen prancis kalah setidake menang taruhan wkwk</t>
  </si>
  <si>
    <t>haruse nganggo coro wingi pasang argen yen prancis kalah setidake menang taruhan wkwk</t>
  </si>
  <si>
    <t>['haruse', 'nganggo', 'coro', 'wingi', 'pasang', 'argen', 'yen', 'prancis', 'kalah', 'setidake', 'menang', 'taruhan']</t>
  </si>
  <si>
    <t>@LianGantari Senang karena argen menang</t>
  </si>
  <si>
    <t>senang karena argen menang</t>
  </si>
  <si>
    <t>['senang', 'argen', 'menang']</t>
  </si>
  <si>
    <t>gue ngebayangin yedam nge wv argen menang smlm wk udah ah mau nangis aja lah anjing</t>
  </si>
  <si>
    <t>gue ngebayangin yedam nge argen menang smlm udah mau nangis aja lah anjing</t>
  </si>
  <si>
    <t>['gue', 'ngebayangin', 'yedam', 'nge', 'argen', 'menang', 'smlm', 'udah', 'mau', 'nangis', 'lah', 'anjing']</t>
  </si>
  <si>
    <t>buka sosmed smunya argen menang pildun. aku bete deh :(</t>
  </si>
  <si>
    <t>buka sosmed smunya argen menang pildun aku bete deh</t>
  </si>
  <si>
    <t>['buka', 'sosmed', 'smunya', 'argen', 'menang', 'piala dunia', 'aku', 'bete', 'deh']</t>
  </si>
  <si>
    <t>@oesman888 @dhmell @potatohead8623 cuan argentina menang kelazzz ga sia2 all in argen</t>
  </si>
  <si>
    <t>cuan argentina menang kelazzz sia all argen</t>
  </si>
  <si>
    <t>['cuan', 'argentina', 'menang', 'kelazzz', 'sia', 'all', 'argen']</t>
  </si>
  <si>
    <t>@idextratime fair tp gmn yh sat utg argen menang</t>
  </si>
  <si>
    <t>fair gmn sat utg argen menang</t>
  </si>
  <si>
    <t>['fair', 'gmn', 'sat', 'utg', 'argen', 'menang']</t>
  </si>
  <si>
    <t>Argen dan prancis layak menang. Laga kemarin setelah turun minum adalah laga final mbappe vs argen.  Prancis kalah karna di awal kecolongan kelebaran lapangan kanan yg dimana di Maria selalu dibalik bayang garis pertahanan. Pemain tengan amburadul.</t>
  </si>
  <si>
    <t>argen dan prancis layak menang laga kemarin setelah turun minum adalah laga final mbappe argen prancis kalah karna awal kecolongan kelebaran lapangan kanan dimana maria selalu dibalik bayang garis pertahanan pemain tengan amburadul</t>
  </si>
  <si>
    <t>['argen', 'prancis', 'layak', 'menang', 'laga', 'kemarin', 'turun', 'minum', 'laga', 'final', 'mbappe', 'argen', 'prancis', 'kalah', 'karna', 'awal', 'kecolongan', 'kelebaran', 'lapangan', 'kanan', 'maria', 'selalu', 'dibalik', 'bayang', 'garis', 'pertahanan', 'pemain', 'tengan', 'amburadul']</t>
  </si>
  <si>
    <t>gw klo dngerin lagu biasanya diem aj smbil nyanyi, tp ni grgr stress pala gw ikut nadanya goyang kiri kanan maju bawah atas kiri kiri yak mundur mundur dah stop a' dah 5rb aj a' hehe skrng naik biaya parkir grgr argen menang</t>
  </si>
  <si>
    <t>klo dngerin lagu biasanya diem smbil nyanyi grgr stress pala ikut nadanya goyang kiri kanan maju bawah atas kiri kiri yak mundur mundur dah stop dah hehe skrng naik biaya parkir grgr argen menang</t>
  </si>
  <si>
    <t>['dngerin', 'lagu', 'biasanya', 'diem', 'smbil', 'nyanyi', 'grgr', 'stress', 'pala', 'ikut', 'nadanya', 'goyang', 'kiri', 'kanan', 'maju', 'bawah', 'atas', 'kiri', 'kiri', 'yak', 'mundur', 'mundur', 'dah', 'stop', 'dah', 'skrng', 'naik', 'biaya', 'parkir', 'grgr', 'argen', 'menang']</t>
  </si>
  <si>
    <t>Bener emng analisa gw, argen yg menang</t>
  </si>
  <si>
    <t>bener emng analisa argen menang</t>
  </si>
  <si>
    <t>['benar', 'memang', 'analisa', 'argen', 'menang']</t>
  </si>
  <si>
    <t>@convomfs Kan argen menang jdinya ga pulkam</t>
  </si>
  <si>
    <t>kan argen menang jdinya pulkam</t>
  </si>
  <si>
    <t>['kan', 'argen', 'menang', 'jdinya', 'pulkam']</t>
  </si>
  <si>
    <t>hepi kali ayahku hariini sementang argen menang, disindir terus mbappe kuü§£</t>
  </si>
  <si>
    <t>hepi kali ayahku hariini sementang argen menang disindir terus mbappe</t>
  </si>
  <si>
    <t>['hepi', 'kali', 'ayahku', 'hariini', 'sementang', 'argen', 'menang', 'disindir', 'terus', 'mbappe']</t>
  </si>
  <si>
    <t>YA ALLAHH TYPING LO CAKEP BGT ZOY?! zeemangat browskiee kegiataan pagi besookk, wkwkwkwk pasti sushi taruhan argen menang kemarin, mondaykuu capeekk tadii aku latian beladiri hapkido pulang2 langsung jompo wkwkkwkw #ZeeLetter</t>
  </si>
  <si>
    <t>allahh typing cakep bgt zoy zeemangat browskiee kegiataan pagi besookk wkwkwkwk pasti sushi taruhan argen menang kemarin mondaykuu capeekk tadii aku latian beladiri hapkido pulang langsung jompo wkwkkwkw</t>
  </si>
  <si>
    <t>['allahh', 'typing', 'cakep', 'banget', 'zoy', 'zeemangat', 'browskiee', 'kegiataan', 'pagi', 'besookk', 'wkwkwkwk', 'sushi', 'taruhan', 'argen', 'menang', 'kemarin', 'mondaykuu', 'capeekk', 'tadii', 'aku', 'latian', 'beladiri', 'hapkido', 'pulang', 'langsung', 'jompo', 'wkwkkwkw']</t>
  </si>
  <si>
    <t>@lowsanity_ argen menang üòú</t>
  </si>
  <si>
    <t>Kalo yedam masi di grup, kemaren malem dia sama hyunsuk pasti udah nyepam di wvü•∫ seneng banget pasti argen menangüòû semoga mereka masih ngehype bola bareng ya meskipun lagi beda negara„Ö†„Ö†</t>
  </si>
  <si>
    <t>kalo yedam masi grup kemaren malem dia sama hyunsuk pasti udah nyepam seneng banget pasti argen menang semoga mereka masih ngehype bola bareng meskipun lagi beda negara</t>
  </si>
  <si>
    <t>['yedam', 'masi', 'grup', 'kemarin', 'malem', 'sama', 'hyunsuk', 'udah', 'nyepam', 'seneng', 'banget', 'argen', 'menang', 'semoga', 'ngehype', 'bola', 'bareng', 'meskipun', 'beda', 'negara']</t>
  </si>
  <si>
    <t>@ReceinAja Seneng lah, aplg argen menangüôåüèªüôåüèª</t>
  </si>
  <si>
    <t>seneng lah aplg argen menang</t>
  </si>
  <si>
    <t>['seneng', 'lah', 'aplg', 'argen', 'menang']</t>
  </si>
  <si>
    <t>@mchoflurryy sdah dong, ngab argen yg menang avvü§©</t>
  </si>
  <si>
    <t>sdah dong ngab argen menang avv</t>
  </si>
  <si>
    <t>['sdah', 'dong', 'ngab', 'argen', 'menang', 'avv']</t>
  </si>
  <si>
    <t>@tercantig Tdi MLM b smpe mw nangis kirain Prancis menang  Bukan gra"bt fans argen cmn krna bt taruhan takut uang hangussss mna 300 ribuü•πtpi syukur Argentina menangüò≠ü§£ü§£ü§£</t>
  </si>
  <si>
    <t>tdi mlm smpe nangis kirain prancis menang bukan gra fans argen cmn krna taruhan takut uang hangussss mna ribu tpi syukur argentina menang</t>
  </si>
  <si>
    <t>['tdi', 'malam', 'smpe', 'nangis', 'kirain', 'prancis', 'menang', 'bukan', 'gra', 'fans', 'argen', 'cmn', 'krna', 'taruhan', 'takut', 'uang', 'hangussss', 'mna', 'ribu', 'tpi', 'syukur', 'argentina', 'menang']</t>
  </si>
  <si>
    <t>Moment lucunya, waktu argen menang aku hampir gak sengaja narik dan meluk abg¬≤ disampingku pekara senang kali wkwkw</t>
  </si>
  <si>
    <t>moment lucunya waktu argen menang aku hampir gak sengaja narik dan meluk abg disampingku pekara senang kali wkwkw</t>
  </si>
  <si>
    <t>['moment', 'lucunya', 'waktu', 'argen', 'menang', 'aku', 'hampir', 'sengaja', 'narik', 'meluk', 'abg', 'disampingku', 'pekara', 'senang', 'kali', 'wkwkw']</t>
  </si>
  <si>
    <t>@aquareean @tanyakanrl argen menang anjir seru banget tapi Mbappe aku padamu üò≠ nih mksdddd gmn</t>
  </si>
  <si>
    <t>argen menang anjir seru banget tapi mbappe aku padamu nih mksdddd gmn</t>
  </si>
  <si>
    <t>['argen', 'menang', 'anjir', 'seru', 'banget', 'mbappe', 'aku', 'padamu', 'mksdddd', 'gmn']</t>
  </si>
  <si>
    <t>@madalfan bijak semenjak argen menangüôÇ</t>
  </si>
  <si>
    <t>bijak semenjak argen menang</t>
  </si>
  <si>
    <t>['bijak', 'semenjak', 'argen', 'menang']</t>
  </si>
  <si>
    <t>ini kayaknya salah satu alasan argen menang karna jino maksa jisa nonton wkwkwk</t>
  </si>
  <si>
    <t>['kayaknya', 'salah', 'satu', 'alasan', 'argen', 'menang', 'karna', 'jino', 'maksa', 'jisa', 'nonton', 'wkwkwk']</t>
  </si>
  <si>
    <t>@treasuremenfess Gua kemarin dukung argen gara-gara kamu dam astagaaa üò≠. Tapi pas menang, duhh seneng bangett ya gustiii. Sebelumnya belum pernah lihat pertandingan bola kaya gini, tapi ternyata seru juga. Thanks damm üò≠</t>
  </si>
  <si>
    <t>gua kemarin dukung argen gara gara kamu dam astagaaa tapi pas menang duhh seneng bangett gustiii sebelumnya belum pernah lihat pertandingan bola kaya gini tapi ternyata seru juga thanks damm</t>
  </si>
  <si>
    <t>['gua', 'kemarin', 'dukung', 'argen', 'gara', 'gara', 'kamu', 'dam', 'astagaaa', 'pas', 'menang', 'duhh', 'seneng', 'bangett', 'gustiii', 'sebelumnya', 'pernah', 'lihat', 'pertandingan', 'bola', 'kaya', 'gini', 'ternyata', 'seru', 'thanks', 'damm']</t>
  </si>
  <si>
    <t>this morning my bf nangis nangis ke gue karena argen menang, onon nangis juga jadi gue AKAN nangis lagiüßçüèª‚Äç‚ôÇÔ∏è</t>
  </si>
  <si>
    <t>this morning nangis nangis gue karena argen menang onon nangis juga jadi gue akan nangis lagi</t>
  </si>
  <si>
    <t>['this', 'morning', 'nangis', 'nangis', 'gue', 'argen', 'menang', 'onon', 'nangis', 'jadi', 'gue', 'nangis']</t>
  </si>
  <si>
    <t>@bananalattee_ @dailydeyz dah tlat aku gadungan pindah argen pas menang</t>
  </si>
  <si>
    <t>dah tlat aku gadungan pindah argen pas menang</t>
  </si>
  <si>
    <t>['dah', 'tlat', 'aku', 'gadungan', 'pindah', 'argen', 'pas', 'menang']</t>
  </si>
  <si>
    <t>@JNeoutron Jadi apa kabar malem ini bwade denger denger katanya argen menang yak</t>
  </si>
  <si>
    <t>jadi apa kabar malem ini bwade denger denger katanya argen menang yak</t>
  </si>
  <si>
    <t>['jadi', 'apa', 'kabar', 'malem', 'bwade', 'denger', 'denger', 'katanya', 'argen', 'menang', 'yak']</t>
  </si>
  <si>
    <t>@brfootball nt bang nt tapi gpp soalnya ARGEN MENANG üòôüòôüòôüòô</t>
  </si>
  <si>
    <t>bang tapi gpp soalnya argen menang</t>
  </si>
  <si>
    <t>['bang', 'gapapa', 'soalnya', 'argen', 'menang']</t>
  </si>
  <si>
    <t>@Anto___0211 @satrioadiwira @Rid___24 Bogor to wkwkwkw sokin la di bayarin satrio menang judi megang argen</t>
  </si>
  <si>
    <t>bogor wkwkwkw sokin bayarin satrio menang judi megang argen</t>
  </si>
  <si>
    <t>['bogor', 'wkwkwkw', 'sini', 'bayarin', 'satrio', 'menang', 'judi', 'megang', 'argen']</t>
  </si>
  <si>
    <t>@pelwakor gpp biy yg penting argen menang semalemüòî</t>
  </si>
  <si>
    <t>gpp biy penting argen menang semalem</t>
  </si>
  <si>
    <t>['gapapa', 'biy', 'penting', 'argen', 'menang', 'semalam']</t>
  </si>
  <si>
    <t>@SENORPlNK gadulu argen semalem menang</t>
  </si>
  <si>
    <t>gadulu argen semalem menang</t>
  </si>
  <si>
    <t>['gadulu', 'argen', 'semalam', 'menang']</t>
  </si>
  <si>
    <t>aturan aku taruhan bjir sm echan, kl argen menang kita jadianüòç</t>
  </si>
  <si>
    <t>aturan aku taruhan bjir echan argen menang kita jadian</t>
  </si>
  <si>
    <t>['aturan', 'aku', 'taruhan', 'bjir', 'echan', 'argen', 'menang', 'jadian']</t>
  </si>
  <si>
    <t>@idextratime Lu ga terima argen menang kahh? Bukan karena perform prancis bagus akhir"ini lu bisa bilang mereka sengaja diaturr,, buka mata loo bangg ini yang menang udh argen jugaa</t>
  </si>
  <si>
    <t>terima argen menang kahh bukan karena perform prancis bagus akhir ini bisa bilang mereka sengaja diaturr buka mata loo bangg ini yang menang udh argen jugaa</t>
  </si>
  <si>
    <t>['terima', 'argen', 'menang', 'kahh', 'bukan', 'perform', 'prancis', 'bagus', 'akhir', 'sengaja', 'diaturr', 'buka', 'mata', 'loo', 'bangg', 'menang', 'sudah', 'argen', 'jugaa']</t>
  </si>
  <si>
    <t>Guys haechan dukung france atau gmn soalnya pas udh kirim bbl about pildun selepas argen menang dia diem‚Äù aja üò≠üòÇ  https://t.co/5QcLTrZavc</t>
  </si>
  <si>
    <t>guys haechan dukung france atau gmn soalnya pas udh kirim bbl about pildun selepas argen menang dia diem aja</t>
  </si>
  <si>
    <t>['guys', 'haechan', 'dukung', 'france', 'gmn', 'soalnya', 'pas', 'sudah', 'kirim', 'bbl', 'about', 'piala dunia', 'selepas', 'argen', 'menang', 'diem']</t>
  </si>
  <si>
    <t>@xDPRIAN_ Bang joni, argen menang wkwk</t>
  </si>
  <si>
    <t>bang joni argen menang wkwk</t>
  </si>
  <si>
    <t>['bang', 'joni', 'argen', 'menang']</t>
  </si>
  <si>
    <t>kebetulan argen menang kemaren, im gonna watch this documentary  https://t.co/eruGsLK5Py</t>
  </si>
  <si>
    <t>kebetulan argen menang kemaren gonna watch this documentary</t>
  </si>
  <si>
    <t>['kebetulan', 'argen', 'menang', 'kemarin', 'gon', 'na', 'watch', 'this', 'documentary']</t>
  </si>
  <si>
    <t>@TukangDagang12 @dirgantara301 @CoachJustinL @YouTube Pasti adalagi argumen lain "udah setingan kok kalah". Emng udh takdir buat Argen menang PilDun tapi dituduh setingan</t>
  </si>
  <si>
    <t>pasti adalagi argumen lain udah setingan kok kalah emng udh takdir buat argen menang pildun tapi dituduh setingan</t>
  </si>
  <si>
    <t>['adalagi', 'argumen', 'udah', 'settingan', 'kok', 'kalah', 'memang', 'sudah', 'takdir', 'buat', 'argen', 'menang', 'piala dunia', 'dituduh', 'settingan']</t>
  </si>
  <si>
    <t>@draaxxlt_ libur argen lagi menang</t>
  </si>
  <si>
    <t>libur argen lagi menang</t>
  </si>
  <si>
    <t>['libur', 'argen', 'menang']</t>
  </si>
  <si>
    <t>wahh efek argen menang trus berlanjut smp pm mantep bgt syg nya aku yg cakep inii üòò pose üëçüèª masih jd andalan bgt ni diliat" @A_ZeeJKT48 tp kenape lbh cpt up di twit&amp;amp;ig cil üò≠üò∂ #ZeeLetter</t>
  </si>
  <si>
    <t>wahh efek argen menang trus berlanjut smp mantep bgt syg nya aku cakep inii pose masih andalan bgt diliat zeejkt kenape lbh cpt twit cil</t>
  </si>
  <si>
    <t>['wahh', 'efek', 'argen', 'menang', 'trus', 'berlanjut', 'smp', 'mantap', 'banget', 'syg', 'aku', 'cakep', 'inii', 'pose', 'andalan', 'banget', 'diliat', 'zeejkt', 'kenape', 'lbh', 'cpt', 'twit', 'cil']</t>
  </si>
  <si>
    <t>@pelwakor biy argen menang lu menang taruhan juga kagak?</t>
  </si>
  <si>
    <t>biy argen menang menang taruhan juga kagak</t>
  </si>
  <si>
    <t>['biy', 'argen', 'menang', 'menang', 'taruhan', 'kagak']</t>
  </si>
  <si>
    <t>Begadang cuma buat liat Final Tapi Tidur karena udah yakin Argen menang ‚ú®</t>
  </si>
  <si>
    <t>begadang cuma buat liat final tapi tidur karena udah yakin argen menang</t>
  </si>
  <si>
    <t>['begadang', 'cuma', 'buat', 'lihat', 'final', 'tidur', 'udah', 'yakin', 'argen', 'menang']</t>
  </si>
  <si>
    <t>dateng ke kantor udh banyk makanan dikira gift natal ternyata ada yg abis menang 30 jeti dr argen. bangsatüôÇüôÇ</t>
  </si>
  <si>
    <t>dateng kantor udh banyk makanan dikira gift natal ternyata ada abis menang jeti argen bangsat</t>
  </si>
  <si>
    <t>['dateng', 'kantor', 'sudah', 'banyk', 'makanan', 'dikira', 'gift', 'natal', 'ternyata', 'abis', 'menang', 'jeti', 'argen', 'bangsat']</t>
  </si>
  <si>
    <t>Benerkan ramalan EA sport, argen yang menang wkwkwk</t>
  </si>
  <si>
    <t>benerkan ramalan sport argen yang menang wkwkwk</t>
  </si>
  <si>
    <t>['benerkan', 'ramalan', 'sport', 'argen', 'menang', 'wkwkwk']</t>
  </si>
  <si>
    <t>Knapa ak tb tb sering senyum¬≤ sendiri anj setelah argen menang, iki vibes happy e ga mari mari plis</t>
  </si>
  <si>
    <t>knapa sering senyum sendiri anj setelah argen menang iki vibes happy mari mari plis</t>
  </si>
  <si>
    <t>['kenapa', 'sering', 'senyum', 'sendiri', 'anj', 'argen', 'menang', 'iki', 'vibes', 'happy', 'plis']</t>
  </si>
  <si>
    <t>abis argen menang, tiktok gue isinya messi ama cr mulu</t>
  </si>
  <si>
    <t>abis argen menang tiktok gue isinya messi ama mulu</t>
  </si>
  <si>
    <t>['abis', 'argen', 'menang', 'tiktok', 'gue', 'isinya', 'messi', 'ama', 'mulu']</t>
  </si>
  <si>
    <t>KAGAK, blio not CR7 enthu. tapi bilang argen menang curang gue langsung ü§®</t>
  </si>
  <si>
    <t>kagak blio not enthu tapi bilang argen menang curang gue langsung</t>
  </si>
  <si>
    <t>['kagak', 'blio', 'not', 'enthu', 'argen', 'menang', 'curang', 'gue', 'langsung']</t>
  </si>
  <si>
    <t>@ignatiuswisnu01 om argen menang ommmm</t>
  </si>
  <si>
    <t>argen menang ommmm</t>
  </si>
  <si>
    <t>['argen', 'menang', 'ommmm']</t>
  </si>
  <si>
    <t>Aman lah Argen menang anjay  https://t.co/IVtafdIb6f</t>
  </si>
  <si>
    <t>aman lah argen menang anjay</t>
  </si>
  <si>
    <t>['aman', 'lah', 'argen', 'menang', 'anjay']</t>
  </si>
  <si>
    <t>mau argen menang, mau messi angkat piala, mau martinez naro piala di kontol, kalo dia nobarnya bukan sama lu, ya, lu kalah. telak.</t>
  </si>
  <si>
    <t>mau argen menang mau messi angkat piala mau martinez naro piala kontol kalo dia nobarnya bukan sama kalah telak</t>
  </si>
  <si>
    <t>['mau', 'argen', 'menang', 'mau', 'messi', 'angkat', 'piala', 'mau', 'martinez', 'naro', 'piala', 'kontol', 'nobarnya', 'bukan', 'sama', 'kalah', 'telak']</t>
  </si>
  <si>
    <t>Kalo aja handball pemain Prancis di waro, Argen bakal menang 3-2 dan Messi bakalan jd top skor bareng mbappe...wow</t>
  </si>
  <si>
    <t>kalo aja handball pemain prancis waro argen bakal menang dan messi bakalan top skor bareng mbappe wow</t>
  </si>
  <si>
    <t>['handball', 'pemain', 'prancis', 'waro', 'argen', 'bakal', 'menang', 'messi', 'bakalan', 'top', 'skor', 'bareng', 'mbappe', 'wow']</t>
  </si>
  <si>
    <t>tadi masuk soalnya yang menang argen üòÜ</t>
  </si>
  <si>
    <t>tadi masuk soalnya yang menang argen</t>
  </si>
  <si>
    <t>['tadi', 'masuk', 'soalnya', 'menang', 'argen']</t>
  </si>
  <si>
    <t>Bangsat argen menang kirain mimpi. Ternyata emang beneran kemarin nobar</t>
  </si>
  <si>
    <t>bangsat argen menang kirain mimpi ternyata emang beneran kemarin nobar</t>
  </si>
  <si>
    <t>['bangsat', 'argen', 'menang', 'kirain', 'mimpi', 'ternyata', 'emang', 'beneran', 'kemarin', 'nonton bareng']</t>
  </si>
  <si>
    <t>@ONLYONEWHOKNOU Weh argen tuh menang karna pinalti aje</t>
  </si>
  <si>
    <t>weh argen tuh menang karna pinalti aje</t>
  </si>
  <si>
    <t>['weh', 'argen', 'menang', 'karna', 'penalti', 'aje']</t>
  </si>
  <si>
    <t>final malam tdi termasuk final terbaik  tpi match paling seru+panas tetep pas ngelawan belandaü§£ seru psywarnya berantemnya, pemain argen tengil bgt ampe menang selebrasi masih ngeledekin lawanü§£üëç</t>
  </si>
  <si>
    <t>final malam tdi termasuk final terbaik tpi match paling seru panas tetep pas ngelawan belanda seru psywarnya berantemnya pemain argen tengil bgt ampe menang selebrasi masih ngeledekin lawan</t>
  </si>
  <si>
    <t>['final', 'malam', 'tdi', 'termasuk', 'final', 'terbaik', 'tpi', 'match', 'paling', 'seru', 'panas', 'tetep', 'pas', 'ngelawan', 'belanda', 'seru', 'psywarnya', 'berantemnya', 'pemain', 'argen', 'tengil', 'banget', 'sampai', 'menang', 'selebrasi', 'ngeledekin', 'lawan']</t>
  </si>
  <si>
    <t>@vrbrigitta Wkwk iyaa Argen pasti menang sii soalnya Messi terakhir main di pildun dan bakal di dukung penuh buat menang sama pemain lainnya. Makanya mainnya agak grasak grusukk.</t>
  </si>
  <si>
    <t>wkwk iyaa argen pasti menang sii soalnya messi terakhir main pildun dan bakal dukung penuh buat menang sama pemain lainnya makanya mainnya agak grasak grusukk</t>
  </si>
  <si>
    <t>['iyaa', 'argen', 'menang', 'sii', 'soalnya', 'messi', 'terakhir', 'main', 'piala dunia', 'bakal', 'dukung', 'penuh', 'buat', 'menang', 'sama', 'pemain', 'lainnya', 'makanya', 'mainnya', 'grasak', 'grusukk']</t>
  </si>
  <si>
    <t>2018 dukung france menang 2022 dukung argen menang</t>
  </si>
  <si>
    <t>dukung france menang dukung argen menang</t>
  </si>
  <si>
    <t>['dukung', 'france', 'menang', 'dukung', 'argen', 'menang']</t>
  </si>
  <si>
    <t>Bang ronaldo reaksi nya gimana ya pas argen menang?</t>
  </si>
  <si>
    <t>bang ronaldo reaksi nya gimana pas argen menang</t>
  </si>
  <si>
    <t>['bang', 'ronaldo', 'reaksi', 'gimana', 'pas', 'argen', 'menang']</t>
  </si>
  <si>
    <t>Terpantau pemain prancis log out sosmed dulu. Soale agak kureng liat gembar gembor argen menang pildun</t>
  </si>
  <si>
    <t>terpantau pemain prancis log out sosmed dulu soale agak kureng liat gembar gembor argen menang pildun</t>
  </si>
  <si>
    <t>['terpantau', 'pemain', 'prancis', 'log', 'out', 'sosmed', 'dulu', 'soale', 'kureng', 'lihat', 'gembar', 'gembor', 'argen', 'menang', 'piala dunia']</t>
  </si>
  <si>
    <t>@meiritesport @idextratime Curang gmna pak coba liat dibawah menit ke 80 itu france gk nguasain bola kwkwkw,wasit? Liat france 2x finalti kwkwkw apa lgi?,kan akhirnya menang di adu finalti dimana curangnya cuqüòÇ salah siapa lagi? Penonton? Jelas¬≤ itu f</t>
  </si>
  <si>
    <t>curang gmna pak coba liat dibawah menit itu france nguasain bola kwkwkw wasit liat france finalti kwkwkw apa lgi kan akhirnya menang adu finalti dimana curangnya cuq salah siapa lagi penonton jelas itu</t>
  </si>
  <si>
    <t>['curang', 'gmna', 'pak', 'coba', 'lihat', 'dibawah', 'menit', 'france', 'nguasain', 'bola', 'kwkwkw', 'wasit', 'lihat', 'france', 'finalti', 'kwkwkw', 'apa', 'lgi', 'kan', 'akhirnya', 'menang', 'adu', 'finalti', 'curangnya', 'cuq', 'salah', 'siapa', 'penonton', 'jelas']</t>
  </si>
  <si>
    <t>@JeromePolin karena argen yg menang yowess argen lahh ü§°ü§°ü§°</t>
  </si>
  <si>
    <t>karena argen menang yowess argen lahh</t>
  </si>
  <si>
    <t>['argen', 'menang', 'yowess', 'argen', 'lahh']</t>
  </si>
  <si>
    <t>@mnngentot @yejifsz pada kesel mungkin bro argen menang wkwk</t>
  </si>
  <si>
    <t>pada kesel mungkin bro argen menang wkwk</t>
  </si>
  <si>
    <t>['kesel', 'mungkin', 'bro', 'argen', 'menang']</t>
  </si>
  <si>
    <t>@idextratime Gue kata apa argen menang gara¬≤ cocokologi lu et, kereen lu wkwkw</t>
  </si>
  <si>
    <t>gue kata apa argen menang gara cocokologi kereen wkwkw</t>
  </si>
  <si>
    <t>['gue', 'kata', 'apa', 'argen', 'menang', 'gara', 'cocokologi', 'kereen', 'wkwkw']</t>
  </si>
  <si>
    <t>@InfosuporterID yang all in argen / perancis 1x2 pasti kalah ya wkwkw bandar menang banyak</t>
  </si>
  <si>
    <t>yang all argen perancis pasti kalah wkwkw bandar menang banyak</t>
  </si>
  <si>
    <t>['all', 'argen', 'perancis', 'kalah', 'wkwkw', 'bandar', 'menang', 'banyak']</t>
  </si>
  <si>
    <t>@ewwbai Argen menang smua ya HAHAHA</t>
  </si>
  <si>
    <t>argen menang smua hahaha</t>
  </si>
  <si>
    <t>['argen', 'menang', 'smua', 'hahaha']</t>
  </si>
  <si>
    <t>Gimana ya mau argen ataupun prancis, yang menang tetap orang lama.</t>
  </si>
  <si>
    <t>gimana mau argen ataupun prancis yang menang tetap orang lama</t>
  </si>
  <si>
    <t>['gimana', 'mau', 'argen', 'ataupun', 'prancis', 'menang', 'tetap', 'orang', 'lama']</t>
  </si>
  <si>
    <t>@vamgelis Adh. Tersenyum karena argen menang atau?????</t>
  </si>
  <si>
    <t>adh tersenyum karena argen menang atau</t>
  </si>
  <si>
    <t>['adh', 'tersenyum', 'argen', 'menang']</t>
  </si>
  <si>
    <t>Cair dagang, cair judi, persib menang, argen juara. Full senyumüòä</t>
  </si>
  <si>
    <t>cair dagang cair judi persib menang argen juara full senyum</t>
  </si>
  <si>
    <t>['cair', 'dagang', 'cair', 'judi', 'persib', 'menang', 'argen', 'juara', 'full', 'senyum']</t>
  </si>
  <si>
    <t>yg menang argen yg self reward gw</t>
  </si>
  <si>
    <t>menang argen self reward</t>
  </si>
  <si>
    <t>['menang', 'argen', 'self', 'reward']</t>
  </si>
  <si>
    <t>@OHMYV3NUS subuhnya liatb argen menang siangnya dapet tiket arctic hahay senin inilah yg kutungggu tunggu</t>
  </si>
  <si>
    <t>subuhnya liatb argen menang siangnya dapet tiket arctic hahay senin inilah kutungggu tunggu</t>
  </si>
  <si>
    <t>['subuhnya', 'liatb', 'argen', 'menang', 'siangnya', 'dapat', 'tiket', 'arctic', 'hahay', 'senin', 'inilah', 'kutungggu', 'tunggu']</t>
  </si>
  <si>
    <t>Gak sido cuan besar, soale argen menang adu penalti.. wurung njaluk traktir ng Drake wesüòèüòë</t>
  </si>
  <si>
    <t>gak sido cuan besar soale argen menang adu penalti wurung njaluk traktir drake wes</t>
  </si>
  <si>
    <t>['sido', 'cuan', 'besar', 'soale', 'argen', 'menang', 'adu', 'penalti', 'wurung', 'njaluk', 'traktir', 'drake', 'wes']</t>
  </si>
  <si>
    <t>WALAH ANJIR SENENG 2X HARI INI. ARGEN MENANG JENRINA MOMENT üò≠üò≠</t>
  </si>
  <si>
    <t>walah anjir seneng hari ini argen menang jenrina moment</t>
  </si>
  <si>
    <t>['walah', 'anjir', 'seneng', 'hari', 'argen', 'menang', 'jenrina', 'moment']</t>
  </si>
  <si>
    <t>pengen bat gua pamer di sg sm sw klo argen menang biar tmn gua yg dukung prancis tu penas, tp pegang hp msh lm bngt monyet</t>
  </si>
  <si>
    <t>pengen bat gua pamer klo argen menang biar tmn gua dukung prancis penas pegang msh bngt monyet</t>
  </si>
  <si>
    <t>['pengen', 'bat', 'gua', 'pamer', 'argen', 'menang', 'tmn', 'gua', 'dukung', 'prancis', 'penas', 'pegang', 'msh', 'bngt', 'monyet']</t>
  </si>
  <si>
    <t>@2ndchooice @convomfs Argen menangüòå</t>
  </si>
  <si>
    <t>@iamridhosiregar foto ke tiga, yg menang argen federasi nya australia</t>
  </si>
  <si>
    <t>foto tiga menang argen federasi nya australia</t>
  </si>
  <si>
    <t>['foto', 'tiga', 'menang', 'argen', 'federasi', 'australia']</t>
  </si>
  <si>
    <t>@baerenang Terserah ku lah, yg menang argen</t>
  </si>
  <si>
    <t>terserah lah menang argen</t>
  </si>
  <si>
    <t>['terserah', 'lah', 'menang', 'argen']</t>
  </si>
  <si>
    <t>@zalymam @NarasiNewsroom Oops Maradona itu dikenal karena Impactnya seorang diri mampu ngangkat satu Tim.  Yg ngangkat Lazio dari klub kecil sampai jari klub besar yaa Maradona seorang diri.  Terus Pilrun tahun 86 itu, identik dengan Turnamennya doi, kare</t>
  </si>
  <si>
    <t>oops maradona itu dikenal karena impactnya seorang diri mampu ngangkat satu tim ngangkat lazio dari klub kecil sampai jari klub besar yaa maradona seorang diri terus pilrun tahun itu identik dengan turnamennya doi kare</t>
  </si>
  <si>
    <t>['oops', 'maradona', 'dikenal', 'impactnya', 'seorang', 'diri', 'mampu', 'ngangkat', 'satu', 'tim', 'ngangkat', 'lazio', 'klub', 'kecil', 'jari', 'klub', 'besar', 'ya', 'maradona', 'seorang', 'diri', 'terus', 'pilrun', 'tahun', 'identik', 'turnamennya', 'doi', 'kare']</t>
  </si>
  <si>
    <t>@orwganic lgi hepi karna argen menang, dpt motor cihuy</t>
  </si>
  <si>
    <t>lgi hepi karna argen menang dpt motor cihuy</t>
  </si>
  <si>
    <t>['lgi', 'hepi', 'karna', 'argen', 'menang', 'dpt', 'motor', 'cihuy']</t>
  </si>
  <si>
    <t>@odravir valid sih, cuman gara2 argen menang makanya enzo yg dapet</t>
  </si>
  <si>
    <t>valid sih cuman gara argen menang makanya enzo dapet</t>
  </si>
  <si>
    <t>['valid', 'cuman', 'gara', 'argen', 'menang', 'makanya', 'enzo', 'dapat']</t>
  </si>
  <si>
    <t>argen dong, dh feeling mrka menang sie</t>
  </si>
  <si>
    <t>argen dong feeling mrka menang sie</t>
  </si>
  <si>
    <t>['argen', 'dong', 'feeling', 'mrka', 'menang', 'sie']</t>
  </si>
  <si>
    <t>efek argen menang semalem masih berkelanjutan ternyata ygy, masyaallah sering" deh kelebihan gula nya bro @A_ZeeJKT48 ü´∂üèªüòé  https://t.co/ue4hXqdFx0</t>
  </si>
  <si>
    <t>efek argen menang semalem masih berkelanjutan ternyata ygy masyaallah sering deh kelebihan gula nya bro zeejkt</t>
  </si>
  <si>
    <t>['efek', 'argen', 'menang', 'semalam', 'berkelanjutan', 'ternyata', 'ygy', 'masyaallah', 'sering', 'deh', 'kelebihan', 'gula', 'bro', 'zeejkt']</t>
  </si>
  <si>
    <t>Pas Argentina lawan Meksiko, permainan mereka semakin bagus. Messi masih punya sihirnya untuk bisa Argent menang, tapi itu belum cukup untuk bikin Argen lolos fase grup.</t>
  </si>
  <si>
    <t>pas argentina lawan meksiko permainan mereka semakin bagus messi masih punya sihirnya untuk bisa argent menang tapi itu belum cukup untuk bikin argen lolos fase grup</t>
  </si>
  <si>
    <t>['pas', 'argentina', 'lawan', 'meksiko', 'permainan', 'semakin', 'bagus', 'messi', 'punya', 'sihirnya', 'argent', 'menang', 'cukup', 'argen', 'lolos', 'fase', 'grup']</t>
  </si>
  <si>
    <t>@Tribalchief666 @txtdrimedia Argen menang wkwkw</t>
  </si>
  <si>
    <t>argen menang wkwkw</t>
  </si>
  <si>
    <t>['argen', 'menang', 'wkwkw']</t>
  </si>
  <si>
    <t>yaa, pilihannya bener argen menang, tapi tetep aja rungkad</t>
  </si>
  <si>
    <t>yaa pilihannya bener argen menang tapi tetep aja rungkad</t>
  </si>
  <si>
    <t>['ya', 'pilihannya', 'benar', 'argen', 'menang', 'tetep', 'rungkad']</t>
  </si>
  <si>
    <t>ni panas bgt grgr argen menang kah</t>
  </si>
  <si>
    <t>panas bgt grgr argen menang kah</t>
  </si>
  <si>
    <t>['panas', 'banget', 'grgr', 'argen', 'menang']</t>
  </si>
  <si>
    <t>Nobar keluarga besar, mayoritas dukung Argentina,om gw dukung Prancis pas kambek 2 - 2 dia teriak¬≤smbil gotong gw ancrit bat,untung Argen menangüòú</t>
  </si>
  <si>
    <t>nobar keluarga besar mayoritas dukung argentina dukung prancis pas kambek dia teriak smbil gotong ancrit bat untung argen menang</t>
  </si>
  <si>
    <t>['nonton bareng', 'keluarga', 'besar', 'mayoritas', 'dukung', 'argentina', 'dukung', 'prancis', 'pas', 'kambek', 'teriak', 'smbil', 'gotong', 'ancrit', 'bat', 'untung', 'argen', 'menang']</t>
  </si>
  <si>
    <t>ini nobar nyambi pacaran yh tp gapapa yg penting argen menangü§∏üèªü§∏üèª</t>
  </si>
  <si>
    <t>ini nobar nyambi pacaran gapapa penting argen menang</t>
  </si>
  <si>
    <t>['nonton bareng', 'nyambi', 'pacaran', 'gapapa', 'penting', 'argen', 'menang']</t>
  </si>
  <si>
    <t>Yah si mbappe besok ultahü•≤ kok w sedih ya. Tpi kalau argen kgk menang gua lebih sedih</t>
  </si>
  <si>
    <t>yah mbappe besok ultah kok sedih tpi kalau argen kgk menang gua lebih sedih</t>
  </si>
  <si>
    <t>['mbappe', 'besok', 'ultah', 'kok', 'sedih', 'tpi', 'kalau', 'argen', 'kgk', 'menang', 'gua', 'lebih', 'sedih']</t>
  </si>
  <si>
    <t>@Cimploe_ tetep kalahh, soalnya drake nebak argen menang di waktu normal 90 menit</t>
  </si>
  <si>
    <t>tetep kalahh soalnya drake nebak argen menang waktu normal menit</t>
  </si>
  <si>
    <t>['tetep', 'kalahh', 'soalnya', 'drake', 'nebak', 'argen', 'menang', 'waktu', 'normal', 'menit']</t>
  </si>
  <si>
    <t>Final terbaik, ter dagdigdug der, jual beli serangan sampe seri, adu pinalti, tapi puji syukur argen menang.</t>
  </si>
  <si>
    <t>final terbaik ter dagdigdug der jual beli serangan sampe seri adu pinalti tapi puji syukur argen menang</t>
  </si>
  <si>
    <t>['final', 'terbaik', 'ter', 'dagdigdug', 'der', 'jual', 'beli', 'serangan', 'sampai', 'seri', 'adu', 'penalti', 'puji', 'syukur', 'argen', 'menang']</t>
  </si>
  <si>
    <t>damn di FM, argen menang juga  https://t.co/F6IOzaumNw</t>
  </si>
  <si>
    <t>damn argen menang juga</t>
  </si>
  <si>
    <t>['damn', 'argen', 'menang']</t>
  </si>
  <si>
    <t>@hazzellnuts Bangkrut drake,walau pun argen menang drake tetep kalah üòÇ</t>
  </si>
  <si>
    <t>bangkrut drake walau pun argen menang drake tetep kalah</t>
  </si>
  <si>
    <t>['bangkrut', 'drake', 'argen', 'menang', 'drake', 'tetep', 'kalah']</t>
  </si>
  <si>
    <t>@chemicalte mang ngapa kalo pens argen ygpenting menangüòå</t>
  </si>
  <si>
    <t>mang ngapa kalo pens argen ygpenting menang</t>
  </si>
  <si>
    <t>['mang', 'ngapa', 'pens', 'argen', 'ygpenting', 'menang']</t>
  </si>
  <si>
    <t>Ternyata bener teori jersey tim yg dipake eva elfie pasti tim itu menang, bulan october foto pake jersey tundra akhirnya tundra menang lomba dota, kemaren dukung argen pake jersey argen, akhirnya argen juara pildun</t>
  </si>
  <si>
    <t>ternyata bener teori jersey tim dipake eva elfie pasti tim itu menang bulan october foto pake jersey tundra akhirnya tundra menang lomba dota kemaren dukung argen pake jersey argen akhirnya argen juara pildun</t>
  </si>
  <si>
    <t>['ternyata', 'benar', 'teori', 'jersey', 'tim', 'dipake', 'eva', 'elfie', 'tim', 'menang', 'bulan', 'october', 'foto', 'pake', 'jersey', 'tundra', 'akhirnya', 'tundra', 'menang', 'lomba', 'dota', 'kemarin', 'dukung', 'argen', 'pake', 'jersey', 'argen', 'akhirnya', 'argen', 'juara', 'piala dunia']</t>
  </si>
  <si>
    <t>udah mah argen menang, messi dpt trophy sekarang dibales amanda zahra ü´†  https://t.co/4nmThVEhLw</t>
  </si>
  <si>
    <t>udah mah argen menang messi dpt trophy sekarang dibales amanda zahra</t>
  </si>
  <si>
    <t>['udah', 'mah', 'argen', 'menang', 'messi', 'dpt', 'trophy', 'sekarang', 'dibales', 'amanda', 'zahra']</t>
  </si>
  <si>
    <t>Jelas bgt gaksi argen menang krn doa ultah nya the pope gaksi</t>
  </si>
  <si>
    <t>jelas bgt gaksi argen menang krn doa ultah nya the pope gaksi</t>
  </si>
  <si>
    <t>['jelas', 'banget', 'gaksi', 'argen', 'menang', 'doa', 'ultah', 'the', 'pope', 'gaksi']</t>
  </si>
  <si>
    <t>kira-kira ney bakal post foto mbape ga ya kalo misalnya semalem yang menang bukan argen....</t>
  </si>
  <si>
    <t>kira kira ney bakal post foto mbape kalo misalnya semalem yang menang bukan argen</t>
  </si>
  <si>
    <t>['kira', 'kira', 'ney', 'bakal', 'post', 'foto', 'mbape', 'misalnya', 'semalam', 'menang', 'bukan', 'argen']</t>
  </si>
  <si>
    <t>@wocderful Argen yg menang, mbappe yg mvp</t>
  </si>
  <si>
    <t>argen menang mbappe mvp</t>
  </si>
  <si>
    <t>['argen', 'menang', 'mbappe', 'mvp']</t>
  </si>
  <si>
    <t>@NETxBPJS argen menang boi, kl judi hrsnya gua kaya nih smlm</t>
  </si>
  <si>
    <t>argen menang boi judi hrsnya gua kaya nih smlm</t>
  </si>
  <si>
    <t>['argen', 'menang', 'boi', 'judi', 'hrsnya', 'gua', 'kaya', 'smlm']</t>
  </si>
  <si>
    <t>seneng banget liat argen menang pildun rasanya jadi pingin meluk kamuuu</t>
  </si>
  <si>
    <t>['seneng', 'banget', 'lihat', 'argen', 'menang', 'piala dunia', 'rasanya', 'jadi', 'pingin', 'meluk', 'kamuuu']</t>
  </si>
  <si>
    <t>assalamu'alaikum argen menang pildun cuyyyy</t>
  </si>
  <si>
    <t>assalamu alaikum argen menang pildun cuyyyy</t>
  </si>
  <si>
    <t>['assalamu', 'alaikum', 'argen', 'menang', 'piala dunia', 'cuyyyy']</t>
  </si>
  <si>
    <t>rata2 temen gue pada masang bendera france di notes ig pas mau mulai match semalem eh pas udah menang pada update lagi ‚Äúmessi is the goat‚Äù ‚Äúargen deserve‚Äù wkwkwkw padahal mah kalau kalah jg bakal dihujat lagi itu seantero negara üò≠</t>
  </si>
  <si>
    <t>rata temen gue pada masang bendera france notes pas mau mulai match semalem pas udah menang pada update lagi messi the goat argen deserve wkwkwkw padahal mah kalau kalah bakal dihujat lagi itu seantero negara</t>
  </si>
  <si>
    <t>['rata', 'temen', 'gue', 'masang', 'bendera', 'france', 'notes', 'pas', 'mau', 'mulai', 'match', 'semalam', 'pas', 'udah', 'menang', 'update', 'messi', 'the', 'goat', 'argen', 'deserve', 'wkwkwkw', 'padahal', 'mah', 'kalau', 'kalah', 'bakal', 'dihujat', 'seantero', 'negara']</t>
  </si>
  <si>
    <t>@idextratime Memang disetting agar argen menang, biar melengkapi pencapaian Messi sbg GOAT. Untuk apa? Agar ada regenerasi pemain muda argentina. Kalau messi tidak mendapatkan gelar GOAT, argentina masih dibawah bayang2 Maradona. Messi yg anak emas aja ga</t>
  </si>
  <si>
    <t>memang disetting agar argen menang biar melengkapi pencapaian messi sbg goat untuk apa agar ada regenerasi pemain muda argentina kalau messi tidak mendapatkan gelar goat argentina masih dibawah bayang maradona messi anak emas aja</t>
  </si>
  <si>
    <t>['memang', 'disetting', 'argen', 'menang', 'melengkapi', 'pencapaian', 'messi', 'sbg', 'goat', 'apa', 'regenerasi', 'pemain', 'muda', 'argentina', 'kalau', 'messi', 'mendapatkan', 'gelar', 'goat', 'argentina', 'dibawah', 'bayang', 'maradona', 'messi', 'anak', 'emas']</t>
  </si>
  <si>
    <t>legend tim minyak banyak gaya emg, seumur hidup karirnya baru menang trofi domestik doang padahalü´¢ di argen jg rungkad mulu ckck</t>
  </si>
  <si>
    <t>legend tim minyak banyak gaya emg seumur hidup karirnya baru menang trofi domestik doang padahal argen rungkad mulu ckck</t>
  </si>
  <si>
    <t>['legend', 'tim', 'minyak', 'banyak', 'gaya', 'memang', 'seumur', 'hidup', 'karirnya', 'baru', 'menang', 'trofi', 'domestik', 'doang', 'padahal', 'argen', 'rungkad', 'mulu', 'ckck']</t>
  </si>
  <si>
    <t>@iamjunghyunrim_ Congrats argen menang</t>
  </si>
  <si>
    <t>congrats argen menang</t>
  </si>
  <si>
    <t>['congrats', 'argen', 'menang']</t>
  </si>
  <si>
    <t>@mengkomtol p, argen ud menang ngab</t>
  </si>
  <si>
    <t>argen menang ngab</t>
  </si>
  <si>
    <t>['argen', 'menang', 'ngab']</t>
  </si>
  <si>
    <t>@txtdarivin Argen kan yang menang? Kok kalah?</t>
  </si>
  <si>
    <t>argen kan yang menang kok kalah</t>
  </si>
  <si>
    <t>['argen', 'kan', 'menang', 'kok', 'kalah']</t>
  </si>
  <si>
    <t>@bxgfess intinya hari ini full senyum. Yg dukung argen menang ditambah lagi sama jenrina bikin challenge Udhlah ambyar gueeüò≠üëç</t>
  </si>
  <si>
    <t>intinya hari ini full senyum dukung argen menang ditambah lagi sama jenrina bikin challenge udhlah ambyar guee</t>
  </si>
  <si>
    <t>['intinya', 'hari', 'full', 'senyum', 'dukung', 'argen', 'menang', 'ditambah', 'sama', 'jenrina', 'challenge', 'udhlah', 'ambyar', 'guee']</t>
  </si>
  <si>
    <t>SENANG KALI AKU ARGEN MENANG WEüò≠üò≠üò≠üá¶üá∑ SEMUA ORANG HARUS TAU AKU SENANG</t>
  </si>
  <si>
    <t>senang kali aku argen menang semua orang harus tau aku senang</t>
  </si>
  <si>
    <t>['senang', 'kali', 'aku', 'argen', 'menang', 'semua', 'orang', 'aku', 'senang']</t>
  </si>
  <si>
    <t>mabok jj dalam rangka argen menang  https://t.co/FAhq7JYtlX</t>
  </si>
  <si>
    <t>mabok dalam rangka argen menang</t>
  </si>
  <si>
    <t>['mabok', 'rangka', 'argen', 'menang']</t>
  </si>
  <si>
    <t>@metaversa88 @xx1tq4life @vidialdiano Wah gede banget tuh untungnya, klo gue sih ga ampe jutaan. Klo masang jutaan ngeri¬≤ sedepü§£ tp untungnya argen yg menang jd kecipratan rejekinya</t>
  </si>
  <si>
    <t>wah gede banget tuh untungnya klo gue sih ampe jutaan klo masang jutaan ngeri sedep untungnya argen menang kecipratan rejekinya</t>
  </si>
  <si>
    <t>['wah', 'gede', 'banget', 'untungnya', 'gue', 'sampai', 'jutaan', 'masang', 'jutaan', 'ngeri', 'sedep', 'untungnya', 'argen', 'menang', 'kecipratan', 'rejekinya']</t>
  </si>
  <si>
    <t>@TheMan16808645 @idextratime Kaga pada trima klo argen yg menang, wkwkwk munkin pda kalah judinnya hahahahah</t>
  </si>
  <si>
    <t>kaga pada trima klo argen menang wkwkwk munkin pda kalah judinnya hahahahah</t>
  </si>
  <si>
    <t>['kaga', 'trima', 'argen', 'menang', 'wkwkwk', 'munkin', 'pda', 'kalah', 'judinnya', 'hahahahah']</t>
  </si>
  <si>
    <t>liat argen libur nasional dan berpesta pora perkara menang pildun. nah kayanya klo indo menang pildun, hari senin ttp jadi hari kerja deh. begitu kan dia mah, biarin.</t>
  </si>
  <si>
    <t>liat argen libur nasional dan berpesta pora perkara menang pildun nah kayanya klo indo menang pildun hari senin ttp jadi hari kerja deh begitu kan dia mah biarin</t>
  </si>
  <si>
    <t>['lihat', 'argen', 'libur', 'nasional', 'berpesta', 'pora', 'perkara', 'menang', 'piala dunia', 'nah', 'kayanya', 'indo', 'menang', 'piala dunia', 'hari', 'senin', 'ttp', 'jadi', 'hari', 'kerja', 'deh', 'kan', 'mah', 'biarin']</t>
  </si>
  <si>
    <t>@tujuhteen lagi mimpi indah dia soalnya argen menang</t>
  </si>
  <si>
    <t>lagi mimpi indah dia soalnya argen menang</t>
  </si>
  <si>
    <t>['mimpi', 'indah', 'soalnya', 'argen', 'menang']</t>
  </si>
  <si>
    <t>kalo liat gue banyak duit, itu gara" argen menangüòÅ</t>
  </si>
  <si>
    <t>kalo liat gue banyak duit itu gara argen menang</t>
  </si>
  <si>
    <t>['lihat', 'gue', 'banyak', 'duit', 'gara', 'argen', 'menang']</t>
  </si>
  <si>
    <t>Mau argen ato prancis yang menang tetep kamu dihati kok tenang anjing</t>
  </si>
  <si>
    <t>mau argen ato prancis yang menang tetep kamu dihati kok tenang anjing</t>
  </si>
  <si>
    <t>['mau', 'argen', 'ato', 'prancis', 'menang', 'tetep', 'kamu', 'dihati', 'kok', 'tenang', 'anjing']</t>
  </si>
  <si>
    <t>@tanyakanrl sumpah sumpahhh apa gue doang cewe yang semalem nonton pildun dr sebelum mulai smp akhirnya argen menang anjirrr seru bgt parah, üòç mbappe aku padamuuuuü•∫ü•∞üòò</t>
  </si>
  <si>
    <t>sumpah sumpahhh apa gue doang cewe yang semalem nonton pildun sebelum mulai smp akhirnya argen menang anjirrr seru bgt parah mbappe aku padamuuuu</t>
  </si>
  <si>
    <t>['sumpah', 'sumpahhh', 'apa', 'gue', 'doang', 'cewe', 'semalam', 'nonton', 'piala dunia', 'mulai', 'smp', 'akhirnya', 'argen', 'menang', 'anjirrr', 'seru', 'banget', 'parah', 'mbappe', 'aku', 'padamuuuu']</t>
  </si>
  <si>
    <t>Menutup tahun dengan hati yang sangat bahagia idola kecil gua 2014 gua nangis messi kalah di final dan 2022 gua nangis bahagia karena messi menang di final makasih banget gua bahagia bangeyt all in untuk argen</t>
  </si>
  <si>
    <t>menutup tahun dengan hati yang sangat bahagia idola kecil gua gua nangis messi kalah final dan gua nangis bahagia karena messi menang final makasih banget gua bahagia bangeyt all untuk argen</t>
  </si>
  <si>
    <t>['menutup', 'tahun', 'hati', 'sangat', 'bahagia', 'idola', 'kecil', 'gua', 'gua', 'nangis', 'messi', 'kalah', 'final', 'gua', 'nangis', 'bahagia', 'messi', 'menang', 'final', 'makasih', 'banget', 'gua', 'bahagia', 'bangeyt', 'all', 'argen']</t>
  </si>
  <si>
    <t>@yogielninoo @lezatbergiziges @idextratime nah seenggaknya gini kek ada yg bales debatnya waras wkwk. udh bang gw udh capek ngetik. gini aja deh, di final menurut gw main bagusan argen dr pada perancis kok. dan mereka layak menang. cuma sepanjang turnamen</t>
  </si>
  <si>
    <t>nah seenggaknya gini kek ada bales debatnya waras wkwk udh bang udh capek ngetik gini aja deh final menurut main bagusan argen pada perancis kok dan mereka layak menang cuma sepanjang turnamen</t>
  </si>
  <si>
    <t>['nah', 'seenggaknya', 'gini', 'kek', 'bales', 'debatnya', 'waras', 'sudah', 'bang', 'sudah', 'lelah', 'ngetik', 'gini', 'deh', 'final', 'main', 'bagusan', 'argen', 'perancis', 'kok', 'layak', 'menang', 'cuma', 'sepanjang', 'turnamen']</t>
  </si>
  <si>
    <t>@875behappy @convomfs Iya argen juga menang pinalty</t>
  </si>
  <si>
    <t>iya argen juga menang pinalty</t>
  </si>
  <si>
    <t>['iya', 'argen', 'menang', 'pinalty']</t>
  </si>
  <si>
    <t>@sibarbar21 @lezatbergiziges @idextratime dm bang. gw mau bagi2 sedikit hasil menang kmrn. mumpung sama2 fans argen</t>
  </si>
  <si>
    <t>bang mau bagi sedikit hasil menang kmrn mumpung sama fans argen</t>
  </si>
  <si>
    <t>['bang', 'mau', 'sedikit', 'hasil', 'menang', 'kmrn', 'mumpung', 'sama', 'fans', 'argen']</t>
  </si>
  <si>
    <t>@yskahr argen menang karena doa jesi</t>
  </si>
  <si>
    <t>argen menang karena doa jesi</t>
  </si>
  <si>
    <t>['argen', 'menang', 'doa', 'jesi']</t>
  </si>
  <si>
    <t>@weaupon loh bukannya argen abis menang</t>
  </si>
  <si>
    <t>loh bukannya argen abis menang</t>
  </si>
  <si>
    <t>['bukannya', 'argen', 'abis', 'menang']</t>
  </si>
  <si>
    <t>WKWKWKKWKWKWKWK INI GUE KEMARENü§£ Pengen argen menang, tapi mbape minta didukung  https://t.co/3QBflOiZh6</t>
  </si>
  <si>
    <t>wkwkwkkwkwkwkwk ini gue kemaren pengen argen menang tapi mbape minta didukung</t>
  </si>
  <si>
    <t>['wkwkwkkwkwkwkwk', 'gue', 'kemarin', 'pengen', 'argen', 'menang', 'mbape', 'minta', 'didukung']</t>
  </si>
  <si>
    <t>kangen, kasi notif di wv lagi ayo, cio damie..argen menang tauuu, party ga kamu? wkwkkw</t>
  </si>
  <si>
    <t>kangen kasi notif lagi ayo cio damie argen menang tauuu party kamu wkwkkw</t>
  </si>
  <si>
    <t>['kangen', 'kasi', 'notif', 'ayo', 'cio', 'damie', 'argen', 'menang', 'tauuu', 'party', 'kamu', 'wkwkkw']</t>
  </si>
  <si>
    <t>@fbyskm_ Ada temen cewe gara2 argen menang jadi ke Jepang. Spek ani ani sih</t>
  </si>
  <si>
    <t>ada temen cewe gara argen menang jadi jepang spek ani ani sih</t>
  </si>
  <si>
    <t>['temen', 'cewe', 'gara', 'argen', 'menang', 'jadi', 'jepang', 'spek', 'ani', 'ani']</t>
  </si>
  <si>
    <t>untung argen menang</t>
  </si>
  <si>
    <t>['untung', 'argen', 'menang']</t>
  </si>
  <si>
    <t>@S_AshelJKT48 Ingpo argen menang pinalti  https://t.co/FxrxPyt3P4</t>
  </si>
  <si>
    <t>asheljkt ingpo argen menang pinalti</t>
  </si>
  <si>
    <t>['asheljkt', 'ingpo', 'argen', 'menang', 'penalti']</t>
  </si>
  <si>
    <t>VAR VAR VARRRRRR HAYO LOH YG BILANG ARGEN MENANG GIVE AWAYü´°ü´°ü´°</t>
  </si>
  <si>
    <t>var var varrrrrr hayo loh bilang argen menang give away</t>
  </si>
  <si>
    <t>['var', 'var', 'varrrrrr', 'hayo', 'argen', 'menang', 'give', 'away']</t>
  </si>
  <si>
    <t>dh dibilangin yang menang pasti argen üá¶üá∑üèÜ</t>
  </si>
  <si>
    <t>dibilangin yang menang pasti argen</t>
  </si>
  <si>
    <t>['dibilangin', 'menang', 'argen']</t>
  </si>
  <si>
    <t>Allhamdulilah argen menang, full senyum  https://t.co/4vvBTeCcpH</t>
  </si>
  <si>
    <t>allhamdulilah argen menang full senyum</t>
  </si>
  <si>
    <t>['allhamdulilah', 'argen', 'menang', 'full', 'senyum']</t>
  </si>
  <si>
    <t>@monkeys___ Argen menang</t>
  </si>
  <si>
    <t>SENENG BANGETTT ARGEN MENANG!!!! Dah curiga sih gue kalo argen bakalan menangü•∞üíó sampe gue lupa buat ngetwitü§≠  https://t.co/XbVH3UTWfQ</t>
  </si>
  <si>
    <t>seneng bangettt argen menang dah curiga sih gue kalo argen bakalan menang sampe gue lupa buat ngetwit</t>
  </si>
  <si>
    <t>['seneng', 'bangettt', 'argen', 'menang', 'dah', 'curiga', 'gue', 'argen', 'bakalan', 'menang', 'sampai', 'gue', 'lupa', 'buat', 'ngetwit']</t>
  </si>
  <si>
    <t>@nottfunnyy HARUS BIKIIN!! AKU LANGSUNG INGET MT-AN KITA PAS ARGEN MENANG üò≠üò≠</t>
  </si>
  <si>
    <t>harus bikiin aku langsung inget kita pas argen menang</t>
  </si>
  <si>
    <t>['bikiin', 'aku', 'langsung', 'inget', 'pas', 'argen', 'menang']</t>
  </si>
  <si>
    <t>Gua bahas terus seminggu ini argen menang</t>
  </si>
  <si>
    <t>gua bahas terus seminggu ini argen menang</t>
  </si>
  <si>
    <t>['gua', 'bahas', 'terus', 'seminggu', 'argen', 'menang']</t>
  </si>
  <si>
    <t>argen kayaknya smalam dia seneng bgt wktu messi menang</t>
  </si>
  <si>
    <t>['argen', 'kayaknya', 'smalam', 'seneng', 'banget', 'wktu', 'messi', 'menang']</t>
  </si>
  <si>
    <t>@idextratime yg menang aff aduin sama argen</t>
  </si>
  <si>
    <t>menang aff aduin sama argen</t>
  </si>
  <si>
    <t>['menang', 'aff', 'aduin', 'sama', 'argen']</t>
  </si>
  <si>
    <t>@aditiaptr @idextratime Gw bilang gw tau argen menang karena ya digendong FIFA Sama flu onta. Masih satu statement. Apadah lu kenapa sih fans Messi gini amat. Wkwkwk</t>
  </si>
  <si>
    <t>bilang tau argen menang karena digendong fifa sama flu onta masih satu statement apadah kenapa sih fans messi gini amat wkwkwk</t>
  </si>
  <si>
    <t>['argen', 'menang', 'digendong', 'fifa', 'sama', 'flu', 'onta', 'satu', 'statement', 'apadah', 'fans', 'messi', 'gini', 'wkwkwk']</t>
  </si>
  <si>
    <t>@ra_loey27 Soalnya argen menang bos</t>
  </si>
  <si>
    <t>loey soalnya argen menang bos</t>
  </si>
  <si>
    <t>['loey', 'soalnya', 'argen', 'menang', 'bos']</t>
  </si>
  <si>
    <t>Mau prancis atao argen ttp aja yg menang orang baru</t>
  </si>
  <si>
    <t>mau prancis atao argen ttp aja menang orang baru</t>
  </si>
  <si>
    <t>['mau', 'prancis', 'atao', 'argen', 'ttp', 'menang', 'orang', 'baru']</t>
  </si>
  <si>
    <t>@NanikSoemarto @idextratime Saya megang argen menang banyak karena saya tau argen yg bakal menang. Bukan karena saya dukung Messi  Situ dapat apa? Wkwkwk</t>
  </si>
  <si>
    <t>saya megang argen menang banyak karena saya tau argen bakal menang bukan karena saya dukung messi situ dapat apa wkwkwk</t>
  </si>
  <si>
    <t>['megang', 'argen', 'menang', 'banyak', 'argen', 'bakal', 'menang', 'bukan', 'dukung', 'messi', 'situ', 'apa', 'wkwkwk']</t>
  </si>
  <si>
    <t>Mau prancis atau argen,yg menang tetep orang lama chuakz</t>
  </si>
  <si>
    <t>mau prancis atau argen menang tetep orang lama chuakz</t>
  </si>
  <si>
    <t>['mau', 'prancis', 'argen', 'menang', 'tetep', 'orang', 'lama', 'chuakz']</t>
  </si>
  <si>
    <t>Yg marah2 argen menang itu kalah judi brp? Wkwkwkwk</t>
  </si>
  <si>
    <t>marah argen menang itu kalah judi brp wkwkwkwk</t>
  </si>
  <si>
    <t>['marah', 'argen', 'menang', 'kalah', 'judi', 'brp', 'wkwkwkwk']</t>
  </si>
  <si>
    <t>Wkwkwk ngbrol sm ibu2 nyong ambon fans argen, jd heboh  Beta pung tim menang toh hahaha kimak su</t>
  </si>
  <si>
    <t>wkwkwk ngbrol ibu nyong ambon fans argen heboh beta pung tim menang toh hahaha kimak</t>
  </si>
  <si>
    <t>['wkwkwk', 'ngbrol', 'ibu', 'nyong', 'ambon', 'fans', 'argen', 'heboh', 'beta', 'pung', 'tim', 'menang', 'hahaha', 'kimak']</t>
  </si>
  <si>
    <t>@minamin2403 Klo argen kaga menang mah aturan livakovic yang  dapet</t>
  </si>
  <si>
    <t>klo argen kaga menang mah aturan livakovic yang dapet</t>
  </si>
  <si>
    <t>['argen', 'kaga', 'menang', 'mah', 'aturan', 'livakovic', 'dapat']</t>
  </si>
  <si>
    <t>@alienddmwanizz Aduhh tebakanmu salah beb, yang menang argen</t>
  </si>
  <si>
    <t>aduhh tebakanmu salah beb yang menang argen</t>
  </si>
  <si>
    <t>['aduhh', 'tebakanmu', 'salah', 'beb', 'menang', 'argen']</t>
  </si>
  <si>
    <t>Udah seneng¬≤ argen menang, niatnya duitnya buat nambahin beli tiket artic monkeys eh malah ama anak¬≤ anjing dibeliin minuman... monyet monyet</t>
  </si>
  <si>
    <t>udah seneng argen menang niatnya duitnya buat nambahin beli tiket artic monkeys malah ama anak anjing dibeliin minuman monyet monyet</t>
  </si>
  <si>
    <t>['udah', 'seneng', 'argen', 'menang', 'niatnya', 'duitnya', 'buat', 'nambahin', 'beli', 'tiket', 'artic', 'monkeys', 'malah', 'ama', 'anak', 'anjing', 'dibeliin', 'minuman', 'monyet', 'monyet']</t>
  </si>
  <si>
    <t>Pd seneng bet argen menang anj wwkw</t>
  </si>
  <si>
    <t>seneng bet argen menang anj wwkw</t>
  </si>
  <si>
    <t>['seneng', 'bet', 'argen', 'menang', 'anj', 'wwkw']</t>
  </si>
  <si>
    <t>@ticklekana Bilang ke dia Argen menang</t>
  </si>
  <si>
    <t>bilang dia argen menang</t>
  </si>
  <si>
    <t>@fvskky ketiduran terus kebangun jam 2 eh check sosmed argen menang</t>
  </si>
  <si>
    <t>ketiduran terus kebangun jam check sosmed argen menang</t>
  </si>
  <si>
    <t>['ketiduran', 'terus', 'kebangun', 'jam', 'check', 'sosmed', 'argen', 'menang']</t>
  </si>
  <si>
    <t>@Tamagokuuunn @idextratime hadehh. makan banyak gw bang. menang taruhan 2jt pegang Argen ü§£</t>
  </si>
  <si>
    <t>hadehh makan banyak bang menang taruhan pegang argen</t>
  </si>
  <si>
    <t>['hadehh', 'makan', 'banyak', 'bang', 'menang', 'taruhan', 'pegang', 'argen']</t>
  </si>
  <si>
    <t>@aesherrus aku cuy filing argen menang tp kdd yg hdk bayar wkk</t>
  </si>
  <si>
    <t>aku cuy filing argen menang kdd hdk bayar wkk</t>
  </si>
  <si>
    <t>['aku', 'filing', 'argen', 'menang', 'kdd', 'hdk', 'bayar', 'wkk']</t>
  </si>
  <si>
    <t>ini piala dunia tumben ga ada mba¬≤ faker yang "Kalo argen/perancis menang, aku live telanjang di IG"</t>
  </si>
  <si>
    <t>ini piala dunia tumben ada mba faker yang kalo argen perancis menang aku live telanjang</t>
  </si>
  <si>
    <t>['piala', 'dunia', 'tumben', 'mba', 'faker', 'argen', 'perancis', 'menang', 'aku', 'live', 'telanjang']</t>
  </si>
  <si>
    <t>dam balik dam argen menang dam</t>
  </si>
  <si>
    <t>['dam', 'balik', 'dam', 'argen', 'menang', 'dam']</t>
  </si>
  <si>
    <t>yang menang argen, trending tetep Ronaldo  https://t.co/2JFfNBhWAa</t>
  </si>
  <si>
    <t>yang menang argen trending tetep ronaldo</t>
  </si>
  <si>
    <t>['menang', 'argen', 'trending', 'tetep', 'ronaldo']</t>
  </si>
  <si>
    <t>lagi seru seru bahas argen menang,eh malah ada yang mancing mancing tentang urusan haram apa engganya ngucapin natal goblok sia anying</t>
  </si>
  <si>
    <t>lagi seru seru bahas argen menang malah ada yang mancing mancing tentang urusan haram apa engganya ngucapin natal goblok sia anying</t>
  </si>
  <si>
    <t>['seru', 'seru', 'bahas', 'argen', 'menang', 'malah', 'mancing', 'mancing', 'urusan', 'haram', 'apa', 'engganya', 'ngucapin', 'natal', 'goblok', 'sia', 'anying']</t>
  </si>
  <si>
    <t>@antonsujarno25 Bang argen menang bang</t>
  </si>
  <si>
    <t>bang argen menang bang</t>
  </si>
  <si>
    <t>['bang', 'argen', 'menang', 'bang']</t>
  </si>
  <si>
    <t>Masih banyak ya yg gaterima argen menang?gilakü§£</t>
  </si>
  <si>
    <t>masih banyak gaterima argen menang gilak</t>
  </si>
  <si>
    <t>['banyak', 'gaterima', 'argen', 'menang', 'gilak']</t>
  </si>
  <si>
    <t>kebahagian menarik kebahagian, berawal dari seneng argen menang, trus dengerin lgu lagi jatuh cinta sambil nyapu halaman, pas mau beli sarapan eh nemu Temen kampus dan dia bayarin jajanan ku, kesenangan Jadi double</t>
  </si>
  <si>
    <t>kebahagian menarik kebahagian berawal dari seneng argen menang trus dengerin lgu lagi jatuh cinta sambil nyapu halaman pas mau beli sarapan nemu temen kampus dan dia bayarin jajanan kesenangan jadi double</t>
  </si>
  <si>
    <t>['kebahagian', 'menarik', 'kebahagian', 'berawal', 'seneng', 'argen', 'menang', 'trus', 'dengerin', 'lgu', 'jatuh', 'cinta', 'nyapu', 'halaman', 'pas', 'mau', 'beli', 'sarapan', 'nemu', 'temen', 'kampus', 'bayarin', 'jajanan', 'kesenangan', 'jadi', 'double']</t>
  </si>
  <si>
    <t>@bnwfavo No komen dah emg dah keliatan dr awal yg menang argen</t>
  </si>
  <si>
    <t>komen dah emg dah keliatan awal menang argen</t>
  </si>
  <si>
    <t>['komen', 'dah', 'memang', 'dah', 'keliatan', 'awal', 'menang', 'argen']</t>
  </si>
  <si>
    <t>Sumpah liat argen menang semalam terharu banget, smpe ga bisa berkata2. Merinding gilak like holyshitt i can‚Äôt breathhhh. Air mata tiba2 pecahh</t>
  </si>
  <si>
    <t>sumpah liat argen menang semalam terharu banget smpe bisa berkata merinding gilak like holyshitt can breathhhh air mata tiba pecahh</t>
  </si>
  <si>
    <t>['sumpah', 'lihat', 'argen', 'menang', 'semalam', 'terharu', 'banget', 'smpe', 'berkata', 'merinding', 'gilak', 'like', 'holyshitt', 'can', 'breathhhh', 'air', 'mata', 'tiba', 'pecahh']</t>
  </si>
  <si>
    <t>@penerangjalanmu Enggak lah. Argen menang wok, gak tidur pun masih semangat kerja wkwkwk</t>
  </si>
  <si>
    <t>enggak lah argen menang wok gak tidur pun masih semangat kerja wkwkwk</t>
  </si>
  <si>
    <t>['enggak', 'lah', 'argen', 'menang', 'wok', 'tidur', 'semangat', 'kerja', 'wkwkwk']</t>
  </si>
  <si>
    <t>PLS YA ARGEN MENANG, JD GW HARUS MOVEONN</t>
  </si>
  <si>
    <t>pls argen menang harus moveonn</t>
  </si>
  <si>
    <t>['pls', 'argen', 'menang', 'moveonn']</t>
  </si>
  <si>
    <t>@Ummiearfa Akhire menang argen</t>
  </si>
  <si>
    <t>akhire menang argen</t>
  </si>
  <si>
    <t>['akhire', 'menang', 'argen']</t>
  </si>
  <si>
    <t>yedam balik lah argen menang kot üò≠#BANGYEDAM</t>
  </si>
  <si>
    <t>yedam balik lah argen menang kot</t>
  </si>
  <si>
    <t>['yedam', 'balik', 'lah', 'argen', 'menang', 'kot']</t>
  </si>
  <si>
    <t>@tikbunyiihujan gapapa kak yg penting argen menang hari ini</t>
  </si>
  <si>
    <t>gapapa kak penting argen menang hari ini</t>
  </si>
  <si>
    <t>['gapapa', 'kak', 'penting', 'argen', 'menang', 'hari']</t>
  </si>
  <si>
    <t>@Info_Ronaldo7 @idextratime NGENTOT RESPECT! LU PALING BANYAK BACOT SEBELUM ARGEN MENANG BABI</t>
  </si>
  <si>
    <t>ronaldo ngentot respect paling banyak bacot sebelum argen menang babi</t>
  </si>
  <si>
    <t>['ronaldo', 'ngentot', 'respect', 'paling', 'banyak', 'bacot', 'argen', 'menang', 'babi']</t>
  </si>
  <si>
    <t>mau argen yang menang tetap forza azzuri!</t>
  </si>
  <si>
    <t>mau argen yang menang tetap forza azzuri</t>
  </si>
  <si>
    <t>['mau', 'argen', 'menang', 'tetap', 'forza', 'azzuri']</t>
  </si>
  <si>
    <t>sumpah ngga sia-sia nemenin vica nonton sampai larut malem krn argen menang huhu ++ dybala main trs pas dybala main vica blng ‚Äúkalo argen menang aku traktir udon deh‚Äù (dia megang france btw) HAHSHA</t>
  </si>
  <si>
    <t>sumpah ngga sia sia nemenin vica nonton sampai larut malem krn argen menang huhu dybala main trs pas dybala main vica blng kalo argen menang aku traktir udon deh dia megang france btw hahsha</t>
  </si>
  <si>
    <t>['sumpah', 'ngga', 'sia', 'sia', 'nemenin', 'vica', 'nonton', 'larut', 'malem', 'argen', 'menang', 'huhu', 'dybala', 'main', 'terus', 'pas', 'dybala', 'main', 'vica', 'blng', 'argen', 'menang', 'aku', 'traktir', 'udon', 'deh', 'megang', 'france', 'by the way', 'hahsha']</t>
  </si>
  <si>
    <t>@nct_wayvbubble menang Argen leüòÇ</t>
  </si>
  <si>
    <t>wayvbubble menang argen</t>
  </si>
  <si>
    <t>['wayvbubble', 'menang', 'argen']</t>
  </si>
  <si>
    <t>All in Argen menang piro muass??</t>
  </si>
  <si>
    <t>all argen menang piro muass</t>
  </si>
  <si>
    <t>['all', 'argen', 'menang', 'piro', 'muass']</t>
  </si>
  <si>
    <t>selebrasi otamendi waktu argen menang penalti lawan belanda adalah selebrasi favorit w pildun ini‚òùüèº‚òùüèº‚òùüèº</t>
  </si>
  <si>
    <t>selebrasi otamendi waktu argen menang penalti lawan belanda adalah selebrasi favorit pildun ini</t>
  </si>
  <si>
    <t>['selebrasi', 'otamendi', 'waktu', 'argen', 'menang', 'penalti', 'lawan', 'belanda', 'selebrasi', 'favorit', 'piala dunia']</t>
  </si>
  <si>
    <t>@NogoSosroAsli Malah gak nonton ka, banyak yang status aj argen menang  https://t.co/xMlEVuyn1O</t>
  </si>
  <si>
    <t>malah gak nonton banyak yang status argen menang</t>
  </si>
  <si>
    <t>['malah', 'nonton', 'banyak', 'status', 'argen', 'menang']</t>
  </si>
  <si>
    <t>@DaminaHiba @idextratime messi main bagus, def argen lebi rapet memang lebi layak menang walopun scr kualitas msh dibawah prancis dikit  klo tengok wasit emg tergantung perspektif aja sih, aku liat org luar ada yg protes ke thuram dilanggar, trs momen cou</t>
  </si>
  <si>
    <t>messi main bagus def argen lebi rapet memang lebi layak menang walopun scr kualitas msh dibawah prancis dikit klo tengok wasit emg tergantung perspektif aja sih aku liat org luar ada protes thuram dilanggar trs momen cou</t>
  </si>
  <si>
    <t>['messi', 'main', 'bagus', 'def', 'argen', 'lebi', 'rapet', 'memang', 'lebi', 'layak', 'menang', 'walopun', 'scr', 'kualitas', 'msh', 'dibawah', 'prancis', 'dikit', 'tengok', 'wasit', 'memang', 'tergantung', 'perspektif', 'aku', 'lihat', 'org', 'luar', 'protes', 'thuram', 'dilanggar', 'terus', 'momen', 'cou']</t>
  </si>
  <si>
    <t>sisi terang argen menang  https://t.co/eB3ToNAJiY</t>
  </si>
  <si>
    <t>sisi terang argen menang</t>
  </si>
  <si>
    <t>['sisi', 'terang', 'argen', 'menang']</t>
  </si>
  <si>
    <t>@treasuremenfess Ngebayangin yedam masih di trejo, seru bgt pasti yedam ama sukkie nobar finalll, sukkie French yedam argen, trus pas argen menang yedam langsung nunjukin wajah julidnya ke sukkie, heem pasti seru bgt liat moment mereka nobar üò≠üíô</t>
  </si>
  <si>
    <t>ngebayangin yedam masih trejo seru bgt pasti yedam ama sukkie nobar finalll sukkie french yedam argen trus pas argen menang yedam langsung nunjukin wajah julidnya sukkie heem pasti seru bgt liat moment mereka nobar</t>
  </si>
  <si>
    <t>['ngebayangin', 'yedam', 'trejo', 'seru', 'banget', 'yedam', 'ama', 'sukkie', 'nonton bareng', 'finalll', 'sukkie', 'french', 'yedam', 'argen', 'trus', 'pas', 'argen', 'menang', 'yedam', 'langsung', 'nunjukin', 'wajah', 'julidnya', 'sukkie', 'heem', 'seru', 'banget', 'lihat', 'moment', 'nonton bareng']</t>
  </si>
  <si>
    <t>@gurukukumba tenang ka argen menang</t>
  </si>
  <si>
    <t>tenang argen menang</t>
  </si>
  <si>
    <t>['tenang', 'argen', 'menang']</t>
  </si>
  <si>
    <t>ga sia sia sih begadang nonton final. di pertengahan udah mulai ngantuk tp detik detik terakhir lgsg seger gregetan deg deg annn, dan terbayarkan setelah argen menang</t>
  </si>
  <si>
    <t>sia sia sih begadang nonton final pertengahan udah mulai ngantuk detik detik terakhir lgsg seger gregetan deg deg annn dan terbayarkan setelah argen menang</t>
  </si>
  <si>
    <t>['sia', 'sia', 'begadang', 'nonton', 'final', 'pertengahan', 'udah', 'mulai', 'ngantuk', 'detik', 'detik', 'terakhir', 'lgsg', 'seger', 'gregetan', 'deg', 'deg', 'annn', 'terbayarkan', 'argen', 'menang']</t>
  </si>
  <si>
    <t>Abis bikin story argen menang wkwkwkwk  https://t.co/tTCjqTTmQc</t>
  </si>
  <si>
    <t>abis bikin story argen menang wkwkwkwk</t>
  </si>
  <si>
    <t>['abis', 'story', 'argen', 'menang', 'wkwkwkwk']</t>
  </si>
  <si>
    <t>argen menang saatnya aku memulai kehidupan baruu</t>
  </si>
  <si>
    <t>['argen', 'menang', 'saatnya', 'aku', 'memulai', 'kehidupan', 'baruu']</t>
  </si>
  <si>
    <t>ARGEN MENANG CUYYY ASEK ASEK</t>
  </si>
  <si>
    <t>argen menang cuyyy asek asek</t>
  </si>
  <si>
    <t>['argen', 'menang', 'cuyyy', 'asek', 'asek']</t>
  </si>
  <si>
    <t>pas argen first half 2-0, gue udah kaya ‚Äúah santai lah, fix menang ini mah‚Äù but.... but.... ninja turtle fights back and mulai dari situ gue udah ketar-ketir soalnya doi udah bikin 2-2 IN LESS THAN 2 MINUTES????</t>
  </si>
  <si>
    <t>pas argen first half gue udah kaya santai lah fix menang ini mah but but ninja turtle fights back and mulai dari situ gue udah ketar ketir soalnya doi udah bikin less than minutes</t>
  </si>
  <si>
    <t>['pas', 'argen', 'first', 'half', 'gue', 'udah', 'kaya', 'santai', 'lah', 'fix', 'menang', 'mah', 'but', 'but', 'ninja', 'turtle', 'fights', 'back', 'and', 'mulai', 'situ', 'gue', 'udah', 'ketar', 'ketir', 'soalnya', 'doi', 'udah', 'less', 'than', 'minutes']</t>
  </si>
  <si>
    <t>2014 pas nobar di rumah nenek, aku pulang nangis-nangis karena argen kalah lawan jerman di adu penalti. sekarang aku nangis nangis bahagia karena argen menang. nggak nyangka! üò≠</t>
  </si>
  <si>
    <t>pas nobar rumah nenek aku pulang nangis nangis karena argen kalah lawan jerman adu penalti sekarang aku nangis nangis bahagia karena argen menang nggak nyangka</t>
  </si>
  <si>
    <t>['pas', 'nonton bareng', 'rumah', 'nenek', 'aku', 'pulang', 'nangis', 'nangis', 'argen', 'kalah', 'lawan', 'jerman', 'adu', 'penalti', 'sekarang', 'aku', 'nangis', 'nangis', 'bahagia', 'argen', 'menang', 'nyangka']</t>
  </si>
  <si>
    <t>@lezatbergiziges @idextratime gw dukung Argen bang. menang taruhan 2jt pula üòÇüòÇüòÇ</t>
  </si>
  <si>
    <t>dukung argen bang menang taruhan pula</t>
  </si>
  <si>
    <t>['dukung', 'argen', 'bang', 'menang', 'taruhan']</t>
  </si>
  <si>
    <t>@meltieng 1000 soalna argen menang</t>
  </si>
  <si>
    <t>soalna argen menang</t>
  </si>
  <si>
    <t>['soalna', 'argen', 'menang']</t>
  </si>
  <si>
    <t>Sheesh,argen menang</t>
  </si>
  <si>
    <t>sheesh argen menang</t>
  </si>
  <si>
    <t>['sheesh', 'argen', 'menang']</t>
  </si>
  <si>
    <t>Suara ku serak grgr teriak2an semlm..tp its okay argen menang yuhu.. Neymar full senyum :)?#FIFAWorldCup</t>
  </si>
  <si>
    <t>suara serak grgr teriak semlm its okay argen menang yuhu neymar full senyum</t>
  </si>
  <si>
    <t>['suara', 'serak', 'grgr', 'teriak', 'semlm', 'its', 'okay', 'argen', 'menang', 'yuhu', 'neymar', 'full', 'senyum']</t>
  </si>
  <si>
    <t>@treasuremenfess imagine yedam post selfie lagi nganga karena bahagia argen menang wkwk terus bilang '....argentina menang....' üòÄüòÄüòÄüòÄ</t>
  </si>
  <si>
    <t>imagine yedam post selfie lagi nganga karena bahagia argen menang wkwk terus bilang argentina menang</t>
  </si>
  <si>
    <t>['imagine', 'yedam', 'post', 'selfie', 'nganga', 'bahagia', 'argen', 'menang', 'terus', 'argentina', 'menang']</t>
  </si>
  <si>
    <t>Pst klo msh ada mrk bedua, liat argen menang, weverse udh rme bgt tuh bahas bola bolaan</t>
  </si>
  <si>
    <t>pst klo msh ada mrk bedua liat argen menang weverse udh rme bgt tuh bahas bola bolaan</t>
  </si>
  <si>
    <t>['pst', 'msh', 'mrk', 'bedua', 'lihat', 'argen', 'menang', 'weverse', 'sudah', 'rme', 'banget', 'bahas', 'bola', 'bolaan']</t>
  </si>
  <si>
    <t>@idacandra @westenthu TAPI AK LEBIH SUKA KALO ARGEN YANG MENANG</t>
  </si>
  <si>
    <t>tapi lebih suka kalo argen yang menang</t>
  </si>
  <si>
    <t>['lebih', 'suka', 'argen', 'menang']</t>
  </si>
  <si>
    <t>@28studiios argen menang wkkskksn</t>
  </si>
  <si>
    <t>argen menang wkkskksn</t>
  </si>
  <si>
    <t>['argen', 'menang', 'wkkskksn']</t>
  </si>
  <si>
    <t>bangun pagi seger soalnya argen menang</t>
  </si>
  <si>
    <t>['bangun', 'pagi', 'seger', 'soalnya', 'argen', 'menang']</t>
  </si>
  <si>
    <t>@plisitin Biarin diambil yg penting dunia tau klo argen menang</t>
  </si>
  <si>
    <t>biarin diambil penting dunia tau klo argen menang</t>
  </si>
  <si>
    <t>['biarin', 'diambil', 'penting', 'dunia', 'argen', 'menang']</t>
  </si>
  <si>
    <t>( #yoshiden onetweet au ) argen prancis argen prancis, tetep denji yg menang di hati yoshi, jiakh  https://t.co/oFvMBNF4oR</t>
  </si>
  <si>
    <t>onetweet argen prancis argen prancis tetep denji menang hati yoshi jiakh</t>
  </si>
  <si>
    <t>['onetweet', 'argen', 'prancis', 'argen', 'prancis', 'tetep', 'denji', 'menang', 'hati', 'yoshi', 'jiakh']</t>
  </si>
  <si>
    <t>@sparklingdejavu @tanyarlfes menang lah dia. 1x2 argen dia pegang</t>
  </si>
  <si>
    <t>menang lah dia argen dia pegang</t>
  </si>
  <si>
    <t>['menang', 'lah', 'argen', 'pegang']</t>
  </si>
  <si>
    <t>Dam lu gamau bikin instagram cuman buat ngomong "ANJIRR ARGEN ANDALAN GUA MENANG COKK"</t>
  </si>
  <si>
    <t>dam gamau bikin instagram cuman buat ngomong anjirr argen andalan gua menang cokk</t>
  </si>
  <si>
    <t>['dam', 'gamau', 'instagram', 'cuman', 'buat', 'ngomong', 'anjirr', 'argen', 'andalan', 'gua', 'menang', 'cokk']</t>
  </si>
  <si>
    <t>@noblexse morning after argen menang</t>
  </si>
  <si>
    <t>morning after argen menang</t>
  </si>
  <si>
    <t>['morning', 'after', 'argen', 'menang']</t>
  </si>
  <si>
    <t>Aaaa seneng bgt argen bisa menang, stidaknya diantara ronaldo dan neymar pulang masi ad messi yg bisa ngangkat piala dunia ü•∫ü•∫ü•∫ soalny kata org2 di 4 taun kedepan, mreka ga main lagiü•≤ü•≤ü•≤</t>
  </si>
  <si>
    <t>aaaa seneng bgt argen bisa menang stidaknya diantara ronaldo dan neymar pulang masi messi bisa ngangkat piala dunia soalny kata org taun kedepan mreka main lagi</t>
  </si>
  <si>
    <t>['aaaa', 'seneng', 'banget', 'argen', 'menang', 'stidaknya', 'diantara', 'ronaldo', 'neymar', 'pulang', 'masi', 'messi', 'ngangkat', 'piala', 'dunia', 'soalny', 'kata', 'org', 'taun', 'kedepan', 'mreka', 'main']</t>
  </si>
  <si>
    <t>@muika yehee argen menang üéâüéâ</t>
  </si>
  <si>
    <t>yehee argen menang</t>
  </si>
  <si>
    <t>['yehee', 'argen', 'menang']</t>
  </si>
  <si>
    <t>bangun tidur argen menang.. menang juga taruhan bola walaupun ga seberapa...  terus tinggal menangin hati kamu nya nih.. kapan ya........  https://t.co/NQCQmYJFwl</t>
  </si>
  <si>
    <t>bangun tidur argen menang menang juga taruhan bola walaupun seberapa terus tinggal menangin hati kamu nya nih kapan</t>
  </si>
  <si>
    <t>['bangun', 'tidur', 'argen', 'menang', 'menang', 'taruhan', 'bola', 'walaupun', 'seberapa', 'terus', 'tinggal', 'menangin', 'hati', 'kamu', 'kapan']</t>
  </si>
  <si>
    <t>suasana argen menang  https://t.co/gWjX8Y5W1E</t>
  </si>
  <si>
    <t>suasana argen menang</t>
  </si>
  <si>
    <t>['suasana', 'argen', 'menang']</t>
  </si>
  <si>
    <t>Perancis kalah gegara 2 pemain barca bapuk, fix ini disengaja karena Messi masih jadi legendnya barca supaya argen menang.  https://t.co/1QkQnbzma0</t>
  </si>
  <si>
    <t>perancis kalah gegara pemain barca bapuk fix ini disengaja karena messi masih jadi legendnya barca supaya argen menang</t>
  </si>
  <si>
    <t>['perancis', 'kalah', 'gegara', 'pemain', 'barca', 'bapuk', 'fix', 'disengaja', 'messi', 'jadi', 'legendnya', 'barca', 'argen', 'menang']</t>
  </si>
  <si>
    <t>@fueledbyindomii Argen iki secara tim enak ngeyel kabeh tapi nek pas menang mesti kyk ngece nyombongi ngunu emang kam wkwkwk puncake pas musuh belanda kui</t>
  </si>
  <si>
    <t>argen iki secara tim enak ngeyel kabeh tapi nek pas menang mesti kyk ngece nyombongi ngunu emang kam wkwkwk puncake pas musuh belanda kui</t>
  </si>
  <si>
    <t>['argen', 'iki', 'tim', 'enak', 'ngeyel', 'kabeh', 'nek', 'pas', 'menang', 'mesti', 'seperti', 'ngece', 'nyombongi', 'ngunu', 'emang', 'kam', 'wkwkwk', 'puncake', 'pas', 'musuh', 'belanda', 'kui']</t>
  </si>
  <si>
    <t>@meilovematcha argen menang niihüî•</t>
  </si>
  <si>
    <t>argen menang niih</t>
  </si>
  <si>
    <t>['argen', 'menang', 'niih']</t>
  </si>
  <si>
    <t>oiya gue baru inget yedam kan suka bgt ama argentinaüò≠üò≠üò≠üò≠ DAM ARGEN MENANG DAMMMM</t>
  </si>
  <si>
    <t>oiya gue baru inget yedam kan suka bgt ama argentina dam argen menang dammmm</t>
  </si>
  <si>
    <t>['oiya', 'gue', 'baru', 'inget', 'yedam', 'kan', 'suka', 'banget', 'ama', 'argentina', 'dam', 'argen', 'menang', 'dammmm']</t>
  </si>
  <si>
    <t>Mimpi indah argen menang</t>
  </si>
  <si>
    <t>mimpi indah argen menang</t>
  </si>
  <si>
    <t>['mimpi', 'indah', 'argen', 'menang']</t>
  </si>
  <si>
    <t>WHAHAHAH para2 mendukung prancis biar argen gak menang sakit hati sekaleeeeeü§£ü§£</t>
  </si>
  <si>
    <t>whahahah para mendukung prancis biar argen gak menang sakit hati sekaleeeee</t>
  </si>
  <si>
    <t>['whahahah', 'mendukung', 'prancis', 'argen', 'menang', 'sakit', 'hati', 'sekaleeeee']</t>
  </si>
  <si>
    <t>@yashbruv menang argen bang</t>
  </si>
  <si>
    <t>menang argen bang</t>
  </si>
  <si>
    <t>['menang', 'argen', 'bang']</t>
  </si>
  <si>
    <t>@1990CME Diem lu gua tau argen menang tapi gua dukung Prancis anjir</t>
  </si>
  <si>
    <t>diem gua tau argen menang tapi gua dukung prancis anjir</t>
  </si>
  <si>
    <t>['diem', 'gua', 'argen', 'menang', 'gua', 'dukung', 'prancis', 'anjir']</t>
  </si>
  <si>
    <t>@orwganic Menang argen nih kak</t>
  </si>
  <si>
    <t>menang argen nih kak</t>
  </si>
  <si>
    <t>['menang', 'argen', 'kak']</t>
  </si>
  <si>
    <t>@idextratime Aowkowkwowwko nyesek gak mbak e yg menang malah argen @amndzahra</t>
  </si>
  <si>
    <t>aowkowkwowwko nyesek gak mbak menang malah argen</t>
  </si>
  <si>
    <t>['aowkowkwowwko', 'nyesek', 'mbak', 'menang', 'malah', 'argen']</t>
  </si>
  <si>
    <t>hari ini indah nyaaa messi menang argen menang pokoknya kereennn ü•∞üòç‚ù§Ô∏è</t>
  </si>
  <si>
    <t>hari ini indah nyaaa messi menang argen menang pokoknya kereennn</t>
  </si>
  <si>
    <t>['hari', 'indah', 'nyaaa', 'messi', 'menang', 'argen', 'menang', 'pokoknya', 'kereennn']</t>
  </si>
  <si>
    <t>Setelah hampir 30thn Argen gapernah menang piala dunia. Akhirnyaaa menang jugaaaa.   Ga berasa dr 2010 sampe skrg gue selalu di argen. Sering di cemooh sana sini, sering di underestimated sm org2. 1 of my friends "ngapain sih lu pilih argen? Udh tua2 mereka"  https://t.co/kaZz6PrMN8</t>
  </si>
  <si>
    <t>setelah hampir thn argen gapernah menang piala dunia akhirnyaaa menang jugaaaa berasa sampe skrg gue selalu argen sering cemooh sana sini sering underestimated org friends ngapain sih pilih argen udh tua mereka</t>
  </si>
  <si>
    <t>['hampir', 'thn', 'argen', 'gapernah', 'menang', 'piala', 'dunia', 'akhirnyaaa', 'menang', 'jugaaaa', 'berasa', 'sampai', 'skrg', 'gue', 'selalu', 'argen', 'sering', 'cemooh', 'sana', 'sini', 'sering', 'underestimated', 'org', 'friends', 'ngapain', 'pilih', 'argen', 'sudah', 'tua']</t>
  </si>
  <si>
    <t>hari ini full senyum argen menang + masuk 3 besar di kelasüëäüèª</t>
  </si>
  <si>
    <t>hari ini full senyum argen menang masuk besar kelas</t>
  </si>
  <si>
    <t>['hari', 'full', 'senyum', 'argen', 'menang', 'masuk', 'besar', 'kelas']</t>
  </si>
  <si>
    <t>Seru jirrr kirain Argen bakal menang itu langsung ternyata 15 menit terakhir mbappe langsung sat set sat set. Mana make kejar-kejaran score jg seru bgt serius</t>
  </si>
  <si>
    <t>seru jirrr kirain argen bakal menang itu langsung ternyata menit terakhir mbappe langsung sat set sat set mana make kejar kejaran score seru bgt serius</t>
  </si>
  <si>
    <t>['seru', 'jirrr', 'kirain', 'argen', 'bakal', 'menang', 'langsung', 'ternyata', 'menit', 'terakhir', 'mbappe', 'langsung', 'sat', 'set', 'sat', 'set', 'mana', 'make', 'kejar', 'kejaran', 'score', 'seru', 'banget', 'serius']</t>
  </si>
  <si>
    <t>senang sih argen menang tapi kasian juga sama prance:'</t>
  </si>
  <si>
    <t>senang sih argen menang tapi kasian juga sama prance</t>
  </si>
  <si>
    <t>['senang', 'argen', 'menang', 'kasian', 'sama', 'prance']</t>
  </si>
  <si>
    <t>@simamaung Persib menang, argen menang</t>
  </si>
  <si>
    <t>persib menang argen menang</t>
  </si>
  <si>
    <t>['persib', 'menang', 'argen', 'menang']</t>
  </si>
  <si>
    <t>@tanayasitha95 semangat kackk syukur argen menang xixi</t>
  </si>
  <si>
    <t>semangat kackk syukur argen menang xixi</t>
  </si>
  <si>
    <t>['semangat', 'kackk', 'syukur', 'argen', 'menang', 'xixi']</t>
  </si>
  <si>
    <t>@masbrostore__ Kalo tau argen menang me ikut anjir... Bener nebak doang dapet untung engga ü§°ü§°ü§°</t>
  </si>
  <si>
    <t>kalo tau argen menang ikut anjir bener nebak doang dapet untung engga</t>
  </si>
  <si>
    <t>['argen', 'menang', 'ikut', 'anjir', 'benar', 'nebak', 'doang', 'dapat', 'untung', 'tidak']</t>
  </si>
  <si>
    <t>bapak gw smenjak argen menang ngirimin vidio messi mluu anjir üò≠üòÇüò≠  https://t.co/v1Omq0fV1r</t>
  </si>
  <si>
    <t>bapak smenjak argen menang ngirimin vidio messi mluu anjir</t>
  </si>
  <si>
    <t>['bapak', 'smenjak', 'argen', 'menang', 'ngirimin', 'vidio', 'messi', 'mluu', 'anjir']</t>
  </si>
  <si>
    <t>AKSKSKAKKA udah gue kata kalo zayn pake baju argen pasti argen menang, bener ajakanü§©ü•∫</t>
  </si>
  <si>
    <t>akskskakka udah gue kata kalo zayn pake baju argen pasti argen menang bener ajakan</t>
  </si>
  <si>
    <t>['akskskakka', 'udah', 'gue', 'kata', 'zayn', 'pake', 'baju', 'argen', 'argen', 'menang', 'benar', 'ajakan']</t>
  </si>
  <si>
    <t>@rabelulurura Iwan bule katanya ikut bantu argen menang bel.  https://t.co/VP3PF6vkUA</t>
  </si>
  <si>
    <t>iwan bule katanya ikut bantu argen menang bel</t>
  </si>
  <si>
    <t>['iwan', 'bule', 'katanya', 'ikut', 'bantu', 'argen', 'menang', 'bel']</t>
  </si>
  <si>
    <t>fyi aja sih argen menang</t>
  </si>
  <si>
    <t>['for your information', 'argen', 'menang']</t>
  </si>
  <si>
    <t>@UNYmfs Masi bisa gx ni, ak gtw bola sp yg menang? Argen yh? :</t>
  </si>
  <si>
    <t>masi bisa gtw bola menang argen</t>
  </si>
  <si>
    <t>['masi', 'gtw', 'bola', 'menang', 'argen']</t>
  </si>
  <si>
    <t>argen menang, nice game prancisüí™üèª</t>
  </si>
  <si>
    <t>argen menang nice game prancis</t>
  </si>
  <si>
    <t>['argen', 'menang', 'nice', 'game', 'prancis']</t>
  </si>
  <si>
    <t>Info mie ayam ta  bakso seng penak bess,adoh yo rapopo,siap menyusuri jalanan jogja dengan ayang üôè ga jadi pulang,argen menang og wkwkwk</t>
  </si>
  <si>
    <t>info mie ayam bakso seng penak bess adoh rapopo siap menyusuri jalanan jogja dengan ayang jadi pulang argen menang wkwkwk</t>
  </si>
  <si>
    <t>['info', 'mie', 'ayam', 'bakso', 'seng', 'penak', 'bess', 'adoh', 'rapopo', 'siap', 'menyusuri', 'jalanan', 'jogja', 'ayang', 'jadi', 'pulang', 'argen', 'menang', 'wkwkwk']</t>
  </si>
  <si>
    <t>@THEMACALLAN18 ada orng baru mau pasang pasnya mau menang argenü§£ü§£  https://t.co/x5Nocwkyr1</t>
  </si>
  <si>
    <t>ada orng baru mau pasang pasnya mau menang argen</t>
  </si>
  <si>
    <t>['orng', 'baru', 'mau', 'pasang', 'pasnya', 'mau', 'menang', 'argen']</t>
  </si>
  <si>
    <t>@muika yey argen menang</t>
  </si>
  <si>
    <t>yey argen menang</t>
  </si>
  <si>
    <t>['yey', 'argen', 'menang']</t>
  </si>
  <si>
    <t>PARTY BOS PARTY ARGEN MENANG PRANCIS SEPELE</t>
  </si>
  <si>
    <t>party bos party argen menang prancis sepele</t>
  </si>
  <si>
    <t>['party', 'bos', 'party', 'argen', 'menang', 'prancis', 'sepele']</t>
  </si>
  <si>
    <t>warga itb! argen menang kok pada seneng ya? emg udh untung brp?</t>
  </si>
  <si>
    <t>warga itb argen menang kok pada seneng emg udh untung brp</t>
  </si>
  <si>
    <t>['warga', 'itb', 'argen', 'menang', 'kok', 'seneng', 'memang', 'sudah', 'untung', 'brp']</t>
  </si>
  <si>
    <t>@yedamfess Dam balik dam argen menang dam</t>
  </si>
  <si>
    <t>@Divaptr1 menang cuk argenüòáüôèüèª</t>
  </si>
  <si>
    <t>menang cuk argen</t>
  </si>
  <si>
    <t>['menang', 'cuk', 'argen']</t>
  </si>
  <si>
    <t>bang yedam kapan muncul yach argen udh menang ni lho beb</t>
  </si>
  <si>
    <t>bang yedam kapan muncul yach argen udh menang lho beb</t>
  </si>
  <si>
    <t>['bang', 'yedam', 'kapan', 'muncul', 'yach', 'argen', 'sudah', 'menang', 'lho', 'beb']</t>
  </si>
  <si>
    <t>@orwganic Argen menang nih</t>
  </si>
  <si>
    <t>argen menang nih</t>
  </si>
  <si>
    <t>@aliqque ini kyny perasaan mada dijdiin tumbal biar argen menangüò≠üò≠üò≠üò≠</t>
  </si>
  <si>
    <t>ini kyny perasaan mada dijdiin tumbal biar argen menang</t>
  </si>
  <si>
    <t>['kyny', 'perasaan', 'mada', 'dijdiin', 'tumbal', 'argen', 'menang']</t>
  </si>
  <si>
    <t>wei gua masih senyam senyum argen menang</t>
  </si>
  <si>
    <t>['wei', 'gua', 'senyam', 'senyum', 'argen', 'menang']</t>
  </si>
  <si>
    <t>Sblm #Qatar2022 Argen memang yg terbaik dlm tos2an. Skrg rekor mrk jd menang 6x ,cm kalah 1x  #FIFAWorldCup  Siapa Raja Adu Penalti dalam Sejarah Piala Dunia?  https://t.co/g2VQBcE3Hs</t>
  </si>
  <si>
    <t>sblm argen memang terbaik dlm tos skrg rekor mrk menang kalah siapa raja adu penalti dalam sejarah piala dunia</t>
  </si>
  <si>
    <t>['sebelum', 'argen', 'memang', 'terbaik', 'dlm', 'tos', 'skrg', 'rekor', 'mrk', 'menang', 'kalah', 'siapa', 'raja', 'adu', 'penalti', 'sejarah', 'piala', 'dunia']</t>
  </si>
  <si>
    <t>bangun bangun full senyum argen menang</t>
  </si>
  <si>
    <t>['bangun', 'bangun', 'full', 'senyum', 'argen', 'menang']</t>
  </si>
  <si>
    <t>@Alter_person4 Dodo pride, sudah tau argen menang Tp tetep pasang Prancis</t>
  </si>
  <si>
    <t>person dodo pride sudah tau argen menang tetep pasang prancis</t>
  </si>
  <si>
    <t>['person', 'dodo', 'pride', 'argen', 'menang', 'tetep', 'pasang', 'prancis']</t>
  </si>
  <si>
    <t>@cp_hayo udah feeling argen menang (meskipun aslinya dukung france)</t>
  </si>
  <si>
    <t>hayo udah feeling argen menang meskipun aslinya dukung france</t>
  </si>
  <si>
    <t>['hayo', 'udah', 'feeling', 'argen', 'menang', 'meskipun', 'aslinya', 'dukung', 'france']</t>
  </si>
  <si>
    <t>@loonaprojector Aku menang dong mom, argen, mau gopay 100k mom?</t>
  </si>
  <si>
    <t>aku menang dong mom argen mau gopay mom</t>
  </si>
  <si>
    <t>['aku', 'menang', 'dong', 'mom', 'argen', 'mau', 'gopay', 'mom']</t>
  </si>
  <si>
    <t>@ecaimanta doi ceria kok Argen menang, gua yg nangis masang France wkwk</t>
  </si>
  <si>
    <t>doi ceria kok argen menang gua nangis masang france wkwk</t>
  </si>
  <si>
    <t>['doi', 'ceria', 'kok', 'argen', 'menang', 'gua', 'nangis', 'masang', 'france']</t>
  </si>
  <si>
    <t>argen juara ditambah warriors menang, indahnya seninü•∞</t>
  </si>
  <si>
    <t>argen juara ditambah warriors menang indahnya senin</t>
  </si>
  <si>
    <t>['argen', 'juara', 'ditambah', 'warriors', 'menang', 'indahnya', 'senin']</t>
  </si>
  <si>
    <t>Gw udh ada feeling kalo penalti argen bakal menang karena ada daddy martinez</t>
  </si>
  <si>
    <t>udh ada feeling kalo penalti argen bakal menang karena ada daddy martinez</t>
  </si>
  <si>
    <t>['sudah', 'feeling', 'penalti', 'argen', 'bakal', 'menang', 'daddy', 'martinez']</t>
  </si>
  <si>
    <t>@fujoshi232 Bangkrut abis taruhan ama beli tisu si wkwkwk, argen menang berkat sholawat dan doa mamak messi  https://t.co/JmoXE3UyNB</t>
  </si>
  <si>
    <t>bangkrut abis taruhan ama beli tisu wkwkwk argen menang berkat sholawat dan doa mamak messi</t>
  </si>
  <si>
    <t>['bangkrut', 'abis', 'taruhan', 'ama', 'beli', 'tisu', 'wkwkwk', 'argen', 'menang', 'berkat', 'sholawat', 'doa', 'mamak', 'messi']</t>
  </si>
  <si>
    <t>@orwganic argen udah menang nii</t>
  </si>
  <si>
    <t>argen udah menang nii</t>
  </si>
  <si>
    <t>['argen', 'udah', 'menang', 'nii']</t>
  </si>
  <si>
    <t>@ivonaeireen Semalem si, karna argen menang wkwk</t>
  </si>
  <si>
    <t>semalem karna argen menang wkwk</t>
  </si>
  <si>
    <t>['semalam', 'karna', 'argen', 'menang']</t>
  </si>
  <si>
    <t>Diinget-inget lagi, lucu juga semalem adik w ngelag pas Argen udah fix menang. Aing dah teriak dia masih sibuk deg-degan nunggu next pinalti ü§£ü§£ü§£</t>
  </si>
  <si>
    <t>diinget inget lagi lucu juga semalem adik ngelag pas argen udah fix menang aing dah teriak dia masih sibuk deg degan nunggu next pinalti</t>
  </si>
  <si>
    <t>['diinget', 'inget', 'lucu', 'semalam', 'adik', 'ngelag', 'pas', 'argen', 'udah', 'fix', 'menang', 'aing', 'dah', 'teriak', 'sibuk', 'deg', 'degan', 'nunggu', 'next', 'penalti']</t>
  </si>
  <si>
    <t>@indomesoto mmpus ko, gua sih udah nebak argen yg menang</t>
  </si>
  <si>
    <t>mmpus gua sih udah nebak argen menang</t>
  </si>
  <si>
    <t>['mmpus', 'gua', 'udah', 'nebak', 'argen', 'menang']</t>
  </si>
  <si>
    <t>@akunkecilnjir_ Masuk penalty udh feeling argen yg menang ü•≤</t>
  </si>
  <si>
    <t>masuk penalty udh feeling argen menang</t>
  </si>
  <si>
    <t>['masuk', 'penalty', 'sudah', 'feeling', 'argen', 'menang']</t>
  </si>
  <si>
    <t>@tanyarlfes Taruhan sm org dia dukung üá´üá∑ dan aku dukung üá¶üá∑ ditanya klo argen menang mau minta apa, yaudah aku jawab skin lylia expensive tahun depan üòáüôèüèª  https://t.co/2gqOhLER26</t>
  </si>
  <si>
    <t>taruhan org dia dukung dan aku dukung ditanya klo argen menang mau minta apa yaudah aku jawab skin lylia expensive tahun depan</t>
  </si>
  <si>
    <t>['taruhan', 'org', 'dukung', 'aku', 'dukung', 'ditanya', 'argen', 'menang', 'mau', 'minta', 'apa', 'yaudah', 'aku', 'jawab', 'skin', 'lylia', 'expensive', 'tahun', 'depan']</t>
  </si>
  <si>
    <t>@ilustracsi argen menang wleüòé</t>
  </si>
  <si>
    <t>argen menang wle</t>
  </si>
  <si>
    <t>['argen', 'menang', 'wle']</t>
  </si>
  <si>
    <t>argen menang, duit masukk üòÅüòÅ</t>
  </si>
  <si>
    <t>argen menang duit masukk</t>
  </si>
  <si>
    <t>['argen', 'menang', 'duit', 'masukk']</t>
  </si>
  <si>
    <t>@spinneysss argen menang woy</t>
  </si>
  <si>
    <t>argen menang woy</t>
  </si>
  <si>
    <t>['argen', 'menang', 'woy']</t>
  </si>
  <si>
    <t>@sexcsanzu km pgang sp smlm, ak argen wuhu menang</t>
  </si>
  <si>
    <t>pgang smlm argen wuhu menang</t>
  </si>
  <si>
    <t>['pgang', 'smlm', 'argen', 'wuhu', 'menang']</t>
  </si>
  <si>
    <t>Gua udah dri awal pildun argen bakal juara soalnya fifa memprediksi juga sih argen bakal juara. Jdi biasa aja pas menang taruhan juga awokwok</t>
  </si>
  <si>
    <t>gua udah dri awal pildun argen bakal juara soalnya fifa memprediksi juga sih argen bakal juara jdi biasa aja pas menang taruhan juga awokwok</t>
  </si>
  <si>
    <t>['gua', 'udah', 'dri', 'awal', 'piala dunia', 'argen', 'bakal', 'juara', 'soalnya', 'fifa', 'memprediksi', 'argen', 'bakal', 'juara', 'jdi', 'biasa', 'pas', 'menang', 'taruhan']</t>
  </si>
  <si>
    <t>argen menang kontol</t>
  </si>
  <si>
    <t>['argen', 'menang', 'kontol']</t>
  </si>
  <si>
    <t>@sleepybunbunny Gabakalan krn emng yg menang Argen hehehe</t>
  </si>
  <si>
    <t>gabakalan krn emng menang argen hehehe</t>
  </si>
  <si>
    <t>['gabakalan', 'memang', 'menang', 'argen', 'hehehe']</t>
  </si>
  <si>
    <t>@MmoiReal "Gue dukung argen biar prancis menang kak" "yeayy gol messi yeeee" "GILA MBAPPE GILAAA" berikut kira kira ucapannya semalam manteman</t>
  </si>
  <si>
    <t>gue dukung argen biar prancis menang kak yeayy gol messi yeeee gila mbappe gilaaa berikut kira kira ucapannya semalam manteman</t>
  </si>
  <si>
    <t>['gue', 'dukung', 'argen', 'prancis', 'menang', 'kak', 'yeayy', 'gol', 'messi', 'yeeee', 'gila', 'mbappe', 'gilaaa', 'berikut', 'kira', 'kira', 'ucapannya', 'semalam', 'manteman']</t>
  </si>
  <si>
    <t>Anw gw happy cuz Argen menang wc üòé</t>
  </si>
  <si>
    <t>anw happy cuz argen menang</t>
  </si>
  <si>
    <t>['anw', 'happy', 'cuz', 'argen', 'menang']</t>
  </si>
  <si>
    <t>@realmadridindo1 soalnya buat jantung aguero makin makin min, ketolong aja argen yg menang. kalo france yang menang bisabisa mati tu aguero</t>
  </si>
  <si>
    <t>soalnya buat jantung aguero makin makin min ketolong aja argen menang kalo france yang menang bisabisa mati aguero</t>
  </si>
  <si>
    <t>['soalnya', 'buat', 'jantung', 'aguero', 'makin', 'makin', 'min', 'ketolong', 'argen', 'menang', 'france', 'menang', 'bisabisa', 'mati', 'aguero']</t>
  </si>
  <si>
    <t>@tanyarlfes Menang lah wkwkwkkwk. Bapak sama adek gw megang Perancis. Gw sendiri megang argen. Menang cuyyyy</t>
  </si>
  <si>
    <t>menang lah wkwkwkkwk bapak sama adek megang perancis sendiri megang argen menang cuyyyy</t>
  </si>
  <si>
    <t>['menang', 'lah', 'wkwkwkkwk', 'bapak', 'sama', 'adek', 'megang', 'perancis', 'sendiri', 'megang', 'argen', 'menang', 'cuyyyy']</t>
  </si>
  <si>
    <t>ceritanya gua sama rama kek taruhan gitu menang mana antara argen sm prancis, dia pegang argentina, gua pegang prancis. eh argen menang trs gua bilang ke dia 'yah prancis kalah ram' trs kata dia gini 'wkwk kan ku bilang argen' hehe kek gt aja udah seneng bgt ni hati</t>
  </si>
  <si>
    <t>ceritanya gua sama rama kek taruhan gitu menang mana antara argen prancis dia pegang argentina gua pegang prancis argen menang trs gua bilang dia yah prancis kalah ram trs kata dia gini wkwk kan bilang argen hehe kek aja udah seneng bgt hati</t>
  </si>
  <si>
    <t>['ceritanya', 'gua', 'sama', 'rama', 'kek', 'taruhan', 'gitu', 'menang', 'mana', 'argen', 'prancis', 'pegang', 'argentina', 'gua', 'pegang', 'prancis', 'argen', 'menang', 'terus', 'gua', 'prancis', 'kalah', 'ram', 'terus', 'kata', 'gini', 'kan', 'argen', 'kek', 'udah', 'seneng', 'banget', 'hati']</t>
  </si>
  <si>
    <t>&lt;FreqDist with 23 samples and 33 outcomes&gt;</t>
  </si>
  <si>
    <t>@bimaawww Yg menting argen menang cuy</t>
  </si>
  <si>
    <t>menting argen menang cuy</t>
  </si>
  <si>
    <t>['menting', 'argen', 'menang']</t>
  </si>
  <si>
    <t>Guaa emotional bgt argen menangggüò≠üò≠üò≠üò≠üò≠ kaya finally menang di final lepas dr runner upüò≠üò≠üò≠</t>
  </si>
  <si>
    <t>guaa emotional bgt argen menanggg kaya finally menang final lepas runner</t>
  </si>
  <si>
    <t>['guaa', 'emotional', 'banget', 'argen', 'menanggg', 'kaya', 'finally', 'menang', 'final', 'lepas', 'runner']</t>
  </si>
  <si>
    <t>@belibasoyu emg udah feelling sih gua dari awal argen menang</t>
  </si>
  <si>
    <t>emg udah feelling sih gua dari awal argen menang</t>
  </si>
  <si>
    <t>['memang', 'udah', 'feelling', 'gua', 'awal', 'argen', 'menang']</t>
  </si>
  <si>
    <t>@nggasayang order in bio ya kakk diskon nii hari ini argen menang hehehee</t>
  </si>
  <si>
    <t>order bio kakk diskon nii hari ini argen menang hehehee</t>
  </si>
  <si>
    <t>['order', 'bio', 'kakk', 'diskon', 'nii', 'hari', 'argen', 'menang', 'hehehee']</t>
  </si>
  <si>
    <t>@inarkotika argen menang sih ngab, wkwk prancis n nya nt miris</t>
  </si>
  <si>
    <t>argen menang sih ngab wkwk prancis nya miris</t>
  </si>
  <si>
    <t>['argen', 'menang', 'ngab', 'prancis', 'miris']</t>
  </si>
  <si>
    <t>@Miqyasr wes menang banyak toh kmrn argen menang, lu kan kafir tamak</t>
  </si>
  <si>
    <t>wes menang banyak toh kmrn argen menang kan kafir tamak</t>
  </si>
  <si>
    <t>['wes', 'menang', 'banyak', 'kmrn', 'argen', 'menang', 'kan', 'kafir', 'tamak']</t>
  </si>
  <si>
    <t>@yskahr ARGEN MENANG KAH????</t>
  </si>
  <si>
    <t>argen menang kah</t>
  </si>
  <si>
    <t>Gimna ga bangga coba gue, orang2 dirumah pada dukung Perancis semua, gue argentina sendirian, mental udh kena gegara Mbappe ngegollin dimenit2 terakhir, tp gue ttep keukeuh dukung Argen, karna yakin pasti menang, dan Alhamdulillah pas di pinalty menang gue teriaakk sendirian ü•≥ü•≥</t>
  </si>
  <si>
    <t>gimna bangga coba gue orang dirumah pada dukung perancis semua gue argentina sendirian mental udh kena gegara mbappe ngegollin dimenit terakhir gue ttep keukeuh dukung argen karna yakin pasti menang dan alhamdulillah pas pinalty menang gue teriaakk sendirian</t>
  </si>
  <si>
    <t>['gimna', 'bangga', 'coba', 'gue', 'orang', 'dirumah', 'dukung', 'perancis', 'semua', 'gue', 'argentina', 'sendirian', 'mental', 'sudah', 'kena', 'gegara', 'mbappe', 'ngegollin', 'dimenit', 'terakhir', 'gue', 'ttep', 'keukeuh', 'dukung', 'argen', 'karna', 'yakin', 'menang', 'alhamdulillah', 'pas', 'pinalty', 'menang', 'gue', 'teriaakk', 'sendirian']</t>
  </si>
  <si>
    <t>@deeaalll argen menang penalty</t>
  </si>
  <si>
    <t>argen menang penalty</t>
  </si>
  <si>
    <t>['argen', 'menang', 'penalty']</t>
  </si>
  <si>
    <t>Makk argen menang  https://t.co/FJv9Zp8P1S</t>
  </si>
  <si>
    <t>makk argen menang</t>
  </si>
  <si>
    <t>['makk', 'argen', 'menang']</t>
  </si>
  <si>
    <t>@aeribase Terima kasih messi. Argen menang banyak, aku juga menang banyak gara2 banyak Kai update abis messi menang üòÇ</t>
  </si>
  <si>
    <t>terima kasih messi argen menang banyak aku juga menang banyak gara banyak kai update abis messi menang</t>
  </si>
  <si>
    <t>['terima', 'kasih', 'messi', 'argen', 'menang', 'banyak', 'aku', 'menang', 'banyak', 'gara', 'banyak', 'kai', 'update', 'abis', 'messi', 'menang']</t>
  </si>
  <si>
    <t>@tanyarlfes ga taruhan tp udh feeling argen yg menang</t>
  </si>
  <si>
    <t>taruhan udh feeling argen menang</t>
  </si>
  <si>
    <t>['taruhan', 'sudah', 'feeling', 'argen', 'menang']</t>
  </si>
  <si>
    <t>argen lawan ips 2 tetep menang ips 2 oss</t>
  </si>
  <si>
    <t>argen lawan ips tetep menang ips oss</t>
  </si>
  <si>
    <t>['argen', 'lawan', 'ips', 'tetep', 'menang', 'ips', 'oss']</t>
  </si>
  <si>
    <t>@convomfs 10/10 alias seru parah, degdegan, mules, panik, bahagia jg krna argen menang wkwk</t>
  </si>
  <si>
    <t>alias seru parah degdegan mules panik bahagia krna argen menang wkwk</t>
  </si>
  <si>
    <t>['alias', 'seru', 'parah', 'degdegan', 'mules', 'panik', 'bahagia', 'krna', 'argen', 'menang']</t>
  </si>
  <si>
    <t>cara argen ngerayain menang tuh gak pernah normal, males gue liatnya. tadinya gamau peduli, tapi one of them rasis ke cama, my innocent boy, YA GUE GIMANA BISA GAK PEDULI</t>
  </si>
  <si>
    <t>cara argen ngerayain menang tuh gak pernah normal males gue liatnya tadinya gamau peduli tapi one them rasis cama innocent boy gue gimana bisa gak peduli</t>
  </si>
  <si>
    <t>['cara', 'argen', 'ngerayain', 'menang', 'pernah', 'normal', 'males', 'gue', 'liatnya', 'tadinya', 'gamau', 'peduli', 'one', 'them', 'rasis', 'cama', 'innocent', 'boy', 'gue', 'gimana', 'peduli']</t>
  </si>
  <si>
    <t>Advantage Coman gak di play-on sama wasit, 3-4 peluang Kolo Muani. Pedahal pemain2 argen dah gaya sengak selebrasi sblum menang. Kalau takdir sudah berkata mau bilang apa.</t>
  </si>
  <si>
    <t>advantage coman gak play sama wasit peluang kolo muani pedahal pemain argen dah gaya sengak selebrasi sblum menang kalau takdir sudah berkata mau bilang apa</t>
  </si>
  <si>
    <t>['advantage', 'coman', 'play', 'sama', 'wasit', 'peluang', 'kolo', 'muani', 'pedahal', 'pemain', 'argen', 'dah', 'gaya', 'sengak', 'selebrasi', 'sblum', 'menang', 'kalau', 'takdir', 'berkata', 'mau', 'apa']</t>
  </si>
  <si>
    <t>Sesuai janji kalo argen menang mau ngasi sedikit rejeki. Rep pake makanan fav mu ya. Ada gopay 25rb buat 1 orang yang beruntung. Goodluck</t>
  </si>
  <si>
    <t>sesuai janji kalo argen menang mau ngasi sedikit rejeki rep pake makanan fav ada gopay buat orang yang beruntung goodluck</t>
  </si>
  <si>
    <t>['sesuai', 'janji', 'argen', 'menang', 'mau', 'ngasi', 'sedikit', 'rejeki', 'rep', 'pake', 'makanan', 'fav', 'gopay', 'buat', 'orang', 'beruntung', 'goodluck']</t>
  </si>
  <si>
    <t>Morning all,,, semangat pagi karena Argen menang.  https://t.co/6ZDR3Psm4H</t>
  </si>
  <si>
    <t>morning all semangat pagi karena argen menang</t>
  </si>
  <si>
    <t>['morning', 'all', 'semangat', 'pagi', 'argen', 'menang']</t>
  </si>
  <si>
    <t>Duh kerja sambil ngantuk bgt, tapi gapapa yg penting babang argen menangüòçüî•</t>
  </si>
  <si>
    <t>duh kerja sambil ngantuk bgt tapi gapapa penting babang argen menang</t>
  </si>
  <si>
    <t>['duh', 'kerja', 'ngantuk', 'banget', 'gapapa', 'penting', 'babang', 'argen', 'menang']</t>
  </si>
  <si>
    <t>dia doang nii argen menang malah sedih @Vabionesta</t>
  </si>
  <si>
    <t>dia doang nii argen menang malah sedih</t>
  </si>
  <si>
    <t>['doang', 'nii', 'argen', 'menang', 'malah', 'sedih']</t>
  </si>
  <si>
    <t>@convomf iyaa mimpi argen menang eh beneran üòªüëçüèª</t>
  </si>
  <si>
    <t>iyaa mimpi argen menang beneran</t>
  </si>
  <si>
    <t>['iyaa', 'mimpi', 'argen', 'menang', 'beneran']</t>
  </si>
  <si>
    <t>bapakku pagi ini moodnya bagus bener, pasti grgr argen menang</t>
  </si>
  <si>
    <t>bapakku pagi ini moodnya bagus bener pasti grgr argen menang</t>
  </si>
  <si>
    <t>['bapakku', 'pagi', 'moodnya', 'bagus', 'benar', 'grgr', 'argen', 'menang']</t>
  </si>
  <si>
    <t>@Kenthobyl @ponskuyy @idextratime Dikira penalti semudah itu wkwkwk, oiya kalau penalti mudah kenapa ya argen kok menang adu penalti #nanyadoang</t>
  </si>
  <si>
    <t>dikira penalti semudah itu wkwkwk oiya kalau penalti mudah kenapa argen kok menang adu penalti</t>
  </si>
  <si>
    <t>['dikira', 'penalti', 'semudah', 'wkwkwk', 'oiya', 'kalau', 'penalti', 'mudah', 'argen', 'kok', 'menang', 'adu', 'penalti']</t>
  </si>
  <si>
    <t>@womanozers @aurelogy Yang menang Argen bang..</t>
  </si>
  <si>
    <t>yang menang argen bang</t>
  </si>
  <si>
    <t>@trisanni AND THE LAST 3 MINUTE ON ET????? jadi 3-3? padahal udah tinggal playtime doang menang itu argen</t>
  </si>
  <si>
    <t>and the last minute jadi padahal udah tinggal playtime doang menang itu argen</t>
  </si>
  <si>
    <t>['and', 'the', 'last', 'minute', 'jadi', 'padahal', 'udah', 'tinggal', 'playtime', 'doang', 'menang', 'argen']</t>
  </si>
  <si>
    <t>woohooo argen menang bray</t>
  </si>
  <si>
    <t>['woohooo', 'argen', 'menang', 'bray']</t>
  </si>
  <si>
    <t>üçô argen menang full senyum  https://t.co/9cEAgKv1vk</t>
  </si>
  <si>
    <t>argen menang full senyum</t>
  </si>
  <si>
    <t>['argen', 'menang', 'full', 'senyum']</t>
  </si>
  <si>
    <t>@permenanon2 FINALLY YA KAK RAAAA ARGEN MENANG</t>
  </si>
  <si>
    <t>finally kak raaaa argen menang</t>
  </si>
  <si>
    <t>['finally', 'kak', 'raaaa', 'argen', 'menang']</t>
  </si>
  <si>
    <t>@MuhammadHazel3 game baru dimulai di babak kedua jel, apakah kamu turu krn berpikir argen sudh menang apa krn giroud dembele sudah ditarik keluar duluan?</t>
  </si>
  <si>
    <t>game baru dimulai babak kedua jel apakah kamu turu krn berpikir argen sudh menang apa krn giroud dembele sudah ditarik keluar duluan</t>
  </si>
  <si>
    <t>['game', 'baru', 'dimulai', 'babak', 'kedua', 'jel', 'kamu', 'tidur', 'berpikir', 'argen', 'sudh', 'menang', 'apa', 'giroud', 'dembele', 'ditarik', 'keluar', 'duluan']</t>
  </si>
  <si>
    <t>UDH DIBILANGIN ARGEN MENANG DIKKK</t>
  </si>
  <si>
    <t>udh dibilangin argen menang dikkk</t>
  </si>
  <si>
    <t>['sudah', 'dibilangin', 'argen', 'menang', 'dikkk']</t>
  </si>
  <si>
    <t>@orwganic Nangis lh kau argen menang pap nyo mano</t>
  </si>
  <si>
    <t>nangis kau argen menang pap nyo mano</t>
  </si>
  <si>
    <t>['nangis', 'kau', 'argen', 'menang', 'post a picture', 'nyo', 'mano']</t>
  </si>
  <si>
    <t>argen yg menang, Ronaldo yang trending</t>
  </si>
  <si>
    <t>argen menang ronaldo yang trending</t>
  </si>
  <si>
    <t>['argen', 'menang', 'ronaldo', 'trending']</t>
  </si>
  <si>
    <t>@dumbb24 ttp b argen menang</t>
  </si>
  <si>
    <t>ttp argen menang</t>
  </si>
  <si>
    <t>['ttp', 'argen', 'menang']</t>
  </si>
  <si>
    <t>@imlyodra Lyy nonton pildun ga, argen menang nihüòÖüòÖ</t>
  </si>
  <si>
    <t>lyy nonton pildun argen menang nih</t>
  </si>
  <si>
    <t>['lyy', 'nonton', 'piala dunia', 'argen', 'menang']</t>
  </si>
  <si>
    <t>Pagi. Yg liat temennya tersenyum lebar, tanyain menang berapa semalam itu. Atau supporter argen ya?~</t>
  </si>
  <si>
    <t>pagi liat temennya tersenyum lebar tanyain menang berapa semalam itu atau supporter argen</t>
  </si>
  <si>
    <t>['pagi', 'lihat', 'temennya', 'tersenyum', 'lebar', 'tanyain', 'menang', 'berapa', 'semalam', 'supporter', 'argen']</t>
  </si>
  <si>
    <t>sebelum tidur gw nyeletuk argen yg bakal menang padahal gatau samsek track record mainnya gmana. Bangun bangun nanya bapak beneran menang dong üòÇ</t>
  </si>
  <si>
    <t>sebelum tidur nyeletuk argen bakal menang padahal gatau samsek track record mainnya gmana bangun bangun nanya bapak beneran menang dong</t>
  </si>
  <si>
    <t>['tidur', 'nyeletuk', 'argen', 'bakal', 'menang', 'padahal', 'gatau', 'samsek', 'track', 'record', 'mainnya', 'gmana', 'bangun', 'bangun', 'nanya', 'bapak', 'beneran', 'menang', 'dong']</t>
  </si>
  <si>
    <t>benar" semalam sport jantung nonton final pildunn... huaa seruunya dapatt  kali ini memang katanya final piala dunia yg paling serusih dan kedua"nya memang layak menang soalnya mainnya france n argen keren abis ya Allah Dan akhirnya messi pensiun dgn tenang hahahah #FIFAWorldCup</t>
  </si>
  <si>
    <t>benar semalam sport jantung nonton final pildunn huaa seruunya dapatt kali ini memang katanya final piala dunia paling serusih dan kedua nya memang layak menang soalnya mainnya france argen keren abis allah dan akhirnya messi pensiun dgn tenang hahahah</t>
  </si>
  <si>
    <t>['benar', 'semalam', 'sport', 'jantung', 'nonton', 'final', 'pildunn', 'huaa', 'seruunya', 'dapatt', 'kali', 'memang', 'katanya', 'final', 'piala', 'dunia', 'paling', 'serusih', 'kedua', 'memang', 'layak', 'menang', 'soalnya', 'mainnya', 'france', 'argen', 'keren', 'abis', 'allah', 'akhirnya', 'messi', 'pensiun', 'tenang', 'hahahah']</t>
  </si>
  <si>
    <t>W seneng argen menang, w juga menang judi. Tapi kasian juga si mbape, gendong 1 tim. Ini mah mbape vs argen üòî</t>
  </si>
  <si>
    <t>seneng argen menang juga menang judi tapi kasian juga mbape gendong tim ini mah mbape argen</t>
  </si>
  <si>
    <t>['seneng', 'argen', 'menang', 'menang', 'judi', 'kasian', 'mbape', 'gendong', 'tim', 'mah', 'mbape', 'argen']</t>
  </si>
  <si>
    <t>@ytgufjfdijj kay35 min soalnya 4rgentina nya menang, dia kan fans argen</t>
  </si>
  <si>
    <t>kay min soalnya rgentina nya menang dia kan fans argen</t>
  </si>
  <si>
    <t>['kay', 'min', 'soalnya', 'rgentina', 'menang', 'kan', 'fans', 'argen']</t>
  </si>
  <si>
    <t>Sip dah menang argen</t>
  </si>
  <si>
    <t>sip dah menang argen</t>
  </si>
  <si>
    <t>['sip', 'dah', 'menang', 'argen']</t>
  </si>
  <si>
    <t>@nutellaoreyo Luar biasa dong soalnya argen menang</t>
  </si>
  <si>
    <t>luar biasa dong soalnya argen menang</t>
  </si>
  <si>
    <t>['luar', 'biasa', 'dong', 'soalnya', 'argen', 'menang']</t>
  </si>
  <si>
    <t>okeh met pagi saia tdr nyenyak krn argen menang wrwrwr</t>
  </si>
  <si>
    <t>['okeh', 'selamat', 'pagi', 'saia', 'tdr', 'nyenyak', 'argen', 'menang', 'wrwrwr']</t>
  </si>
  <si>
    <t>gw jg tau dari awal argen pasti menang lah</t>
  </si>
  <si>
    <t>tau dari awal argen pasti menang lah</t>
  </si>
  <si>
    <t>['awal', 'argen', 'menang', 'lah']</t>
  </si>
  <si>
    <t>Bangun‚Äù Argen menang</t>
  </si>
  <si>
    <t>bangun argen menang</t>
  </si>
  <si>
    <t>['bangun', 'argen', 'menang']</t>
  </si>
  <si>
    <t>@artahartawan Telepas dari argen menang, banyak kejutan-kejutannyo jugo üòÇ</t>
  </si>
  <si>
    <t>telepas dari argen menang banyak kejutan kejutannyo jugo</t>
  </si>
  <si>
    <t>['telepas', 'argen', 'menang', 'banyak', 'kejutan', 'kejutannyo', 'jugo']</t>
  </si>
  <si>
    <t>ARGEN MENANG NJINGGGGGüòçüòçüòçüòçüòçü§ó</t>
  </si>
  <si>
    <t>argen menang njinggggg</t>
  </si>
  <si>
    <t>['argen', 'menang', 'njinggggg']</t>
  </si>
  <si>
    <t>@chaeryeolee argen menang jd janji hrus ditepati üôèüèª</t>
  </si>
  <si>
    <t>argen menang janji hrus ditepati</t>
  </si>
  <si>
    <t>['argen', 'menang', 'janji', 'hrus', 'ditepati']</t>
  </si>
  <si>
    <t>"aku seneengg bgt argen menang" bf "planga plongo" gf</t>
  </si>
  <si>
    <t>aku seneengg bgt argen menang planga plongo</t>
  </si>
  <si>
    <t>['aku', 'seneengg', 'banget', 'argen', 'menang', 'planga', 'plongo']</t>
  </si>
  <si>
    <t>@inrchd cieee hbis menang argen, cieee</t>
  </si>
  <si>
    <t>cieee hbis menang argen cieee</t>
  </si>
  <si>
    <t>['cieee', 'hbis', 'menang', 'argen', 'cieee']</t>
  </si>
  <si>
    <t>@SerpihanPluto argen menang bang</t>
  </si>
  <si>
    <t>argen menang bang</t>
  </si>
  <si>
    <t>['argen', 'menang', 'bang']</t>
  </si>
  <si>
    <t>bangun bangun ada notif argen menang kan jadi seneng</t>
  </si>
  <si>
    <t>['bangun', 'bangun', 'notif', 'argen', 'menang', 'kan', 'jadi', 'seneng']</t>
  </si>
  <si>
    <t>Cakepnya‚ú®ü§ç seneng banget ya zoy argen menang. @A_ZeeJKT48  https://t.co/XbPU1vlyTE</t>
  </si>
  <si>
    <t>cakepnya seneng banget zoy argen menang zeejkt</t>
  </si>
  <si>
    <t>['cakepnya', 'seneng', 'banget', 'zoy', 'argen', 'menang', 'zeejkt']</t>
  </si>
  <si>
    <t>HAHAHAHHA KAN BENER KATA GUA ARGEN MENANG :3</t>
  </si>
  <si>
    <t>hahahahha kan bener kata gua argen menang</t>
  </si>
  <si>
    <t>['hahahahha', 'kan', 'benar', 'kata', 'gua', 'argen', 'menang']</t>
  </si>
  <si>
    <t>@zzzzzzpai Untung lu dukung France sirr, jadi  yang menang argen #gtumksdnyüêΩ</t>
  </si>
  <si>
    <t>untung dukung france sirr jadi yang menang argen</t>
  </si>
  <si>
    <t>['untung', 'dukung', 'france', 'sirr', 'jadi', 'menang', 'argen']</t>
  </si>
  <si>
    <t>argen yang menang ronaldo yang trending</t>
  </si>
  <si>
    <t>@xaviereze KAAA ARGEN MENANG</t>
  </si>
  <si>
    <t>kaaa argen menang</t>
  </si>
  <si>
    <t>['kaaa', 'argen', 'menang']</t>
  </si>
  <si>
    <t>Opini Shaka kalo ga terima Argen menang:</t>
  </si>
  <si>
    <t>opini shaka kalo terima argen menang</t>
  </si>
  <si>
    <t>['opini', 'shaka', 'terima', 'argen', 'menang']</t>
  </si>
  <si>
    <t>aturan gua ikut taruhan aja jir argen menang noh</t>
  </si>
  <si>
    <t>['aturan', 'gua', 'ikut', 'taruhan', 'jir', 'argen', 'menang', 'noh']</t>
  </si>
  <si>
    <t>@annisapepita Argen menang pep</t>
  </si>
  <si>
    <t>argen menang pep</t>
  </si>
  <si>
    <t>['argen', 'menang', 'pep']</t>
  </si>
  <si>
    <t>@ChieEstelle Argen menang :v</t>
  </si>
  <si>
    <t>yedam, argen menang km tida mau pamer kah?üòÄ</t>
  </si>
  <si>
    <t>yedam argen menang tida mau pamer kah</t>
  </si>
  <si>
    <t>['yedam', 'argen', 'menang', 'tida', 'mau', 'pamer']</t>
  </si>
  <si>
    <t>Semalem abis argen menang aku langsung boboK SO CONGRATS ARGEN skrg kembali muskab dik</t>
  </si>
  <si>
    <t>semalem abis argen menang aku langsung bobok congrats argen skrg kembali muskab dik</t>
  </si>
  <si>
    <t>['semalam', 'abis', 'argen', 'menang', 'aku', 'langsung', 'bobok', 'congrats', 'argen', 'skrg', 'muskab', 'dik']</t>
  </si>
  <si>
    <t>sihiyy argen menangüòãüòã</t>
  </si>
  <si>
    <t>sihiyy argen menang</t>
  </si>
  <si>
    <t>['sihiyy', 'argen', 'menang']</t>
  </si>
  <si>
    <t>@jennieprettygrl murce polll apalagi argen menang yuk order in bioooo</t>
  </si>
  <si>
    <t>murce polll apalagi argen menang yuk order bioooo</t>
  </si>
  <si>
    <t>['murce', 'polll', 'argen', 'menang', 'yuk', 'order', 'bioooo']</t>
  </si>
  <si>
    <t>grgr argen menang ngga jd piket kitchen seminggu, lgian org smlm argen lawannya ssb ciputat</t>
  </si>
  <si>
    <t>grgr argen menang ngga piket kitchen seminggu lgian org smlm argen lawannya ssb ciputat</t>
  </si>
  <si>
    <t>['grgr', 'argen', 'menang', 'ngga', 'piket', 'kitchen', 'seminggu', 'lgian', 'org', 'smlm', 'argen', 'lawannya', 'ssb', 'ciputat']</t>
  </si>
  <si>
    <t>Tidur gue enak bgt karna Argen menangü§£</t>
  </si>
  <si>
    <t>tidur gue enak bgt karna argen menang</t>
  </si>
  <si>
    <t>['tidur', 'gue', 'enak', 'banget', 'karna', 'argen', 'menang']</t>
  </si>
  <si>
    <t>WOI WOI WOI ARGEN MENANG</t>
  </si>
  <si>
    <t>woi woi woi argen menang</t>
  </si>
  <si>
    <t>WKWKWK bener kannn argen menang</t>
  </si>
  <si>
    <t>wkwkwk bener kannn argen menang</t>
  </si>
  <si>
    <t>['wkwkwk', 'benar', 'kannn', 'argen', 'menang']</t>
  </si>
  <si>
    <t>@h0okage ka argen menang kaaa</t>
  </si>
  <si>
    <t>argen menang kaaa</t>
  </si>
  <si>
    <t>['argen', 'menang', 'kaaa']</t>
  </si>
  <si>
    <t>@meltieng mau rate jelek tp karna argen menang 8.5/10 lah ü´Ç</t>
  </si>
  <si>
    <t>mau rate jelek karna argen menang lah</t>
  </si>
  <si>
    <t>['mau', 'rate', 'jelek', 'karna', 'argen', 'menang', 'lah']</t>
  </si>
  <si>
    <t>@orwganic Asikk nehh argen menang</t>
  </si>
  <si>
    <t>asikk nehh argen menang</t>
  </si>
  <si>
    <t>['asikk', 'nehh', 'argen', 'menang']</t>
  </si>
  <si>
    <t>@yedamacaronie NEPI DOA GUE TERKABUL ARGEN MENANG NEP</t>
  </si>
  <si>
    <t>nepi doa gue terkabul argen menang nep</t>
  </si>
  <si>
    <t>['nepi', 'doa', 'gue', 'terkabul', 'argen', 'menang', 'nep']</t>
  </si>
  <si>
    <t>@RahmetAbabil Argentina menang di penalti doang mat. Hoki doang itu. Lu liat aja, mainnya mereka amburadul kan? coba aja Prancis masih ada waktu 1-3 menit, selesai itu Argen.</t>
  </si>
  <si>
    <t>argentina menang penalti doang mat hoki doang itu liat aja mainnya mereka amburadul kan coba aja prancis masih ada waktu menit selesai itu argen</t>
  </si>
  <si>
    <t>['argentina', 'menang', 'penalti', 'doang', 'mat', 'hoki', 'doang', 'lihat', 'mainnya', 'amburadul', 'kan', 'coba', 'prancis', 'waktu', 'menit', 'selesai', 'argen']</t>
  </si>
  <si>
    <t>lucu bgt bocil dino ini wkwkwk, keren yaa zoy argen menangüòéüòé @A_ZeeJKT48</t>
  </si>
  <si>
    <t>lucu bgt bocil dino ini wkwkwk keren yaa zoy argen menang zeejkt</t>
  </si>
  <si>
    <t>['lucu', 'banget', 'bocil', 'dino', 'wkwkwk', 'keren', 'ya', 'zoy', 'argen', 'menang', 'zeejkt']</t>
  </si>
  <si>
    <t>Selamat pagiii buat pejuang cuan.. gmn hari ini senyum apa sedih? Btw yg menang Argen yak?</t>
  </si>
  <si>
    <t>selamat pagiii buat pejuang cuan gmn hari ini senyum apa sedih btw menang argen yak</t>
  </si>
  <si>
    <t>['selamat', 'pagiii', 'buat', 'pejuang', 'cuan', 'gmn', 'hari', 'senyum', 'apa', 'sedih', 'by the way', 'menang', 'argen', 'yak']</t>
  </si>
  <si>
    <t>nah ini. kalo udh penalti emg udh ketebak siapa yg menang. adu mental bgt soalnya, argen udh hatam bgt.</t>
  </si>
  <si>
    <t>nah ini kalo udh penalti emg udh ketebak siapa menang adu mental bgt soalnya argen udh hatam bgt</t>
  </si>
  <si>
    <t>['nah', 'sudah', 'penalti', 'memang', 'sudah', 'ketebak', 'siapa', 'menang', 'adu', 'mental', 'banget', 'soalnya', 'argen', 'sudah', 'hatam', 'banget']</t>
  </si>
  <si>
    <t>SAYANGKUUU HUHUHUHU ARGEN MENANG NIEEE KESAYANGAN MUUU MESSIEEE @/YEDAM üò≠üò≠üò≠üò≠</t>
  </si>
  <si>
    <t>sayangkuuu huhuhuhu argen menang nieee kesayangan muuu messieee yedam</t>
  </si>
  <si>
    <t>['sayangkuuu', 'huhuhuhu', 'argen', 'menang', 'nieee', 'kesayangan', 'muuu', 'messieee', 'yedam']</t>
  </si>
  <si>
    <t>ohh argen menang?</t>
  </si>
  <si>
    <t>ohh argen menang</t>
  </si>
  <si>
    <t>['ohh', 'argen', 'menang']</t>
  </si>
  <si>
    <t>seneng argen menang tapi juga rungkad co liat km sm yg lain üòîüòîüòî</t>
  </si>
  <si>
    <t>seneng argen menang tapi juga rungkad liat lain</t>
  </si>
  <si>
    <t>['seneng', 'argen', 'menang', 'rungkad', 'lihat']</t>
  </si>
  <si>
    <t>first off all ak baru bgun bales chat (selingkuhanku) dlu trus ngepoin base TERNYATA ARGEN MENANG ANJAYYYYY</t>
  </si>
  <si>
    <t>first off all baru bgun bales chat selingkuhanku dlu trus ngepoin base ternyata argen menang anjayyyyy</t>
  </si>
  <si>
    <t>['first', 'off', 'all', 'baru', 'bgun', 'bales', 'chat', 'selingkuhanku', 'dlu', 'trus', 'ngepoin', 'base', 'ternyata', 'argen', 'menang', 'anjayyyyy']</t>
  </si>
  <si>
    <t>@crcvingdrugs @convomf argen menang nder, jgn lupa jadi dukun</t>
  </si>
  <si>
    <t>argen menang nder jgn lupa jadi dukun</t>
  </si>
  <si>
    <t>['argen', 'menang', 'nder', 'lupa', 'jadi', 'dukun']</t>
  </si>
  <si>
    <t>Gw rasa argen bisa menang karna nggada n'golo kante pala lalala il est petite il est gentil he'll mark leo messi.</t>
  </si>
  <si>
    <t>rasa argen bisa menang karna nggada golo kante pala lalala est petite est gentil mark leo messi</t>
  </si>
  <si>
    <t>['rasa', 'argen', 'menang', 'karna', 'nggada', 'golo', 'kante', 'pala', 'lalala', 'est', 'petite', 'est', 'gentil', 'mark', 'leo', 'messi']</t>
  </si>
  <si>
    <t>@ijennik Pantes argen menang yang dukung secantik iniüò∫</t>
  </si>
  <si>
    <t>pantes argen menang yang dukung secantik ini</t>
  </si>
  <si>
    <t>['pantes', 'argen', 'menang', 'dukung', 'secantik']</t>
  </si>
  <si>
    <t>tidur nyenyak gue semalem karna argen menang</t>
  </si>
  <si>
    <t>['tidur', 'nyenyak', 'gue', 'semalam', 'karna', 'argen', 'menang']</t>
  </si>
  <si>
    <t>@nisrinazza Tetep aja yg menang argen</t>
  </si>
  <si>
    <t>tetep aja menang argen</t>
  </si>
  <si>
    <t>['tetep', 'menang', 'argen']</t>
  </si>
  <si>
    <t>yg blg argen menang itu settingan. itu pildun mass bukan pilkada</t>
  </si>
  <si>
    <t>blg argen menang itu settingan itu pildun mass bukan pilkada</t>
  </si>
  <si>
    <t>['blg', 'argen', 'menang', 'settingan', 'piala dunia', 'mass', 'bukan', 'pilkada']</t>
  </si>
  <si>
    <t>Semalam gue taruhan bola ama bokap, gue megang Argen bokap megang france. Gue bilang kalo argen menang taruhan nya gue minta ganti hp awowkwkwkwk soalnya hp gue yg ini udah remek ancur parah tapi alhamdulillah tetap hidup üòá</t>
  </si>
  <si>
    <t>semalam gue taruhan bola ama bokap gue megang argen bokap megang france gue bilang kalo argen menang taruhan nya gue minta ganti awowkwkwkwk soalnya gue ini udah remek ancur parah tapi alhamdulillah tetap hidup</t>
  </si>
  <si>
    <t>['semalam', 'gue', 'taruhan', 'bola', 'ama', 'bokap', 'gue', 'megang', 'argen', 'bokap', 'megang', 'france', 'gue', 'argen', 'menang', 'taruhan', 'gue', 'minta', 'ganti', 'awowkwkwkwk', 'soalnya', 'gue', 'udah', 'remek', 'ancur', 'parah', 'alhamdulillah', 'tetap', 'hidup']</t>
  </si>
  <si>
    <t>hahahahah aku dijajanin anggaa krna aku bilang psti argen yg menang ü§£</t>
  </si>
  <si>
    <t>hahahahah aku dijajanin anggaa krna aku bilang psti argen menang</t>
  </si>
  <si>
    <t>['hahahahah', 'aku', 'dijajanin', 'anggaa', 'krna', 'aku', 'psti', 'argen', 'menang']</t>
  </si>
  <si>
    <t>Anying gue sedih mulu jadinya tiap semua ngingetin argen menang dammieee huhu yuk nanyi and soooo sally can wait üò≠üò≠üò≠üò≠üò≠üò≠</t>
  </si>
  <si>
    <t>anying gue sedih mulu jadinya tiap semua ngingetin argen menang dammieee huhu yuk nanyi and soooo sally can wait</t>
  </si>
  <si>
    <t>['anying', 'gue', 'sedih', 'mulu', 'jadinya', 'tiap', 'semua', 'ngingetin', 'argen', 'menang', 'dammieee', 'huhu', 'yuk', 'nanyi', 'and', 'soooo', 'sally', 'can', 'wait']</t>
  </si>
  <si>
    <t>@you_r_Ioveu ga lah, argen menang üî•</t>
  </si>
  <si>
    <t>ioveu lah argen menang</t>
  </si>
  <si>
    <t>['ioveu', 'lah', 'argen', 'menang']</t>
  </si>
  <si>
    <t>@idextratime Argen menang pinalti mulu, ketolong kipernya yg jago üòÇ</t>
  </si>
  <si>
    <t>argen menang pinalti mulu ketolong kipernya jago</t>
  </si>
  <si>
    <t>['argen', 'menang', 'penalti', 'mulu', 'ketolong', 'kipernya', 'jago']</t>
  </si>
  <si>
    <t>@IDGoonerscom Gw malah jujur ga terlalu pengen Argen juara karena ada dianya. Tengilnya itu loh ü§£ Tapi ya setelah menang dan juara tetap selamat, layak karena skillnya oke juga. Dia udah kasih segalanya buat Messi tuh kek impiannya dulu.</t>
  </si>
  <si>
    <t>malah jujur terlalu pengen argen juara karena ada dianya tengilnya itu loh tapi setelah menang dan juara tetap selamat layak karena skillnya oke juga dia udah kasih segalanya buat messi tuh kek impiannya dulu</t>
  </si>
  <si>
    <t>['malah', 'jujur', 'terlalu', 'pengen', 'argen', 'juara', 'dianya', 'tengilnya', 'menang', 'juara', 'tetap', 'selamat', 'layak', 'skillnya', 'oke', 'udah', 'kasih', 'segalanya', 'buat', 'messi', 'kek', 'impiannya', 'dulu']</t>
  </si>
  <si>
    <t>@tanyarlfes taruhan sm ibu, argentina menang aku dapet mi ayam, kl france menang sebaliknya utg argen menangü•πü•π</t>
  </si>
  <si>
    <t>taruhan ibu argentina menang aku dapet ayam france menang sebaliknya utg argen menang</t>
  </si>
  <si>
    <t>['taruhan', 'ibu', 'argentina', 'menang', 'aku', 'dapat', 'ayam', 'france', 'menang', 'sebaliknya', 'utg', 'argen', 'menang']</t>
  </si>
  <si>
    <t>TARUHAN YG MAROKO GUA KALAH TAI NANTI GUA KUDU JAJANIN 2 ORANG, TPI YG ARGEN MENANG JDI GUA GA TARUHANüòúüòú</t>
  </si>
  <si>
    <t>taruhan maroko gua kalah tai nanti gua kudu jajanin orang tpi argen menang jdi gua taruhan</t>
  </si>
  <si>
    <t>['taruhan', 'maroko', 'gua', 'kalah', 'tai', 'gua', 'kudu', 'jajanin', 'orang', 'tpi', 'argen', 'menang', 'jdi', 'gua', 'taruhan']</t>
  </si>
  <si>
    <t>Stressnya dijeda dulu, argen menang soalnya hihiw üá¶üá∑üèÜ</t>
  </si>
  <si>
    <t>stressnya dijeda dulu argen menang soalnya hihiw</t>
  </si>
  <si>
    <t>['stressnya', 'dijeda', 'dulu', 'argen', 'menang', 'soalnya', 'hihiw']</t>
  </si>
  <si>
    <t>@reddishiina Huft‚Ä¶. Pokoknya kan 3 sama terus pinalty‚Ä¶ argen yg menang. AH galau</t>
  </si>
  <si>
    <t>huft pokoknya kan sama terus pinalty argen menang galau</t>
  </si>
  <si>
    <t>['huft', 'pokoknya', 'kan', 'sama', 'terus', 'pinalty', 'argen', 'menang', 'galau']</t>
  </si>
  <si>
    <t>sumpil pas argen menang auto inget kojeng wkwkwk</t>
  </si>
  <si>
    <t>['sumpil', 'pas', 'argen', 'menang', 'auto', 'inget', 'kojeng', 'wkwkwk']</t>
  </si>
  <si>
    <t>argen menang ya @trufflece</t>
  </si>
  <si>
    <t>uda gue ramal dr kmrn kmrn klo argen yg menangüòù</t>
  </si>
  <si>
    <t>uda gue ramal kmrn kmrn klo argen menang</t>
  </si>
  <si>
    <t>['uda', 'gue', 'ramal', 'kmrn', 'kmrn', 'argen', 'menang']</t>
  </si>
  <si>
    <t>@alergint Kasian, tapi argen menang</t>
  </si>
  <si>
    <t>kasian tapi argen menang</t>
  </si>
  <si>
    <t>['kasian', 'argen', 'menang']</t>
  </si>
  <si>
    <t>@KatolikG Argen menang kawanü§£ü§£ü§£</t>
  </si>
  <si>
    <t>argen menang kawan</t>
  </si>
  <si>
    <t>['argen', 'menang', 'kawan']</t>
  </si>
  <si>
    <t>speed mau ngetroll di match argen tp argen menang mulu üòÖ  https://t.co/nzlzYayen4</t>
  </si>
  <si>
    <t>speed mau ngetroll match argen argen menang mulu</t>
  </si>
  <si>
    <t>['speed', 'mau', 'ngetroll', 'match', 'argen', 'argen', 'menang', 'mulu']</t>
  </si>
  <si>
    <t>@ah___madd enak argen menang wkwkwk</t>
  </si>
  <si>
    <t>madd enak argen menang wkwkwk</t>
  </si>
  <si>
    <t>['madd', 'enak', 'argen', 'menang', 'wkwkwk']</t>
  </si>
  <si>
    <t>mbappe keren tim nya yg kureng, smgt next menang mbappe btw gue argen tp liat mbappe bawaanya sedi coii</t>
  </si>
  <si>
    <t>mbappe keren tim nya kureng smgt next menang mbappe btw gue argen liat mbappe bawaanya sedi coii</t>
  </si>
  <si>
    <t>['mbappe', 'keren', 'tim', 'kureng', 'smgt', 'next', 'menang', 'mbappe', 'by the way', 'gue', 'argen', 'lihat', 'mbappe', 'bawaanya', 'sedi', 'coii']</t>
  </si>
  <si>
    <t>bangun bangun liat kabar argen menang, yaa iyalah, udah pasti wkwk</t>
  </si>
  <si>
    <t>bangun bangun liat kabar argen menang yaa iyalah udah pasti wkwk</t>
  </si>
  <si>
    <t>['bangun', 'bangun', 'lihat', 'kabar', 'argen', 'menang', 'ya', 'iyalah', 'udah']</t>
  </si>
  <si>
    <t>WOI ARGEN MENANG üò≠ü•∫ü•∞üíó</t>
  </si>
  <si>
    <t>woi argen menang</t>
  </si>
  <si>
    <t>w sbnrnya dukung perancis si agak sedih tp gpp klo argen menang jugaü•≤</t>
  </si>
  <si>
    <t>sbnrnya dukung perancis agak sedih gpp klo argen menang juga</t>
  </si>
  <si>
    <t>['sebenarnya', 'dukung', 'perancis', 'sedih', 'gapapa', 'argen', 'menang']</t>
  </si>
  <si>
    <t>argen menang cuy GOAT</t>
  </si>
  <si>
    <t>argen menang cuy goat</t>
  </si>
  <si>
    <t>['argen', 'menang', 'goat']</t>
  </si>
  <si>
    <t>ARGEN MENANG HOREE</t>
  </si>
  <si>
    <t>argen menang horee</t>
  </si>
  <si>
    <t>['argen', 'menang', 'horee']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</si>
</sst>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readingOrder="0" vertical="top"/>
    </xf>
    <xf borderId="0" fillId="0" fontId="2" numFmtId="0" xfId="0" applyFont="1"/>
    <xf borderId="0" fillId="0" fontId="1"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27.71"/>
    <col customWidth="1" min="7" max="10" width="8.71"/>
    <col customWidth="1" min="11" max="11" width="20.29"/>
    <col customWidth="1" min="12" max="12" width="33.86"/>
  </cols>
  <sheetData>
    <row r="1">
      <c r="B1" s="1" t="s">
        <v>0</v>
      </c>
      <c r="C1" s="1" t="s">
        <v>1</v>
      </c>
      <c r="D1" s="1" t="s">
        <v>2</v>
      </c>
      <c r="E1" s="1" t="s">
        <v>3</v>
      </c>
      <c r="F1" s="1" t="s">
        <v>4</v>
      </c>
      <c r="G1" s="1" t="s">
        <v>5</v>
      </c>
      <c r="H1" s="1" t="s">
        <v>6</v>
      </c>
      <c r="I1" s="1" t="s">
        <v>7</v>
      </c>
      <c r="J1" s="1" t="s">
        <v>8</v>
      </c>
      <c r="K1" s="1" t="s">
        <v>9</v>
      </c>
      <c r="L1" s="2" t="s">
        <v>10</v>
      </c>
    </row>
    <row r="2">
      <c r="A2" s="1">
        <v>0.0</v>
      </c>
      <c r="B2" s="3" t="s">
        <v>11</v>
      </c>
      <c r="C2" s="3">
        <v>0.0</v>
      </c>
      <c r="D2" s="3">
        <v>0.0</v>
      </c>
      <c r="E2" s="3">
        <v>0.0</v>
      </c>
      <c r="F2" s="3" t="s">
        <v>12</v>
      </c>
      <c r="G2" s="3">
        <v>1.0</v>
      </c>
      <c r="H2" s="3">
        <v>0.0</v>
      </c>
      <c r="I2" s="3" t="s">
        <v>13</v>
      </c>
      <c r="J2" s="3" t="s">
        <v>14</v>
      </c>
      <c r="K2" s="3" t="s">
        <v>15</v>
      </c>
      <c r="L2" s="3" t="str">
        <f>IFERROR(__xludf.DUMMYFUNCTION("GOOGLETRANSLATE(F2,""id"",""en"")"),"World Cup Final match of the Regent of Zaki Champion Argentina")</f>
        <v>World Cup Final match of the Regent of Zaki Champion Argentina</v>
      </c>
    </row>
    <row r="3">
      <c r="A3" s="1">
        <v>1.0</v>
      </c>
      <c r="B3" s="3" t="s">
        <v>16</v>
      </c>
      <c r="C3" s="3">
        <v>0.0</v>
      </c>
      <c r="D3" s="3">
        <v>0.0</v>
      </c>
      <c r="E3" s="3">
        <v>0.0</v>
      </c>
      <c r="F3" s="3" t="s">
        <v>17</v>
      </c>
      <c r="G3" s="3">
        <v>1.0</v>
      </c>
      <c r="H3" s="3">
        <v>0.0</v>
      </c>
      <c r="I3" s="3" t="s">
        <v>13</v>
      </c>
      <c r="J3" s="3" t="s">
        <v>18</v>
      </c>
      <c r="K3" s="3" t="s">
        <v>19</v>
      </c>
      <c r="L3" s="3" t="str">
        <f>IFERROR(__xludf.DUMMYFUNCTION("GOOGLETRANSLATE(F3,""id"",""en"")"),"Gastric Acid Naek because of watching the World Cup Final Anjer wakes up a stomachache")</f>
        <v>Gastric Acid Naek because of watching the World Cup Final Anjer wakes up a stomachache</v>
      </c>
    </row>
    <row r="4">
      <c r="A4" s="1">
        <v>2.0</v>
      </c>
      <c r="B4" s="3" t="s">
        <v>20</v>
      </c>
      <c r="C4" s="3">
        <v>0.0</v>
      </c>
      <c r="D4" s="3">
        <v>0.0</v>
      </c>
      <c r="E4" s="3">
        <v>0.0</v>
      </c>
      <c r="F4" s="3" t="s">
        <v>21</v>
      </c>
      <c r="G4" s="3">
        <v>1.0</v>
      </c>
      <c r="H4" s="3">
        <v>0.0</v>
      </c>
      <c r="I4" s="3" t="s">
        <v>13</v>
      </c>
      <c r="J4" s="3" t="s">
        <v>22</v>
      </c>
      <c r="K4" s="3" t="s">
        <v>23</v>
      </c>
      <c r="L4" s="3" t="str">
        <f>IFERROR(__xludf.DUMMYFUNCTION("GOOGLETRANSLATE(F4,""id"",""en"")"),"Usually the group that this year wins the World Cup next year is in the quarter -finals at all, France is great because it is able to be final even though the runner is okay")</f>
        <v>Usually the group that this year wins the World Cup next year is in the quarter -finals at all, France is great because it is able to be final even though the runner is okay</v>
      </c>
    </row>
    <row r="5">
      <c r="A5" s="1">
        <v>3.0</v>
      </c>
      <c r="B5" s="3" t="s">
        <v>24</v>
      </c>
      <c r="C5" s="3">
        <v>0.0</v>
      </c>
      <c r="D5" s="3">
        <v>1.0</v>
      </c>
      <c r="E5" s="3">
        <v>7.0</v>
      </c>
      <c r="F5" s="3" t="s">
        <v>25</v>
      </c>
      <c r="G5" s="3">
        <v>1.0</v>
      </c>
      <c r="H5" s="3">
        <v>0.0</v>
      </c>
      <c r="I5" s="3" t="s">
        <v>13</v>
      </c>
      <c r="J5" s="3" t="s">
        <v>26</v>
      </c>
      <c r="K5" s="3" t="s">
        <v>27</v>
      </c>
      <c r="L5" s="3" t="str">
        <f>IFERROR(__xludf.DUMMYFUNCTION("GOOGLETRANSLATE(F5,""id"",""en"")"),"Logically, if improvised it is impossible to qualify for the World Cup even to the semi -finals, knowing that the players play a lot of European league classmates, not makeshift players")</f>
        <v>Logically, if improvised it is impossible to qualify for the World Cup even to the semi -finals, knowing that the players play a lot of European league classmates, not makeshift players</v>
      </c>
    </row>
    <row r="6">
      <c r="A6" s="1">
        <v>4.0</v>
      </c>
      <c r="B6" s="3" t="s">
        <v>28</v>
      </c>
      <c r="C6" s="3">
        <v>0.0</v>
      </c>
      <c r="D6" s="3">
        <v>0.0</v>
      </c>
      <c r="E6" s="3">
        <v>0.0</v>
      </c>
      <c r="F6" s="3" t="s">
        <v>29</v>
      </c>
      <c r="G6" s="3">
        <v>1.0</v>
      </c>
      <c r="H6" s="3">
        <v>0.0</v>
      </c>
      <c r="I6" s="3" t="s">
        <v>13</v>
      </c>
      <c r="J6" s="3" t="s">
        <v>30</v>
      </c>
      <c r="K6" s="3" t="s">
        <v>31</v>
      </c>
      <c r="L6" s="3" t="str">
        <f>IFERROR(__xludf.DUMMYFUNCTION("GOOGLETRANSLATE(F6,""id"",""en"")"),"Crazy Final of the Best World Cup")</f>
        <v>Crazy Final of the Best World Cup</v>
      </c>
    </row>
    <row r="7">
      <c r="A7" s="1">
        <v>5.0</v>
      </c>
      <c r="B7" s="3" t="s">
        <v>32</v>
      </c>
      <c r="C7" s="3">
        <v>0.0</v>
      </c>
      <c r="D7" s="3">
        <v>0.0</v>
      </c>
      <c r="E7" s="3">
        <v>5.0</v>
      </c>
      <c r="F7" s="3" t="s">
        <v>33</v>
      </c>
      <c r="G7" s="3">
        <v>1.0</v>
      </c>
      <c r="H7" s="3">
        <v>0.0</v>
      </c>
      <c r="I7" s="3" t="s">
        <v>13</v>
      </c>
      <c r="J7" s="3" t="s">
        <v>34</v>
      </c>
      <c r="K7" s="3" t="s">
        <v>35</v>
      </c>
      <c r="L7" s="3" t="str">
        <f>IFERROR(__xludf.DUMMYFUNCTION("GOOGLETRANSLATE(F7,""id"",""en"")"),"The golden generation is only able to penetrate the final euro and semi -final world cup")</f>
        <v>The golden generation is only able to penetrate the final euro and semi -final world cup</v>
      </c>
    </row>
    <row r="8">
      <c r="A8" s="1">
        <v>6.0</v>
      </c>
      <c r="B8" s="3" t="s">
        <v>36</v>
      </c>
      <c r="C8" s="3">
        <v>79.0</v>
      </c>
      <c r="D8" s="3">
        <v>135.0</v>
      </c>
      <c r="E8" s="3">
        <v>2646.0</v>
      </c>
      <c r="F8" s="3" t="s">
        <v>37</v>
      </c>
      <c r="G8" s="3">
        <v>1.0</v>
      </c>
      <c r="H8" s="3">
        <v>0.0</v>
      </c>
      <c r="I8" s="3" t="s">
        <v>13</v>
      </c>
      <c r="J8" s="3" t="s">
        <v>38</v>
      </c>
      <c r="K8" s="3" t="s">
        <v>19</v>
      </c>
      <c r="L8" s="3" t="str">
        <f>IFERROR(__xludf.DUMMYFUNCTION("GOOGLETRANSLATE(F8,""id"",""en"")"),"Players Brighton and Hove Albion played the World Cup final recorded an assist and won it")</f>
        <v>Players Brighton and Hove Albion played the World Cup final recorded an assist and won it</v>
      </c>
    </row>
    <row r="9">
      <c r="A9" s="1">
        <v>7.0</v>
      </c>
      <c r="B9" s="3" t="s">
        <v>39</v>
      </c>
      <c r="C9" s="3">
        <v>1.0</v>
      </c>
      <c r="D9" s="3">
        <v>0.0</v>
      </c>
      <c r="E9" s="3">
        <v>0.0</v>
      </c>
      <c r="F9" s="3" t="s">
        <v>39</v>
      </c>
      <c r="G9" s="3">
        <v>1.0</v>
      </c>
      <c r="H9" s="3">
        <v>0.0</v>
      </c>
      <c r="I9" s="3" t="s">
        <v>13</v>
      </c>
      <c r="J9" s="3" t="s">
        <v>40</v>
      </c>
      <c r="K9" s="3" t="s">
        <v>41</v>
      </c>
      <c r="L9" s="3" t="str">
        <f>IFERROR(__xludf.DUMMYFUNCTION("GOOGLETRANSLATE(F9,""id"",""en"")"),"I hope your money is the result of the World Cup Final Gambling")</f>
        <v>I hope your money is the result of the World Cup Final Gambling</v>
      </c>
    </row>
    <row r="10">
      <c r="A10" s="1">
        <v>8.0</v>
      </c>
      <c r="B10" s="3" t="s">
        <v>42</v>
      </c>
      <c r="C10" s="3">
        <v>0.0</v>
      </c>
      <c r="D10" s="3">
        <v>0.0</v>
      </c>
      <c r="E10" s="3">
        <v>1.0</v>
      </c>
      <c r="F10" s="3" t="s">
        <v>43</v>
      </c>
      <c r="G10" s="3">
        <v>1.0</v>
      </c>
      <c r="H10" s="3">
        <v>0.0</v>
      </c>
      <c r="I10" s="3" t="s">
        <v>13</v>
      </c>
      <c r="J10" s="3" t="s">
        <v>44</v>
      </c>
      <c r="K10" s="3" t="s">
        <v>45</v>
      </c>
      <c r="L10" s="3" t="str">
        <f>IFERROR(__xludf.DUMMYFUNCTION("GOOGLETRANSLATE(F10,""id"",""en"")"),"Cristiano Ronaldo got the euro already really medicine for him when he was still young, the final lost Greece and Leo Messi got this world cup already really medicine for Argentine hurt the year was made Gotze")</f>
        <v>Cristiano Ronaldo got the euro already really medicine for him when he was still young, the final lost Greece and Leo Messi got this world cup already really medicine for Argentine hurt the year was made Gotze</v>
      </c>
    </row>
    <row r="11">
      <c r="A11" s="1">
        <v>9.0</v>
      </c>
      <c r="B11" s="3" t="s">
        <v>46</v>
      </c>
      <c r="C11" s="3">
        <v>0.0</v>
      </c>
      <c r="D11" s="3">
        <v>0.0</v>
      </c>
      <c r="E11" s="3">
        <v>0.0</v>
      </c>
      <c r="F11" s="3" t="s">
        <v>47</v>
      </c>
      <c r="G11" s="3">
        <v>0.7</v>
      </c>
      <c r="H11" s="3">
        <v>0.1</v>
      </c>
      <c r="I11" s="3" t="s">
        <v>48</v>
      </c>
      <c r="J11" s="3" t="s">
        <v>49</v>
      </c>
      <c r="K11" s="3" t="s">
        <v>50</v>
      </c>
      <c r="L11" s="3" t="str">
        <f>IFERROR(__xludf.DUMMYFUNCTION("GOOGLETRANSLATE(F11,""id"",""en"")"),"During this World Cup until the final match yesterday my guess was always wrong hahaha")</f>
        <v>During this World Cup until the final match yesterday my guess was always wrong hahaha</v>
      </c>
    </row>
    <row r="12">
      <c r="A12" s="1">
        <v>10.0</v>
      </c>
      <c r="B12" s="3" t="s">
        <v>51</v>
      </c>
      <c r="C12" s="3">
        <v>0.0</v>
      </c>
      <c r="D12" s="3">
        <v>0.0</v>
      </c>
      <c r="E12" s="3">
        <v>0.0</v>
      </c>
      <c r="F12" s="3" t="s">
        <v>52</v>
      </c>
      <c r="G12" s="3">
        <v>1.0</v>
      </c>
      <c r="H12" s="3">
        <v>0.0</v>
      </c>
      <c r="I12" s="3" t="s">
        <v>13</v>
      </c>
      <c r="J12" s="3" t="s">
        <v>53</v>
      </c>
      <c r="K12" s="3" t="s">
        <v>54</v>
      </c>
      <c r="L12" s="3" t="str">
        <f>IFERROR(__xludf.DUMMYFUNCTION("GOOGLETRANSLATE(F12,""id"",""en"")"),"Monday late Nobar World Cup Final")</f>
        <v>Monday late Nobar World Cup Final</v>
      </c>
    </row>
    <row r="13">
      <c r="A13" s="1">
        <v>11.0</v>
      </c>
      <c r="B13" s="3" t="s">
        <v>55</v>
      </c>
      <c r="C13" s="3">
        <v>0.0</v>
      </c>
      <c r="D13" s="3">
        <v>0.0</v>
      </c>
      <c r="E13" s="3">
        <v>0.0</v>
      </c>
      <c r="F13" s="3" t="s">
        <v>56</v>
      </c>
      <c r="G13" s="3">
        <v>1.0</v>
      </c>
      <c r="H13" s="3">
        <v>0.0</v>
      </c>
      <c r="I13" s="3" t="s">
        <v>13</v>
      </c>
      <c r="J13" s="3" t="s">
        <v>57</v>
      </c>
      <c r="K13" s="3" t="s">
        <v>58</v>
      </c>
      <c r="L13" s="3" t="str">
        <f>IFERROR(__xludf.DUMMYFUNCTION("GOOGLETRANSLATE(F13,""id"",""en"")"),"This world is a growing MLM, the World Cup final is pounding today")</f>
        <v>This world is a growing MLM, the World Cup final is pounding today</v>
      </c>
    </row>
    <row r="14">
      <c r="A14" s="1">
        <v>12.0</v>
      </c>
      <c r="B14" s="3" t="s">
        <v>59</v>
      </c>
      <c r="C14" s="3">
        <v>0.0</v>
      </c>
      <c r="D14" s="3">
        <v>0.0</v>
      </c>
      <c r="E14" s="3">
        <v>0.0</v>
      </c>
      <c r="F14" s="3" t="s">
        <v>60</v>
      </c>
      <c r="G14" s="3">
        <v>1.0</v>
      </c>
      <c r="H14" s="3">
        <v>0.0</v>
      </c>
      <c r="I14" s="3" t="s">
        <v>13</v>
      </c>
      <c r="J14" s="3" t="s">
        <v>61</v>
      </c>
      <c r="K14" s="3" t="s">
        <v>50</v>
      </c>
      <c r="L14" s="3" t="str">
        <f>IFERROR(__xludf.DUMMYFUNCTION("GOOGLETRANSLATE(F14,""id"",""en"")"),"Lionel Messi World Cup Final Record Rows Close Career With Trophy Via")</f>
        <v>Lionel Messi World Cup Final Record Rows Close Career With Trophy Via</v>
      </c>
    </row>
    <row r="15">
      <c r="A15" s="1">
        <v>13.0</v>
      </c>
      <c r="B15" s="3" t="s">
        <v>62</v>
      </c>
      <c r="C15" s="3">
        <v>0.0</v>
      </c>
      <c r="D15" s="3">
        <v>0.0</v>
      </c>
      <c r="E15" s="3">
        <v>0.0</v>
      </c>
      <c r="F15" s="3" t="s">
        <v>63</v>
      </c>
      <c r="G15" s="3">
        <v>1.0</v>
      </c>
      <c r="H15" s="3">
        <v>0.0</v>
      </c>
      <c r="I15" s="3" t="s">
        <v>13</v>
      </c>
      <c r="J15" s="3" t="s">
        <v>64</v>
      </c>
      <c r="K15" s="3" t="s">
        <v>19</v>
      </c>
      <c r="L15" s="3" t="str">
        <f>IFERROR(__xludf.DUMMYFUNCTION("GOOGLETRANSLATE(F15,""id"",""en"")"),"Kylian Mbappe World Cup final could not hold back the tears of the French President")</f>
        <v>Kylian Mbappe World Cup final could not hold back the tears of the French President</v>
      </c>
    </row>
    <row r="16">
      <c r="A16" s="1">
        <v>14.0</v>
      </c>
      <c r="B16" s="3" t="s">
        <v>65</v>
      </c>
      <c r="C16" s="3">
        <v>0.0</v>
      </c>
      <c r="D16" s="3">
        <v>0.0</v>
      </c>
      <c r="E16" s="3">
        <v>0.0</v>
      </c>
      <c r="F16" s="3" t="s">
        <v>66</v>
      </c>
      <c r="G16" s="3">
        <v>1.0</v>
      </c>
      <c r="H16" s="3">
        <v>0.0</v>
      </c>
      <c r="I16" s="3" t="s">
        <v>13</v>
      </c>
      <c r="J16" s="3" t="s">
        <v>67</v>
      </c>
      <c r="K16" s="3" t="s">
        <v>54</v>
      </c>
      <c r="L16" s="3" t="str">
        <f>IFERROR(__xludf.DUMMYFUNCTION("GOOGLETRANSLATE(F16,""id"",""en"")"),"Security Anticipating World Cup Final Conversion")</f>
        <v>Security Anticipating World Cup Final Conversion</v>
      </c>
    </row>
    <row r="17">
      <c r="A17" s="1">
        <v>15.0</v>
      </c>
      <c r="B17" s="3" t="s">
        <v>68</v>
      </c>
      <c r="C17" s="3">
        <v>0.0</v>
      </c>
      <c r="D17" s="3">
        <v>0.0</v>
      </c>
      <c r="E17" s="3">
        <v>0.0</v>
      </c>
      <c r="F17" s="3" t="s">
        <v>69</v>
      </c>
      <c r="G17" s="3">
        <v>1.0</v>
      </c>
      <c r="H17" s="3">
        <v>0.0</v>
      </c>
      <c r="I17" s="3" t="s">
        <v>13</v>
      </c>
      <c r="J17" s="3" t="s">
        <v>70</v>
      </c>
      <c r="K17" s="3" t="s">
        <v>71</v>
      </c>
      <c r="L17" s="3" t="str">
        <f>IFERROR(__xludf.DUMMYFUNCTION("GOOGLETRANSLATE(F17,""id"",""en"")"),"The final results of the World Cup last night Argentina French team Tango champion Lionel Messi Best")</f>
        <v>The final results of the World Cup last night Argentina French team Tango champion Lionel Messi Best</v>
      </c>
    </row>
    <row r="18">
      <c r="A18" s="1">
        <v>16.0</v>
      </c>
      <c r="B18" s="3" t="s">
        <v>72</v>
      </c>
      <c r="C18" s="3">
        <v>0.0</v>
      </c>
      <c r="D18" s="3">
        <v>0.0</v>
      </c>
      <c r="E18" s="3">
        <v>0.0</v>
      </c>
      <c r="F18" s="3" t="s">
        <v>73</v>
      </c>
      <c r="G18" s="3">
        <v>0.775</v>
      </c>
      <c r="H18" s="3">
        <v>0.175</v>
      </c>
      <c r="I18" s="3" t="s">
        <v>48</v>
      </c>
      <c r="J18" s="3" t="s">
        <v>74</v>
      </c>
      <c r="K18" s="3" t="s">
        <v>75</v>
      </c>
      <c r="L18" s="3" t="str">
        <f>IFERROR(__xludf.DUMMYFUNCTION("GOOGLETRANSLATE(F18,""id"",""en"")"),"Nobar Final of Argentina World Cup Winner Full Smile Senayan Spark")</f>
        <v>Nobar Final of Argentina World Cup Winner Full Smile Senayan Spark</v>
      </c>
    </row>
    <row r="19">
      <c r="A19" s="1">
        <v>17.0</v>
      </c>
      <c r="B19" s="3" t="s">
        <v>76</v>
      </c>
      <c r="C19" s="3">
        <v>0.0</v>
      </c>
      <c r="D19" s="3">
        <v>0.0</v>
      </c>
      <c r="E19" s="3">
        <v>0.0</v>
      </c>
      <c r="F19" s="3" t="s">
        <v>77</v>
      </c>
      <c r="G19" s="3">
        <v>1.0</v>
      </c>
      <c r="H19" s="3">
        <v>0.0</v>
      </c>
      <c r="I19" s="3" t="s">
        <v>13</v>
      </c>
      <c r="J19" s="3" t="s">
        <v>78</v>
      </c>
      <c r="K19" s="3" t="s">
        <v>71</v>
      </c>
      <c r="L19" s="3" t="str">
        <f>IFERROR(__xludf.DUMMYFUNCTION("GOOGLETRANSLATE(F19,""id"",""en"")"),"Fess When Indonesia Can Champion World Cup But Awalmable of Joining the Qualification Pathway Never Passed the Final Round")</f>
        <v>Fess When Indonesia Can Champion World Cup But Awalmable of Joining the Qualification Pathway Never Passed the Final Round</v>
      </c>
    </row>
    <row r="20">
      <c r="A20" s="1">
        <v>18.0</v>
      </c>
      <c r="B20" s="3" t="s">
        <v>79</v>
      </c>
      <c r="C20" s="3">
        <v>0.0</v>
      </c>
      <c r="D20" s="3">
        <v>0.0</v>
      </c>
      <c r="E20" s="3">
        <v>3.0</v>
      </c>
      <c r="F20" s="3" t="s">
        <v>80</v>
      </c>
      <c r="G20" s="3">
        <v>1.0</v>
      </c>
      <c r="H20" s="3">
        <v>0.0</v>
      </c>
      <c r="I20" s="3" t="s">
        <v>13</v>
      </c>
      <c r="J20" s="3" t="s">
        <v>81</v>
      </c>
      <c r="K20" s="3" t="s">
        <v>82</v>
      </c>
      <c r="L20" s="3" t="str">
        <f>IFERROR(__xludf.DUMMYFUNCTION("GOOGLETRANSLATE(F20,""id"",""en"")"),"Pam Euphoria Final of the Ambon City World Cup")</f>
        <v>Pam Euphoria Final of the Ambon City World Cup</v>
      </c>
    </row>
    <row r="21" ht="15.75" customHeight="1">
      <c r="A21" s="1">
        <v>19.0</v>
      </c>
      <c r="B21" s="3" t="s">
        <v>83</v>
      </c>
      <c r="C21" s="3">
        <v>0.0</v>
      </c>
      <c r="D21" s="3">
        <v>0.0</v>
      </c>
      <c r="E21" s="3">
        <v>1.0</v>
      </c>
      <c r="F21" s="3" t="s">
        <v>84</v>
      </c>
      <c r="G21" s="3">
        <v>1.0</v>
      </c>
      <c r="H21" s="3">
        <v>0.0</v>
      </c>
      <c r="I21" s="3" t="s">
        <v>13</v>
      </c>
      <c r="J21" s="3" t="s">
        <v>85</v>
      </c>
      <c r="K21" s="3" t="s">
        <v>86</v>
      </c>
      <c r="L21" s="3" t="str">
        <f>IFERROR(__xludf.DUMMYFUNCTION("GOOGLETRANSLATE(F21,""id"",""en"")"),"You watched the World Cup Final last night, you didn't support who last night Pro Friend told me who was your favorite player and your favorite part of the World Cup this year Answer while requesting the song that Fai waited until the hour")</f>
        <v>You watched the World Cup Final last night, you didn't support who last night Pro Friend told me who was your favorite player and your favorite part of the World Cup this year Answer while requesting the song that Fai waited until the hour</v>
      </c>
    </row>
    <row r="22" ht="15.75" customHeight="1">
      <c r="A22" s="1">
        <v>20.0</v>
      </c>
      <c r="B22" s="3" t="s">
        <v>87</v>
      </c>
      <c r="C22" s="3">
        <v>0.0</v>
      </c>
      <c r="D22" s="3">
        <v>0.0</v>
      </c>
      <c r="E22" s="3">
        <v>1.0</v>
      </c>
      <c r="F22" s="3" t="s">
        <v>88</v>
      </c>
      <c r="G22" s="3">
        <v>1.0</v>
      </c>
      <c r="H22" s="3">
        <v>0.0</v>
      </c>
      <c r="I22" s="3" t="s">
        <v>13</v>
      </c>
      <c r="J22" s="3" t="s">
        <v>89</v>
      </c>
      <c r="K22" s="3" t="s">
        <v>90</v>
      </c>
      <c r="L22" s="3" t="str">
        <f>IFERROR(__xludf.DUMMYFUNCTION("GOOGLETRANSLATE(F22,""id"",""en"")"),"Gareth Southgate will continue to be the coach of the England national team despite failing to bring Three Lions through the quarter -finals of the World Cup")</f>
        <v>Gareth Southgate will continue to be the coach of the England national team despite failing to bring Three Lions through the quarter -finals of the World Cup</v>
      </c>
    </row>
    <row r="23" ht="15.75" customHeight="1">
      <c r="A23" s="1">
        <v>21.0</v>
      </c>
      <c r="B23" s="3" t="s">
        <v>91</v>
      </c>
      <c r="C23" s="3">
        <v>1.0</v>
      </c>
      <c r="D23" s="3">
        <v>0.0</v>
      </c>
      <c r="E23" s="3">
        <v>0.0</v>
      </c>
      <c r="F23" s="3" t="s">
        <v>92</v>
      </c>
      <c r="G23" s="3">
        <v>1.0</v>
      </c>
      <c r="H23" s="3">
        <v>0.0</v>
      </c>
      <c r="I23" s="3" t="s">
        <v>13</v>
      </c>
      <c r="J23" s="3" t="s">
        <v>93</v>
      </c>
      <c r="K23" s="3" t="s">
        <v>94</v>
      </c>
      <c r="L23" s="3" t="str">
        <f>IFERROR(__xludf.DUMMYFUNCTION("GOOGLETRANSLATE(F23,""id"",""en"")"),"Watching the Argentina World Cup Final France made heart exercise, yeah, I already confident at the initial round of Argentina, the scoring of Mbape could be a Hat Trick Scoring until the time made the Scor Series and finally ended Pinalty")</f>
        <v>Watching the Argentina World Cup Final France made heart exercise, yeah, I already confident at the initial round of Argentina, the scoring of Mbape could be a Hat Trick Scoring until the time made the Scor Series and finally ended Pinalty</v>
      </c>
    </row>
    <row r="24" ht="15.75" customHeight="1">
      <c r="A24" s="1">
        <v>22.0</v>
      </c>
      <c r="B24" s="3" t="s">
        <v>95</v>
      </c>
      <c r="C24" s="3">
        <v>0.0</v>
      </c>
      <c r="D24" s="3">
        <v>1.0</v>
      </c>
      <c r="E24" s="3">
        <v>1.0</v>
      </c>
      <c r="F24" s="3" t="s">
        <v>96</v>
      </c>
      <c r="G24" s="3">
        <v>1.0</v>
      </c>
      <c r="H24" s="3">
        <v>0.0</v>
      </c>
      <c r="I24" s="3" t="s">
        <v>13</v>
      </c>
      <c r="J24" s="3" t="s">
        <v>97</v>
      </c>
      <c r="K24" s="3" t="s">
        <v>15</v>
      </c>
      <c r="L24" s="3" t="str">
        <f>IFERROR(__xludf.DUMMYFUNCTION("GOOGLETRANSLATE(F24,""id"",""en"")"),"The important facts of the Argentina Third Trophy World Cup Final")</f>
        <v>The important facts of the Argentina Third Trophy World Cup Final</v>
      </c>
    </row>
    <row r="25" ht="15.75" customHeight="1">
      <c r="A25" s="1">
        <v>23.0</v>
      </c>
      <c r="B25" s="3" t="s">
        <v>98</v>
      </c>
      <c r="C25" s="3">
        <v>2.0</v>
      </c>
      <c r="D25" s="3">
        <v>0.0</v>
      </c>
      <c r="E25" s="3">
        <v>0.0</v>
      </c>
      <c r="F25" s="3" t="s">
        <v>99</v>
      </c>
      <c r="G25" s="3">
        <v>1.0</v>
      </c>
      <c r="H25" s="3">
        <v>0.0</v>
      </c>
      <c r="I25" s="3" t="s">
        <v>13</v>
      </c>
      <c r="J25" s="3" t="s">
        <v>100</v>
      </c>
      <c r="K25" s="3" t="s">
        <v>15</v>
      </c>
      <c r="L25" s="3" t="str">
        <f>IFERROR(__xludf.DUMMYFUNCTION("GOOGLETRANSLATE(F25,""id"",""en"")"),"World Cup once a year's turn to fall asleep")</f>
        <v>World Cup once a year's turn to fall asleep</v>
      </c>
    </row>
    <row r="26" ht="15.75" customHeight="1">
      <c r="A26" s="1">
        <v>24.0</v>
      </c>
      <c r="B26" s="3" t="s">
        <v>101</v>
      </c>
      <c r="C26" s="3">
        <v>1.0</v>
      </c>
      <c r="D26" s="3">
        <v>0.0</v>
      </c>
      <c r="E26" s="3">
        <v>1.0</v>
      </c>
      <c r="F26" s="3" t="s">
        <v>102</v>
      </c>
      <c r="G26" s="3">
        <v>1.0</v>
      </c>
      <c r="H26" s="3">
        <v>0.0</v>
      </c>
      <c r="I26" s="3" t="s">
        <v>13</v>
      </c>
      <c r="J26" s="3" t="s">
        <v>103</v>
      </c>
      <c r="K26" s="3" t="s">
        <v>104</v>
      </c>
      <c r="L26" s="3" t="str">
        <f>IFERROR(__xludf.DUMMYFUNCTION("GOOGLETRANSLATE(F26,""id"",""en"")"),"Mbappe Print the World Cup Final Hattrick already has the title Jurdun Edition already scored the World Cup goal followed")</f>
        <v>Mbappe Print the World Cup Final Hattrick already has the title Jurdun Edition already scored the World Cup goal followed</v>
      </c>
    </row>
    <row r="27" ht="15.75" customHeight="1">
      <c r="A27" s="1">
        <v>25.0</v>
      </c>
      <c r="B27" s="3" t="s">
        <v>105</v>
      </c>
      <c r="C27" s="3">
        <v>0.0</v>
      </c>
      <c r="D27" s="3">
        <v>0.0</v>
      </c>
      <c r="E27" s="3">
        <v>0.0</v>
      </c>
      <c r="F27" s="3" t="s">
        <v>106</v>
      </c>
      <c r="G27" s="3">
        <v>1.0</v>
      </c>
      <c r="H27" s="3">
        <v>0.0</v>
      </c>
      <c r="I27" s="3" t="s">
        <v>13</v>
      </c>
      <c r="J27" s="3" t="s">
        <v>107</v>
      </c>
      <c r="K27" s="3" t="s">
        <v>50</v>
      </c>
      <c r="L27" s="3" t="str">
        <f>IFERROR(__xludf.DUMMYFUNCTION("GOOGLETRANSLATE(F27,""id"",""en"")"),"The debate of who is the best between Messi and has stopped after the World Cup final last night")</f>
        <v>The debate of who is the best between Messi and has stopped after the World Cup final last night</v>
      </c>
    </row>
    <row r="28" ht="15.75" customHeight="1">
      <c r="A28" s="1">
        <v>26.0</v>
      </c>
      <c r="B28" s="3" t="s">
        <v>108</v>
      </c>
      <c r="C28" s="3">
        <v>0.0</v>
      </c>
      <c r="D28" s="3">
        <v>0.0</v>
      </c>
      <c r="E28" s="3">
        <v>1.0</v>
      </c>
      <c r="F28" s="3" t="s">
        <v>109</v>
      </c>
      <c r="G28" s="3">
        <v>1.0</v>
      </c>
      <c r="H28" s="3">
        <v>0.0</v>
      </c>
      <c r="I28" s="3" t="s">
        <v>13</v>
      </c>
      <c r="J28" s="3" t="s">
        <v>110</v>
      </c>
      <c r="K28" s="3" t="s">
        <v>50</v>
      </c>
      <c r="L28" s="3" t="str">
        <f>IFERROR(__xludf.DUMMYFUNCTION("GOOGLETRANSLATE(F28,""id"",""en"")"),"Sorry guys this time the admin can't participate funny about the World Cup final")</f>
        <v>Sorry guys this time the admin can't participate funny about the World Cup final</v>
      </c>
    </row>
    <row r="29" ht="15.75" customHeight="1">
      <c r="A29" s="1">
        <v>27.0</v>
      </c>
      <c r="B29" s="3" t="s">
        <v>111</v>
      </c>
      <c r="C29" s="3">
        <v>0.0</v>
      </c>
      <c r="D29" s="3">
        <v>0.0</v>
      </c>
      <c r="E29" s="3">
        <v>0.0</v>
      </c>
      <c r="F29" s="3" t="s">
        <v>112</v>
      </c>
      <c r="G29" s="3">
        <v>1.0</v>
      </c>
      <c r="H29" s="3">
        <v>0.0</v>
      </c>
      <c r="I29" s="3" t="s">
        <v>13</v>
      </c>
      <c r="J29" s="3" t="s">
        <v>113</v>
      </c>
      <c r="K29" s="3" t="s">
        <v>27</v>
      </c>
      <c r="L29" s="3" t="str">
        <f>IFERROR(__xludf.DUMMYFUNCTION("GOOGLETRANSLATE(F29,""id"",""en"")"),"This edition of the World Cup final presents a very interesting game from both teams that must be ended by a penalty shootout there are some facts from the final match between Argentina French")</f>
        <v>This edition of the World Cup final presents a very interesting game from both teams that must be ended by a penalty shootout there are some facts from the final match between Argentina French</v>
      </c>
    </row>
    <row r="30" ht="15.75" customHeight="1">
      <c r="A30" s="1">
        <v>28.0</v>
      </c>
      <c r="B30" s="3" t="s">
        <v>114</v>
      </c>
      <c r="C30" s="3">
        <v>0.0</v>
      </c>
      <c r="D30" s="3">
        <v>0.0</v>
      </c>
      <c r="E30" s="3">
        <v>0.0</v>
      </c>
      <c r="F30" s="3" t="s">
        <v>115</v>
      </c>
      <c r="G30" s="3">
        <v>1.0</v>
      </c>
      <c r="H30" s="3">
        <v>0.0</v>
      </c>
      <c r="I30" s="3" t="s">
        <v>13</v>
      </c>
      <c r="J30" s="3" t="s">
        <v>116</v>
      </c>
      <c r="K30" s="3" t="s">
        <v>50</v>
      </c>
      <c r="L30" s="3" t="str">
        <f>IFERROR(__xludf.DUMMYFUNCTION("GOOGLETRANSLATE(F30,""id"",""en"")"),"Viral Female Supporters Argentina Body Cup Final Sentenced to FIFA")</f>
        <v>Viral Female Supporters Argentina Body Cup Final Sentenced to FIFA</v>
      </c>
    </row>
    <row r="31" ht="15.75" customHeight="1">
      <c r="A31" s="1">
        <v>29.0</v>
      </c>
      <c r="B31" s="3" t="s">
        <v>117</v>
      </c>
      <c r="C31" s="3">
        <v>1.0</v>
      </c>
      <c r="D31" s="3">
        <v>1.0</v>
      </c>
      <c r="E31" s="3">
        <v>1.0</v>
      </c>
      <c r="F31" s="3" t="s">
        <v>118</v>
      </c>
      <c r="G31" s="3">
        <v>1.0</v>
      </c>
      <c r="H31" s="3">
        <v>0.0</v>
      </c>
      <c r="I31" s="3" t="s">
        <v>13</v>
      </c>
      <c r="J31" s="3" t="s">
        <v>119</v>
      </c>
      <c r="K31" s="3" t="s">
        <v>15</v>
      </c>
      <c r="L31" s="3" t="str">
        <f>IFERROR(__xludf.DUMMYFUNCTION("GOOGLETRANSLATE(F31,""id"",""en"")"),"Argentina Champion And There Are Three Interesting Things From the World Cup Final Results")</f>
        <v>Argentina Champion And There Are Three Interesting Things From the World Cup Final Results</v>
      </c>
    </row>
    <row r="32" ht="15.75" customHeight="1">
      <c r="A32" s="1">
        <v>30.0</v>
      </c>
      <c r="B32" s="3" t="s">
        <v>120</v>
      </c>
      <c r="C32" s="3">
        <v>1.0</v>
      </c>
      <c r="D32" s="3">
        <v>1.0</v>
      </c>
      <c r="E32" s="3">
        <v>8.0</v>
      </c>
      <c r="F32" s="3" t="s">
        <v>121</v>
      </c>
      <c r="G32" s="3">
        <v>1.0</v>
      </c>
      <c r="H32" s="3">
        <v>0.0</v>
      </c>
      <c r="I32" s="3" t="s">
        <v>13</v>
      </c>
      <c r="J32" s="3" t="s">
        <v>122</v>
      </c>
      <c r="K32" s="3" t="s">
        <v>123</v>
      </c>
      <c r="L32" s="3" t="str">
        <f>IFERROR(__xludf.DUMMYFUNCTION("GOOGLETRANSLATE(F32,""id"",""en"")"),"Moment of Interesting Moment of French Argentina Final Triple Nutmeg Maria MARIA MARIA KEPSI KECUMI PILDUN")</f>
        <v>Moment of Interesting Moment of French Argentina Final Triple Nutmeg Maria MARIA MARIA KEPSI KECUMI PILDUN</v>
      </c>
    </row>
    <row r="33" ht="15.75" customHeight="1">
      <c r="A33" s="1">
        <v>31.0</v>
      </c>
      <c r="B33" s="3" t="s">
        <v>124</v>
      </c>
      <c r="C33" s="3">
        <v>0.0</v>
      </c>
      <c r="D33" s="3">
        <v>0.0</v>
      </c>
      <c r="E33" s="3">
        <v>2.0</v>
      </c>
      <c r="F33" s="3" t="s">
        <v>125</v>
      </c>
      <c r="G33" s="3">
        <v>0.7666666666666666</v>
      </c>
      <c r="H33" s="3">
        <v>0.1</v>
      </c>
      <c r="I33" s="3" t="s">
        <v>48</v>
      </c>
      <c r="J33" s="3" t="s">
        <v>126</v>
      </c>
      <c r="K33" s="3" t="s">
        <v>127</v>
      </c>
      <c r="L33" s="3" t="str">
        <f>IFERROR(__xludf.DUMMYFUNCTION("GOOGLETRANSLATE(F33,""id"",""en"")"),"MBAPE HAVE WORLD CHAMPIONS ON UCL European Cup, Young Age Final The Modern Era Sgt Wow Bgt")</f>
        <v>MBAPE HAVE WORLD CHAMPIONS ON UCL European Cup, Young Age Final The Modern Era Sgt Wow Bgt</v>
      </c>
    </row>
    <row r="34" ht="15.75" customHeight="1">
      <c r="A34" s="1">
        <v>32.0</v>
      </c>
      <c r="B34" s="3" t="s">
        <v>128</v>
      </c>
      <c r="C34" s="3">
        <v>0.0</v>
      </c>
      <c r="D34" s="3">
        <v>0.0</v>
      </c>
      <c r="E34" s="3">
        <v>0.0</v>
      </c>
      <c r="F34" s="3" t="s">
        <v>129</v>
      </c>
      <c r="G34" s="3">
        <v>0.8666666666666667</v>
      </c>
      <c r="H34" s="3">
        <v>0.06666666666666667</v>
      </c>
      <c r="I34" s="3" t="s">
        <v>48</v>
      </c>
      <c r="J34" s="3" t="s">
        <v>130</v>
      </c>
      <c r="K34" s="3" t="s">
        <v>131</v>
      </c>
      <c r="L34" s="3" t="str">
        <f>IFERROR(__xludf.DUMMYFUNCTION("GOOGLETRANSLATE(F34,""id"",""en"")"),"The last World Cup Final penalty shooting at the final of the Italian French Pilduun which won hahahahaha Bravo Bravo Argentina Happy Messi")</f>
        <v>The last World Cup Final penalty shooting at the final of the Italian French Pilduun which won hahahahaha Bravo Bravo Argentina Happy Messi</v>
      </c>
    </row>
    <row r="35" ht="15.75" customHeight="1">
      <c r="A35" s="1">
        <v>33.0</v>
      </c>
      <c r="B35" s="3" t="s">
        <v>132</v>
      </c>
      <c r="C35" s="3">
        <v>0.0</v>
      </c>
      <c r="D35" s="3">
        <v>0.0</v>
      </c>
      <c r="E35" s="3">
        <v>0.0</v>
      </c>
      <c r="F35" s="3" t="s">
        <v>133</v>
      </c>
      <c r="G35" s="3">
        <v>1.0</v>
      </c>
      <c r="H35" s="3">
        <v>0.0</v>
      </c>
      <c r="I35" s="3" t="s">
        <v>13</v>
      </c>
      <c r="J35" s="3" t="s">
        <v>134</v>
      </c>
      <c r="K35" s="3" t="s">
        <v>135</v>
      </c>
      <c r="L35" s="3" t="str">
        <f>IFERROR(__xludf.DUMMYFUNCTION("GOOGLETRANSLATE(F35,""id"",""en"")"),"I regret fell asleep last night my mother was a story why my brother slept last night even though it was very exciting last night Gustiiiiiiiiiiiiiiiiiiiiiiiiiiiiiiii")</f>
        <v>I regret fell asleep last night my mother was a story why my brother slept last night even though it was very exciting last night Gustiiiiiiiiiiiiiiiiiiiiiiiiiiiiiiii</v>
      </c>
    </row>
    <row r="36" ht="15.75" customHeight="1">
      <c r="A36" s="1">
        <v>34.0</v>
      </c>
      <c r="B36" s="3" t="s">
        <v>136</v>
      </c>
      <c r="C36" s="3">
        <v>1.0</v>
      </c>
      <c r="D36" s="3">
        <v>0.0</v>
      </c>
      <c r="E36" s="3">
        <v>0.0</v>
      </c>
      <c r="F36" s="3" t="s">
        <v>137</v>
      </c>
      <c r="G36" s="3">
        <v>1.0</v>
      </c>
      <c r="H36" s="3">
        <v>0.0</v>
      </c>
      <c r="I36" s="3" t="s">
        <v>13</v>
      </c>
      <c r="J36" s="3" t="s">
        <v>138</v>
      </c>
      <c r="K36" s="3" t="s">
        <v>139</v>
      </c>
      <c r="L36" s="3" t="str">
        <f>IFERROR(__xludf.DUMMYFUNCTION("GOOGLETRANSLATE(F36,""id"",""en"")"),"who managed to defeat the German Pilduun Final between the American and European continents as rich as the World Cup is now the final between the European continent of the American continent, the host is also the same as the Asian Qatar country")</f>
        <v>who managed to defeat the German Pilduun Final between the American and European continents as rich as the World Cup is now the final between the European continent of the American continent, the host is also the same as the Asian Qatar country</v>
      </c>
    </row>
    <row r="37" ht="15.75" customHeight="1">
      <c r="A37" s="1">
        <v>35.0</v>
      </c>
      <c r="B37" s="3" t="s">
        <v>140</v>
      </c>
      <c r="C37" s="3">
        <v>0.0</v>
      </c>
      <c r="D37" s="3">
        <v>1.0</v>
      </c>
      <c r="E37" s="3">
        <v>10.0</v>
      </c>
      <c r="F37" s="3" t="s">
        <v>141</v>
      </c>
      <c r="G37" s="3">
        <v>1.0</v>
      </c>
      <c r="H37" s="3">
        <v>0.0</v>
      </c>
      <c r="I37" s="3" t="s">
        <v>13</v>
      </c>
      <c r="J37" s="3" t="s">
        <v>142</v>
      </c>
      <c r="K37" s="3" t="s">
        <v>19</v>
      </c>
      <c r="L37" s="3" t="str">
        <f>IFERROR(__xludf.DUMMYFUNCTION("GOOGLETRANSLATE(F37,""id"",""en"")"),"Mechanical Fighting Two PSG strikers Color the World Cup Final Rio Ferdinand is very beautiful")</f>
        <v>Mechanical Fighting Two PSG strikers Color the World Cup Final Rio Ferdinand is very beautiful</v>
      </c>
    </row>
    <row r="38" ht="15.75" customHeight="1">
      <c r="A38" s="1">
        <v>36.0</v>
      </c>
      <c r="B38" s="3" t="s">
        <v>143</v>
      </c>
      <c r="C38" s="3">
        <v>0.0</v>
      </c>
      <c r="D38" s="3">
        <v>0.0</v>
      </c>
      <c r="E38" s="3">
        <v>0.0</v>
      </c>
      <c r="F38" s="3" t="s">
        <v>144</v>
      </c>
      <c r="G38" s="3">
        <v>1.0</v>
      </c>
      <c r="H38" s="3">
        <v>0.0</v>
      </c>
      <c r="I38" s="3" t="s">
        <v>13</v>
      </c>
      <c r="J38" s="3" t="s">
        <v>145</v>
      </c>
      <c r="K38" s="3" t="s">
        <v>19</v>
      </c>
      <c r="L38" s="3" t="str">
        <f>IFERROR(__xludf.DUMMYFUNCTION("GOOGLETRANSLATE(F38,""id"",""en"")"),"Ibn Jamil watching the World Cup final will be a witness to the lucky person")</f>
        <v>Ibn Jamil watching the World Cup final will be a witness to the lucky person</v>
      </c>
    </row>
    <row r="39" ht="15.75" customHeight="1">
      <c r="A39" s="1">
        <v>37.0</v>
      </c>
      <c r="B39" s="3" t="s">
        <v>146</v>
      </c>
      <c r="C39" s="3">
        <v>0.0</v>
      </c>
      <c r="D39" s="3">
        <v>0.0</v>
      </c>
      <c r="E39" s="3">
        <v>0.0</v>
      </c>
      <c r="F39" s="3" t="s">
        <v>147</v>
      </c>
      <c r="G39" s="3">
        <v>1.0</v>
      </c>
      <c r="H39" s="3">
        <v>0.0</v>
      </c>
      <c r="I39" s="3" t="s">
        <v>13</v>
      </c>
      <c r="J39" s="3" t="s">
        <v>148</v>
      </c>
      <c r="K39" s="3" t="s">
        <v>149</v>
      </c>
      <c r="L39" s="3" t="str">
        <f>IFERROR(__xludf.DUMMYFUNCTION("GOOGLETRANSLATE(F39,""id"",""en"")"),"and makes it difficult to watch the world cup final strange")</f>
        <v>and makes it difficult to watch the world cup final strange</v>
      </c>
    </row>
    <row r="40" ht="15.75" customHeight="1">
      <c r="A40" s="1">
        <v>38.0</v>
      </c>
      <c r="B40" s="3" t="s">
        <v>150</v>
      </c>
      <c r="C40" s="3">
        <v>0.0</v>
      </c>
      <c r="D40" s="3">
        <v>0.0</v>
      </c>
      <c r="E40" s="3">
        <v>0.0</v>
      </c>
      <c r="F40" s="3" t="s">
        <v>151</v>
      </c>
      <c r="G40" s="3">
        <v>1.0</v>
      </c>
      <c r="H40" s="3">
        <v>0.0</v>
      </c>
      <c r="I40" s="3" t="s">
        <v>13</v>
      </c>
      <c r="J40" s="3" t="s">
        <v>152</v>
      </c>
      <c r="K40" s="3" t="s">
        <v>50</v>
      </c>
      <c r="L40" s="3" t="str">
        <f>IFERROR(__xludf.DUMMYFUNCTION("GOOGLETRANSLATE(F40,""id"",""en"")"),"Honestly, I just watched the World Cup when the final was")</f>
        <v>Honestly, I just watched the World Cup when the final was</v>
      </c>
    </row>
    <row r="41" ht="15.75" customHeight="1">
      <c r="A41" s="1">
        <v>39.0</v>
      </c>
      <c r="B41" s="3" t="s">
        <v>153</v>
      </c>
      <c r="C41" s="3">
        <v>0.0</v>
      </c>
      <c r="D41" s="3">
        <v>0.0</v>
      </c>
      <c r="E41" s="3">
        <v>0.0</v>
      </c>
      <c r="F41" s="3" t="s">
        <v>154</v>
      </c>
      <c r="G41" s="3">
        <v>1.0</v>
      </c>
      <c r="H41" s="3">
        <v>0.0</v>
      </c>
      <c r="I41" s="3" t="s">
        <v>13</v>
      </c>
      <c r="J41" s="3" t="s">
        <v>155</v>
      </c>
      <c r="K41" s="3" t="s">
        <v>15</v>
      </c>
      <c r="L41" s="3" t="str">
        <f>IFERROR(__xludf.DUMMYFUNCTION("GOOGLETRANSLATE(F41,""id"",""en"")"),"Original Gokilllll Final Best Since Watching the World Cup")</f>
        <v>Original Gokilllll Final Best Since Watching the World Cup</v>
      </c>
    </row>
    <row r="42" ht="15.75" customHeight="1">
      <c r="A42" s="1">
        <v>40.0</v>
      </c>
      <c r="B42" s="3" t="s">
        <v>156</v>
      </c>
      <c r="C42" s="3">
        <v>0.0</v>
      </c>
      <c r="D42" s="3">
        <v>0.0</v>
      </c>
      <c r="E42" s="3">
        <v>0.0</v>
      </c>
      <c r="F42" s="3" t="s">
        <v>157</v>
      </c>
      <c r="G42" s="3">
        <v>1.0</v>
      </c>
      <c r="H42" s="3">
        <v>0.0</v>
      </c>
      <c r="I42" s="3" t="s">
        <v>13</v>
      </c>
      <c r="J42" s="3" t="s">
        <v>158</v>
      </c>
      <c r="K42" s="3" t="s">
        <v>50</v>
      </c>
      <c r="L42" s="3" t="str">
        <f>IFERROR(__xludf.DUMMYFUNCTION("GOOGLETRANSLATE(F42,""id"",""en"")"),"only this man seems to make the final status of the world cup wkwkwkwkw because the champion loses")</f>
        <v>only this man seems to make the final status of the world cup wkwkwkwkw because the champion loses</v>
      </c>
    </row>
    <row r="43" ht="15.75" customHeight="1">
      <c r="A43" s="1">
        <v>41.0</v>
      </c>
      <c r="B43" s="3" t="s">
        <v>159</v>
      </c>
      <c r="C43" s="3">
        <v>0.0</v>
      </c>
      <c r="D43" s="3">
        <v>0.0</v>
      </c>
      <c r="E43" s="3">
        <v>1.0</v>
      </c>
      <c r="F43" s="3" t="s">
        <v>160</v>
      </c>
      <c r="G43" s="3">
        <v>1.0</v>
      </c>
      <c r="H43" s="3">
        <v>0.0</v>
      </c>
      <c r="I43" s="3" t="s">
        <v>13</v>
      </c>
      <c r="J43" s="3" t="s">
        <v>161</v>
      </c>
      <c r="K43" s="3" t="s">
        <v>41</v>
      </c>
      <c r="L43" s="3" t="str">
        <f>IFERROR(__xludf.DUMMYFUNCTION("GOOGLETRANSLATE(F43,""id"",""en"")"),"France was overthrown by Argentina World Cup Final Hugo Lloris said this")</f>
        <v>France was overthrown by Argentina World Cup Final Hugo Lloris said this</v>
      </c>
    </row>
    <row r="44" ht="15.75" customHeight="1">
      <c r="A44" s="1">
        <v>42.0</v>
      </c>
      <c r="B44" s="3" t="s">
        <v>162</v>
      </c>
      <c r="C44" s="3">
        <v>2.0</v>
      </c>
      <c r="D44" s="3">
        <v>0.0</v>
      </c>
      <c r="E44" s="3">
        <v>0.0</v>
      </c>
      <c r="F44" s="3" t="s">
        <v>163</v>
      </c>
      <c r="G44" s="3">
        <v>1.0</v>
      </c>
      <c r="H44" s="3">
        <v>0.0</v>
      </c>
      <c r="I44" s="3" t="s">
        <v>13</v>
      </c>
      <c r="J44" s="3" t="s">
        <v>164</v>
      </c>
      <c r="K44" s="3" t="s">
        <v>165</v>
      </c>
      <c r="L44" s="3" t="str">
        <f>IFERROR(__xludf.DUMMYFUNCTION("GOOGLETRANSLATE(F44,""id"",""en"")"),"I do not care about the rating of my clear thread this year's world cup is very incorrect final, it feels a new final, when the second goal France created a referee to play safe so as not to be affected by the blasphemy of people throughout the world")</f>
        <v>I do not care about the rating of my clear thread this year's world cup is very incorrect final, it feels a new final, when the second goal France created a referee to play safe so as not to be affected by the blasphemy of people throughout the world</v>
      </c>
    </row>
    <row r="45" ht="15.75" customHeight="1">
      <c r="A45" s="1">
        <v>43.0</v>
      </c>
      <c r="B45" s="3" t="s">
        <v>166</v>
      </c>
      <c r="C45" s="3">
        <v>0.0</v>
      </c>
      <c r="D45" s="3">
        <v>0.0</v>
      </c>
      <c r="E45" s="3">
        <v>0.0</v>
      </c>
      <c r="F45" s="3" t="s">
        <v>167</v>
      </c>
      <c r="G45" s="3">
        <v>1.0</v>
      </c>
      <c r="H45" s="3">
        <v>0.0</v>
      </c>
      <c r="I45" s="3" t="s">
        <v>13</v>
      </c>
      <c r="J45" s="3" t="s">
        <v>168</v>
      </c>
      <c r="K45" s="3" t="s">
        <v>15</v>
      </c>
      <c r="L45" s="3" t="str">
        <f>IFERROR(__xludf.DUMMYFUNCTION("GOOGLETRANSLATE(F45,""id"",""en"")"),"The Qatar World Cup final match is extraordinary")</f>
        <v>The Qatar World Cup final match is extraordinary</v>
      </c>
    </row>
    <row r="46" ht="15.75" customHeight="1">
      <c r="A46" s="1">
        <v>44.0</v>
      </c>
      <c r="B46" s="3" t="s">
        <v>169</v>
      </c>
      <c r="C46" s="3">
        <v>0.0</v>
      </c>
      <c r="D46" s="3">
        <v>12.0</v>
      </c>
      <c r="E46" s="3">
        <v>14.0</v>
      </c>
      <c r="F46" s="3" t="s">
        <v>170</v>
      </c>
      <c r="G46" s="3">
        <v>0.75</v>
      </c>
      <c r="H46" s="3">
        <v>0.25</v>
      </c>
      <c r="I46" s="3" t="s">
        <v>48</v>
      </c>
      <c r="J46" s="3" t="s">
        <v>171</v>
      </c>
      <c r="K46" s="3" t="s">
        <v>172</v>
      </c>
      <c r="L46" s="3" t="str">
        <f>IFERROR(__xludf.DUMMYFUNCTION("GOOGLETRANSLATE(F46,""id"",""en"")"),"Argentina France entered the Qatar World Cup Final Round The match will take place Lusail Iconic Stadium, of course this invites many speculation of Masmen BUMN to believe that the dominance of the World Cup must not be equitable European")</f>
        <v>Argentina France entered the Qatar World Cup Final Round The match will take place Lusail Iconic Stadium, of course this invites many speculation of Masmen BUMN to believe that the dominance of the World Cup must not be equitable European</v>
      </c>
    </row>
    <row r="47" ht="15.75" customHeight="1">
      <c r="A47" s="1">
        <v>45.0</v>
      </c>
      <c r="B47" s="3" t="s">
        <v>173</v>
      </c>
      <c r="C47" s="3">
        <v>0.0</v>
      </c>
      <c r="D47" s="3">
        <v>0.0</v>
      </c>
      <c r="E47" s="3">
        <v>0.0</v>
      </c>
      <c r="F47" s="3" t="s">
        <v>174</v>
      </c>
      <c r="G47" s="3">
        <v>0.5</v>
      </c>
      <c r="H47" s="3">
        <v>0.0</v>
      </c>
      <c r="I47" s="3" t="s">
        <v>13</v>
      </c>
      <c r="J47" s="3" t="s">
        <v>175</v>
      </c>
      <c r="K47" s="3" t="s">
        <v>176</v>
      </c>
      <c r="L47" s="3" t="str">
        <f>IFERROR(__xludf.DUMMYFUNCTION("GOOGLETRANSLATE(F47,""id"",""en"")"),"Back Back Final World Cup Hattrick World Cup Final")</f>
        <v>Back Back Final World Cup Hattrick World Cup Final</v>
      </c>
    </row>
    <row r="48" ht="15.75" customHeight="1">
      <c r="A48" s="1">
        <v>46.0</v>
      </c>
      <c r="B48" s="3" t="s">
        <v>177</v>
      </c>
      <c r="C48" s="3">
        <v>0.0</v>
      </c>
      <c r="D48" s="3">
        <v>1.0</v>
      </c>
      <c r="E48" s="3">
        <v>0.0</v>
      </c>
      <c r="F48" s="3" t="s">
        <v>178</v>
      </c>
      <c r="G48" s="3">
        <v>0.7</v>
      </c>
      <c r="H48" s="3">
        <v>-0.2</v>
      </c>
      <c r="I48" s="3" t="s">
        <v>179</v>
      </c>
      <c r="J48" s="3" t="s">
        <v>180</v>
      </c>
      <c r="K48" s="3" t="s">
        <v>45</v>
      </c>
      <c r="L48" s="3" t="str">
        <f>IFERROR(__xludf.DUMMYFUNCTION("GOOGLETRANSLATE(F48,""id"",""en"")"),"Jokowi firmly asked the European Union state not to dictate the ASEAN What Final What Game EMI Martinez World Cup World Cup Maradona Maria Ronaldo France Lautaro won Dybala Losing")</f>
        <v>Jokowi firmly asked the European Union state not to dictate the ASEAN What Final What Game EMI Martinez World Cup World Cup Maradona Maria Ronaldo France Lautaro won Dybala Losing</v>
      </c>
    </row>
    <row r="49" ht="15.75" customHeight="1">
      <c r="A49" s="1">
        <v>47.0</v>
      </c>
      <c r="B49" s="3" t="s">
        <v>181</v>
      </c>
      <c r="C49" s="3">
        <v>0.0</v>
      </c>
      <c r="D49" s="3">
        <v>0.0</v>
      </c>
      <c r="E49" s="3">
        <v>5.0</v>
      </c>
      <c r="F49" s="3" t="s">
        <v>182</v>
      </c>
      <c r="G49" s="3">
        <v>1.0</v>
      </c>
      <c r="H49" s="3">
        <v>0.0</v>
      </c>
      <c r="I49" s="3" t="s">
        <v>13</v>
      </c>
      <c r="J49" s="3" t="s">
        <v>183</v>
      </c>
      <c r="K49" s="3" t="s">
        <v>184</v>
      </c>
      <c r="L49" s="3" t="str">
        <f>IFERROR(__xludf.DUMMYFUNCTION("GOOGLETRANSLATE(F49,""id"",""en"")"),"The one left behind the Fajr prayer because of the world of the World Cup Final lack of gratitude how this morning you are still given the opportunity to still get up from sleep")</f>
        <v>The one left behind the Fajr prayer because of the world of the World Cup Final lack of gratitude how this morning you are still given the opportunity to still get up from sleep</v>
      </c>
    </row>
    <row r="50" ht="15.75" customHeight="1">
      <c r="A50" s="1">
        <v>48.0</v>
      </c>
      <c r="B50" s="3" t="s">
        <v>185</v>
      </c>
      <c r="C50" s="3">
        <v>0.0</v>
      </c>
      <c r="D50" s="3">
        <v>1.0</v>
      </c>
      <c r="E50" s="3">
        <v>0.0</v>
      </c>
      <c r="F50" s="3" t="s">
        <v>186</v>
      </c>
      <c r="G50" s="3">
        <v>0.7</v>
      </c>
      <c r="H50" s="3">
        <v>-0.2</v>
      </c>
      <c r="I50" s="3" t="s">
        <v>179</v>
      </c>
      <c r="J50" s="3" t="s">
        <v>187</v>
      </c>
      <c r="K50" s="3" t="s">
        <v>188</v>
      </c>
      <c r="L50" s="3" t="str">
        <f>IFERROR(__xludf.DUMMYFUNCTION("GOOGLETRANSLATE(F50,""id"",""en"")"),"Jokowi and Biden established a partnership of climate change with funding reaching up to USD million equivalent to what final what game EMI Martinez World Cup World Cup Maradona Maria Ronaldo France Lautaro won Dybala Losing")</f>
        <v>Jokowi and Biden established a partnership of climate change with funding reaching up to USD million equivalent to what final what game EMI Martinez World Cup World Cup Maradona Maria Ronaldo France Lautaro won Dybala Losing</v>
      </c>
    </row>
    <row r="51" ht="15.75" customHeight="1">
      <c r="A51" s="1">
        <v>49.0</v>
      </c>
      <c r="B51" s="3" t="s">
        <v>189</v>
      </c>
      <c r="C51" s="3">
        <v>0.0</v>
      </c>
      <c r="D51" s="3">
        <v>1.0</v>
      </c>
      <c r="E51" s="3">
        <v>1.0</v>
      </c>
      <c r="F51" s="3" t="s">
        <v>190</v>
      </c>
      <c r="G51" s="3">
        <v>0.7</v>
      </c>
      <c r="H51" s="3">
        <v>-0.2</v>
      </c>
      <c r="I51" s="3" t="s">
        <v>179</v>
      </c>
      <c r="J51" s="3" t="s">
        <v>191</v>
      </c>
      <c r="K51" s="3" t="s">
        <v>192</v>
      </c>
      <c r="L51" s="3" t="str">
        <f>IFERROR(__xludf.DUMMYFUNCTION("GOOGLETRANSLATE(F51,""id"",""en"")"),"Bawaslu held a Consolnas in order to strengthen the performance and solidity of the What Final Election Supervisory Board of What Game EMI Martinez World Cup World Cup Maradona Maria Ronaldo France Lautaro won Dybala Losing")</f>
        <v>Bawaslu held a Consolnas in order to strengthen the performance and solidity of the What Final Election Supervisory Board of What Game EMI Martinez World Cup World Cup Maradona Maria Ronaldo France Lautaro won Dybala Losing</v>
      </c>
    </row>
    <row r="52" ht="15.75" customHeight="1">
      <c r="A52" s="1">
        <v>50.0</v>
      </c>
      <c r="B52" s="3" t="s">
        <v>193</v>
      </c>
      <c r="C52" s="3">
        <v>0.0</v>
      </c>
      <c r="D52" s="3">
        <v>0.0</v>
      </c>
      <c r="E52" s="3">
        <v>0.0</v>
      </c>
      <c r="F52" s="3" t="s">
        <v>194</v>
      </c>
      <c r="G52" s="3">
        <v>1.0</v>
      </c>
      <c r="H52" s="3">
        <v>0.0</v>
      </c>
      <c r="I52" s="3" t="s">
        <v>13</v>
      </c>
      <c r="J52" s="3" t="s">
        <v>195</v>
      </c>
      <c r="K52" s="3" t="s">
        <v>50</v>
      </c>
      <c r="L52" s="3" t="str">
        <f>IFERROR(__xludf.DUMMYFUNCTION("GOOGLETRANSLATE(F52,""id"",""en"")"),"Fill the story this morning the World Cup Final All Wkwkk Met won Argentina")</f>
        <v>Fill the story this morning the World Cup Final All Wkwkk Met won Argentina</v>
      </c>
    </row>
    <row r="53" ht="15.75" customHeight="1">
      <c r="A53" s="1">
        <v>51.0</v>
      </c>
      <c r="B53" s="3" t="s">
        <v>196</v>
      </c>
      <c r="C53" s="3">
        <v>0.0</v>
      </c>
      <c r="D53" s="3">
        <v>0.0</v>
      </c>
      <c r="E53" s="3">
        <v>0.0</v>
      </c>
      <c r="F53" s="3" t="s">
        <v>197</v>
      </c>
      <c r="G53" s="3">
        <v>1.0</v>
      </c>
      <c r="H53" s="3">
        <v>0.0</v>
      </c>
      <c r="I53" s="3" t="s">
        <v>13</v>
      </c>
      <c r="J53" s="3" t="s">
        <v>198</v>
      </c>
      <c r="K53" s="3" t="s">
        <v>19</v>
      </c>
      <c r="L53" s="3" t="str">
        <f>IFERROR(__xludf.DUMMYFUNCTION("GOOGLETRANSLATE(F53,""id"",""en"")"),"Happy Monday Messi won the World Cup who watched the final last night")</f>
        <v>Happy Monday Messi won the World Cup who watched the final last night</v>
      </c>
    </row>
    <row r="54" ht="15.75" customHeight="1">
      <c r="A54" s="1">
        <v>52.0</v>
      </c>
      <c r="B54" s="3" t="s">
        <v>199</v>
      </c>
      <c r="C54" s="3">
        <v>0.0</v>
      </c>
      <c r="D54" s="3">
        <v>1.0</v>
      </c>
      <c r="E54" s="3">
        <v>1.0</v>
      </c>
      <c r="F54" s="3" t="s">
        <v>200</v>
      </c>
      <c r="G54" s="3">
        <v>0.7</v>
      </c>
      <c r="H54" s="3">
        <v>-0.2</v>
      </c>
      <c r="I54" s="3" t="s">
        <v>179</v>
      </c>
      <c r="J54" s="3" t="s">
        <v>201</v>
      </c>
      <c r="K54" s="3" t="s">
        <v>188</v>
      </c>
      <c r="L54" s="3" t="str">
        <f>IFERROR(__xludf.DUMMYFUNCTION("GOOGLETRANSLATE(F54,""id"",""en"")"),"Jokowi gave directions to a number of parties including the General Election Supervisory Body or Bawaslu related to the What Final Election What Emi Martinez World Cup World Champion Maradona Maria Ronaldo France Lautaro won Dybala Losing")</f>
        <v>Jokowi gave directions to a number of parties including the General Election Supervisory Body or Bawaslu related to the What Final Election What Emi Martinez World Cup World Champion Maradona Maria Ronaldo France Lautaro won Dybala Losing</v>
      </c>
    </row>
    <row r="55" ht="15.75" customHeight="1">
      <c r="A55" s="1">
        <v>53.0</v>
      </c>
      <c r="B55" s="3" t="s">
        <v>202</v>
      </c>
      <c r="C55" s="3">
        <v>1.0</v>
      </c>
      <c r="D55" s="3">
        <v>0.0</v>
      </c>
      <c r="E55" s="3">
        <v>2.0</v>
      </c>
      <c r="F55" s="3" t="s">
        <v>203</v>
      </c>
      <c r="G55" s="3">
        <v>1.0</v>
      </c>
      <c r="H55" s="3">
        <v>0.0</v>
      </c>
      <c r="I55" s="3" t="s">
        <v>13</v>
      </c>
      <c r="J55" s="3" t="s">
        <v>204</v>
      </c>
      <c r="K55" s="3" t="s">
        <v>205</v>
      </c>
      <c r="L55" s="3" t="str">
        <f>IFERROR(__xludf.DUMMYFUNCTION("GOOGLETRANSLATE(F55,""id"",""en"")"),"Mbappe Carry's heavy France when almost defeated by people can get the World Cup Final Hattrick during Messi Ronaldo already finished time to enter Mbappe Halland")</f>
        <v>Mbappe Carry's heavy France when almost defeated by people can get the World Cup Final Hattrick during Messi Ronaldo already finished time to enter Mbappe Halland</v>
      </c>
    </row>
    <row r="56" ht="15.75" customHeight="1">
      <c r="A56" s="1">
        <v>54.0</v>
      </c>
      <c r="B56" s="3" t="s">
        <v>206</v>
      </c>
      <c r="C56" s="3">
        <v>0.0</v>
      </c>
      <c r="D56" s="3">
        <v>0.0</v>
      </c>
      <c r="E56" s="3">
        <v>2.0</v>
      </c>
      <c r="F56" s="3" t="s">
        <v>207</v>
      </c>
      <c r="G56" s="3">
        <v>1.0</v>
      </c>
      <c r="H56" s="3">
        <v>0.0</v>
      </c>
      <c r="I56" s="3" t="s">
        <v>13</v>
      </c>
      <c r="J56" s="3" t="s">
        <v>208</v>
      </c>
      <c r="K56" s="3" t="s">
        <v>19</v>
      </c>
      <c r="L56" s="3" t="str">
        <f>IFERROR(__xludf.DUMMYFUNCTION("GOOGLETRANSLATE(F56,""id"",""en"")"),"France lost a penalty shootout to the Argentina World Cup Final Didier Deschamps Sindir Albiceleste")</f>
        <v>France lost a penalty shootout to the Argentina World Cup Final Didier Deschamps Sindir Albiceleste</v>
      </c>
    </row>
    <row r="57" ht="15.75" customHeight="1">
      <c r="A57" s="1">
        <v>55.0</v>
      </c>
      <c r="B57" s="3" t="s">
        <v>209</v>
      </c>
      <c r="C57" s="3">
        <v>0.0</v>
      </c>
      <c r="D57" s="3">
        <v>0.0</v>
      </c>
      <c r="E57" s="3">
        <v>3.0</v>
      </c>
      <c r="F57" s="3" t="s">
        <v>210</v>
      </c>
      <c r="G57" s="3">
        <v>1.0</v>
      </c>
      <c r="H57" s="3">
        <v>0.0</v>
      </c>
      <c r="I57" s="3" t="s">
        <v>13</v>
      </c>
      <c r="J57" s="3" t="s">
        <v>211</v>
      </c>
      <c r="K57" s="3" t="s">
        <v>127</v>
      </c>
      <c r="L57" s="3" t="str">
        <f>IFERROR(__xludf.DUMMYFUNCTION("GOOGLETRANSLATE(F57,""id"",""en"")"),"through a fierce match and ended with Argentine penalty shootout successfully won the World Cup after the final defeated France")</f>
        <v>through a fierce match and ended with Argentine penalty shootout successfully won the World Cup after the final defeated France</v>
      </c>
    </row>
    <row r="58" ht="15.75" customHeight="1">
      <c r="A58" s="1">
        <v>56.0</v>
      </c>
      <c r="B58" s="3" t="s">
        <v>212</v>
      </c>
      <c r="C58" s="3">
        <v>4.0</v>
      </c>
      <c r="D58" s="3">
        <v>22.0</v>
      </c>
      <c r="E58" s="3">
        <v>65.0</v>
      </c>
      <c r="F58" s="3" t="s">
        <v>213</v>
      </c>
      <c r="G58" s="3">
        <v>1.0</v>
      </c>
      <c r="H58" s="3">
        <v>0.0</v>
      </c>
      <c r="I58" s="3" t="s">
        <v>13</v>
      </c>
      <c r="J58" s="3" t="s">
        <v>214</v>
      </c>
      <c r="K58" s="3" t="s">
        <v>215</v>
      </c>
      <c r="L58" s="3" t="str">
        <f>IFERROR(__xludf.DUMMYFUNCTION("GOOGLETRANSLATE(F58,""id"",""en"")"),"Good Morning Friends of Kompas Argentina's victory over France in the Qatar World Cup final in the spotlight of our title brought Messi to the top of the world and eternal as one of the best footballers in history")</f>
        <v>Good Morning Friends of Kompas Argentina's victory over France in the Qatar World Cup final in the spotlight of our title brought Messi to the top of the world and eternal as one of the best footballers in history</v>
      </c>
    </row>
    <row r="59" ht="15.75" customHeight="1">
      <c r="A59" s="1">
        <v>57.0</v>
      </c>
      <c r="B59" s="3" t="s">
        <v>216</v>
      </c>
      <c r="C59" s="3">
        <v>4.0</v>
      </c>
      <c r="D59" s="3">
        <v>30.0</v>
      </c>
      <c r="E59" s="3">
        <v>96.0</v>
      </c>
      <c r="F59" s="3" t="s">
        <v>217</v>
      </c>
      <c r="G59" s="3">
        <v>1.0</v>
      </c>
      <c r="H59" s="3">
        <v>0.0</v>
      </c>
      <c r="I59" s="3" t="s">
        <v>13</v>
      </c>
      <c r="J59" s="3" t="s">
        <v>218</v>
      </c>
      <c r="K59" s="3" t="s">
        <v>127</v>
      </c>
      <c r="L59" s="3" t="str">
        <f>IFERROR(__xludf.DUMMYFUNCTION("GOOGLETRANSLATE(F59,""id"",""en"")"),"Tweet from an Argentine fan in the Time Traveler fortune teller does not only start from optimism and information on the World Cup Final Date via Wikipedia")</f>
        <v>Tweet from an Argentine fan in the Time Traveler fortune teller does not only start from optimism and information on the World Cup Final Date via Wikipedia</v>
      </c>
    </row>
    <row r="60" ht="15.75" customHeight="1">
      <c r="A60" s="1">
        <v>58.0</v>
      </c>
      <c r="B60" s="3" t="s">
        <v>219</v>
      </c>
      <c r="C60" s="3">
        <v>0.0</v>
      </c>
      <c r="D60" s="3">
        <v>0.0</v>
      </c>
      <c r="E60" s="3">
        <v>0.0</v>
      </c>
      <c r="F60" s="3" t="s">
        <v>220</v>
      </c>
      <c r="G60" s="3">
        <v>1.0</v>
      </c>
      <c r="H60" s="3">
        <v>0.0</v>
      </c>
      <c r="I60" s="3" t="s">
        <v>13</v>
      </c>
      <c r="J60" s="3" t="s">
        <v>221</v>
      </c>
      <c r="K60" s="3" t="s">
        <v>15</v>
      </c>
      <c r="L60" s="3" t="str">
        <f>IFERROR(__xludf.DUMMYFUNCTION("GOOGLETRANSLATE(F60,""id"",""en"")"),"Argentine French World Cup Final Prediction Messi Mbape")</f>
        <v>Argentine French World Cup Final Prediction Messi Mbape</v>
      </c>
    </row>
    <row r="61" ht="15.75" customHeight="1">
      <c r="A61" s="1">
        <v>59.0</v>
      </c>
      <c r="B61" s="3" t="s">
        <v>222</v>
      </c>
      <c r="C61" s="3">
        <v>0.0</v>
      </c>
      <c r="D61" s="3">
        <v>0.0</v>
      </c>
      <c r="E61" s="3">
        <v>1.0</v>
      </c>
      <c r="F61" s="3" t="s">
        <v>223</v>
      </c>
      <c r="G61" s="3">
        <v>1.0</v>
      </c>
      <c r="H61" s="3">
        <v>0.0</v>
      </c>
      <c r="I61" s="3" t="s">
        <v>13</v>
      </c>
      <c r="J61" s="3" t="s">
        <v>224</v>
      </c>
      <c r="K61" s="3" t="s">
        <v>31</v>
      </c>
      <c r="L61" s="3" t="str">
        <f>IFERROR(__xludf.DUMMYFUNCTION("GOOGLETRANSLATE(F61,""id"",""en"")"),"I think the World Cup final is very epic")</f>
        <v>I think the World Cup final is very epic</v>
      </c>
    </row>
    <row r="62" ht="15.75" customHeight="1">
      <c r="A62" s="1">
        <v>60.0</v>
      </c>
      <c r="B62" s="3" t="s">
        <v>225</v>
      </c>
      <c r="C62" s="3">
        <v>0.0</v>
      </c>
      <c r="D62" s="3">
        <v>0.0</v>
      </c>
      <c r="E62" s="3">
        <v>0.0</v>
      </c>
      <c r="F62" s="3" t="s">
        <v>226</v>
      </c>
      <c r="G62" s="3">
        <v>1.0</v>
      </c>
      <c r="H62" s="3">
        <v>0.0</v>
      </c>
      <c r="I62" s="3" t="s">
        <v>13</v>
      </c>
      <c r="J62" s="3" t="s">
        <v>227</v>
      </c>
      <c r="K62" s="3" t="s">
        <v>228</v>
      </c>
      <c r="L62" s="3" t="str">
        <f>IFERROR(__xludf.DUMMYFUNCTION("GOOGLETRANSLATE(F62,""id"",""en"")"),"Final World Cup Arrangement of French Argentine players Messi and Mbappe Starter Argentine national team will fight France in the final match of the Lusail Stadium World Cup Final")</f>
        <v>Final World Cup Arrangement of French Argentine players Messi and Mbappe Starter Argentine national team will fight France in the final match of the Lusail Stadium World Cup Final</v>
      </c>
    </row>
    <row r="63" ht="15.75" customHeight="1">
      <c r="A63" s="1">
        <v>61.0</v>
      </c>
      <c r="B63" s="3" t="s">
        <v>229</v>
      </c>
      <c r="C63" s="3">
        <v>0.0</v>
      </c>
      <c r="D63" s="3">
        <v>0.0</v>
      </c>
      <c r="E63" s="3">
        <v>0.0</v>
      </c>
      <c r="F63" s="3" t="s">
        <v>230</v>
      </c>
      <c r="G63" s="3">
        <v>1.0</v>
      </c>
      <c r="H63" s="3">
        <v>0.0</v>
      </c>
      <c r="I63" s="3" t="s">
        <v>13</v>
      </c>
      <c r="J63" s="3" t="s">
        <v>231</v>
      </c>
      <c r="K63" s="3" t="s">
        <v>232</v>
      </c>
      <c r="L63" s="3" t="str">
        <f>IFERROR(__xludf.DUMMYFUNCTION("GOOGLETRANSLATE(F63,""id"",""en"")"),"Suddenly the whole Twitter was crowded in talking about the ball from the beginning not interested")</f>
        <v>Suddenly the whole Twitter was crowded in talking about the ball from the beginning not interested</v>
      </c>
    </row>
    <row r="64" ht="15.75" customHeight="1">
      <c r="A64" s="1">
        <v>62.0</v>
      </c>
      <c r="B64" s="3" t="s">
        <v>233</v>
      </c>
      <c r="C64" s="3">
        <v>0.0</v>
      </c>
      <c r="D64" s="3">
        <v>1.0</v>
      </c>
      <c r="E64" s="3">
        <v>2.0</v>
      </c>
      <c r="F64" s="3" t="s">
        <v>234</v>
      </c>
      <c r="G64" s="3">
        <v>1.0</v>
      </c>
      <c r="H64" s="3">
        <v>0.0</v>
      </c>
      <c r="I64" s="3" t="s">
        <v>13</v>
      </c>
      <c r="J64" s="3" t="s">
        <v>235</v>
      </c>
      <c r="K64" s="3" t="s">
        <v>236</v>
      </c>
      <c r="L64" s="3" t="str">
        <f>IFERROR(__xludf.DUMMYFUNCTION("GOOGLETRANSLATE(F64,""id"",""en"")"),"Called the Final Final of the Qatar World Cup Final Create an Interesting Record")</f>
        <v>Called the Final Final of the Qatar World Cup Final Create an Interesting Record</v>
      </c>
    </row>
    <row r="65" ht="15.75" customHeight="1">
      <c r="A65" s="1">
        <v>63.0</v>
      </c>
      <c r="B65" s="3" t="s">
        <v>237</v>
      </c>
      <c r="C65" s="3">
        <v>0.0</v>
      </c>
      <c r="D65" s="3">
        <v>0.0</v>
      </c>
      <c r="E65" s="3">
        <v>0.0</v>
      </c>
      <c r="F65" s="3" t="s">
        <v>238</v>
      </c>
      <c r="G65" s="3">
        <v>1.0</v>
      </c>
      <c r="H65" s="3">
        <v>0.0</v>
      </c>
      <c r="I65" s="3" t="s">
        <v>13</v>
      </c>
      <c r="J65" s="3" t="s">
        <v>239</v>
      </c>
      <c r="K65" s="3" t="s">
        <v>240</v>
      </c>
      <c r="L65" s="3" t="str">
        <f>IFERROR(__xludf.DUMMYFUNCTION("GOOGLETRANSLATE(F65,""id"",""en"")"),"The Argentine national team defeated the defending champions of France in the Qatar World Cup final after going through the drama pursuit of goals")</f>
        <v>The Argentine national team defeated the defending champions of France in the Qatar World Cup final after going through the drama pursuit of goals</v>
      </c>
    </row>
    <row r="66" ht="15.75" customHeight="1">
      <c r="A66" s="1">
        <v>64.0</v>
      </c>
      <c r="B66" s="3" t="s">
        <v>241</v>
      </c>
      <c r="C66" s="3">
        <v>0.0</v>
      </c>
      <c r="D66" s="3">
        <v>0.0</v>
      </c>
      <c r="E66" s="3">
        <v>0.0</v>
      </c>
      <c r="F66" s="3" t="s">
        <v>242</v>
      </c>
      <c r="G66" s="3">
        <v>1.0</v>
      </c>
      <c r="H66" s="3">
        <v>0.0</v>
      </c>
      <c r="I66" s="3" t="s">
        <v>13</v>
      </c>
      <c r="J66" s="3" t="s">
        <v>243</v>
      </c>
      <c r="K66" s="3" t="s">
        <v>244</v>
      </c>
      <c r="L66" s="3" t="str">
        <f>IFERROR(__xludf.DUMMYFUNCTION("GOOGLETRANSLATE(F66,""id"",""en"")"),"The results of the French Argentine World Cup final match full of drama")</f>
        <v>The results of the French Argentine World Cup final match full of drama</v>
      </c>
    </row>
    <row r="67" ht="15.75" customHeight="1">
      <c r="A67" s="1">
        <v>65.0</v>
      </c>
      <c r="B67" s="3" t="s">
        <v>245</v>
      </c>
      <c r="C67" s="3">
        <v>0.0</v>
      </c>
      <c r="D67" s="3">
        <v>0.0</v>
      </c>
      <c r="E67" s="3">
        <v>0.0</v>
      </c>
      <c r="F67" s="3" t="s">
        <v>246</v>
      </c>
      <c r="G67" s="3">
        <v>1.0</v>
      </c>
      <c r="H67" s="3">
        <v>0.0</v>
      </c>
      <c r="I67" s="3" t="s">
        <v>13</v>
      </c>
      <c r="J67" s="3" t="s">
        <v>247</v>
      </c>
      <c r="K67" s="3" t="s">
        <v>75</v>
      </c>
      <c r="L67" s="3" t="str">
        <f>IFERROR(__xludf.DUMMYFUNCTION("GOOGLETRANSLATE(F67,""id"",""en"")"),"One of the reasons to be grateful because you can still live that is to watch the World Cup final")</f>
        <v>One of the reasons to be grateful because you can still live that is to watch the World Cup final</v>
      </c>
    </row>
    <row r="68" ht="15.75" customHeight="1">
      <c r="A68" s="1">
        <v>66.0</v>
      </c>
      <c r="B68" s="3" t="s">
        <v>248</v>
      </c>
      <c r="C68" s="3">
        <v>0.0</v>
      </c>
      <c r="D68" s="3">
        <v>0.0</v>
      </c>
      <c r="E68" s="3">
        <v>0.0</v>
      </c>
      <c r="F68" s="3" t="s">
        <v>249</v>
      </c>
      <c r="G68" s="3">
        <v>1.0</v>
      </c>
      <c r="H68" s="3">
        <v>0.0</v>
      </c>
      <c r="I68" s="3" t="s">
        <v>13</v>
      </c>
      <c r="J68" s="3" t="s">
        <v>250</v>
      </c>
      <c r="K68" s="3" t="s">
        <v>131</v>
      </c>
      <c r="L68" s="3" t="str">
        <f>IFERROR(__xludf.DUMMYFUNCTION("GOOGLETRANSLATE(F68,""id"",""en"")"),"how come there can be a debate who is suitable to be the champion who isn't you guys watching the world cup final instead of the Final Produce so please don't fight")</f>
        <v>how come there can be a debate who is suitable to be the champion who isn't you guys watching the world cup final instead of the Final Produce so please don't fight</v>
      </c>
    </row>
    <row r="69" ht="15.75" customHeight="1">
      <c r="A69" s="1">
        <v>67.0</v>
      </c>
      <c r="B69" s="3" t="s">
        <v>251</v>
      </c>
      <c r="C69" s="3">
        <v>0.0</v>
      </c>
      <c r="D69" s="3">
        <v>0.0</v>
      </c>
      <c r="E69" s="3">
        <v>0.0</v>
      </c>
      <c r="F69" s="3" t="s">
        <v>238</v>
      </c>
      <c r="G69" s="3">
        <v>1.0</v>
      </c>
      <c r="H69" s="3">
        <v>0.0</v>
      </c>
      <c r="I69" s="3" t="s">
        <v>13</v>
      </c>
      <c r="J69" s="3" t="s">
        <v>239</v>
      </c>
      <c r="K69" s="3" t="s">
        <v>240</v>
      </c>
      <c r="L69" s="3" t="str">
        <f>IFERROR(__xludf.DUMMYFUNCTION("GOOGLETRANSLATE(F69,""id"",""en"")"),"The Argentine national team defeated the defending champions of France in the Qatar World Cup final after going through the drama pursuit of goals")</f>
        <v>The Argentine national team defeated the defending champions of France in the Qatar World Cup final after going through the drama pursuit of goals</v>
      </c>
    </row>
    <row r="70" ht="15.75" customHeight="1">
      <c r="A70" s="1">
        <v>68.0</v>
      </c>
      <c r="B70" s="3" t="s">
        <v>252</v>
      </c>
      <c r="C70" s="3">
        <v>0.0</v>
      </c>
      <c r="D70" s="3">
        <v>0.0</v>
      </c>
      <c r="E70" s="3">
        <v>0.0</v>
      </c>
      <c r="F70" s="3" t="s">
        <v>253</v>
      </c>
      <c r="G70" s="3">
        <v>1.0</v>
      </c>
      <c r="H70" s="3">
        <v>0.0</v>
      </c>
      <c r="I70" s="3" t="s">
        <v>13</v>
      </c>
      <c r="J70" s="3" t="s">
        <v>254</v>
      </c>
      <c r="K70" s="3" t="s">
        <v>71</v>
      </c>
      <c r="L70" s="3" t="str">
        <f>IFERROR(__xludf.DUMMYFUNCTION("GOOGLETRANSLATE(F70,""id"",""en"")"),"Drama Chasing Gol Decorative Gol Decorative The Argentine World Cup Final won the victory through penalties")</f>
        <v>Drama Chasing Gol Decorative Gol Decorative The Argentine World Cup Final won the victory through penalties</v>
      </c>
    </row>
    <row r="71" ht="15.75" customHeight="1">
      <c r="A71" s="1">
        <v>69.0</v>
      </c>
      <c r="B71" s="3" t="s">
        <v>255</v>
      </c>
      <c r="C71" s="3">
        <v>1.0</v>
      </c>
      <c r="D71" s="3">
        <v>0.0</v>
      </c>
      <c r="E71" s="3">
        <v>1.0</v>
      </c>
      <c r="F71" s="3" t="s">
        <v>256</v>
      </c>
      <c r="G71" s="3">
        <v>1.0</v>
      </c>
      <c r="H71" s="3">
        <v>0.0</v>
      </c>
      <c r="I71" s="3" t="s">
        <v>13</v>
      </c>
      <c r="J71" s="3" t="s">
        <v>257</v>
      </c>
      <c r="K71" s="3" t="s">
        <v>75</v>
      </c>
      <c r="L71" s="3" t="str">
        <f>IFERROR(__xludf.DUMMYFUNCTION("GOOGLETRANSLATE(F71,""id"",""en"")"),"Rame the World Cup Final but still crowded with the sinking of the Van Der Wijck ship")</f>
        <v>Rame the World Cup Final but still crowded with the sinking of the Van Der Wijck ship</v>
      </c>
    </row>
    <row r="72" ht="15.75" customHeight="1">
      <c r="A72" s="1">
        <v>70.0</v>
      </c>
      <c r="B72" s="3" t="s">
        <v>258</v>
      </c>
      <c r="C72" s="3">
        <v>2.0</v>
      </c>
      <c r="D72" s="3">
        <v>0.0</v>
      </c>
      <c r="E72" s="3">
        <v>11.0</v>
      </c>
      <c r="F72" s="3" t="s">
        <v>259</v>
      </c>
      <c r="G72" s="3">
        <v>1.0</v>
      </c>
      <c r="H72" s="3">
        <v>0.0</v>
      </c>
      <c r="I72" s="3" t="s">
        <v>13</v>
      </c>
      <c r="J72" s="3" t="s">
        <v>260</v>
      </c>
      <c r="K72" s="3" t="s">
        <v>75</v>
      </c>
      <c r="L72" s="3" t="str">
        <f>IFERROR(__xludf.DUMMYFUNCTION("GOOGLETRANSLATE(F72,""id"",""en"")"),"Kylian Mbappe Printing First Hattrick World Cup Final After Geoff Hurst")</f>
        <v>Kylian Mbappe Printing First Hattrick World Cup Final After Geoff Hurst</v>
      </c>
    </row>
    <row r="73" ht="15.75" customHeight="1">
      <c r="A73" s="1">
        <v>71.0</v>
      </c>
      <c r="B73" s="3" t="s">
        <v>261</v>
      </c>
      <c r="C73" s="3">
        <v>0.0</v>
      </c>
      <c r="D73" s="3">
        <v>0.0</v>
      </c>
      <c r="E73" s="3">
        <v>0.0</v>
      </c>
      <c r="F73" s="3" t="s">
        <v>261</v>
      </c>
      <c r="G73" s="3">
        <v>1.0</v>
      </c>
      <c r="H73" s="3">
        <v>0.0</v>
      </c>
      <c r="I73" s="3" t="s">
        <v>13</v>
      </c>
      <c r="J73" s="3" t="s">
        <v>262</v>
      </c>
      <c r="K73" s="3" t="s">
        <v>31</v>
      </c>
      <c r="L73" s="3" t="str">
        <f>IFERROR(__xludf.DUMMYFUNCTION("GOOGLETRANSLATE(F73,""id"",""en"")"),"The World Cup Final was excited")</f>
        <v>The World Cup Final was excited</v>
      </c>
    </row>
    <row r="74" ht="15.75" customHeight="1">
      <c r="A74" s="1">
        <v>72.0</v>
      </c>
      <c r="B74" s="3" t="s">
        <v>263</v>
      </c>
      <c r="C74" s="3">
        <v>1.0</v>
      </c>
      <c r="D74" s="3">
        <v>1.0</v>
      </c>
      <c r="E74" s="3">
        <v>1.0</v>
      </c>
      <c r="F74" s="3" t="s">
        <v>264</v>
      </c>
      <c r="G74" s="3">
        <v>1.0</v>
      </c>
      <c r="H74" s="3">
        <v>0.0</v>
      </c>
      <c r="I74" s="3" t="s">
        <v>13</v>
      </c>
      <c r="J74" s="3" t="s">
        <v>265</v>
      </c>
      <c r="K74" s="3" t="s">
        <v>266</v>
      </c>
      <c r="L74" s="3" t="str">
        <f>IFERROR(__xludf.DUMMYFUNCTION("GOOGLETRANSLATE(F74,""id"",""en"")"),"Congrats Argentina won the Qatar World Cup Captain Lionel Messi was able to bring Argentina to win over France in the top match of the World Cup final of the Lusail Qatar Stadium on Monday morning WIB")</f>
        <v>Congrats Argentina won the Qatar World Cup Captain Lionel Messi was able to bring Argentina to win over France in the top match of the World Cup final of the Lusail Qatar Stadium on Monday morning WIB</v>
      </c>
    </row>
    <row r="75" ht="15.75" customHeight="1">
      <c r="A75" s="1">
        <v>73.0</v>
      </c>
      <c r="B75" s="3" t="s">
        <v>267</v>
      </c>
      <c r="C75" s="3">
        <v>0.0</v>
      </c>
      <c r="D75" s="3">
        <v>1.0</v>
      </c>
      <c r="E75" s="3">
        <v>1.0</v>
      </c>
      <c r="F75" s="3" t="s">
        <v>268</v>
      </c>
      <c r="G75" s="3">
        <v>1.0</v>
      </c>
      <c r="H75" s="3">
        <v>0.0</v>
      </c>
      <c r="I75" s="3" t="s">
        <v>13</v>
      </c>
      <c r="J75" s="3" t="s">
        <v>269</v>
      </c>
      <c r="K75" s="3" t="s">
        <v>41</v>
      </c>
      <c r="L75" s="3" t="str">
        <f>IFERROR(__xludf.DUMMYFUNCTION("GOOGLETRANSLATE(F75,""id"",""en"")"),"World Cup Year Pisan won when the final was arrogant")</f>
        <v>World Cup Year Pisan won when the final was arrogant</v>
      </c>
    </row>
    <row r="76" ht="15.75" customHeight="1">
      <c r="A76" s="1">
        <v>74.0</v>
      </c>
      <c r="B76" s="3" t="s">
        <v>270</v>
      </c>
      <c r="C76" s="3">
        <v>0.0</v>
      </c>
      <c r="D76" s="3">
        <v>6.0</v>
      </c>
      <c r="E76" s="3">
        <v>12.0</v>
      </c>
      <c r="F76" s="3" t="s">
        <v>271</v>
      </c>
      <c r="G76" s="3">
        <v>0.75</v>
      </c>
      <c r="H76" s="3">
        <v>0.25</v>
      </c>
      <c r="I76" s="3" t="s">
        <v>48</v>
      </c>
      <c r="J76" s="3" t="s">
        <v>272</v>
      </c>
      <c r="K76" s="3" t="s">
        <v>273</v>
      </c>
      <c r="L76" s="3" t="str">
        <f>IFERROR(__xludf.DUMMYFUNCTION("GOOGLETRANSLATE(F76,""id"",""en"")"),"Prediction Erick Thohir Right Argentina Football Team won the World Cup after defeating France in the final of the Lusail Iconic Stadium Qatar through Argentine penalties managed to bend France with a score")</f>
        <v>Prediction Erick Thohir Right Argentina Football Team won the World Cup after defeating France in the final of the Lusail Iconic Stadium Qatar through Argentine penalties managed to bend France with a score</v>
      </c>
    </row>
    <row r="77" ht="15.75" customHeight="1">
      <c r="A77" s="1">
        <v>75.0</v>
      </c>
      <c r="B77" s="3" t="s">
        <v>274</v>
      </c>
      <c r="C77" s="3">
        <v>0.0</v>
      </c>
      <c r="D77" s="3">
        <v>1.0</v>
      </c>
      <c r="E77" s="3">
        <v>2.0</v>
      </c>
      <c r="F77" s="3" t="s">
        <v>275</v>
      </c>
      <c r="G77" s="3">
        <v>1.0</v>
      </c>
      <c r="H77" s="3">
        <v>0.0</v>
      </c>
      <c r="I77" s="3" t="s">
        <v>13</v>
      </c>
      <c r="J77" s="3" t="s">
        <v>276</v>
      </c>
      <c r="K77" s="3" t="s">
        <v>75</v>
      </c>
      <c r="L77" s="3" t="str">
        <f>IFERROR(__xludf.DUMMYFUNCTION("GOOGLETRANSLATE(F77,""id"",""en"")"),"Messi's extraordinary final match brought Argentina World Cup champions")</f>
        <v>Messi's extraordinary final match brought Argentina World Cup champions</v>
      </c>
    </row>
    <row r="78" ht="15.75" customHeight="1">
      <c r="A78" s="1">
        <v>76.0</v>
      </c>
      <c r="B78" s="3" t="s">
        <v>277</v>
      </c>
      <c r="C78" s="3">
        <v>1.0</v>
      </c>
      <c r="D78" s="3">
        <v>0.0</v>
      </c>
      <c r="E78" s="3">
        <v>2.0</v>
      </c>
      <c r="F78" s="3" t="s">
        <v>278</v>
      </c>
      <c r="G78" s="3">
        <v>0.775</v>
      </c>
      <c r="H78" s="3">
        <v>0.175</v>
      </c>
      <c r="I78" s="3" t="s">
        <v>48</v>
      </c>
      <c r="J78" s="3" t="s">
        <v>279</v>
      </c>
      <c r="K78" s="3" t="s">
        <v>240</v>
      </c>
      <c r="L78" s="3" t="str">
        <f>IFERROR(__xludf.DUMMYFUNCTION("GOOGLETRANSLATE(F78,""id"",""en"")"),"So I have watched the best world cup final besides the very exciting match, of course this time watching the full squad together")</f>
        <v>So I have watched the best world cup final besides the very exciting match, of course this time watching the full squad together</v>
      </c>
    </row>
    <row r="79" ht="15.75" customHeight="1">
      <c r="A79" s="1">
        <v>77.0</v>
      </c>
      <c r="B79" s="3" t="s">
        <v>280</v>
      </c>
      <c r="C79" s="3">
        <v>0.0</v>
      </c>
      <c r="D79" s="3">
        <v>0.0</v>
      </c>
      <c r="E79" s="3">
        <v>0.0</v>
      </c>
      <c r="F79" s="3" t="s">
        <v>281</v>
      </c>
      <c r="G79" s="3">
        <v>1.0</v>
      </c>
      <c r="H79" s="3">
        <v>0.0</v>
      </c>
      <c r="I79" s="3" t="s">
        <v>13</v>
      </c>
      <c r="J79" s="3" t="s">
        <v>282</v>
      </c>
      <c r="K79" s="3" t="s">
        <v>75</v>
      </c>
      <c r="L79" s="3" t="str">
        <f>IFERROR(__xludf.DUMMYFUNCTION("GOOGLETRANSLATE(F79,""id"",""en"")"),"Headache of Soking Effects Following Stay Watching the World Cup Final")</f>
        <v>Headache of Soking Effects Following Stay Watching the World Cup Final</v>
      </c>
    </row>
    <row r="80" ht="15.75" customHeight="1">
      <c r="A80" s="1">
        <v>78.0</v>
      </c>
      <c r="B80" s="3" t="s">
        <v>283</v>
      </c>
      <c r="C80" s="3">
        <v>0.0</v>
      </c>
      <c r="D80" s="3">
        <v>0.0</v>
      </c>
      <c r="E80" s="3">
        <v>0.0</v>
      </c>
      <c r="F80" s="3" t="s">
        <v>284</v>
      </c>
      <c r="G80" s="3">
        <v>1.0</v>
      </c>
      <c r="H80" s="3">
        <v>0.0</v>
      </c>
      <c r="I80" s="3" t="s">
        <v>13</v>
      </c>
      <c r="J80" s="3" t="s">
        <v>285</v>
      </c>
      <c r="K80" s="3" t="s">
        <v>286</v>
      </c>
      <c r="L80" s="3" t="str">
        <f>IFERROR(__xludf.DUMMYFUNCTION("GOOGLETRANSLATE(F80,""id"",""en"")"),"French French goal scorer of the World Cup is Zinedine Zidane Goal Emmanuel Petit Goal watching the most solid ball using its network smoothly makes watching more exciting")</f>
        <v>French French goal scorer of the World Cup is Zinedine Zidane Goal Emmanuel Petit Goal watching the most solid ball using its network smoothly makes watching more exciting</v>
      </c>
    </row>
    <row r="81" ht="15.75" customHeight="1">
      <c r="A81" s="1">
        <v>79.0</v>
      </c>
      <c r="B81" s="3" t="s">
        <v>287</v>
      </c>
      <c r="C81" s="3">
        <v>0.0</v>
      </c>
      <c r="D81" s="3">
        <v>0.0</v>
      </c>
      <c r="E81" s="3">
        <v>0.0</v>
      </c>
      <c r="F81" s="3" t="s">
        <v>288</v>
      </c>
      <c r="G81" s="3">
        <v>0.75</v>
      </c>
      <c r="H81" s="3">
        <v>0.25</v>
      </c>
      <c r="I81" s="3" t="s">
        <v>48</v>
      </c>
      <c r="J81" s="3" t="s">
        <v>289</v>
      </c>
      <c r="K81" s="3" t="s">
        <v>41</v>
      </c>
      <c r="L81" s="3" t="str">
        <f>IFERROR(__xludf.DUMMYFUNCTION("GOOGLETRANSLATE(F81,""id"",""en"")"),"Top Sports Argentina World Cup Champion Mbappe Crazy Final")</f>
        <v>Top Sports Argentina World Cup Champion Mbappe Crazy Final</v>
      </c>
    </row>
    <row r="82" ht="15.75" customHeight="1">
      <c r="A82" s="1">
        <v>80.0</v>
      </c>
      <c r="B82" s="3" t="s">
        <v>290</v>
      </c>
      <c r="C82" s="3">
        <v>0.0</v>
      </c>
      <c r="D82" s="3">
        <v>0.0</v>
      </c>
      <c r="E82" s="3">
        <v>1.0</v>
      </c>
      <c r="F82" s="3" t="s">
        <v>291</v>
      </c>
      <c r="G82" s="3">
        <v>1.0</v>
      </c>
      <c r="H82" s="3">
        <v>0.0</v>
      </c>
      <c r="I82" s="3" t="s">
        <v>13</v>
      </c>
      <c r="J82" s="3" t="s">
        <v>292</v>
      </c>
      <c r="K82" s="3" t="s">
        <v>188</v>
      </c>
      <c r="L82" s="3" t="str">
        <f>IFERROR(__xludf.DUMMYFUNCTION("GOOGLETRANSLATE(F82,""id"",""en"")"),"France Argentina Final World Cup Messi is in the end of the era and mbappe at his golden age Mbappe can match Pele and is far better than Messi and Ronaldo, just stay neat if you want to sympathize supporters")</f>
        <v>France Argentina Final World Cup Messi is in the end of the era and mbappe at his golden age Mbappe can match Pele and is far better than Messi and Ronaldo, just stay neat if you want to sympathize supporters</v>
      </c>
    </row>
    <row r="83" ht="15.75" customHeight="1">
      <c r="A83" s="1">
        <v>81.0</v>
      </c>
      <c r="B83" s="3" t="s">
        <v>293</v>
      </c>
      <c r="C83" s="3">
        <v>0.0</v>
      </c>
      <c r="D83" s="3">
        <v>0.0</v>
      </c>
      <c r="E83" s="3">
        <v>0.0</v>
      </c>
      <c r="F83" s="3" t="s">
        <v>294</v>
      </c>
      <c r="G83" s="3">
        <v>1.0</v>
      </c>
      <c r="H83" s="3">
        <v>0.0</v>
      </c>
      <c r="I83" s="3" t="s">
        <v>13</v>
      </c>
      <c r="J83" s="3" t="s">
        <v>295</v>
      </c>
      <c r="K83" s="3" t="s">
        <v>15</v>
      </c>
      <c r="L83" s="3" t="str">
        <f>IFERROR(__xludf.DUMMYFUNCTION("GOOGLETRANSLATE(F83,""id"",""en"")"),"The World Cup Final is crazy about Btw Mbappe Gokil Bad")</f>
        <v>The World Cup Final is crazy about Btw Mbappe Gokil Bad</v>
      </c>
    </row>
    <row r="84" ht="15.75" customHeight="1">
      <c r="A84" s="1">
        <v>82.0</v>
      </c>
      <c r="B84" s="3" t="s">
        <v>296</v>
      </c>
      <c r="C84" s="3">
        <v>0.0</v>
      </c>
      <c r="D84" s="3">
        <v>0.0</v>
      </c>
      <c r="E84" s="3">
        <v>0.0</v>
      </c>
      <c r="F84" s="3" t="s">
        <v>297</v>
      </c>
      <c r="G84" s="3">
        <v>1.0</v>
      </c>
      <c r="H84" s="3">
        <v>0.0</v>
      </c>
      <c r="I84" s="3" t="s">
        <v>13</v>
      </c>
      <c r="J84" s="3" t="s">
        <v>298</v>
      </c>
      <c r="K84" s="3" t="s">
        <v>50</v>
      </c>
      <c r="L84" s="3" t="str">
        <f>IFERROR(__xludf.DUMMYFUNCTION("GOOGLETRANSLATE(F84,""id"",""en"")"),"Photo of Griezmann Wags France's wife stole attention ahead of the World Cup final")</f>
        <v>Photo of Griezmann Wags France's wife stole attention ahead of the World Cup final</v>
      </c>
    </row>
    <row r="85" ht="15.75" customHeight="1">
      <c r="A85" s="1">
        <v>83.0</v>
      </c>
      <c r="B85" s="3" t="s">
        <v>299</v>
      </c>
      <c r="C85" s="3">
        <v>0.0</v>
      </c>
      <c r="D85" s="3">
        <v>0.0</v>
      </c>
      <c r="E85" s="3">
        <v>0.0</v>
      </c>
      <c r="F85" s="3" t="s">
        <v>300</v>
      </c>
      <c r="G85" s="3">
        <v>1.0</v>
      </c>
      <c r="H85" s="3">
        <v>0.0</v>
      </c>
      <c r="I85" s="3" t="s">
        <v>13</v>
      </c>
      <c r="J85" s="3" t="s">
        <v>301</v>
      </c>
      <c r="K85" s="3" t="s">
        <v>19</v>
      </c>
      <c r="L85" s="3" t="str">
        <f>IFERROR(__xludf.DUMMYFUNCTION("GOOGLETRANSLATE(F85,""id"",""en"")"),"The national holiday should be specifically for the World Cup Final because I'm sure all the offices will work later")</f>
        <v>The national holiday should be specifically for the World Cup Final because I'm sure all the offices will work later</v>
      </c>
    </row>
    <row r="86" ht="15.75" customHeight="1">
      <c r="A86" s="1">
        <v>84.0</v>
      </c>
      <c r="B86" s="3" t="s">
        <v>302</v>
      </c>
      <c r="C86" s="3">
        <v>0.0</v>
      </c>
      <c r="D86" s="3">
        <v>0.0</v>
      </c>
      <c r="E86" s="3">
        <v>0.0</v>
      </c>
      <c r="F86" s="3" t="s">
        <v>303</v>
      </c>
      <c r="G86" s="3">
        <v>1.0</v>
      </c>
      <c r="H86" s="3">
        <v>0.0</v>
      </c>
      <c r="I86" s="3" t="s">
        <v>13</v>
      </c>
      <c r="J86" s="3" t="s">
        <v>304</v>
      </c>
      <c r="K86" s="3" t="s">
        <v>58</v>
      </c>
      <c r="L86" s="3" t="str">
        <f>IFERROR(__xludf.DUMMYFUNCTION("GOOGLETRANSLATE(F86,""id"",""en"")"),"Gile was amazed and could not move from the Final World Cup final match in Argentina Cool France was also cool")</f>
        <v>Gile was amazed and could not move from the Final World Cup final match in Argentina Cool France was also cool</v>
      </c>
    </row>
    <row r="87" ht="15.75" customHeight="1">
      <c r="A87" s="1">
        <v>85.0</v>
      </c>
      <c r="B87" s="3" t="s">
        <v>305</v>
      </c>
      <c r="C87" s="3">
        <v>1.0</v>
      </c>
      <c r="D87" s="3">
        <v>2.0</v>
      </c>
      <c r="E87" s="3">
        <v>1.0</v>
      </c>
      <c r="F87" s="3" t="s">
        <v>306</v>
      </c>
      <c r="G87" s="3">
        <v>1.0</v>
      </c>
      <c r="H87" s="3">
        <v>0.0</v>
      </c>
      <c r="I87" s="3" t="s">
        <v>13</v>
      </c>
      <c r="J87" s="3" t="s">
        <v>307</v>
      </c>
      <c r="K87" s="3" t="s">
        <v>308</v>
      </c>
      <c r="L87" s="3" t="str">
        <f>IFERROR(__xludf.DUMMYFUNCTION("GOOGLETRANSLATE(F87,""id"",""en"")"),"Qatar World Cup Argentina Champion Winner Argentina managed to become world champion after overthrowing France through penalties in the World Cup final round match")</f>
        <v>Qatar World Cup Argentina Champion Winner Argentina managed to become world champion after overthrowing France through penalties in the World Cup final round match</v>
      </c>
    </row>
    <row r="88" ht="15.75" customHeight="1">
      <c r="A88" s="1">
        <v>86.0</v>
      </c>
      <c r="B88" s="3" t="s">
        <v>309</v>
      </c>
      <c r="C88" s="3">
        <v>0.0</v>
      </c>
      <c r="D88" s="3">
        <v>0.0</v>
      </c>
      <c r="E88" s="3">
        <v>12.0</v>
      </c>
      <c r="F88" s="3" t="s">
        <v>288</v>
      </c>
      <c r="G88" s="3">
        <v>0.75</v>
      </c>
      <c r="H88" s="3">
        <v>0.25</v>
      </c>
      <c r="I88" s="3" t="s">
        <v>48</v>
      </c>
      <c r="J88" s="3" t="s">
        <v>289</v>
      </c>
      <c r="K88" s="3" t="s">
        <v>41</v>
      </c>
      <c r="L88" s="3" t="str">
        <f>IFERROR(__xludf.DUMMYFUNCTION("GOOGLETRANSLATE(F88,""id"",""en"")"),"Top Sports Argentina World Cup Champion Mbappe Crazy Final")</f>
        <v>Top Sports Argentina World Cup Champion Mbappe Crazy Final</v>
      </c>
    </row>
    <row r="89" ht="15.75" customHeight="1">
      <c r="A89" s="1">
        <v>87.0</v>
      </c>
      <c r="B89" s="3" t="s">
        <v>310</v>
      </c>
      <c r="C89" s="3">
        <v>0.0</v>
      </c>
      <c r="D89" s="3">
        <v>0.0</v>
      </c>
      <c r="E89" s="3">
        <v>0.0</v>
      </c>
      <c r="F89" s="3" t="s">
        <v>311</v>
      </c>
      <c r="G89" s="3">
        <v>1.0</v>
      </c>
      <c r="H89" s="3">
        <v>0.0</v>
      </c>
      <c r="I89" s="3" t="s">
        <v>13</v>
      </c>
      <c r="J89" s="3" t="s">
        <v>312</v>
      </c>
      <c r="K89" s="3" t="s">
        <v>35</v>
      </c>
      <c r="L89" s="3" t="str">
        <f>IFERROR(__xludf.DUMMYFUNCTION("GOOGLETRANSLATE(F89,""id"",""en"")"),"Now this is my prediction that before the World Cup final because the world wanted to make Messi the Legend Happy Argentina")</f>
        <v>Now this is my prediction that before the World Cup final because the world wanted to make Messi the Legend Happy Argentina</v>
      </c>
    </row>
    <row r="90" ht="15.75" customHeight="1">
      <c r="A90" s="1">
        <v>88.0</v>
      </c>
      <c r="B90" s="3" t="s">
        <v>313</v>
      </c>
      <c r="C90" s="3">
        <v>0.0</v>
      </c>
      <c r="D90" s="3">
        <v>0.0</v>
      </c>
      <c r="E90" s="3">
        <v>1.0</v>
      </c>
      <c r="F90" s="3" t="s">
        <v>314</v>
      </c>
      <c r="G90" s="3">
        <v>1.0</v>
      </c>
      <c r="H90" s="3">
        <v>0.0</v>
      </c>
      <c r="I90" s="3" t="s">
        <v>13</v>
      </c>
      <c r="J90" s="3" t="s">
        <v>315</v>
      </c>
      <c r="K90" s="3" t="s">
        <v>82</v>
      </c>
      <c r="L90" s="3" t="str">
        <f>IFERROR(__xludf.DUMMYFUNCTION("GOOGLETRANSLATE(F90,""id"",""en"")"),"The World Cup Final is the best ever held")</f>
        <v>The World Cup Final is the best ever held</v>
      </c>
    </row>
    <row r="91" ht="15.75" customHeight="1">
      <c r="A91" s="1">
        <v>89.0</v>
      </c>
      <c r="B91" s="3" t="s">
        <v>316</v>
      </c>
      <c r="C91" s="3">
        <v>1.0</v>
      </c>
      <c r="D91" s="3">
        <v>4.0</v>
      </c>
      <c r="E91" s="3">
        <v>19.0</v>
      </c>
      <c r="F91" s="3" t="s">
        <v>317</v>
      </c>
      <c r="G91" s="3">
        <v>0.65</v>
      </c>
      <c r="H91" s="3">
        <v>0.1</v>
      </c>
      <c r="I91" s="3" t="s">
        <v>48</v>
      </c>
      <c r="J91" s="3" t="s">
        <v>318</v>
      </c>
      <c r="K91" s="3" t="s">
        <v>71</v>
      </c>
      <c r="L91" s="3" t="str">
        <f>IFERROR(__xludf.DUMMYFUNCTION("GOOGLETRANSLATE(F91,""id"",""en"")"),"report card of the Argentine player of the World Cup Final Lionel Messi The Real Goat is indeed worthy of championship")</f>
        <v>report card of the Argentine player of the World Cup Final Lionel Messi The Real Goat is indeed worthy of championship</v>
      </c>
    </row>
    <row r="92" ht="15.75" customHeight="1">
      <c r="A92" s="1">
        <v>90.0</v>
      </c>
      <c r="B92" s="3" t="s">
        <v>319</v>
      </c>
      <c r="C92" s="3">
        <v>0.0</v>
      </c>
      <c r="D92" s="3">
        <v>0.0</v>
      </c>
      <c r="E92" s="3">
        <v>0.0</v>
      </c>
      <c r="F92" s="3" t="s">
        <v>320</v>
      </c>
      <c r="G92" s="3">
        <v>1.0</v>
      </c>
      <c r="H92" s="3">
        <v>0.0</v>
      </c>
      <c r="I92" s="3" t="s">
        <v>13</v>
      </c>
      <c r="J92" s="3" t="s">
        <v>321</v>
      </c>
      <c r="K92" s="3" t="s">
        <v>322</v>
      </c>
      <c r="L92" s="3" t="str">
        <f>IFERROR(__xludf.DUMMYFUNCTION("GOOGLETRANSLATE(F92,""id"",""en"")"),"Moment Important Moment of the World Cup Final")</f>
        <v>Moment Important Moment of the World Cup Final</v>
      </c>
    </row>
    <row r="93" ht="15.75" customHeight="1">
      <c r="A93" s="1">
        <v>91.0</v>
      </c>
      <c r="B93" s="3" t="s">
        <v>323</v>
      </c>
      <c r="C93" s="3">
        <v>0.0</v>
      </c>
      <c r="D93" s="3">
        <v>0.0</v>
      </c>
      <c r="E93" s="3">
        <v>0.0</v>
      </c>
      <c r="F93" s="3" t="s">
        <v>324</v>
      </c>
      <c r="G93" s="3">
        <v>1.0</v>
      </c>
      <c r="H93" s="3">
        <v>0.0</v>
      </c>
      <c r="I93" s="3" t="s">
        <v>13</v>
      </c>
      <c r="J93" s="3" t="s">
        <v>325</v>
      </c>
      <c r="K93" s="3" t="s">
        <v>71</v>
      </c>
      <c r="L93" s="3" t="str">
        <f>IFERROR(__xludf.DUMMYFUNCTION("GOOGLETRANSLATE(F93,""id"",""en"")"),"Breaking News Kylian Mbappe Equal Scores to be in the World Cup Final between French Argentina Lombok Insider")</f>
        <v>Breaking News Kylian Mbappe Equal Scores to be in the World Cup Final between French Argentina Lombok Insider</v>
      </c>
    </row>
    <row r="94" ht="15.75" customHeight="1">
      <c r="A94" s="1">
        <v>92.0</v>
      </c>
      <c r="B94" s="3" t="s">
        <v>326</v>
      </c>
      <c r="C94" s="3">
        <v>0.0</v>
      </c>
      <c r="D94" s="3">
        <v>0.0</v>
      </c>
      <c r="E94" s="3">
        <v>0.0</v>
      </c>
      <c r="F94" s="3" t="s">
        <v>327</v>
      </c>
      <c r="G94" s="3">
        <v>1.0</v>
      </c>
      <c r="H94" s="3">
        <v>0.0</v>
      </c>
      <c r="I94" s="3" t="s">
        <v>13</v>
      </c>
      <c r="J94" s="3" t="s">
        <v>328</v>
      </c>
      <c r="K94" s="3" t="s">
        <v>41</v>
      </c>
      <c r="L94" s="3" t="str">
        <f>IFERROR(__xludf.DUMMYFUNCTION("GOOGLETRANSLATE(F94,""id"",""en"")"),"Qatar World Cup Final Final Fighting Drama Winned by Argentina")</f>
        <v>Qatar World Cup Final Final Fighting Drama Winned by Argentina</v>
      </c>
    </row>
    <row r="95" ht="15.75" customHeight="1">
      <c r="A95" s="1">
        <v>93.0</v>
      </c>
      <c r="B95" s="3" t="s">
        <v>329</v>
      </c>
      <c r="C95" s="3">
        <v>28.0</v>
      </c>
      <c r="D95" s="3">
        <v>48.0</v>
      </c>
      <c r="E95" s="3">
        <v>435.0</v>
      </c>
      <c r="F95" s="3" t="s">
        <v>330</v>
      </c>
      <c r="G95" s="3">
        <v>1.0</v>
      </c>
      <c r="H95" s="3">
        <v>0.0</v>
      </c>
      <c r="I95" s="3" t="s">
        <v>13</v>
      </c>
      <c r="J95" s="3" t="s">
        <v>331</v>
      </c>
      <c r="K95" s="3" t="s">
        <v>41</v>
      </c>
      <c r="L95" s="3" t="str">
        <f>IFERROR(__xludf.DUMMYFUNCTION("GOOGLETRANSLATE(F95,""id"",""en"")"),"Paulo Dybala brought home the World Cup Final goal net")</f>
        <v>Paulo Dybala brought home the World Cup Final goal net</v>
      </c>
    </row>
    <row r="96" ht="15.75" customHeight="1">
      <c r="A96" s="1">
        <v>94.0</v>
      </c>
      <c r="B96" s="3" t="s">
        <v>332</v>
      </c>
      <c r="C96" s="3">
        <v>0.0</v>
      </c>
      <c r="D96" s="3">
        <v>0.0</v>
      </c>
      <c r="E96" s="3">
        <v>0.0</v>
      </c>
      <c r="F96" s="3" t="s">
        <v>333</v>
      </c>
      <c r="G96" s="3">
        <v>1.0</v>
      </c>
      <c r="H96" s="3">
        <v>0.0</v>
      </c>
      <c r="I96" s="3" t="s">
        <v>13</v>
      </c>
      <c r="J96" s="3" t="s">
        <v>334</v>
      </c>
      <c r="K96" s="3" t="s">
        <v>240</v>
      </c>
      <c r="L96" s="3" t="str">
        <f>IFERROR(__xludf.DUMMYFUNCTION("GOOGLETRANSLATE(F96,""id"",""en"")"),"frustrated mbappe kicking ball out of the Argentine French World Cup final leo Messi shine Lombok Insider")</f>
        <v>frustrated mbappe kicking ball out of the Argentine French World Cup final leo Messi shine Lombok Insider</v>
      </c>
    </row>
    <row r="97" ht="15.75" customHeight="1">
      <c r="A97" s="1">
        <v>95.0</v>
      </c>
      <c r="B97" s="3" t="s">
        <v>335</v>
      </c>
      <c r="C97" s="3">
        <v>0.0</v>
      </c>
      <c r="D97" s="3">
        <v>0.0</v>
      </c>
      <c r="E97" s="3">
        <v>2.0</v>
      </c>
      <c r="F97" s="3" t="s">
        <v>336</v>
      </c>
      <c r="G97" s="3">
        <v>1.0</v>
      </c>
      <c r="H97" s="3">
        <v>0.0</v>
      </c>
      <c r="I97" s="3" t="s">
        <v>13</v>
      </c>
      <c r="J97" s="3" t="s">
        <v>337</v>
      </c>
      <c r="K97" s="3" t="s">
        <v>54</v>
      </c>
      <c r="L97" s="3" t="str">
        <f>IFERROR(__xludf.DUMMYFUNCTION("GOOGLETRANSLATE(F97,""id"",""en"")"),"redemption of Mary after the final missing at the World Cup")</f>
        <v>redemption of Mary after the final missing at the World Cup</v>
      </c>
    </row>
    <row r="98" ht="15.75" customHeight="1">
      <c r="A98" s="1">
        <v>96.0</v>
      </c>
      <c r="B98" s="3" t="s">
        <v>338</v>
      </c>
      <c r="C98" s="3">
        <v>0.0</v>
      </c>
      <c r="D98" s="3">
        <v>0.0</v>
      </c>
      <c r="E98" s="3">
        <v>0.0</v>
      </c>
      <c r="F98" s="3" t="s">
        <v>339</v>
      </c>
      <c r="G98" s="3">
        <v>1.0</v>
      </c>
      <c r="H98" s="3">
        <v>0.0</v>
      </c>
      <c r="I98" s="3" t="s">
        <v>13</v>
      </c>
      <c r="J98" s="3" t="s">
        <v>340</v>
      </c>
      <c r="K98" s="3" t="s">
        <v>15</v>
      </c>
      <c r="L98" s="3" t="str">
        <f>IFERROR(__xludf.DUMMYFUNCTION("GOOGLETRANSLATE(F98,""id"",""en"")"),"Watch the World Cup from and this is the most exciting Final Congrats Argentina")</f>
        <v>Watch the World Cup from and this is the most exciting Final Congrats Argentina</v>
      </c>
    </row>
    <row r="99" ht="15.75" customHeight="1">
      <c r="A99" s="1">
        <v>97.0</v>
      </c>
      <c r="B99" s="3" t="s">
        <v>341</v>
      </c>
      <c r="C99" s="3">
        <v>0.0</v>
      </c>
      <c r="D99" s="3">
        <v>0.0</v>
      </c>
      <c r="E99" s="3">
        <v>0.0</v>
      </c>
      <c r="F99" s="3" t="s">
        <v>210</v>
      </c>
      <c r="G99" s="3">
        <v>1.0</v>
      </c>
      <c r="H99" s="3">
        <v>0.0</v>
      </c>
      <c r="I99" s="3" t="s">
        <v>13</v>
      </c>
      <c r="J99" s="3" t="s">
        <v>211</v>
      </c>
      <c r="K99" s="3" t="s">
        <v>127</v>
      </c>
      <c r="L99" s="3" t="str">
        <f>IFERROR(__xludf.DUMMYFUNCTION("GOOGLETRANSLATE(F99,""id"",""en"")"),"through a fierce match and ended with Argentine penalty shootout successfully won the World Cup after the final defeated France")</f>
        <v>through a fierce match and ended with Argentine penalty shootout successfully won the World Cup after the final defeated France</v>
      </c>
    </row>
    <row r="100" ht="15.75" customHeight="1">
      <c r="A100" s="1">
        <v>98.0</v>
      </c>
      <c r="B100" s="3" t="s">
        <v>342</v>
      </c>
      <c r="C100" s="3">
        <v>2.0</v>
      </c>
      <c r="D100" s="3">
        <v>6.0</v>
      </c>
      <c r="E100" s="3">
        <v>29.0</v>
      </c>
      <c r="F100" s="3" t="s">
        <v>343</v>
      </c>
      <c r="G100" s="3">
        <v>1.0</v>
      </c>
      <c r="H100" s="3">
        <v>0.0</v>
      </c>
      <c r="I100" s="3" t="s">
        <v>13</v>
      </c>
      <c r="J100" s="3" t="s">
        <v>344</v>
      </c>
      <c r="K100" s="3" t="s">
        <v>71</v>
      </c>
      <c r="L100" s="3" t="str">
        <f>IFERROR(__xludf.DUMMYFUNCTION("GOOGLETRANSLATE(F100,""id"",""en"")"),"Good morning for those of you who just woke up and didn't watch the World Cup Final Spirit Working Monday")</f>
        <v>Good morning for those of you who just woke up and didn't watch the World Cup Final Spirit Working Monday</v>
      </c>
    </row>
    <row r="101" ht="15.75" customHeight="1">
      <c r="A101" s="1">
        <v>99.0</v>
      </c>
      <c r="B101" s="3" t="s">
        <v>345</v>
      </c>
      <c r="C101" s="3">
        <v>0.0</v>
      </c>
      <c r="D101" s="3">
        <v>0.0</v>
      </c>
      <c r="E101" s="3">
        <v>0.0</v>
      </c>
      <c r="F101" s="3" t="s">
        <v>346</v>
      </c>
      <c r="G101" s="3">
        <v>1.0</v>
      </c>
      <c r="H101" s="3">
        <v>0.0</v>
      </c>
      <c r="I101" s="3" t="s">
        <v>13</v>
      </c>
      <c r="J101" s="3" t="s">
        <v>347</v>
      </c>
      <c r="K101" s="3" t="s">
        <v>348</v>
      </c>
      <c r="L101" s="3" t="str">
        <f>IFERROR(__xludf.DUMMYFUNCTION("GOOGLETRANSLATE(F101,""id"",""en"")"),"Last night I had slept because there were many distractions when I wanted to sound as a sound of the World Cup final, then it was true")</f>
        <v>Last night I had slept because there were many distractions when I wanted to sound as a sound of the World Cup final, then it was true</v>
      </c>
    </row>
    <row r="102" ht="15.75" customHeight="1">
      <c r="A102" s="1">
        <v>100.0</v>
      </c>
      <c r="B102" s="3" t="s">
        <v>349</v>
      </c>
      <c r="C102" s="3">
        <v>0.0</v>
      </c>
      <c r="D102" s="3">
        <v>0.0</v>
      </c>
      <c r="E102" s="3">
        <v>0.0</v>
      </c>
      <c r="F102" s="3" t="s">
        <v>350</v>
      </c>
      <c r="G102" s="3">
        <v>1.0</v>
      </c>
      <c r="H102" s="3">
        <v>0.0</v>
      </c>
      <c r="I102" s="3" t="s">
        <v>13</v>
      </c>
      <c r="J102" s="3" t="s">
        <v>351</v>
      </c>
      <c r="K102" s="3" t="s">
        <v>41</v>
      </c>
      <c r="L102" s="3" t="str">
        <f>IFERROR(__xludf.DUMMYFUNCTION("GOOGLETRANSLATE(F102,""id"",""en"")"),"Argentina World Cup Final Results Finally Champion After Fasting Year")</f>
        <v>Argentina World Cup Final Results Finally Champion After Fasting Year</v>
      </c>
    </row>
    <row r="103" ht="15.75" customHeight="1">
      <c r="A103" s="1">
        <v>101.0</v>
      </c>
      <c r="B103" s="3" t="s">
        <v>352</v>
      </c>
      <c r="C103" s="3">
        <v>0.0</v>
      </c>
      <c r="D103" s="3">
        <v>0.0</v>
      </c>
      <c r="E103" s="3">
        <v>1.0</v>
      </c>
      <c r="F103" s="3" t="s">
        <v>353</v>
      </c>
      <c r="G103" s="3">
        <v>1.0</v>
      </c>
      <c r="H103" s="3">
        <v>0.0</v>
      </c>
      <c r="I103" s="3" t="s">
        <v>13</v>
      </c>
      <c r="J103" s="3" t="s">
        <v>354</v>
      </c>
      <c r="K103" s="3" t="s">
        <v>54</v>
      </c>
      <c r="L103" s="3" t="str">
        <f>IFERROR(__xludf.DUMMYFUNCTION("GOOGLETRANSLATE(F103,""id"",""en"")"),"World Cup World Cup Final Nobar")</f>
        <v>World Cup World Cup Final Nobar</v>
      </c>
    </row>
    <row r="104" ht="15.75" customHeight="1">
      <c r="A104" s="1">
        <v>102.0</v>
      </c>
      <c r="B104" s="3" t="s">
        <v>355</v>
      </c>
      <c r="C104" s="3">
        <v>32.0</v>
      </c>
      <c r="D104" s="3">
        <v>0.0</v>
      </c>
      <c r="E104" s="3">
        <v>21.0</v>
      </c>
      <c r="F104" s="3" t="s">
        <v>356</v>
      </c>
      <c r="G104" s="3">
        <v>1.0</v>
      </c>
      <c r="H104" s="3">
        <v>0.0</v>
      </c>
      <c r="I104" s="3" t="s">
        <v>13</v>
      </c>
      <c r="J104" s="3" t="s">
        <v>357</v>
      </c>
      <c r="K104" s="3" t="s">
        <v>358</v>
      </c>
      <c r="L104" s="3" t="str">
        <f>IFERROR(__xludf.DUMMYFUNCTION("GOOGLETRANSLATE(F104,""id"",""en"")"),"Ngkuk Bengi Final World Cup Rek I support France soale I am a hard fans of Karo Giroud your crew supports sopo")</f>
        <v>Ngkuk Bengi Final World Cup Rek I support France soale I am a hard fans of Karo Giroud your crew supports sopo</v>
      </c>
    </row>
    <row r="105" ht="15.75" customHeight="1">
      <c r="A105" s="1">
        <v>103.0</v>
      </c>
      <c r="B105" s="3" t="s">
        <v>359</v>
      </c>
      <c r="C105" s="3">
        <v>0.0</v>
      </c>
      <c r="D105" s="3">
        <v>0.0</v>
      </c>
      <c r="E105" s="3">
        <v>0.0</v>
      </c>
      <c r="F105" s="3" t="s">
        <v>360</v>
      </c>
      <c r="G105" s="3">
        <v>1.0</v>
      </c>
      <c r="H105" s="3">
        <v>0.0</v>
      </c>
      <c r="I105" s="3" t="s">
        <v>13</v>
      </c>
      <c r="J105" s="3" t="s">
        <v>361</v>
      </c>
      <c r="K105" s="3" t="s">
        <v>75</v>
      </c>
      <c r="L105" s="3" t="str">
        <f>IFERROR(__xludf.DUMMYFUNCTION("GOOGLETRANSLATE(F105,""id"",""en"")"),"Why is the final of the world cup on Saturday night so that the next day you can immediately hibernate still sleepy cukk")</f>
        <v>Why is the final of the world cup on Saturday night so that the next day you can immediately hibernate still sleepy cukk</v>
      </c>
    </row>
    <row r="106" ht="15.75" customHeight="1">
      <c r="A106" s="1">
        <v>104.0</v>
      </c>
      <c r="B106" s="3" t="s">
        <v>362</v>
      </c>
      <c r="C106" s="3">
        <v>0.0</v>
      </c>
      <c r="D106" s="3">
        <v>0.0</v>
      </c>
      <c r="E106" s="3">
        <v>1.0</v>
      </c>
      <c r="F106" s="3" t="s">
        <v>363</v>
      </c>
      <c r="G106" s="3">
        <v>1.0</v>
      </c>
      <c r="H106" s="3">
        <v>0.0</v>
      </c>
      <c r="I106" s="3" t="s">
        <v>13</v>
      </c>
      <c r="J106" s="3" t="s">
        <v>364</v>
      </c>
      <c r="K106" s="3" t="s">
        <v>54</v>
      </c>
      <c r="L106" s="3" t="str">
        <f>IFERROR(__xludf.DUMMYFUNCTION("GOOGLETRANSLATE(F106,""id"",""en"")"),"mbappe brilliantly the final round but unfortunately not champion")</f>
        <v>mbappe brilliantly the final round but unfortunately not champion</v>
      </c>
    </row>
    <row r="107" ht="15.75" customHeight="1">
      <c r="A107" s="1">
        <v>105.0</v>
      </c>
      <c r="B107" s="3" t="s">
        <v>365</v>
      </c>
      <c r="C107" s="3">
        <v>0.0</v>
      </c>
      <c r="D107" s="3">
        <v>0.0</v>
      </c>
      <c r="E107" s="3">
        <v>0.0</v>
      </c>
      <c r="F107" s="3" t="s">
        <v>366</v>
      </c>
      <c r="G107" s="3">
        <v>1.0</v>
      </c>
      <c r="H107" s="3">
        <v>0.0</v>
      </c>
      <c r="I107" s="3" t="s">
        <v>13</v>
      </c>
      <c r="J107" s="3" t="s">
        <v>367</v>
      </c>
      <c r="K107" s="3" t="s">
        <v>54</v>
      </c>
      <c r="L107" s="3" t="str">
        <f>IFERROR(__xludf.DUMMYFUNCTION("GOOGLETRANSLATE(F107,""id"",""en"")"),"suitable after watching the world cup final")</f>
        <v>suitable after watching the world cup final</v>
      </c>
    </row>
    <row r="108" ht="15.75" customHeight="1">
      <c r="A108" s="1">
        <v>106.0</v>
      </c>
      <c r="B108" s="3" t="s">
        <v>368</v>
      </c>
      <c r="C108" s="3">
        <v>0.0</v>
      </c>
      <c r="D108" s="3">
        <v>0.0</v>
      </c>
      <c r="E108" s="3">
        <v>1.0</v>
      </c>
      <c r="F108" s="3" t="s">
        <v>369</v>
      </c>
      <c r="G108" s="3">
        <v>1.0</v>
      </c>
      <c r="H108" s="3">
        <v>0.0</v>
      </c>
      <c r="I108" s="3" t="s">
        <v>13</v>
      </c>
      <c r="J108" s="3" t="s">
        <v>370</v>
      </c>
      <c r="K108" s="3" t="s">
        <v>82</v>
      </c>
      <c r="L108" s="3" t="str">
        <f>IFERROR(__xludf.DUMMYFUNCTION("GOOGLETRANSLATE(F108,""id"",""en"")"),"World Cup Help Help Comeback Final from Mbape and Finalti")</f>
        <v>World Cup Help Help Comeback Final from Mbape and Finalti</v>
      </c>
    </row>
    <row r="109" ht="15.75" customHeight="1">
      <c r="A109" s="1">
        <v>107.0</v>
      </c>
      <c r="B109" s="3" t="s">
        <v>371</v>
      </c>
      <c r="C109" s="3">
        <v>0.0</v>
      </c>
      <c r="D109" s="3">
        <v>0.0</v>
      </c>
      <c r="E109" s="3">
        <v>0.0</v>
      </c>
      <c r="F109" s="3" t="s">
        <v>372</v>
      </c>
      <c r="G109" s="3">
        <v>1.0</v>
      </c>
      <c r="H109" s="3">
        <v>0.225</v>
      </c>
      <c r="I109" s="3" t="s">
        <v>48</v>
      </c>
      <c r="J109" s="3" t="s">
        <v>373</v>
      </c>
      <c r="K109" s="3" t="s">
        <v>374</v>
      </c>
      <c r="L109" s="3" t="str">
        <f>IFERROR(__xludf.DUMMYFUNCTION("GOOGLETRANSLATE(F109,""id"",""en"")"),"Whoever the final champion last night is that the team is indeed worthy of champion from all aspects to the most ideal and most competitive final among the final performances of the World Cup Final Congratulations to Argentina and France playing extraordi"&amp;"nary")</f>
        <v>Whoever the final champion last night is that the team is indeed worthy of champion from all aspects to the most ideal and most competitive final among the final performances of the World Cup Final Congratulations to Argentina and France playing extraordinary</v>
      </c>
    </row>
    <row r="110" ht="15.75" customHeight="1">
      <c r="A110" s="1">
        <v>108.0</v>
      </c>
      <c r="B110" s="3" t="s">
        <v>375</v>
      </c>
      <c r="C110" s="3">
        <v>2.0</v>
      </c>
      <c r="D110" s="3">
        <v>0.0</v>
      </c>
      <c r="E110" s="3">
        <v>0.0</v>
      </c>
      <c r="F110" s="3" t="s">
        <v>376</v>
      </c>
      <c r="G110" s="3">
        <v>1.0</v>
      </c>
      <c r="H110" s="3">
        <v>0.0</v>
      </c>
      <c r="I110" s="3" t="s">
        <v>13</v>
      </c>
      <c r="J110" s="3" t="s">
        <v>377</v>
      </c>
      <c r="K110" s="3" t="s">
        <v>50</v>
      </c>
      <c r="L110" s="3" t="str">
        <f>IFERROR(__xludf.DUMMYFUNCTION("GOOGLETRANSLATE(F110,""id"",""en"")"),"Njir was very satisfied last night and the World Cup final again fell asleep again")</f>
        <v>Njir was very satisfied last night and the World Cup final again fell asleep again</v>
      </c>
    </row>
    <row r="111" ht="15.75" customHeight="1">
      <c r="A111" s="1">
        <v>109.0</v>
      </c>
      <c r="B111" s="3" t="s">
        <v>378</v>
      </c>
      <c r="C111" s="3">
        <v>0.0</v>
      </c>
      <c r="D111" s="3">
        <v>0.0</v>
      </c>
      <c r="E111" s="3">
        <v>0.0</v>
      </c>
      <c r="F111" s="3" t="s">
        <v>379</v>
      </c>
      <c r="G111" s="3">
        <v>1.0</v>
      </c>
      <c r="H111" s="3">
        <v>0.0</v>
      </c>
      <c r="I111" s="3" t="s">
        <v>13</v>
      </c>
      <c r="J111" s="3" t="s">
        <v>380</v>
      </c>
      <c r="K111" s="3" t="s">
        <v>75</v>
      </c>
      <c r="L111" s="3" t="str">
        <f>IFERROR(__xludf.DUMMYFUNCTION("GOOGLETRANSLATE(F111,""id"",""en"")"),"wkwkwk alig is very exciting to see twitter after the world cup final")</f>
        <v>wkwkwk alig is very exciting to see twitter after the world cup final</v>
      </c>
    </row>
    <row r="112" ht="15.75" customHeight="1">
      <c r="A112" s="1">
        <v>110.0</v>
      </c>
      <c r="B112" s="3" t="s">
        <v>381</v>
      </c>
      <c r="C112" s="3">
        <v>0.0</v>
      </c>
      <c r="D112" s="3">
        <v>0.0</v>
      </c>
      <c r="E112" s="3">
        <v>0.0</v>
      </c>
      <c r="F112" s="3" t="s">
        <v>382</v>
      </c>
      <c r="G112" s="3">
        <v>1.0</v>
      </c>
      <c r="H112" s="3">
        <v>0.0</v>
      </c>
      <c r="I112" s="3" t="s">
        <v>13</v>
      </c>
      <c r="J112" s="3" t="s">
        <v>383</v>
      </c>
      <c r="K112" s="3" t="s">
        <v>205</v>
      </c>
      <c r="L112" s="3" t="str">
        <f>IFERROR(__xludf.DUMMYFUNCTION("GOOGLETRANSLATE(F112,""id"",""en"")"),"back year if it really is Lionel Messi decided to retire from the Argentina team at that time maybe the World Cup final would never be the best final of all time")</f>
        <v>back year if it really is Lionel Messi decided to retire from the Argentina team at that time maybe the World Cup final would never be the best final of all time</v>
      </c>
    </row>
    <row r="113" ht="15.75" customHeight="1">
      <c r="A113" s="1">
        <v>111.0</v>
      </c>
      <c r="B113" s="3" t="s">
        <v>384</v>
      </c>
      <c r="C113" s="3">
        <v>1.0</v>
      </c>
      <c r="D113" s="3">
        <v>0.0</v>
      </c>
      <c r="E113" s="3">
        <v>1.0</v>
      </c>
      <c r="F113" s="3" t="s">
        <v>385</v>
      </c>
      <c r="G113" s="3">
        <v>1.0</v>
      </c>
      <c r="H113" s="3">
        <v>0.0</v>
      </c>
      <c r="I113" s="3" t="s">
        <v>13</v>
      </c>
      <c r="J113" s="3" t="s">
        <v>386</v>
      </c>
      <c r="K113" s="3" t="s">
        <v>50</v>
      </c>
      <c r="L113" s="3" t="str">
        <f>IFERROR(__xludf.DUMMYFUNCTION("GOOGLETRANSLATE(F113,""id"",""en"")"),"There is more tense than the World Cup Final Final shootout this morning presentation and not ready")</f>
        <v>There is more tense than the World Cup Final Final shootout this morning presentation and not ready</v>
      </c>
    </row>
    <row r="114" ht="15.75" customHeight="1">
      <c r="A114" s="1">
        <v>112.0</v>
      </c>
      <c r="B114" s="3" t="s">
        <v>387</v>
      </c>
      <c r="C114" s="3">
        <v>0.0</v>
      </c>
      <c r="D114" s="3">
        <v>0.0</v>
      </c>
      <c r="E114" s="3">
        <v>0.0</v>
      </c>
      <c r="F114" s="3" t="s">
        <v>388</v>
      </c>
      <c r="G114" s="3">
        <v>1.0</v>
      </c>
      <c r="H114" s="3">
        <v>0.0</v>
      </c>
      <c r="I114" s="3" t="s">
        <v>13</v>
      </c>
      <c r="J114" s="3" t="s">
        <v>389</v>
      </c>
      <c r="K114" s="3" t="s">
        <v>75</v>
      </c>
      <c r="L114" s="3" t="str">
        <f>IFERROR(__xludf.DUMMYFUNCTION("GOOGLETRANSLATE(F114,""id"",""en"")"),"French boss feels the need to discuss the decision of the World Cup Final Referee")</f>
        <v>French boss feels the need to discuss the decision of the World Cup Final Referee</v>
      </c>
    </row>
    <row r="115" ht="15.75" customHeight="1">
      <c r="A115" s="1">
        <v>113.0</v>
      </c>
      <c r="B115" s="3" t="s">
        <v>390</v>
      </c>
      <c r="C115" s="3">
        <v>1.0</v>
      </c>
      <c r="D115" s="3">
        <v>0.0</v>
      </c>
      <c r="E115" s="3">
        <v>7.0</v>
      </c>
      <c r="F115" s="3" t="s">
        <v>391</v>
      </c>
      <c r="G115" s="3">
        <v>1.0</v>
      </c>
      <c r="H115" s="3">
        <v>0.0</v>
      </c>
      <c r="I115" s="3" t="s">
        <v>13</v>
      </c>
      <c r="J115" s="3" t="s">
        <v>392</v>
      </c>
      <c r="K115" s="3" t="s">
        <v>75</v>
      </c>
      <c r="L115" s="3" t="str">
        <f>IFERROR(__xludf.DUMMYFUNCTION("GOOGLETRANSLATE(F115,""id"",""en"")"),"Morning I was sleeping just after watching the World Cup final")</f>
        <v>Morning I was sleeping just after watching the World Cup final</v>
      </c>
    </row>
    <row r="116" ht="15.75" customHeight="1">
      <c r="A116" s="1">
        <v>114.0</v>
      </c>
      <c r="B116" s="3" t="s">
        <v>393</v>
      </c>
      <c r="C116" s="3">
        <v>0.0</v>
      </c>
      <c r="D116" s="3">
        <v>0.0</v>
      </c>
      <c r="E116" s="3">
        <v>0.0</v>
      </c>
      <c r="F116" s="3" t="s">
        <v>394</v>
      </c>
      <c r="G116" s="3">
        <v>0.5</v>
      </c>
      <c r="H116" s="3">
        <v>0.1666666666666667</v>
      </c>
      <c r="I116" s="3" t="s">
        <v>48</v>
      </c>
      <c r="J116" s="3" t="s">
        <v>395</v>
      </c>
      <c r="K116" s="3" t="s">
        <v>94</v>
      </c>
      <c r="L116" s="3" t="str">
        <f>IFERROR(__xludf.DUMMYFUNCTION("GOOGLETRANSLATE(F116,""id"",""en"")"),"Speechless with the final exciting last night once again congratulations for Argentina to bring home the World Cup trophy and congratulations also for Mbappe Gacor to be the top soccer kek, the next goat and the prospective Pilduun in the next year in the"&amp;" future")</f>
        <v>Speechless with the final exciting last night once again congratulations for Argentina to bring home the World Cup trophy and congratulations also for Mbappe Gacor to be the top soccer kek, the next goat and the prospective Pilduun in the next year in the future</v>
      </c>
    </row>
    <row r="117" ht="15.75" customHeight="1">
      <c r="A117" s="1">
        <v>115.0</v>
      </c>
      <c r="B117" s="3" t="s">
        <v>396</v>
      </c>
      <c r="C117" s="3">
        <v>0.0</v>
      </c>
      <c r="D117" s="3">
        <v>0.0</v>
      </c>
      <c r="E117" s="3">
        <v>0.0</v>
      </c>
      <c r="F117" s="3" t="s">
        <v>397</v>
      </c>
      <c r="G117" s="3">
        <v>1.0</v>
      </c>
      <c r="H117" s="3">
        <v>0.0</v>
      </c>
      <c r="I117" s="3" t="s">
        <v>13</v>
      </c>
      <c r="J117" s="3" t="s">
        <v>398</v>
      </c>
      <c r="K117" s="3" t="s">
        <v>35</v>
      </c>
      <c r="L117" s="3" t="str">
        <f>IFERROR(__xludf.DUMMYFUNCTION("GOOGLETRANSLATE(F117,""id"",""en"")"),"The World Cup Final has been completed with a penalty shootout, then witnessed the same trial as tense")</f>
        <v>The World Cup Final has been completed with a penalty shootout, then witnessed the same trial as tense</v>
      </c>
    </row>
    <row r="118" ht="15.75" customHeight="1">
      <c r="A118" s="1">
        <v>116.0</v>
      </c>
      <c r="B118" s="3" t="s">
        <v>399</v>
      </c>
      <c r="C118" s="3">
        <v>0.0</v>
      </c>
      <c r="D118" s="3">
        <v>0.0</v>
      </c>
      <c r="E118" s="3">
        <v>0.0</v>
      </c>
      <c r="F118" s="3" t="s">
        <v>400</v>
      </c>
      <c r="G118" s="3">
        <v>1.0</v>
      </c>
      <c r="H118" s="3">
        <v>0.0</v>
      </c>
      <c r="I118" s="3" t="s">
        <v>13</v>
      </c>
      <c r="J118" s="3" t="s">
        <v>401</v>
      </c>
      <c r="K118" s="3" t="s">
        <v>82</v>
      </c>
      <c r="L118" s="3" t="str">
        <f>IFERROR(__xludf.DUMMYFUNCTION("GOOGLETRANSLATE(F118,""id"",""en"")"),"The World Cup final makes you really deg")</f>
        <v>The World Cup final makes you really deg</v>
      </c>
    </row>
    <row r="119" ht="15.75" customHeight="1">
      <c r="A119" s="1">
        <v>117.0</v>
      </c>
      <c r="B119" s="3" t="s">
        <v>402</v>
      </c>
      <c r="C119" s="3">
        <v>0.0</v>
      </c>
      <c r="D119" s="3">
        <v>0.0</v>
      </c>
      <c r="E119" s="3">
        <v>3.0</v>
      </c>
      <c r="F119" s="3" t="s">
        <v>403</v>
      </c>
      <c r="G119" s="3">
        <v>1.0</v>
      </c>
      <c r="H119" s="3">
        <v>0.0</v>
      </c>
      <c r="I119" s="3" t="s">
        <v>13</v>
      </c>
      <c r="J119" s="3" t="s">
        <v>404</v>
      </c>
      <c r="K119" s="3" t="s">
        <v>19</v>
      </c>
      <c r="L119" s="3" t="str">
        <f>IFERROR(__xludf.DUMMYFUNCTION("GOOGLETRANSLATE(F119,""id"",""en"")"),"French striker Olivier Giroud showed his frustration after being replaced by the World Cup final")</f>
        <v>French striker Olivier Giroud showed his frustration after being replaced by the World Cup final</v>
      </c>
    </row>
    <row r="120" ht="15.75" customHeight="1">
      <c r="A120" s="1">
        <v>118.0</v>
      </c>
      <c r="B120" s="3" t="s">
        <v>405</v>
      </c>
      <c r="C120" s="3">
        <v>0.0</v>
      </c>
      <c r="D120" s="3">
        <v>0.0</v>
      </c>
      <c r="E120" s="3">
        <v>1.0</v>
      </c>
      <c r="F120" s="3" t="s">
        <v>406</v>
      </c>
      <c r="G120" s="3">
        <v>1.0</v>
      </c>
      <c r="H120" s="3">
        <v>0.0</v>
      </c>
      <c r="I120" s="3" t="s">
        <v>13</v>
      </c>
      <c r="J120" s="3" t="s">
        <v>407</v>
      </c>
      <c r="K120" s="3" t="s">
        <v>41</v>
      </c>
      <c r="L120" s="3" t="str">
        <f>IFERROR(__xludf.DUMMYFUNCTION("GOOGLETRANSLATE(F120,""id"",""en"")"),"Final of the Best World Cup Argentina Full of Drama Day")</f>
        <v>Final of the Best World Cup Argentina Full of Drama Day</v>
      </c>
    </row>
    <row r="121" ht="15.75" customHeight="1">
      <c r="A121" s="1">
        <v>119.0</v>
      </c>
      <c r="B121" s="3" t="s">
        <v>408</v>
      </c>
      <c r="C121" s="3">
        <v>0.0</v>
      </c>
      <c r="D121" s="3">
        <v>1.0</v>
      </c>
      <c r="E121" s="3">
        <v>1.0</v>
      </c>
      <c r="F121" s="3" t="s">
        <v>409</v>
      </c>
      <c r="G121" s="3">
        <v>1.0</v>
      </c>
      <c r="H121" s="3">
        <v>0.0</v>
      </c>
      <c r="I121" s="3" t="s">
        <v>13</v>
      </c>
      <c r="J121" s="3" t="s">
        <v>410</v>
      </c>
      <c r="K121" s="3" t="s">
        <v>71</v>
      </c>
      <c r="L121" s="3" t="str">
        <f>IFERROR(__xludf.DUMMYFUNCTION("GOOGLETRANSLATE(F121,""id"",""en"")"),"exclaimed the final result of Argentina French Final World Cup Drama Fighting Penalty Torn the Champion")</f>
        <v>exclaimed the final result of Argentina French Final World Cup Drama Fighting Penalty Torn the Champion</v>
      </c>
    </row>
    <row r="122" ht="15.75" customHeight="1">
      <c r="A122" s="1">
        <v>120.0</v>
      </c>
      <c r="B122" s="3" t="s">
        <v>411</v>
      </c>
      <c r="C122" s="3">
        <v>0.0</v>
      </c>
      <c r="D122" s="3">
        <v>0.0</v>
      </c>
      <c r="E122" s="3">
        <v>0.0</v>
      </c>
      <c r="F122" s="3" t="s">
        <v>412</v>
      </c>
      <c r="G122" s="3">
        <v>1.0</v>
      </c>
      <c r="H122" s="3">
        <v>0.0</v>
      </c>
      <c r="I122" s="3" t="s">
        <v>13</v>
      </c>
      <c r="J122" s="3" t="s">
        <v>413</v>
      </c>
      <c r="K122" s="3" t="s">
        <v>19</v>
      </c>
      <c r="L122" s="3" t="str">
        <f>IFERROR(__xludf.DUMMYFUNCTION("GOOGLETRANSLATE(F122,""id"",""en"")"),"hahahahahahaaaa World Cup Final Eouring Falls to Liatin Story Feeds Yono Gerrrrrrrrrrrrrrrrrrrrrrrrrr atgrration")</f>
        <v>hahahahahahaaaa World Cup Final Eouring Falls to Liatin Story Feeds Yono Gerrrrrrrrrrrrrrrrrrrrrrrrrr atgrration</v>
      </c>
    </row>
    <row r="123" ht="15.75" customHeight="1">
      <c r="A123" s="1">
        <v>121.0</v>
      </c>
      <c r="B123" s="3" t="s">
        <v>414</v>
      </c>
      <c r="C123" s="3">
        <v>1.0</v>
      </c>
      <c r="D123" s="3">
        <v>0.0</v>
      </c>
      <c r="E123" s="3">
        <v>0.0</v>
      </c>
      <c r="F123" s="3" t="s">
        <v>415</v>
      </c>
      <c r="G123" s="3">
        <v>0.65</v>
      </c>
      <c r="H123" s="3">
        <v>0.5</v>
      </c>
      <c r="I123" s="3" t="s">
        <v>48</v>
      </c>
      <c r="J123" s="3" t="s">
        <v>416</v>
      </c>
      <c r="K123" s="3" t="s">
        <v>31</v>
      </c>
      <c r="L123" s="3" t="str">
        <f>IFERROR(__xludf.DUMMYFUNCTION("GOOGLETRANSLATE(F123,""id"",""en"")"),"the best world cup final")</f>
        <v>the best world cup final</v>
      </c>
    </row>
    <row r="124" ht="15.75" customHeight="1">
      <c r="A124" s="1">
        <v>122.0</v>
      </c>
      <c r="B124" s="3" t="s">
        <v>417</v>
      </c>
      <c r="C124" s="3">
        <v>0.0</v>
      </c>
      <c r="D124" s="3">
        <v>0.0</v>
      </c>
      <c r="E124" s="3">
        <v>0.0</v>
      </c>
      <c r="F124" s="3" t="s">
        <v>418</v>
      </c>
      <c r="G124" s="3">
        <v>0.65</v>
      </c>
      <c r="H124" s="3">
        <v>0.1</v>
      </c>
      <c r="I124" s="3" t="s">
        <v>48</v>
      </c>
      <c r="J124" s="3" t="s">
        <v>419</v>
      </c>
      <c r="K124" s="3" t="s">
        <v>75</v>
      </c>
      <c r="L124" s="3" t="str">
        <f>IFERROR(__xludf.DUMMYFUNCTION("GOOGLETRANSLATE(F124,""id"",""en"")"),"Euphoria Final World Cup Jago who won the principal haha ​​Ndaengan Gedongkiwo")</f>
        <v>Euphoria Final World Cup Jago who won the principal haha ​​Ndaengan Gedongkiwo</v>
      </c>
    </row>
    <row r="125" ht="15.75" customHeight="1">
      <c r="A125" s="1">
        <v>123.0</v>
      </c>
      <c r="B125" s="3" t="s">
        <v>420</v>
      </c>
      <c r="C125" s="3">
        <v>1.0</v>
      </c>
      <c r="D125" s="3">
        <v>0.0</v>
      </c>
      <c r="E125" s="3">
        <v>0.0</v>
      </c>
      <c r="F125" s="3" t="s">
        <v>421</v>
      </c>
      <c r="G125" s="3">
        <v>1.0</v>
      </c>
      <c r="H125" s="3">
        <v>0.0</v>
      </c>
      <c r="I125" s="3" t="s">
        <v>13</v>
      </c>
      <c r="J125" s="3" t="s">
        <v>422</v>
      </c>
      <c r="K125" s="3" t="s">
        <v>127</v>
      </c>
      <c r="L125" s="3" t="str">
        <f>IFERROR(__xludf.DUMMYFUNCTION("GOOGLETRANSLATE(F125,""id"",""en"")"),"good morning for people to sleep and watch the world cup final not to info wae Nek Argentina wins")</f>
        <v>good morning for people to sleep and watch the world cup final not to info wae Nek Argentina wins</v>
      </c>
    </row>
    <row r="126" ht="15.75" customHeight="1">
      <c r="A126" s="1">
        <v>124.0</v>
      </c>
      <c r="B126" s="3" t="s">
        <v>423</v>
      </c>
      <c r="C126" s="3">
        <v>1.0</v>
      </c>
      <c r="D126" s="3">
        <v>0.0</v>
      </c>
      <c r="E126" s="3">
        <v>0.0</v>
      </c>
      <c r="F126" s="3" t="s">
        <v>424</v>
      </c>
      <c r="G126" s="3">
        <v>1.0</v>
      </c>
      <c r="H126" s="3">
        <v>0.0</v>
      </c>
      <c r="I126" s="3" t="s">
        <v>13</v>
      </c>
      <c r="J126" s="3" t="s">
        <v>425</v>
      </c>
      <c r="K126" s="3" t="s">
        <v>426</v>
      </c>
      <c r="L126" s="3" t="str">
        <f>IFERROR(__xludf.DUMMYFUNCTION("GOOGLETRANSLATE(F126,""id"",""en"")"),"This meeting with FIFA is useless that the Indonesian League schedule is still controlled by Indosiar, there is still a schedule for the Atticts Matches and yesterday deliberately only the evening match is only because after sunset the World Cup Final Clo"&amp;"sing Closing")</f>
        <v>This meeting with FIFA is useless that the Indonesian League schedule is still controlled by Indosiar, there is still a schedule for the Atticts Matches and yesterday deliberately only the evening match is only because after sunset the World Cup Final Closing Closing</v>
      </c>
    </row>
    <row r="127" ht="15.75" customHeight="1">
      <c r="A127" s="1">
        <v>125.0</v>
      </c>
      <c r="B127" s="3" t="s">
        <v>427</v>
      </c>
      <c r="C127" s="3">
        <v>0.0</v>
      </c>
      <c r="D127" s="3">
        <v>0.0</v>
      </c>
      <c r="E127" s="3">
        <v>0.0</v>
      </c>
      <c r="F127" s="3" t="s">
        <v>428</v>
      </c>
      <c r="G127" s="3">
        <v>1.0</v>
      </c>
      <c r="H127" s="3">
        <v>0.0</v>
      </c>
      <c r="I127" s="3" t="s">
        <v>13</v>
      </c>
      <c r="J127" s="3" t="s">
        <v>429</v>
      </c>
      <c r="K127" s="3" t="s">
        <v>50</v>
      </c>
      <c r="L127" s="3" t="str">
        <f>IFERROR(__xludf.DUMMYFUNCTION("GOOGLETRANSLATE(F127,""id"",""en"")"),"Argentine French World Cup Final Results Messi Official Goat Sejati Day")</f>
        <v>Argentine French World Cup Final Results Messi Official Goat Sejati Day</v>
      </c>
    </row>
    <row r="128" ht="15.75" customHeight="1">
      <c r="A128" s="1">
        <v>126.0</v>
      </c>
      <c r="B128" s="3" t="s">
        <v>430</v>
      </c>
      <c r="C128" s="3">
        <v>0.0</v>
      </c>
      <c r="D128" s="3">
        <v>0.0</v>
      </c>
      <c r="E128" s="3">
        <v>3.0</v>
      </c>
      <c r="F128" s="3" t="s">
        <v>431</v>
      </c>
      <c r="G128" s="3">
        <v>1.0</v>
      </c>
      <c r="H128" s="3">
        <v>0.0</v>
      </c>
      <c r="I128" s="3" t="s">
        <v>13</v>
      </c>
      <c r="J128" s="3" t="s">
        <v>432</v>
      </c>
      <c r="K128" s="3" t="s">
        <v>433</v>
      </c>
      <c r="L128" s="3" t="str">
        <f>IFERROR(__xludf.DUMMYFUNCTION("GOOGLETRANSLATE(F128,""id"",""en"")"),"The Dutch lost the second world cup final in succession twice from the host after losing to West Germany on")</f>
        <v>The Dutch lost the second world cup final in succession twice from the host after losing to West Germany on</v>
      </c>
    </row>
    <row r="129" ht="15.75" customHeight="1">
      <c r="A129" s="1">
        <v>127.0</v>
      </c>
      <c r="B129" s="3" t="s">
        <v>434</v>
      </c>
      <c r="C129" s="3">
        <v>0.0</v>
      </c>
      <c r="D129" s="3">
        <v>0.0</v>
      </c>
      <c r="E129" s="3">
        <v>0.0</v>
      </c>
      <c r="F129" s="3" t="s">
        <v>435</v>
      </c>
      <c r="G129" s="3">
        <v>1.0</v>
      </c>
      <c r="H129" s="3">
        <v>0.0</v>
      </c>
      <c r="I129" s="3" t="s">
        <v>13</v>
      </c>
      <c r="J129" s="3" t="s">
        <v>436</v>
      </c>
      <c r="K129" s="3" t="s">
        <v>437</v>
      </c>
      <c r="L129" s="3" t="str">
        <f>IFERROR(__xludf.DUMMYFUNCTION("GOOGLETRANSLATE(F129,""id"",""en"")"),"Is it only from the beginning until the final last night I watched the World Cup or know Messi Kiss the Bae Champion Cup")</f>
        <v>Is it only from the beginning until the final last night I watched the World Cup or know Messi Kiss the Bae Champion Cup</v>
      </c>
    </row>
    <row r="130" ht="15.75" customHeight="1">
      <c r="A130" s="1">
        <v>128.0</v>
      </c>
      <c r="B130" s="3" t="s">
        <v>438</v>
      </c>
      <c r="C130" s="3">
        <v>1.0</v>
      </c>
      <c r="D130" s="3">
        <v>1.0</v>
      </c>
      <c r="E130" s="3">
        <v>25.0</v>
      </c>
      <c r="F130" s="3" t="s">
        <v>439</v>
      </c>
      <c r="G130" s="3">
        <v>1.0</v>
      </c>
      <c r="H130" s="3">
        <v>0.0</v>
      </c>
      <c r="I130" s="3" t="s">
        <v>13</v>
      </c>
      <c r="J130" s="3" t="s">
        <v>440</v>
      </c>
      <c r="K130" s="3" t="s">
        <v>441</v>
      </c>
      <c r="L130" s="3" t="str">
        <f>IFERROR(__xludf.DUMMYFUNCTION("GOOGLETRANSLATE(F130,""id"",""en"")"),"The FIFA World Cup Final is a soccer match that was played to determine the winner of the FIFA World Cup, the match was contested by host Argentina and the Netherlands the largest stadium used in the tournament and Argentina")</f>
        <v>The FIFA World Cup Final is a soccer match that was played to determine the winner of the FIFA World Cup, the match was contested by host Argentina and the Netherlands the largest stadium used in the tournament and Argentina</v>
      </c>
    </row>
    <row r="131" ht="15.75" customHeight="1">
      <c r="A131" s="1">
        <v>129.0</v>
      </c>
      <c r="B131" s="3" t="s">
        <v>442</v>
      </c>
      <c r="C131" s="3">
        <v>1.0</v>
      </c>
      <c r="D131" s="3">
        <v>0.0</v>
      </c>
      <c r="E131" s="3">
        <v>2.0</v>
      </c>
      <c r="F131" s="3" t="s">
        <v>443</v>
      </c>
      <c r="G131" s="3">
        <v>1.0</v>
      </c>
      <c r="H131" s="3">
        <v>0.0</v>
      </c>
      <c r="I131" s="3" t="s">
        <v>13</v>
      </c>
      <c r="J131" s="3" t="s">
        <v>444</v>
      </c>
      <c r="K131" s="3" t="s">
        <v>445</v>
      </c>
      <c r="L131" s="3" t="str">
        <f>IFERROR(__xludf.DUMMYFUNCTION("GOOGLETRANSLATE(F131,""id"",""en"")"),"Redsindo era Messi Ronaldo has been completed now who can compete with the age of the age of the year of the World Cup twice the World Cup World Cup World Cup Hattrick World Cup Club only hasn't been able to UCL.")</f>
        <v>Redsindo era Messi Ronaldo has been completed now who can compete with the age of the age of the year of the World Cup twice the World Cup World Cup World Cup Hattrick World Cup Club only hasn't been able to UCL.</v>
      </c>
    </row>
    <row r="132" ht="15.75" customHeight="1">
      <c r="A132" s="1">
        <v>130.0</v>
      </c>
      <c r="B132" s="3" t="s">
        <v>446</v>
      </c>
      <c r="C132" s="3">
        <v>0.0</v>
      </c>
      <c r="D132" s="3">
        <v>1.0</v>
      </c>
      <c r="E132" s="3">
        <v>3.0</v>
      </c>
      <c r="F132" s="3" t="s">
        <v>447</v>
      </c>
      <c r="G132" s="3">
        <v>1.0</v>
      </c>
      <c r="H132" s="3">
        <v>0.0</v>
      </c>
      <c r="I132" s="3" t="s">
        <v>13</v>
      </c>
      <c r="J132" s="3" t="s">
        <v>448</v>
      </c>
      <c r="K132" s="3" t="s">
        <v>449</v>
      </c>
      <c r="L132" s="3" t="str">
        <f>IFERROR(__xludf.DUMMYFUNCTION("GOOGLETRANSLATE(F132,""id"",""en"")"),"Emiliano Martinez is arguably one of the heroes of the success of the Argentine national team winning the Qatar World Cup that cannot be separated from the slick performance of the penalty shootout in the final against France")</f>
        <v>Emiliano Martinez is arguably one of the heroes of the success of the Argentine national team winning the Qatar World Cup that cannot be separated from the slick performance of the penalty shootout in the final against France</v>
      </c>
    </row>
    <row r="133" ht="15.75" customHeight="1">
      <c r="A133" s="1">
        <v>131.0</v>
      </c>
      <c r="B133" s="3" t="s">
        <v>450</v>
      </c>
      <c r="C133" s="3">
        <v>0.0</v>
      </c>
      <c r="D133" s="3">
        <v>0.0</v>
      </c>
      <c r="E133" s="3">
        <v>0.0</v>
      </c>
      <c r="F133" s="3" t="s">
        <v>451</v>
      </c>
      <c r="G133" s="3">
        <v>1.0</v>
      </c>
      <c r="H133" s="3">
        <v>0.0</v>
      </c>
      <c r="I133" s="3" t="s">
        <v>13</v>
      </c>
      <c r="J133" s="3" t="s">
        <v>452</v>
      </c>
      <c r="K133" s="3" t="s">
        <v>41</v>
      </c>
      <c r="L133" s="3" t="str">
        <f>IFERROR(__xludf.DUMMYFUNCTION("GOOGLETRANSLATE(F133,""id"",""en"")"),"Argentina France France Final World Cup through Penalties")</f>
        <v>Argentina France France Final World Cup through Penalties</v>
      </c>
    </row>
    <row r="134" ht="15.75" customHeight="1">
      <c r="A134" s="1">
        <v>132.0</v>
      </c>
      <c r="B134" s="3" t="s">
        <v>453</v>
      </c>
      <c r="C134" s="3">
        <v>0.0</v>
      </c>
      <c r="D134" s="3">
        <v>0.0</v>
      </c>
      <c r="E134" s="3">
        <v>0.0</v>
      </c>
      <c r="F134" s="3" t="s">
        <v>454</v>
      </c>
      <c r="G134" s="3">
        <v>1.0</v>
      </c>
      <c r="H134" s="3">
        <v>0.0</v>
      </c>
      <c r="I134" s="3" t="s">
        <v>13</v>
      </c>
      <c r="J134" s="3" t="s">
        <v>455</v>
      </c>
      <c r="K134" s="3" t="s">
        <v>456</v>
      </c>
      <c r="L134" s="3" t="str">
        <f>IFERROR(__xludf.DUMMYFUNCTION("GOOGLETRANSLATE(F134,""id"",""en"")"),"Breaking the Ukraine Presidential Office condemned FIFA for refusing President Zelensky's request to play a second minute video containing a big screen peace message when the FIFA World Cup final considers the message from the video is too political sourc"&amp;"e")</f>
        <v>Breaking the Ukraine Presidential Office condemned FIFA for refusing President Zelensky's request to play a second minute video containing a big screen peace message when the FIFA World Cup final considers the message from the video is too political source</v>
      </c>
    </row>
    <row r="135" ht="15.75" customHeight="1">
      <c r="A135" s="1">
        <v>133.0</v>
      </c>
      <c r="B135" s="3" t="s">
        <v>457</v>
      </c>
      <c r="C135" s="3">
        <v>0.0</v>
      </c>
      <c r="D135" s="3">
        <v>0.0</v>
      </c>
      <c r="E135" s="3">
        <v>2.0</v>
      </c>
      <c r="F135" s="3" t="s">
        <v>458</v>
      </c>
      <c r="G135" s="3">
        <v>1.0</v>
      </c>
      <c r="H135" s="3">
        <v>0.0</v>
      </c>
      <c r="I135" s="3" t="s">
        <v>13</v>
      </c>
      <c r="J135" s="3" t="s">
        <v>459</v>
      </c>
      <c r="K135" s="3" t="s">
        <v>75</v>
      </c>
      <c r="L135" s="3" t="str">
        <f>IFERROR(__xludf.DUMMYFUNCTION("GOOGLETRANSLATE(F135,""id"",""en"")"),"Jagoin France but satisfied watching its best final match during the World Cup")</f>
        <v>Jagoin France but satisfied watching its best final match during the World Cup</v>
      </c>
    </row>
    <row r="136" ht="15.75" customHeight="1">
      <c r="A136" s="1">
        <v>134.0</v>
      </c>
      <c r="B136" s="3" t="s">
        <v>460</v>
      </c>
      <c r="C136" s="3">
        <v>1.0</v>
      </c>
      <c r="D136" s="3">
        <v>0.0</v>
      </c>
      <c r="E136" s="3">
        <v>0.0</v>
      </c>
      <c r="F136" s="3" t="s">
        <v>461</v>
      </c>
      <c r="G136" s="3">
        <v>1.0</v>
      </c>
      <c r="H136" s="3">
        <v>0.0</v>
      </c>
      <c r="I136" s="3" t="s">
        <v>13</v>
      </c>
      <c r="J136" s="3" t="s">
        <v>462</v>
      </c>
      <c r="K136" s="3" t="s">
        <v>463</v>
      </c>
      <c r="L136" s="3" t="str">
        <f>IFERROR(__xludf.DUMMYFUNCTION("GOOGLETRANSLATE(F136,""id"",""en"")"),"CGK TTE flight flight at the time because the World Cup final since pulul has checked airport and watched the World Cup when it arrived at Tte was confirmed that it was late for a plane.")</f>
        <v>CGK TTE flight flight at the time because the World Cup final since pulul has checked airport and watched the World Cup when it arrived at Tte was confirmed that it was late for a plane.</v>
      </c>
    </row>
    <row r="137" ht="15.75" customHeight="1">
      <c r="A137" s="1">
        <v>135.0</v>
      </c>
      <c r="B137" s="3" t="s">
        <v>464</v>
      </c>
      <c r="C137" s="3">
        <v>1.0</v>
      </c>
      <c r="D137" s="3">
        <v>0.0</v>
      </c>
      <c r="E137" s="3">
        <v>0.0</v>
      </c>
      <c r="F137" s="3" t="s">
        <v>465</v>
      </c>
      <c r="G137" s="3">
        <v>1.0</v>
      </c>
      <c r="H137" s="3">
        <v>0.0</v>
      </c>
      <c r="I137" s="3" t="s">
        <v>13</v>
      </c>
      <c r="J137" s="3" t="s">
        <v>466</v>
      </c>
      <c r="K137" s="3" t="s">
        <v>467</v>
      </c>
      <c r="L137" s="3" t="str">
        <f>IFERROR(__xludf.DUMMYFUNCTION("GOOGLETRANSLATE(F137,""id"",""en"")"),"drama drama ranging from the group stage to the final round is also very exciting to be very debated if this is the best world cup edition")</f>
        <v>drama drama ranging from the group stage to the final round is also very exciting to be very debated if this is the best world cup edition</v>
      </c>
    </row>
    <row r="138" ht="15.75" customHeight="1">
      <c r="A138" s="1">
        <v>136.0</v>
      </c>
      <c r="B138" s="3" t="s">
        <v>468</v>
      </c>
      <c r="C138" s="3">
        <v>0.0</v>
      </c>
      <c r="D138" s="3">
        <v>0.0</v>
      </c>
      <c r="E138" s="3">
        <v>0.0</v>
      </c>
      <c r="F138" s="3" t="s">
        <v>469</v>
      </c>
      <c r="G138" s="3">
        <v>1.0</v>
      </c>
      <c r="H138" s="3">
        <v>0.0</v>
      </c>
      <c r="I138" s="3" t="s">
        <v>13</v>
      </c>
      <c r="J138" s="3" t="s">
        <v>470</v>
      </c>
      <c r="K138" s="3" t="s">
        <v>82</v>
      </c>
      <c r="L138" s="3" t="str">
        <f>IFERROR(__xludf.DUMMYFUNCTION("GOOGLETRANSLATE(F138,""id"",""en"")"),"Am I Turu Gasik Nntn World Cup Final")</f>
        <v>Am I Turu Gasik Nntn World Cup Final</v>
      </c>
    </row>
    <row r="139" ht="15.75" customHeight="1">
      <c r="A139" s="1">
        <v>137.0</v>
      </c>
      <c r="B139" s="3" t="s">
        <v>471</v>
      </c>
      <c r="C139" s="3">
        <v>0.0</v>
      </c>
      <c r="D139" s="3">
        <v>0.0</v>
      </c>
      <c r="E139" s="3">
        <v>0.0</v>
      </c>
      <c r="F139" s="3" t="s">
        <v>472</v>
      </c>
      <c r="G139" s="3">
        <v>1.0</v>
      </c>
      <c r="H139" s="3">
        <v>0.0</v>
      </c>
      <c r="I139" s="3" t="s">
        <v>13</v>
      </c>
      <c r="J139" s="3" t="s">
        <v>473</v>
      </c>
      <c r="K139" s="3" t="s">
        <v>131</v>
      </c>
      <c r="L139" s="3" t="str">
        <f>IFERROR(__xludf.DUMMYFUNCTION("GOOGLETRANSLATE(F139,""id"",""en"")"),"Printering of the Year World Cup Final Goal between France Brazil, Zinedine Zidane with Goal and Emmanuel Petit Goal, the score ends for France Meluooo's victory")</f>
        <v>Printering of the Year World Cup Final Goal between France Brazil, Zinedine Zidane with Goal and Emmanuel Petit Goal, the score ends for France Meluooo's victory</v>
      </c>
    </row>
    <row r="140" ht="15.75" customHeight="1">
      <c r="A140" s="1">
        <v>138.0</v>
      </c>
      <c r="B140" s="3" t="s">
        <v>474</v>
      </c>
      <c r="C140" s="3">
        <v>0.0</v>
      </c>
      <c r="D140" s="3">
        <v>0.0</v>
      </c>
      <c r="E140" s="3">
        <v>0.0</v>
      </c>
      <c r="F140" s="3" t="s">
        <v>475</v>
      </c>
      <c r="G140" s="3">
        <v>1.0</v>
      </c>
      <c r="H140" s="3">
        <v>0.0</v>
      </c>
      <c r="I140" s="3" t="s">
        <v>13</v>
      </c>
      <c r="J140" s="3" t="s">
        <v>476</v>
      </c>
      <c r="K140" s="3" t="s">
        <v>477</v>
      </c>
      <c r="L140" s="3" t="str">
        <f>IFERROR(__xludf.DUMMYFUNCTION("GOOGLETRANSLATE(F140,""id"",""en"")"),"you wasting time watching the World Cup final")</f>
        <v>you wasting time watching the World Cup final</v>
      </c>
    </row>
    <row r="141" ht="15.75" customHeight="1">
      <c r="A141" s="1">
        <v>139.0</v>
      </c>
      <c r="B141" s="3" t="s">
        <v>478</v>
      </c>
      <c r="C141" s="3">
        <v>0.0</v>
      </c>
      <c r="D141" s="3">
        <v>0.0</v>
      </c>
      <c r="E141" s="3">
        <v>1.0</v>
      </c>
      <c r="F141" s="3" t="s">
        <v>479</v>
      </c>
      <c r="G141" s="3">
        <v>1.0</v>
      </c>
      <c r="H141" s="3">
        <v>0.0</v>
      </c>
      <c r="I141" s="3" t="s">
        <v>13</v>
      </c>
      <c r="J141" s="3" t="s">
        <v>480</v>
      </c>
      <c r="K141" s="3" t="s">
        <v>41</v>
      </c>
      <c r="L141" s="3" t="str">
        <f>IFERROR(__xludf.DUMMYFUNCTION("GOOGLETRANSLATE(F141,""id"",""en"")"),"which doesn't share your Disosmed Fix World Final Moment Strange")</f>
        <v>which doesn't share your Disosmed Fix World Final Moment Strange</v>
      </c>
    </row>
    <row r="142" ht="15.75" customHeight="1">
      <c r="A142" s="1">
        <v>140.0</v>
      </c>
      <c r="B142" s="3" t="s">
        <v>481</v>
      </c>
      <c r="C142" s="3">
        <v>0.0</v>
      </c>
      <c r="D142" s="3">
        <v>0.0</v>
      </c>
      <c r="E142" s="3">
        <v>0.0</v>
      </c>
      <c r="F142" s="3" t="s">
        <v>482</v>
      </c>
      <c r="G142" s="3">
        <v>1.0</v>
      </c>
      <c r="H142" s="3">
        <v>0.0</v>
      </c>
      <c r="I142" s="3" t="s">
        <v>13</v>
      </c>
      <c r="J142" s="3" t="s">
        <v>483</v>
      </c>
      <c r="K142" s="3" t="s">
        <v>484</v>
      </c>
      <c r="L142" s="3" t="str">
        <f>IFERROR(__xludf.DUMMYFUNCTION("GOOGLETRANSLATE(F142,""id"",""en"")"),"the boss who gave the employee's hours of work leisor because last night the World Cup was a prospective prospective expert heaven")</f>
        <v>the boss who gave the employee's hours of work leisor because last night the World Cup was a prospective prospective expert heaven</v>
      </c>
    </row>
    <row r="143" ht="15.75" customHeight="1">
      <c r="A143" s="1">
        <v>141.0</v>
      </c>
      <c r="B143" s="3" t="s">
        <v>485</v>
      </c>
      <c r="C143" s="3">
        <v>0.0</v>
      </c>
      <c r="D143" s="3">
        <v>0.0</v>
      </c>
      <c r="E143" s="3">
        <v>0.0</v>
      </c>
      <c r="F143" s="3" t="s">
        <v>486</v>
      </c>
      <c r="G143" s="3">
        <v>1.0</v>
      </c>
      <c r="H143" s="3">
        <v>0.0</v>
      </c>
      <c r="I143" s="3" t="s">
        <v>13</v>
      </c>
      <c r="J143" s="3" t="s">
        <v>487</v>
      </c>
      <c r="K143" s="3" t="s">
        <v>41</v>
      </c>
      <c r="L143" s="3" t="str">
        <f>IFERROR(__xludf.DUMMYFUNCTION("GOOGLETRANSLATE(F143,""id"",""en"")"),"great survive from the beginning of the World Cup to the final not watching a match though")</f>
        <v>great survive from the beginning of the World Cup to the final not watching a match though</v>
      </c>
    </row>
    <row r="144" ht="15.75" customHeight="1">
      <c r="A144" s="1">
        <v>142.0</v>
      </c>
      <c r="B144" s="3" t="s">
        <v>488</v>
      </c>
      <c r="C144" s="3">
        <v>0.0</v>
      </c>
      <c r="D144" s="3">
        <v>0.0</v>
      </c>
      <c r="E144" s="3">
        <v>0.0</v>
      </c>
      <c r="F144" s="3" t="s">
        <v>489</v>
      </c>
      <c r="G144" s="3">
        <v>1.0</v>
      </c>
      <c r="H144" s="3">
        <v>0.0</v>
      </c>
      <c r="I144" s="3" t="s">
        <v>13</v>
      </c>
      <c r="J144" s="3" t="s">
        <v>490</v>
      </c>
      <c r="K144" s="3" t="s">
        <v>491</v>
      </c>
      <c r="L144" s="3" t="str">
        <f>IFERROR(__xludf.DUMMYFUNCTION("GOOGLETRANSLATE(F144,""id"",""en"")"),"In my opinion, the World Cup Final was really excited, really crazy for the minute until finally the Gokil penalty")</f>
        <v>In my opinion, the World Cup Final was really excited, really crazy for the minute until finally the Gokil penalty</v>
      </c>
    </row>
    <row r="145" ht="15.75" customHeight="1">
      <c r="A145" s="1">
        <v>143.0</v>
      </c>
      <c r="B145" s="3" t="s">
        <v>492</v>
      </c>
      <c r="C145" s="3">
        <v>0.0</v>
      </c>
      <c r="D145" s="3">
        <v>0.0</v>
      </c>
      <c r="E145" s="3">
        <v>1.0</v>
      </c>
      <c r="F145" s="3" t="s">
        <v>493</v>
      </c>
      <c r="G145" s="3">
        <v>1.0</v>
      </c>
      <c r="H145" s="3">
        <v>0.0</v>
      </c>
      <c r="I145" s="3" t="s">
        <v>13</v>
      </c>
      <c r="J145" s="3" t="s">
        <v>494</v>
      </c>
      <c r="K145" s="3" t="s">
        <v>495</v>
      </c>
      <c r="L145" s="3" t="str">
        <f>IFERROR(__xludf.DUMMYFUNCTION("GOOGLETRANSLATE(F145,""id"",""en"")"),"Jazair reporter Khadija Ben Qena and presenter Jazeera raised the Palestinian flag during the French Argentine match of the Qatar World Cup")</f>
        <v>Jazair reporter Khadija Ben Qena and presenter Jazeera raised the Palestinian flag during the French Argentine match of the Qatar World Cup</v>
      </c>
    </row>
    <row r="146" ht="15.75" customHeight="1">
      <c r="A146" s="1">
        <v>144.0</v>
      </c>
      <c r="B146" s="3" t="s">
        <v>496</v>
      </c>
      <c r="C146" s="3">
        <v>1.0</v>
      </c>
      <c r="D146" s="3">
        <v>0.0</v>
      </c>
      <c r="E146" s="3">
        <v>2.0</v>
      </c>
      <c r="F146" s="3" t="s">
        <v>497</v>
      </c>
      <c r="G146" s="3">
        <v>1.0</v>
      </c>
      <c r="H146" s="3">
        <v>0.0</v>
      </c>
      <c r="I146" s="3" t="s">
        <v>13</v>
      </c>
      <c r="J146" s="3" t="s">
        <v>498</v>
      </c>
      <c r="K146" s="3" t="s">
        <v>499</v>
      </c>
      <c r="L146" s="3" t="str">
        <f>IFERROR(__xludf.DUMMYFUNCTION("GOOGLETRANSLATE(F146,""id"",""en"")"),"During the year Hurst alone bears the title of player who scored three of the World Cup final goals when England won through an extra time over West Germany on")</f>
        <v>During the year Hurst alone bears the title of player who scored three of the World Cup final goals when England won through an extra time over West Germany on</v>
      </c>
    </row>
    <row r="147" ht="15.75" customHeight="1">
      <c r="A147" s="1">
        <v>145.0</v>
      </c>
      <c r="B147" s="3" t="s">
        <v>500</v>
      </c>
      <c r="C147" s="3">
        <v>0.0</v>
      </c>
      <c r="D147" s="3">
        <v>0.0</v>
      </c>
      <c r="E147" s="3">
        <v>1.0</v>
      </c>
      <c r="F147" s="3" t="s">
        <v>501</v>
      </c>
      <c r="G147" s="3">
        <v>1.0</v>
      </c>
      <c r="H147" s="3">
        <v>0.0</v>
      </c>
      <c r="I147" s="3" t="s">
        <v>13</v>
      </c>
      <c r="J147" s="3" t="s">
        <v>502</v>
      </c>
      <c r="K147" s="3" t="s">
        <v>503</v>
      </c>
      <c r="L147" s="3" t="str">
        <f>IFERROR(__xludf.DUMMYFUNCTION("GOOGLETRANSLATE(F147,""id"",""en"")"),"Pat Bela Belain Singapore for the World Cup Final Nobar with the Pran Both of them with Messi's fans when Pat Penalties have just cried with pran because they are still cafes back condo new deh more than pukpuk")</f>
        <v>Pat Bela Belain Singapore for the World Cup Final Nobar with the Pran Both of them with Messi's fans when Pat Penalties have just cried with pran because they are still cafes back condo new deh more than pukpuk</v>
      </c>
    </row>
    <row r="148" ht="15.75" customHeight="1">
      <c r="A148" s="1">
        <v>146.0</v>
      </c>
      <c r="B148" s="3" t="s">
        <v>504</v>
      </c>
      <c r="C148" s="3">
        <v>0.0</v>
      </c>
      <c r="D148" s="3">
        <v>0.0</v>
      </c>
      <c r="E148" s="3">
        <v>0.0</v>
      </c>
      <c r="F148" s="3" t="s">
        <v>505</v>
      </c>
      <c r="G148" s="3">
        <v>1.0</v>
      </c>
      <c r="H148" s="3">
        <v>0.0</v>
      </c>
      <c r="I148" s="3" t="s">
        <v>13</v>
      </c>
      <c r="J148" s="3" t="s">
        <v>506</v>
      </c>
      <c r="K148" s="3" t="s">
        <v>54</v>
      </c>
      <c r="L148" s="3" t="str">
        <f>IFERROR(__xludf.DUMMYFUNCTION("GOOGLETRANSLATE(F148,""id"",""en"")"),"Is it just watching the World Cup final")</f>
        <v>Is it just watching the World Cup final</v>
      </c>
    </row>
    <row r="149" ht="15.75" customHeight="1">
      <c r="A149" s="1">
        <v>147.0</v>
      </c>
      <c r="B149" s="3" t="s">
        <v>507</v>
      </c>
      <c r="C149" s="3">
        <v>0.0</v>
      </c>
      <c r="D149" s="3">
        <v>0.0</v>
      </c>
      <c r="E149" s="3">
        <v>0.0</v>
      </c>
      <c r="F149" s="3" t="s">
        <v>508</v>
      </c>
      <c r="G149" s="3">
        <v>1.0</v>
      </c>
      <c r="H149" s="3">
        <v>0.0</v>
      </c>
      <c r="I149" s="3" t="s">
        <v>13</v>
      </c>
      <c r="J149" s="3" t="s">
        <v>509</v>
      </c>
      <c r="K149" s="3" t="s">
        <v>510</v>
      </c>
      <c r="L149" s="3" t="str">
        <f>IFERROR(__xludf.DUMMYFUNCTION("GOOGLETRANSLATE(F149,""id"",""en"")"),"managed to score the final goal of the Qatar World Cup Kylian Mbappe failed to bring France Champion")</f>
        <v>managed to score the final goal of the Qatar World Cup Kylian Mbappe failed to bring France Champion</v>
      </c>
    </row>
    <row r="150" ht="15.75" customHeight="1">
      <c r="A150" s="1">
        <v>148.0</v>
      </c>
      <c r="B150" s="3" t="s">
        <v>511</v>
      </c>
      <c r="C150" s="3">
        <v>7.0</v>
      </c>
      <c r="D150" s="3">
        <v>19.0</v>
      </c>
      <c r="E150" s="3">
        <v>83.0</v>
      </c>
      <c r="F150" s="3" t="s">
        <v>512</v>
      </c>
      <c r="G150" s="3">
        <v>1.0</v>
      </c>
      <c r="H150" s="3">
        <v>0.05</v>
      </c>
      <c r="I150" s="3" t="s">
        <v>48</v>
      </c>
      <c r="J150" s="3" t="s">
        <v>513</v>
      </c>
      <c r="K150" s="3" t="s">
        <v>510</v>
      </c>
      <c r="L150" s="3" t="str">
        <f>IFERROR(__xludf.DUMMYFUNCTION("GOOGLETRANSLATE(F150,""id"",""en"")"),"The most wow of the World Cup final is that this is a very fast person to make Argentina Photoshop poster champion Edaaaan")</f>
        <v>The most wow of the World Cup final is that this is a very fast person to make Argentina Photoshop poster champion Edaaaan</v>
      </c>
    </row>
    <row r="151" ht="15.75" customHeight="1">
      <c r="A151" s="1">
        <v>149.0</v>
      </c>
      <c r="B151" s="3" t="s">
        <v>514</v>
      </c>
      <c r="C151" s="3">
        <v>0.0</v>
      </c>
      <c r="D151" s="3">
        <v>0.0</v>
      </c>
      <c r="E151" s="3">
        <v>0.0</v>
      </c>
      <c r="F151" s="3" t="s">
        <v>515</v>
      </c>
      <c r="G151" s="3">
        <v>1.0</v>
      </c>
      <c r="H151" s="3">
        <v>0.0</v>
      </c>
      <c r="I151" s="3" t="s">
        <v>13</v>
      </c>
      <c r="J151" s="3" t="s">
        <v>516</v>
      </c>
      <c r="K151" s="3" t="s">
        <v>54</v>
      </c>
      <c r="L151" s="3" t="str">
        <f>IFERROR(__xludf.DUMMYFUNCTION("GOOGLETRANSLATE(F151,""id"",""en"")"),"Sek of World Cup Iki Wes Final")</f>
        <v>Sek of World Cup Iki Wes Final</v>
      </c>
    </row>
    <row r="152" ht="15.75" customHeight="1">
      <c r="A152" s="1">
        <v>150.0</v>
      </c>
      <c r="B152" s="3" t="s">
        <v>517</v>
      </c>
      <c r="C152" s="3">
        <v>0.0</v>
      </c>
      <c r="D152" s="3">
        <v>0.0</v>
      </c>
      <c r="E152" s="3">
        <v>0.0</v>
      </c>
      <c r="F152" s="3" t="s">
        <v>518</v>
      </c>
      <c r="G152" s="3">
        <v>1.0</v>
      </c>
      <c r="H152" s="3">
        <v>0.0</v>
      </c>
      <c r="I152" s="3" t="s">
        <v>13</v>
      </c>
      <c r="J152" s="3" t="s">
        <v>519</v>
      </c>
      <c r="K152" s="3" t="s">
        <v>520</v>
      </c>
      <c r="L152" s="3" t="str">
        <f>IFERROR(__xludf.DUMMYFUNCTION("GOOGLETRANSLATE(F152,""id"",""en"")"),"Last night I watched the World Cup Final Emng Suda feeling Argentina won Vamos in the World Cup Continuing the AFF Cup")</f>
        <v>Last night I watched the World Cup Final Emng Suda feeling Argentina won Vamos in the World Cup Continuing the AFF Cup</v>
      </c>
    </row>
    <row r="153" ht="15.75" customHeight="1">
      <c r="A153" s="1">
        <v>151.0</v>
      </c>
      <c r="B153" s="3" t="s">
        <v>521</v>
      </c>
      <c r="C153" s="3">
        <v>0.0</v>
      </c>
      <c r="D153" s="3">
        <v>0.0</v>
      </c>
      <c r="E153" s="3">
        <v>0.0</v>
      </c>
      <c r="F153" s="3" t="s">
        <v>522</v>
      </c>
      <c r="G153" s="3">
        <v>1.0</v>
      </c>
      <c r="H153" s="3">
        <v>0.0</v>
      </c>
      <c r="I153" s="3" t="s">
        <v>13</v>
      </c>
      <c r="J153" s="3" t="s">
        <v>523</v>
      </c>
      <c r="K153" s="3" t="s">
        <v>50</v>
      </c>
      <c r="L153" s="3" t="str">
        <f>IFERROR(__xludf.DUMMYFUNCTION("GOOGLETRANSLATE(F153,""id"",""en"")"),"There are people asking to be accompanied by watching the World Cup final but it's really hard to build")</f>
        <v>There are people asking to be accompanied by watching the World Cup final but it's really hard to build</v>
      </c>
    </row>
    <row r="154" ht="15.75" customHeight="1">
      <c r="A154" s="1">
        <v>152.0</v>
      </c>
      <c r="B154" s="3" t="s">
        <v>524</v>
      </c>
      <c r="C154" s="3">
        <v>0.0</v>
      </c>
      <c r="D154" s="3">
        <v>0.0</v>
      </c>
      <c r="E154" s="3">
        <v>0.0</v>
      </c>
      <c r="F154" s="3" t="s">
        <v>525</v>
      </c>
      <c r="G154" s="3">
        <v>1.0</v>
      </c>
      <c r="H154" s="3">
        <v>0.0</v>
      </c>
      <c r="I154" s="3" t="s">
        <v>13</v>
      </c>
      <c r="J154" s="3" t="s">
        <v>526</v>
      </c>
      <c r="K154" s="3" t="s">
        <v>82</v>
      </c>
      <c r="L154" s="3" t="str">
        <f>IFERROR(__xludf.DUMMYFUNCTION("GOOGLETRANSLATE(F154,""id"",""en"")"),"you can deny this the most memorable final during the World Cup")</f>
        <v>you can deny this the most memorable final during the World Cup</v>
      </c>
    </row>
    <row r="155" ht="15.75" customHeight="1">
      <c r="A155" s="1">
        <v>153.0</v>
      </c>
      <c r="B155" s="3" t="s">
        <v>527</v>
      </c>
      <c r="C155" s="3">
        <v>1.0</v>
      </c>
      <c r="D155" s="3">
        <v>5.0</v>
      </c>
      <c r="E155" s="3">
        <v>33.0</v>
      </c>
      <c r="F155" s="3" t="s">
        <v>528</v>
      </c>
      <c r="G155" s="3">
        <v>1.0</v>
      </c>
      <c r="H155" s="3">
        <v>0.0</v>
      </c>
      <c r="I155" s="3" t="s">
        <v>13</v>
      </c>
      <c r="J155" s="3" t="s">
        <v>529</v>
      </c>
      <c r="K155" s="3" t="s">
        <v>510</v>
      </c>
      <c r="L155" s="3" t="str">
        <f>IFERROR(__xludf.DUMMYFUNCTION("GOOGLETRANSLATE(F155,""id"",""en"")"),"Argentina French Final of the Best World Cup Final Messi and Mbappe Crazy today the winner of football")</f>
        <v>Argentina French Final of the Best World Cup Final Messi and Mbappe Crazy today the winner of football</v>
      </c>
    </row>
    <row r="156" ht="15.75" customHeight="1">
      <c r="A156" s="1">
        <v>154.0</v>
      </c>
      <c r="B156" s="3" t="s">
        <v>530</v>
      </c>
      <c r="C156" s="3">
        <v>0.0</v>
      </c>
      <c r="D156" s="3">
        <v>3.0</v>
      </c>
      <c r="E156" s="3">
        <v>18.0</v>
      </c>
      <c r="F156" s="3" t="s">
        <v>531</v>
      </c>
      <c r="G156" s="3">
        <v>1.0</v>
      </c>
      <c r="H156" s="3">
        <v>0.0</v>
      </c>
      <c r="I156" s="3" t="s">
        <v>13</v>
      </c>
      <c r="J156" s="3" t="s">
        <v>532</v>
      </c>
      <c r="K156" s="3" t="s">
        <v>510</v>
      </c>
      <c r="L156" s="3" t="str">
        <f>IFERROR(__xludf.DUMMYFUNCTION("GOOGLETRANSLATE(F156,""id"",""en"")"),"The final lesson of the Argentina French World Cup, the extraordinary peak party, Messi is legitimate")</f>
        <v>The final lesson of the Argentina French World Cup, the extraordinary peak party, Messi is legitimate</v>
      </c>
    </row>
    <row r="157" ht="15.75" customHeight="1">
      <c r="A157" s="1">
        <v>155.0</v>
      </c>
      <c r="B157" s="3" t="s">
        <v>533</v>
      </c>
      <c r="C157" s="3">
        <v>0.0</v>
      </c>
      <c r="D157" s="3">
        <v>2.0</v>
      </c>
      <c r="E157" s="3">
        <v>0.0</v>
      </c>
      <c r="F157" s="3" t="s">
        <v>534</v>
      </c>
      <c r="G157" s="3">
        <v>1.0</v>
      </c>
      <c r="H157" s="3">
        <v>0.0</v>
      </c>
      <c r="I157" s="3" t="s">
        <v>13</v>
      </c>
      <c r="J157" s="3" t="s">
        <v>535</v>
      </c>
      <c r="K157" s="3" t="s">
        <v>19</v>
      </c>
      <c r="L157" s="3" t="str">
        <f>IFERROR(__xludf.DUMMYFUNCTION("GOOGLETRANSLATE(F157,""id"",""en"")"),"Make sure customers enjoy the World Cup Final Comfortfully PLN guarantee enough electricity supply")</f>
        <v>Make sure customers enjoy the World Cup Final Comfortfully PLN guarantee enough electricity supply</v>
      </c>
    </row>
    <row r="158" ht="15.75" customHeight="1">
      <c r="A158" s="1">
        <v>156.0</v>
      </c>
      <c r="B158" s="3" t="s">
        <v>536</v>
      </c>
      <c r="C158" s="3">
        <v>0.0</v>
      </c>
      <c r="D158" s="3">
        <v>0.0</v>
      </c>
      <c r="E158" s="3">
        <v>0.0</v>
      </c>
      <c r="F158" s="3" t="s">
        <v>537</v>
      </c>
      <c r="G158" s="3">
        <v>1.0</v>
      </c>
      <c r="H158" s="3">
        <v>0.0</v>
      </c>
      <c r="I158" s="3" t="s">
        <v>13</v>
      </c>
      <c r="J158" s="3" t="s">
        <v>538</v>
      </c>
      <c r="K158" s="3" t="s">
        <v>41</v>
      </c>
      <c r="L158" s="3" t="str">
        <f>IFERROR(__xludf.DUMMYFUNCTION("GOOGLETRANSLATE(F158,""id"",""en"")"),"Rich has a very pride overslept the World Cup Final")</f>
        <v>Rich has a very pride overslept the World Cup Final</v>
      </c>
    </row>
    <row r="159" ht="15.75" customHeight="1">
      <c r="A159" s="1">
        <v>157.0</v>
      </c>
      <c r="B159" s="3" t="s">
        <v>539</v>
      </c>
      <c r="C159" s="3">
        <v>0.0</v>
      </c>
      <c r="D159" s="3">
        <v>0.0</v>
      </c>
      <c r="E159" s="3">
        <v>1.0</v>
      </c>
      <c r="F159" s="3" t="s">
        <v>540</v>
      </c>
      <c r="G159" s="3">
        <v>1.0</v>
      </c>
      <c r="H159" s="3">
        <v>0.0</v>
      </c>
      <c r="I159" s="3" t="s">
        <v>13</v>
      </c>
      <c r="J159" s="3" t="s">
        <v>541</v>
      </c>
      <c r="K159" s="3" t="s">
        <v>75</v>
      </c>
      <c r="L159" s="3" t="str">
        <f>IFERROR(__xludf.DUMMYFUNCTION("GOOGLETRANSLATE(F159,""id"",""en"")"),"Kylian Mbappe Lionel Messi's friendship and a piece of the World Cup final moment")</f>
        <v>Kylian Mbappe Lionel Messi's friendship and a piece of the World Cup final moment</v>
      </c>
    </row>
    <row r="160" ht="15.75" customHeight="1">
      <c r="A160" s="1">
        <v>158.0</v>
      </c>
      <c r="B160" s="3" t="s">
        <v>542</v>
      </c>
      <c r="C160" s="3">
        <v>0.0</v>
      </c>
      <c r="D160" s="3">
        <v>0.0</v>
      </c>
      <c r="E160" s="3">
        <v>0.0</v>
      </c>
      <c r="F160" s="3" t="s">
        <v>542</v>
      </c>
      <c r="G160" s="3">
        <v>1.0</v>
      </c>
      <c r="H160" s="3">
        <v>0.0</v>
      </c>
      <c r="I160" s="3" t="s">
        <v>13</v>
      </c>
      <c r="J160" s="3" t="s">
        <v>543</v>
      </c>
      <c r="K160" s="3" t="s">
        <v>50</v>
      </c>
      <c r="L160" s="3" t="str">
        <f>IFERROR(__xludf.DUMMYFUNCTION("GOOGLETRANSLATE(F160,""id"",""en"")"),"During watching the World Cup final, I can't not think about Raul Lemos when you see Mbappe")</f>
        <v>During watching the World Cup final, I can't not think about Raul Lemos when you see Mbappe</v>
      </c>
    </row>
    <row r="161" ht="15.75" customHeight="1">
      <c r="A161" s="1">
        <v>159.0</v>
      </c>
      <c r="B161" s="3" t="s">
        <v>544</v>
      </c>
      <c r="C161" s="3">
        <v>53.0</v>
      </c>
      <c r="D161" s="3">
        <v>5.0</v>
      </c>
      <c r="E161" s="3">
        <v>77.0</v>
      </c>
      <c r="F161" s="3" t="s">
        <v>545</v>
      </c>
      <c r="G161" s="3">
        <v>1.0</v>
      </c>
      <c r="H161" s="3">
        <v>0.0</v>
      </c>
      <c r="I161" s="3" t="s">
        <v>13</v>
      </c>
      <c r="J161" s="3" t="s">
        <v>546</v>
      </c>
      <c r="K161" s="3" t="s">
        <v>50</v>
      </c>
      <c r="L161" s="3" t="str">
        <f>IFERROR(__xludf.DUMMYFUNCTION("GOOGLETRANSLATE(F161,""id"",""en"")"),"Ukraine immediately FIFA Kecam after being unable to spend before the Qatar World Cup final match")</f>
        <v>Ukraine immediately FIFA Kecam after being unable to spend before the Qatar World Cup final match</v>
      </c>
    </row>
    <row r="162" ht="15.75" customHeight="1">
      <c r="A162" s="1">
        <v>160.0</v>
      </c>
      <c r="B162" s="3" t="s">
        <v>547</v>
      </c>
      <c r="C162" s="3">
        <v>0.0</v>
      </c>
      <c r="D162" s="3">
        <v>3.0</v>
      </c>
      <c r="E162" s="3">
        <v>0.0</v>
      </c>
      <c r="F162" s="3" t="s">
        <v>548</v>
      </c>
      <c r="G162" s="3">
        <v>1.0</v>
      </c>
      <c r="H162" s="3">
        <v>0.0</v>
      </c>
      <c r="I162" s="3" t="s">
        <v>13</v>
      </c>
      <c r="J162" s="3" t="s">
        <v>549</v>
      </c>
      <c r="K162" s="3" t="s">
        <v>19</v>
      </c>
      <c r="L162" s="3" t="str">
        <f>IFERROR(__xludf.DUMMYFUNCTION("GOOGLETRANSLATE(F162,""id"",""en"")"),"Kylian Mbappe Print Final Hattrick Samai Record Geoff Hurst from England at the World Cup")</f>
        <v>Kylian Mbappe Print Final Hattrick Samai Record Geoff Hurst from England at the World Cup</v>
      </c>
    </row>
    <row r="163" ht="15.75" customHeight="1">
      <c r="A163" s="1">
        <v>161.0</v>
      </c>
      <c r="B163" s="3" t="s">
        <v>550</v>
      </c>
      <c r="C163" s="3">
        <v>0.0</v>
      </c>
      <c r="D163" s="3">
        <v>0.0</v>
      </c>
      <c r="E163" s="3">
        <v>0.0</v>
      </c>
      <c r="F163" s="3" t="s">
        <v>551</v>
      </c>
      <c r="G163" s="3">
        <v>1.0</v>
      </c>
      <c r="H163" s="3">
        <v>0.0</v>
      </c>
      <c r="I163" s="3" t="s">
        <v>13</v>
      </c>
      <c r="J163" s="3" t="s">
        <v>552</v>
      </c>
      <c r="K163" s="3" t="s">
        <v>75</v>
      </c>
      <c r="L163" s="3" t="str">
        <f>IFERROR(__xludf.DUMMYFUNCTION("GOOGLETRANSLATE(F163,""id"",""en"")"),"Lionel Messi and Argentina's best players in the French World Cup final")</f>
        <v>Lionel Messi and Argentina's best players in the French World Cup final</v>
      </c>
    </row>
    <row r="164" ht="15.75" customHeight="1">
      <c r="A164" s="1">
        <v>162.0</v>
      </c>
      <c r="B164" s="3" t="s">
        <v>553</v>
      </c>
      <c r="C164" s="3">
        <v>0.0</v>
      </c>
      <c r="D164" s="3">
        <v>2.0</v>
      </c>
      <c r="E164" s="3">
        <v>0.0</v>
      </c>
      <c r="F164" s="3" t="s">
        <v>554</v>
      </c>
      <c r="G164" s="3">
        <v>1.0</v>
      </c>
      <c r="H164" s="3">
        <v>0.0</v>
      </c>
      <c r="I164" s="3" t="s">
        <v>13</v>
      </c>
      <c r="J164" s="3" t="s">
        <v>555</v>
      </c>
      <c r="K164" s="3" t="s">
        <v>41</v>
      </c>
      <c r="L164" s="3" t="str">
        <f>IFERROR(__xludf.DUMMYFUNCTION("GOOGLETRANSLATE(F164,""id"",""en"")"),"before the final of the Macron World Cup and Argentina President had a tweet")</f>
        <v>before the final of the Macron World Cup and Argentina President had a tweet</v>
      </c>
    </row>
    <row r="165" ht="15.75" customHeight="1">
      <c r="A165" s="1">
        <v>163.0</v>
      </c>
      <c r="B165" s="3" t="s">
        <v>556</v>
      </c>
      <c r="C165" s="3">
        <v>0.0</v>
      </c>
      <c r="D165" s="3">
        <v>0.0</v>
      </c>
      <c r="E165" s="3">
        <v>0.0</v>
      </c>
      <c r="F165" s="3" t="s">
        <v>557</v>
      </c>
      <c r="G165" s="3">
        <v>1.0</v>
      </c>
      <c r="H165" s="3">
        <v>0.0</v>
      </c>
      <c r="I165" s="3" t="s">
        <v>13</v>
      </c>
      <c r="J165" s="3" t="s">
        <v>558</v>
      </c>
      <c r="K165" s="3" t="s">
        <v>50</v>
      </c>
      <c r="L165" s="3" t="str">
        <f>IFERROR(__xludf.DUMMYFUNCTION("GOOGLETRANSLATE(F165,""id"",""en"")"),"Print the Final World Cup Final Hattrick Kylian Mbappe is great")</f>
        <v>Print the Final World Cup Final Hattrick Kylian Mbappe is great</v>
      </c>
    </row>
    <row r="166" ht="15.75" customHeight="1">
      <c r="A166" s="1">
        <v>164.0</v>
      </c>
      <c r="B166" s="3" t="s">
        <v>559</v>
      </c>
      <c r="C166" s="3">
        <v>0.0</v>
      </c>
      <c r="D166" s="3">
        <v>0.0</v>
      </c>
      <c r="E166" s="3">
        <v>2.0</v>
      </c>
      <c r="F166" s="3" t="s">
        <v>560</v>
      </c>
      <c r="G166" s="3">
        <v>1.0</v>
      </c>
      <c r="H166" s="3">
        <v>0.0</v>
      </c>
      <c r="I166" s="3" t="s">
        <v>13</v>
      </c>
      <c r="J166" s="3" t="s">
        <v>561</v>
      </c>
      <c r="K166" s="3" t="s">
        <v>510</v>
      </c>
      <c r="L166" s="3" t="str">
        <f>IFERROR(__xludf.DUMMYFUNCTION("GOOGLETRANSLATE(F166,""id"",""en"")"),"The French national team lost a penalty shootout from Argentina World Cup Final What Didier Deschamps said")</f>
        <v>The French national team lost a penalty shootout from Argentina World Cup Final What Didier Deschamps said</v>
      </c>
    </row>
    <row r="167" ht="15.75" customHeight="1">
      <c r="A167" s="1">
        <v>165.0</v>
      </c>
      <c r="B167" s="3" t="s">
        <v>562</v>
      </c>
      <c r="C167" s="3">
        <v>0.0</v>
      </c>
      <c r="D167" s="3">
        <v>4.0</v>
      </c>
      <c r="E167" s="3">
        <v>25.0</v>
      </c>
      <c r="F167" s="3" t="s">
        <v>563</v>
      </c>
      <c r="G167" s="3">
        <v>1.0</v>
      </c>
      <c r="H167" s="3">
        <v>0.0</v>
      </c>
      <c r="I167" s="3" t="s">
        <v>13</v>
      </c>
      <c r="J167" s="3" t="s">
        <v>564</v>
      </c>
      <c r="K167" s="3" t="s">
        <v>75</v>
      </c>
      <c r="L167" s="3" t="str">
        <f>IFERROR(__xludf.DUMMYFUNCTION("GOOGLETRANSLATE(F167,""id"",""en"")"),"Man the match of the French Argentine World Cup Final Lionel Messi")</f>
        <v>Man the match of the French Argentine World Cup Final Lionel Messi</v>
      </c>
    </row>
    <row r="168" ht="15.75" customHeight="1">
      <c r="A168" s="1">
        <v>166.0</v>
      </c>
      <c r="B168" s="3" t="s">
        <v>565</v>
      </c>
      <c r="C168" s="3">
        <v>0.0</v>
      </c>
      <c r="D168" s="3">
        <v>0.0</v>
      </c>
      <c r="E168" s="3">
        <v>0.0</v>
      </c>
      <c r="F168" s="3" t="s">
        <v>566</v>
      </c>
      <c r="G168" s="3">
        <v>1.0</v>
      </c>
      <c r="H168" s="3">
        <v>0.0</v>
      </c>
      <c r="I168" s="3" t="s">
        <v>13</v>
      </c>
      <c r="J168" s="3" t="s">
        <v>567</v>
      </c>
      <c r="K168" s="3" t="s">
        <v>50</v>
      </c>
      <c r="L168" s="3" t="str">
        <f>IFERROR(__xludf.DUMMYFUNCTION("GOOGLETRANSLATE(F168,""id"",""en"")"),"The World Cup Final was very sad even though the fast was finally avenged later")</f>
        <v>The World Cup Final was very sad even though the fast was finally avenged later</v>
      </c>
    </row>
    <row r="169" ht="15.75" customHeight="1">
      <c r="A169" s="1">
        <v>167.0</v>
      </c>
      <c r="B169" s="3" t="s">
        <v>568</v>
      </c>
      <c r="C169" s="3">
        <v>0.0</v>
      </c>
      <c r="D169" s="3">
        <v>0.0</v>
      </c>
      <c r="E169" s="3">
        <v>0.0</v>
      </c>
      <c r="F169" s="3" t="s">
        <v>569</v>
      </c>
      <c r="G169" s="3">
        <v>0.6833333333333332</v>
      </c>
      <c r="H169" s="3">
        <v>0.2833333333333333</v>
      </c>
      <c r="I169" s="3" t="s">
        <v>48</v>
      </c>
      <c r="J169" s="3" t="s">
        <v>570</v>
      </c>
      <c r="K169" s="3" t="s">
        <v>374</v>
      </c>
      <c r="L169" s="3" t="str">
        <f>IFERROR(__xludf.DUMMYFUNCTION("GOOGLETRANSLATE(F169,""id"",""en"")"),"Full time goals from the Qatar World Cup final match Argentina lost France Lusail Iconic Stadium Lusail Qatar on Sunday December I won the trophy very Lionel Messi et al Argentina Champion")</f>
        <v>Full time goals from the Qatar World Cup final match Argentina lost France Lusail Iconic Stadium Lusail Qatar on Sunday December I won the trophy very Lionel Messi et al Argentina Champion</v>
      </c>
    </row>
    <row r="170" ht="15.75" customHeight="1">
      <c r="A170" s="1">
        <v>168.0</v>
      </c>
      <c r="B170" s="3" t="s">
        <v>571</v>
      </c>
      <c r="C170" s="3">
        <v>0.0</v>
      </c>
      <c r="D170" s="3">
        <v>0.0</v>
      </c>
      <c r="E170" s="3">
        <v>2.0</v>
      </c>
      <c r="F170" s="3" t="s">
        <v>572</v>
      </c>
      <c r="G170" s="3">
        <v>0.5666666666666667</v>
      </c>
      <c r="H170" s="3">
        <v>0.1</v>
      </c>
      <c r="I170" s="3" t="s">
        <v>48</v>
      </c>
      <c r="J170" s="3" t="s">
        <v>573</v>
      </c>
      <c r="K170" s="3" t="s">
        <v>574</v>
      </c>
      <c r="L170" s="3" t="str">
        <f>IFERROR(__xludf.DUMMYFUNCTION("GOOGLETRANSLATE(F170,""id"",""en"")"),"Final Ter Epic World Cup that I have watched Dag Dig Dug Der congratulations to the Lioneimesi national team maybe you are the real goat congratulations you deserve it")</f>
        <v>Final Ter Epic World Cup that I have watched Dag Dig Dug Der congratulations to the Lioneimesi national team maybe you are the real goat congratulations you deserve it</v>
      </c>
    </row>
    <row r="171" ht="15.75" customHeight="1">
      <c r="A171" s="1">
        <v>169.0</v>
      </c>
      <c r="B171" s="3" t="s">
        <v>575</v>
      </c>
      <c r="C171" s="3">
        <v>0.0</v>
      </c>
      <c r="D171" s="3">
        <v>0.0</v>
      </c>
      <c r="E171" s="3">
        <v>0.0</v>
      </c>
      <c r="F171" s="3" t="s">
        <v>576</v>
      </c>
      <c r="G171" s="3">
        <v>1.0</v>
      </c>
      <c r="H171" s="3">
        <v>0.0</v>
      </c>
      <c r="I171" s="3" t="s">
        <v>13</v>
      </c>
      <c r="J171" s="3" t="s">
        <v>577</v>
      </c>
      <c r="K171" s="3" t="s">
        <v>31</v>
      </c>
      <c r="L171" s="3" t="str">
        <f>IFERROR(__xludf.DUMMYFUNCTION("GOOGLETRANSLATE(F171,""id"",""en"")"),"Match Final World Cup")</f>
        <v>Match Final World Cup</v>
      </c>
    </row>
    <row r="172" ht="15.75" customHeight="1">
      <c r="A172" s="1">
        <v>170.0</v>
      </c>
      <c r="B172" s="3" t="s">
        <v>578</v>
      </c>
      <c r="C172" s="3">
        <v>2.0</v>
      </c>
      <c r="D172" s="3">
        <v>1.0</v>
      </c>
      <c r="E172" s="3">
        <v>2.0</v>
      </c>
      <c r="F172" s="3" t="s">
        <v>579</v>
      </c>
      <c r="G172" s="3">
        <v>1.0</v>
      </c>
      <c r="H172" s="3">
        <v>0.0</v>
      </c>
      <c r="I172" s="3" t="s">
        <v>13</v>
      </c>
      <c r="J172" s="3" t="s">
        <v>580</v>
      </c>
      <c r="K172" s="3" t="s">
        <v>456</v>
      </c>
      <c r="L172" s="3" t="str">
        <f>IFERROR(__xludf.DUMMYFUNCTION("GOOGLETRANSLATE(F172,""id"",""en"")"),"The Qatar World Cup is a bell of the change of the Messi era to close this era by going out as world champion Ronaldo faster when returning to the semi -finals, both of them have the same way of heroism in the same era, but for retirement it is still long")</f>
        <v>The Qatar World Cup is a bell of the change of the Messi era to close this era by going out as world champion Ronaldo faster when returning to the semi -finals, both of them have the same way of heroism in the same era, but for retirement it is still long</v>
      </c>
    </row>
    <row r="173" ht="15.75" customHeight="1">
      <c r="A173" s="1">
        <v>171.0</v>
      </c>
      <c r="B173" s="3" t="s">
        <v>581</v>
      </c>
      <c r="C173" s="3">
        <v>0.0</v>
      </c>
      <c r="D173" s="3">
        <v>0.0</v>
      </c>
      <c r="E173" s="3">
        <v>0.0</v>
      </c>
      <c r="F173" s="3" t="s">
        <v>582</v>
      </c>
      <c r="G173" s="3">
        <v>1.0</v>
      </c>
      <c r="H173" s="3">
        <v>0.0</v>
      </c>
      <c r="I173" s="3" t="s">
        <v>13</v>
      </c>
      <c r="J173" s="3" t="s">
        <v>583</v>
      </c>
      <c r="K173" s="3" t="s">
        <v>584</v>
      </c>
      <c r="L173" s="3" t="str">
        <f>IFERROR(__xludf.DUMMYFUNCTION("GOOGLETRANSLATE(F173,""id"",""en"")"),"Buy you all night to watch the World Cup final if I told you to choose of course pro Argentina because there was Messi but was very salute and amazed mbappe teenager before lifting a trophy for France that young was still in that year")</f>
        <v>Buy you all night to watch the World Cup final if I told you to choose of course pro Argentina because there was Messi but was very salute and amazed mbappe teenager before lifting a trophy for France that young was still in that year</v>
      </c>
    </row>
    <row r="174" ht="15.75" customHeight="1">
      <c r="A174" s="1">
        <v>172.0</v>
      </c>
      <c r="B174" s="3" t="s">
        <v>585</v>
      </c>
      <c r="C174" s="3">
        <v>1.0</v>
      </c>
      <c r="D174" s="3">
        <v>0.0</v>
      </c>
      <c r="E174" s="3">
        <v>1.0</v>
      </c>
      <c r="F174" s="3" t="s">
        <v>586</v>
      </c>
      <c r="G174" s="3">
        <v>0.5</v>
      </c>
      <c r="H174" s="3">
        <v>0.0</v>
      </c>
      <c r="I174" s="3" t="s">
        <v>13</v>
      </c>
      <c r="J174" s="3" t="s">
        <v>587</v>
      </c>
      <c r="K174" s="3" t="s">
        <v>90</v>
      </c>
      <c r="L174" s="3" t="str">
        <f>IFERROR(__xludf.DUMMYFUNCTION("GOOGLETRANSLATE(F174,""id"",""en"")"),"Wrong All Argentina using the global elite conspiracy approach might give the World Cup for Messi the last final Monday Manganese delicious")</f>
        <v>Wrong All Argentina using the global elite conspiracy approach might give the World Cup for Messi the last final Monday Manganese delicious</v>
      </c>
    </row>
    <row r="175" ht="15.75" customHeight="1">
      <c r="A175" s="1">
        <v>173.0</v>
      </c>
      <c r="B175" s="3" t="s">
        <v>588</v>
      </c>
      <c r="C175" s="3">
        <v>0.0</v>
      </c>
      <c r="D175" s="3">
        <v>0.0</v>
      </c>
      <c r="E175" s="3">
        <v>0.0</v>
      </c>
      <c r="F175" s="3" t="s">
        <v>589</v>
      </c>
      <c r="G175" s="3">
        <v>1.0</v>
      </c>
      <c r="H175" s="3">
        <v>0.0</v>
      </c>
      <c r="I175" s="3" t="s">
        <v>13</v>
      </c>
      <c r="J175" s="3" t="s">
        <v>590</v>
      </c>
      <c r="K175" s="3" t="s">
        <v>123</v>
      </c>
      <c r="L175" s="3" t="str">
        <f>IFERROR(__xludf.DUMMYFUNCTION("GOOGLETRANSLATE(F175,""id"",""en"")"),"tomorrow tomorrow when planning leaves enter the date after the World Cup final if it falls on Sunday evening")</f>
        <v>tomorrow tomorrow when planning leaves enter the date after the World Cup final if it falls on Sunday evening</v>
      </c>
    </row>
    <row r="176" ht="15.75" customHeight="1">
      <c r="A176" s="1">
        <v>174.0</v>
      </c>
      <c r="B176" s="3" t="s">
        <v>591</v>
      </c>
      <c r="C176" s="3">
        <v>1.0</v>
      </c>
      <c r="D176" s="3">
        <v>3.0</v>
      </c>
      <c r="E176" s="3">
        <v>29.0</v>
      </c>
      <c r="F176" s="3" t="s">
        <v>592</v>
      </c>
      <c r="G176" s="3">
        <v>1.0</v>
      </c>
      <c r="H176" s="3">
        <v>0.0</v>
      </c>
      <c r="I176" s="3" t="s">
        <v>13</v>
      </c>
      <c r="J176" s="3" t="s">
        <v>593</v>
      </c>
      <c r="K176" s="3" t="s">
        <v>228</v>
      </c>
      <c r="L176" s="3" t="str">
        <f>IFERROR(__xludf.DUMMYFUNCTION("GOOGLETRANSLATE(F176,""id"",""en"")"),"I am a football lover, although not a soccer enthusiast, but thank God I managed to prioritize other activities that were more important to rest and sleep and it took place from the beginning of the World Cup until the final I managed to prioritize sleep "&amp;"for sleeping sleep")</f>
        <v>I am a football lover, although not a soccer enthusiast, but thank God I managed to prioritize other activities that were more important to rest and sleep and it took place from the beginning of the World Cup until the final I managed to prioritize sleep for sleeping sleep</v>
      </c>
    </row>
    <row r="177" ht="15.75" customHeight="1">
      <c r="A177" s="1">
        <v>175.0</v>
      </c>
      <c r="B177" s="3" t="s">
        <v>594</v>
      </c>
      <c r="C177" s="3">
        <v>0.0</v>
      </c>
      <c r="D177" s="3">
        <v>0.0</v>
      </c>
      <c r="E177" s="3">
        <v>0.0</v>
      </c>
      <c r="F177" s="3" t="s">
        <v>595</v>
      </c>
      <c r="G177" s="3">
        <v>1.0</v>
      </c>
      <c r="H177" s="3">
        <v>0.0</v>
      </c>
      <c r="I177" s="3" t="s">
        <v>13</v>
      </c>
      <c r="J177" s="3" t="s">
        <v>596</v>
      </c>
      <c r="K177" s="3" t="s">
        <v>54</v>
      </c>
      <c r="L177" s="3" t="str">
        <f>IFERROR(__xludf.DUMMYFUNCTION("GOOGLETRANSLATE(F177,""id"",""en"")"),"Good morning from me who didn't watch the World Cup final")</f>
        <v>Good morning from me who didn't watch the World Cup final</v>
      </c>
    </row>
    <row r="178" ht="15.75" customHeight="1">
      <c r="A178" s="1">
        <v>176.0</v>
      </c>
      <c r="B178" s="3" t="s">
        <v>597</v>
      </c>
      <c r="C178" s="3">
        <v>0.0</v>
      </c>
      <c r="D178" s="3">
        <v>0.0</v>
      </c>
      <c r="E178" s="3">
        <v>1.0</v>
      </c>
      <c r="F178" s="3" t="s">
        <v>598</v>
      </c>
      <c r="G178" s="3">
        <v>0.75</v>
      </c>
      <c r="H178" s="3">
        <v>0.06818181818181818</v>
      </c>
      <c r="I178" s="3" t="s">
        <v>48</v>
      </c>
      <c r="J178" s="3" t="s">
        <v>599</v>
      </c>
      <c r="K178" s="3" t="s">
        <v>374</v>
      </c>
      <c r="L178" s="3" t="str">
        <f>IFERROR(__xludf.DUMMYFUNCTION("GOOGLETRANSLATE(F178,""id"",""en"")"),"Totogel Togel Site Online Live Casino Sport Sports Best Best Trusted Online Indonesia Largest Indonesian World Cup Match Match The Argentine National Team with the French national team ended with a score and victory in favor of the Argentine national team")</f>
        <v>Totogel Togel Site Online Live Casino Sport Sports Best Best Trusted Online Indonesia Largest Indonesian World Cup Match Match The Argentine National Team with the French national team ended with a score and victory in favor of the Argentine national team</v>
      </c>
    </row>
    <row r="179" ht="15.75" customHeight="1">
      <c r="A179" s="1">
        <v>177.0</v>
      </c>
      <c r="B179" s="3" t="s">
        <v>600</v>
      </c>
      <c r="C179" s="3">
        <v>0.0</v>
      </c>
      <c r="D179" s="3">
        <v>0.0</v>
      </c>
      <c r="E179" s="3">
        <v>3.0</v>
      </c>
      <c r="F179" s="3" t="s">
        <v>601</v>
      </c>
      <c r="G179" s="3">
        <v>1.0</v>
      </c>
      <c r="H179" s="3">
        <v>0.0</v>
      </c>
      <c r="I179" s="3" t="s">
        <v>13</v>
      </c>
      <c r="J179" s="3" t="s">
        <v>602</v>
      </c>
      <c r="K179" s="3" t="s">
        <v>603</v>
      </c>
      <c r="L179" s="3" t="str">
        <f>IFERROR(__xludf.DUMMYFUNCTION("GOOGLETRANSLATE(F179,""id"",""en"")"),"The Argentine national team managed to complete their progress of the Qatar World Cup with the Argentine national team successfully out as champions after defeating France of the final party")</f>
        <v>The Argentine national team managed to complete their progress of the Qatar World Cup with the Argentine national team successfully out as champions after defeating France of the final party</v>
      </c>
    </row>
    <row r="180" ht="15.75" customHeight="1">
      <c r="A180" s="1">
        <v>178.0</v>
      </c>
      <c r="B180" s="3" t="s">
        <v>604</v>
      </c>
      <c r="C180" s="3">
        <v>0.0</v>
      </c>
      <c r="D180" s="3">
        <v>0.0</v>
      </c>
      <c r="E180" s="3">
        <v>0.0</v>
      </c>
      <c r="F180" s="3" t="s">
        <v>605</v>
      </c>
      <c r="G180" s="3">
        <v>1.0</v>
      </c>
      <c r="H180" s="3">
        <v>0.0</v>
      </c>
      <c r="I180" s="3" t="s">
        <v>13</v>
      </c>
      <c r="J180" s="3" t="s">
        <v>606</v>
      </c>
      <c r="K180" s="3" t="s">
        <v>15</v>
      </c>
      <c r="L180" s="3" t="str">
        <f>IFERROR(__xludf.DUMMYFUNCTION("GOOGLETRANSLATE(F180,""id"",""en"")"),"I'm Fomo because the keturon doesn't go to the World Cup final")</f>
        <v>I'm Fomo because the keturon doesn't go to the World Cup final</v>
      </c>
    </row>
    <row r="181" ht="15.75" customHeight="1">
      <c r="A181" s="1">
        <v>179.0</v>
      </c>
      <c r="B181" s="3" t="s">
        <v>607</v>
      </c>
      <c r="C181" s="3">
        <v>0.0</v>
      </c>
      <c r="D181" s="3">
        <v>0.0</v>
      </c>
      <c r="E181" s="3">
        <v>0.0</v>
      </c>
      <c r="F181" s="3" t="s">
        <v>608</v>
      </c>
      <c r="G181" s="3">
        <v>1.0</v>
      </c>
      <c r="H181" s="3">
        <v>0.0</v>
      </c>
      <c r="I181" s="3" t="s">
        <v>13</v>
      </c>
      <c r="J181" s="3" t="s">
        <v>609</v>
      </c>
      <c r="K181" s="3" t="s">
        <v>610</v>
      </c>
      <c r="L181" s="3" t="str">
        <f>IFERROR(__xludf.DUMMYFUNCTION("GOOGLETRANSLATE(F181,""id"",""en"")"),"Countries that have entered the World Cup final in a row participating in Italy champion Brazil champion champion champion Runner Argentina champion champion French champion runner champion")</f>
        <v>Countries that have entered the World Cup final in a row participating in Italy champion Brazil champion champion champion Runner Argentina champion champion French champion runner champion</v>
      </c>
    </row>
    <row r="182" ht="15.75" customHeight="1">
      <c r="A182" s="1">
        <v>180.0</v>
      </c>
      <c r="B182" s="3" t="s">
        <v>611</v>
      </c>
      <c r="C182" s="3">
        <v>0.0</v>
      </c>
      <c r="D182" s="3">
        <v>0.0</v>
      </c>
      <c r="E182" s="3">
        <v>1.0</v>
      </c>
      <c r="F182" s="3" t="s">
        <v>612</v>
      </c>
      <c r="G182" s="3">
        <v>1.0</v>
      </c>
      <c r="H182" s="3">
        <v>0.0</v>
      </c>
      <c r="I182" s="3" t="s">
        <v>13</v>
      </c>
      <c r="J182" s="3" t="s">
        <v>613</v>
      </c>
      <c r="K182" s="3" t="s">
        <v>614</v>
      </c>
      <c r="L182" s="3" t="str">
        <f>IFERROR(__xludf.DUMMYFUNCTION("GOOGLETRANSLATE(F182,""id"",""en"")"),"It doesn't support Russia or Ukraine, but if you want to share a political message, don't final the World Cup but the UN General Assembly Session is wrong and the wrong moment")</f>
        <v>It doesn't support Russia or Ukraine, but if you want to share a political message, don't final the World Cup but the UN General Assembly Session is wrong and the wrong moment</v>
      </c>
    </row>
    <row r="183" ht="15.75" customHeight="1">
      <c r="A183" s="1">
        <v>181.0</v>
      </c>
      <c r="B183" s="3" t="s">
        <v>615</v>
      </c>
      <c r="C183" s="3">
        <v>1.0</v>
      </c>
      <c r="D183" s="3">
        <v>0.0</v>
      </c>
      <c r="E183" s="3">
        <v>3.0</v>
      </c>
      <c r="F183" s="3" t="s">
        <v>616</v>
      </c>
      <c r="G183" s="3">
        <v>1.0</v>
      </c>
      <c r="H183" s="3">
        <v>0.0</v>
      </c>
      <c r="I183" s="3" t="s">
        <v>13</v>
      </c>
      <c r="J183" s="3" t="s">
        <v>617</v>
      </c>
      <c r="K183" s="3" t="s">
        <v>266</v>
      </c>
      <c r="L183" s="3" t="str">
        <f>IFERROR(__xludf.DUMMYFUNCTION("GOOGLETRANSLATE(F183,""id"",""en"")"),"It will be even more perfect if he can lift the World Cup trophy from the past I see him the final world champion of this night every Argentina Igestine I was touched by a cry of imagination.")</f>
        <v>It will be even more perfect if he can lift the World Cup trophy from the past I see him the final world champion of this night every Argentina Igestine I was touched by a cry of imagination.</v>
      </c>
    </row>
    <row r="184" ht="15.75" customHeight="1">
      <c r="A184" s="1">
        <v>182.0</v>
      </c>
      <c r="B184" s="3" t="s">
        <v>618</v>
      </c>
      <c r="C184" s="3">
        <v>1.0</v>
      </c>
      <c r="D184" s="3">
        <v>0.0</v>
      </c>
      <c r="E184" s="3">
        <v>0.0</v>
      </c>
      <c r="F184" s="3" t="s">
        <v>619</v>
      </c>
      <c r="G184" s="3">
        <v>0.7999999999999999</v>
      </c>
      <c r="H184" s="3">
        <v>0.2333333333333333</v>
      </c>
      <c r="I184" s="3" t="s">
        <v>48</v>
      </c>
      <c r="J184" s="3" t="s">
        <v>620</v>
      </c>
      <c r="K184" s="3" t="s">
        <v>510</v>
      </c>
      <c r="L184" s="3" t="str">
        <f>IFERROR(__xludf.DUMMYFUNCTION("GOOGLETRANSLATE(F184,""id"",""en"")"),"Relieved to feel even though last night Deg was waiting for the Grand Final of the World Cup hahaha")</f>
        <v>Relieved to feel even though last night Deg was waiting for the Grand Final of the World Cup hahaha</v>
      </c>
    </row>
    <row r="185" ht="15.75" customHeight="1">
      <c r="A185" s="1">
        <v>183.0</v>
      </c>
      <c r="B185" s="3" t="s">
        <v>621</v>
      </c>
      <c r="C185" s="3">
        <v>1.0</v>
      </c>
      <c r="D185" s="3">
        <v>0.0</v>
      </c>
      <c r="E185" s="3">
        <v>3.0</v>
      </c>
      <c r="F185" s="3" t="s">
        <v>622</v>
      </c>
      <c r="G185" s="3">
        <v>0.6416666666666666</v>
      </c>
      <c r="H185" s="3">
        <v>0.2333333333333334</v>
      </c>
      <c r="I185" s="3" t="s">
        <v>48</v>
      </c>
      <c r="J185" s="3" t="s">
        <v>623</v>
      </c>
      <c r="K185" s="3" t="s">
        <v>215</v>
      </c>
      <c r="L185" s="3" t="str">
        <f>IFERROR(__xludf.DUMMYFUNCTION("GOOGLETRANSLATE(F185,""id"",""en"")"),"Redsindo Mbappe is not impossible he has won a high -aged champions league with Ballon, just a world cup final hat trick, it's a crazy thing have a bright future.")</f>
        <v>Redsindo Mbappe is not impossible he has won a high -aged champions league with Ballon, just a world cup final hat trick, it's a crazy thing have a bright future.</v>
      </c>
    </row>
    <row r="186" ht="15.75" customHeight="1">
      <c r="A186" s="1">
        <v>184.0</v>
      </c>
      <c r="B186" s="3" t="s">
        <v>624</v>
      </c>
      <c r="C186" s="3">
        <v>0.0</v>
      </c>
      <c r="D186" s="3">
        <v>0.0</v>
      </c>
      <c r="E186" s="3">
        <v>0.0</v>
      </c>
      <c r="F186" s="3" t="s">
        <v>624</v>
      </c>
      <c r="G186" s="3">
        <v>1.0</v>
      </c>
      <c r="H186" s="3">
        <v>0.25</v>
      </c>
      <c r="I186" s="3" t="s">
        <v>48</v>
      </c>
      <c r="J186" s="3" t="s">
        <v>625</v>
      </c>
      <c r="K186" s="3" t="s">
        <v>41</v>
      </c>
      <c r="L186" s="3" t="str">
        <f>IFERROR(__xludf.DUMMYFUNCTION("GOOGLETRANSLATE(F186,""id"",""en"")"),"Last night defended begang to watch the World Cup Grand Final")</f>
        <v>Last night defended begang to watch the World Cup Grand Final</v>
      </c>
    </row>
    <row r="187" ht="15.75" customHeight="1">
      <c r="A187" s="1">
        <v>185.0</v>
      </c>
      <c r="B187" s="3" t="s">
        <v>626</v>
      </c>
      <c r="C187" s="3">
        <v>0.0</v>
      </c>
      <c r="D187" s="3">
        <v>0.0</v>
      </c>
      <c r="E187" s="3">
        <v>0.0</v>
      </c>
      <c r="F187" s="3" t="s">
        <v>627</v>
      </c>
      <c r="G187" s="3">
        <v>1.0</v>
      </c>
      <c r="H187" s="3">
        <v>0.0</v>
      </c>
      <c r="I187" s="3" t="s">
        <v>13</v>
      </c>
      <c r="J187" s="3" t="s">
        <v>628</v>
      </c>
      <c r="K187" s="3" t="s">
        <v>149</v>
      </c>
      <c r="L187" s="3" t="str">
        <f>IFERROR(__xludf.DUMMYFUNCTION("GOOGLETRANSLATE(F187,""id"",""en"")"),"Still the rispek is bad with Mbappe after seeing the re -broadcast is really crazy, mbappe well played guys the world cup final this time exciting seriously")</f>
        <v>Still the rispek is bad with Mbappe after seeing the re -broadcast is really crazy, mbappe well played guys the world cup final this time exciting seriously</v>
      </c>
    </row>
    <row r="188" ht="15.75" customHeight="1">
      <c r="A188" s="1">
        <v>186.0</v>
      </c>
      <c r="B188" s="3" t="s">
        <v>629</v>
      </c>
      <c r="C188" s="3">
        <v>0.0</v>
      </c>
      <c r="D188" s="3">
        <v>1.0</v>
      </c>
      <c r="E188" s="3">
        <v>9.0</v>
      </c>
      <c r="F188" s="3" t="s">
        <v>320</v>
      </c>
      <c r="G188" s="3">
        <v>1.0</v>
      </c>
      <c r="H188" s="3">
        <v>0.0</v>
      </c>
      <c r="I188" s="3" t="s">
        <v>13</v>
      </c>
      <c r="J188" s="3" t="s">
        <v>321</v>
      </c>
      <c r="K188" s="3" t="s">
        <v>322</v>
      </c>
      <c r="L188" s="3" t="str">
        <f>IFERROR(__xludf.DUMMYFUNCTION("GOOGLETRANSLATE(F188,""id"",""en"")"),"Moment Important Moment of the World Cup Final")</f>
        <v>Moment Important Moment of the World Cup Final</v>
      </c>
    </row>
    <row r="189" ht="15.75" customHeight="1">
      <c r="A189" s="1">
        <v>187.0</v>
      </c>
      <c r="B189" s="3" t="s">
        <v>630</v>
      </c>
      <c r="C189" s="3">
        <v>0.0</v>
      </c>
      <c r="D189" s="3">
        <v>0.0</v>
      </c>
      <c r="E189" s="3">
        <v>0.0</v>
      </c>
      <c r="F189" s="3" t="s">
        <v>631</v>
      </c>
      <c r="G189" s="3">
        <v>1.0</v>
      </c>
      <c r="H189" s="3">
        <v>0.0</v>
      </c>
      <c r="I189" s="3" t="s">
        <v>13</v>
      </c>
      <c r="J189" s="3" t="s">
        <v>632</v>
      </c>
      <c r="K189" s="3" t="s">
        <v>633</v>
      </c>
      <c r="L189" s="3" t="str">
        <f>IFERROR(__xludf.DUMMYFUNCTION("GOOGLETRANSLATE(F189,""id"",""en"")"),"This is the only exciting final using the city of you want to get to know the city, how can you really play with the feeling")</f>
        <v>This is the only exciting final using the city of you want to get to know the city, how can you really play with the feeling</v>
      </c>
    </row>
    <row r="190" ht="15.75" customHeight="1">
      <c r="A190" s="1">
        <v>188.0</v>
      </c>
      <c r="B190" s="3" t="s">
        <v>634</v>
      </c>
      <c r="C190" s="3">
        <v>0.0</v>
      </c>
      <c r="D190" s="3">
        <v>0.0</v>
      </c>
      <c r="E190" s="3">
        <v>15.0</v>
      </c>
      <c r="F190" s="3" t="s">
        <v>635</v>
      </c>
      <c r="G190" s="3">
        <v>1.0</v>
      </c>
      <c r="H190" s="3">
        <v>0.25</v>
      </c>
      <c r="I190" s="3" t="s">
        <v>48</v>
      </c>
      <c r="J190" s="3" t="s">
        <v>636</v>
      </c>
      <c r="K190" s="3" t="s">
        <v>637</v>
      </c>
      <c r="L190" s="3" t="str">
        <f>IFERROR(__xludf.DUMMYFUNCTION("GOOGLETRANSLATE(F190,""id"",""en"")"),"Pangdam Jaya Maj. Gen. Untung Budiharto attended the gift of the competition in the framework of the Metro Jaya Regional Police Anniversary Pangdam Jaya together with the Metro Jaya Regional Police Chief continued to watch the Nobar Grand Final of the Wor"&amp;"ld Cup.")</f>
        <v>Pangdam Jaya Maj. Gen. Untung Budiharto attended the gift of the competition in the framework of the Metro Jaya Regional Police Anniversary Pangdam Jaya together with the Metro Jaya Regional Police Chief continued to watch the Nobar Grand Final of the World Cup.</v>
      </c>
    </row>
    <row r="191" ht="15.75" customHeight="1">
      <c r="A191" s="1">
        <v>189.0</v>
      </c>
      <c r="B191" s="3" t="s">
        <v>638</v>
      </c>
      <c r="C191" s="3">
        <v>0.0</v>
      </c>
      <c r="D191" s="3">
        <v>1.0</v>
      </c>
      <c r="E191" s="3">
        <v>1.0</v>
      </c>
      <c r="F191" s="3" t="s">
        <v>639</v>
      </c>
      <c r="G191" s="3">
        <v>1.0</v>
      </c>
      <c r="H191" s="3">
        <v>0.0</v>
      </c>
      <c r="I191" s="3" t="s">
        <v>13</v>
      </c>
      <c r="J191" s="3" t="s">
        <v>640</v>
      </c>
      <c r="K191" s="3" t="s">
        <v>322</v>
      </c>
      <c r="L191" s="3" t="str">
        <f>IFERROR(__xludf.DUMMYFUNCTION("GOOGLETRANSLATE(F191,""id"",""en"")"),"New World Cup Final Record")</f>
        <v>New World Cup Final Record</v>
      </c>
    </row>
    <row r="192" ht="15.75" customHeight="1">
      <c r="A192" s="1">
        <v>190.0</v>
      </c>
      <c r="B192" s="3" t="s">
        <v>641</v>
      </c>
      <c r="C192" s="3">
        <v>0.0</v>
      </c>
      <c r="D192" s="3">
        <v>0.0</v>
      </c>
      <c r="E192" s="3">
        <v>0.0</v>
      </c>
      <c r="F192" s="3" t="s">
        <v>642</v>
      </c>
      <c r="G192" s="3">
        <v>1.0</v>
      </c>
      <c r="H192" s="3">
        <v>0.0</v>
      </c>
      <c r="I192" s="3" t="s">
        <v>13</v>
      </c>
      <c r="J192" s="3" t="s">
        <v>643</v>
      </c>
      <c r="K192" s="3" t="s">
        <v>644</v>
      </c>
      <c r="L192" s="3" t="str">
        <f>IFERROR(__xludf.DUMMYFUNCTION("GOOGLETRANSLATE(F192,""id"",""en"")"),"The World Cup Final was shocked")</f>
        <v>The World Cup Final was shocked</v>
      </c>
    </row>
    <row r="193" ht="15.75" customHeight="1">
      <c r="A193" s="1">
        <v>191.0</v>
      </c>
      <c r="B193" s="3" t="s">
        <v>645</v>
      </c>
      <c r="C193" s="3">
        <v>0.0</v>
      </c>
      <c r="D193" s="3">
        <v>0.0</v>
      </c>
      <c r="E193" s="3">
        <v>1.0</v>
      </c>
      <c r="F193" s="3" t="s">
        <v>646</v>
      </c>
      <c r="G193" s="3">
        <v>1.0</v>
      </c>
      <c r="H193" s="3">
        <v>0.0</v>
      </c>
      <c r="I193" s="3" t="s">
        <v>13</v>
      </c>
      <c r="J193" s="3" t="s">
        <v>647</v>
      </c>
      <c r="K193" s="3" t="s">
        <v>374</v>
      </c>
      <c r="L193" s="3" t="str">
        <f>IFERROR(__xludf.DUMMYFUNCTION("GOOGLETRANSLATE(F193,""id"",""en"")"),"Whoever the final FIFA FIFA WORLD CUP QATAR ENTH is France and Argentina Klian deserves to be the champion with a very nice damatic game")</f>
        <v>Whoever the final FIFA FIFA WORLD CUP QATAR ENTH is France and Argentina Klian deserves to be the champion with a very nice damatic game</v>
      </c>
    </row>
    <row r="194" ht="15.75" customHeight="1">
      <c r="A194" s="1">
        <v>192.0</v>
      </c>
      <c r="B194" s="3" t="s">
        <v>648</v>
      </c>
      <c r="C194" s="3">
        <v>2.0</v>
      </c>
      <c r="D194" s="3">
        <v>2.0</v>
      </c>
      <c r="E194" s="3">
        <v>28.0</v>
      </c>
      <c r="F194" s="3" t="s">
        <v>649</v>
      </c>
      <c r="G194" s="3">
        <v>1.0</v>
      </c>
      <c r="H194" s="3">
        <v>0.0</v>
      </c>
      <c r="I194" s="3" t="s">
        <v>13</v>
      </c>
      <c r="J194" s="3" t="s">
        <v>650</v>
      </c>
      <c r="K194" s="3" t="s">
        <v>510</v>
      </c>
      <c r="L194" s="3" t="str">
        <f>IFERROR(__xludf.DUMMYFUNCTION("GOOGLETRANSLATE(F194,""id"",""en"")"),"Qatar World Cup Mac Allister Admits Messi is because Argentina won the Astro Stadium Final Action")</f>
        <v>Qatar World Cup Mac Allister Admits Messi is because Argentina won the Astro Stadium Final Action</v>
      </c>
    </row>
    <row r="195" ht="15.75" customHeight="1">
      <c r="A195" s="1">
        <v>193.0</v>
      </c>
      <c r="B195" s="3" t="s">
        <v>651</v>
      </c>
      <c r="C195" s="3">
        <v>0.0</v>
      </c>
      <c r="D195" s="3">
        <v>0.0</v>
      </c>
      <c r="E195" s="3">
        <v>0.0</v>
      </c>
      <c r="F195" s="3" t="s">
        <v>652</v>
      </c>
      <c r="G195" s="3">
        <v>1.0</v>
      </c>
      <c r="H195" s="3">
        <v>0.0</v>
      </c>
      <c r="I195" s="3" t="s">
        <v>13</v>
      </c>
      <c r="J195" s="3" t="s">
        <v>653</v>
      </c>
      <c r="K195" s="3" t="s">
        <v>75</v>
      </c>
      <c r="L195" s="3" t="str">
        <f>IFERROR(__xludf.DUMMYFUNCTION("GOOGLETRANSLATE(F195,""id"",""en"")"),"Is I just watching the World Cup at all including the final last night")</f>
        <v>Is I just watching the World Cup at all including the final last night</v>
      </c>
    </row>
    <row r="196" ht="15.75" customHeight="1">
      <c r="A196" s="1">
        <v>194.0</v>
      </c>
      <c r="B196" s="3" t="s">
        <v>654</v>
      </c>
      <c r="C196" s="3">
        <v>0.0</v>
      </c>
      <c r="D196" s="3">
        <v>0.0</v>
      </c>
      <c r="E196" s="3">
        <v>3.0</v>
      </c>
      <c r="F196" s="3" t="s">
        <v>655</v>
      </c>
      <c r="G196" s="3">
        <v>0.8333333333333333</v>
      </c>
      <c r="H196" s="3">
        <v>0.1666666666666667</v>
      </c>
      <c r="I196" s="3" t="s">
        <v>48</v>
      </c>
      <c r="J196" s="3" t="s">
        <v>656</v>
      </c>
      <c r="K196" s="3" t="s">
        <v>657</v>
      </c>
      <c r="L196" s="3" t="str">
        <f>IFERROR(__xludf.DUMMYFUNCTION("GOOGLETRANSLATE(F196,""id"",""en"")"),"Congratulations to Argentina France remains super world cup and the final match that is extraordinary fun cool league")</f>
        <v>Congratulations to Argentina France remains super world cup and the final match that is extraordinary fun cool league</v>
      </c>
    </row>
    <row r="197" ht="15.75" customHeight="1">
      <c r="A197" s="1">
        <v>195.0</v>
      </c>
      <c r="B197" s="3" t="s">
        <v>658</v>
      </c>
      <c r="C197" s="3">
        <v>3.0</v>
      </c>
      <c r="D197" s="3">
        <v>0.0</v>
      </c>
      <c r="E197" s="3">
        <v>2.0</v>
      </c>
      <c r="F197" s="3" t="s">
        <v>659</v>
      </c>
      <c r="G197" s="3">
        <v>1.0</v>
      </c>
      <c r="H197" s="3">
        <v>0.0</v>
      </c>
      <c r="I197" s="3" t="s">
        <v>13</v>
      </c>
      <c r="J197" s="3" t="s">
        <v>660</v>
      </c>
      <c r="K197" s="3" t="s">
        <v>127</v>
      </c>
      <c r="L197" s="3" t="str">
        <f>IFERROR(__xludf.DUMMYFUNCTION("GOOGLETRANSLATE(F197,""id"",""en"")"),"Teapo Kabeh Tweet Seng Mbahas World Cup Final Response Mother gave another point of view of the defeat of French match last night")</f>
        <v>Teapo Kabeh Tweet Seng Mbahas World Cup Final Response Mother gave another point of view of the defeat of French match last night</v>
      </c>
    </row>
    <row r="198" ht="15.75" customHeight="1">
      <c r="A198" s="1">
        <v>196.0</v>
      </c>
      <c r="B198" s="3" t="s">
        <v>661</v>
      </c>
      <c r="C198" s="3">
        <v>1.0</v>
      </c>
      <c r="D198" s="3">
        <v>0.0</v>
      </c>
      <c r="E198" s="3">
        <v>3.0</v>
      </c>
      <c r="F198" s="3" t="s">
        <v>662</v>
      </c>
      <c r="G198" s="3">
        <v>1.0</v>
      </c>
      <c r="H198" s="3">
        <v>0.0</v>
      </c>
      <c r="I198" s="3" t="s">
        <v>13</v>
      </c>
      <c r="J198" s="3" t="s">
        <v>663</v>
      </c>
      <c r="K198" s="3" t="s">
        <v>644</v>
      </c>
      <c r="L198" s="3" t="str">
        <f>IFERROR(__xludf.DUMMYFUNCTION("GOOGLETRANSLATE(F198,""id"",""en"")"),"last night of the World Cup")</f>
        <v>last night of the World Cup</v>
      </c>
    </row>
    <row r="199" ht="15.75" customHeight="1">
      <c r="A199" s="1">
        <v>197.0</v>
      </c>
      <c r="B199" s="3" t="s">
        <v>664</v>
      </c>
      <c r="C199" s="3">
        <v>0.0</v>
      </c>
      <c r="D199" s="3">
        <v>0.0</v>
      </c>
      <c r="E199" s="3">
        <v>0.0</v>
      </c>
      <c r="F199" s="3" t="s">
        <v>665</v>
      </c>
      <c r="G199" s="3">
        <v>1.0</v>
      </c>
      <c r="H199" s="3">
        <v>0.0</v>
      </c>
      <c r="I199" s="3" t="s">
        <v>13</v>
      </c>
      <c r="J199" s="3" t="s">
        <v>666</v>
      </c>
      <c r="K199" s="3" t="s">
        <v>644</v>
      </c>
      <c r="L199" s="3" t="str">
        <f>IFERROR(__xludf.DUMMYFUNCTION("GOOGLETRANSLATE(F199,""id"",""en"")"),"the best world cup final")</f>
        <v>the best world cup final</v>
      </c>
    </row>
    <row r="200" ht="15.75" customHeight="1">
      <c r="A200" s="1">
        <v>198.0</v>
      </c>
      <c r="B200" s="3" t="s">
        <v>667</v>
      </c>
      <c r="C200" s="3">
        <v>0.0</v>
      </c>
      <c r="D200" s="3">
        <v>2.0</v>
      </c>
      <c r="E200" s="3">
        <v>15.0</v>
      </c>
      <c r="F200" s="3" t="s">
        <v>668</v>
      </c>
      <c r="G200" s="3">
        <v>1.0</v>
      </c>
      <c r="H200" s="3">
        <v>0.0</v>
      </c>
      <c r="I200" s="3" t="s">
        <v>13</v>
      </c>
      <c r="J200" s="3" t="s">
        <v>669</v>
      </c>
      <c r="K200" s="3" t="s">
        <v>71</v>
      </c>
      <c r="L200" s="3" t="str">
        <f>IFERROR(__xludf.DUMMYFUNCTION("GOOGLETRANSLATE(F200,""id"",""en"")"),"Emiliano Martinez performed brilliantly in the French Argentine match of the World Cup Final was named the best goalkeeper of the tournament")</f>
        <v>Emiliano Martinez performed brilliantly in the French Argentine match of the World Cup Final was named the best goalkeeper of the tournament</v>
      </c>
    </row>
    <row r="201" ht="15.75" customHeight="1">
      <c r="A201" s="1">
        <v>199.0</v>
      </c>
      <c r="B201" s="3" t="s">
        <v>670</v>
      </c>
      <c r="C201" s="3">
        <v>0.0</v>
      </c>
      <c r="D201" s="3">
        <v>0.0</v>
      </c>
      <c r="E201" s="3">
        <v>0.0</v>
      </c>
      <c r="F201" s="3" t="s">
        <v>668</v>
      </c>
      <c r="G201" s="3">
        <v>1.0</v>
      </c>
      <c r="H201" s="3">
        <v>0.0</v>
      </c>
      <c r="I201" s="3" t="s">
        <v>13</v>
      </c>
      <c r="J201" s="3" t="s">
        <v>669</v>
      </c>
      <c r="K201" s="3" t="s">
        <v>71</v>
      </c>
      <c r="L201" s="3" t="str">
        <f>IFERROR(__xludf.DUMMYFUNCTION("GOOGLETRANSLATE(F201,""id"",""en"")"),"Emiliano Martinez performed brilliantly in the French Argentine match of the World Cup Final was named the best goalkeeper of the tournament")</f>
        <v>Emiliano Martinez performed brilliantly in the French Argentine match of the World Cup Final was named the best goalkeeper of the tournament</v>
      </c>
    </row>
    <row r="202" ht="15.75" customHeight="1">
      <c r="A202" s="1">
        <v>200.0</v>
      </c>
      <c r="B202" s="3" t="s">
        <v>671</v>
      </c>
      <c r="C202" s="3">
        <v>0.0</v>
      </c>
      <c r="D202" s="3">
        <v>0.0</v>
      </c>
      <c r="E202" s="3">
        <v>0.0</v>
      </c>
      <c r="F202" s="3" t="s">
        <v>668</v>
      </c>
      <c r="G202" s="3">
        <v>1.0</v>
      </c>
      <c r="H202" s="3">
        <v>0.0</v>
      </c>
      <c r="I202" s="3" t="s">
        <v>13</v>
      </c>
      <c r="J202" s="3" t="s">
        <v>669</v>
      </c>
      <c r="K202" s="3" t="s">
        <v>71</v>
      </c>
      <c r="L202" s="3" t="str">
        <f>IFERROR(__xludf.DUMMYFUNCTION("GOOGLETRANSLATE(F202,""id"",""en"")"),"Emiliano Martinez performed brilliantly in the French Argentine match of the World Cup Final was named the best goalkeeper of the tournament")</f>
        <v>Emiliano Martinez performed brilliantly in the French Argentine match of the World Cup Final was named the best goalkeeper of the tournament</v>
      </c>
    </row>
    <row r="203" ht="15.75" customHeight="1">
      <c r="A203" s="1">
        <v>201.0</v>
      </c>
      <c r="B203" s="3" t="s">
        <v>672</v>
      </c>
      <c r="C203" s="3">
        <v>0.0</v>
      </c>
      <c r="D203" s="3">
        <v>0.0</v>
      </c>
      <c r="E203" s="3">
        <v>0.0</v>
      </c>
      <c r="F203" s="3" t="s">
        <v>673</v>
      </c>
      <c r="G203" s="3">
        <v>0.55</v>
      </c>
      <c r="H203" s="3">
        <v>0.15</v>
      </c>
      <c r="I203" s="3" t="s">
        <v>48</v>
      </c>
      <c r="J203" s="3" t="s">
        <v>674</v>
      </c>
      <c r="K203" s="3" t="s">
        <v>675</v>
      </c>
      <c r="L203" s="3" t="str">
        <f>IFERROR(__xludf.DUMMYFUNCTION("GOOGLETRANSLATE(F203,""id"",""en"")"),"The World Cup Final that made the most headaches since the first World Cup I watched so exclaimed let alone hit the winding winding of the Winter River Nyut Auto Nyut but all worth")</f>
        <v>The World Cup Final that made the most headaches since the first World Cup I watched so exclaimed let alone hit the winding winding of the Winter River Nyut Auto Nyut but all worth</v>
      </c>
    </row>
    <row r="204" ht="15.75" customHeight="1">
      <c r="A204" s="1">
        <v>202.0</v>
      </c>
      <c r="B204" s="3" t="s">
        <v>676</v>
      </c>
      <c r="C204" s="3">
        <v>0.0</v>
      </c>
      <c r="D204" s="3">
        <v>0.0</v>
      </c>
      <c r="E204" s="3">
        <v>0.0</v>
      </c>
      <c r="F204" s="3" t="s">
        <v>677</v>
      </c>
      <c r="G204" s="3">
        <v>1.0</v>
      </c>
      <c r="H204" s="3">
        <v>0.0</v>
      </c>
      <c r="I204" s="3" t="s">
        <v>13</v>
      </c>
      <c r="J204" s="3" t="s">
        <v>678</v>
      </c>
      <c r="K204" s="3" t="s">
        <v>449</v>
      </c>
      <c r="L204" s="3" t="str">
        <f>IFERROR(__xludf.DUMMYFUNCTION("GOOGLETRANSLATE(F204,""id"",""en"")"),"The Argentine World Cup final results conquer France through Lionel Messi's penalties to be legally goat with a plenary to download applications to access news easier and faster Android")</f>
        <v>The Argentine World Cup final results conquer France through Lionel Messi's penalties to be legally goat with a plenary to download applications to access news easier and faster Android</v>
      </c>
    </row>
    <row r="205" ht="15.75" customHeight="1">
      <c r="A205" s="1">
        <v>203.0</v>
      </c>
      <c r="B205" s="3" t="s">
        <v>679</v>
      </c>
      <c r="C205" s="3">
        <v>0.0</v>
      </c>
      <c r="D205" s="3">
        <v>1.0</v>
      </c>
      <c r="E205" s="3">
        <v>9.0</v>
      </c>
      <c r="F205" s="3" t="s">
        <v>680</v>
      </c>
      <c r="G205" s="3">
        <v>1.0</v>
      </c>
      <c r="H205" s="3">
        <v>0.0</v>
      </c>
      <c r="I205" s="3" t="s">
        <v>13</v>
      </c>
      <c r="J205" s="3" t="s">
        <v>681</v>
      </c>
      <c r="K205" s="3" t="s">
        <v>682</v>
      </c>
      <c r="L205" s="3" t="str">
        <f>IFERROR(__xludf.DUMMYFUNCTION("GOOGLETRANSLATE(F205,""id"",""en"")"),"The final Messi cried sadly because despite being the best player of the World Cup but he failed to bring Argentina to become a champion but now he cried happily because he successfully realized his dream of the World Cup trophy and brought Albiceleste to"&amp;" win his third trophy")</f>
        <v>The final Messi cried sadly because despite being the best player of the World Cup but he failed to bring Argentina to become a champion but now he cried happily because he successfully realized his dream of the World Cup trophy and brought Albiceleste to win his third trophy</v>
      </c>
    </row>
    <row r="206" ht="15.75" customHeight="1">
      <c r="A206" s="1">
        <v>204.0</v>
      </c>
      <c r="B206" s="3" t="s">
        <v>683</v>
      </c>
      <c r="C206" s="3">
        <v>0.0</v>
      </c>
      <c r="D206" s="3">
        <v>0.0</v>
      </c>
      <c r="E206" s="3">
        <v>0.0</v>
      </c>
      <c r="F206" s="3" t="s">
        <v>684</v>
      </c>
      <c r="G206" s="3">
        <v>0.7666666666666666</v>
      </c>
      <c r="H206" s="3">
        <v>0.3333333333333333</v>
      </c>
      <c r="I206" s="3" t="s">
        <v>48</v>
      </c>
      <c r="J206" s="3" t="s">
        <v>685</v>
      </c>
      <c r="K206" s="3" t="s">
        <v>437</v>
      </c>
      <c r="L206" s="3" t="str">
        <f>IFERROR(__xludf.DUMMYFUNCTION("GOOGLETRANSLATE(F206,""id"",""en"")"),"still kirik mbappe the final year of the World Cup Rungkat Rapopo is important")</f>
        <v>still kirik mbappe the final year of the World Cup Rungkat Rapopo is important</v>
      </c>
    </row>
    <row r="207" ht="15.75" customHeight="1">
      <c r="A207" s="1">
        <v>205.0</v>
      </c>
      <c r="B207" s="3" t="s">
        <v>686</v>
      </c>
      <c r="C207" s="3">
        <v>1.0</v>
      </c>
      <c r="D207" s="3">
        <v>0.0</v>
      </c>
      <c r="E207" s="3">
        <v>16.0</v>
      </c>
      <c r="F207" s="3" t="s">
        <v>687</v>
      </c>
      <c r="G207" s="3">
        <v>1.0</v>
      </c>
      <c r="H207" s="3">
        <v>0.0</v>
      </c>
      <c r="I207" s="3" t="s">
        <v>13</v>
      </c>
      <c r="J207" s="3" t="s">
        <v>688</v>
      </c>
      <c r="K207" s="3" t="s">
        <v>41</v>
      </c>
      <c r="L207" s="3" t="str">
        <f>IFERROR(__xludf.DUMMYFUNCTION("GOOGLETRANSLATE(F207,""id"",""en"")"),"Photos of World Cup Final Cup Elon Musk to Djokovic")</f>
        <v>Photos of World Cup Final Cup Elon Musk to Djokovic</v>
      </c>
    </row>
    <row r="208" ht="15.75" customHeight="1">
      <c r="A208" s="1">
        <v>206.0</v>
      </c>
      <c r="B208" s="3" t="s">
        <v>689</v>
      </c>
      <c r="C208" s="3">
        <v>0.0</v>
      </c>
      <c r="D208" s="3">
        <v>0.0</v>
      </c>
      <c r="E208" s="3">
        <v>0.0</v>
      </c>
      <c r="F208" s="3" t="s">
        <v>690</v>
      </c>
      <c r="G208" s="3">
        <v>1.0</v>
      </c>
      <c r="H208" s="3">
        <v>0.0</v>
      </c>
      <c r="I208" s="3" t="s">
        <v>13</v>
      </c>
      <c r="J208" s="3" t="s">
        <v>691</v>
      </c>
      <c r="K208" s="3" t="s">
        <v>35</v>
      </c>
      <c r="L208" s="3" t="str">
        <f>IFERROR(__xludf.DUMMYFUNCTION("GOOGLETRANSLATE(F208,""id"",""en"")"),"Tonight's final match scored a new history of the World Cup's top goal since the goal")</f>
        <v>Tonight's final match scored a new history of the World Cup's top goal since the goal</v>
      </c>
    </row>
    <row r="209" ht="15.75" customHeight="1">
      <c r="A209" s="1">
        <v>207.0</v>
      </c>
      <c r="B209" s="3" t="s">
        <v>692</v>
      </c>
      <c r="C209" s="3">
        <v>0.0</v>
      </c>
      <c r="D209" s="3">
        <v>0.0</v>
      </c>
      <c r="E209" s="3">
        <v>1.0</v>
      </c>
      <c r="F209" s="3" t="s">
        <v>693</v>
      </c>
      <c r="G209" s="3">
        <v>1.0</v>
      </c>
      <c r="H209" s="3">
        <v>0.1666666666666667</v>
      </c>
      <c r="I209" s="3" t="s">
        <v>48</v>
      </c>
      <c r="J209" s="3" t="s">
        <v>694</v>
      </c>
      <c r="K209" s="3" t="s">
        <v>695</v>
      </c>
      <c r="L209" s="3" t="str">
        <f>IFERROR(__xludf.DUMMYFUNCTION("GOOGLETRANSLATE(F209,""id"",""en"")"),"Redsindo Chapter continues if Haaland brought his country's team back to the World Cup finals at the same time to the Grand Final to achieve equality with Mbappe")</f>
        <v>Redsindo Chapter continues if Haaland brought his country's team back to the World Cup finals at the same time to the Grand Final to achieve equality with Mbappe</v>
      </c>
    </row>
    <row r="210" ht="15.75" customHeight="1">
      <c r="A210" s="1">
        <v>208.0</v>
      </c>
      <c r="B210" s="3" t="s">
        <v>696</v>
      </c>
      <c r="C210" s="3">
        <v>0.0</v>
      </c>
      <c r="D210" s="3">
        <v>0.0</v>
      </c>
      <c r="E210" s="3">
        <v>1.0</v>
      </c>
      <c r="F210" s="3" t="s">
        <v>697</v>
      </c>
      <c r="G210" s="3">
        <v>1.0</v>
      </c>
      <c r="H210" s="3">
        <v>0.0</v>
      </c>
      <c r="I210" s="3" t="s">
        <v>13</v>
      </c>
      <c r="J210" s="3" t="s">
        <v>698</v>
      </c>
      <c r="K210" s="3" t="s">
        <v>699</v>
      </c>
      <c r="L210" s="3" t="str">
        <f>IFERROR(__xludf.DUMMYFUNCTION("GOOGLETRANSLATE(F210,""id"",""en"")"),"The World Cup Final The results are like Dutch Argentina Argentina won first and followed to finally Argentina won the penalty")</f>
        <v>The World Cup Final The results are like Dutch Argentina Argentina won first and followed to finally Argentina won the penalty</v>
      </c>
    </row>
    <row r="211" ht="15.75" customHeight="1">
      <c r="A211" s="1">
        <v>209.0</v>
      </c>
      <c r="B211" s="3" t="s">
        <v>700</v>
      </c>
      <c r="C211" s="3">
        <v>0.0</v>
      </c>
      <c r="D211" s="3">
        <v>0.0</v>
      </c>
      <c r="E211" s="3">
        <v>0.0</v>
      </c>
      <c r="F211" s="3" t="s">
        <v>701</v>
      </c>
      <c r="G211" s="3">
        <v>1.0</v>
      </c>
      <c r="H211" s="3">
        <v>0.0</v>
      </c>
      <c r="I211" s="3" t="s">
        <v>13</v>
      </c>
      <c r="J211" s="3" t="s">
        <v>702</v>
      </c>
      <c r="K211" s="3" t="s">
        <v>232</v>
      </c>
      <c r="L211" s="3" t="str">
        <f>IFERROR(__xludf.DUMMYFUNCTION("GOOGLETRANSLATE(F211,""id"",""en"")"),"It feels like the World Cup is just sad to be sad and happy to be sad because they have to end up happily because all the matches are exciting and full of the best world cup's final surprise until the World Cup conference")</f>
        <v>It feels like the World Cup is just sad to be sad and happy to be sad because they have to end up happily because all the matches are exciting and full of the best world cup's final surprise until the World Cup conference</v>
      </c>
    </row>
    <row r="212" ht="15.75" customHeight="1">
      <c r="A212" s="1">
        <v>210.0</v>
      </c>
      <c r="B212" s="3" t="s">
        <v>703</v>
      </c>
      <c r="C212" s="3">
        <v>0.0</v>
      </c>
      <c r="D212" s="3">
        <v>0.0</v>
      </c>
      <c r="E212" s="3">
        <v>0.0</v>
      </c>
      <c r="F212" s="3" t="s">
        <v>704</v>
      </c>
      <c r="G212" s="3">
        <v>1.0</v>
      </c>
      <c r="H212" s="3">
        <v>0.0</v>
      </c>
      <c r="I212" s="3" t="s">
        <v>13</v>
      </c>
      <c r="J212" s="3" t="s">
        <v>705</v>
      </c>
      <c r="K212" s="3" t="s">
        <v>15</v>
      </c>
      <c r="L212" s="3" t="str">
        <f>IFERROR(__xludf.DUMMYFUNCTION("GOOGLETRANSLATE(F212,""id"",""en"")"),"The Coolest World Cup Final Congratulations for Argentina")</f>
        <v>The Coolest World Cup Final Congratulations for Argentina</v>
      </c>
    </row>
    <row r="213" ht="15.75" customHeight="1">
      <c r="A213" s="1">
        <v>211.0</v>
      </c>
      <c r="B213" s="3" t="s">
        <v>706</v>
      </c>
      <c r="C213" s="3">
        <v>0.0</v>
      </c>
      <c r="D213" s="3">
        <v>0.0</v>
      </c>
      <c r="E213" s="3">
        <v>0.0</v>
      </c>
      <c r="F213" s="3" t="s">
        <v>707</v>
      </c>
      <c r="G213" s="3">
        <v>0.6666666666666666</v>
      </c>
      <c r="H213" s="3">
        <v>0.08333333333333333</v>
      </c>
      <c r="I213" s="3" t="s">
        <v>48</v>
      </c>
      <c r="J213" s="3" t="s">
        <v>708</v>
      </c>
      <c r="K213" s="3" t="s">
        <v>437</v>
      </c>
      <c r="L213" s="3" t="str">
        <f>IFERROR(__xludf.DUMMYFUNCTION("GOOGLETRANSLATE(F213,""id"",""en"")"),"Where did the date of playing the World Cup final qualifications, just starting the year the schedule was released by the Time Traveler or Indigo year")</f>
        <v>Where did the date of playing the World Cup final qualifications, just starting the year the schedule was released by the Time Traveler or Indigo year</v>
      </c>
    </row>
    <row r="214" ht="15.75" customHeight="1">
      <c r="A214" s="1">
        <v>212.0</v>
      </c>
      <c r="B214" s="3" t="s">
        <v>709</v>
      </c>
      <c r="C214" s="3">
        <v>1.0</v>
      </c>
      <c r="D214" s="3">
        <v>0.0</v>
      </c>
      <c r="E214" s="3">
        <v>1.0</v>
      </c>
      <c r="F214" s="3" t="s">
        <v>710</v>
      </c>
      <c r="G214" s="3">
        <v>1.0</v>
      </c>
      <c r="H214" s="3">
        <v>0.0</v>
      </c>
      <c r="I214" s="3" t="s">
        <v>13</v>
      </c>
      <c r="J214" s="3" t="s">
        <v>711</v>
      </c>
      <c r="K214" s="3" t="s">
        <v>41</v>
      </c>
      <c r="L214" s="3" t="str">
        <f>IFERROR(__xludf.DUMMYFUNCTION("GOOGLETRANSLATE(F214,""id"",""en"")"),"For the sake of this World Cup Final that doesn't understand at all, you can not sleep until morning")</f>
        <v>For the sake of this World Cup Final that doesn't understand at all, you can not sleep until morning</v>
      </c>
    </row>
    <row r="215" ht="15.75" customHeight="1">
      <c r="A215" s="1">
        <v>213.0</v>
      </c>
      <c r="B215" s="3" t="s">
        <v>712</v>
      </c>
      <c r="C215" s="3">
        <v>0.0</v>
      </c>
      <c r="D215" s="3">
        <v>0.0</v>
      </c>
      <c r="E215" s="3">
        <v>0.0</v>
      </c>
      <c r="F215" s="3" t="s">
        <v>713</v>
      </c>
      <c r="G215" s="3">
        <v>1.0</v>
      </c>
      <c r="H215" s="3">
        <v>0.0</v>
      </c>
      <c r="I215" s="3" t="s">
        <v>13</v>
      </c>
      <c r="J215" s="3" t="s">
        <v>714</v>
      </c>
      <c r="K215" s="3" t="s">
        <v>715</v>
      </c>
      <c r="L215" s="3" t="str">
        <f>IFERROR(__xludf.DUMMYFUNCTION("GOOGLETRANSLATE(F215,""id"",""en"")"),"before the final match Argentina had a record if the penalty shootout now played the World Cup Albiceleste Penalty Record to be")</f>
        <v>before the final match Argentina had a record if the penalty shootout now played the World Cup Albiceleste Penalty Record to be</v>
      </c>
    </row>
    <row r="216" ht="15.75" customHeight="1">
      <c r="A216" s="1">
        <v>214.0</v>
      </c>
      <c r="B216" s="3" t="s">
        <v>716</v>
      </c>
      <c r="C216" s="3">
        <v>0.0</v>
      </c>
      <c r="D216" s="3">
        <v>0.0</v>
      </c>
      <c r="E216" s="3">
        <v>0.0</v>
      </c>
      <c r="F216" s="3" t="s">
        <v>717</v>
      </c>
      <c r="G216" s="3">
        <v>1.0</v>
      </c>
      <c r="H216" s="3">
        <v>0.0</v>
      </c>
      <c r="I216" s="3" t="s">
        <v>13</v>
      </c>
      <c r="J216" s="3" t="s">
        <v>718</v>
      </c>
      <c r="K216" s="3" t="s">
        <v>82</v>
      </c>
      <c r="L216" s="3" t="str">
        <f>IFERROR(__xludf.DUMMYFUNCTION("GOOGLETRANSLATE(F216,""id"",""en"")"),"exclaimed the final of the French Qatar World Cup")</f>
        <v>exclaimed the final of the French Qatar World Cup</v>
      </c>
    </row>
    <row r="217" ht="15.75" customHeight="1">
      <c r="A217" s="1">
        <v>215.0</v>
      </c>
      <c r="B217" s="3" t="s">
        <v>719</v>
      </c>
      <c r="C217" s="3">
        <v>0.0</v>
      </c>
      <c r="D217" s="3">
        <v>0.0</v>
      </c>
      <c r="E217" s="3">
        <v>0.0</v>
      </c>
      <c r="F217" s="3" t="s">
        <v>720</v>
      </c>
      <c r="G217" s="3">
        <v>0.4777777777777778</v>
      </c>
      <c r="H217" s="3">
        <v>0.05555555555555555</v>
      </c>
      <c r="I217" s="3" t="s">
        <v>48</v>
      </c>
      <c r="J217" s="3" t="s">
        <v>721</v>
      </c>
      <c r="K217" s="3" t="s">
        <v>94</v>
      </c>
      <c r="L217" s="3" t="str">
        <f>IFERROR(__xludf.DUMMYFUNCTION("GOOGLETRANSLATE(F217,""id"",""en"")"),"Since watching the final Copa America, believes that Argentina has a chance to play a world champion to play Solid Messi Maria at that time, it was very classmates but walking the World Cup Piye wkwk exciting jare but chose the Argentina penalty prit bar "&amp;"prit")</f>
        <v>Since watching the final Copa America, believes that Argentina has a chance to play a world champion to play Solid Messi Maria at that time, it was very classmates but walking the World Cup Piye wkwk exciting jare but chose the Argentina penalty prit bar prit</v>
      </c>
    </row>
    <row r="218" ht="15.75" customHeight="1">
      <c r="A218" s="1">
        <v>216.0</v>
      </c>
      <c r="B218" s="3" t="s">
        <v>722</v>
      </c>
      <c r="C218" s="3">
        <v>0.0</v>
      </c>
      <c r="D218" s="3">
        <v>0.0</v>
      </c>
      <c r="E218" s="3">
        <v>1.0</v>
      </c>
      <c r="F218" s="3" t="s">
        <v>723</v>
      </c>
      <c r="G218" s="3">
        <v>0.9333333333333333</v>
      </c>
      <c r="H218" s="3">
        <v>-0.2500000000000001</v>
      </c>
      <c r="I218" s="3" t="s">
        <v>179</v>
      </c>
      <c r="J218" s="3" t="s">
        <v>724</v>
      </c>
      <c r="K218" s="3" t="s">
        <v>725</v>
      </c>
      <c r="L218" s="3" t="str">
        <f>IFERROR(__xludf.DUMMYFUNCTION("GOOGLETRANSLATE(F218,""id"",""en"")"),"The final is really crazy, this time the world cup, but what's going to watch it, we only use a calm sandals, friend, I will give you the best casual shoes recommendations")</f>
        <v>The final is really crazy, this time the world cup, but what's going to watch it, we only use a calm sandals, friend, I will give you the best casual shoes recommendations</v>
      </c>
    </row>
    <row r="219" ht="15.75" customHeight="1">
      <c r="A219" s="1">
        <v>217.0</v>
      </c>
      <c r="B219" s="3" t="s">
        <v>726</v>
      </c>
      <c r="C219" s="3">
        <v>0.0</v>
      </c>
      <c r="D219" s="3">
        <v>0.0</v>
      </c>
      <c r="E219" s="3">
        <v>0.0</v>
      </c>
      <c r="F219" s="3" t="s">
        <v>713</v>
      </c>
      <c r="G219" s="3">
        <v>1.0</v>
      </c>
      <c r="H219" s="3">
        <v>0.0</v>
      </c>
      <c r="I219" s="3" t="s">
        <v>13</v>
      </c>
      <c r="J219" s="3" t="s">
        <v>714</v>
      </c>
      <c r="K219" s="3" t="s">
        <v>715</v>
      </c>
      <c r="L219" s="3" t="str">
        <f>IFERROR(__xludf.DUMMYFUNCTION("GOOGLETRANSLATE(F219,""id"",""en"")"),"before the final match Argentina had a record if the penalty shootout now played the World Cup Albiceleste Penalty Record to be")</f>
        <v>before the final match Argentina had a record if the penalty shootout now played the World Cup Albiceleste Penalty Record to be</v>
      </c>
    </row>
    <row r="220" ht="15.75" customHeight="1">
      <c r="A220" s="1">
        <v>218.0</v>
      </c>
      <c r="B220" s="3" t="s">
        <v>727</v>
      </c>
      <c r="C220" s="3">
        <v>0.0</v>
      </c>
      <c r="D220" s="3">
        <v>0.0</v>
      </c>
      <c r="E220" s="3">
        <v>3.0</v>
      </c>
      <c r="F220" s="3" t="s">
        <v>728</v>
      </c>
      <c r="G220" s="3">
        <v>1.0</v>
      </c>
      <c r="H220" s="3">
        <v>0.0</v>
      </c>
      <c r="I220" s="3" t="s">
        <v>13</v>
      </c>
      <c r="J220" s="3" t="s">
        <v>729</v>
      </c>
      <c r="K220" s="3" t="s">
        <v>730</v>
      </c>
      <c r="L220" s="3" t="str">
        <f>IFERROR(__xludf.DUMMYFUNCTION("GOOGLETRANSLATE(F220,""id"",""en"")"),"Moment is a moment I will remember where at that time Messi Ggal brought Argentina to the Final World Cup champion Losing with Germany Dmn Messi at that time could only cry and empty vision staring at the TTPI Throphy World Cup today Argentina could win t"&amp;"he World Cup championship")</f>
        <v>Moment is a moment I will remember where at that time Messi Ggal brought Argentina to the Final World Cup champion Losing with Germany Dmn Messi at that time could only cry and empty vision staring at the TTPI Throphy World Cup today Argentina could win the World Cup championship</v>
      </c>
    </row>
    <row r="221" ht="15.75" customHeight="1">
      <c r="A221" s="1">
        <v>219.0</v>
      </c>
      <c r="B221" s="3" t="s">
        <v>731</v>
      </c>
      <c r="C221" s="3">
        <v>0.0</v>
      </c>
      <c r="D221" s="3">
        <v>0.0</v>
      </c>
      <c r="E221" s="3">
        <v>0.0</v>
      </c>
      <c r="F221" s="3" t="s">
        <v>732</v>
      </c>
      <c r="G221" s="3">
        <v>1.0</v>
      </c>
      <c r="H221" s="3">
        <v>0.25</v>
      </c>
      <c r="I221" s="3" t="s">
        <v>48</v>
      </c>
      <c r="J221" s="3" t="s">
        <v>733</v>
      </c>
      <c r="K221" s="3" t="s">
        <v>699</v>
      </c>
      <c r="L221" s="3" t="str">
        <f>IFERROR(__xludf.DUMMYFUNCTION("GOOGLETRANSLATE(F221,""id"",""en"")"),"Football soccer magical Messi lifts the World Cup after the final to exemplify the Lusail Qatar Reuters data content")</f>
        <v>Football soccer magical Messi lifts the World Cup after the final to exemplify the Lusail Qatar Reuters data content</v>
      </c>
    </row>
    <row r="222" ht="15.75" customHeight="1">
      <c r="A222" s="1">
        <v>220.0</v>
      </c>
      <c r="B222" s="3" t="s">
        <v>734</v>
      </c>
      <c r="C222" s="3">
        <v>0.0</v>
      </c>
      <c r="D222" s="3">
        <v>0.0</v>
      </c>
      <c r="E222" s="3">
        <v>0.0</v>
      </c>
      <c r="F222" s="3" t="s">
        <v>505</v>
      </c>
      <c r="G222" s="3">
        <v>1.0</v>
      </c>
      <c r="H222" s="3">
        <v>0.0</v>
      </c>
      <c r="I222" s="3" t="s">
        <v>13</v>
      </c>
      <c r="J222" s="3" t="s">
        <v>506</v>
      </c>
      <c r="K222" s="3" t="s">
        <v>54</v>
      </c>
      <c r="L222" s="3" t="str">
        <f>IFERROR(__xludf.DUMMYFUNCTION("GOOGLETRANSLATE(F222,""id"",""en"")"),"Is it just watching the World Cup final")</f>
        <v>Is it just watching the World Cup final</v>
      </c>
    </row>
    <row r="223" ht="15.75" customHeight="1">
      <c r="A223" s="1">
        <v>221.0</v>
      </c>
      <c r="B223" s="3" t="s">
        <v>735</v>
      </c>
      <c r="C223" s="3">
        <v>0.0</v>
      </c>
      <c r="D223" s="3">
        <v>0.0</v>
      </c>
      <c r="E223" s="3">
        <v>0.0</v>
      </c>
      <c r="F223" s="3" t="s">
        <v>736</v>
      </c>
      <c r="G223" s="3">
        <v>1.0</v>
      </c>
      <c r="H223" s="3">
        <v>0.0</v>
      </c>
      <c r="I223" s="3" t="s">
        <v>13</v>
      </c>
      <c r="J223" s="3" t="s">
        <v>737</v>
      </c>
      <c r="K223" s="3" t="s">
        <v>15</v>
      </c>
      <c r="L223" s="3" t="str">
        <f>IFERROR(__xludf.DUMMYFUNCTION("GOOGLETRANSLATE(F223,""id"",""en"")"),"Congratulations to ever lost the World Cup final")</f>
        <v>Congratulations to ever lost the World Cup final</v>
      </c>
    </row>
    <row r="224" ht="15.75" customHeight="1">
      <c r="A224" s="1">
        <v>222.0</v>
      </c>
      <c r="B224" s="3" t="s">
        <v>738</v>
      </c>
      <c r="C224" s="3">
        <v>0.0</v>
      </c>
      <c r="D224" s="3">
        <v>0.0</v>
      </c>
      <c r="E224" s="3">
        <v>0.0</v>
      </c>
      <c r="F224" s="3" t="s">
        <v>739</v>
      </c>
      <c r="G224" s="3">
        <v>1.0</v>
      </c>
      <c r="H224" s="3">
        <v>0.0</v>
      </c>
      <c r="I224" s="3" t="s">
        <v>13</v>
      </c>
      <c r="J224" s="3" t="s">
        <v>740</v>
      </c>
      <c r="K224" s="3" t="s">
        <v>82</v>
      </c>
      <c r="L224" s="3" t="str">
        <f>IFERROR(__xludf.DUMMYFUNCTION("GOOGLETRANSLATE(F224,""id"",""en"")"),"Redsindo The Best World Cup Final I Never Watch")</f>
        <v>Redsindo The Best World Cup Final I Never Watch</v>
      </c>
    </row>
    <row r="225" ht="15.75" customHeight="1">
      <c r="A225" s="1">
        <v>223.0</v>
      </c>
      <c r="B225" s="3" t="s">
        <v>741</v>
      </c>
      <c r="C225" s="3">
        <v>0.0</v>
      </c>
      <c r="D225" s="3">
        <v>0.0</v>
      </c>
      <c r="E225" s="3">
        <v>0.0</v>
      </c>
      <c r="F225" s="3" t="s">
        <v>742</v>
      </c>
      <c r="G225" s="3">
        <v>1.0</v>
      </c>
      <c r="H225" s="3">
        <v>0.0</v>
      </c>
      <c r="I225" s="3" t="s">
        <v>13</v>
      </c>
      <c r="J225" s="3" t="s">
        <v>743</v>
      </c>
      <c r="K225" s="3" t="s">
        <v>71</v>
      </c>
      <c r="L225" s="3" t="str">
        <f>IFERROR(__xludf.DUMMYFUNCTION("GOOGLETRANSLATE(F225,""id"",""en"")"),"Want to say this bookie settings the World Cup Final was excited, anyway")</f>
        <v>Want to say this bookie settings the World Cup Final was excited, anyway</v>
      </c>
    </row>
    <row r="226" ht="15.75" customHeight="1">
      <c r="A226" s="1">
        <v>224.0</v>
      </c>
      <c r="B226" s="3" t="s">
        <v>744</v>
      </c>
      <c r="C226" s="3">
        <v>0.0</v>
      </c>
      <c r="D226" s="3">
        <v>0.0</v>
      </c>
      <c r="E226" s="3">
        <v>0.0</v>
      </c>
      <c r="F226" s="3" t="s">
        <v>745</v>
      </c>
      <c r="G226" s="3">
        <v>0.65</v>
      </c>
      <c r="H226" s="3">
        <v>0.5</v>
      </c>
      <c r="I226" s="3" t="s">
        <v>48</v>
      </c>
      <c r="J226" s="3" t="s">
        <v>746</v>
      </c>
      <c r="K226" s="3" t="s">
        <v>510</v>
      </c>
      <c r="L226" s="3" t="str">
        <f>IFERROR(__xludf.DUMMYFUNCTION("GOOGLETRANSLATE(F226,""id"",""en"")"),"World Cup Full Year of Surprise but the final is really hot and cold best word cup")</f>
        <v>World Cup Full Year of Surprise but the final is really hot and cold best word cup</v>
      </c>
    </row>
    <row r="227" ht="15.75" customHeight="1">
      <c r="A227" s="1">
        <v>225.0</v>
      </c>
      <c r="B227" s="3" t="s">
        <v>747</v>
      </c>
      <c r="C227" s="3">
        <v>0.0</v>
      </c>
      <c r="D227" s="3">
        <v>2.0</v>
      </c>
      <c r="E227" s="3">
        <v>9.0</v>
      </c>
      <c r="F227" s="3" t="s">
        <v>748</v>
      </c>
      <c r="G227" s="3">
        <v>1.0</v>
      </c>
      <c r="H227" s="3">
        <v>0.0</v>
      </c>
      <c r="I227" s="3" t="s">
        <v>13</v>
      </c>
      <c r="J227" s="3" t="s">
        <v>749</v>
      </c>
      <c r="K227" s="3" t="s">
        <v>510</v>
      </c>
      <c r="L227" s="3" t="str">
        <f>IFERROR(__xludf.DUMMYFUNCTION("GOOGLETRANSLATE(F227,""id"",""en"")"),"The Best World Cup Final Watching the Argentine Drama Drama over France through Penalties")</f>
        <v>The Best World Cup Final Watching the Argentine Drama Drama over France through Penalties</v>
      </c>
    </row>
    <row r="228" ht="15.75" customHeight="1">
      <c r="A228" s="1">
        <v>226.0</v>
      </c>
      <c r="B228" s="3" t="s">
        <v>750</v>
      </c>
      <c r="C228" s="3">
        <v>0.0</v>
      </c>
      <c r="D228" s="3">
        <v>0.0</v>
      </c>
      <c r="E228" s="3">
        <v>0.0</v>
      </c>
      <c r="F228" s="3" t="s">
        <v>751</v>
      </c>
      <c r="G228" s="3">
        <v>1.0</v>
      </c>
      <c r="H228" s="3">
        <v>0.0</v>
      </c>
      <c r="I228" s="3" t="s">
        <v>13</v>
      </c>
      <c r="J228" s="3" t="s">
        <v>752</v>
      </c>
      <c r="K228" s="3" t="s">
        <v>657</v>
      </c>
      <c r="L228" s="3" t="str">
        <f>IFERROR(__xludf.DUMMYFUNCTION("GOOGLETRANSLATE(F228,""id"",""en"")"),"Biodata Profile Marcos Acuna Argentine player who replaced Maria in the second half of the World Cup Portal Purwokerto Final")</f>
        <v>Biodata Profile Marcos Acuna Argentine player who replaced Maria in the second half of the World Cup Portal Purwokerto Final</v>
      </c>
    </row>
    <row r="229" ht="15.75" customHeight="1">
      <c r="A229" s="1">
        <v>227.0</v>
      </c>
      <c r="B229" s="3" t="s">
        <v>753</v>
      </c>
      <c r="C229" s="3">
        <v>0.0</v>
      </c>
      <c r="D229" s="3">
        <v>0.0</v>
      </c>
      <c r="E229" s="3">
        <v>0.0</v>
      </c>
      <c r="F229" s="3" t="s">
        <v>754</v>
      </c>
      <c r="G229" s="3">
        <v>1.0</v>
      </c>
      <c r="H229" s="3">
        <v>0.0</v>
      </c>
      <c r="I229" s="3" t="s">
        <v>13</v>
      </c>
      <c r="J229" s="3" t="s">
        <v>755</v>
      </c>
      <c r="K229" s="3" t="s">
        <v>41</v>
      </c>
      <c r="L229" s="3" t="str">
        <f>IFERROR(__xludf.DUMMYFUNCTION("GOOGLETRANSLATE(F229,""id"",""en"")"),"The Argentine World Cup final won the penalty shootout over France")</f>
        <v>The Argentine World Cup final won the penalty shootout over France</v>
      </c>
    </row>
    <row r="230" ht="15.75" customHeight="1">
      <c r="A230" s="1">
        <v>228.0</v>
      </c>
      <c r="B230" s="3" t="s">
        <v>756</v>
      </c>
      <c r="C230" s="3">
        <v>1.0</v>
      </c>
      <c r="D230" s="3">
        <v>0.0</v>
      </c>
      <c r="E230" s="3">
        <v>0.0</v>
      </c>
      <c r="F230" s="3" t="s">
        <v>757</v>
      </c>
      <c r="G230" s="3">
        <v>0.6666666666666666</v>
      </c>
      <c r="H230" s="3">
        <v>0.09999999999999998</v>
      </c>
      <c r="I230" s="3" t="s">
        <v>48</v>
      </c>
      <c r="J230" s="3" t="s">
        <v>758</v>
      </c>
      <c r="K230" s="3" t="s">
        <v>695</v>
      </c>
      <c r="L230" s="3" t="str">
        <f>IFERROR(__xludf.DUMMYFUNCTION("GOOGLETRANSLATE(F230,""id"",""en"")"),"once the climax of one of the best world cup finals Lionel Messi Argentina deserves the Good Game Well Play Cup")</f>
        <v>once the climax of one of the best world cup finals Lionel Messi Argentina deserves the Good Game Well Play Cup</v>
      </c>
    </row>
    <row r="231" ht="15.75" customHeight="1">
      <c r="A231" s="1">
        <v>229.0</v>
      </c>
      <c r="B231" s="3" t="s">
        <v>759</v>
      </c>
      <c r="C231" s="3">
        <v>0.0</v>
      </c>
      <c r="D231" s="3">
        <v>1.0</v>
      </c>
      <c r="E231" s="3">
        <v>0.0</v>
      </c>
      <c r="F231" s="3" t="s">
        <v>760</v>
      </c>
      <c r="G231" s="3">
        <v>1.0</v>
      </c>
      <c r="H231" s="3">
        <v>0.0</v>
      </c>
      <c r="I231" s="3" t="s">
        <v>13</v>
      </c>
      <c r="J231" s="3" t="s">
        <v>761</v>
      </c>
      <c r="K231" s="3" t="s">
        <v>50</v>
      </c>
      <c r="L231" s="3" t="str">
        <f>IFERROR(__xludf.DUMMYFUNCTION("GOOGLETRANSLATE(F231,""id"",""en"")"),"The results of the French Argentine World Cup final match History engraved Lusail Stadium")</f>
        <v>The results of the French Argentine World Cup final match History engraved Lusail Stadium</v>
      </c>
    </row>
    <row r="232" ht="15.75" customHeight="1">
      <c r="A232" s="1">
        <v>230.0</v>
      </c>
      <c r="B232" s="3" t="s">
        <v>762</v>
      </c>
      <c r="C232" s="3">
        <v>1.0</v>
      </c>
      <c r="D232" s="3">
        <v>3.0</v>
      </c>
      <c r="E232" s="3">
        <v>12.0</v>
      </c>
      <c r="F232" s="3" t="s">
        <v>763</v>
      </c>
      <c r="G232" s="3">
        <v>1.0</v>
      </c>
      <c r="H232" s="3">
        <v>0.0</v>
      </c>
      <c r="I232" s="3" t="s">
        <v>13</v>
      </c>
      <c r="J232" s="3" t="s">
        <v>764</v>
      </c>
      <c r="K232" s="3" t="s">
        <v>765</v>
      </c>
      <c r="L232" s="3" t="str">
        <f>IFERROR(__xludf.DUMMYFUNCTION("GOOGLETRANSLATE(F232,""id"",""en"")"),"The World Cup's Final agreed this time is the most exciting and interesting final but as exciting as the excitement of soccer, still a game and limited to entertainment so that it turns away something worthy of being used as a destination")</f>
        <v>The World Cup's Final agreed this time is the most exciting and interesting final but as exciting as the excitement of soccer, still a game and limited to entertainment so that it turns away something worthy of being used as a destination</v>
      </c>
    </row>
    <row r="233" ht="15.75" customHeight="1">
      <c r="A233" s="1">
        <v>231.0</v>
      </c>
      <c r="B233" s="3" t="s">
        <v>766</v>
      </c>
      <c r="C233" s="3">
        <v>0.0</v>
      </c>
      <c r="D233" s="3">
        <v>0.0</v>
      </c>
      <c r="E233" s="3">
        <v>1.0</v>
      </c>
      <c r="F233" s="3" t="s">
        <v>767</v>
      </c>
      <c r="G233" s="3">
        <v>1.0</v>
      </c>
      <c r="H233" s="3">
        <v>0.0</v>
      </c>
      <c r="I233" s="3" t="s">
        <v>13</v>
      </c>
      <c r="J233" s="3" t="s">
        <v>768</v>
      </c>
      <c r="K233" s="3" t="s">
        <v>240</v>
      </c>
      <c r="L233" s="3" t="str">
        <f>IFERROR(__xludf.DUMMYFUNCTION("GOOGLETRANSLATE(F233,""id"",""en"")"),"Despite failing to bring Three Lions, pass the quarter -finals of the South Southgate World Cup officially survive with the England national team")</f>
        <v>Despite failing to bring Three Lions, pass the quarter -finals of the South Southgate World Cup officially survive with the England national team</v>
      </c>
    </row>
    <row r="234" ht="15.75" customHeight="1">
      <c r="A234" s="1">
        <v>232.0</v>
      </c>
      <c r="B234" s="3" t="s">
        <v>769</v>
      </c>
      <c r="C234" s="3">
        <v>0.0</v>
      </c>
      <c r="D234" s="3">
        <v>0.0</v>
      </c>
      <c r="E234" s="3">
        <v>0.0</v>
      </c>
      <c r="F234" s="3" t="s">
        <v>642</v>
      </c>
      <c r="G234" s="3">
        <v>1.0</v>
      </c>
      <c r="H234" s="3">
        <v>0.0</v>
      </c>
      <c r="I234" s="3" t="s">
        <v>13</v>
      </c>
      <c r="J234" s="3" t="s">
        <v>643</v>
      </c>
      <c r="K234" s="3" t="s">
        <v>644</v>
      </c>
      <c r="L234" s="3" t="str">
        <f>IFERROR(__xludf.DUMMYFUNCTION("GOOGLETRANSLATE(F234,""id"",""en"")"),"The World Cup Final was shocked")</f>
        <v>The World Cup Final was shocked</v>
      </c>
    </row>
    <row r="235" ht="15.75" customHeight="1">
      <c r="A235" s="1">
        <v>233.0</v>
      </c>
      <c r="B235" s="3" t="s">
        <v>770</v>
      </c>
      <c r="C235" s="3">
        <v>0.0</v>
      </c>
      <c r="D235" s="3">
        <v>0.0</v>
      </c>
      <c r="E235" s="3">
        <v>0.0</v>
      </c>
      <c r="F235" s="3" t="s">
        <v>771</v>
      </c>
      <c r="G235" s="3">
        <v>1.0</v>
      </c>
      <c r="H235" s="3">
        <v>0.0</v>
      </c>
      <c r="I235" s="3" t="s">
        <v>13</v>
      </c>
      <c r="J235" s="3" t="s">
        <v>772</v>
      </c>
      <c r="K235" s="3" t="s">
        <v>50</v>
      </c>
      <c r="L235" s="3" t="str">
        <f>IFERROR(__xludf.DUMMYFUNCTION("GOOGLETRANSLATE(F235,""id"",""en"")"),"We are witnesses to one of the best finals in the history of the Tahniah Argentina World Cup")</f>
        <v>We are witnesses to one of the best finals in the history of the Tahniah Argentina World Cup</v>
      </c>
    </row>
    <row r="236" ht="15.75" customHeight="1">
      <c r="A236" s="1">
        <v>234.0</v>
      </c>
      <c r="B236" s="3" t="s">
        <v>773</v>
      </c>
      <c r="C236" s="3">
        <v>0.0</v>
      </c>
      <c r="D236" s="3">
        <v>1.0</v>
      </c>
      <c r="E236" s="3">
        <v>1.0</v>
      </c>
      <c r="F236" s="3" t="s">
        <v>774</v>
      </c>
      <c r="G236" s="3">
        <v>1.0</v>
      </c>
      <c r="H236" s="3">
        <v>0.0</v>
      </c>
      <c r="I236" s="3" t="s">
        <v>13</v>
      </c>
      <c r="J236" s="3" t="s">
        <v>775</v>
      </c>
      <c r="K236" s="3" t="s">
        <v>127</v>
      </c>
      <c r="L236" s="3" t="str">
        <f>IFERROR(__xludf.DUMMYFUNCTION("GOOGLETRANSLATE(F236,""id"",""en"")"),"Mbappe became the second person who scored the World Cup Final Hattrick after Geoff Hurst to win one goal from Lionel Messi")</f>
        <v>Mbappe became the second person who scored the World Cup Final Hattrick after Geoff Hurst to win one goal from Lionel Messi</v>
      </c>
    </row>
    <row r="237" ht="15.75" customHeight="1">
      <c r="A237" s="1">
        <v>235.0</v>
      </c>
      <c r="B237" s="3" t="s">
        <v>776</v>
      </c>
      <c r="C237" s="3">
        <v>1.0</v>
      </c>
      <c r="D237" s="3">
        <v>0.0</v>
      </c>
      <c r="E237" s="3">
        <v>0.0</v>
      </c>
      <c r="F237" s="3" t="s">
        <v>777</v>
      </c>
      <c r="G237" s="3">
        <v>1.0</v>
      </c>
      <c r="H237" s="3">
        <v>0.0</v>
      </c>
      <c r="I237" s="3" t="s">
        <v>13</v>
      </c>
      <c r="J237" s="3" t="s">
        <v>778</v>
      </c>
      <c r="K237" s="3" t="s">
        <v>348</v>
      </c>
      <c r="L237" s="3" t="str">
        <f>IFERROR(__xludf.DUMMYFUNCTION("GOOGLETRANSLATE(F237,""id"",""en"")"),"One of the best World Cup finals of all time can only watch until minutes because of the day of day of day even though the drama has just begun Argentina")</f>
        <v>One of the best World Cup finals of all time can only watch until minutes because of the day of day of day even though the drama has just begun Argentina</v>
      </c>
    </row>
    <row r="238" ht="15.75" customHeight="1">
      <c r="A238" s="1">
        <v>236.0</v>
      </c>
      <c r="B238" s="3" t="s">
        <v>779</v>
      </c>
      <c r="C238" s="3">
        <v>0.0</v>
      </c>
      <c r="D238" s="3">
        <v>1.0</v>
      </c>
      <c r="E238" s="3">
        <v>8.0</v>
      </c>
      <c r="F238" s="3" t="s">
        <v>780</v>
      </c>
      <c r="G238" s="3">
        <v>1.0</v>
      </c>
      <c r="H238" s="3">
        <v>0.0</v>
      </c>
      <c r="I238" s="3" t="s">
        <v>13</v>
      </c>
      <c r="J238" s="3" t="s">
        <v>781</v>
      </c>
      <c r="K238" s="3" t="s">
        <v>240</v>
      </c>
      <c r="L238" s="3" t="str">
        <f>IFERROR(__xludf.DUMMYFUNCTION("GOOGLETRANSLATE(F238,""id"",""en"")"),"Hard work of capital dedication to achieve the success of Lionel Messi dream of winning the World Cup final for his country finally made it happen")</f>
        <v>Hard work of capital dedication to achieve the success of Lionel Messi dream of winning the World Cup final for his country finally made it happen</v>
      </c>
    </row>
    <row r="239" ht="15.75" customHeight="1">
      <c r="A239" s="1">
        <v>237.0</v>
      </c>
      <c r="B239" s="3" t="s">
        <v>782</v>
      </c>
      <c r="C239" s="3">
        <v>0.0</v>
      </c>
      <c r="D239" s="3">
        <v>0.0</v>
      </c>
      <c r="E239" s="3">
        <v>0.0</v>
      </c>
      <c r="F239" s="3" t="s">
        <v>783</v>
      </c>
      <c r="G239" s="3">
        <v>1.0</v>
      </c>
      <c r="H239" s="3">
        <v>0.0</v>
      </c>
      <c r="I239" s="3" t="s">
        <v>13</v>
      </c>
      <c r="J239" s="3" t="s">
        <v>784</v>
      </c>
      <c r="K239" s="3" t="s">
        <v>75</v>
      </c>
      <c r="L239" s="3" t="str">
        <f>IFERROR(__xludf.DUMMYFUNCTION("GOOGLETRANSLATE(F239,""id"",""en"")"),"very special night Final of the best world cup new history of Gokil")</f>
        <v>very special night Final of the best world cup new history of Gokil</v>
      </c>
    </row>
    <row r="240" ht="15.75" customHeight="1">
      <c r="A240" s="1">
        <v>238.0</v>
      </c>
      <c r="B240" s="3" t="s">
        <v>785</v>
      </c>
      <c r="C240" s="3">
        <v>13.0</v>
      </c>
      <c r="D240" s="3">
        <v>0.0</v>
      </c>
      <c r="E240" s="3">
        <v>2.0</v>
      </c>
      <c r="F240" s="3" t="s">
        <v>786</v>
      </c>
      <c r="G240" s="3">
        <v>0.675</v>
      </c>
      <c r="H240" s="3">
        <v>0.06875</v>
      </c>
      <c r="I240" s="3" t="s">
        <v>48</v>
      </c>
      <c r="J240" s="3" t="s">
        <v>787</v>
      </c>
      <c r="K240" s="3" t="s">
        <v>584</v>
      </c>
      <c r="L240" s="3" t="str">
        <f>IFERROR(__xludf.DUMMYFUNCTION("GOOGLETRANSLATE(F240,""id"",""en"")"),"Maybe I have a different response to this World Cup from the beginning of the lack of hype and the quarter -finals of the semifinal match of the match such as feel friendly match mental for the comeback there is precisely this final is the real world cup")</f>
        <v>Maybe I have a different response to this World Cup from the beginning of the lack of hype and the quarter -finals of the semifinal match of the match such as feel friendly match mental for the comeback there is precisely this final is the real world cup</v>
      </c>
    </row>
    <row r="241" ht="15.75" customHeight="1">
      <c r="A241" s="1">
        <v>239.0</v>
      </c>
      <c r="B241" s="3" t="s">
        <v>788</v>
      </c>
      <c r="C241" s="3">
        <v>8.0</v>
      </c>
      <c r="D241" s="3">
        <v>43.0</v>
      </c>
      <c r="E241" s="3">
        <v>191.0</v>
      </c>
      <c r="F241" s="3" t="s">
        <v>789</v>
      </c>
      <c r="G241" s="3">
        <v>1.0</v>
      </c>
      <c r="H241" s="3">
        <v>0.5</v>
      </c>
      <c r="I241" s="3" t="s">
        <v>48</v>
      </c>
      <c r="J241" s="3" t="s">
        <v>790</v>
      </c>
      <c r="K241" s="3" t="s">
        <v>791</v>
      </c>
      <c r="L241" s="3" t="str">
        <f>IFERROR(__xludf.DUMMYFUNCTION("GOOGLETRANSLATE(F241,""id"",""en"")"),"The Best World Cup in the History of the Final of the Best World Cup in History was won by the best Pesebola in the history of Lionel Anders Messi The Greatest All Time")</f>
        <v>The Best World Cup in the History of the Final of the Best World Cup in History was won by the best Pesebola in the history of Lionel Anders Messi The Greatest All Time</v>
      </c>
    </row>
    <row r="242" ht="15.75" customHeight="1">
      <c r="A242" s="1">
        <v>240.0</v>
      </c>
      <c r="B242" s="3" t="s">
        <v>792</v>
      </c>
      <c r="C242" s="3">
        <v>0.0</v>
      </c>
      <c r="D242" s="3">
        <v>0.0</v>
      </c>
      <c r="E242" s="3">
        <v>5.0</v>
      </c>
      <c r="F242" s="3" t="s">
        <v>793</v>
      </c>
      <c r="G242" s="3">
        <v>0.9166666666666666</v>
      </c>
      <c r="H242" s="3">
        <v>0.0</v>
      </c>
      <c r="I242" s="3" t="s">
        <v>13</v>
      </c>
      <c r="J242" s="3" t="s">
        <v>794</v>
      </c>
      <c r="K242" s="3" t="s">
        <v>795</v>
      </c>
      <c r="L242" s="3" t="str">
        <f>IFERROR(__xludf.DUMMYFUNCTION("GOOGLETRANSLATE(F242,""id"",""en"")"),"Messi scored two goals from the final match, making his total goal of the World Cup to seven Pulga goals also scored during the final round penalty shootout")</f>
        <v>Messi scored two goals from the final match, making his total goal of the World Cup to seven Pulga goals also scored during the final round penalty shootout</v>
      </c>
    </row>
    <row r="243" ht="15.75" customHeight="1">
      <c r="A243" s="1">
        <v>241.0</v>
      </c>
      <c r="B243" s="3" t="s">
        <v>796</v>
      </c>
      <c r="C243" s="3">
        <v>0.0</v>
      </c>
      <c r="D243" s="3">
        <v>0.0</v>
      </c>
      <c r="E243" s="3">
        <v>0.0</v>
      </c>
      <c r="F243" s="3" t="s">
        <v>797</v>
      </c>
      <c r="G243" s="3">
        <v>1.0</v>
      </c>
      <c r="H243" s="3">
        <v>0.0</v>
      </c>
      <c r="I243" s="3" t="s">
        <v>13</v>
      </c>
      <c r="J243" s="3" t="s">
        <v>798</v>
      </c>
      <c r="K243" s="3" t="s">
        <v>71</v>
      </c>
      <c r="L243" s="3" t="str">
        <f>IFERROR(__xludf.DUMMYFUNCTION("GOOGLETRANSLATE(F243,""id"",""en"")"),"Watching Argentine World Cup Final Streaming Final Re -Broadcast France Mbappe Giroud Griezmann Maria")</f>
        <v>Watching Argentine World Cup Final Streaming Final Re -Broadcast France Mbappe Giroud Griezmann Maria</v>
      </c>
    </row>
    <row r="244" ht="15.75" customHeight="1">
      <c r="A244" s="1">
        <v>242.0</v>
      </c>
      <c r="B244" s="3" t="s">
        <v>799</v>
      </c>
      <c r="C244" s="3">
        <v>0.0</v>
      </c>
      <c r="D244" s="3">
        <v>0.0</v>
      </c>
      <c r="E244" s="3">
        <v>0.0</v>
      </c>
      <c r="F244" s="3" t="s">
        <v>800</v>
      </c>
      <c r="G244" s="3">
        <v>1.0</v>
      </c>
      <c r="H244" s="3">
        <v>0.0</v>
      </c>
      <c r="I244" s="3" t="s">
        <v>13</v>
      </c>
      <c r="J244" s="3" t="s">
        <v>801</v>
      </c>
      <c r="K244" s="3" t="s">
        <v>82</v>
      </c>
      <c r="L244" s="3" t="str">
        <f>IFERROR(__xludf.DUMMYFUNCTION("GOOGLETRANSLATE(F244,""id"",""en"")"),"The cause of France lost to Argentina World Cup Final")</f>
        <v>The cause of France lost to Argentina World Cup Final</v>
      </c>
    </row>
    <row r="245" ht="15.75" customHeight="1">
      <c r="A245" s="1">
        <v>243.0</v>
      </c>
      <c r="B245" s="3" t="s">
        <v>802</v>
      </c>
      <c r="C245" s="3">
        <v>0.0</v>
      </c>
      <c r="D245" s="3">
        <v>0.0</v>
      </c>
      <c r="E245" s="3">
        <v>0.0</v>
      </c>
      <c r="F245" s="3" t="s">
        <v>803</v>
      </c>
      <c r="G245" s="3">
        <v>0.75</v>
      </c>
      <c r="H245" s="3">
        <v>0.25</v>
      </c>
      <c r="I245" s="3" t="s">
        <v>48</v>
      </c>
      <c r="J245" s="3" t="s">
        <v>804</v>
      </c>
      <c r="K245" s="3" t="s">
        <v>41</v>
      </c>
      <c r="L245" s="3" t="str">
        <f>IFERROR(__xludf.DUMMYFUNCTION("GOOGLETRANSLATE(F245,""id"",""en"")"),"MBAPPE World Cup Final Top Score Messi Best Player")</f>
        <v>MBAPPE World Cup Final Top Score Messi Best Player</v>
      </c>
    </row>
    <row r="246" ht="15.75" customHeight="1">
      <c r="A246" s="1">
        <v>244.0</v>
      </c>
      <c r="B246" s="3" t="s">
        <v>805</v>
      </c>
      <c r="C246" s="3">
        <v>0.0</v>
      </c>
      <c r="D246" s="3">
        <v>0.0</v>
      </c>
      <c r="E246" s="3">
        <v>0.0</v>
      </c>
      <c r="F246" s="3" t="s">
        <v>806</v>
      </c>
      <c r="G246" s="3">
        <v>1.0</v>
      </c>
      <c r="H246" s="3">
        <v>0.0</v>
      </c>
      <c r="I246" s="3" t="s">
        <v>13</v>
      </c>
      <c r="J246" s="3" t="s">
        <v>807</v>
      </c>
      <c r="K246" s="3" t="s">
        <v>236</v>
      </c>
      <c r="L246" s="3" t="str">
        <f>IFERROR(__xludf.DUMMYFUNCTION("GOOGLETRANSLATE(F246,""id"",""en"")"),"Nobar Final World Cup with TPFX Makassar Maxone Hotel Makassar")</f>
        <v>Nobar Final World Cup with TPFX Makassar Maxone Hotel Makassar</v>
      </c>
    </row>
    <row r="247" ht="15.75" customHeight="1">
      <c r="A247" s="1">
        <v>245.0</v>
      </c>
      <c r="B247" s="3" t="s">
        <v>808</v>
      </c>
      <c r="C247" s="3">
        <v>0.0</v>
      </c>
      <c r="D247" s="3">
        <v>0.0</v>
      </c>
      <c r="E247" s="3">
        <v>0.0</v>
      </c>
      <c r="F247" s="3" t="s">
        <v>809</v>
      </c>
      <c r="G247" s="3">
        <v>1.0</v>
      </c>
      <c r="H247" s="3">
        <v>0.0</v>
      </c>
      <c r="I247" s="3" t="s">
        <v>13</v>
      </c>
      <c r="J247" s="3" t="s">
        <v>810</v>
      </c>
      <c r="K247" s="3" t="s">
        <v>54</v>
      </c>
      <c r="L247" s="3" t="str">
        <f>IFERROR(__xludf.DUMMYFUNCTION("GOOGLETRANSLATE(F247,""id"",""en"")"),"The World Cup Final was shocked and her coconut")</f>
        <v>The World Cup Final was shocked and her coconut</v>
      </c>
    </row>
    <row r="248" ht="15.75" customHeight="1">
      <c r="A248" s="1">
        <v>246.0</v>
      </c>
      <c r="B248" s="3" t="s">
        <v>811</v>
      </c>
      <c r="C248" s="3">
        <v>0.0</v>
      </c>
      <c r="D248" s="3">
        <v>0.0</v>
      </c>
      <c r="E248" s="3">
        <v>0.0</v>
      </c>
      <c r="F248" s="3" t="s">
        <v>812</v>
      </c>
      <c r="G248" s="3">
        <v>1.0</v>
      </c>
      <c r="H248" s="3">
        <v>0.0</v>
      </c>
      <c r="I248" s="3" t="s">
        <v>13</v>
      </c>
      <c r="J248" s="3" t="s">
        <v>813</v>
      </c>
      <c r="K248" s="3" t="s">
        <v>205</v>
      </c>
      <c r="L248" s="3" t="str">
        <f>IFERROR(__xludf.DUMMYFUNCTION("GOOGLETRANSLATE(F248,""id"",""en"")"),"Mbappe will return home from his home country and tell the people closest to him how he scored the World Cup Final Hattrick but it was not enough to make him a champion because he met Messi Final")</f>
        <v>Mbappe will return home from his home country and tell the people closest to him how he scored the World Cup Final Hattrick but it was not enough to make him a champion because he met Messi Final</v>
      </c>
    </row>
    <row r="249" ht="15.75" customHeight="1">
      <c r="A249" s="1">
        <v>247.0</v>
      </c>
      <c r="B249" s="3" t="s">
        <v>814</v>
      </c>
      <c r="C249" s="3">
        <v>0.0</v>
      </c>
      <c r="D249" s="3">
        <v>0.0</v>
      </c>
      <c r="E249" s="3">
        <v>0.0</v>
      </c>
      <c r="F249" s="3" t="s">
        <v>815</v>
      </c>
      <c r="G249" s="3">
        <v>1.0</v>
      </c>
      <c r="H249" s="3">
        <v>0.0</v>
      </c>
      <c r="I249" s="3" t="s">
        <v>13</v>
      </c>
      <c r="J249" s="3" t="s">
        <v>816</v>
      </c>
      <c r="K249" s="3" t="s">
        <v>58</v>
      </c>
      <c r="L249" s="3" t="str">
        <f>IFERROR(__xludf.DUMMYFUNCTION("GOOGLETRANSLATE(F249,""id"",""en"")"),"Crazy crazy crazy Final of the best world cup ever watching this emotion team decor")</f>
        <v>Crazy crazy crazy Final of the best world cup ever watching this emotion team decor</v>
      </c>
    </row>
    <row r="250" ht="15.75" customHeight="1">
      <c r="A250" s="1">
        <v>248.0</v>
      </c>
      <c r="B250" s="3" t="s">
        <v>817</v>
      </c>
      <c r="C250" s="3">
        <v>2.0</v>
      </c>
      <c r="D250" s="3">
        <v>0.0</v>
      </c>
      <c r="E250" s="3">
        <v>0.0</v>
      </c>
      <c r="F250" s="3" t="s">
        <v>818</v>
      </c>
      <c r="G250" s="3">
        <v>0.6666666666666666</v>
      </c>
      <c r="H250" s="3">
        <v>0.08333333333333333</v>
      </c>
      <c r="I250" s="3" t="s">
        <v>48</v>
      </c>
      <c r="J250" s="3" t="s">
        <v>819</v>
      </c>
      <c r="K250" s="3" t="s">
        <v>695</v>
      </c>
      <c r="L250" s="3" t="str">
        <f>IFERROR(__xludf.DUMMYFUNCTION("GOOGLETRANSLATE(F250,""id"",""en"")"),"From this World Cup we can see playing good important important as long as you get a lot of penalty to the final champion, yes, the same factor")</f>
        <v>From this World Cup we can see playing good important important as long as you get a lot of penalty to the final champion, yes, the same factor</v>
      </c>
    </row>
    <row r="251" ht="15.75" customHeight="1">
      <c r="A251" s="1">
        <v>249.0</v>
      </c>
      <c r="B251" s="3" t="s">
        <v>820</v>
      </c>
      <c r="C251" s="3">
        <v>0.0</v>
      </c>
      <c r="D251" s="3">
        <v>0.0</v>
      </c>
      <c r="E251" s="3">
        <v>0.0</v>
      </c>
      <c r="F251" s="3" t="s">
        <v>821</v>
      </c>
      <c r="G251" s="3">
        <v>1.0</v>
      </c>
      <c r="H251" s="3">
        <v>0.0</v>
      </c>
      <c r="I251" s="3" t="s">
        <v>13</v>
      </c>
      <c r="J251" s="3" t="s">
        <v>822</v>
      </c>
      <c r="K251" s="3" t="s">
        <v>823</v>
      </c>
      <c r="L251" s="3" t="str">
        <f>IFERROR(__xludf.DUMMYFUNCTION("GOOGLETRANSLATE(F251,""id"",""en"")"),"Thank you to all Argentine players who have tried hard from the beginning of the match until now the final of your World Cup is all amazing and finally your desire is achieved to win the World Cup Vamoss Argetina")</f>
        <v>Thank you to all Argentine players who have tried hard from the beginning of the match until now the final of your World Cup is all amazing and finally your desire is achieved to win the World Cup Vamoss Argetina</v>
      </c>
    </row>
    <row r="252" ht="15.75" customHeight="1">
      <c r="A252" s="1">
        <v>250.0</v>
      </c>
      <c r="B252" s="3" t="s">
        <v>824</v>
      </c>
      <c r="C252" s="3">
        <v>0.0</v>
      </c>
      <c r="D252" s="3">
        <v>0.0</v>
      </c>
      <c r="E252" s="3">
        <v>0.0</v>
      </c>
      <c r="F252" s="3" t="s">
        <v>825</v>
      </c>
      <c r="G252" s="3">
        <v>1.0</v>
      </c>
      <c r="H252" s="3">
        <v>0.0</v>
      </c>
      <c r="I252" s="3" t="s">
        <v>13</v>
      </c>
      <c r="J252" s="3" t="s">
        <v>826</v>
      </c>
      <c r="K252" s="3" t="s">
        <v>240</v>
      </c>
      <c r="L252" s="3" t="str">
        <f>IFERROR(__xludf.DUMMYFUNCTION("GOOGLETRANSLATE(F252,""id"",""en"")"),"Finally, after a long wait, Messi is now able to bring Argentina to the World Cup Champion Final which is quite tense the link")</f>
        <v>Finally, after a long wait, Messi is now able to bring Argentina to the World Cup Champion Final which is quite tense the link</v>
      </c>
    </row>
    <row r="253" ht="15.75" customHeight="1">
      <c r="A253" s="1">
        <v>251.0</v>
      </c>
      <c r="B253" s="3" t="s">
        <v>827</v>
      </c>
      <c r="C253" s="3">
        <v>0.0</v>
      </c>
      <c r="D253" s="3">
        <v>0.0</v>
      </c>
      <c r="E253" s="3">
        <v>0.0</v>
      </c>
      <c r="F253" s="3" t="s">
        <v>828</v>
      </c>
      <c r="G253" s="3">
        <v>0.55</v>
      </c>
      <c r="H253" s="3">
        <v>0.0</v>
      </c>
      <c r="I253" s="3" t="s">
        <v>13</v>
      </c>
      <c r="J253" s="3" t="s">
        <v>829</v>
      </c>
      <c r="K253" s="3" t="s">
        <v>675</v>
      </c>
      <c r="L253" s="3" t="str">
        <f>IFERROR(__xludf.DUMMYFUNCTION("GOOGLETRANSLATE(F253,""id"",""en"")"),"I have never failed betting even though at the World Cup Final level this year predicts that the Argentina French surprise is not simple anymore until Extra Time finally shoots when Indonesia is also rolling des.")</f>
        <v>I have never failed betting even though at the World Cup Final level this year predicts that the Argentina French surprise is not simple anymore until Extra Time finally shoots when Indonesia is also rolling des.</v>
      </c>
    </row>
    <row r="254" ht="15.75" customHeight="1">
      <c r="A254" s="1">
        <v>252.0</v>
      </c>
      <c r="B254" s="3" t="s">
        <v>830</v>
      </c>
      <c r="C254" s="3">
        <v>0.0</v>
      </c>
      <c r="D254" s="3">
        <v>0.0</v>
      </c>
      <c r="E254" s="3">
        <v>0.0</v>
      </c>
      <c r="F254" s="3" t="s">
        <v>831</v>
      </c>
      <c r="G254" s="3">
        <v>1.0</v>
      </c>
      <c r="H254" s="3">
        <v>0.0</v>
      </c>
      <c r="I254" s="3" t="s">
        <v>13</v>
      </c>
      <c r="J254" s="3" t="s">
        <v>832</v>
      </c>
      <c r="K254" s="3" t="s">
        <v>41</v>
      </c>
      <c r="L254" s="3" t="str">
        <f>IFERROR(__xludf.DUMMYFUNCTION("GOOGLETRANSLATE(F254,""id"",""en"")"),"The World Cup final became the entertainment of the Cianjur earthquake refugees")</f>
        <v>The World Cup final became the entertainment of the Cianjur earthquake refugees</v>
      </c>
    </row>
    <row r="255" ht="15.75" customHeight="1">
      <c r="A255" s="1">
        <v>253.0</v>
      </c>
      <c r="B255" s="3" t="s">
        <v>833</v>
      </c>
      <c r="C255" s="3">
        <v>0.0</v>
      </c>
      <c r="D255" s="3">
        <v>0.0</v>
      </c>
      <c r="E255" s="3">
        <v>0.0</v>
      </c>
      <c r="F255" s="3" t="s">
        <v>834</v>
      </c>
      <c r="G255" s="3">
        <v>1.0</v>
      </c>
      <c r="H255" s="3">
        <v>0.0</v>
      </c>
      <c r="I255" s="3" t="s">
        <v>13</v>
      </c>
      <c r="J255" s="3" t="s">
        <v>835</v>
      </c>
      <c r="K255" s="3" t="s">
        <v>433</v>
      </c>
      <c r="L255" s="3" t="str">
        <f>IFERROR(__xludf.DUMMYFUNCTION("GOOGLETRANSLATE(F255,""id"",""en"")"),"Imagine you with the goalkeeper and managed to score the last minute of the World Cup final minute but just imagine just imagine")</f>
        <v>Imagine you with the goalkeeper and managed to score the last minute of the World Cup final minute but just imagine just imagine</v>
      </c>
    </row>
    <row r="256" ht="15.75" customHeight="1">
      <c r="A256" s="1">
        <v>254.0</v>
      </c>
      <c r="B256" s="3" t="s">
        <v>836</v>
      </c>
      <c r="C256" s="3">
        <v>0.0</v>
      </c>
      <c r="D256" s="3">
        <v>0.0</v>
      </c>
      <c r="E256" s="3">
        <v>0.0</v>
      </c>
      <c r="F256" s="3" t="s">
        <v>837</v>
      </c>
      <c r="G256" s="3">
        <v>1.0</v>
      </c>
      <c r="H256" s="3">
        <v>0.0</v>
      </c>
      <c r="I256" s="3" t="s">
        <v>13</v>
      </c>
      <c r="J256" s="3" t="s">
        <v>838</v>
      </c>
      <c r="K256" s="3" t="s">
        <v>41</v>
      </c>
      <c r="L256" s="3" t="str">
        <f>IFERROR(__xludf.DUMMYFUNCTION("GOOGLETRANSLATE(F256,""id"",""en"")"),"World Cup's Best Final Drama Only Ges Eweh Deui")</f>
        <v>World Cup's Best Final Drama Only Ges Eweh Deui</v>
      </c>
    </row>
    <row r="257" ht="15.75" customHeight="1">
      <c r="A257" s="1">
        <v>255.0</v>
      </c>
      <c r="B257" s="3" t="s">
        <v>839</v>
      </c>
      <c r="C257" s="3">
        <v>0.0</v>
      </c>
      <c r="D257" s="3">
        <v>0.0</v>
      </c>
      <c r="E257" s="3">
        <v>0.0</v>
      </c>
      <c r="F257" s="3" t="s">
        <v>840</v>
      </c>
      <c r="G257" s="3">
        <v>1.0</v>
      </c>
      <c r="H257" s="3">
        <v>0.0</v>
      </c>
      <c r="I257" s="3" t="s">
        <v>13</v>
      </c>
      <c r="J257" s="3" t="s">
        <v>841</v>
      </c>
      <c r="K257" s="3" t="s">
        <v>41</v>
      </c>
      <c r="L257" s="3" t="str">
        <f>IFERROR(__xludf.DUMMYFUNCTION("GOOGLETRANSLATE(F257,""id"",""en"")"),"Salute to the same DEG DEG World Cup Final")</f>
        <v>Salute to the same DEG DEG World Cup Final</v>
      </c>
    </row>
    <row r="258" ht="15.75" customHeight="1">
      <c r="A258" s="1">
        <v>256.0</v>
      </c>
      <c r="B258" s="3" t="s">
        <v>842</v>
      </c>
      <c r="C258" s="3">
        <v>0.0</v>
      </c>
      <c r="D258" s="3">
        <v>0.0</v>
      </c>
      <c r="E258" s="3">
        <v>0.0</v>
      </c>
      <c r="F258" s="3" t="s">
        <v>843</v>
      </c>
      <c r="G258" s="3">
        <v>1.0</v>
      </c>
      <c r="H258" s="3">
        <v>0.0</v>
      </c>
      <c r="I258" s="3" t="s">
        <v>13</v>
      </c>
      <c r="J258" s="3" t="s">
        <v>844</v>
      </c>
      <c r="K258" s="3" t="s">
        <v>82</v>
      </c>
      <c r="L258" s="3" t="str">
        <f>IFERROR(__xludf.DUMMYFUNCTION("GOOGLETRANSLATE(F258,""id"",""en"")"),"The final of the World Cup during my Urip")</f>
        <v>The final of the World Cup during my Urip</v>
      </c>
    </row>
    <row r="259" ht="15.75" customHeight="1">
      <c r="A259" s="1">
        <v>257.0</v>
      </c>
      <c r="B259" s="3" t="s">
        <v>845</v>
      </c>
      <c r="C259" s="3">
        <v>0.0</v>
      </c>
      <c r="D259" s="3">
        <v>0.0</v>
      </c>
      <c r="E259" s="3">
        <v>0.0</v>
      </c>
      <c r="F259" s="3" t="s">
        <v>846</v>
      </c>
      <c r="G259" s="3">
        <v>1.0</v>
      </c>
      <c r="H259" s="3">
        <v>0.0</v>
      </c>
      <c r="I259" s="3" t="s">
        <v>13</v>
      </c>
      <c r="J259" s="3" t="s">
        <v>847</v>
      </c>
      <c r="K259" s="3" t="s">
        <v>715</v>
      </c>
      <c r="L259" s="3" t="str">
        <f>IFERROR(__xludf.DUMMYFUNCTION("GOOGLETRANSLATE(F259,""id"",""en"")"),"sad and happy and sad because the hero team lost to the final but happy too because seeing Messi was finally able to lift the World Cup")</f>
        <v>sad and happy and sad because the hero team lost to the final but happy too because seeing Messi was finally able to lift the World Cup</v>
      </c>
    </row>
    <row r="260" ht="15.75" customHeight="1">
      <c r="A260" s="1">
        <v>258.0</v>
      </c>
      <c r="B260" s="3" t="s">
        <v>848</v>
      </c>
      <c r="C260" s="3">
        <v>0.0</v>
      </c>
      <c r="D260" s="3">
        <v>0.0</v>
      </c>
      <c r="E260" s="3">
        <v>0.0</v>
      </c>
      <c r="F260" s="3" t="s">
        <v>849</v>
      </c>
      <c r="G260" s="3">
        <v>1.0</v>
      </c>
      <c r="H260" s="3">
        <v>0.0</v>
      </c>
      <c r="I260" s="3" t="s">
        <v>13</v>
      </c>
      <c r="J260" s="3" t="s">
        <v>850</v>
      </c>
      <c r="K260" s="3" t="s">
        <v>15</v>
      </c>
      <c r="L260" s="3" t="str">
        <f>IFERROR(__xludf.DUMMYFUNCTION("GOOGLETRANSLATE(F260,""id"",""en"")"),"Lionel Messi Breaks Many World Cup Final Records")</f>
        <v>Lionel Messi Breaks Many World Cup Final Records</v>
      </c>
    </row>
    <row r="261" ht="15.75" customHeight="1">
      <c r="A261" s="1">
        <v>259.0</v>
      </c>
      <c r="B261" s="3" t="s">
        <v>851</v>
      </c>
      <c r="C261" s="3">
        <v>1.0</v>
      </c>
      <c r="D261" s="3">
        <v>0.0</v>
      </c>
      <c r="E261" s="3">
        <v>0.0</v>
      </c>
      <c r="F261" s="3" t="s">
        <v>852</v>
      </c>
      <c r="G261" s="3">
        <v>1.0</v>
      </c>
      <c r="H261" s="3">
        <v>0.0</v>
      </c>
      <c r="I261" s="3" t="s">
        <v>13</v>
      </c>
      <c r="J261" s="3" t="s">
        <v>853</v>
      </c>
      <c r="K261" s="3" t="s">
        <v>75</v>
      </c>
      <c r="L261" s="3" t="str">
        <f>IFERROR(__xludf.DUMMYFUNCTION("GOOGLETRANSLATE(F261,""id"",""en"")"),"Is it the only one who watched a single world cup match even to the final just now")</f>
        <v>Is it the only one who watched a single world cup match even to the final just now</v>
      </c>
    </row>
    <row r="262" ht="15.75" customHeight="1">
      <c r="A262" s="1">
        <v>260.0</v>
      </c>
      <c r="B262" s="3" t="s">
        <v>854</v>
      </c>
      <c r="C262" s="3">
        <v>0.0</v>
      </c>
      <c r="D262" s="3">
        <v>0.0</v>
      </c>
      <c r="E262" s="3">
        <v>0.0</v>
      </c>
      <c r="F262" s="3" t="s">
        <v>855</v>
      </c>
      <c r="G262" s="3">
        <v>1.0</v>
      </c>
      <c r="H262" s="3">
        <v>0.0</v>
      </c>
      <c r="I262" s="3" t="s">
        <v>13</v>
      </c>
      <c r="J262" s="3" t="s">
        <v>856</v>
      </c>
      <c r="K262" s="3" t="s">
        <v>236</v>
      </c>
      <c r="L262" s="3" t="str">
        <f>IFERROR(__xludf.DUMMYFUNCTION("GOOGLETRANSLATE(F262,""id"",""en"")"),"The World Cup Final Even Whatever Tournament This is the Best Final ever watched")</f>
        <v>The World Cup Final Even Whatever Tournament This is the Best Final ever watched</v>
      </c>
    </row>
    <row r="263" ht="15.75" customHeight="1">
      <c r="A263" s="1">
        <v>261.0</v>
      </c>
      <c r="B263" s="3" t="s">
        <v>857</v>
      </c>
      <c r="C263" s="3">
        <v>0.0</v>
      </c>
      <c r="D263" s="3">
        <v>0.0</v>
      </c>
      <c r="E263" s="3">
        <v>1.0</v>
      </c>
      <c r="F263" s="3" t="s">
        <v>858</v>
      </c>
      <c r="G263" s="3">
        <v>1.0</v>
      </c>
      <c r="H263" s="3">
        <v>0.0</v>
      </c>
      <c r="I263" s="3" t="s">
        <v>13</v>
      </c>
      <c r="J263" s="3" t="s">
        <v>859</v>
      </c>
      <c r="K263" s="3" t="s">
        <v>860</v>
      </c>
      <c r="L263" s="3" t="str">
        <f>IFERROR(__xludf.DUMMYFUNCTION("GOOGLETRANSLATE(F263,""id"",""en"")"),"This year Croatia has failed to repeat the achievements of four years ago to reach the World Cup final but they successfully repeated achievements by ranking third in the Dun Cup")</f>
        <v>This year Croatia has failed to repeat the achievements of four years ago to reach the World Cup final but they successfully repeated achievements by ranking third in the Dun Cup</v>
      </c>
    </row>
    <row r="264" ht="15.75" customHeight="1">
      <c r="A264" s="1">
        <v>262.0</v>
      </c>
      <c r="B264" s="3" t="s">
        <v>861</v>
      </c>
      <c r="C264" s="3">
        <v>0.0</v>
      </c>
      <c r="D264" s="3">
        <v>0.0</v>
      </c>
      <c r="E264" s="3">
        <v>0.0</v>
      </c>
      <c r="F264" s="3" t="s">
        <v>862</v>
      </c>
      <c r="G264" s="3">
        <v>1.0</v>
      </c>
      <c r="H264" s="3">
        <v>0.0</v>
      </c>
      <c r="I264" s="3" t="s">
        <v>13</v>
      </c>
      <c r="J264" s="3" t="s">
        <v>863</v>
      </c>
      <c r="K264" s="3" t="s">
        <v>75</v>
      </c>
      <c r="L264" s="3" t="str">
        <f>IFERROR(__xludf.DUMMYFUNCTION("GOOGLETRANSLATE(F264,""id"",""en"")"),"Bungin Island December Nobar Final of Qatar Argentina World Cup Francis")</f>
        <v>Bungin Island December Nobar Final of Qatar Argentina World Cup Francis</v>
      </c>
    </row>
    <row r="265" ht="15.75" customHeight="1">
      <c r="A265" s="1">
        <v>263.0</v>
      </c>
      <c r="B265" s="3" t="s">
        <v>864</v>
      </c>
      <c r="C265" s="3">
        <v>0.0</v>
      </c>
      <c r="D265" s="3">
        <v>0.0</v>
      </c>
      <c r="E265" s="3">
        <v>3.0</v>
      </c>
      <c r="F265" s="3" t="s">
        <v>865</v>
      </c>
      <c r="G265" s="3">
        <v>1.0</v>
      </c>
      <c r="H265" s="3">
        <v>0.0</v>
      </c>
      <c r="I265" s="3" t="s">
        <v>13</v>
      </c>
      <c r="J265" s="3" t="s">
        <v>866</v>
      </c>
      <c r="K265" s="3" t="s">
        <v>71</v>
      </c>
      <c r="L265" s="3" t="str">
        <f>IFERROR(__xludf.DUMMYFUNCTION("GOOGLETRANSLATE(F265,""id"",""en"")"),"Stinging Gathering of the Tangerang Metro Kota Police Chief Holds the World Cup Nobar Final with the Chairpersons and Journalists")</f>
        <v>Stinging Gathering of the Tangerang Metro Kota Police Chief Holds the World Cup Nobar Final with the Chairpersons and Journalists</v>
      </c>
    </row>
    <row r="266" ht="15.75" customHeight="1">
      <c r="A266" s="1">
        <v>264.0</v>
      </c>
      <c r="B266" s="3" t="s">
        <v>867</v>
      </c>
      <c r="C266" s="3">
        <v>1.0</v>
      </c>
      <c r="D266" s="3">
        <v>0.0</v>
      </c>
      <c r="E266" s="3">
        <v>0.0</v>
      </c>
      <c r="F266" s="3" t="s">
        <v>868</v>
      </c>
      <c r="G266" s="3">
        <v>0.41</v>
      </c>
      <c r="H266" s="3">
        <v>0.2</v>
      </c>
      <c r="I266" s="3" t="s">
        <v>48</v>
      </c>
      <c r="J266" s="3" t="s">
        <v>869</v>
      </c>
      <c r="K266" s="3" t="s">
        <v>870</v>
      </c>
      <c r="L266" s="3" t="str">
        <f>IFERROR(__xludf.DUMMYFUNCTION("GOOGLETRANSLATE(F266,""id"",""en"")"),"Best World Cup Final Ever Seen besides the total confusion of France I failed back the world cup back this time I will remember because I am sure the moment I feel Pildun will be the repeat of you, thank you Qatar See You Continent America")</f>
        <v>Best World Cup Final Ever Seen besides the total confusion of France I failed back the world cup back this time I will remember because I am sure the moment I feel Pildun will be the repeat of you, thank you Qatar See You Continent America</v>
      </c>
    </row>
    <row r="267" ht="15.75" customHeight="1">
      <c r="A267" s="1">
        <v>265.0</v>
      </c>
      <c r="B267" s="3" t="s">
        <v>871</v>
      </c>
      <c r="C267" s="3">
        <v>0.0</v>
      </c>
      <c r="D267" s="3">
        <v>0.0</v>
      </c>
      <c r="E267" s="3">
        <v>0.0</v>
      </c>
      <c r="F267" s="3" t="s">
        <v>872</v>
      </c>
      <c r="G267" s="3">
        <v>1.0</v>
      </c>
      <c r="H267" s="3">
        <v>0.0</v>
      </c>
      <c r="I267" s="3" t="s">
        <v>13</v>
      </c>
      <c r="J267" s="3" t="s">
        <v>873</v>
      </c>
      <c r="K267" s="3" t="s">
        <v>50</v>
      </c>
      <c r="L267" s="3" t="str">
        <f>IFERROR(__xludf.DUMMYFUNCTION("GOOGLETRANSLATE(F267,""id"",""en"")"),"Receive all forms or forms of the World Cup Final Victims")</f>
        <v>Receive all forms or forms of the World Cup Final Victims</v>
      </c>
    </row>
    <row r="268" ht="15.75" customHeight="1">
      <c r="A268" s="1">
        <v>266.0</v>
      </c>
      <c r="B268" s="3" t="s">
        <v>874</v>
      </c>
      <c r="C268" s="3">
        <v>2.0</v>
      </c>
      <c r="D268" s="3">
        <v>1.0</v>
      </c>
      <c r="E268" s="3">
        <v>4.0</v>
      </c>
      <c r="F268" s="3" t="s">
        <v>875</v>
      </c>
      <c r="G268" s="3">
        <v>1.0</v>
      </c>
      <c r="H268" s="3">
        <v>0.0</v>
      </c>
      <c r="I268" s="3" t="s">
        <v>13</v>
      </c>
      <c r="J268" s="3" t="s">
        <v>876</v>
      </c>
      <c r="K268" s="3" t="s">
        <v>50</v>
      </c>
      <c r="L268" s="3" t="str">
        <f>IFERROR(__xludf.DUMMYFUNCTION("GOOGLETRANSLATE(F268,""id"",""en"")"),"Who is the best player tonight the Qatar World Cup Final Party Messi or Mbappe")</f>
        <v>Who is the best player tonight the Qatar World Cup Final Party Messi or Mbappe</v>
      </c>
    </row>
    <row r="269" ht="15.75" customHeight="1">
      <c r="A269" s="1">
        <v>267.0</v>
      </c>
      <c r="B269" s="3" t="s">
        <v>877</v>
      </c>
      <c r="C269" s="3">
        <v>0.0</v>
      </c>
      <c r="D269" s="3">
        <v>0.0</v>
      </c>
      <c r="E269" s="3">
        <v>0.0</v>
      </c>
      <c r="F269" s="3" t="s">
        <v>878</v>
      </c>
      <c r="G269" s="3">
        <v>1.0</v>
      </c>
      <c r="H269" s="3">
        <v>0.0</v>
      </c>
      <c r="I269" s="3" t="s">
        <v>13</v>
      </c>
      <c r="J269" s="3" t="s">
        <v>879</v>
      </c>
      <c r="K269" s="3" t="s">
        <v>15</v>
      </c>
      <c r="L269" s="3" t="str">
        <f>IFERROR(__xludf.DUMMYFUNCTION("GOOGLETRANSLATE(F269,""id"",""en"")"),"Watching French Final World Cup Lose Pinalty Fighting")</f>
        <v>Watching French Final World Cup Lose Pinalty Fighting</v>
      </c>
    </row>
    <row r="270" ht="15.75" customHeight="1">
      <c r="A270" s="1">
        <v>268.0</v>
      </c>
      <c r="B270" s="3" t="s">
        <v>880</v>
      </c>
      <c r="C270" s="3">
        <v>1.0</v>
      </c>
      <c r="D270" s="3">
        <v>1.0</v>
      </c>
      <c r="E270" s="3">
        <v>0.0</v>
      </c>
      <c r="F270" s="3" t="s">
        <v>881</v>
      </c>
      <c r="G270" s="3">
        <v>1.0</v>
      </c>
      <c r="H270" s="3">
        <v>0.0</v>
      </c>
      <c r="I270" s="3" t="s">
        <v>13</v>
      </c>
      <c r="J270" s="3" t="s">
        <v>882</v>
      </c>
      <c r="K270" s="3" t="s">
        <v>883</v>
      </c>
      <c r="L270" s="3" t="str">
        <f>IFERROR(__xludf.DUMMYFUNCTION("GOOGLETRANSLATE(F270,""id"",""en"")"),"who is considered not to understand the ball today talking about the ball of Ben Tooo Wong, the World Cup final is not the final chirping mania area of ​​the Gedangan area")</f>
        <v>who is considered not to understand the ball today talking about the ball of Ben Tooo Wong, the World Cup final is not the final chirping mania area of ​​the Gedangan area</v>
      </c>
    </row>
    <row r="271" ht="15.75" customHeight="1">
      <c r="A271" s="1">
        <v>269.0</v>
      </c>
      <c r="B271" s="3" t="s">
        <v>884</v>
      </c>
      <c r="C271" s="3">
        <v>6.0</v>
      </c>
      <c r="D271" s="3">
        <v>8.0</v>
      </c>
      <c r="E271" s="3">
        <v>51.0</v>
      </c>
      <c r="F271" s="3" t="s">
        <v>885</v>
      </c>
      <c r="G271" s="3">
        <v>1.0</v>
      </c>
      <c r="H271" s="3">
        <v>0.0</v>
      </c>
      <c r="I271" s="3" t="s">
        <v>13</v>
      </c>
      <c r="J271" s="3" t="s">
        <v>886</v>
      </c>
      <c r="K271" s="3" t="s">
        <v>19</v>
      </c>
      <c r="L271" s="3" t="str">
        <f>IFERROR(__xludf.DUMMYFUNCTION("GOOGLETRANSLATE(F271,""id"",""en"")"),"Imagine the World Cup Final Hattick when the team was left behind took the first penalty and entered but not champion")</f>
        <v>Imagine the World Cup Final Hattick when the team was left behind took the first penalty and entered but not champion</v>
      </c>
    </row>
    <row r="272" ht="15.75" customHeight="1">
      <c r="A272" s="1">
        <v>270.0</v>
      </c>
      <c r="B272" s="3" t="s">
        <v>887</v>
      </c>
      <c r="C272" s="3">
        <v>0.0</v>
      </c>
      <c r="D272" s="3">
        <v>0.0</v>
      </c>
      <c r="E272" s="3">
        <v>0.0</v>
      </c>
      <c r="F272" s="3" t="s">
        <v>888</v>
      </c>
      <c r="G272" s="3">
        <v>1.0</v>
      </c>
      <c r="H272" s="3">
        <v>0.0</v>
      </c>
      <c r="I272" s="3" t="s">
        <v>13</v>
      </c>
      <c r="J272" s="3" t="s">
        <v>889</v>
      </c>
      <c r="K272" s="3" t="s">
        <v>71</v>
      </c>
      <c r="L272" s="3" t="str">
        <f>IFERROR(__xludf.DUMMYFUNCTION("GOOGLETRANSLATE(F272,""id"",""en"")"),"Mas Mbappe made the World Cup Final this year the most exciting I have ever watched a standing application")</f>
        <v>Mas Mbappe made the World Cup Final this year the most exciting I have ever watched a standing application</v>
      </c>
    </row>
    <row r="273" ht="15.75" customHeight="1">
      <c r="A273" s="1">
        <v>271.0</v>
      </c>
      <c r="B273" s="3" t="s">
        <v>890</v>
      </c>
      <c r="C273" s="3">
        <v>1.0</v>
      </c>
      <c r="D273" s="3">
        <v>1.0</v>
      </c>
      <c r="E273" s="3">
        <v>4.0</v>
      </c>
      <c r="F273" s="3" t="s">
        <v>891</v>
      </c>
      <c r="G273" s="3">
        <v>1.0</v>
      </c>
      <c r="H273" s="3">
        <v>0.0</v>
      </c>
      <c r="I273" s="3" t="s">
        <v>13</v>
      </c>
      <c r="J273" s="3" t="s">
        <v>892</v>
      </c>
      <c r="K273" s="3" t="s">
        <v>41</v>
      </c>
      <c r="L273" s="3" t="str">
        <f>IFERROR(__xludf.DUMMYFUNCTION("GOOGLETRANSLATE(F273,""id"",""en"")"),"The most exciting final in the history of the World Cup agrees")</f>
        <v>The most exciting final in the history of the World Cup agrees</v>
      </c>
    </row>
    <row r="274" ht="15.75" customHeight="1">
      <c r="A274" s="1">
        <v>272.0</v>
      </c>
      <c r="B274" s="3" t="s">
        <v>893</v>
      </c>
      <c r="C274" s="3">
        <v>0.0</v>
      </c>
      <c r="D274" s="3">
        <v>0.0</v>
      </c>
      <c r="E274" s="3">
        <v>0.0</v>
      </c>
      <c r="F274" s="3" t="s">
        <v>894</v>
      </c>
      <c r="G274" s="3">
        <v>1.0</v>
      </c>
      <c r="H274" s="3">
        <v>0.0</v>
      </c>
      <c r="I274" s="3" t="s">
        <v>13</v>
      </c>
      <c r="J274" s="3" t="s">
        <v>895</v>
      </c>
      <c r="K274" s="3" t="s">
        <v>510</v>
      </c>
      <c r="L274" s="3" t="str">
        <f>IFERROR(__xludf.DUMMYFUNCTION("GOOGLETRANSLATE(F274,""id"",""en"")"),"Karim Benzema is reported to reject the French president's existence not to attend the World Cup Final")</f>
        <v>Karim Benzema is reported to reject the French president's existence not to attend the World Cup Final</v>
      </c>
    </row>
    <row r="275" ht="15.75" customHeight="1">
      <c r="A275" s="1">
        <v>273.0</v>
      </c>
      <c r="B275" s="3" t="s">
        <v>896</v>
      </c>
      <c r="C275" s="3">
        <v>0.0</v>
      </c>
      <c r="D275" s="3">
        <v>0.0</v>
      </c>
      <c r="E275" s="3">
        <v>5.0</v>
      </c>
      <c r="F275" s="3" t="s">
        <v>897</v>
      </c>
      <c r="G275" s="3">
        <v>1.0</v>
      </c>
      <c r="H275" s="3">
        <v>0.0</v>
      </c>
      <c r="I275" s="3" t="s">
        <v>13</v>
      </c>
      <c r="J275" s="3" t="s">
        <v>898</v>
      </c>
      <c r="K275" s="3" t="s">
        <v>899</v>
      </c>
      <c r="L275" s="3" t="str">
        <f>IFERROR(__xludf.DUMMYFUNCTION("GOOGLETRANSLATE(F275,""id"",""en"")"),"Too many wild theories about the World Cup Analysis only have to admit the final this time is the best Messi and Mbappe is the main cast of Congratulation Messi Complete Trophy SPAIN League Paris Champion Copa America World Cup Thebest")</f>
        <v>Too many wild theories about the World Cup Analysis only have to admit the final this time is the best Messi and Mbappe is the main cast of Congratulation Messi Complete Trophy SPAIN League Paris Champion Copa America World Cup Thebest</v>
      </c>
    </row>
    <row r="276" ht="15.75" customHeight="1">
      <c r="A276" s="1">
        <v>274.0</v>
      </c>
      <c r="B276" s="3" t="s">
        <v>900</v>
      </c>
      <c r="C276" s="3">
        <v>0.0</v>
      </c>
      <c r="D276" s="3">
        <v>2.0</v>
      </c>
      <c r="E276" s="3">
        <v>7.0</v>
      </c>
      <c r="F276" s="3" t="s">
        <v>901</v>
      </c>
      <c r="G276" s="3">
        <v>0.75</v>
      </c>
      <c r="H276" s="3">
        <v>0.25</v>
      </c>
      <c r="I276" s="3" t="s">
        <v>48</v>
      </c>
      <c r="J276" s="3" t="s">
        <v>902</v>
      </c>
      <c r="K276" s="3" t="s">
        <v>903</v>
      </c>
      <c r="L276" s="3" t="str">
        <f>IFERROR(__xludf.DUMMYFUNCTION("GOOGLETRANSLATE(F276,""id"",""en"")"),"Despite losing to Argentina World Cup Final French striker Kylian Mbappe won the top scorer with Mbappe's goal followed by Lionel Messi second place with a goal")</f>
        <v>Despite losing to Argentina World Cup Final French striker Kylian Mbappe won the top scorer with Mbappe's goal followed by Lionel Messi second place with a goal</v>
      </c>
    </row>
    <row r="277" ht="15.75" customHeight="1">
      <c r="A277" s="1">
        <v>275.0</v>
      </c>
      <c r="B277" s="3" t="s">
        <v>904</v>
      </c>
      <c r="C277" s="3">
        <v>0.0</v>
      </c>
      <c r="D277" s="3">
        <v>0.0</v>
      </c>
      <c r="E277" s="3">
        <v>0.0</v>
      </c>
      <c r="F277" s="3" t="s">
        <v>905</v>
      </c>
      <c r="G277" s="3">
        <v>1.0</v>
      </c>
      <c r="H277" s="3">
        <v>0.0</v>
      </c>
      <c r="I277" s="3" t="s">
        <v>13</v>
      </c>
      <c r="J277" s="3" t="s">
        <v>906</v>
      </c>
      <c r="K277" s="3" t="s">
        <v>82</v>
      </c>
      <c r="L277" s="3" t="str">
        <f>IFERROR(__xludf.DUMMYFUNCTION("GOOGLETRANSLATE(F277,""id"",""en"")"),"Redsindo The World Cup Final is the most exciting and tense")</f>
        <v>Redsindo The World Cup Final is the most exciting and tense</v>
      </c>
    </row>
    <row r="278" ht="15.75" customHeight="1">
      <c r="A278" s="1">
        <v>276.0</v>
      </c>
      <c r="B278" s="3" t="s">
        <v>907</v>
      </c>
      <c r="C278" s="3">
        <v>1.0</v>
      </c>
      <c r="D278" s="3">
        <v>0.0</v>
      </c>
      <c r="E278" s="3">
        <v>0.0</v>
      </c>
      <c r="F278" s="3" t="s">
        <v>908</v>
      </c>
      <c r="G278" s="3">
        <v>0.75</v>
      </c>
      <c r="H278" s="3">
        <v>0.1071428571428571</v>
      </c>
      <c r="I278" s="3" t="s">
        <v>48</v>
      </c>
      <c r="J278" s="3" t="s">
        <v>909</v>
      </c>
      <c r="K278" s="3" t="s">
        <v>910</v>
      </c>
      <c r="L278" s="3" t="str">
        <f>IFERROR(__xludf.DUMMYFUNCTION("GOOGLETRANSLATE(F278,""id"",""en"")"),"Tactical War and Substitution of the Argentine World Cup Final Analysis still uses formations from Croatia and French opponents who make confused instead of making CDM rich when Morocco according to Tchouameni for now it can't be a Pure CDM")</f>
        <v>Tactical War and Substitution of the Argentine World Cup Final Analysis still uses formations from Croatia and French opponents who make confused instead of making CDM rich when Morocco according to Tchouameni for now it can't be a Pure CDM</v>
      </c>
    </row>
    <row r="279" ht="15.75" customHeight="1">
      <c r="A279" s="1">
        <v>277.0</v>
      </c>
      <c r="B279" s="3" t="s">
        <v>911</v>
      </c>
      <c r="C279" s="3">
        <v>1.0</v>
      </c>
      <c r="D279" s="3">
        <v>0.0</v>
      </c>
      <c r="E279" s="3">
        <v>0.0</v>
      </c>
      <c r="F279" s="3" t="s">
        <v>912</v>
      </c>
      <c r="G279" s="3">
        <v>1.0</v>
      </c>
      <c r="H279" s="3">
        <v>0.0</v>
      </c>
      <c r="I279" s="3" t="s">
        <v>13</v>
      </c>
      <c r="J279" s="3" t="s">
        <v>913</v>
      </c>
      <c r="K279" s="3" t="s">
        <v>910</v>
      </c>
      <c r="L279" s="3" t="str">
        <f>IFERROR(__xludf.DUMMYFUNCTION("GOOGLETRANSLATE(F279,""id"",""en"")"),"very heartbreaking my first experience watching the World Cup ended very quickly Argentina and Batistuta had to lift the suitcase faster the group stages even so I still watched until the final I still remember how beautiful Ronaldinho's goal was England")</f>
        <v>very heartbreaking my first experience watching the World Cup ended very quickly Argentina and Batistuta had to lift the suitcase faster the group stages even so I still watched until the final I still remember how beautiful Ronaldinho's goal was England</v>
      </c>
    </row>
    <row r="280" ht="15.75" customHeight="1">
      <c r="A280" s="1">
        <v>278.0</v>
      </c>
      <c r="B280" s="3" t="s">
        <v>914</v>
      </c>
      <c r="C280" s="3">
        <v>1.0</v>
      </c>
      <c r="D280" s="3">
        <v>0.0</v>
      </c>
      <c r="E280" s="3">
        <v>0.0</v>
      </c>
      <c r="F280" s="3" t="s">
        <v>915</v>
      </c>
      <c r="G280" s="3">
        <v>1.0</v>
      </c>
      <c r="H280" s="3">
        <v>0.0</v>
      </c>
      <c r="I280" s="3" t="s">
        <v>13</v>
      </c>
      <c r="J280" s="3" t="s">
        <v>916</v>
      </c>
      <c r="K280" s="3" t="s">
        <v>54</v>
      </c>
      <c r="L280" s="3" t="str">
        <f>IFERROR(__xludf.DUMMYFUNCTION("GOOGLETRANSLATE(F280,""id"",""en"")"),"The Best World Cup Final I've ever watched")</f>
        <v>The Best World Cup Final I've ever watched</v>
      </c>
    </row>
    <row r="281" ht="15.75" customHeight="1">
      <c r="A281" s="1">
        <v>279.0</v>
      </c>
      <c r="B281" s="3" t="s">
        <v>917</v>
      </c>
      <c r="C281" s="3">
        <v>0.0</v>
      </c>
      <c r="D281" s="3">
        <v>0.0</v>
      </c>
      <c r="E281" s="3">
        <v>0.0</v>
      </c>
      <c r="F281" s="3" t="s">
        <v>918</v>
      </c>
      <c r="G281" s="3">
        <v>1.0</v>
      </c>
      <c r="H281" s="3">
        <v>0.0</v>
      </c>
      <c r="I281" s="3" t="s">
        <v>13</v>
      </c>
      <c r="J281" s="3" t="s">
        <v>919</v>
      </c>
      <c r="K281" s="3" t="s">
        <v>54</v>
      </c>
      <c r="L281" s="3" t="str">
        <f>IFERROR(__xludf.DUMMYFUNCTION("GOOGLETRANSLATE(F281,""id"",""en"")"),"Argentina French Highlights World Cup Final")</f>
        <v>Argentina French Highlights World Cup Final</v>
      </c>
    </row>
    <row r="282" ht="15.75" customHeight="1">
      <c r="A282" s="1">
        <v>280.0</v>
      </c>
      <c r="B282" s="3" t="s">
        <v>920</v>
      </c>
      <c r="C282" s="3">
        <v>0.0</v>
      </c>
      <c r="D282" s="3">
        <v>0.0</v>
      </c>
      <c r="E282" s="3">
        <v>0.0</v>
      </c>
      <c r="F282" s="3" t="s">
        <v>921</v>
      </c>
      <c r="G282" s="3">
        <v>1.0</v>
      </c>
      <c r="H282" s="3">
        <v>0.0</v>
      </c>
      <c r="I282" s="3" t="s">
        <v>13</v>
      </c>
      <c r="J282" s="3" t="s">
        <v>922</v>
      </c>
      <c r="K282" s="3" t="s">
        <v>15</v>
      </c>
      <c r="L282" s="3" t="str">
        <f>IFERROR(__xludf.DUMMYFUNCTION("GOOGLETRANSLATE(F282,""id"",""en"")"),"Defeat France Final Argentina Champion World Cup Qatar")</f>
        <v>Defeat France Final Argentina Champion World Cup Qatar</v>
      </c>
    </row>
    <row r="283" ht="15.75" customHeight="1">
      <c r="A283" s="1">
        <v>281.0</v>
      </c>
      <c r="B283" s="3" t="s">
        <v>923</v>
      </c>
      <c r="C283" s="3">
        <v>1.0</v>
      </c>
      <c r="D283" s="3">
        <v>0.0</v>
      </c>
      <c r="E283" s="3">
        <v>0.0</v>
      </c>
      <c r="F283" s="3" t="s">
        <v>924</v>
      </c>
      <c r="G283" s="3">
        <v>1.0</v>
      </c>
      <c r="H283" s="3">
        <v>0.25</v>
      </c>
      <c r="I283" s="3" t="s">
        <v>48</v>
      </c>
      <c r="J283" s="3" t="s">
        <v>925</v>
      </c>
      <c r="K283" s="3" t="s">
        <v>228</v>
      </c>
      <c r="L283" s="3" t="str">
        <f>IFERROR(__xludf.DUMMYFUNCTION("GOOGLETRANSLATE(F283,""id"",""en"")"),"Argentina French Decree of the Goal is presented by the field and witnessed all corners of the best grand final world in the history of the World Cup or could be the best match in the history of the world of football, there has been a Lusail Stadium Qatar")</f>
        <v>Argentina French Decree of the Goal is presented by the field and witnessed all corners of the best grand final world in the history of the World Cup or could be the best match in the history of the world of football, there has been a Lusail Stadium Qatar</v>
      </c>
    </row>
    <row r="284" ht="15.75" customHeight="1">
      <c r="A284" s="1">
        <v>282.0</v>
      </c>
      <c r="B284" s="3" t="s">
        <v>926</v>
      </c>
      <c r="C284" s="3">
        <v>0.0</v>
      </c>
      <c r="D284" s="3">
        <v>0.0</v>
      </c>
      <c r="E284" s="3">
        <v>0.0</v>
      </c>
      <c r="F284" s="3" t="s">
        <v>927</v>
      </c>
      <c r="G284" s="3">
        <v>1.0</v>
      </c>
      <c r="H284" s="3">
        <v>0.0</v>
      </c>
      <c r="I284" s="3" t="s">
        <v>13</v>
      </c>
      <c r="J284" s="3" t="s">
        <v>928</v>
      </c>
      <c r="K284" s="3" t="s">
        <v>657</v>
      </c>
      <c r="L284" s="3" t="str">
        <f>IFERROR(__xludf.DUMMYFUNCTION("GOOGLETRANSLATE(F284,""id"",""en"")"),"the best world cup final year watching a heart like a heart to come off but it's really exciting")</f>
        <v>the best world cup final year watching a heart like a heart to come off but it's really exciting</v>
      </c>
    </row>
    <row r="285" ht="15.75" customHeight="1">
      <c r="A285" s="1">
        <v>283.0</v>
      </c>
      <c r="B285" s="3" t="s">
        <v>929</v>
      </c>
      <c r="C285" s="3">
        <v>0.0</v>
      </c>
      <c r="D285" s="3">
        <v>0.0</v>
      </c>
      <c r="E285" s="3">
        <v>0.0</v>
      </c>
      <c r="F285" s="3" t="s">
        <v>930</v>
      </c>
      <c r="G285" s="3">
        <v>1.0</v>
      </c>
      <c r="H285" s="3">
        <v>0.0</v>
      </c>
      <c r="I285" s="3" t="s">
        <v>13</v>
      </c>
      <c r="J285" s="3" t="s">
        <v>931</v>
      </c>
      <c r="K285" s="3" t="s">
        <v>41</v>
      </c>
      <c r="L285" s="3" t="str">
        <f>IFERROR(__xludf.DUMMYFUNCTION("GOOGLETRANSLATE(F285,""id"",""en"")"),"believe or not the final of the Argentine French World Cup is the best in history")</f>
        <v>believe or not the final of the Argentine French World Cup is the best in history</v>
      </c>
    </row>
    <row r="286" ht="15.75" customHeight="1">
      <c r="A286" s="1">
        <v>284.0</v>
      </c>
      <c r="B286" s="3" t="s">
        <v>932</v>
      </c>
      <c r="C286" s="3">
        <v>0.0</v>
      </c>
      <c r="D286" s="3">
        <v>0.0</v>
      </c>
      <c r="E286" s="3">
        <v>0.0</v>
      </c>
      <c r="F286" s="3" t="s">
        <v>933</v>
      </c>
      <c r="G286" s="3">
        <v>1.0</v>
      </c>
      <c r="H286" s="3">
        <v>0.0</v>
      </c>
      <c r="I286" s="3" t="s">
        <v>13</v>
      </c>
      <c r="J286" s="3" t="s">
        <v>934</v>
      </c>
      <c r="K286" s="3" t="s">
        <v>935</v>
      </c>
      <c r="L286" s="3" t="str">
        <f>IFERROR(__xludf.DUMMYFUNCTION("GOOGLETRANSLATE(F286,""id"",""en"")"),"Argentina won because Kbtulan was not an absolute winning to win Pinalty not to be a French Argentina champion in the world because France was rarely because the final world cup was usually used by France.")</f>
        <v>Argentina won because Kbtulan was not an absolute winning to win Pinalty not to be a French Argentina champion in the world because France was rarely because the final world cup was usually used by France.</v>
      </c>
    </row>
    <row r="287" ht="15.75" customHeight="1">
      <c r="A287" s="1">
        <v>285.0</v>
      </c>
      <c r="B287" s="3" t="s">
        <v>936</v>
      </c>
      <c r="C287" s="3">
        <v>1.0</v>
      </c>
      <c r="D287" s="3">
        <v>6.0</v>
      </c>
      <c r="E287" s="3">
        <v>55.0</v>
      </c>
      <c r="F287" s="3" t="s">
        <v>937</v>
      </c>
      <c r="G287" s="3">
        <v>1.0</v>
      </c>
      <c r="H287" s="3">
        <v>0.25</v>
      </c>
      <c r="I287" s="3" t="s">
        <v>48</v>
      </c>
      <c r="J287" s="3" t="s">
        <v>938</v>
      </c>
      <c r="K287" s="3" t="s">
        <v>870</v>
      </c>
      <c r="L287" s="3" t="str">
        <f>IFERROR(__xludf.DUMMYFUNCTION("GOOGLETRANSLATE(F287,""id"",""en"")"),"A new legend for Argentina Messi finally lifted the world championship trophy for his country when competing in the World Cup very deserve the title of the Qatar World Cup for his World Cup.")</f>
        <v>A new legend for Argentina Messi finally lifted the world championship trophy for his country when competing in the World Cup very deserve the title of the Qatar World Cup for his World Cup.</v>
      </c>
    </row>
    <row r="288" ht="15.75" customHeight="1">
      <c r="A288" s="1">
        <v>286.0</v>
      </c>
      <c r="B288" s="3" t="s">
        <v>939</v>
      </c>
      <c r="C288" s="3">
        <v>0.0</v>
      </c>
      <c r="D288" s="3">
        <v>0.0</v>
      </c>
      <c r="E288" s="3">
        <v>1.0</v>
      </c>
      <c r="F288" s="3" t="s">
        <v>940</v>
      </c>
      <c r="G288" s="3">
        <v>0.6666666666666666</v>
      </c>
      <c r="H288" s="3">
        <v>0.03333333333333333</v>
      </c>
      <c r="I288" s="3" t="s">
        <v>48</v>
      </c>
      <c r="J288" s="3" t="s">
        <v>941</v>
      </c>
      <c r="K288" s="3" t="s">
        <v>942</v>
      </c>
      <c r="L288" s="3" t="str">
        <f>IFERROR(__xludf.DUMMYFUNCTION("GOOGLETRANSLATE(F288,""id"",""en"")"),"The World Cup Final is regretting if it's not nobar the best the best game Messi")</f>
        <v>The World Cup Final is regretting if it's not nobar the best the best game Messi</v>
      </c>
    </row>
    <row r="289" ht="15.75" customHeight="1">
      <c r="A289" s="1">
        <v>287.0</v>
      </c>
      <c r="B289" s="3" t="s">
        <v>943</v>
      </c>
      <c r="C289" s="3">
        <v>0.0</v>
      </c>
      <c r="D289" s="3">
        <v>0.0</v>
      </c>
      <c r="E289" s="3">
        <v>0.0</v>
      </c>
      <c r="F289" s="3" t="s">
        <v>944</v>
      </c>
      <c r="G289" s="3">
        <v>1.0</v>
      </c>
      <c r="H289" s="3">
        <v>0.0</v>
      </c>
      <c r="I289" s="3" t="s">
        <v>13</v>
      </c>
      <c r="J289" s="3" t="s">
        <v>945</v>
      </c>
      <c r="K289" s="3" t="s">
        <v>27</v>
      </c>
      <c r="L289" s="3" t="str">
        <f>IFERROR(__xludf.DUMMYFUNCTION("GOOGLETRANSLATE(F289,""id"",""en"")"),"looking for disease as soon as dawn, yes, that's not moving from the World Cup final, then MLHAN surfing the Tik Tok Scroll is getting more and more huaaa, huaaa")</f>
        <v>looking for disease as soon as dawn, yes, that's not moving from the World Cup final, then MLHAN surfing the Tik Tok Scroll is getting more and more huaaa, huaaa</v>
      </c>
    </row>
    <row r="290" ht="15.75" customHeight="1">
      <c r="A290" s="1">
        <v>288.0</v>
      </c>
      <c r="B290" s="3" t="s">
        <v>946</v>
      </c>
      <c r="C290" s="3">
        <v>0.0</v>
      </c>
      <c r="D290" s="3">
        <v>0.0</v>
      </c>
      <c r="E290" s="3">
        <v>0.0</v>
      </c>
      <c r="F290" s="3" t="s">
        <v>947</v>
      </c>
      <c r="G290" s="3">
        <v>1.0</v>
      </c>
      <c r="H290" s="3">
        <v>0.0</v>
      </c>
      <c r="I290" s="3" t="s">
        <v>13</v>
      </c>
      <c r="J290" s="3" t="s">
        <v>948</v>
      </c>
      <c r="K290" s="3" t="s">
        <v>19</v>
      </c>
      <c r="L290" s="3" t="str">
        <f>IFERROR(__xludf.DUMMYFUNCTION("GOOGLETRANSLATE(F290,""id"",""en"")"),"Mbappe got a congratulatory greeting from Sir Geoff Hurst Printing First Hattrick World Cup Final")</f>
        <v>Mbappe got a congratulatory greeting from Sir Geoff Hurst Printing First Hattrick World Cup Final</v>
      </c>
    </row>
    <row r="291" ht="15.75" customHeight="1">
      <c r="A291" s="1">
        <v>289.0</v>
      </c>
      <c r="B291" s="3" t="s">
        <v>949</v>
      </c>
      <c r="C291" s="3">
        <v>0.0</v>
      </c>
      <c r="D291" s="3">
        <v>0.0</v>
      </c>
      <c r="E291" s="3">
        <v>0.0</v>
      </c>
      <c r="F291" s="3" t="s">
        <v>950</v>
      </c>
      <c r="G291" s="3">
        <v>1.0</v>
      </c>
      <c r="H291" s="3">
        <v>0.0</v>
      </c>
      <c r="I291" s="3" t="s">
        <v>13</v>
      </c>
      <c r="J291" s="3" t="s">
        <v>951</v>
      </c>
      <c r="K291" s="3" t="s">
        <v>952</v>
      </c>
      <c r="L291" s="3" t="str">
        <f>IFERROR(__xludf.DUMMYFUNCTION("GOOGLETRANSLATE(F291,""id"",""en"")"),"The World Cup Final this time is the most exciting and thrilling World Cup Final")</f>
        <v>The World Cup Final this time is the most exciting and thrilling World Cup Final</v>
      </c>
    </row>
    <row r="292" ht="15.75" customHeight="1">
      <c r="A292" s="1">
        <v>290.0</v>
      </c>
      <c r="B292" s="3" t="s">
        <v>953</v>
      </c>
      <c r="C292" s="3">
        <v>0.0</v>
      </c>
      <c r="D292" s="3">
        <v>0.0</v>
      </c>
      <c r="E292" s="3">
        <v>0.0</v>
      </c>
      <c r="F292" s="3" t="s">
        <v>954</v>
      </c>
      <c r="G292" s="3">
        <v>0.775</v>
      </c>
      <c r="H292" s="3">
        <v>0.175</v>
      </c>
      <c r="I292" s="3" t="s">
        <v>48</v>
      </c>
      <c r="J292" s="3" t="s">
        <v>955</v>
      </c>
      <c r="K292" s="3" t="s">
        <v>50</v>
      </c>
      <c r="L292" s="3" t="str">
        <f>IFERROR(__xludf.DUMMYFUNCTION("GOOGLETRANSLATE(F292,""id"",""en"")"),"The World Cup Final is the most exciting, this is a full place of Nobar, shouting hungry pokil")</f>
        <v>The World Cup Final is the most exciting, this is a full place of Nobar, shouting hungry pokil</v>
      </c>
    </row>
    <row r="293" ht="15.75" customHeight="1">
      <c r="A293" s="1">
        <v>291.0</v>
      </c>
      <c r="B293" s="3" t="s">
        <v>956</v>
      </c>
      <c r="C293" s="3">
        <v>0.0</v>
      </c>
      <c r="D293" s="3">
        <v>0.0</v>
      </c>
      <c r="E293" s="3">
        <v>0.0</v>
      </c>
      <c r="F293" s="3" t="s">
        <v>957</v>
      </c>
      <c r="G293" s="3">
        <v>1.0</v>
      </c>
      <c r="H293" s="3">
        <v>0.0</v>
      </c>
      <c r="I293" s="3" t="s">
        <v>13</v>
      </c>
      <c r="J293" s="3" t="s">
        <v>958</v>
      </c>
      <c r="K293" s="3" t="s">
        <v>75</v>
      </c>
      <c r="L293" s="3" t="str">
        <f>IFERROR(__xludf.DUMMYFUNCTION("GOOGLETRANSLATE(F293,""id"",""en"")"),"Menpora and Erick Thohir met FIFA President ahead of the World Cup final")</f>
        <v>Menpora and Erick Thohir met FIFA President ahead of the World Cup final</v>
      </c>
    </row>
    <row r="294" ht="15.75" customHeight="1">
      <c r="A294" s="1">
        <v>292.0</v>
      </c>
      <c r="B294" s="3" t="s">
        <v>959</v>
      </c>
      <c r="C294" s="3">
        <v>0.0</v>
      </c>
      <c r="D294" s="3">
        <v>0.0</v>
      </c>
      <c r="E294" s="3">
        <v>0.0</v>
      </c>
      <c r="F294" s="3" t="s">
        <v>960</v>
      </c>
      <c r="G294" s="3">
        <v>0.7</v>
      </c>
      <c r="H294" s="3">
        <v>-0.2</v>
      </c>
      <c r="I294" s="3" t="s">
        <v>179</v>
      </c>
      <c r="J294" s="3" t="s">
        <v>961</v>
      </c>
      <c r="K294" s="3" t="s">
        <v>41</v>
      </c>
      <c r="L294" s="3" t="str">
        <f>IFERROR(__xludf.DUMMYFUNCTION("GOOGLETRANSLATE(F294,""id"",""en"")"),"what the most exciting world cup final game so far I watched")</f>
        <v>what the most exciting world cup final game so far I watched</v>
      </c>
    </row>
    <row r="295" ht="15.75" customHeight="1">
      <c r="A295" s="1">
        <v>293.0</v>
      </c>
      <c r="B295" s="3" t="s">
        <v>962</v>
      </c>
      <c r="C295" s="3">
        <v>0.0</v>
      </c>
      <c r="D295" s="3">
        <v>1.0</v>
      </c>
      <c r="E295" s="3">
        <v>0.0</v>
      </c>
      <c r="F295" s="3" t="s">
        <v>963</v>
      </c>
      <c r="G295" s="3">
        <v>1.0</v>
      </c>
      <c r="H295" s="3">
        <v>0.0</v>
      </c>
      <c r="I295" s="3" t="s">
        <v>13</v>
      </c>
      <c r="J295" s="3" t="s">
        <v>964</v>
      </c>
      <c r="K295" s="3" t="s">
        <v>27</v>
      </c>
      <c r="L295" s="3" t="str">
        <f>IFERROR(__xludf.DUMMYFUNCTION("GOOGLETRANSLATE(F295,""id"",""en"")"),"a little story because I'm a Portuguese fan and the problem of who won only this year's World Cup final match was very exciting from the mesi who supported his team and from the mbape who carried his team")</f>
        <v>a little story because I'm a Portuguese fan and the problem of who won only this year's World Cup final match was very exciting from the mesi who supported his team and from the mbape who carried his team</v>
      </c>
    </row>
    <row r="296" ht="15.75" customHeight="1">
      <c r="A296" s="1">
        <v>294.0</v>
      </c>
      <c r="B296" s="3" t="s">
        <v>965</v>
      </c>
      <c r="C296" s="3">
        <v>1.0</v>
      </c>
      <c r="D296" s="3">
        <v>2.0</v>
      </c>
      <c r="E296" s="3">
        <v>0.0</v>
      </c>
      <c r="F296" s="3" t="s">
        <v>966</v>
      </c>
      <c r="G296" s="3">
        <v>0.6444444444444445</v>
      </c>
      <c r="H296" s="3">
        <v>-0.07777777777777779</v>
      </c>
      <c r="I296" s="3" t="s">
        <v>179</v>
      </c>
      <c r="J296" s="3" t="s">
        <v>967</v>
      </c>
      <c r="K296" s="3" t="s">
        <v>910</v>
      </c>
      <c r="L296" s="3" t="str">
        <f>IFERROR(__xludf.DUMMYFUNCTION("GOOGLETRANSLATE(F296,""id"",""en"")"),"The World Cup Final Rancak Kali Rancak even though it ended in a French Argentine penalty two two squads that were balanced with the first Minit Argentine resistance Settle Down became the dominant troop")</f>
        <v>The World Cup Final Rancak Kali Rancak even though it ended in a French Argentine penalty two two squads that were balanced with the first Minit Argentine resistance Settle Down became the dominant troop</v>
      </c>
    </row>
    <row r="297" ht="15.75" customHeight="1">
      <c r="A297" s="1">
        <v>295.0</v>
      </c>
      <c r="B297" s="3" t="s">
        <v>968</v>
      </c>
      <c r="C297" s="3">
        <v>0.0</v>
      </c>
      <c r="D297" s="3">
        <v>0.0</v>
      </c>
      <c r="E297" s="3">
        <v>0.0</v>
      </c>
      <c r="F297" s="3" t="s">
        <v>969</v>
      </c>
      <c r="G297" s="3">
        <v>0.75</v>
      </c>
      <c r="H297" s="3">
        <v>0.06818181818181818</v>
      </c>
      <c r="I297" s="3" t="s">
        <v>48</v>
      </c>
      <c r="J297" s="3" t="s">
        <v>970</v>
      </c>
      <c r="K297" s="3" t="s">
        <v>15</v>
      </c>
      <c r="L297" s="3" t="str">
        <f>IFERROR(__xludf.DUMMYFUNCTION("GOOGLETRANSLATE(F297,""id"",""en"")"),"Live Update for the World Cup Final Who Becomes Champion")</f>
        <v>Live Update for the World Cup Final Who Becomes Champion</v>
      </c>
    </row>
    <row r="298" ht="15.75" customHeight="1">
      <c r="A298" s="1">
        <v>296.0</v>
      </c>
      <c r="B298" s="3" t="s">
        <v>971</v>
      </c>
      <c r="C298" s="3">
        <v>0.0</v>
      </c>
      <c r="D298" s="3">
        <v>0.0</v>
      </c>
      <c r="E298" s="3">
        <v>1.0</v>
      </c>
      <c r="F298" s="3" t="s">
        <v>972</v>
      </c>
      <c r="G298" s="3">
        <v>0.875</v>
      </c>
      <c r="H298" s="3">
        <v>-0.125</v>
      </c>
      <c r="I298" s="3" t="s">
        <v>179</v>
      </c>
      <c r="J298" s="3" t="s">
        <v>973</v>
      </c>
      <c r="K298" s="3" t="s">
        <v>974</v>
      </c>
      <c r="L298" s="3" t="str">
        <f>IFERROR(__xludf.DUMMYFUNCTION("GOOGLETRANSLATE(F298,""id"",""en"")"),"The World Cup Final was shouted that I have seen for a lifetime of the debate between the best players may end up with Messi winning the World Cup and marked by ending the competition of aliens and robots and also the starting point for the birth of a new"&amp;" Goat candidate who was a young master of Mbappe")</f>
        <v>The World Cup Final was shouted that I have seen for a lifetime of the debate between the best players may end up with Messi winning the World Cup and marked by ending the competition of aliens and robots and also the starting point for the birth of a new Goat candidate who was a young master of Mbappe</v>
      </c>
    </row>
    <row r="299" ht="15.75" customHeight="1">
      <c r="A299" s="1">
        <v>297.0</v>
      </c>
      <c r="B299" s="3" t="s">
        <v>975</v>
      </c>
      <c r="C299" s="3">
        <v>0.0</v>
      </c>
      <c r="D299" s="3">
        <v>0.0</v>
      </c>
      <c r="E299" s="3">
        <v>0.0</v>
      </c>
      <c r="F299" s="3" t="s">
        <v>976</v>
      </c>
      <c r="G299" s="3">
        <v>1.0</v>
      </c>
      <c r="H299" s="3">
        <v>0.0</v>
      </c>
      <c r="I299" s="3" t="s">
        <v>13</v>
      </c>
      <c r="J299" s="3" t="s">
        <v>977</v>
      </c>
      <c r="K299" s="3" t="s">
        <v>82</v>
      </c>
      <c r="L299" s="3" t="str">
        <f>IFERROR(__xludf.DUMMYFUNCTION("GOOGLETRANSLATE(F299,""id"",""en"")"),"The Best World Cup Final Match For me there is Qatar")</f>
        <v>The Best World Cup Final Match For me there is Qatar</v>
      </c>
    </row>
    <row r="300" ht="15.75" customHeight="1">
      <c r="A300" s="1">
        <v>298.0</v>
      </c>
      <c r="B300" s="3" t="s">
        <v>978</v>
      </c>
      <c r="C300" s="3">
        <v>0.0</v>
      </c>
      <c r="D300" s="3">
        <v>0.0</v>
      </c>
      <c r="E300" s="3">
        <v>1.0</v>
      </c>
      <c r="F300" s="3" t="s">
        <v>979</v>
      </c>
      <c r="G300" s="3">
        <v>1.0</v>
      </c>
      <c r="H300" s="3">
        <v>0.0</v>
      </c>
      <c r="I300" s="3" t="s">
        <v>13</v>
      </c>
      <c r="J300" s="3" t="s">
        <v>980</v>
      </c>
      <c r="K300" s="3" t="s">
        <v>50</v>
      </c>
      <c r="L300" s="3" t="str">
        <f>IFERROR(__xludf.DUMMYFUNCTION("GOOGLETRANSLATE(F300,""id"",""en"")"),"Gathering with Metro Jaya Regional Police Holds Nobar Final World Cup Polres")</f>
        <v>Gathering with Metro Jaya Regional Police Holds Nobar Final World Cup Polres</v>
      </c>
    </row>
    <row r="301" ht="15.75" customHeight="1">
      <c r="A301" s="1">
        <v>299.0</v>
      </c>
      <c r="B301" s="3" t="s">
        <v>981</v>
      </c>
      <c r="C301" s="3">
        <v>0.0</v>
      </c>
      <c r="D301" s="3">
        <v>0.0</v>
      </c>
      <c r="E301" s="3">
        <v>0.0</v>
      </c>
      <c r="F301" s="3" t="s">
        <v>982</v>
      </c>
      <c r="G301" s="3">
        <v>1.0</v>
      </c>
      <c r="H301" s="3">
        <v>0.0</v>
      </c>
      <c r="I301" s="3" t="s">
        <v>13</v>
      </c>
      <c r="J301" s="3" t="s">
        <v>983</v>
      </c>
      <c r="K301" s="3" t="s">
        <v>50</v>
      </c>
      <c r="L301" s="3" t="str">
        <f>IFERROR(__xludf.DUMMYFUNCTION("GOOGLETRANSLATE(F301,""id"",""en"")"),"The French Argentina Final was colored by many Qatar World Cup dramas closed with a climax")</f>
        <v>The French Argentina Final was colored by many Qatar World Cup dramas closed with a climax</v>
      </c>
    </row>
    <row r="302" ht="15.75" customHeight="1">
      <c r="A302" s="1">
        <v>300.0</v>
      </c>
      <c r="B302" s="3" t="s">
        <v>984</v>
      </c>
      <c r="C302" s="3">
        <v>0.0</v>
      </c>
      <c r="D302" s="3">
        <v>0.0</v>
      </c>
      <c r="E302" s="3">
        <v>0.0</v>
      </c>
      <c r="F302" s="3" t="s">
        <v>985</v>
      </c>
      <c r="G302" s="3">
        <v>1.0</v>
      </c>
      <c r="H302" s="3">
        <v>0.0</v>
      </c>
      <c r="I302" s="3" t="s">
        <v>13</v>
      </c>
      <c r="J302" s="3" t="s">
        <v>986</v>
      </c>
      <c r="K302" s="3" t="s">
        <v>437</v>
      </c>
      <c r="L302" s="3" t="str">
        <f>IFERROR(__xludf.DUMMYFUNCTION("GOOGLETRANSLATE(F302,""id"",""en"")"),"Honestly the match was excited about the Qatar World Cup when the final had been worried and finally happy forever")</f>
        <v>Honestly the match was excited about the Qatar World Cup when the final had been worried and finally happy forever</v>
      </c>
    </row>
    <row r="303" ht="15.75" customHeight="1">
      <c r="A303" s="1">
        <v>301.0</v>
      </c>
      <c r="B303" s="3" t="s">
        <v>987</v>
      </c>
      <c r="C303" s="3">
        <v>0.0</v>
      </c>
      <c r="D303" s="3">
        <v>0.0</v>
      </c>
      <c r="E303" s="3">
        <v>0.0</v>
      </c>
      <c r="F303" s="3" t="s">
        <v>988</v>
      </c>
      <c r="G303" s="3">
        <v>1.0</v>
      </c>
      <c r="H303" s="3">
        <v>0.0</v>
      </c>
      <c r="I303" s="3" t="s">
        <v>13</v>
      </c>
      <c r="J303" s="3" t="s">
        <v>989</v>
      </c>
      <c r="K303" s="3" t="s">
        <v>184</v>
      </c>
      <c r="L303" s="3" t="str">
        <f>IFERROR(__xludf.DUMMYFUNCTION("GOOGLETRANSLATE(F303,""id"",""en"")"),"In the past many dramas occurred during the most iconic French French World Cup final Zidane gore Materazzi because this final provoked was also quite memorable")</f>
        <v>In the past many dramas occurred during the most iconic French French World Cup final Zidane gore Materazzi because this final provoked was also quite memorable</v>
      </c>
    </row>
    <row r="304" ht="15.75" customHeight="1">
      <c r="A304" s="1">
        <v>302.0</v>
      </c>
      <c r="B304" s="3" t="s">
        <v>990</v>
      </c>
      <c r="C304" s="3">
        <v>0.0</v>
      </c>
      <c r="D304" s="3">
        <v>0.0</v>
      </c>
      <c r="E304" s="3">
        <v>2.0</v>
      </c>
      <c r="F304" s="3" t="s">
        <v>991</v>
      </c>
      <c r="G304" s="3">
        <v>1.0</v>
      </c>
      <c r="H304" s="3">
        <v>0.0</v>
      </c>
      <c r="I304" s="3" t="s">
        <v>13</v>
      </c>
      <c r="J304" s="3" t="s">
        <v>992</v>
      </c>
      <c r="K304" s="3" t="s">
        <v>993</v>
      </c>
      <c r="L304" s="3" t="str">
        <f>IFERROR(__xludf.DUMMYFUNCTION("GOOGLETRANSLATE(F304,""id"",""en"")"),"Head Tchouameni and Camavinga Uda Uda Appear Final Just Penalty Just Failed Even though Still Still Still Being Trained Lets Behind Reality Being Madrid Fans Again Let's Win the World Cup between Clubs and Always Become the Best Club of the World of Hala "&amp;"Madrid")</f>
        <v>Head Tchouameni and Camavinga Uda Uda Appear Final Just Penalty Just Failed Even though Still Still Still Being Trained Lets Behind Reality Being Madrid Fans Again Let's Win the World Cup between Clubs and Always Become the Best Club of the World of Hala Madrid</v>
      </c>
    </row>
    <row r="305" ht="15.75" customHeight="1">
      <c r="A305" s="1">
        <v>303.0</v>
      </c>
      <c r="B305" s="3" t="s">
        <v>994</v>
      </c>
      <c r="C305" s="3">
        <v>0.0</v>
      </c>
      <c r="D305" s="3">
        <v>0.0</v>
      </c>
      <c r="E305" s="3">
        <v>5.0</v>
      </c>
      <c r="F305" s="3" t="s">
        <v>995</v>
      </c>
      <c r="G305" s="3">
        <v>1.0</v>
      </c>
      <c r="H305" s="3">
        <v>0.0</v>
      </c>
      <c r="I305" s="3" t="s">
        <v>13</v>
      </c>
      <c r="J305" s="3" t="s">
        <v>996</v>
      </c>
      <c r="K305" s="3" t="s">
        <v>997</v>
      </c>
      <c r="L305" s="3" t="str">
        <f>IFERROR(__xludf.DUMMYFUNCTION("GOOGLETRANSLATE(F305,""id"",""en"")"),"Argentina won the World Cup after defeating France through the final round of the final round of the Lusail Stadium on Sunday, starting at WIB the achievement became a valuable gift for Lionel Messi")</f>
        <v>Argentina won the World Cup after defeating France through the final round of the final round of the Lusail Stadium on Sunday, starting at WIB the achievement became a valuable gift for Lionel Messi</v>
      </c>
    </row>
    <row r="306" ht="15.75" customHeight="1">
      <c r="A306" s="1">
        <v>304.0</v>
      </c>
      <c r="B306" s="3" t="s">
        <v>998</v>
      </c>
      <c r="C306" s="3">
        <v>1.0</v>
      </c>
      <c r="D306" s="3">
        <v>0.0</v>
      </c>
      <c r="E306" s="3">
        <v>2.0</v>
      </c>
      <c r="F306" s="3" t="s">
        <v>999</v>
      </c>
      <c r="G306" s="3">
        <v>1.0</v>
      </c>
      <c r="H306" s="3">
        <v>0.0</v>
      </c>
      <c r="I306" s="3" t="s">
        <v>13</v>
      </c>
      <c r="J306" s="3" t="s">
        <v>1000</v>
      </c>
      <c r="K306" s="3" t="s">
        <v>215</v>
      </c>
      <c r="L306" s="3" t="str">
        <f>IFERROR(__xludf.DUMMYFUNCTION("GOOGLETRANSLATE(F306,""id"",""en"")"),"The latest atmosphere of the Qatari World Cup Nobar Final between French Argentina Summarecon Mall Serpong Kelapa Dua Tangerang Regency, the two stage areas that aired the match were packed with fans of the two teams to the road access was also difficult")</f>
        <v>The latest atmosphere of the Qatari World Cup Nobar Final between French Argentina Summarecon Mall Serpong Kelapa Dua Tangerang Regency, the two stage areas that aired the match were packed with fans of the two teams to the road access was also difficult</v>
      </c>
    </row>
    <row r="307" ht="15.75" customHeight="1">
      <c r="A307" s="1">
        <v>305.0</v>
      </c>
      <c r="B307" s="3" t="s">
        <v>1001</v>
      </c>
      <c r="C307" s="3">
        <v>1.0</v>
      </c>
      <c r="D307" s="3">
        <v>0.0</v>
      </c>
      <c r="E307" s="3">
        <v>0.0</v>
      </c>
      <c r="F307" s="3" t="s">
        <v>1002</v>
      </c>
      <c r="G307" s="3">
        <v>1.0</v>
      </c>
      <c r="H307" s="3">
        <v>0.0</v>
      </c>
      <c r="I307" s="3" t="s">
        <v>13</v>
      </c>
      <c r="J307" s="3" t="s">
        <v>1003</v>
      </c>
      <c r="K307" s="3" t="s">
        <v>31</v>
      </c>
      <c r="L307" s="3" t="str">
        <f>IFERROR(__xludf.DUMMYFUNCTION("GOOGLETRANSLATE(F307,""id"",""en"")"),"World Cup Final Win")</f>
        <v>World Cup Final Win</v>
      </c>
    </row>
    <row r="308" ht="15.75" customHeight="1">
      <c r="A308" s="1">
        <v>306.0</v>
      </c>
      <c r="B308" s="3" t="s">
        <v>1004</v>
      </c>
      <c r="C308" s="3">
        <v>0.0</v>
      </c>
      <c r="D308" s="3">
        <v>0.0</v>
      </c>
      <c r="E308" s="3">
        <v>0.0</v>
      </c>
      <c r="F308" s="3" t="s">
        <v>1005</v>
      </c>
      <c r="G308" s="3">
        <v>1.0</v>
      </c>
      <c r="H308" s="3">
        <v>0.0</v>
      </c>
      <c r="I308" s="3" t="s">
        <v>13</v>
      </c>
      <c r="J308" s="3" t="s">
        <v>1006</v>
      </c>
      <c r="K308" s="3" t="s">
        <v>903</v>
      </c>
      <c r="L308" s="3" t="str">
        <f>IFERROR(__xludf.DUMMYFUNCTION("GOOGLETRANSLATE(F308,""id"",""en"")"),"Argentina champions can finally erase the nickname of the country most often lose the final of the World Cup World Cup Dybala Madrid Maradona Kolo Muani Lloris Demille Mbappe")</f>
        <v>Argentina champions can finally erase the nickname of the country most often lose the final of the World Cup World Cup Dybala Madrid Maradona Kolo Muani Lloris Demille Mbappe</v>
      </c>
    </row>
    <row r="309" ht="15.75" customHeight="1">
      <c r="A309" s="1">
        <v>307.0</v>
      </c>
      <c r="B309" s="3" t="s">
        <v>1007</v>
      </c>
      <c r="C309" s="3">
        <v>0.0</v>
      </c>
      <c r="D309" s="3">
        <v>0.0</v>
      </c>
      <c r="E309" s="3">
        <v>0.0</v>
      </c>
      <c r="F309" s="3" t="s">
        <v>1008</v>
      </c>
      <c r="G309" s="3">
        <v>1.0</v>
      </c>
      <c r="H309" s="3">
        <v>0.0</v>
      </c>
      <c r="I309" s="3" t="s">
        <v>13</v>
      </c>
      <c r="J309" s="3" t="s">
        <v>1009</v>
      </c>
      <c r="K309" s="3" t="s">
        <v>54</v>
      </c>
      <c r="L309" s="3" t="str">
        <f>IFERROR(__xludf.DUMMYFUNCTION("GOOGLETRANSLATE(F309,""id"",""en"")"),"One of the best finals of the World Cup")</f>
        <v>One of the best finals of the World Cup</v>
      </c>
    </row>
    <row r="310" ht="15.75" customHeight="1">
      <c r="A310" s="1">
        <v>308.0</v>
      </c>
      <c r="B310" s="3" t="s">
        <v>1010</v>
      </c>
      <c r="C310" s="3">
        <v>0.0</v>
      </c>
      <c r="D310" s="3">
        <v>0.0</v>
      </c>
      <c r="E310" s="3">
        <v>0.0</v>
      </c>
      <c r="F310" s="3" t="s">
        <v>1011</v>
      </c>
      <c r="G310" s="3">
        <v>1.0</v>
      </c>
      <c r="H310" s="3">
        <v>0.0</v>
      </c>
      <c r="I310" s="3" t="s">
        <v>13</v>
      </c>
      <c r="J310" s="3" t="s">
        <v>1012</v>
      </c>
      <c r="K310" s="3" t="s">
        <v>27</v>
      </c>
      <c r="L310" s="3" t="str">
        <f>IFERROR(__xludf.DUMMYFUNCTION("GOOGLETRANSLATE(F310,""id"",""en"")"),"Complete review of Argentina French Final World Cup World Cup Sappered Yellow Card Messi World Champion Dybala Madrid Maradona Kolo Muani Lloris Dembele Mbappe")</f>
        <v>Complete review of Argentina French Final World Cup World Cup Sappered Yellow Card Messi World Champion Dybala Madrid Maradona Kolo Muani Lloris Dembele Mbappe</v>
      </c>
    </row>
    <row r="311" ht="15.75" customHeight="1">
      <c r="A311" s="1">
        <v>309.0</v>
      </c>
      <c r="B311" s="3" t="s">
        <v>1013</v>
      </c>
      <c r="C311" s="3">
        <v>1.0</v>
      </c>
      <c r="D311" s="3">
        <v>0.0</v>
      </c>
      <c r="E311" s="3">
        <v>0.0</v>
      </c>
      <c r="F311" s="3" t="s">
        <v>1014</v>
      </c>
      <c r="G311" s="3">
        <v>1.0</v>
      </c>
      <c r="H311" s="3">
        <v>0.0</v>
      </c>
      <c r="I311" s="3" t="s">
        <v>13</v>
      </c>
      <c r="J311" s="3" t="s">
        <v>1015</v>
      </c>
      <c r="K311" s="3" t="s">
        <v>903</v>
      </c>
      <c r="L311" s="3" t="str">
        <f>IFERROR(__xludf.DUMMYFUNCTION("GOOGLETRANSLATE(F311,""id"",""en"")"),"In the World Cup final match which took place the Lusail Lusail Qatar Stadium, the Tango team defeated the rooster team with a penalty shootout Sunday night during the country")</f>
        <v>In the World Cup final match which took place the Lusail Lusail Qatar Stadium, the Tango team defeated the rooster team with a penalty shootout Sunday night during the country</v>
      </c>
    </row>
    <row r="312" ht="15.75" customHeight="1">
      <c r="A312" s="1">
        <v>310.0</v>
      </c>
      <c r="B312" s="3" t="s">
        <v>1016</v>
      </c>
      <c r="C312" s="3">
        <v>0.0</v>
      </c>
      <c r="D312" s="3">
        <v>1.0</v>
      </c>
      <c r="E312" s="3">
        <v>7.0</v>
      </c>
      <c r="F312" s="3" t="s">
        <v>1017</v>
      </c>
      <c r="G312" s="3">
        <v>1.0</v>
      </c>
      <c r="H312" s="3">
        <v>0.0</v>
      </c>
      <c r="I312" s="3" t="s">
        <v>13</v>
      </c>
      <c r="J312" s="3" t="s">
        <v>1018</v>
      </c>
      <c r="K312" s="3" t="s">
        <v>50</v>
      </c>
      <c r="L312" s="3" t="str">
        <f>IFERROR(__xludf.DUMMYFUNCTION("GOOGLETRANSLATE(F312,""id"",""en"")"),"Kylian Mbappe Final Goal Solves a Twitter tweeting record about the World Cup")</f>
        <v>Kylian Mbappe Final Goal Solves a Twitter tweeting record about the World Cup</v>
      </c>
    </row>
    <row r="313" ht="15.75" customHeight="1">
      <c r="A313" s="1">
        <v>311.0</v>
      </c>
      <c r="B313" s="3" t="s">
        <v>1019</v>
      </c>
      <c r="C313" s="3">
        <v>0.0</v>
      </c>
      <c r="D313" s="3">
        <v>0.0</v>
      </c>
      <c r="E313" s="3">
        <v>0.0</v>
      </c>
      <c r="F313" s="3" t="s">
        <v>1020</v>
      </c>
      <c r="G313" s="3">
        <v>1.0</v>
      </c>
      <c r="H313" s="3">
        <v>0.0</v>
      </c>
      <c r="I313" s="3" t="s">
        <v>13</v>
      </c>
      <c r="J313" s="3" t="s">
        <v>1021</v>
      </c>
      <c r="K313" s="3" t="s">
        <v>1022</v>
      </c>
      <c r="L313" s="3" t="str">
        <f>IFERROR(__xludf.DUMMYFUNCTION("GOOGLETRANSLATE(F313,""id"",""en"")"),"Try the Indonesian World Cup final referee lost the Argentina News Headline when he became the final referee of the Mayor's World Cup proud of the achievements of the World Cup Final Referee Achievement to become a World Cup referee to pray so that it was"&amp;" real YES")</f>
        <v>Try the Indonesian World Cup final referee lost the Argentina News Headline when he became the final referee of the Mayor's World Cup proud of the achievements of the World Cup Final Referee Achievement to become a World Cup referee to pray so that it was real YES</v>
      </c>
    </row>
    <row r="314" ht="15.75" customHeight="1">
      <c r="A314" s="1">
        <v>312.0</v>
      </c>
      <c r="B314" s="3" t="s">
        <v>1023</v>
      </c>
      <c r="C314" s="3">
        <v>1.0</v>
      </c>
      <c r="D314" s="3">
        <v>1.0</v>
      </c>
      <c r="E314" s="3">
        <v>3.0</v>
      </c>
      <c r="F314" s="3" t="s">
        <v>1024</v>
      </c>
      <c r="G314" s="3">
        <v>1.0</v>
      </c>
      <c r="H314" s="3">
        <v>0.0</v>
      </c>
      <c r="I314" s="3" t="s">
        <v>13</v>
      </c>
      <c r="J314" s="3" t="s">
        <v>1025</v>
      </c>
      <c r="K314" s="3" t="s">
        <v>348</v>
      </c>
      <c r="L314" s="3" t="str">
        <f>IFERROR(__xludf.DUMMYFUNCTION("GOOGLETRANSLATE(F314,""id"",""en"")"),"What is the World Cup Final I am again focused on watching Malang Post punk band which is being tour they closure last night they stopped by hybilonia galaxy bekasi")</f>
        <v>What is the World Cup Final I am again focused on watching Malang Post punk band which is being tour they closure last night they stopped by hybilonia galaxy bekasi</v>
      </c>
    </row>
    <row r="315" ht="15.75" customHeight="1">
      <c r="A315" s="1">
        <v>313.0</v>
      </c>
      <c r="B315" s="3" t="s">
        <v>1026</v>
      </c>
      <c r="C315" s="3">
        <v>0.0</v>
      </c>
      <c r="D315" s="3">
        <v>0.0</v>
      </c>
      <c r="E315" s="3">
        <v>0.0</v>
      </c>
      <c r="F315" s="3" t="s">
        <v>1027</v>
      </c>
      <c r="G315" s="3">
        <v>1.0</v>
      </c>
      <c r="H315" s="3">
        <v>0.0</v>
      </c>
      <c r="I315" s="3" t="s">
        <v>13</v>
      </c>
      <c r="J315" s="3" t="s">
        <v>1028</v>
      </c>
      <c r="K315" s="3" t="s">
        <v>50</v>
      </c>
      <c r="L315" s="3" t="str">
        <f>IFERROR(__xludf.DUMMYFUNCTION("GOOGLETRANSLATE(F315,""id"",""en"")"),"what the World Cup Final Barista felt was so early in the morning, my boss hihihi")</f>
        <v>what the World Cup Final Barista felt was so early in the morning, my boss hihihi</v>
      </c>
    </row>
    <row r="316" ht="15.75" customHeight="1">
      <c r="A316" s="1">
        <v>314.0</v>
      </c>
      <c r="B316" s="3" t="s">
        <v>1029</v>
      </c>
      <c r="C316" s="3">
        <v>0.0</v>
      </c>
      <c r="D316" s="3">
        <v>0.0</v>
      </c>
      <c r="E316" s="3">
        <v>0.0</v>
      </c>
      <c r="F316" s="3" t="s">
        <v>1030</v>
      </c>
      <c r="G316" s="3">
        <v>1.0</v>
      </c>
      <c r="H316" s="3">
        <v>0.0</v>
      </c>
      <c r="I316" s="3" t="s">
        <v>13</v>
      </c>
      <c r="J316" s="3" t="s">
        <v>1031</v>
      </c>
      <c r="K316" s="3" t="s">
        <v>54</v>
      </c>
      <c r="L316" s="3" t="str">
        <f>IFERROR(__xludf.DUMMYFUNCTION("GOOGLETRANSLATE(F316,""id"",""en"")"),"the results of the world cup final player rating")</f>
        <v>the results of the world cup final player rating</v>
      </c>
    </row>
    <row r="317" ht="15.75" customHeight="1">
      <c r="A317" s="1">
        <v>315.0</v>
      </c>
      <c r="B317" s="3" t="s">
        <v>1032</v>
      </c>
      <c r="C317" s="3">
        <v>1.0</v>
      </c>
      <c r="D317" s="3">
        <v>0.0</v>
      </c>
      <c r="E317" s="3">
        <v>1.0</v>
      </c>
      <c r="F317" s="3" t="s">
        <v>1033</v>
      </c>
      <c r="G317" s="3">
        <v>1.0</v>
      </c>
      <c r="H317" s="3">
        <v>0.0</v>
      </c>
      <c r="I317" s="3" t="s">
        <v>13</v>
      </c>
      <c r="J317" s="3" t="s">
        <v>1034</v>
      </c>
      <c r="K317" s="3" t="s">
        <v>50</v>
      </c>
      <c r="L317" s="3" t="str">
        <f>IFERROR(__xludf.DUMMYFUNCTION("GOOGLETRANSLATE(F317,""id"",""en"")"),"The best final since the beginning of watching the winning world cup this year is still from France")</f>
        <v>The best final since the beginning of watching the winning world cup this year is still from France</v>
      </c>
    </row>
    <row r="318" ht="15.75" customHeight="1">
      <c r="A318" s="1">
        <v>316.0</v>
      </c>
      <c r="B318" s="3" t="s">
        <v>1035</v>
      </c>
      <c r="C318" s="3">
        <v>0.0</v>
      </c>
      <c r="D318" s="3">
        <v>0.0</v>
      </c>
      <c r="E318" s="3">
        <v>0.0</v>
      </c>
      <c r="F318" s="3" t="s">
        <v>1036</v>
      </c>
      <c r="G318" s="3">
        <v>1.0</v>
      </c>
      <c r="H318" s="3">
        <v>0.0</v>
      </c>
      <c r="I318" s="3" t="s">
        <v>13</v>
      </c>
      <c r="J318" s="3" t="s">
        <v>1037</v>
      </c>
      <c r="K318" s="3" t="s">
        <v>41</v>
      </c>
      <c r="L318" s="3" t="str">
        <f>IFERROR(__xludf.DUMMYFUNCTION("GOOGLETRANSLATE(F318,""id"",""en"")"),"Ora Galau Mergo World Cup Final even thought of meneh")</f>
        <v>Ora Galau Mergo World Cup Final even thought of meneh</v>
      </c>
    </row>
    <row r="319" ht="15.75" customHeight="1">
      <c r="A319" s="1">
        <v>317.0</v>
      </c>
      <c r="B319" s="3" t="s">
        <v>1038</v>
      </c>
      <c r="C319" s="3">
        <v>1.0</v>
      </c>
      <c r="D319" s="3">
        <v>0.0</v>
      </c>
      <c r="E319" s="3">
        <v>0.0</v>
      </c>
      <c r="F319" s="3" t="s">
        <v>1039</v>
      </c>
      <c r="G319" s="3">
        <v>0.7272727272727273</v>
      </c>
      <c r="H319" s="3">
        <v>0.06818181818181818</v>
      </c>
      <c r="I319" s="3" t="s">
        <v>48</v>
      </c>
      <c r="J319" s="3" t="s">
        <v>1040</v>
      </c>
      <c r="K319" s="3" t="s">
        <v>1041</v>
      </c>
      <c r="L319" s="3" t="str">
        <f>IFERROR(__xludf.DUMMYFUNCTION("GOOGLETRANSLATE(F319,""id"",""en"")"),"And what makes this more special plus entertain is the european red white rooster mbappe shows the class of the world cup's final and perhaps the new king this post the era of UCL that has not gotten seeing.")</f>
        <v>And what makes this more special plus entertain is the european red white rooster mbappe shows the class of the world cup's final and perhaps the new king this post the era of UCL that has not gotten seeing.</v>
      </c>
    </row>
    <row r="320" ht="15.75" customHeight="1">
      <c r="A320" s="1">
        <v>318.0</v>
      </c>
      <c r="B320" s="3" t="s">
        <v>1042</v>
      </c>
      <c r="C320" s="3">
        <v>2.0</v>
      </c>
      <c r="D320" s="3">
        <v>0.0</v>
      </c>
      <c r="E320" s="3">
        <v>0.0</v>
      </c>
      <c r="F320" s="3" t="s">
        <v>1043</v>
      </c>
      <c r="G320" s="3">
        <v>1.0</v>
      </c>
      <c r="H320" s="3">
        <v>0.0</v>
      </c>
      <c r="I320" s="3" t="s">
        <v>13</v>
      </c>
      <c r="J320" s="3" t="s">
        <v>1044</v>
      </c>
      <c r="K320" s="3" t="s">
        <v>1045</v>
      </c>
      <c r="L320" s="3" t="str">
        <f>IFERROR(__xludf.DUMMYFUNCTION("GOOGLETRANSLATE(F320,""id"",""en"")"),"As of being hosting France has entered the World Cup final, recorded the runner, followed by Germany, Argentina, the Spanish Kali Brazil Dutch and Croatia Kali")</f>
        <v>As of being hosting France has entered the World Cup final, recorded the runner, followed by Germany, Argentina, the Spanish Kali Brazil Dutch and Croatia Kali</v>
      </c>
    </row>
    <row r="321" ht="15.75" customHeight="1">
      <c r="A321" s="1">
        <v>319.0</v>
      </c>
      <c r="B321" s="3" t="s">
        <v>1046</v>
      </c>
      <c r="C321" s="3">
        <v>0.0</v>
      </c>
      <c r="D321" s="3">
        <v>0.0</v>
      </c>
      <c r="E321" s="3">
        <v>0.0</v>
      </c>
      <c r="F321" s="3" t="s">
        <v>1047</v>
      </c>
      <c r="G321" s="3">
        <v>1.0</v>
      </c>
      <c r="H321" s="3">
        <v>0.0</v>
      </c>
      <c r="I321" s="3" t="s">
        <v>13</v>
      </c>
      <c r="J321" s="3" t="s">
        <v>1048</v>
      </c>
      <c r="K321" s="3" t="s">
        <v>41</v>
      </c>
      <c r="L321" s="3" t="str">
        <f>IFERROR(__xludf.DUMMYFUNCTION("GOOGLETRANSLATE(F321,""id"",""en"")"),"Losing the World Cup Final This is the activity of Antoine Griezmann now")</f>
        <v>Losing the World Cup Final This is the activity of Antoine Griezmann now</v>
      </c>
    </row>
    <row r="322" ht="15.75" customHeight="1">
      <c r="A322" s="1">
        <v>320.0</v>
      </c>
      <c r="B322" s="3" t="s">
        <v>1049</v>
      </c>
      <c r="C322" s="3">
        <v>0.0</v>
      </c>
      <c r="D322" s="3">
        <v>0.0</v>
      </c>
      <c r="E322" s="3">
        <v>1.0</v>
      </c>
      <c r="F322" s="3" t="s">
        <v>1050</v>
      </c>
      <c r="G322" s="3">
        <v>1.0</v>
      </c>
      <c r="H322" s="3">
        <v>0.0</v>
      </c>
      <c r="I322" s="3" t="s">
        <v>13</v>
      </c>
      <c r="J322" s="3" t="s">
        <v>1051</v>
      </c>
      <c r="K322" s="3" t="s">
        <v>510</v>
      </c>
      <c r="L322" s="3" t="str">
        <f>IFERROR(__xludf.DUMMYFUNCTION("GOOGLETRANSLATE(F322,""id"",""en"")"),"The Final World Cup Final for my new life is called Gokil Heart Gymnastics")</f>
        <v>The Final World Cup Final for my new life is called Gokil Heart Gymnastics</v>
      </c>
    </row>
    <row r="323" ht="15.75" customHeight="1">
      <c r="A323" s="1">
        <v>321.0</v>
      </c>
      <c r="B323" s="3" t="s">
        <v>1052</v>
      </c>
      <c r="C323" s="3">
        <v>0.0</v>
      </c>
      <c r="D323" s="3">
        <v>0.0</v>
      </c>
      <c r="E323" s="3">
        <v>0.0</v>
      </c>
      <c r="F323" s="3" t="s">
        <v>1053</v>
      </c>
      <c r="G323" s="3">
        <v>0.65</v>
      </c>
      <c r="H323" s="3">
        <v>0.1</v>
      </c>
      <c r="I323" s="3" t="s">
        <v>48</v>
      </c>
      <c r="J323" s="3" t="s">
        <v>1054</v>
      </c>
      <c r="K323" s="3" t="s">
        <v>15</v>
      </c>
      <c r="L323" s="3" t="str">
        <f>IFERROR(__xludf.DUMMYFUNCTION("GOOGLETRANSLATE(F323,""id"",""en"")"),"The most real world cup final is crazy crazy")</f>
        <v>The most real world cup final is crazy crazy</v>
      </c>
    </row>
    <row r="324" ht="15.75" customHeight="1">
      <c r="A324" s="1">
        <v>322.0</v>
      </c>
      <c r="B324" s="3" t="s">
        <v>1055</v>
      </c>
      <c r="C324" s="3">
        <v>0.0</v>
      </c>
      <c r="D324" s="3">
        <v>0.0</v>
      </c>
      <c r="E324" s="3">
        <v>0.0</v>
      </c>
      <c r="F324" s="3" t="s">
        <v>1056</v>
      </c>
      <c r="G324" s="3">
        <v>1.0</v>
      </c>
      <c r="H324" s="3">
        <v>0.0</v>
      </c>
      <c r="I324" s="3" t="s">
        <v>13</v>
      </c>
      <c r="J324" s="3" t="s">
        <v>1057</v>
      </c>
      <c r="K324" s="3" t="s">
        <v>50</v>
      </c>
      <c r="L324" s="3" t="str">
        <f>IFERROR(__xludf.DUMMYFUNCTION("GOOGLETRANSLATE(F324,""id"",""en"")"),"Skipping the World Cup Final Only Nontn Pinalty because I'm Drunk")</f>
        <v>Skipping the World Cup Final Only Nontn Pinalty because I'm Drunk</v>
      </c>
    </row>
    <row r="325" ht="15.75" customHeight="1">
      <c r="A325" s="1">
        <v>323.0</v>
      </c>
      <c r="B325" s="3" t="s">
        <v>1058</v>
      </c>
      <c r="C325" s="3">
        <v>0.0</v>
      </c>
      <c r="D325" s="3">
        <v>0.0</v>
      </c>
      <c r="E325" s="3">
        <v>0.0</v>
      </c>
      <c r="F325" s="3" t="s">
        <v>1059</v>
      </c>
      <c r="G325" s="3">
        <v>1.0</v>
      </c>
      <c r="H325" s="3">
        <v>0.0</v>
      </c>
      <c r="I325" s="3" t="s">
        <v>13</v>
      </c>
      <c r="J325" s="3" t="s">
        <v>1060</v>
      </c>
      <c r="K325" s="3" t="s">
        <v>1061</v>
      </c>
      <c r="L325" s="3" t="str">
        <f>IFERROR(__xludf.DUMMYFUNCTION("GOOGLETRANSLATE(F325,""id"",""en"")"),"History for Messi to receive the World Cup final trophy after a long time but the legendary Diego is full of fierce match between and Agentina who brought the Argentina Cup. Thank you Francis")</f>
        <v>History for Messi to receive the World Cup final trophy after a long time but the legendary Diego is full of fierce match between and Agentina who brought the Argentina Cup. Thank you Francis</v>
      </c>
    </row>
    <row r="326" ht="15.75" customHeight="1">
      <c r="A326" s="1">
        <v>324.0</v>
      </c>
      <c r="B326" s="3" t="s">
        <v>1062</v>
      </c>
      <c r="C326" s="3">
        <v>0.0</v>
      </c>
      <c r="D326" s="3">
        <v>0.0</v>
      </c>
      <c r="E326" s="3">
        <v>0.0</v>
      </c>
      <c r="F326" s="3" t="s">
        <v>1063</v>
      </c>
      <c r="G326" s="3">
        <v>1.0</v>
      </c>
      <c r="H326" s="3">
        <v>0.0</v>
      </c>
      <c r="I326" s="3" t="s">
        <v>13</v>
      </c>
      <c r="J326" s="3" t="s">
        <v>1064</v>
      </c>
      <c r="K326" s="3" t="s">
        <v>795</v>
      </c>
      <c r="L326" s="3" t="str">
        <f>IFERROR(__xludf.DUMMYFUNCTION("GOOGLETRANSLATE(F326,""id"",""en"")"),"Copa America's final Neymar and Messi seemed to respect each other close and hugged after the final match of the World Cup Messi and Mbappe looked less familiar")</f>
        <v>Copa America's final Neymar and Messi seemed to respect each other close and hugged after the final match of the World Cup Messi and Mbappe looked less familiar</v>
      </c>
    </row>
    <row r="327" ht="15.75" customHeight="1">
      <c r="A327" s="1">
        <v>325.0</v>
      </c>
      <c r="B327" s="3" t="s">
        <v>1065</v>
      </c>
      <c r="C327" s="3">
        <v>0.0</v>
      </c>
      <c r="D327" s="3">
        <v>0.0</v>
      </c>
      <c r="E327" s="3">
        <v>0.0</v>
      </c>
      <c r="F327" s="3" t="s">
        <v>1066</v>
      </c>
      <c r="G327" s="3">
        <v>0.65</v>
      </c>
      <c r="H327" s="3">
        <v>0.1</v>
      </c>
      <c r="I327" s="3" t="s">
        <v>48</v>
      </c>
      <c r="J327" s="3" t="s">
        <v>1067</v>
      </c>
      <c r="K327" s="3" t="s">
        <v>903</v>
      </c>
      <c r="L327" s="3" t="str">
        <f>IFERROR(__xludf.DUMMYFUNCTION("GOOGLETRANSLATE(F327,""id"",""en"")"),"The World Cup Final is the main thing, it can't be calm until the minute even though Aing's support must be a bend of Leonel Messi to end his beautiful career Pulga Real Goat")</f>
        <v>The World Cup Final is the main thing, it can't be calm until the minute even though Aing's support must be a bend of Leonel Messi to end his beautiful career Pulga Real Goat</v>
      </c>
    </row>
    <row r="328" ht="15.75" customHeight="1">
      <c r="A328" s="1">
        <v>326.0</v>
      </c>
      <c r="B328" s="3" t="s">
        <v>1068</v>
      </c>
      <c r="C328" s="3">
        <v>0.0</v>
      </c>
      <c r="D328" s="3">
        <v>0.0</v>
      </c>
      <c r="E328" s="3">
        <v>0.0</v>
      </c>
      <c r="F328" s="3" t="s">
        <v>1069</v>
      </c>
      <c r="G328" s="3">
        <v>1.0</v>
      </c>
      <c r="H328" s="3">
        <v>0.0</v>
      </c>
      <c r="I328" s="3" t="s">
        <v>13</v>
      </c>
      <c r="J328" s="3" t="s">
        <v>1070</v>
      </c>
      <c r="K328" s="3" t="s">
        <v>82</v>
      </c>
      <c r="L328" s="3" t="str">
        <f>IFERROR(__xludf.DUMMYFUNCTION("GOOGLETRANSLATE(F328,""id"",""en"")"),"how come there can be people watching the World Cup Final Whyyyy")</f>
        <v>how come there can be people watching the World Cup Final Whyyyy</v>
      </c>
    </row>
    <row r="329" ht="15.75" customHeight="1">
      <c r="A329" s="1">
        <v>327.0</v>
      </c>
      <c r="B329" s="3" t="s">
        <v>1071</v>
      </c>
      <c r="C329" s="3">
        <v>0.0</v>
      </c>
      <c r="D329" s="3">
        <v>0.0</v>
      </c>
      <c r="E329" s="3">
        <v>0.0</v>
      </c>
      <c r="F329" s="3" t="s">
        <v>1072</v>
      </c>
      <c r="G329" s="3">
        <v>1.0</v>
      </c>
      <c r="H329" s="3">
        <v>0.0</v>
      </c>
      <c r="I329" s="3" t="s">
        <v>13</v>
      </c>
      <c r="J329" s="3" t="s">
        <v>1073</v>
      </c>
      <c r="K329" s="3" t="s">
        <v>41</v>
      </c>
      <c r="L329" s="3" t="str">
        <f>IFERROR(__xludf.DUMMYFUNCTION("GOOGLETRANSLATE(F329,""id"",""en"")"),"Man The Match of the French French National Cup French national team")</f>
        <v>Man The Match of the French French National Cup French national team</v>
      </c>
    </row>
    <row r="330" ht="15.75" customHeight="1">
      <c r="A330" s="1">
        <v>328.0</v>
      </c>
      <c r="B330" s="3" t="s">
        <v>1074</v>
      </c>
      <c r="C330" s="3">
        <v>0.0</v>
      </c>
      <c r="D330" s="3">
        <v>0.0</v>
      </c>
      <c r="E330" s="3">
        <v>0.0</v>
      </c>
      <c r="F330" s="3" t="s">
        <v>1075</v>
      </c>
      <c r="G330" s="3">
        <v>0.75</v>
      </c>
      <c r="H330" s="3">
        <v>0.06818181818181818</v>
      </c>
      <c r="I330" s="3" t="s">
        <v>48</v>
      </c>
      <c r="J330" s="3" t="s">
        <v>1076</v>
      </c>
      <c r="K330" s="3" t="s">
        <v>50</v>
      </c>
      <c r="L330" s="3" t="str">
        <f>IFERROR(__xludf.DUMMYFUNCTION("GOOGLETRANSLATE(F330,""id"",""en"")"),"LIVE LIVE LIVE STREAMING Alternative Final French World Cup")</f>
        <v>LIVE LIVE LIVE STREAMING Alternative Final French World Cup</v>
      </c>
    </row>
    <row r="331" ht="15.75" customHeight="1">
      <c r="A331" s="1">
        <v>329.0</v>
      </c>
      <c r="B331" s="3" t="s">
        <v>1077</v>
      </c>
      <c r="C331" s="3">
        <v>0.0</v>
      </c>
      <c r="D331" s="3">
        <v>2.0</v>
      </c>
      <c r="E331" s="3">
        <v>1.0</v>
      </c>
      <c r="F331" s="3" t="s">
        <v>1078</v>
      </c>
      <c r="G331" s="3">
        <v>1.0</v>
      </c>
      <c r="H331" s="3">
        <v>0.0</v>
      </c>
      <c r="I331" s="3" t="s">
        <v>13</v>
      </c>
      <c r="J331" s="3" t="s">
        <v>1079</v>
      </c>
      <c r="K331" s="3" t="s">
        <v>15</v>
      </c>
      <c r="L331" s="3" t="str">
        <f>IFERROR(__xludf.DUMMYFUNCTION("GOOGLETRANSLATE(F331,""id"",""en"")"),"Dramatic Peek at the excitement of the Medan World Cup Final Nobar")</f>
        <v>Dramatic Peek at the excitement of the Medan World Cup Final Nobar</v>
      </c>
    </row>
    <row r="332" ht="15.75" customHeight="1">
      <c r="A332" s="1">
        <v>330.0</v>
      </c>
      <c r="B332" s="3" t="s">
        <v>1080</v>
      </c>
      <c r="C332" s="3">
        <v>0.0</v>
      </c>
      <c r="D332" s="3">
        <v>0.0</v>
      </c>
      <c r="E332" s="3">
        <v>0.0</v>
      </c>
      <c r="F332" s="3" t="s">
        <v>1081</v>
      </c>
      <c r="G332" s="3">
        <v>1.0</v>
      </c>
      <c r="H332" s="3">
        <v>0.0</v>
      </c>
      <c r="I332" s="3" t="s">
        <v>13</v>
      </c>
      <c r="J332" s="3" t="s">
        <v>1082</v>
      </c>
      <c r="K332" s="3" t="s">
        <v>82</v>
      </c>
      <c r="L332" s="3" t="str">
        <f>IFERROR(__xludf.DUMMYFUNCTION("GOOGLETRANSLATE(F332,""id"",""en"")"),"Qatar World Cup Final Argentina won")</f>
        <v>Qatar World Cup Final Argentina won</v>
      </c>
    </row>
    <row r="333" ht="15.75" customHeight="1">
      <c r="A333" s="1">
        <v>331.0</v>
      </c>
      <c r="B333" s="3" t="s">
        <v>1083</v>
      </c>
      <c r="C333" s="3">
        <v>0.0</v>
      </c>
      <c r="D333" s="3">
        <v>0.0</v>
      </c>
      <c r="E333" s="3">
        <v>4.0</v>
      </c>
      <c r="F333" s="3" t="s">
        <v>1084</v>
      </c>
      <c r="G333" s="3">
        <v>1.0</v>
      </c>
      <c r="H333" s="3">
        <v>0.0</v>
      </c>
      <c r="I333" s="3" t="s">
        <v>13</v>
      </c>
      <c r="J333" s="3" t="s">
        <v>1085</v>
      </c>
      <c r="K333" s="3" t="s">
        <v>1086</v>
      </c>
      <c r="L333" s="3" t="str">
        <f>IFERROR(__xludf.DUMMYFUNCTION("GOOGLETRANSLATE(F333,""id"",""en"")"),"In addition to the World Cup final, one of the best Zidane Nanduk Materrazi, then immediately decided to retire Italy championship through Fabio Cannavaro penalties, defender got a ballon throughout the Italy tournament only entered a goal and even then a"&amp;" penalty was entered")</f>
        <v>In addition to the World Cup final, one of the best Zidane Nanduk Materrazi, then immediately decided to retire Italy championship through Fabio Cannavaro penalties, defender got a ballon throughout the Italy tournament only entered a goal and even then a penalty was entered</v>
      </c>
    </row>
    <row r="334" ht="15.75" customHeight="1">
      <c r="A334" s="1">
        <v>332.0</v>
      </c>
      <c r="B334" s="3" t="s">
        <v>1087</v>
      </c>
      <c r="C334" s="3">
        <v>0.0</v>
      </c>
      <c r="D334" s="3">
        <v>0.0</v>
      </c>
      <c r="E334" s="3">
        <v>0.0</v>
      </c>
      <c r="F334" s="3" t="s">
        <v>1088</v>
      </c>
      <c r="G334" s="3">
        <v>0.85</v>
      </c>
      <c r="H334" s="3">
        <v>0.45</v>
      </c>
      <c r="I334" s="3" t="s">
        <v>48</v>
      </c>
      <c r="J334" s="3" t="s">
        <v>1089</v>
      </c>
      <c r="K334" s="3" t="s">
        <v>1090</v>
      </c>
      <c r="L334" s="3" t="str">
        <f>IFERROR(__xludf.DUMMYFUNCTION("GOOGLETRANSLATE(F334,""id"",""en"")"),"Turnitin Promo Price Full Link Guarantee There is a Bio Player Greatest All Time Higuain Lukaku Enzo Fernandez Messi Camavinga What Final Dybala World Cup Deschamps What Match Saudi Arabia King Leo Heart Raul Lemos Penalti Acuna")</f>
        <v>Turnitin Promo Price Full Link Guarantee There is a Bio Player Greatest All Time Higuain Lukaku Enzo Fernandez Messi Camavinga What Final Dybala World Cup Deschamps What Match Saudi Arabia King Leo Heart Raul Lemos Penalti Acuna</v>
      </c>
    </row>
    <row r="335" ht="15.75" customHeight="1">
      <c r="A335" s="1">
        <v>333.0</v>
      </c>
      <c r="B335" s="3" t="s">
        <v>1091</v>
      </c>
      <c r="C335" s="3">
        <v>0.0</v>
      </c>
      <c r="D335" s="3">
        <v>0.0</v>
      </c>
      <c r="E335" s="3">
        <v>0.0</v>
      </c>
      <c r="F335" s="3" t="s">
        <v>1092</v>
      </c>
      <c r="G335" s="3">
        <v>1.0</v>
      </c>
      <c r="H335" s="3">
        <v>0.0</v>
      </c>
      <c r="I335" s="3" t="s">
        <v>13</v>
      </c>
      <c r="J335" s="3" t="s">
        <v>1093</v>
      </c>
      <c r="K335" s="3" t="s">
        <v>31</v>
      </c>
      <c r="L335" s="3" t="str">
        <f>IFERROR(__xludf.DUMMYFUNCTION("GOOGLETRANSLATE(F335,""id"",""en"")"),"why the world cup final must be Monday night")</f>
        <v>why the world cup final must be Monday night</v>
      </c>
    </row>
    <row r="336" ht="15.75" customHeight="1">
      <c r="A336" s="1">
        <v>334.0</v>
      </c>
      <c r="B336" s="3" t="s">
        <v>1094</v>
      </c>
      <c r="C336" s="3">
        <v>0.0</v>
      </c>
      <c r="D336" s="3">
        <v>0.0</v>
      </c>
      <c r="E336" s="3">
        <v>0.0</v>
      </c>
      <c r="F336" s="3" t="s">
        <v>1095</v>
      </c>
      <c r="G336" s="3">
        <v>1.0</v>
      </c>
      <c r="H336" s="3">
        <v>0.0</v>
      </c>
      <c r="I336" s="3" t="s">
        <v>13</v>
      </c>
      <c r="J336" s="3" t="s">
        <v>1096</v>
      </c>
      <c r="K336" s="3" t="s">
        <v>1097</v>
      </c>
      <c r="L336" s="3" t="str">
        <f>IFERROR(__xludf.DUMMYFUNCTION("GOOGLETRANSLATE(F336,""id"",""en"")"),"All have to admit that this World Cup final match was shocked from all the finals")</f>
        <v>All have to admit that this World Cup final match was shocked from all the finals</v>
      </c>
    </row>
    <row r="337" ht="15.75" customHeight="1">
      <c r="A337" s="1">
        <v>335.0</v>
      </c>
      <c r="B337" s="3" t="s">
        <v>1098</v>
      </c>
      <c r="C337" s="3">
        <v>0.0</v>
      </c>
      <c r="D337" s="3">
        <v>0.0</v>
      </c>
      <c r="E337" s="3">
        <v>1.0</v>
      </c>
      <c r="F337" s="3" t="s">
        <v>1099</v>
      </c>
      <c r="G337" s="3">
        <v>1.0</v>
      </c>
      <c r="H337" s="3">
        <v>0.0</v>
      </c>
      <c r="I337" s="3" t="s">
        <v>13</v>
      </c>
      <c r="J337" s="3" t="s">
        <v>1100</v>
      </c>
      <c r="K337" s="3" t="s">
        <v>240</v>
      </c>
      <c r="L337" s="3" t="str">
        <f>IFERROR(__xludf.DUMMYFUNCTION("GOOGLETRANSLATE(F337,""id"",""en"")"),"Congratulations Argentina Thx French Final who tense thank you Qatar has been hosting the Extraordinary World Cup")</f>
        <v>Congratulations Argentina Thx French Final who tense thank you Qatar has been hosting the Extraordinary World Cup</v>
      </c>
    </row>
    <row r="338" ht="15.75" customHeight="1">
      <c r="A338" s="1">
        <v>336.0</v>
      </c>
      <c r="B338" s="3" t="s">
        <v>1101</v>
      </c>
      <c r="C338" s="3">
        <v>0.0</v>
      </c>
      <c r="D338" s="3">
        <v>0.0</v>
      </c>
      <c r="E338" s="3">
        <v>2.0</v>
      </c>
      <c r="F338" s="3" t="s">
        <v>1102</v>
      </c>
      <c r="G338" s="3">
        <v>1.0</v>
      </c>
      <c r="H338" s="3">
        <v>0.0</v>
      </c>
      <c r="I338" s="3" t="s">
        <v>13</v>
      </c>
      <c r="J338" s="3" t="s">
        <v>1103</v>
      </c>
      <c r="K338" s="3" t="s">
        <v>31</v>
      </c>
      <c r="L338" s="3" t="str">
        <f>IFERROR(__xludf.DUMMYFUNCTION("GOOGLETRANSLATE(F338,""id"",""en"")"),"World Cup Final Most Spectacular")</f>
        <v>World Cup Final Most Spectacular</v>
      </c>
    </row>
    <row r="339" ht="15.75" customHeight="1">
      <c r="A339" s="1">
        <v>337.0</v>
      </c>
      <c r="B339" s="3" t="s">
        <v>1104</v>
      </c>
      <c r="C339" s="3">
        <v>0.0</v>
      </c>
      <c r="D339" s="3">
        <v>0.0</v>
      </c>
      <c r="E339" s="3">
        <v>0.0</v>
      </c>
      <c r="F339" s="3" t="s">
        <v>1105</v>
      </c>
      <c r="G339" s="3">
        <v>1.0</v>
      </c>
      <c r="H339" s="3">
        <v>0.0</v>
      </c>
      <c r="I339" s="3" t="s">
        <v>13</v>
      </c>
      <c r="J339" s="3" t="s">
        <v>1106</v>
      </c>
      <c r="K339" s="3" t="s">
        <v>510</v>
      </c>
      <c r="L339" s="3" t="str">
        <f>IFERROR(__xludf.DUMMYFUNCTION("GOOGLETRANSLATE(F339,""id"",""en"")"),"This night's best final match during the Argentine World Cup World Cup Leo Messi Goat")</f>
        <v>This night's best final match during the Argentine World Cup World Cup Leo Messi Goat</v>
      </c>
    </row>
    <row r="340" ht="15.75" customHeight="1">
      <c r="A340" s="1">
        <v>338.0</v>
      </c>
      <c r="B340" s="3" t="s">
        <v>1107</v>
      </c>
      <c r="C340" s="3">
        <v>1.0</v>
      </c>
      <c r="D340" s="3">
        <v>0.0</v>
      </c>
      <c r="E340" s="3">
        <v>0.0</v>
      </c>
      <c r="F340" s="3" t="s">
        <v>1108</v>
      </c>
      <c r="G340" s="3">
        <v>1.0</v>
      </c>
      <c r="H340" s="3">
        <v>0.0</v>
      </c>
      <c r="I340" s="3" t="s">
        <v>13</v>
      </c>
      <c r="J340" s="3" t="s">
        <v>1109</v>
      </c>
      <c r="K340" s="3" t="s">
        <v>82</v>
      </c>
      <c r="L340" s="3" t="str">
        <f>IFERROR(__xludf.DUMMYFUNCTION("GOOGLETRANSLATE(F340,""id"",""en"")"),"The World Cup Final this time shuddered bgt anjinggggg")</f>
        <v>The World Cup Final this time shuddered bgt anjinggggg</v>
      </c>
    </row>
    <row r="341" ht="15.75" customHeight="1">
      <c r="A341" s="1">
        <v>339.0</v>
      </c>
      <c r="B341" s="3" t="s">
        <v>1110</v>
      </c>
      <c r="C341" s="3">
        <v>0.0</v>
      </c>
      <c r="D341" s="3">
        <v>0.0</v>
      </c>
      <c r="E341" s="3">
        <v>0.0</v>
      </c>
      <c r="F341" s="3" t="s">
        <v>1111</v>
      </c>
      <c r="G341" s="3">
        <v>1.0</v>
      </c>
      <c r="H341" s="3">
        <v>0.0</v>
      </c>
      <c r="I341" s="3" t="s">
        <v>13</v>
      </c>
      <c r="J341" s="3" t="s">
        <v>1112</v>
      </c>
      <c r="K341" s="3" t="s">
        <v>499</v>
      </c>
      <c r="L341" s="3" t="str">
        <f>IFERROR(__xludf.DUMMYFUNCTION("GOOGLETRANSLATE(F341,""id"",""en"")"),"Final Teru Fighting Fighting Psg but still the best Saudi Arabia has history to beat the World Cup champion and make Messi cry wkwkwkwk")</f>
        <v>Final Teru Fighting Fighting Psg but still the best Saudi Arabia has history to beat the World Cup champion and make Messi cry wkwkwkwk</v>
      </c>
    </row>
    <row r="342" ht="15.75" customHeight="1">
      <c r="A342" s="1">
        <v>340.0</v>
      </c>
      <c r="B342" s="3" t="s">
        <v>1113</v>
      </c>
      <c r="C342" s="3">
        <v>0.0</v>
      </c>
      <c r="D342" s="3">
        <v>0.0</v>
      </c>
      <c r="E342" s="3">
        <v>1.0</v>
      </c>
      <c r="F342" s="3" t="s">
        <v>118</v>
      </c>
      <c r="G342" s="3">
        <v>1.0</v>
      </c>
      <c r="H342" s="3">
        <v>0.0</v>
      </c>
      <c r="I342" s="3" t="s">
        <v>13</v>
      </c>
      <c r="J342" s="3" t="s">
        <v>119</v>
      </c>
      <c r="K342" s="3" t="s">
        <v>15</v>
      </c>
      <c r="L342" s="3" t="str">
        <f>IFERROR(__xludf.DUMMYFUNCTION("GOOGLETRANSLATE(F342,""id"",""en"")"),"Argentina Champion And There Are Three Interesting Things From the World Cup Final Results")</f>
        <v>Argentina Champion And There Are Three Interesting Things From the World Cup Final Results</v>
      </c>
    </row>
    <row r="343" ht="15.75" customHeight="1">
      <c r="A343" s="1">
        <v>341.0</v>
      </c>
      <c r="B343" s="3" t="s">
        <v>1114</v>
      </c>
      <c r="C343" s="3">
        <v>0.0</v>
      </c>
      <c r="D343" s="3">
        <v>0.0</v>
      </c>
      <c r="E343" s="3">
        <v>0.0</v>
      </c>
      <c r="F343" s="3" t="s">
        <v>1115</v>
      </c>
      <c r="G343" s="3">
        <v>1.0</v>
      </c>
      <c r="H343" s="3">
        <v>0.0</v>
      </c>
      <c r="I343" s="3" t="s">
        <v>13</v>
      </c>
      <c r="J343" s="3" t="s">
        <v>1116</v>
      </c>
      <c r="K343" s="3" t="s">
        <v>58</v>
      </c>
      <c r="L343" s="3" t="str">
        <f>IFERROR(__xludf.DUMMYFUNCTION("GOOGLETRANSLATE(F343,""id"",""en"")"),"Establish Kodim Solok Kodim Holds the World Cup Nobar Final with the City of Solok City")</f>
        <v>Establish Kodim Solok Kodim Holds the World Cup Nobar Final with the City of Solok City</v>
      </c>
    </row>
    <row r="344" ht="15.75" customHeight="1">
      <c r="A344" s="1">
        <v>342.0</v>
      </c>
      <c r="B344" s="3" t="s">
        <v>1117</v>
      </c>
      <c r="C344" s="3">
        <v>0.0</v>
      </c>
      <c r="D344" s="3">
        <v>0.0</v>
      </c>
      <c r="E344" s="3">
        <v>0.0</v>
      </c>
      <c r="F344" s="3" t="s">
        <v>1118</v>
      </c>
      <c r="G344" s="3">
        <v>1.0</v>
      </c>
      <c r="H344" s="3">
        <v>0.0</v>
      </c>
      <c r="I344" s="3" t="s">
        <v>13</v>
      </c>
      <c r="J344" s="3" t="s">
        <v>1119</v>
      </c>
      <c r="K344" s="3" t="s">
        <v>82</v>
      </c>
      <c r="L344" s="3" t="str">
        <f>IFERROR(__xludf.DUMMYFUNCTION("GOOGLETRANSLATE(F344,""id"",""en"")"),"The World Cup Final is all time")</f>
        <v>The World Cup Final is all time</v>
      </c>
    </row>
    <row r="345" ht="15.75" customHeight="1">
      <c r="A345" s="1">
        <v>343.0</v>
      </c>
      <c r="B345" s="3" t="s">
        <v>1120</v>
      </c>
      <c r="C345" s="3">
        <v>0.0</v>
      </c>
      <c r="D345" s="3">
        <v>0.0</v>
      </c>
      <c r="E345" s="3">
        <v>0.0</v>
      </c>
      <c r="F345" s="3" t="s">
        <v>1121</v>
      </c>
      <c r="G345" s="3">
        <v>1.0</v>
      </c>
      <c r="H345" s="3">
        <v>0.0</v>
      </c>
      <c r="I345" s="3" t="s">
        <v>13</v>
      </c>
      <c r="J345" s="3" t="s">
        <v>1122</v>
      </c>
      <c r="K345" s="3" t="s">
        <v>82</v>
      </c>
      <c r="L345" s="3" t="str">
        <f>IFERROR(__xludf.DUMMYFUNCTION("GOOGLETRANSLATE(F345,""id"",""en"")"),"Not Tease Already Watching the World Cup Final")</f>
        <v>Not Tease Already Watching the World Cup Final</v>
      </c>
    </row>
    <row r="346" ht="15.75" customHeight="1">
      <c r="A346" s="1">
        <v>344.0</v>
      </c>
      <c r="B346" s="3" t="s">
        <v>1123</v>
      </c>
      <c r="C346" s="3">
        <v>0.0</v>
      </c>
      <c r="D346" s="3">
        <v>0.0</v>
      </c>
      <c r="E346" s="3">
        <v>0.0</v>
      </c>
      <c r="F346" s="3" t="s">
        <v>1124</v>
      </c>
      <c r="G346" s="3">
        <v>0.65</v>
      </c>
      <c r="H346" s="3">
        <v>0.5</v>
      </c>
      <c r="I346" s="3" t="s">
        <v>48</v>
      </c>
      <c r="J346" s="3" t="s">
        <v>1125</v>
      </c>
      <c r="K346" s="3" t="s">
        <v>71</v>
      </c>
      <c r="L346" s="3" t="str">
        <f>IFERROR(__xludf.DUMMYFUNCTION("GOOGLETRANSLATE(F346,""id"",""en"")"),"Ramenez Coupe Maison may fail this best final since watching the World Cup watching Messi completed football")</f>
        <v>Ramenez Coupe Maison may fail this best final since watching the World Cup watching Messi completed football</v>
      </c>
    </row>
    <row r="347" ht="15.75" customHeight="1">
      <c r="A347" s="1">
        <v>345.0</v>
      </c>
      <c r="B347" s="3" t="s">
        <v>1126</v>
      </c>
      <c r="C347" s="3">
        <v>1.0</v>
      </c>
      <c r="D347" s="3">
        <v>0.0</v>
      </c>
      <c r="E347" s="3">
        <v>0.0</v>
      </c>
      <c r="F347" s="3" t="s">
        <v>1127</v>
      </c>
      <c r="G347" s="3">
        <v>1.0</v>
      </c>
      <c r="H347" s="3">
        <v>0.0</v>
      </c>
      <c r="I347" s="3" t="s">
        <v>13</v>
      </c>
      <c r="J347" s="3" t="s">
        <v>1128</v>
      </c>
      <c r="K347" s="3" t="s">
        <v>165</v>
      </c>
      <c r="L347" s="3" t="str">
        <f>IFERROR(__xludf.DUMMYFUNCTION("GOOGLETRANSLATE(F347,""id"",""en"")"),"That may be formulated with the World Cup Final for a while even though as hard as how strong even though Mbappe tried so that it was burst into a heart but he was still unable to bring France to the World Cup because of the fate had said that the World C"&amp;"up owned by Argentina")</f>
        <v>That may be formulated with the World Cup Final for a while even though as hard as how strong even though Mbappe tried so that it was burst into a heart but he was still unable to bring France to the World Cup because of the fate had said that the World Cup owned by Argentina</v>
      </c>
    </row>
    <row r="348" ht="15.75" customHeight="1">
      <c r="A348" s="1">
        <v>346.0</v>
      </c>
      <c r="B348" s="3" t="s">
        <v>1129</v>
      </c>
      <c r="C348" s="3">
        <v>0.0</v>
      </c>
      <c r="D348" s="3">
        <v>0.0</v>
      </c>
      <c r="E348" s="3">
        <v>3.0</v>
      </c>
      <c r="F348" s="3" t="s">
        <v>1130</v>
      </c>
      <c r="G348" s="3">
        <v>0.65</v>
      </c>
      <c r="H348" s="3">
        <v>0.5</v>
      </c>
      <c r="I348" s="3" t="s">
        <v>48</v>
      </c>
      <c r="J348" s="3" t="s">
        <v>1131</v>
      </c>
      <c r="K348" s="3" t="s">
        <v>131</v>
      </c>
      <c r="L348" s="3" t="str">
        <f>IFERROR(__xludf.DUMMYFUNCTION("GOOGLETRANSLATE(F348,""id"",""en"")"),"Debate Over Messi The Best Player The World Final The Best World Cup and Very Dramatic Congratulations for Our World Cup Champion Argentina")</f>
        <v>Debate Over Messi The Best Player The World Final The Best World Cup and Very Dramatic Congratulations for Our World Cup Champion Argentina</v>
      </c>
    </row>
    <row r="349" ht="15.75" customHeight="1">
      <c r="A349" s="1">
        <v>347.0</v>
      </c>
      <c r="B349" s="3" t="s">
        <v>1132</v>
      </c>
      <c r="C349" s="3">
        <v>0.0</v>
      </c>
      <c r="D349" s="3">
        <v>0.0</v>
      </c>
      <c r="E349" s="3">
        <v>0.0</v>
      </c>
      <c r="F349" s="3" t="s">
        <v>1133</v>
      </c>
      <c r="G349" s="3">
        <v>1.0</v>
      </c>
      <c r="H349" s="3">
        <v>0.0</v>
      </c>
      <c r="I349" s="3" t="s">
        <v>13</v>
      </c>
      <c r="J349" s="3" t="s">
        <v>1134</v>
      </c>
      <c r="K349" s="3" t="s">
        <v>449</v>
      </c>
      <c r="L349" s="3" t="str">
        <f>IFERROR(__xludf.DUMMYFUNCTION("GOOGLETRANSLATE(F349,""id"",""en"")"),"ended this time the World Cup this time with the closing of the festive final Messi, his retirement was closed with a sweet smile of The Goat and Mbappe still an epic player for his country good night we all")</f>
        <v>ended this time the World Cup this time with the closing of the festive final Messi, his retirement was closed with a sweet smile of The Goat and Mbappe still an epic player for his country good night we all</v>
      </c>
    </row>
    <row r="350" ht="15.75" customHeight="1">
      <c r="A350" s="1">
        <v>348.0</v>
      </c>
      <c r="B350" s="3" t="s">
        <v>1135</v>
      </c>
      <c r="C350" s="3">
        <v>0.0</v>
      </c>
      <c r="D350" s="3">
        <v>0.0</v>
      </c>
      <c r="E350" s="3">
        <v>0.0</v>
      </c>
      <c r="F350" s="3" t="s">
        <v>1136</v>
      </c>
      <c r="G350" s="3">
        <v>1.0</v>
      </c>
      <c r="H350" s="3">
        <v>0.0</v>
      </c>
      <c r="I350" s="3" t="s">
        <v>13</v>
      </c>
      <c r="J350" s="3" t="s">
        <v>1137</v>
      </c>
      <c r="K350" s="3" t="s">
        <v>50</v>
      </c>
      <c r="L350" s="3" t="str">
        <f>IFERROR(__xludf.DUMMYFUNCTION("GOOGLETRANSLATE(F350,""id"",""en"")"),"watching together with the final of the World Cup Qatar SPS Kepri with the media and passing by")</f>
        <v>watching together with the final of the World Cup Qatar SPS Kepri with the media and passing by</v>
      </c>
    </row>
    <row r="351" ht="15.75" customHeight="1">
      <c r="A351" s="1">
        <v>349.0</v>
      </c>
      <c r="B351" s="3" t="s">
        <v>1138</v>
      </c>
      <c r="C351" s="3">
        <v>0.0</v>
      </c>
      <c r="D351" s="3">
        <v>0.0</v>
      </c>
      <c r="E351" s="3">
        <v>0.0</v>
      </c>
      <c r="F351" s="3" t="s">
        <v>1139</v>
      </c>
      <c r="G351" s="3">
        <v>1.0</v>
      </c>
      <c r="H351" s="3">
        <v>0.0</v>
      </c>
      <c r="I351" s="3" t="s">
        <v>13</v>
      </c>
      <c r="J351" s="3" t="s">
        <v>1140</v>
      </c>
      <c r="K351" s="3" t="s">
        <v>477</v>
      </c>
      <c r="L351" s="3" t="str">
        <f>IFERROR(__xludf.DUMMYFUNCTION("GOOGLETRANSLATE(F351,""id"",""en"")"),"Final World Cup All Indonesian Final Sragentina Parangtritis")</f>
        <v>Final World Cup All Indonesian Final Sragentina Parangtritis</v>
      </c>
    </row>
    <row r="352" ht="15.75" customHeight="1">
      <c r="A352" s="1">
        <v>350.0</v>
      </c>
      <c r="B352" s="3" t="s">
        <v>1141</v>
      </c>
      <c r="C352" s="3">
        <v>0.0</v>
      </c>
      <c r="D352" s="3">
        <v>0.0</v>
      </c>
      <c r="E352" s="3">
        <v>0.0</v>
      </c>
      <c r="F352" s="3" t="s">
        <v>1142</v>
      </c>
      <c r="G352" s="3">
        <v>1.0</v>
      </c>
      <c r="H352" s="3">
        <v>0.0</v>
      </c>
      <c r="I352" s="3" t="s">
        <v>13</v>
      </c>
      <c r="J352" s="3" t="s">
        <v>1143</v>
      </c>
      <c r="K352" s="3" t="s">
        <v>19</v>
      </c>
      <c r="L352" s="3" t="str">
        <f>IFERROR(__xludf.DUMMYFUNCTION("GOOGLETRANSLATE(F352,""id"",""en"")"),"French Brazil French World Cup final Zinedine Zidane Emmanuel Petit let's join in Join")</f>
        <v>French Brazil French World Cup final Zinedine Zidane Emmanuel Petit let's join in Join</v>
      </c>
    </row>
    <row r="353" ht="15.75" customHeight="1">
      <c r="A353" s="1">
        <v>351.0</v>
      </c>
      <c r="B353" s="3" t="s">
        <v>1144</v>
      </c>
      <c r="C353" s="3">
        <v>1.0</v>
      </c>
      <c r="D353" s="3">
        <v>0.0</v>
      </c>
      <c r="E353" s="3">
        <v>6.0</v>
      </c>
      <c r="F353" s="3" t="s">
        <v>1145</v>
      </c>
      <c r="G353" s="3">
        <v>1.0</v>
      </c>
      <c r="H353" s="3">
        <v>0.0</v>
      </c>
      <c r="I353" s="3" t="s">
        <v>13</v>
      </c>
      <c r="J353" s="3" t="s">
        <v>1146</v>
      </c>
      <c r="K353" s="3" t="s">
        <v>1147</v>
      </c>
      <c r="L353" s="3" t="str">
        <f>IFERROR(__xludf.DUMMYFUNCTION("GOOGLETRANSLATE(F353,""id"",""en"")"),"Finally, after a long wait after falling many times the final starting from the Copa America Final World Cup Copa America Copa America finally now won the Vamoss Argentina")</f>
        <v>Finally, after a long wait after falling many times the final starting from the Copa America Final World Cup Copa America Copa America finally now won the Vamoss Argentina</v>
      </c>
    </row>
    <row r="354" ht="15.75" customHeight="1">
      <c r="A354" s="1">
        <v>352.0</v>
      </c>
      <c r="B354" s="3" t="s">
        <v>1148</v>
      </c>
      <c r="C354" s="3">
        <v>0.0</v>
      </c>
      <c r="D354" s="3">
        <v>0.0</v>
      </c>
      <c r="E354" s="3">
        <v>0.0</v>
      </c>
      <c r="F354" s="3" t="s">
        <v>1149</v>
      </c>
      <c r="G354" s="3">
        <v>1.0</v>
      </c>
      <c r="H354" s="3">
        <v>0.0</v>
      </c>
      <c r="I354" s="3" t="s">
        <v>13</v>
      </c>
      <c r="J354" s="3" t="s">
        <v>1150</v>
      </c>
      <c r="K354" s="3" t="s">
        <v>644</v>
      </c>
      <c r="L354" s="3" t="str">
        <f>IFERROR(__xludf.DUMMYFUNCTION("GOOGLETRANSLATE(F354,""id"",""en"")"),"IWATLAN Final World Cup Wkwk")</f>
        <v>IWATLAN Final World Cup Wkwk</v>
      </c>
    </row>
    <row r="355" ht="15.75" customHeight="1">
      <c r="A355" s="1">
        <v>353.0</v>
      </c>
      <c r="B355" s="3" t="s">
        <v>1151</v>
      </c>
      <c r="C355" s="3">
        <v>0.0</v>
      </c>
      <c r="D355" s="3">
        <v>0.0</v>
      </c>
      <c r="E355" s="3">
        <v>0.0</v>
      </c>
      <c r="F355" s="3" t="s">
        <v>1152</v>
      </c>
      <c r="G355" s="3">
        <v>1.0</v>
      </c>
      <c r="H355" s="3">
        <v>0.0</v>
      </c>
      <c r="I355" s="3" t="s">
        <v>13</v>
      </c>
      <c r="J355" s="3" t="s">
        <v>1153</v>
      </c>
      <c r="K355" s="3" t="s">
        <v>127</v>
      </c>
      <c r="L355" s="3" t="str">
        <f>IFERROR(__xludf.DUMMYFUNCTION("GOOGLETRANSLATE(F355,""id"",""en"")"),"Watching the World Cup Final feels the same as the first time you met you made your heart dag Dug congratulations to")</f>
        <v>Watching the World Cup Final feels the same as the first time you met you made your heart dag Dug congratulations to</v>
      </c>
    </row>
    <row r="356" ht="15.75" customHeight="1">
      <c r="A356" s="1">
        <v>354.0</v>
      </c>
      <c r="B356" s="3" t="s">
        <v>1154</v>
      </c>
      <c r="C356" s="3">
        <v>0.0</v>
      </c>
      <c r="D356" s="3">
        <v>1.0</v>
      </c>
      <c r="E356" s="3">
        <v>1.0</v>
      </c>
      <c r="F356" s="3" t="s">
        <v>1155</v>
      </c>
      <c r="G356" s="3">
        <v>1.0</v>
      </c>
      <c r="H356" s="3">
        <v>0.0</v>
      </c>
      <c r="I356" s="3" t="s">
        <v>13</v>
      </c>
      <c r="J356" s="3" t="s">
        <v>1156</v>
      </c>
      <c r="K356" s="3" t="s">
        <v>1157</v>
      </c>
      <c r="L356" s="3" t="str">
        <f>IFERROR(__xludf.DUMMYFUNCTION("GOOGLETRANSLATE(F356,""id"",""en"")"),"For Argentina before TMNT became the second player in the history of the World Cup final with a goal but laa the penalty chapter was indeed cheeky also hit by Argentina Emi Martinez Member indeed proven that the penalty shoots out matic chapter Jalan Ampa"&amp;"ng Jalan Ampang")</f>
        <v>For Argentina before TMNT became the second player in the history of the World Cup final with a goal but laa the penalty chapter was indeed cheeky also hit by Argentina Emi Martinez Member indeed proven that the penalty shoots out matic chapter Jalan Ampang Jalan Ampang</v>
      </c>
    </row>
    <row r="357" ht="15.75" customHeight="1">
      <c r="A357" s="1">
        <v>355.0</v>
      </c>
      <c r="B357" s="3" t="s">
        <v>1158</v>
      </c>
      <c r="C357" s="3">
        <v>0.0</v>
      </c>
      <c r="D357" s="3">
        <v>0.0</v>
      </c>
      <c r="E357" s="3">
        <v>0.0</v>
      </c>
      <c r="F357" s="3" t="s">
        <v>1159</v>
      </c>
      <c r="G357" s="3">
        <v>1.0</v>
      </c>
      <c r="H357" s="3">
        <v>0.0</v>
      </c>
      <c r="I357" s="3" t="s">
        <v>13</v>
      </c>
      <c r="J357" s="3" t="s">
        <v>1160</v>
      </c>
      <c r="K357" s="3" t="s">
        <v>15</v>
      </c>
      <c r="L357" s="3" t="str">
        <f>IFERROR(__xludf.DUMMYFUNCTION("GOOGLETRANSLATE(F357,""id"",""en"")"),"Thank you Lautaro because he's the World Cup final is somewhat longer")</f>
        <v>Thank you Lautaro because he's the World Cup final is somewhat longer</v>
      </c>
    </row>
    <row r="358" ht="15.75" customHeight="1">
      <c r="A358" s="1">
        <v>356.0</v>
      </c>
      <c r="B358" s="3" t="s">
        <v>1161</v>
      </c>
      <c r="C358" s="3">
        <v>1.0</v>
      </c>
      <c r="D358" s="3">
        <v>0.0</v>
      </c>
      <c r="E358" s="3">
        <v>0.0</v>
      </c>
      <c r="F358" s="3" t="s">
        <v>1162</v>
      </c>
      <c r="G358" s="3">
        <v>1.0</v>
      </c>
      <c r="H358" s="3">
        <v>0.0</v>
      </c>
      <c r="I358" s="3" t="s">
        <v>13</v>
      </c>
      <c r="J358" s="3" t="s">
        <v>1163</v>
      </c>
      <c r="K358" s="3" t="s">
        <v>82</v>
      </c>
      <c r="L358" s="3" t="str">
        <f>IFERROR(__xludf.DUMMYFUNCTION("GOOGLETRANSLATE(F358,""id"",""en"")"),"Nugs arrived invited by the World Cup Final Nobar")</f>
        <v>Nugs arrived invited by the World Cup Final Nobar</v>
      </c>
    </row>
    <row r="359" ht="15.75" customHeight="1">
      <c r="A359" s="1">
        <v>357.0</v>
      </c>
      <c r="B359" s="3" t="s">
        <v>1164</v>
      </c>
      <c r="C359" s="3">
        <v>0.0</v>
      </c>
      <c r="D359" s="3">
        <v>0.0</v>
      </c>
      <c r="E359" s="3">
        <v>0.0</v>
      </c>
      <c r="F359" s="3" t="s">
        <v>563</v>
      </c>
      <c r="G359" s="3">
        <v>1.0</v>
      </c>
      <c r="H359" s="3">
        <v>0.0</v>
      </c>
      <c r="I359" s="3" t="s">
        <v>13</v>
      </c>
      <c r="J359" s="3" t="s">
        <v>564</v>
      </c>
      <c r="K359" s="3" t="s">
        <v>75</v>
      </c>
      <c r="L359" s="3" t="str">
        <f>IFERROR(__xludf.DUMMYFUNCTION("GOOGLETRANSLATE(F359,""id"",""en"")"),"Man the match of the French Argentine World Cup Final Lionel Messi")</f>
        <v>Man the match of the French Argentine World Cup Final Lionel Messi</v>
      </c>
    </row>
    <row r="360" ht="15.75" customHeight="1">
      <c r="A360" s="1">
        <v>358.0</v>
      </c>
      <c r="B360" s="3" t="s">
        <v>1165</v>
      </c>
      <c r="C360" s="3">
        <v>1.0</v>
      </c>
      <c r="D360" s="3">
        <v>0.0</v>
      </c>
      <c r="E360" s="3">
        <v>0.0</v>
      </c>
      <c r="F360" s="3" t="s">
        <v>1166</v>
      </c>
      <c r="G360" s="3">
        <v>1.0</v>
      </c>
      <c r="H360" s="3">
        <v>0.0</v>
      </c>
      <c r="I360" s="3" t="s">
        <v>13</v>
      </c>
      <c r="J360" s="3" t="s">
        <v>1167</v>
      </c>
      <c r="K360" s="3" t="s">
        <v>477</v>
      </c>
      <c r="L360" s="3" t="str">
        <f>IFERROR(__xludf.DUMMYFUNCTION("GOOGLETRANSLATE(F360,""id"",""en"")"),"People who are losing money who don't watch the World Cup final this year")</f>
        <v>People who are losing money who don't watch the World Cup final this year</v>
      </c>
    </row>
    <row r="361" ht="15.75" customHeight="1">
      <c r="A361" s="1">
        <v>359.0</v>
      </c>
      <c r="B361" s="3" t="s">
        <v>1168</v>
      </c>
      <c r="C361" s="3">
        <v>0.0</v>
      </c>
      <c r="D361" s="3">
        <v>1.0</v>
      </c>
      <c r="E361" s="3">
        <v>1.0</v>
      </c>
      <c r="F361" s="3" t="s">
        <v>1169</v>
      </c>
      <c r="G361" s="3">
        <v>1.0</v>
      </c>
      <c r="H361" s="3">
        <v>0.3333333333333333</v>
      </c>
      <c r="I361" s="3" t="s">
        <v>48</v>
      </c>
      <c r="J361" s="3" t="s">
        <v>1170</v>
      </c>
      <c r="K361" s="3" t="s">
        <v>456</v>
      </c>
      <c r="L361" s="3" t="str">
        <f>IFERROR(__xludf.DUMMYFUNCTION("GOOGLETRANSLATE(F361,""id"",""en"")"),"Aet Argentina Penalty France Argentina Francia Final Copa Del Mundo France Argentine Sum Coupe Monde French Cup World Champion Cup Kolo Muani Greatest All Time Giroud Lloris Messi Mbappe")</f>
        <v>Aet Argentina Penalty France Argentina Francia Final Copa Del Mundo France Argentine Sum Coupe Monde French Cup World Champion Cup Kolo Muani Greatest All Time Giroud Lloris Messi Mbappe</v>
      </c>
    </row>
    <row r="362" ht="15.75" customHeight="1">
      <c r="A362" s="1">
        <v>360.0</v>
      </c>
      <c r="B362" s="3" t="s">
        <v>1171</v>
      </c>
      <c r="C362" s="3">
        <v>0.0</v>
      </c>
      <c r="D362" s="3">
        <v>0.0</v>
      </c>
      <c r="E362" s="3">
        <v>0.0</v>
      </c>
      <c r="F362" s="3" t="s">
        <v>1172</v>
      </c>
      <c r="G362" s="3">
        <v>1.0</v>
      </c>
      <c r="H362" s="3">
        <v>0.5</v>
      </c>
      <c r="I362" s="3" t="s">
        <v>48</v>
      </c>
      <c r="J362" s="3" t="s">
        <v>1173</v>
      </c>
      <c r="K362" s="3" t="s">
        <v>23</v>
      </c>
      <c r="L362" s="3" t="str">
        <f>IFERROR(__xludf.DUMMYFUNCTION("GOOGLETRANSLATE(F362,""id"",""en"")"),"One of the exciting final matches I have ever watched Argentina for the World Cup title, which is Argentina, deserves the Greatest All Time championship")</f>
        <v>One of the exciting final matches I have ever watched Argentina for the World Cup title, which is Argentina, deserves the Greatest All Time championship</v>
      </c>
    </row>
    <row r="363" ht="15.75" customHeight="1">
      <c r="A363" s="1">
        <v>361.0</v>
      </c>
      <c r="B363" s="3" t="s">
        <v>1174</v>
      </c>
      <c r="C363" s="3">
        <v>0.0</v>
      </c>
      <c r="D363" s="3">
        <v>0.0</v>
      </c>
      <c r="E363" s="3">
        <v>0.0</v>
      </c>
      <c r="F363" s="3" t="s">
        <v>1145</v>
      </c>
      <c r="G363" s="3">
        <v>1.0</v>
      </c>
      <c r="H363" s="3">
        <v>0.0</v>
      </c>
      <c r="I363" s="3" t="s">
        <v>13</v>
      </c>
      <c r="J363" s="3" t="s">
        <v>1146</v>
      </c>
      <c r="K363" s="3" t="s">
        <v>1147</v>
      </c>
      <c r="L363" s="3" t="str">
        <f>IFERROR(__xludf.DUMMYFUNCTION("GOOGLETRANSLATE(F363,""id"",""en"")"),"Finally, after a long wait after falling many times the final starting from the Copa America Final World Cup Copa America Copa America finally now won the Vamoss Argentina")</f>
        <v>Finally, after a long wait after falling many times the final starting from the Copa America Final World Cup Copa America Copa America finally now won the Vamoss Argentina</v>
      </c>
    </row>
    <row r="364" ht="15.75" customHeight="1">
      <c r="A364" s="1">
        <v>362.0</v>
      </c>
      <c r="B364" s="3" t="s">
        <v>1175</v>
      </c>
      <c r="C364" s="3">
        <v>0.0</v>
      </c>
      <c r="D364" s="3">
        <v>0.0</v>
      </c>
      <c r="E364" s="3">
        <v>1.0</v>
      </c>
      <c r="F364" s="3" t="s">
        <v>1176</v>
      </c>
      <c r="G364" s="3">
        <v>0.875</v>
      </c>
      <c r="H364" s="3">
        <v>-0.125</v>
      </c>
      <c r="I364" s="3" t="s">
        <v>179</v>
      </c>
      <c r="J364" s="3" t="s">
        <v>1177</v>
      </c>
      <c r="K364" s="3" t="s">
        <v>127</v>
      </c>
      <c r="L364" s="3" t="str">
        <f>IFERROR(__xludf.DUMMYFUNCTION("GOOGLETRANSLATE(F364,""id"",""en"")"),"A very appropriate match for a World Cup Final Congratulations to Argentina Complete Trophy Leonel Messi End of Alien Robot Story")</f>
        <v>A very appropriate match for a World Cup Final Congratulations to Argentina Complete Trophy Leonel Messi End of Alien Robot Story</v>
      </c>
    </row>
    <row r="365" ht="15.75" customHeight="1">
      <c r="A365" s="1">
        <v>363.0</v>
      </c>
      <c r="B365" s="3" t="s">
        <v>1178</v>
      </c>
      <c r="C365" s="3">
        <v>0.0</v>
      </c>
      <c r="D365" s="3">
        <v>0.0</v>
      </c>
      <c r="E365" s="3">
        <v>0.0</v>
      </c>
      <c r="F365" s="3" t="s">
        <v>1179</v>
      </c>
      <c r="G365" s="3">
        <v>1.0</v>
      </c>
      <c r="H365" s="3">
        <v>0.0</v>
      </c>
      <c r="I365" s="3" t="s">
        <v>13</v>
      </c>
      <c r="J365" s="3" t="s">
        <v>1180</v>
      </c>
      <c r="K365" s="3" t="s">
        <v>82</v>
      </c>
      <c r="L365" s="3" t="str">
        <f>IFERROR(__xludf.DUMMYFUNCTION("GOOGLETRANSLATE(F365,""id"",""en"")"),"the best tactic war throughout the World Cup final")</f>
        <v>the best tactic war throughout the World Cup final</v>
      </c>
    </row>
    <row r="366" ht="15.75" customHeight="1">
      <c r="A366" s="1">
        <v>364.0</v>
      </c>
      <c r="B366" s="3" t="s">
        <v>1181</v>
      </c>
      <c r="C366" s="3">
        <v>0.0</v>
      </c>
      <c r="D366" s="3">
        <v>1.0</v>
      </c>
      <c r="E366" s="3">
        <v>1.0</v>
      </c>
      <c r="F366" s="3" t="s">
        <v>1182</v>
      </c>
      <c r="G366" s="3">
        <v>1.0</v>
      </c>
      <c r="H366" s="3">
        <v>0.0</v>
      </c>
      <c r="I366" s="3" t="s">
        <v>13</v>
      </c>
      <c r="J366" s="3" t="s">
        <v>1183</v>
      </c>
      <c r="K366" s="3" t="s">
        <v>41</v>
      </c>
      <c r="L366" s="3" t="str">
        <f>IFERROR(__xludf.DUMMYFUNCTION("GOOGLETRANSLATE(F366,""id"",""en"")"),"Witnesses History of the Most Exciting World Cup Final match this year")</f>
        <v>Witnesses History of the Most Exciting World Cup Final match this year</v>
      </c>
    </row>
    <row r="367" ht="15.75" customHeight="1">
      <c r="A367" s="1">
        <v>365.0</v>
      </c>
      <c r="B367" s="3" t="s">
        <v>1184</v>
      </c>
      <c r="C367" s="3">
        <v>0.0</v>
      </c>
      <c r="D367" s="3">
        <v>0.0</v>
      </c>
      <c r="E367" s="3">
        <v>0.0</v>
      </c>
      <c r="F367" s="3" t="s">
        <v>1185</v>
      </c>
      <c r="G367" s="3">
        <v>1.0</v>
      </c>
      <c r="H367" s="3">
        <v>0.0</v>
      </c>
      <c r="I367" s="3" t="s">
        <v>13</v>
      </c>
      <c r="J367" s="3" t="s">
        <v>1186</v>
      </c>
      <c r="K367" s="3" t="s">
        <v>997</v>
      </c>
      <c r="L367" s="3" t="str">
        <f>IFERROR(__xludf.DUMMYFUNCTION("GOOGLETRANSLATE(F367,""id"",""en"")"),"The excitement of watching together with the French Argentina Final of the World Cup with friends of the KTI Regional Telkom Roc Office and of course streaming using video using Indihome internet so that the quality remains stable and clear appearance guy"&amp;"ss")</f>
        <v>The excitement of watching together with the French Argentina Final of the World Cup with friends of the KTI Regional Telkom Roc Office and of course streaming using video using Indihome internet so that the quality remains stable and clear appearance guyss</v>
      </c>
    </row>
    <row r="368" ht="15.75" customHeight="1">
      <c r="A368" s="1">
        <v>366.0</v>
      </c>
      <c r="B368" s="3" t="s">
        <v>1187</v>
      </c>
      <c r="C368" s="3">
        <v>0.0</v>
      </c>
      <c r="D368" s="3">
        <v>0.0</v>
      </c>
      <c r="E368" s="3">
        <v>0.0</v>
      </c>
      <c r="F368" s="3" t="s">
        <v>1188</v>
      </c>
      <c r="G368" s="3">
        <v>1.0</v>
      </c>
      <c r="H368" s="3">
        <v>0.0</v>
      </c>
      <c r="I368" s="3" t="s">
        <v>13</v>
      </c>
      <c r="J368" s="3" t="s">
        <v>1189</v>
      </c>
      <c r="K368" s="3" t="s">
        <v>437</v>
      </c>
      <c r="L368" s="3" t="str">
        <f>IFERROR(__xludf.DUMMYFUNCTION("GOOGLETRANSLATE(F368,""id"",""en"")"),"Mbappeeee Gendeengg Cokkk Original Masokk Akalll Hatrick Neng World Cup Final Kii Pie Ceritane Cokkk Sangarr")</f>
        <v>Mbappeeee Gendeengg Cokkk Original Masokk Akalll Hatrick Neng World Cup Final Kii Pie Ceritane Cokkk Sangarr</v>
      </c>
    </row>
    <row r="369" ht="15.75" customHeight="1">
      <c r="A369" s="1">
        <v>367.0</v>
      </c>
      <c r="B369" s="3" t="s">
        <v>1190</v>
      </c>
      <c r="C369" s="3">
        <v>0.0</v>
      </c>
      <c r="D369" s="3">
        <v>1.0</v>
      </c>
      <c r="E369" s="3">
        <v>4.0</v>
      </c>
      <c r="F369" s="3" t="s">
        <v>1191</v>
      </c>
      <c r="G369" s="3">
        <v>1.0</v>
      </c>
      <c r="H369" s="3">
        <v>0.0</v>
      </c>
      <c r="I369" s="3" t="s">
        <v>13</v>
      </c>
      <c r="J369" s="3" t="s">
        <v>1192</v>
      </c>
      <c r="K369" s="3" t="s">
        <v>41</v>
      </c>
      <c r="L369" s="3" t="str">
        <f>IFERROR(__xludf.DUMMYFUNCTION("GOOGLETRANSLATE(F369,""id"",""en"")"),"Argentina became a World Cup champion after defeating France Final")</f>
        <v>Argentina became a World Cup champion after defeating France Final</v>
      </c>
    </row>
    <row r="370" ht="15.75" customHeight="1">
      <c r="A370" s="1">
        <v>368.0</v>
      </c>
      <c r="B370" s="3" t="s">
        <v>1193</v>
      </c>
      <c r="C370" s="3">
        <v>0.0</v>
      </c>
      <c r="D370" s="3">
        <v>0.0</v>
      </c>
      <c r="E370" s="3">
        <v>0.0</v>
      </c>
      <c r="F370" s="3" t="s">
        <v>1193</v>
      </c>
      <c r="G370" s="3">
        <v>1.0</v>
      </c>
      <c r="H370" s="3">
        <v>0.0</v>
      </c>
      <c r="I370" s="3" t="s">
        <v>13</v>
      </c>
      <c r="J370" s="3" t="s">
        <v>1194</v>
      </c>
      <c r="K370" s="3" t="s">
        <v>15</v>
      </c>
      <c r="L370" s="3" t="str">
        <f>IFERROR(__xludf.DUMMYFUNCTION("GOOGLETRANSLATE(F370,""id"",""en"")"),"There is a really ups and downs of watching the World Cup final tonight")</f>
        <v>There is a really ups and downs of watching the World Cup final tonight</v>
      </c>
    </row>
    <row r="371" ht="15.75" customHeight="1">
      <c r="A371" s="1">
        <v>369.0</v>
      </c>
      <c r="B371" s="3" t="s">
        <v>1195</v>
      </c>
      <c r="C371" s="3">
        <v>2.0</v>
      </c>
      <c r="D371" s="3">
        <v>11.0</v>
      </c>
      <c r="E371" s="3">
        <v>82.0</v>
      </c>
      <c r="F371" s="3" t="s">
        <v>1196</v>
      </c>
      <c r="G371" s="3">
        <v>1.0</v>
      </c>
      <c r="H371" s="3">
        <v>0.0</v>
      </c>
      <c r="I371" s="3" t="s">
        <v>13</v>
      </c>
      <c r="J371" s="3" t="s">
        <v>1197</v>
      </c>
      <c r="K371" s="3" t="s">
        <v>491</v>
      </c>
      <c r="L371" s="3" t="str">
        <f>IFERROR(__xludf.DUMMYFUNCTION("GOOGLETRANSLATE(F371,""id"",""en"")"),"Kylian Mbappe indeed failed to deliver France to defend the World Cup title but he had just made a World Cup final record")</f>
        <v>Kylian Mbappe indeed failed to deliver France to defend the World Cup title but he had just made a World Cup final record</v>
      </c>
    </row>
    <row r="372" ht="15.75" customHeight="1">
      <c r="A372" s="1">
        <v>370.0</v>
      </c>
      <c r="B372" s="3" t="s">
        <v>1198</v>
      </c>
      <c r="C372" s="3">
        <v>0.0</v>
      </c>
      <c r="D372" s="3">
        <v>1.0</v>
      </c>
      <c r="E372" s="3">
        <v>2.0</v>
      </c>
      <c r="F372" s="3" t="s">
        <v>1199</v>
      </c>
      <c r="G372" s="3">
        <v>0.65</v>
      </c>
      <c r="H372" s="3">
        <v>0.5</v>
      </c>
      <c r="I372" s="3" t="s">
        <v>48</v>
      </c>
      <c r="J372" s="3" t="s">
        <v>1200</v>
      </c>
      <c r="K372" s="3" t="s">
        <v>123</v>
      </c>
      <c r="L372" s="3" t="str">
        <f>IFERROR(__xludf.DUMMYFUNCTION("GOOGLETRANSLATE(F372,""id"",""en"")"),"Match the man to me the Qatar World Cup final match Emiliano Mart Nez are the best")</f>
        <v>Match the man to me the Qatar World Cup final match Emiliano Mart Nez are the best</v>
      </c>
    </row>
    <row r="373" ht="15.75" customHeight="1">
      <c r="A373" s="1">
        <v>371.0</v>
      </c>
      <c r="B373" s="3" t="s">
        <v>1201</v>
      </c>
      <c r="C373" s="3">
        <v>0.0</v>
      </c>
      <c r="D373" s="3">
        <v>0.0</v>
      </c>
      <c r="E373" s="3">
        <v>0.0</v>
      </c>
      <c r="F373" s="3" t="s">
        <v>1202</v>
      </c>
      <c r="G373" s="3">
        <v>1.0</v>
      </c>
      <c r="H373" s="3">
        <v>0.0</v>
      </c>
      <c r="I373" s="3" t="s">
        <v>13</v>
      </c>
      <c r="J373" s="3" t="s">
        <v>1203</v>
      </c>
      <c r="K373" s="3" t="s">
        <v>90</v>
      </c>
      <c r="L373" s="3" t="str">
        <f>IFERROR(__xludf.DUMMYFUNCTION("GOOGLETRANSLATE(F373,""id"",""en"")"),"Just see this World Cup is set specifically for Messi, there is no name for pure football and even the French doubles are PDHL, the final party is the mafia")</f>
        <v>Just see this World Cup is set specifically for Messi, there is no name for pure football and even the French doubles are PDHL, the final party is the mafia</v>
      </c>
    </row>
    <row r="374" ht="15.75" customHeight="1">
      <c r="A374" s="1">
        <v>372.0</v>
      </c>
      <c r="B374" s="3" t="s">
        <v>1204</v>
      </c>
      <c r="C374" s="3">
        <v>0.0</v>
      </c>
      <c r="D374" s="3">
        <v>7.0</v>
      </c>
      <c r="E374" s="3">
        <v>26.0</v>
      </c>
      <c r="F374" s="3" t="s">
        <v>1205</v>
      </c>
      <c r="G374" s="3">
        <v>1.0</v>
      </c>
      <c r="H374" s="3">
        <v>0.0</v>
      </c>
      <c r="I374" s="3" t="s">
        <v>13</v>
      </c>
      <c r="J374" s="3" t="s">
        <v>1206</v>
      </c>
      <c r="K374" s="3" t="s">
        <v>45</v>
      </c>
      <c r="L374" s="3" t="str">
        <f>IFERROR(__xludf.DUMMYFUNCTION("GOOGLETRANSLATE(F374,""id"",""en"")"),"West Denpasar Sector Police personnel secured the Qatar World Cup final match between Argentina France Several points of Wilhum Denbar Argentina Sector Police also successfully embraced their third World Cup trophy while France failed to defend the title")</f>
        <v>West Denpasar Sector Police personnel secured the Qatar World Cup final match between Argentina France Several points of Wilhum Denbar Argentina Sector Police also successfully embraced their third World Cup trophy while France failed to defend the title</v>
      </c>
    </row>
    <row r="375" ht="15.75" customHeight="1">
      <c r="A375" s="1">
        <v>373.0</v>
      </c>
      <c r="B375" s="3" t="s">
        <v>1207</v>
      </c>
      <c r="C375" s="3">
        <v>0.0</v>
      </c>
      <c r="D375" s="3">
        <v>0.0</v>
      </c>
      <c r="E375" s="3">
        <v>0.0</v>
      </c>
      <c r="F375" s="3" t="s">
        <v>1208</v>
      </c>
      <c r="G375" s="3">
        <v>0.7666666666666666</v>
      </c>
      <c r="H375" s="3">
        <v>0.3333333333333333</v>
      </c>
      <c r="I375" s="3" t="s">
        <v>48</v>
      </c>
      <c r="J375" s="3" t="s">
        <v>1209</v>
      </c>
      <c r="K375" s="3" t="s">
        <v>244</v>
      </c>
      <c r="L375" s="3" t="str">
        <f>IFERROR(__xludf.DUMMYFUNCTION("GOOGLETRANSLATE(F375,""id"",""en"")"),"The most best final of watching the World Cup is Final Final Drama and Display")</f>
        <v>The most best final of watching the World Cup is Final Final Drama and Display</v>
      </c>
    </row>
    <row r="376" ht="15.75" customHeight="1">
      <c r="A376" s="1">
        <v>374.0</v>
      </c>
      <c r="B376" s="3" t="s">
        <v>1210</v>
      </c>
      <c r="C376" s="3">
        <v>0.0</v>
      </c>
      <c r="D376" s="3">
        <v>0.0</v>
      </c>
      <c r="E376" s="3">
        <v>0.0</v>
      </c>
      <c r="F376" s="3" t="s">
        <v>1211</v>
      </c>
      <c r="G376" s="3">
        <v>1.0</v>
      </c>
      <c r="H376" s="3">
        <v>0.0</v>
      </c>
      <c r="I376" s="3" t="s">
        <v>13</v>
      </c>
      <c r="J376" s="3" t="s">
        <v>1212</v>
      </c>
      <c r="K376" s="3" t="s">
        <v>50</v>
      </c>
      <c r="L376" s="3" t="str">
        <f>IFERROR(__xludf.DUMMYFUNCTION("GOOGLETRANSLATE(F376,""id"",""en"")"),"The extraordinary match of the best World Cup final from I watched since Viva Argentina")</f>
        <v>The extraordinary match of the best World Cup final from I watched since Viva Argentina</v>
      </c>
    </row>
    <row r="377" ht="15.75" customHeight="1">
      <c r="A377" s="1">
        <v>375.0</v>
      </c>
      <c r="B377" s="3" t="s">
        <v>1213</v>
      </c>
      <c r="C377" s="3">
        <v>0.0</v>
      </c>
      <c r="D377" s="3">
        <v>0.0</v>
      </c>
      <c r="E377" s="3">
        <v>0.0</v>
      </c>
      <c r="F377" s="3" t="s">
        <v>1213</v>
      </c>
      <c r="G377" s="3">
        <v>1.0</v>
      </c>
      <c r="H377" s="3">
        <v>0.0</v>
      </c>
      <c r="I377" s="3" t="s">
        <v>13</v>
      </c>
      <c r="J377" s="3" t="s">
        <v>1214</v>
      </c>
      <c r="K377" s="3" t="s">
        <v>82</v>
      </c>
      <c r="L377" s="3" t="str">
        <f>IFERROR(__xludf.DUMMYFUNCTION("GOOGLETRANSLATE(F377,""id"",""en"")"),"heart gymnastics watching the world cup final this year")</f>
        <v>heart gymnastics watching the world cup final this year</v>
      </c>
    </row>
    <row r="378" ht="15.75" customHeight="1">
      <c r="A378" s="1">
        <v>377.0</v>
      </c>
      <c r="B378" s="3" t="s">
        <v>1215</v>
      </c>
      <c r="C378" s="3">
        <v>0.0</v>
      </c>
      <c r="D378" s="3">
        <v>0.0</v>
      </c>
      <c r="E378" s="3">
        <v>0.0</v>
      </c>
      <c r="F378" s="3" t="s">
        <v>1216</v>
      </c>
      <c r="G378" s="3">
        <v>1.0</v>
      </c>
      <c r="H378" s="3">
        <v>0.0</v>
      </c>
      <c r="I378" s="3" t="s">
        <v>13</v>
      </c>
      <c r="J378" s="3" t="s">
        <v>1217</v>
      </c>
      <c r="K378" s="3" t="s">
        <v>75</v>
      </c>
      <c r="L378" s="3" t="str">
        <f>IFERROR(__xludf.DUMMYFUNCTION("GOOGLETRANSLATE(F378,""id"",""en"")"),"So understand and follow the ball but it's fun to read the World Cup Final Basian Timeline")</f>
        <v>So understand and follow the ball but it's fun to read the World Cup Final Basian Timeline</v>
      </c>
    </row>
    <row r="379" ht="15.75" customHeight="1">
      <c r="A379" s="1">
        <v>378.0</v>
      </c>
      <c r="B379" s="3" t="s">
        <v>1218</v>
      </c>
      <c r="C379" s="3">
        <v>0.0</v>
      </c>
      <c r="D379" s="3">
        <v>0.0</v>
      </c>
      <c r="E379" s="3">
        <v>4.0</v>
      </c>
      <c r="F379" s="3" t="s">
        <v>1219</v>
      </c>
      <c r="G379" s="3">
        <v>1.0</v>
      </c>
      <c r="H379" s="3">
        <v>0.0</v>
      </c>
      <c r="I379" s="3" t="s">
        <v>13</v>
      </c>
      <c r="J379" s="3" t="s">
        <v>1220</v>
      </c>
      <c r="K379" s="3" t="s">
        <v>1097</v>
      </c>
      <c r="L379" s="3" t="str">
        <f>IFERROR(__xludf.DUMMYFUNCTION("GOOGLETRANSLATE(F379,""id"",""en"")"),"World Cup Final of the Best Final Year was excited")</f>
        <v>World Cup Final of the Best Final Year was excited</v>
      </c>
    </row>
    <row r="380" ht="15.75" customHeight="1">
      <c r="A380" s="1">
        <v>379.0</v>
      </c>
      <c r="B380" s="3" t="s">
        <v>1221</v>
      </c>
      <c r="C380" s="3">
        <v>0.0</v>
      </c>
      <c r="D380" s="3">
        <v>0.0</v>
      </c>
      <c r="E380" s="3">
        <v>0.0</v>
      </c>
      <c r="F380" s="3" t="s">
        <v>1142</v>
      </c>
      <c r="G380" s="3">
        <v>1.0</v>
      </c>
      <c r="H380" s="3">
        <v>0.0</v>
      </c>
      <c r="I380" s="3" t="s">
        <v>13</v>
      </c>
      <c r="J380" s="3" t="s">
        <v>1143</v>
      </c>
      <c r="K380" s="3" t="s">
        <v>19</v>
      </c>
      <c r="L380" s="3" t="str">
        <f>IFERROR(__xludf.DUMMYFUNCTION("GOOGLETRANSLATE(F380,""id"",""en"")"),"French Brazil French World Cup final Zinedine Zidane Emmanuel Petit let's join in Join")</f>
        <v>French Brazil French World Cup final Zinedine Zidane Emmanuel Petit let's join in Join</v>
      </c>
    </row>
    <row r="381" ht="15.75" customHeight="1">
      <c r="A381" s="1">
        <v>380.0</v>
      </c>
      <c r="B381" s="3" t="s">
        <v>1222</v>
      </c>
      <c r="C381" s="3">
        <v>0.0</v>
      </c>
      <c r="D381" s="3">
        <v>0.0</v>
      </c>
      <c r="E381" s="3">
        <v>0.0</v>
      </c>
      <c r="F381" s="3" t="s">
        <v>1223</v>
      </c>
      <c r="G381" s="3">
        <v>1.0</v>
      </c>
      <c r="H381" s="3">
        <v>0.0</v>
      </c>
      <c r="I381" s="3" t="s">
        <v>13</v>
      </c>
      <c r="J381" s="3" t="s">
        <v>1224</v>
      </c>
      <c r="K381" s="3" t="s">
        <v>41</v>
      </c>
      <c r="L381" s="3" t="str">
        <f>IFERROR(__xludf.DUMMYFUNCTION("GOOGLETRANSLATE(F381,""id"",""en"")"),"Argentina French Highlight Final World Cup FIFA MOJI Passing")</f>
        <v>Argentina French Highlight Final World Cup FIFA MOJI Passing</v>
      </c>
    </row>
    <row r="382" ht="15.75" customHeight="1">
      <c r="A382" s="1">
        <v>381.0</v>
      </c>
      <c r="B382" s="3" t="s">
        <v>1225</v>
      </c>
      <c r="C382" s="3">
        <v>2.0</v>
      </c>
      <c r="D382" s="3">
        <v>0.0</v>
      </c>
      <c r="E382" s="3">
        <v>3.0</v>
      </c>
      <c r="F382" s="3" t="s">
        <v>1226</v>
      </c>
      <c r="G382" s="3">
        <v>1.0</v>
      </c>
      <c r="H382" s="3">
        <v>0.0</v>
      </c>
      <c r="I382" s="3" t="s">
        <v>13</v>
      </c>
      <c r="J382" s="3" t="s">
        <v>1227</v>
      </c>
      <c r="K382" s="3" t="s">
        <v>574</v>
      </c>
      <c r="L382" s="3" t="str">
        <f>IFERROR(__xludf.DUMMYFUNCTION("GOOGLETRANSLATE(F382,""id"",""en"")"),"From the beginning of the World Cup, I never watched a single match because I was quite busy watching the final later, my inner home later he knew with the exciting family event.")</f>
        <v>From the beginning of the World Cup, I never watched a single match because I was quite busy watching the final later, my inner home later he knew with the exciting family event.</v>
      </c>
    </row>
    <row r="383" ht="15.75" customHeight="1">
      <c r="A383" s="1">
        <v>382.0</v>
      </c>
      <c r="B383" s="3" t="s">
        <v>1228</v>
      </c>
      <c r="C383" s="3">
        <v>0.0</v>
      </c>
      <c r="D383" s="3">
        <v>0.0</v>
      </c>
      <c r="E383" s="3">
        <v>0.0</v>
      </c>
      <c r="F383" s="3" t="s">
        <v>1229</v>
      </c>
      <c r="G383" s="3">
        <v>1.0</v>
      </c>
      <c r="H383" s="3">
        <v>0.0</v>
      </c>
      <c r="I383" s="3" t="s">
        <v>13</v>
      </c>
      <c r="J383" s="3" t="s">
        <v>1230</v>
      </c>
      <c r="K383" s="3" t="s">
        <v>75</v>
      </c>
      <c r="L383" s="3" t="str">
        <f>IFERROR(__xludf.DUMMYFUNCTION("GOOGLETRANSLATE(F383,""id"",""en"")"),"The World Cup Final Daaaan I had watched after France Italia")</f>
        <v>The World Cup Final Daaaan I had watched after France Italia</v>
      </c>
    </row>
    <row r="384" ht="15.75" customHeight="1">
      <c r="A384" s="1">
        <v>383.0</v>
      </c>
      <c r="B384" s="3" t="s">
        <v>1231</v>
      </c>
      <c r="C384" s="3">
        <v>1.0</v>
      </c>
      <c r="D384" s="3">
        <v>0.0</v>
      </c>
      <c r="E384" s="3">
        <v>0.0</v>
      </c>
      <c r="F384" s="3" t="s">
        <v>1232</v>
      </c>
      <c r="G384" s="3">
        <v>1.0</v>
      </c>
      <c r="H384" s="3">
        <v>0.0</v>
      </c>
      <c r="I384" s="3" t="s">
        <v>13</v>
      </c>
      <c r="J384" s="3" t="s">
        <v>1233</v>
      </c>
      <c r="K384" s="3" t="s">
        <v>1234</v>
      </c>
      <c r="L384" s="3" t="str">
        <f>IFERROR(__xludf.DUMMYFUNCTION("GOOGLETRANSLATE(F384,""id"",""en"")"),"Germany Champion World Cup Ngunin Argentina Messi Final Neuer Best Goalkeeper AgainiII Neuer NEUER ENTER NUMBER BALLON DOR Ballon is difficult for goalkeepers to enter the big neuer injury to the BAPUK until successful rehabilitation is consistently champ"&amp;"ions again.")</f>
        <v>Germany Champion World Cup Ngunin Argentina Messi Final Neuer Best Goalkeeper AgainiII Neuer NEUER ENTER NUMBER BALLON DOR Ballon is difficult for goalkeepers to enter the big neuer injury to the BAPUK until successful rehabilitation is consistently champions again.</v>
      </c>
    </row>
    <row r="385" ht="15.75" customHeight="1">
      <c r="A385" s="1">
        <v>384.0</v>
      </c>
      <c r="B385" s="3" t="s">
        <v>1235</v>
      </c>
      <c r="C385" s="3">
        <v>0.0</v>
      </c>
      <c r="D385" s="3">
        <v>0.0</v>
      </c>
      <c r="E385" s="3">
        <v>1.0</v>
      </c>
      <c r="F385" s="3" t="s">
        <v>1236</v>
      </c>
      <c r="G385" s="3">
        <v>1.0</v>
      </c>
      <c r="H385" s="3">
        <v>0.0</v>
      </c>
      <c r="I385" s="3" t="s">
        <v>13</v>
      </c>
      <c r="J385" s="3" t="s">
        <v>1237</v>
      </c>
      <c r="K385" s="3" t="s">
        <v>15</v>
      </c>
      <c r="L385" s="3" t="str">
        <f>IFERROR(__xludf.DUMMYFUNCTION("GOOGLETRANSLATE(F385,""id"",""en"")"),"The story of your own child will be watched the World Cup final")</f>
        <v>The story of your own child will be watched the World Cup final</v>
      </c>
    </row>
    <row r="386" ht="15.75" customHeight="1">
      <c r="A386" s="1">
        <v>385.0</v>
      </c>
      <c r="B386" s="3" t="s">
        <v>1238</v>
      </c>
      <c r="C386" s="3">
        <v>0.0</v>
      </c>
      <c r="D386" s="3">
        <v>0.0</v>
      </c>
      <c r="E386" s="3">
        <v>0.0</v>
      </c>
      <c r="F386" s="3" t="s">
        <v>1239</v>
      </c>
      <c r="G386" s="3">
        <v>1.0</v>
      </c>
      <c r="H386" s="3">
        <v>0.0</v>
      </c>
      <c r="I386" s="3" t="s">
        <v>13</v>
      </c>
      <c r="J386" s="3" t="s">
        <v>1240</v>
      </c>
      <c r="K386" s="3" t="s">
        <v>54</v>
      </c>
      <c r="L386" s="3" t="str">
        <f>IFERROR(__xludf.DUMMYFUNCTION("GOOGLETRANSLATE(F386,""id"",""en"")"),"Final caught during watching the World Cup")</f>
        <v>Final caught during watching the World Cup</v>
      </c>
    </row>
    <row r="387" ht="15.75" customHeight="1">
      <c r="A387" s="1">
        <v>386.0</v>
      </c>
      <c r="B387" s="3" t="s">
        <v>1241</v>
      </c>
      <c r="C387" s="3">
        <v>0.0</v>
      </c>
      <c r="D387" s="3">
        <v>0.0</v>
      </c>
      <c r="E387" s="3">
        <v>1.0</v>
      </c>
      <c r="F387" s="3" t="s">
        <v>1242</v>
      </c>
      <c r="G387" s="3">
        <v>1.0</v>
      </c>
      <c r="H387" s="3">
        <v>0.0</v>
      </c>
      <c r="I387" s="3" t="s">
        <v>13</v>
      </c>
      <c r="J387" s="3" t="s">
        <v>1243</v>
      </c>
      <c r="K387" s="3" t="s">
        <v>50</v>
      </c>
      <c r="L387" s="3" t="str">
        <f>IFERROR(__xludf.DUMMYFUNCTION("GOOGLETRANSLATE(F387,""id"",""en"")"),"Argentine World Cup Final Messi Dybala Paul Mbappe France France")</f>
        <v>Argentine World Cup Final Messi Dybala Paul Mbappe France France</v>
      </c>
    </row>
    <row r="388" ht="15.75" customHeight="1">
      <c r="A388" s="1">
        <v>387.0</v>
      </c>
      <c r="B388" s="3" t="s">
        <v>1244</v>
      </c>
      <c r="C388" s="3">
        <v>1.0</v>
      </c>
      <c r="D388" s="3">
        <v>0.0</v>
      </c>
      <c r="E388" s="3">
        <v>1.0</v>
      </c>
      <c r="F388" s="3" t="s">
        <v>1245</v>
      </c>
      <c r="G388" s="3">
        <v>1.0</v>
      </c>
      <c r="H388" s="3">
        <v>0.0</v>
      </c>
      <c r="I388" s="3" t="s">
        <v>13</v>
      </c>
      <c r="J388" s="3" t="s">
        <v>1246</v>
      </c>
      <c r="K388" s="3" t="s">
        <v>82</v>
      </c>
      <c r="L388" s="3" t="str">
        <f>IFERROR(__xludf.DUMMYFUNCTION("GOOGLETRANSLATE(F388,""id"",""en"")"),"Best Save in the World Cup Final History")</f>
        <v>Best Save in the World Cup Final History</v>
      </c>
    </row>
    <row r="389" ht="15.75" customHeight="1">
      <c r="A389" s="1">
        <v>388.0</v>
      </c>
      <c r="B389" s="3" t="s">
        <v>1247</v>
      </c>
      <c r="C389" s="3">
        <v>1.0</v>
      </c>
      <c r="D389" s="3">
        <v>0.0</v>
      </c>
      <c r="E389" s="3">
        <v>0.0</v>
      </c>
      <c r="F389" s="3" t="s">
        <v>1248</v>
      </c>
      <c r="G389" s="3">
        <v>1.0</v>
      </c>
      <c r="H389" s="3">
        <v>0.0</v>
      </c>
      <c r="I389" s="3" t="s">
        <v>13</v>
      </c>
      <c r="J389" s="3" t="s">
        <v>1249</v>
      </c>
      <c r="K389" s="3" t="s">
        <v>823</v>
      </c>
      <c r="L389" s="3" t="str">
        <f>IFERROR(__xludf.DUMMYFUNCTION("GOOGLETRANSLATE(F389,""id"",""en"")"),"The World Cup Final atmosphere this time is really bad, the real final pildun is tense to get the degon also get the euphoria, especially exciting gokil after the final match this time")</f>
        <v>The World Cup Final atmosphere this time is really bad, the real final pildun is tense to get the degon also get the euphoria, especially exciting gokil after the final match this time</v>
      </c>
    </row>
    <row r="390" ht="15.75" customHeight="1">
      <c r="A390" s="1">
        <v>389.0</v>
      </c>
      <c r="B390" s="3" t="s">
        <v>1250</v>
      </c>
      <c r="C390" s="3">
        <v>1.0</v>
      </c>
      <c r="D390" s="3">
        <v>0.0</v>
      </c>
      <c r="E390" s="3">
        <v>0.0</v>
      </c>
      <c r="F390" s="3" t="s">
        <v>1251</v>
      </c>
      <c r="G390" s="3">
        <v>0.7000000000000001</v>
      </c>
      <c r="H390" s="3">
        <v>0.0</v>
      </c>
      <c r="I390" s="3" t="s">
        <v>13</v>
      </c>
      <c r="J390" s="3" t="s">
        <v>1252</v>
      </c>
      <c r="K390" s="3" t="s">
        <v>974</v>
      </c>
      <c r="L390" s="3" t="str">
        <f>IFERROR(__xludf.DUMMYFUNCTION("GOOGLETRANSLATE(F390,""id"",""en"")"),"Final FIFA World Cup Qatar Argentina France Final World Cup Most Exciting Chase Goals There are a number of dramas there are further penalties.")</f>
        <v>Final FIFA World Cup Qatar Argentina France Final World Cup Most Exciting Chase Goals There are a number of dramas there are further penalties.</v>
      </c>
    </row>
    <row r="391" ht="15.75" customHeight="1">
      <c r="A391" s="1">
        <v>390.0</v>
      </c>
      <c r="B391" s="3" t="s">
        <v>1253</v>
      </c>
      <c r="C391" s="3">
        <v>0.0</v>
      </c>
      <c r="D391" s="3">
        <v>0.0</v>
      </c>
      <c r="E391" s="3">
        <v>0.0</v>
      </c>
      <c r="F391" s="3" t="s">
        <v>1254</v>
      </c>
      <c r="G391" s="3">
        <v>0.75</v>
      </c>
      <c r="H391" s="3">
        <v>0.15</v>
      </c>
      <c r="I391" s="3" t="s">
        <v>48</v>
      </c>
      <c r="J391" s="3" t="s">
        <v>1255</v>
      </c>
      <c r="K391" s="3" t="s">
        <v>503</v>
      </c>
      <c r="L391" s="3" t="str">
        <f>IFERROR(__xludf.DUMMYFUNCTION("GOOGLETRANSLATE(F391,""id"",""en"")"),"Especially those who joined the world cup nobar where the match itself was the historic match of Messi finally the World Cup champion and at the same time the name of the Mbappe football became the second player who was the world's final trick at the same"&amp;" time got a golden boot")</f>
        <v>Especially those who joined the world cup nobar where the match itself was the historic match of Messi finally the World Cup champion and at the same time the name of the Mbappe football became the second player who was the world's final trick at the same time got a golden boot</v>
      </c>
    </row>
    <row r="392" ht="15.75" customHeight="1">
      <c r="A392" s="1">
        <v>391.0</v>
      </c>
      <c r="B392" s="3" t="s">
        <v>1256</v>
      </c>
      <c r="C392" s="3">
        <v>1.0</v>
      </c>
      <c r="D392" s="3">
        <v>7.0</v>
      </c>
      <c r="E392" s="3">
        <v>99.0</v>
      </c>
      <c r="F392" s="3" t="s">
        <v>1257</v>
      </c>
      <c r="G392" s="3">
        <v>1.0</v>
      </c>
      <c r="H392" s="3">
        <v>0.0</v>
      </c>
      <c r="I392" s="3" t="s">
        <v>13</v>
      </c>
      <c r="J392" s="3" t="s">
        <v>1258</v>
      </c>
      <c r="K392" s="3" t="s">
        <v>82</v>
      </c>
      <c r="L392" s="3" t="str">
        <f>IFERROR(__xludf.DUMMYFUNCTION("GOOGLETRANSLATE(F392,""id"",""en"")"),"The reason Ronaldo watched the World Cup final turned out to be this")</f>
        <v>The reason Ronaldo watched the World Cup final turned out to be this</v>
      </c>
    </row>
    <row r="393" ht="15.75" customHeight="1">
      <c r="A393" s="1">
        <v>392.0</v>
      </c>
      <c r="B393" s="3" t="s">
        <v>1259</v>
      </c>
      <c r="C393" s="3">
        <v>0.0</v>
      </c>
      <c r="D393" s="3">
        <v>0.0</v>
      </c>
      <c r="E393" s="3">
        <v>0.0</v>
      </c>
      <c r="F393" s="3" t="s">
        <v>1260</v>
      </c>
      <c r="G393" s="3">
        <v>1.0</v>
      </c>
      <c r="H393" s="3">
        <v>0.0</v>
      </c>
      <c r="I393" s="3" t="s">
        <v>13</v>
      </c>
      <c r="J393" s="3" t="s">
        <v>1261</v>
      </c>
      <c r="K393" s="3" t="s">
        <v>127</v>
      </c>
      <c r="L393" s="3" t="str">
        <f>IFERROR(__xludf.DUMMYFUNCTION("GOOGLETRANSLATE(F393,""id"",""en"")"),"Blessing of the World Cup Final has a lot of excitement, especially at least the soccer player has been evenly distributed not about the competition again, hopefully")</f>
        <v>Blessing of the World Cup Final has a lot of excitement, especially at least the soccer player has been evenly distributed not about the competition again, hopefully</v>
      </c>
    </row>
    <row r="394" ht="15.75" customHeight="1">
      <c r="A394" s="1">
        <v>393.0</v>
      </c>
      <c r="B394" s="3" t="s">
        <v>1262</v>
      </c>
      <c r="C394" s="3">
        <v>0.0</v>
      </c>
      <c r="D394" s="3">
        <v>0.0</v>
      </c>
      <c r="E394" s="3">
        <v>0.0</v>
      </c>
      <c r="F394" s="3" t="s">
        <v>1263</v>
      </c>
      <c r="G394" s="3">
        <v>1.0</v>
      </c>
      <c r="H394" s="3">
        <v>0.0</v>
      </c>
      <c r="I394" s="3" t="s">
        <v>13</v>
      </c>
      <c r="J394" s="3" t="s">
        <v>1264</v>
      </c>
      <c r="K394" s="3" t="s">
        <v>1265</v>
      </c>
      <c r="L394" s="3" t="str">
        <f>IFERROR(__xludf.DUMMYFUNCTION("GOOGLETRANSLATE(F394,""id"",""en"")"),"know I'm almost my husband's joy because of the World Cup Final Huahuahua")</f>
        <v>know I'm almost my husband's joy because of the World Cup Final Huahuahua</v>
      </c>
    </row>
    <row r="395" ht="15.75" customHeight="1">
      <c r="A395" s="1">
        <v>394.0</v>
      </c>
      <c r="B395" s="3" t="s">
        <v>1266</v>
      </c>
      <c r="C395" s="3">
        <v>0.0</v>
      </c>
      <c r="D395" s="3">
        <v>0.0</v>
      </c>
      <c r="E395" s="3">
        <v>0.0</v>
      </c>
      <c r="F395" s="3" t="s">
        <v>1267</v>
      </c>
      <c r="G395" s="3">
        <v>1.0</v>
      </c>
      <c r="H395" s="3">
        <v>0.0</v>
      </c>
      <c r="I395" s="3" t="s">
        <v>13</v>
      </c>
      <c r="J395" s="3" t="s">
        <v>1268</v>
      </c>
      <c r="K395" s="3" t="s">
        <v>82</v>
      </c>
      <c r="L395" s="3" t="str">
        <f>IFERROR(__xludf.DUMMYFUNCTION("GOOGLETRANSLATE(F395,""id"",""en"")"),"The best world cup final is like anime")</f>
        <v>The best world cup final is like anime</v>
      </c>
    </row>
    <row r="396" ht="15.75" customHeight="1">
      <c r="A396" s="1">
        <v>395.0</v>
      </c>
      <c r="B396" s="3" t="s">
        <v>1269</v>
      </c>
      <c r="C396" s="3">
        <v>0.0</v>
      </c>
      <c r="D396" s="3">
        <v>0.0</v>
      </c>
      <c r="E396" s="3">
        <v>0.0</v>
      </c>
      <c r="F396" s="3" t="s">
        <v>297</v>
      </c>
      <c r="G396" s="3">
        <v>1.0</v>
      </c>
      <c r="H396" s="3">
        <v>0.0</v>
      </c>
      <c r="I396" s="3" t="s">
        <v>13</v>
      </c>
      <c r="J396" s="3" t="s">
        <v>298</v>
      </c>
      <c r="K396" s="3" t="s">
        <v>50</v>
      </c>
      <c r="L396" s="3" t="str">
        <f>IFERROR(__xludf.DUMMYFUNCTION("GOOGLETRANSLATE(F396,""id"",""en"")"),"Photo of Griezmann Wags France's wife stole attention ahead of the World Cup final")</f>
        <v>Photo of Griezmann Wags France's wife stole attention ahead of the World Cup final</v>
      </c>
    </row>
    <row r="397" ht="15.75" customHeight="1">
      <c r="A397" s="1">
        <v>396.0</v>
      </c>
      <c r="B397" s="3" t="s">
        <v>1270</v>
      </c>
      <c r="C397" s="3">
        <v>0.0</v>
      </c>
      <c r="D397" s="3">
        <v>0.0</v>
      </c>
      <c r="E397" s="3">
        <v>0.0</v>
      </c>
      <c r="F397" s="3" t="s">
        <v>1271</v>
      </c>
      <c r="G397" s="3">
        <v>1.0</v>
      </c>
      <c r="H397" s="3">
        <v>0.0</v>
      </c>
      <c r="I397" s="3" t="s">
        <v>13</v>
      </c>
      <c r="J397" s="3" t="s">
        <v>1272</v>
      </c>
      <c r="K397" s="3" t="s">
        <v>240</v>
      </c>
      <c r="L397" s="3" t="str">
        <f>IFERROR(__xludf.DUMMYFUNCTION("GOOGLETRANSLATE(F397,""id"",""en"")"),"Whatever happens Aice is the luckiest sponsor of their two icons Mbappe and Messi managed to appear the World Cup Final Goks")</f>
        <v>Whatever happens Aice is the luckiest sponsor of their two icons Mbappe and Messi managed to appear the World Cup Final Goks</v>
      </c>
    </row>
    <row r="398" ht="15.75" customHeight="1">
      <c r="A398" s="1">
        <v>397.0</v>
      </c>
      <c r="B398" s="3" t="s">
        <v>1273</v>
      </c>
      <c r="C398" s="3">
        <v>0.0</v>
      </c>
      <c r="D398" s="3">
        <v>0.0</v>
      </c>
      <c r="E398" s="3">
        <v>0.0</v>
      </c>
      <c r="F398" s="3" t="s">
        <v>1142</v>
      </c>
      <c r="G398" s="3">
        <v>1.0</v>
      </c>
      <c r="H398" s="3">
        <v>0.0</v>
      </c>
      <c r="I398" s="3" t="s">
        <v>13</v>
      </c>
      <c r="J398" s="3" t="s">
        <v>1143</v>
      </c>
      <c r="K398" s="3" t="s">
        <v>19</v>
      </c>
      <c r="L398" s="3" t="str">
        <f>IFERROR(__xludf.DUMMYFUNCTION("GOOGLETRANSLATE(F398,""id"",""en"")"),"French Brazil French World Cup final Zinedine Zidane Emmanuel Petit let's join in Join")</f>
        <v>French Brazil French World Cup final Zinedine Zidane Emmanuel Petit let's join in Join</v>
      </c>
    </row>
    <row r="399" ht="15.75" customHeight="1">
      <c r="A399" s="1">
        <v>398.0</v>
      </c>
      <c r="B399" s="3" t="s">
        <v>1274</v>
      </c>
      <c r="C399" s="3">
        <v>1.0</v>
      </c>
      <c r="D399" s="3">
        <v>0.0</v>
      </c>
      <c r="E399" s="3">
        <v>0.0</v>
      </c>
      <c r="F399" s="3" t="s">
        <v>1275</v>
      </c>
      <c r="G399" s="3">
        <v>1.0</v>
      </c>
      <c r="H399" s="3">
        <v>0.0</v>
      </c>
      <c r="I399" s="3" t="s">
        <v>13</v>
      </c>
      <c r="J399" s="3" t="s">
        <v>1276</v>
      </c>
      <c r="K399" s="3" t="s">
        <v>433</v>
      </c>
      <c r="L399" s="3" t="str">
        <f>IFERROR(__xludf.DUMMYFUNCTION("GOOGLETRANSLATE(F399,""id"",""en"")"),"Never lost and wrongdoing the final football tournament such as the European Cup Champions League and World Cup heheheh")</f>
        <v>Never lost and wrongdoing the final football tournament such as the European Cup Champions League and World Cup heheheh</v>
      </c>
    </row>
    <row r="400" ht="15.75" customHeight="1">
      <c r="A400" s="1">
        <v>399.0</v>
      </c>
      <c r="B400" s="3" t="s">
        <v>1277</v>
      </c>
      <c r="C400" s="3">
        <v>0.0</v>
      </c>
      <c r="D400" s="3">
        <v>3.0</v>
      </c>
      <c r="E400" s="3">
        <v>12.0</v>
      </c>
      <c r="F400" s="3" t="s">
        <v>1278</v>
      </c>
      <c r="G400" s="3">
        <v>0.65</v>
      </c>
      <c r="H400" s="3">
        <v>0.1</v>
      </c>
      <c r="I400" s="3" t="s">
        <v>48</v>
      </c>
      <c r="J400" s="3" t="s">
        <v>1279</v>
      </c>
      <c r="K400" s="3" t="s">
        <v>1280</v>
      </c>
      <c r="L400" s="3" t="str">
        <f>IFERROR(__xludf.DUMMYFUNCTION("GOOGLETRANSLATE(F400,""id"",""en"")"),"Congratz Argentina Congratz Messi this time You Nail Messi The Real Goat Messi World Cup Final has been watched throughout the history of my life since the USA was very entertained by Argentina France Argentina France Adu Penalty Adu Penalty")</f>
        <v>Congratz Argentina Congratz Messi this time You Nail Messi The Real Goat Messi World Cup Final has been watched throughout the history of my life since the USA was very entertained by Argentina France Argentina France Adu Penalty Adu Penalty</v>
      </c>
    </row>
    <row r="401" ht="15.75" customHeight="1">
      <c r="A401" s="1">
        <v>400.0</v>
      </c>
      <c r="B401" s="3" t="s">
        <v>1281</v>
      </c>
      <c r="C401" s="3">
        <v>0.0</v>
      </c>
      <c r="D401" s="3">
        <v>0.0</v>
      </c>
      <c r="E401" s="3">
        <v>1.0</v>
      </c>
      <c r="F401" s="3" t="s">
        <v>1282</v>
      </c>
      <c r="G401" s="3">
        <v>1.0</v>
      </c>
      <c r="H401" s="3">
        <v>0.0</v>
      </c>
      <c r="I401" s="3" t="s">
        <v>13</v>
      </c>
      <c r="J401" s="3" t="s">
        <v>1283</v>
      </c>
      <c r="K401" s="3" t="s">
        <v>82</v>
      </c>
      <c r="L401" s="3" t="str">
        <f>IFERROR(__xludf.DUMMYFUNCTION("GOOGLETRANSLATE(F401,""id"",""en"")"),"World Cup Final Iki Marai High Blood")</f>
        <v>World Cup Final Iki Marai High Blood</v>
      </c>
    </row>
    <row r="402" ht="15.75" customHeight="1">
      <c r="A402" s="1">
        <v>401.0</v>
      </c>
      <c r="B402" s="3" t="s">
        <v>1284</v>
      </c>
      <c r="C402" s="3">
        <v>0.0</v>
      </c>
      <c r="D402" s="3">
        <v>0.0</v>
      </c>
      <c r="E402" s="3">
        <v>0.0</v>
      </c>
      <c r="F402" s="3" t="s">
        <v>1285</v>
      </c>
      <c r="G402" s="3">
        <v>1.0</v>
      </c>
      <c r="H402" s="3">
        <v>0.0</v>
      </c>
      <c r="I402" s="3" t="s">
        <v>13</v>
      </c>
      <c r="J402" s="3" t="s">
        <v>1286</v>
      </c>
      <c r="K402" s="3" t="s">
        <v>123</v>
      </c>
      <c r="L402" s="3" t="str">
        <f>IFERROR(__xludf.DUMMYFUNCTION("GOOGLETRANSLATE(F402,""id"",""en"")"),"Watching all the World Cup final matches from the year must be recognized this time the final is the most exciting thank you")</f>
        <v>Watching all the World Cup final matches from the year must be recognized this time the final is the most exciting thank you</v>
      </c>
    </row>
    <row r="403" ht="15.75" customHeight="1">
      <c r="A403" s="1">
        <v>402.0</v>
      </c>
      <c r="B403" s="3" t="s">
        <v>1287</v>
      </c>
      <c r="C403" s="3">
        <v>0.0</v>
      </c>
      <c r="D403" s="3">
        <v>0.0</v>
      </c>
      <c r="E403" s="3">
        <v>0.0</v>
      </c>
      <c r="F403" s="3" t="s">
        <v>1288</v>
      </c>
      <c r="G403" s="3">
        <v>1.0</v>
      </c>
      <c r="H403" s="3">
        <v>0.0</v>
      </c>
      <c r="I403" s="3" t="s">
        <v>13</v>
      </c>
      <c r="J403" s="3" t="s">
        <v>1289</v>
      </c>
      <c r="K403" s="3" t="s">
        <v>82</v>
      </c>
      <c r="L403" s="3" t="str">
        <f>IFERROR(__xludf.DUMMYFUNCTION("GOOGLETRANSLATE(F403,""id"",""en"")"),"Puan Supports Argentina World Cup Final Champion")</f>
        <v>Puan Supports Argentina World Cup Final Champion</v>
      </c>
    </row>
    <row r="404" ht="15.75" customHeight="1">
      <c r="A404" s="1">
        <v>403.0</v>
      </c>
      <c r="B404" s="3" t="s">
        <v>1290</v>
      </c>
      <c r="C404" s="3">
        <v>0.0</v>
      </c>
      <c r="D404" s="3">
        <v>3.0</v>
      </c>
      <c r="E404" s="3">
        <v>6.0</v>
      </c>
      <c r="F404" s="3" t="s">
        <v>1291</v>
      </c>
      <c r="G404" s="3">
        <v>0.7</v>
      </c>
      <c r="H404" s="3">
        <v>-0.2</v>
      </c>
      <c r="I404" s="3" t="s">
        <v>179</v>
      </c>
      <c r="J404" s="3" t="s">
        <v>1292</v>
      </c>
      <c r="K404" s="3" t="s">
        <v>1293</v>
      </c>
      <c r="L404" s="3" t="str">
        <f>IFERROR(__xludf.DUMMYFUNCTION("GOOGLETRANSLATE(F404,""id"",""en"")"),"What game Messi perfects the title of the Copa America Champions League and the final of the Congratulations World Cup Pulga Pulga")</f>
        <v>What game Messi perfects the title of the Copa America Champions League and the final of the Congratulations World Cup Pulga Pulga</v>
      </c>
    </row>
    <row r="405" ht="15.75" customHeight="1">
      <c r="A405" s="1">
        <v>404.0</v>
      </c>
      <c r="B405" s="3" t="s">
        <v>1294</v>
      </c>
      <c r="C405" s="3">
        <v>0.0</v>
      </c>
      <c r="D405" s="3">
        <v>0.0</v>
      </c>
      <c r="E405" s="3">
        <v>0.0</v>
      </c>
      <c r="F405" s="3" t="s">
        <v>1295</v>
      </c>
      <c r="G405" s="3">
        <v>1.0</v>
      </c>
      <c r="H405" s="3">
        <v>0.0</v>
      </c>
      <c r="I405" s="3" t="s">
        <v>13</v>
      </c>
      <c r="J405" s="3" t="s">
        <v>1296</v>
      </c>
      <c r="K405" s="3" t="s">
        <v>15</v>
      </c>
      <c r="L405" s="3" t="str">
        <f>IFERROR(__xludf.DUMMYFUNCTION("GOOGLETRANSLATE(F405,""id"",""en"")"),"btw was the best world cup final we've enjoyed")</f>
        <v>btw was the best world cup final we've enjoyed</v>
      </c>
    </row>
    <row r="406" ht="15.75" customHeight="1">
      <c r="A406" s="1">
        <v>405.0</v>
      </c>
      <c r="B406" s="3" t="s">
        <v>1297</v>
      </c>
      <c r="C406" s="3">
        <v>0.0</v>
      </c>
      <c r="D406" s="3">
        <v>0.0</v>
      </c>
      <c r="E406" s="3">
        <v>0.0</v>
      </c>
      <c r="F406" s="3" t="s">
        <v>1298</v>
      </c>
      <c r="G406" s="3">
        <v>1.0</v>
      </c>
      <c r="H406" s="3">
        <v>0.0</v>
      </c>
      <c r="I406" s="3" t="s">
        <v>13</v>
      </c>
      <c r="J406" s="3" t="s">
        <v>1299</v>
      </c>
      <c r="K406" s="3" t="s">
        <v>1300</v>
      </c>
      <c r="L406" s="3" t="str">
        <f>IFERROR(__xludf.DUMMYFUNCTION("GOOGLETRANSLATE(F406,""id"",""en"")"),"Watching the World Cup from the era of Oliver Kahn is very good at Germany but lost to the final of Nobar with friends until finally watching the final alone the house of friends who used to nobar UCL World Cup on where")</f>
        <v>Watching the World Cup from the era of Oliver Kahn is very good at Germany but lost to the final of Nobar with friends until finally watching the final alone the house of friends who used to nobar UCL World Cup on where</v>
      </c>
    </row>
    <row r="407" ht="15.75" customHeight="1">
      <c r="A407" s="1">
        <v>406.0</v>
      </c>
      <c r="B407" s="3" t="s">
        <v>1301</v>
      </c>
      <c r="C407" s="3">
        <v>4.0</v>
      </c>
      <c r="D407" s="3">
        <v>44.0</v>
      </c>
      <c r="E407" s="3">
        <v>252.0</v>
      </c>
      <c r="F407" s="3" t="s">
        <v>1302</v>
      </c>
      <c r="G407" s="3">
        <v>1.0</v>
      </c>
      <c r="H407" s="3">
        <v>0.0</v>
      </c>
      <c r="I407" s="3" t="s">
        <v>13</v>
      </c>
      <c r="J407" s="3" t="s">
        <v>1303</v>
      </c>
      <c r="K407" s="3" t="s">
        <v>1304</v>
      </c>
      <c r="L407" s="3" t="str">
        <f>IFERROR(__xludf.DUMMYFUNCTION("GOOGLETRANSLATE(F407,""id"",""en"")"),"Sountrack hasn't memorized the World Cup this time not exciting, not hype blah blah blah, this time this time can't be guessed this Anjirr final world cup")</f>
        <v>Sountrack hasn't memorized the World Cup this time not exciting, not hype blah blah blah, this time this time can't be guessed this Anjirr final world cup</v>
      </c>
    </row>
    <row r="408" ht="15.75" customHeight="1">
      <c r="A408" s="1">
        <v>407.0</v>
      </c>
      <c r="B408" s="3" t="s">
        <v>1305</v>
      </c>
      <c r="C408" s="3">
        <v>0.0</v>
      </c>
      <c r="D408" s="3">
        <v>0.0</v>
      </c>
      <c r="E408" s="3">
        <v>0.0</v>
      </c>
      <c r="F408" s="3" t="s">
        <v>1306</v>
      </c>
      <c r="G408" s="3">
        <v>1.0</v>
      </c>
      <c r="H408" s="3">
        <v>0.0</v>
      </c>
      <c r="I408" s="3" t="s">
        <v>13</v>
      </c>
      <c r="J408" s="3" t="s">
        <v>1307</v>
      </c>
      <c r="K408" s="3" t="s">
        <v>54</v>
      </c>
      <c r="L408" s="3" t="str">
        <f>IFERROR(__xludf.DUMMYFUNCTION("GOOGLETRANSLATE(F408,""id"",""en"")"),"The Best World Cup Final Since Year")</f>
        <v>The Best World Cup Final Since Year</v>
      </c>
    </row>
    <row r="409" ht="15.75" customHeight="1">
      <c r="A409" s="1">
        <v>408.0</v>
      </c>
      <c r="B409" s="3" t="s">
        <v>1308</v>
      </c>
      <c r="C409" s="3">
        <v>1.0</v>
      </c>
      <c r="D409" s="3">
        <v>1.0</v>
      </c>
      <c r="E409" s="3">
        <v>10.0</v>
      </c>
      <c r="F409" s="3" t="s">
        <v>1309</v>
      </c>
      <c r="G409" s="3">
        <v>0.6634199134199134</v>
      </c>
      <c r="H409" s="3">
        <v>0.1406926406926407</v>
      </c>
      <c r="I409" s="3" t="s">
        <v>48</v>
      </c>
      <c r="J409" s="3" t="s">
        <v>1310</v>
      </c>
      <c r="K409" s="3" t="s">
        <v>903</v>
      </c>
      <c r="L409" s="3" t="str">
        <f>IFERROR(__xludf.DUMMYFUNCTION("GOOGLETRANSLATE(F409,""id"",""en"")"),"The World Cup Final is the transition of the Monumental Generation Messi as Goat Right Now which will end in the era of his glory and the new era will soon begin with The New Goat Kylian Mbappe")</f>
        <v>The World Cup Final is the transition of the Monumental Generation Messi as Goat Right Now which will end in the era of his glory and the new era will soon begin with The New Goat Kylian Mbappe</v>
      </c>
    </row>
    <row r="410" ht="15.75" customHeight="1">
      <c r="A410" s="1">
        <v>409.0</v>
      </c>
      <c r="B410" s="3" t="s">
        <v>1311</v>
      </c>
      <c r="C410" s="3">
        <v>0.0</v>
      </c>
      <c r="D410" s="3">
        <v>0.0</v>
      </c>
      <c r="E410" s="3">
        <v>0.0</v>
      </c>
      <c r="F410" s="3" t="s">
        <v>1312</v>
      </c>
      <c r="G410" s="3">
        <v>1.0</v>
      </c>
      <c r="H410" s="3">
        <v>0.0</v>
      </c>
      <c r="I410" s="3" t="s">
        <v>13</v>
      </c>
      <c r="J410" s="3" t="s">
        <v>1313</v>
      </c>
      <c r="K410" s="3" t="s">
        <v>1097</v>
      </c>
      <c r="L410" s="3" t="str">
        <f>IFERROR(__xludf.DUMMYFUNCTION("GOOGLETRANSLATE(F410,""id"",""en"")"),"Messi World Champion World Cup Final Match in History")</f>
        <v>Messi World Champion World Cup Final Match in History</v>
      </c>
    </row>
    <row r="411" ht="15.75" customHeight="1">
      <c r="A411" s="1">
        <v>410.0</v>
      </c>
      <c r="B411" s="3" t="s">
        <v>1314</v>
      </c>
      <c r="C411" s="3">
        <v>0.0</v>
      </c>
      <c r="D411" s="3">
        <v>0.0</v>
      </c>
      <c r="E411" s="3">
        <v>0.0</v>
      </c>
      <c r="F411" s="3" t="s">
        <v>1315</v>
      </c>
      <c r="G411" s="3">
        <v>0.0</v>
      </c>
      <c r="H411" s="3">
        <v>0.0</v>
      </c>
      <c r="I411" s="3" t="s">
        <v>13</v>
      </c>
      <c r="J411" s="3" t="s">
        <v>1316</v>
      </c>
      <c r="K411" s="3" t="s">
        <v>1317</v>
      </c>
      <c r="L411" s="3" t="str">
        <f>IFERROR(__xludf.DUMMYFUNCTION("GOOGLETRANSLATE(F411,""id"",""en"")"),"Redsindo is called a farmer league often produces great players like Platini Zidane Tcouameni Camavinga Benzema makes the non -farmer league club with the same thing to buy it called the Farmers League")</f>
        <v>Redsindo is called a farmer league often produces great players like Platini Zidane Tcouameni Camavinga Benzema makes the non -farmer league club with the same thing to buy it called the Farmers League</v>
      </c>
    </row>
    <row r="412" ht="15.75" customHeight="1">
      <c r="A412" s="1">
        <v>411.0</v>
      </c>
      <c r="B412" s="3" t="s">
        <v>1318</v>
      </c>
      <c r="C412" s="3">
        <v>0.0</v>
      </c>
      <c r="D412" s="3">
        <v>0.0</v>
      </c>
      <c r="E412" s="3">
        <v>0.0</v>
      </c>
      <c r="F412" s="3" t="s">
        <v>1142</v>
      </c>
      <c r="G412" s="3">
        <v>1.0</v>
      </c>
      <c r="H412" s="3">
        <v>0.0</v>
      </c>
      <c r="I412" s="3" t="s">
        <v>13</v>
      </c>
      <c r="J412" s="3" t="s">
        <v>1143</v>
      </c>
      <c r="K412" s="3" t="s">
        <v>19</v>
      </c>
      <c r="L412" s="3" t="str">
        <f>IFERROR(__xludf.DUMMYFUNCTION("GOOGLETRANSLATE(F412,""id"",""en"")"),"French Brazil French World Cup final Zinedine Zidane Emmanuel Petit let's join in Join")</f>
        <v>French Brazil French World Cup final Zinedine Zidane Emmanuel Petit let's join in Join</v>
      </c>
    </row>
    <row r="413" ht="15.75" customHeight="1">
      <c r="A413" s="1">
        <v>412.0</v>
      </c>
      <c r="B413" s="3" t="s">
        <v>1319</v>
      </c>
      <c r="C413" s="3">
        <v>0.0</v>
      </c>
      <c r="D413" s="3">
        <v>0.0</v>
      </c>
      <c r="E413" s="3">
        <v>1.0</v>
      </c>
      <c r="F413" s="3" t="s">
        <v>1320</v>
      </c>
      <c r="G413" s="3">
        <v>1.0</v>
      </c>
      <c r="H413" s="3">
        <v>0.0</v>
      </c>
      <c r="I413" s="3" t="s">
        <v>13</v>
      </c>
      <c r="J413" s="3" t="s">
        <v>1321</v>
      </c>
      <c r="K413" s="3" t="s">
        <v>433</v>
      </c>
      <c r="L413" s="3" t="str">
        <f>IFERROR(__xludf.DUMMYFUNCTION("GOOGLETRANSLATE(F413,""id"",""en"")"),"When finished the World Cup Final People in Eating Fried Rice Catfish Pecel Believe them are Argentians")</f>
        <v>When finished the World Cup Final People in Eating Fried Rice Catfish Pecel Believe them are Argentians</v>
      </c>
    </row>
    <row r="414" ht="15.75" customHeight="1">
      <c r="A414" s="1">
        <v>413.0</v>
      </c>
      <c r="B414" s="3" t="s">
        <v>1322</v>
      </c>
      <c r="C414" s="3">
        <v>0.0</v>
      </c>
      <c r="D414" s="3">
        <v>0.0</v>
      </c>
      <c r="E414" s="3">
        <v>0.0</v>
      </c>
      <c r="F414" s="3" t="s">
        <v>1323</v>
      </c>
      <c r="G414" s="3">
        <v>0.6</v>
      </c>
      <c r="H414" s="3">
        <v>-0.05</v>
      </c>
      <c r="I414" s="3" t="s">
        <v>179</v>
      </c>
      <c r="J414" s="3" t="s">
        <v>1324</v>
      </c>
      <c r="K414" s="3" t="s">
        <v>75</v>
      </c>
      <c r="L414" s="3" t="str">
        <f>IFERROR(__xludf.DUMMYFUNCTION("GOOGLETRANSLATE(F414,""id"",""en"")"),"COOL OF THE FINAL OF HEART CUP AND MENTAL CUP Made conducive lololol")</f>
        <v>COOL OF THE FINAL OF HEART CUP AND MENTAL CUP Made conducive lololol</v>
      </c>
    </row>
    <row r="415" ht="15.75" customHeight="1">
      <c r="A415" s="1">
        <v>414.0</v>
      </c>
      <c r="B415" s="3" t="s">
        <v>1325</v>
      </c>
      <c r="C415" s="3">
        <v>0.0</v>
      </c>
      <c r="D415" s="3">
        <v>0.0</v>
      </c>
      <c r="E415" s="3">
        <v>0.0</v>
      </c>
      <c r="F415" s="3" t="s">
        <v>1326</v>
      </c>
      <c r="G415" s="3">
        <v>1.0</v>
      </c>
      <c r="H415" s="3">
        <v>0.0</v>
      </c>
      <c r="I415" s="3" t="s">
        <v>13</v>
      </c>
      <c r="J415" s="3" t="s">
        <v>1327</v>
      </c>
      <c r="K415" s="3" t="s">
        <v>1328</v>
      </c>
      <c r="L415" s="3" t="str">
        <f>IFERROR(__xludf.DUMMYFUNCTION("GOOGLETRANSLATE(F415,""id"",""en"")"),"The best world cup final is the best to respect Messi who is the best debate with Messi, I have got all the world cups, the next will brush with all the richness, but it seems like the world cup wants to support Norwegian")</f>
        <v>The best world cup final is the best to respect Messi who is the best debate with Messi, I have got all the world cups, the next will brush with all the richness, but it seems like the world cup wants to support Norwegian</v>
      </c>
    </row>
    <row r="416" ht="15.75" customHeight="1">
      <c r="A416" s="1">
        <v>415.0</v>
      </c>
      <c r="B416" s="3" t="s">
        <v>1329</v>
      </c>
      <c r="C416" s="3">
        <v>0.0</v>
      </c>
      <c r="D416" s="3">
        <v>0.0</v>
      </c>
      <c r="E416" s="3">
        <v>0.0</v>
      </c>
      <c r="F416" s="3" t="s">
        <v>1330</v>
      </c>
      <c r="G416" s="3">
        <v>1.0</v>
      </c>
      <c r="H416" s="3">
        <v>0.0</v>
      </c>
      <c r="I416" s="3" t="s">
        <v>13</v>
      </c>
      <c r="J416" s="3" t="s">
        <v>1331</v>
      </c>
      <c r="K416" s="3" t="s">
        <v>205</v>
      </c>
      <c r="L416" s="3" t="str">
        <f>IFERROR(__xludf.DUMMYFUNCTION("GOOGLETRANSLATE(F416,""id"",""en"")"),"well today there is a world cup final, usually someone is screaming excited, the house now doesn't happen to be bontot nobar with his friends because there is no friend watching a house hiks")</f>
        <v>well today there is a world cup final, usually someone is screaming excited, the house now doesn't happen to be bontot nobar with his friends because there is no friend watching a house hiks</v>
      </c>
    </row>
    <row r="417" ht="15.75" customHeight="1">
      <c r="A417" s="1">
        <v>416.0</v>
      </c>
      <c r="B417" s="3" t="s">
        <v>1332</v>
      </c>
      <c r="C417" s="3">
        <v>0.0</v>
      </c>
      <c r="D417" s="3">
        <v>0.0</v>
      </c>
      <c r="E417" s="3">
        <v>0.0</v>
      </c>
      <c r="F417" s="3" t="s">
        <v>1333</v>
      </c>
      <c r="G417" s="3">
        <v>1.0</v>
      </c>
      <c r="H417" s="3">
        <v>0.1666666666666667</v>
      </c>
      <c r="I417" s="3" t="s">
        <v>48</v>
      </c>
      <c r="J417" s="3" t="s">
        <v>1334</v>
      </c>
      <c r="K417" s="3" t="s">
        <v>1335</v>
      </c>
      <c r="L417" s="3" t="str">
        <f>IFERROR(__xludf.DUMMYFUNCTION("GOOGLETRANSLATE(F417,""id"",""en"")"),"World Cup Final Worthy to be called the Grand Final")</f>
        <v>World Cup Final Worthy to be called the Grand Final</v>
      </c>
    </row>
    <row r="418" ht="15.75" customHeight="1">
      <c r="A418" s="1">
        <v>417.0</v>
      </c>
      <c r="B418" s="3" t="s">
        <v>1336</v>
      </c>
      <c r="C418" s="3">
        <v>0.0</v>
      </c>
      <c r="D418" s="3">
        <v>0.0</v>
      </c>
      <c r="E418" s="3">
        <v>0.0</v>
      </c>
      <c r="F418" s="3" t="s">
        <v>1337</v>
      </c>
      <c r="G418" s="3">
        <v>1.0</v>
      </c>
      <c r="H418" s="3">
        <v>0.0</v>
      </c>
      <c r="I418" s="3" t="s">
        <v>13</v>
      </c>
      <c r="J418" s="3" t="s">
        <v>1338</v>
      </c>
      <c r="K418" s="3" t="s">
        <v>104</v>
      </c>
      <c r="L418" s="3" t="str">
        <f>IFERROR(__xludf.DUMMYFUNCTION("GOOGLETRANSLATE(F418,""id"",""en"")"),"Valiiid Anjiir is the first crazier final, deg, it reminds me of the world cup final between Italy France because there is a Italy and France and down their senior players")</f>
        <v>Valiiid Anjiir is the first crazier final, deg, it reminds me of the world cup final between Italy France because there is a Italy and France and down their senior players</v>
      </c>
    </row>
    <row r="419" ht="15.75" customHeight="1">
      <c r="A419" s="1">
        <v>418.0</v>
      </c>
      <c r="B419" s="3" t="s">
        <v>1339</v>
      </c>
      <c r="C419" s="3">
        <v>0.0</v>
      </c>
      <c r="D419" s="3">
        <v>0.0</v>
      </c>
      <c r="E419" s="3">
        <v>1.0</v>
      </c>
      <c r="F419" s="3" t="s">
        <v>1340</v>
      </c>
      <c r="G419" s="3">
        <v>1.0</v>
      </c>
      <c r="H419" s="3">
        <v>0.0</v>
      </c>
      <c r="I419" s="3" t="s">
        <v>13</v>
      </c>
      <c r="J419" s="3" t="s">
        <v>1341</v>
      </c>
      <c r="K419" s="3" t="s">
        <v>41</v>
      </c>
      <c r="L419" s="3" t="str">
        <f>IFERROR(__xludf.DUMMYFUNCTION("GOOGLETRANSLATE(F419,""id"",""en"")"),"for the time being the best final in my opinion congratulations Qatar can make this world cup as this")</f>
        <v>for the time being the best final in my opinion congratulations Qatar can make this world cup as this</v>
      </c>
    </row>
    <row r="420" ht="15.75" customHeight="1">
      <c r="A420" s="1">
        <v>419.0</v>
      </c>
      <c r="B420" s="3" t="s">
        <v>1342</v>
      </c>
      <c r="C420" s="3">
        <v>0.0</v>
      </c>
      <c r="D420" s="3">
        <v>0.0</v>
      </c>
      <c r="E420" s="3">
        <v>0.0</v>
      </c>
      <c r="F420" s="3" t="s">
        <v>1343</v>
      </c>
      <c r="G420" s="3">
        <v>1.0</v>
      </c>
      <c r="H420" s="3">
        <v>0.0</v>
      </c>
      <c r="I420" s="3" t="s">
        <v>13</v>
      </c>
      <c r="J420" s="3" t="s">
        <v>1344</v>
      </c>
      <c r="K420" s="3" t="s">
        <v>1345</v>
      </c>
      <c r="L420" s="3" t="str">
        <f>IFERROR(__xludf.DUMMYFUNCTION("GOOGLETRANSLATE(F420,""id"",""en"")"),"billion people watching the world cup final means from the other watching people watching because they overslept")</f>
        <v>billion people watching the world cup final means from the other watching people watching because they overslept</v>
      </c>
    </row>
    <row r="421" ht="15.75" customHeight="1">
      <c r="A421" s="1">
        <v>420.0</v>
      </c>
      <c r="B421" s="3" t="s">
        <v>1346</v>
      </c>
      <c r="C421" s="3">
        <v>1.0</v>
      </c>
      <c r="D421" s="3">
        <v>0.0</v>
      </c>
      <c r="E421" s="3">
        <v>1.0</v>
      </c>
      <c r="F421" s="3" t="s">
        <v>1347</v>
      </c>
      <c r="G421" s="3">
        <v>1.0</v>
      </c>
      <c r="H421" s="3">
        <v>0.0</v>
      </c>
      <c r="I421" s="3" t="s">
        <v>13</v>
      </c>
      <c r="J421" s="3" t="s">
        <v>1348</v>
      </c>
      <c r="K421" s="3" t="s">
        <v>1349</v>
      </c>
      <c r="L421" s="3" t="str">
        <f>IFERROR(__xludf.DUMMYFUNCTION("GOOGLETRANSLATE(F421,""id"",""en"")"),"This is the most exciting final match list while I watched the World Cup final starting the final balanced there was the excitement")</f>
        <v>This is the most exciting final match list while I watched the World Cup final starting the final balanced there was the excitement</v>
      </c>
    </row>
    <row r="422" ht="15.75" customHeight="1">
      <c r="A422" s="1">
        <v>421.0</v>
      </c>
      <c r="B422" s="3" t="s">
        <v>1350</v>
      </c>
      <c r="C422" s="3">
        <v>0.0</v>
      </c>
      <c r="D422" s="3">
        <v>0.0</v>
      </c>
      <c r="E422" s="3">
        <v>0.0</v>
      </c>
      <c r="F422" s="3" t="s">
        <v>1351</v>
      </c>
      <c r="G422" s="3">
        <v>1.0</v>
      </c>
      <c r="H422" s="3">
        <v>0.0</v>
      </c>
      <c r="I422" s="3" t="s">
        <v>13</v>
      </c>
      <c r="J422" s="3" t="s">
        <v>1352</v>
      </c>
      <c r="K422" s="3" t="s">
        <v>82</v>
      </c>
      <c r="L422" s="3" t="str">
        <f>IFERROR(__xludf.DUMMYFUNCTION("GOOGLETRANSLATE(F422,""id"",""en"")"),"Final First World Cup Without Bokap Why Should Argen Win")</f>
        <v>Final First World Cup Without Bokap Why Should Argen Win</v>
      </c>
    </row>
    <row r="423" ht="15.75" customHeight="1">
      <c r="A423" s="1">
        <v>422.0</v>
      </c>
      <c r="B423" s="3" t="s">
        <v>1353</v>
      </c>
      <c r="C423" s="3">
        <v>0.0</v>
      </c>
      <c r="D423" s="3">
        <v>0.0</v>
      </c>
      <c r="E423" s="3">
        <v>0.0</v>
      </c>
      <c r="F423" s="3" t="s">
        <v>1354</v>
      </c>
      <c r="G423" s="3">
        <v>1.0</v>
      </c>
      <c r="H423" s="3">
        <v>0.0</v>
      </c>
      <c r="I423" s="3" t="s">
        <v>13</v>
      </c>
      <c r="J423" s="3" t="s">
        <v>1355</v>
      </c>
      <c r="K423" s="3" t="s">
        <v>19</v>
      </c>
      <c r="L423" s="3" t="str">
        <f>IFERROR(__xludf.DUMMYFUNCTION("GOOGLETRANSLATE(F423,""id"",""en"")"),"Gokil Sii Final World Cup Strong I Watch Dag Dig Dug Ser")</f>
        <v>Gokil Sii Final World Cup Strong I Watch Dag Dig Dug Ser</v>
      </c>
    </row>
    <row r="424" ht="15.75" customHeight="1">
      <c r="A424" s="1">
        <v>423.0</v>
      </c>
      <c r="B424" s="3" t="s">
        <v>1356</v>
      </c>
      <c r="C424" s="3">
        <v>0.0</v>
      </c>
      <c r="D424" s="3">
        <v>0.0</v>
      </c>
      <c r="E424" s="3">
        <v>0.0</v>
      </c>
      <c r="F424" s="3" t="s">
        <v>1357</v>
      </c>
      <c r="G424" s="3">
        <v>1.0</v>
      </c>
      <c r="H424" s="3">
        <v>0.0</v>
      </c>
      <c r="I424" s="3" t="s">
        <v>13</v>
      </c>
      <c r="J424" s="3" t="s">
        <v>1358</v>
      </c>
      <c r="K424" s="3" t="s">
        <v>1359</v>
      </c>
      <c r="L424" s="3" t="str">
        <f>IFERROR(__xludf.DUMMYFUNCTION("GOOGLETRANSLATE(F424,""id"",""en"")"),"Indeed the best world cup but is the best world cup final throughout the masses")</f>
        <v>Indeed the best world cup but is the best world cup final throughout the masses</v>
      </c>
    </row>
    <row r="425" ht="15.75" customHeight="1">
      <c r="A425" s="1">
        <v>424.0</v>
      </c>
      <c r="B425" s="3" t="s">
        <v>1360</v>
      </c>
      <c r="C425" s="3">
        <v>0.0</v>
      </c>
      <c r="D425" s="3">
        <v>0.0</v>
      </c>
      <c r="E425" s="3">
        <v>0.0</v>
      </c>
      <c r="F425" s="3" t="s">
        <v>1361</v>
      </c>
      <c r="G425" s="3">
        <v>1.0</v>
      </c>
      <c r="H425" s="3">
        <v>0.0</v>
      </c>
      <c r="I425" s="3" t="s">
        <v>13</v>
      </c>
      <c r="J425" s="3" t="s">
        <v>1362</v>
      </c>
      <c r="K425" s="3" t="s">
        <v>35</v>
      </c>
      <c r="L425" s="3" t="str">
        <f>IFERROR(__xludf.DUMMYFUNCTION("GOOGLETRANSLATE(F425,""id"",""en"")"),"My friend wants to be fast resignation")</f>
        <v>My friend wants to be fast resignation</v>
      </c>
    </row>
    <row r="426" ht="15.75" customHeight="1">
      <c r="A426" s="1">
        <v>425.0</v>
      </c>
      <c r="B426" s="3" t="s">
        <v>1363</v>
      </c>
      <c r="C426" s="3">
        <v>1.0</v>
      </c>
      <c r="D426" s="3">
        <v>0.0</v>
      </c>
      <c r="E426" s="3">
        <v>0.0</v>
      </c>
      <c r="F426" s="3" t="s">
        <v>1364</v>
      </c>
      <c r="G426" s="3">
        <v>1.0</v>
      </c>
      <c r="H426" s="3">
        <v>-0.2</v>
      </c>
      <c r="I426" s="3" t="s">
        <v>179</v>
      </c>
      <c r="J426" s="3" t="s">
        <v>1365</v>
      </c>
      <c r="K426" s="3" t="s">
        <v>1366</v>
      </c>
      <c r="L426" s="3" t="str">
        <f>IFERROR(__xludf.DUMMYFUNCTION("GOOGLETRANSLATE(F426,""id"",""en"")"),"Thank you for his final performance, making the final that had boring the first half became one of the most dramatic world cup finals with his hat trick and the final appearance of the final I thought Madrid fans would fall in love opening the door for hi"&amp;"m")</f>
        <v>Thank you for his final performance, making the final that had boring the first half became one of the most dramatic world cup finals with his hat trick and the final appearance of the final I thought Madrid fans would fall in love opening the door for him</v>
      </c>
    </row>
    <row r="427" ht="15.75" customHeight="1">
      <c r="A427" s="1">
        <v>426.0</v>
      </c>
      <c r="B427" s="3" t="s">
        <v>1367</v>
      </c>
      <c r="C427" s="3">
        <v>0.0</v>
      </c>
      <c r="D427" s="3">
        <v>0.0</v>
      </c>
      <c r="E427" s="3">
        <v>0.0</v>
      </c>
      <c r="F427" s="3" t="s">
        <v>1368</v>
      </c>
      <c r="G427" s="3">
        <v>1.0</v>
      </c>
      <c r="H427" s="3">
        <v>0.0</v>
      </c>
      <c r="I427" s="3" t="s">
        <v>13</v>
      </c>
      <c r="J427" s="3" t="s">
        <v>1369</v>
      </c>
      <c r="K427" s="3" t="s">
        <v>54</v>
      </c>
      <c r="L427" s="3" t="str">
        <f>IFERROR(__xludf.DUMMYFUNCTION("GOOGLETRANSLATE(F427,""id"",""en"")"),"Become the Witness of the Best World Cup Final")</f>
        <v>Become the Witness of the Best World Cup Final</v>
      </c>
    </row>
    <row r="428" ht="15.75" customHeight="1">
      <c r="A428" s="1">
        <v>427.0</v>
      </c>
      <c r="B428" s="3" t="s">
        <v>1370</v>
      </c>
      <c r="C428" s="3">
        <v>0.0</v>
      </c>
      <c r="D428" s="3">
        <v>2.0</v>
      </c>
      <c r="E428" s="3">
        <v>6.0</v>
      </c>
      <c r="F428" s="3" t="s">
        <v>1371</v>
      </c>
      <c r="G428" s="3">
        <v>0.8875</v>
      </c>
      <c r="H428" s="3">
        <v>0.3375</v>
      </c>
      <c r="I428" s="3" t="s">
        <v>48</v>
      </c>
      <c r="J428" s="3" t="s">
        <v>1372</v>
      </c>
      <c r="K428" s="3" t="s">
        <v>456</v>
      </c>
      <c r="L428" s="3" t="str">
        <f>IFERROR(__xludf.DUMMYFUNCTION("GOOGLETRANSLATE(F428,""id"",""en"")"),"Full Match Argentina Argentina Argentina Francia Final Copa Del Mundo France Argentine Sum Coupe Monde French World Cup Penalty Kolo Muani Greatest All Time Giroud Drake Camavinga Messi Mbappe")</f>
        <v>Full Match Argentina Argentina Argentina Francia Final Copa Del Mundo France Argentine Sum Coupe Monde French World Cup Penalty Kolo Muani Greatest All Time Giroud Drake Camavinga Messi Mbappe</v>
      </c>
    </row>
    <row r="429" ht="15.75" customHeight="1">
      <c r="A429" s="1">
        <v>428.0</v>
      </c>
      <c r="B429" s="3" t="s">
        <v>1373</v>
      </c>
      <c r="C429" s="3">
        <v>0.0</v>
      </c>
      <c r="D429" s="3">
        <v>0.0</v>
      </c>
      <c r="E429" s="3">
        <v>1.0</v>
      </c>
      <c r="F429" s="3" t="s">
        <v>1374</v>
      </c>
      <c r="G429" s="3">
        <v>0.7899999999999999</v>
      </c>
      <c r="H429" s="3">
        <v>0.23</v>
      </c>
      <c r="I429" s="3" t="s">
        <v>48</v>
      </c>
      <c r="J429" s="3" t="s">
        <v>1375</v>
      </c>
      <c r="K429" s="3" t="s">
        <v>184</v>
      </c>
      <c r="L429" s="3" t="str">
        <f>IFERROR(__xludf.DUMMYFUNCTION("GOOGLETRANSLATE(F429,""id"",""en"")"),"Cool World Cup Final Match Bgttt Full Dramatic Nice Dinamika Gal loss bgtt and according to Filing Definite PinalTian Nice Game")</f>
        <v>Cool World Cup Final Match Bgttt Full Dramatic Nice Dinamika Gal loss bgtt and according to Filing Definite PinalTian Nice Game</v>
      </c>
    </row>
    <row r="430" ht="15.75" customHeight="1">
      <c r="A430" s="1">
        <v>429.0</v>
      </c>
      <c r="B430" s="3" t="s">
        <v>1376</v>
      </c>
      <c r="C430" s="3">
        <v>0.0</v>
      </c>
      <c r="D430" s="3">
        <v>0.0</v>
      </c>
      <c r="E430" s="3">
        <v>0.0</v>
      </c>
      <c r="F430" s="3" t="s">
        <v>1377</v>
      </c>
      <c r="G430" s="3">
        <v>1.0</v>
      </c>
      <c r="H430" s="3">
        <v>0.0</v>
      </c>
      <c r="I430" s="3" t="s">
        <v>13</v>
      </c>
      <c r="J430" s="3" t="s">
        <v>1378</v>
      </c>
      <c r="K430" s="3" t="s">
        <v>433</v>
      </c>
      <c r="L430" s="3" t="str">
        <f>IFERROR(__xludf.DUMMYFUNCTION("GOOGLETRANSLATE(F430,""id"",""en"")"),"From the first time watching the World Cup from this year the same year is the best final I have ever watched")</f>
        <v>From the first time watching the World Cup from this year the same year is the best final I have ever watched</v>
      </c>
    </row>
    <row r="431" ht="15.75" customHeight="1">
      <c r="A431" s="1">
        <v>430.0</v>
      </c>
      <c r="B431" s="3" t="s">
        <v>1379</v>
      </c>
      <c r="C431" s="3">
        <v>0.0</v>
      </c>
      <c r="D431" s="3">
        <v>0.0</v>
      </c>
      <c r="E431" s="3">
        <v>0.0</v>
      </c>
      <c r="F431" s="3" t="s">
        <v>1380</v>
      </c>
      <c r="G431" s="3">
        <v>1.0</v>
      </c>
      <c r="H431" s="3">
        <v>0.0</v>
      </c>
      <c r="I431" s="3" t="s">
        <v>13</v>
      </c>
      <c r="J431" s="3" t="s">
        <v>1381</v>
      </c>
      <c r="K431" s="3" t="s">
        <v>15</v>
      </c>
      <c r="L431" s="3" t="str">
        <f>IFERROR(__xludf.DUMMYFUNCTION("GOOGLETRANSLATE(F431,""id"",""en"")"),"The World Cup Final this time was very exciting but sorry for Mbappe")</f>
        <v>The World Cup Final this time was very exciting but sorry for Mbappe</v>
      </c>
    </row>
    <row r="432" ht="15.75" customHeight="1">
      <c r="A432" s="1">
        <v>431.0</v>
      </c>
      <c r="B432" s="3" t="s">
        <v>1382</v>
      </c>
      <c r="C432" s="3">
        <v>1.0</v>
      </c>
      <c r="D432" s="3">
        <v>0.0</v>
      </c>
      <c r="E432" s="3">
        <v>0.0</v>
      </c>
      <c r="F432" s="3" t="s">
        <v>1383</v>
      </c>
      <c r="G432" s="3">
        <v>1.0</v>
      </c>
      <c r="H432" s="3">
        <v>-0.25</v>
      </c>
      <c r="I432" s="3" t="s">
        <v>179</v>
      </c>
      <c r="J432" s="3" t="s">
        <v>1384</v>
      </c>
      <c r="K432" s="3" t="s">
        <v>657</v>
      </c>
      <c r="L432" s="3" t="str">
        <f>IFERROR(__xludf.DUMMYFUNCTION("GOOGLETRANSLATE(F432,""id"",""en"")"),"exclaimed very much to see the Story of people about the World Cup TPI SAD also because NNTN from the beginning to the final of this year")</f>
        <v>exclaimed very much to see the Story of people about the World Cup TPI SAD also because NNTN from the beginning to the final of this year</v>
      </c>
    </row>
    <row r="433" ht="15.75" customHeight="1">
      <c r="A433" s="1">
        <v>432.0</v>
      </c>
      <c r="B433" s="3" t="s">
        <v>1385</v>
      </c>
      <c r="C433" s="3">
        <v>0.0</v>
      </c>
      <c r="D433" s="3">
        <v>0.0</v>
      </c>
      <c r="E433" s="3">
        <v>0.0</v>
      </c>
      <c r="F433" s="3" t="s">
        <v>1386</v>
      </c>
      <c r="G433" s="3">
        <v>1.0</v>
      </c>
      <c r="H433" s="3">
        <v>0.0</v>
      </c>
      <c r="I433" s="3" t="s">
        <v>13</v>
      </c>
      <c r="J433" s="3" t="s">
        <v>1387</v>
      </c>
      <c r="K433" s="3" t="s">
        <v>31</v>
      </c>
      <c r="L433" s="3" t="str">
        <f>IFERROR(__xludf.DUMMYFUNCTION("GOOGLETRANSLATE(F433,""id"",""en"")"),"This is the final world cup hipe really")</f>
        <v>This is the final world cup hipe really</v>
      </c>
    </row>
    <row r="434" ht="15.75" customHeight="1">
      <c r="A434" s="1">
        <v>433.0</v>
      </c>
      <c r="B434" s="3" t="s">
        <v>1388</v>
      </c>
      <c r="C434" s="3">
        <v>2.0</v>
      </c>
      <c r="D434" s="3">
        <v>1.0</v>
      </c>
      <c r="E434" s="3">
        <v>32.0</v>
      </c>
      <c r="F434" s="3" t="s">
        <v>1389</v>
      </c>
      <c r="G434" s="3">
        <v>0.825</v>
      </c>
      <c r="H434" s="3">
        <v>0.075</v>
      </c>
      <c r="I434" s="3" t="s">
        <v>48</v>
      </c>
      <c r="J434" s="3" t="s">
        <v>1390</v>
      </c>
      <c r="K434" s="3" t="s">
        <v>165</v>
      </c>
      <c r="L434" s="3" t="str">
        <f>IFERROR(__xludf.DUMMYFUNCTION("GOOGLETRANSLATE(F434,""id"",""en"")"),"The World Cup Final match runs dramatically the match was forced to continue the extra round because the normal time of the two camps was equally scoring one goal so that the additional round of the winner of the match was determined by penalties")</f>
        <v>The World Cup Final match runs dramatically the match was forced to continue the extra round because the normal time of the two camps was equally scoring one goal so that the additional round of the winner of the match was determined by penalties</v>
      </c>
    </row>
    <row r="435" ht="15.75" customHeight="1">
      <c r="A435" s="1">
        <v>434.0</v>
      </c>
      <c r="B435" s="3" t="s">
        <v>1391</v>
      </c>
      <c r="C435" s="3">
        <v>1.0</v>
      </c>
      <c r="D435" s="3">
        <v>0.0</v>
      </c>
      <c r="E435" s="3">
        <v>0.0</v>
      </c>
      <c r="F435" s="3" t="s">
        <v>1392</v>
      </c>
      <c r="G435" s="3">
        <v>0.5</v>
      </c>
      <c r="H435" s="3">
        <v>0.0</v>
      </c>
      <c r="I435" s="3" t="s">
        <v>13</v>
      </c>
      <c r="J435" s="3" t="s">
        <v>1393</v>
      </c>
      <c r="K435" s="3" t="s">
        <v>1394</v>
      </c>
      <c r="L435" s="3" t="str">
        <f>IFERROR(__xludf.DUMMYFUNCTION("GOOGLETRANSLATE(F435,""id"",""en"")"),"Qatar Messi Russia Mbappe Brazil Mario Gotze South Africa Iniesta German Materazzi The name of the upper name succeeded in becoming the last goalscorer for the country of the World Cup Final and became the champion of most of them had the initial elements"&amp;" of carrying hockey")</f>
        <v>Qatar Messi Russia Mbappe Brazil Mario Gotze South Africa Iniesta German Materazzi The name of the upper name succeeded in becoming the last goalscorer for the country of the World Cup Final and became the champion of most of them had the initial elements of carrying hockey</v>
      </c>
    </row>
    <row r="436" ht="15.75" customHeight="1">
      <c r="A436" s="1">
        <v>435.0</v>
      </c>
      <c r="B436" s="3" t="s">
        <v>1395</v>
      </c>
      <c r="C436" s="3">
        <v>0.0</v>
      </c>
      <c r="D436" s="3">
        <v>0.0</v>
      </c>
      <c r="E436" s="3">
        <v>0.0</v>
      </c>
      <c r="F436" s="3" t="s">
        <v>1396</v>
      </c>
      <c r="G436" s="3">
        <v>1.0</v>
      </c>
      <c r="H436" s="3">
        <v>0.0</v>
      </c>
      <c r="I436" s="3" t="s">
        <v>13</v>
      </c>
      <c r="J436" s="3" t="s">
        <v>1397</v>
      </c>
      <c r="K436" s="3" t="s">
        <v>131</v>
      </c>
      <c r="L436" s="3" t="str">
        <f>IFERROR(__xludf.DUMMYFUNCTION("GOOGLETRANSLATE(F436,""id"",""en"")"),"finally the best world cup final ever had an idol since middle school from junior high school thinking when Argentina can win finally can see Argentina Champion")</f>
        <v>finally the best world cup final ever had an idol since middle school from junior high school thinking when Argentina can win finally can see Argentina Champion</v>
      </c>
    </row>
    <row r="437" ht="15.75" customHeight="1">
      <c r="A437" s="1">
        <v>436.0</v>
      </c>
      <c r="B437" s="3" t="s">
        <v>1398</v>
      </c>
      <c r="C437" s="3">
        <v>0.0</v>
      </c>
      <c r="D437" s="3">
        <v>0.0</v>
      </c>
      <c r="E437" s="3">
        <v>0.0</v>
      </c>
      <c r="F437" s="3" t="s">
        <v>1399</v>
      </c>
      <c r="G437" s="3">
        <v>1.0</v>
      </c>
      <c r="H437" s="3">
        <v>0.0</v>
      </c>
      <c r="I437" s="3" t="s">
        <v>13</v>
      </c>
      <c r="J437" s="3" t="s">
        <v>1400</v>
      </c>
      <c r="K437" s="3" t="s">
        <v>484</v>
      </c>
      <c r="L437" s="3" t="str">
        <f>IFERROR(__xludf.DUMMYFUNCTION("GOOGLETRANSLATE(F437,""id"",""en"")"),"apart from people say the setting of this TPI is the crazy and crazy world cup final.")</f>
        <v>apart from people say the setting of this TPI is the crazy and crazy world cup final.</v>
      </c>
    </row>
    <row r="438" ht="15.75" customHeight="1">
      <c r="A438" s="1">
        <v>437.0</v>
      </c>
      <c r="B438" s="3" t="s">
        <v>1401</v>
      </c>
      <c r="C438" s="3">
        <v>0.0</v>
      </c>
      <c r="D438" s="3">
        <v>0.0</v>
      </c>
      <c r="E438" s="3">
        <v>0.0</v>
      </c>
      <c r="F438" s="3" t="s">
        <v>1402</v>
      </c>
      <c r="G438" s="3">
        <v>1.0</v>
      </c>
      <c r="H438" s="3">
        <v>0.0</v>
      </c>
      <c r="I438" s="3" t="s">
        <v>13</v>
      </c>
      <c r="J438" s="3" t="s">
        <v>1403</v>
      </c>
      <c r="K438" s="3" t="s">
        <v>1404</v>
      </c>
      <c r="L438" s="3" t="str">
        <f>IFERROR(__xludf.DUMMYFUNCTION("GOOGLETRANSLATE(F438,""id"",""en"")"),"Fortunately, we are witnesses to the history of the best World Cup Final of all time so far so far growing and can see great soccer players Messi and Ronaldo Congrats Agen Messi already opposed to Kupa graduated from Mbappe Gacor.")</f>
        <v>Fortunately, we are witnesses to the history of the best World Cup Final of all time so far so far growing and can see great soccer players Messi and Ronaldo Congrats Agen Messi already opposed to Kupa graduated from Mbappe Gacor.</v>
      </c>
    </row>
    <row r="439" ht="15.75" customHeight="1">
      <c r="A439" s="1">
        <v>438.0</v>
      </c>
      <c r="B439" s="3" t="s">
        <v>1405</v>
      </c>
      <c r="C439" s="3">
        <v>0.0</v>
      </c>
      <c r="D439" s="3">
        <v>0.0</v>
      </c>
      <c r="E439" s="3">
        <v>0.0</v>
      </c>
      <c r="F439" s="3" t="s">
        <v>1406</v>
      </c>
      <c r="G439" s="3">
        <v>1.0</v>
      </c>
      <c r="H439" s="3">
        <v>0.0</v>
      </c>
      <c r="I439" s="3" t="s">
        <v>13</v>
      </c>
      <c r="J439" s="3" t="s">
        <v>1407</v>
      </c>
      <c r="K439" s="3" t="s">
        <v>127</v>
      </c>
      <c r="L439" s="3" t="str">
        <f>IFERROR(__xludf.DUMMYFUNCTION("GOOGLETRANSLATE(F439,""id"",""en"")"),"Later it will be the earthquake again in talking about the sin of apee that makes God angry again with us uhuyy siuuuuuuuu greet the peace of the World Cup Final")</f>
        <v>Later it will be the earthquake again in talking about the sin of apee that makes God angry again with us uhuyy siuuuuuuuu greet the peace of the World Cup Final</v>
      </c>
    </row>
    <row r="440" ht="15.75" customHeight="1">
      <c r="A440" s="1">
        <v>439.0</v>
      </c>
      <c r="B440" s="3" t="s">
        <v>1408</v>
      </c>
      <c r="C440" s="3">
        <v>1.0</v>
      </c>
      <c r="D440" s="3">
        <v>0.0</v>
      </c>
      <c r="E440" s="3">
        <v>0.0</v>
      </c>
      <c r="F440" s="3" t="s">
        <v>1409</v>
      </c>
      <c r="G440" s="3">
        <v>1.0</v>
      </c>
      <c r="H440" s="3">
        <v>0.0</v>
      </c>
      <c r="I440" s="3" t="s">
        <v>13</v>
      </c>
      <c r="J440" s="3" t="s">
        <v>1410</v>
      </c>
      <c r="K440" s="3" t="s">
        <v>75</v>
      </c>
      <c r="L440" s="3" t="str">
        <f>IFERROR(__xludf.DUMMYFUNCTION("GOOGLETRANSLATE(F440,""id"",""en"")"),"the best final of the drama world cup until the last minute as our spectators like the sport of heart")</f>
        <v>the best final of the drama world cup until the last minute as our spectators like the sport of heart</v>
      </c>
    </row>
    <row r="441" ht="15.75" customHeight="1">
      <c r="A441" s="1">
        <v>440.0</v>
      </c>
      <c r="B441" s="3" t="s">
        <v>1411</v>
      </c>
      <c r="C441" s="3">
        <v>0.0</v>
      </c>
      <c r="D441" s="3">
        <v>0.0</v>
      </c>
      <c r="E441" s="3">
        <v>0.0</v>
      </c>
      <c r="F441" s="3" t="s">
        <v>1412</v>
      </c>
      <c r="G441" s="3">
        <v>1.0</v>
      </c>
      <c r="H441" s="3">
        <v>0.0</v>
      </c>
      <c r="I441" s="3" t="s">
        <v>13</v>
      </c>
      <c r="J441" s="3" t="s">
        <v>1413</v>
      </c>
      <c r="K441" s="3" t="s">
        <v>1414</v>
      </c>
      <c r="L441" s="3" t="str">
        <f>IFERROR(__xludf.DUMMYFUNCTION("GOOGLETRANSLATE(F441,""id"",""en"")"),"Aet Argentina French Argentine French French What Final Match Dramatic Final Match Tense Rainy Rain Congratulations Argentina Happy Messi et al collection of the third World Cup trophy for Argentina Vamos Argentina")</f>
        <v>Aet Argentina French Argentine French French What Final Match Dramatic Final Match Tense Rainy Rain Congratulations Argentina Happy Messi et al collection of the third World Cup trophy for Argentina Vamos Argentina</v>
      </c>
    </row>
    <row r="442" ht="15.75" customHeight="1">
      <c r="A442" s="1">
        <v>441.0</v>
      </c>
      <c r="B442" s="3" t="s">
        <v>1415</v>
      </c>
      <c r="C442" s="3">
        <v>0.0</v>
      </c>
      <c r="D442" s="3">
        <v>0.0</v>
      </c>
      <c r="E442" s="3">
        <v>2.0</v>
      </c>
      <c r="F442" s="3" t="s">
        <v>1416</v>
      </c>
      <c r="G442" s="3">
        <v>1.0</v>
      </c>
      <c r="H442" s="3">
        <v>0.0</v>
      </c>
      <c r="I442" s="3" t="s">
        <v>13</v>
      </c>
      <c r="J442" s="3" t="s">
        <v>1417</v>
      </c>
      <c r="K442" s="3" t="s">
        <v>240</v>
      </c>
      <c r="L442" s="3" t="str">
        <f>IFERROR(__xludf.DUMMYFUNCTION("GOOGLETRANSLATE(F442,""id"",""en"")"),"Appreciation as high as this person brings his back country at the age of the year thank you Mbappe for creating the best World Cup final")</f>
        <v>Appreciation as high as this person brings his back country at the age of the year thank you Mbappe for creating the best World Cup final</v>
      </c>
    </row>
    <row r="443" ht="15.75" customHeight="1">
      <c r="A443" s="1">
        <v>442.0</v>
      </c>
      <c r="B443" s="3" t="s">
        <v>1418</v>
      </c>
      <c r="C443" s="3">
        <v>0.0</v>
      </c>
      <c r="D443" s="3">
        <v>0.0</v>
      </c>
      <c r="E443" s="3">
        <v>0.0</v>
      </c>
      <c r="F443" s="3" t="s">
        <v>1419</v>
      </c>
      <c r="G443" s="3">
        <v>1.0</v>
      </c>
      <c r="H443" s="3">
        <v>0.0</v>
      </c>
      <c r="I443" s="3" t="s">
        <v>13</v>
      </c>
      <c r="J443" s="3" t="s">
        <v>1420</v>
      </c>
      <c r="K443" s="3" t="s">
        <v>1421</v>
      </c>
      <c r="L443" s="3" t="str">
        <f>IFERROR(__xludf.DUMMYFUNCTION("GOOGLETRANSLATE(F443,""id"",""en"")"),"Agree the best World Cup Final of the Best World Cup so far")</f>
        <v>Agree the best World Cup Final of the Best World Cup so far</v>
      </c>
    </row>
    <row r="444" ht="15.75" customHeight="1">
      <c r="A444" s="1">
        <v>443.0</v>
      </c>
      <c r="B444" s="3" t="s">
        <v>1422</v>
      </c>
      <c r="C444" s="3">
        <v>0.0</v>
      </c>
      <c r="D444" s="3">
        <v>0.0</v>
      </c>
      <c r="E444" s="3">
        <v>0.0</v>
      </c>
      <c r="F444" s="3" t="s">
        <v>1423</v>
      </c>
      <c r="G444" s="3">
        <v>1.0</v>
      </c>
      <c r="H444" s="3">
        <v>0.0</v>
      </c>
      <c r="I444" s="3" t="s">
        <v>13</v>
      </c>
      <c r="J444" s="3" t="s">
        <v>1424</v>
      </c>
      <c r="K444" s="3" t="s">
        <v>942</v>
      </c>
      <c r="L444" s="3" t="str">
        <f>IFERROR(__xludf.DUMMYFUNCTION("GOOGLETRANSLATE(F444,""id"",""en"")"),"The First World Cup followed the edition and final edition and the final was the final.")</f>
        <v>The First World Cup followed the edition and final edition and the final was the final.</v>
      </c>
    </row>
    <row r="445" ht="15.75" customHeight="1">
      <c r="A445" s="1">
        <v>444.0</v>
      </c>
      <c r="B445" s="3" t="s">
        <v>1425</v>
      </c>
      <c r="C445" s="3">
        <v>1.0</v>
      </c>
      <c r="D445" s="3">
        <v>0.0</v>
      </c>
      <c r="E445" s="3">
        <v>0.0</v>
      </c>
      <c r="F445" s="3" t="s">
        <v>1426</v>
      </c>
      <c r="G445" s="3">
        <v>0.55</v>
      </c>
      <c r="H445" s="3">
        <v>0.0</v>
      </c>
      <c r="I445" s="3" t="s">
        <v>13</v>
      </c>
      <c r="J445" s="3" t="s">
        <v>1427</v>
      </c>
      <c r="K445" s="3" t="s">
        <v>1428</v>
      </c>
      <c r="L445" s="3" t="str">
        <f>IFERROR(__xludf.DUMMYFUNCTION("GOOGLETRANSLATE(F445,""id"",""en"")"),"Still clearly remembered the World Cup final brought Argentina with Germany the Extra Time Argentina round had to conceded the final very sad")</f>
        <v>Still clearly remembered the World Cup final brought Argentina with Germany the Extra Time Argentina round had to conceded the final very sad</v>
      </c>
    </row>
    <row r="446" ht="15.75" customHeight="1">
      <c r="A446" s="1">
        <v>445.0</v>
      </c>
      <c r="B446" s="3" t="s">
        <v>1429</v>
      </c>
      <c r="C446" s="3">
        <v>0.0</v>
      </c>
      <c r="D446" s="3">
        <v>0.0</v>
      </c>
      <c r="E446" s="3">
        <v>0.0</v>
      </c>
      <c r="F446" s="3" t="s">
        <v>1430</v>
      </c>
      <c r="G446" s="3">
        <v>1.0</v>
      </c>
      <c r="H446" s="3">
        <v>0.0</v>
      </c>
      <c r="I446" s="3" t="s">
        <v>13</v>
      </c>
      <c r="J446" s="3" t="s">
        <v>1431</v>
      </c>
      <c r="K446" s="3" t="s">
        <v>50</v>
      </c>
      <c r="L446" s="3" t="str">
        <f>IFERROR(__xludf.DUMMYFUNCTION("GOOGLETRANSLATE(F446,""id"",""en"")"),"not yet a world cup one match, it turned out that Argentina won")</f>
        <v>not yet a world cup one match, it turned out that Argentina won</v>
      </c>
    </row>
    <row r="447" ht="15.75" customHeight="1">
      <c r="A447" s="1">
        <v>446.0</v>
      </c>
      <c r="B447" s="3" t="s">
        <v>1432</v>
      </c>
      <c r="C447" s="3">
        <v>0.0</v>
      </c>
      <c r="D447" s="3">
        <v>0.0</v>
      </c>
      <c r="E447" s="3">
        <v>0.0</v>
      </c>
      <c r="F447" s="3" t="s">
        <v>1433</v>
      </c>
      <c r="G447" s="3">
        <v>1.0</v>
      </c>
      <c r="H447" s="3">
        <v>0.0</v>
      </c>
      <c r="I447" s="3" t="s">
        <v>13</v>
      </c>
      <c r="J447" s="3" t="s">
        <v>1434</v>
      </c>
      <c r="K447" s="3" t="s">
        <v>127</v>
      </c>
      <c r="L447" s="3" t="str">
        <f>IFERROR(__xludf.DUMMYFUNCTION("GOOGLETRANSLATE(F447,""id"",""en"")"),"when other people are exciting to watch the world cup final while tweeting uret instead of sleeping with tibra really can't be told to stay up late")</f>
        <v>when other people are exciting to watch the world cup final while tweeting uret instead of sleeping with tibra really can't be told to stay up late</v>
      </c>
    </row>
    <row r="448" ht="15.75" customHeight="1">
      <c r="A448" s="1">
        <v>447.0</v>
      </c>
      <c r="B448" s="3" t="s">
        <v>1435</v>
      </c>
      <c r="C448" s="3">
        <v>0.0</v>
      </c>
      <c r="D448" s="3">
        <v>0.0</v>
      </c>
      <c r="E448" s="3">
        <v>1.0</v>
      </c>
      <c r="F448" s="3" t="s">
        <v>1436</v>
      </c>
      <c r="G448" s="3">
        <v>0.75</v>
      </c>
      <c r="H448" s="3">
        <v>0.25</v>
      </c>
      <c r="I448" s="3" t="s">
        <v>48</v>
      </c>
      <c r="J448" s="3" t="s">
        <v>1437</v>
      </c>
      <c r="K448" s="3" t="s">
        <v>725</v>
      </c>
      <c r="L448" s="3" t="str">
        <f>IFERROR(__xludf.DUMMYFUNCTION("GOOGLETRANSLATE(F448,""id"",""en"")"),"The Qatar World Cup final match between the Argentine national team against France which was held by the Lusail Iconic Stadium Sunday night WIB was very fierce even the winner of this match must be determined through the penalty shootout round")</f>
        <v>The Qatar World Cup final match between the Argentine national team against France which was held by the Lusail Iconic Stadium Sunday night WIB was very fierce even the winner of this match must be determined through the penalty shootout round</v>
      </c>
    </row>
    <row r="449" ht="15.75" customHeight="1">
      <c r="A449" s="1">
        <v>448.0</v>
      </c>
      <c r="B449" s="3" t="s">
        <v>1438</v>
      </c>
      <c r="C449" s="3">
        <v>0.0</v>
      </c>
      <c r="D449" s="3">
        <v>4.0</v>
      </c>
      <c r="E449" s="3">
        <v>0.0</v>
      </c>
      <c r="F449" s="3" t="s">
        <v>1439</v>
      </c>
      <c r="G449" s="3">
        <v>1.0</v>
      </c>
      <c r="H449" s="3">
        <v>0.0</v>
      </c>
      <c r="I449" s="3" t="s">
        <v>13</v>
      </c>
      <c r="J449" s="3" t="s">
        <v>1440</v>
      </c>
      <c r="K449" s="3" t="s">
        <v>75</v>
      </c>
      <c r="L449" s="3" t="str">
        <f>IFERROR(__xludf.DUMMYFUNCTION("GOOGLETRANSLATE(F449,""id"",""en"")"),"The composition of the French Argentine World Cup Final Angel Maria Starter")</f>
        <v>The composition of the French Argentine World Cup Final Angel Maria Starter</v>
      </c>
    </row>
    <row r="450" ht="15.75" customHeight="1">
      <c r="A450" s="1">
        <v>449.0</v>
      </c>
      <c r="B450" s="3" t="s">
        <v>1441</v>
      </c>
      <c r="C450" s="3">
        <v>0.0</v>
      </c>
      <c r="D450" s="3">
        <v>0.0</v>
      </c>
      <c r="E450" s="3">
        <v>0.0</v>
      </c>
      <c r="F450" s="3" t="s">
        <v>1442</v>
      </c>
      <c r="G450" s="3">
        <v>0.4875</v>
      </c>
      <c r="H450" s="3">
        <v>-0.01250000000000001</v>
      </c>
      <c r="I450" s="3" t="s">
        <v>179</v>
      </c>
      <c r="J450" s="3" t="s">
        <v>1443</v>
      </c>
      <c r="K450" s="3" t="s">
        <v>1086</v>
      </c>
      <c r="L450" s="3" t="str">
        <f>IFERROR(__xludf.DUMMYFUNCTION("GOOGLETRANSLATE(F450,""id"",""en"")"),"The beginning of the world cup's skepticity this time was good as excited as before but with many large countries falling down and many unoredict games began to be attractive until there was a desire to see Portugal's final ARGEN even though it was not ac"&amp;"complished but overall PILDUN if this is Full Roller Coaster")</f>
        <v>The beginning of the world cup's skepticity this time was good as excited as before but with many large countries falling down and many unoredict games began to be attractive until there was a desire to see Portugal's final ARGEN even though it was not accomplished but overall PILDUN if this is Full Roller Coaster</v>
      </c>
    </row>
    <row r="451" ht="15.75" customHeight="1">
      <c r="A451" s="1">
        <v>450.0</v>
      </c>
      <c r="B451" s="3" t="s">
        <v>1444</v>
      </c>
      <c r="C451" s="3">
        <v>0.0</v>
      </c>
      <c r="D451" s="3">
        <v>0.0</v>
      </c>
      <c r="E451" s="3">
        <v>0.0</v>
      </c>
      <c r="F451" s="3" t="s">
        <v>1445</v>
      </c>
      <c r="G451" s="3">
        <v>1.0</v>
      </c>
      <c r="H451" s="3">
        <v>0.0</v>
      </c>
      <c r="I451" s="3" t="s">
        <v>13</v>
      </c>
      <c r="J451" s="3" t="s">
        <v>1446</v>
      </c>
      <c r="K451" s="3" t="s">
        <v>433</v>
      </c>
      <c r="L451" s="3" t="str">
        <f>IFERROR(__xludf.DUMMYFUNCTION("GOOGLETRANSLATE(F451,""id"",""en"")"),"World Cup from Big to Semi -Final always watching the final turn instead of falling asleep so crying cok")</f>
        <v>World Cup from Big to Semi -Final always watching the final turn instead of falling asleep so crying cok</v>
      </c>
    </row>
    <row r="452" ht="15.75" customHeight="1">
      <c r="A452" s="1">
        <v>451.0</v>
      </c>
      <c r="B452" s="3" t="s">
        <v>1447</v>
      </c>
      <c r="C452" s="3">
        <v>0.0</v>
      </c>
      <c r="D452" s="3">
        <v>1.0</v>
      </c>
      <c r="E452" s="3">
        <v>5.0</v>
      </c>
      <c r="F452" s="3" t="s">
        <v>1448</v>
      </c>
      <c r="G452" s="3">
        <v>1.0</v>
      </c>
      <c r="H452" s="3">
        <v>0.0</v>
      </c>
      <c r="I452" s="3" t="s">
        <v>13</v>
      </c>
      <c r="J452" s="3" t="s">
        <v>1449</v>
      </c>
      <c r="K452" s="3" t="s">
        <v>657</v>
      </c>
      <c r="L452" s="3" t="str">
        <f>IFERROR(__xludf.DUMMYFUNCTION("GOOGLETRANSLATE(F452,""id"",""en"")"),"Ridwan Kamil said his predictions if the from his from the prediction would be uploaded before the World Cup final match began")</f>
        <v>Ridwan Kamil said his predictions if the from his from the prediction would be uploaded before the World Cup final match began</v>
      </c>
    </row>
    <row r="453" ht="15.75" customHeight="1">
      <c r="A453" s="1">
        <v>452.0</v>
      </c>
      <c r="B453" s="3" t="s">
        <v>1450</v>
      </c>
      <c r="C453" s="3">
        <v>0.0</v>
      </c>
      <c r="D453" s="3">
        <v>1.0</v>
      </c>
      <c r="E453" s="3">
        <v>0.0</v>
      </c>
      <c r="F453" s="3" t="s">
        <v>1451</v>
      </c>
      <c r="G453" s="3">
        <v>1.0</v>
      </c>
      <c r="H453" s="3">
        <v>0.0</v>
      </c>
      <c r="I453" s="3" t="s">
        <v>13</v>
      </c>
      <c r="J453" s="3" t="s">
        <v>1452</v>
      </c>
      <c r="K453" s="3" t="s">
        <v>1293</v>
      </c>
      <c r="L453" s="3" t="str">
        <f>IFERROR(__xludf.DUMMYFUNCTION("GOOGLETRANSLATE(F453,""id"",""en"")"),"want to sleep after watching the Qatar World Cup final, there is a film, so I am entertained watching the last wolf film because France loses")</f>
        <v>want to sleep after watching the Qatar World Cup final, there is a film, so I am entertained watching the last wolf film because France loses</v>
      </c>
    </row>
    <row r="454" ht="15.75" customHeight="1">
      <c r="A454" s="1">
        <v>453.0</v>
      </c>
      <c r="B454" s="3" t="s">
        <v>1453</v>
      </c>
      <c r="C454" s="3">
        <v>0.0</v>
      </c>
      <c r="D454" s="3">
        <v>0.0</v>
      </c>
      <c r="E454" s="3">
        <v>0.0</v>
      </c>
      <c r="F454" s="3" t="s">
        <v>1454</v>
      </c>
      <c r="G454" s="3">
        <v>1.0</v>
      </c>
      <c r="H454" s="3">
        <v>0.0</v>
      </c>
      <c r="I454" s="3" t="s">
        <v>13</v>
      </c>
      <c r="J454" s="3" t="s">
        <v>1455</v>
      </c>
      <c r="K454" s="3" t="s">
        <v>54</v>
      </c>
      <c r="L454" s="3" t="str">
        <f>IFERROR(__xludf.DUMMYFUNCTION("GOOGLETRANSLATE(F454,""id"",""en"")"),"The Best World Cup Final ever watched")</f>
        <v>The Best World Cup Final ever watched</v>
      </c>
    </row>
    <row r="455" ht="15.75" customHeight="1">
      <c r="A455" s="1">
        <v>454.0</v>
      </c>
      <c r="B455" s="3" t="s">
        <v>1456</v>
      </c>
      <c r="C455" s="3">
        <v>0.0</v>
      </c>
      <c r="D455" s="3">
        <v>0.0</v>
      </c>
      <c r="E455" s="3">
        <v>0.0</v>
      </c>
      <c r="F455" s="3" t="s">
        <v>1457</v>
      </c>
      <c r="G455" s="3">
        <v>1.0</v>
      </c>
      <c r="H455" s="3">
        <v>0.0</v>
      </c>
      <c r="I455" s="3" t="s">
        <v>13</v>
      </c>
      <c r="J455" s="3" t="s">
        <v>1458</v>
      </c>
      <c r="K455" s="3" t="s">
        <v>90</v>
      </c>
      <c r="L455" s="3" t="str">
        <f>IFERROR(__xludf.DUMMYFUNCTION("GOOGLETRANSLATE(F455,""id"",""en"")"),"The best World Cup final match I have ever watched FIFA World Cup Argentina came out as a beautiful champion for lionel Messi's retirement")</f>
        <v>The best World Cup final match I have ever watched FIFA World Cup Argentina came out as a beautiful champion for lionel Messi's retirement</v>
      </c>
    </row>
    <row r="456" ht="15.75" customHeight="1">
      <c r="A456" s="1">
        <v>455.0</v>
      </c>
      <c r="B456" s="3" t="s">
        <v>1459</v>
      </c>
      <c r="C456" s="3">
        <v>0.0</v>
      </c>
      <c r="D456" s="3">
        <v>0.0</v>
      </c>
      <c r="E456" s="3">
        <v>0.0</v>
      </c>
      <c r="F456" s="3" t="s">
        <v>1460</v>
      </c>
      <c r="G456" s="3">
        <v>1.0</v>
      </c>
      <c r="H456" s="3">
        <v>0.0</v>
      </c>
      <c r="I456" s="3" t="s">
        <v>13</v>
      </c>
      <c r="J456" s="3" t="s">
        <v>1461</v>
      </c>
      <c r="K456" s="3" t="s">
        <v>41</v>
      </c>
      <c r="L456" s="3" t="str">
        <f>IFERROR(__xludf.DUMMYFUNCTION("GOOGLETRANSLATE(F456,""id"",""en"")"),"he exclaimed Nobar Live Broadcast of Argentina Final World Cup")</f>
        <v>he exclaimed Nobar Live Broadcast of Argentina Final World Cup</v>
      </c>
    </row>
    <row r="457" ht="15.75" customHeight="1">
      <c r="A457" s="1">
        <v>456.0</v>
      </c>
      <c r="B457" s="3" t="s">
        <v>1462</v>
      </c>
      <c r="C457" s="3">
        <v>1.0</v>
      </c>
      <c r="D457" s="3">
        <v>0.0</v>
      </c>
      <c r="E457" s="3">
        <v>0.0</v>
      </c>
      <c r="F457" s="3" t="s">
        <v>1463</v>
      </c>
      <c r="G457" s="3">
        <v>1.0</v>
      </c>
      <c r="H457" s="3">
        <v>0.0</v>
      </c>
      <c r="I457" s="3" t="s">
        <v>13</v>
      </c>
      <c r="J457" s="3" t="s">
        <v>1464</v>
      </c>
      <c r="K457" s="3" t="s">
        <v>1465</v>
      </c>
      <c r="L457" s="3" t="str">
        <f>IFERROR(__xludf.DUMMYFUNCTION("GOOGLETRANSLATE(F457,""id"",""en"")"),"So when I came home from the house, the radio was tuned, it was like RRI radio, there were many caller, Mother and women called one, discussing the final of the pildun and surprised their knowledge of football and about the world cup was very cool")</f>
        <v>So when I came home from the house, the radio was tuned, it was like RRI radio, there were many caller, Mother and women called one, discussing the final of the pildun and surprised their knowledge of football and about the world cup was very cool</v>
      </c>
    </row>
    <row r="458" ht="15.75" customHeight="1">
      <c r="A458" s="1">
        <v>457.0</v>
      </c>
      <c r="B458" s="3" t="s">
        <v>1466</v>
      </c>
      <c r="C458" s="3">
        <v>0.0</v>
      </c>
      <c r="D458" s="3">
        <v>0.0</v>
      </c>
      <c r="E458" s="3">
        <v>0.0</v>
      </c>
      <c r="F458" s="3" t="s">
        <v>1467</v>
      </c>
      <c r="G458" s="3">
        <v>1.0</v>
      </c>
      <c r="H458" s="3">
        <v>0.0</v>
      </c>
      <c r="I458" s="3" t="s">
        <v>13</v>
      </c>
      <c r="J458" s="3" t="s">
        <v>1468</v>
      </c>
      <c r="K458" s="3" t="s">
        <v>1469</v>
      </c>
      <c r="L458" s="3" t="str">
        <f>IFERROR(__xludf.DUMMYFUNCTION("GOOGLETRANSLATE(F458,""id"",""en"")"),"So the official score of the World Cup final is what minute of the penalty results the results of the penalty calculation of the penalties or")</f>
        <v>So the official score of the World Cup final is what minute of the penalty results the results of the penalty calculation of the penalties or</v>
      </c>
    </row>
    <row r="459" ht="15.75" customHeight="1">
      <c r="A459" s="1">
        <v>458.0</v>
      </c>
      <c r="B459" s="3" t="s">
        <v>1470</v>
      </c>
      <c r="C459" s="3">
        <v>0.0</v>
      </c>
      <c r="D459" s="3">
        <v>7.0</v>
      </c>
      <c r="E459" s="3">
        <v>7.0</v>
      </c>
      <c r="F459" s="3" t="s">
        <v>1471</v>
      </c>
      <c r="G459" s="3">
        <v>0.0</v>
      </c>
      <c r="H459" s="3">
        <v>0.0</v>
      </c>
      <c r="I459" s="3" t="s">
        <v>13</v>
      </c>
      <c r="J459" s="3" t="s">
        <v>1472</v>
      </c>
      <c r="K459" s="3" t="s">
        <v>477</v>
      </c>
      <c r="L459" s="3" t="str">
        <f>IFERROR(__xludf.DUMMYFUNCTION("GOOGLETRANSLATE(F459,""id"",""en"")"),"Vamos Argentina Messi among Argentina World Cup Champion")</f>
        <v>Vamos Argentina Messi among Argentina World Cup Champion</v>
      </c>
    </row>
    <row r="460" ht="15.75" customHeight="1">
      <c r="A460" s="1">
        <v>459.0</v>
      </c>
      <c r="B460" s="3" t="s">
        <v>1473</v>
      </c>
      <c r="C460" s="3">
        <v>4.0</v>
      </c>
      <c r="D460" s="3">
        <v>2.0</v>
      </c>
      <c r="E460" s="3">
        <v>5.0</v>
      </c>
      <c r="F460" s="3" t="s">
        <v>1474</v>
      </c>
      <c r="G460" s="3">
        <v>1.0</v>
      </c>
      <c r="H460" s="3">
        <v>0.0</v>
      </c>
      <c r="I460" s="3" t="s">
        <v>13</v>
      </c>
      <c r="J460" s="3" t="s">
        <v>1475</v>
      </c>
      <c r="K460" s="3" t="s">
        <v>75</v>
      </c>
      <c r="L460" s="3" t="str">
        <f>IFERROR(__xludf.DUMMYFUNCTION("GOOGLETRANSLATE(F460,""id"",""en"")"),"The World Cup final goal printed by different players all play PSG")</f>
        <v>The World Cup final goal printed by different players all play PSG</v>
      </c>
    </row>
    <row r="461" ht="15.75" customHeight="1">
      <c r="A461" s="1">
        <v>460.0</v>
      </c>
      <c r="B461" s="3" t="s">
        <v>1476</v>
      </c>
      <c r="C461" s="3">
        <v>0.0</v>
      </c>
      <c r="D461" s="3">
        <v>3.0</v>
      </c>
      <c r="E461" s="3">
        <v>4.0</v>
      </c>
      <c r="F461" s="3" t="s">
        <v>1477</v>
      </c>
      <c r="G461" s="3">
        <v>1.0</v>
      </c>
      <c r="H461" s="3">
        <v>0.0</v>
      </c>
      <c r="I461" s="3" t="s">
        <v>13</v>
      </c>
      <c r="J461" s="3" t="s">
        <v>1478</v>
      </c>
      <c r="K461" s="3" t="s">
        <v>1479</v>
      </c>
      <c r="L461" s="3" t="str">
        <f>IFERROR(__xludf.DUMMYFUNCTION("GOOGLETRANSLATE(F461,""id"",""en"")"),"Argentina Champion World Cup after the year of Lionel Messi became Argentian Argentian actor in the World Cup final")</f>
        <v>Argentina Champion World Cup after the year of Lionel Messi became Argentian Argentian actor in the World Cup final</v>
      </c>
    </row>
    <row r="462" ht="15.75" customHeight="1">
      <c r="A462" s="1">
        <v>461.0</v>
      </c>
      <c r="B462" s="3" t="s">
        <v>1480</v>
      </c>
      <c r="C462" s="3">
        <v>0.0</v>
      </c>
      <c r="D462" s="3">
        <v>0.0</v>
      </c>
      <c r="E462" s="3">
        <v>0.0</v>
      </c>
      <c r="F462" s="3" t="s">
        <v>1481</v>
      </c>
      <c r="G462" s="3">
        <v>1.0</v>
      </c>
      <c r="H462" s="3">
        <v>0.0</v>
      </c>
      <c r="I462" s="3" t="s">
        <v>13</v>
      </c>
      <c r="J462" s="3" t="s">
        <v>1482</v>
      </c>
      <c r="K462" s="3" t="s">
        <v>19</v>
      </c>
      <c r="L462" s="3" t="str">
        <f>IFERROR(__xludf.DUMMYFUNCTION("GOOGLETRANSLATE(F462,""id"",""en"")"),"The cause of France lost to Argentina Final World Cup number Lionel Messi Okezone Bola")</f>
        <v>The cause of France lost to Argentina Final World Cup number Lionel Messi Okezone Bola</v>
      </c>
    </row>
    <row r="463" ht="15.75" customHeight="1">
      <c r="A463" s="1">
        <v>462.0</v>
      </c>
      <c r="B463" s="3" t="s">
        <v>1483</v>
      </c>
      <c r="C463" s="3">
        <v>0.0</v>
      </c>
      <c r="D463" s="3">
        <v>0.0</v>
      </c>
      <c r="E463" s="3">
        <v>2.0</v>
      </c>
      <c r="F463" s="3" t="s">
        <v>1484</v>
      </c>
      <c r="G463" s="3">
        <v>1.0</v>
      </c>
      <c r="H463" s="3">
        <v>0.0</v>
      </c>
      <c r="I463" s="3" t="s">
        <v>13</v>
      </c>
      <c r="J463" s="3" t="s">
        <v>1485</v>
      </c>
      <c r="K463" s="3" t="s">
        <v>75</v>
      </c>
      <c r="L463" s="3" t="str">
        <f>IFERROR(__xludf.DUMMYFUNCTION("GOOGLETRANSLATE(F463,""id"",""en"")"),"The cause of France lost to Argentina Final World Cup number Lionel Messi")</f>
        <v>The cause of France lost to Argentina Final World Cup number Lionel Messi</v>
      </c>
    </row>
    <row r="464" ht="15.75" customHeight="1">
      <c r="A464" s="1">
        <v>463.0</v>
      </c>
      <c r="B464" s="3" t="s">
        <v>1486</v>
      </c>
      <c r="C464" s="3">
        <v>0.0</v>
      </c>
      <c r="D464" s="3">
        <v>0.0</v>
      </c>
      <c r="E464" s="3">
        <v>1.0</v>
      </c>
      <c r="F464" s="3" t="s">
        <v>1487</v>
      </c>
      <c r="G464" s="3">
        <v>1.0</v>
      </c>
      <c r="H464" s="3">
        <v>0.0</v>
      </c>
      <c r="I464" s="3" t="s">
        <v>13</v>
      </c>
      <c r="J464" s="3" t="s">
        <v>1488</v>
      </c>
      <c r="K464" s="3" t="s">
        <v>1489</v>
      </c>
      <c r="L464" s="3" t="str">
        <f>IFERROR(__xludf.DUMMYFUNCTION("GOOGLETRANSLATE(F464,""id"",""en"")"),"Messi is already finished, maybe this final is a mechanical fight between Messi and Mbappe but Respect Ambek goalkeeper IKI is a penalty and he helped Messi to win the World Cup Save Iki Guendeng Respect Martinez")</f>
        <v>Messi is already finished, maybe this final is a mechanical fight between Messi and Mbappe but Respect Ambek goalkeeper IKI is a penalty and he helped Messi to win the World Cup Save Iki Guendeng Respect Martinez</v>
      </c>
    </row>
    <row r="465" ht="15.75" customHeight="1">
      <c r="A465" s="1">
        <v>464.0</v>
      </c>
      <c r="B465" s="3" t="s">
        <v>1490</v>
      </c>
      <c r="C465" s="3">
        <v>4.0</v>
      </c>
      <c r="D465" s="3">
        <v>0.0</v>
      </c>
      <c r="E465" s="3">
        <v>3.0</v>
      </c>
      <c r="F465" s="3" t="s">
        <v>1491</v>
      </c>
      <c r="G465" s="3">
        <v>1.0</v>
      </c>
      <c r="H465" s="3">
        <v>0.0</v>
      </c>
      <c r="I465" s="3" t="s">
        <v>13</v>
      </c>
      <c r="J465" s="3" t="s">
        <v>1492</v>
      </c>
      <c r="K465" s="3" t="s">
        <v>1493</v>
      </c>
      <c r="L465" s="3" t="str">
        <f>IFERROR(__xludf.DUMMYFUNCTION("GOOGLETRANSLATE(F465,""id"",""en"")"),"December Nobar Final World Cup with Friends of Lecture Friends Let See Final of the Nobar World Cup with what is the same wife wkwkkk thx world cup this time full of memories")</f>
        <v>December Nobar Final World Cup with Friends of Lecture Friends Let See Final of the Nobar World Cup with what is the same wife wkwkkk thx world cup this time full of memories</v>
      </c>
    </row>
    <row r="466" ht="15.75" customHeight="1">
      <c r="A466" s="1">
        <v>465.0</v>
      </c>
      <c r="B466" s="3" t="s">
        <v>1494</v>
      </c>
      <c r="C466" s="3">
        <v>0.0</v>
      </c>
      <c r="D466" s="3">
        <v>0.0</v>
      </c>
      <c r="E466" s="3">
        <v>0.0</v>
      </c>
      <c r="F466" s="3" t="s">
        <v>1495</v>
      </c>
      <c r="G466" s="3">
        <v>1.0</v>
      </c>
      <c r="H466" s="3">
        <v>0.0</v>
      </c>
      <c r="I466" s="3" t="s">
        <v>13</v>
      </c>
      <c r="J466" s="3" t="s">
        <v>1496</v>
      </c>
      <c r="K466" s="3" t="s">
        <v>54</v>
      </c>
      <c r="L466" s="3" t="str">
        <f>IFERROR(__xludf.DUMMYFUNCTION("GOOGLETRANSLATE(F466,""id"",""en"")"),"Mbappe World Cup Final Hattrick Age")</f>
        <v>Mbappe World Cup Final Hattrick Age</v>
      </c>
    </row>
    <row r="467" ht="15.75" customHeight="1">
      <c r="A467" s="1">
        <v>466.0</v>
      </c>
      <c r="B467" s="3" t="s">
        <v>1497</v>
      </c>
      <c r="C467" s="3">
        <v>0.0</v>
      </c>
      <c r="D467" s="3">
        <v>0.0</v>
      </c>
      <c r="E467" s="3">
        <v>2.0</v>
      </c>
      <c r="F467" s="3" t="s">
        <v>1498</v>
      </c>
      <c r="G467" s="3">
        <v>0.7666666666666666</v>
      </c>
      <c r="H467" s="3">
        <v>0.2333333333333333</v>
      </c>
      <c r="I467" s="3" t="s">
        <v>48</v>
      </c>
      <c r="J467" s="3" t="s">
        <v>1499</v>
      </c>
      <c r="K467" s="3" t="s">
        <v>286</v>
      </c>
      <c r="L467" s="3" t="str">
        <f>IFERROR(__xludf.DUMMYFUNCTION("GOOGLETRANSLATE(F467,""id"",""en"")"),"I don't know how many times have I prayed for our Father during the World Cup final match so that Argentina wins and God is good what Sweet Accomplishment Congratulations Argentina Messi")</f>
        <v>I don't know how many times have I prayed for our Father during the World Cup final match so that Argentina wins and God is good what Sweet Accomplishment Congratulations Argentina Messi</v>
      </c>
    </row>
    <row r="468" ht="15.75" customHeight="1">
      <c r="A468" s="1">
        <v>467.0</v>
      </c>
      <c r="B468" s="3" t="s">
        <v>1500</v>
      </c>
      <c r="C468" s="3">
        <v>0.0</v>
      </c>
      <c r="D468" s="3">
        <v>0.0</v>
      </c>
      <c r="E468" s="3">
        <v>0.0</v>
      </c>
      <c r="F468" s="3" t="s">
        <v>1501</v>
      </c>
      <c r="G468" s="3">
        <v>0.5333333333333333</v>
      </c>
      <c r="H468" s="3">
        <v>0.6666666666666666</v>
      </c>
      <c r="I468" s="3" t="s">
        <v>48</v>
      </c>
      <c r="J468" s="3" t="s">
        <v>1502</v>
      </c>
      <c r="K468" s="3" t="s">
        <v>795</v>
      </c>
      <c r="L468" s="3" t="str">
        <f>IFERROR(__xludf.DUMMYFUNCTION("GOOGLETRANSLATE(F468,""id"",""en"")"),"Following the World Cup from the beginning of the original World Cup there were so many moments plus Argentina, the winner of the Best Ever Best World Cup Ever")</f>
        <v>Following the World Cup from the beginning of the original World Cup there were so many moments plus Argentina, the winner of the Best Ever Best World Cup Ever</v>
      </c>
    </row>
    <row r="469" ht="15.75" customHeight="1">
      <c r="A469" s="1">
        <v>468.0</v>
      </c>
      <c r="B469" s="3" t="s">
        <v>1503</v>
      </c>
      <c r="C469" s="3">
        <v>0.0</v>
      </c>
      <c r="D469" s="3">
        <v>0.0</v>
      </c>
      <c r="E469" s="3">
        <v>4.0</v>
      </c>
      <c r="F469" s="3" t="s">
        <v>1504</v>
      </c>
      <c r="G469" s="3">
        <v>0.75</v>
      </c>
      <c r="H469" s="3">
        <v>0.25</v>
      </c>
      <c r="I469" s="3" t="s">
        <v>48</v>
      </c>
      <c r="J469" s="3" t="s">
        <v>1505</v>
      </c>
      <c r="K469" s="3" t="s">
        <v>50</v>
      </c>
      <c r="L469" s="3" t="str">
        <f>IFERROR(__xludf.DUMMYFUNCTION("GOOGLETRANSLATE(F469,""id"",""en"")"),"Congratz Mbappe Great and Extraordinary Hatrick Final Top Score World Cup")</f>
        <v>Congratz Mbappe Great and Extraordinary Hatrick Final Top Score World Cup</v>
      </c>
    </row>
    <row r="470" ht="15.75" customHeight="1">
      <c r="A470" s="1">
        <v>469.0</v>
      </c>
      <c r="B470" s="3" t="s">
        <v>1506</v>
      </c>
      <c r="C470" s="3">
        <v>0.0</v>
      </c>
      <c r="D470" s="3">
        <v>0.0</v>
      </c>
      <c r="E470" s="3">
        <v>0.0</v>
      </c>
      <c r="F470" s="3" t="s">
        <v>1507</v>
      </c>
      <c r="G470" s="3">
        <v>1.0</v>
      </c>
      <c r="H470" s="3">
        <v>0.0</v>
      </c>
      <c r="I470" s="3" t="s">
        <v>13</v>
      </c>
      <c r="J470" s="3" t="s">
        <v>1508</v>
      </c>
      <c r="K470" s="3" t="s">
        <v>127</v>
      </c>
      <c r="L470" s="3" t="str">
        <f>IFERROR(__xludf.DUMMYFUNCTION("GOOGLETRANSLATE(F470,""id"",""en"")"),"Already with Suudzhan Lautaro will bring apes like Higuain Final instead contribute to Argentina's third goal and lift the World Cup hehe")</f>
        <v>Already with Suudzhan Lautaro will bring apes like Higuain Final instead contribute to Argentina's third goal and lift the World Cup hehe</v>
      </c>
    </row>
    <row r="471" ht="15.75" customHeight="1">
      <c r="A471" s="1">
        <v>470.0</v>
      </c>
      <c r="B471" s="3" t="s">
        <v>1509</v>
      </c>
      <c r="C471" s="3">
        <v>0.0</v>
      </c>
      <c r="D471" s="3">
        <v>0.0</v>
      </c>
      <c r="E471" s="3">
        <v>0.0</v>
      </c>
      <c r="F471" s="3" t="s">
        <v>1510</v>
      </c>
      <c r="G471" s="3">
        <v>1.0</v>
      </c>
      <c r="H471" s="3">
        <v>0.0</v>
      </c>
      <c r="I471" s="3" t="s">
        <v>13</v>
      </c>
      <c r="J471" s="3" t="s">
        <v>1511</v>
      </c>
      <c r="K471" s="3" t="s">
        <v>1061</v>
      </c>
      <c r="L471" s="3" t="str">
        <f>IFERROR(__xludf.DUMMYFUNCTION("GOOGLETRANSLATE(F471,""id"",""en"")"),"The Argentine national team officially won the Qatar World Cup after defeating France in the final of the Lusail Stadium, the second week of the team played until the extra time round and Argentina won a penalty shootout")</f>
        <v>The Argentine national team officially won the Qatar World Cup after defeating France in the final of the Lusail Stadium, the second week of the team played until the extra time round and Argentina won a penalty shootout</v>
      </c>
    </row>
    <row r="472" ht="15.75" customHeight="1">
      <c r="A472" s="1">
        <v>471.0</v>
      </c>
      <c r="B472" s="3" t="s">
        <v>1512</v>
      </c>
      <c r="C472" s="3">
        <v>0.0</v>
      </c>
      <c r="D472" s="3">
        <v>0.0</v>
      </c>
      <c r="E472" s="3">
        <v>0.0</v>
      </c>
      <c r="F472" s="3" t="s">
        <v>1513</v>
      </c>
      <c r="G472" s="3">
        <v>0.7</v>
      </c>
      <c r="H472" s="3">
        <v>-0.2</v>
      </c>
      <c r="I472" s="3" t="s">
        <v>179</v>
      </c>
      <c r="J472" s="3" t="s">
        <v>1514</v>
      </c>
      <c r="K472" s="3" t="s">
        <v>192</v>
      </c>
      <c r="L472" s="3" t="str">
        <f>IFERROR(__xludf.DUMMYFUNCTION("GOOGLETRANSLATE(F472,""id"",""en"")"),"Who said the Qatar World Cup is not exciting from the group phase to the final surprise all FIFA World Cup Qatar is the best football championship all time what Argentina Congrats Congrats Leo Messi")</f>
        <v>Who said the Qatar World Cup is not exciting from the group phase to the final surprise all FIFA World Cup Qatar is the best football championship all time what Argentina Congrats Congrats Leo Messi</v>
      </c>
    </row>
    <row r="473" ht="15.75" customHeight="1">
      <c r="A473" s="1">
        <v>472.0</v>
      </c>
      <c r="B473" s="3" t="s">
        <v>1515</v>
      </c>
      <c r="C473" s="3">
        <v>0.0</v>
      </c>
      <c r="D473" s="3">
        <v>0.0</v>
      </c>
      <c r="E473" s="3">
        <v>2.0</v>
      </c>
      <c r="F473" s="3" t="s">
        <v>1516</v>
      </c>
      <c r="G473" s="3">
        <v>1.0</v>
      </c>
      <c r="H473" s="3">
        <v>0.0</v>
      </c>
      <c r="I473" s="3" t="s">
        <v>13</v>
      </c>
      <c r="J473" s="3" t="s">
        <v>1517</v>
      </c>
      <c r="K473" s="3" t="s">
        <v>1518</v>
      </c>
      <c r="L473" s="3" t="str">
        <f>IFERROR(__xludf.DUMMYFUNCTION("GOOGLETRANSLATE(F473,""id"",""en"")"),"The Qatar World Cup officially ended Argentina coming out as the winner after defeating France with a match of the Lusail Stadium Penalty Sunday at the final party witnessed by the thousand viewers directly")</f>
        <v>The Qatar World Cup officially ended Argentina coming out as the winner after defeating France with a match of the Lusail Stadium Penalty Sunday at the final party witnessed by the thousand viewers directly</v>
      </c>
    </row>
    <row r="474" ht="15.75" customHeight="1">
      <c r="A474" s="1">
        <v>473.0</v>
      </c>
      <c r="B474" s="3" t="s">
        <v>1519</v>
      </c>
      <c r="C474" s="3">
        <v>0.0</v>
      </c>
      <c r="D474" s="3">
        <v>0.0</v>
      </c>
      <c r="E474" s="3">
        <v>0.0</v>
      </c>
      <c r="F474" s="3" t="s">
        <v>1520</v>
      </c>
      <c r="G474" s="3">
        <v>0.6</v>
      </c>
      <c r="H474" s="3">
        <v>0.1</v>
      </c>
      <c r="I474" s="3" t="s">
        <v>48</v>
      </c>
      <c r="J474" s="3" t="s">
        <v>1521</v>
      </c>
      <c r="K474" s="3" t="s">
        <v>86</v>
      </c>
      <c r="L474" s="3" t="str">
        <f>IFERROR(__xludf.DUMMYFUNCTION("GOOGLETRANSLATE(F474,""id"",""en"")"),"Argentina's flashback won the semi -final Dutch through a penalty shootout, if the Argentine penalty shootout the penalty shootout was not just anyone could be at the Argentine World Cup.")</f>
        <v>Argentina's flashback won the semi -final Dutch through a penalty shootout, if the Argentine penalty shootout the penalty shootout was not just anyone could be at the Argentine World Cup.</v>
      </c>
    </row>
    <row r="475" ht="15.75" customHeight="1">
      <c r="A475" s="1">
        <v>474.0</v>
      </c>
      <c r="B475" s="3" t="s">
        <v>1522</v>
      </c>
      <c r="C475" s="3">
        <v>3.0</v>
      </c>
      <c r="D475" s="3">
        <v>10.0</v>
      </c>
      <c r="E475" s="3">
        <v>65.0</v>
      </c>
      <c r="F475" s="3" t="s">
        <v>1523</v>
      </c>
      <c r="G475" s="3">
        <v>0.7</v>
      </c>
      <c r="H475" s="3">
        <v>-0.2</v>
      </c>
      <c r="I475" s="3" t="s">
        <v>179</v>
      </c>
      <c r="J475" s="3" t="s">
        <v>1524</v>
      </c>
      <c r="K475" s="3" t="s">
        <v>477</v>
      </c>
      <c r="L475" s="3" t="str">
        <f>IFERROR(__xludf.DUMMYFUNCTION("GOOGLETRANSLATE(F475,""id"",""en"")"),"Argentina Wins World Cup What Game What Final")</f>
        <v>Argentina Wins World Cup What Game What Final</v>
      </c>
    </row>
    <row r="476" ht="15.75" customHeight="1">
      <c r="A476" s="1">
        <v>475.0</v>
      </c>
      <c r="B476" s="3" t="s">
        <v>1525</v>
      </c>
      <c r="C476" s="3">
        <v>34.0</v>
      </c>
      <c r="D476" s="3">
        <v>9.0</v>
      </c>
      <c r="E476" s="3">
        <v>373.0</v>
      </c>
      <c r="F476" s="3" t="s">
        <v>1526</v>
      </c>
      <c r="G476" s="3">
        <v>0.7999999999999999</v>
      </c>
      <c r="H476" s="3">
        <v>-0.2666666666666667</v>
      </c>
      <c r="I476" s="3" t="s">
        <v>179</v>
      </c>
      <c r="J476" s="3" t="s">
        <v>1527</v>
      </c>
      <c r="K476" s="3" t="s">
        <v>657</v>
      </c>
      <c r="L476" s="3" t="str">
        <f>IFERROR(__xludf.DUMMYFUNCTION("GOOGLETRANSLATE(F476,""id"",""en"")"),"Disuting the World Cup Final this time is indeed epic but there are those who lose their epic if Nazar Mas Anton is really accomplished hahaha")</f>
        <v>Disuting the World Cup Final this time is indeed epic but there are those who lose their epic if Nazar Mas Anton is really accomplished hahaha</v>
      </c>
    </row>
    <row r="477" ht="15.75" customHeight="1">
      <c r="A477" s="1">
        <v>476.0</v>
      </c>
      <c r="B477" s="3" t="s">
        <v>1528</v>
      </c>
      <c r="C477" s="3">
        <v>0.0</v>
      </c>
      <c r="D477" s="3">
        <v>0.0</v>
      </c>
      <c r="E477" s="3">
        <v>0.0</v>
      </c>
      <c r="F477" s="3" t="s">
        <v>1529</v>
      </c>
      <c r="G477" s="3">
        <v>0.5</v>
      </c>
      <c r="H477" s="3">
        <v>0.0</v>
      </c>
      <c r="I477" s="3" t="s">
        <v>13</v>
      </c>
      <c r="J477" s="3" t="s">
        <v>1530</v>
      </c>
      <c r="K477" s="3" t="s">
        <v>1061</v>
      </c>
      <c r="L477" s="3" t="str">
        <f>IFERROR(__xludf.DUMMYFUNCTION("GOOGLETRANSLATE(F477,""id"",""en"")"),"Tired of this evening, crazy, until disturbing the neighbor of Ahahahah, the final of the World Cup was excited until the last drop of blood even though buying a three -star Argentina jersey Next Kwkw his writing")</f>
        <v>Tired of this evening, crazy, until disturbing the neighbor of Ahahahah, the final of the World Cup was excited until the last drop of blood even though buying a three -star Argentina jersey Next Kwkw his writing</v>
      </c>
    </row>
    <row r="478" ht="15.75" customHeight="1">
      <c r="A478" s="1">
        <v>477.0</v>
      </c>
      <c r="B478" s="3" t="s">
        <v>1531</v>
      </c>
      <c r="C478" s="3">
        <v>0.0</v>
      </c>
      <c r="D478" s="3">
        <v>0.0</v>
      </c>
      <c r="E478" s="3">
        <v>0.0</v>
      </c>
      <c r="F478" s="3" t="s">
        <v>1532</v>
      </c>
      <c r="G478" s="3">
        <v>1.0</v>
      </c>
      <c r="H478" s="3">
        <v>0.0</v>
      </c>
      <c r="I478" s="3" t="s">
        <v>13</v>
      </c>
      <c r="J478" s="3" t="s">
        <v>1533</v>
      </c>
      <c r="K478" s="3" t="s">
        <v>15</v>
      </c>
      <c r="L478" s="3" t="str">
        <f>IFERROR(__xludf.DUMMYFUNCTION("GOOGLETRANSLATE(F478,""id"",""en"")"),"one of the best world cup finals in history")</f>
        <v>one of the best world cup finals in history</v>
      </c>
    </row>
    <row r="479" ht="15.75" customHeight="1">
      <c r="A479" s="1">
        <v>478.0</v>
      </c>
      <c r="B479" s="3" t="s">
        <v>1534</v>
      </c>
      <c r="C479" s="3">
        <v>0.0</v>
      </c>
      <c r="D479" s="3">
        <v>0.0</v>
      </c>
      <c r="E479" s="3">
        <v>0.0</v>
      </c>
      <c r="F479" s="3" t="s">
        <v>1535</v>
      </c>
      <c r="G479" s="3">
        <v>1.0</v>
      </c>
      <c r="H479" s="3">
        <v>0.0</v>
      </c>
      <c r="I479" s="3" t="s">
        <v>13</v>
      </c>
      <c r="J479" s="3" t="s">
        <v>1536</v>
      </c>
      <c r="K479" s="3" t="s">
        <v>358</v>
      </c>
      <c r="L479" s="3" t="str">
        <f>IFERROR(__xludf.DUMMYFUNCTION("GOOGLETRANSLATE(F479,""id"",""en"")"),"The Crazy Dramatic World Cup Final continued to make Pepej Senegal Eleh Moroccan, the French Moroccan eleh did I have to moderate")</f>
        <v>The Crazy Dramatic World Cup Final continued to make Pepej Senegal Eleh Moroccan, the French Moroccan eleh did I have to moderate</v>
      </c>
    </row>
    <row r="480" ht="15.75" customHeight="1">
      <c r="A480" s="1">
        <v>479.0</v>
      </c>
      <c r="B480" s="3" t="s">
        <v>1537</v>
      </c>
      <c r="C480" s="3">
        <v>0.0</v>
      </c>
      <c r="D480" s="3">
        <v>0.0</v>
      </c>
      <c r="E480" s="3">
        <v>1.0</v>
      </c>
      <c r="F480" s="3" t="s">
        <v>1538</v>
      </c>
      <c r="G480" s="3">
        <v>1.0</v>
      </c>
      <c r="H480" s="3">
        <v>0.0</v>
      </c>
      <c r="I480" s="3" t="s">
        <v>13</v>
      </c>
      <c r="J480" s="3" t="s">
        <v>1539</v>
      </c>
      <c r="K480" s="3" t="s">
        <v>574</v>
      </c>
      <c r="L480" s="3" t="str">
        <f>IFERROR(__xludf.DUMMYFUNCTION("GOOGLETRANSLATE(F480,""id"",""en"")"),"Did you know that there is from this event if you want to know who is the winner of a check match just a tweet from and see the opposite of the Final Valid French side by defeating Argentina but the end result is the opposite")</f>
        <v>Did you know that there is from this event if you want to know who is the winner of a check match just a tweet from and see the opposite of the Final Valid French side by defeating Argentina but the end result is the opposite</v>
      </c>
    </row>
    <row r="481" ht="15.75" customHeight="1">
      <c r="A481" s="1">
        <v>480.0</v>
      </c>
      <c r="B481" s="3" t="s">
        <v>1540</v>
      </c>
      <c r="C481" s="3">
        <v>0.0</v>
      </c>
      <c r="D481" s="3">
        <v>0.0</v>
      </c>
      <c r="E481" s="3">
        <v>1.0</v>
      </c>
      <c r="F481" s="3" t="s">
        <v>1541</v>
      </c>
      <c r="G481" s="3">
        <v>1.0</v>
      </c>
      <c r="H481" s="3">
        <v>0.0</v>
      </c>
      <c r="I481" s="3" t="s">
        <v>13</v>
      </c>
      <c r="J481" s="3" t="s">
        <v>1542</v>
      </c>
      <c r="K481" s="3" t="s">
        <v>510</v>
      </c>
      <c r="L481" s="3" t="str">
        <f>IFERROR(__xludf.DUMMYFUNCTION("GOOGLETRANSLATE(F481,""id"",""en"")"),"From the beginning I watched the World Cup continued until now I have never been too far")</f>
        <v>From the beginning I watched the World Cup continued until now I have never been too far</v>
      </c>
    </row>
    <row r="482" ht="15.75" customHeight="1">
      <c r="A482" s="1">
        <v>481.0</v>
      </c>
      <c r="B482" s="3" t="s">
        <v>1543</v>
      </c>
      <c r="C482" s="3">
        <v>0.0</v>
      </c>
      <c r="D482" s="3">
        <v>0.0</v>
      </c>
      <c r="E482" s="3">
        <v>0.0</v>
      </c>
      <c r="F482" s="3" t="s">
        <v>1544</v>
      </c>
      <c r="G482" s="3">
        <v>1.0</v>
      </c>
      <c r="H482" s="3">
        <v>0.0</v>
      </c>
      <c r="I482" s="3" t="s">
        <v>13</v>
      </c>
      <c r="J482" s="3" t="s">
        <v>1545</v>
      </c>
      <c r="K482" s="3" t="s">
        <v>15</v>
      </c>
      <c r="L482" s="3" t="str">
        <f>IFERROR(__xludf.DUMMYFUNCTION("GOOGLETRANSLATE(F482,""id"",""en"")"),"the best world cup final for life until lemes")</f>
        <v>the best world cup final for life until lemes</v>
      </c>
    </row>
    <row r="483" ht="15.75" customHeight="1">
      <c r="A483" s="1">
        <v>482.0</v>
      </c>
      <c r="B483" s="3" t="s">
        <v>1546</v>
      </c>
      <c r="C483" s="3">
        <v>0.0</v>
      </c>
      <c r="D483" s="3">
        <v>0.0</v>
      </c>
      <c r="E483" s="3">
        <v>1.0</v>
      </c>
      <c r="F483" s="3" t="s">
        <v>1547</v>
      </c>
      <c r="G483" s="3">
        <v>1.0</v>
      </c>
      <c r="H483" s="3">
        <v>0.0</v>
      </c>
      <c r="I483" s="3" t="s">
        <v>13</v>
      </c>
      <c r="J483" s="3" t="s">
        <v>1548</v>
      </c>
      <c r="K483" s="3" t="s">
        <v>644</v>
      </c>
      <c r="L483" s="3" t="str">
        <f>IFERROR(__xludf.DUMMYFUNCTION("GOOGLETRANSLATE(F483,""id"",""en"")"),"World Cup Final Nobar")</f>
        <v>World Cup Final Nobar</v>
      </c>
    </row>
    <row r="484" ht="15.75" customHeight="1">
      <c r="A484" s="1">
        <v>483.0</v>
      </c>
      <c r="B484" s="3" t="s">
        <v>1549</v>
      </c>
      <c r="C484" s="3">
        <v>4.0</v>
      </c>
      <c r="D484" s="3">
        <v>0.0</v>
      </c>
      <c r="E484" s="3">
        <v>0.0</v>
      </c>
      <c r="F484" s="3" t="s">
        <v>1550</v>
      </c>
      <c r="G484" s="3">
        <v>0.5</v>
      </c>
      <c r="H484" s="3">
        <v>0.0</v>
      </c>
      <c r="I484" s="3" t="s">
        <v>13</v>
      </c>
      <c r="J484" s="3" t="s">
        <v>1551</v>
      </c>
      <c r="K484" s="3" t="s">
        <v>1552</v>
      </c>
      <c r="L484" s="3" t="str">
        <f>IFERROR(__xludf.DUMMYFUNCTION("GOOGLETRANSLATE(F484,""id"",""en"")"),"Watching the World Cup Final while Ngew Turns Exciting Next World Cup")</f>
        <v>Watching the World Cup Final while Ngew Turns Exciting Next World Cup</v>
      </c>
    </row>
    <row r="485" ht="15.75" customHeight="1">
      <c r="A485" s="1">
        <v>484.0</v>
      </c>
      <c r="B485" s="3" t="s">
        <v>1553</v>
      </c>
      <c r="C485" s="3">
        <v>0.0</v>
      </c>
      <c r="D485" s="3">
        <v>0.0</v>
      </c>
      <c r="E485" s="3">
        <v>0.0</v>
      </c>
      <c r="F485" s="3" t="s">
        <v>1554</v>
      </c>
      <c r="G485" s="3">
        <v>1.0</v>
      </c>
      <c r="H485" s="3">
        <v>0.0</v>
      </c>
      <c r="I485" s="3" t="s">
        <v>13</v>
      </c>
      <c r="J485" s="3" t="s">
        <v>1555</v>
      </c>
      <c r="K485" s="3" t="s">
        <v>127</v>
      </c>
      <c r="L485" s="3" t="str">
        <f>IFERROR(__xludf.DUMMYFUNCTION("GOOGLETRANSLATE(F485,""id"",""en"")"),"The best World Cup all matches from the group stage to the final full of surprises and closed sweetly by Argentina who were the champions of what world cup")</f>
        <v>The best World Cup all matches from the group stage to the final full of surprises and closed sweetly by Argentina who were the champions of what world cup</v>
      </c>
    </row>
    <row r="486" ht="15.75" customHeight="1">
      <c r="A486" s="1">
        <v>485.0</v>
      </c>
      <c r="B486" s="3" t="s">
        <v>1556</v>
      </c>
      <c r="C486" s="3">
        <v>0.0</v>
      </c>
      <c r="D486" s="3">
        <v>4.0</v>
      </c>
      <c r="E486" s="3">
        <v>26.0</v>
      </c>
      <c r="F486" s="3" t="s">
        <v>1557</v>
      </c>
      <c r="G486" s="3">
        <v>0.7709090909090909</v>
      </c>
      <c r="H486" s="3">
        <v>0.1472727272727273</v>
      </c>
      <c r="I486" s="3" t="s">
        <v>48</v>
      </c>
      <c r="J486" s="3" t="s">
        <v>1558</v>
      </c>
      <c r="K486" s="3" t="s">
        <v>1559</v>
      </c>
      <c r="L486" s="3" t="str">
        <f>IFERROR(__xludf.DUMMYFUNCTION("GOOGLETRANSLATE(F486,""id"",""en"")"),"Actually support France for world champions but see Messi lifting the mbappe game cup is really stupid Hatrick Final World Cup its something games for final this Perfect Ending for Messi The End Era Lets Start with New Generation")</f>
        <v>Actually support France for world champions but see Messi lifting the mbappe game cup is really stupid Hatrick Final World Cup its something games for final this Perfect Ending for Messi The End Era Lets Start with New Generation</v>
      </c>
    </row>
    <row r="487" ht="15.75" customHeight="1">
      <c r="A487" s="1">
        <v>486.0</v>
      </c>
      <c r="B487" s="3" t="s">
        <v>1560</v>
      </c>
      <c r="C487" s="3">
        <v>2.0</v>
      </c>
      <c r="D487" s="3">
        <v>3.0</v>
      </c>
      <c r="E487" s="3">
        <v>35.0</v>
      </c>
      <c r="F487" s="3" t="s">
        <v>1561</v>
      </c>
      <c r="G487" s="3">
        <v>1.0</v>
      </c>
      <c r="H487" s="3">
        <v>0.0</v>
      </c>
      <c r="I487" s="3" t="s">
        <v>13</v>
      </c>
      <c r="J487" s="3" t="s">
        <v>1562</v>
      </c>
      <c r="K487" s="3" t="s">
        <v>682</v>
      </c>
      <c r="L487" s="3" t="str">
        <f>IFERROR(__xludf.DUMMYFUNCTION("GOOGLETRANSLATE(F487,""id"",""en"")"),"times Messi lost the final Copa America and World Cup versus Germany how not frustrated but thanks to the persuasion of Pablo Aimar finally Messi wanted to return to defend Argentina and the result was the Copa America and the BTW Messi World Cup today Ti"&amp;"d Tid Tid Tid Tid Tid Tid Tid Tid Tid")</f>
        <v>times Messi lost the final Copa America and World Cup versus Germany how not frustrated but thanks to the persuasion of Pablo Aimar finally Messi wanted to return to defend Argentina and the result was the Copa America and the BTW Messi World Cup today Tid Tid Tid Tid Tid Tid Tid Tid Tid Tid</v>
      </c>
    </row>
    <row r="488" ht="15.75" customHeight="1">
      <c r="A488" s="1">
        <v>487.0</v>
      </c>
      <c r="B488" s="3" t="s">
        <v>1563</v>
      </c>
      <c r="C488" s="3">
        <v>0.0</v>
      </c>
      <c r="D488" s="3">
        <v>0.0</v>
      </c>
      <c r="E488" s="3">
        <v>0.0</v>
      </c>
      <c r="F488" s="3" t="s">
        <v>1564</v>
      </c>
      <c r="G488" s="3">
        <v>1.0</v>
      </c>
      <c r="H488" s="3">
        <v>0.0</v>
      </c>
      <c r="I488" s="3" t="s">
        <v>13</v>
      </c>
      <c r="J488" s="3" t="s">
        <v>1565</v>
      </c>
      <c r="K488" s="3" t="s">
        <v>1566</v>
      </c>
      <c r="L488" s="3" t="str">
        <f>IFERROR(__xludf.DUMMYFUNCTION("GOOGLETRANSLATE(F488,""id"",""en"")"),"Nanges Watch Messi Fail World Cup Final Nanges Watch Messi Lift the World Cup Trophy")</f>
        <v>Nanges Watch Messi Fail World Cup Final Nanges Watch Messi Lift the World Cup Trophy</v>
      </c>
    </row>
    <row r="489" ht="15.75" customHeight="1">
      <c r="A489" s="1">
        <v>488.0</v>
      </c>
      <c r="B489" s="3" t="s">
        <v>1567</v>
      </c>
      <c r="C489" s="3">
        <v>0.0</v>
      </c>
      <c r="D489" s="3">
        <v>12.0</v>
      </c>
      <c r="E489" s="3">
        <v>94.0</v>
      </c>
      <c r="F489" s="3" t="s">
        <v>1568</v>
      </c>
      <c r="G489" s="3">
        <v>1.0</v>
      </c>
      <c r="H489" s="3">
        <v>0.5</v>
      </c>
      <c r="I489" s="3" t="s">
        <v>48</v>
      </c>
      <c r="J489" s="3" t="s">
        <v>1569</v>
      </c>
      <c r="K489" s="3" t="s">
        <v>495</v>
      </c>
      <c r="L489" s="3" t="str">
        <f>IFERROR(__xludf.DUMMYFUNCTION("GOOGLETRANSLATE(F489,""id"",""en"")"),"The Speechless Final of the Multiple World Cup ever watched Congratulation for Adek Thiago Mateo and Ciro his father won the Greatest All The Time")</f>
        <v>The Speechless Final of the Multiple World Cup ever watched Congratulation for Adek Thiago Mateo and Ciro his father won the Greatest All The Time</v>
      </c>
    </row>
    <row r="490" ht="15.75" customHeight="1">
      <c r="A490" s="1">
        <v>489.0</v>
      </c>
      <c r="B490" s="3" t="s">
        <v>1570</v>
      </c>
      <c r="C490" s="3">
        <v>0.0</v>
      </c>
      <c r="D490" s="3">
        <v>0.0</v>
      </c>
      <c r="E490" s="3">
        <v>0.0</v>
      </c>
      <c r="F490" s="3" t="s">
        <v>1571</v>
      </c>
      <c r="G490" s="3">
        <v>1.0</v>
      </c>
      <c r="H490" s="3">
        <v>0.0</v>
      </c>
      <c r="I490" s="3" t="s">
        <v>13</v>
      </c>
      <c r="J490" s="3" t="s">
        <v>1572</v>
      </c>
      <c r="K490" s="3" t="s">
        <v>31</v>
      </c>
      <c r="L490" s="3" t="str">
        <f>IFERROR(__xludf.DUMMYFUNCTION("GOOGLETRANSLATE(F490,""id"",""en"")"),"The Best World Cup Final was shocked")</f>
        <v>The Best World Cup Final was shocked</v>
      </c>
    </row>
    <row r="491" ht="15.75" customHeight="1">
      <c r="A491" s="1">
        <v>490.0</v>
      </c>
      <c r="B491" s="3" t="s">
        <v>1573</v>
      </c>
      <c r="C491" s="3">
        <v>0.0</v>
      </c>
      <c r="D491" s="3">
        <v>0.0</v>
      </c>
      <c r="E491" s="3">
        <v>0.0</v>
      </c>
      <c r="F491" s="3" t="s">
        <v>1574</v>
      </c>
      <c r="G491" s="3">
        <v>0.55</v>
      </c>
      <c r="H491" s="3">
        <v>0.0</v>
      </c>
      <c r="I491" s="3" t="s">
        <v>13</v>
      </c>
      <c r="J491" s="3" t="s">
        <v>1575</v>
      </c>
      <c r="K491" s="3" t="s">
        <v>695</v>
      </c>
      <c r="L491" s="3" t="str">
        <f>IFERROR(__xludf.DUMMYFUNCTION("GOOGLETRANSLATE(F491,""id"",""en"")"),"Argentina won the Argentine World Cup championship trophy to defeat France Final through penalties after playing series until Extra Time")</f>
        <v>Argentina won the Argentine World Cup championship trophy to defeat France Final through penalties after playing series until Extra Time</v>
      </c>
    </row>
    <row r="492" ht="15.75" customHeight="1">
      <c r="A492" s="1">
        <v>491.0</v>
      </c>
      <c r="B492" s="3" t="s">
        <v>1576</v>
      </c>
      <c r="C492" s="3">
        <v>1.0</v>
      </c>
      <c r="D492" s="3">
        <v>0.0</v>
      </c>
      <c r="E492" s="3">
        <v>0.0</v>
      </c>
      <c r="F492" s="3" t="s">
        <v>1577</v>
      </c>
      <c r="G492" s="3">
        <v>1.0</v>
      </c>
      <c r="H492" s="3">
        <v>0.0</v>
      </c>
      <c r="I492" s="3" t="s">
        <v>13</v>
      </c>
      <c r="J492" s="3" t="s">
        <v>1578</v>
      </c>
      <c r="K492" s="3" t="s">
        <v>1489</v>
      </c>
      <c r="L492" s="3" t="str">
        <f>IFERROR(__xludf.DUMMYFUNCTION("GOOGLETRANSLATE(F492,""id"",""en"")"),"And really this final is the most exciting World Cup final throughout the cave following the Spanish World Cup in Germany France and Argentina continue to return again, whether it is not too crazy.")</f>
        <v>And really this final is the most exciting World Cup final throughout the cave following the Spanish World Cup in Germany France and Argentina continue to return again, whether it is not too crazy.</v>
      </c>
    </row>
    <row r="493" ht="15.75" customHeight="1">
      <c r="A493" s="1">
        <v>492.0</v>
      </c>
      <c r="B493" s="3" t="s">
        <v>1579</v>
      </c>
      <c r="C493" s="3">
        <v>0.0</v>
      </c>
      <c r="D493" s="3">
        <v>0.0</v>
      </c>
      <c r="E493" s="3">
        <v>0.0</v>
      </c>
      <c r="F493" s="3" t="s">
        <v>1580</v>
      </c>
      <c r="G493" s="3">
        <v>0.8333333333333334</v>
      </c>
      <c r="H493" s="3">
        <v>0.04545454545454545</v>
      </c>
      <c r="I493" s="3" t="s">
        <v>48</v>
      </c>
      <c r="J493" s="3" t="s">
        <v>1581</v>
      </c>
      <c r="K493" s="3" t="s">
        <v>699</v>
      </c>
      <c r="L493" s="3" t="str">
        <f>IFERROR(__xludf.DUMMYFUNCTION("GOOGLETRANSLATE(F493,""id"",""en"")"),"wake up can sleep again see Haruto Jeongwoo Live Live Final World Cup Snall regret of the World Cup Final TRTM")</f>
        <v>wake up can sleep again see Haruto Jeongwoo Live Live Final World Cup Snall regret of the World Cup Final TRTM</v>
      </c>
    </row>
    <row r="494" ht="15.75" customHeight="1">
      <c r="A494" s="1">
        <v>493.0</v>
      </c>
      <c r="B494" s="3" t="s">
        <v>1582</v>
      </c>
      <c r="C494" s="3">
        <v>4.0</v>
      </c>
      <c r="D494" s="3">
        <v>0.0</v>
      </c>
      <c r="E494" s="3">
        <v>27.0</v>
      </c>
      <c r="F494" s="3" t="s">
        <v>1583</v>
      </c>
      <c r="G494" s="3">
        <v>0.0</v>
      </c>
      <c r="H494" s="3">
        <v>0.0</v>
      </c>
      <c r="I494" s="3" t="s">
        <v>13</v>
      </c>
      <c r="J494" s="3" t="s">
        <v>1584</v>
      </c>
      <c r="K494" s="3" t="s">
        <v>1493</v>
      </c>
      <c r="L494" s="3" t="str">
        <f>IFERROR(__xludf.DUMMYFUNCTION("GOOGLETRANSLATE(F494,""id"",""en"")"),"not yellow is right a red card if for example violations outside the penalty box sample that is yellow card mbapp when against Argentina World Cup and Croatia against Denmark World Cup sample red card sample")</f>
        <v>not yellow is right a red card if for example violations outside the penalty box sample that is yellow card mbapp when against Argentina World Cup and Croatia against Denmark World Cup sample red card sample</v>
      </c>
    </row>
    <row r="495" ht="15.75" customHeight="1">
      <c r="A495" s="1">
        <v>494.0</v>
      </c>
      <c r="B495" s="3" t="s">
        <v>1585</v>
      </c>
      <c r="C495" s="3">
        <v>1.0</v>
      </c>
      <c r="D495" s="3">
        <v>0.0</v>
      </c>
      <c r="E495" s="3">
        <v>0.0</v>
      </c>
      <c r="F495" s="3" t="s">
        <v>1586</v>
      </c>
      <c r="G495" s="3">
        <v>1.0</v>
      </c>
      <c r="H495" s="3">
        <v>0.0</v>
      </c>
      <c r="I495" s="3" t="s">
        <v>13</v>
      </c>
      <c r="J495" s="3" t="s">
        <v>1587</v>
      </c>
      <c r="K495" s="3" t="s">
        <v>15</v>
      </c>
      <c r="L495" s="3" t="str">
        <f>IFERROR(__xludf.DUMMYFUNCTION("GOOGLETRANSLATE(F495,""id"",""en"")"),"Sumph emanng the World Cup Final this time was very exciting")</f>
        <v>Sumph emanng the World Cup Final this time was very exciting</v>
      </c>
    </row>
    <row r="496" ht="15.75" customHeight="1">
      <c r="A496" s="1">
        <v>495.0</v>
      </c>
      <c r="B496" s="3" t="s">
        <v>1588</v>
      </c>
      <c r="C496" s="3">
        <v>0.0</v>
      </c>
      <c r="D496" s="3">
        <v>0.0</v>
      </c>
      <c r="E496" s="3">
        <v>0.0</v>
      </c>
      <c r="F496" s="3" t="s">
        <v>1589</v>
      </c>
      <c r="G496" s="3">
        <v>1.0</v>
      </c>
      <c r="H496" s="3">
        <v>0.0</v>
      </c>
      <c r="I496" s="3" t="s">
        <v>13</v>
      </c>
      <c r="J496" s="3" t="s">
        <v>1590</v>
      </c>
      <c r="K496" s="3" t="s">
        <v>54</v>
      </c>
      <c r="L496" s="3" t="str">
        <f>IFERROR(__xludf.DUMMYFUNCTION("GOOGLETRANSLATE(F496,""id"",""en"")"),"I was when I watched the World Cup final")</f>
        <v>I was when I watched the World Cup final</v>
      </c>
    </row>
    <row r="497" ht="15.75" customHeight="1">
      <c r="A497" s="1">
        <v>496.0</v>
      </c>
      <c r="B497" s="3" t="s">
        <v>1591</v>
      </c>
      <c r="C497" s="3">
        <v>0.0</v>
      </c>
      <c r="D497" s="3">
        <v>0.0</v>
      </c>
      <c r="E497" s="3">
        <v>0.0</v>
      </c>
      <c r="F497" s="3" t="s">
        <v>1592</v>
      </c>
      <c r="G497" s="3">
        <v>1.0</v>
      </c>
      <c r="H497" s="3">
        <v>0.0</v>
      </c>
      <c r="I497" s="3" t="s">
        <v>13</v>
      </c>
      <c r="J497" s="3" t="s">
        <v>1593</v>
      </c>
      <c r="K497" s="3" t="s">
        <v>520</v>
      </c>
      <c r="L497" s="3" t="str">
        <f>IFERROR(__xludf.DUMMYFUNCTION("GOOGLETRANSLATE(F497,""id"",""en"")"),"The Most exciting world cup final thrilling to ever watched Argentina France and his ability to survive to Argentina World Cup champions")</f>
        <v>The Most exciting world cup final thrilling to ever watched Argentina France and his ability to survive to Argentina World Cup champions</v>
      </c>
    </row>
    <row r="498" ht="15.75" customHeight="1">
      <c r="A498" s="1">
        <v>497.0</v>
      </c>
      <c r="B498" s="3" t="s">
        <v>1594</v>
      </c>
      <c r="C498" s="3">
        <v>0.0</v>
      </c>
      <c r="D498" s="3">
        <v>0.0</v>
      </c>
      <c r="E498" s="3">
        <v>0.0</v>
      </c>
      <c r="F498" s="3" t="s">
        <v>1595</v>
      </c>
      <c r="G498" s="3">
        <v>1.0</v>
      </c>
      <c r="H498" s="3">
        <v>0.0</v>
      </c>
      <c r="I498" s="3" t="s">
        <v>13</v>
      </c>
      <c r="J498" s="3" t="s">
        <v>1596</v>
      </c>
      <c r="K498" s="3" t="s">
        <v>1597</v>
      </c>
      <c r="L498" s="3" t="str">
        <f>IFERROR(__xludf.DUMMYFUNCTION("GOOGLETRANSLATE(F498,""id"",""en"")"),"But Mbappe Kewl Anet is exciting, Bat of the World Cup, this yeiiiiiiiiiii, after all all the predictions of the underdog continue to keep the old team entering the final wish can see this mas, we will riot us rest peace brader")</f>
        <v>But Mbappe Kewl Anet is exciting, Bat of the World Cup, this yeiiiiiiiiiii, after all all the predictions of the underdog continue to keep the old team entering the final wish can see this mas, we will riot us rest peace brader</v>
      </c>
    </row>
    <row r="499" ht="15.75" customHeight="1">
      <c r="A499" s="1">
        <v>498.0</v>
      </c>
      <c r="B499" s="3" t="s">
        <v>1598</v>
      </c>
      <c r="C499" s="3">
        <v>0.0</v>
      </c>
      <c r="D499" s="3">
        <v>0.0</v>
      </c>
      <c r="E499" s="3">
        <v>0.0</v>
      </c>
      <c r="F499" s="3" t="s">
        <v>1599</v>
      </c>
      <c r="G499" s="3">
        <v>1.0</v>
      </c>
      <c r="H499" s="3">
        <v>0.0</v>
      </c>
      <c r="I499" s="3" t="s">
        <v>13</v>
      </c>
      <c r="J499" s="3" t="s">
        <v>1600</v>
      </c>
      <c r="K499" s="3" t="s">
        <v>50</v>
      </c>
      <c r="L499" s="3" t="str">
        <f>IFERROR(__xludf.DUMMYFUNCTION("GOOGLETRANSLATE(F499,""id"",""en"")"),"Hemmm turned out to be the referee to lead the World Cup Final between French Argentina Paid Tho")</f>
        <v>Hemmm turned out to be the referee to lead the World Cup Final between French Argentina Paid Tho</v>
      </c>
    </row>
    <row r="500" ht="15.75" customHeight="1">
      <c r="A500" s="1">
        <v>499.0</v>
      </c>
      <c r="B500" s="3" t="s">
        <v>1601</v>
      </c>
      <c r="C500" s="3">
        <v>0.0</v>
      </c>
      <c r="D500" s="3">
        <v>0.0</v>
      </c>
      <c r="E500" s="3">
        <v>2.0</v>
      </c>
      <c r="F500" s="3" t="s">
        <v>1602</v>
      </c>
      <c r="G500" s="3">
        <v>1.0</v>
      </c>
      <c r="H500" s="3">
        <v>0.0</v>
      </c>
      <c r="I500" s="3" t="s">
        <v>13</v>
      </c>
      <c r="J500" s="3" t="s">
        <v>1603</v>
      </c>
      <c r="K500" s="3" t="s">
        <v>41</v>
      </c>
      <c r="L500" s="3" t="str">
        <f>IFERROR(__xludf.DUMMYFUNCTION("GOOGLETRANSLATE(F500,""id"",""en"")"),"Lionel Messi Action Star from Argentina World Cup Final")</f>
        <v>Lionel Messi Action Star from Argentina World Cup Final</v>
      </c>
    </row>
    <row r="501" ht="15.75" customHeight="1">
      <c r="A501" s="1">
        <v>500.0</v>
      </c>
      <c r="B501" s="3" t="s">
        <v>1604</v>
      </c>
      <c r="C501" s="3">
        <v>0.0</v>
      </c>
      <c r="D501" s="3">
        <v>0.0</v>
      </c>
      <c r="E501" s="3">
        <v>0.0</v>
      </c>
      <c r="F501" s="3" t="s">
        <v>1605</v>
      </c>
      <c r="G501" s="3">
        <v>1.0</v>
      </c>
      <c r="H501" s="3">
        <v>0.0</v>
      </c>
      <c r="I501" s="3" t="s">
        <v>13</v>
      </c>
      <c r="J501" s="3" t="s">
        <v>1606</v>
      </c>
      <c r="K501" s="3" t="s">
        <v>41</v>
      </c>
      <c r="L501" s="3" t="str">
        <f>IFERROR(__xludf.DUMMYFUNCTION("GOOGLETRANSLATE(F501,""id"",""en"")"),"This crazy will be the best World Cup Final of all time")</f>
        <v>This crazy will be the best World Cup Final of all time</v>
      </c>
    </row>
    <row r="502" ht="15.75" customHeight="1">
      <c r="A502" s="1">
        <v>501.0</v>
      </c>
      <c r="B502" s="3" t="s">
        <v>1607</v>
      </c>
      <c r="C502" s="3">
        <v>0.0</v>
      </c>
      <c r="D502" s="3">
        <v>0.0</v>
      </c>
      <c r="E502" s="3">
        <v>0.0</v>
      </c>
      <c r="F502" s="3" t="s">
        <v>1608</v>
      </c>
      <c r="G502" s="3">
        <v>1.0</v>
      </c>
      <c r="H502" s="3">
        <v>0.0</v>
      </c>
      <c r="I502" s="3" t="s">
        <v>13</v>
      </c>
      <c r="J502" s="3" t="s">
        <v>1609</v>
      </c>
      <c r="K502" s="3" t="s">
        <v>41</v>
      </c>
      <c r="L502" s="3" t="str">
        <f>IFERROR(__xludf.DUMMYFUNCTION("GOOGLETRANSLATE(F502,""id"",""en"")"),"I have ever been missed by the World Cup Final series since arriving except either")</f>
        <v>I have ever been missed by the World Cup Final series since arriving except either</v>
      </c>
    </row>
    <row r="503" ht="15.75" customHeight="1">
      <c r="A503" s="1">
        <v>502.0</v>
      </c>
      <c r="B503" s="3" t="s">
        <v>1610</v>
      </c>
      <c r="C503" s="3">
        <v>0.0</v>
      </c>
      <c r="D503" s="3">
        <v>0.0</v>
      </c>
      <c r="E503" s="3">
        <v>0.0</v>
      </c>
      <c r="F503" s="3" t="s">
        <v>1611</v>
      </c>
      <c r="G503" s="3">
        <v>1.0</v>
      </c>
      <c r="H503" s="3">
        <v>0.0</v>
      </c>
      <c r="I503" s="3" t="s">
        <v>13</v>
      </c>
      <c r="J503" s="3" t="s">
        <v>1612</v>
      </c>
      <c r="K503" s="3" t="s">
        <v>41</v>
      </c>
      <c r="L503" s="3" t="str">
        <f>IFERROR(__xludf.DUMMYFUNCTION("GOOGLETRANSLATE(F503,""id"",""en"")"),"The World Cup Final was excited until I met again, I hope there is still Aminn's age")</f>
        <v>The World Cup Final was excited until I met again, I hope there is still Aminn's age</v>
      </c>
    </row>
    <row r="504" ht="15.75" customHeight="1">
      <c r="A504" s="1">
        <v>503.0</v>
      </c>
      <c r="B504" s="3" t="s">
        <v>1613</v>
      </c>
      <c r="C504" s="3">
        <v>0.0</v>
      </c>
      <c r="D504" s="3">
        <v>0.0</v>
      </c>
      <c r="E504" s="3">
        <v>1.0</v>
      </c>
      <c r="F504" s="3" t="s">
        <v>1614</v>
      </c>
      <c r="G504" s="3">
        <v>1.0</v>
      </c>
      <c r="H504" s="3">
        <v>0.4666666666666666</v>
      </c>
      <c r="I504" s="3" t="s">
        <v>48</v>
      </c>
      <c r="J504" s="3" t="s">
        <v>1615</v>
      </c>
      <c r="K504" s="3" t="s">
        <v>675</v>
      </c>
      <c r="L504" s="3" t="str">
        <f>IFERROR(__xludf.DUMMYFUNCTION("GOOGLETRANSLATE(F504,""id"",""en"")"),"During the World Cup rolling there was no passion at all for nobar buying jersey etc. Since the final ideal for bringing Argentina France there was no reason not to be nobar and sure enough this was the best Final Congratulations Argentina Especially Mess"&amp;"i Famous")</f>
        <v>During the World Cup rolling there was no passion at all for nobar buying jersey etc. Since the final ideal for bringing Argentina France there was no reason not to be nobar and sure enough this was the best Final Congratulations Argentina Especially Messi Famous</v>
      </c>
    </row>
    <row r="505" ht="15.75" customHeight="1">
      <c r="A505" s="1">
        <v>504.0</v>
      </c>
      <c r="B505" s="3" t="s">
        <v>1616</v>
      </c>
      <c r="C505" s="3">
        <v>0.0</v>
      </c>
      <c r="D505" s="3">
        <v>0.0</v>
      </c>
      <c r="E505" s="3">
        <v>0.0</v>
      </c>
      <c r="F505" s="3" t="s">
        <v>1617</v>
      </c>
      <c r="G505" s="3">
        <v>1.0</v>
      </c>
      <c r="H505" s="3">
        <v>0.0</v>
      </c>
      <c r="I505" s="3" t="s">
        <v>13</v>
      </c>
      <c r="J505" s="3" t="s">
        <v>1618</v>
      </c>
      <c r="K505" s="3" t="s">
        <v>41</v>
      </c>
      <c r="L505" s="3" t="str">
        <f>IFERROR(__xludf.DUMMYFUNCTION("GOOGLETRANSLATE(F505,""id"",""en"")"),"The most exciting world cup final and the stadium amjink is good bet")</f>
        <v>The most exciting world cup final and the stadium amjink is good bet</v>
      </c>
    </row>
    <row r="506" ht="15.75" customHeight="1">
      <c r="A506" s="1">
        <v>505.0</v>
      </c>
      <c r="B506" s="3" t="s">
        <v>1619</v>
      </c>
      <c r="C506" s="3">
        <v>0.0</v>
      </c>
      <c r="D506" s="3">
        <v>0.0</v>
      </c>
      <c r="E506" s="3">
        <v>0.0</v>
      </c>
      <c r="F506" s="3" t="s">
        <v>1620</v>
      </c>
      <c r="G506" s="3">
        <v>1.0</v>
      </c>
      <c r="H506" s="3">
        <v>0.0</v>
      </c>
      <c r="I506" s="3" t="s">
        <v>13</v>
      </c>
      <c r="J506" s="3" t="s">
        <v>1621</v>
      </c>
      <c r="K506" s="3" t="s">
        <v>82</v>
      </c>
      <c r="L506" s="3" t="str">
        <f>IFERROR(__xludf.DUMMYFUNCTION("GOOGLETRANSLATE(F506,""id"",""en"")"),"The World Cup Final was excited and entertained Congrats Argentina")</f>
        <v>The World Cup Final was excited and entertained Congrats Argentina</v>
      </c>
    </row>
    <row r="507" ht="15.75" customHeight="1">
      <c r="A507" s="1">
        <v>506.0</v>
      </c>
      <c r="B507" s="3" t="s">
        <v>1622</v>
      </c>
      <c r="C507" s="3">
        <v>0.0</v>
      </c>
      <c r="D507" s="3">
        <v>1.0</v>
      </c>
      <c r="E507" s="3">
        <v>14.0</v>
      </c>
      <c r="F507" s="3" t="s">
        <v>1623</v>
      </c>
      <c r="G507" s="3">
        <v>1.0</v>
      </c>
      <c r="H507" s="3">
        <v>0.0</v>
      </c>
      <c r="I507" s="3" t="s">
        <v>13</v>
      </c>
      <c r="J507" s="3" t="s">
        <v>1624</v>
      </c>
      <c r="K507" s="3" t="s">
        <v>54</v>
      </c>
      <c r="L507" s="3" t="str">
        <f>IFERROR(__xludf.DUMMYFUNCTION("GOOGLETRANSLATE(F507,""id"",""en"")"),"IKI Final of the Most Uwapuik World Cup")</f>
        <v>IKI Final of the Most Uwapuik World Cup</v>
      </c>
    </row>
    <row r="508" ht="15.75" customHeight="1">
      <c r="A508" s="1">
        <v>507.0</v>
      </c>
      <c r="B508" s="3" t="s">
        <v>1625</v>
      </c>
      <c r="C508" s="3">
        <v>1.0</v>
      </c>
      <c r="D508" s="3">
        <v>0.0</v>
      </c>
      <c r="E508" s="3">
        <v>0.0</v>
      </c>
      <c r="F508" s="3" t="s">
        <v>1626</v>
      </c>
      <c r="G508" s="3">
        <v>0.3333333333333333</v>
      </c>
      <c r="H508" s="3">
        <v>0.0</v>
      </c>
      <c r="I508" s="3" t="s">
        <v>13</v>
      </c>
      <c r="J508" s="3" t="s">
        <v>1627</v>
      </c>
      <c r="K508" s="3" t="s">
        <v>1628</v>
      </c>
      <c r="L508" s="3" t="str">
        <f>IFERROR(__xludf.DUMMYFUNCTION("GOOGLETRANSLATE(F508,""id"",""en"")"),"Today is a very exciting final because there will be history that will happen first Messi will complete his career with the title of the World Cup or France who will be back champions")</f>
        <v>Today is a very exciting final because there will be history that will happen first Messi will complete his career with the title of the World Cup or France who will be back champions</v>
      </c>
    </row>
    <row r="509" ht="15.75" customHeight="1">
      <c r="A509" s="1">
        <v>508.0</v>
      </c>
      <c r="B509" s="3" t="s">
        <v>1629</v>
      </c>
      <c r="C509" s="3">
        <v>0.0</v>
      </c>
      <c r="D509" s="3">
        <v>0.0</v>
      </c>
      <c r="E509" s="3">
        <v>0.0</v>
      </c>
      <c r="F509" s="3" t="s">
        <v>1630</v>
      </c>
      <c r="G509" s="3">
        <v>1.0</v>
      </c>
      <c r="H509" s="3">
        <v>0.0</v>
      </c>
      <c r="I509" s="3" t="s">
        <v>13</v>
      </c>
      <c r="J509" s="3" t="s">
        <v>1631</v>
      </c>
      <c r="K509" s="3" t="s">
        <v>15</v>
      </c>
      <c r="L509" s="3" t="str">
        <f>IFERROR(__xludf.DUMMYFUNCTION("GOOGLETRANSLATE(F509,""id"",""en"")"),"The Argentina World Cup final won through penalties")</f>
        <v>The Argentina World Cup final won through penalties</v>
      </c>
    </row>
    <row r="510" ht="15.75" customHeight="1">
      <c r="A510" s="1">
        <v>509.0</v>
      </c>
      <c r="B510" s="3" t="s">
        <v>1632</v>
      </c>
      <c r="C510" s="3">
        <v>1.0</v>
      </c>
      <c r="D510" s="3">
        <v>0.0</v>
      </c>
      <c r="E510" s="3">
        <v>0.0</v>
      </c>
      <c r="F510" s="3" t="s">
        <v>1633</v>
      </c>
      <c r="G510" s="3">
        <v>1.0</v>
      </c>
      <c r="H510" s="3">
        <v>0.0</v>
      </c>
      <c r="I510" s="3" t="s">
        <v>13</v>
      </c>
      <c r="J510" s="3" t="s">
        <v>1634</v>
      </c>
      <c r="K510" s="3" t="s">
        <v>244</v>
      </c>
      <c r="L510" s="3" t="str">
        <f>IFERROR(__xludf.DUMMYFUNCTION("GOOGLETRANSLATE(F510,""id"",""en"")"),"The Final World Cup Exciting times, the time, which can win because two want to win")</f>
        <v>The Final World Cup Exciting times, the time, which can win because two want to win</v>
      </c>
    </row>
    <row r="511" ht="15.75" customHeight="1">
      <c r="A511" s="1">
        <v>510.0</v>
      </c>
      <c r="B511" s="3" t="s">
        <v>1635</v>
      </c>
      <c r="C511" s="3">
        <v>0.0</v>
      </c>
      <c r="D511" s="3">
        <v>0.0</v>
      </c>
      <c r="E511" s="3">
        <v>0.0</v>
      </c>
      <c r="F511" s="3" t="s">
        <v>1636</v>
      </c>
      <c r="G511" s="3">
        <v>1.0</v>
      </c>
      <c r="H511" s="3">
        <v>0.0</v>
      </c>
      <c r="I511" s="3" t="s">
        <v>13</v>
      </c>
      <c r="J511" s="3" t="s">
        <v>1637</v>
      </c>
      <c r="K511" s="3" t="s">
        <v>82</v>
      </c>
      <c r="L511" s="3" t="str">
        <f>IFERROR(__xludf.DUMMYFUNCTION("GOOGLETRANSLATE(F511,""id"",""en"")"),"The first World Cup Final I saw from closing to ending")</f>
        <v>The first World Cup Final I saw from closing to ending</v>
      </c>
    </row>
    <row r="512" ht="15.75" customHeight="1">
      <c r="A512" s="1">
        <v>511.0</v>
      </c>
      <c r="B512" s="3" t="s">
        <v>1638</v>
      </c>
      <c r="C512" s="3">
        <v>0.0</v>
      </c>
      <c r="D512" s="3">
        <v>0.0</v>
      </c>
      <c r="E512" s="3">
        <v>0.0</v>
      </c>
      <c r="F512" s="3" t="s">
        <v>1639</v>
      </c>
      <c r="G512" s="3">
        <v>1.0</v>
      </c>
      <c r="H512" s="3">
        <v>0.0</v>
      </c>
      <c r="I512" s="3" t="s">
        <v>13</v>
      </c>
      <c r="J512" s="3" t="s">
        <v>1640</v>
      </c>
      <c r="K512" s="3" t="s">
        <v>71</v>
      </c>
      <c r="L512" s="3" t="str">
        <f>IFERROR(__xludf.DUMMYFUNCTION("GOOGLETRANSLATE(F512,""id"",""en"")"),"Agree the World Cup final this time the most exciting especially a lot of goals until the penalty especially Argentina Champion")</f>
        <v>Agree the World Cup final this time the most exciting especially a lot of goals until the penalty especially Argentina Champion</v>
      </c>
    </row>
    <row r="513" ht="15.75" customHeight="1">
      <c r="A513" s="1">
        <v>512.0</v>
      </c>
      <c r="B513" s="3" t="s">
        <v>1641</v>
      </c>
      <c r="C513" s="3">
        <v>1.0</v>
      </c>
      <c r="D513" s="3">
        <v>0.0</v>
      </c>
      <c r="E513" s="3">
        <v>0.0</v>
      </c>
      <c r="F513" s="3" t="s">
        <v>1642</v>
      </c>
      <c r="G513" s="3">
        <v>1.0</v>
      </c>
      <c r="H513" s="3">
        <v>0.0</v>
      </c>
      <c r="I513" s="3" t="s">
        <v>13</v>
      </c>
      <c r="J513" s="3" t="s">
        <v>1643</v>
      </c>
      <c r="K513" s="3" t="s">
        <v>463</v>
      </c>
      <c r="L513" s="3" t="str">
        <f>IFERROR(__xludf.DUMMYFUNCTION("GOOGLETRANSLATE(F513,""id"",""en"")"),"Argentina, although this self is an antibarca, is very pleasing to see the World Cup final this time, it is very worthy")</f>
        <v>Argentina, although this self is an antibarca, is very pleasing to see the World Cup final this time, it is very worthy</v>
      </c>
    </row>
    <row r="514" ht="15.75" customHeight="1">
      <c r="A514" s="1">
        <v>513.0</v>
      </c>
      <c r="B514" s="3" t="s">
        <v>1644</v>
      </c>
      <c r="C514" s="3">
        <v>0.0</v>
      </c>
      <c r="D514" s="3">
        <v>0.0</v>
      </c>
      <c r="E514" s="3">
        <v>0.0</v>
      </c>
      <c r="F514" s="3" t="s">
        <v>1644</v>
      </c>
      <c r="G514" s="3">
        <v>1.0</v>
      </c>
      <c r="H514" s="3">
        <v>0.0</v>
      </c>
      <c r="I514" s="3" t="s">
        <v>13</v>
      </c>
      <c r="J514" s="3" t="s">
        <v>1645</v>
      </c>
      <c r="K514" s="3" t="s">
        <v>31</v>
      </c>
      <c r="L514" s="3" t="str">
        <f>IFERROR(__xludf.DUMMYFUNCTION("GOOGLETRANSLATE(F514,""id"",""en"")"),"World Cup Final Most Horrified")</f>
        <v>World Cup Final Most Horrified</v>
      </c>
    </row>
    <row r="515" ht="15.75" customHeight="1">
      <c r="A515" s="1">
        <v>514.0</v>
      </c>
      <c r="B515" s="3" t="s">
        <v>1646</v>
      </c>
      <c r="C515" s="3">
        <v>0.0</v>
      </c>
      <c r="D515" s="3">
        <v>0.0</v>
      </c>
      <c r="E515" s="3">
        <v>0.0</v>
      </c>
      <c r="F515" s="3" t="s">
        <v>1647</v>
      </c>
      <c r="G515" s="3">
        <v>1.0</v>
      </c>
      <c r="H515" s="3">
        <v>0.0</v>
      </c>
      <c r="I515" s="3" t="s">
        <v>13</v>
      </c>
      <c r="J515" s="3" t="s">
        <v>1648</v>
      </c>
      <c r="K515" s="3" t="s">
        <v>71</v>
      </c>
      <c r="L515" s="3" t="str">
        <f>IFERROR(__xludf.DUMMYFUNCTION("GOOGLETRANSLATE(F515,""id"",""en"")"),"It is true that I also feel that way is not too much if I claim that Argentina France is the most exciting World Cup final")</f>
        <v>It is true that I also feel that way is not too much if I claim that Argentina France is the most exciting World Cup final</v>
      </c>
    </row>
    <row r="516" ht="15.75" customHeight="1">
      <c r="A516" s="1">
        <v>515.0</v>
      </c>
      <c r="B516" s="3" t="s">
        <v>1649</v>
      </c>
      <c r="C516" s="3">
        <v>1.0</v>
      </c>
      <c r="D516" s="3">
        <v>0.0</v>
      </c>
      <c r="E516" s="3">
        <v>6.0</v>
      </c>
      <c r="F516" s="3" t="s">
        <v>1650</v>
      </c>
      <c r="G516" s="3">
        <v>1.0</v>
      </c>
      <c r="H516" s="3">
        <v>0.05</v>
      </c>
      <c r="I516" s="3" t="s">
        <v>48</v>
      </c>
      <c r="J516" s="3" t="s">
        <v>1651</v>
      </c>
      <c r="K516" s="3" t="s">
        <v>1652</v>
      </c>
      <c r="L516" s="3" t="str">
        <f>IFERROR(__xludf.DUMMYFUNCTION("GOOGLETRANSLATE(F516,""id"",""en"")"),"right watching from this World Cup Far the most exciting many surprises almost all matches exciting and the struggle for places is also fun and this is the most exciting world cup final")</f>
        <v>right watching from this World Cup Far the most exciting many surprises almost all matches exciting and the struggle for places is also fun and this is the most exciting world cup final</v>
      </c>
    </row>
    <row r="517" ht="15.75" customHeight="1">
      <c r="A517" s="1">
        <v>516.0</v>
      </c>
      <c r="B517" s="3" t="s">
        <v>1653</v>
      </c>
      <c r="C517" s="3">
        <v>0.0</v>
      </c>
      <c r="D517" s="3">
        <v>0.0</v>
      </c>
      <c r="E517" s="3">
        <v>1.0</v>
      </c>
      <c r="F517" s="3" t="s">
        <v>1654</v>
      </c>
      <c r="G517" s="3">
        <v>1.0</v>
      </c>
      <c r="H517" s="3">
        <v>0.0</v>
      </c>
      <c r="I517" s="3" t="s">
        <v>13</v>
      </c>
      <c r="J517" s="3" t="s">
        <v>1655</v>
      </c>
      <c r="K517" s="3" t="s">
        <v>1656</v>
      </c>
      <c r="L517" s="3" t="str">
        <f>IFERROR(__xludf.DUMMYFUNCTION("GOOGLETRANSLATE(F517,""id"",""en"")"),"And this soundtrack clearly represents Argentina's struggle for dreamers who believe in the dream of his dream, especially for Messi, he feels the final party for Argentina to fail the Copa of the World Cup and Putu had time")</f>
        <v>And this soundtrack clearly represents Argentina's struggle for dreamers who believe in the dream of his dream, especially for Messi, he feels the final party for Argentina to fail the Copa of the World Cup and Putu had time</v>
      </c>
    </row>
    <row r="518" ht="15.75" customHeight="1">
      <c r="A518" s="1">
        <v>517.0</v>
      </c>
      <c r="B518" s="3" t="s">
        <v>1657</v>
      </c>
      <c r="C518" s="3">
        <v>0.0</v>
      </c>
      <c r="D518" s="3">
        <v>0.0</v>
      </c>
      <c r="E518" s="3">
        <v>0.0</v>
      </c>
      <c r="F518" s="3" t="s">
        <v>1658</v>
      </c>
      <c r="G518" s="3">
        <v>1.0</v>
      </c>
      <c r="H518" s="3">
        <v>0.0</v>
      </c>
      <c r="I518" s="3" t="s">
        <v>13</v>
      </c>
      <c r="J518" s="3" t="s">
        <v>1659</v>
      </c>
      <c r="K518" s="3" t="s">
        <v>31</v>
      </c>
      <c r="L518" s="3" t="str">
        <f>IFERROR(__xludf.DUMMYFUNCTION("GOOGLETRANSLATE(F518,""id"",""en"")"),"Crazy World Cup Final This Year")</f>
        <v>Crazy World Cup Final This Year</v>
      </c>
    </row>
    <row r="519" ht="15.75" customHeight="1">
      <c r="A519" s="1">
        <v>518.0</v>
      </c>
      <c r="B519" s="3" t="s">
        <v>1660</v>
      </c>
      <c r="C519" s="3">
        <v>0.0</v>
      </c>
      <c r="D519" s="3">
        <v>0.0</v>
      </c>
      <c r="E519" s="3">
        <v>0.0</v>
      </c>
      <c r="F519" s="3" t="s">
        <v>1661</v>
      </c>
      <c r="G519" s="3">
        <v>0.6</v>
      </c>
      <c r="H519" s="3">
        <v>0.1</v>
      </c>
      <c r="I519" s="3" t="s">
        <v>48</v>
      </c>
      <c r="J519" s="3" t="s">
        <v>1662</v>
      </c>
      <c r="K519" s="3" t="s">
        <v>19</v>
      </c>
      <c r="L519" s="3" t="str">
        <f>IFERROR(__xludf.DUMMYFUNCTION("GOOGLETRANSLATE(F519,""id"",""en"")"),"Saud the year is still given a fortune from God to watch the best World Cup Thanks Thanks God")</f>
        <v>Saud the year is still given a fortune from God to watch the best World Cup Thanks Thanks God</v>
      </c>
    </row>
    <row r="520" ht="15.75" customHeight="1">
      <c r="A520" s="1">
        <v>519.0</v>
      </c>
      <c r="B520" s="3" t="s">
        <v>1663</v>
      </c>
      <c r="C520" s="3">
        <v>0.0</v>
      </c>
      <c r="D520" s="3">
        <v>0.0</v>
      </c>
      <c r="E520" s="3">
        <v>0.0</v>
      </c>
      <c r="F520" s="3" t="s">
        <v>1664</v>
      </c>
      <c r="G520" s="3">
        <v>1.0</v>
      </c>
      <c r="H520" s="3">
        <v>0.0</v>
      </c>
      <c r="I520" s="3" t="s">
        <v>13</v>
      </c>
      <c r="J520" s="3" t="s">
        <v>1665</v>
      </c>
      <c r="K520" s="3" t="s">
        <v>50</v>
      </c>
      <c r="L520" s="3" t="str">
        <f>IFERROR(__xludf.DUMMYFUNCTION("GOOGLETRANSLATE(F520,""id"",""en"")"),"This is one of the most exciting world cup finals in the history of the debate, agree")</f>
        <v>This is one of the most exciting world cup finals in the history of the debate, agree</v>
      </c>
    </row>
    <row r="521" ht="15.75" customHeight="1">
      <c r="A521" s="1">
        <v>520.0</v>
      </c>
      <c r="B521" s="3" t="s">
        <v>1666</v>
      </c>
      <c r="C521" s="3">
        <v>0.0</v>
      </c>
      <c r="D521" s="3">
        <v>0.0</v>
      </c>
      <c r="E521" s="3">
        <v>0.0</v>
      </c>
      <c r="F521" s="3" t="s">
        <v>1667</v>
      </c>
      <c r="G521" s="3">
        <v>1.0</v>
      </c>
      <c r="H521" s="3">
        <v>0.0</v>
      </c>
      <c r="I521" s="3" t="s">
        <v>13</v>
      </c>
      <c r="J521" s="3" t="s">
        <v>1668</v>
      </c>
      <c r="K521" s="3" t="s">
        <v>1469</v>
      </c>
      <c r="L521" s="3" t="str">
        <f>IFERROR(__xludf.DUMMYFUNCTION("GOOGLETRANSLATE(F521,""id"",""en"")"),"Not only the World Cup final match but this is the best soccer match in history of survivors to Argentina World Cup champions")</f>
        <v>Not only the World Cup final match but this is the best soccer match in history of survivors to Argentina World Cup champions</v>
      </c>
    </row>
    <row r="522" ht="15.75" customHeight="1">
      <c r="A522" s="1">
        <v>521.0</v>
      </c>
      <c r="B522" s="3" t="s">
        <v>1669</v>
      </c>
      <c r="C522" s="3">
        <v>0.0</v>
      </c>
      <c r="D522" s="3">
        <v>0.0</v>
      </c>
      <c r="E522" s="3">
        <v>0.0</v>
      </c>
      <c r="F522" s="3" t="s">
        <v>1670</v>
      </c>
      <c r="G522" s="3">
        <v>1.0</v>
      </c>
      <c r="H522" s="3">
        <v>0.0</v>
      </c>
      <c r="I522" s="3" t="s">
        <v>13</v>
      </c>
      <c r="J522" s="3" t="s">
        <v>1671</v>
      </c>
      <c r="K522" s="3" t="s">
        <v>244</v>
      </c>
      <c r="L522" s="3" t="str">
        <f>IFERROR(__xludf.DUMMYFUNCTION("GOOGLETRANSLATE(F522,""id"",""en"")"),"From the final of the World Cup that I watched since Qatar is the worst best final still Russia")</f>
        <v>From the final of the World Cup that I watched since Qatar is the worst best final still Russia</v>
      </c>
    </row>
    <row r="523" ht="15.75" customHeight="1">
      <c r="A523" s="1">
        <v>522.0</v>
      </c>
      <c r="B523" s="3" t="s">
        <v>1672</v>
      </c>
      <c r="C523" s="3">
        <v>0.0</v>
      </c>
      <c r="D523" s="3">
        <v>0.0</v>
      </c>
      <c r="E523" s="3">
        <v>0.0</v>
      </c>
      <c r="F523" s="3" t="s">
        <v>1673</v>
      </c>
      <c r="G523" s="3">
        <v>1.0</v>
      </c>
      <c r="H523" s="3">
        <v>0.0</v>
      </c>
      <c r="I523" s="3" t="s">
        <v>13</v>
      </c>
      <c r="J523" s="3" t="s">
        <v>1674</v>
      </c>
      <c r="K523" s="3" t="s">
        <v>71</v>
      </c>
      <c r="L523" s="3" t="str">
        <f>IFERROR(__xludf.DUMMYFUNCTION("GOOGLETRANSLATE(F523,""id"",""en"")"),"The safest World Cup Full of Final Host Surprise Match")</f>
        <v>The safest World Cup Full of Final Host Surprise Match</v>
      </c>
    </row>
    <row r="524" ht="15.75" customHeight="1">
      <c r="A524" s="1">
        <v>523.0</v>
      </c>
      <c r="B524" s="3" t="s">
        <v>1675</v>
      </c>
      <c r="C524" s="3">
        <v>0.0</v>
      </c>
      <c r="D524" s="3">
        <v>0.0</v>
      </c>
      <c r="E524" s="3">
        <v>1.0</v>
      </c>
      <c r="F524" s="3" t="s">
        <v>1676</v>
      </c>
      <c r="G524" s="3">
        <v>1.0</v>
      </c>
      <c r="H524" s="3">
        <v>0.0</v>
      </c>
      <c r="I524" s="3" t="s">
        <v>13</v>
      </c>
      <c r="J524" s="3" t="s">
        <v>1677</v>
      </c>
      <c r="K524" s="3" t="s">
        <v>449</v>
      </c>
      <c r="L524" s="3" t="str">
        <f>IFERROR(__xludf.DUMMYFUNCTION("GOOGLETRANSLATE(F524,""id"",""en"")"),"Watching a concert from sampe and the trip home gubeng around the minute continued Nobar Final and ended with a happy ending Argentina World Cup champions were very touched to see Messi et al")</f>
        <v>Watching a concert from sampe and the trip home gubeng around the minute continued Nobar Final and ended with a happy ending Argentina World Cup champions were very touched to see Messi et al</v>
      </c>
    </row>
    <row r="525" ht="15.75" customHeight="1">
      <c r="A525" s="1">
        <v>524.0</v>
      </c>
      <c r="B525" s="3" t="s">
        <v>1678</v>
      </c>
      <c r="C525" s="3">
        <v>0.0</v>
      </c>
      <c r="D525" s="3">
        <v>0.0</v>
      </c>
      <c r="E525" s="3">
        <v>0.0</v>
      </c>
      <c r="F525" s="3" t="s">
        <v>1679</v>
      </c>
      <c r="G525" s="3">
        <v>0.5</v>
      </c>
      <c r="H525" s="3">
        <v>0.0</v>
      </c>
      <c r="I525" s="3" t="s">
        <v>13</v>
      </c>
      <c r="J525" s="3" t="s">
        <v>1680</v>
      </c>
      <c r="K525" s="3" t="s">
        <v>273</v>
      </c>
      <c r="L525" s="3" t="str">
        <f>IFERROR(__xludf.DUMMYFUNCTION("GOOGLETRANSLATE(F525,""id"",""en"")"),"In the past, the Argentina World Cup final was inferior to German me and your late father sad and then he invited me to eat to entertain only to tell my father Argentina to win, sir, I knew and was happy there")</f>
        <v>In the past, the Argentina World Cup final was inferior to German me and your late father sad and then he invited me to eat to entertain only to tell my father Argentina to win, sir, I knew and was happy there</v>
      </c>
    </row>
    <row r="526" ht="15.75" customHeight="1">
      <c r="A526" s="1">
        <v>525.0</v>
      </c>
      <c r="B526" s="3" t="s">
        <v>1681</v>
      </c>
      <c r="C526" s="3">
        <v>1.0</v>
      </c>
      <c r="D526" s="3">
        <v>0.0</v>
      </c>
      <c r="E526" s="3">
        <v>0.0</v>
      </c>
      <c r="F526" s="3" t="s">
        <v>1682</v>
      </c>
      <c r="G526" s="3">
        <v>1.0</v>
      </c>
      <c r="H526" s="3">
        <v>0.0</v>
      </c>
      <c r="I526" s="3" t="s">
        <v>13</v>
      </c>
      <c r="J526" s="3" t="s">
        <v>1683</v>
      </c>
      <c r="K526" s="3" t="s">
        <v>58</v>
      </c>
      <c r="L526" s="3" t="str">
        <f>IFERROR(__xludf.DUMMYFUNCTION("GOOGLETRANSLATE(F526,""id"",""en"")"),"people on hype watching the world cup final whatever my power even fell asleep because of tired")</f>
        <v>people on hype watching the world cup final whatever my power even fell asleep because of tired</v>
      </c>
    </row>
    <row r="527" ht="15.75" customHeight="1">
      <c r="A527" s="1">
        <v>526.0</v>
      </c>
      <c r="B527" s="3" t="s">
        <v>1684</v>
      </c>
      <c r="C527" s="3">
        <v>0.0</v>
      </c>
      <c r="D527" s="3">
        <v>0.0</v>
      </c>
      <c r="E527" s="3">
        <v>0.0</v>
      </c>
      <c r="F527" s="3" t="s">
        <v>1685</v>
      </c>
      <c r="G527" s="3">
        <v>1.0</v>
      </c>
      <c r="H527" s="3">
        <v>0.0</v>
      </c>
      <c r="I527" s="3" t="s">
        <v>13</v>
      </c>
      <c r="J527" s="3" t="s">
        <v>1686</v>
      </c>
      <c r="K527" s="3" t="s">
        <v>1293</v>
      </c>
      <c r="L527" s="3" t="str">
        <f>IFERROR(__xludf.DUMMYFUNCTION("GOOGLETRANSLATE(F527,""id"",""en"")"),"The Argentine World Cup Final Champion Lionel Messi only took minutes to be the sharpest human since all pages of Bolasport")</f>
        <v>The Argentine World Cup Final Champion Lionel Messi only took minutes to be the sharpest human since all pages of Bolasport</v>
      </c>
    </row>
    <row r="528" ht="15.75" customHeight="1">
      <c r="A528" s="1">
        <v>527.0</v>
      </c>
      <c r="B528" s="3" t="s">
        <v>1687</v>
      </c>
      <c r="C528" s="3">
        <v>0.0</v>
      </c>
      <c r="D528" s="3">
        <v>0.0</v>
      </c>
      <c r="E528" s="3">
        <v>0.0</v>
      </c>
      <c r="F528" s="3" t="s">
        <v>1688</v>
      </c>
      <c r="G528" s="3">
        <v>1.0</v>
      </c>
      <c r="H528" s="3">
        <v>0.0</v>
      </c>
      <c r="I528" s="3" t="s">
        <v>13</v>
      </c>
      <c r="J528" s="3" t="s">
        <v>1689</v>
      </c>
      <c r="K528" s="3" t="s">
        <v>510</v>
      </c>
      <c r="L528" s="3" t="str">
        <f>IFERROR(__xludf.DUMMYFUNCTION("GOOGLETRANSLATE(F528,""id"",""en"")"),"Netizens call the best World Cup final thank you Argentina and France makes us heartless until the end of Bolacom")</f>
        <v>Netizens call the best World Cup final thank you Argentina and France makes us heartless until the end of Bolacom</v>
      </c>
    </row>
    <row r="529" ht="15.75" customHeight="1">
      <c r="A529" s="1">
        <v>528.0</v>
      </c>
      <c r="B529" s="3" t="s">
        <v>1690</v>
      </c>
      <c r="C529" s="3">
        <v>0.0</v>
      </c>
      <c r="D529" s="3">
        <v>0.0</v>
      </c>
      <c r="E529" s="3">
        <v>0.0</v>
      </c>
      <c r="F529" s="3" t="s">
        <v>1691</v>
      </c>
      <c r="G529" s="3">
        <v>1.0</v>
      </c>
      <c r="H529" s="3">
        <v>0.0</v>
      </c>
      <c r="I529" s="3" t="s">
        <v>13</v>
      </c>
      <c r="J529" s="3" t="s">
        <v>1692</v>
      </c>
      <c r="K529" s="3" t="s">
        <v>19</v>
      </c>
      <c r="L529" s="3" t="str">
        <f>IFERROR(__xludf.DUMMYFUNCTION("GOOGLETRANSLATE(F529,""id"",""en"")"),"Today's World Cup Final will still be exciting even though it is seen repeatedly")</f>
        <v>Today's World Cup Final will still be exciting even though it is seen repeatedly</v>
      </c>
    </row>
    <row r="530" ht="15.75" customHeight="1">
      <c r="A530" s="1">
        <v>529.0</v>
      </c>
      <c r="B530" s="3" t="s">
        <v>1693</v>
      </c>
      <c r="C530" s="3">
        <v>1.0</v>
      </c>
      <c r="D530" s="3">
        <v>2.0</v>
      </c>
      <c r="E530" s="3">
        <v>33.0</v>
      </c>
      <c r="F530" s="3" t="s">
        <v>1694</v>
      </c>
      <c r="G530" s="3">
        <v>1.0</v>
      </c>
      <c r="H530" s="3">
        <v>0.0</v>
      </c>
      <c r="I530" s="3" t="s">
        <v>13</v>
      </c>
      <c r="J530" s="3" t="s">
        <v>1695</v>
      </c>
      <c r="K530" s="3" t="s">
        <v>19</v>
      </c>
      <c r="L530" s="3" t="str">
        <f>IFERROR(__xludf.DUMMYFUNCTION("GOOGLETRANSLATE(F530,""id"",""en"")"),"Still looking for the existence of Ronaldo fans who are always talking about the final not champions of the Settingan World Cup etc.")</f>
        <v>Still looking for the existence of Ronaldo fans who are always talking about the final not champions of the Settingan World Cup etc.</v>
      </c>
    </row>
    <row r="531" ht="15.75" customHeight="1">
      <c r="A531" s="1">
        <v>530.0</v>
      </c>
      <c r="B531" s="3" t="s">
        <v>1696</v>
      </c>
      <c r="C531" s="3">
        <v>0.0</v>
      </c>
      <c r="D531" s="3">
        <v>0.0</v>
      </c>
      <c r="E531" s="3">
        <v>0.0</v>
      </c>
      <c r="F531" s="3" t="s">
        <v>1697</v>
      </c>
      <c r="G531" s="3">
        <v>1.0</v>
      </c>
      <c r="H531" s="3">
        <v>0.0</v>
      </c>
      <c r="I531" s="3" t="s">
        <v>13</v>
      </c>
      <c r="J531" s="3" t="s">
        <v>1698</v>
      </c>
      <c r="K531" s="3" t="s">
        <v>1699</v>
      </c>
      <c r="L531" s="3" t="str">
        <f>IFERROR(__xludf.DUMMYFUNCTION("GOOGLETRANSLATE(F531,""id"",""en"")"),"Original is really proud and happy to be able to see and feel the euphoria of the Final World Cup Gokill Severe if the person said this mah is the final to be caught throughout the history of the World Cup")</f>
        <v>Original is really proud and happy to be able to see and feel the euphoria of the Final World Cup Gokill Severe if the person said this mah is the final to be caught throughout the history of the World Cup</v>
      </c>
    </row>
    <row r="532" ht="15.75" customHeight="1">
      <c r="A532" s="1">
        <v>531.0</v>
      </c>
      <c r="B532" s="3" t="s">
        <v>1700</v>
      </c>
      <c r="C532" s="3">
        <v>0.0</v>
      </c>
      <c r="D532" s="3">
        <v>0.0</v>
      </c>
      <c r="E532" s="3">
        <v>0.0</v>
      </c>
      <c r="F532" s="3" t="s">
        <v>1701</v>
      </c>
      <c r="G532" s="3">
        <v>0.8666666666666667</v>
      </c>
      <c r="H532" s="3">
        <v>-0.03333333333333333</v>
      </c>
      <c r="I532" s="3" t="s">
        <v>179</v>
      </c>
      <c r="J532" s="3" t="s">
        <v>1702</v>
      </c>
      <c r="K532" s="3" t="s">
        <v>1489</v>
      </c>
      <c r="L532" s="3" t="str">
        <f>IFERROR(__xludf.DUMMYFUNCTION("GOOGLETRANSLATE(F532,""id"",""en"")"),"GPP is still young, it's already final tomorrow that there will be a world cup, don't have a lot of in the behavior of installments, it can still be at least the final, especially if you really become a World Cup issue, you want to be held")</f>
        <v>GPP is still young, it's already final tomorrow that there will be a world cup, don't have a lot of in the behavior of installments, it can still be at least the final, especially if you really become a World Cup issue, you want to be held</v>
      </c>
    </row>
    <row r="533" ht="15.75" customHeight="1">
      <c r="A533" s="1">
        <v>532.0</v>
      </c>
      <c r="B533" s="3" t="s">
        <v>1703</v>
      </c>
      <c r="C533" s="3">
        <v>0.0</v>
      </c>
      <c r="D533" s="3">
        <v>0.0</v>
      </c>
      <c r="E533" s="3">
        <v>2.0</v>
      </c>
      <c r="F533" s="3" t="s">
        <v>1704</v>
      </c>
      <c r="G533" s="3">
        <v>1.0</v>
      </c>
      <c r="H533" s="3">
        <v>0.0</v>
      </c>
      <c r="I533" s="3" t="s">
        <v>13</v>
      </c>
      <c r="J533" s="3" t="s">
        <v>1705</v>
      </c>
      <c r="K533" s="3" t="s">
        <v>584</v>
      </c>
      <c r="L533" s="3" t="str">
        <f>IFERROR(__xludf.DUMMYFUNCTION("GOOGLETRANSLATE(F533,""id"",""en"")"),"about the hope of the purpose of the love of the motherland about the pride of the wonders of the World Cup Final this time is very interesting and learning many surprises of God proves that dreams must be achieved and always come the right time")</f>
        <v>about the hope of the purpose of the love of the motherland about the pride of the wonders of the World Cup Final this time is very interesting and learning many surprises of God proves that dreams must be achieved and always come the right time</v>
      </c>
    </row>
    <row r="534" ht="15.75" customHeight="1">
      <c r="A534" s="1">
        <v>533.0</v>
      </c>
      <c r="B534" s="3" t="s">
        <v>1706</v>
      </c>
      <c r="C534" s="3">
        <v>0.0</v>
      </c>
      <c r="D534" s="3">
        <v>0.0</v>
      </c>
      <c r="E534" s="3">
        <v>0.0</v>
      </c>
      <c r="F534" s="3" t="s">
        <v>1707</v>
      </c>
      <c r="G534" s="3">
        <v>1.0</v>
      </c>
      <c r="H534" s="3">
        <v>0.0</v>
      </c>
      <c r="I534" s="3" t="s">
        <v>13</v>
      </c>
      <c r="J534" s="3" t="s">
        <v>1708</v>
      </c>
      <c r="K534" s="3" t="s">
        <v>1335</v>
      </c>
      <c r="L534" s="3" t="str">
        <f>IFERROR(__xludf.DUMMYFUNCTION("GOOGLETRANSLATE(F534,""id"",""en"")"),"after the world of the world cup final can not sleep, there isn't sleeping yet")</f>
        <v>after the world of the world cup final can not sleep, there isn't sleeping yet</v>
      </c>
    </row>
    <row r="535" ht="15.75" customHeight="1">
      <c r="A535" s="1">
        <v>534.0</v>
      </c>
      <c r="B535" s="3" t="s">
        <v>1709</v>
      </c>
      <c r="C535" s="3">
        <v>0.0</v>
      </c>
      <c r="D535" s="3">
        <v>0.0</v>
      </c>
      <c r="E535" s="3">
        <v>1.0</v>
      </c>
      <c r="F535" s="3" t="s">
        <v>1710</v>
      </c>
      <c r="G535" s="3">
        <v>1.0</v>
      </c>
      <c r="H535" s="3">
        <v>0.0</v>
      </c>
      <c r="I535" s="3" t="s">
        <v>13</v>
      </c>
      <c r="J535" s="3" t="s">
        <v>1711</v>
      </c>
      <c r="K535" s="3" t="s">
        <v>31</v>
      </c>
      <c r="L535" s="3" t="str">
        <f>IFERROR(__xludf.DUMMYFUNCTION("GOOGLETRANSLATE(F535,""id"",""en"")"),"World Cup Final Serbi")</f>
        <v>World Cup Final Serbi</v>
      </c>
    </row>
    <row r="536" ht="15.75" customHeight="1">
      <c r="A536" s="1">
        <v>535.0</v>
      </c>
      <c r="B536" s="3" t="s">
        <v>1712</v>
      </c>
      <c r="C536" s="3">
        <v>0.0</v>
      </c>
      <c r="D536" s="3">
        <v>0.0</v>
      </c>
      <c r="E536" s="3">
        <v>0.0</v>
      </c>
      <c r="F536" s="3" t="s">
        <v>1713</v>
      </c>
      <c r="G536" s="3">
        <v>1.0</v>
      </c>
      <c r="H536" s="3">
        <v>0.0</v>
      </c>
      <c r="I536" s="3" t="s">
        <v>13</v>
      </c>
      <c r="J536" s="3" t="s">
        <v>1714</v>
      </c>
      <c r="K536" s="3" t="s">
        <v>19</v>
      </c>
      <c r="L536" s="3" t="str">
        <f>IFERROR(__xludf.DUMMYFUNCTION("GOOGLETRANSLATE(F536,""id"",""en"")"),"The results of the French Argentina Final Maria Gol Gol Score one step a step away by the World Cup championship")</f>
        <v>The results of the French Argentina Final Maria Gol Gol Score one step a step away by the World Cup championship</v>
      </c>
    </row>
    <row r="537" ht="15.75" customHeight="1">
      <c r="A537" s="1">
        <v>536.0</v>
      </c>
      <c r="B537" s="3" t="s">
        <v>1715</v>
      </c>
      <c r="C537" s="3">
        <v>1.0</v>
      </c>
      <c r="D537" s="3">
        <v>1.0</v>
      </c>
      <c r="E537" s="3">
        <v>22.0</v>
      </c>
      <c r="F537" s="3" t="s">
        <v>1716</v>
      </c>
      <c r="G537" s="3">
        <v>0.75</v>
      </c>
      <c r="H537" s="3">
        <v>0.25</v>
      </c>
      <c r="I537" s="3" t="s">
        <v>48</v>
      </c>
      <c r="J537" s="3" t="s">
        <v>1717</v>
      </c>
      <c r="K537" s="3" t="s">
        <v>499</v>
      </c>
      <c r="L537" s="3" t="str">
        <f>IFERROR(__xludf.DUMMYFUNCTION("GOOGLETRANSLATE(F537,""id"",""en"")"),"MBAPP became the key figure of Les Blues ahead of the final match against Argentina with three goals, Mbappe successfully became the top score in the World Cup")</f>
        <v>MBAPP became the key figure of Les Blues ahead of the final match against Argentina with three goals, Mbappe successfully became the top score in the World Cup</v>
      </c>
    </row>
    <row r="538" ht="15.75" customHeight="1">
      <c r="A538" s="1">
        <v>537.0</v>
      </c>
      <c r="B538" s="3" t="s">
        <v>1718</v>
      </c>
      <c r="C538" s="3">
        <v>0.0</v>
      </c>
      <c r="D538" s="3">
        <v>0.0</v>
      </c>
      <c r="E538" s="3">
        <v>0.0</v>
      </c>
      <c r="F538" s="3" t="s">
        <v>1719</v>
      </c>
      <c r="G538" s="3">
        <v>0.7999999999999999</v>
      </c>
      <c r="H538" s="3">
        <v>0.03333333333333333</v>
      </c>
      <c r="I538" s="3" t="s">
        <v>48</v>
      </c>
      <c r="J538" s="3" t="s">
        <v>1720</v>
      </c>
      <c r="K538" s="3" t="s">
        <v>58</v>
      </c>
      <c r="L538" s="3" t="str">
        <f>IFERROR(__xludf.DUMMYFUNCTION("GOOGLETRANSLATE(F538,""id"",""en"")"),"Epic Comeback Lose Final Copa World Cup Final was blasphemed for years until he had time to retire")</f>
        <v>Epic Comeback Lose Final Copa World Cup Final was blasphemed for years until he had time to retire</v>
      </c>
    </row>
    <row r="539" ht="15.75" customHeight="1">
      <c r="A539" s="1">
        <v>538.0</v>
      </c>
      <c r="B539" s="3" t="s">
        <v>1721</v>
      </c>
      <c r="C539" s="3">
        <v>0.0</v>
      </c>
      <c r="D539" s="3">
        <v>0.0</v>
      </c>
      <c r="E539" s="3">
        <v>0.0</v>
      </c>
      <c r="F539" s="3" t="s">
        <v>1721</v>
      </c>
      <c r="G539" s="3">
        <v>1.0</v>
      </c>
      <c r="H539" s="3">
        <v>0.0</v>
      </c>
      <c r="I539" s="3" t="s">
        <v>13</v>
      </c>
      <c r="J539" s="3" t="s">
        <v>1722</v>
      </c>
      <c r="K539" s="3" t="s">
        <v>54</v>
      </c>
      <c r="L539" s="3" t="str">
        <f>IFERROR(__xludf.DUMMYFUNCTION("GOOGLETRANSLATE(F539,""id"",""en"")"),"the best world cup final of all time")</f>
        <v>the best world cup final of all time</v>
      </c>
    </row>
    <row r="540" ht="15.75" customHeight="1">
      <c r="A540" s="1">
        <v>539.0</v>
      </c>
      <c r="B540" s="3" t="s">
        <v>1723</v>
      </c>
      <c r="C540" s="3">
        <v>0.0</v>
      </c>
      <c r="D540" s="3">
        <v>0.0</v>
      </c>
      <c r="E540" s="3">
        <v>0.0</v>
      </c>
      <c r="F540" s="3" t="s">
        <v>1724</v>
      </c>
      <c r="G540" s="3">
        <v>0.65</v>
      </c>
      <c r="H540" s="3">
        <v>0.1</v>
      </c>
      <c r="I540" s="3" t="s">
        <v>48</v>
      </c>
      <c r="J540" s="3" t="s">
        <v>1725</v>
      </c>
      <c r="K540" s="3" t="s">
        <v>82</v>
      </c>
      <c r="L540" s="3" t="str">
        <f>IFERROR(__xludf.DUMMYFUNCTION("GOOGLETRANSLATE(F540,""id"",""en"")"),"The best world cup final has ever watched haha")</f>
        <v>The best world cup final has ever watched haha</v>
      </c>
    </row>
    <row r="541" ht="15.75" customHeight="1">
      <c r="A541" s="1">
        <v>540.0</v>
      </c>
      <c r="B541" s="3" t="s">
        <v>1726</v>
      </c>
      <c r="C541" s="3">
        <v>0.0</v>
      </c>
      <c r="D541" s="3">
        <v>0.0</v>
      </c>
      <c r="E541" s="3">
        <v>0.0</v>
      </c>
      <c r="F541" s="3" t="s">
        <v>1727</v>
      </c>
      <c r="G541" s="3">
        <v>0.775</v>
      </c>
      <c r="H541" s="3">
        <v>0.175</v>
      </c>
      <c r="I541" s="3" t="s">
        <v>48</v>
      </c>
      <c r="J541" s="3" t="s">
        <v>1728</v>
      </c>
      <c r="K541" s="3" t="s">
        <v>1729</v>
      </c>
      <c r="L541" s="3" t="str">
        <f>IFERROR(__xludf.DUMMYFUNCTION("GOOGLETRANSLATE(F541,""id"",""en"")"),"Yak finished the Qatar World Cup, the first time yesterday, the first time the video subsidies for watching Arabic Argentina full match, just finished too many world cup dramas this time starting from the defeat of Germany and Argentina the inaugural matc"&amp;"h until the final was very exciting")</f>
        <v>Yak finished the Qatar World Cup, the first time yesterday, the first time the video subsidies for watching Arabic Argentina full match, just finished too many world cup dramas this time starting from the defeat of Germany and Argentina the inaugural match until the final was very exciting</v>
      </c>
    </row>
    <row r="542" ht="15.75" customHeight="1">
      <c r="A542" s="1">
        <v>541.0</v>
      </c>
      <c r="B542" s="3" t="s">
        <v>1730</v>
      </c>
      <c r="C542" s="3">
        <v>0.0</v>
      </c>
      <c r="D542" s="3">
        <v>0.0</v>
      </c>
      <c r="E542" s="3">
        <v>0.0</v>
      </c>
      <c r="F542" s="3" t="s">
        <v>1731</v>
      </c>
      <c r="G542" s="3">
        <v>1.0</v>
      </c>
      <c r="H542" s="3">
        <v>0.0</v>
      </c>
      <c r="I542" s="3" t="s">
        <v>13</v>
      </c>
      <c r="J542" s="3" t="s">
        <v>1732</v>
      </c>
      <c r="K542" s="3" t="s">
        <v>31</v>
      </c>
      <c r="L542" s="3" t="str">
        <f>IFERROR(__xludf.DUMMYFUNCTION("GOOGLETRANSLATE(F542,""id"",""en"")"),"The World Cup Final is crazy")</f>
        <v>The World Cup Final is crazy</v>
      </c>
    </row>
    <row r="543" ht="15.75" customHeight="1">
      <c r="A543" s="1">
        <v>542.0</v>
      </c>
      <c r="B543" s="3" t="s">
        <v>1733</v>
      </c>
      <c r="C543" s="3">
        <v>0.0</v>
      </c>
      <c r="D543" s="3">
        <v>0.0</v>
      </c>
      <c r="E543" s="3">
        <v>4.0</v>
      </c>
      <c r="F543" s="3" t="s">
        <v>1734</v>
      </c>
      <c r="G543" s="3">
        <v>1.0</v>
      </c>
      <c r="H543" s="3">
        <v>0.0</v>
      </c>
      <c r="I543" s="3" t="s">
        <v>13</v>
      </c>
      <c r="J543" s="3" t="s">
        <v>1735</v>
      </c>
      <c r="K543" s="3" t="s">
        <v>127</v>
      </c>
      <c r="L543" s="3" t="str">
        <f>IFERROR(__xludf.DUMMYFUNCTION("GOOGLETRANSLATE(F543,""id"",""en"")"),"The best final in the history of the World Cup eating tempeh mixed with rice even though the goal was bought up by the champion still Messi")</f>
        <v>The best final in the history of the World Cup eating tempeh mixed with rice even though the goal was bought up by the champion still Messi</v>
      </c>
    </row>
    <row r="544" ht="15.75" customHeight="1">
      <c r="A544" s="1">
        <v>543.0</v>
      </c>
      <c r="B544" s="3" t="s">
        <v>1736</v>
      </c>
      <c r="C544" s="3">
        <v>0.0</v>
      </c>
      <c r="D544" s="3">
        <v>0.0</v>
      </c>
      <c r="E544" s="3">
        <v>0.0</v>
      </c>
      <c r="F544" s="3" t="s">
        <v>665</v>
      </c>
      <c r="G544" s="3">
        <v>1.0</v>
      </c>
      <c r="H544" s="3">
        <v>0.0</v>
      </c>
      <c r="I544" s="3" t="s">
        <v>13</v>
      </c>
      <c r="J544" s="3" t="s">
        <v>666</v>
      </c>
      <c r="K544" s="3" t="s">
        <v>644</v>
      </c>
      <c r="L544" s="3" t="str">
        <f>IFERROR(__xludf.DUMMYFUNCTION("GOOGLETRANSLATE(F544,""id"",""en"")"),"the best world cup final")</f>
        <v>the best world cup final</v>
      </c>
    </row>
    <row r="545" ht="15.75" customHeight="1">
      <c r="A545" s="1">
        <v>544.0</v>
      </c>
      <c r="B545" s="3" t="s">
        <v>1737</v>
      </c>
      <c r="C545" s="3">
        <v>0.0</v>
      </c>
      <c r="D545" s="3">
        <v>0.0</v>
      </c>
      <c r="E545" s="3">
        <v>0.0</v>
      </c>
      <c r="F545" s="3" t="s">
        <v>1738</v>
      </c>
      <c r="G545" s="3">
        <v>1.0</v>
      </c>
      <c r="H545" s="3">
        <v>0.0</v>
      </c>
      <c r="I545" s="3" t="s">
        <v>13</v>
      </c>
      <c r="J545" s="3" t="s">
        <v>1739</v>
      </c>
      <c r="K545" s="3" t="s">
        <v>31</v>
      </c>
      <c r="L545" s="3" t="str">
        <f>IFERROR(__xludf.DUMMYFUNCTION("GOOGLETRANSLATE(F545,""id"",""en"")"),"Final of the Fun Cok World Cup")</f>
        <v>Final of the Fun Cok World Cup</v>
      </c>
    </row>
    <row r="546" ht="15.75" customHeight="1">
      <c r="A546" s="1">
        <v>545.0</v>
      </c>
      <c r="B546" s="3" t="s">
        <v>1740</v>
      </c>
      <c r="C546" s="3">
        <v>0.0</v>
      </c>
      <c r="D546" s="3">
        <v>0.0</v>
      </c>
      <c r="E546" s="3">
        <v>0.0</v>
      </c>
      <c r="F546" s="3" t="s">
        <v>1741</v>
      </c>
      <c r="G546" s="3">
        <v>1.0</v>
      </c>
      <c r="H546" s="3">
        <v>0.0</v>
      </c>
      <c r="I546" s="3" t="s">
        <v>13</v>
      </c>
      <c r="J546" s="3" t="s">
        <v>1742</v>
      </c>
      <c r="K546" s="3" t="s">
        <v>1518</v>
      </c>
      <c r="L546" s="3" t="str">
        <f>IFERROR(__xludf.DUMMYFUNCTION("GOOGLETRANSLATE(F546,""id"",""en"")"),"Drama Penalty Arguing presented the World Cup Final after the draw lasted until the time for extra time finally Argentina came out as champions in accordance with the expectations of friends not here")</f>
        <v>Drama Penalty Arguing presented the World Cup Final after the draw lasted until the time for extra time finally Argentina came out as champions in accordance with the expectations of friends not here</v>
      </c>
    </row>
    <row r="547" ht="15.75" customHeight="1">
      <c r="A547" s="1">
        <v>546.0</v>
      </c>
      <c r="B547" s="3" t="s">
        <v>1743</v>
      </c>
      <c r="C547" s="3">
        <v>0.0</v>
      </c>
      <c r="D547" s="3">
        <v>0.0</v>
      </c>
      <c r="E547" s="3">
        <v>0.0</v>
      </c>
      <c r="F547" s="3" t="s">
        <v>1744</v>
      </c>
      <c r="G547" s="3">
        <v>0.875</v>
      </c>
      <c r="H547" s="3">
        <v>0.1875</v>
      </c>
      <c r="I547" s="3" t="s">
        <v>48</v>
      </c>
      <c r="J547" s="3" t="s">
        <v>1745</v>
      </c>
      <c r="K547" s="3" t="s">
        <v>240</v>
      </c>
      <c r="L547" s="3" t="str">
        <f>IFERROR(__xludf.DUMMYFUNCTION("GOOGLETRANSLATE(F547,""id"",""en"")"),"Want to watch Reborn Rich but still carrying the euphoria of the World Cup Final is not ready to be sad left to die Opung Jin Yang Choel")</f>
        <v>Want to watch Reborn Rich but still carrying the euphoria of the World Cup Final is not ready to be sad left to die Opung Jin Yang Choel</v>
      </c>
    </row>
    <row r="548" ht="15.75" customHeight="1">
      <c r="A548" s="1">
        <v>547.0</v>
      </c>
      <c r="B548" s="3" t="s">
        <v>1746</v>
      </c>
      <c r="C548" s="3">
        <v>0.0</v>
      </c>
      <c r="D548" s="3">
        <v>0.0</v>
      </c>
      <c r="E548" s="3">
        <v>0.0</v>
      </c>
      <c r="F548" s="3" t="s">
        <v>1747</v>
      </c>
      <c r="G548" s="3">
        <v>1.0</v>
      </c>
      <c r="H548" s="3">
        <v>0.0</v>
      </c>
      <c r="I548" s="3" t="s">
        <v>13</v>
      </c>
      <c r="J548" s="3" t="s">
        <v>1748</v>
      </c>
      <c r="K548" s="3" t="s">
        <v>94</v>
      </c>
      <c r="L548" s="3" t="str">
        <f>IFERROR(__xludf.DUMMYFUNCTION("GOOGLETRANSLATE(F548,""id"",""en"")"),"Nobar Final World Cup Bekasi Metro Police Chief Commissioner Pol Gidion Arif Setyawan together with Dandim Lt. Col. Inf Horison Ramadhan and residents joined watching together with the Nobar Nobar of the Segarajaya Tarumajaya Village Page Bekasi Regency S"&amp;"unday Sunday")</f>
        <v>Nobar Final World Cup Bekasi Metro Police Chief Commissioner Pol Gidion Arif Setyawan together with Dandim Lt. Col. Inf Horison Ramadhan and residents joined watching together with the Nobar Nobar of the Segarajaya Tarumajaya Village Page Bekasi Regency Sunday Sunday</v>
      </c>
    </row>
    <row r="549" ht="15.75" customHeight="1">
      <c r="A549" s="1">
        <v>548.0</v>
      </c>
      <c r="B549" s="3" t="s">
        <v>1749</v>
      </c>
      <c r="C549" s="3">
        <v>0.0</v>
      </c>
      <c r="D549" s="3">
        <v>1.0</v>
      </c>
      <c r="E549" s="3">
        <v>1.0</v>
      </c>
      <c r="F549" s="3" t="s">
        <v>1750</v>
      </c>
      <c r="G549" s="3">
        <v>0.611111111111111</v>
      </c>
      <c r="H549" s="3">
        <v>0.05555555555555555</v>
      </c>
      <c r="I549" s="3" t="s">
        <v>48</v>
      </c>
      <c r="J549" s="3" t="s">
        <v>1751</v>
      </c>
      <c r="K549" s="3" t="s">
        <v>348</v>
      </c>
      <c r="L549" s="3" t="str">
        <f>IFERROR(__xludf.DUMMYFUNCTION("GOOGLETRANSLATE(F549,""id"",""en"")"),"mbappe will bigger than his idol imo what player hatrick final world cup goals only in the edition and can still play the world cup again damn")</f>
        <v>mbappe will bigger than his idol imo what player hatrick final world cup goals only in the edition and can still play the world cup again damn</v>
      </c>
    </row>
    <row r="550" ht="15.75" customHeight="1">
      <c r="A550" s="1">
        <v>549.0</v>
      </c>
      <c r="B550" s="3" t="s">
        <v>1752</v>
      </c>
      <c r="C550" s="3">
        <v>0.0</v>
      </c>
      <c r="D550" s="3">
        <v>0.0</v>
      </c>
      <c r="E550" s="3">
        <v>0.0</v>
      </c>
      <c r="F550" s="3" t="s">
        <v>1753</v>
      </c>
      <c r="G550" s="3">
        <v>1.0</v>
      </c>
      <c r="H550" s="3">
        <v>0.0</v>
      </c>
      <c r="I550" s="3" t="s">
        <v>13</v>
      </c>
      <c r="J550" s="3" t="s">
        <v>1754</v>
      </c>
      <c r="K550" s="3" t="s">
        <v>491</v>
      </c>
      <c r="L550" s="3" t="str">
        <f>IFERROR(__xludf.DUMMYFUNCTION("GOOGLETRANSLATE(F550,""id"",""en"")"),"December tonight will be remembered as a night where one of the best World Cup finals takes place and also the night where the tension is working on the Amlat Journal")</f>
        <v>December tonight will be remembered as a night where one of the best World Cup finals takes place and also the night where the tension is working on the Amlat Journal</v>
      </c>
    </row>
    <row r="551" ht="15.75" customHeight="1">
      <c r="A551" s="1">
        <v>550.0</v>
      </c>
      <c r="B551" s="3" t="s">
        <v>1755</v>
      </c>
      <c r="C551" s="3">
        <v>1.0</v>
      </c>
      <c r="D551" s="3">
        <v>3.0</v>
      </c>
      <c r="E551" s="3">
        <v>22.0</v>
      </c>
      <c r="F551" s="3" t="s">
        <v>1756</v>
      </c>
      <c r="G551" s="3">
        <v>0.75</v>
      </c>
      <c r="H551" s="3">
        <v>0.25</v>
      </c>
      <c r="I551" s="3" t="s">
        <v>48</v>
      </c>
      <c r="J551" s="3" t="s">
        <v>1757</v>
      </c>
      <c r="K551" s="3" t="s">
        <v>50</v>
      </c>
      <c r="L551" s="3" t="str">
        <f>IFERROR(__xludf.DUMMYFUNCTION("GOOGLETRANSLATE(F551,""id"",""en"")"),"Kylian Mbappe World Cup Final Hattrick Print Record and Becomes Top Score")</f>
        <v>Kylian Mbappe World Cup Final Hattrick Print Record and Becomes Top Score</v>
      </c>
    </row>
    <row r="552" ht="15.75" customHeight="1">
      <c r="A552" s="1">
        <v>551.0</v>
      </c>
      <c r="B552" s="3" t="s">
        <v>1758</v>
      </c>
      <c r="C552" s="3">
        <v>0.0</v>
      </c>
      <c r="D552" s="3">
        <v>0.0</v>
      </c>
      <c r="E552" s="3">
        <v>0.0</v>
      </c>
      <c r="F552" s="3" t="s">
        <v>1759</v>
      </c>
      <c r="G552" s="3">
        <v>1.0</v>
      </c>
      <c r="H552" s="3">
        <v>0.0</v>
      </c>
      <c r="I552" s="3" t="s">
        <v>13</v>
      </c>
      <c r="J552" s="3" t="s">
        <v>1760</v>
      </c>
      <c r="K552" s="3" t="s">
        <v>75</v>
      </c>
      <c r="L552" s="3" t="str">
        <f>IFERROR(__xludf.DUMMYFUNCTION("GOOGLETRANSLATE(F552,""id"",""en"")"),"Final Night of the FIFA World Cup Qatar Lhokseumawe Aceh")</f>
        <v>Final Night of the FIFA World Cup Qatar Lhokseumawe Aceh</v>
      </c>
    </row>
    <row r="553" ht="15.75" customHeight="1">
      <c r="A553" s="1">
        <v>552.0</v>
      </c>
      <c r="B553" s="3" t="s">
        <v>1761</v>
      </c>
      <c r="C553" s="3">
        <v>0.0</v>
      </c>
      <c r="D553" s="3">
        <v>0.0</v>
      </c>
      <c r="E553" s="3">
        <v>0.0</v>
      </c>
      <c r="F553" s="3" t="s">
        <v>1761</v>
      </c>
      <c r="G553" s="3">
        <v>1.0</v>
      </c>
      <c r="H553" s="3">
        <v>0.0</v>
      </c>
      <c r="I553" s="3" t="s">
        <v>13</v>
      </c>
      <c r="J553" s="3" t="s">
        <v>1762</v>
      </c>
      <c r="K553" s="3" t="s">
        <v>31</v>
      </c>
      <c r="L553" s="3" t="str">
        <f>IFERROR(__xludf.DUMMYFUNCTION("GOOGLETRANSLATE(F553,""id"",""en"")"),"the best world cup final in my opinion")</f>
        <v>the best world cup final in my opinion</v>
      </c>
    </row>
    <row r="554" ht="15.75" customHeight="1">
      <c r="A554" s="1">
        <v>553.0</v>
      </c>
      <c r="B554" s="3" t="s">
        <v>1763</v>
      </c>
      <c r="C554" s="3">
        <v>0.0</v>
      </c>
      <c r="D554" s="3">
        <v>0.0</v>
      </c>
      <c r="E554" s="3">
        <v>14.0</v>
      </c>
      <c r="F554" s="3" t="s">
        <v>1764</v>
      </c>
      <c r="G554" s="3">
        <v>1.0</v>
      </c>
      <c r="H554" s="3">
        <v>0.0</v>
      </c>
      <c r="I554" s="3" t="s">
        <v>13</v>
      </c>
      <c r="J554" s="3" t="s">
        <v>1765</v>
      </c>
      <c r="K554" s="3" t="s">
        <v>15</v>
      </c>
      <c r="L554" s="3" t="str">
        <f>IFERROR(__xludf.DUMMYFUNCTION("GOOGLETRANSLATE(F554,""id"",""en"")"),"Redsindo Best Rescue in the History of the World Cup Final")</f>
        <v>Redsindo Best Rescue in the History of the World Cup Final</v>
      </c>
    </row>
    <row r="555" ht="15.75" customHeight="1">
      <c r="A555" s="1">
        <v>554.0</v>
      </c>
      <c r="B555" s="3" t="s">
        <v>1766</v>
      </c>
      <c r="C555" s="3">
        <v>0.0</v>
      </c>
      <c r="D555" s="3">
        <v>2.0</v>
      </c>
      <c r="E555" s="3">
        <v>13.0</v>
      </c>
      <c r="F555" s="3" t="s">
        <v>1767</v>
      </c>
      <c r="G555" s="3">
        <v>1.0</v>
      </c>
      <c r="H555" s="3">
        <v>0.3875</v>
      </c>
      <c r="I555" s="3" t="s">
        <v>48</v>
      </c>
      <c r="J555" s="3" t="s">
        <v>1768</v>
      </c>
      <c r="K555" s="3" t="s">
        <v>192</v>
      </c>
      <c r="L555" s="3" t="str">
        <f>IFERROR(__xludf.DUMMYFUNCTION("GOOGLETRANSLATE(F555,""id"",""en"")"),"Stunning Thrilling Proudly can watch the history of the Final World Cup The best long debate ends about who is the best my respect for Ronaldo but you know what Messi has completed football he is the best player of all time Goat")</f>
        <v>Stunning Thrilling Proudly can watch the history of the Final World Cup The best long debate ends about who is the best my respect for Ronaldo but you know what Messi has completed football he is the best player of all time Goat</v>
      </c>
    </row>
    <row r="556" ht="15.75" customHeight="1">
      <c r="A556" s="1">
        <v>555.0</v>
      </c>
      <c r="B556" s="3" t="s">
        <v>1769</v>
      </c>
      <c r="C556" s="3">
        <v>0.0</v>
      </c>
      <c r="D556" s="3">
        <v>0.0</v>
      </c>
      <c r="E556" s="3">
        <v>0.0</v>
      </c>
      <c r="F556" s="3" t="s">
        <v>1770</v>
      </c>
      <c r="G556" s="3">
        <v>1.0</v>
      </c>
      <c r="H556" s="3">
        <v>0.0</v>
      </c>
      <c r="I556" s="3" t="s">
        <v>13</v>
      </c>
      <c r="J556" s="3" t="s">
        <v>1771</v>
      </c>
      <c r="K556" s="3" t="s">
        <v>1293</v>
      </c>
      <c r="L556" s="3" t="str">
        <f>IFERROR(__xludf.DUMMYFUNCTION("GOOGLETRANSLATE(F556,""id"",""en"")"),"The lesson was picked at the world of the World Cup tonight so it became more aware of which friends were hypocritical friends in essence Messi Champion")</f>
        <v>The lesson was picked at the world of the World Cup tonight so it became more aware of which friends were hypocritical friends in essence Messi Champion</v>
      </c>
    </row>
    <row r="557" ht="15.75" customHeight="1">
      <c r="A557" s="1">
        <v>556.0</v>
      </c>
      <c r="B557" s="3" t="s">
        <v>1772</v>
      </c>
      <c r="C557" s="3">
        <v>0.0</v>
      </c>
      <c r="D557" s="3">
        <v>0.0</v>
      </c>
      <c r="E557" s="3">
        <v>1.0</v>
      </c>
      <c r="F557" s="3" t="s">
        <v>1773</v>
      </c>
      <c r="G557" s="3">
        <v>0.6</v>
      </c>
      <c r="H557" s="3">
        <v>0.1</v>
      </c>
      <c r="I557" s="3" t="s">
        <v>48</v>
      </c>
      <c r="J557" s="3" t="s">
        <v>1774</v>
      </c>
      <c r="K557" s="3" t="s">
        <v>374</v>
      </c>
      <c r="L557" s="3" t="str">
        <f>IFERROR(__xludf.DUMMYFUNCTION("GOOGLETRANSLATE(F557,""id"",""en"")"),"The Coolest World Cup Final Taking Detailed Detailers of Technology, very okay nodrama lenjeh lenjeh game balanced games deserve all finalist players of all the concepts of the closing ceremony very cool lighting of the stage")</f>
        <v>The Coolest World Cup Final Taking Detailed Detailers of Technology, very okay nodrama lenjeh lenjeh game balanced games deserve all finalist players of all the concepts of the closing ceremony very cool lighting of the stage</v>
      </c>
    </row>
    <row r="558" ht="15.75" customHeight="1">
      <c r="A558" s="1">
        <v>557.0</v>
      </c>
      <c r="B558" s="3" t="s">
        <v>1775</v>
      </c>
      <c r="C558" s="3">
        <v>0.0</v>
      </c>
      <c r="D558" s="3">
        <v>0.0</v>
      </c>
      <c r="E558" s="3">
        <v>0.0</v>
      </c>
      <c r="F558" s="3" t="s">
        <v>1776</v>
      </c>
      <c r="G558" s="3">
        <v>0.5666666666666668</v>
      </c>
      <c r="H558" s="3">
        <v>0.1</v>
      </c>
      <c r="I558" s="3" t="s">
        <v>48</v>
      </c>
      <c r="J558" s="3" t="s">
        <v>1777</v>
      </c>
      <c r="K558" s="3" t="s">
        <v>433</v>
      </c>
      <c r="L558" s="3" t="str">
        <f>IFERROR(__xludf.DUMMYFUNCTION("GOOGLETRANSLATE(F558,""id"",""en"")"),"Congrats Agen Congrats Messi The Real Goat Final of the Epic World Cup all time")</f>
        <v>Congrats Agen Congrats Messi The Real Goat Final of the Epic World Cup all time</v>
      </c>
    </row>
    <row r="559" ht="15.75" customHeight="1">
      <c r="A559" s="1">
        <v>558.0</v>
      </c>
      <c r="B559" s="3" t="s">
        <v>1778</v>
      </c>
      <c r="C559" s="3">
        <v>0.0</v>
      </c>
      <c r="D559" s="3">
        <v>0.0</v>
      </c>
      <c r="E559" s="3">
        <v>0.0</v>
      </c>
      <c r="F559" s="3" t="s">
        <v>1721</v>
      </c>
      <c r="G559" s="3">
        <v>1.0</v>
      </c>
      <c r="H559" s="3">
        <v>0.0</v>
      </c>
      <c r="I559" s="3" t="s">
        <v>13</v>
      </c>
      <c r="J559" s="3" t="s">
        <v>1722</v>
      </c>
      <c r="K559" s="3" t="s">
        <v>54</v>
      </c>
      <c r="L559" s="3" t="str">
        <f>IFERROR(__xludf.DUMMYFUNCTION("GOOGLETRANSLATE(F559,""id"",""en"")"),"the best world cup final of all time")</f>
        <v>the best world cup final of all time</v>
      </c>
    </row>
    <row r="560" ht="15.75" customHeight="1">
      <c r="A560" s="1">
        <v>559.0</v>
      </c>
      <c r="B560" s="3" t="s">
        <v>1779</v>
      </c>
      <c r="C560" s="3">
        <v>0.0</v>
      </c>
      <c r="D560" s="3">
        <v>0.0</v>
      </c>
      <c r="E560" s="3">
        <v>0.0</v>
      </c>
      <c r="F560" s="3" t="s">
        <v>1780</v>
      </c>
      <c r="G560" s="3">
        <v>1.0</v>
      </c>
      <c r="H560" s="3">
        <v>0.0</v>
      </c>
      <c r="I560" s="3" t="s">
        <v>13</v>
      </c>
      <c r="J560" s="3" t="s">
        <v>1781</v>
      </c>
      <c r="K560" s="3" t="s">
        <v>1782</v>
      </c>
      <c r="L560" s="3" t="str">
        <f>IFERROR(__xludf.DUMMYFUNCTION("GOOGLETRANSLATE(F560,""id"",""en"")"),"TERRRRRRRRRRRRRRRRRRRRRRr")</f>
        <v>TERRRRRRRRRRRRRRRRRRRRRRr</v>
      </c>
    </row>
    <row r="561" ht="15.75" customHeight="1">
      <c r="A561" s="1">
        <v>560.0</v>
      </c>
      <c r="B561" s="3" t="s">
        <v>1783</v>
      </c>
      <c r="C561" s="3">
        <v>0.0</v>
      </c>
      <c r="D561" s="3">
        <v>0.0</v>
      </c>
      <c r="E561" s="3">
        <v>1.0</v>
      </c>
      <c r="F561" s="3" t="s">
        <v>1784</v>
      </c>
      <c r="G561" s="3">
        <v>1.0</v>
      </c>
      <c r="H561" s="3">
        <v>0.0</v>
      </c>
      <c r="I561" s="3" t="s">
        <v>13</v>
      </c>
      <c r="J561" s="3" t="s">
        <v>1785</v>
      </c>
      <c r="K561" s="3" t="s">
        <v>184</v>
      </c>
      <c r="L561" s="3" t="str">
        <f>IFERROR(__xludf.DUMMYFUNCTION("GOOGLETRANSLATE(F561,""id"",""en"")"),"Watch the Final World Cup Final Match quickly and put a bet according to the Feeling of the State Team of your choice, Google is fast")</f>
        <v>Watch the Final World Cup Final Match quickly and put a bet according to the Feeling of the State Team of your choice, Google is fast</v>
      </c>
    </row>
    <row r="562" ht="15.75" customHeight="1">
      <c r="A562" s="1">
        <v>561.0</v>
      </c>
      <c r="B562" s="3" t="s">
        <v>1786</v>
      </c>
      <c r="C562" s="3">
        <v>0.0</v>
      </c>
      <c r="D562" s="3">
        <v>0.0</v>
      </c>
      <c r="E562" s="3">
        <v>0.0</v>
      </c>
      <c r="F562" s="3" t="s">
        <v>1787</v>
      </c>
      <c r="G562" s="3">
        <v>1.0</v>
      </c>
      <c r="H562" s="3">
        <v>0.0</v>
      </c>
      <c r="I562" s="3" t="s">
        <v>13</v>
      </c>
      <c r="J562" s="3" t="s">
        <v>1788</v>
      </c>
      <c r="K562" s="3" t="s">
        <v>1359</v>
      </c>
      <c r="L562" s="3" t="str">
        <f>IFERROR(__xludf.DUMMYFUNCTION("GOOGLETRANSLATE(F562,""id"",""en"")"),"The Best World Cup Final Match The Best Player of the World of Qatar")</f>
        <v>The Best World Cup Final Match The Best Player of the World of Qatar</v>
      </c>
    </row>
    <row r="563" ht="15.75" customHeight="1">
      <c r="A563" s="1">
        <v>562.0</v>
      </c>
      <c r="B563" s="3" t="s">
        <v>1789</v>
      </c>
      <c r="C563" s="3">
        <v>0.0</v>
      </c>
      <c r="D563" s="3">
        <v>0.0</v>
      </c>
      <c r="E563" s="3">
        <v>1.0</v>
      </c>
      <c r="F563" s="3" t="s">
        <v>1790</v>
      </c>
      <c r="G563" s="3">
        <v>1.0</v>
      </c>
      <c r="H563" s="3">
        <v>0.5</v>
      </c>
      <c r="I563" s="3" t="s">
        <v>48</v>
      </c>
      <c r="J563" s="3" t="s">
        <v>1791</v>
      </c>
      <c r="K563" s="3" t="s">
        <v>358</v>
      </c>
      <c r="L563" s="3" t="str">
        <f>IFERROR(__xludf.DUMMYFUNCTION("GOOGLETRANSLATE(F563,""id"",""en"")"),"The best World Cup final I have ever watched Lionel Messi The Greatest All Time Messi Maradona Messi Cristiano Ronaldo")</f>
        <v>The best World Cup final I have ever watched Lionel Messi The Greatest All Time Messi Maradona Messi Cristiano Ronaldo</v>
      </c>
    </row>
    <row r="564" ht="15.75" customHeight="1">
      <c r="A564" s="1">
        <v>563.0</v>
      </c>
      <c r="B564" s="3" t="s">
        <v>1792</v>
      </c>
      <c r="C564" s="3">
        <v>0.0</v>
      </c>
      <c r="D564" s="3">
        <v>0.0</v>
      </c>
      <c r="E564" s="3">
        <v>0.0</v>
      </c>
      <c r="F564" s="3" t="s">
        <v>1793</v>
      </c>
      <c r="G564" s="3">
        <v>0.0</v>
      </c>
      <c r="H564" s="3">
        <v>0.0</v>
      </c>
      <c r="I564" s="3" t="s">
        <v>13</v>
      </c>
      <c r="J564" s="3" t="s">
        <v>1794</v>
      </c>
      <c r="K564" s="3" t="s">
        <v>41</v>
      </c>
      <c r="L564" s="3" t="str">
        <f>IFERROR(__xludf.DUMMYFUNCTION("GOOGLETRANSLATE(F564,""id"",""en"")"),"England became the team's most just playing team during the tournament")</f>
        <v>England became the team's most just playing team during the tournament</v>
      </c>
    </row>
    <row r="565" ht="15.75" customHeight="1">
      <c r="A565" s="1">
        <v>564.0</v>
      </c>
      <c r="B565" s="3" t="s">
        <v>1795</v>
      </c>
      <c r="C565" s="3">
        <v>1.0</v>
      </c>
      <c r="D565" s="3">
        <v>0.0</v>
      </c>
      <c r="E565" s="3">
        <v>0.0</v>
      </c>
      <c r="F565" s="3" t="s">
        <v>1796</v>
      </c>
      <c r="G565" s="3">
        <v>0.65</v>
      </c>
      <c r="H565" s="3">
        <v>0.1</v>
      </c>
      <c r="I565" s="3" t="s">
        <v>48</v>
      </c>
      <c r="J565" s="3" t="s">
        <v>1797</v>
      </c>
      <c r="K565" s="3" t="s">
        <v>997</v>
      </c>
      <c r="L565" s="3" t="str">
        <f>IFERROR(__xludf.DUMMYFUNCTION("GOOGLETRANSLATE(F565,""id"",""en"")"),"Ouch, I imagine the grandfather watching the World Cup Final Match Two Humans Different Generation of Watching Modern Football How a statement is crazy about how to enjoy it the match will be Degdegan Meni")</f>
        <v>Ouch, I imagine the grandfather watching the World Cup Final Match Two Humans Different Generation of Watching Modern Football How a statement is crazy about how to enjoy it the match will be Degdegan Meni</v>
      </c>
    </row>
    <row r="566" ht="15.75" customHeight="1">
      <c r="A566" s="1">
        <v>565.0</v>
      </c>
      <c r="B566" s="3" t="s">
        <v>1798</v>
      </c>
      <c r="C566" s="3">
        <v>0.0</v>
      </c>
      <c r="D566" s="3">
        <v>0.0</v>
      </c>
      <c r="E566" s="3">
        <v>0.0</v>
      </c>
      <c r="F566" s="3" t="s">
        <v>563</v>
      </c>
      <c r="G566" s="3">
        <v>1.0</v>
      </c>
      <c r="H566" s="3">
        <v>0.0</v>
      </c>
      <c r="I566" s="3" t="s">
        <v>13</v>
      </c>
      <c r="J566" s="3" t="s">
        <v>564</v>
      </c>
      <c r="K566" s="3" t="s">
        <v>75</v>
      </c>
      <c r="L566" s="3" t="str">
        <f>IFERROR(__xludf.DUMMYFUNCTION("GOOGLETRANSLATE(F566,""id"",""en"")"),"Man the match of the French Argentine World Cup Final Lionel Messi")</f>
        <v>Man the match of the French Argentine World Cup Final Lionel Messi</v>
      </c>
    </row>
    <row r="567" ht="15.75" customHeight="1">
      <c r="A567" s="1">
        <v>566.0</v>
      </c>
      <c r="B567" s="3" t="s">
        <v>1799</v>
      </c>
      <c r="C567" s="3">
        <v>0.0</v>
      </c>
      <c r="D567" s="3">
        <v>0.0</v>
      </c>
      <c r="E567" s="3">
        <v>1.0</v>
      </c>
      <c r="F567" s="3" t="s">
        <v>1800</v>
      </c>
      <c r="G567" s="3">
        <v>1.0</v>
      </c>
      <c r="H567" s="3">
        <v>0.0</v>
      </c>
      <c r="I567" s="3" t="s">
        <v>13</v>
      </c>
      <c r="J567" s="3" t="s">
        <v>1801</v>
      </c>
      <c r="K567" s="3" t="s">
        <v>1428</v>
      </c>
      <c r="L567" s="3" t="str">
        <f>IFERROR(__xludf.DUMMYFUNCTION("GOOGLETRANSLATE(F567,""id"",""en"")"),"Learning a lot from this World Cup, especially the final round of loyalty and the struggle is very expensive, because from the beginning of the ARGEN FRANCE ARGAN TRS ARGEN continued to be apostate again, wkwkwk")</f>
        <v>Learning a lot from this World Cup, especially the final round of loyalty and the struggle is very expensive, because from the beginning of the ARGEN FRANCE ARGAN TRS ARGEN continued to be apostate again, wkwkwk</v>
      </c>
    </row>
    <row r="568" ht="15.75" customHeight="1">
      <c r="A568" s="1">
        <v>567.0</v>
      </c>
      <c r="B568" s="3" t="s">
        <v>1802</v>
      </c>
      <c r="C568" s="3">
        <v>0.0</v>
      </c>
      <c r="D568" s="3">
        <v>0.0</v>
      </c>
      <c r="E568" s="3">
        <v>0.0</v>
      </c>
      <c r="F568" s="3" t="s">
        <v>748</v>
      </c>
      <c r="G568" s="3">
        <v>1.0</v>
      </c>
      <c r="H568" s="3">
        <v>0.0</v>
      </c>
      <c r="I568" s="3" t="s">
        <v>13</v>
      </c>
      <c r="J568" s="3" t="s">
        <v>749</v>
      </c>
      <c r="K568" s="3" t="s">
        <v>510</v>
      </c>
      <c r="L568" s="3" t="str">
        <f>IFERROR(__xludf.DUMMYFUNCTION("GOOGLETRANSLATE(F568,""id"",""en"")"),"The Best World Cup Final Watching the Argentine Drama Drama over France through Penalties")</f>
        <v>The Best World Cup Final Watching the Argentine Drama Drama over France through Penalties</v>
      </c>
    </row>
    <row r="569" ht="15.75" customHeight="1">
      <c r="A569" s="1">
        <v>568.0</v>
      </c>
      <c r="B569" s="3" t="s">
        <v>1803</v>
      </c>
      <c r="C569" s="3">
        <v>0.0</v>
      </c>
      <c r="D569" s="3">
        <v>0.0</v>
      </c>
      <c r="E569" s="3">
        <v>0.0</v>
      </c>
      <c r="F569" s="3" t="s">
        <v>1804</v>
      </c>
      <c r="G569" s="3">
        <v>1.0</v>
      </c>
      <c r="H569" s="3">
        <v>0.0</v>
      </c>
      <c r="I569" s="3" t="s">
        <v>13</v>
      </c>
      <c r="J569" s="3" t="s">
        <v>1805</v>
      </c>
      <c r="K569" s="3" t="s">
        <v>82</v>
      </c>
      <c r="L569" s="3" t="str">
        <f>IFERROR(__xludf.DUMMYFUNCTION("GOOGLETRANSLATE(F569,""id"",""en"")"),"Argentina French World Cup final results")</f>
        <v>Argentina French World Cup final results</v>
      </c>
    </row>
    <row r="570" ht="15.75" customHeight="1">
      <c r="A570" s="1">
        <v>569.0</v>
      </c>
      <c r="B570" s="3" t="s">
        <v>1806</v>
      </c>
      <c r="C570" s="3">
        <v>0.0</v>
      </c>
      <c r="D570" s="3">
        <v>0.0</v>
      </c>
      <c r="E570" s="3">
        <v>0.0</v>
      </c>
      <c r="F570" s="3" t="s">
        <v>1196</v>
      </c>
      <c r="G570" s="3">
        <v>1.0</v>
      </c>
      <c r="H570" s="3">
        <v>0.0</v>
      </c>
      <c r="I570" s="3" t="s">
        <v>13</v>
      </c>
      <c r="J570" s="3" t="s">
        <v>1197</v>
      </c>
      <c r="K570" s="3" t="s">
        <v>491</v>
      </c>
      <c r="L570" s="3" t="str">
        <f>IFERROR(__xludf.DUMMYFUNCTION("GOOGLETRANSLATE(F570,""id"",""en"")"),"Kylian Mbappe indeed failed to deliver France to defend the World Cup title but he had just made a World Cup final record")</f>
        <v>Kylian Mbappe indeed failed to deliver France to defend the World Cup title but he had just made a World Cup final record</v>
      </c>
    </row>
    <row r="571" ht="15.75" customHeight="1">
      <c r="A571" s="1">
        <v>570.0</v>
      </c>
      <c r="B571" s="3" t="s">
        <v>1807</v>
      </c>
      <c r="C571" s="3">
        <v>0.0</v>
      </c>
      <c r="D571" s="3">
        <v>0.0</v>
      </c>
      <c r="E571" s="3">
        <v>0.0</v>
      </c>
      <c r="F571" s="3" t="s">
        <v>1808</v>
      </c>
      <c r="G571" s="3">
        <v>1.0</v>
      </c>
      <c r="H571" s="3">
        <v>0.0</v>
      </c>
      <c r="I571" s="3" t="s">
        <v>13</v>
      </c>
      <c r="J571" s="3" t="s">
        <v>1809</v>
      </c>
      <c r="K571" s="3" t="s">
        <v>1810</v>
      </c>
      <c r="L571" s="3" t="str">
        <f>IFERROR(__xludf.DUMMYFUNCTION("GOOGLETRANSLATE(F571,""id"",""en"")"),"The Best World Cup So far, the group phase has an Asian country that passed the group phase, one of which was Japan to win the group, there was a Morocco African State in the first semifinals.")</f>
        <v>The Best World Cup So far, the group phase has an Asian country that passed the group phase, one of which was Japan to win the group, there was a Morocco African State in the first semifinals.</v>
      </c>
    </row>
    <row r="572" ht="15.75" customHeight="1">
      <c r="A572" s="1">
        <v>571.0</v>
      </c>
      <c r="B572" s="3" t="s">
        <v>1811</v>
      </c>
      <c r="C572" s="3">
        <v>1.0</v>
      </c>
      <c r="D572" s="3">
        <v>0.0</v>
      </c>
      <c r="E572" s="3">
        <v>0.0</v>
      </c>
      <c r="F572" s="3" t="s">
        <v>1812</v>
      </c>
      <c r="G572" s="3">
        <v>1.0</v>
      </c>
      <c r="H572" s="3">
        <v>0.0</v>
      </c>
      <c r="I572" s="3" t="s">
        <v>13</v>
      </c>
      <c r="J572" s="3" t="s">
        <v>1813</v>
      </c>
      <c r="K572" s="3" t="s">
        <v>240</v>
      </c>
      <c r="L572" s="3" t="str">
        <f>IFERROR(__xludf.DUMMYFUNCTION("GOOGLETRANSLATE(F572,""id"",""en"")"),"Life is like a car if there is a brake, you can get wretched the old man sitting next to the world of the World Cup Final")</f>
        <v>Life is like a car if there is a brake, you can get wretched the old man sitting next to the world of the World Cup Final</v>
      </c>
    </row>
    <row r="573" ht="15.75" customHeight="1">
      <c r="A573" s="1">
        <v>572.0</v>
      </c>
      <c r="B573" s="3" t="s">
        <v>1814</v>
      </c>
      <c r="C573" s="3">
        <v>0.0</v>
      </c>
      <c r="D573" s="3">
        <v>0.0</v>
      </c>
      <c r="E573" s="3">
        <v>0.0</v>
      </c>
      <c r="F573" s="3" t="s">
        <v>1815</v>
      </c>
      <c r="G573" s="3">
        <v>1.0</v>
      </c>
      <c r="H573" s="3">
        <v>0.0</v>
      </c>
      <c r="I573" s="3" t="s">
        <v>13</v>
      </c>
      <c r="J573" s="3" t="s">
        <v>1816</v>
      </c>
      <c r="K573" s="3" t="s">
        <v>58</v>
      </c>
      <c r="L573" s="3" t="str">
        <f>IFERROR(__xludf.DUMMYFUNCTION("GOOGLETRANSLATE(F573,""id"",""en"")"),"Argentina French Final of the Argentine World Cup won the championship through a penalty shootout")</f>
        <v>Argentina French Final of the Argentine World Cup won the championship through a penalty shootout</v>
      </c>
    </row>
    <row r="574" ht="15.75" customHeight="1">
      <c r="A574" s="1">
        <v>573.0</v>
      </c>
      <c r="B574" s="3" t="s">
        <v>1817</v>
      </c>
      <c r="C574" s="3">
        <v>0.0</v>
      </c>
      <c r="D574" s="3">
        <v>0.0</v>
      </c>
      <c r="E574" s="3">
        <v>0.0</v>
      </c>
      <c r="F574" s="3" t="s">
        <v>1818</v>
      </c>
      <c r="G574" s="3">
        <v>0.65</v>
      </c>
      <c r="H574" s="3">
        <v>0.5</v>
      </c>
      <c r="I574" s="3" t="s">
        <v>48</v>
      </c>
      <c r="J574" s="3" t="s">
        <v>1819</v>
      </c>
      <c r="K574" s="3" t="s">
        <v>240</v>
      </c>
      <c r="L574" s="3" t="str">
        <f>IFERROR(__xludf.DUMMYFUNCTION("GOOGLETRANSLATE(F574,""id"",""en"")"),"Best World Cup Ever from the preliminary round group phase until the final is all exciting forward who says the best World Cup")</f>
        <v>Best World Cup Ever from the preliminary round group phase until the final is all exciting forward who says the best World Cup</v>
      </c>
    </row>
    <row r="575" ht="15.75" customHeight="1">
      <c r="A575" s="1">
        <v>574.0</v>
      </c>
      <c r="B575" s="3" t="s">
        <v>1820</v>
      </c>
      <c r="C575" s="3">
        <v>0.0</v>
      </c>
      <c r="D575" s="3">
        <v>0.0</v>
      </c>
      <c r="E575" s="3">
        <v>0.0</v>
      </c>
      <c r="F575" s="3" t="s">
        <v>665</v>
      </c>
      <c r="G575" s="3">
        <v>1.0</v>
      </c>
      <c r="H575" s="3">
        <v>0.0</v>
      </c>
      <c r="I575" s="3" t="s">
        <v>13</v>
      </c>
      <c r="J575" s="3" t="s">
        <v>666</v>
      </c>
      <c r="K575" s="3" t="s">
        <v>644</v>
      </c>
      <c r="L575" s="3" t="str">
        <f>IFERROR(__xludf.DUMMYFUNCTION("GOOGLETRANSLATE(F575,""id"",""en"")"),"the best world cup final")</f>
        <v>the best world cup final</v>
      </c>
    </row>
    <row r="576" ht="15.75" customHeight="1">
      <c r="A576" s="1">
        <v>575.0</v>
      </c>
      <c r="B576" s="3" t="s">
        <v>1821</v>
      </c>
      <c r="C576" s="3">
        <v>0.0</v>
      </c>
      <c r="D576" s="3">
        <v>1.0</v>
      </c>
      <c r="E576" s="3">
        <v>2.0</v>
      </c>
      <c r="F576" s="3" t="s">
        <v>1822</v>
      </c>
      <c r="G576" s="3">
        <v>1.0</v>
      </c>
      <c r="H576" s="3">
        <v>0.0</v>
      </c>
      <c r="I576" s="3" t="s">
        <v>13</v>
      </c>
      <c r="J576" s="3" t="s">
        <v>1823</v>
      </c>
      <c r="K576" s="3" t="s">
        <v>1824</v>
      </c>
      <c r="L576" s="3" t="str">
        <f>IFERROR(__xludf.DUMMYFUNCTION("GOOGLETRANSLATE(F576,""id"",""en"")"),"Qatar World Cup Ratification of Messi as Goat Mbappe Hattrick Final Achievement of Japanese Surprise Morocco Stage Great goalkeeper Emi Lloris Livakovic Bounou Szczesny The emergence of a great finalist midfielder has lost the team from Arabic")</f>
        <v>Qatar World Cup Ratification of Messi as Goat Mbappe Hattrick Final Achievement of Japanese Surprise Morocco Stage Great goalkeeper Emi Lloris Livakovic Bounou Szczesny The emergence of a great finalist midfielder has lost the team from Arabic</v>
      </c>
    </row>
    <row r="577" ht="15.75" customHeight="1">
      <c r="A577" s="1">
        <v>576.0</v>
      </c>
      <c r="B577" s="3" t="s">
        <v>1825</v>
      </c>
      <c r="C577" s="3">
        <v>1.0</v>
      </c>
      <c r="D577" s="3">
        <v>0.0</v>
      </c>
      <c r="E577" s="3">
        <v>17.0</v>
      </c>
      <c r="F577" s="3" t="s">
        <v>1826</v>
      </c>
      <c r="G577" s="3">
        <v>0.55</v>
      </c>
      <c r="H577" s="3">
        <v>0.0</v>
      </c>
      <c r="I577" s="3" t="s">
        <v>13</v>
      </c>
      <c r="J577" s="3" t="s">
        <v>1827</v>
      </c>
      <c r="K577" s="3" t="s">
        <v>495</v>
      </c>
      <c r="L577" s="3" t="str">
        <f>IFERROR(__xludf.DUMMYFUNCTION("GOOGLETRANSLATE(F577,""id"",""en"")"),"Argentina came out as the World Cup champion after defeating France Final Fighting Penalty Previously the match was fierce with a series score to Extra Time")</f>
        <v>Argentina came out as the World Cup champion after defeating France Final Fighting Penalty Previously the match was fierce with a series score to Extra Time</v>
      </c>
    </row>
    <row r="578" ht="15.75" customHeight="1">
      <c r="A578" s="1">
        <v>577.0</v>
      </c>
      <c r="B578" s="3" t="s">
        <v>1828</v>
      </c>
      <c r="C578" s="3">
        <v>0.0</v>
      </c>
      <c r="D578" s="3">
        <v>0.0</v>
      </c>
      <c r="E578" s="3">
        <v>2.0</v>
      </c>
      <c r="F578" s="3" t="s">
        <v>1829</v>
      </c>
      <c r="G578" s="3">
        <v>0.7666666666666666</v>
      </c>
      <c r="H578" s="3">
        <v>0.3333333333333333</v>
      </c>
      <c r="I578" s="3" t="s">
        <v>48</v>
      </c>
      <c r="J578" s="3" t="s">
        <v>1830</v>
      </c>
      <c r="K578" s="3" t="s">
        <v>35</v>
      </c>
      <c r="L578" s="3" t="str">
        <f>IFERROR(__xludf.DUMMYFUNCTION("GOOGLETRANSLATE(F578,""id"",""en"")"),"The Best Final Ever Coach during the World Cup Final NTN is the most tense")</f>
        <v>The Best Final Ever Coach during the World Cup Final NTN is the most tense</v>
      </c>
    </row>
    <row r="579" ht="15.75" customHeight="1">
      <c r="A579" s="1">
        <v>578.0</v>
      </c>
      <c r="B579" s="3" t="s">
        <v>1831</v>
      </c>
      <c r="C579" s="3">
        <v>0.0</v>
      </c>
      <c r="D579" s="3">
        <v>0.0</v>
      </c>
      <c r="E579" s="3">
        <v>0.0</v>
      </c>
      <c r="F579" s="3" t="s">
        <v>1196</v>
      </c>
      <c r="G579" s="3">
        <v>1.0</v>
      </c>
      <c r="H579" s="3">
        <v>0.0</v>
      </c>
      <c r="I579" s="3" t="s">
        <v>13</v>
      </c>
      <c r="J579" s="3" t="s">
        <v>1197</v>
      </c>
      <c r="K579" s="3" t="s">
        <v>491</v>
      </c>
      <c r="L579" s="3" t="str">
        <f>IFERROR(__xludf.DUMMYFUNCTION("GOOGLETRANSLATE(F579,""id"",""en"")"),"Kylian Mbappe indeed failed to deliver France to defend the World Cup title but he had just made a World Cup final record")</f>
        <v>Kylian Mbappe indeed failed to deliver France to defend the World Cup title but he had just made a World Cup final record</v>
      </c>
    </row>
    <row r="580" ht="15.75" customHeight="1">
      <c r="A580" s="1">
        <v>579.0</v>
      </c>
      <c r="B580" s="3" t="s">
        <v>1832</v>
      </c>
      <c r="C580" s="3">
        <v>1.0</v>
      </c>
      <c r="D580" s="3">
        <v>0.0</v>
      </c>
      <c r="E580" s="3">
        <v>0.0</v>
      </c>
      <c r="F580" s="3" t="s">
        <v>1833</v>
      </c>
      <c r="G580" s="3">
        <v>1.0</v>
      </c>
      <c r="H580" s="3">
        <v>0.0</v>
      </c>
      <c r="I580" s="3" t="s">
        <v>13</v>
      </c>
      <c r="J580" s="3" t="s">
        <v>1834</v>
      </c>
      <c r="K580" s="3" t="s">
        <v>1265</v>
      </c>
      <c r="L580" s="3" t="str">
        <f>IFERROR(__xludf.DUMMYFUNCTION("GOOGLETRANSLATE(F580,""id"",""en"")"),"I don't see the World Cup final directly but see through tweets of people")</f>
        <v>I don't see the World Cup final directly but see through tweets of people</v>
      </c>
    </row>
    <row r="581" ht="15.75" customHeight="1">
      <c r="A581" s="1">
        <v>580.0</v>
      </c>
      <c r="B581" s="3" t="s">
        <v>1835</v>
      </c>
      <c r="C581" s="3">
        <v>0.0</v>
      </c>
      <c r="D581" s="3">
        <v>0.0</v>
      </c>
      <c r="E581" s="3">
        <v>0.0</v>
      </c>
      <c r="F581" s="3" t="s">
        <v>1836</v>
      </c>
      <c r="G581" s="3">
        <v>1.0</v>
      </c>
      <c r="H581" s="3">
        <v>0.0</v>
      </c>
      <c r="I581" s="3" t="s">
        <v>13</v>
      </c>
      <c r="J581" s="3" t="s">
        <v>1837</v>
      </c>
      <c r="K581" s="3" t="s">
        <v>58</v>
      </c>
      <c r="L581" s="3" t="str">
        <f>IFERROR(__xludf.DUMMYFUNCTION("GOOGLETRANSLATE(F581,""id"",""en"")"),"who watched the soccer right when the world cup final only don't pretend to understand the ball anjeng")</f>
        <v>who watched the soccer right when the world cup final only don't pretend to understand the ball anjeng</v>
      </c>
    </row>
    <row r="582" ht="15.75" customHeight="1">
      <c r="A582" s="1">
        <v>581.0</v>
      </c>
      <c r="B582" s="3" t="s">
        <v>1838</v>
      </c>
      <c r="C582" s="3">
        <v>0.0</v>
      </c>
      <c r="D582" s="3">
        <v>0.0</v>
      </c>
      <c r="E582" s="3">
        <v>1.0</v>
      </c>
      <c r="F582" s="3" t="s">
        <v>1839</v>
      </c>
      <c r="G582" s="3">
        <v>1.0</v>
      </c>
      <c r="H582" s="3">
        <v>0.0</v>
      </c>
      <c r="I582" s="3" t="s">
        <v>13</v>
      </c>
      <c r="J582" s="3" t="s">
        <v>1840</v>
      </c>
      <c r="K582" s="3" t="s">
        <v>240</v>
      </c>
      <c r="L582" s="3" t="str">
        <f>IFERROR(__xludf.DUMMYFUNCTION("GOOGLETRANSLATE(F582,""id"",""en"")"),"Thank you Argentina French Final of the Best World Cup I have ever seen a sweet complete Mission Completed for Messi Happy Boss")</f>
        <v>Thank you Argentina French Final of the Best World Cup I have ever seen a sweet complete Mission Completed for Messi Happy Boss</v>
      </c>
    </row>
    <row r="583" ht="15.75" customHeight="1">
      <c r="A583" s="1">
        <v>582.0</v>
      </c>
      <c r="B583" s="3" t="s">
        <v>1841</v>
      </c>
      <c r="C583" s="3">
        <v>0.0</v>
      </c>
      <c r="D583" s="3">
        <v>0.0</v>
      </c>
      <c r="E583" s="3">
        <v>0.0</v>
      </c>
      <c r="F583" s="3" t="s">
        <v>1842</v>
      </c>
      <c r="G583" s="3">
        <v>1.0</v>
      </c>
      <c r="H583" s="3">
        <v>0.0</v>
      </c>
      <c r="I583" s="3" t="s">
        <v>13</v>
      </c>
      <c r="J583" s="3" t="s">
        <v>1843</v>
      </c>
      <c r="K583" s="3" t="s">
        <v>54</v>
      </c>
      <c r="L583" s="3" t="str">
        <f>IFERROR(__xludf.DUMMYFUNCTION("GOOGLETRANSLATE(F583,""id"",""en"")"),"the best final of the world cup of all time")</f>
        <v>the best final of the world cup of all time</v>
      </c>
    </row>
    <row r="584" ht="15.75" customHeight="1">
      <c r="A584" s="1">
        <v>583.0</v>
      </c>
      <c r="B584" s="3" t="s">
        <v>1844</v>
      </c>
      <c r="C584" s="3">
        <v>0.0</v>
      </c>
      <c r="D584" s="3">
        <v>0.0</v>
      </c>
      <c r="E584" s="3">
        <v>0.0</v>
      </c>
      <c r="F584" s="3" t="s">
        <v>1845</v>
      </c>
      <c r="G584" s="3">
        <v>0.6</v>
      </c>
      <c r="H584" s="3">
        <v>-0.2666666666666667</v>
      </c>
      <c r="I584" s="3" t="s">
        <v>179</v>
      </c>
      <c r="J584" s="3" t="s">
        <v>1846</v>
      </c>
      <c r="K584" s="3" t="s">
        <v>1847</v>
      </c>
      <c r="L584" s="3" t="str">
        <f>IFERROR(__xludf.DUMMYFUNCTION("GOOGLETRANSLATE(F584,""id"",""en"")"),"After watching the ball directly gas looking for cuan again niagabet here guys the new game gacor after guaranteed cuan tags Messi Dybala Goat Drake Kolo Muani Mbappe Higuain Heart Raul Lemos Maradona Aguero What Final Maria Lloris Pildun Cristiano")</f>
        <v>After watching the ball directly gas looking for cuan again niagabet here guys the new game gacor after guaranteed cuan tags Messi Dybala Goat Drake Kolo Muani Mbappe Higuain Heart Raul Lemos Maradona Aguero What Final Maria Lloris Pildun Cristiano</v>
      </c>
    </row>
    <row r="585" ht="15.75" customHeight="1">
      <c r="A585" s="1">
        <v>584.0</v>
      </c>
      <c r="B585" s="3" t="s">
        <v>1848</v>
      </c>
      <c r="C585" s="3">
        <v>0.0</v>
      </c>
      <c r="D585" s="3">
        <v>0.0</v>
      </c>
      <c r="E585" s="3">
        <v>0.0</v>
      </c>
      <c r="F585" s="3" t="s">
        <v>1849</v>
      </c>
      <c r="G585" s="3">
        <v>1.0</v>
      </c>
      <c r="H585" s="3">
        <v>0.0</v>
      </c>
      <c r="I585" s="3" t="s">
        <v>13</v>
      </c>
      <c r="J585" s="3" t="s">
        <v>1850</v>
      </c>
      <c r="K585" s="3" t="s">
        <v>54</v>
      </c>
      <c r="L585" s="3" t="str">
        <f>IFERROR(__xludf.DUMMYFUNCTION("GOOGLETRANSLATE(F585,""id"",""en"")"),"In the history of the World Cup that had the best final")</f>
        <v>In the history of the World Cup that had the best final</v>
      </c>
    </row>
    <row r="586" ht="15.75" customHeight="1">
      <c r="A586" s="1">
        <v>585.0</v>
      </c>
      <c r="B586" s="3" t="s">
        <v>1851</v>
      </c>
      <c r="C586" s="3">
        <v>0.0</v>
      </c>
      <c r="D586" s="3">
        <v>0.0</v>
      </c>
      <c r="E586" s="3">
        <v>0.0</v>
      </c>
      <c r="F586" s="3" t="s">
        <v>1852</v>
      </c>
      <c r="G586" s="3">
        <v>0.4555555555555555</v>
      </c>
      <c r="H586" s="3">
        <v>0.3333333333333333</v>
      </c>
      <c r="I586" s="3" t="s">
        <v>48</v>
      </c>
      <c r="J586" s="3" t="s">
        <v>1853</v>
      </c>
      <c r="K586" s="3" t="s">
        <v>1854</v>
      </c>
      <c r="L586" s="3" t="str">
        <f>IFERROR(__xludf.DUMMYFUNCTION("GOOGLETRANSLATE(F586,""id"",""en"")"),"like rain a day can remove the dry season for a year this final is the most exciting match throughout the World Cup Save the Best Match for Last Now Leo Messi Dance with the")</f>
        <v>like rain a day can remove the dry season for a year this final is the most exciting match throughout the World Cup Save the Best Match for Last Now Leo Messi Dance with the</v>
      </c>
    </row>
    <row r="587" ht="15.75" customHeight="1">
      <c r="A587" s="1">
        <v>586.0</v>
      </c>
      <c r="B587" s="3" t="s">
        <v>1855</v>
      </c>
      <c r="C587" s="3">
        <v>0.0</v>
      </c>
      <c r="D587" s="3">
        <v>0.0</v>
      </c>
      <c r="E587" s="3">
        <v>0.0</v>
      </c>
      <c r="F587" s="3" t="s">
        <v>1856</v>
      </c>
      <c r="G587" s="3">
        <v>0.7238095238095238</v>
      </c>
      <c r="H587" s="3">
        <v>0.2380952380952381</v>
      </c>
      <c r="I587" s="3" t="s">
        <v>48</v>
      </c>
      <c r="J587" s="3" t="s">
        <v>1857</v>
      </c>
      <c r="K587" s="3" t="s">
        <v>71</v>
      </c>
      <c r="L587" s="3" t="str">
        <f>IFERROR(__xludf.DUMMYFUNCTION("GOOGLETRANSLATE(F587,""id"",""en"")"),"When other people are busy with the World Cup Final This Certain Turkish World Champion Enjoying Himself Tree")</f>
        <v>When other people are busy with the World Cup Final This Certain Turkish World Champion Enjoying Himself Tree</v>
      </c>
    </row>
    <row r="588" ht="15.75" customHeight="1">
      <c r="A588" s="1">
        <v>587.0</v>
      </c>
      <c r="B588" s="3" t="s">
        <v>1858</v>
      </c>
      <c r="C588" s="3">
        <v>0.0</v>
      </c>
      <c r="D588" s="3">
        <v>0.0</v>
      </c>
      <c r="E588" s="3">
        <v>0.0</v>
      </c>
      <c r="F588" s="3" t="s">
        <v>1859</v>
      </c>
      <c r="G588" s="3">
        <v>0.8666666666666667</v>
      </c>
      <c r="H588" s="3">
        <v>0.2333333333333333</v>
      </c>
      <c r="I588" s="3" t="s">
        <v>48</v>
      </c>
      <c r="J588" s="3" t="s">
        <v>1860</v>
      </c>
      <c r="K588" s="3" t="s">
        <v>35</v>
      </c>
      <c r="L588" s="3" t="str">
        <f>IFERROR(__xludf.DUMMYFUNCTION("GOOGLETRANSLATE(F588,""id"",""en"")"),"Maybe you will try to get the Final World Cup Final ticket Will Good Israel Good Final")</f>
        <v>Maybe you will try to get the Final World Cup Final ticket Will Good Israel Good Final</v>
      </c>
    </row>
    <row r="589" ht="15.75" customHeight="1">
      <c r="A589" s="1">
        <v>588.0</v>
      </c>
      <c r="B589" s="3" t="s">
        <v>1861</v>
      </c>
      <c r="C589" s="3">
        <v>1.0</v>
      </c>
      <c r="D589" s="3">
        <v>0.0</v>
      </c>
      <c r="E589" s="3">
        <v>0.0</v>
      </c>
      <c r="F589" s="3" t="s">
        <v>1862</v>
      </c>
      <c r="G589" s="3">
        <v>1.0</v>
      </c>
      <c r="H589" s="3">
        <v>0.0</v>
      </c>
      <c r="I589" s="3" t="s">
        <v>13</v>
      </c>
      <c r="J589" s="3" t="s">
        <v>1863</v>
      </c>
      <c r="K589" s="3" t="s">
        <v>82</v>
      </c>
      <c r="L589" s="3" t="str">
        <f>IFERROR(__xludf.DUMMYFUNCTION("GOOGLETRANSLATE(F589,""id"",""en"")"),"Grateful for the Life of the Final of the Best World Cup")</f>
        <v>Grateful for the Life of the Final of the Best World Cup</v>
      </c>
    </row>
    <row r="590" ht="15.75" customHeight="1">
      <c r="A590" s="1">
        <v>589.0</v>
      </c>
      <c r="B590" s="3" t="s">
        <v>1864</v>
      </c>
      <c r="C590" s="3">
        <v>0.0</v>
      </c>
      <c r="D590" s="3">
        <v>0.0</v>
      </c>
      <c r="E590" s="3">
        <v>1.0</v>
      </c>
      <c r="F590" s="3" t="s">
        <v>1865</v>
      </c>
      <c r="G590" s="3">
        <v>0.7</v>
      </c>
      <c r="H590" s="3">
        <v>0.4</v>
      </c>
      <c r="I590" s="3" t="s">
        <v>48</v>
      </c>
      <c r="J590" s="3" t="s">
        <v>1866</v>
      </c>
      <c r="K590" s="3" t="s">
        <v>510</v>
      </c>
      <c r="L590" s="3" t="str">
        <f>IFERROR(__xludf.DUMMYFUNCTION("GOOGLETRANSLATE(F590,""id"",""en"")"),"French French goal scorer of the World Cup Final is Zinedine Zidane Emmanuel Petit.")</f>
        <v>French French goal scorer of the World Cup Final is Zinedine Zidane Emmanuel Petit.</v>
      </c>
    </row>
    <row r="591" ht="15.75" customHeight="1">
      <c r="A591" s="1">
        <v>590.0</v>
      </c>
      <c r="B591" s="3" t="s">
        <v>1867</v>
      </c>
      <c r="C591" s="3">
        <v>0.0</v>
      </c>
      <c r="D591" s="3">
        <v>1.0</v>
      </c>
      <c r="E591" s="3">
        <v>0.0</v>
      </c>
      <c r="F591" s="3" t="s">
        <v>1868</v>
      </c>
      <c r="G591" s="3">
        <v>0.7</v>
      </c>
      <c r="H591" s="3">
        <v>0.05</v>
      </c>
      <c r="I591" s="3" t="s">
        <v>48</v>
      </c>
      <c r="J591" s="3" t="s">
        <v>1869</v>
      </c>
      <c r="K591" s="3" t="s">
        <v>1870</v>
      </c>
      <c r="L591" s="3" t="str">
        <f>IFERROR(__xludf.DUMMYFUNCTION("GOOGLETRANSLATE(F591,""id"",""en"")"),"After this year's World Cup event with all its controversy, thank you Qatar for his willingness to the final drama as soon as the epic history will record it along with the gold ink writing the name Lionel Messi as the ball superstar this century")</f>
        <v>After this year's World Cup event with all its controversy, thank you Qatar for his willingness to the final drama as soon as the epic history will record it along with the gold ink writing the name Lionel Messi as the ball superstar this century</v>
      </c>
    </row>
    <row r="592" ht="15.75" customHeight="1">
      <c r="A592" s="1">
        <v>591.0</v>
      </c>
      <c r="B592" s="3" t="s">
        <v>1871</v>
      </c>
      <c r="C592" s="3">
        <v>0.0</v>
      </c>
      <c r="D592" s="3">
        <v>0.0</v>
      </c>
      <c r="E592" s="3">
        <v>0.0</v>
      </c>
      <c r="F592" s="3" t="s">
        <v>1872</v>
      </c>
      <c r="G592" s="3">
        <v>1.0</v>
      </c>
      <c r="H592" s="3">
        <v>0.0</v>
      </c>
      <c r="I592" s="3" t="s">
        <v>13</v>
      </c>
      <c r="J592" s="3" t="s">
        <v>1873</v>
      </c>
      <c r="K592" s="3" t="s">
        <v>1097</v>
      </c>
      <c r="L592" s="3" t="str">
        <f>IFERROR(__xludf.DUMMYFUNCTION("GOOGLETRANSLATE(F592,""id"",""en"")"),"Qatar World Cup Qualifying Group System to Semi Final Final")</f>
        <v>Qatar World Cup Qualifying Group System to Semi Final Final</v>
      </c>
    </row>
    <row r="593" ht="15.75" customHeight="1">
      <c r="A593" s="1">
        <v>592.0</v>
      </c>
      <c r="B593" s="3" t="s">
        <v>1874</v>
      </c>
      <c r="C593" s="3">
        <v>0.0</v>
      </c>
      <c r="D593" s="3">
        <v>0.0</v>
      </c>
      <c r="E593" s="3">
        <v>0.0</v>
      </c>
      <c r="F593" s="3" t="s">
        <v>1875</v>
      </c>
      <c r="G593" s="3">
        <v>1.0</v>
      </c>
      <c r="H593" s="3">
        <v>0.0</v>
      </c>
      <c r="I593" s="3" t="s">
        <v>13</v>
      </c>
      <c r="J593" s="3" t="s">
        <v>1876</v>
      </c>
      <c r="K593" s="3" t="s">
        <v>484</v>
      </c>
      <c r="L593" s="3" t="str">
        <f>IFERROR(__xludf.DUMMYFUNCTION("GOOGLETRANSLATE(F593,""id"",""en"")"),"The very exciting match of the Argentine Proficiat World Cup and French has presented a very attractive match")</f>
        <v>The very exciting match of the Argentine Proficiat World Cup and French has presented a very attractive match</v>
      </c>
    </row>
    <row r="594" ht="15.75" customHeight="1">
      <c r="A594" s="1">
        <v>593.0</v>
      </c>
      <c r="B594" s="3" t="s">
        <v>1877</v>
      </c>
      <c r="C594" s="3">
        <v>0.0</v>
      </c>
      <c r="D594" s="3">
        <v>2.0</v>
      </c>
      <c r="E594" s="3">
        <v>23.0</v>
      </c>
      <c r="F594" s="3" t="s">
        <v>1196</v>
      </c>
      <c r="G594" s="3">
        <v>1.0</v>
      </c>
      <c r="H594" s="3">
        <v>0.0</v>
      </c>
      <c r="I594" s="3" t="s">
        <v>13</v>
      </c>
      <c r="J594" s="3" t="s">
        <v>1197</v>
      </c>
      <c r="K594" s="3" t="s">
        <v>491</v>
      </c>
      <c r="L594" s="3" t="str">
        <f>IFERROR(__xludf.DUMMYFUNCTION("GOOGLETRANSLATE(F594,""id"",""en"")"),"Kylian Mbappe indeed failed to deliver France to defend the World Cup title but he had just made a World Cup final record")</f>
        <v>Kylian Mbappe indeed failed to deliver France to defend the World Cup title but he had just made a World Cup final record</v>
      </c>
    </row>
    <row r="595" ht="15.75" customHeight="1">
      <c r="A595" s="1">
        <v>594.0</v>
      </c>
      <c r="B595" s="3" t="s">
        <v>1878</v>
      </c>
      <c r="C595" s="3">
        <v>0.0</v>
      </c>
      <c r="D595" s="3">
        <v>0.0</v>
      </c>
      <c r="E595" s="3">
        <v>0.0</v>
      </c>
      <c r="F595" s="3" t="s">
        <v>1879</v>
      </c>
      <c r="G595" s="3">
        <v>0.5833333333333334</v>
      </c>
      <c r="H595" s="3">
        <v>0.05</v>
      </c>
      <c r="I595" s="3" t="s">
        <v>48</v>
      </c>
      <c r="J595" s="3" t="s">
        <v>1880</v>
      </c>
      <c r="K595" s="3" t="s">
        <v>456</v>
      </c>
      <c r="L595" s="3" t="str">
        <f>IFERROR(__xludf.DUMMYFUNCTION("GOOGLETRANSLATE(F595,""id"",""en"")"),"Argentine national team champion World Cup Albiceleste won the World Cup final over the French national team through the Lusail Stadium shootout round")</f>
        <v>Argentine national team champion World Cup Albiceleste won the World Cup final over the French national team through the Lusail Stadium shootout round</v>
      </c>
    </row>
    <row r="596" ht="15.75" customHeight="1">
      <c r="A596" s="1">
        <v>595.0</v>
      </c>
      <c r="B596" s="3" t="s">
        <v>1881</v>
      </c>
      <c r="C596" s="3">
        <v>0.0</v>
      </c>
      <c r="D596" s="3">
        <v>0.0</v>
      </c>
      <c r="E596" s="3">
        <v>0.0</v>
      </c>
      <c r="F596" s="3" t="s">
        <v>1882</v>
      </c>
      <c r="G596" s="3">
        <v>1.0</v>
      </c>
      <c r="H596" s="3">
        <v>0.0</v>
      </c>
      <c r="I596" s="3" t="s">
        <v>13</v>
      </c>
      <c r="J596" s="3" t="s">
        <v>1883</v>
      </c>
      <c r="K596" s="3" t="s">
        <v>1335</v>
      </c>
      <c r="L596" s="3" t="str">
        <f>IFERROR(__xludf.DUMMYFUNCTION("GOOGLETRANSLATE(F596,""id"",""en"")"),"really the best final of the Qatar World Cup")</f>
        <v>really the best final of the Qatar World Cup</v>
      </c>
    </row>
    <row r="597" ht="15.75" customHeight="1">
      <c r="A597" s="1">
        <v>596.0</v>
      </c>
      <c r="B597" s="3" t="s">
        <v>1884</v>
      </c>
      <c r="C597" s="3">
        <v>0.0</v>
      </c>
      <c r="D597" s="3">
        <v>0.0</v>
      </c>
      <c r="E597" s="3">
        <v>3.0</v>
      </c>
      <c r="F597" s="3" t="s">
        <v>1885</v>
      </c>
      <c r="G597" s="3">
        <v>0.6666666666666666</v>
      </c>
      <c r="H597" s="3">
        <v>0.125</v>
      </c>
      <c r="I597" s="3" t="s">
        <v>48</v>
      </c>
      <c r="J597" s="3" t="s">
        <v>1886</v>
      </c>
      <c r="K597" s="3" t="s">
        <v>1887</v>
      </c>
      <c r="L597" s="3" t="str">
        <f>IFERROR(__xludf.DUMMYFUNCTION("GOOGLETRANSLATE(F597,""id"",""en"")"),"In my heart, but the winner brought the golden shoe to The First Player Score World Cup Final Hat Trick Since was happy for King Messi at the end of his career Mbwa Argentina Champion World Cup Champion")</f>
        <v>In my heart, but the winner brought the golden shoe to The First Player Score World Cup Final Hat Trick Since was happy for King Messi at the end of his career Mbwa Argentina Champion World Cup Champion</v>
      </c>
    </row>
    <row r="598" ht="15.75" customHeight="1">
      <c r="A598" s="1">
        <v>597.0</v>
      </c>
      <c r="B598" s="3" t="s">
        <v>1888</v>
      </c>
      <c r="C598" s="3">
        <v>1.0</v>
      </c>
      <c r="D598" s="3">
        <v>0.0</v>
      </c>
      <c r="E598" s="3">
        <v>0.0</v>
      </c>
      <c r="F598" s="3" t="s">
        <v>1889</v>
      </c>
      <c r="G598" s="3">
        <v>1.0</v>
      </c>
      <c r="H598" s="3">
        <v>0.0</v>
      </c>
      <c r="I598" s="3" t="s">
        <v>13</v>
      </c>
      <c r="J598" s="3" t="s">
        <v>1890</v>
      </c>
      <c r="K598" s="3" t="s">
        <v>484</v>
      </c>
      <c r="L598" s="3" t="str">
        <f>IFERROR(__xludf.DUMMYFUNCTION("GOOGLETRANSLATE(F598,""id"",""en"")"),"One of the best World Cups ever watched and Josss's final match said that the Qatar World Cup is not exciting")</f>
        <v>One of the best World Cups ever watched and Josss's final match said that the Qatar World Cup is not exciting</v>
      </c>
    </row>
    <row r="599" ht="15.75" customHeight="1">
      <c r="A599" s="1">
        <v>598.0</v>
      </c>
      <c r="B599" s="3" t="s">
        <v>1891</v>
      </c>
      <c r="C599" s="3">
        <v>0.0</v>
      </c>
      <c r="D599" s="3">
        <v>0.0</v>
      </c>
      <c r="E599" s="3">
        <v>0.0</v>
      </c>
      <c r="F599" s="3" t="s">
        <v>1892</v>
      </c>
      <c r="G599" s="3">
        <v>1.0</v>
      </c>
      <c r="H599" s="3">
        <v>0.0</v>
      </c>
      <c r="I599" s="3" t="s">
        <v>13</v>
      </c>
      <c r="J599" s="3" t="s">
        <v>1893</v>
      </c>
      <c r="K599" s="3" t="s">
        <v>1552</v>
      </c>
      <c r="L599" s="3" t="str">
        <f>IFERROR(__xludf.DUMMYFUNCTION("GOOGLETRANSLATE(F599,""id"",""en"")"),"Kali Nyaksiin the World Cup final from childhood this time the best final")</f>
        <v>Kali Nyaksiin the World Cup final from childhood this time the best final</v>
      </c>
    </row>
    <row r="600" ht="15.75" customHeight="1">
      <c r="A600" s="1">
        <v>599.0</v>
      </c>
      <c r="B600" s="3" t="s">
        <v>1894</v>
      </c>
      <c r="C600" s="3">
        <v>0.0</v>
      </c>
      <c r="D600" s="3">
        <v>0.0</v>
      </c>
      <c r="E600" s="3">
        <v>1.0</v>
      </c>
      <c r="F600" s="3" t="s">
        <v>1895</v>
      </c>
      <c r="G600" s="3">
        <v>1.0</v>
      </c>
      <c r="H600" s="3">
        <v>0.0</v>
      </c>
      <c r="I600" s="3" t="s">
        <v>13</v>
      </c>
      <c r="J600" s="3" t="s">
        <v>1896</v>
      </c>
      <c r="K600" s="3" t="s">
        <v>1897</v>
      </c>
      <c r="L600" s="3" t="str">
        <f>IFERROR(__xludf.DUMMYFUNCTION("GOOGLETRANSLATE(F600,""id"",""en"")"),"Not regret this World Cup final roller coaster got really until the penalty shootout phase even though it was still the first goal question by Messi because of the violation of the recharge, how come the details were not seen from the right why it fell or"&amp;" the variety of the var")</f>
        <v>Not regret this World Cup final roller coaster got really until the penalty shootout phase even though it was still the first goal question by Messi because of the violation of the recharge, how come the details were not seen from the right why it fell or the variety of the var</v>
      </c>
    </row>
    <row r="601" ht="15.75" customHeight="1">
      <c r="A601" s="1">
        <v>600.0</v>
      </c>
      <c r="B601" s="3" t="s">
        <v>1898</v>
      </c>
      <c r="C601" s="3">
        <v>0.0</v>
      </c>
      <c r="D601" s="3">
        <v>0.0</v>
      </c>
      <c r="E601" s="3">
        <v>0.0</v>
      </c>
      <c r="F601" s="3" t="s">
        <v>1899</v>
      </c>
      <c r="G601" s="3">
        <v>1.0</v>
      </c>
      <c r="H601" s="3">
        <v>0.0</v>
      </c>
      <c r="I601" s="3" t="s">
        <v>13</v>
      </c>
      <c r="J601" s="3" t="s">
        <v>1900</v>
      </c>
      <c r="K601" s="3" t="s">
        <v>75</v>
      </c>
      <c r="L601" s="3" t="str">
        <f>IFERROR(__xludf.DUMMYFUNCTION("GOOGLETRANSLATE(F601,""id"",""en"")"),"When else will I feel the excitement of Nobar Final World Cup Gilasihh exciting times")</f>
        <v>When else will I feel the excitement of Nobar Final World Cup Gilasihh exciting times</v>
      </c>
    </row>
    <row r="602" ht="15.75" customHeight="1">
      <c r="A602" s="1">
        <v>601.0</v>
      </c>
      <c r="B602" s="3" t="s">
        <v>1901</v>
      </c>
      <c r="C602" s="3">
        <v>0.0</v>
      </c>
      <c r="D602" s="3">
        <v>0.0</v>
      </c>
      <c r="E602" s="3">
        <v>0.0</v>
      </c>
      <c r="F602" s="3" t="s">
        <v>1902</v>
      </c>
      <c r="G602" s="3">
        <v>1.0</v>
      </c>
      <c r="H602" s="3">
        <v>0.0</v>
      </c>
      <c r="I602" s="3" t="s">
        <v>13</v>
      </c>
      <c r="J602" s="3" t="s">
        <v>1903</v>
      </c>
      <c r="K602" s="3" t="s">
        <v>228</v>
      </c>
      <c r="L602" s="3" t="str">
        <f>IFERROR(__xludf.DUMMYFUNCTION("GOOGLETRANSLATE(F602,""id"",""en"")"),"Dybala only played about minutes during the World Cup event held with details of minutes in the semifinal round versus Croatia and then around the minutes of the final round but Dybala became the second penalty executioner after Messi versus France")</f>
        <v>Dybala only played about minutes during the World Cup event held with details of minutes in the semifinal round versus Croatia and then around the minutes of the final round but Dybala became the second penalty executioner after Messi versus France</v>
      </c>
    </row>
    <row r="603" ht="15.75" customHeight="1">
      <c r="A603" s="1">
        <v>602.0</v>
      </c>
      <c r="B603" s="3" t="s">
        <v>1904</v>
      </c>
      <c r="C603" s="3">
        <v>2.0</v>
      </c>
      <c r="D603" s="3">
        <v>9.0</v>
      </c>
      <c r="E603" s="3">
        <v>39.0</v>
      </c>
      <c r="F603" s="3" t="s">
        <v>1905</v>
      </c>
      <c r="G603" s="3">
        <v>0.55</v>
      </c>
      <c r="H603" s="3">
        <v>0.0</v>
      </c>
      <c r="I603" s="3" t="s">
        <v>13</v>
      </c>
      <c r="J603" s="3" t="s">
        <v>1575</v>
      </c>
      <c r="K603" s="3" t="s">
        <v>695</v>
      </c>
      <c r="L603" s="3" t="str">
        <f>IFERROR(__xludf.DUMMYFUNCTION("GOOGLETRANSLATE(F603,""id"",""en"")"),"Argentina won the Argentine World Cup championship trophy to defeat France Final through penalties after playing Extra Time series")</f>
        <v>Argentina won the Argentine World Cup championship trophy to defeat France Final through penalties after playing Extra Time series</v>
      </c>
    </row>
    <row r="604" ht="15.75" customHeight="1">
      <c r="A604" s="1">
        <v>603.0</v>
      </c>
      <c r="B604" s="3" t="s">
        <v>1906</v>
      </c>
      <c r="C604" s="3">
        <v>0.0</v>
      </c>
      <c r="D604" s="3">
        <v>0.0</v>
      </c>
      <c r="E604" s="3">
        <v>0.0</v>
      </c>
      <c r="F604" s="3" t="s">
        <v>1907</v>
      </c>
      <c r="G604" s="3">
        <v>1.0</v>
      </c>
      <c r="H604" s="3">
        <v>0.0</v>
      </c>
      <c r="I604" s="3" t="s">
        <v>13</v>
      </c>
      <c r="J604" s="3" t="s">
        <v>1908</v>
      </c>
      <c r="K604" s="3" t="s">
        <v>467</v>
      </c>
      <c r="L604" s="3" t="str">
        <f>IFERROR(__xludf.DUMMYFUNCTION("GOOGLETRANSLATE(F604,""id"",""en"")"),"Watching the World Cup Final France Italy lost Adul Pinalti Final France Argentina also lost to the penalty of sickness")</f>
        <v>Watching the World Cup Final France Italy lost Adul Pinalti Final France Argentina also lost to the penalty of sickness</v>
      </c>
    </row>
    <row r="605" ht="15.75" customHeight="1">
      <c r="A605" s="1">
        <v>604.0</v>
      </c>
      <c r="B605" s="3" t="s">
        <v>1909</v>
      </c>
      <c r="C605" s="3">
        <v>0.0</v>
      </c>
      <c r="D605" s="3">
        <v>0.0</v>
      </c>
      <c r="E605" s="3">
        <v>0.0</v>
      </c>
      <c r="F605" s="3" t="s">
        <v>1910</v>
      </c>
      <c r="G605" s="3">
        <v>1.0</v>
      </c>
      <c r="H605" s="3">
        <v>0.0</v>
      </c>
      <c r="I605" s="3" t="s">
        <v>13</v>
      </c>
      <c r="J605" s="3" t="s">
        <v>1911</v>
      </c>
      <c r="K605" s="3" t="s">
        <v>1912</v>
      </c>
      <c r="L605" s="3" t="str">
        <f>IFERROR(__xludf.DUMMYFUNCTION("GOOGLETRANSLATE(F605,""id"",""en"")"),"This time the World Cup felt the first bland from the promo that was less kicking to the controversy about the rainbow but then closed with the final party in the history of the World Cup Vamos Messi Vamos Argentina")</f>
        <v>This time the World Cup felt the first bland from the promo that was less kicking to the controversy about the rainbow but then closed with the final party in the history of the World Cup Vamos Messi Vamos Argentina</v>
      </c>
    </row>
    <row r="606" ht="15.75" customHeight="1">
      <c r="A606" s="1">
        <v>605.0</v>
      </c>
      <c r="B606" s="3" t="s">
        <v>1913</v>
      </c>
      <c r="C606" s="3">
        <v>0.0</v>
      </c>
      <c r="D606" s="3">
        <v>0.0</v>
      </c>
      <c r="E606" s="3">
        <v>0.0</v>
      </c>
      <c r="F606" s="3" t="s">
        <v>1914</v>
      </c>
      <c r="G606" s="3">
        <v>1.0</v>
      </c>
      <c r="H606" s="3">
        <v>0.0</v>
      </c>
      <c r="I606" s="3" t="s">
        <v>13</v>
      </c>
      <c r="J606" s="3" t="s">
        <v>1915</v>
      </c>
      <c r="K606" s="3" t="s">
        <v>614</v>
      </c>
      <c r="L606" s="3" t="str">
        <f>IFERROR(__xludf.DUMMYFUNCTION("GOOGLETRANSLATE(F606,""id"",""en"")"),"Anjir imagined Kai how to watch the World Cup final whether he was the same as us who had shortness of breath because of the breathing of the heart to be safe, especially during the final minute hmmmm")</f>
        <v>Anjir imagined Kai how to watch the World Cup final whether he was the same as us who had shortness of breath because of the breathing of the heart to be safe, especially during the final minute hmmmm</v>
      </c>
    </row>
    <row r="607" ht="15.75" customHeight="1">
      <c r="A607" s="1">
        <v>606.0</v>
      </c>
      <c r="B607" s="3" t="s">
        <v>1916</v>
      </c>
      <c r="C607" s="3">
        <v>0.0</v>
      </c>
      <c r="D607" s="3">
        <v>0.0</v>
      </c>
      <c r="E607" s="3">
        <v>0.0</v>
      </c>
      <c r="F607" s="3" t="s">
        <v>1917</v>
      </c>
      <c r="G607" s="3">
        <v>0.75</v>
      </c>
      <c r="H607" s="3">
        <v>0.07499999999999998</v>
      </c>
      <c r="I607" s="3" t="s">
        <v>48</v>
      </c>
      <c r="J607" s="3" t="s">
        <v>1918</v>
      </c>
      <c r="K607" s="3" t="s">
        <v>188</v>
      </c>
      <c r="L607" s="3" t="str">
        <f>IFERROR(__xludf.DUMMYFUNCTION("GOOGLETRANSLATE(F607,""id"",""en"")"),"The Qatar World Cup Final is the best final until now likes to not like the game full of emotional and exciting both teams play a good football match.")</f>
        <v>The Qatar World Cup Final is the best final until now likes to not like the game full of emotional and exciting both teams play a good football match.</v>
      </c>
    </row>
    <row r="608" ht="15.75" customHeight="1">
      <c r="A608" s="1">
        <v>607.0</v>
      </c>
      <c r="B608" s="3" t="s">
        <v>1919</v>
      </c>
      <c r="C608" s="3">
        <v>0.0</v>
      </c>
      <c r="D608" s="3">
        <v>0.0</v>
      </c>
      <c r="E608" s="3">
        <v>1.0</v>
      </c>
      <c r="F608" s="3" t="s">
        <v>1920</v>
      </c>
      <c r="G608" s="3">
        <v>1.0</v>
      </c>
      <c r="H608" s="3">
        <v>0.0</v>
      </c>
      <c r="I608" s="3" t="s">
        <v>13</v>
      </c>
      <c r="J608" s="3" t="s">
        <v>1921</v>
      </c>
      <c r="K608" s="3" t="s">
        <v>50</v>
      </c>
      <c r="L608" s="3" t="str">
        <f>IFERROR(__xludf.DUMMYFUNCTION("GOOGLETRANSLATE(F608,""id"",""en"")"),"Luckily Pisan can still watch the best World Cup final that has ever been thanks Messi and Mbappe")</f>
        <v>Luckily Pisan can still watch the best World Cup final that has ever been thanks Messi and Mbappe</v>
      </c>
    </row>
    <row r="609" ht="15.75" customHeight="1">
      <c r="A609" s="1">
        <v>608.0</v>
      </c>
      <c r="B609" s="3" t="s">
        <v>1922</v>
      </c>
      <c r="C609" s="3">
        <v>0.0</v>
      </c>
      <c r="D609" s="3">
        <v>0.0</v>
      </c>
      <c r="E609" s="3">
        <v>0.0</v>
      </c>
      <c r="F609" s="3" t="s">
        <v>1923</v>
      </c>
      <c r="G609" s="3">
        <v>1.0</v>
      </c>
      <c r="H609" s="3">
        <v>0.0</v>
      </c>
      <c r="I609" s="3" t="s">
        <v>13</v>
      </c>
      <c r="J609" s="3" t="s">
        <v>1924</v>
      </c>
      <c r="K609" s="3" t="s">
        <v>1925</v>
      </c>
      <c r="L609" s="3" t="str">
        <f>IFERROR(__xludf.DUMMYFUNCTION("GOOGLETRANSLATE(F609,""id"",""en"")"),"The cardboard of The Match Elo who believes in the same name as the World Cup Settings the same as the final kid, so it is still a setting of the Duss Duss")</f>
        <v>The cardboard of The Match Elo who believes in the same name as the World Cup Settings the same as the final kid, so it is still a setting of the Duss Duss</v>
      </c>
    </row>
    <row r="610" ht="15.75" customHeight="1">
      <c r="A610" s="1">
        <v>609.0</v>
      </c>
      <c r="B610" s="3" t="s">
        <v>1926</v>
      </c>
      <c r="C610" s="3">
        <v>0.0</v>
      </c>
      <c r="D610" s="3">
        <v>0.0</v>
      </c>
      <c r="E610" s="3">
        <v>1.0</v>
      </c>
      <c r="F610" s="3" t="s">
        <v>1741</v>
      </c>
      <c r="G610" s="3">
        <v>1.0</v>
      </c>
      <c r="H610" s="3">
        <v>0.0</v>
      </c>
      <c r="I610" s="3" t="s">
        <v>13</v>
      </c>
      <c r="J610" s="3" t="s">
        <v>1742</v>
      </c>
      <c r="K610" s="3" t="s">
        <v>1518</v>
      </c>
      <c r="L610" s="3" t="str">
        <f>IFERROR(__xludf.DUMMYFUNCTION("GOOGLETRANSLATE(F610,""id"",""en"")"),"Drama Penalty Arguing presented the World Cup Final after the draw lasted until the time for extra time finally Argentina came out as champions in accordance with the expectations of friends not here")</f>
        <v>Drama Penalty Arguing presented the World Cup Final after the draw lasted until the time for extra time finally Argentina came out as champions in accordance with the expectations of friends not here</v>
      </c>
    </row>
    <row r="611" ht="15.75" customHeight="1">
      <c r="A611" s="1">
        <v>610.0</v>
      </c>
      <c r="B611" s="3" t="s">
        <v>1927</v>
      </c>
      <c r="C611" s="3">
        <v>0.0</v>
      </c>
      <c r="D611" s="3">
        <v>0.0</v>
      </c>
      <c r="E611" s="3">
        <v>0.0</v>
      </c>
      <c r="F611" s="3" t="s">
        <v>1928</v>
      </c>
      <c r="G611" s="3">
        <v>0.7000000000000001</v>
      </c>
      <c r="H611" s="3">
        <v>0.0</v>
      </c>
      <c r="I611" s="3" t="s">
        <v>13</v>
      </c>
      <c r="J611" s="3" t="s">
        <v>1929</v>
      </c>
      <c r="K611" s="3" t="s">
        <v>510</v>
      </c>
      <c r="L611" s="3" t="str">
        <f>IFERROR(__xludf.DUMMYFUNCTION("GOOGLETRANSLATE(F611,""id"",""en"")"),"When your grandfather talked throughout my life this was the most exciting world cup final you know shit real")</f>
        <v>When your grandfather talked throughout my life this was the most exciting world cup final you know shit real</v>
      </c>
    </row>
    <row r="612" ht="15.75" customHeight="1">
      <c r="A612" s="1">
        <v>611.0</v>
      </c>
      <c r="B612" s="3" t="s">
        <v>1930</v>
      </c>
      <c r="C612" s="3">
        <v>0.0</v>
      </c>
      <c r="D612" s="3">
        <v>0.0</v>
      </c>
      <c r="E612" s="3">
        <v>0.0</v>
      </c>
      <c r="F612" s="3" t="s">
        <v>1931</v>
      </c>
      <c r="G612" s="3">
        <v>1.0</v>
      </c>
      <c r="H612" s="3">
        <v>0.0</v>
      </c>
      <c r="I612" s="3" t="s">
        <v>13</v>
      </c>
      <c r="J612" s="3" t="s">
        <v>1932</v>
      </c>
      <c r="K612" s="3" t="s">
        <v>19</v>
      </c>
      <c r="L612" s="3" t="str">
        <f>IFERROR(__xludf.DUMMYFUNCTION("GOOGLETRANSLATE(F612,""id"",""en"")"),"Although the early vibe of the world cup is somewhat lacking but the match until the final is very entertaining")</f>
        <v>Although the early vibe of the world cup is somewhat lacking but the match until the final is very entertaining</v>
      </c>
    </row>
    <row r="613" ht="15.75" customHeight="1">
      <c r="A613" s="1">
        <v>612.0</v>
      </c>
      <c r="B613" s="3" t="s">
        <v>1933</v>
      </c>
      <c r="C613" s="3">
        <v>0.0</v>
      </c>
      <c r="D613" s="3">
        <v>0.0</v>
      </c>
      <c r="E613" s="3">
        <v>7.0</v>
      </c>
      <c r="F613" s="3" t="s">
        <v>1934</v>
      </c>
      <c r="G613" s="3">
        <v>1.0</v>
      </c>
      <c r="H613" s="3">
        <v>0.0</v>
      </c>
      <c r="I613" s="3" t="s">
        <v>13</v>
      </c>
      <c r="J613" s="3" t="s">
        <v>1935</v>
      </c>
      <c r="K613" s="3" t="s">
        <v>358</v>
      </c>
      <c r="L613" s="3" t="str">
        <f>IFERROR(__xludf.DUMMYFUNCTION("GOOGLETRANSLATE(F613,""id"",""en"")"),"Argentina Congratulations Team Argentina drove the World Cup final after frustrating the French final with a survivor to Argentina fans and Lionel Messi")</f>
        <v>Argentina Congratulations Team Argentina drove the World Cup final after frustrating the French final with a survivor to Argentina fans and Lionel Messi</v>
      </c>
    </row>
    <row r="614" ht="15.75" customHeight="1">
      <c r="A614" s="1">
        <v>613.0</v>
      </c>
      <c r="B614" s="3" t="s">
        <v>1936</v>
      </c>
      <c r="C614" s="3">
        <v>1.0</v>
      </c>
      <c r="D614" s="3">
        <v>0.0</v>
      </c>
      <c r="E614" s="3">
        <v>67.0</v>
      </c>
      <c r="F614" s="3" t="s">
        <v>1937</v>
      </c>
      <c r="G614" s="3">
        <v>0.875</v>
      </c>
      <c r="H614" s="3">
        <v>0.0</v>
      </c>
      <c r="I614" s="3" t="s">
        <v>13</v>
      </c>
      <c r="J614" s="3" t="s">
        <v>1938</v>
      </c>
      <c r="K614" s="3" t="s">
        <v>574</v>
      </c>
      <c r="L614" s="3" t="str">
        <f>IFERROR(__xludf.DUMMYFUNCTION("GOOGLETRANSLATE(F614,""id"",""en"")"),"He has gone to the age of having lifted the World Cup trophy today Hattrick Final and total goals during the tournament still need time to prove its feasibility but it will definitely happen later")</f>
        <v>He has gone to the age of having lifted the World Cup trophy today Hattrick Final and total goals during the tournament still need time to prove its feasibility but it will definitely happen later</v>
      </c>
    </row>
    <row r="615" ht="15.75" customHeight="1">
      <c r="A615" s="1">
        <v>614.0</v>
      </c>
      <c r="B615" s="3" t="s">
        <v>1939</v>
      </c>
      <c r="C615" s="3">
        <v>0.0</v>
      </c>
      <c r="D615" s="3">
        <v>0.0</v>
      </c>
      <c r="E615" s="3">
        <v>5.0</v>
      </c>
      <c r="F615" s="3" t="s">
        <v>1940</v>
      </c>
      <c r="G615" s="3">
        <v>0.825</v>
      </c>
      <c r="H615" s="3">
        <v>0.07500000000000001</v>
      </c>
      <c r="I615" s="3" t="s">
        <v>48</v>
      </c>
      <c r="J615" s="3" t="s">
        <v>1941</v>
      </c>
      <c r="K615" s="3" t="s">
        <v>1942</v>
      </c>
      <c r="L615" s="3" t="str">
        <f>IFERROR(__xludf.DUMMYFUNCTION("GOOGLETRANSLATE(F615,""id"",""en"")"),"Haha Nyepam status because of watching the best world cup final all time witnesses the greatness of Argentina and Lionel Messi who will be remembered throughout the time Wow exciting tense to thrill the Argentine Congratulations What Congratulations")</f>
        <v>Haha Nyepam status because of watching the best world cup final all time witnesses the greatness of Argentina and Lionel Messi who will be remembered throughout the time Wow exciting tense to thrill the Argentine Congratulations What Congratulations</v>
      </c>
    </row>
    <row r="616" ht="15.75" customHeight="1">
      <c r="A616" s="1">
        <v>615.0</v>
      </c>
      <c r="B616" s="3" t="s">
        <v>1943</v>
      </c>
      <c r="C616" s="3">
        <v>0.0</v>
      </c>
      <c r="D616" s="3">
        <v>0.0</v>
      </c>
      <c r="E616" s="3">
        <v>0.0</v>
      </c>
      <c r="F616" s="3" t="s">
        <v>1944</v>
      </c>
      <c r="G616" s="3">
        <v>1.0</v>
      </c>
      <c r="H616" s="3">
        <v>0.0</v>
      </c>
      <c r="I616" s="3" t="s">
        <v>13</v>
      </c>
      <c r="J616" s="3" t="s">
        <v>1945</v>
      </c>
      <c r="K616" s="3" t="s">
        <v>23</v>
      </c>
      <c r="L616" s="3" t="str">
        <f>IFERROR(__xludf.DUMMYFUNCTION("GOOGLETRANSLATE(F616,""id"",""en"")"),"Still don't understand how this person is predicting the date of the month of the World Cup, even though the World Cup has been postponed from usual where he can know that the final on December")</f>
        <v>Still don't understand how this person is predicting the date of the month of the World Cup, even though the World Cup has been postponed from usual where he can know that the final on December</v>
      </c>
    </row>
    <row r="617" ht="15.75" customHeight="1">
      <c r="A617" s="1">
        <v>616.0</v>
      </c>
      <c r="B617" s="3" t="s">
        <v>1946</v>
      </c>
      <c r="C617" s="3">
        <v>0.0</v>
      </c>
      <c r="D617" s="3">
        <v>0.0</v>
      </c>
      <c r="E617" s="3">
        <v>0.0</v>
      </c>
      <c r="F617" s="3" t="s">
        <v>1947</v>
      </c>
      <c r="G617" s="3">
        <v>1.0</v>
      </c>
      <c r="H617" s="3">
        <v>0.3</v>
      </c>
      <c r="I617" s="3" t="s">
        <v>48</v>
      </c>
      <c r="J617" s="3" t="s">
        <v>1948</v>
      </c>
      <c r="K617" s="3" t="s">
        <v>510</v>
      </c>
      <c r="L617" s="3" t="str">
        <f>IFERROR(__xludf.DUMMYFUNCTION("GOOGLETRANSLATE(F617,""id"",""en"")"),"Besides Mbappe it will be difficult to find players can get the Final Hattrick of the Nice Try Young Master World Cup")</f>
        <v>Besides Mbappe it will be difficult to find players can get the Final Hattrick of the Nice Try Young Master World Cup</v>
      </c>
    </row>
    <row r="618" ht="15.75" customHeight="1">
      <c r="A618" s="1">
        <v>617.0</v>
      </c>
      <c r="B618" s="3" t="s">
        <v>1949</v>
      </c>
      <c r="C618" s="3">
        <v>0.0</v>
      </c>
      <c r="D618" s="3">
        <v>0.0</v>
      </c>
      <c r="E618" s="3">
        <v>0.0</v>
      </c>
      <c r="F618" s="3" t="s">
        <v>1950</v>
      </c>
      <c r="G618" s="3">
        <v>1.0</v>
      </c>
      <c r="H618" s="3">
        <v>0.0</v>
      </c>
      <c r="I618" s="3" t="s">
        <v>13</v>
      </c>
      <c r="J618" s="3" t="s">
        <v>1951</v>
      </c>
      <c r="K618" s="3" t="s">
        <v>699</v>
      </c>
      <c r="L618" s="3" t="str">
        <f>IFERROR(__xludf.DUMMYFUNCTION("GOOGLETRANSLATE(F618,""id"",""en"")"),"tonight, so many people don't understand the ball, so they understand even girl")</f>
        <v>tonight, so many people don't understand the ball, so they understand even girl</v>
      </c>
    </row>
    <row r="619" ht="15.75" customHeight="1">
      <c r="A619" s="1">
        <v>618.0</v>
      </c>
      <c r="B619" s="3" t="s">
        <v>1952</v>
      </c>
      <c r="C619" s="3">
        <v>0.0</v>
      </c>
      <c r="D619" s="3">
        <v>0.0</v>
      </c>
      <c r="E619" s="3">
        <v>1.0</v>
      </c>
      <c r="F619" s="3" t="s">
        <v>1953</v>
      </c>
      <c r="G619" s="3">
        <v>1.0</v>
      </c>
      <c r="H619" s="3">
        <v>0.0</v>
      </c>
      <c r="I619" s="3" t="s">
        <v>13</v>
      </c>
      <c r="J619" s="3" t="s">
        <v>1954</v>
      </c>
      <c r="K619" s="3" t="s">
        <v>1469</v>
      </c>
      <c r="L619" s="3" t="str">
        <f>IFERROR(__xludf.DUMMYFUNCTION("GOOGLETRANSLATE(F619,""id"",""en"")"),"Believe it or not, I don't believe in receiving more Mbappe Final's goal than this year's World Cup Edition goal")</f>
        <v>Believe it or not, I don't believe in receiving more Mbappe Final's goal than this year's World Cup Edition goal</v>
      </c>
    </row>
    <row r="620" ht="15.75" customHeight="1">
      <c r="A620" s="1">
        <v>619.0</v>
      </c>
      <c r="B620" s="3" t="s">
        <v>1955</v>
      </c>
      <c r="C620" s="3">
        <v>0.0</v>
      </c>
      <c r="D620" s="3">
        <v>0.0</v>
      </c>
      <c r="E620" s="3">
        <v>0.0</v>
      </c>
      <c r="F620" s="3" t="s">
        <v>1956</v>
      </c>
      <c r="G620" s="3">
        <v>1.0</v>
      </c>
      <c r="H620" s="3">
        <v>0.0</v>
      </c>
      <c r="I620" s="3" t="s">
        <v>13</v>
      </c>
      <c r="J620" s="3" t="s">
        <v>1957</v>
      </c>
      <c r="K620" s="3" t="s">
        <v>50</v>
      </c>
      <c r="L620" s="3" t="str">
        <f>IFERROR(__xludf.DUMMYFUNCTION("GOOGLETRANSLATE(F620,""id"",""en"")"),"Man the match of the French Argentine national team French World Cup Lionel Messi")</f>
        <v>Man the match of the French Argentine national team French World Cup Lionel Messi</v>
      </c>
    </row>
    <row r="621" ht="15.75" customHeight="1">
      <c r="A621" s="1">
        <v>620.0</v>
      </c>
      <c r="B621" s="3" t="s">
        <v>1958</v>
      </c>
      <c r="C621" s="3">
        <v>0.0</v>
      </c>
      <c r="D621" s="3">
        <v>0.0</v>
      </c>
      <c r="E621" s="3">
        <v>0.0</v>
      </c>
      <c r="F621" s="3" t="s">
        <v>1959</v>
      </c>
      <c r="G621" s="3">
        <v>1.0</v>
      </c>
      <c r="H621" s="3">
        <v>0.0</v>
      </c>
      <c r="I621" s="3" t="s">
        <v>13</v>
      </c>
      <c r="J621" s="3" t="s">
        <v>1960</v>
      </c>
      <c r="K621" s="3" t="s">
        <v>31</v>
      </c>
      <c r="L621" s="3" t="str">
        <f>IFERROR(__xludf.DUMMYFUNCTION("GOOGLETRANSLATE(F621,""id"",""en"")"),"World Cup Final DagdigdugSerrr")</f>
        <v>World Cup Final DagdigdugSerrr</v>
      </c>
    </row>
    <row r="622" ht="15.75" customHeight="1">
      <c r="A622" s="1">
        <v>621.0</v>
      </c>
      <c r="B622" s="3" t="s">
        <v>1961</v>
      </c>
      <c r="C622" s="3">
        <v>0.0</v>
      </c>
      <c r="D622" s="3">
        <v>0.0</v>
      </c>
      <c r="E622" s="3">
        <v>0.0</v>
      </c>
      <c r="F622" s="3" t="s">
        <v>1962</v>
      </c>
      <c r="G622" s="3">
        <v>0.65</v>
      </c>
      <c r="H622" s="3">
        <v>0.1</v>
      </c>
      <c r="I622" s="3" t="s">
        <v>48</v>
      </c>
      <c r="J622" s="3" t="s">
        <v>1963</v>
      </c>
      <c r="K622" s="3" t="s">
        <v>503</v>
      </c>
      <c r="L622" s="3" t="str">
        <f>IFERROR(__xludf.DUMMYFUNCTION("GOOGLETRANSLATE(F622,""id"",""en"")"),"Year was my toughest year when I became a Liverpool soccer fan failed the English league champions with different points with Manchester City Liverpool lost final against Real Madrid Ronaldo Portugal lost to the world and failed to win the World Cup champ"&amp;"ionship")</f>
        <v>Year was my toughest year when I became a Liverpool soccer fan failed the English league champions with different points with Manchester City Liverpool lost final against Real Madrid Ronaldo Portugal lost to the world and failed to win the World Cup championship</v>
      </c>
    </row>
    <row r="623" ht="15.75" customHeight="1">
      <c r="A623" s="1">
        <v>622.0</v>
      </c>
      <c r="B623" s="3" t="s">
        <v>1964</v>
      </c>
      <c r="C623" s="3">
        <v>0.0</v>
      </c>
      <c r="D623" s="3">
        <v>0.0</v>
      </c>
      <c r="E623" s="3">
        <v>0.0</v>
      </c>
      <c r="F623" s="3" t="s">
        <v>1965</v>
      </c>
      <c r="G623" s="3">
        <v>1.0</v>
      </c>
      <c r="H623" s="3">
        <v>0.0</v>
      </c>
      <c r="I623" s="3" t="s">
        <v>13</v>
      </c>
      <c r="J623" s="3" t="s">
        <v>1966</v>
      </c>
      <c r="K623" s="3" t="s">
        <v>54</v>
      </c>
      <c r="L623" s="3" t="str">
        <f>IFERROR(__xludf.DUMMYFUNCTION("GOOGLETRANSLATE(F623,""id"",""en"")"),"Too Cool World Cup Final")</f>
        <v>Too Cool World Cup Final</v>
      </c>
    </row>
    <row r="624" ht="15.75" customHeight="1">
      <c r="A624" s="1">
        <v>623.0</v>
      </c>
      <c r="B624" s="3" t="s">
        <v>1967</v>
      </c>
      <c r="C624" s="3">
        <v>0.0</v>
      </c>
      <c r="D624" s="3">
        <v>2.0</v>
      </c>
      <c r="E624" s="3">
        <v>14.0</v>
      </c>
      <c r="F624" s="3" t="s">
        <v>1968</v>
      </c>
      <c r="G624" s="3">
        <v>1.0</v>
      </c>
      <c r="H624" s="3">
        <v>0.0</v>
      </c>
      <c r="I624" s="3" t="s">
        <v>13</v>
      </c>
      <c r="J624" s="3" t="s">
        <v>1969</v>
      </c>
      <c r="K624" s="3" t="s">
        <v>1970</v>
      </c>
      <c r="L624" s="3" t="str">
        <f>IFERROR(__xludf.DUMMYFUNCTION("GOOGLETRANSLATE(F624,""id"",""en"")"),"Argentina's dream to return to win the World Cup after last doing so on the realization of the Qatar World Cup after winning the France French Final Monday morning")</f>
        <v>Argentina's dream to return to win the World Cup after last doing so on the realization of the Qatar World Cup after winning the France French Final Monday morning</v>
      </c>
    </row>
    <row r="625" ht="15.75" customHeight="1">
      <c r="A625" s="1">
        <v>624.0</v>
      </c>
      <c r="B625" s="3" t="s">
        <v>1971</v>
      </c>
      <c r="C625" s="3">
        <v>0.0</v>
      </c>
      <c r="D625" s="3">
        <v>0.0</v>
      </c>
      <c r="E625" s="3">
        <v>0.0</v>
      </c>
      <c r="F625" s="3" t="s">
        <v>1972</v>
      </c>
      <c r="G625" s="3">
        <v>1.0</v>
      </c>
      <c r="H625" s="3">
        <v>0.0</v>
      </c>
      <c r="I625" s="3" t="s">
        <v>13</v>
      </c>
      <c r="J625" s="3" t="s">
        <v>1973</v>
      </c>
      <c r="K625" s="3" t="s">
        <v>1974</v>
      </c>
      <c r="L625" s="3" t="str">
        <f>IFERROR(__xludf.DUMMYFUNCTION("GOOGLETRANSLATE(F625,""id"",""en"")"),"Final last year with you watching the World Cup Final Nangis True next to you while being ridiculed by the second year of the second year watching the final without father sir, this fav fav, the world champion and the second final is crying but happy")</f>
        <v>Final last year with you watching the World Cup Final Nangis True next to you while being ridiculed by the second year of the second year watching the final without father sir, this fav fav, the world champion and the second final is crying but happy</v>
      </c>
    </row>
    <row r="626" ht="15.75" customHeight="1">
      <c r="A626" s="1">
        <v>625.0</v>
      </c>
      <c r="B626" s="3" t="s">
        <v>1975</v>
      </c>
      <c r="C626" s="3">
        <v>0.0</v>
      </c>
      <c r="D626" s="3">
        <v>0.0</v>
      </c>
      <c r="E626" s="3">
        <v>0.0</v>
      </c>
      <c r="F626" s="3" t="s">
        <v>1976</v>
      </c>
      <c r="G626" s="3">
        <v>1.0</v>
      </c>
      <c r="H626" s="3">
        <v>0.0</v>
      </c>
      <c r="I626" s="3" t="s">
        <v>13</v>
      </c>
      <c r="J626" s="3" t="s">
        <v>1977</v>
      </c>
      <c r="K626" s="3" t="s">
        <v>1978</v>
      </c>
      <c r="L626" s="3" t="str">
        <f>IFERROR(__xludf.DUMMYFUNCTION("GOOGLETRANSLATE(F626,""id"",""en"")"),"the best host of the best world cup ost opening ceremony the best world cup final match drama")</f>
        <v>the best host of the best world cup ost opening ceremony the best world cup final match drama</v>
      </c>
    </row>
    <row r="627" ht="15.75" customHeight="1">
      <c r="A627" s="1">
        <v>626.0</v>
      </c>
      <c r="B627" s="3" t="s">
        <v>1979</v>
      </c>
      <c r="C627" s="3">
        <v>2.0</v>
      </c>
      <c r="D627" s="3">
        <v>0.0</v>
      </c>
      <c r="E627" s="3">
        <v>0.0</v>
      </c>
      <c r="F627" s="3" t="s">
        <v>1980</v>
      </c>
      <c r="G627" s="3">
        <v>1.0</v>
      </c>
      <c r="H627" s="3">
        <v>0.0</v>
      </c>
      <c r="I627" s="3" t="s">
        <v>13</v>
      </c>
      <c r="J627" s="3" t="s">
        <v>1981</v>
      </c>
      <c r="K627" s="3" t="s">
        <v>1061</v>
      </c>
      <c r="L627" s="3" t="str">
        <f>IFERROR(__xludf.DUMMYFUNCTION("GOOGLETRANSLATE(F627,""id"",""en"")"),"Okay this time I admit that Argentina deserves to win but the most exciting and tense World Cup final is this year from the first round actually already sure France is champion but France's minutes points to its quality")</f>
        <v>Okay this time I admit that Argentina deserves to win but the most exciting and tense World Cup final is this year from the first round actually already sure France is champion but France's minutes points to its quality</v>
      </c>
    </row>
    <row r="628" ht="15.75" customHeight="1">
      <c r="A628" s="1">
        <v>627.0</v>
      </c>
      <c r="B628" s="3" t="s">
        <v>1982</v>
      </c>
      <c r="C628" s="3">
        <v>0.0</v>
      </c>
      <c r="D628" s="3">
        <v>0.0</v>
      </c>
      <c r="E628" s="3">
        <v>0.0</v>
      </c>
      <c r="F628" s="3" t="s">
        <v>1983</v>
      </c>
      <c r="G628" s="3">
        <v>1.0</v>
      </c>
      <c r="H628" s="3">
        <v>0.0</v>
      </c>
      <c r="I628" s="3" t="s">
        <v>13</v>
      </c>
      <c r="J628" s="3" t="s">
        <v>1984</v>
      </c>
      <c r="K628" s="3" t="s">
        <v>240</v>
      </c>
      <c r="L628" s="3" t="str">
        <f>IFERROR(__xludf.DUMMYFUNCTION("GOOGLETRANSLATE(F628,""id"",""en"")"),"The final effect of the Twitter world cup is very crowded, which is not active for months and for many years appeared all and on ngtweeg")</f>
        <v>The final effect of the Twitter world cup is very crowded, which is not active for months and for many years appeared all and on ngtweeg</v>
      </c>
    </row>
    <row r="629" ht="15.75" customHeight="1">
      <c r="A629" s="1">
        <v>628.0</v>
      </c>
      <c r="B629" s="3" t="s">
        <v>1985</v>
      </c>
      <c r="C629" s="3">
        <v>0.0</v>
      </c>
      <c r="D629" s="3">
        <v>2.0</v>
      </c>
      <c r="E629" s="3">
        <v>8.0</v>
      </c>
      <c r="F629" s="3" t="s">
        <v>1986</v>
      </c>
      <c r="G629" s="3">
        <v>1.0</v>
      </c>
      <c r="H629" s="3">
        <v>0.0</v>
      </c>
      <c r="I629" s="3" t="s">
        <v>13</v>
      </c>
      <c r="J629" s="3" t="s">
        <v>1987</v>
      </c>
      <c r="K629" s="3" t="s">
        <v>1699</v>
      </c>
      <c r="L629" s="3" t="str">
        <f>IFERROR(__xludf.DUMMYFUNCTION("GOOGLETRANSLATE(F629,""id"",""en"")"),"Congratulations Argentina Champion World Cup Final match between Argentina and France on Sunday night took place a long match ended through a penalty shootout with Argentina's victory achieved by Argentina")</f>
        <v>Congratulations Argentina Champion World Cup Final match between Argentina and France on Sunday night took place a long match ended through a penalty shootout with Argentina's victory achieved by Argentina</v>
      </c>
    </row>
    <row r="630" ht="15.75" customHeight="1">
      <c r="A630" s="1">
        <v>629.0</v>
      </c>
      <c r="B630" s="3" t="s">
        <v>1988</v>
      </c>
      <c r="C630" s="3">
        <v>0.0</v>
      </c>
      <c r="D630" s="3">
        <v>0.0</v>
      </c>
      <c r="E630" s="3">
        <v>1.0</v>
      </c>
      <c r="F630" s="3" t="s">
        <v>1989</v>
      </c>
      <c r="G630" s="3">
        <v>1.0</v>
      </c>
      <c r="H630" s="3">
        <v>0.0</v>
      </c>
      <c r="I630" s="3" t="s">
        <v>13</v>
      </c>
      <c r="J630" s="3" t="s">
        <v>1990</v>
      </c>
      <c r="K630" s="3" t="s">
        <v>644</v>
      </c>
      <c r="L630" s="3" t="str">
        <f>IFERROR(__xludf.DUMMYFUNCTION("GOOGLETRANSLATE(F630,""id"",""en"")"),"World Cup Final Gokillllllll")</f>
        <v>World Cup Final Gokillllllll</v>
      </c>
    </row>
    <row r="631" ht="15.75" customHeight="1">
      <c r="A631" s="1">
        <v>630.0</v>
      </c>
      <c r="B631" s="3" t="s">
        <v>1991</v>
      </c>
      <c r="C631" s="3">
        <v>0.0</v>
      </c>
      <c r="D631" s="3">
        <v>0.0</v>
      </c>
      <c r="E631" s="3">
        <v>0.0</v>
      </c>
      <c r="F631" s="3" t="s">
        <v>1992</v>
      </c>
      <c r="G631" s="3">
        <v>1.0</v>
      </c>
      <c r="H631" s="3">
        <v>0.0</v>
      </c>
      <c r="I631" s="3" t="s">
        <v>13</v>
      </c>
      <c r="J631" s="3" t="s">
        <v>1993</v>
      </c>
      <c r="K631" s="3" t="s">
        <v>90</v>
      </c>
      <c r="L631" s="3" t="str">
        <f>IFERROR(__xludf.DUMMYFUNCTION("GOOGLETRANSLATE(F631,""id"",""en"")"),"But still they are the biggest plot of the world cup twist this year because they managed to beat Belgium Canada Spain and Portugal and then enter the semi -finals")</f>
        <v>But still they are the biggest plot of the world cup twist this year because they managed to beat Belgium Canada Spain and Portugal and then enter the semi -finals</v>
      </c>
    </row>
    <row r="632" ht="15.75" customHeight="1">
      <c r="A632" s="1">
        <v>631.0</v>
      </c>
      <c r="B632" s="3" t="s">
        <v>1994</v>
      </c>
      <c r="C632" s="3">
        <v>0.0</v>
      </c>
      <c r="D632" s="3">
        <v>0.0</v>
      </c>
      <c r="E632" s="3">
        <v>0.0</v>
      </c>
      <c r="F632" s="3" t="s">
        <v>1995</v>
      </c>
      <c r="G632" s="3">
        <v>1.0</v>
      </c>
      <c r="H632" s="3">
        <v>0.0</v>
      </c>
      <c r="I632" s="3" t="s">
        <v>13</v>
      </c>
      <c r="J632" s="3" t="s">
        <v>1996</v>
      </c>
      <c r="K632" s="3" t="s">
        <v>699</v>
      </c>
      <c r="L632" s="3" t="str">
        <f>IFERROR(__xludf.DUMMYFUNCTION("GOOGLETRANSLATE(F632,""id"",""en"")"),"Father, I thought the final was imagined if I didn't tell me that the final at the time was waking up when I saw what the world cup was")</f>
        <v>Father, I thought the final was imagined if I didn't tell me that the final at the time was waking up when I saw what the world cup was</v>
      </c>
    </row>
    <row r="633" ht="15.75" customHeight="1">
      <c r="A633" s="1">
        <v>632.0</v>
      </c>
      <c r="B633" s="3" t="s">
        <v>1997</v>
      </c>
      <c r="C633" s="3">
        <v>0.0</v>
      </c>
      <c r="D633" s="3">
        <v>0.0</v>
      </c>
      <c r="E633" s="3">
        <v>0.0</v>
      </c>
      <c r="F633" s="3" t="s">
        <v>1998</v>
      </c>
      <c r="G633" s="3">
        <v>1.0</v>
      </c>
      <c r="H633" s="3">
        <v>0.0</v>
      </c>
      <c r="I633" s="3" t="s">
        <v>13</v>
      </c>
      <c r="J633" s="3" t="s">
        <v>1999</v>
      </c>
      <c r="K633" s="3" t="s">
        <v>2000</v>
      </c>
      <c r="L633" s="3" t="str">
        <f>IFERROR(__xludf.DUMMYFUNCTION("GOOGLETRANSLATE(F633,""id"",""en"")"),"Predictions of French crew Brazil Final and French champions turned out to be only France entering the final which was true of people hoping for France to lose because France champions defending if they lost then the World Cup would remain")</f>
        <v>Predictions of French crew Brazil Final and French champions turned out to be only France entering the final which was true of people hoping for France to lose because France champions defending if they lost then the World Cup would remain</v>
      </c>
    </row>
    <row r="634" ht="15.75" customHeight="1">
      <c r="A634" s="1">
        <v>633.0</v>
      </c>
      <c r="B634" s="3" t="s">
        <v>2001</v>
      </c>
      <c r="C634" s="3">
        <v>0.0</v>
      </c>
      <c r="D634" s="3">
        <v>0.0</v>
      </c>
      <c r="E634" s="3">
        <v>0.0</v>
      </c>
      <c r="F634" s="3" t="s">
        <v>2002</v>
      </c>
      <c r="G634" s="3">
        <v>1.0</v>
      </c>
      <c r="H634" s="3">
        <v>0.0</v>
      </c>
      <c r="I634" s="3" t="s">
        <v>13</v>
      </c>
      <c r="J634" s="3" t="s">
        <v>2003</v>
      </c>
      <c r="K634" s="3" t="s">
        <v>41</v>
      </c>
      <c r="L634" s="3" t="str">
        <f>IFERROR(__xludf.DUMMYFUNCTION("GOOGLETRANSLATE(F634,""id"",""en"")"),"That was the best world cup final match")</f>
        <v>That was the best world cup final match</v>
      </c>
    </row>
    <row r="635" ht="15.75" customHeight="1">
      <c r="A635" s="1">
        <v>634.0</v>
      </c>
      <c r="B635" s="3" t="s">
        <v>2004</v>
      </c>
      <c r="C635" s="3">
        <v>0.0</v>
      </c>
      <c r="D635" s="3">
        <v>5.0</v>
      </c>
      <c r="E635" s="3">
        <v>25.0</v>
      </c>
      <c r="F635" s="3" t="s">
        <v>2005</v>
      </c>
      <c r="G635" s="3">
        <v>1.0</v>
      </c>
      <c r="H635" s="3">
        <v>0.0</v>
      </c>
      <c r="I635" s="3" t="s">
        <v>13</v>
      </c>
      <c r="J635" s="3" t="s">
        <v>2006</v>
      </c>
      <c r="K635" s="3" t="s">
        <v>910</v>
      </c>
      <c r="L635" s="3" t="str">
        <f>IFERROR(__xludf.DUMMYFUNCTION("GOOGLETRANSLATE(F635,""id"",""en"")"),"Argentina World Cup completed the waiting year to rise the World Cup for the third time when killing France accepting the determination of a penalty after the final action full of dramatic stadium Lusail will be end")</f>
        <v>Argentina World Cup completed the waiting year to rise the World Cup for the third time when killing France accepting the determination of a penalty after the final action full of dramatic stadium Lusail will be end</v>
      </c>
    </row>
    <row r="636" ht="15.75" customHeight="1">
      <c r="A636" s="1">
        <v>635.0</v>
      </c>
      <c r="B636" s="3" t="s">
        <v>2007</v>
      </c>
      <c r="C636" s="3">
        <v>1.0</v>
      </c>
      <c r="D636" s="3">
        <v>2.0</v>
      </c>
      <c r="E636" s="3">
        <v>8.0</v>
      </c>
      <c r="F636" s="3" t="s">
        <v>2008</v>
      </c>
      <c r="G636" s="3">
        <v>1.0</v>
      </c>
      <c r="H636" s="3">
        <v>0.0</v>
      </c>
      <c r="I636" s="3" t="s">
        <v>13</v>
      </c>
      <c r="J636" s="3" t="s">
        <v>2009</v>
      </c>
      <c r="K636" s="3" t="s">
        <v>54</v>
      </c>
      <c r="L636" s="3" t="str">
        <f>IFERROR(__xludf.DUMMYFUNCTION("GOOGLETRANSLATE(F636,""id"",""en"")"),"Final was shocked and best in the history of the World Cup")</f>
        <v>Final was shocked and best in the history of the World Cup</v>
      </c>
    </row>
    <row r="637" ht="15.75" customHeight="1">
      <c r="A637" s="1">
        <v>636.0</v>
      </c>
      <c r="B637" s="3" t="s">
        <v>2010</v>
      </c>
      <c r="C637" s="3">
        <v>2.0</v>
      </c>
      <c r="D637" s="3">
        <v>0.0</v>
      </c>
      <c r="E637" s="3">
        <v>1.0</v>
      </c>
      <c r="F637" s="3" t="s">
        <v>2011</v>
      </c>
      <c r="G637" s="3">
        <v>1.0</v>
      </c>
      <c r="H637" s="3">
        <v>0.0</v>
      </c>
      <c r="I637" s="3" t="s">
        <v>13</v>
      </c>
      <c r="J637" s="3" t="s">
        <v>2012</v>
      </c>
      <c r="K637" s="3" t="s">
        <v>2013</v>
      </c>
      <c r="L637" s="3" t="str">
        <f>IFERROR(__xludf.DUMMYFUNCTION("GOOGLETRANSLATE(F637,""id"",""en"")"),"Bruhhh Era Didier Deschamps France entered the big final of the Euro World Cup Tournament as Deschamps coach and failed to enter the final when Karim Benzema entered the World Cup squad")</f>
        <v>Bruhhh Era Didier Deschamps France entered the big final of the Euro World Cup Tournament as Deschamps coach and failed to enter the final when Karim Benzema entered the World Cup squad</v>
      </c>
    </row>
    <row r="638" ht="15.75" customHeight="1">
      <c r="A638" s="1">
        <v>637.0</v>
      </c>
      <c r="B638" s="3" t="s">
        <v>2014</v>
      </c>
      <c r="C638" s="3">
        <v>0.0</v>
      </c>
      <c r="D638" s="3">
        <v>0.0</v>
      </c>
      <c r="E638" s="3">
        <v>0.0</v>
      </c>
      <c r="F638" s="3" t="s">
        <v>2015</v>
      </c>
      <c r="G638" s="3">
        <v>1.0</v>
      </c>
      <c r="H638" s="3">
        <v>0.0</v>
      </c>
      <c r="I638" s="3" t="s">
        <v>13</v>
      </c>
      <c r="J638" s="3" t="s">
        <v>2016</v>
      </c>
      <c r="K638" s="3" t="s">
        <v>54</v>
      </c>
      <c r="L638" s="3" t="str">
        <f>IFERROR(__xludf.DUMMYFUNCTION("GOOGLETRANSLATE(F638,""id"",""en"")"),"One of the best World Cup finals")</f>
        <v>One of the best World Cup finals</v>
      </c>
    </row>
    <row r="639" ht="15.75" customHeight="1">
      <c r="A639" s="1">
        <v>638.0</v>
      </c>
      <c r="B639" s="3" t="s">
        <v>2017</v>
      </c>
      <c r="C639" s="3">
        <v>1.0</v>
      </c>
      <c r="D639" s="3">
        <v>0.0</v>
      </c>
      <c r="E639" s="3">
        <v>2.0</v>
      </c>
      <c r="F639" s="3" t="s">
        <v>2018</v>
      </c>
      <c r="G639" s="3">
        <v>0.7777777777777777</v>
      </c>
      <c r="H639" s="3">
        <v>0.05555555555555555</v>
      </c>
      <c r="I639" s="3" t="s">
        <v>48</v>
      </c>
      <c r="J639" s="3" t="s">
        <v>2019</v>
      </c>
      <c r="K639" s="3" t="s">
        <v>165</v>
      </c>
      <c r="L639" s="3" t="str">
        <f>IFERROR(__xludf.DUMMYFUNCTION("GOOGLETRANSLATE(F639,""id"",""en"")"),"Surely many say the settings must be a lot say the UEFA Nations League is more relevant than the world cup to talk about eating taik sono brg the world cup final grass idol gapernah playing the world cup final final")</f>
        <v>Surely many say the settings must be a lot say the UEFA Nations League is more relevant than the world cup to talk about eating taik sono brg the world cup final grass idol gapernah playing the world cup final final</v>
      </c>
    </row>
    <row r="640" ht="15.75" customHeight="1">
      <c r="A640" s="1">
        <v>639.0</v>
      </c>
      <c r="B640" s="3" t="s">
        <v>2020</v>
      </c>
      <c r="C640" s="3">
        <v>0.0</v>
      </c>
      <c r="D640" s="3">
        <v>0.0</v>
      </c>
      <c r="E640" s="3">
        <v>3.0</v>
      </c>
      <c r="F640" s="3" t="s">
        <v>2021</v>
      </c>
      <c r="G640" s="3">
        <v>1.0</v>
      </c>
      <c r="H640" s="3">
        <v>0.0</v>
      </c>
      <c r="I640" s="3" t="s">
        <v>13</v>
      </c>
      <c r="J640" s="3" t="s">
        <v>2022</v>
      </c>
      <c r="K640" s="3" t="s">
        <v>2023</v>
      </c>
      <c r="L640" s="3" t="str">
        <f>IFERROR(__xludf.DUMMYFUNCTION("GOOGLETRANSLATE(F640,""id"",""en"")"),"Inj Day we witnessed the history of Argentina World Cup champion Messi became the best player in the history of world football and this is the best World Cup final match")</f>
        <v>Inj Day we witnessed the history of Argentina World Cup champion Messi became the best player in the history of world football and this is the best World Cup final match</v>
      </c>
    </row>
    <row r="641" ht="15.75" customHeight="1">
      <c r="A641" s="1">
        <v>640.0</v>
      </c>
      <c r="B641" s="3" t="s">
        <v>2024</v>
      </c>
      <c r="C641" s="3">
        <v>1.0</v>
      </c>
      <c r="D641" s="3">
        <v>0.0</v>
      </c>
      <c r="E641" s="3">
        <v>0.0</v>
      </c>
      <c r="F641" s="3" t="s">
        <v>2025</v>
      </c>
      <c r="G641" s="3">
        <v>1.0</v>
      </c>
      <c r="H641" s="3">
        <v>0.0</v>
      </c>
      <c r="I641" s="3" t="s">
        <v>13</v>
      </c>
      <c r="J641" s="3" t="s">
        <v>2026</v>
      </c>
      <c r="K641" s="3" t="s">
        <v>1970</v>
      </c>
      <c r="L641" s="3" t="str">
        <f>IFERROR(__xludf.DUMMYFUNCTION("GOOGLETRANSLATE(F641,""id"",""en"")"),"This is the best World Cup final ever watching Mbappe in the future of the World Cup after each other pursuing a penalty shootout and the main actor Messi the King")</f>
        <v>This is the best World Cup final ever watching Mbappe in the future of the World Cup after each other pursuing a penalty shootout and the main actor Messi the King</v>
      </c>
    </row>
    <row r="642" ht="15.75" customHeight="1">
      <c r="A642" s="1">
        <v>641.0</v>
      </c>
      <c r="B642" s="3" t="s">
        <v>2027</v>
      </c>
      <c r="C642" s="3">
        <v>0.0</v>
      </c>
      <c r="D642" s="3">
        <v>0.0</v>
      </c>
      <c r="E642" s="3">
        <v>1.0</v>
      </c>
      <c r="F642" s="3" t="s">
        <v>2028</v>
      </c>
      <c r="G642" s="3">
        <v>1.0</v>
      </c>
      <c r="H642" s="3">
        <v>0.0</v>
      </c>
      <c r="I642" s="3" t="s">
        <v>13</v>
      </c>
      <c r="J642" s="3" t="s">
        <v>2029</v>
      </c>
      <c r="K642" s="3" t="s">
        <v>41</v>
      </c>
      <c r="L642" s="3" t="str">
        <f>IFERROR(__xludf.DUMMYFUNCTION("GOOGLETRANSLATE(F642,""id"",""en"")"),"the best experience of watching the final world cup is really exciting")</f>
        <v>the best experience of watching the final world cup is really exciting</v>
      </c>
    </row>
    <row r="643" ht="15.75" customHeight="1">
      <c r="A643" s="1">
        <v>642.0</v>
      </c>
      <c r="B643" s="3" t="s">
        <v>2030</v>
      </c>
      <c r="C643" s="3">
        <v>0.0</v>
      </c>
      <c r="D643" s="3">
        <v>0.0</v>
      </c>
      <c r="E643" s="3">
        <v>1.0</v>
      </c>
      <c r="F643" s="3" t="s">
        <v>2031</v>
      </c>
      <c r="G643" s="3">
        <v>0.75</v>
      </c>
      <c r="H643" s="3">
        <v>0.25</v>
      </c>
      <c r="I643" s="3" t="s">
        <v>48</v>
      </c>
      <c r="J643" s="3" t="s">
        <v>2032</v>
      </c>
      <c r="K643" s="3" t="s">
        <v>215</v>
      </c>
      <c r="L643" s="3" t="str">
        <f>IFERROR(__xludf.DUMMYFUNCTION("GOOGLETRANSLATE(F643,""id"",""en"")"),"The Qatar World Cup final match between the Argentine national team against France which was held by Lusail Iconic Stadium Sunday night WIB was very fierce even the winner of this match must be determined through the penalty shootout round")</f>
        <v>The Qatar World Cup final match between the Argentine national team against France which was held by Lusail Iconic Stadium Sunday night WIB was very fierce even the winner of this match must be determined through the penalty shootout round</v>
      </c>
    </row>
    <row r="644" ht="15.75" customHeight="1">
      <c r="A644" s="1">
        <v>643.0</v>
      </c>
      <c r="B644" s="3" t="s">
        <v>2033</v>
      </c>
      <c r="C644" s="3">
        <v>0.0</v>
      </c>
      <c r="D644" s="3">
        <v>0.0</v>
      </c>
      <c r="E644" s="3">
        <v>0.0</v>
      </c>
      <c r="F644" s="3" t="s">
        <v>2034</v>
      </c>
      <c r="G644" s="3">
        <v>1.0</v>
      </c>
      <c r="H644" s="3">
        <v>0.0</v>
      </c>
      <c r="I644" s="3" t="s">
        <v>13</v>
      </c>
      <c r="J644" s="3" t="s">
        <v>2035</v>
      </c>
      <c r="K644" s="3" t="s">
        <v>31</v>
      </c>
      <c r="L644" s="3" t="str">
        <f>IFERROR(__xludf.DUMMYFUNCTION("GOOGLETRANSLATE(F644,""id"",""en"")"),"The World Cup final is really exciting")</f>
        <v>The World Cup final is really exciting</v>
      </c>
    </row>
    <row r="645" ht="15.75" customHeight="1">
      <c r="A645" s="1">
        <v>644.0</v>
      </c>
      <c r="B645" s="3" t="s">
        <v>2036</v>
      </c>
      <c r="C645" s="3">
        <v>0.0</v>
      </c>
      <c r="D645" s="3">
        <v>0.0</v>
      </c>
      <c r="E645" s="3">
        <v>0.0</v>
      </c>
      <c r="F645" s="3" t="s">
        <v>2037</v>
      </c>
      <c r="G645" s="3">
        <v>1.0</v>
      </c>
      <c r="H645" s="3">
        <v>0.0</v>
      </c>
      <c r="I645" s="3" t="s">
        <v>13</v>
      </c>
      <c r="J645" s="3" t="s">
        <v>2038</v>
      </c>
      <c r="K645" s="3" t="s">
        <v>495</v>
      </c>
      <c r="L645" s="3" t="str">
        <f>IFERROR(__xludf.DUMMYFUNCTION("GOOGLETRANSLATE(F645,""id"",""en"")"),"The Best World Cup Final Match Ever Watching Feelings Tumped Napper Slay Both of Recepts the last goal of the last goal is Messi career")</f>
        <v>The Best World Cup Final Match Ever Watching Feelings Tumped Napper Slay Both of Recepts the last goal of the last goal is Messi career</v>
      </c>
    </row>
    <row r="646" ht="15.75" customHeight="1">
      <c r="A646" s="1">
        <v>645.0</v>
      </c>
      <c r="B646" s="3" t="s">
        <v>2039</v>
      </c>
      <c r="C646" s="3">
        <v>0.0</v>
      </c>
      <c r="D646" s="3">
        <v>10.0</v>
      </c>
      <c r="E646" s="3">
        <v>34.0</v>
      </c>
      <c r="F646" s="3" t="s">
        <v>2040</v>
      </c>
      <c r="G646" s="3">
        <v>1.0</v>
      </c>
      <c r="H646" s="3">
        <v>0.0</v>
      </c>
      <c r="I646" s="3" t="s">
        <v>13</v>
      </c>
      <c r="J646" s="3" t="s">
        <v>2041</v>
      </c>
      <c r="K646" s="3" t="s">
        <v>244</v>
      </c>
      <c r="L646" s="3" t="str">
        <f>IFERROR(__xludf.DUMMYFUNCTION("GOOGLETRANSLATE(F646,""id"",""en"")"),"World Cup Final in the middle of World War Sweden Champion but not recognized by FIFA")</f>
        <v>World Cup Final in the middle of World War Sweden Champion but not recognized by FIFA</v>
      </c>
    </row>
    <row r="647" ht="15.75" customHeight="1">
      <c r="A647" s="1">
        <v>646.0</v>
      </c>
      <c r="B647" s="3" t="s">
        <v>2042</v>
      </c>
      <c r="C647" s="3">
        <v>0.0</v>
      </c>
      <c r="D647" s="3">
        <v>0.0</v>
      </c>
      <c r="E647" s="3">
        <v>1.0</v>
      </c>
      <c r="F647" s="3" t="s">
        <v>2043</v>
      </c>
      <c r="G647" s="3">
        <v>1.0</v>
      </c>
      <c r="H647" s="3">
        <v>0.0</v>
      </c>
      <c r="I647" s="3" t="s">
        <v>13</v>
      </c>
      <c r="J647" s="3" t="s">
        <v>2044</v>
      </c>
      <c r="K647" s="3" t="s">
        <v>188</v>
      </c>
      <c r="L647" s="3" t="str">
        <f>IFERROR(__xludf.DUMMYFUNCTION("GOOGLETRANSLATE(F647,""id"",""en"")"),"The Best World Cup Final Thank you Argentina and France throughout the match is always deg, especially when Maria was replaced by Acuna Mbappe, always a ball and scored the Final Well Done Pasiksss")</f>
        <v>The Best World Cup Final Thank you Argentina and France throughout the match is always deg, especially when Maria was replaced by Acuna Mbappe, always a ball and scored the Final Well Done Pasiksss</v>
      </c>
    </row>
    <row r="648" ht="15.75" customHeight="1">
      <c r="A648" s="1">
        <v>647.0</v>
      </c>
      <c r="B648" s="3" t="s">
        <v>2045</v>
      </c>
      <c r="C648" s="3">
        <v>0.0</v>
      </c>
      <c r="D648" s="3">
        <v>0.0</v>
      </c>
      <c r="E648" s="3">
        <v>0.0</v>
      </c>
      <c r="F648" s="3" t="s">
        <v>2046</v>
      </c>
      <c r="G648" s="3">
        <v>1.0</v>
      </c>
      <c r="H648" s="3">
        <v>0.0</v>
      </c>
      <c r="I648" s="3" t="s">
        <v>13</v>
      </c>
      <c r="J648" s="3" t="s">
        <v>2047</v>
      </c>
      <c r="K648" s="3" t="s">
        <v>244</v>
      </c>
      <c r="L648" s="3" t="str">
        <f>IFERROR(__xludf.DUMMYFUNCTION("GOOGLETRANSLATE(F648,""id"",""en"")"),"The Coolest World Coolest World Cup Final The best is the best congrats for applause for")</f>
        <v>The Coolest World Coolest World Cup Final The best is the best congrats for applause for</v>
      </c>
    </row>
    <row r="649" ht="15.75" customHeight="1">
      <c r="A649" s="1">
        <v>648.0</v>
      </c>
      <c r="B649" s="3" t="s">
        <v>2048</v>
      </c>
      <c r="C649" s="3">
        <v>0.0</v>
      </c>
      <c r="D649" s="3">
        <v>0.0</v>
      </c>
      <c r="E649" s="3">
        <v>0.0</v>
      </c>
      <c r="F649" s="3" t="s">
        <v>2049</v>
      </c>
      <c r="G649" s="3">
        <v>1.0</v>
      </c>
      <c r="H649" s="3">
        <v>0.0</v>
      </c>
      <c r="I649" s="3" t="s">
        <v>13</v>
      </c>
      <c r="J649" s="3" t="s">
        <v>2050</v>
      </c>
      <c r="K649" s="3" t="s">
        <v>244</v>
      </c>
      <c r="L649" s="3" t="str">
        <f>IFERROR(__xludf.DUMMYFUNCTION("GOOGLETRANSLATE(F649,""id"",""en"")"),"Really the Final World Cup Best Coo Mbappe Hattrick Messi Champion")</f>
        <v>Really the Final World Cup Best Coo Mbappe Hattrick Messi Champion</v>
      </c>
    </row>
    <row r="650" ht="15.75" customHeight="1">
      <c r="A650" s="1">
        <v>649.0</v>
      </c>
      <c r="B650" s="3" t="s">
        <v>2051</v>
      </c>
      <c r="C650" s="3">
        <v>6.0</v>
      </c>
      <c r="D650" s="3">
        <v>24.0</v>
      </c>
      <c r="E650" s="3">
        <v>151.0</v>
      </c>
      <c r="F650" s="3" t="s">
        <v>2052</v>
      </c>
      <c r="G650" s="3">
        <v>0.7777777777777777</v>
      </c>
      <c r="H650" s="3">
        <v>0.05555555555555555</v>
      </c>
      <c r="I650" s="3" t="s">
        <v>48</v>
      </c>
      <c r="J650" s="3" t="s">
        <v>2053</v>
      </c>
      <c r="K650" s="3" t="s">
        <v>1628</v>
      </c>
      <c r="L650" s="3" t="str">
        <f>IFERROR(__xludf.DUMMYFUNCTION("GOOGLETRANSLATE(F650,""id"",""en"")"),"Angel Maria closed her career in the Argentine national team by playing the final match scored the final match to win the World Cup with Argentina Ideal Amo Fideo")</f>
        <v>Angel Maria closed her career in the Argentine national team by playing the final match scored the final match to win the World Cup with Argentina Ideal Amo Fideo</v>
      </c>
    </row>
    <row r="651" ht="15.75" customHeight="1">
      <c r="A651" s="1">
        <v>650.0</v>
      </c>
      <c r="B651" s="3" t="s">
        <v>2054</v>
      </c>
      <c r="C651" s="3">
        <v>1.0</v>
      </c>
      <c r="D651" s="3">
        <v>0.0</v>
      </c>
      <c r="E651" s="3">
        <v>0.0</v>
      </c>
      <c r="F651" s="3" t="s">
        <v>2055</v>
      </c>
      <c r="G651" s="3">
        <v>0.75</v>
      </c>
      <c r="H651" s="3">
        <v>0.06818181818181818</v>
      </c>
      <c r="I651" s="3" t="s">
        <v>48</v>
      </c>
      <c r="J651" s="3" t="s">
        <v>2056</v>
      </c>
      <c r="K651" s="3" t="s">
        <v>15</v>
      </c>
      <c r="L651" s="3" t="str">
        <f>IFERROR(__xludf.DUMMYFUNCTION("GOOGLETRANSLATE(F651,""id"",""en"")"),"idly watching the World Cup final from Live Youtube Room")</f>
        <v>idly watching the World Cup final from Live Youtube Room</v>
      </c>
    </row>
    <row r="652" ht="15.75" customHeight="1">
      <c r="A652" s="1">
        <v>651.0</v>
      </c>
      <c r="B652" s="3" t="s">
        <v>2057</v>
      </c>
      <c r="C652" s="3">
        <v>0.0</v>
      </c>
      <c r="D652" s="3">
        <v>0.0</v>
      </c>
      <c r="E652" s="3">
        <v>0.0</v>
      </c>
      <c r="F652" s="3" t="s">
        <v>2058</v>
      </c>
      <c r="G652" s="3">
        <v>1.0</v>
      </c>
      <c r="H652" s="3">
        <v>0.0</v>
      </c>
      <c r="I652" s="3" t="s">
        <v>13</v>
      </c>
      <c r="J652" s="3" t="s">
        <v>2059</v>
      </c>
      <c r="K652" s="3" t="s">
        <v>54</v>
      </c>
      <c r="L652" s="3" t="str">
        <f>IFERROR(__xludf.DUMMYFUNCTION("GOOGLETRANSLATE(F652,""id"",""en"")"),"the best world cup final in history")</f>
        <v>the best world cup final in history</v>
      </c>
    </row>
    <row r="653" ht="15.75" customHeight="1">
      <c r="A653" s="1">
        <v>652.0</v>
      </c>
      <c r="B653" s="3" t="s">
        <v>2060</v>
      </c>
      <c r="C653" s="3">
        <v>0.0</v>
      </c>
      <c r="D653" s="3">
        <v>0.0</v>
      </c>
      <c r="E653" s="3">
        <v>0.0</v>
      </c>
      <c r="F653" s="3" t="s">
        <v>2061</v>
      </c>
      <c r="G653" s="3">
        <v>1.0</v>
      </c>
      <c r="H653" s="3">
        <v>0.0</v>
      </c>
      <c r="I653" s="3" t="s">
        <v>13</v>
      </c>
      <c r="J653" s="3" t="s">
        <v>2062</v>
      </c>
      <c r="K653" s="3" t="s">
        <v>484</v>
      </c>
      <c r="L653" s="3" t="str">
        <f>IFERROR(__xludf.DUMMYFUNCTION("GOOGLETRANSLATE(F653,""id"",""en"")"),"Argentina's best world cup final deserves French champions to fight until the end of thanks for the Qatar World Cup")</f>
        <v>Argentina's best world cup final deserves French champions to fight until the end of thanks for the Qatar World Cup</v>
      </c>
    </row>
    <row r="654" ht="15.75" customHeight="1">
      <c r="A654" s="1">
        <v>653.0</v>
      </c>
      <c r="B654" s="3" t="s">
        <v>2063</v>
      </c>
      <c r="C654" s="3">
        <v>0.0</v>
      </c>
      <c r="D654" s="3">
        <v>0.0</v>
      </c>
      <c r="E654" s="3">
        <v>0.0</v>
      </c>
      <c r="F654" s="3" t="s">
        <v>2064</v>
      </c>
      <c r="G654" s="3">
        <v>1.0</v>
      </c>
      <c r="H654" s="3">
        <v>0.0</v>
      </c>
      <c r="I654" s="3" t="s">
        <v>13</v>
      </c>
      <c r="J654" s="3" t="s">
        <v>2065</v>
      </c>
      <c r="K654" s="3" t="s">
        <v>41</v>
      </c>
      <c r="L654" s="3" t="str">
        <f>IFERROR(__xludf.DUMMYFUNCTION("GOOGLETRANSLATE(F654,""id"",""en"")"),"The World Cup Final is the most exciting and full of emotional because it loses betting")</f>
        <v>The World Cup Final is the most exciting and full of emotional because it loses betting</v>
      </c>
    </row>
    <row r="655" ht="15.75" customHeight="1">
      <c r="A655" s="1">
        <v>654.0</v>
      </c>
      <c r="B655" s="3" t="s">
        <v>2066</v>
      </c>
      <c r="C655" s="3">
        <v>0.0</v>
      </c>
      <c r="D655" s="3">
        <v>0.0</v>
      </c>
      <c r="E655" s="3">
        <v>0.0</v>
      </c>
      <c r="F655" s="3" t="s">
        <v>2067</v>
      </c>
      <c r="G655" s="3">
        <v>1.0</v>
      </c>
      <c r="H655" s="3">
        <v>0.0</v>
      </c>
      <c r="I655" s="3" t="s">
        <v>13</v>
      </c>
      <c r="J655" s="3" t="s">
        <v>2068</v>
      </c>
      <c r="K655" s="3" t="s">
        <v>644</v>
      </c>
      <c r="L655" s="3" t="str">
        <f>IFERROR(__xludf.DUMMYFUNCTION("GOOGLETRANSLATE(F655,""id"",""en"")"),"World Cup Best Final")</f>
        <v>World Cup Best Final</v>
      </c>
    </row>
    <row r="656" ht="15.75" customHeight="1">
      <c r="A656" s="1">
        <v>655.0</v>
      </c>
      <c r="B656" s="3" t="s">
        <v>2069</v>
      </c>
      <c r="C656" s="3">
        <v>0.0</v>
      </c>
      <c r="D656" s="3">
        <v>0.0</v>
      </c>
      <c r="E656" s="3">
        <v>4.0</v>
      </c>
      <c r="F656" s="3" t="s">
        <v>2070</v>
      </c>
      <c r="G656" s="3">
        <v>1.0</v>
      </c>
      <c r="H656" s="3">
        <v>0.0</v>
      </c>
      <c r="I656" s="3" t="s">
        <v>13</v>
      </c>
      <c r="J656" s="3" t="s">
        <v>2071</v>
      </c>
      <c r="K656" s="3" t="s">
        <v>50</v>
      </c>
      <c r="L656" s="3" t="str">
        <f>IFERROR(__xludf.DUMMYFUNCTION("GOOGLETRANSLATE(F656,""id"",""en"")"),"Kylian Mbappe Forced Argentina to Extension of the World Cup Final")</f>
        <v>Kylian Mbappe Forced Argentina to Extension of the World Cup Final</v>
      </c>
    </row>
    <row r="657" ht="15.75" customHeight="1">
      <c r="A657" s="1">
        <v>656.0</v>
      </c>
      <c r="B657" s="3" t="s">
        <v>2072</v>
      </c>
      <c r="C657" s="3">
        <v>0.0</v>
      </c>
      <c r="D657" s="3">
        <v>0.0</v>
      </c>
      <c r="E657" s="3">
        <v>3.0</v>
      </c>
      <c r="F657" s="3" t="s">
        <v>2073</v>
      </c>
      <c r="G657" s="3">
        <v>1.0</v>
      </c>
      <c r="H657" s="3">
        <v>0.0</v>
      </c>
      <c r="I657" s="3" t="s">
        <v>13</v>
      </c>
      <c r="J657" s="3" t="s">
        <v>2074</v>
      </c>
      <c r="K657" s="3" t="s">
        <v>510</v>
      </c>
      <c r="L657" s="3" t="str">
        <f>IFERROR(__xludf.DUMMYFUNCTION("GOOGLETRANSLATE(F657,""id"",""en"")"),"Nobar Final of the Qatar World Cup thousands of people from Jalan Merdeka Meulaboh, West Aceh")</f>
        <v>Nobar Final of the Qatar World Cup thousands of people from Jalan Merdeka Meulaboh, West Aceh</v>
      </c>
    </row>
    <row r="658" ht="15.75" customHeight="1">
      <c r="A658" s="1">
        <v>657.0</v>
      </c>
      <c r="B658" s="3" t="s">
        <v>2075</v>
      </c>
      <c r="C658" s="3">
        <v>0.0</v>
      </c>
      <c r="D658" s="3">
        <v>0.0</v>
      </c>
      <c r="E658" s="3">
        <v>0.0</v>
      </c>
      <c r="F658" s="3" t="s">
        <v>2076</v>
      </c>
      <c r="G658" s="3">
        <v>1.0</v>
      </c>
      <c r="H658" s="3">
        <v>0.0</v>
      </c>
      <c r="I658" s="3" t="s">
        <v>13</v>
      </c>
      <c r="J658" s="3" t="s">
        <v>2077</v>
      </c>
      <c r="K658" s="3" t="s">
        <v>240</v>
      </c>
      <c r="L658" s="3" t="str">
        <f>IFERROR(__xludf.DUMMYFUNCTION("GOOGLETRANSLATE(F658,""id"",""en"")"),"The best world cup final match both team right fire makes deg poll restless and every time watching it ajggggggg")</f>
        <v>The best world cup final match both team right fire makes deg poll restless and every time watching it ajggggggg</v>
      </c>
    </row>
    <row r="659" ht="15.75" customHeight="1">
      <c r="A659" s="1">
        <v>658.0</v>
      </c>
      <c r="B659" s="3" t="s">
        <v>2078</v>
      </c>
      <c r="C659" s="3">
        <v>0.0</v>
      </c>
      <c r="D659" s="3">
        <v>0.0</v>
      </c>
      <c r="E659" s="3">
        <v>0.0</v>
      </c>
      <c r="F659" s="3" t="s">
        <v>2079</v>
      </c>
      <c r="G659" s="3">
        <v>1.0</v>
      </c>
      <c r="H659" s="3">
        <v>0.0</v>
      </c>
      <c r="I659" s="3" t="s">
        <v>13</v>
      </c>
      <c r="J659" s="3" t="s">
        <v>2080</v>
      </c>
      <c r="K659" s="3" t="s">
        <v>123</v>
      </c>
      <c r="L659" s="3" t="str">
        <f>IFERROR(__xludf.DUMMYFUNCTION("GOOGLETRANSLATE(F659,""id"",""en"")"),"The results of the French Argentine World Cup final match Albiceleste champion after defeating France through penalties")</f>
        <v>The results of the French Argentine World Cup final match Albiceleste champion after defeating France through penalties</v>
      </c>
    </row>
    <row r="660" ht="15.75" customHeight="1">
      <c r="A660" s="1">
        <v>659.0</v>
      </c>
      <c r="B660" s="3" t="s">
        <v>2081</v>
      </c>
      <c r="C660" s="3">
        <v>0.0</v>
      </c>
      <c r="D660" s="3">
        <v>0.0</v>
      </c>
      <c r="E660" s="3">
        <v>2.0</v>
      </c>
      <c r="F660" s="3" t="s">
        <v>2082</v>
      </c>
      <c r="G660" s="3">
        <v>1.0</v>
      </c>
      <c r="H660" s="3">
        <v>0.0</v>
      </c>
      <c r="I660" s="3" t="s">
        <v>13</v>
      </c>
      <c r="J660" s="3" t="s">
        <v>2083</v>
      </c>
      <c r="K660" s="3" t="s">
        <v>31</v>
      </c>
      <c r="L660" s="3" t="str">
        <f>IFERROR(__xludf.DUMMYFUNCTION("GOOGLETRANSLATE(F660,""id"",""en"")"),"admitted this is the exciting world cup final")</f>
        <v>admitted this is the exciting world cup final</v>
      </c>
    </row>
    <row r="661" ht="15.75" customHeight="1">
      <c r="A661" s="1">
        <v>660.0</v>
      </c>
      <c r="B661" s="3" t="s">
        <v>2084</v>
      </c>
      <c r="C661" s="3">
        <v>0.0</v>
      </c>
      <c r="D661" s="3">
        <v>0.0</v>
      </c>
      <c r="E661" s="3">
        <v>0.0</v>
      </c>
      <c r="F661" s="3" t="s">
        <v>2085</v>
      </c>
      <c r="G661" s="3">
        <v>0.75</v>
      </c>
      <c r="H661" s="3">
        <v>0.06818181818181818</v>
      </c>
      <c r="I661" s="3" t="s">
        <v>48</v>
      </c>
      <c r="J661" s="3" t="s">
        <v>2086</v>
      </c>
      <c r="K661" s="3" t="s">
        <v>2087</v>
      </c>
      <c r="L661" s="3" t="str">
        <f>IFERROR(__xludf.DUMMYFUNCTION("GOOGLETRANSLATE(F661,""id"",""en"")"),"Thank you to the viewers who watched the live broadcast of the World Cup Final through the host narrative video application, there was still a good customer viewer, the Story Story of the Social Media Live, the error was too arrogant for them")</f>
        <v>Thank you to the viewers who watched the live broadcast of the World Cup Final through the host narrative video application, there was still a good customer viewer, the Story Story of the Social Media Live, the error was too arrogant for them</v>
      </c>
    </row>
    <row r="662" ht="15.75" customHeight="1">
      <c r="A662" s="1">
        <v>661.0</v>
      </c>
      <c r="B662" s="3" t="s">
        <v>2088</v>
      </c>
      <c r="C662" s="3">
        <v>0.0</v>
      </c>
      <c r="D662" s="3">
        <v>0.0</v>
      </c>
      <c r="E662" s="3">
        <v>0.0</v>
      </c>
      <c r="F662" s="3" t="s">
        <v>1448</v>
      </c>
      <c r="G662" s="3">
        <v>1.0</v>
      </c>
      <c r="H662" s="3">
        <v>0.0</v>
      </c>
      <c r="I662" s="3" t="s">
        <v>13</v>
      </c>
      <c r="J662" s="3" t="s">
        <v>1449</v>
      </c>
      <c r="K662" s="3" t="s">
        <v>657</v>
      </c>
      <c r="L662" s="3" t="str">
        <f>IFERROR(__xludf.DUMMYFUNCTION("GOOGLETRANSLATE(F662,""id"",""en"")"),"Ridwan Kamil said his predictions if the from his from the prediction would be uploaded before the World Cup final match began")</f>
        <v>Ridwan Kamil said his predictions if the from his from the prediction would be uploaded before the World Cup final match began</v>
      </c>
    </row>
    <row r="663" ht="15.75" customHeight="1">
      <c r="A663" s="1">
        <v>662.0</v>
      </c>
      <c r="B663" s="3" t="s">
        <v>2089</v>
      </c>
      <c r="C663" s="3">
        <v>0.0</v>
      </c>
      <c r="D663" s="3">
        <v>0.0</v>
      </c>
      <c r="E663" s="3">
        <v>0.0</v>
      </c>
      <c r="F663" s="3" t="s">
        <v>2090</v>
      </c>
      <c r="G663" s="3">
        <v>1.0</v>
      </c>
      <c r="H663" s="3">
        <v>0.0</v>
      </c>
      <c r="I663" s="3" t="s">
        <v>13</v>
      </c>
      <c r="J663" s="3" t="s">
        <v>2091</v>
      </c>
      <c r="K663" s="3" t="s">
        <v>54</v>
      </c>
      <c r="L663" s="3" t="str">
        <f>IFERROR(__xludf.DUMMYFUNCTION("GOOGLETRANSLATE(F663,""id"",""en"")"),"but the final hetrik of the world cup tea pisan")</f>
        <v>but the final hetrik of the world cup tea pisan</v>
      </c>
    </row>
    <row r="664" ht="15.75" customHeight="1">
      <c r="A664" s="1">
        <v>663.0</v>
      </c>
      <c r="B664" s="3" t="s">
        <v>2092</v>
      </c>
      <c r="C664" s="3">
        <v>0.0</v>
      </c>
      <c r="D664" s="3">
        <v>0.0</v>
      </c>
      <c r="E664" s="3">
        <v>0.0</v>
      </c>
      <c r="F664" s="3" t="s">
        <v>2093</v>
      </c>
      <c r="G664" s="3">
        <v>1.0</v>
      </c>
      <c r="H664" s="3">
        <v>0.0</v>
      </c>
      <c r="I664" s="3" t="s">
        <v>13</v>
      </c>
      <c r="J664" s="3" t="s">
        <v>2094</v>
      </c>
      <c r="K664" s="3" t="s">
        <v>41</v>
      </c>
      <c r="L664" s="3" t="str">
        <f>IFERROR(__xludf.DUMMYFUNCTION("GOOGLETRANSLATE(F664,""id"",""en"")"),"the results of extension of the Argentine national team French World Cup Final")</f>
        <v>the results of extension of the Argentine national team French World Cup Final</v>
      </c>
    </row>
    <row r="665" ht="15.75" customHeight="1">
      <c r="A665" s="1">
        <v>664.0</v>
      </c>
      <c r="B665" s="3" t="s">
        <v>2095</v>
      </c>
      <c r="C665" s="3">
        <v>0.0</v>
      </c>
      <c r="D665" s="3">
        <v>0.0</v>
      </c>
      <c r="E665" s="3">
        <v>1.0</v>
      </c>
      <c r="F665" s="3" t="s">
        <v>2096</v>
      </c>
      <c r="G665" s="3">
        <v>0.75</v>
      </c>
      <c r="H665" s="3">
        <v>0.25</v>
      </c>
      <c r="I665" s="3" t="s">
        <v>48</v>
      </c>
      <c r="J665" s="3" t="s">
        <v>2097</v>
      </c>
      <c r="K665" s="3" t="s">
        <v>993</v>
      </c>
      <c r="L665" s="3" t="str">
        <f>IFERROR(__xludf.DUMMYFUNCTION("GOOGLETRANSLATE(F665,""id"",""en"")"),"World Cup The most surprises and the final of the World Cup so far have been watching Messi, I worthy")</f>
        <v>World Cup The most surprises and the final of the World Cup so far have been watching Messi, I worthy</v>
      </c>
    </row>
    <row r="666" ht="15.75" customHeight="1">
      <c r="A666" s="1">
        <v>665.0</v>
      </c>
      <c r="B666" s="3" t="s">
        <v>2098</v>
      </c>
      <c r="C666" s="3">
        <v>0.0</v>
      </c>
      <c r="D666" s="3">
        <v>0.0</v>
      </c>
      <c r="E666" s="3">
        <v>0.0</v>
      </c>
      <c r="F666" s="3" t="s">
        <v>2099</v>
      </c>
      <c r="G666" s="3">
        <v>1.0</v>
      </c>
      <c r="H666" s="3">
        <v>0.0</v>
      </c>
      <c r="I666" s="3" t="s">
        <v>13</v>
      </c>
      <c r="J666" s="3" t="s">
        <v>2100</v>
      </c>
      <c r="K666" s="3" t="s">
        <v>31</v>
      </c>
      <c r="L666" s="3" t="str">
        <f>IFERROR(__xludf.DUMMYFUNCTION("GOOGLETRANSLATE(F666,""id"",""en"")"),"the best final in the history of the World Cup")</f>
        <v>the best final in the history of the World Cup</v>
      </c>
    </row>
    <row r="667" ht="15.75" customHeight="1">
      <c r="A667" s="1">
        <v>666.0</v>
      </c>
      <c r="B667" s="3" t="s">
        <v>2101</v>
      </c>
      <c r="C667" s="3">
        <v>0.0</v>
      </c>
      <c r="D667" s="3">
        <v>0.0</v>
      </c>
      <c r="E667" s="3">
        <v>0.0</v>
      </c>
      <c r="F667" s="3" t="s">
        <v>1448</v>
      </c>
      <c r="G667" s="3">
        <v>1.0</v>
      </c>
      <c r="H667" s="3">
        <v>0.0</v>
      </c>
      <c r="I667" s="3" t="s">
        <v>13</v>
      </c>
      <c r="J667" s="3" t="s">
        <v>1449</v>
      </c>
      <c r="K667" s="3" t="s">
        <v>657</v>
      </c>
      <c r="L667" s="3" t="str">
        <f>IFERROR(__xludf.DUMMYFUNCTION("GOOGLETRANSLATE(F667,""id"",""en"")"),"Ridwan Kamil said his predictions if the from his from the prediction would be uploaded before the World Cup final match began")</f>
        <v>Ridwan Kamil said his predictions if the from his from the prediction would be uploaded before the World Cup final match began</v>
      </c>
    </row>
    <row r="668" ht="15.75" customHeight="1">
      <c r="A668" s="1">
        <v>667.0</v>
      </c>
      <c r="B668" s="3" t="s">
        <v>2102</v>
      </c>
      <c r="C668" s="3">
        <v>0.0</v>
      </c>
      <c r="D668" s="3">
        <v>0.0</v>
      </c>
      <c r="E668" s="3">
        <v>0.0</v>
      </c>
      <c r="F668" s="3" t="s">
        <v>2103</v>
      </c>
      <c r="G668" s="3">
        <v>1.0</v>
      </c>
      <c r="H668" s="3">
        <v>0.0</v>
      </c>
      <c r="I668" s="3" t="s">
        <v>13</v>
      </c>
      <c r="J668" s="3" t="s">
        <v>2104</v>
      </c>
      <c r="K668" s="3" t="s">
        <v>15</v>
      </c>
      <c r="L668" s="3" t="str">
        <f>IFERROR(__xludf.DUMMYFUNCTION("GOOGLETRANSLATE(F668,""id"",""en"")"),"One of the best Final World Cup Congrats Argentina")</f>
        <v>One of the best Final World Cup Congrats Argentina</v>
      </c>
    </row>
    <row r="669" ht="15.75" customHeight="1">
      <c r="A669" s="1">
        <v>668.0</v>
      </c>
      <c r="B669" s="3" t="s">
        <v>2105</v>
      </c>
      <c r="C669" s="3">
        <v>0.0</v>
      </c>
      <c r="D669" s="3">
        <v>0.0</v>
      </c>
      <c r="E669" s="3">
        <v>0.0</v>
      </c>
      <c r="F669" s="3" t="s">
        <v>2106</v>
      </c>
      <c r="G669" s="3">
        <v>0.7</v>
      </c>
      <c r="H669" s="3">
        <v>0.05</v>
      </c>
      <c r="I669" s="3" t="s">
        <v>48</v>
      </c>
      <c r="J669" s="3" t="s">
        <v>2107</v>
      </c>
      <c r="K669" s="3" t="s">
        <v>54</v>
      </c>
      <c r="L669" s="3" t="str">
        <f>IFERROR(__xludf.DUMMYFUNCTION("GOOGLETRANSLATE(F669,""id"",""en"")"),"World Cup Final Epic Woooowwwww")</f>
        <v>World Cup Final Epic Woooowwwww</v>
      </c>
    </row>
    <row r="670" ht="15.75" customHeight="1">
      <c r="A670" s="1">
        <v>669.0</v>
      </c>
      <c r="B670" s="3" t="s">
        <v>2108</v>
      </c>
      <c r="C670" s="3">
        <v>0.0</v>
      </c>
      <c r="D670" s="3">
        <v>0.0</v>
      </c>
      <c r="E670" s="3">
        <v>0.0</v>
      </c>
      <c r="F670" s="3" t="s">
        <v>2109</v>
      </c>
      <c r="G670" s="3">
        <v>1.0</v>
      </c>
      <c r="H670" s="3">
        <v>0.0</v>
      </c>
      <c r="I670" s="3" t="s">
        <v>13</v>
      </c>
      <c r="J670" s="3" t="s">
        <v>2110</v>
      </c>
      <c r="K670" s="3" t="s">
        <v>184</v>
      </c>
      <c r="L670" s="3" t="str">
        <f>IFERROR(__xludf.DUMMYFUNCTION("GOOGLETRANSLATE(F670,""id"",""en"")"),"Who would have thought the World Cup Final could continue to be a penalty to meet with the AFF Indo ball tweet which will be grumbled")</f>
        <v>Who would have thought the World Cup Final could continue to be a penalty to meet with the AFF Indo ball tweet which will be grumbled</v>
      </c>
    </row>
    <row r="671" ht="15.75" customHeight="1">
      <c r="A671" s="1">
        <v>670.0</v>
      </c>
      <c r="B671" s="3" t="s">
        <v>2111</v>
      </c>
      <c r="C671" s="3">
        <v>0.0</v>
      </c>
      <c r="D671" s="3">
        <v>0.0</v>
      </c>
      <c r="E671" s="3">
        <v>1.0</v>
      </c>
      <c r="F671" s="3" t="s">
        <v>2112</v>
      </c>
      <c r="G671" s="3">
        <v>1.0</v>
      </c>
      <c r="H671" s="3">
        <v>0.0</v>
      </c>
      <c r="I671" s="3" t="s">
        <v>13</v>
      </c>
      <c r="J671" s="3" t="s">
        <v>2113</v>
      </c>
      <c r="K671" s="3" t="s">
        <v>1518</v>
      </c>
      <c r="L671" s="3" t="str">
        <f>IFERROR(__xludf.DUMMYFUNCTION("GOOGLETRANSLATE(F671,""id"",""en"")"),"The best world cup final if there are still those who say there are arrangements from FIFA, it's better to learn the reality, yes, I don't think Bang Dodo can't compare Messi anymore, it's already left far away")</f>
        <v>The best world cup final if there are still those who say there are arrangements from FIFA, it's better to learn the reality, yes, I don't think Bang Dodo can't compare Messi anymore, it's already left far away</v>
      </c>
    </row>
    <row r="672" ht="15.75" customHeight="1">
      <c r="A672" s="1">
        <v>671.0</v>
      </c>
      <c r="B672" s="3" t="s">
        <v>2114</v>
      </c>
      <c r="C672" s="3">
        <v>0.0</v>
      </c>
      <c r="D672" s="3">
        <v>0.0</v>
      </c>
      <c r="E672" s="3">
        <v>0.0</v>
      </c>
      <c r="F672" s="3" t="s">
        <v>2115</v>
      </c>
      <c r="G672" s="3">
        <v>1.0</v>
      </c>
      <c r="H672" s="3">
        <v>0.0</v>
      </c>
      <c r="I672" s="3" t="s">
        <v>13</v>
      </c>
      <c r="J672" s="3" t="s">
        <v>2116</v>
      </c>
      <c r="K672" s="3" t="s">
        <v>2117</v>
      </c>
      <c r="L672" s="3" t="str">
        <f>IFERROR(__xludf.DUMMYFUNCTION("GOOGLETRANSLATE(F672,""id"",""en"")"),"World Cup Final")</f>
        <v>World Cup Final</v>
      </c>
    </row>
    <row r="673" ht="15.75" customHeight="1">
      <c r="A673" s="1">
        <v>672.0</v>
      </c>
      <c r="B673" s="3" t="s">
        <v>2118</v>
      </c>
      <c r="C673" s="3">
        <v>0.0</v>
      </c>
      <c r="D673" s="3">
        <v>0.0</v>
      </c>
      <c r="E673" s="3">
        <v>0.0</v>
      </c>
      <c r="F673" s="3" t="s">
        <v>2119</v>
      </c>
      <c r="G673" s="3">
        <v>1.0</v>
      </c>
      <c r="H673" s="3">
        <v>0.0</v>
      </c>
      <c r="I673" s="3" t="s">
        <v>13</v>
      </c>
      <c r="J673" s="3" t="s">
        <v>2120</v>
      </c>
      <c r="K673" s="3" t="s">
        <v>657</v>
      </c>
      <c r="L673" s="3" t="str">
        <f>IFERROR(__xludf.DUMMYFUNCTION("GOOGLETRANSLATE(F673,""id"",""en"")"),"I think the best World Cup final I've ever watched an open game Mbappe Hatrick and Messi Ronaldo goals")</f>
        <v>I think the best World Cup final I've ever watched an open game Mbappe Hatrick and Messi Ronaldo goals</v>
      </c>
    </row>
    <row r="674" ht="15.75" customHeight="1">
      <c r="A674" s="1">
        <v>673.0</v>
      </c>
      <c r="B674" s="3" t="s">
        <v>2121</v>
      </c>
      <c r="C674" s="3">
        <v>0.0</v>
      </c>
      <c r="D674" s="3">
        <v>0.0</v>
      </c>
      <c r="E674" s="3">
        <v>1.0</v>
      </c>
      <c r="F674" s="3" t="s">
        <v>1008</v>
      </c>
      <c r="G674" s="3">
        <v>1.0</v>
      </c>
      <c r="H674" s="3">
        <v>0.0</v>
      </c>
      <c r="I674" s="3" t="s">
        <v>13</v>
      </c>
      <c r="J674" s="3" t="s">
        <v>1009</v>
      </c>
      <c r="K674" s="3" t="s">
        <v>54</v>
      </c>
      <c r="L674" s="3" t="str">
        <f>IFERROR(__xludf.DUMMYFUNCTION("GOOGLETRANSLATE(F674,""id"",""en"")"),"One of the best finals of the World Cup")</f>
        <v>One of the best finals of the World Cup</v>
      </c>
    </row>
    <row r="675" ht="15.75" customHeight="1">
      <c r="A675" s="1">
        <v>674.0</v>
      </c>
      <c r="B675" s="3" t="s">
        <v>2122</v>
      </c>
      <c r="C675" s="3">
        <v>1.0</v>
      </c>
      <c r="D675" s="3">
        <v>0.0</v>
      </c>
      <c r="E675" s="3">
        <v>0.0</v>
      </c>
      <c r="F675" s="3" t="s">
        <v>2123</v>
      </c>
      <c r="G675" s="3">
        <v>0.55</v>
      </c>
      <c r="H675" s="3">
        <v>0.0</v>
      </c>
      <c r="I675" s="3" t="s">
        <v>13</v>
      </c>
      <c r="J675" s="3" t="s">
        <v>2124</v>
      </c>
      <c r="K675" s="3" t="s">
        <v>205</v>
      </c>
      <c r="L675" s="3" t="str">
        <f>IFERROR(__xludf.DUMMYFUNCTION("GOOGLETRANSLATE(F675,""id"",""en"")"),"Congratulations to Argentina, we have also witnessed the history of one of the world's best finals from entering extra time to a very tense penalty shootout")</f>
        <v>Congratulations to Argentina, we have also witnessed the history of one of the world's best finals from entering extra time to a very tense penalty shootout</v>
      </c>
    </row>
    <row r="676" ht="15.75" customHeight="1">
      <c r="A676" s="1">
        <v>675.0</v>
      </c>
      <c r="B676" s="3" t="s">
        <v>2125</v>
      </c>
      <c r="C676" s="3">
        <v>0.0</v>
      </c>
      <c r="D676" s="3">
        <v>0.0</v>
      </c>
      <c r="E676" s="3">
        <v>0.0</v>
      </c>
      <c r="F676" s="3" t="s">
        <v>2126</v>
      </c>
      <c r="G676" s="3">
        <v>1.0</v>
      </c>
      <c r="H676" s="3">
        <v>0.0</v>
      </c>
      <c r="I676" s="3" t="s">
        <v>13</v>
      </c>
      <c r="J676" s="3" t="s">
        <v>2127</v>
      </c>
      <c r="K676" s="3" t="s">
        <v>15</v>
      </c>
      <c r="L676" s="3" t="str">
        <f>IFERROR(__xludf.DUMMYFUNCTION("GOOGLETRANSLATE(F676,""id"",""en"")"),"Doi aged the Final Year of the World Cup Hattrick Gokil")</f>
        <v>Doi aged the Final Year of the World Cup Hattrick Gokil</v>
      </c>
    </row>
    <row r="677" ht="15.75" customHeight="1">
      <c r="A677" s="1">
        <v>676.0</v>
      </c>
      <c r="B677" s="3" t="s">
        <v>2128</v>
      </c>
      <c r="C677" s="3">
        <v>0.0</v>
      </c>
      <c r="D677" s="3">
        <v>0.0</v>
      </c>
      <c r="E677" s="3">
        <v>0.0</v>
      </c>
      <c r="F677" s="3" t="s">
        <v>2129</v>
      </c>
      <c r="G677" s="3">
        <v>0.5</v>
      </c>
      <c r="H677" s="3">
        <v>0.4</v>
      </c>
      <c r="I677" s="3" t="s">
        <v>48</v>
      </c>
      <c r="J677" s="3" t="s">
        <v>2130</v>
      </c>
      <c r="K677" s="3" t="s">
        <v>172</v>
      </c>
      <c r="L677" s="3" t="str">
        <f>IFERROR(__xludf.DUMMYFUNCTION("GOOGLETRANSLATE(F677,""id"",""en"")"),"Swear This is the Coolest World Coolest World Cup Final shouting as hard as Congratulations Thanksyou The Best World Cup History Prmak has hot")</f>
        <v>Swear This is the Coolest World Coolest World Cup Final shouting as hard as Congratulations Thanksyou The Best World Cup History Prmak has hot</v>
      </c>
    </row>
    <row r="678" ht="15.75" customHeight="1">
      <c r="A678" s="1">
        <v>677.0</v>
      </c>
      <c r="B678" s="3" t="s">
        <v>2131</v>
      </c>
      <c r="C678" s="3">
        <v>0.0</v>
      </c>
      <c r="D678" s="3">
        <v>0.0</v>
      </c>
      <c r="E678" s="3">
        <v>0.0</v>
      </c>
      <c r="F678" s="3" t="s">
        <v>2132</v>
      </c>
      <c r="G678" s="3">
        <v>1.0</v>
      </c>
      <c r="H678" s="3">
        <v>0.0</v>
      </c>
      <c r="I678" s="3" t="s">
        <v>13</v>
      </c>
      <c r="J678" s="3" t="s">
        <v>2133</v>
      </c>
      <c r="K678" s="3" t="s">
        <v>240</v>
      </c>
      <c r="L678" s="3" t="str">
        <f>IFERROR(__xludf.DUMMYFUNCTION("GOOGLETRANSLATE(F678,""id"",""en"")"),"The Coolest and Coolest World Cup Final I have ever seen defeating the Congrats Argentina and Lionel The Legend Messi edition")</f>
        <v>The Coolest and Coolest World Cup Final I have ever seen defeating the Congrats Argentina and Lionel The Legend Messi edition</v>
      </c>
    </row>
    <row r="679" ht="15.75" customHeight="1">
      <c r="A679" s="1">
        <v>678.0</v>
      </c>
      <c r="B679" s="3" t="s">
        <v>2134</v>
      </c>
      <c r="C679" s="3">
        <v>0.0</v>
      </c>
      <c r="D679" s="3">
        <v>0.0</v>
      </c>
      <c r="E679" s="3">
        <v>0.0</v>
      </c>
      <c r="F679" s="3" t="s">
        <v>2135</v>
      </c>
      <c r="G679" s="3">
        <v>1.0</v>
      </c>
      <c r="H679" s="3">
        <v>0.0</v>
      </c>
      <c r="I679" s="3" t="s">
        <v>13</v>
      </c>
      <c r="J679" s="3" t="s">
        <v>2136</v>
      </c>
      <c r="K679" s="3" t="s">
        <v>15</v>
      </c>
      <c r="L679" s="3" t="str">
        <f>IFERROR(__xludf.DUMMYFUNCTION("GOOGLETRANSLATE(F679,""id"",""en"")"),"The World Cup Final is the most exciting in the history of Guess")</f>
        <v>The World Cup Final is the most exciting in the history of Guess</v>
      </c>
    </row>
    <row r="680" ht="15.75" customHeight="1">
      <c r="A680" s="1">
        <v>679.0</v>
      </c>
      <c r="B680" s="3" t="s">
        <v>2137</v>
      </c>
      <c r="C680" s="3">
        <v>0.0</v>
      </c>
      <c r="D680" s="3">
        <v>0.0</v>
      </c>
      <c r="E680" s="3">
        <v>0.0</v>
      </c>
      <c r="F680" s="3" t="s">
        <v>2138</v>
      </c>
      <c r="G680" s="3">
        <v>1.0</v>
      </c>
      <c r="H680" s="3">
        <v>0.0</v>
      </c>
      <c r="I680" s="3" t="s">
        <v>13</v>
      </c>
      <c r="J680" s="3" t="s">
        <v>2139</v>
      </c>
      <c r="K680" s="3" t="s">
        <v>437</v>
      </c>
      <c r="L680" s="3" t="str">
        <f>IFERROR(__xludf.DUMMYFUNCTION("GOOGLETRANSLATE(F680,""id"",""en"")"),"If the Nobar Final of the World Cup with Kai is exciting, the time, the contents will be shouted in a gang of me, the champion is the champion")</f>
        <v>If the Nobar Final of the World Cup with Kai is exciting, the time, the contents will be shouted in a gang of me, the champion is the champion</v>
      </c>
    </row>
    <row r="681" ht="15.75" customHeight="1">
      <c r="A681" s="1">
        <v>680.0</v>
      </c>
      <c r="B681" s="3" t="s">
        <v>2140</v>
      </c>
      <c r="C681" s="3">
        <v>1.0</v>
      </c>
      <c r="D681" s="3">
        <v>0.0</v>
      </c>
      <c r="E681" s="3">
        <v>3.0</v>
      </c>
      <c r="F681" s="3" t="s">
        <v>2141</v>
      </c>
      <c r="G681" s="3">
        <v>1.0</v>
      </c>
      <c r="H681" s="3">
        <v>0.0</v>
      </c>
      <c r="I681" s="3" t="s">
        <v>13</v>
      </c>
      <c r="J681" s="3" t="s">
        <v>2142</v>
      </c>
      <c r="K681" s="3" t="s">
        <v>15</v>
      </c>
      <c r="L681" s="3" t="str">
        <f>IFERROR(__xludf.DUMMYFUNCTION("GOOGLETRANSLATE(F681,""id"",""en"")"),"already the final day of the world cup still raised the trophy")</f>
        <v>already the final day of the world cup still raised the trophy</v>
      </c>
    </row>
    <row r="682" ht="15.75" customHeight="1">
      <c r="A682" s="1">
        <v>681.0</v>
      </c>
      <c r="B682" s="3" t="s">
        <v>2143</v>
      </c>
      <c r="C682" s="3">
        <v>18.0</v>
      </c>
      <c r="D682" s="3">
        <v>111.0</v>
      </c>
      <c r="E682" s="3">
        <v>972.0</v>
      </c>
      <c r="F682" s="3" t="s">
        <v>2144</v>
      </c>
      <c r="G682" s="3">
        <v>1.0</v>
      </c>
      <c r="H682" s="3">
        <v>0.0</v>
      </c>
      <c r="I682" s="3" t="s">
        <v>13</v>
      </c>
      <c r="J682" s="3" t="s">
        <v>2145</v>
      </c>
      <c r="K682" s="3" t="s">
        <v>2146</v>
      </c>
      <c r="L682" s="3" t="str">
        <f>IFERROR(__xludf.DUMMYFUNCTION("GOOGLETRANSLATE(F682,""id"",""en"")"),"The Best World Cup I have ever watched initially was too expectated to feel the Hype when after podcast bang Bang eliminating the severe exciting group knockout phase was difficult to guess the best final throughout the history of the roller coast")</f>
        <v>The Best World Cup I have ever watched initially was too expectated to feel the Hype when after podcast bang Bang eliminating the severe exciting group knockout phase was difficult to guess the best final throughout the history of the roller coast</v>
      </c>
    </row>
    <row r="683" ht="15.75" customHeight="1">
      <c r="A683" s="1">
        <v>682.0</v>
      </c>
      <c r="B683" s="3" t="s">
        <v>2147</v>
      </c>
      <c r="C683" s="3">
        <v>0.0</v>
      </c>
      <c r="D683" s="3">
        <v>0.0</v>
      </c>
      <c r="E683" s="3">
        <v>0.0</v>
      </c>
      <c r="F683" s="3" t="s">
        <v>2148</v>
      </c>
      <c r="G683" s="3">
        <v>1.0</v>
      </c>
      <c r="H683" s="3">
        <v>0.0</v>
      </c>
      <c r="I683" s="3" t="s">
        <v>13</v>
      </c>
      <c r="J683" s="3" t="s">
        <v>2149</v>
      </c>
      <c r="K683" s="3" t="s">
        <v>236</v>
      </c>
      <c r="L683" s="3" t="str">
        <f>IFERROR(__xludf.DUMMYFUNCTION("GOOGLETRANSLATE(F683,""id"",""en"")"),"Dybala joined the World Cup just to enter and kick the final penalty and world champion")</f>
        <v>Dybala joined the World Cup just to enter and kick the final penalty and world champion</v>
      </c>
    </row>
    <row r="684" ht="15.75" customHeight="1">
      <c r="A684" s="1">
        <v>683.0</v>
      </c>
      <c r="B684" s="3" t="s">
        <v>2150</v>
      </c>
      <c r="C684" s="3">
        <v>0.0</v>
      </c>
      <c r="D684" s="3">
        <v>0.0</v>
      </c>
      <c r="E684" s="3">
        <v>0.0</v>
      </c>
      <c r="F684" s="3" t="s">
        <v>2151</v>
      </c>
      <c r="G684" s="3">
        <v>1.0</v>
      </c>
      <c r="H684" s="3">
        <v>0.0</v>
      </c>
      <c r="I684" s="3" t="s">
        <v>13</v>
      </c>
      <c r="J684" s="3" t="s">
        <v>1572</v>
      </c>
      <c r="K684" s="3" t="s">
        <v>31</v>
      </c>
      <c r="L684" s="3" t="str">
        <f>IFERROR(__xludf.DUMMYFUNCTION("GOOGLETRANSLATE(F684,""id"",""en"")"),"the best and excited world cup final")</f>
        <v>the best and excited world cup final</v>
      </c>
    </row>
    <row r="685" ht="15.75" customHeight="1">
      <c r="A685" s="1">
        <v>684.0</v>
      </c>
      <c r="B685" s="3" t="s">
        <v>2152</v>
      </c>
      <c r="C685" s="3">
        <v>0.0</v>
      </c>
      <c r="D685" s="3">
        <v>0.0</v>
      </c>
      <c r="E685" s="3">
        <v>0.0</v>
      </c>
      <c r="F685" s="3" t="s">
        <v>2153</v>
      </c>
      <c r="G685" s="3">
        <v>1.0</v>
      </c>
      <c r="H685" s="3">
        <v>0.0</v>
      </c>
      <c r="I685" s="3" t="s">
        <v>13</v>
      </c>
      <c r="J685" s="3" t="s">
        <v>2154</v>
      </c>
      <c r="K685" s="3" t="s">
        <v>35</v>
      </c>
      <c r="L685" s="3" t="str">
        <f>IFERROR(__xludf.DUMMYFUNCTION("GOOGLETRANSLATE(F685,""id"",""en"")"),"Year of following this World Cup and Final Probably became the best final ever watching")</f>
        <v>Year of following this World Cup and Final Probably became the best final ever watching</v>
      </c>
    </row>
    <row r="686" ht="15.75" customHeight="1">
      <c r="A686" s="1">
        <v>685.0</v>
      </c>
      <c r="B686" s="3" t="s">
        <v>2155</v>
      </c>
      <c r="C686" s="3">
        <v>1.0</v>
      </c>
      <c r="D686" s="3">
        <v>0.0</v>
      </c>
      <c r="E686" s="3">
        <v>1.0</v>
      </c>
      <c r="F686" s="3" t="s">
        <v>2156</v>
      </c>
      <c r="G686" s="3">
        <v>1.0</v>
      </c>
      <c r="H686" s="3">
        <v>-0.08333333333333333</v>
      </c>
      <c r="I686" s="3" t="s">
        <v>179</v>
      </c>
      <c r="J686" s="3" t="s">
        <v>2157</v>
      </c>
      <c r="K686" s="3" t="s">
        <v>1414</v>
      </c>
      <c r="L686" s="3" t="str">
        <f>IFERROR(__xludf.DUMMYFUNCTION("GOOGLETRANSLATE(F686,""id"",""en"")"),"I was touched to see one of the best World Cups in the history of the two best players in the history of Messi's football and the last World Cup many unpredictable final matches were very satisfying to the era of Messi's debate to finish football")</f>
        <v>I was touched to see one of the best World Cups in the history of the two best players in the history of Messi's football and the last World Cup many unpredictable final matches were very satisfying to the era of Messi's debate to finish football</v>
      </c>
    </row>
    <row r="687" ht="15.75" customHeight="1">
      <c r="A687" s="1">
        <v>686.0</v>
      </c>
      <c r="B687" s="3" t="s">
        <v>2158</v>
      </c>
      <c r="C687" s="3">
        <v>0.0</v>
      </c>
      <c r="D687" s="3">
        <v>0.0</v>
      </c>
      <c r="E687" s="3">
        <v>1.0</v>
      </c>
      <c r="F687" s="3" t="s">
        <v>2159</v>
      </c>
      <c r="G687" s="3">
        <v>1.0</v>
      </c>
      <c r="H687" s="3">
        <v>0.0</v>
      </c>
      <c r="I687" s="3" t="s">
        <v>13</v>
      </c>
      <c r="J687" s="3" t="s">
        <v>2160</v>
      </c>
      <c r="K687" s="3" t="s">
        <v>19</v>
      </c>
      <c r="L687" s="3" t="str">
        <f>IFERROR(__xludf.DUMMYFUNCTION("GOOGLETRANSLATE(F687,""id"",""en"")"),"Thank you for the World Cup which is very difficult to guess and the final final with all its dynamics")</f>
        <v>Thank you for the World Cup which is very difficult to guess and the final final with all its dynamics</v>
      </c>
    </row>
    <row r="688" ht="15.75" customHeight="1">
      <c r="A688" s="1">
        <v>687.0</v>
      </c>
      <c r="B688" s="3" t="s">
        <v>2161</v>
      </c>
      <c r="C688" s="3">
        <v>0.0</v>
      </c>
      <c r="D688" s="3">
        <v>0.0</v>
      </c>
      <c r="E688" s="3">
        <v>0.0</v>
      </c>
      <c r="F688" s="3" t="s">
        <v>2162</v>
      </c>
      <c r="G688" s="3">
        <v>1.0</v>
      </c>
      <c r="H688" s="3">
        <v>0.0</v>
      </c>
      <c r="I688" s="3" t="s">
        <v>13</v>
      </c>
      <c r="J688" s="3" t="s">
        <v>2163</v>
      </c>
      <c r="K688" s="3" t="s">
        <v>123</v>
      </c>
      <c r="L688" s="3" t="str">
        <f>IFERROR(__xludf.DUMMYFUNCTION("GOOGLETRANSLATE(F688,""id"",""en"")"),"Yokk was so watching the final seeing the nominous reaction wrapped in the Ballad of the Naren Bara World Cup Final")</f>
        <v>Yokk was so watching the final seeing the nominous reaction wrapped in the Ballad of the Naren Bara World Cup Final</v>
      </c>
    </row>
    <row r="689" ht="15.75" customHeight="1">
      <c r="A689" s="1">
        <v>688.0</v>
      </c>
      <c r="B689" s="3" t="s">
        <v>2164</v>
      </c>
      <c r="C689" s="3">
        <v>3.0</v>
      </c>
      <c r="D689" s="3">
        <v>20.0</v>
      </c>
      <c r="E689" s="3">
        <v>93.0</v>
      </c>
      <c r="F689" s="3" t="s">
        <v>2165</v>
      </c>
      <c r="G689" s="3">
        <v>0.75</v>
      </c>
      <c r="H689" s="3">
        <v>0.25</v>
      </c>
      <c r="I689" s="3" t="s">
        <v>48</v>
      </c>
      <c r="J689" s="3" t="s">
        <v>2166</v>
      </c>
      <c r="K689" s="3" t="s">
        <v>149</v>
      </c>
      <c r="L689" s="3" t="str">
        <f>IFERROR(__xludf.DUMMYFUNCTION("GOOGLETRANSLATE(F689,""id"",""en"")"),"Although Kylian Mbappe failed to bring France to become the World Cup champion, he continued to go home with the top score of the tournament thanks to his final hat trick")</f>
        <v>Although Kylian Mbappe failed to bring France to become the World Cup champion, he continued to go home with the top score of the tournament thanks to his final hat trick</v>
      </c>
    </row>
    <row r="690" ht="15.75" customHeight="1">
      <c r="A690" s="1">
        <v>689.0</v>
      </c>
      <c r="B690" s="3" t="s">
        <v>2167</v>
      </c>
      <c r="C690" s="3">
        <v>0.0</v>
      </c>
      <c r="D690" s="3">
        <v>13.0</v>
      </c>
      <c r="E690" s="3">
        <v>44.0</v>
      </c>
      <c r="F690" s="3" t="s">
        <v>2168</v>
      </c>
      <c r="G690" s="3">
        <v>1.0</v>
      </c>
      <c r="H690" s="3">
        <v>0.0</v>
      </c>
      <c r="I690" s="3" t="s">
        <v>13</v>
      </c>
      <c r="J690" s="3" t="s">
        <v>2169</v>
      </c>
      <c r="K690" s="3" t="s">
        <v>2023</v>
      </c>
      <c r="L690" s="3" t="str">
        <f>IFERROR(__xludf.DUMMYFUNCTION("GOOGLETRANSLATE(F690,""id"",""en"")"),"The extraordinary World Cup closed with an extraordinary final and perfected with the achievement of the perfect career of someone who is extraordinary Congrats Argentina Congrats Leo Messi")</f>
        <v>The extraordinary World Cup closed with an extraordinary final and perfected with the achievement of the perfect career of someone who is extraordinary Congrats Argentina Congrats Leo Messi</v>
      </c>
    </row>
    <row r="691" ht="15.75" customHeight="1">
      <c r="A691" s="1">
        <v>690.0</v>
      </c>
      <c r="B691" s="3" t="s">
        <v>2170</v>
      </c>
      <c r="C691" s="3">
        <v>0.0</v>
      </c>
      <c r="D691" s="3">
        <v>0.0</v>
      </c>
      <c r="E691" s="3">
        <v>0.0</v>
      </c>
      <c r="F691" s="3" t="s">
        <v>2171</v>
      </c>
      <c r="G691" s="3">
        <v>1.0</v>
      </c>
      <c r="H691" s="3">
        <v>0.0</v>
      </c>
      <c r="I691" s="3" t="s">
        <v>13</v>
      </c>
      <c r="J691" s="3" t="s">
        <v>2172</v>
      </c>
      <c r="K691" s="3" t="s">
        <v>149</v>
      </c>
      <c r="L691" s="3" t="str">
        <f>IFERROR(__xludf.DUMMYFUNCTION("GOOGLETRANSLATE(F691,""id"",""en"")"),"Argentina succeeded in becoming world champion after overthrowing France through a penalty shootout in the World Cup final held by Lusail Stadium Sunday night WIB")</f>
        <v>Argentina succeeded in becoming world champion after overthrowing France through a penalty shootout in the World Cup final held by Lusail Stadium Sunday night WIB</v>
      </c>
    </row>
    <row r="692" ht="15.75" customHeight="1">
      <c r="A692" s="1">
        <v>691.0</v>
      </c>
      <c r="B692" s="3" t="s">
        <v>2173</v>
      </c>
      <c r="C692" s="3">
        <v>0.0</v>
      </c>
      <c r="D692" s="3">
        <v>0.0</v>
      </c>
      <c r="E692" s="3">
        <v>0.0</v>
      </c>
      <c r="F692" s="3" t="s">
        <v>2174</v>
      </c>
      <c r="G692" s="3">
        <v>1.0</v>
      </c>
      <c r="H692" s="3">
        <v>0.0</v>
      </c>
      <c r="I692" s="3" t="s">
        <v>13</v>
      </c>
      <c r="J692" s="3" t="s">
        <v>2175</v>
      </c>
      <c r="K692" s="3" t="s">
        <v>477</v>
      </c>
      <c r="L692" s="3" t="str">
        <f>IFERROR(__xludf.DUMMYFUNCTION("GOOGLETRANSLATE(F692,""id"",""en"")"),"Tell me where the World Cup final was shocked besides the final")</f>
        <v>Tell me where the World Cup final was shocked besides the final</v>
      </c>
    </row>
    <row r="693" ht="15.75" customHeight="1">
      <c r="A693" s="1">
        <v>692.0</v>
      </c>
      <c r="B693" s="3" t="s">
        <v>2176</v>
      </c>
      <c r="C693" s="3">
        <v>0.0</v>
      </c>
      <c r="D693" s="3">
        <v>0.0</v>
      </c>
      <c r="E693" s="3">
        <v>0.0</v>
      </c>
      <c r="F693" s="3" t="s">
        <v>2177</v>
      </c>
      <c r="G693" s="3">
        <v>1.0</v>
      </c>
      <c r="H693" s="3">
        <v>0.0</v>
      </c>
      <c r="I693" s="3" t="s">
        <v>13</v>
      </c>
      <c r="J693" s="3" t="s">
        <v>2178</v>
      </c>
      <c r="K693" s="3" t="s">
        <v>82</v>
      </c>
      <c r="L693" s="3" t="str">
        <f>IFERROR(__xludf.DUMMYFUNCTION("GOOGLETRANSLATE(F693,""id"",""en"")"),"The Best World Cup Final I've ever watched")</f>
        <v>The Best World Cup Final I've ever watched</v>
      </c>
    </row>
    <row r="694" ht="15.75" customHeight="1">
      <c r="A694" s="1">
        <v>693.0</v>
      </c>
      <c r="B694" s="3" t="s">
        <v>2179</v>
      </c>
      <c r="C694" s="3">
        <v>0.0</v>
      </c>
      <c r="D694" s="3">
        <v>0.0</v>
      </c>
      <c r="E694" s="3">
        <v>0.0</v>
      </c>
      <c r="F694" s="3" t="s">
        <v>2179</v>
      </c>
      <c r="G694" s="3">
        <v>1.0</v>
      </c>
      <c r="H694" s="3">
        <v>0.0</v>
      </c>
      <c r="I694" s="3" t="s">
        <v>13</v>
      </c>
      <c r="J694" s="3" t="s">
        <v>2180</v>
      </c>
      <c r="K694" s="3" t="s">
        <v>477</v>
      </c>
      <c r="L694" s="3" t="str">
        <f>IFERROR(__xludf.DUMMYFUNCTION("GOOGLETRANSLATE(F694,""id"",""en"")"),"This person is also tense to the World Cup Final")</f>
        <v>This person is also tense to the World Cup Final</v>
      </c>
    </row>
    <row r="695" ht="15.75" customHeight="1">
      <c r="A695" s="1">
        <v>694.0</v>
      </c>
      <c r="B695" s="3" t="s">
        <v>2181</v>
      </c>
      <c r="C695" s="3">
        <v>0.0</v>
      </c>
      <c r="D695" s="3">
        <v>0.0</v>
      </c>
      <c r="E695" s="3">
        <v>0.0</v>
      </c>
      <c r="F695" s="3" t="s">
        <v>2182</v>
      </c>
      <c r="G695" s="3">
        <v>1.0</v>
      </c>
      <c r="H695" s="3">
        <v>0.0</v>
      </c>
      <c r="I695" s="3" t="s">
        <v>13</v>
      </c>
      <c r="J695" s="3" t="s">
        <v>2183</v>
      </c>
      <c r="K695" s="3" t="s">
        <v>19</v>
      </c>
      <c r="L695" s="3" t="str">
        <f>IFERROR(__xludf.DUMMYFUNCTION("GOOGLETRANSLATE(F695,""id"",""en"")"),"This is really a cool world cup final full of tension, I'm not in vain, I stayed up late.")</f>
        <v>This is really a cool world cup final full of tension, I'm not in vain, I stayed up late.</v>
      </c>
    </row>
    <row r="696" ht="15.75" customHeight="1">
      <c r="A696" s="1">
        <v>695.0</v>
      </c>
      <c r="B696" s="3" t="s">
        <v>2184</v>
      </c>
      <c r="C696" s="3">
        <v>0.0</v>
      </c>
      <c r="D696" s="3">
        <v>0.0</v>
      </c>
      <c r="E696" s="3">
        <v>0.0</v>
      </c>
      <c r="F696" s="3" t="s">
        <v>2185</v>
      </c>
      <c r="G696" s="3">
        <v>1.0</v>
      </c>
      <c r="H696" s="3">
        <v>0.0</v>
      </c>
      <c r="I696" s="3" t="s">
        <v>13</v>
      </c>
      <c r="J696" s="3" t="s">
        <v>2186</v>
      </c>
      <c r="K696" s="3" t="s">
        <v>50</v>
      </c>
      <c r="L696" s="3" t="str">
        <f>IFERROR(__xludf.DUMMYFUNCTION("GOOGLETRANSLATE(F696,""id"",""en"")"),"Watching the World Cup Final just now makes my heart deg")</f>
        <v>Watching the World Cup Final just now makes my heart deg</v>
      </c>
    </row>
    <row r="697" ht="15.75" customHeight="1">
      <c r="A697" s="1">
        <v>696.0</v>
      </c>
      <c r="B697" s="3" t="s">
        <v>2187</v>
      </c>
      <c r="C697" s="3">
        <v>0.0</v>
      </c>
      <c r="D697" s="3">
        <v>0.0</v>
      </c>
      <c r="E697" s="3">
        <v>0.0</v>
      </c>
      <c r="F697" s="3" t="s">
        <v>2188</v>
      </c>
      <c r="G697" s="3">
        <v>0.75</v>
      </c>
      <c r="H697" s="3">
        <v>0.06818181818181818</v>
      </c>
      <c r="I697" s="3" t="s">
        <v>48</v>
      </c>
      <c r="J697" s="3" t="s">
        <v>2189</v>
      </c>
      <c r="K697" s="3" t="s">
        <v>27</v>
      </c>
      <c r="L697" s="3" t="str">
        <f>IFERROR(__xludf.DUMMYFUNCTION("GOOGLETRANSLATE(F697,""id"",""en"")"),"This World Cup watched the final match other matches watching the live score and the standings might be because it is not together with fasting so it's lazy to watch the house and there is no STB so it is still built")</f>
        <v>This World Cup watched the final match other matches watching the live score and the standings might be because it is not together with fasting so it's lazy to watch the house and there is no STB so it is still built</v>
      </c>
    </row>
    <row r="698" ht="15.75" customHeight="1">
      <c r="A698" s="1">
        <v>697.0</v>
      </c>
      <c r="B698" s="3" t="s">
        <v>2190</v>
      </c>
      <c r="C698" s="3">
        <v>0.0</v>
      </c>
      <c r="D698" s="3">
        <v>0.0</v>
      </c>
      <c r="E698" s="3">
        <v>0.0</v>
      </c>
      <c r="F698" s="3" t="s">
        <v>2191</v>
      </c>
      <c r="G698" s="3">
        <v>0.75</v>
      </c>
      <c r="H698" s="3">
        <v>0.15</v>
      </c>
      <c r="I698" s="3" t="s">
        <v>48</v>
      </c>
      <c r="J698" s="3" t="s">
        <v>2192</v>
      </c>
      <c r="K698" s="3" t="s">
        <v>2193</v>
      </c>
      <c r="L698" s="3" t="str">
        <f>IFERROR(__xludf.DUMMYFUNCTION("GOOGLETRANSLATE(F698,""id"",""en"")"),"The World Cup this time is very happy even though Kyky wins can see him win the golden boots and see him the final hat tricks make me happy, especially if you see Messi lifting the trophy, it feels like it is very happy")</f>
        <v>The World Cup this time is very happy even though Kyky wins can see him win the golden boots and see him the final hat tricks make me happy, especially if you see Messi lifting the trophy, it feels like it is very happy</v>
      </c>
    </row>
    <row r="699" ht="15.75" customHeight="1">
      <c r="A699" s="1">
        <v>698.0</v>
      </c>
      <c r="B699" s="3" t="s">
        <v>2194</v>
      </c>
      <c r="C699" s="3">
        <v>0.0</v>
      </c>
      <c r="D699" s="3">
        <v>0.0</v>
      </c>
      <c r="E699" s="3">
        <v>0.0</v>
      </c>
      <c r="F699" s="3" t="s">
        <v>2195</v>
      </c>
      <c r="G699" s="3">
        <v>1.0</v>
      </c>
      <c r="H699" s="3">
        <v>0.0</v>
      </c>
      <c r="I699" s="3" t="s">
        <v>13</v>
      </c>
      <c r="J699" s="3" t="s">
        <v>2196</v>
      </c>
      <c r="K699" s="3" t="s">
        <v>433</v>
      </c>
      <c r="L699" s="3" t="str">
        <f>IFERROR(__xludf.DUMMYFUNCTION("GOOGLETRANSLATE(F699,""id"",""en"")"),"Who watched the Qatar World Cup final, you watched one of the world's best football matches")</f>
        <v>Who watched the Qatar World Cup final, you watched one of the world's best football matches</v>
      </c>
    </row>
    <row r="700" ht="15.75" customHeight="1">
      <c r="A700" s="1">
        <v>699.0</v>
      </c>
      <c r="B700" s="3" t="s">
        <v>2197</v>
      </c>
      <c r="C700" s="3">
        <v>0.0</v>
      </c>
      <c r="D700" s="3">
        <v>0.0</v>
      </c>
      <c r="E700" s="3">
        <v>0.0</v>
      </c>
      <c r="F700" s="3" t="s">
        <v>2198</v>
      </c>
      <c r="G700" s="3">
        <v>1.0</v>
      </c>
      <c r="H700" s="3">
        <v>0.0</v>
      </c>
      <c r="I700" s="3" t="s">
        <v>13</v>
      </c>
      <c r="J700" s="3" t="s">
        <v>2199</v>
      </c>
      <c r="K700" s="3" t="s">
        <v>1782</v>
      </c>
      <c r="L700" s="3" t="str">
        <f>IFERROR(__xludf.DUMMYFUNCTION("GOOGLETRANSLATE(F700,""id"",""en"")"),"Best World Cup Final Best Best Player")</f>
        <v>Best World Cup Final Best Best Player</v>
      </c>
    </row>
    <row r="701" ht="15.75" customHeight="1">
      <c r="A701" s="1">
        <v>700.0</v>
      </c>
      <c r="B701" s="3" t="s">
        <v>2200</v>
      </c>
      <c r="C701" s="3">
        <v>0.0</v>
      </c>
      <c r="D701" s="3">
        <v>0.0</v>
      </c>
      <c r="E701" s="3">
        <v>0.0</v>
      </c>
      <c r="F701" s="3" t="s">
        <v>2201</v>
      </c>
      <c r="G701" s="3">
        <v>0.75</v>
      </c>
      <c r="H701" s="3">
        <v>0.0</v>
      </c>
      <c r="I701" s="3" t="s">
        <v>13</v>
      </c>
      <c r="J701" s="3" t="s">
        <v>2202</v>
      </c>
      <c r="K701" s="3" t="s">
        <v>614</v>
      </c>
      <c r="L701" s="3" t="str">
        <f>IFERROR(__xludf.DUMMYFUNCTION("GOOGLETRANSLATE(F701,""id"",""en"")"),"For the rest of life, only watching the ball match that memorable until she ringing ngiang comeback Barcelona PSG World Cup Final and all the matches have Messi Definitely Goat")</f>
        <v>For the rest of life, only watching the ball match that memorable until she ringing ngiang comeback Barcelona PSG World Cup Final and all the matches have Messi Definitely Goat</v>
      </c>
    </row>
    <row r="702" ht="15.75" customHeight="1">
      <c r="A702" s="1">
        <v>701.0</v>
      </c>
      <c r="B702" s="3" t="s">
        <v>2203</v>
      </c>
      <c r="C702" s="3">
        <v>0.0</v>
      </c>
      <c r="D702" s="3">
        <v>0.0</v>
      </c>
      <c r="E702" s="3">
        <v>0.0</v>
      </c>
      <c r="F702" s="3" t="s">
        <v>2204</v>
      </c>
      <c r="G702" s="3">
        <v>0.775</v>
      </c>
      <c r="H702" s="3">
        <v>0.175</v>
      </c>
      <c r="I702" s="3" t="s">
        <v>48</v>
      </c>
      <c r="J702" s="3" t="s">
        <v>2205</v>
      </c>
      <c r="K702" s="3" t="s">
        <v>184</v>
      </c>
      <c r="L702" s="3" t="str">
        <f>IFERROR(__xludf.DUMMYFUNCTION("GOOGLETRANSLATE(F702,""id"",""en"")"),"Thank you, the World Cup has accompanied from the beginning of Nobar Angkringan Ndeso to the Nobar Banjar final while preparing Bazzar to sit full memories")</f>
        <v>Thank you, the World Cup has accompanied from the beginning of Nobar Angkringan Ndeso to the Nobar Banjar final while preparing Bazzar to sit full memories</v>
      </c>
    </row>
    <row r="703" ht="15.75" customHeight="1">
      <c r="A703" s="1">
        <v>702.0</v>
      </c>
      <c r="B703" s="3" t="s">
        <v>2206</v>
      </c>
      <c r="C703" s="3">
        <v>0.0</v>
      </c>
      <c r="D703" s="3">
        <v>0.0</v>
      </c>
      <c r="E703" s="3">
        <v>0.0</v>
      </c>
      <c r="F703" s="3" t="s">
        <v>2207</v>
      </c>
      <c r="G703" s="3">
        <v>1.0</v>
      </c>
      <c r="H703" s="3">
        <v>0.0</v>
      </c>
      <c r="I703" s="3" t="s">
        <v>13</v>
      </c>
      <c r="J703" s="3" t="s">
        <v>2208</v>
      </c>
      <c r="K703" s="3" t="s">
        <v>75</v>
      </c>
      <c r="L703" s="3" t="str">
        <f>IFERROR(__xludf.DUMMYFUNCTION("GOOGLETRANSLATE(F703,""id"",""en"")"),"Kylian Mbappe became the second player who printed the World Cup Final Hattrick")</f>
        <v>Kylian Mbappe became the second player who printed the World Cup Final Hattrick</v>
      </c>
    </row>
    <row r="704" ht="15.75" customHeight="1">
      <c r="A704" s="1">
        <v>703.0</v>
      </c>
      <c r="B704" s="3" t="s">
        <v>2209</v>
      </c>
      <c r="C704" s="3">
        <v>0.0</v>
      </c>
      <c r="D704" s="3">
        <v>0.0</v>
      </c>
      <c r="E704" s="3">
        <v>0.0</v>
      </c>
      <c r="F704" s="3" t="s">
        <v>2210</v>
      </c>
      <c r="G704" s="3">
        <v>1.0</v>
      </c>
      <c r="H704" s="3">
        <v>0.0</v>
      </c>
      <c r="I704" s="3" t="s">
        <v>13</v>
      </c>
      <c r="J704" s="3" t="s">
        <v>2211</v>
      </c>
      <c r="K704" s="3" t="s">
        <v>82</v>
      </c>
      <c r="L704" s="3" t="str">
        <f>IFERROR(__xludf.DUMMYFUNCTION("GOOGLETRANSLATE(F704,""id"",""en"")"),"World Cup Final Dag Dig Dug")</f>
        <v>World Cup Final Dag Dig Dug</v>
      </c>
    </row>
    <row r="705" ht="15.75" customHeight="1">
      <c r="A705" s="1">
        <v>704.0</v>
      </c>
      <c r="B705" s="3" t="s">
        <v>2212</v>
      </c>
      <c r="C705" s="3">
        <v>0.0</v>
      </c>
      <c r="D705" s="3">
        <v>0.0</v>
      </c>
      <c r="E705" s="3">
        <v>1.0</v>
      </c>
      <c r="F705" s="3" t="s">
        <v>2213</v>
      </c>
      <c r="G705" s="3">
        <v>1.0</v>
      </c>
      <c r="H705" s="3">
        <v>0.0</v>
      </c>
      <c r="I705" s="3" t="s">
        <v>13</v>
      </c>
      <c r="J705" s="3" t="s">
        <v>2214</v>
      </c>
      <c r="K705" s="3" t="s">
        <v>2215</v>
      </c>
      <c r="L705" s="3" t="str">
        <f>IFERROR(__xludf.DUMMYFUNCTION("GOOGLETRANSLATE(F705,""id"",""en"")"),"Messi finally got the World Cup with the Argentina team the best final match in the history of the World Cup")</f>
        <v>Messi finally got the World Cup with the Argentina team the best final match in the history of the World Cup</v>
      </c>
    </row>
    <row r="706" ht="15.75" customHeight="1">
      <c r="A706" s="1">
        <v>705.0</v>
      </c>
      <c r="B706" s="3" t="s">
        <v>2216</v>
      </c>
      <c r="C706" s="3">
        <v>0.0</v>
      </c>
      <c r="D706" s="3">
        <v>0.0</v>
      </c>
      <c r="E706" s="3">
        <v>0.0</v>
      </c>
      <c r="F706" s="3" t="s">
        <v>2217</v>
      </c>
      <c r="G706" s="3">
        <v>1.0</v>
      </c>
      <c r="H706" s="3">
        <v>0.0</v>
      </c>
      <c r="I706" s="3" t="s">
        <v>13</v>
      </c>
      <c r="J706" s="3" t="s">
        <v>2218</v>
      </c>
      <c r="K706" s="3" t="s">
        <v>149</v>
      </c>
      <c r="L706" s="3" t="str">
        <f>IFERROR(__xludf.DUMMYFUNCTION("GOOGLETRANSLATE(F706,""id"",""en"")"),"The French Qatar World Cup final is exciting and the tense fights are the two supporters of the team but more exciting watching streaming with a smooth and stable connection from Indihome")</f>
        <v>The French Qatar World Cup final is exciting and the tense fights are the two supporters of the team but more exciting watching streaming with a smooth and stable connection from Indihome</v>
      </c>
    </row>
    <row r="707" ht="15.75" customHeight="1">
      <c r="A707" s="1">
        <v>706.0</v>
      </c>
      <c r="B707" s="3" t="s">
        <v>2219</v>
      </c>
      <c r="C707" s="3">
        <v>0.0</v>
      </c>
      <c r="D707" s="3">
        <v>0.0</v>
      </c>
      <c r="E707" s="3">
        <v>0.0</v>
      </c>
      <c r="F707" s="3" t="s">
        <v>2220</v>
      </c>
      <c r="G707" s="3">
        <v>1.0</v>
      </c>
      <c r="H707" s="3">
        <v>0.0</v>
      </c>
      <c r="I707" s="3" t="s">
        <v>13</v>
      </c>
      <c r="J707" s="3" t="s">
        <v>2221</v>
      </c>
      <c r="K707" s="3" t="s">
        <v>50</v>
      </c>
      <c r="L707" s="3" t="str">
        <f>IFERROR(__xludf.DUMMYFUNCTION("GOOGLETRANSLATE(F707,""id"",""en"")"),"Argentine World Cup Final French French Silence Through Penalties")</f>
        <v>Argentine World Cup Final French French Silence Through Penalties</v>
      </c>
    </row>
    <row r="708" ht="15.75" customHeight="1">
      <c r="A708" s="1">
        <v>707.0</v>
      </c>
      <c r="B708" s="3" t="s">
        <v>2222</v>
      </c>
      <c r="C708" s="3">
        <v>0.0</v>
      </c>
      <c r="D708" s="3">
        <v>0.0</v>
      </c>
      <c r="E708" s="3">
        <v>0.0</v>
      </c>
      <c r="F708" s="3" t="s">
        <v>2223</v>
      </c>
      <c r="G708" s="3">
        <v>1.0</v>
      </c>
      <c r="H708" s="3">
        <v>0.0</v>
      </c>
      <c r="I708" s="3" t="s">
        <v>13</v>
      </c>
      <c r="J708" s="3" t="s">
        <v>2224</v>
      </c>
      <c r="K708" s="3" t="s">
        <v>1970</v>
      </c>
      <c r="L708" s="3" t="str">
        <f>IFERROR(__xludf.DUMMYFUNCTION("GOOGLETRANSLATE(F708,""id"",""en"")"),"how many world cup penalties this time and there are also many referees' decisions that are inconsequential even though there is a var but the final party this time is really extraordinary it will be difficult to forget")</f>
        <v>how many world cup penalties this time and there are also many referees' decisions that are inconsequential even though there is a var but the final party this time is really extraordinary it will be difficult to forget</v>
      </c>
    </row>
    <row r="709" ht="15.75" customHeight="1">
      <c r="A709" s="1">
        <v>708.0</v>
      </c>
      <c r="B709" s="3" t="s">
        <v>2225</v>
      </c>
      <c r="C709" s="3">
        <v>0.0</v>
      </c>
      <c r="D709" s="3">
        <v>0.0</v>
      </c>
      <c r="E709" s="3">
        <v>0.0</v>
      </c>
      <c r="F709" s="3" t="s">
        <v>2226</v>
      </c>
      <c r="G709" s="3">
        <v>0.55</v>
      </c>
      <c r="H709" s="3">
        <v>0.0</v>
      </c>
      <c r="I709" s="3" t="s">
        <v>13</v>
      </c>
      <c r="J709" s="3" t="s">
        <v>2227</v>
      </c>
      <c r="K709" s="3" t="s">
        <v>1317</v>
      </c>
      <c r="L709" s="3" t="str">
        <f>IFERROR(__xludf.DUMMYFUNCTION("GOOGLETRANSLATE(F709,""id"",""en"")"),"Argentina Champion World Cup Argentina won the Argentine World Cup championship trophy to defeat France Final through penalties after playing draw until extra time")</f>
        <v>Argentina Champion World Cup Argentina won the Argentine World Cup championship trophy to defeat France Final through penalties after playing draw until extra time</v>
      </c>
    </row>
    <row r="710" ht="15.75" customHeight="1">
      <c r="A710" s="1">
        <v>709.0</v>
      </c>
      <c r="B710" s="3" t="s">
        <v>2228</v>
      </c>
      <c r="C710" s="3">
        <v>0.0</v>
      </c>
      <c r="D710" s="3">
        <v>0.0</v>
      </c>
      <c r="E710" s="3">
        <v>0.0</v>
      </c>
      <c r="F710" s="3" t="s">
        <v>2229</v>
      </c>
      <c r="G710" s="3">
        <v>0.6</v>
      </c>
      <c r="H710" s="3">
        <v>0.1</v>
      </c>
      <c r="I710" s="3" t="s">
        <v>48</v>
      </c>
      <c r="J710" s="3" t="s">
        <v>2230</v>
      </c>
      <c r="K710" s="3" t="s">
        <v>41</v>
      </c>
      <c r="L710" s="3" t="str">
        <f>IFERROR(__xludf.DUMMYFUNCTION("GOOGLETRANSLATE(F710,""id"",""en"")"),"Luckily, you can see the World Cup Final Hattrick Thanks Mbappe")</f>
        <v>Luckily, you can see the World Cup Final Hattrick Thanks Mbappe</v>
      </c>
    </row>
    <row r="711" ht="15.75" customHeight="1">
      <c r="A711" s="1">
        <v>710.0</v>
      </c>
      <c r="B711" s="3" t="s">
        <v>2231</v>
      </c>
      <c r="C711" s="3">
        <v>0.0</v>
      </c>
      <c r="D711" s="3">
        <v>0.0</v>
      </c>
      <c r="E711" s="3">
        <v>0.0</v>
      </c>
      <c r="F711" s="3" t="s">
        <v>2232</v>
      </c>
      <c r="G711" s="3">
        <v>0.55</v>
      </c>
      <c r="H711" s="3">
        <v>0.0</v>
      </c>
      <c r="I711" s="3" t="s">
        <v>13</v>
      </c>
      <c r="J711" s="3" t="s">
        <v>2233</v>
      </c>
      <c r="K711" s="3" t="s">
        <v>127</v>
      </c>
      <c r="L711" s="3" t="str">
        <f>IFERROR(__xludf.DUMMYFUNCTION("GOOGLETRANSLATE(F711,""id"",""en"")"),"Two main defenders of Manchester United have the World Cup final in defending their respective countries.")</f>
        <v>Two main defenders of Manchester United have the World Cup final in defending their respective countries.</v>
      </c>
    </row>
    <row r="712" ht="15.75" customHeight="1">
      <c r="A712" s="1">
        <v>711.0</v>
      </c>
      <c r="B712" s="3" t="s">
        <v>2234</v>
      </c>
      <c r="C712" s="3">
        <v>0.0</v>
      </c>
      <c r="D712" s="3">
        <v>0.0</v>
      </c>
      <c r="E712" s="3">
        <v>0.0</v>
      </c>
      <c r="F712" s="3" t="s">
        <v>2235</v>
      </c>
      <c r="G712" s="3">
        <v>1.0</v>
      </c>
      <c r="H712" s="3">
        <v>0.0</v>
      </c>
      <c r="I712" s="3" t="s">
        <v>13</v>
      </c>
      <c r="J712" s="3" t="s">
        <v>2236</v>
      </c>
      <c r="K712" s="3" t="s">
        <v>41</v>
      </c>
      <c r="L712" s="3" t="str">
        <f>IFERROR(__xludf.DUMMYFUNCTION("GOOGLETRANSLATE(F712,""id"",""en"")"),"Those of you who don't watch this moment the World Cup Final haven't passed the Heart Test")</f>
        <v>Those of you who don't watch this moment the World Cup Final haven't passed the Heart Test</v>
      </c>
    </row>
    <row r="713" ht="15.75" customHeight="1">
      <c r="A713" s="1">
        <v>712.0</v>
      </c>
      <c r="B713" s="3" t="s">
        <v>2237</v>
      </c>
      <c r="C713" s="3">
        <v>0.0</v>
      </c>
      <c r="D713" s="3">
        <v>0.0</v>
      </c>
      <c r="E713" s="3">
        <v>0.0</v>
      </c>
      <c r="F713" s="3" t="s">
        <v>2238</v>
      </c>
      <c r="G713" s="3">
        <v>1.0</v>
      </c>
      <c r="H713" s="3">
        <v>0.0</v>
      </c>
      <c r="I713" s="3" t="s">
        <v>13</v>
      </c>
      <c r="J713" s="3" t="s">
        <v>2239</v>
      </c>
      <c r="K713" s="3" t="s">
        <v>19</v>
      </c>
      <c r="L713" s="3" t="str">
        <f>IFERROR(__xludf.DUMMYFUNCTION("GOOGLETRANSLATE(F713,""id"",""en"")"),"The final match is really very interesting and tense and entertaining thanks and seeking the World Cup")</f>
        <v>The final match is really very interesting and tense and entertaining thanks and seeking the World Cup</v>
      </c>
    </row>
    <row r="714" ht="15.75" customHeight="1">
      <c r="A714" s="1">
        <v>713.0</v>
      </c>
      <c r="B714" s="3" t="s">
        <v>2240</v>
      </c>
      <c r="C714" s="3">
        <v>0.0</v>
      </c>
      <c r="D714" s="3">
        <v>0.0</v>
      </c>
      <c r="E714" s="3">
        <v>0.0</v>
      </c>
      <c r="F714" s="3" t="s">
        <v>2241</v>
      </c>
      <c r="G714" s="3">
        <v>1.0</v>
      </c>
      <c r="H714" s="3">
        <v>0.0</v>
      </c>
      <c r="I714" s="3" t="s">
        <v>13</v>
      </c>
      <c r="J714" s="3" t="s">
        <v>2242</v>
      </c>
      <c r="K714" s="3" t="s">
        <v>54</v>
      </c>
      <c r="L714" s="3" t="str">
        <f>IFERROR(__xludf.DUMMYFUNCTION("GOOGLETRANSLATE(F714,""id"",""en"")"),"Crazy World Cup Final Most Exciting")</f>
        <v>Crazy World Cup Final Most Exciting</v>
      </c>
    </row>
    <row r="715" ht="15.75" customHeight="1">
      <c r="A715" s="1">
        <v>714.0</v>
      </c>
      <c r="B715" s="3" t="s">
        <v>2243</v>
      </c>
      <c r="C715" s="3">
        <v>0.0</v>
      </c>
      <c r="D715" s="3">
        <v>0.0</v>
      </c>
      <c r="E715" s="3">
        <v>0.0</v>
      </c>
      <c r="F715" s="3" t="s">
        <v>2244</v>
      </c>
      <c r="G715" s="3">
        <v>1.0</v>
      </c>
      <c r="H715" s="3">
        <v>0.0</v>
      </c>
      <c r="I715" s="3" t="s">
        <v>13</v>
      </c>
      <c r="J715" s="3" t="s">
        <v>2245</v>
      </c>
      <c r="K715" s="3" t="s">
        <v>50</v>
      </c>
      <c r="L715" s="3" t="str">
        <f>IFERROR(__xludf.DUMMYFUNCTION("GOOGLETRANSLATE(F715,""id"",""en"")"),"Edyan, the World Cup Final this time is really dramatic chasing the scoring")</f>
        <v>Edyan, the World Cup Final this time is really dramatic chasing the scoring</v>
      </c>
    </row>
    <row r="716" ht="15.75" customHeight="1">
      <c r="A716" s="1">
        <v>715.0</v>
      </c>
      <c r="B716" s="3" t="s">
        <v>2246</v>
      </c>
      <c r="C716" s="3">
        <v>0.0</v>
      </c>
      <c r="D716" s="3">
        <v>0.0</v>
      </c>
      <c r="E716" s="3">
        <v>1.0</v>
      </c>
      <c r="F716" s="3" t="s">
        <v>2246</v>
      </c>
      <c r="G716" s="3">
        <v>1.0</v>
      </c>
      <c r="H716" s="3">
        <v>0.0</v>
      </c>
      <c r="I716" s="3" t="s">
        <v>13</v>
      </c>
      <c r="J716" s="3" t="s">
        <v>2247</v>
      </c>
      <c r="K716" s="3" t="s">
        <v>31</v>
      </c>
      <c r="L716" s="3" t="str">
        <f>IFERROR(__xludf.DUMMYFUNCTION("GOOGLETRANSLATE(F716,""id"",""en"")"),"World Cup Final Most Exciting")</f>
        <v>World Cup Final Most Exciting</v>
      </c>
    </row>
    <row r="717" ht="15.75" customHeight="1">
      <c r="A717" s="1">
        <v>716.0</v>
      </c>
      <c r="B717" s="3" t="s">
        <v>2248</v>
      </c>
      <c r="C717" s="3">
        <v>0.0</v>
      </c>
      <c r="D717" s="3">
        <v>7.0</v>
      </c>
      <c r="E717" s="3">
        <v>28.0</v>
      </c>
      <c r="F717" s="3" t="s">
        <v>2249</v>
      </c>
      <c r="G717" s="3">
        <v>1.0</v>
      </c>
      <c r="H717" s="3">
        <v>0.0</v>
      </c>
      <c r="I717" s="3" t="s">
        <v>13</v>
      </c>
      <c r="J717" s="3" t="s">
        <v>2250</v>
      </c>
      <c r="K717" s="3" t="s">
        <v>699</v>
      </c>
      <c r="L717" s="3" t="str">
        <f>IFERROR(__xludf.DUMMYFUNCTION("GOOGLETRANSLATE(F717,""id"",""en"")"),"Argentina appeared as the World Cup champion after crushing France through Argentina's final penalties ended the wait for the championship after the year")</f>
        <v>Argentina appeared as the World Cup champion after crushing France through Argentina's final penalties ended the wait for the championship after the year</v>
      </c>
    </row>
    <row r="718" ht="15.75" customHeight="1">
      <c r="A718" s="1">
        <v>717.0</v>
      </c>
      <c r="B718" s="3" t="s">
        <v>2251</v>
      </c>
      <c r="C718" s="3">
        <v>0.0</v>
      </c>
      <c r="D718" s="3">
        <v>0.0</v>
      </c>
      <c r="E718" s="3">
        <v>0.0</v>
      </c>
      <c r="F718" s="3" t="s">
        <v>2252</v>
      </c>
      <c r="G718" s="3">
        <v>1.0</v>
      </c>
      <c r="H718" s="3">
        <v>0.0</v>
      </c>
      <c r="I718" s="3" t="s">
        <v>13</v>
      </c>
      <c r="J718" s="3" t="s">
        <v>2253</v>
      </c>
      <c r="K718" s="3" t="s">
        <v>1265</v>
      </c>
      <c r="L718" s="3" t="str">
        <f>IFERROR(__xludf.DUMMYFUNCTION("GOOGLETRANSLATE(F718,""id"",""en"")"),"nervous three times I am very nervous watching the World Cup final and watching my heart")</f>
        <v>nervous three times I am very nervous watching the World Cup final and watching my heart</v>
      </c>
    </row>
    <row r="719" ht="15.75" customHeight="1">
      <c r="A719" s="1">
        <v>718.0</v>
      </c>
      <c r="B719" s="3" t="s">
        <v>2254</v>
      </c>
      <c r="C719" s="3">
        <v>2.0</v>
      </c>
      <c r="D719" s="3">
        <v>0.0</v>
      </c>
      <c r="E719" s="3">
        <v>9.0</v>
      </c>
      <c r="F719" s="3" t="s">
        <v>2255</v>
      </c>
      <c r="G719" s="3">
        <v>0.875</v>
      </c>
      <c r="H719" s="3">
        <v>0.4</v>
      </c>
      <c r="I719" s="3" t="s">
        <v>48</v>
      </c>
      <c r="J719" s="3" t="s">
        <v>2256</v>
      </c>
      <c r="K719" s="3" t="s">
        <v>348</v>
      </c>
      <c r="L719" s="3" t="str">
        <f>IFERROR(__xludf.DUMMYFUNCTION("GOOGLETRANSLATE(F719,""id"",""en"")"),"honestly not a soccer maniac since the beginning was amazed by the opening and preparation of the World Cup ended until watching the final match of the Final What Great World Cup")</f>
        <v>honestly not a soccer maniac since the beginning was amazed by the opening and preparation of the World Cup ended until watching the final match of the Final What Great World Cup</v>
      </c>
    </row>
    <row r="720" ht="15.75" customHeight="1">
      <c r="A720" s="1">
        <v>719.0</v>
      </c>
      <c r="B720" s="3" t="s">
        <v>2257</v>
      </c>
      <c r="C720" s="3">
        <v>0.0</v>
      </c>
      <c r="D720" s="3">
        <v>0.0</v>
      </c>
      <c r="E720" s="3">
        <v>1.0</v>
      </c>
      <c r="F720" s="3" t="s">
        <v>2257</v>
      </c>
      <c r="G720" s="3">
        <v>1.0</v>
      </c>
      <c r="H720" s="3">
        <v>0.0</v>
      </c>
      <c r="I720" s="3" t="s">
        <v>13</v>
      </c>
      <c r="J720" s="3" t="s">
        <v>2258</v>
      </c>
      <c r="K720" s="3" t="s">
        <v>54</v>
      </c>
      <c r="L720" s="3" t="str">
        <f>IFERROR(__xludf.DUMMYFUNCTION("GOOGLETRANSLATE(F720,""id"",""en"")"),"World Cup Final Year Iki Exciting")</f>
        <v>World Cup Final Year Iki Exciting</v>
      </c>
    </row>
    <row r="721" ht="15.75" customHeight="1">
      <c r="A721" s="1">
        <v>720.0</v>
      </c>
      <c r="B721" s="3" t="s">
        <v>2259</v>
      </c>
      <c r="C721" s="3">
        <v>1.0</v>
      </c>
      <c r="D721" s="3">
        <v>0.0</v>
      </c>
      <c r="E721" s="3">
        <v>0.0</v>
      </c>
      <c r="F721" s="3" t="s">
        <v>2260</v>
      </c>
      <c r="G721" s="3">
        <v>0.7999999999999999</v>
      </c>
      <c r="H721" s="3">
        <v>-0.1333333333333333</v>
      </c>
      <c r="I721" s="3" t="s">
        <v>179</v>
      </c>
      <c r="J721" s="3" t="s">
        <v>2261</v>
      </c>
      <c r="K721" s="3" t="s">
        <v>2262</v>
      </c>
      <c r="L721" s="3" t="str">
        <f>IFERROR(__xludf.DUMMYFUNCTION("GOOGLETRANSLATE(F721,""id"",""en"")"),"What Game What Final What FIFA World Cup World Cup What Final Final World Cup in the history of Football Hatur Nuhun Qatar Hatur Nuhun Fifa Hatur Nuhun Sugema")</f>
        <v>What Game What Final What FIFA World Cup World Cup What Final Final World Cup in the history of Football Hatur Nuhun Qatar Hatur Nuhun Fifa Hatur Nuhun Sugema</v>
      </c>
    </row>
    <row r="722" ht="15.75" customHeight="1">
      <c r="A722" s="1">
        <v>721.0</v>
      </c>
      <c r="B722" s="3" t="s">
        <v>2263</v>
      </c>
      <c r="C722" s="3">
        <v>0.0</v>
      </c>
      <c r="D722" s="3">
        <v>0.0</v>
      </c>
      <c r="E722" s="3">
        <v>0.0</v>
      </c>
      <c r="F722" s="3" t="s">
        <v>2264</v>
      </c>
      <c r="G722" s="3">
        <v>1.0</v>
      </c>
      <c r="H722" s="3">
        <v>0.0</v>
      </c>
      <c r="I722" s="3" t="s">
        <v>13</v>
      </c>
      <c r="J722" s="3" t="s">
        <v>2265</v>
      </c>
      <c r="K722" s="3" t="s">
        <v>510</v>
      </c>
      <c r="L722" s="3" t="str">
        <f>IFERROR(__xludf.DUMMYFUNCTION("GOOGLETRANSLATE(F722,""id"",""en"")"),"Whoever is the winner of the World Cup Final this year is arguably the craziest in the history of Argentina")</f>
        <v>Whoever is the winner of the World Cup Final this year is arguably the craziest in the history of Argentina</v>
      </c>
    </row>
    <row r="723" ht="15.75" customHeight="1">
      <c r="A723" s="1">
        <v>722.0</v>
      </c>
      <c r="B723" s="3" t="s">
        <v>2266</v>
      </c>
      <c r="C723" s="3">
        <v>0.0</v>
      </c>
      <c r="D723" s="3">
        <v>0.0</v>
      </c>
      <c r="E723" s="3">
        <v>1.0</v>
      </c>
      <c r="F723" s="3" t="s">
        <v>2267</v>
      </c>
      <c r="G723" s="3">
        <v>0.6</v>
      </c>
      <c r="H723" s="3">
        <v>0.1</v>
      </c>
      <c r="I723" s="3" t="s">
        <v>48</v>
      </c>
      <c r="J723" s="3" t="s">
        <v>2268</v>
      </c>
      <c r="K723" s="3" t="s">
        <v>433</v>
      </c>
      <c r="L723" s="3" t="str">
        <f>IFERROR(__xludf.DUMMYFUNCTION("GOOGLETRANSLATE(F723,""id"",""en"")"),"The Best Final or the Best World Cup Have Idea Clearly This Moment This Event To Remember Thanks Thanks Qatar")</f>
        <v>The Best Final or the Best World Cup Have Idea Clearly This Moment This Event To Remember Thanks Thanks Qatar</v>
      </c>
    </row>
    <row r="724" ht="15.75" customHeight="1">
      <c r="A724" s="1">
        <v>723.0</v>
      </c>
      <c r="B724" s="3" t="s">
        <v>2269</v>
      </c>
      <c r="C724" s="3">
        <v>0.0</v>
      </c>
      <c r="D724" s="3">
        <v>0.0</v>
      </c>
      <c r="E724" s="3">
        <v>0.0</v>
      </c>
      <c r="F724" s="3" t="s">
        <v>665</v>
      </c>
      <c r="G724" s="3">
        <v>1.0</v>
      </c>
      <c r="H724" s="3">
        <v>0.0</v>
      </c>
      <c r="I724" s="3" t="s">
        <v>13</v>
      </c>
      <c r="J724" s="3" t="s">
        <v>666</v>
      </c>
      <c r="K724" s="3" t="s">
        <v>644</v>
      </c>
      <c r="L724" s="3" t="str">
        <f>IFERROR(__xludf.DUMMYFUNCTION("GOOGLETRANSLATE(F724,""id"",""en"")"),"the best world cup final")</f>
        <v>the best world cup final</v>
      </c>
    </row>
    <row r="725" ht="15.75" customHeight="1">
      <c r="A725" s="1">
        <v>724.0</v>
      </c>
      <c r="B725" s="3" t="s">
        <v>2270</v>
      </c>
      <c r="C725" s="3">
        <v>0.0</v>
      </c>
      <c r="D725" s="3">
        <v>0.0</v>
      </c>
      <c r="E725" s="3">
        <v>1.0</v>
      </c>
      <c r="F725" s="3" t="s">
        <v>2271</v>
      </c>
      <c r="G725" s="3">
        <v>0.8888888888888888</v>
      </c>
      <c r="H725" s="3">
        <v>0.1111111111111111</v>
      </c>
      <c r="I725" s="3" t="s">
        <v>48</v>
      </c>
      <c r="J725" s="3" t="s">
        <v>2272</v>
      </c>
      <c r="K725" s="3" t="s">
        <v>675</v>
      </c>
      <c r="L725" s="3" t="str">
        <f>IFERROR(__xludf.DUMMYFUNCTION("GOOGLETRANSLATE(F725,""id"",""en"")"),"Argentina lost to the final joining until I could support my support team to lose the final first champion Copa America Super Cup and the World Cup Yeahh The Waiting Over Vamos Albiceleste")</f>
        <v>Argentina lost to the final joining until I could support my support team to lose the final first champion Copa America Super Cup and the World Cup Yeahh The Waiting Over Vamos Albiceleste</v>
      </c>
    </row>
    <row r="726" ht="15.75" customHeight="1">
      <c r="A726" s="1">
        <v>725.0</v>
      </c>
      <c r="B726" s="3" t="s">
        <v>2273</v>
      </c>
      <c r="C726" s="3">
        <v>0.0</v>
      </c>
      <c r="D726" s="3">
        <v>0.0</v>
      </c>
      <c r="E726" s="3">
        <v>0.0</v>
      </c>
      <c r="F726" s="3" t="s">
        <v>2274</v>
      </c>
      <c r="G726" s="3">
        <v>1.0</v>
      </c>
      <c r="H726" s="3">
        <v>0.0</v>
      </c>
      <c r="I726" s="3" t="s">
        <v>13</v>
      </c>
      <c r="J726" s="3" t="s">
        <v>2275</v>
      </c>
      <c r="K726" s="3" t="s">
        <v>244</v>
      </c>
      <c r="L726" s="3" t="str">
        <f>IFERROR(__xludf.DUMMYFUNCTION("GOOGLETRANSLATE(F726,""id"",""en"")"),"It's cool, mbap at that age, I have felt the World Cup Final")</f>
        <v>It's cool, mbap at that age, I have felt the World Cup Final</v>
      </c>
    </row>
    <row r="727" ht="15.75" customHeight="1">
      <c r="A727" s="1">
        <v>726.0</v>
      </c>
      <c r="B727" s="3" t="s">
        <v>2276</v>
      </c>
      <c r="C727" s="3">
        <v>0.0</v>
      </c>
      <c r="D727" s="3">
        <v>0.0</v>
      </c>
      <c r="E727" s="3">
        <v>1.0</v>
      </c>
      <c r="F727" s="3" t="s">
        <v>2277</v>
      </c>
      <c r="G727" s="3">
        <v>1.0</v>
      </c>
      <c r="H727" s="3">
        <v>0.0</v>
      </c>
      <c r="I727" s="3" t="s">
        <v>13</v>
      </c>
      <c r="J727" s="3" t="s">
        <v>2278</v>
      </c>
      <c r="K727" s="3" t="s">
        <v>71</v>
      </c>
      <c r="L727" s="3" t="str">
        <f>IFERROR(__xludf.DUMMYFUNCTION("GOOGLETRANSLATE(F727,""id"",""en"")"),"Cuyyyy we all became a living witness from the best World Cup final match ever in the Champions")</f>
        <v>Cuyyyy we all became a living witness from the best World Cup final match ever in the Champions</v>
      </c>
    </row>
    <row r="728" ht="15.75" customHeight="1">
      <c r="A728" s="1">
        <v>727.0</v>
      </c>
      <c r="B728" s="3" t="s">
        <v>2279</v>
      </c>
      <c r="C728" s="3">
        <v>1.0</v>
      </c>
      <c r="D728" s="3">
        <v>0.0</v>
      </c>
      <c r="E728" s="3">
        <v>1.0</v>
      </c>
      <c r="F728" s="3" t="s">
        <v>2280</v>
      </c>
      <c r="G728" s="3">
        <v>1.0</v>
      </c>
      <c r="H728" s="3">
        <v>0.0</v>
      </c>
      <c r="I728" s="3" t="s">
        <v>13</v>
      </c>
      <c r="J728" s="3" t="s">
        <v>2281</v>
      </c>
      <c r="K728" s="3" t="s">
        <v>236</v>
      </c>
      <c r="L728" s="3" t="str">
        <f>IFERROR(__xludf.DUMMYFUNCTION("GOOGLETRANSLATE(F728,""id"",""en"")"),"The best final has watched and one of the world's world cups has ever existed")</f>
        <v>The best final has watched and one of the world's world cups has ever existed</v>
      </c>
    </row>
    <row r="729" ht="15.75" customHeight="1">
      <c r="A729" s="1">
        <v>728.0</v>
      </c>
      <c r="B729" s="3" t="s">
        <v>2282</v>
      </c>
      <c r="C729" s="3">
        <v>0.0</v>
      </c>
      <c r="D729" s="3">
        <v>0.0</v>
      </c>
      <c r="E729" s="3">
        <v>0.0</v>
      </c>
      <c r="F729" s="3" t="s">
        <v>2283</v>
      </c>
      <c r="G729" s="3">
        <v>1.0</v>
      </c>
      <c r="H729" s="3">
        <v>0.0</v>
      </c>
      <c r="I729" s="3" t="s">
        <v>13</v>
      </c>
      <c r="J729" s="3" t="s">
        <v>2284</v>
      </c>
      <c r="K729" s="3" t="s">
        <v>35</v>
      </c>
      <c r="L729" s="3" t="str">
        <f>IFERROR(__xludf.DUMMYFUNCTION("GOOGLETRANSLATE(F729,""id"",""en"")"),"The final world cup final until complete heart must be strong seeing the final this time")</f>
        <v>The final world cup final until complete heart must be strong seeing the final this time</v>
      </c>
    </row>
    <row r="730" ht="15.75" customHeight="1">
      <c r="A730" s="1">
        <v>729.0</v>
      </c>
      <c r="B730" s="3" t="s">
        <v>2285</v>
      </c>
      <c r="C730" s="3">
        <v>0.0</v>
      </c>
      <c r="D730" s="3">
        <v>0.0</v>
      </c>
      <c r="E730" s="3">
        <v>0.0</v>
      </c>
      <c r="F730" s="3" t="s">
        <v>2286</v>
      </c>
      <c r="G730" s="3">
        <v>1.0</v>
      </c>
      <c r="H730" s="3">
        <v>0.0</v>
      </c>
      <c r="I730" s="3" t="s">
        <v>13</v>
      </c>
      <c r="J730" s="3" t="s">
        <v>916</v>
      </c>
      <c r="K730" s="3" t="s">
        <v>54</v>
      </c>
      <c r="L730" s="3" t="str">
        <f>IFERROR(__xludf.DUMMYFUNCTION("GOOGLETRANSLATE(F730,""id"",""en"")"),"This is the best World Cup Final I have ever watched")</f>
        <v>This is the best World Cup Final I have ever watched</v>
      </c>
    </row>
    <row r="731" ht="15.75" customHeight="1">
      <c r="A731" s="1">
        <v>730.0</v>
      </c>
      <c r="B731" s="3" t="s">
        <v>2287</v>
      </c>
      <c r="C731" s="3">
        <v>0.0</v>
      </c>
      <c r="D731" s="3">
        <v>0.0</v>
      </c>
      <c r="E731" s="3">
        <v>1.0</v>
      </c>
      <c r="F731" s="3" t="s">
        <v>2288</v>
      </c>
      <c r="G731" s="3">
        <v>0.65</v>
      </c>
      <c r="H731" s="3">
        <v>0.5</v>
      </c>
      <c r="I731" s="3" t="s">
        <v>48</v>
      </c>
      <c r="J731" s="3" t="s">
        <v>2289</v>
      </c>
      <c r="K731" s="3" t="s">
        <v>19</v>
      </c>
      <c r="L731" s="3" t="str">
        <f>IFERROR(__xludf.DUMMYFUNCTION("GOOGLETRANSLATE(F731,""id"",""en"")"),"The Best Final of the Qatar World Cup Country The Best Congrats for Argentina")</f>
        <v>The Best Final of the Qatar World Cup Country The Best Congrats for Argentina</v>
      </c>
    </row>
    <row r="732" ht="15.75" customHeight="1">
      <c r="A732" s="1">
        <v>731.0</v>
      </c>
      <c r="B732" s="3" t="s">
        <v>2290</v>
      </c>
      <c r="C732" s="3">
        <v>0.0</v>
      </c>
      <c r="D732" s="3">
        <v>0.0</v>
      </c>
      <c r="E732" s="3">
        <v>0.0</v>
      </c>
      <c r="F732" s="3" t="s">
        <v>2291</v>
      </c>
      <c r="G732" s="3">
        <v>0.7666666666666666</v>
      </c>
      <c r="H732" s="3">
        <v>0.3333333333333333</v>
      </c>
      <c r="I732" s="3" t="s">
        <v>48</v>
      </c>
      <c r="J732" s="3" t="s">
        <v>2292</v>
      </c>
      <c r="K732" s="3" t="s">
        <v>1157</v>
      </c>
      <c r="L732" s="3" t="str">
        <f>IFERROR(__xludf.DUMMYFUNCTION("GOOGLETRANSLATE(F732,""id"",""en"")"),"Lack of understanding football since the last time of time often outube watching concerts but every world cup must follow especially final because we are witnesses one of the world history will not die the world of the world cup")</f>
        <v>Lack of understanding football since the last time of time often outube watching concerts but every world cup must follow especially final because we are witnesses one of the world history will not die the world of the world cup</v>
      </c>
    </row>
    <row r="733" ht="15.75" customHeight="1">
      <c r="A733" s="1">
        <v>732.0</v>
      </c>
      <c r="B733" s="3" t="s">
        <v>2293</v>
      </c>
      <c r="C733" s="3">
        <v>1.0</v>
      </c>
      <c r="D733" s="3">
        <v>0.0</v>
      </c>
      <c r="E733" s="3">
        <v>1.0</v>
      </c>
      <c r="F733" s="3" t="s">
        <v>2294</v>
      </c>
      <c r="G733" s="3">
        <v>0.6666666666666666</v>
      </c>
      <c r="H733" s="3">
        <v>0.2666666666666667</v>
      </c>
      <c r="I733" s="3" t="s">
        <v>48</v>
      </c>
      <c r="J733" s="3" t="s">
        <v>2295</v>
      </c>
      <c r="K733" s="3" t="s">
        <v>675</v>
      </c>
      <c r="L733" s="3" t="str">
        <f>IFERROR(__xludf.DUMMYFUNCTION("GOOGLETRANSLATE(F733,""id"",""en"")"),"The process to be successful and happy ending is not easy to fail to fail from several finals both the Copa and the World Cup to surrender and return to Bounce Back and in the first title and then the finalisma Troph")</f>
        <v>The process to be successful and happy ending is not easy to fail to fail from several finals both the Copa and the World Cup to surrender and return to Bounce Back and in the first title and then the finalisma Troph</v>
      </c>
    </row>
    <row r="734" ht="15.75" customHeight="1">
      <c r="A734" s="1">
        <v>733.0</v>
      </c>
      <c r="B734" s="3" t="s">
        <v>2296</v>
      </c>
      <c r="C734" s="3">
        <v>0.0</v>
      </c>
      <c r="D734" s="3">
        <v>0.0</v>
      </c>
      <c r="E734" s="3">
        <v>0.0</v>
      </c>
      <c r="F734" s="3" t="s">
        <v>2297</v>
      </c>
      <c r="G734" s="3">
        <v>1.0</v>
      </c>
      <c r="H734" s="3">
        <v>0.0</v>
      </c>
      <c r="I734" s="3" t="s">
        <v>13</v>
      </c>
      <c r="J734" s="3" t="s">
        <v>2298</v>
      </c>
      <c r="K734" s="3" t="s">
        <v>50</v>
      </c>
      <c r="L734" s="3" t="str">
        <f>IFERROR(__xludf.DUMMYFUNCTION("GOOGLETRANSLATE(F734,""id"",""en"")"),"I after watching the World Cup final, sorry for Mbappe to carry France")</f>
        <v>I after watching the World Cup final, sorry for Mbappe to carry France</v>
      </c>
    </row>
    <row r="735" ht="15.75" customHeight="1">
      <c r="A735" s="1">
        <v>734.0</v>
      </c>
      <c r="B735" s="3" t="s">
        <v>2299</v>
      </c>
      <c r="C735" s="3">
        <v>0.0</v>
      </c>
      <c r="D735" s="3">
        <v>0.0</v>
      </c>
      <c r="E735" s="3">
        <v>0.0</v>
      </c>
      <c r="F735" s="3" t="s">
        <v>2300</v>
      </c>
      <c r="G735" s="3">
        <v>1.0</v>
      </c>
      <c r="H735" s="3">
        <v>0.0</v>
      </c>
      <c r="I735" s="3" t="s">
        <v>13</v>
      </c>
      <c r="J735" s="3" t="s">
        <v>2301</v>
      </c>
      <c r="K735" s="3" t="s">
        <v>75</v>
      </c>
      <c r="L735" s="3" t="str">
        <f>IFERROR(__xludf.DUMMYFUNCTION("GOOGLETRANSLATE(F735,""id"",""en"")"),"So one of the World Cup finals that will always be discussed for the future")</f>
        <v>So one of the World Cup finals that will always be discussed for the future</v>
      </c>
    </row>
    <row r="736" ht="15.75" customHeight="1">
      <c r="A736" s="1">
        <v>735.0</v>
      </c>
      <c r="B736" s="3" t="s">
        <v>2302</v>
      </c>
      <c r="C736" s="3">
        <v>0.0</v>
      </c>
      <c r="D736" s="3">
        <v>0.0</v>
      </c>
      <c r="E736" s="3">
        <v>0.0</v>
      </c>
      <c r="F736" s="3" t="s">
        <v>2303</v>
      </c>
      <c r="G736" s="3">
        <v>1.0</v>
      </c>
      <c r="H736" s="3">
        <v>0.0</v>
      </c>
      <c r="I736" s="3" t="s">
        <v>13</v>
      </c>
      <c r="J736" s="3" t="s">
        <v>2304</v>
      </c>
      <c r="K736" s="3" t="s">
        <v>82</v>
      </c>
      <c r="L736" s="3" t="str">
        <f>IFERROR(__xludf.DUMMYFUNCTION("GOOGLETRANSLATE(F736,""id"",""en"")"),"Gokilll Sihh this is the only class of the World Cup")</f>
        <v>Gokilll Sihh this is the only class of the World Cup</v>
      </c>
    </row>
    <row r="737" ht="15.75" customHeight="1">
      <c r="A737" s="1">
        <v>736.0</v>
      </c>
      <c r="B737" s="3" t="s">
        <v>2305</v>
      </c>
      <c r="C737" s="3">
        <v>1.0</v>
      </c>
      <c r="D737" s="3">
        <v>0.0</v>
      </c>
      <c r="E737" s="3">
        <v>17.0</v>
      </c>
      <c r="F737" s="3" t="s">
        <v>2306</v>
      </c>
      <c r="G737" s="3">
        <v>1.0</v>
      </c>
      <c r="H737" s="3">
        <v>0.0</v>
      </c>
      <c r="I737" s="3" t="s">
        <v>13</v>
      </c>
      <c r="J737" s="3" t="s">
        <v>2307</v>
      </c>
      <c r="K737" s="3" t="s">
        <v>35</v>
      </c>
      <c r="L737" s="3" t="str">
        <f>IFERROR(__xludf.DUMMYFUNCTION("GOOGLETRANSLATE(F737,""id"",""en"")"),"when Ronaldo will be the best player in the World Cup when can bring Portugal to the final pildun")</f>
        <v>when Ronaldo will be the best player in the World Cup when can bring Portugal to the final pildun</v>
      </c>
    </row>
    <row r="738" ht="15.75" customHeight="1">
      <c r="A738" s="1">
        <v>737.0</v>
      </c>
      <c r="B738" s="3" t="s">
        <v>2308</v>
      </c>
      <c r="C738" s="3">
        <v>0.0</v>
      </c>
      <c r="D738" s="3">
        <v>0.0</v>
      </c>
      <c r="E738" s="3">
        <v>0.0</v>
      </c>
      <c r="F738" s="3" t="s">
        <v>2309</v>
      </c>
      <c r="G738" s="3">
        <v>1.0</v>
      </c>
      <c r="H738" s="3">
        <v>0.0</v>
      </c>
      <c r="I738" s="3" t="s">
        <v>13</v>
      </c>
      <c r="J738" s="3" t="s">
        <v>2310</v>
      </c>
      <c r="K738" s="3" t="s">
        <v>35</v>
      </c>
      <c r="L738" s="3" t="str">
        <f>IFERROR(__xludf.DUMMYFUNCTION("GOOGLETRANSLATE(F738,""id"",""en"")"),"During watching the World Cup final from this year is the best final of Argentina Congrats")</f>
        <v>During watching the World Cup final from this year is the best final of Argentina Congrats</v>
      </c>
    </row>
    <row r="739" ht="15.75" customHeight="1">
      <c r="A739" s="1">
        <v>738.0</v>
      </c>
      <c r="B739" s="3" t="s">
        <v>2311</v>
      </c>
      <c r="C739" s="3">
        <v>0.0</v>
      </c>
      <c r="D739" s="3">
        <v>0.0</v>
      </c>
      <c r="E739" s="3">
        <v>0.0</v>
      </c>
      <c r="F739" s="3" t="s">
        <v>2312</v>
      </c>
      <c r="G739" s="3">
        <v>1.0</v>
      </c>
      <c r="H739" s="3">
        <v>0.0</v>
      </c>
      <c r="I739" s="3" t="s">
        <v>13</v>
      </c>
      <c r="J739" s="3" t="s">
        <v>2313</v>
      </c>
      <c r="K739" s="3" t="s">
        <v>491</v>
      </c>
      <c r="L739" s="3" t="str">
        <f>IFERROR(__xludf.DUMMYFUNCTION("GOOGLETRANSLATE(F739,""id"",""en"")"),"Erick Thohir Champion Argentina World Cup Final Why many of our officials support Argentina there is an answer to the Argentina Congrates")</f>
        <v>Erick Thohir Champion Argentina World Cup Final Why many of our officials support Argentina there is an answer to the Argentina Congrates</v>
      </c>
    </row>
    <row r="740" ht="15.75" customHeight="1">
      <c r="A740" s="1">
        <v>739.0</v>
      </c>
      <c r="B740" s="3" t="s">
        <v>2314</v>
      </c>
      <c r="C740" s="3">
        <v>0.0</v>
      </c>
      <c r="D740" s="3">
        <v>2.0</v>
      </c>
      <c r="E740" s="3">
        <v>14.0</v>
      </c>
      <c r="F740" s="3" t="s">
        <v>2315</v>
      </c>
      <c r="G740" s="3">
        <v>1.0</v>
      </c>
      <c r="H740" s="3">
        <v>0.0</v>
      </c>
      <c r="I740" s="3" t="s">
        <v>13</v>
      </c>
      <c r="J740" s="3" t="s">
        <v>2316</v>
      </c>
      <c r="K740" s="3" t="s">
        <v>50</v>
      </c>
      <c r="L740" s="3" t="str">
        <f>IFERROR(__xludf.DUMMYFUNCTION("GOOGLETRANSLATE(F740,""id"",""en"")"),"Kylian Mbappe became a player in the history of the World Cup Final who managed to score a hat trick")</f>
        <v>Kylian Mbappe became a player in the history of the World Cup Final who managed to score a hat trick</v>
      </c>
    </row>
    <row r="741" ht="15.75" customHeight="1">
      <c r="A741" s="1">
        <v>740.0</v>
      </c>
      <c r="B741" s="3" t="s">
        <v>2317</v>
      </c>
      <c r="C741" s="3">
        <v>0.0</v>
      </c>
      <c r="D741" s="3">
        <v>0.0</v>
      </c>
      <c r="E741" s="3">
        <v>0.0</v>
      </c>
      <c r="F741" s="3" t="s">
        <v>2318</v>
      </c>
      <c r="G741" s="3">
        <v>1.0</v>
      </c>
      <c r="H741" s="3">
        <v>0.0</v>
      </c>
      <c r="I741" s="3" t="s">
        <v>13</v>
      </c>
      <c r="J741" s="3" t="s">
        <v>2319</v>
      </c>
      <c r="K741" s="3" t="s">
        <v>82</v>
      </c>
      <c r="L741" s="3" t="str">
        <f>IFERROR(__xludf.DUMMYFUNCTION("GOOGLETRANSLATE(F741,""id"",""en"")"),"This year's World Cup Final Dominated PSG Players")</f>
        <v>This year's World Cup Final Dominated PSG Players</v>
      </c>
    </row>
    <row r="742" ht="15.75" customHeight="1">
      <c r="A742" s="1">
        <v>741.0</v>
      </c>
      <c r="B742" s="3" t="s">
        <v>2320</v>
      </c>
      <c r="C742" s="3">
        <v>0.0</v>
      </c>
      <c r="D742" s="3">
        <v>0.0</v>
      </c>
      <c r="E742" s="3">
        <v>0.0</v>
      </c>
      <c r="F742" s="3" t="s">
        <v>2321</v>
      </c>
      <c r="G742" s="3">
        <v>0.65</v>
      </c>
      <c r="H742" s="3">
        <v>0.1</v>
      </c>
      <c r="I742" s="3" t="s">
        <v>48</v>
      </c>
      <c r="J742" s="3" t="s">
        <v>2322</v>
      </c>
      <c r="K742" s="3" t="s">
        <v>510</v>
      </c>
      <c r="L742" s="3" t="str">
        <f>IFERROR(__xludf.DUMMYFUNCTION("GOOGLETRANSLATE(F742,""id"",""en"")"),"One of the best World Cup finals while following the event especially Lisandro Martinez Champion Haha")</f>
        <v>One of the best World Cup finals while following the event especially Lisandro Martinez Champion Haha</v>
      </c>
    </row>
    <row r="743" ht="15.75" customHeight="1">
      <c r="A743" s="1">
        <v>742.0</v>
      </c>
      <c r="B743" s="3" t="s">
        <v>2323</v>
      </c>
      <c r="C743" s="3">
        <v>1.0</v>
      </c>
      <c r="D743" s="3">
        <v>10.0</v>
      </c>
      <c r="E743" s="3">
        <v>54.0</v>
      </c>
      <c r="F743" s="3" t="s">
        <v>2324</v>
      </c>
      <c r="G743" s="3">
        <v>1.0</v>
      </c>
      <c r="H743" s="3">
        <v>0.0</v>
      </c>
      <c r="I743" s="3" t="s">
        <v>13</v>
      </c>
      <c r="J743" s="3" t="s">
        <v>2325</v>
      </c>
      <c r="K743" s="3" t="s">
        <v>1097</v>
      </c>
      <c r="L743" s="3" t="str">
        <f>IFERROR(__xludf.DUMMYFUNCTION("GOOGLETRANSLATE(F743,""id"",""en"")"),"The final goal goal throughout the tournament has been named the World Cup top scorer")</f>
        <v>The final goal goal throughout the tournament has been named the World Cup top scorer</v>
      </c>
    </row>
    <row r="744" ht="15.75" customHeight="1">
      <c r="A744" s="1">
        <v>743.0</v>
      </c>
      <c r="B744" s="3" t="s">
        <v>2326</v>
      </c>
      <c r="C744" s="3">
        <v>0.0</v>
      </c>
      <c r="D744" s="3">
        <v>0.0</v>
      </c>
      <c r="E744" s="3">
        <v>1.0</v>
      </c>
      <c r="F744" s="3" t="s">
        <v>2327</v>
      </c>
      <c r="G744" s="3">
        <v>1.0</v>
      </c>
      <c r="H744" s="3">
        <v>0.0</v>
      </c>
      <c r="I744" s="3" t="s">
        <v>13</v>
      </c>
      <c r="J744" s="3" t="s">
        <v>2328</v>
      </c>
      <c r="K744" s="3" t="s">
        <v>82</v>
      </c>
      <c r="L744" s="3" t="str">
        <f>IFERROR(__xludf.DUMMYFUNCTION("GOOGLETRANSLATE(F744,""id"",""en"")"),"World Cup Final The Most Sensational Congratulations Argentina")</f>
        <v>World Cup Final The Most Sensational Congratulations Argentina</v>
      </c>
    </row>
    <row r="745" ht="15.75" customHeight="1">
      <c r="A745" s="1">
        <v>744.0</v>
      </c>
      <c r="B745" s="3" t="s">
        <v>2329</v>
      </c>
      <c r="C745" s="3">
        <v>0.0</v>
      </c>
      <c r="D745" s="3">
        <v>0.0</v>
      </c>
      <c r="E745" s="3">
        <v>0.0</v>
      </c>
      <c r="F745" s="3" t="s">
        <v>2330</v>
      </c>
      <c r="G745" s="3">
        <v>1.0</v>
      </c>
      <c r="H745" s="3">
        <v>0.0</v>
      </c>
      <c r="I745" s="3" t="s">
        <v>13</v>
      </c>
      <c r="J745" s="3" t="s">
        <v>2331</v>
      </c>
      <c r="K745" s="3" t="s">
        <v>71</v>
      </c>
      <c r="L745" s="3" t="str">
        <f>IFERROR(__xludf.DUMMYFUNCTION("GOOGLETRANSLATE(F745,""id"",""en"")"),"Thank you, Qatar World Cup, especially Argentina Final France, exciting, PERTIH GOKIL GOKKKS GOKKS")</f>
        <v>Thank you, Qatar World Cup, especially Argentina Final France, exciting, PERTIH GOKIL GOKKKS GOKKS</v>
      </c>
    </row>
    <row r="746" ht="15.75" customHeight="1">
      <c r="A746" s="1">
        <v>745.0</v>
      </c>
      <c r="B746" s="3" t="s">
        <v>2332</v>
      </c>
      <c r="C746" s="3">
        <v>0.0</v>
      </c>
      <c r="D746" s="3">
        <v>0.0</v>
      </c>
      <c r="E746" s="3">
        <v>5.0</v>
      </c>
      <c r="F746" s="3" t="s">
        <v>2333</v>
      </c>
      <c r="G746" s="3">
        <v>0.7666666666666666</v>
      </c>
      <c r="H746" s="3">
        <v>0.06666666666666667</v>
      </c>
      <c r="I746" s="3" t="s">
        <v>48</v>
      </c>
      <c r="J746" s="3" t="s">
        <v>2334</v>
      </c>
      <c r="K746" s="3" t="s">
        <v>1652</v>
      </c>
      <c r="L746" s="3" t="str">
        <f>IFERROR(__xludf.DUMMYFUNCTION("GOOGLETRANSLATE(F746,""id"",""en"")"),"Lawas lost to the final time Coppa America lost the World Cup final almost retired and everything paid off by winning the Coppa and the World Cup of The Real Goat")</f>
        <v>Lawas lost to the final time Coppa America lost the World Cup final almost retired and everything paid off by winning the Coppa and the World Cup of The Real Goat</v>
      </c>
    </row>
    <row r="747" ht="15.75" customHeight="1">
      <c r="A747" s="1">
        <v>746.0</v>
      </c>
      <c r="B747" s="3" t="s">
        <v>2335</v>
      </c>
      <c r="C747" s="3">
        <v>0.0</v>
      </c>
      <c r="D747" s="3">
        <v>0.0</v>
      </c>
      <c r="E747" s="3">
        <v>0.0</v>
      </c>
      <c r="F747" s="3" t="s">
        <v>2336</v>
      </c>
      <c r="G747" s="3">
        <v>1.0</v>
      </c>
      <c r="H747" s="3">
        <v>0.0</v>
      </c>
      <c r="I747" s="3" t="s">
        <v>13</v>
      </c>
      <c r="J747" s="3" t="s">
        <v>2337</v>
      </c>
      <c r="K747" s="3" t="s">
        <v>15</v>
      </c>
      <c r="L747" s="3" t="str">
        <f>IFERROR(__xludf.DUMMYFUNCTION("GOOGLETRANSLATE(F747,""id"",""en"")"),"The World Cup Final was shocked throughout my career to breathe as a human")</f>
        <v>The World Cup Final was shocked throughout my career to breathe as a human</v>
      </c>
    </row>
    <row r="748" ht="15.75" customHeight="1">
      <c r="A748" s="1">
        <v>747.0</v>
      </c>
      <c r="B748" s="3" t="s">
        <v>2338</v>
      </c>
      <c r="C748" s="3">
        <v>1.0</v>
      </c>
      <c r="D748" s="3">
        <v>1.0</v>
      </c>
      <c r="E748" s="3">
        <v>0.0</v>
      </c>
      <c r="F748" s="3" t="s">
        <v>2339</v>
      </c>
      <c r="G748" s="3">
        <v>1.0</v>
      </c>
      <c r="H748" s="3">
        <v>0.0</v>
      </c>
      <c r="I748" s="3" t="s">
        <v>13</v>
      </c>
      <c r="J748" s="3" t="s">
        <v>2340</v>
      </c>
      <c r="K748" s="3" t="s">
        <v>2341</v>
      </c>
      <c r="L748" s="3" t="str">
        <f>IFERROR(__xludf.DUMMYFUNCTION("GOOGLETRANSLATE(F748,""id"",""en"")"),"Understanding the ball from the year already the World Cup final edition of the watching became the most exciting final following the South African World Cup Germany World Cup Brazilian World Cup and which is not exciting")</f>
        <v>Understanding the ball from the year already the World Cup final edition of the watching became the most exciting final following the South African World Cup Germany World Cup Brazilian World Cup and which is not exciting</v>
      </c>
    </row>
    <row r="749" ht="15.75" customHeight="1">
      <c r="A749" s="1">
        <v>748.0</v>
      </c>
      <c r="B749" s="3" t="s">
        <v>2342</v>
      </c>
      <c r="C749" s="3">
        <v>0.0</v>
      </c>
      <c r="D749" s="3">
        <v>0.0</v>
      </c>
      <c r="E749" s="3">
        <v>0.0</v>
      </c>
      <c r="F749" s="3" t="s">
        <v>2343</v>
      </c>
      <c r="G749" s="3">
        <v>0.65</v>
      </c>
      <c r="H749" s="3">
        <v>0.5</v>
      </c>
      <c r="I749" s="3" t="s">
        <v>48</v>
      </c>
      <c r="J749" s="3" t="s">
        <v>2344</v>
      </c>
      <c r="K749" s="3" t="s">
        <v>172</v>
      </c>
      <c r="L749" s="3" t="str">
        <f>IFERROR(__xludf.DUMMYFUNCTION("GOOGLETRANSLATE(F749,""id"",""en"")"),"The Best World Cup Ever Hattrick of the Heart Adrenaline Final Match Continue Pacu Not Argentina Fans Want Leo to Win the World Cup finally Messi won the Gakan trophy ever won")</f>
        <v>The Best World Cup Ever Hattrick of the Heart Adrenaline Final Match Continue Pacu Not Argentina Fans Want Leo to Win the World Cup finally Messi won the Gakan trophy ever won</v>
      </c>
    </row>
    <row r="750" ht="15.75" customHeight="1">
      <c r="A750" s="1">
        <v>749.0</v>
      </c>
      <c r="B750" s="3" t="s">
        <v>2345</v>
      </c>
      <c r="C750" s="3">
        <v>0.0</v>
      </c>
      <c r="D750" s="3">
        <v>0.0</v>
      </c>
      <c r="E750" s="3">
        <v>0.0</v>
      </c>
      <c r="F750" s="3" t="s">
        <v>2346</v>
      </c>
      <c r="G750" s="3">
        <v>1.0</v>
      </c>
      <c r="H750" s="3">
        <v>0.0</v>
      </c>
      <c r="I750" s="3" t="s">
        <v>13</v>
      </c>
      <c r="J750" s="3" t="s">
        <v>2347</v>
      </c>
      <c r="K750" s="3" t="s">
        <v>15</v>
      </c>
      <c r="L750" s="3" t="str">
        <f>IFERROR(__xludf.DUMMYFUNCTION("GOOGLETRANSLATE(F750,""id"",""en"")"),"The Best Final Match of the Extraordinary World Cup Championship")</f>
        <v>The Best Final Match of the Extraordinary World Cup Championship</v>
      </c>
    </row>
    <row r="751" ht="15.75" customHeight="1">
      <c r="A751" s="1">
        <v>750.0</v>
      </c>
      <c r="B751" s="3" t="s">
        <v>2348</v>
      </c>
      <c r="C751" s="3">
        <v>0.0</v>
      </c>
      <c r="D751" s="3">
        <v>0.0</v>
      </c>
      <c r="E751" s="3">
        <v>0.0</v>
      </c>
      <c r="F751" s="3" t="s">
        <v>2349</v>
      </c>
      <c r="G751" s="3">
        <v>1.0</v>
      </c>
      <c r="H751" s="3">
        <v>0.03333333333333333</v>
      </c>
      <c r="I751" s="3" t="s">
        <v>48</v>
      </c>
      <c r="J751" s="3" t="s">
        <v>2350</v>
      </c>
      <c r="K751" s="3" t="s">
        <v>1097</v>
      </c>
      <c r="L751" s="3" t="str">
        <f>IFERROR(__xludf.DUMMYFUNCTION("GOOGLETRANSLATE(F751,""id"",""en"")"),"The World Cup Final is the best final I have ever watched Far")</f>
        <v>The World Cup Final is the best final I have ever watched Far</v>
      </c>
    </row>
    <row r="752" ht="15.75" customHeight="1">
      <c r="A752" s="1">
        <v>751.0</v>
      </c>
      <c r="B752" s="3" t="s">
        <v>2351</v>
      </c>
      <c r="C752" s="3">
        <v>0.0</v>
      </c>
      <c r="D752" s="3">
        <v>0.0</v>
      </c>
      <c r="E752" s="3">
        <v>0.0</v>
      </c>
      <c r="F752" s="3" t="s">
        <v>2352</v>
      </c>
      <c r="G752" s="3">
        <v>1.0</v>
      </c>
      <c r="H752" s="3">
        <v>0.0</v>
      </c>
      <c r="I752" s="3" t="s">
        <v>13</v>
      </c>
      <c r="J752" s="3" t="s">
        <v>2353</v>
      </c>
      <c r="K752" s="3" t="s">
        <v>437</v>
      </c>
      <c r="L752" s="3" t="str">
        <f>IFERROR(__xludf.DUMMYFUNCTION("GOOGLETRANSLATE(F752,""id"",""en"")"),"Mbappe still doesn't have medicine, the year of the World Cup Final Hattrick Print for Messi remains in his long dream")</f>
        <v>Mbappe still doesn't have medicine, the year of the World Cup Final Hattrick Print for Messi remains in his long dream</v>
      </c>
    </row>
    <row r="753" ht="15.75" customHeight="1">
      <c r="A753" s="1">
        <v>752.0</v>
      </c>
      <c r="B753" s="3" t="s">
        <v>2354</v>
      </c>
      <c r="C753" s="3">
        <v>0.0</v>
      </c>
      <c r="D753" s="3">
        <v>0.0</v>
      </c>
      <c r="E753" s="3">
        <v>0.0</v>
      </c>
      <c r="F753" s="3" t="s">
        <v>2355</v>
      </c>
      <c r="G753" s="3">
        <v>1.0</v>
      </c>
      <c r="H753" s="3">
        <v>0.0</v>
      </c>
      <c r="I753" s="3" t="s">
        <v>13</v>
      </c>
      <c r="J753" s="3" t="s">
        <v>2356</v>
      </c>
      <c r="K753" s="3" t="s">
        <v>41</v>
      </c>
      <c r="L753" s="3" t="str">
        <f>IFERROR(__xludf.DUMMYFUNCTION("GOOGLETRANSLATE(F753,""id"",""en"")"),"The Coolest World Cup Final in History Congratulations for Argentina")</f>
        <v>The Coolest World Cup Final in History Congratulations for Argentina</v>
      </c>
    </row>
    <row r="754" ht="15.75" customHeight="1">
      <c r="A754" s="1">
        <v>753.0</v>
      </c>
      <c r="B754" s="3" t="s">
        <v>2357</v>
      </c>
      <c r="C754" s="3">
        <v>2.0</v>
      </c>
      <c r="D754" s="3">
        <v>1.0</v>
      </c>
      <c r="E754" s="3">
        <v>15.0</v>
      </c>
      <c r="F754" s="3" t="s">
        <v>2358</v>
      </c>
      <c r="G754" s="3">
        <v>1.0</v>
      </c>
      <c r="H754" s="3">
        <v>0.0</v>
      </c>
      <c r="I754" s="3" t="s">
        <v>13</v>
      </c>
      <c r="J754" s="3" t="s">
        <v>2359</v>
      </c>
      <c r="K754" s="3" t="s">
        <v>603</v>
      </c>
      <c r="L754" s="3" t="str">
        <f>IFERROR(__xludf.DUMMYFUNCTION("GOOGLETRANSLATE(F754,""id"",""en"")"),"The Argentine national team came out as the World Cup champion after Albiceleste conquered the French national team in the World Cup final with a score through penalties after a draw for minutes")</f>
        <v>The Argentine national team came out as the World Cup champion after Albiceleste conquered the French national team in the World Cup final with a score through penalties after a draw for minutes</v>
      </c>
    </row>
    <row r="755" ht="15.75" customHeight="1">
      <c r="A755" s="1">
        <v>754.0</v>
      </c>
      <c r="B755" s="3" t="s">
        <v>2360</v>
      </c>
      <c r="C755" s="3">
        <v>0.0</v>
      </c>
      <c r="D755" s="3">
        <v>0.0</v>
      </c>
      <c r="E755" s="3">
        <v>0.0</v>
      </c>
      <c r="F755" s="3" t="s">
        <v>2361</v>
      </c>
      <c r="G755" s="3">
        <v>1.0</v>
      </c>
      <c r="H755" s="3">
        <v>0.0</v>
      </c>
      <c r="I755" s="3" t="s">
        <v>13</v>
      </c>
      <c r="J755" s="3" t="s">
        <v>2362</v>
      </c>
      <c r="K755" s="3" t="s">
        <v>71</v>
      </c>
      <c r="L755" s="3" t="str">
        <f>IFERROR(__xludf.DUMMYFUNCTION("GOOGLETRANSLATE(F755,""id"",""en"")"),"This year's World Cup Oath from Group to Final Final All Many Plot Twist is grateful")</f>
        <v>This year's World Cup Oath from Group to Final Final All Many Plot Twist is grateful</v>
      </c>
    </row>
    <row r="756" ht="15.75" customHeight="1">
      <c r="A756" s="1">
        <v>755.0</v>
      </c>
      <c r="B756" s="3" t="s">
        <v>2363</v>
      </c>
      <c r="C756" s="3">
        <v>0.0</v>
      </c>
      <c r="D756" s="3">
        <v>0.0</v>
      </c>
      <c r="E756" s="3">
        <v>0.0</v>
      </c>
      <c r="F756" s="3" t="s">
        <v>2364</v>
      </c>
      <c r="G756" s="3">
        <v>1.0</v>
      </c>
      <c r="H756" s="3">
        <v>0.0</v>
      </c>
      <c r="I756" s="3" t="s">
        <v>13</v>
      </c>
      <c r="J756" s="3" t="s">
        <v>2365</v>
      </c>
      <c r="K756" s="3" t="s">
        <v>695</v>
      </c>
      <c r="L756" s="3" t="str">
        <f>IFERROR(__xludf.DUMMYFUNCTION("GOOGLETRANSLATE(F756,""id"",""en"")"),"Billions of the world today watched the World Cup final and congratulations to Argentina who won after defeating France through the Pinalty shootout round")</f>
        <v>Billions of the world today watched the World Cup final and congratulations to Argentina who won after defeating France through the Pinalty shootout round</v>
      </c>
    </row>
    <row r="757" ht="15.75" customHeight="1">
      <c r="A757" s="1">
        <v>756.0</v>
      </c>
      <c r="B757" s="3" t="s">
        <v>2366</v>
      </c>
      <c r="C757" s="3">
        <v>0.0</v>
      </c>
      <c r="D757" s="3">
        <v>0.0</v>
      </c>
      <c r="E757" s="3">
        <v>0.0</v>
      </c>
      <c r="F757" s="3" t="s">
        <v>2367</v>
      </c>
      <c r="G757" s="3">
        <v>1.0</v>
      </c>
      <c r="H757" s="3">
        <v>0.0</v>
      </c>
      <c r="I757" s="3" t="s">
        <v>13</v>
      </c>
      <c r="J757" s="3" t="s">
        <v>2368</v>
      </c>
      <c r="K757" s="3" t="s">
        <v>15</v>
      </c>
      <c r="L757" s="3" t="str">
        <f>IFERROR(__xludf.DUMMYFUNCTION("GOOGLETRANSLATE(F757,""id"",""en"")"),"The Best World Cup Final I Never Watch World Class")</f>
        <v>The Best World Cup Final I Never Watch World Class</v>
      </c>
    </row>
    <row r="758" ht="15.75" customHeight="1">
      <c r="A758" s="1">
        <v>757.0</v>
      </c>
      <c r="B758" s="3" t="s">
        <v>2369</v>
      </c>
      <c r="C758" s="3">
        <v>0.0</v>
      </c>
      <c r="D758" s="3">
        <v>0.0</v>
      </c>
      <c r="E758" s="3">
        <v>0.0</v>
      </c>
      <c r="F758" s="3" t="s">
        <v>2370</v>
      </c>
      <c r="G758" s="3">
        <v>0.85</v>
      </c>
      <c r="H758" s="3">
        <v>0.1166666666666667</v>
      </c>
      <c r="I758" s="3" t="s">
        <v>48</v>
      </c>
      <c r="J758" s="3" t="s">
        <v>2371</v>
      </c>
      <c r="K758" s="3" t="s">
        <v>35</v>
      </c>
      <c r="L758" s="3" t="str">
        <f>IFERROR(__xludf.DUMMYFUNCTION("GOOGLETRANSLATE(F758,""id"",""en"")"),"After watching the Full Time Final of the World Cup so I fans with Maria What Final")</f>
        <v>After watching the Full Time Final of the World Cup so I fans with Maria What Final</v>
      </c>
    </row>
    <row r="759" ht="15.75" customHeight="1">
      <c r="A759" s="1">
        <v>758.0</v>
      </c>
      <c r="B759" s="3" t="s">
        <v>2372</v>
      </c>
      <c r="C759" s="3">
        <v>0.0</v>
      </c>
      <c r="D759" s="3">
        <v>0.0</v>
      </c>
      <c r="E759" s="3">
        <v>0.0</v>
      </c>
      <c r="F759" s="3" t="s">
        <v>2373</v>
      </c>
      <c r="G759" s="3">
        <v>1.0</v>
      </c>
      <c r="H759" s="3">
        <v>0.0</v>
      </c>
      <c r="I759" s="3" t="s">
        <v>13</v>
      </c>
      <c r="J759" s="3" t="s">
        <v>2374</v>
      </c>
      <c r="K759" s="3" t="s">
        <v>2375</v>
      </c>
      <c r="L759" s="3" t="str">
        <f>IFERROR(__xludf.DUMMYFUNCTION("GOOGLETRANSLATE(F759,""id"",""en"")"),"The first round of the Argentine World Cup final for France Ronggo Argentina managed to win over France.")</f>
        <v>The first round of the Argentine World Cup final for France Ronggo Argentina managed to win over France.</v>
      </c>
    </row>
    <row r="760" ht="15.75" customHeight="1">
      <c r="A760" s="1">
        <v>759.0</v>
      </c>
      <c r="B760" s="3" t="s">
        <v>2376</v>
      </c>
      <c r="C760" s="3">
        <v>0.0</v>
      </c>
      <c r="D760" s="3">
        <v>0.0</v>
      </c>
      <c r="E760" s="3">
        <v>0.0</v>
      </c>
      <c r="F760" s="3" t="s">
        <v>2377</v>
      </c>
      <c r="G760" s="3">
        <v>1.0</v>
      </c>
      <c r="H760" s="3">
        <v>0.0</v>
      </c>
      <c r="I760" s="3" t="s">
        <v>13</v>
      </c>
      <c r="J760" s="3" t="s">
        <v>2378</v>
      </c>
      <c r="K760" s="3" t="s">
        <v>15</v>
      </c>
      <c r="L760" s="3" t="str">
        <f>IFERROR(__xludf.DUMMYFUNCTION("GOOGLETRANSLATE(F760,""id"",""en"")"),"The best world cup final in my opinion during my life")</f>
        <v>The best world cup final in my opinion during my life</v>
      </c>
    </row>
    <row r="761" ht="15.75" customHeight="1">
      <c r="A761" s="1">
        <v>760.0</v>
      </c>
      <c r="B761" s="3" t="s">
        <v>2379</v>
      </c>
      <c r="C761" s="3">
        <v>1.0</v>
      </c>
      <c r="D761" s="3">
        <v>0.0</v>
      </c>
      <c r="E761" s="3">
        <v>0.0</v>
      </c>
      <c r="F761" s="3" t="s">
        <v>2380</v>
      </c>
      <c r="G761" s="3">
        <v>1.0</v>
      </c>
      <c r="H761" s="3">
        <v>0.0</v>
      </c>
      <c r="I761" s="3" t="s">
        <v>13</v>
      </c>
      <c r="J761" s="3" t="s">
        <v>2381</v>
      </c>
      <c r="K761" s="3" t="s">
        <v>15</v>
      </c>
      <c r="L761" s="3" t="str">
        <f>IFERROR(__xludf.DUMMYFUNCTION("GOOGLETRANSLATE(F761,""id"",""en"")"),"mourning with people who don't watch the World Cup final")</f>
        <v>mourning with people who don't watch the World Cup final</v>
      </c>
    </row>
    <row r="762" ht="15.75" customHeight="1">
      <c r="A762" s="1">
        <v>761.0</v>
      </c>
      <c r="B762" s="3" t="s">
        <v>2382</v>
      </c>
      <c r="C762" s="3">
        <v>1.0</v>
      </c>
      <c r="D762" s="3">
        <v>0.0</v>
      </c>
      <c r="E762" s="3">
        <v>1.0</v>
      </c>
      <c r="F762" s="3" t="s">
        <v>2383</v>
      </c>
      <c r="G762" s="3">
        <v>1.0</v>
      </c>
      <c r="H762" s="3">
        <v>0.0</v>
      </c>
      <c r="I762" s="3" t="s">
        <v>13</v>
      </c>
      <c r="J762" s="3" t="s">
        <v>2384</v>
      </c>
      <c r="K762" s="3" t="s">
        <v>184</v>
      </c>
      <c r="L762" s="3" t="str">
        <f>IFERROR(__xludf.DUMMYFUNCTION("GOOGLETRANSLATE(F762,""id"",""en"")"),"yes, during my watching the world cup final, this is really drama where the session is my clock that is sweaty cold")</f>
        <v>yes, during my watching the world cup final, this is really drama where the session is my clock that is sweaty cold</v>
      </c>
    </row>
    <row r="763" ht="15.75" customHeight="1">
      <c r="A763" s="1">
        <v>762.0</v>
      </c>
      <c r="B763" s="3" t="s">
        <v>2385</v>
      </c>
      <c r="C763" s="3">
        <v>0.0</v>
      </c>
      <c r="D763" s="3">
        <v>0.0</v>
      </c>
      <c r="E763" s="3">
        <v>0.0</v>
      </c>
      <c r="F763" s="3" t="s">
        <v>2386</v>
      </c>
      <c r="G763" s="3">
        <v>1.0</v>
      </c>
      <c r="H763" s="3">
        <v>0.0</v>
      </c>
      <c r="I763" s="3" t="s">
        <v>13</v>
      </c>
      <c r="J763" s="3" t="s">
        <v>2387</v>
      </c>
      <c r="K763" s="3" t="s">
        <v>50</v>
      </c>
      <c r="L763" s="3" t="str">
        <f>IFERROR(__xludf.DUMMYFUNCTION("GOOGLETRANSLATE(F763,""id"",""en"")"),"besides many funny moments Qatar is the most exciting world cup final")</f>
        <v>besides many funny moments Qatar is the most exciting world cup final</v>
      </c>
    </row>
    <row r="764" ht="15.75" customHeight="1">
      <c r="A764" s="1">
        <v>763.0</v>
      </c>
      <c r="B764" s="3" t="s">
        <v>2388</v>
      </c>
      <c r="C764" s="3">
        <v>0.0</v>
      </c>
      <c r="D764" s="3">
        <v>0.0</v>
      </c>
      <c r="E764" s="3">
        <v>11.0</v>
      </c>
      <c r="F764" s="3" t="s">
        <v>2389</v>
      </c>
      <c r="G764" s="3">
        <v>0.75</v>
      </c>
      <c r="H764" s="3">
        <v>0.25</v>
      </c>
      <c r="I764" s="3" t="s">
        <v>48</v>
      </c>
      <c r="J764" s="3" t="s">
        <v>2390</v>
      </c>
      <c r="K764" s="3" t="s">
        <v>184</v>
      </c>
      <c r="L764" s="3" t="str">
        <f>IFERROR(__xludf.DUMMYFUNCTION("GOOGLETRANSLATE(F764,""id"",""en"")"),"French star Kylian Mbappe successfully won the Mbappe World Cup top scorer to score a hat trick in the FIFA World Cup final")</f>
        <v>French star Kylian Mbappe successfully won the Mbappe World Cup top scorer to score a hat trick in the FIFA World Cup final</v>
      </c>
    </row>
    <row r="765" ht="15.75" customHeight="1">
      <c r="A765" s="1">
        <v>764.0</v>
      </c>
      <c r="B765" s="3" t="s">
        <v>2391</v>
      </c>
      <c r="C765" s="3">
        <v>0.0</v>
      </c>
      <c r="D765" s="3">
        <v>0.0</v>
      </c>
      <c r="E765" s="3">
        <v>1.0</v>
      </c>
      <c r="F765" s="3" t="s">
        <v>2392</v>
      </c>
      <c r="G765" s="3">
        <v>0.85</v>
      </c>
      <c r="H765" s="3">
        <v>0.1166666666666667</v>
      </c>
      <c r="I765" s="3" t="s">
        <v>48</v>
      </c>
      <c r="J765" s="3" t="s">
        <v>2393</v>
      </c>
      <c r="K765" s="3" t="s">
        <v>35</v>
      </c>
      <c r="L765" s="3" t="str">
        <f>IFERROR(__xludf.DUMMYFUNCTION("GOOGLETRANSLATE(F765,""id"",""en"")"),"Among all the final of the World Cup watching this Final was excited and full of heart gymnastics")</f>
        <v>Among all the final of the World Cup watching this Final was excited and full of heart gymnastics</v>
      </c>
    </row>
    <row r="766" ht="15.75" customHeight="1">
      <c r="A766" s="1">
        <v>765.0</v>
      </c>
      <c r="B766" s="3" t="s">
        <v>2394</v>
      </c>
      <c r="C766" s="3">
        <v>0.0</v>
      </c>
      <c r="D766" s="3">
        <v>0.0</v>
      </c>
      <c r="E766" s="3">
        <v>0.0</v>
      </c>
      <c r="F766" s="3" t="s">
        <v>2395</v>
      </c>
      <c r="G766" s="3">
        <v>1.0</v>
      </c>
      <c r="H766" s="3">
        <v>0.0</v>
      </c>
      <c r="I766" s="3" t="s">
        <v>13</v>
      </c>
      <c r="J766" s="3" t="s">
        <v>2396</v>
      </c>
      <c r="K766" s="3" t="s">
        <v>1157</v>
      </c>
      <c r="L766" s="3" t="str">
        <f>IFERROR(__xludf.DUMMYFUNCTION("GOOGLETRANSLATE(F766,""id"",""en"")"),"Following the Argentina trip that lost against Germany Messi Final had wanted to retire but back again before retirement, finally Messi could lift the World Cup trophy, there were definitely many people who were happy and relieved that the Messi title was"&amp;" finally complete Legend")</f>
        <v>Following the Argentina trip that lost against Germany Messi Final had wanted to retire but back again before retirement, finally Messi could lift the World Cup trophy, there were definitely many people who were happy and relieved that the Messi title was finally complete Legend</v>
      </c>
    </row>
    <row r="767" ht="15.75" customHeight="1">
      <c r="A767" s="1">
        <v>766.0</v>
      </c>
      <c r="B767" s="3" t="s">
        <v>2397</v>
      </c>
      <c r="C767" s="3">
        <v>0.0</v>
      </c>
      <c r="D767" s="3">
        <v>0.0</v>
      </c>
      <c r="E767" s="3">
        <v>0.0</v>
      </c>
      <c r="F767" s="3" t="s">
        <v>665</v>
      </c>
      <c r="G767" s="3">
        <v>1.0</v>
      </c>
      <c r="H767" s="3">
        <v>0.0</v>
      </c>
      <c r="I767" s="3" t="s">
        <v>13</v>
      </c>
      <c r="J767" s="3" t="s">
        <v>666</v>
      </c>
      <c r="K767" s="3" t="s">
        <v>644</v>
      </c>
      <c r="L767" s="3" t="str">
        <f>IFERROR(__xludf.DUMMYFUNCTION("GOOGLETRANSLATE(F767,""id"",""en"")"),"the best world cup final")</f>
        <v>the best world cup final</v>
      </c>
    </row>
    <row r="768" ht="15.75" customHeight="1">
      <c r="A768" s="1">
        <v>767.0</v>
      </c>
      <c r="B768" s="3" t="s">
        <v>2398</v>
      </c>
      <c r="C768" s="3">
        <v>0.0</v>
      </c>
      <c r="D768" s="3">
        <v>0.0</v>
      </c>
      <c r="E768" s="3">
        <v>0.0</v>
      </c>
      <c r="F768" s="3" t="s">
        <v>2399</v>
      </c>
      <c r="G768" s="3">
        <v>1.0</v>
      </c>
      <c r="H768" s="3">
        <v>0.0</v>
      </c>
      <c r="I768" s="3" t="s">
        <v>13</v>
      </c>
      <c r="J768" s="3" t="s">
        <v>2400</v>
      </c>
      <c r="K768" s="3" t="s">
        <v>31</v>
      </c>
      <c r="L768" s="3" t="str">
        <f>IFERROR(__xludf.DUMMYFUNCTION("GOOGLETRANSLATE(F768,""id"",""en"")"),"The World Cup Final is very satisfying")</f>
        <v>The World Cup Final is very satisfying</v>
      </c>
    </row>
    <row r="769" ht="15.75" customHeight="1">
      <c r="A769" s="1">
        <v>768.0</v>
      </c>
      <c r="B769" s="3" t="s">
        <v>2401</v>
      </c>
      <c r="C769" s="3">
        <v>0.0</v>
      </c>
      <c r="D769" s="3">
        <v>0.0</v>
      </c>
      <c r="E769" s="3">
        <v>0.0</v>
      </c>
      <c r="F769" s="3" t="s">
        <v>2402</v>
      </c>
      <c r="G769" s="3">
        <v>1.0</v>
      </c>
      <c r="H769" s="3">
        <v>0.0</v>
      </c>
      <c r="I769" s="3" t="s">
        <v>13</v>
      </c>
      <c r="J769" s="3" t="s">
        <v>2403</v>
      </c>
      <c r="K769" s="3" t="s">
        <v>41</v>
      </c>
      <c r="L769" s="3" t="str">
        <f>IFERROR(__xludf.DUMMYFUNCTION("GOOGLETRANSLATE(F769,""id"",""en"")"),"Although France lost, but this World Cup created an exciting final")</f>
        <v>Although France lost, but this World Cup created an exciting final</v>
      </c>
    </row>
    <row r="770" ht="15.75" customHeight="1">
      <c r="A770" s="1">
        <v>769.0</v>
      </c>
      <c r="B770" s="3" t="s">
        <v>2404</v>
      </c>
      <c r="C770" s="3">
        <v>0.0</v>
      </c>
      <c r="D770" s="3">
        <v>7.0</v>
      </c>
      <c r="E770" s="3">
        <v>36.0</v>
      </c>
      <c r="F770" s="3" t="s">
        <v>2405</v>
      </c>
      <c r="G770" s="3">
        <v>1.0</v>
      </c>
      <c r="H770" s="3">
        <v>0.0</v>
      </c>
      <c r="I770" s="3" t="s">
        <v>13</v>
      </c>
      <c r="J770" s="3" t="s">
        <v>2406</v>
      </c>
      <c r="K770" s="3" t="s">
        <v>82</v>
      </c>
      <c r="L770" s="3" t="str">
        <f>IFERROR(__xludf.DUMMYFUNCTION("GOOGLETRANSLATE(F770,""id"",""en"")"),"This is the goal that started our excitement of the World Cup Final match")</f>
        <v>This is the goal that started our excitement of the World Cup Final match</v>
      </c>
    </row>
    <row r="771" ht="15.75" customHeight="1">
      <c r="A771" s="1">
        <v>770.0</v>
      </c>
      <c r="B771" s="3" t="s">
        <v>2407</v>
      </c>
      <c r="C771" s="3">
        <v>0.0</v>
      </c>
      <c r="D771" s="3">
        <v>0.0</v>
      </c>
      <c r="E771" s="3">
        <v>0.0</v>
      </c>
      <c r="F771" s="3" t="s">
        <v>2408</v>
      </c>
      <c r="G771" s="3">
        <v>0.875</v>
      </c>
      <c r="H771" s="3">
        <v>0.4</v>
      </c>
      <c r="I771" s="3" t="s">
        <v>48</v>
      </c>
      <c r="J771" s="3" t="s">
        <v>2409</v>
      </c>
      <c r="K771" s="3" t="s">
        <v>437</v>
      </c>
      <c r="L771" s="3" t="str">
        <f>IFERROR(__xludf.DUMMYFUNCTION("GOOGLETRANSLATE(F771,""id"",""en"")"),"what great the same era is really looking at Messi Ronaldo Maen plus the exciting world cup final")</f>
        <v>what great the same era is really looking at Messi Ronaldo Maen plus the exciting world cup final</v>
      </c>
    </row>
    <row r="772" ht="15.75" customHeight="1">
      <c r="A772" s="1">
        <v>771.0</v>
      </c>
      <c r="B772" s="3" t="s">
        <v>2410</v>
      </c>
      <c r="C772" s="3">
        <v>0.0</v>
      </c>
      <c r="D772" s="3">
        <v>1.0</v>
      </c>
      <c r="E772" s="3">
        <v>2.0</v>
      </c>
      <c r="F772" s="3" t="s">
        <v>2411</v>
      </c>
      <c r="G772" s="3">
        <v>1.0</v>
      </c>
      <c r="H772" s="3">
        <v>0.0</v>
      </c>
      <c r="I772" s="3" t="s">
        <v>13</v>
      </c>
      <c r="J772" s="3" t="s">
        <v>2412</v>
      </c>
      <c r="K772" s="3" t="s">
        <v>2413</v>
      </c>
      <c r="L772" s="3" t="str">
        <f>IFERROR(__xludf.DUMMYFUNCTION("GOOGLETRANSLATE(F772,""id"",""en"")"),"Today we witnessed the history of one of the best World Cups one of the best World Cup finals one of the best players of all time")</f>
        <v>Today we witnessed the history of one of the best World Cups one of the best World Cup finals one of the best players of all time</v>
      </c>
    </row>
    <row r="773" ht="15.75" customHeight="1">
      <c r="A773" s="1">
        <v>772.0</v>
      </c>
      <c r="B773" s="3" t="s">
        <v>2414</v>
      </c>
      <c r="C773" s="3">
        <v>0.0</v>
      </c>
      <c r="D773" s="3">
        <v>0.0</v>
      </c>
      <c r="E773" s="3">
        <v>0.0</v>
      </c>
      <c r="F773" s="3" t="s">
        <v>2415</v>
      </c>
      <c r="G773" s="3">
        <v>1.0</v>
      </c>
      <c r="H773" s="3">
        <v>0.0</v>
      </c>
      <c r="I773" s="3" t="s">
        <v>13</v>
      </c>
      <c r="J773" s="3" t="s">
        <v>2416</v>
      </c>
      <c r="K773" s="3" t="s">
        <v>2417</v>
      </c>
      <c r="L773" s="3" t="str">
        <f>IFERROR(__xludf.DUMMYFUNCTION("GOOGLETRANSLATE(F773,""id"",""en"")"),"who said the World Cup Final as the best means he has never watched the World Cup Final of the World Cup Final is the best")</f>
        <v>who said the World Cup Final as the best means he has never watched the World Cup Final of the World Cup Final is the best</v>
      </c>
    </row>
    <row r="774" ht="15.75" customHeight="1">
      <c r="A774" s="1">
        <v>773.0</v>
      </c>
      <c r="B774" s="3" t="s">
        <v>2418</v>
      </c>
      <c r="C774" s="3">
        <v>0.0</v>
      </c>
      <c r="D774" s="3">
        <v>0.0</v>
      </c>
      <c r="E774" s="3">
        <v>0.0</v>
      </c>
      <c r="F774" s="3" t="s">
        <v>2419</v>
      </c>
      <c r="G774" s="3">
        <v>1.0</v>
      </c>
      <c r="H774" s="3">
        <v>0.0</v>
      </c>
      <c r="I774" s="3" t="s">
        <v>13</v>
      </c>
      <c r="J774" s="3" t="s">
        <v>2420</v>
      </c>
      <c r="K774" s="3" t="s">
        <v>71</v>
      </c>
      <c r="L774" s="3" t="str">
        <f>IFERROR(__xludf.DUMMYFUNCTION("GOOGLETRANSLATE(F774,""id"",""en"")"),"The Final Party This Very Exciting Congratulations to Terimah Kasih For the Host Has Successfully Holding the World Cup")</f>
        <v>The Final Party This Very Exciting Congratulations to Terimah Kasih For the Host Has Successfully Holding the World Cup</v>
      </c>
    </row>
    <row r="775" ht="15.75" customHeight="1">
      <c r="A775" s="1">
        <v>774.0</v>
      </c>
      <c r="B775" s="3" t="s">
        <v>2421</v>
      </c>
      <c r="C775" s="3">
        <v>0.0</v>
      </c>
      <c r="D775" s="3">
        <v>2.0</v>
      </c>
      <c r="E775" s="3">
        <v>13.0</v>
      </c>
      <c r="F775" s="3" t="s">
        <v>2422</v>
      </c>
      <c r="G775" s="3">
        <v>1.0</v>
      </c>
      <c r="H775" s="3">
        <v>0.0</v>
      </c>
      <c r="I775" s="3" t="s">
        <v>13</v>
      </c>
      <c r="J775" s="3" t="s">
        <v>2423</v>
      </c>
      <c r="K775" s="3" t="s">
        <v>903</v>
      </c>
      <c r="L775" s="3" t="str">
        <f>IFERROR(__xludf.DUMMYFUNCTION("GOOGLETRANSLATE(F775,""id"",""en"")"),"Thank you Emiliano Martinez, thank you Kylian Mbappe successfully validated Lionel Messi as The Goat and the Argentine national team's career closes with the Qatar World Cup final champion")</f>
        <v>Thank you Emiliano Martinez, thank you Kylian Mbappe successfully validated Lionel Messi as The Goat and the Argentine national team's career closes with the Qatar World Cup final champion</v>
      </c>
    </row>
    <row r="776" ht="15.75" customHeight="1">
      <c r="A776" s="1">
        <v>775.0</v>
      </c>
      <c r="B776" s="3" t="s">
        <v>2424</v>
      </c>
      <c r="C776" s="3">
        <v>0.0</v>
      </c>
      <c r="D776" s="3">
        <v>0.0</v>
      </c>
      <c r="E776" s="3">
        <v>1.0</v>
      </c>
      <c r="F776" s="3" t="s">
        <v>2425</v>
      </c>
      <c r="G776" s="3">
        <v>1.0</v>
      </c>
      <c r="H776" s="3">
        <v>0.0</v>
      </c>
      <c r="I776" s="3" t="s">
        <v>13</v>
      </c>
      <c r="J776" s="3" t="s">
        <v>2426</v>
      </c>
      <c r="K776" s="3" t="s">
        <v>35</v>
      </c>
      <c r="L776" s="3" t="str">
        <f>IFERROR(__xludf.DUMMYFUNCTION("GOOGLETRANSLATE(F776,""id"",""en"")"),"Argentine World Cup final champion Lionel Messi is equivalent to Diego Maradona")</f>
        <v>Argentine World Cup final champion Lionel Messi is equivalent to Diego Maradona</v>
      </c>
    </row>
    <row r="777" ht="15.75" customHeight="1">
      <c r="A777" s="1">
        <v>776.0</v>
      </c>
      <c r="B777" s="3" t="s">
        <v>2427</v>
      </c>
      <c r="C777" s="3">
        <v>0.0</v>
      </c>
      <c r="D777" s="3">
        <v>0.0</v>
      </c>
      <c r="E777" s="3">
        <v>3.0</v>
      </c>
      <c r="F777" s="3" t="s">
        <v>2428</v>
      </c>
      <c r="G777" s="3">
        <v>0.775</v>
      </c>
      <c r="H777" s="3">
        <v>0.175</v>
      </c>
      <c r="I777" s="3" t="s">
        <v>48</v>
      </c>
      <c r="J777" s="3" t="s">
        <v>2429</v>
      </c>
      <c r="K777" s="3" t="s">
        <v>240</v>
      </c>
      <c r="L777" s="3" t="str">
        <f>IFERROR(__xludf.DUMMYFUNCTION("GOOGLETRANSLATE(F777,""id"",""en"")"),"Full drama Messi Ronaldo officially finished until I found the World Cup, hopefully I can watch the final directly my French friend venue")</f>
        <v>Full drama Messi Ronaldo officially finished until I found the World Cup, hopefully I can watch the final directly my French friend venue</v>
      </c>
    </row>
    <row r="778" ht="15.75" customHeight="1">
      <c r="A778" s="1">
        <v>777.0</v>
      </c>
      <c r="B778" s="3" t="s">
        <v>2430</v>
      </c>
      <c r="C778" s="3">
        <v>0.0</v>
      </c>
      <c r="D778" s="3">
        <v>0.0</v>
      </c>
      <c r="E778" s="3">
        <v>0.0</v>
      </c>
      <c r="F778" s="3" t="s">
        <v>2431</v>
      </c>
      <c r="G778" s="3">
        <v>1.0</v>
      </c>
      <c r="H778" s="3">
        <v>0.0</v>
      </c>
      <c r="I778" s="3" t="s">
        <v>13</v>
      </c>
      <c r="J778" s="3" t="s">
        <v>2432</v>
      </c>
      <c r="K778" s="3" t="s">
        <v>82</v>
      </c>
      <c r="L778" s="3" t="str">
        <f>IFERROR(__xludf.DUMMYFUNCTION("GOOGLETRANSLATE(F778,""id"",""en"")"),"The World Cup Final is really cool and very exciting")</f>
        <v>The World Cup Final is really cool and very exciting</v>
      </c>
    </row>
    <row r="779" ht="15.75" customHeight="1">
      <c r="A779" s="1">
        <v>778.0</v>
      </c>
      <c r="B779" s="3" t="s">
        <v>2433</v>
      </c>
      <c r="C779" s="3">
        <v>0.0</v>
      </c>
      <c r="D779" s="3">
        <v>0.0</v>
      </c>
      <c r="E779" s="3">
        <v>12.0</v>
      </c>
      <c r="F779" s="3" t="s">
        <v>2434</v>
      </c>
      <c r="G779" s="3">
        <v>0.8333333333333334</v>
      </c>
      <c r="H779" s="3">
        <v>0.1666666666666667</v>
      </c>
      <c r="I779" s="3" t="s">
        <v>48</v>
      </c>
      <c r="J779" s="3" t="s">
        <v>2435</v>
      </c>
      <c r="K779" s="3" t="s">
        <v>374</v>
      </c>
      <c r="L779" s="3" t="str">
        <f>IFERROR(__xludf.DUMMYFUNCTION("GOOGLETRANSLATE(F779,""id"",""en"")"),"Although France lost to Argentina, Mbappe has made history scoring a hat trick during the World Cup final and became a top score with a new goal to see a player able to score a goal in the final match during a one -shooting match")</f>
        <v>Although France lost to Argentina, Mbappe has made history scoring a hat trick during the World Cup final and became a top score with a new goal to see a player able to score a goal in the final match during a one -shooting match</v>
      </c>
    </row>
    <row r="780" ht="15.75" customHeight="1">
      <c r="A780" s="1">
        <v>779.0</v>
      </c>
      <c r="B780" s="3" t="s">
        <v>2436</v>
      </c>
      <c r="C780" s="3">
        <v>0.0</v>
      </c>
      <c r="D780" s="3">
        <v>0.0</v>
      </c>
      <c r="E780" s="3">
        <v>0.0</v>
      </c>
      <c r="F780" s="3" t="s">
        <v>2437</v>
      </c>
      <c r="G780" s="3">
        <v>1.0</v>
      </c>
      <c r="H780" s="3">
        <v>0.0</v>
      </c>
      <c r="I780" s="3" t="s">
        <v>13</v>
      </c>
      <c r="J780" s="3" t="s">
        <v>2438</v>
      </c>
      <c r="K780" s="3" t="s">
        <v>50</v>
      </c>
      <c r="L780" s="3" t="str">
        <f>IFERROR(__xludf.DUMMYFUNCTION("GOOGLETRANSLATE(F780,""id"",""en"")"),"Luckily to watch the World Cup final that seems to be the most exciting as long as you've been watching")</f>
        <v>Luckily to watch the World Cup final that seems to be the most exciting as long as you've been watching</v>
      </c>
    </row>
    <row r="781" ht="15.75" customHeight="1">
      <c r="A781" s="1">
        <v>780.0</v>
      </c>
      <c r="B781" s="3" t="s">
        <v>2439</v>
      </c>
      <c r="C781" s="3">
        <v>0.0</v>
      </c>
      <c r="D781" s="3">
        <v>0.0</v>
      </c>
      <c r="E781" s="3">
        <v>1.0</v>
      </c>
      <c r="F781" s="3" t="s">
        <v>2440</v>
      </c>
      <c r="G781" s="3">
        <v>1.0</v>
      </c>
      <c r="H781" s="3">
        <v>0.0</v>
      </c>
      <c r="I781" s="3" t="s">
        <v>13</v>
      </c>
      <c r="J781" s="3" t="s">
        <v>2441</v>
      </c>
      <c r="K781" s="3" t="s">
        <v>184</v>
      </c>
      <c r="L781" s="3" t="str">
        <f>IFERROR(__xludf.DUMMYFUNCTION("GOOGLETRANSLATE(F781,""id"",""en"")"),"Indeed, Argentina's supporters were the Paddock Petaling Jaya Tahniah Argentina Champion Viewing Party Sinar World Cup Final")</f>
        <v>Indeed, Argentina's supporters were the Paddock Petaling Jaya Tahniah Argentina Champion Viewing Party Sinar World Cup Final</v>
      </c>
    </row>
    <row r="782" ht="15.75" customHeight="1">
      <c r="A782" s="1">
        <v>781.0</v>
      </c>
      <c r="B782" s="3" t="s">
        <v>2442</v>
      </c>
      <c r="C782" s="3">
        <v>0.0</v>
      </c>
      <c r="D782" s="3">
        <v>1.0</v>
      </c>
      <c r="E782" s="3">
        <v>0.0</v>
      </c>
      <c r="F782" s="3" t="s">
        <v>2443</v>
      </c>
      <c r="G782" s="3">
        <v>1.0</v>
      </c>
      <c r="H782" s="3">
        <v>0.0</v>
      </c>
      <c r="I782" s="3" t="s">
        <v>13</v>
      </c>
      <c r="J782" s="3" t="s">
        <v>2444</v>
      </c>
      <c r="K782" s="3" t="s">
        <v>75</v>
      </c>
      <c r="L782" s="3" t="str">
        <f>IFERROR(__xludf.DUMMYFUNCTION("GOOGLETRANSLATE(F782,""id"",""en"")"),"The World Cup Final is only the transfer of the issue if it's Monday now")</f>
        <v>The World Cup Final is only the transfer of the issue if it's Monday now</v>
      </c>
    </row>
    <row r="783" ht="15.75" customHeight="1">
      <c r="A783" s="1">
        <v>782.0</v>
      </c>
      <c r="B783" s="3" t="s">
        <v>2445</v>
      </c>
      <c r="C783" s="3">
        <v>0.0</v>
      </c>
      <c r="D783" s="3">
        <v>0.0</v>
      </c>
      <c r="E783" s="3">
        <v>0.0</v>
      </c>
      <c r="F783" s="3" t="s">
        <v>2446</v>
      </c>
      <c r="G783" s="3">
        <v>1.0</v>
      </c>
      <c r="H783" s="3">
        <v>0.0</v>
      </c>
      <c r="I783" s="3" t="s">
        <v>13</v>
      </c>
      <c r="J783" s="3" t="s">
        <v>2447</v>
      </c>
      <c r="K783" s="3" t="s">
        <v>1421</v>
      </c>
      <c r="L783" s="3" t="str">
        <f>IFERROR(__xludf.DUMMYFUNCTION("GOOGLETRANSLATE(F783,""id"",""en"")"),"The World Cup final is the best World Cup final I see")</f>
        <v>The World Cup final is the best World Cup final I see</v>
      </c>
    </row>
    <row r="784" ht="15.75" customHeight="1">
      <c r="A784" s="1">
        <v>783.0</v>
      </c>
      <c r="B784" s="3" t="s">
        <v>2448</v>
      </c>
      <c r="C784" s="3">
        <v>0.0</v>
      </c>
      <c r="D784" s="3">
        <v>0.0</v>
      </c>
      <c r="E784" s="3">
        <v>1.0</v>
      </c>
      <c r="F784" s="3" t="s">
        <v>2449</v>
      </c>
      <c r="G784" s="3">
        <v>0.65</v>
      </c>
      <c r="H784" s="3">
        <v>0.1</v>
      </c>
      <c r="I784" s="3" t="s">
        <v>48</v>
      </c>
      <c r="J784" s="3" t="s">
        <v>2450</v>
      </c>
      <c r="K784" s="3" t="s">
        <v>1366</v>
      </c>
      <c r="L784" s="3" t="str">
        <f>IFERROR(__xludf.DUMMYFUNCTION("GOOGLETRANSLATE(F784,""id"",""en"")"),"The World Cup Final is the most exciting and full of drama according to my prediction goat Messi lifts the trophy even though the jagoin of France feels less exciting if you win France different from the modern national team France more dominantly filled "&amp;"by African bloody players")</f>
        <v>The World Cup Final is the most exciting and full of drama according to my prediction goat Messi lifts the trophy even though the jagoin of France feels less exciting if you win France different from the modern national team France more dominantly filled by African bloody players</v>
      </c>
    </row>
    <row r="785" ht="15.75" customHeight="1">
      <c r="A785" s="1">
        <v>784.0</v>
      </c>
      <c r="B785" s="3" t="s">
        <v>2451</v>
      </c>
      <c r="C785" s="3">
        <v>0.0</v>
      </c>
      <c r="D785" s="3">
        <v>0.0</v>
      </c>
      <c r="E785" s="3">
        <v>0.0</v>
      </c>
      <c r="F785" s="3" t="s">
        <v>2452</v>
      </c>
      <c r="G785" s="3">
        <v>1.0</v>
      </c>
      <c r="H785" s="3">
        <v>0.0</v>
      </c>
      <c r="I785" s="3" t="s">
        <v>13</v>
      </c>
      <c r="J785" s="3" t="s">
        <v>2453</v>
      </c>
      <c r="K785" s="3" t="s">
        <v>2454</v>
      </c>
      <c r="L785" s="3" t="str">
        <f>IFERROR(__xludf.DUMMYFUNCTION("GOOGLETRANSLATE(F785,""id"",""en"")"),"His struggle was cool after starting Messi even though the world was not the main world, he was cool, Argentina Runner did not pass the final and now he lifted the trophy.")</f>
        <v>His struggle was cool after starting Messi even though the world was not the main world, he was cool, Argentina Runner did not pass the final and now he lifted the trophy.</v>
      </c>
    </row>
    <row r="786" ht="15.75" customHeight="1">
      <c r="A786" s="1">
        <v>785.0</v>
      </c>
      <c r="B786" s="3" t="s">
        <v>2455</v>
      </c>
      <c r="C786" s="3">
        <v>0.0</v>
      </c>
      <c r="D786" s="3">
        <v>0.0</v>
      </c>
      <c r="E786" s="3">
        <v>0.0</v>
      </c>
      <c r="F786" s="3" t="s">
        <v>2456</v>
      </c>
      <c r="G786" s="3">
        <v>1.0</v>
      </c>
      <c r="H786" s="3">
        <v>0.0</v>
      </c>
      <c r="I786" s="3" t="s">
        <v>13</v>
      </c>
      <c r="J786" s="3" t="s">
        <v>2457</v>
      </c>
      <c r="K786" s="3" t="s">
        <v>657</v>
      </c>
      <c r="L786" s="3" t="str">
        <f>IFERROR(__xludf.DUMMYFUNCTION("GOOGLETRANSLATE(F786,""id"",""en"")"),"Nanon's birthday this year is really crowded when the Ohmnon World Cup Final wkwkwk is like a really passt")</f>
        <v>Nanon's birthday this year is really crowded when the Ohmnon World Cup Final wkwkwk is like a really passt</v>
      </c>
    </row>
    <row r="787" ht="15.75" customHeight="1">
      <c r="A787" s="1">
        <v>786.0</v>
      </c>
      <c r="B787" s="3" t="s">
        <v>2458</v>
      </c>
      <c r="C787" s="3">
        <v>0.0</v>
      </c>
      <c r="D787" s="3">
        <v>0.0</v>
      </c>
      <c r="E787" s="3">
        <v>3.0</v>
      </c>
      <c r="F787" s="3" t="s">
        <v>2459</v>
      </c>
      <c r="G787" s="3">
        <v>1.0</v>
      </c>
      <c r="H787" s="3">
        <v>0.0</v>
      </c>
      <c r="I787" s="3" t="s">
        <v>13</v>
      </c>
      <c r="J787" s="3" t="s">
        <v>2460</v>
      </c>
      <c r="K787" s="3" t="s">
        <v>131</v>
      </c>
      <c r="L787" s="3" t="str">
        <f>IFERROR(__xludf.DUMMYFUNCTION("GOOGLETRANSLATE(F787,""id"",""en"")"),"Salama Lalajo World Cup and Lalajo World Cup Final Taun Bieu Most Edan Rame Got through Pipinaltian Nuhun Entertainment")</f>
        <v>Salama Lalajo World Cup and Lalajo World Cup Final Taun Bieu Most Edan Rame Got through Pipinaltian Nuhun Entertainment</v>
      </c>
    </row>
    <row r="788" ht="15.75" customHeight="1">
      <c r="A788" s="1">
        <v>787.0</v>
      </c>
      <c r="B788" s="3" t="s">
        <v>2461</v>
      </c>
      <c r="C788" s="3">
        <v>0.0</v>
      </c>
      <c r="D788" s="3">
        <v>1.0</v>
      </c>
      <c r="E788" s="3">
        <v>3.0</v>
      </c>
      <c r="F788" s="3" t="s">
        <v>2462</v>
      </c>
      <c r="G788" s="3">
        <v>1.0</v>
      </c>
      <c r="H788" s="3">
        <v>0.0</v>
      </c>
      <c r="I788" s="3" t="s">
        <v>13</v>
      </c>
      <c r="J788" s="3" t="s">
        <v>2463</v>
      </c>
      <c r="K788" s="3" t="s">
        <v>15</v>
      </c>
      <c r="L788" s="3" t="str">
        <f>IFERROR(__xludf.DUMMYFUNCTION("GOOGLETRANSLATE(F788,""id"",""en"")"),"The World Cup Final is very exciting and tense Argentina Champion")</f>
        <v>The World Cup Final is very exciting and tense Argentina Champion</v>
      </c>
    </row>
    <row r="789" ht="15.75" customHeight="1">
      <c r="A789" s="1">
        <v>788.0</v>
      </c>
      <c r="B789" s="3" t="s">
        <v>2464</v>
      </c>
      <c r="C789" s="3">
        <v>0.0</v>
      </c>
      <c r="D789" s="3">
        <v>0.0</v>
      </c>
      <c r="E789" s="3">
        <v>0.0</v>
      </c>
      <c r="F789" s="3" t="s">
        <v>2465</v>
      </c>
      <c r="G789" s="3">
        <v>1.0</v>
      </c>
      <c r="H789" s="3">
        <v>0.0</v>
      </c>
      <c r="I789" s="3" t="s">
        <v>13</v>
      </c>
      <c r="J789" s="3" t="s">
        <v>2466</v>
      </c>
      <c r="K789" s="3" t="s">
        <v>2215</v>
      </c>
      <c r="L789" s="3" t="str">
        <f>IFERROR(__xludf.DUMMYFUNCTION("GOOGLETRANSLATE(F789,""id"",""en"")"),"The most exciting world cup according to me is closed with the final that feels final in vain to be watched by Messi and Mbappe")</f>
        <v>The most exciting world cup according to me is closed with the final that feels final in vain to be watched by Messi and Mbappe</v>
      </c>
    </row>
    <row r="790" ht="15.75" customHeight="1">
      <c r="A790" s="1">
        <v>789.0</v>
      </c>
      <c r="B790" s="3" t="s">
        <v>2467</v>
      </c>
      <c r="C790" s="3">
        <v>0.0</v>
      </c>
      <c r="D790" s="3">
        <v>0.0</v>
      </c>
      <c r="E790" s="3">
        <v>0.0</v>
      </c>
      <c r="F790" s="3" t="s">
        <v>2468</v>
      </c>
      <c r="G790" s="3">
        <v>1.0</v>
      </c>
      <c r="H790" s="3">
        <v>0.0</v>
      </c>
      <c r="I790" s="3" t="s">
        <v>13</v>
      </c>
      <c r="J790" s="3" t="s">
        <v>2469</v>
      </c>
      <c r="K790" s="3" t="s">
        <v>657</v>
      </c>
      <c r="L790" s="3" t="str">
        <f>IFERROR(__xludf.DUMMYFUNCTION("GOOGLETRANSLATE(F790,""id"",""en"")"),"The first time I watched the Nobar Layer World Cup final, I was treated to a match like this, I was lucky")</f>
        <v>The first time I watched the Nobar Layer World Cup final, I was treated to a match like this, I was lucky</v>
      </c>
    </row>
    <row r="791" ht="15.75" customHeight="1">
      <c r="A791" s="1">
        <v>790.0</v>
      </c>
      <c r="B791" s="3" t="s">
        <v>2470</v>
      </c>
      <c r="C791" s="3">
        <v>0.0</v>
      </c>
      <c r="D791" s="3">
        <v>0.0</v>
      </c>
      <c r="E791" s="3">
        <v>0.0</v>
      </c>
      <c r="F791" s="3" t="s">
        <v>2471</v>
      </c>
      <c r="G791" s="3">
        <v>1.0</v>
      </c>
      <c r="H791" s="3">
        <v>0.0</v>
      </c>
      <c r="I791" s="3" t="s">
        <v>13</v>
      </c>
      <c r="J791" s="3" t="s">
        <v>2472</v>
      </c>
      <c r="K791" s="3" t="s">
        <v>31</v>
      </c>
      <c r="L791" s="3" t="str">
        <f>IFERROR(__xludf.DUMMYFUNCTION("GOOGLETRANSLATE(F791,""id"",""en"")"),"If you could see the World Cup final")</f>
        <v>If you could see the World Cup final</v>
      </c>
    </row>
    <row r="792" ht="15.75" customHeight="1">
      <c r="A792" s="1">
        <v>791.0</v>
      </c>
      <c r="B792" s="3" t="s">
        <v>2473</v>
      </c>
      <c r="C792" s="3">
        <v>0.0</v>
      </c>
      <c r="D792" s="3">
        <v>0.0</v>
      </c>
      <c r="E792" s="3">
        <v>0.0</v>
      </c>
      <c r="F792" s="3" t="s">
        <v>2474</v>
      </c>
      <c r="G792" s="3">
        <v>1.0</v>
      </c>
      <c r="H792" s="3">
        <v>0.0</v>
      </c>
      <c r="I792" s="3" t="s">
        <v>13</v>
      </c>
      <c r="J792" s="3" t="s">
        <v>2475</v>
      </c>
      <c r="K792" s="3" t="s">
        <v>19</v>
      </c>
      <c r="L792" s="3" t="str">
        <f>IFERROR(__xludf.DUMMYFUNCTION("GOOGLETRANSLATE(F792,""id"",""en"")"),"Qatar with all its controversy managed to present the most exciting world cup final to watch so far")</f>
        <v>Qatar with all its controversy managed to present the most exciting world cup final to watch so far</v>
      </c>
    </row>
    <row r="793" ht="15.75" customHeight="1">
      <c r="A793" s="1">
        <v>792.0</v>
      </c>
      <c r="B793" s="3" t="s">
        <v>2476</v>
      </c>
      <c r="C793" s="3">
        <v>0.0</v>
      </c>
      <c r="D793" s="3">
        <v>0.0</v>
      </c>
      <c r="E793" s="3">
        <v>0.0</v>
      </c>
      <c r="F793" s="3" t="s">
        <v>2477</v>
      </c>
      <c r="G793" s="3">
        <v>1.0</v>
      </c>
      <c r="H793" s="3">
        <v>0.0</v>
      </c>
      <c r="I793" s="3" t="s">
        <v>13</v>
      </c>
      <c r="J793" s="3" t="s">
        <v>2478</v>
      </c>
      <c r="K793" s="3" t="s">
        <v>82</v>
      </c>
      <c r="L793" s="3" t="str">
        <f>IFERROR(__xludf.DUMMYFUNCTION("GOOGLETRANSLATE(F793,""id"",""en"")"),"World Cup Final The Most Exciting Happy Argentina")</f>
        <v>World Cup Final The Most Exciting Happy Argentina</v>
      </c>
    </row>
    <row r="794" ht="15.75" customHeight="1">
      <c r="A794" s="1">
        <v>793.0</v>
      </c>
      <c r="B794" s="3" t="s">
        <v>2479</v>
      </c>
      <c r="C794" s="3">
        <v>0.0</v>
      </c>
      <c r="D794" s="3">
        <v>0.0</v>
      </c>
      <c r="E794" s="3">
        <v>0.0</v>
      </c>
      <c r="F794" s="3" t="s">
        <v>2480</v>
      </c>
      <c r="G794" s="3">
        <v>1.0</v>
      </c>
      <c r="H794" s="3">
        <v>0.0</v>
      </c>
      <c r="I794" s="3" t="s">
        <v>13</v>
      </c>
      <c r="J794" s="3" t="s">
        <v>2481</v>
      </c>
      <c r="K794" s="3" t="s">
        <v>244</v>
      </c>
      <c r="L794" s="3" t="str">
        <f>IFERROR(__xludf.DUMMYFUNCTION("GOOGLETRANSLATE(F794,""id"",""en"")"),"it's already bigger because he has arrived at the World Cup final and champion")</f>
        <v>it's already bigger because he has arrived at the World Cup final and champion</v>
      </c>
    </row>
    <row r="795" ht="15.75" customHeight="1">
      <c r="A795" s="1">
        <v>794.0</v>
      </c>
      <c r="B795" s="3" t="s">
        <v>2482</v>
      </c>
      <c r="C795" s="3">
        <v>0.0</v>
      </c>
      <c r="D795" s="3">
        <v>0.0</v>
      </c>
      <c r="E795" s="3">
        <v>0.0</v>
      </c>
      <c r="F795" s="3" t="s">
        <v>2483</v>
      </c>
      <c r="G795" s="3">
        <v>0.6666666666666666</v>
      </c>
      <c r="H795" s="3">
        <v>0.0</v>
      </c>
      <c r="I795" s="3" t="s">
        <v>13</v>
      </c>
      <c r="J795" s="3" t="s">
        <v>2484</v>
      </c>
      <c r="K795" s="3" t="s">
        <v>437</v>
      </c>
      <c r="L795" s="3" t="str">
        <f>IFERROR(__xludf.DUMMYFUNCTION("GOOGLETRANSLATE(F795,""id"",""en"")"),"The World Cup Final this time is like the Holy Final Argentina like Yono Bakrie Blank Early Champion Congrats Congratulations")</f>
        <v>The World Cup Final this time is like the Holy Final Argentina like Yono Bakrie Blank Early Champion Congrats Congratulations</v>
      </c>
    </row>
    <row r="796" ht="15.75" customHeight="1">
      <c r="A796" s="1">
        <v>795.0</v>
      </c>
      <c r="B796" s="3" t="s">
        <v>2485</v>
      </c>
      <c r="C796" s="3">
        <v>0.0</v>
      </c>
      <c r="D796" s="3">
        <v>0.0</v>
      </c>
      <c r="E796" s="3">
        <v>0.0</v>
      </c>
      <c r="F796" s="3" t="s">
        <v>2486</v>
      </c>
      <c r="G796" s="3">
        <v>1.0</v>
      </c>
      <c r="H796" s="3">
        <v>0.0</v>
      </c>
      <c r="I796" s="3" t="s">
        <v>13</v>
      </c>
      <c r="J796" s="3" t="s">
        <v>2487</v>
      </c>
      <c r="K796" s="3" t="s">
        <v>15</v>
      </c>
      <c r="L796" s="3" t="str">
        <f>IFERROR(__xludf.DUMMYFUNCTION("GOOGLETRANSLATE(F796,""id"",""en"")"),"We use it on Tuesday because this night the World Cup final right")</f>
        <v>We use it on Tuesday because this night the World Cup final right</v>
      </c>
    </row>
    <row r="797" ht="15.75" customHeight="1">
      <c r="A797" s="1">
        <v>796.0</v>
      </c>
      <c r="B797" s="3" t="s">
        <v>2488</v>
      </c>
      <c r="C797" s="3">
        <v>0.0</v>
      </c>
      <c r="D797" s="3">
        <v>0.0</v>
      </c>
      <c r="E797" s="3">
        <v>0.0</v>
      </c>
      <c r="F797" s="3" t="s">
        <v>2489</v>
      </c>
      <c r="G797" s="3">
        <v>1.0</v>
      </c>
      <c r="H797" s="3">
        <v>0.0</v>
      </c>
      <c r="I797" s="3" t="s">
        <v>13</v>
      </c>
      <c r="J797" s="3" t="s">
        <v>2490</v>
      </c>
      <c r="K797" s="3" t="s">
        <v>71</v>
      </c>
      <c r="L797" s="3" t="str">
        <f>IFERROR(__xludf.DUMMYFUNCTION("GOOGLETRANSLATE(F797,""id"",""en"")"),"Mbappe should be given a standing ovation hat trick of the World Cup World Cup Final is indeed a Goat candidate")</f>
        <v>Mbappe should be given a standing ovation hat trick of the World Cup World Cup Final is indeed a Goat candidate</v>
      </c>
    </row>
    <row r="798" ht="15.75" customHeight="1">
      <c r="A798" s="1">
        <v>797.0</v>
      </c>
      <c r="B798" s="3" t="s">
        <v>2491</v>
      </c>
      <c r="C798" s="3">
        <v>0.0</v>
      </c>
      <c r="D798" s="3">
        <v>0.0</v>
      </c>
      <c r="E798" s="3">
        <v>0.0</v>
      </c>
      <c r="F798" s="3" t="s">
        <v>2492</v>
      </c>
      <c r="G798" s="3">
        <v>1.0</v>
      </c>
      <c r="H798" s="3">
        <v>0.0</v>
      </c>
      <c r="I798" s="3" t="s">
        <v>13</v>
      </c>
      <c r="J798" s="3" t="s">
        <v>2493</v>
      </c>
      <c r="K798" s="3" t="s">
        <v>75</v>
      </c>
      <c r="L798" s="3" t="str">
        <f>IFERROR(__xludf.DUMMYFUNCTION("GOOGLETRANSLATE(F798,""id"",""en"")"),"Mbappe Gokil Emi Martinez Cool The Best World Cup Final")</f>
        <v>Mbappe Gokil Emi Martinez Cool The Best World Cup Final</v>
      </c>
    </row>
    <row r="799" ht="15.75" customHeight="1">
      <c r="A799" s="1">
        <v>798.0</v>
      </c>
      <c r="B799" s="3" t="s">
        <v>2494</v>
      </c>
      <c r="C799" s="3">
        <v>0.0</v>
      </c>
      <c r="D799" s="3">
        <v>0.0</v>
      </c>
      <c r="E799" s="3">
        <v>0.0</v>
      </c>
      <c r="F799" s="3" t="s">
        <v>2495</v>
      </c>
      <c r="G799" s="3">
        <v>1.0</v>
      </c>
      <c r="H799" s="3">
        <v>0.0</v>
      </c>
      <c r="I799" s="3" t="s">
        <v>13</v>
      </c>
      <c r="J799" s="3" t="s">
        <v>2496</v>
      </c>
      <c r="K799" s="3" t="s">
        <v>1628</v>
      </c>
      <c r="L799" s="3" t="str">
        <f>IFERROR(__xludf.DUMMYFUNCTION("GOOGLETRANSLATE(F799,""id"",""en"")"),"Will Messi be expelled from France for defeating France Final Persis Rich in the Argentine World Cup Maradona defeated Italian exactly the semifinal Napoli even though the final champion was not champion or not")</f>
        <v>Will Messi be expelled from France for defeating France Final Persis Rich in the Argentine World Cup Maradona defeated Italian exactly the semifinal Napoli even though the final champion was not champion or not</v>
      </c>
    </row>
    <row r="800" ht="15.75" customHeight="1">
      <c r="A800" s="1">
        <v>799.0</v>
      </c>
      <c r="B800" s="3" t="s">
        <v>2497</v>
      </c>
      <c r="C800" s="3">
        <v>0.0</v>
      </c>
      <c r="D800" s="3">
        <v>0.0</v>
      </c>
      <c r="E800" s="3">
        <v>0.0</v>
      </c>
      <c r="F800" s="3" t="s">
        <v>2498</v>
      </c>
      <c r="G800" s="3">
        <v>1.0</v>
      </c>
      <c r="H800" s="3">
        <v>0.0</v>
      </c>
      <c r="I800" s="3" t="s">
        <v>13</v>
      </c>
      <c r="J800" s="3" t="s">
        <v>2499</v>
      </c>
      <c r="K800" s="3" t="s">
        <v>883</v>
      </c>
      <c r="L800" s="3" t="str">
        <f>IFERROR(__xludf.DUMMYFUNCTION("GOOGLETRANSLATE(F800,""id"",""en"")"),"Imagine the age of the year already printed the Best World Cup Final Hattrick against the World's Best Player Legend The Making Hats Off")</f>
        <v>Imagine the age of the year already printed the Best World Cup Final Hattrick against the World's Best Player Legend The Making Hats Off</v>
      </c>
    </row>
    <row r="801" ht="15.75" customHeight="1">
      <c r="A801" s="1">
        <v>800.0</v>
      </c>
      <c r="B801" s="3" t="s">
        <v>2500</v>
      </c>
      <c r="C801" s="3">
        <v>0.0</v>
      </c>
      <c r="D801" s="3">
        <v>0.0</v>
      </c>
      <c r="E801" s="3">
        <v>0.0</v>
      </c>
      <c r="F801" s="3" t="s">
        <v>2501</v>
      </c>
      <c r="G801" s="3">
        <v>1.0</v>
      </c>
      <c r="H801" s="3">
        <v>0.0</v>
      </c>
      <c r="I801" s="3" t="s">
        <v>13</v>
      </c>
      <c r="J801" s="3" t="s">
        <v>2502</v>
      </c>
      <c r="K801" s="3" t="s">
        <v>82</v>
      </c>
      <c r="L801" s="3" t="str">
        <f>IFERROR(__xludf.DUMMYFUNCTION("GOOGLETRANSLATE(F801,""id"",""en"")"),"World Cup Final The Most Beautiful Watch After Your Smile")</f>
        <v>World Cup Final The Most Beautiful Watch After Your Smile</v>
      </c>
    </row>
    <row r="802" ht="15.75" customHeight="1">
      <c r="A802" s="1">
        <v>801.0</v>
      </c>
      <c r="B802" s="3" t="s">
        <v>2503</v>
      </c>
      <c r="C802" s="3">
        <v>0.0</v>
      </c>
      <c r="D802" s="3">
        <v>0.0</v>
      </c>
      <c r="E802" s="3">
        <v>0.0</v>
      </c>
      <c r="F802" s="3" t="s">
        <v>2504</v>
      </c>
      <c r="G802" s="3">
        <v>1.0</v>
      </c>
      <c r="H802" s="3">
        <v>0.0</v>
      </c>
      <c r="I802" s="3" t="s">
        <v>13</v>
      </c>
      <c r="J802" s="3" t="s">
        <v>2505</v>
      </c>
      <c r="K802" s="3" t="s">
        <v>41</v>
      </c>
      <c r="L802" s="3" t="str">
        <f>IFERROR(__xludf.DUMMYFUNCTION("GOOGLETRANSLATE(F802,""id"",""en"")"),"It's great to be able to watch the World Cup final because the watching hours are still reasonable")</f>
        <v>It's great to be able to watch the World Cup final because the watching hours are still reasonable</v>
      </c>
    </row>
    <row r="803" ht="15.75" customHeight="1">
      <c r="A803" s="1">
        <v>802.0</v>
      </c>
      <c r="B803" s="3" t="s">
        <v>2506</v>
      </c>
      <c r="C803" s="3">
        <v>0.0</v>
      </c>
      <c r="D803" s="3">
        <v>0.0</v>
      </c>
      <c r="E803" s="3">
        <v>0.0</v>
      </c>
      <c r="F803" s="3" t="s">
        <v>2507</v>
      </c>
      <c r="G803" s="3">
        <v>1.0</v>
      </c>
      <c r="H803" s="3">
        <v>0.0</v>
      </c>
      <c r="I803" s="3" t="s">
        <v>13</v>
      </c>
      <c r="J803" s="3" t="s">
        <v>2508</v>
      </c>
      <c r="K803" s="3" t="s">
        <v>15</v>
      </c>
      <c r="L803" s="3" t="str">
        <f>IFERROR(__xludf.DUMMYFUNCTION("GOOGLETRANSLATE(F803,""id"",""en"")"),"Really this is the World Cup Final that thrills Argentina")</f>
        <v>Really this is the World Cup Final that thrills Argentina</v>
      </c>
    </row>
    <row r="804" ht="15.75" customHeight="1">
      <c r="A804" s="1">
        <v>803.0</v>
      </c>
      <c r="B804" s="3" t="s">
        <v>2509</v>
      </c>
      <c r="C804" s="3">
        <v>1.0</v>
      </c>
      <c r="D804" s="3">
        <v>0.0</v>
      </c>
      <c r="E804" s="3">
        <v>0.0</v>
      </c>
      <c r="F804" s="3" t="s">
        <v>2510</v>
      </c>
      <c r="G804" s="3">
        <v>1.0</v>
      </c>
      <c r="H804" s="3">
        <v>0.0</v>
      </c>
      <c r="I804" s="3" t="s">
        <v>13</v>
      </c>
      <c r="J804" s="3" t="s">
        <v>2511</v>
      </c>
      <c r="K804" s="3" t="s">
        <v>437</v>
      </c>
      <c r="L804" s="3" t="str">
        <f>IFERROR(__xludf.DUMMYFUNCTION("GOOGLETRANSLATE(F804,""id"",""en"")"),"The last time I watched the final of the KEK World Cup first when I was fasting to watch until morning with Mr. Wkwkwk")</f>
        <v>The last time I watched the final of the KEK World Cup first when I was fasting to watch until morning with Mr. Wkwkwk</v>
      </c>
    </row>
    <row r="805" ht="15.75" customHeight="1">
      <c r="A805" s="1">
        <v>804.0</v>
      </c>
      <c r="B805" s="3" t="s">
        <v>2512</v>
      </c>
      <c r="C805" s="3">
        <v>0.0</v>
      </c>
      <c r="D805" s="3">
        <v>0.0</v>
      </c>
      <c r="E805" s="3">
        <v>1.0</v>
      </c>
      <c r="F805" s="3" t="s">
        <v>2513</v>
      </c>
      <c r="G805" s="3">
        <v>1.0</v>
      </c>
      <c r="H805" s="3">
        <v>0.0</v>
      </c>
      <c r="I805" s="3" t="s">
        <v>13</v>
      </c>
      <c r="J805" s="3" t="s">
        <v>2514</v>
      </c>
      <c r="K805" s="3" t="s">
        <v>19</v>
      </c>
      <c r="L805" s="3" t="str">
        <f>IFERROR(__xludf.DUMMYFUNCTION("GOOGLETRANSLATE(F805,""id"",""en"")"),"First see the final of the Year World Cup and until now the most exciting is amazing")</f>
        <v>First see the final of the Year World Cup and until now the most exciting is amazing</v>
      </c>
    </row>
    <row r="806" ht="15.75" customHeight="1">
      <c r="A806" s="1">
        <v>805.0</v>
      </c>
      <c r="B806" s="3" t="s">
        <v>2515</v>
      </c>
      <c r="C806" s="3">
        <v>0.0</v>
      </c>
      <c r="D806" s="3">
        <v>0.0</v>
      </c>
      <c r="E806" s="3">
        <v>1.0</v>
      </c>
      <c r="F806" s="3" t="s">
        <v>2516</v>
      </c>
      <c r="G806" s="3">
        <v>1.0</v>
      </c>
      <c r="H806" s="3">
        <v>0.0</v>
      </c>
      <c r="I806" s="3" t="s">
        <v>13</v>
      </c>
      <c r="J806" s="3" t="s">
        <v>2517</v>
      </c>
      <c r="K806" s="3" t="s">
        <v>19</v>
      </c>
      <c r="L806" s="3" t="str">
        <f>IFERROR(__xludf.DUMMYFUNCTION("GOOGLETRANSLATE(F806,""id"",""en"")"),"Kylian Mbappe Print Hat Trick Final World Cup Samai Record Geoff Hurst")</f>
        <v>Kylian Mbappe Print Hat Trick Final World Cup Samai Record Geoff Hurst</v>
      </c>
    </row>
    <row r="807" ht="15.75" customHeight="1">
      <c r="A807" s="1">
        <v>806.0</v>
      </c>
      <c r="B807" s="3" t="s">
        <v>2518</v>
      </c>
      <c r="C807" s="3">
        <v>0.0</v>
      </c>
      <c r="D807" s="3">
        <v>0.0</v>
      </c>
      <c r="E807" s="3">
        <v>0.0</v>
      </c>
      <c r="F807" s="3" t="s">
        <v>2519</v>
      </c>
      <c r="G807" s="3">
        <v>1.0</v>
      </c>
      <c r="H807" s="3">
        <v>0.0</v>
      </c>
      <c r="I807" s="3" t="s">
        <v>13</v>
      </c>
      <c r="J807" s="3" t="s">
        <v>2520</v>
      </c>
      <c r="K807" s="3" t="s">
        <v>75</v>
      </c>
      <c r="L807" s="3" t="str">
        <f>IFERROR(__xludf.DUMMYFUNCTION("GOOGLETRANSLATE(F807,""id"",""en"")"),"Youth Perindo Jakarta Holds Nobar Final World Cup Society Enthusiastic")</f>
        <v>Youth Perindo Jakarta Holds Nobar Final World Cup Society Enthusiastic</v>
      </c>
    </row>
    <row r="808" ht="15.75" customHeight="1">
      <c r="A808" s="1">
        <v>807.0</v>
      </c>
      <c r="B808" s="3" t="s">
        <v>2521</v>
      </c>
      <c r="C808" s="3">
        <v>0.0</v>
      </c>
      <c r="D808" s="3">
        <v>0.0</v>
      </c>
      <c r="E808" s="3">
        <v>0.0</v>
      </c>
      <c r="F808" s="3" t="s">
        <v>2522</v>
      </c>
      <c r="G808" s="3">
        <v>0.75</v>
      </c>
      <c r="H808" s="3">
        <v>0.06818181818181818</v>
      </c>
      <c r="I808" s="3" t="s">
        <v>48</v>
      </c>
      <c r="J808" s="3" t="s">
        <v>2523</v>
      </c>
      <c r="K808" s="3" t="s">
        <v>19</v>
      </c>
      <c r="L808" s="3" t="str">
        <f>IFERROR(__xludf.DUMMYFUNCTION("GOOGLETRANSLATE(F808,""id"",""en"")"),"Live Report of Argentina French Final World Cup World Cnn Indonesia Google Sports News")</f>
        <v>Live Report of Argentina French Final World Cup World Cnn Indonesia Google Sports News</v>
      </c>
    </row>
    <row r="809" ht="15.75" customHeight="1">
      <c r="A809" s="1">
        <v>808.0</v>
      </c>
      <c r="B809" s="3" t="s">
        <v>2524</v>
      </c>
      <c r="C809" s="3">
        <v>0.0</v>
      </c>
      <c r="D809" s="3">
        <v>0.0</v>
      </c>
      <c r="E809" s="3">
        <v>0.0</v>
      </c>
      <c r="F809" s="3" t="s">
        <v>2525</v>
      </c>
      <c r="G809" s="3">
        <v>1.0</v>
      </c>
      <c r="H809" s="3">
        <v>0.0</v>
      </c>
      <c r="I809" s="3" t="s">
        <v>13</v>
      </c>
      <c r="J809" s="3" t="s">
        <v>2526</v>
      </c>
      <c r="K809" s="3" t="s">
        <v>477</v>
      </c>
      <c r="L809" s="3" t="str">
        <f>IFERROR(__xludf.DUMMYFUNCTION("GOOGLETRANSLATE(F809,""id"",""en"")"),"The World Cup Final was excited after the final was not really WAS")</f>
        <v>The World Cup Final was excited after the final was not really WAS</v>
      </c>
    </row>
    <row r="810" ht="15.75" customHeight="1">
      <c r="A810" s="1">
        <v>809.0</v>
      </c>
      <c r="B810" s="3" t="s">
        <v>2527</v>
      </c>
      <c r="C810" s="3">
        <v>0.0</v>
      </c>
      <c r="D810" s="3">
        <v>0.0</v>
      </c>
      <c r="E810" s="3">
        <v>1.0</v>
      </c>
      <c r="F810" s="3" t="s">
        <v>2528</v>
      </c>
      <c r="G810" s="3">
        <v>0.7</v>
      </c>
      <c r="H810" s="3">
        <v>-0.2</v>
      </c>
      <c r="I810" s="3" t="s">
        <v>179</v>
      </c>
      <c r="J810" s="3" t="s">
        <v>2529</v>
      </c>
      <c r="K810" s="3" t="s">
        <v>883</v>
      </c>
      <c r="L810" s="3" t="str">
        <f>IFERROR(__xludf.DUMMYFUNCTION("GOOGLETRANSLATE(F810,""id"",""en"")"),"What a Lucky Game can be a witness to the Final of the Best World Cup Drama Drama Drama Closes with Argentina Congrats Penalty Drama")</f>
        <v>What a Lucky Game can be a witness to the Final of the Best World Cup Drama Drama Drama Closes with Argentina Congrats Penalty Drama</v>
      </c>
    </row>
    <row r="811" ht="15.75" customHeight="1">
      <c r="A811" s="1">
        <v>810.0</v>
      </c>
      <c r="B811" s="3" t="s">
        <v>2530</v>
      </c>
      <c r="C811" s="3">
        <v>0.0</v>
      </c>
      <c r="D811" s="3">
        <v>0.0</v>
      </c>
      <c r="E811" s="3">
        <v>0.0</v>
      </c>
      <c r="F811" s="3" t="s">
        <v>2531</v>
      </c>
      <c r="G811" s="3">
        <v>1.0</v>
      </c>
      <c r="H811" s="3">
        <v>0.0</v>
      </c>
      <c r="I811" s="3" t="s">
        <v>13</v>
      </c>
      <c r="J811" s="3" t="s">
        <v>2532</v>
      </c>
      <c r="K811" s="3" t="s">
        <v>58</v>
      </c>
      <c r="L811" s="3" t="str">
        <f>IFERROR(__xludf.DUMMYFUNCTION("GOOGLETRANSLATE(F811,""id"",""en"")"),"Mbape three days later reportedly Manyabu after the World Cup final seemed to be able to forgive")</f>
        <v>Mbape three days later reportedly Manyabu after the World Cup final seemed to be able to forgive</v>
      </c>
    </row>
    <row r="812" ht="15.75" customHeight="1">
      <c r="A812" s="1">
        <v>811.0</v>
      </c>
      <c r="B812" s="3" t="s">
        <v>2533</v>
      </c>
      <c r="C812" s="3">
        <v>0.0</v>
      </c>
      <c r="D812" s="3">
        <v>0.0</v>
      </c>
      <c r="E812" s="3">
        <v>0.0</v>
      </c>
      <c r="F812" s="3" t="s">
        <v>2534</v>
      </c>
      <c r="G812" s="3">
        <v>1.0</v>
      </c>
      <c r="H812" s="3">
        <v>0.0</v>
      </c>
      <c r="I812" s="3" t="s">
        <v>13</v>
      </c>
      <c r="J812" s="3" t="s">
        <v>2535</v>
      </c>
      <c r="K812" s="3" t="s">
        <v>123</v>
      </c>
      <c r="L812" s="3" t="str">
        <f>IFERROR(__xludf.DUMMYFUNCTION("GOOGLETRANSLATE(F812,""id"",""en"")"),"The best final of the World Cup, this is happy Argentina, waiting for a piece")</f>
        <v>The best final of the World Cup, this is happy Argentina, waiting for a piece</v>
      </c>
    </row>
    <row r="813" ht="15.75" customHeight="1">
      <c r="A813" s="1">
        <v>812.0</v>
      </c>
      <c r="B813" s="3" t="s">
        <v>2536</v>
      </c>
      <c r="C813" s="3">
        <v>0.0</v>
      </c>
      <c r="D813" s="3">
        <v>0.0</v>
      </c>
      <c r="E813" s="3">
        <v>1.0</v>
      </c>
      <c r="F813" s="3" t="s">
        <v>2537</v>
      </c>
      <c r="G813" s="3">
        <v>1.0</v>
      </c>
      <c r="H813" s="3">
        <v>0.0</v>
      </c>
      <c r="I813" s="3" t="s">
        <v>13</v>
      </c>
      <c r="J813" s="3" t="s">
        <v>2538</v>
      </c>
      <c r="K813" s="3" t="s">
        <v>2023</v>
      </c>
      <c r="L813" s="3" t="str">
        <f>IFERROR(__xludf.DUMMYFUNCTION("GOOGLETRANSLATE(F813,""id"",""en"")"),"Alhamdulillah, the best World Cup MMG I once witnessed that as much as this is the addition of the best final, as well as this, winning the winning mmg to win is no less fully mbappe")</f>
        <v>Alhamdulillah, the best World Cup MMG I once witnessed that as much as this is the addition of the best final, as well as this, winning the winning mmg to win is no less fully mbappe</v>
      </c>
    </row>
    <row r="814" ht="15.75" customHeight="1">
      <c r="A814" s="1">
        <v>813.0</v>
      </c>
      <c r="B814" s="3" t="s">
        <v>2539</v>
      </c>
      <c r="C814" s="3">
        <v>0.0</v>
      </c>
      <c r="D814" s="3">
        <v>0.0</v>
      </c>
      <c r="E814" s="3">
        <v>0.0</v>
      </c>
      <c r="F814" s="3" t="s">
        <v>2540</v>
      </c>
      <c r="G814" s="3">
        <v>1.0</v>
      </c>
      <c r="H814" s="3">
        <v>0.0</v>
      </c>
      <c r="I814" s="3" t="s">
        <v>13</v>
      </c>
      <c r="J814" s="3" t="s">
        <v>2541</v>
      </c>
      <c r="K814" s="3" t="s">
        <v>35</v>
      </c>
      <c r="L814" s="3" t="str">
        <f>IFERROR(__xludf.DUMMYFUNCTION("GOOGLETRANSLATE(F814,""id"",""en"")"),"Argentine French World Cup Final Congratulations for Argentina and Lionel Messi")</f>
        <v>Argentine French World Cup Final Congratulations for Argentina and Lionel Messi</v>
      </c>
    </row>
    <row r="815" ht="15.75" customHeight="1">
      <c r="A815" s="1">
        <v>814.0</v>
      </c>
      <c r="B815" s="3" t="s">
        <v>2542</v>
      </c>
      <c r="C815" s="3">
        <v>0.0</v>
      </c>
      <c r="D815" s="3">
        <v>2.0</v>
      </c>
      <c r="E815" s="3">
        <v>3.0</v>
      </c>
      <c r="F815" s="3" t="s">
        <v>803</v>
      </c>
      <c r="G815" s="3">
        <v>0.75</v>
      </c>
      <c r="H815" s="3">
        <v>0.25</v>
      </c>
      <c r="I815" s="3" t="s">
        <v>48</v>
      </c>
      <c r="J815" s="3" t="s">
        <v>804</v>
      </c>
      <c r="K815" s="3" t="s">
        <v>41</v>
      </c>
      <c r="L815" s="3" t="str">
        <f>IFERROR(__xludf.DUMMYFUNCTION("GOOGLETRANSLATE(F815,""id"",""en"")"),"MBAPPE World Cup Final Top Score Messi Best Player")</f>
        <v>MBAPPE World Cup Final Top Score Messi Best Player</v>
      </c>
    </row>
    <row r="816" ht="15.75" customHeight="1">
      <c r="A816" s="1">
        <v>815.0</v>
      </c>
      <c r="B816" s="3" t="s">
        <v>2543</v>
      </c>
      <c r="C816" s="3">
        <v>0.0</v>
      </c>
      <c r="D816" s="3">
        <v>0.0</v>
      </c>
      <c r="E816" s="3">
        <v>0.0</v>
      </c>
      <c r="F816" s="3" t="s">
        <v>2544</v>
      </c>
      <c r="G816" s="3">
        <v>1.0</v>
      </c>
      <c r="H816" s="3">
        <v>0.0</v>
      </c>
      <c r="I816" s="3" t="s">
        <v>13</v>
      </c>
      <c r="J816" s="3" t="s">
        <v>2545</v>
      </c>
      <c r="K816" s="3" t="s">
        <v>15</v>
      </c>
      <c r="L816" s="3" t="str">
        <f>IFERROR(__xludf.DUMMYFUNCTION("GOOGLETRANSLATE(F816,""id"",""en"")"),"But Kudos is also mbappe at this age of the World Cup Final Hattrick")</f>
        <v>But Kudos is also mbappe at this age of the World Cup Final Hattrick</v>
      </c>
    </row>
    <row r="817" ht="15.75" customHeight="1">
      <c r="A817" s="1">
        <v>816.0</v>
      </c>
      <c r="B817" s="3" t="s">
        <v>2546</v>
      </c>
      <c r="C817" s="3">
        <v>0.0</v>
      </c>
      <c r="D817" s="3">
        <v>0.0</v>
      </c>
      <c r="E817" s="3">
        <v>0.0</v>
      </c>
      <c r="F817" s="3" t="s">
        <v>2547</v>
      </c>
      <c r="G817" s="3">
        <v>0.7666666666666666</v>
      </c>
      <c r="H817" s="3">
        <v>0.3333333333333333</v>
      </c>
      <c r="I817" s="3" t="s">
        <v>48</v>
      </c>
      <c r="J817" s="3" t="s">
        <v>2548</v>
      </c>
      <c r="K817" s="3" t="s">
        <v>633</v>
      </c>
      <c r="L817" s="3" t="str">
        <f>IFERROR(__xludf.DUMMYFUNCTION("GOOGLETRANSLATE(F817,""id"",""en"")"),"Appreciation for Kylian Mbappe Hattrick Final World Cup almost drowned the first minute creating a miracle but not enough to thwart the universe with the Best Final Ever")</f>
        <v>Appreciation for Kylian Mbappe Hattrick Final World Cup almost drowned the first minute creating a miracle but not enough to thwart the universe with the Best Final Ever</v>
      </c>
    </row>
    <row r="818" ht="15.75" customHeight="1">
      <c r="A818" s="1">
        <v>817.0</v>
      </c>
      <c r="B818" s="3" t="s">
        <v>2549</v>
      </c>
      <c r="C818" s="3">
        <v>0.0</v>
      </c>
      <c r="D818" s="3">
        <v>0.0</v>
      </c>
      <c r="E818" s="3">
        <v>1.0</v>
      </c>
      <c r="F818" s="3" t="s">
        <v>2550</v>
      </c>
      <c r="G818" s="3">
        <v>1.0</v>
      </c>
      <c r="H818" s="3">
        <v>0.0</v>
      </c>
      <c r="I818" s="3" t="s">
        <v>13</v>
      </c>
      <c r="J818" s="3" t="s">
        <v>2551</v>
      </c>
      <c r="K818" s="3" t="s">
        <v>484</v>
      </c>
      <c r="L818" s="3" t="str">
        <f>IFERROR(__xludf.DUMMYFUNCTION("GOOGLETRANSLATE(F818,""id"",""en"")"),"Luckily, I could see the world's best final and witnessed the best soccer player to lift the trophy")</f>
        <v>Luckily, I could see the world's best final and witnessed the best soccer player to lift the trophy</v>
      </c>
    </row>
    <row r="819" ht="15.75" customHeight="1">
      <c r="A819" s="1">
        <v>818.0</v>
      </c>
      <c r="B819" s="3" t="s">
        <v>2552</v>
      </c>
      <c r="C819" s="3">
        <v>0.0</v>
      </c>
      <c r="D819" s="3">
        <v>0.0</v>
      </c>
      <c r="E819" s="3">
        <v>0.0</v>
      </c>
      <c r="F819" s="3" t="s">
        <v>2553</v>
      </c>
      <c r="G819" s="3">
        <v>1.0</v>
      </c>
      <c r="H819" s="3">
        <v>0.0</v>
      </c>
      <c r="I819" s="3" t="s">
        <v>13</v>
      </c>
      <c r="J819" s="3" t="s">
        <v>2554</v>
      </c>
      <c r="K819" s="3" t="s">
        <v>15</v>
      </c>
      <c r="L819" s="3" t="str">
        <f>IFERROR(__xludf.DUMMYFUNCTION("GOOGLETRANSLATE(F819,""id"",""en"")"),"regret even though France loses this World Cup Final was excited")</f>
        <v>regret even though France loses this World Cup Final was excited</v>
      </c>
    </row>
    <row r="820" ht="15.75" customHeight="1">
      <c r="A820" s="1">
        <v>819.0</v>
      </c>
      <c r="B820" s="3" t="s">
        <v>2555</v>
      </c>
      <c r="C820" s="3">
        <v>0.0</v>
      </c>
      <c r="D820" s="3">
        <v>0.0</v>
      </c>
      <c r="E820" s="3">
        <v>0.0</v>
      </c>
      <c r="F820" s="3" t="s">
        <v>2556</v>
      </c>
      <c r="G820" s="3">
        <v>1.0</v>
      </c>
      <c r="H820" s="3">
        <v>0.0</v>
      </c>
      <c r="I820" s="3" t="s">
        <v>13</v>
      </c>
      <c r="J820" s="3" t="s">
        <v>2557</v>
      </c>
      <c r="K820" s="3" t="s">
        <v>15</v>
      </c>
      <c r="L820" s="3" t="str">
        <f>IFERROR(__xludf.DUMMYFUNCTION("GOOGLETRANSLATE(F820,""id"",""en"")"),"Mbappe scored the most goals in the history of the World Cup Final")</f>
        <v>Mbappe scored the most goals in the history of the World Cup Final</v>
      </c>
    </row>
    <row r="821" ht="15.75" customHeight="1">
      <c r="A821" s="1">
        <v>820.0</v>
      </c>
      <c r="B821" s="3" t="s">
        <v>2558</v>
      </c>
      <c r="C821" s="3">
        <v>0.0</v>
      </c>
      <c r="D821" s="3">
        <v>0.0</v>
      </c>
      <c r="E821" s="3">
        <v>3.0</v>
      </c>
      <c r="F821" s="3" t="s">
        <v>2559</v>
      </c>
      <c r="G821" s="3">
        <v>0.3333333333333333</v>
      </c>
      <c r="H821" s="3">
        <v>0.0</v>
      </c>
      <c r="I821" s="3" t="s">
        <v>13</v>
      </c>
      <c r="J821" s="3" t="s">
        <v>2560</v>
      </c>
      <c r="K821" s="3" t="s">
        <v>123</v>
      </c>
      <c r="L821" s="3" t="str">
        <f>IFERROR(__xludf.DUMMYFUNCTION("GOOGLETRANSLATE(F821,""id"",""en"")"),"Mbappe at the age of being able to bring France Back Back Final of the World Cup Final is an extraordinary achievement")</f>
        <v>Mbappe at the age of being able to bring France Back Back Final of the World Cup Final is an extraordinary achievement</v>
      </c>
    </row>
    <row r="822" ht="15.75" customHeight="1">
      <c r="A822" s="1">
        <v>821.0</v>
      </c>
      <c r="B822" s="3" t="s">
        <v>2561</v>
      </c>
      <c r="C822" s="3">
        <v>0.0</v>
      </c>
      <c r="D822" s="3">
        <v>0.0</v>
      </c>
      <c r="E822" s="3">
        <v>0.0</v>
      </c>
      <c r="F822" s="3" t="s">
        <v>2562</v>
      </c>
      <c r="G822" s="3">
        <v>1.0</v>
      </c>
      <c r="H822" s="3">
        <v>0.0</v>
      </c>
      <c r="I822" s="3" t="s">
        <v>13</v>
      </c>
      <c r="J822" s="3" t="s">
        <v>2563</v>
      </c>
      <c r="K822" s="3" t="s">
        <v>58</v>
      </c>
      <c r="L822" s="3" t="str">
        <f>IFERROR(__xludf.DUMMYFUNCTION("GOOGLETRANSLATE(F822,""id"",""en"")"),"who said the Qatar World Cup this year Kureng was exciting, just bacottt just saw the final as exciting as this")</f>
        <v>who said the Qatar World Cup this year Kureng was exciting, just bacottt just saw the final as exciting as this</v>
      </c>
    </row>
    <row r="823" ht="15.75" customHeight="1">
      <c r="A823" s="1">
        <v>822.0</v>
      </c>
      <c r="B823" s="3" t="s">
        <v>2564</v>
      </c>
      <c r="C823" s="3">
        <v>0.0</v>
      </c>
      <c r="D823" s="3">
        <v>0.0</v>
      </c>
      <c r="E823" s="3">
        <v>0.0</v>
      </c>
      <c r="F823" s="3" t="s">
        <v>2565</v>
      </c>
      <c r="G823" s="3">
        <v>1.0</v>
      </c>
      <c r="H823" s="3">
        <v>0.0</v>
      </c>
      <c r="I823" s="3" t="s">
        <v>13</v>
      </c>
      <c r="J823" s="3" t="s">
        <v>2566</v>
      </c>
      <c r="K823" s="3" t="s">
        <v>82</v>
      </c>
      <c r="L823" s="3" t="str">
        <f>IFERROR(__xludf.DUMMYFUNCTION("GOOGLETRANSLATE(F823,""id"",""en"")"),"The final results of the Argentine French World Cup passing by")</f>
        <v>The final results of the Argentine French World Cup passing by</v>
      </c>
    </row>
    <row r="824" ht="15.75" customHeight="1">
      <c r="A824" s="1">
        <v>823.0</v>
      </c>
      <c r="B824" s="3" t="s">
        <v>2567</v>
      </c>
      <c r="C824" s="3">
        <v>0.0</v>
      </c>
      <c r="D824" s="3">
        <v>0.0</v>
      </c>
      <c r="E824" s="3">
        <v>0.0</v>
      </c>
      <c r="F824" s="3" t="s">
        <v>2568</v>
      </c>
      <c r="G824" s="3">
        <v>1.0</v>
      </c>
      <c r="H824" s="3">
        <v>0.0</v>
      </c>
      <c r="I824" s="3" t="s">
        <v>13</v>
      </c>
      <c r="J824" s="3" t="s">
        <v>2569</v>
      </c>
      <c r="K824" s="3" t="s">
        <v>31</v>
      </c>
      <c r="L824" s="3" t="str">
        <f>IFERROR(__xludf.DUMMYFUNCTION("GOOGLETRANSLATE(F824,""id"",""en"")"),"From this, the final was excited about the World Cup")</f>
        <v>From this, the final was excited about the World Cup</v>
      </c>
    </row>
    <row r="825" ht="15.75" customHeight="1">
      <c r="A825" s="1">
        <v>824.0</v>
      </c>
      <c r="B825" s="3" t="s">
        <v>2570</v>
      </c>
      <c r="C825" s="3">
        <v>0.0</v>
      </c>
      <c r="D825" s="3">
        <v>0.0</v>
      </c>
      <c r="E825" s="3">
        <v>1.0</v>
      </c>
      <c r="F825" s="3" t="s">
        <v>2571</v>
      </c>
      <c r="G825" s="3">
        <v>1.0</v>
      </c>
      <c r="H825" s="3">
        <v>0.0</v>
      </c>
      <c r="I825" s="3" t="s">
        <v>13</v>
      </c>
      <c r="J825" s="3" t="s">
        <v>2572</v>
      </c>
      <c r="K825" s="3" t="s">
        <v>633</v>
      </c>
      <c r="L825" s="3" t="str">
        <f>IFERROR(__xludf.DUMMYFUNCTION("GOOGLETRANSLATE(F825,""id"",""en"")"),"This year's world cup is the best but at the same time the worst for Indonesian audiences why because of the bad broadcaster makes the experience of watching the final instead")</f>
        <v>This year's world cup is the best but at the same time the worst for Indonesian audiences why because of the bad broadcaster makes the experience of watching the final instead</v>
      </c>
    </row>
    <row r="826" ht="15.75" customHeight="1">
      <c r="A826" s="1">
        <v>825.0</v>
      </c>
      <c r="B826" s="3" t="s">
        <v>2573</v>
      </c>
      <c r="C826" s="3">
        <v>0.0</v>
      </c>
      <c r="D826" s="3">
        <v>0.0</v>
      </c>
      <c r="E826" s="3">
        <v>0.0</v>
      </c>
      <c r="F826" s="3" t="s">
        <v>2574</v>
      </c>
      <c r="G826" s="3">
        <v>0.5666666666666668</v>
      </c>
      <c r="H826" s="3">
        <v>0.1</v>
      </c>
      <c r="I826" s="3" t="s">
        <v>48</v>
      </c>
      <c r="J826" s="3" t="s">
        <v>2575</v>
      </c>
      <c r="K826" s="3" t="s">
        <v>903</v>
      </c>
      <c r="L826" s="3" t="str">
        <f>IFERROR(__xludf.DUMMYFUNCTION("GOOGLETRANSLATE(F826,""id"",""en"")"),"graduated from the Real Goat's debate actually enjoy your day Pulga and this is the World Cup with the Final Best Drama after the South African World Cup Epic Moment")</f>
        <v>graduated from the Real Goat's debate actually enjoy your day Pulga and this is the World Cup with the Final Best Drama after the South African World Cup Epic Moment</v>
      </c>
    </row>
    <row r="827" ht="15.75" customHeight="1">
      <c r="A827" s="1">
        <v>826.0</v>
      </c>
      <c r="B827" s="3" t="s">
        <v>2576</v>
      </c>
      <c r="C827" s="3">
        <v>0.0</v>
      </c>
      <c r="D827" s="3">
        <v>0.0</v>
      </c>
      <c r="E827" s="3">
        <v>0.0</v>
      </c>
      <c r="F827" s="3" t="s">
        <v>2577</v>
      </c>
      <c r="G827" s="3">
        <v>1.0</v>
      </c>
      <c r="H827" s="3">
        <v>0.0</v>
      </c>
      <c r="I827" s="3" t="s">
        <v>13</v>
      </c>
      <c r="J827" s="3" t="s">
        <v>2578</v>
      </c>
      <c r="K827" s="3" t="s">
        <v>50</v>
      </c>
      <c r="L827" s="3" t="str">
        <f>IFERROR(__xludf.DUMMYFUNCTION("GOOGLETRANSLATE(F827,""id"",""en"")"),"This is the best World Cup final since I first watched last year")</f>
        <v>This is the best World Cup final since I first watched last year</v>
      </c>
    </row>
    <row r="828" ht="15.75" customHeight="1">
      <c r="A828" s="1">
        <v>827.0</v>
      </c>
      <c r="B828" s="3" t="s">
        <v>2579</v>
      </c>
      <c r="C828" s="3">
        <v>0.0</v>
      </c>
      <c r="D828" s="3">
        <v>0.0</v>
      </c>
      <c r="E828" s="3">
        <v>0.0</v>
      </c>
      <c r="F828" s="3" t="s">
        <v>2580</v>
      </c>
      <c r="G828" s="3">
        <v>1.0</v>
      </c>
      <c r="H828" s="3">
        <v>0.0</v>
      </c>
      <c r="I828" s="3" t="s">
        <v>13</v>
      </c>
      <c r="J828" s="3" t="s">
        <v>2581</v>
      </c>
      <c r="K828" s="3" t="s">
        <v>54</v>
      </c>
      <c r="L828" s="3" t="str">
        <f>IFERROR(__xludf.DUMMYFUNCTION("GOOGLETRANSLATE(F828,""id"",""en"")"),"The World Cup Final is crazy about all time")</f>
        <v>The World Cup Final is crazy about all time</v>
      </c>
    </row>
    <row r="829" ht="15.75" customHeight="1">
      <c r="A829" s="1">
        <v>828.0</v>
      </c>
      <c r="B829" s="3" t="s">
        <v>2582</v>
      </c>
      <c r="C829" s="3">
        <v>0.0</v>
      </c>
      <c r="D829" s="3">
        <v>0.0</v>
      </c>
      <c r="E829" s="3">
        <v>0.0</v>
      </c>
      <c r="F829" s="3" t="s">
        <v>2583</v>
      </c>
      <c r="G829" s="3">
        <v>1.0</v>
      </c>
      <c r="H829" s="3">
        <v>0.0</v>
      </c>
      <c r="I829" s="3" t="s">
        <v>13</v>
      </c>
      <c r="J829" s="3" t="s">
        <v>2584</v>
      </c>
      <c r="K829" s="3" t="s">
        <v>240</v>
      </c>
      <c r="L829" s="3" t="str">
        <f>IFERROR(__xludf.DUMMYFUNCTION("GOOGLETRANSLATE(F829,""id"",""en"")"),"Football Unifying the Best Final Party Nations I've ever seen and the next year I watched the World Cup with my wife's wife")</f>
        <v>Football Unifying the Best Final Party Nations I've ever seen and the next year I watched the World Cup with my wife's wife</v>
      </c>
    </row>
    <row r="830" ht="15.75" customHeight="1">
      <c r="A830" s="1">
        <v>829.0</v>
      </c>
      <c r="B830" s="3" t="s">
        <v>2585</v>
      </c>
      <c r="C830" s="3">
        <v>0.0</v>
      </c>
      <c r="D830" s="3">
        <v>0.0</v>
      </c>
      <c r="E830" s="3">
        <v>0.0</v>
      </c>
      <c r="F830" s="3" t="s">
        <v>2586</v>
      </c>
      <c r="G830" s="3">
        <v>1.0</v>
      </c>
      <c r="H830" s="3">
        <v>0.0</v>
      </c>
      <c r="I830" s="3" t="s">
        <v>13</v>
      </c>
      <c r="J830" s="3" t="s">
        <v>2587</v>
      </c>
      <c r="K830" s="3" t="s">
        <v>41</v>
      </c>
      <c r="L830" s="3" t="str">
        <f>IFERROR(__xludf.DUMMYFUNCTION("GOOGLETRANSLATE(F830,""id"",""en"")"),"how come it's already final just want to watch the world cup")</f>
        <v>how come it's already final just want to watch the world cup</v>
      </c>
    </row>
    <row r="831" ht="15.75" customHeight="1">
      <c r="A831" s="1">
        <v>830.0</v>
      </c>
      <c r="B831" s="3" t="s">
        <v>2588</v>
      </c>
      <c r="C831" s="3">
        <v>0.0</v>
      </c>
      <c r="D831" s="3">
        <v>0.0</v>
      </c>
      <c r="E831" s="3">
        <v>1.0</v>
      </c>
      <c r="F831" s="3" t="s">
        <v>2589</v>
      </c>
      <c r="G831" s="3">
        <v>1.0</v>
      </c>
      <c r="H831" s="3">
        <v>0.3</v>
      </c>
      <c r="I831" s="3" t="s">
        <v>48</v>
      </c>
      <c r="J831" s="3" t="s">
        <v>2590</v>
      </c>
      <c r="K831" s="3" t="s">
        <v>41</v>
      </c>
      <c r="L831" s="3" t="str">
        <f>IFERROR(__xludf.DUMMYFUNCTION("GOOGLETRANSLATE(F831,""id"",""en"")"),"The World Cup Final was exclaimed by Nice Try France Congrats Argentina")</f>
        <v>The World Cup Final was exclaimed by Nice Try France Congrats Argentina</v>
      </c>
    </row>
    <row r="832" ht="15.75" customHeight="1">
      <c r="A832" s="1">
        <v>831.0</v>
      </c>
      <c r="B832" s="3" t="s">
        <v>2591</v>
      </c>
      <c r="C832" s="3">
        <v>0.0</v>
      </c>
      <c r="D832" s="3">
        <v>0.0</v>
      </c>
      <c r="E832" s="3">
        <v>0.0</v>
      </c>
      <c r="F832" s="3" t="s">
        <v>2592</v>
      </c>
      <c r="G832" s="3">
        <v>1.0</v>
      </c>
      <c r="H832" s="3">
        <v>0.0</v>
      </c>
      <c r="I832" s="3" t="s">
        <v>13</v>
      </c>
      <c r="J832" s="3" t="s">
        <v>2593</v>
      </c>
      <c r="K832" s="3" t="s">
        <v>54</v>
      </c>
      <c r="L832" s="3" t="str">
        <f>IFERROR(__xludf.DUMMYFUNCTION("GOOGLETRANSLATE(F832,""id"",""en"")"),"Fix, this is a very exciting world cup final")</f>
        <v>Fix, this is a very exciting world cup final</v>
      </c>
    </row>
    <row r="833" ht="15.75" customHeight="1">
      <c r="A833" s="1">
        <v>832.0</v>
      </c>
      <c r="B833" s="3" t="s">
        <v>2594</v>
      </c>
      <c r="C833" s="3">
        <v>0.0</v>
      </c>
      <c r="D833" s="3">
        <v>0.0</v>
      </c>
      <c r="E833" s="3">
        <v>1.0</v>
      </c>
      <c r="F833" s="3" t="s">
        <v>2595</v>
      </c>
      <c r="G833" s="3">
        <v>0.8333333333333334</v>
      </c>
      <c r="H833" s="3">
        <v>0.1666666666666667</v>
      </c>
      <c r="I833" s="3" t="s">
        <v>48</v>
      </c>
      <c r="J833" s="3" t="s">
        <v>2596</v>
      </c>
      <c r="K833" s="3" t="s">
        <v>2597</v>
      </c>
      <c r="L833" s="3" t="str">
        <f>IFERROR(__xludf.DUMMYFUNCTION("GOOGLETRANSLATE(F833,""id"",""en"")"),"Messi Final World Cup Messi Final World Cup Messi's dream came true after last year's final world cup lost the final against German World Cup he followed since and finally lifted the trophy as well as the Greatest Footballer All Time")</f>
        <v>Messi Final World Cup Messi Final World Cup Messi's dream came true after last year's final world cup lost the final against German World Cup he followed since and finally lifted the trophy as well as the Greatest Footballer All Time</v>
      </c>
    </row>
    <row r="834" ht="15.75" customHeight="1">
      <c r="A834" s="1">
        <v>833.0</v>
      </c>
      <c r="B834" s="3" t="s">
        <v>2598</v>
      </c>
      <c r="C834" s="3">
        <v>0.0</v>
      </c>
      <c r="D834" s="3">
        <v>0.0</v>
      </c>
      <c r="E834" s="3">
        <v>0.0</v>
      </c>
      <c r="F834" s="3" t="s">
        <v>2599</v>
      </c>
      <c r="G834" s="3">
        <v>0.7</v>
      </c>
      <c r="H834" s="3">
        <v>0.05</v>
      </c>
      <c r="I834" s="3" t="s">
        <v>48</v>
      </c>
      <c r="J834" s="3" t="s">
        <v>2600</v>
      </c>
      <c r="K834" s="3" t="s">
        <v>172</v>
      </c>
      <c r="L834" s="3" t="str">
        <f>IFERROR(__xludf.DUMMYFUNCTION("GOOGLETRANSLATE(F834,""id"",""en"")"),"finished with the implementation of the World Cup Thank you Qatar for giving the stage for all the World Cup matches this year the final is very epic once again Congratulations for Argentina and See You USA Canada Mexico")</f>
        <v>finished with the implementation of the World Cup Thank you Qatar for giving the stage for all the World Cup matches this year the final is very epic once again Congratulations for Argentina and See You USA Canada Mexico</v>
      </c>
    </row>
    <row r="835" ht="15.75" customHeight="1">
      <c r="A835" s="1">
        <v>834.0</v>
      </c>
      <c r="B835" s="3" t="s">
        <v>2601</v>
      </c>
      <c r="C835" s="3">
        <v>0.0</v>
      </c>
      <c r="D835" s="3">
        <v>0.0</v>
      </c>
      <c r="E835" s="3">
        <v>2.0</v>
      </c>
      <c r="F835" s="3" t="s">
        <v>2602</v>
      </c>
      <c r="G835" s="3">
        <v>1.0</v>
      </c>
      <c r="H835" s="3">
        <v>0.0</v>
      </c>
      <c r="I835" s="3" t="s">
        <v>13</v>
      </c>
      <c r="J835" s="3" t="s">
        <v>2603</v>
      </c>
      <c r="K835" s="3" t="s">
        <v>860</v>
      </c>
      <c r="L835" s="3" t="str">
        <f>IFERROR(__xludf.DUMMYFUNCTION("GOOGLETRANSLATE(F835,""id"",""en"")"),"FIFA WORLD CUP ARGENTINA France France's goal Lionel Messi Angel Maria Kylian Mbappe Mbappe Argentina won the World Cup title")</f>
        <v>FIFA WORLD CUP ARGENTINA France France's goal Lionel Messi Angel Maria Kylian Mbappe Mbappe Argentina won the World Cup title</v>
      </c>
    </row>
    <row r="836" ht="15.75" customHeight="1">
      <c r="A836" s="1">
        <v>835.0</v>
      </c>
      <c r="B836" s="3" t="s">
        <v>2604</v>
      </c>
      <c r="C836" s="3">
        <v>0.0</v>
      </c>
      <c r="D836" s="3">
        <v>0.0</v>
      </c>
      <c r="E836" s="3">
        <v>0.0</v>
      </c>
      <c r="F836" s="3" t="s">
        <v>2605</v>
      </c>
      <c r="G836" s="3">
        <v>1.0</v>
      </c>
      <c r="H836" s="3">
        <v>0.0</v>
      </c>
      <c r="I836" s="3" t="s">
        <v>13</v>
      </c>
      <c r="J836" s="3" t="s">
        <v>2606</v>
      </c>
      <c r="K836" s="3" t="s">
        <v>82</v>
      </c>
      <c r="L836" s="3" t="str">
        <f>IFERROR(__xludf.DUMMYFUNCTION("GOOGLETRANSLATE(F836,""id"",""en"")"),"I just found out that the World Cup Final Cup is very crowded")</f>
        <v>I just found out that the World Cup Final Cup is very crowded</v>
      </c>
    </row>
    <row r="837" ht="15.75" customHeight="1">
      <c r="A837" s="1">
        <v>836.0</v>
      </c>
      <c r="B837" s="3" t="s">
        <v>2607</v>
      </c>
      <c r="C837" s="3">
        <v>3.0</v>
      </c>
      <c r="D837" s="3">
        <v>25.0</v>
      </c>
      <c r="E837" s="3">
        <v>89.0</v>
      </c>
      <c r="F837" s="3" t="s">
        <v>2608</v>
      </c>
      <c r="G837" s="3">
        <v>1.0</v>
      </c>
      <c r="H837" s="3">
        <v>0.0</v>
      </c>
      <c r="I837" s="3" t="s">
        <v>13</v>
      </c>
      <c r="J837" s="3" t="s">
        <v>2609</v>
      </c>
      <c r="K837" s="3" t="s">
        <v>2610</v>
      </c>
      <c r="L837" s="3" t="str">
        <f>IFERROR(__xludf.DUMMYFUNCTION("GOOGLETRANSLATE(F837,""id"",""en"")"),"Understand very football but this is the first time I watched the World Cup final until my heart wanted to come off, happy Argentinaa was really cool France Messi Mbappe me to you")</f>
        <v>Understand very football but this is the first time I watched the World Cup final until my heart wanted to come off, happy Argentinaa was really cool France Messi Mbappe me to you</v>
      </c>
    </row>
    <row r="838" ht="15.75" customHeight="1">
      <c r="A838" s="1">
        <v>837.0</v>
      </c>
      <c r="B838" s="3" t="s">
        <v>2611</v>
      </c>
      <c r="C838" s="3">
        <v>0.0</v>
      </c>
      <c r="D838" s="3">
        <v>0.0</v>
      </c>
      <c r="E838" s="3">
        <v>2.0</v>
      </c>
      <c r="F838" s="3" t="s">
        <v>2612</v>
      </c>
      <c r="G838" s="3">
        <v>0.6333333333333333</v>
      </c>
      <c r="H838" s="3">
        <v>0.03333333333333333</v>
      </c>
      <c r="I838" s="3" t="s">
        <v>48</v>
      </c>
      <c r="J838" s="3" t="s">
        <v>2613</v>
      </c>
      <c r="K838" s="3" t="s">
        <v>58</v>
      </c>
      <c r="L838" s="3" t="str">
        <f>IFERROR(__xludf.DUMMYFUNCTION("GOOGLETRANSLATE(F838,""id"",""en"")"),"Kylian Mbappe Top World Cup Score Score for the National Team What Game What Final")</f>
        <v>Kylian Mbappe Top World Cup Score Score for the National Team What Game What Final</v>
      </c>
    </row>
    <row r="839" ht="15.75" customHeight="1">
      <c r="A839" s="1">
        <v>838.0</v>
      </c>
      <c r="B839" s="3" t="s">
        <v>2614</v>
      </c>
      <c r="C839" s="3">
        <v>0.0</v>
      </c>
      <c r="D839" s="3">
        <v>0.0</v>
      </c>
      <c r="E839" s="3">
        <v>0.0</v>
      </c>
      <c r="F839" s="3" t="s">
        <v>2615</v>
      </c>
      <c r="G839" s="3">
        <v>1.0</v>
      </c>
      <c r="H839" s="3">
        <v>0.0</v>
      </c>
      <c r="I839" s="3" t="s">
        <v>13</v>
      </c>
      <c r="J839" s="3" t="s">
        <v>2616</v>
      </c>
      <c r="K839" s="3" t="s">
        <v>205</v>
      </c>
      <c r="L839" s="3" t="str">
        <f>IFERROR(__xludf.DUMMYFUNCTION("GOOGLETRANSLATE(F839,""id"",""en"")"),"Thank you for broadcasting an extraordinary World Cup even though the final is rather bapuk but hopefully the front is improved until you find the Indonesian World Cup, don't forget to bidding euros")</f>
        <v>Thank you for broadcasting an extraordinary World Cup even though the final is rather bapuk but hopefully the front is improved until you find the Indonesian World Cup, don't forget to bidding euros</v>
      </c>
    </row>
    <row r="840" ht="15.75" customHeight="1">
      <c r="A840" s="1">
        <v>839.0</v>
      </c>
      <c r="B840" s="3" t="s">
        <v>2617</v>
      </c>
      <c r="C840" s="3">
        <v>0.0</v>
      </c>
      <c r="D840" s="3">
        <v>6.0</v>
      </c>
      <c r="E840" s="3">
        <v>16.0</v>
      </c>
      <c r="F840" s="3" t="s">
        <v>2165</v>
      </c>
      <c r="G840" s="3">
        <v>0.75</v>
      </c>
      <c r="H840" s="3">
        <v>0.25</v>
      </c>
      <c r="I840" s="3" t="s">
        <v>48</v>
      </c>
      <c r="J840" s="3" t="s">
        <v>2166</v>
      </c>
      <c r="K840" s="3" t="s">
        <v>149</v>
      </c>
      <c r="L840" s="3" t="str">
        <f>IFERROR(__xludf.DUMMYFUNCTION("GOOGLETRANSLATE(F840,""id"",""en"")"),"Although Kylian Mbappe failed to bring France to become the World Cup champion, he continued to go home with the top score of the tournament thanks to his final hat trick")</f>
        <v>Although Kylian Mbappe failed to bring France to become the World Cup champion, he continued to go home with the top score of the tournament thanks to his final hat trick</v>
      </c>
    </row>
    <row r="841" ht="15.75" customHeight="1">
      <c r="A841" s="1">
        <v>840.0</v>
      </c>
      <c r="B841" s="3" t="s">
        <v>2618</v>
      </c>
      <c r="C841" s="3">
        <v>0.0</v>
      </c>
      <c r="D841" s="3">
        <v>0.0</v>
      </c>
      <c r="E841" s="3">
        <v>0.0</v>
      </c>
      <c r="F841" s="3" t="s">
        <v>2619</v>
      </c>
      <c r="G841" s="3">
        <v>1.0</v>
      </c>
      <c r="H841" s="3">
        <v>0.0</v>
      </c>
      <c r="I841" s="3" t="s">
        <v>13</v>
      </c>
      <c r="J841" s="3" t="s">
        <v>2620</v>
      </c>
      <c r="K841" s="3" t="s">
        <v>31</v>
      </c>
      <c r="L841" s="3" t="str">
        <f>IFERROR(__xludf.DUMMYFUNCTION("GOOGLETRANSLATE(F841,""id"",""en"")"),"Final Hattrick Year Can Still at least the World Cup")</f>
        <v>Final Hattrick Year Can Still at least the World Cup</v>
      </c>
    </row>
    <row r="842" ht="15.75" customHeight="1">
      <c r="A842" s="1">
        <v>841.0</v>
      </c>
      <c r="B842" s="3" t="s">
        <v>2621</v>
      </c>
      <c r="C842" s="3">
        <v>0.0</v>
      </c>
      <c r="D842" s="3">
        <v>0.0</v>
      </c>
      <c r="E842" s="3">
        <v>0.0</v>
      </c>
      <c r="F842" s="3" t="s">
        <v>2622</v>
      </c>
      <c r="G842" s="3">
        <v>1.0</v>
      </c>
      <c r="H842" s="3">
        <v>0.0</v>
      </c>
      <c r="I842" s="3" t="s">
        <v>13</v>
      </c>
      <c r="J842" s="3" t="s">
        <v>2623</v>
      </c>
      <c r="K842" s="3" t="s">
        <v>82</v>
      </c>
      <c r="L842" s="3" t="str">
        <f>IFERROR(__xludf.DUMMYFUNCTION("GOOGLETRANSLATE(F842,""id"",""en"")"),"The Best World Cup Final ever Argentina French")</f>
        <v>The Best World Cup Final ever Argentina French</v>
      </c>
    </row>
    <row r="843" ht="15.75" customHeight="1">
      <c r="A843" s="1">
        <v>842.0</v>
      </c>
      <c r="B843" s="3" t="s">
        <v>2624</v>
      </c>
      <c r="C843" s="3">
        <v>0.0</v>
      </c>
      <c r="D843" s="3">
        <v>0.0</v>
      </c>
      <c r="E843" s="3">
        <v>0.0</v>
      </c>
      <c r="F843" s="3" t="s">
        <v>2625</v>
      </c>
      <c r="G843" s="3">
        <v>1.0</v>
      </c>
      <c r="H843" s="3">
        <v>0.0</v>
      </c>
      <c r="I843" s="3" t="s">
        <v>13</v>
      </c>
      <c r="J843" s="3" t="s">
        <v>2626</v>
      </c>
      <c r="K843" s="3" t="s">
        <v>1061</v>
      </c>
      <c r="L843" s="3" t="str">
        <f>IFERROR(__xludf.DUMMYFUNCTION("GOOGLETRANSLATE(F843,""id"",""en"")"),"Behind your defeat today there is a historic moment where one of the players in your club scored in the World Cup final and this is history for the world of soccer. Congratulations you have struggled with everything you have")</f>
        <v>Behind your defeat today there is a historic moment where one of the players in your club scored in the World Cup final and this is history for the world of soccer. Congratulations you have struggled with everything you have</v>
      </c>
    </row>
    <row r="844" ht="15.75" customHeight="1">
      <c r="A844" s="1">
        <v>843.0</v>
      </c>
      <c r="B844" s="3" t="s">
        <v>2627</v>
      </c>
      <c r="C844" s="3">
        <v>0.0</v>
      </c>
      <c r="D844" s="3">
        <v>0.0</v>
      </c>
      <c r="E844" s="3">
        <v>0.0</v>
      </c>
      <c r="F844" s="3" t="s">
        <v>2628</v>
      </c>
      <c r="G844" s="3">
        <v>1.0</v>
      </c>
      <c r="H844" s="3">
        <v>0.0</v>
      </c>
      <c r="I844" s="3" t="s">
        <v>13</v>
      </c>
      <c r="J844" s="3" t="s">
        <v>2629</v>
      </c>
      <c r="K844" s="3" t="s">
        <v>1097</v>
      </c>
      <c r="L844" s="3" t="str">
        <f>IFERROR(__xludf.DUMMYFUNCTION("GOOGLETRANSLATE(F844,""id"",""en"")"),"Can see the final of the idol in the World Cup by holding the Cup")</f>
        <v>Can see the final of the idol in the World Cup by holding the Cup</v>
      </c>
    </row>
    <row r="845" ht="15.75" customHeight="1">
      <c r="A845" s="1">
        <v>844.0</v>
      </c>
      <c r="B845" s="3" t="s">
        <v>2630</v>
      </c>
      <c r="C845" s="3">
        <v>0.0</v>
      </c>
      <c r="D845" s="3">
        <v>0.0</v>
      </c>
      <c r="E845" s="3">
        <v>0.0</v>
      </c>
      <c r="F845" s="3" t="s">
        <v>2631</v>
      </c>
      <c r="G845" s="3">
        <v>0.75</v>
      </c>
      <c r="H845" s="3">
        <v>0.25</v>
      </c>
      <c r="I845" s="3" t="s">
        <v>48</v>
      </c>
      <c r="J845" s="3" t="s">
        <v>2632</v>
      </c>
      <c r="K845" s="3" t="s">
        <v>2633</v>
      </c>
      <c r="L845" s="3" t="str">
        <f>IFERROR(__xludf.DUMMYFUNCTION("GOOGLETRANSLATE(F845,""id"",""en"")"),"Appreciation for Kylian Mbappe scored the World Cup World Cup Final Final Hat Trick Top World Cup Gol in two editions")</f>
        <v>Appreciation for Kylian Mbappe scored the World Cup World Cup Final Final Hat Trick Top World Cup Gol in two editions</v>
      </c>
    </row>
    <row r="846" ht="15.75" customHeight="1">
      <c r="A846" s="1">
        <v>845.0</v>
      </c>
      <c r="B846" s="3" t="s">
        <v>2634</v>
      </c>
      <c r="C846" s="3">
        <v>0.0</v>
      </c>
      <c r="D846" s="3">
        <v>0.0</v>
      </c>
      <c r="E846" s="3">
        <v>1.0</v>
      </c>
      <c r="F846" s="3" t="s">
        <v>2635</v>
      </c>
      <c r="G846" s="3">
        <v>0.65</v>
      </c>
      <c r="H846" s="3">
        <v>0.5</v>
      </c>
      <c r="I846" s="3" t="s">
        <v>48</v>
      </c>
      <c r="J846" s="3" t="s">
        <v>2636</v>
      </c>
      <c r="K846" s="3" t="s">
        <v>75</v>
      </c>
      <c r="L846" s="3" t="str">
        <f>IFERROR(__xludf.DUMMYFUNCTION("GOOGLETRANSLATE(F846,""id"",""en"")"),"finally goat lifted the Argentina Best Final Ever Congratulations World Cup")</f>
        <v>finally goat lifted the Argentina Best Final Ever Congratulations World Cup</v>
      </c>
    </row>
    <row r="847" ht="15.75" customHeight="1">
      <c r="A847" s="1">
        <v>846.0</v>
      </c>
      <c r="B847" s="3" t="s">
        <v>2637</v>
      </c>
      <c r="C847" s="3">
        <v>0.0</v>
      </c>
      <c r="D847" s="3">
        <v>0.0</v>
      </c>
      <c r="E847" s="3">
        <v>0.0</v>
      </c>
      <c r="F847" s="3" t="s">
        <v>2638</v>
      </c>
      <c r="G847" s="3">
        <v>1.0</v>
      </c>
      <c r="H847" s="3">
        <v>0.0</v>
      </c>
      <c r="I847" s="3" t="s">
        <v>13</v>
      </c>
      <c r="J847" s="3" t="s">
        <v>2639</v>
      </c>
      <c r="K847" s="3" t="s">
        <v>82</v>
      </c>
      <c r="L847" s="3" t="str">
        <f>IFERROR(__xludf.DUMMYFUNCTION("GOOGLETRANSLATE(F847,""id"",""en"")"),"the year of waiting for the first hatrick of the World Cup Final")</f>
        <v>the year of waiting for the first hatrick of the World Cup Final</v>
      </c>
    </row>
    <row r="848" ht="15.75" customHeight="1">
      <c r="A848" s="1">
        <v>847.0</v>
      </c>
      <c r="B848" s="3" t="s">
        <v>2640</v>
      </c>
      <c r="C848" s="3">
        <v>0.0</v>
      </c>
      <c r="D848" s="3">
        <v>0.0</v>
      </c>
      <c r="E848" s="3">
        <v>0.0</v>
      </c>
      <c r="F848" s="3" t="s">
        <v>2641</v>
      </c>
      <c r="G848" s="3">
        <v>0.6666666666666666</v>
      </c>
      <c r="H848" s="3">
        <v>0.2</v>
      </c>
      <c r="I848" s="3" t="s">
        <v>48</v>
      </c>
      <c r="J848" s="3" t="s">
        <v>2642</v>
      </c>
      <c r="K848" s="3" t="s">
        <v>27</v>
      </c>
      <c r="L848" s="3" t="str">
        <f>IFERROR(__xludf.DUMMYFUNCTION("GOOGLETRANSLATE(F848,""id"",""en"")"),"Golden Ball for Lionel Messi while his golden boot for Kylian Mbapp is one of the best finals throughout the World Cup event full of drama and ends with a penalty shootout won by Argentina")</f>
        <v>Golden Ball for Lionel Messi while his golden boot for Kylian Mbapp is one of the best finals throughout the World Cup event full of drama and ends with a penalty shootout won by Argentina</v>
      </c>
    </row>
    <row r="849" ht="15.75" customHeight="1">
      <c r="A849" s="1">
        <v>848.0</v>
      </c>
      <c r="B849" s="3" t="s">
        <v>2643</v>
      </c>
      <c r="C849" s="3">
        <v>0.0</v>
      </c>
      <c r="D849" s="3">
        <v>2.0</v>
      </c>
      <c r="E849" s="3">
        <v>13.0</v>
      </c>
      <c r="F849" s="3" t="s">
        <v>2644</v>
      </c>
      <c r="G849" s="3">
        <v>1.0</v>
      </c>
      <c r="H849" s="3">
        <v>0.0</v>
      </c>
      <c r="I849" s="3" t="s">
        <v>13</v>
      </c>
      <c r="J849" s="3" t="s">
        <v>2645</v>
      </c>
      <c r="K849" s="3" t="s">
        <v>15</v>
      </c>
      <c r="L849" s="3" t="str">
        <f>IFERROR(__xludf.DUMMYFUNCTION("GOOGLETRANSLATE(F849,""id"",""en"")"),"Argentina Champion World Cup Final Messi Mbappe")</f>
        <v>Argentina Champion World Cup Final Messi Mbappe</v>
      </c>
    </row>
    <row r="850" ht="15.75" customHeight="1">
      <c r="A850" s="1">
        <v>849.0</v>
      </c>
      <c r="B850" s="3" t="s">
        <v>2646</v>
      </c>
      <c r="C850" s="3">
        <v>0.0</v>
      </c>
      <c r="D850" s="3">
        <v>0.0</v>
      </c>
      <c r="E850" s="3">
        <v>0.0</v>
      </c>
      <c r="F850" s="3" t="s">
        <v>2647</v>
      </c>
      <c r="G850" s="3">
        <v>1.0</v>
      </c>
      <c r="H850" s="3">
        <v>0.0</v>
      </c>
      <c r="I850" s="3" t="s">
        <v>13</v>
      </c>
      <c r="J850" s="3" t="s">
        <v>2648</v>
      </c>
      <c r="K850" s="3" t="s">
        <v>15</v>
      </c>
      <c r="L850" s="3" t="str">
        <f>IFERROR(__xludf.DUMMYFUNCTION("GOOGLETRANSLATE(F850,""id"",""en"")"),"The most exciting final this year from the beginning of watching the World Cup")</f>
        <v>The most exciting final this year from the beginning of watching the World Cup</v>
      </c>
    </row>
    <row r="851" ht="15.75" customHeight="1">
      <c r="A851" s="1">
        <v>850.0</v>
      </c>
      <c r="B851" s="3" t="s">
        <v>2649</v>
      </c>
      <c r="C851" s="3">
        <v>1.0</v>
      </c>
      <c r="D851" s="3">
        <v>3.0</v>
      </c>
      <c r="E851" s="3">
        <v>10.0</v>
      </c>
      <c r="F851" s="3" t="s">
        <v>2650</v>
      </c>
      <c r="G851" s="3">
        <v>0.7666666666666666</v>
      </c>
      <c r="H851" s="3">
        <v>0.2666666666666667</v>
      </c>
      <c r="I851" s="3" t="s">
        <v>48</v>
      </c>
      <c r="J851" s="3" t="s">
        <v>2651</v>
      </c>
      <c r="K851" s="3" t="s">
        <v>41</v>
      </c>
      <c r="L851" s="3" t="str">
        <f>IFERROR(__xludf.DUMMYFUNCTION("GOOGLETRANSLATE(F851,""id"",""en"")"),"Nobar Final World Cup Free Snack Enjoy with Thx")</f>
        <v>Nobar Final World Cup Free Snack Enjoy with Thx</v>
      </c>
    </row>
    <row r="852" ht="15.75" customHeight="1">
      <c r="A852" s="1">
        <v>851.0</v>
      </c>
      <c r="B852" s="3" t="s">
        <v>2652</v>
      </c>
      <c r="C852" s="3">
        <v>0.0</v>
      </c>
      <c r="D852" s="3">
        <v>0.0</v>
      </c>
      <c r="E852" s="3">
        <v>0.0</v>
      </c>
      <c r="F852" s="3" t="s">
        <v>2653</v>
      </c>
      <c r="G852" s="3">
        <v>1.0</v>
      </c>
      <c r="H852" s="3">
        <v>0.0</v>
      </c>
      <c r="I852" s="3" t="s">
        <v>13</v>
      </c>
      <c r="J852" s="3" t="s">
        <v>2654</v>
      </c>
      <c r="K852" s="3" t="s">
        <v>232</v>
      </c>
      <c r="L852" s="3" t="str">
        <f>IFERROR(__xludf.DUMMYFUNCTION("GOOGLETRANSLATE(F852,""id"",""en"")"),"The Final of the Best World Cup in my life and clearly seen the best players throughout the cave life Leonel Messi crazy crazy when talent and hard work uniting horrible results")</f>
        <v>The Final of the Best World Cup in my life and clearly seen the best players throughout the cave life Leonel Messi crazy crazy when talent and hard work uniting horrible results</v>
      </c>
    </row>
    <row r="853" ht="15.75" customHeight="1">
      <c r="A853" s="1">
        <v>852.0</v>
      </c>
      <c r="B853" s="3" t="s">
        <v>2655</v>
      </c>
      <c r="C853" s="3">
        <v>0.0</v>
      </c>
      <c r="D853" s="3">
        <v>0.0</v>
      </c>
      <c r="E853" s="3">
        <v>0.0</v>
      </c>
      <c r="F853" s="3" t="s">
        <v>2656</v>
      </c>
      <c r="G853" s="3">
        <v>1.0</v>
      </c>
      <c r="H853" s="3">
        <v>0.0</v>
      </c>
      <c r="I853" s="3" t="s">
        <v>13</v>
      </c>
      <c r="J853" s="3" t="s">
        <v>2657</v>
      </c>
      <c r="K853" s="3" t="s">
        <v>41</v>
      </c>
      <c r="L853" s="3" t="str">
        <f>IFERROR(__xludf.DUMMYFUNCTION("GOOGLETRANSLATE(F853,""id"",""en"")"),"The World Cup Final Jan Gayeng Tenan Ngene Iki Kurup")</f>
        <v>The World Cup Final Jan Gayeng Tenan Ngene Iki Kurup</v>
      </c>
    </row>
    <row r="854" ht="15.75" customHeight="1">
      <c r="A854" s="1">
        <v>853.0</v>
      </c>
      <c r="B854" s="3" t="s">
        <v>2658</v>
      </c>
      <c r="C854" s="3">
        <v>0.0</v>
      </c>
      <c r="D854" s="3">
        <v>0.0</v>
      </c>
      <c r="E854" s="3">
        <v>0.0</v>
      </c>
      <c r="F854" s="3" t="s">
        <v>2659</v>
      </c>
      <c r="G854" s="3">
        <v>0.75</v>
      </c>
      <c r="H854" s="3">
        <v>0.06818181818181818</v>
      </c>
      <c r="I854" s="3" t="s">
        <v>48</v>
      </c>
      <c r="J854" s="3" t="s">
        <v>2660</v>
      </c>
      <c r="K854" s="3" t="s">
        <v>35</v>
      </c>
      <c r="L854" s="3" t="str">
        <f>IFERROR(__xludf.DUMMYFUNCTION("GOOGLETRANSLATE(F854,""id"",""en"")"),"Live Score of the French French World Cup Final The second half begins Argentina")</f>
        <v>Live Score of the French French World Cup Final The second half begins Argentina</v>
      </c>
    </row>
    <row r="855" ht="15.75" customHeight="1">
      <c r="A855" s="1">
        <v>854.0</v>
      </c>
      <c r="B855" s="3" t="s">
        <v>2661</v>
      </c>
      <c r="C855" s="3">
        <v>0.0</v>
      </c>
      <c r="D855" s="3">
        <v>0.0</v>
      </c>
      <c r="E855" s="3">
        <v>0.0</v>
      </c>
      <c r="F855" s="3" t="s">
        <v>2662</v>
      </c>
      <c r="G855" s="3">
        <v>1.0</v>
      </c>
      <c r="H855" s="3">
        <v>0.0</v>
      </c>
      <c r="I855" s="3" t="s">
        <v>13</v>
      </c>
      <c r="J855" s="3" t="s">
        <v>2663</v>
      </c>
      <c r="K855" s="3" t="s">
        <v>54</v>
      </c>
      <c r="L855" s="3" t="str">
        <f>IFERROR(__xludf.DUMMYFUNCTION("GOOGLETRANSLATE(F855,""id"",""en"")"),"The referee who led the World Cup final match")</f>
        <v>The referee who led the World Cup final match</v>
      </c>
    </row>
    <row r="856" ht="15.75" customHeight="1">
      <c r="A856" s="1">
        <v>855.0</v>
      </c>
      <c r="B856" s="3" t="s">
        <v>2664</v>
      </c>
      <c r="C856" s="3">
        <v>0.0</v>
      </c>
      <c r="D856" s="3">
        <v>0.0</v>
      </c>
      <c r="E856" s="3">
        <v>0.0</v>
      </c>
      <c r="F856" s="3" t="s">
        <v>2665</v>
      </c>
      <c r="G856" s="3">
        <v>0.75</v>
      </c>
      <c r="H856" s="3">
        <v>0.15</v>
      </c>
      <c r="I856" s="3" t="s">
        <v>48</v>
      </c>
      <c r="J856" s="3" t="s">
        <v>2666</v>
      </c>
      <c r="K856" s="3" t="s">
        <v>445</v>
      </c>
      <c r="L856" s="3" t="str">
        <f>IFERROR(__xludf.DUMMYFUNCTION("GOOGLETRANSLATE(F856,""id"",""en"")"),"World Cup There is a goalkeeper deserves Golden Glove Yassin Bounou and Emiliano Martinez but still the best is only one because Emiliano Martinez qualified until the final and won the World Cup this time Yassin Bounou remained a heart champion")</f>
        <v>World Cup There is a goalkeeper deserves Golden Glove Yassin Bounou and Emiliano Martinez but still the best is only one because Emiliano Martinez qualified until the final and won the World Cup this time Yassin Bounou remained a heart champion</v>
      </c>
    </row>
    <row r="857" ht="15.75" customHeight="1">
      <c r="A857" s="1">
        <v>856.0</v>
      </c>
      <c r="B857" s="3" t="s">
        <v>2667</v>
      </c>
      <c r="C857" s="3">
        <v>0.0</v>
      </c>
      <c r="D857" s="3">
        <v>0.0</v>
      </c>
      <c r="E857" s="3">
        <v>0.0</v>
      </c>
      <c r="F857" s="3" t="s">
        <v>2668</v>
      </c>
      <c r="G857" s="3">
        <v>0.6666666666666666</v>
      </c>
      <c r="H857" s="3">
        <v>0.09999999999999998</v>
      </c>
      <c r="I857" s="3" t="s">
        <v>48</v>
      </c>
      <c r="J857" s="3" t="s">
        <v>2669</v>
      </c>
      <c r="K857" s="3" t="s">
        <v>437</v>
      </c>
      <c r="L857" s="3" t="str">
        <f>IFERROR(__xludf.DUMMYFUNCTION("GOOGLETRANSLATE(F857,""id"",""en"")"),"Good Argentina Game Final fierce and became the last match of Messi World Cup thank Capt Lionel Messi Vamous")</f>
        <v>Good Argentina Game Final fierce and became the last match of Messi World Cup thank Capt Lionel Messi Vamous</v>
      </c>
    </row>
    <row r="858" ht="15.75" customHeight="1">
      <c r="A858" s="1">
        <v>857.0</v>
      </c>
      <c r="B858" s="3" t="s">
        <v>2670</v>
      </c>
      <c r="C858" s="3">
        <v>0.0</v>
      </c>
      <c r="D858" s="3">
        <v>0.0</v>
      </c>
      <c r="E858" s="3">
        <v>0.0</v>
      </c>
      <c r="F858" s="3" t="s">
        <v>2671</v>
      </c>
      <c r="G858" s="3">
        <v>1.0</v>
      </c>
      <c r="H858" s="3">
        <v>0.0</v>
      </c>
      <c r="I858" s="3" t="s">
        <v>13</v>
      </c>
      <c r="J858" s="3" t="s">
        <v>2672</v>
      </c>
      <c r="K858" s="3" t="s">
        <v>82</v>
      </c>
      <c r="L858" s="3" t="str">
        <f>IFERROR(__xludf.DUMMYFUNCTION("GOOGLETRANSLATE(F858,""id"",""en"")"),"World Cup Story Watching Final and Camer")</f>
        <v>World Cup Story Watching Final and Camer</v>
      </c>
    </row>
    <row r="859" ht="15.75" customHeight="1">
      <c r="A859" s="1">
        <v>858.0</v>
      </c>
      <c r="B859" s="3" t="s">
        <v>2673</v>
      </c>
      <c r="C859" s="3">
        <v>0.0</v>
      </c>
      <c r="D859" s="3">
        <v>0.0</v>
      </c>
      <c r="E859" s="3">
        <v>0.0</v>
      </c>
      <c r="F859" s="3" t="s">
        <v>2674</v>
      </c>
      <c r="G859" s="3">
        <v>1.0</v>
      </c>
      <c r="H859" s="3">
        <v>0.0</v>
      </c>
      <c r="I859" s="3" t="s">
        <v>13</v>
      </c>
      <c r="J859" s="3" t="s">
        <v>2675</v>
      </c>
      <c r="K859" s="3" t="s">
        <v>883</v>
      </c>
      <c r="L859" s="3" t="str">
        <f>IFERROR(__xludf.DUMMYFUNCTION("GOOGLETRANSLATE(F859,""id"",""en"")"),"Mr. French President this year, you know, I was made mbrebes with your country during the MotoGP final with the World Cup final earlier")</f>
        <v>Mr. French President this year, you know, I was made mbrebes with your country during the MotoGP final with the World Cup final earlier</v>
      </c>
    </row>
    <row r="860" ht="15.75" customHeight="1">
      <c r="A860" s="1">
        <v>859.0</v>
      </c>
      <c r="B860" s="3" t="s">
        <v>2676</v>
      </c>
      <c r="C860" s="3">
        <v>0.0</v>
      </c>
      <c r="D860" s="3">
        <v>0.0</v>
      </c>
      <c r="E860" s="3">
        <v>0.0</v>
      </c>
      <c r="F860" s="3" t="s">
        <v>2676</v>
      </c>
      <c r="G860" s="3">
        <v>1.0</v>
      </c>
      <c r="H860" s="3">
        <v>0.0</v>
      </c>
      <c r="I860" s="3" t="s">
        <v>13</v>
      </c>
      <c r="J860" s="3" t="s">
        <v>2677</v>
      </c>
      <c r="K860" s="3" t="s">
        <v>31</v>
      </c>
      <c r="L860" s="3" t="str">
        <f>IFERROR(__xludf.DUMMYFUNCTION("GOOGLETRANSLATE(F860,""id"",""en"")"),"The Best and Rumped World Cup Final")</f>
        <v>The Best and Rumped World Cup Final</v>
      </c>
    </row>
    <row r="861" ht="15.75" customHeight="1">
      <c r="A861" s="1">
        <v>860.0</v>
      </c>
      <c r="B861" s="3" t="s">
        <v>2678</v>
      </c>
      <c r="C861" s="3">
        <v>0.0</v>
      </c>
      <c r="D861" s="3">
        <v>0.0</v>
      </c>
      <c r="E861" s="3">
        <v>0.0</v>
      </c>
      <c r="F861" s="3" t="s">
        <v>2679</v>
      </c>
      <c r="G861" s="3">
        <v>1.0</v>
      </c>
      <c r="H861" s="3">
        <v>0.0</v>
      </c>
      <c r="I861" s="3" t="s">
        <v>13</v>
      </c>
      <c r="J861" s="3" t="s">
        <v>2680</v>
      </c>
      <c r="K861" s="3" t="s">
        <v>15</v>
      </c>
      <c r="L861" s="3" t="str">
        <f>IFERROR(__xludf.DUMMYFUNCTION("GOOGLETRANSLATE(F861,""id"",""en"")"),"One of the classy goals from the Qatar World Cup final")</f>
        <v>One of the classy goals from the Qatar World Cup final</v>
      </c>
    </row>
    <row r="862" ht="15.75" customHeight="1">
      <c r="A862" s="1">
        <v>861.0</v>
      </c>
      <c r="B862" s="3" t="s">
        <v>2681</v>
      </c>
      <c r="C862" s="3">
        <v>0.0</v>
      </c>
      <c r="D862" s="3">
        <v>0.0</v>
      </c>
      <c r="E862" s="3">
        <v>0.0</v>
      </c>
      <c r="F862" s="3" t="s">
        <v>2682</v>
      </c>
      <c r="G862" s="3">
        <v>1.0</v>
      </c>
      <c r="H862" s="3">
        <v>0.0</v>
      </c>
      <c r="I862" s="3" t="s">
        <v>13</v>
      </c>
      <c r="J862" s="3" t="s">
        <v>2683</v>
      </c>
      <c r="K862" s="3" t="s">
        <v>1566</v>
      </c>
      <c r="L862" s="3" t="str">
        <f>IFERROR(__xludf.DUMMYFUNCTION("GOOGLETRANSLATE(F862,""id"",""en"")"),"December tomorrow Mbappe World Cup World Cup World Cup World Cup Goal")</f>
        <v>December tomorrow Mbappe World Cup World Cup World Cup World Cup Goal</v>
      </c>
    </row>
    <row r="863" ht="15.75" customHeight="1">
      <c r="A863" s="1">
        <v>862.0</v>
      </c>
      <c r="B863" s="3" t="s">
        <v>2684</v>
      </c>
      <c r="C863" s="3">
        <v>0.0</v>
      </c>
      <c r="D863" s="3">
        <v>0.0</v>
      </c>
      <c r="E863" s="3">
        <v>0.0</v>
      </c>
      <c r="F863" s="3" t="s">
        <v>2685</v>
      </c>
      <c r="G863" s="3">
        <v>1.0</v>
      </c>
      <c r="H863" s="3">
        <v>0.0</v>
      </c>
      <c r="I863" s="3" t="s">
        <v>13</v>
      </c>
      <c r="J863" s="3" t="s">
        <v>2686</v>
      </c>
      <c r="K863" s="3" t="s">
        <v>41</v>
      </c>
      <c r="L863" s="3" t="str">
        <f>IFERROR(__xludf.DUMMYFUNCTION("GOOGLETRANSLATE(F863,""id"",""en"")"),"The exciting world cup final only transferred the new Twitter policy issue")</f>
        <v>The exciting world cup final only transferred the new Twitter policy issue</v>
      </c>
    </row>
    <row r="864" ht="15.75" customHeight="1">
      <c r="A864" s="1">
        <v>863.0</v>
      </c>
      <c r="B864" s="3" t="s">
        <v>2687</v>
      </c>
      <c r="C864" s="3">
        <v>0.0</v>
      </c>
      <c r="D864" s="3">
        <v>0.0</v>
      </c>
      <c r="E864" s="3">
        <v>0.0</v>
      </c>
      <c r="F864" s="3" t="s">
        <v>2688</v>
      </c>
      <c r="G864" s="3">
        <v>1.0</v>
      </c>
      <c r="H864" s="3">
        <v>0.0</v>
      </c>
      <c r="I864" s="3" t="s">
        <v>13</v>
      </c>
      <c r="J864" s="3" t="s">
        <v>2689</v>
      </c>
      <c r="K864" s="3" t="s">
        <v>31</v>
      </c>
      <c r="L864" s="3" t="str">
        <f>IFERROR(__xludf.DUMMYFUNCTION("GOOGLETRANSLATE(F864,""id"",""en"")"),"Can the World Cup final every day")</f>
        <v>Can the World Cup final every day</v>
      </c>
    </row>
    <row r="865" ht="15.75" customHeight="1">
      <c r="A865" s="1">
        <v>864.0</v>
      </c>
      <c r="B865" s="3" t="s">
        <v>2690</v>
      </c>
      <c r="C865" s="3">
        <v>0.0</v>
      </c>
      <c r="D865" s="3">
        <v>0.0</v>
      </c>
      <c r="E865" s="3">
        <v>0.0</v>
      </c>
      <c r="F865" s="3" t="s">
        <v>2691</v>
      </c>
      <c r="G865" s="3">
        <v>0.7333333333333334</v>
      </c>
      <c r="H865" s="3">
        <v>0.3666666666666667</v>
      </c>
      <c r="I865" s="3" t="s">
        <v>48</v>
      </c>
      <c r="J865" s="3" t="s">
        <v>2692</v>
      </c>
      <c r="K865" s="3" t="s">
        <v>94</v>
      </c>
      <c r="L865" s="3" t="str">
        <f>IFERROR(__xludf.DUMMYFUNCTION("GOOGLETRANSLATE(F865,""id"",""en"")"),"Fun fact watching the World Cup final with mothers all the soccer players in the same neighbor huh heh heh hoh if there is a corner kick or violation with frustration when Argentina conceded Happy Ending because of winning wkwk")</f>
        <v>Fun fact watching the World Cup final with mothers all the soccer players in the same neighbor huh heh heh hoh if there is a corner kick or violation with frustration when Argentina conceded Happy Ending because of winning wkwk</v>
      </c>
    </row>
    <row r="866" ht="15.75" customHeight="1">
      <c r="A866" s="1">
        <v>865.0</v>
      </c>
      <c r="B866" s="3" t="s">
        <v>2693</v>
      </c>
      <c r="C866" s="3">
        <v>0.0</v>
      </c>
      <c r="D866" s="3">
        <v>0.0</v>
      </c>
      <c r="E866" s="3">
        <v>0.0</v>
      </c>
      <c r="F866" s="3" t="s">
        <v>2694</v>
      </c>
      <c r="G866" s="3">
        <v>1.0</v>
      </c>
      <c r="H866" s="3">
        <v>0.0</v>
      </c>
      <c r="I866" s="3" t="s">
        <v>13</v>
      </c>
      <c r="J866" s="3" t="s">
        <v>2695</v>
      </c>
      <c r="K866" s="3" t="s">
        <v>244</v>
      </c>
      <c r="L866" s="3" t="str">
        <f>IFERROR(__xludf.DUMMYFUNCTION("GOOGLETRANSLATE(F866,""id"",""en"")"),"Ngene Iki Ronaldo Delok Final Ora Delok Messi Lifted the World Cup")</f>
        <v>Ngene Iki Ronaldo Delok Final Ora Delok Messi Lifted the World Cup</v>
      </c>
    </row>
    <row r="867" ht="15.75" customHeight="1">
      <c r="A867" s="1">
        <v>866.0</v>
      </c>
      <c r="B867" s="3" t="s">
        <v>2696</v>
      </c>
      <c r="C867" s="3">
        <v>0.0</v>
      </c>
      <c r="D867" s="3">
        <v>0.0</v>
      </c>
      <c r="E867" s="3">
        <v>0.0</v>
      </c>
      <c r="F867" s="3" t="s">
        <v>2697</v>
      </c>
      <c r="G867" s="3">
        <v>1.0</v>
      </c>
      <c r="H867" s="3">
        <v>0.0</v>
      </c>
      <c r="I867" s="3" t="s">
        <v>13</v>
      </c>
      <c r="J867" s="3" t="s">
        <v>2698</v>
      </c>
      <c r="K867" s="3" t="s">
        <v>71</v>
      </c>
      <c r="L867" s="3" t="str">
        <f>IFERROR(__xludf.DUMMYFUNCTION("GOOGLETRANSLATE(F867,""id"",""en"")"),"save here I am one of the spectators who watched the most spectacular world cup football final")</f>
        <v>save here I am one of the spectators who watched the most spectacular world cup football final</v>
      </c>
    </row>
    <row r="868" ht="15.75" customHeight="1">
      <c r="A868" s="1">
        <v>867.0</v>
      </c>
      <c r="B868" s="3" t="s">
        <v>2699</v>
      </c>
      <c r="C868" s="3">
        <v>0.0</v>
      </c>
      <c r="D868" s="3">
        <v>0.0</v>
      </c>
      <c r="E868" s="3">
        <v>0.0</v>
      </c>
      <c r="F868" s="3" t="s">
        <v>2700</v>
      </c>
      <c r="G868" s="3">
        <v>1.0</v>
      </c>
      <c r="H868" s="3">
        <v>0.0</v>
      </c>
      <c r="I868" s="3" t="s">
        <v>13</v>
      </c>
      <c r="J868" s="3" t="s">
        <v>2701</v>
      </c>
      <c r="K868" s="3" t="s">
        <v>75</v>
      </c>
      <c r="L868" s="3" t="str">
        <f>IFERROR(__xludf.DUMMYFUNCTION("GOOGLETRANSLATE(F868,""id"",""en"")"),"This final is set so that I am touched to see Messi Lift the World Cup Trophy")</f>
        <v>This final is set so that I am touched to see Messi Lift the World Cup Trophy</v>
      </c>
    </row>
    <row r="869" ht="15.75" customHeight="1">
      <c r="A869" s="1">
        <v>868.0</v>
      </c>
      <c r="B869" s="3" t="s">
        <v>2702</v>
      </c>
      <c r="C869" s="3">
        <v>0.0</v>
      </c>
      <c r="D869" s="3">
        <v>0.0</v>
      </c>
      <c r="E869" s="3">
        <v>0.0</v>
      </c>
      <c r="F869" s="3" t="s">
        <v>2703</v>
      </c>
      <c r="G869" s="3">
        <v>1.0</v>
      </c>
      <c r="H869" s="3">
        <v>0.0</v>
      </c>
      <c r="I869" s="3" t="s">
        <v>13</v>
      </c>
      <c r="J869" s="3" t="s">
        <v>2704</v>
      </c>
      <c r="K869" s="3" t="s">
        <v>54</v>
      </c>
      <c r="L869" s="3" t="str">
        <f>IFERROR(__xludf.DUMMYFUNCTION("GOOGLETRANSLATE(F869,""id"",""en"")"),"Very magnificent closing of the World Cup Final")</f>
        <v>Very magnificent closing of the World Cup Final</v>
      </c>
    </row>
    <row r="870" ht="15.75" customHeight="1">
      <c r="A870" s="1">
        <v>869.0</v>
      </c>
      <c r="B870" s="3" t="s">
        <v>2705</v>
      </c>
      <c r="C870" s="3">
        <v>0.0</v>
      </c>
      <c r="D870" s="3">
        <v>0.0</v>
      </c>
      <c r="E870" s="3">
        <v>0.0</v>
      </c>
      <c r="F870" s="3" t="s">
        <v>2706</v>
      </c>
      <c r="G870" s="3">
        <v>1.0</v>
      </c>
      <c r="H870" s="3">
        <v>0.0</v>
      </c>
      <c r="I870" s="3" t="s">
        <v>13</v>
      </c>
      <c r="J870" s="3" t="s">
        <v>2707</v>
      </c>
      <c r="K870" s="3" t="s">
        <v>699</v>
      </c>
      <c r="L870" s="3" t="str">
        <f>IFERROR(__xludf.DUMMYFUNCTION("GOOGLETRANSLATE(F870,""id"",""en"")"),"Argentina won the World Cup after beating France in the Lusail Stadium World Cup final match Sunday night WIB")</f>
        <v>Argentina won the World Cup after beating France in the Lusail Stadium World Cup final match Sunday night WIB</v>
      </c>
    </row>
    <row r="871" ht="15.75" customHeight="1">
      <c r="A871" s="1">
        <v>870.0</v>
      </c>
      <c r="B871" s="3" t="s">
        <v>2708</v>
      </c>
      <c r="C871" s="3">
        <v>0.0</v>
      </c>
      <c r="D871" s="3">
        <v>0.0</v>
      </c>
      <c r="E871" s="3">
        <v>2.0</v>
      </c>
      <c r="F871" s="3" t="s">
        <v>2709</v>
      </c>
      <c r="G871" s="3">
        <v>1.0</v>
      </c>
      <c r="H871" s="3">
        <v>0.0</v>
      </c>
      <c r="I871" s="3" t="s">
        <v>13</v>
      </c>
      <c r="J871" s="3" t="s">
        <v>2710</v>
      </c>
      <c r="K871" s="3" t="s">
        <v>433</v>
      </c>
      <c r="L871" s="3" t="str">
        <f>IFERROR(__xludf.DUMMYFUNCTION("GOOGLETRANSLATE(F871,""id"",""en"")"),"Hilarious Meme The first half of the World Cup final was the second half how come I got hit by Mbappe")</f>
        <v>Hilarious Meme The first half of the World Cup final was the second half how come I got hit by Mbappe</v>
      </c>
    </row>
    <row r="872" ht="15.75" customHeight="1">
      <c r="A872" s="1">
        <v>871.0</v>
      </c>
      <c r="B872" s="3" t="s">
        <v>2711</v>
      </c>
      <c r="C872" s="3">
        <v>0.0</v>
      </c>
      <c r="D872" s="3">
        <v>0.0</v>
      </c>
      <c r="E872" s="3">
        <v>0.0</v>
      </c>
      <c r="F872" s="3" t="s">
        <v>2712</v>
      </c>
      <c r="G872" s="3">
        <v>1.0</v>
      </c>
      <c r="H872" s="3">
        <v>0.0</v>
      </c>
      <c r="I872" s="3" t="s">
        <v>13</v>
      </c>
      <c r="J872" s="3" t="s">
        <v>2713</v>
      </c>
      <c r="K872" s="3" t="s">
        <v>322</v>
      </c>
      <c r="L872" s="3" t="str">
        <f>IFERROR(__xludf.DUMMYFUNCTION("GOOGLETRANSLATE(F872,""id"",""en"")"),"ready to watch the world cup final")</f>
        <v>ready to watch the world cup final</v>
      </c>
    </row>
    <row r="873" ht="15.75" customHeight="1">
      <c r="A873" s="1">
        <v>872.0</v>
      </c>
      <c r="B873" s="3" t="s">
        <v>2714</v>
      </c>
      <c r="C873" s="3">
        <v>0.0</v>
      </c>
      <c r="D873" s="3">
        <v>0.0</v>
      </c>
      <c r="E873" s="3">
        <v>0.0</v>
      </c>
      <c r="F873" s="3" t="s">
        <v>2715</v>
      </c>
      <c r="G873" s="3">
        <v>1.0</v>
      </c>
      <c r="H873" s="3">
        <v>0.0</v>
      </c>
      <c r="I873" s="3" t="s">
        <v>13</v>
      </c>
      <c r="J873" s="3" t="s">
        <v>2716</v>
      </c>
      <c r="K873" s="3" t="s">
        <v>657</v>
      </c>
      <c r="L873" s="3" t="str">
        <f>IFERROR(__xludf.DUMMYFUNCTION("GOOGLETRANSLATE(F873,""id"",""en"")"),"The Argentine national team ended the waiting year by winning the World Cup after defeating France Final through penalties")</f>
        <v>The Argentine national team ended the waiting year by winning the World Cup after defeating France Final through penalties</v>
      </c>
    </row>
    <row r="874" ht="15.75" customHeight="1">
      <c r="A874" s="1">
        <v>873.0</v>
      </c>
      <c r="B874" s="3" t="s">
        <v>2717</v>
      </c>
      <c r="C874" s="3">
        <v>0.0</v>
      </c>
      <c r="D874" s="3">
        <v>0.0</v>
      </c>
      <c r="E874" s="3">
        <v>0.0</v>
      </c>
      <c r="F874" s="3" t="s">
        <v>2718</v>
      </c>
      <c r="G874" s="3">
        <v>1.0</v>
      </c>
      <c r="H874" s="3">
        <v>0.0</v>
      </c>
      <c r="I874" s="3" t="s">
        <v>13</v>
      </c>
      <c r="J874" s="3" t="s">
        <v>2719</v>
      </c>
      <c r="K874" s="3" t="s">
        <v>41</v>
      </c>
      <c r="L874" s="3" t="str">
        <f>IFERROR(__xludf.DUMMYFUNCTION("GOOGLETRANSLATE(F874,""id"",""en"")"),"Italy entered the World Cup final represented by Gianni Infantino")</f>
        <v>Italy entered the World Cup final represented by Gianni Infantino</v>
      </c>
    </row>
    <row r="875" ht="15.75" customHeight="1">
      <c r="A875" s="1">
        <v>874.0</v>
      </c>
      <c r="B875" s="3" t="s">
        <v>2720</v>
      </c>
      <c r="C875" s="3">
        <v>0.0</v>
      </c>
      <c r="D875" s="3">
        <v>0.0</v>
      </c>
      <c r="E875" s="3">
        <v>0.0</v>
      </c>
      <c r="F875" s="3" t="s">
        <v>2721</v>
      </c>
      <c r="G875" s="3">
        <v>1.0</v>
      </c>
      <c r="H875" s="3">
        <v>0.0</v>
      </c>
      <c r="I875" s="3" t="s">
        <v>13</v>
      </c>
      <c r="J875" s="3" t="s">
        <v>2722</v>
      </c>
      <c r="K875" s="3" t="s">
        <v>131</v>
      </c>
      <c r="L875" s="3" t="str">
        <f>IFERROR(__xludf.DUMMYFUNCTION("GOOGLETRANSLATE(F875,""id"",""en"")"),"The French World Cup again can still penetrate this final prospect of its young players horrified by Argentina senior to overwhelmed the young French young French wkwkwkw")</f>
        <v>The French World Cup again can still penetrate this final prospect of its young players horrified by Argentina senior to overwhelmed the young French young French wkwkwkw</v>
      </c>
    </row>
    <row r="876" ht="15.75" customHeight="1">
      <c r="A876" s="1">
        <v>875.0</v>
      </c>
      <c r="B876" s="3" t="s">
        <v>2723</v>
      </c>
      <c r="C876" s="3">
        <v>0.0</v>
      </c>
      <c r="D876" s="3">
        <v>0.0</v>
      </c>
      <c r="E876" s="3">
        <v>0.0</v>
      </c>
      <c r="F876" s="3" t="s">
        <v>2724</v>
      </c>
      <c r="G876" s="3">
        <v>1.0</v>
      </c>
      <c r="H876" s="3">
        <v>0.0</v>
      </c>
      <c r="I876" s="3" t="s">
        <v>13</v>
      </c>
      <c r="J876" s="3" t="s">
        <v>2725</v>
      </c>
      <c r="K876" s="3" t="s">
        <v>942</v>
      </c>
      <c r="L876" s="3" t="str">
        <f>IFERROR(__xludf.DUMMYFUNCTION("GOOGLETRANSLATE(F876,""id"",""en"")"),"The Best Final Party in the History of the French Argentine World Cup Qatar World Cup")</f>
        <v>The Best Final Party in the History of the French Argentine World Cup Qatar World Cup</v>
      </c>
    </row>
    <row r="877" ht="15.75" customHeight="1">
      <c r="A877" s="1">
        <v>876.0</v>
      </c>
      <c r="B877" s="3" t="s">
        <v>2726</v>
      </c>
      <c r="C877" s="3">
        <v>0.0</v>
      </c>
      <c r="D877" s="3">
        <v>0.0</v>
      </c>
      <c r="E877" s="3">
        <v>0.0</v>
      </c>
      <c r="F877" s="3" t="s">
        <v>2727</v>
      </c>
      <c r="G877" s="3">
        <v>1.0</v>
      </c>
      <c r="H877" s="3">
        <v>0.0</v>
      </c>
      <c r="I877" s="3" t="s">
        <v>13</v>
      </c>
      <c r="J877" s="3" t="s">
        <v>2728</v>
      </c>
      <c r="K877" s="3" t="s">
        <v>240</v>
      </c>
      <c r="L877" s="3" t="str">
        <f>IFERROR(__xludf.DUMMYFUNCTION("GOOGLETRANSLATE(F877,""id"",""en"")"),"The excitement of the Argentine World Cup Nobar Final Francis Qatar with Commander of the Kostrad Infantry Division of TNIADMBDIDidDidun building the Army Ampt.")</f>
        <v>The excitement of the Argentine World Cup Nobar Final Francis Qatar with Commander of the Kostrad Infantry Division of TNIADMBDIDidDidun building the Army Ampt.</v>
      </c>
    </row>
    <row r="878" ht="15.75" customHeight="1">
      <c r="A878" s="1">
        <v>877.0</v>
      </c>
      <c r="B878" s="3" t="s">
        <v>2729</v>
      </c>
      <c r="C878" s="3">
        <v>0.0</v>
      </c>
      <c r="D878" s="3">
        <v>0.0</v>
      </c>
      <c r="E878" s="3">
        <v>0.0</v>
      </c>
      <c r="F878" s="3" t="s">
        <v>2730</v>
      </c>
      <c r="G878" s="3">
        <v>1.0</v>
      </c>
      <c r="H878" s="3">
        <v>0.0</v>
      </c>
      <c r="I878" s="3" t="s">
        <v>13</v>
      </c>
      <c r="J878" s="3" t="s">
        <v>2731</v>
      </c>
      <c r="K878" s="3" t="s">
        <v>699</v>
      </c>
      <c r="L878" s="3" t="str">
        <f>IFERROR(__xludf.DUMMYFUNCTION("GOOGLETRANSLATE(F878,""id"",""en"")"),"Mbapp is cool, the original is really cool to carry France alone, unfortunately his friend is like that the Final World Cup is exciting")</f>
        <v>Mbapp is cool, the original is really cool to carry France alone, unfortunately his friend is like that the Final World Cup is exciting</v>
      </c>
    </row>
    <row r="879" ht="15.75" customHeight="1">
      <c r="A879" s="1">
        <v>878.0</v>
      </c>
      <c r="B879" s="3" t="s">
        <v>2732</v>
      </c>
      <c r="C879" s="3">
        <v>0.0</v>
      </c>
      <c r="D879" s="3">
        <v>0.0</v>
      </c>
      <c r="E879" s="3">
        <v>0.0</v>
      </c>
      <c r="F879" s="3" t="s">
        <v>2733</v>
      </c>
      <c r="G879" s="3">
        <v>1.0</v>
      </c>
      <c r="H879" s="3">
        <v>0.0</v>
      </c>
      <c r="I879" s="3" t="s">
        <v>13</v>
      </c>
      <c r="J879" s="3" t="s">
        <v>2734</v>
      </c>
      <c r="K879" s="3" t="s">
        <v>2735</v>
      </c>
      <c r="L879" s="3" t="str">
        <f>IFERROR(__xludf.DUMMYFUNCTION("GOOGLETRANSLATE(F879,""id"",""en"")"),"Okay, it's okay, France loses a cool mbapp really, the first half is pessimistic and the second half is immediately optimistic that it is optimistic that the goal from the MBAPP turns out to be when the penalty loses, it's okay, BTW, the World Cup Final")</f>
        <v>Okay, it's okay, France loses a cool mbapp really, the first half is pessimistic and the second half is immediately optimistic that it is optimistic that the goal from the MBAPP turns out to be when the penalty loses, it's okay, BTW, the World Cup Final</v>
      </c>
    </row>
    <row r="880" ht="15.75" customHeight="1">
      <c r="A880" s="1">
        <v>879.0</v>
      </c>
      <c r="B880" s="3" t="s">
        <v>2736</v>
      </c>
      <c r="C880" s="3">
        <v>0.0</v>
      </c>
      <c r="D880" s="3">
        <v>1.0</v>
      </c>
      <c r="E880" s="3">
        <v>1.0</v>
      </c>
      <c r="F880" s="3" t="s">
        <v>2737</v>
      </c>
      <c r="G880" s="3">
        <v>1.0</v>
      </c>
      <c r="H880" s="3">
        <v>0.25</v>
      </c>
      <c r="I880" s="3" t="s">
        <v>48</v>
      </c>
      <c r="J880" s="3" t="s">
        <v>2738</v>
      </c>
      <c r="K880" s="3" t="s">
        <v>165</v>
      </c>
      <c r="L880" s="3" t="str">
        <f>IFERROR(__xludf.DUMMYFUNCTION("GOOGLETRANSLATE(F880,""id"",""en"")"),"Argentina Highlights Argentina Argentina Francia Final Copa Del Mundo France Argentine Sum Coupe Monde French World Cup Penalty Kolo Muani Greatest All Time What Drake Messi Mbappe")</f>
        <v>Argentina Highlights Argentina Argentina Francia Final Copa Del Mundo France Argentine Sum Coupe Monde French World Cup Penalty Kolo Muani Greatest All Time What Drake Messi Mbappe</v>
      </c>
    </row>
    <row r="881" ht="15.75" customHeight="1">
      <c r="A881" s="1">
        <v>880.0</v>
      </c>
      <c r="B881" s="3" t="s">
        <v>2739</v>
      </c>
      <c r="C881" s="3">
        <v>0.0</v>
      </c>
      <c r="D881" s="3">
        <v>0.0</v>
      </c>
      <c r="E881" s="3">
        <v>1.0</v>
      </c>
      <c r="F881" s="3" t="s">
        <v>2740</v>
      </c>
      <c r="G881" s="3">
        <v>1.0</v>
      </c>
      <c r="H881" s="3">
        <v>0.0</v>
      </c>
      <c r="I881" s="3" t="s">
        <v>13</v>
      </c>
      <c r="J881" s="3" t="s">
        <v>2741</v>
      </c>
      <c r="K881" s="3" t="s">
        <v>71</v>
      </c>
      <c r="L881" s="3" t="str">
        <f>IFERROR(__xludf.DUMMYFUNCTION("GOOGLETRANSLATE(F881,""id"",""en"")"),"we witnessed the best final of the final in the history of the World Cup, Argentina, thank you France")</f>
        <v>we witnessed the best final of the final in the history of the World Cup, Argentina, thank you France</v>
      </c>
    </row>
    <row r="882" ht="15.75" customHeight="1">
      <c r="A882" s="1">
        <v>881.0</v>
      </c>
      <c r="B882" s="3" t="s">
        <v>2742</v>
      </c>
      <c r="C882" s="3">
        <v>0.0</v>
      </c>
      <c r="D882" s="3">
        <v>0.0</v>
      </c>
      <c r="E882" s="3">
        <v>0.0</v>
      </c>
      <c r="F882" s="3" t="s">
        <v>2743</v>
      </c>
      <c r="G882" s="3">
        <v>1.0</v>
      </c>
      <c r="H882" s="3">
        <v>0.0</v>
      </c>
      <c r="I882" s="3" t="s">
        <v>13</v>
      </c>
      <c r="J882" s="3" t="s">
        <v>2744</v>
      </c>
      <c r="K882" s="3" t="s">
        <v>41</v>
      </c>
      <c r="L882" s="3" t="str">
        <f>IFERROR(__xludf.DUMMYFUNCTION("GOOGLETRANSLATE(F882,""id"",""en"")"),"The second best World Cup final deserves Argentina won")</f>
        <v>The second best World Cup final deserves Argentina won</v>
      </c>
    </row>
    <row r="883" ht="15.75" customHeight="1">
      <c r="A883" s="1">
        <v>882.0</v>
      </c>
      <c r="B883" s="3" t="s">
        <v>2745</v>
      </c>
      <c r="C883" s="3">
        <v>0.0</v>
      </c>
      <c r="D883" s="3">
        <v>0.0</v>
      </c>
      <c r="E883" s="3">
        <v>0.0</v>
      </c>
      <c r="F883" s="3" t="s">
        <v>2746</v>
      </c>
      <c r="G883" s="3">
        <v>1.0</v>
      </c>
      <c r="H883" s="3">
        <v>0.0</v>
      </c>
      <c r="I883" s="3" t="s">
        <v>13</v>
      </c>
      <c r="J883" s="3" t="s">
        <v>2747</v>
      </c>
      <c r="K883" s="3" t="s">
        <v>50</v>
      </c>
      <c r="L883" s="3" t="str">
        <f>IFERROR(__xludf.DUMMYFUNCTION("GOOGLETRANSLATE(F883,""id"",""en"")"),"try absent you fans who are the world cup final I was France")</f>
        <v>try absent you fans who are the world cup final I was France</v>
      </c>
    </row>
    <row r="884" ht="15.75" customHeight="1">
      <c r="A884" s="1">
        <v>883.0</v>
      </c>
      <c r="B884" s="3" t="s">
        <v>2748</v>
      </c>
      <c r="C884" s="3">
        <v>0.0</v>
      </c>
      <c r="D884" s="3">
        <v>0.0</v>
      </c>
      <c r="E884" s="3">
        <v>0.0</v>
      </c>
      <c r="F884" s="3" t="s">
        <v>2749</v>
      </c>
      <c r="G884" s="3">
        <v>1.0</v>
      </c>
      <c r="H884" s="3">
        <v>0.0</v>
      </c>
      <c r="I884" s="3" t="s">
        <v>13</v>
      </c>
      <c r="J884" s="3" t="s">
        <v>2750</v>
      </c>
      <c r="K884" s="3" t="s">
        <v>1280</v>
      </c>
      <c r="L884" s="3" t="str">
        <f>IFERROR(__xludf.DUMMYFUNCTION("GOOGLETRANSLATE(F884,""id"",""en"")"),"The World Cup how come it doesn't feel like the excitement of the World Cup, how come it's quiet, because yesterday it wasn't just a bastard.")</f>
        <v>The World Cup how come it doesn't feel like the excitement of the World Cup, how come it's quiet, because yesterday it wasn't just a bastard.</v>
      </c>
    </row>
    <row r="885" ht="15.75" customHeight="1">
      <c r="A885" s="1">
        <v>884.0</v>
      </c>
      <c r="B885" s="3" t="s">
        <v>2751</v>
      </c>
      <c r="C885" s="3">
        <v>1.0</v>
      </c>
      <c r="D885" s="3">
        <v>0.0</v>
      </c>
      <c r="E885" s="3">
        <v>1.0</v>
      </c>
      <c r="F885" s="3" t="s">
        <v>2751</v>
      </c>
      <c r="G885" s="3">
        <v>1.0</v>
      </c>
      <c r="H885" s="3">
        <v>0.0</v>
      </c>
      <c r="I885" s="3" t="s">
        <v>13</v>
      </c>
      <c r="J885" s="3" t="s">
        <v>2752</v>
      </c>
      <c r="K885" s="3" t="s">
        <v>82</v>
      </c>
      <c r="L885" s="3" t="str">
        <f>IFERROR(__xludf.DUMMYFUNCTION("GOOGLETRANSLATE(F885,""id"",""en"")"),"this year's world cup final is crazy")</f>
        <v>this year's world cup final is crazy</v>
      </c>
    </row>
    <row r="886" ht="15.75" customHeight="1">
      <c r="A886" s="1">
        <v>885.0</v>
      </c>
      <c r="B886" s="3" t="s">
        <v>2753</v>
      </c>
      <c r="C886" s="3">
        <v>0.0</v>
      </c>
      <c r="D886" s="3">
        <v>0.0</v>
      </c>
      <c r="E886" s="3">
        <v>0.0</v>
      </c>
      <c r="F886" s="3" t="s">
        <v>2754</v>
      </c>
      <c r="G886" s="3">
        <v>1.0</v>
      </c>
      <c r="H886" s="3">
        <v>0.5</v>
      </c>
      <c r="I886" s="3" t="s">
        <v>48</v>
      </c>
      <c r="J886" s="3" t="s">
        <v>2755</v>
      </c>
      <c r="K886" s="3" t="s">
        <v>358</v>
      </c>
      <c r="L886" s="3" t="str">
        <f>IFERROR(__xludf.DUMMYFUNCTION("GOOGLETRANSLATE(F886,""id"",""en"")"),"Argentine French World Cup Final Results Messi Official Goat True Maria Emi Martinez World Cup Greatest All Time")</f>
        <v>Argentine French World Cup Final Results Messi Official Goat True Maria Emi Martinez World Cup Greatest All Time</v>
      </c>
    </row>
    <row r="887" ht="15.75" customHeight="1">
      <c r="A887" s="1">
        <v>886.0</v>
      </c>
      <c r="B887" s="3" t="s">
        <v>2756</v>
      </c>
      <c r="C887" s="3">
        <v>0.0</v>
      </c>
      <c r="D887" s="3">
        <v>0.0</v>
      </c>
      <c r="E887" s="3">
        <v>4.0</v>
      </c>
      <c r="F887" s="3" t="s">
        <v>2757</v>
      </c>
      <c r="G887" s="3">
        <v>1.0</v>
      </c>
      <c r="H887" s="3">
        <v>0.0</v>
      </c>
      <c r="I887" s="3" t="s">
        <v>13</v>
      </c>
      <c r="J887" s="3" t="s">
        <v>2758</v>
      </c>
      <c r="K887" s="3" t="s">
        <v>71</v>
      </c>
      <c r="L887" s="3" t="str">
        <f>IFERROR(__xludf.DUMMYFUNCTION("GOOGLETRANSLATE(F887,""id"",""en"")"),"Messi Extraordinary Mbappe Dasyat Thank you for the best final in the history of the Argentina World Cup")</f>
        <v>Messi Extraordinary Mbappe Dasyat Thank you for the best final in the history of the Argentina World Cup</v>
      </c>
    </row>
    <row r="888" ht="15.75" customHeight="1">
      <c r="A888" s="1">
        <v>887.0</v>
      </c>
      <c r="B888" s="3" t="s">
        <v>2759</v>
      </c>
      <c r="C888" s="3">
        <v>2.0</v>
      </c>
      <c r="D888" s="3">
        <v>79.0</v>
      </c>
      <c r="E888" s="3">
        <v>275.0</v>
      </c>
      <c r="F888" s="3" t="s">
        <v>2760</v>
      </c>
      <c r="G888" s="3">
        <v>1.0</v>
      </c>
      <c r="H888" s="3">
        <v>0.0</v>
      </c>
      <c r="I888" s="3" t="s">
        <v>13</v>
      </c>
      <c r="J888" s="3" t="s">
        <v>2761</v>
      </c>
      <c r="K888" s="3" t="s">
        <v>491</v>
      </c>
      <c r="L888" s="3" t="str">
        <f>IFERROR(__xludf.DUMMYFUNCTION("GOOGLETRANSLATE(F888,""id"",""en"")"),"The score was what I fell asleep I want to watch the World Cup final instead of watching this I am exciting too")</f>
        <v>The score was what I fell asleep I want to watch the World Cup final instead of watching this I am exciting too</v>
      </c>
    </row>
    <row r="889" ht="15.75" customHeight="1">
      <c r="A889" s="1">
        <v>888.0</v>
      </c>
      <c r="B889" s="3" t="s">
        <v>2762</v>
      </c>
      <c r="C889" s="3">
        <v>0.0</v>
      </c>
      <c r="D889" s="3">
        <v>0.0</v>
      </c>
      <c r="E889" s="3">
        <v>2.0</v>
      </c>
      <c r="F889" s="3" t="s">
        <v>2516</v>
      </c>
      <c r="G889" s="3">
        <v>1.0</v>
      </c>
      <c r="H889" s="3">
        <v>0.0</v>
      </c>
      <c r="I889" s="3" t="s">
        <v>13</v>
      </c>
      <c r="J889" s="3" t="s">
        <v>2517</v>
      </c>
      <c r="K889" s="3" t="s">
        <v>19</v>
      </c>
      <c r="L889" s="3" t="str">
        <f>IFERROR(__xludf.DUMMYFUNCTION("GOOGLETRANSLATE(F889,""id"",""en"")"),"Kylian Mbappe Print Hat Trick Final World Cup Samai Record Geoff Hurst")</f>
        <v>Kylian Mbappe Print Hat Trick Final World Cup Samai Record Geoff Hurst</v>
      </c>
    </row>
    <row r="890" ht="15.75" customHeight="1">
      <c r="A890" s="1">
        <v>889.0</v>
      </c>
      <c r="B890" s="3" t="s">
        <v>2763</v>
      </c>
      <c r="C890" s="3">
        <v>0.0</v>
      </c>
      <c r="D890" s="3">
        <v>0.0</v>
      </c>
      <c r="E890" s="3">
        <v>0.0</v>
      </c>
      <c r="F890" s="3" t="s">
        <v>2764</v>
      </c>
      <c r="G890" s="3">
        <v>1.0</v>
      </c>
      <c r="H890" s="3">
        <v>0.0</v>
      </c>
      <c r="I890" s="3" t="s">
        <v>13</v>
      </c>
      <c r="J890" s="3" t="s">
        <v>2765</v>
      </c>
      <c r="K890" s="3" t="s">
        <v>41</v>
      </c>
      <c r="L890" s="3" t="str">
        <f>IFERROR(__xludf.DUMMYFUNCTION("GOOGLETRANSLATE(F890,""id"",""en"")"),"Very exciting oath of the World Cup final today fortunately watching")</f>
        <v>Very exciting oath of the World Cup final today fortunately watching</v>
      </c>
    </row>
    <row r="891" ht="15.75" customHeight="1">
      <c r="A891" s="1">
        <v>890.0</v>
      </c>
      <c r="B891" s="3" t="s">
        <v>2766</v>
      </c>
      <c r="C891" s="3">
        <v>0.0</v>
      </c>
      <c r="D891" s="3">
        <v>6.0</v>
      </c>
      <c r="E891" s="3">
        <v>14.0</v>
      </c>
      <c r="F891" s="3" t="s">
        <v>2767</v>
      </c>
      <c r="G891" s="3">
        <v>1.0</v>
      </c>
      <c r="H891" s="3">
        <v>0.0</v>
      </c>
      <c r="I891" s="3" t="s">
        <v>13</v>
      </c>
      <c r="J891" s="3" t="s">
        <v>2768</v>
      </c>
      <c r="K891" s="3" t="s">
        <v>903</v>
      </c>
      <c r="L891" s="3" t="str">
        <f>IFERROR(__xludf.DUMMYFUNCTION("GOOGLETRANSLATE(F891,""id"",""en"")"),"Mbappe won the Golden Kasut Award after a goal in this edition including the network of the final action of his final action he was in truth")</f>
        <v>Mbappe won the Golden Kasut Award after a goal in this edition including the network of the final action of his final action he was in truth</v>
      </c>
    </row>
    <row r="892" ht="15.75" customHeight="1">
      <c r="A892" s="1">
        <v>891.0</v>
      </c>
      <c r="B892" s="3" t="s">
        <v>2769</v>
      </c>
      <c r="C892" s="3">
        <v>0.0</v>
      </c>
      <c r="D892" s="3">
        <v>0.0</v>
      </c>
      <c r="E892" s="3">
        <v>0.0</v>
      </c>
      <c r="F892" s="3" t="s">
        <v>2770</v>
      </c>
      <c r="G892" s="3">
        <v>1.0</v>
      </c>
      <c r="H892" s="3">
        <v>0.0</v>
      </c>
      <c r="I892" s="3" t="s">
        <v>13</v>
      </c>
      <c r="J892" s="3" t="s">
        <v>2771</v>
      </c>
      <c r="K892" s="3" t="s">
        <v>463</v>
      </c>
      <c r="L892" s="3" t="str">
        <f>IFERROR(__xludf.DUMMYFUNCTION("GOOGLETRANSLATE(F892,""id"",""en"")"),"Congratulations to Argentina so the champion is an exciting match and very entertaining, thank you too, France is already cool, Pokonyamah, the other team is also cool without them, there will be no French Argentina World Cup final match.")</f>
        <v>Congratulations to Argentina so the champion is an exciting match and very entertaining, thank you too, France is already cool, Pokonyamah, the other team is also cool without them, there will be no French Argentina World Cup final match.</v>
      </c>
    </row>
    <row r="893" ht="15.75" customHeight="1">
      <c r="A893" s="1">
        <v>892.0</v>
      </c>
      <c r="B893" s="3" t="s">
        <v>2772</v>
      </c>
      <c r="C893" s="3">
        <v>0.0</v>
      </c>
      <c r="D893" s="3">
        <v>0.0</v>
      </c>
      <c r="E893" s="3">
        <v>0.0</v>
      </c>
      <c r="F893" s="3" t="s">
        <v>2773</v>
      </c>
      <c r="G893" s="3">
        <v>1.0</v>
      </c>
      <c r="H893" s="3">
        <v>0.0</v>
      </c>
      <c r="I893" s="3" t="s">
        <v>13</v>
      </c>
      <c r="J893" s="3" t="s">
        <v>2774</v>
      </c>
      <c r="K893" s="3" t="s">
        <v>433</v>
      </c>
      <c r="L893" s="3" t="str">
        <f>IFERROR(__xludf.DUMMYFUNCTION("GOOGLETRANSLATE(F893,""id"",""en"")"),"The best World Cup final after Argentina's goal drama finally managed to bring home the world title")</f>
        <v>The best World Cup final after Argentina's goal drama finally managed to bring home the world title</v>
      </c>
    </row>
    <row r="894" ht="15.75" customHeight="1">
      <c r="A894" s="1">
        <v>893.0</v>
      </c>
      <c r="B894" s="3" t="s">
        <v>2775</v>
      </c>
      <c r="C894" s="3">
        <v>0.0</v>
      </c>
      <c r="D894" s="3">
        <v>1.0</v>
      </c>
      <c r="E894" s="3">
        <v>0.0</v>
      </c>
      <c r="F894" s="3" t="s">
        <v>2776</v>
      </c>
      <c r="G894" s="3">
        <v>1.0</v>
      </c>
      <c r="H894" s="3">
        <v>0.0</v>
      </c>
      <c r="I894" s="3" t="s">
        <v>13</v>
      </c>
      <c r="J894" s="3" t="s">
        <v>2777</v>
      </c>
      <c r="K894" s="3" t="s">
        <v>1061</v>
      </c>
      <c r="L894" s="3" t="str">
        <f>IFERROR(__xludf.DUMMYFUNCTION("GOOGLETRANSLATE(F894,""id"",""en"")"),"To hell with Argentina or Portugal Fuck Ronaldo or Messi debate, who is the real Goat but where there are Madrid players there I will support winning or losing heads you are the best until the World Cup Final")</f>
        <v>To hell with Argentina or Portugal Fuck Ronaldo or Messi debate, who is the real Goat but where there are Madrid players there I will support winning or losing heads you are the best until the World Cup Final</v>
      </c>
    </row>
    <row r="895" ht="15.75" customHeight="1">
      <c r="A895" s="1">
        <v>894.0</v>
      </c>
      <c r="B895" s="3" t="s">
        <v>2778</v>
      </c>
      <c r="C895" s="3">
        <v>0.0</v>
      </c>
      <c r="D895" s="3">
        <v>0.0</v>
      </c>
      <c r="E895" s="3">
        <v>1.0</v>
      </c>
      <c r="F895" s="3" t="s">
        <v>2779</v>
      </c>
      <c r="G895" s="3">
        <v>1.0</v>
      </c>
      <c r="H895" s="3">
        <v>0.0</v>
      </c>
      <c r="I895" s="3" t="s">
        <v>13</v>
      </c>
      <c r="J895" s="3" t="s">
        <v>2780</v>
      </c>
      <c r="K895" s="3" t="s">
        <v>1394</v>
      </c>
      <c r="L895" s="3" t="str">
        <f>IFERROR(__xludf.DUMMYFUNCTION("GOOGLETRANSLATE(F895,""id"",""en"")"),"One of the best world cup finals in history was made heart gymnastics from the beginning to the end of the match happy Argentina and Messi was finally able to champion the World Cup for France to comeback to a penalty even though he finally lost")</f>
        <v>One of the best world cup finals in history was made heart gymnastics from the beginning to the end of the match happy Argentina and Messi was finally able to champion the World Cup for France to comeback to a penalty even though he finally lost</v>
      </c>
    </row>
    <row r="896" ht="15.75" customHeight="1">
      <c r="A896" s="1">
        <v>895.0</v>
      </c>
      <c r="B896" s="3" t="s">
        <v>2781</v>
      </c>
      <c r="C896" s="3">
        <v>0.0</v>
      </c>
      <c r="D896" s="3">
        <v>0.0</v>
      </c>
      <c r="E896" s="3">
        <v>0.0</v>
      </c>
      <c r="F896" s="3" t="s">
        <v>2782</v>
      </c>
      <c r="G896" s="3">
        <v>1.0</v>
      </c>
      <c r="H896" s="3">
        <v>0.0</v>
      </c>
      <c r="I896" s="3" t="s">
        <v>13</v>
      </c>
      <c r="J896" s="3" t="s">
        <v>2783</v>
      </c>
      <c r="K896" s="3" t="s">
        <v>31</v>
      </c>
      <c r="L896" s="3" t="str">
        <f>IFERROR(__xludf.DUMMYFUNCTION("GOOGLETRANSLATE(F896,""id"",""en"")"),"The Final World Cup Exciting BGTTTTT")</f>
        <v>The Final World Cup Exciting BGTTTTT</v>
      </c>
    </row>
    <row r="897" ht="15.75" customHeight="1">
      <c r="A897" s="1">
        <v>896.0</v>
      </c>
      <c r="B897" s="3" t="s">
        <v>2784</v>
      </c>
      <c r="C897" s="3">
        <v>1.0</v>
      </c>
      <c r="D897" s="3">
        <v>0.0</v>
      </c>
      <c r="E897" s="3">
        <v>1.0</v>
      </c>
      <c r="F897" s="3" t="s">
        <v>2785</v>
      </c>
      <c r="G897" s="3">
        <v>0.6333333333333333</v>
      </c>
      <c r="H897" s="3">
        <v>0.2</v>
      </c>
      <c r="I897" s="3" t="s">
        <v>48</v>
      </c>
      <c r="J897" s="3" t="s">
        <v>2786</v>
      </c>
      <c r="K897" s="3" t="s">
        <v>456</v>
      </c>
      <c r="L897" s="3" t="str">
        <f>IFERROR(__xludf.DUMMYFUNCTION("GOOGLETRANSLATE(F897,""id"",""en"")"),"Although it was underestimated in the corner of the Qatar World Cup media transformed into the best World Cup starting from the emotional opening of the surprise group phase of the host of the top host and then closed the final epic match")</f>
        <v>Although it was underestimated in the corner of the Qatar World Cup media transformed into the best World Cup starting from the emotional opening of the surprise group phase of the host of the top host and then closed the final epic match</v>
      </c>
    </row>
    <row r="898" ht="15.75" customHeight="1">
      <c r="A898" s="1">
        <v>897.0</v>
      </c>
      <c r="B898" s="3" t="s">
        <v>2787</v>
      </c>
      <c r="C898" s="3">
        <v>1.0</v>
      </c>
      <c r="D898" s="3">
        <v>3.0</v>
      </c>
      <c r="E898" s="3">
        <v>26.0</v>
      </c>
      <c r="F898" s="3" t="s">
        <v>2788</v>
      </c>
      <c r="G898" s="3">
        <v>1.0</v>
      </c>
      <c r="H898" s="3">
        <v>0.0</v>
      </c>
      <c r="I898" s="3" t="s">
        <v>13</v>
      </c>
      <c r="J898" s="3" t="s">
        <v>2789</v>
      </c>
      <c r="K898" s="3" t="s">
        <v>695</v>
      </c>
      <c r="L898" s="3" t="str">
        <f>IFERROR(__xludf.DUMMYFUNCTION("GOOGLETRANSLATE(F898,""id"",""en"")"),"Playing for the Pilgo Garang and Unlawked Pilduun Final Pilduun as a substitute created the third goal chance to lift the World Cup trophy")</f>
        <v>Playing for the Pilgo Garang and Unlawked Pilduun Final Pilduun as a substitute created the third goal chance to lift the World Cup trophy</v>
      </c>
    </row>
    <row r="899" ht="15.75" customHeight="1">
      <c r="A899" s="1">
        <v>898.0</v>
      </c>
      <c r="B899" s="3" t="s">
        <v>2790</v>
      </c>
      <c r="C899" s="3">
        <v>0.0</v>
      </c>
      <c r="D899" s="3">
        <v>0.0</v>
      </c>
      <c r="E899" s="3">
        <v>0.0</v>
      </c>
      <c r="F899" s="3" t="s">
        <v>2791</v>
      </c>
      <c r="G899" s="3">
        <v>1.0</v>
      </c>
      <c r="H899" s="3">
        <v>0.0</v>
      </c>
      <c r="I899" s="3" t="s">
        <v>13</v>
      </c>
      <c r="J899" s="3" t="s">
        <v>2792</v>
      </c>
      <c r="K899" s="3" t="s">
        <v>477</v>
      </c>
      <c r="L899" s="3" t="str">
        <f>IFERROR(__xludf.DUMMYFUNCTION("GOOGLETRANSLATE(F899,""id"",""en"")"),"VOICE AMPE HAIRT OF THE FINAL OF THE WORLD CUP")</f>
        <v>VOICE AMPE HAIRT OF THE FINAL OF THE WORLD CUP</v>
      </c>
    </row>
    <row r="900" ht="15.75" customHeight="1">
      <c r="A900" s="1">
        <v>899.0</v>
      </c>
      <c r="B900" s="3" t="s">
        <v>2793</v>
      </c>
      <c r="C900" s="3">
        <v>1.0</v>
      </c>
      <c r="D900" s="3">
        <v>0.0</v>
      </c>
      <c r="E900" s="3">
        <v>1.0</v>
      </c>
      <c r="F900" s="3" t="s">
        <v>2794</v>
      </c>
      <c r="G900" s="3">
        <v>0.7</v>
      </c>
      <c r="H900" s="3">
        <v>0.05</v>
      </c>
      <c r="I900" s="3" t="s">
        <v>48</v>
      </c>
      <c r="J900" s="3" t="s">
        <v>2795</v>
      </c>
      <c r="K900" s="3" t="s">
        <v>910</v>
      </c>
      <c r="L900" s="3" t="str">
        <f>IFERROR(__xludf.DUMMYFUNCTION("GOOGLETRANSLATE(F900,""id"",""en"")"),"ARC is the end of the story plot story that is very epic conflict story between the best players reaching the Qatar World Cup climax with the victory of Argentina Final recorded him as a football goat and Ronaldo became a role model for young athletes")</f>
        <v>ARC is the end of the story plot story that is very epic conflict story between the best players reaching the Qatar World Cup climax with the victory of Argentina Final recorded him as a football goat and Ronaldo became a role model for young athletes</v>
      </c>
    </row>
    <row r="901" ht="15.75" customHeight="1">
      <c r="A901" s="1">
        <v>900.0</v>
      </c>
      <c r="B901" s="3" t="s">
        <v>2796</v>
      </c>
      <c r="C901" s="3">
        <v>0.0</v>
      </c>
      <c r="D901" s="3">
        <v>0.0</v>
      </c>
      <c r="E901" s="3">
        <v>0.0</v>
      </c>
      <c r="F901" s="3" t="s">
        <v>2797</v>
      </c>
      <c r="G901" s="3">
        <v>0.8</v>
      </c>
      <c r="H901" s="3">
        <v>-0.2166666666666666</v>
      </c>
      <c r="I901" s="3" t="s">
        <v>179</v>
      </c>
      <c r="J901" s="3" t="s">
        <v>2798</v>
      </c>
      <c r="K901" s="3" t="s">
        <v>15</v>
      </c>
      <c r="L901" s="3" t="str">
        <f>IFERROR(__xludf.DUMMYFUNCTION("GOOGLETRANSLATE(F901,""id"",""en"")"),"for Korean drama there is still a Dramatic World Cup final")</f>
        <v>for Korean drama there is still a Dramatic World Cup final</v>
      </c>
    </row>
    <row r="902" ht="15.75" customHeight="1">
      <c r="A902" s="1">
        <v>901.0</v>
      </c>
      <c r="B902" s="3" t="s">
        <v>2799</v>
      </c>
      <c r="C902" s="3">
        <v>1.0</v>
      </c>
      <c r="D902" s="3">
        <v>0.0</v>
      </c>
      <c r="E902" s="3">
        <v>0.0</v>
      </c>
      <c r="F902" s="3" t="s">
        <v>2800</v>
      </c>
      <c r="G902" s="3">
        <v>1.0</v>
      </c>
      <c r="H902" s="3">
        <v>0.0</v>
      </c>
      <c r="I902" s="3" t="s">
        <v>13</v>
      </c>
      <c r="J902" s="3" t="s">
        <v>2801</v>
      </c>
      <c r="K902" s="3" t="s">
        <v>614</v>
      </c>
      <c r="L902" s="3" t="str">
        <f>IFERROR(__xludf.DUMMYFUNCTION("GOOGLETRANSLATE(F902,""id"",""en"")"),"This World Cup Winning is not only Argentina but fans of football all over our world have been presented with exciting matches to be watched from the beginning to closed with the final final throughout history")</f>
        <v>This World Cup Winning is not only Argentina but fans of football all over our world have been presented with exciting matches to be watched from the beginning to closed with the final final throughout history</v>
      </c>
    </row>
    <row r="903" ht="15.75" customHeight="1">
      <c r="A903" s="1">
        <v>902.0</v>
      </c>
      <c r="B903" s="3" t="s">
        <v>2802</v>
      </c>
      <c r="C903" s="3">
        <v>0.0</v>
      </c>
      <c r="D903" s="3">
        <v>0.0</v>
      </c>
      <c r="E903" s="3">
        <v>0.0</v>
      </c>
      <c r="F903" s="3" t="s">
        <v>2803</v>
      </c>
      <c r="G903" s="3">
        <v>1.0</v>
      </c>
      <c r="H903" s="3">
        <v>0.0</v>
      </c>
      <c r="I903" s="3" t="s">
        <v>13</v>
      </c>
      <c r="J903" s="3" t="s">
        <v>2804</v>
      </c>
      <c r="K903" s="3" t="s">
        <v>41</v>
      </c>
      <c r="L903" s="3" t="str">
        <f>IFERROR(__xludf.DUMMYFUNCTION("GOOGLETRANSLATE(F903,""id"",""en"")"),"The streets are very quiet, all of them on watching the World Cup final")</f>
        <v>The streets are very quiet, all of them on watching the World Cup final</v>
      </c>
    </row>
    <row r="904" ht="15.75" customHeight="1">
      <c r="A904" s="1">
        <v>903.0</v>
      </c>
      <c r="B904" s="3" t="s">
        <v>2805</v>
      </c>
      <c r="C904" s="3">
        <v>0.0</v>
      </c>
      <c r="D904" s="3">
        <v>0.0</v>
      </c>
      <c r="E904" s="3">
        <v>0.0</v>
      </c>
      <c r="F904" s="3" t="s">
        <v>2806</v>
      </c>
      <c r="G904" s="3">
        <v>0.75</v>
      </c>
      <c r="H904" s="3">
        <v>0.06818181818181818</v>
      </c>
      <c r="I904" s="3" t="s">
        <v>48</v>
      </c>
      <c r="J904" s="3" t="s">
        <v>2807</v>
      </c>
      <c r="K904" s="3" t="s">
        <v>244</v>
      </c>
      <c r="L904" s="3" t="str">
        <f>IFERROR(__xludf.DUMMYFUNCTION("GOOGLETRANSLATE(F904,""id"",""en"")"),"Live Score of the French Argentine World Cup Final Until the Argentine minutes are still excellent")</f>
        <v>Live Score of the French Argentine World Cup Final Until the Argentine minutes are still excellent</v>
      </c>
    </row>
    <row r="905" ht="15.75" customHeight="1">
      <c r="A905" s="1">
        <v>904.0</v>
      </c>
      <c r="B905" s="3" t="s">
        <v>2808</v>
      </c>
      <c r="C905" s="3">
        <v>0.0</v>
      </c>
      <c r="D905" s="3">
        <v>0.0</v>
      </c>
      <c r="E905" s="3">
        <v>0.0</v>
      </c>
      <c r="F905" s="3" t="s">
        <v>2809</v>
      </c>
      <c r="G905" s="3">
        <v>1.0</v>
      </c>
      <c r="H905" s="3">
        <v>0.0</v>
      </c>
      <c r="I905" s="3" t="s">
        <v>13</v>
      </c>
      <c r="J905" s="3" t="s">
        <v>2810</v>
      </c>
      <c r="K905" s="3" t="s">
        <v>495</v>
      </c>
      <c r="L905" s="3" t="str">
        <f>IFERROR(__xludf.DUMMYFUNCTION("GOOGLETRANSLATE(F905,""id"",""en"")"),"Argentine World Cup Final Wins against France Mbape Hattrick Messi Man the Match for the Tango Team through com")</f>
        <v>Argentine World Cup Final Wins against France Mbape Hattrick Messi Man the Match for the Tango Team through com</v>
      </c>
    </row>
    <row r="906" ht="15.75" customHeight="1">
      <c r="A906" s="1">
        <v>905.0</v>
      </c>
      <c r="B906" s="3" t="s">
        <v>2811</v>
      </c>
      <c r="C906" s="3">
        <v>0.0</v>
      </c>
      <c r="D906" s="3">
        <v>0.0</v>
      </c>
      <c r="E906" s="3">
        <v>0.0</v>
      </c>
      <c r="F906" s="3" t="s">
        <v>665</v>
      </c>
      <c r="G906" s="3">
        <v>1.0</v>
      </c>
      <c r="H906" s="3">
        <v>0.0</v>
      </c>
      <c r="I906" s="3" t="s">
        <v>13</v>
      </c>
      <c r="J906" s="3" t="s">
        <v>666</v>
      </c>
      <c r="K906" s="3" t="s">
        <v>644</v>
      </c>
      <c r="L906" s="3" t="str">
        <f>IFERROR(__xludf.DUMMYFUNCTION("GOOGLETRANSLATE(F906,""id"",""en"")"),"the best world cup final")</f>
        <v>the best world cup final</v>
      </c>
    </row>
    <row r="907" ht="15.75" customHeight="1">
      <c r="A907" s="1">
        <v>906.0</v>
      </c>
      <c r="B907" s="3" t="s">
        <v>2812</v>
      </c>
      <c r="C907" s="3">
        <v>0.0</v>
      </c>
      <c r="D907" s="3">
        <v>0.0</v>
      </c>
      <c r="E907" s="3">
        <v>0.0</v>
      </c>
      <c r="F907" s="3" t="s">
        <v>2813</v>
      </c>
      <c r="G907" s="3">
        <v>0.75</v>
      </c>
      <c r="H907" s="3">
        <v>0.25</v>
      </c>
      <c r="I907" s="3" t="s">
        <v>48</v>
      </c>
      <c r="J907" s="3" t="s">
        <v>2814</v>
      </c>
      <c r="K907" s="3" t="s">
        <v>240</v>
      </c>
      <c r="L907" s="3" t="str">
        <f>IFERROR(__xludf.DUMMYFUNCTION("GOOGLETRANSLATE(F907,""id"",""en"")"),"Kylian Mbappe officially became the top scorer of the World Cup defeating Lionel Messi after creating the French Argentine Final Hattrick")</f>
        <v>Kylian Mbappe officially became the top scorer of the World Cup defeating Lionel Messi after creating the French Argentine Final Hattrick</v>
      </c>
    </row>
    <row r="908" ht="15.75" customHeight="1">
      <c r="A908" s="1">
        <v>907.0</v>
      </c>
      <c r="B908" s="3" t="s">
        <v>2815</v>
      </c>
      <c r="C908" s="3">
        <v>0.0</v>
      </c>
      <c r="D908" s="3">
        <v>0.0</v>
      </c>
      <c r="E908" s="3">
        <v>0.0</v>
      </c>
      <c r="F908" s="3" t="s">
        <v>2816</v>
      </c>
      <c r="G908" s="3">
        <v>1.0</v>
      </c>
      <c r="H908" s="3">
        <v>0.0</v>
      </c>
      <c r="I908" s="3" t="s">
        <v>13</v>
      </c>
      <c r="J908" s="3" t="s">
        <v>2817</v>
      </c>
      <c r="K908" s="3" t="s">
        <v>31</v>
      </c>
      <c r="L908" s="3" t="str">
        <f>IFERROR(__xludf.DUMMYFUNCTION("GOOGLETRANSLATE(F908,""id"",""en"")"),"exciting the world of the world cup final")</f>
        <v>exciting the world of the world cup final</v>
      </c>
    </row>
    <row r="909" ht="15.75" customHeight="1">
      <c r="A909" s="1">
        <v>908.0</v>
      </c>
      <c r="B909" s="3" t="s">
        <v>2818</v>
      </c>
      <c r="C909" s="3">
        <v>0.0</v>
      </c>
      <c r="D909" s="3">
        <v>0.0</v>
      </c>
      <c r="E909" s="3">
        <v>0.0</v>
      </c>
      <c r="F909" s="3" t="s">
        <v>2819</v>
      </c>
      <c r="G909" s="3">
        <v>1.0</v>
      </c>
      <c r="H909" s="3">
        <v>0.0</v>
      </c>
      <c r="I909" s="3" t="s">
        <v>13</v>
      </c>
      <c r="J909" s="3" t="s">
        <v>2820</v>
      </c>
      <c r="K909" s="3" t="s">
        <v>1265</v>
      </c>
      <c r="L909" s="3" t="str">
        <f>IFERROR(__xludf.DUMMYFUNCTION("GOOGLETRANSLATE(F909,""id"",""en"")"),"Messi and Mbappe are the same as feeling the World Cup Final Winning and Losing")</f>
        <v>Messi and Mbappe are the same as feeling the World Cup Final Winning and Losing</v>
      </c>
    </row>
    <row r="910" ht="15.75" customHeight="1">
      <c r="A910" s="1">
        <v>909.0</v>
      </c>
      <c r="B910" s="3" t="s">
        <v>2821</v>
      </c>
      <c r="C910" s="3">
        <v>1.0</v>
      </c>
      <c r="D910" s="3">
        <v>0.0</v>
      </c>
      <c r="E910" s="3">
        <v>0.0</v>
      </c>
      <c r="F910" s="3" t="s">
        <v>2822</v>
      </c>
      <c r="G910" s="3">
        <v>1.0</v>
      </c>
      <c r="H910" s="3">
        <v>0.0</v>
      </c>
      <c r="I910" s="3" t="s">
        <v>13</v>
      </c>
      <c r="J910" s="3" t="s">
        <v>2823</v>
      </c>
      <c r="K910" s="3" t="s">
        <v>50</v>
      </c>
      <c r="L910" s="3" t="str">
        <f>IFERROR(__xludf.DUMMYFUNCTION("GOOGLETRANSLATE(F910,""id"",""en"")"),"MSH Years Already Hatrick The Final World Cup Age In that Motorcycle Ngoprek")</f>
        <v>MSH Years Already Hatrick The Final World Cup Age In that Motorcycle Ngoprek</v>
      </c>
    </row>
    <row r="911" ht="15.75" customHeight="1">
      <c r="A911" s="1">
        <v>910.0</v>
      </c>
      <c r="B911" s="3" t="s">
        <v>2824</v>
      </c>
      <c r="C911" s="3">
        <v>0.0</v>
      </c>
      <c r="D911" s="3">
        <v>0.0</v>
      </c>
      <c r="E911" s="3">
        <v>0.0</v>
      </c>
      <c r="F911" s="3" t="s">
        <v>2825</v>
      </c>
      <c r="G911" s="3">
        <v>1.0</v>
      </c>
      <c r="H911" s="3">
        <v>0.0</v>
      </c>
      <c r="I911" s="3" t="s">
        <v>13</v>
      </c>
      <c r="J911" s="3" t="s">
        <v>2826</v>
      </c>
      <c r="K911" s="3" t="s">
        <v>477</v>
      </c>
      <c r="L911" s="3" t="str">
        <f>IFERROR(__xludf.DUMMYFUNCTION("GOOGLETRANSLATE(F911,""id"",""en"")"),"The real final and this could be the best World Cup Final")</f>
        <v>The real final and this could be the best World Cup Final</v>
      </c>
    </row>
    <row r="912" ht="15.75" customHeight="1">
      <c r="A912" s="1">
        <v>911.0</v>
      </c>
      <c r="B912" s="3" t="s">
        <v>2827</v>
      </c>
      <c r="C912" s="3">
        <v>0.0</v>
      </c>
      <c r="D912" s="3">
        <v>0.0</v>
      </c>
      <c r="E912" s="3">
        <v>0.0</v>
      </c>
      <c r="F912" s="3" t="s">
        <v>2828</v>
      </c>
      <c r="G912" s="3">
        <v>1.0</v>
      </c>
      <c r="H912" s="3">
        <v>0.0</v>
      </c>
      <c r="I912" s="3" t="s">
        <v>13</v>
      </c>
      <c r="J912" s="3" t="s">
        <v>2829</v>
      </c>
      <c r="K912" s="3" t="s">
        <v>510</v>
      </c>
      <c r="L912" s="3" t="str">
        <f>IFERROR(__xludf.DUMMYFUNCTION("GOOGLETRANSLATE(F912,""id"",""en"")"),"Thank you Leo Messi for paying for my asthma disease after the World Cup final")</f>
        <v>Thank you Leo Messi for paying for my asthma disease after the World Cup final</v>
      </c>
    </row>
    <row r="913" ht="15.75" customHeight="1">
      <c r="A913" s="1">
        <v>912.0</v>
      </c>
      <c r="B913" s="3" t="s">
        <v>2830</v>
      </c>
      <c r="C913" s="3">
        <v>0.0</v>
      </c>
      <c r="D913" s="3">
        <v>0.0</v>
      </c>
      <c r="E913" s="3">
        <v>1.0</v>
      </c>
      <c r="F913" s="3" t="s">
        <v>2831</v>
      </c>
      <c r="G913" s="3">
        <v>1.0</v>
      </c>
      <c r="H913" s="3">
        <v>0.0</v>
      </c>
      <c r="I913" s="3" t="s">
        <v>13</v>
      </c>
      <c r="J913" s="3" t="s">
        <v>2832</v>
      </c>
      <c r="K913" s="3" t="s">
        <v>54</v>
      </c>
      <c r="L913" s="3" t="str">
        <f>IFERROR(__xludf.DUMMYFUNCTION("GOOGLETRANSLATE(F913,""id"",""en"")"),"Most intention to watch the World Cup final")</f>
        <v>Most intention to watch the World Cup final</v>
      </c>
    </row>
    <row r="914" ht="15.75" customHeight="1">
      <c r="A914" s="1">
        <v>913.0</v>
      </c>
      <c r="B914" s="3" t="s">
        <v>2833</v>
      </c>
      <c r="C914" s="3">
        <v>0.0</v>
      </c>
      <c r="D914" s="3">
        <v>0.0</v>
      </c>
      <c r="E914" s="3">
        <v>0.0</v>
      </c>
      <c r="F914" s="3" t="s">
        <v>2834</v>
      </c>
      <c r="G914" s="3">
        <v>0.7</v>
      </c>
      <c r="H914" s="3">
        <v>0.05</v>
      </c>
      <c r="I914" s="3" t="s">
        <v>48</v>
      </c>
      <c r="J914" s="3" t="s">
        <v>2835</v>
      </c>
      <c r="K914" s="3" t="s">
        <v>510</v>
      </c>
      <c r="L914" s="3" t="str">
        <f>IFERROR(__xludf.DUMMYFUNCTION("GOOGLETRANSLATE(F914,""id"",""en"")"),"The final match which is very appropriate to end the World Cup this time is very exciting until the last minute")</f>
        <v>The final match which is very appropriate to end the World Cup this time is very exciting until the last minute</v>
      </c>
    </row>
    <row r="915" ht="15.75" customHeight="1">
      <c r="A915" s="1">
        <v>914.0</v>
      </c>
      <c r="B915" s="3" t="s">
        <v>2836</v>
      </c>
      <c r="C915" s="3">
        <v>0.0</v>
      </c>
      <c r="D915" s="3">
        <v>0.0</v>
      </c>
      <c r="E915" s="3">
        <v>0.0</v>
      </c>
      <c r="F915" s="3" t="s">
        <v>2837</v>
      </c>
      <c r="G915" s="3">
        <v>1.0</v>
      </c>
      <c r="H915" s="3">
        <v>0.0</v>
      </c>
      <c r="I915" s="3" t="s">
        <v>13</v>
      </c>
      <c r="J915" s="3" t="s">
        <v>2838</v>
      </c>
      <c r="K915" s="3" t="s">
        <v>1552</v>
      </c>
      <c r="L915" s="3" t="str">
        <f>IFERROR(__xludf.DUMMYFUNCTION("GOOGLETRANSLATE(F915,""id"",""en"")"),"alive by passing the World Cup to become the World Cup's best final")</f>
        <v>alive by passing the World Cup to become the World Cup's best final</v>
      </c>
    </row>
    <row r="916" ht="15.75" customHeight="1">
      <c r="A916" s="1">
        <v>915.0</v>
      </c>
      <c r="B916" s="3" t="s">
        <v>2839</v>
      </c>
      <c r="C916" s="3">
        <v>2.0</v>
      </c>
      <c r="D916" s="3">
        <v>0.0</v>
      </c>
      <c r="E916" s="3">
        <v>0.0</v>
      </c>
      <c r="F916" s="3" t="s">
        <v>2840</v>
      </c>
      <c r="G916" s="3">
        <v>1.0</v>
      </c>
      <c r="H916" s="3">
        <v>0.0</v>
      </c>
      <c r="I916" s="3" t="s">
        <v>13</v>
      </c>
      <c r="J916" s="3" t="s">
        <v>2841</v>
      </c>
      <c r="K916" s="3" t="s">
        <v>19</v>
      </c>
      <c r="L916" s="3" t="str">
        <f>IFERROR(__xludf.DUMMYFUNCTION("GOOGLETRANSLATE(F916,""id"",""en"")"),"waiting for there is a youtube uploading a comment for the commented Keisuke Honda Final of the World Cup")</f>
        <v>waiting for there is a youtube uploading a comment for the commented Keisuke Honda Final of the World Cup</v>
      </c>
    </row>
    <row r="917" ht="15.75" customHeight="1">
      <c r="A917" s="1">
        <v>916.0</v>
      </c>
      <c r="B917" s="3" t="s">
        <v>2842</v>
      </c>
      <c r="C917" s="3">
        <v>0.0</v>
      </c>
      <c r="D917" s="3">
        <v>0.0</v>
      </c>
      <c r="E917" s="3">
        <v>1.0</v>
      </c>
      <c r="F917" s="3" t="s">
        <v>2843</v>
      </c>
      <c r="G917" s="3">
        <v>1.0</v>
      </c>
      <c r="H917" s="3">
        <v>0.0</v>
      </c>
      <c r="I917" s="3" t="s">
        <v>13</v>
      </c>
      <c r="J917" s="3" t="s">
        <v>2844</v>
      </c>
      <c r="K917" s="3" t="s">
        <v>75</v>
      </c>
      <c r="L917" s="3" t="str">
        <f>IFERROR(__xludf.DUMMYFUNCTION("GOOGLETRANSLATE(F917,""id"",""en"")"),"Incredibly enthusiastic about Egyptian citizens Nobar Final of the Qatar World Cup")</f>
        <v>Incredibly enthusiastic about Egyptian citizens Nobar Final of the Qatar World Cup</v>
      </c>
    </row>
    <row r="918" ht="15.75" customHeight="1">
      <c r="A918" s="1">
        <v>917.0</v>
      </c>
      <c r="B918" s="3" t="s">
        <v>2845</v>
      </c>
      <c r="C918" s="3">
        <v>0.0</v>
      </c>
      <c r="D918" s="3">
        <v>4.0</v>
      </c>
      <c r="E918" s="3">
        <v>26.0</v>
      </c>
      <c r="F918" s="3" t="s">
        <v>2846</v>
      </c>
      <c r="G918" s="3">
        <v>0.55</v>
      </c>
      <c r="H918" s="3">
        <v>0.0</v>
      </c>
      <c r="I918" s="3" t="s">
        <v>13</v>
      </c>
      <c r="J918" s="3" t="s">
        <v>2847</v>
      </c>
      <c r="K918" s="3" t="s">
        <v>695</v>
      </c>
      <c r="L918" s="3" t="str">
        <f>IFERROR(__xludf.DUMMYFUNCTION("GOOGLETRANSLATE(F918,""id"",""en"")"),"Argentina won the Argentine World Cup championship trophy to defeat France Final through penalties after playing series until Extra Time")</f>
        <v>Argentina won the Argentine World Cup championship trophy to defeat France Final through penalties after playing series until Extra Time</v>
      </c>
    </row>
    <row r="919" ht="15.75" customHeight="1">
      <c r="A919" s="1">
        <v>918.0</v>
      </c>
      <c r="B919" s="3" t="s">
        <v>2848</v>
      </c>
      <c r="C919" s="3">
        <v>1.0</v>
      </c>
      <c r="D919" s="3">
        <v>0.0</v>
      </c>
      <c r="E919" s="3">
        <v>0.0</v>
      </c>
      <c r="F919" s="3" t="s">
        <v>2849</v>
      </c>
      <c r="G919" s="3">
        <v>1.0</v>
      </c>
      <c r="H919" s="3">
        <v>0.0</v>
      </c>
      <c r="I919" s="3" t="s">
        <v>13</v>
      </c>
      <c r="J919" s="3" t="s">
        <v>2850</v>
      </c>
      <c r="K919" s="3" t="s">
        <v>82</v>
      </c>
      <c r="L919" s="3" t="str">
        <f>IFERROR(__xludf.DUMMYFUNCTION("GOOGLETRANSLATE(F919,""id"",""en"")"),"observed to be moved after watching the World Cup final")</f>
        <v>observed to be moved after watching the World Cup final</v>
      </c>
    </row>
    <row r="920" ht="15.75" customHeight="1">
      <c r="A920" s="1">
        <v>919.0</v>
      </c>
      <c r="B920" s="3" t="s">
        <v>2851</v>
      </c>
      <c r="C920" s="3">
        <v>0.0</v>
      </c>
      <c r="D920" s="3">
        <v>0.0</v>
      </c>
      <c r="E920" s="3">
        <v>0.0</v>
      </c>
      <c r="F920" s="3" t="s">
        <v>2852</v>
      </c>
      <c r="G920" s="3">
        <v>1.0</v>
      </c>
      <c r="H920" s="3">
        <v>0.0</v>
      </c>
      <c r="I920" s="3" t="s">
        <v>13</v>
      </c>
      <c r="J920" s="3" t="s">
        <v>2853</v>
      </c>
      <c r="K920" s="3" t="s">
        <v>41</v>
      </c>
      <c r="L920" s="3" t="str">
        <f>IFERROR(__xludf.DUMMYFUNCTION("GOOGLETRANSLATE(F920,""id"",""en"")"),"rumors of Karim Benzema ahead of the Qatar World Cup final")</f>
        <v>rumors of Karim Benzema ahead of the Qatar World Cup final</v>
      </c>
    </row>
    <row r="921" ht="15.75" customHeight="1">
      <c r="A921" s="1">
        <v>920.0</v>
      </c>
      <c r="B921" s="3" t="s">
        <v>2854</v>
      </c>
      <c r="C921" s="3">
        <v>0.0</v>
      </c>
      <c r="D921" s="3">
        <v>0.0</v>
      </c>
      <c r="E921" s="3">
        <v>0.0</v>
      </c>
      <c r="F921" s="3" t="s">
        <v>2855</v>
      </c>
      <c r="G921" s="3">
        <v>1.0</v>
      </c>
      <c r="H921" s="3">
        <v>0.0</v>
      </c>
      <c r="I921" s="3" t="s">
        <v>13</v>
      </c>
      <c r="J921" s="3" t="s">
        <v>2856</v>
      </c>
      <c r="K921" s="3" t="s">
        <v>1349</v>
      </c>
      <c r="L921" s="3" t="str">
        <f>IFERROR(__xludf.DUMMYFUNCTION("GOOGLETRANSLATE(F921,""id"",""en"")"),"maybe not the best world cup but obviously this is the best world cup final I've ever watched Argentina Campione Del Mundo")</f>
        <v>maybe not the best world cup but obviously this is the best world cup final I've ever watched Argentina Campione Del Mundo</v>
      </c>
    </row>
    <row r="922" ht="15.75" customHeight="1">
      <c r="A922" s="1">
        <v>921.0</v>
      </c>
      <c r="B922" s="3" t="s">
        <v>2857</v>
      </c>
      <c r="C922" s="3">
        <v>0.0</v>
      </c>
      <c r="D922" s="3">
        <v>0.0</v>
      </c>
      <c r="E922" s="3">
        <v>0.0</v>
      </c>
      <c r="F922" s="3" t="s">
        <v>2858</v>
      </c>
      <c r="G922" s="3">
        <v>1.0</v>
      </c>
      <c r="H922" s="3">
        <v>0.0</v>
      </c>
      <c r="I922" s="3" t="s">
        <v>13</v>
      </c>
      <c r="J922" s="3" t="s">
        <v>2859</v>
      </c>
      <c r="K922" s="3" t="s">
        <v>715</v>
      </c>
      <c r="L922" s="3" t="str">
        <f>IFERROR(__xludf.DUMMYFUNCTION("GOOGLETRANSLATE(F922,""id"",""en"")"),"watching the football when just during the world cup and just the final immediately jagoin Argentina because there is Messi winning I go to Messi me to youuuuu")</f>
        <v>watching the football when just during the world cup and just the final immediately jagoin Argentina because there is Messi winning I go to Messi me to youuuuu</v>
      </c>
    </row>
    <row r="923" ht="15.75" customHeight="1">
      <c r="A923" s="1">
        <v>922.0</v>
      </c>
      <c r="B923" s="3" t="s">
        <v>2860</v>
      </c>
      <c r="C923" s="3">
        <v>0.0</v>
      </c>
      <c r="D923" s="3">
        <v>0.0</v>
      </c>
      <c r="E923" s="3">
        <v>0.0</v>
      </c>
      <c r="F923" s="3" t="s">
        <v>2861</v>
      </c>
      <c r="G923" s="3">
        <v>1.0</v>
      </c>
      <c r="H923" s="3">
        <v>0.0</v>
      </c>
      <c r="I923" s="3" t="s">
        <v>13</v>
      </c>
      <c r="J923" s="3" t="s">
        <v>2862</v>
      </c>
      <c r="K923" s="3" t="s">
        <v>41</v>
      </c>
      <c r="L923" s="3" t="str">
        <f>IFERROR(__xludf.DUMMYFUNCTION("GOOGLETRANSLATE(F923,""id"",""en"")"),"The Final Party The Most Exciting World Cup in my opinion can guess cool")</f>
        <v>The Final Party The Most Exciting World Cup in my opinion can guess cool</v>
      </c>
    </row>
    <row r="924" ht="15.75" customHeight="1">
      <c r="A924" s="1">
        <v>923.0</v>
      </c>
      <c r="B924" s="3" t="s">
        <v>2863</v>
      </c>
      <c r="C924" s="3">
        <v>0.0</v>
      </c>
      <c r="D924" s="3">
        <v>0.0</v>
      </c>
      <c r="E924" s="3">
        <v>0.0</v>
      </c>
      <c r="F924" s="3" t="s">
        <v>2864</v>
      </c>
      <c r="G924" s="3">
        <v>1.0</v>
      </c>
      <c r="H924" s="3">
        <v>0.0</v>
      </c>
      <c r="I924" s="3" t="s">
        <v>13</v>
      </c>
      <c r="J924" s="3" t="s">
        <v>2865</v>
      </c>
      <c r="K924" s="3" t="s">
        <v>35</v>
      </c>
      <c r="L924" s="3" t="str">
        <f>IFERROR(__xludf.DUMMYFUNCTION("GOOGLETRANSLATE(F924,""id"",""en"")"),"Congratulations to Argentina and the best French struggle but ran aground")</f>
        <v>Congratulations to Argentina and the best French struggle but ran aground</v>
      </c>
    </row>
    <row r="925" ht="15.75" customHeight="1">
      <c r="A925" s="1">
        <v>924.0</v>
      </c>
      <c r="B925" s="3" t="s">
        <v>2866</v>
      </c>
      <c r="C925" s="3">
        <v>0.0</v>
      </c>
      <c r="D925" s="3">
        <v>0.0</v>
      </c>
      <c r="E925" s="3">
        <v>0.0</v>
      </c>
      <c r="F925" s="3" t="s">
        <v>2867</v>
      </c>
      <c r="G925" s="3">
        <v>0.875</v>
      </c>
      <c r="H925" s="3">
        <v>0.0</v>
      </c>
      <c r="I925" s="3" t="s">
        <v>13</v>
      </c>
      <c r="J925" s="3" t="s">
        <v>2868</v>
      </c>
      <c r="K925" s="3" t="s">
        <v>2869</v>
      </c>
      <c r="L925" s="3" t="str">
        <f>IFERROR(__xludf.DUMMYFUNCTION("GOOGLETRANSLATE(F925,""id"",""en"")"),"With the addition of the final goal of total goals during the Qatar World Cup as many as the buried goals beyond the French World Cup and the Brazilian World Cup as much as")</f>
        <v>With the addition of the final goal of total goals during the Qatar World Cup as many as the buried goals beyond the French World Cup and the Brazilian World Cup as much as</v>
      </c>
    </row>
    <row r="926" ht="15.75" customHeight="1">
      <c r="A926" s="1">
        <v>925.0</v>
      </c>
      <c r="B926" s="3" t="s">
        <v>2870</v>
      </c>
      <c r="C926" s="3">
        <v>0.0</v>
      </c>
      <c r="D926" s="3">
        <v>0.0</v>
      </c>
      <c r="E926" s="3">
        <v>0.0</v>
      </c>
      <c r="F926" s="3" t="s">
        <v>2871</v>
      </c>
      <c r="G926" s="3">
        <v>1.0</v>
      </c>
      <c r="H926" s="3">
        <v>0.0</v>
      </c>
      <c r="I926" s="3" t="s">
        <v>13</v>
      </c>
      <c r="J926" s="3" t="s">
        <v>2872</v>
      </c>
      <c r="K926" s="3" t="s">
        <v>188</v>
      </c>
      <c r="L926" s="3" t="str">
        <f>IFERROR(__xludf.DUMMYFUNCTION("GOOGLETRANSLATE(F926,""id"",""en"")"),"Thank you to see the Final of the Best World Cup that Fatihah has ever been for my sister to drip my tears in Argentina, finally the champion again, Rudy, we first watched the Mexico World Cup with TVRI in Maradona, now Messi")</f>
        <v>Thank you to see the Final of the Best World Cup that Fatihah has ever been for my sister to drip my tears in Argentina, finally the champion again, Rudy, we first watched the Mexico World Cup with TVRI in Maradona, now Messi</v>
      </c>
    </row>
    <row r="927" ht="15.75" customHeight="1">
      <c r="A927" s="1">
        <v>926.0</v>
      </c>
      <c r="B927" s="3" t="s">
        <v>2873</v>
      </c>
      <c r="C927" s="3">
        <v>0.0</v>
      </c>
      <c r="D927" s="3">
        <v>0.0</v>
      </c>
      <c r="E927" s="3">
        <v>0.0</v>
      </c>
      <c r="F927" s="3" t="s">
        <v>2874</v>
      </c>
      <c r="G927" s="3">
        <v>1.0</v>
      </c>
      <c r="H927" s="3">
        <v>0.0</v>
      </c>
      <c r="I927" s="3" t="s">
        <v>13</v>
      </c>
      <c r="J927" s="3" t="s">
        <v>2875</v>
      </c>
      <c r="K927" s="3" t="s">
        <v>54</v>
      </c>
      <c r="L927" s="3" t="str">
        <f>IFERROR(__xludf.DUMMYFUNCTION("GOOGLETRANSLATE(F927,""id"",""en"")"),"Argentina Ghana World Cup Final")</f>
        <v>Argentina Ghana World Cup Final</v>
      </c>
    </row>
    <row r="928" ht="15.75" customHeight="1">
      <c r="A928" s="1">
        <v>927.0</v>
      </c>
      <c r="B928" s="3" t="s">
        <v>2876</v>
      </c>
      <c r="C928" s="3">
        <v>0.0</v>
      </c>
      <c r="D928" s="3">
        <v>1.0</v>
      </c>
      <c r="E928" s="3">
        <v>23.0</v>
      </c>
      <c r="F928" s="3" t="s">
        <v>2877</v>
      </c>
      <c r="G928" s="3">
        <v>1.0</v>
      </c>
      <c r="H928" s="3">
        <v>0.0</v>
      </c>
      <c r="I928" s="3" t="s">
        <v>13</v>
      </c>
      <c r="J928" s="3" t="s">
        <v>2878</v>
      </c>
      <c r="K928" s="3" t="s">
        <v>75</v>
      </c>
      <c r="L928" s="3" t="str">
        <f>IFERROR(__xludf.DUMMYFUNCTION("GOOGLETRANSLATE(F928,""id"",""en"")"),"Qatar World Cup Argentina Keteple France in the dramatic final throughout the ages")</f>
        <v>Qatar World Cup Argentina Keteple France in the dramatic final throughout the ages</v>
      </c>
    </row>
    <row r="929" ht="15.75" customHeight="1">
      <c r="A929" s="1">
        <v>928.0</v>
      </c>
      <c r="B929" s="3" t="s">
        <v>2879</v>
      </c>
      <c r="C929" s="3">
        <v>0.0</v>
      </c>
      <c r="D929" s="3">
        <v>0.0</v>
      </c>
      <c r="E929" s="3">
        <v>0.0</v>
      </c>
      <c r="F929" s="3" t="s">
        <v>2880</v>
      </c>
      <c r="G929" s="3">
        <v>0.7666666666666666</v>
      </c>
      <c r="H929" s="3">
        <v>0.3333333333333333</v>
      </c>
      <c r="I929" s="3" t="s">
        <v>48</v>
      </c>
      <c r="J929" s="3" t="s">
        <v>2881</v>
      </c>
      <c r="K929" s="3" t="s">
        <v>192</v>
      </c>
      <c r="L929" s="3" t="str">
        <f>IFERROR(__xludf.DUMMYFUNCTION("GOOGLETRANSLATE(F929,""id"",""en"")"),"Qatar is the host of the World Cup that will be remembered throughout the history of the final and tense final matches that were clearly happy for all world soccer lovers of The Best World Cup Final")</f>
        <v>Qatar is the host of the World Cup that will be remembered throughout the history of the final and tense final matches that were clearly happy for all world soccer lovers of The Best World Cup Final</v>
      </c>
    </row>
    <row r="930" ht="15.75" customHeight="1">
      <c r="A930" s="1">
        <v>929.0</v>
      </c>
      <c r="B930" s="3" t="s">
        <v>2882</v>
      </c>
      <c r="C930" s="3">
        <v>0.0</v>
      </c>
      <c r="D930" s="3">
        <v>0.0</v>
      </c>
      <c r="E930" s="3">
        <v>0.0</v>
      </c>
      <c r="F930" s="3" t="s">
        <v>2883</v>
      </c>
      <c r="G930" s="3">
        <v>1.0</v>
      </c>
      <c r="H930" s="3">
        <v>0.0</v>
      </c>
      <c r="I930" s="3" t="s">
        <v>13</v>
      </c>
      <c r="J930" s="3" t="s">
        <v>2884</v>
      </c>
      <c r="K930" s="3" t="s">
        <v>240</v>
      </c>
      <c r="L930" s="3" t="str">
        <f>IFERROR(__xludf.DUMMYFUNCTION("GOOGLETRANSLATE(F930,""id"",""en"")"),"who said the final of the Qatar World Cup settings that won would be Argentina Cangkumu Elek Opo Tumon Waton Jeplak Wae you know")</f>
        <v>who said the final of the Qatar World Cup settings that won would be Argentina Cangkumu Elek Opo Tumon Waton Jeplak Wae you know</v>
      </c>
    </row>
    <row r="931" ht="15.75" customHeight="1">
      <c r="A931" s="1">
        <v>930.0</v>
      </c>
      <c r="B931" s="3" t="s">
        <v>2885</v>
      </c>
      <c r="C931" s="3">
        <v>13.0</v>
      </c>
      <c r="D931" s="3">
        <v>5.0</v>
      </c>
      <c r="E931" s="3">
        <v>13.0</v>
      </c>
      <c r="F931" s="3" t="s">
        <v>2886</v>
      </c>
      <c r="G931" s="3">
        <v>1.0</v>
      </c>
      <c r="H931" s="3">
        <v>0.0</v>
      </c>
      <c r="I931" s="3" t="s">
        <v>13</v>
      </c>
      <c r="J931" s="3" t="s">
        <v>2887</v>
      </c>
      <c r="K931" s="3" t="s">
        <v>82</v>
      </c>
      <c r="L931" s="3" t="str">
        <f>IFERROR(__xludf.DUMMYFUNCTION("GOOGLETRANSLATE(F931,""id"",""en"")"),"But the World Cup Final was shocked to remain Italian France")</f>
        <v>But the World Cup Final was shocked to remain Italian France</v>
      </c>
    </row>
    <row r="932" ht="15.75" customHeight="1">
      <c r="A932" s="1">
        <v>931.0</v>
      </c>
      <c r="B932" s="3" t="s">
        <v>2888</v>
      </c>
      <c r="C932" s="3">
        <v>0.0</v>
      </c>
      <c r="D932" s="3">
        <v>0.0</v>
      </c>
      <c r="E932" s="3">
        <v>1.0</v>
      </c>
      <c r="F932" s="3" t="s">
        <v>2889</v>
      </c>
      <c r="G932" s="3">
        <v>0.7</v>
      </c>
      <c r="H932" s="3">
        <v>-0.2</v>
      </c>
      <c r="I932" s="3" t="s">
        <v>179</v>
      </c>
      <c r="J932" s="3" t="s">
        <v>2890</v>
      </c>
      <c r="K932" s="3" t="s">
        <v>433</v>
      </c>
      <c r="L932" s="3" t="str">
        <f>IFERROR(__xludf.DUMMYFUNCTION("GOOGLETRANSLATE(F932,""id"",""en"")"),"Smile Bringing Argentina World Cup Champion The Captain Scored What Final What Game")</f>
        <v>Smile Bringing Argentina World Cup Champion The Captain Scored What Final What Game</v>
      </c>
    </row>
    <row r="933" ht="15.75" customHeight="1">
      <c r="A933" s="1">
        <v>932.0</v>
      </c>
      <c r="B933" s="3" t="s">
        <v>2891</v>
      </c>
      <c r="C933" s="3">
        <v>0.0</v>
      </c>
      <c r="D933" s="3">
        <v>0.0</v>
      </c>
      <c r="E933" s="3">
        <v>0.0</v>
      </c>
      <c r="F933" s="3" t="s">
        <v>2892</v>
      </c>
      <c r="G933" s="3">
        <v>1.0</v>
      </c>
      <c r="H933" s="3">
        <v>0.0</v>
      </c>
      <c r="I933" s="3" t="s">
        <v>13</v>
      </c>
      <c r="J933" s="3" t="s">
        <v>2893</v>
      </c>
      <c r="K933" s="3" t="s">
        <v>903</v>
      </c>
      <c r="L933" s="3" t="str">
        <f>IFERROR(__xludf.DUMMYFUNCTION("GOOGLETRANSLATE(F933,""id"",""en"")"),"Mbappe wrapped in thought it seems to be devastated by me, I think Mbappe is Man The Match Final but it's okay, Mbappe yr already holding the world cup is still long")</f>
        <v>Mbappe wrapped in thought it seems to be devastated by me, I think Mbappe is Man The Match Final but it's okay, Mbappe yr already holding the world cup is still long</v>
      </c>
    </row>
    <row r="934" ht="15.75" customHeight="1">
      <c r="A934" s="1">
        <v>933.0</v>
      </c>
      <c r="B934" s="3" t="s">
        <v>2894</v>
      </c>
      <c r="C934" s="3">
        <v>0.0</v>
      </c>
      <c r="D934" s="3">
        <v>0.0</v>
      </c>
      <c r="E934" s="3">
        <v>0.0</v>
      </c>
      <c r="F934" s="3" t="s">
        <v>2895</v>
      </c>
      <c r="G934" s="3">
        <v>1.0</v>
      </c>
      <c r="H934" s="3">
        <v>0.0</v>
      </c>
      <c r="I934" s="3" t="s">
        <v>13</v>
      </c>
      <c r="J934" s="3" t="s">
        <v>2896</v>
      </c>
      <c r="K934" s="3" t="s">
        <v>82</v>
      </c>
      <c r="L934" s="3" t="str">
        <f>IFERROR(__xludf.DUMMYFUNCTION("GOOGLETRANSLATE(F934,""id"",""en"")"),"The World Cup Final Tensely beat Korean Drama")</f>
        <v>The World Cup Final Tensely beat Korean Drama</v>
      </c>
    </row>
    <row r="935" ht="15.75" customHeight="1">
      <c r="A935" s="1">
        <v>934.0</v>
      </c>
      <c r="B935" s="3" t="s">
        <v>2897</v>
      </c>
      <c r="C935" s="3">
        <v>0.0</v>
      </c>
      <c r="D935" s="3">
        <v>0.0</v>
      </c>
      <c r="E935" s="3">
        <v>0.0</v>
      </c>
      <c r="F935" s="3" t="s">
        <v>2898</v>
      </c>
      <c r="G935" s="3">
        <v>0.6666666666666666</v>
      </c>
      <c r="H935" s="3">
        <v>0.2666666666666667</v>
      </c>
      <c r="I935" s="3" t="s">
        <v>48</v>
      </c>
      <c r="J935" s="3" t="s">
        <v>2899</v>
      </c>
      <c r="K935" s="3" t="s">
        <v>437</v>
      </c>
      <c r="L935" s="3" t="str">
        <f>IFERROR(__xludf.DUMMYFUNCTION("GOOGLETRANSLATE(F935,""id"",""en"")"),"The Coolest Final Forever According to the World Cup this year, it's really crazy Congrats Argentina Good Job French is very exciting")</f>
        <v>The Coolest Final Forever According to the World Cup this year, it's really crazy Congrats Argentina Good Job French is very exciting</v>
      </c>
    </row>
    <row r="936" ht="15.75" customHeight="1">
      <c r="A936" s="1">
        <v>935.0</v>
      </c>
      <c r="B936" s="3" t="s">
        <v>2900</v>
      </c>
      <c r="C936" s="3">
        <v>0.0</v>
      </c>
      <c r="D936" s="3">
        <v>0.0</v>
      </c>
      <c r="E936" s="3">
        <v>0.0</v>
      </c>
      <c r="F936" s="3" t="s">
        <v>2806</v>
      </c>
      <c r="G936" s="3">
        <v>0.75</v>
      </c>
      <c r="H936" s="3">
        <v>0.06818181818181818</v>
      </c>
      <c r="I936" s="3" t="s">
        <v>48</v>
      </c>
      <c r="J936" s="3" t="s">
        <v>2807</v>
      </c>
      <c r="K936" s="3" t="s">
        <v>244</v>
      </c>
      <c r="L936" s="3" t="str">
        <f>IFERROR(__xludf.DUMMYFUNCTION("GOOGLETRANSLATE(F936,""id"",""en"")"),"Live Score of the French Argentine World Cup Final Until the Argentine minutes are still excellent")</f>
        <v>Live Score of the French Argentine World Cup Final Until the Argentine minutes are still excellent</v>
      </c>
    </row>
    <row r="937" ht="15.75" customHeight="1">
      <c r="A937" s="1">
        <v>936.0</v>
      </c>
      <c r="B937" s="3" t="s">
        <v>2901</v>
      </c>
      <c r="C937" s="3">
        <v>0.0</v>
      </c>
      <c r="D937" s="3">
        <v>0.0</v>
      </c>
      <c r="E937" s="3">
        <v>0.0</v>
      </c>
      <c r="F937" s="3" t="s">
        <v>2902</v>
      </c>
      <c r="G937" s="3">
        <v>1.0</v>
      </c>
      <c r="H937" s="3">
        <v>0.0</v>
      </c>
      <c r="I937" s="3" t="s">
        <v>13</v>
      </c>
      <c r="J937" s="3" t="s">
        <v>2903</v>
      </c>
      <c r="K937" s="3" t="s">
        <v>41</v>
      </c>
      <c r="L937" s="3" t="str">
        <f>IFERROR(__xludf.DUMMYFUNCTION("GOOGLETRANSLATE(F937,""id"",""en"")"),"From France watching the World Cup this year, the final Qatar is the best in my opinion")</f>
        <v>From France watching the World Cup this year, the final Qatar is the best in my opinion</v>
      </c>
    </row>
    <row r="938" ht="15.75" customHeight="1">
      <c r="A938" s="1">
        <v>937.0</v>
      </c>
      <c r="B938" s="3" t="s">
        <v>2904</v>
      </c>
      <c r="C938" s="3">
        <v>1.0</v>
      </c>
      <c r="D938" s="3">
        <v>0.0</v>
      </c>
      <c r="E938" s="3">
        <v>1.0</v>
      </c>
      <c r="F938" s="3" t="s">
        <v>2905</v>
      </c>
      <c r="G938" s="3">
        <v>1.0</v>
      </c>
      <c r="H938" s="3">
        <v>0.0</v>
      </c>
      <c r="I938" s="3" t="s">
        <v>13</v>
      </c>
      <c r="J938" s="3" t="s">
        <v>2906</v>
      </c>
      <c r="K938" s="3" t="s">
        <v>2907</v>
      </c>
      <c r="L938" s="3" t="str">
        <f>IFERROR(__xludf.DUMMYFUNCTION("GOOGLETRANSLATE(F938,""id"",""en"")"),"Mbappe Year Print Hatrick Final World Cup Age Years Have Gaes")</f>
        <v>Mbappe Year Print Hatrick Final World Cup Age Years Have Gaes</v>
      </c>
    </row>
    <row r="939" ht="15.75" customHeight="1">
      <c r="A939" s="1">
        <v>938.0</v>
      </c>
      <c r="B939" s="3" t="s">
        <v>2908</v>
      </c>
      <c r="C939" s="3">
        <v>0.0</v>
      </c>
      <c r="D939" s="3">
        <v>0.0</v>
      </c>
      <c r="E939" s="3">
        <v>0.0</v>
      </c>
      <c r="F939" s="3" t="s">
        <v>2909</v>
      </c>
      <c r="G939" s="3">
        <v>0.6666666666666666</v>
      </c>
      <c r="H939" s="3">
        <v>0.08333333333333333</v>
      </c>
      <c r="I939" s="3" t="s">
        <v>48</v>
      </c>
      <c r="J939" s="3" t="s">
        <v>2910</v>
      </c>
      <c r="K939" s="3" t="s">
        <v>2735</v>
      </c>
      <c r="L939" s="3" t="str">
        <f>IFERROR(__xludf.DUMMYFUNCTION("GOOGLETRANSLATE(F939,""id"",""en"")"),"It's been a long time watching the last world cup watching at college for the first year of watching the final again and the best fierce in the beginning from the beginning already supported Argentina Congrats for Messi but see Mbappe playing and after kn"&amp;"owing his age wah mbappe really cool anyway")</f>
        <v>It's been a long time watching the last world cup watching at college for the first year of watching the final again and the best fierce in the beginning from the beginning already supported Argentina Congrats for Messi but see Mbappe playing and after knowing his age wah mbappe really cool anyway</v>
      </c>
    </row>
    <row r="940" ht="15.75" customHeight="1">
      <c r="A940" s="1">
        <v>939.0</v>
      </c>
      <c r="B940" s="3" t="s">
        <v>2911</v>
      </c>
      <c r="C940" s="3">
        <v>0.0</v>
      </c>
      <c r="D940" s="3">
        <v>0.0</v>
      </c>
      <c r="E940" s="3">
        <v>0.0</v>
      </c>
      <c r="F940" s="3" t="s">
        <v>2912</v>
      </c>
      <c r="G940" s="3">
        <v>1.0</v>
      </c>
      <c r="H940" s="3">
        <v>0.0</v>
      </c>
      <c r="I940" s="3" t="s">
        <v>13</v>
      </c>
      <c r="J940" s="3" t="s">
        <v>2913</v>
      </c>
      <c r="K940" s="3" t="s">
        <v>491</v>
      </c>
      <c r="L940" s="3" t="str">
        <f>IFERROR(__xludf.DUMMYFUNCTION("GOOGLETRANSLATE(F940,""id"",""en"")"),"Hello Muara Sabak Narcotics Class IIB Lapas Muara Sabak Watch Together with the Qatar World Cup Final")</f>
        <v>Hello Muara Sabak Narcotics Class IIB Lapas Muara Sabak Watch Together with the Qatar World Cup Final</v>
      </c>
    </row>
    <row r="941" ht="15.75" customHeight="1">
      <c r="A941" s="1">
        <v>940.0</v>
      </c>
      <c r="B941" s="3" t="s">
        <v>2914</v>
      </c>
      <c r="C941" s="3">
        <v>0.0</v>
      </c>
      <c r="D941" s="3">
        <v>0.0</v>
      </c>
      <c r="E941" s="3">
        <v>0.0</v>
      </c>
      <c r="F941" s="3" t="s">
        <v>2915</v>
      </c>
      <c r="G941" s="3">
        <v>1.0</v>
      </c>
      <c r="H941" s="3">
        <v>0.0</v>
      </c>
      <c r="I941" s="3" t="s">
        <v>13</v>
      </c>
      <c r="J941" s="3" t="s">
        <v>2916</v>
      </c>
      <c r="K941" s="3" t="s">
        <v>15</v>
      </c>
      <c r="L941" s="3" t="str">
        <f>IFERROR(__xludf.DUMMYFUNCTION("GOOGLETRANSLATE(F941,""id"",""en"")"),"this wifi arrives slowly there is a correlation with the world cup final anyway")</f>
        <v>this wifi arrives slowly there is a correlation with the world cup final anyway</v>
      </c>
    </row>
    <row r="942" ht="15.75" customHeight="1">
      <c r="A942" s="1">
        <v>941.0</v>
      </c>
      <c r="B942" s="3" t="s">
        <v>2917</v>
      </c>
      <c r="C942" s="3">
        <v>1.0</v>
      </c>
      <c r="D942" s="3">
        <v>0.0</v>
      </c>
      <c r="E942" s="3">
        <v>0.0</v>
      </c>
      <c r="F942" s="3" t="s">
        <v>2918</v>
      </c>
      <c r="G942" s="3">
        <v>1.0</v>
      </c>
      <c r="H942" s="3">
        <v>0.0</v>
      </c>
      <c r="I942" s="3" t="s">
        <v>13</v>
      </c>
      <c r="J942" s="3" t="s">
        <v>2919</v>
      </c>
      <c r="K942" s="3" t="s">
        <v>614</v>
      </c>
      <c r="L942" s="3" t="str">
        <f>IFERROR(__xludf.DUMMYFUNCTION("GOOGLETRANSLATE(F942,""id"",""en"")"),"One of the best matches in the World Cup that I have watched the Qatar Argentina Final World Cup France Messi Maria Mbappe Champion Argentina through penalties")</f>
        <v>One of the best matches in the World Cup that I have watched the Qatar Argentina Final World Cup France Messi Maria Mbappe Champion Argentina through penalties</v>
      </c>
    </row>
    <row r="943" ht="15.75" customHeight="1">
      <c r="A943" s="1">
        <v>942.0</v>
      </c>
      <c r="B943" s="3" t="s">
        <v>2920</v>
      </c>
      <c r="C943" s="3">
        <v>1.0</v>
      </c>
      <c r="D943" s="3">
        <v>0.0</v>
      </c>
      <c r="E943" s="3">
        <v>0.0</v>
      </c>
      <c r="F943" s="3" t="s">
        <v>2921</v>
      </c>
      <c r="G943" s="3">
        <v>1.0</v>
      </c>
      <c r="H943" s="3">
        <v>0.0</v>
      </c>
      <c r="I943" s="3" t="s">
        <v>13</v>
      </c>
      <c r="J943" s="3" t="s">
        <v>2922</v>
      </c>
      <c r="K943" s="3" t="s">
        <v>15</v>
      </c>
      <c r="L943" s="3" t="str">
        <f>IFERROR(__xludf.DUMMYFUNCTION("GOOGLETRANSLATE(F943,""id"",""en"")"),"The World Cup Final Millard was excited for this year")</f>
        <v>The World Cup Final Millard was excited for this year</v>
      </c>
    </row>
    <row r="944" ht="15.75" customHeight="1">
      <c r="A944" s="1">
        <v>943.0</v>
      </c>
      <c r="B944" s="3" t="s">
        <v>2923</v>
      </c>
      <c r="C944" s="3">
        <v>0.0</v>
      </c>
      <c r="D944" s="3">
        <v>0.0</v>
      </c>
      <c r="E944" s="3">
        <v>0.0</v>
      </c>
      <c r="F944" s="3" t="s">
        <v>2924</v>
      </c>
      <c r="G944" s="3">
        <v>1.0</v>
      </c>
      <c r="H944" s="3">
        <v>0.0</v>
      </c>
      <c r="I944" s="3" t="s">
        <v>13</v>
      </c>
      <c r="J944" s="3" t="s">
        <v>2925</v>
      </c>
      <c r="K944" s="3" t="s">
        <v>31</v>
      </c>
      <c r="L944" s="3" t="str">
        <f>IFERROR(__xludf.DUMMYFUNCTION("GOOGLETRANSLATE(F944,""id"",""en"")"),"The best World Cup final has ever existed")</f>
        <v>The best World Cup final has ever existed</v>
      </c>
    </row>
    <row r="945" ht="15.75" customHeight="1">
      <c r="A945" s="1">
        <v>944.0</v>
      </c>
      <c r="B945" s="3" t="s">
        <v>2926</v>
      </c>
      <c r="C945" s="3">
        <v>0.0</v>
      </c>
      <c r="D945" s="3">
        <v>0.0</v>
      </c>
      <c r="E945" s="3">
        <v>1.0</v>
      </c>
      <c r="F945" s="3" t="s">
        <v>2927</v>
      </c>
      <c r="G945" s="3">
        <v>1.0</v>
      </c>
      <c r="H945" s="3">
        <v>0.0</v>
      </c>
      <c r="I945" s="3" t="s">
        <v>13</v>
      </c>
      <c r="J945" s="3" t="s">
        <v>2928</v>
      </c>
      <c r="K945" s="3" t="s">
        <v>15</v>
      </c>
      <c r="L945" s="3" t="str">
        <f>IFERROR(__xludf.DUMMYFUNCTION("GOOGLETRANSLATE(F945,""id"",""en"")"),"We are witnesses how exciting the World Cup Final this time")</f>
        <v>We are witnesses how exciting the World Cup Final this time</v>
      </c>
    </row>
    <row r="946" ht="15.75" customHeight="1">
      <c r="A946" s="1">
        <v>945.0</v>
      </c>
      <c r="B946" s="3" t="s">
        <v>2929</v>
      </c>
      <c r="C946" s="3">
        <v>0.0</v>
      </c>
      <c r="D946" s="3">
        <v>1.0</v>
      </c>
      <c r="E946" s="3">
        <v>0.0</v>
      </c>
      <c r="F946" s="3" t="s">
        <v>2930</v>
      </c>
      <c r="G946" s="3">
        <v>1.0</v>
      </c>
      <c r="H946" s="3">
        <v>0.0</v>
      </c>
      <c r="I946" s="3" t="s">
        <v>13</v>
      </c>
      <c r="J946" s="3" t="s">
        <v>666</v>
      </c>
      <c r="K946" s="3" t="s">
        <v>644</v>
      </c>
      <c r="L946" s="3" t="str">
        <f>IFERROR(__xludf.DUMMYFUNCTION("GOOGLETRANSLATE(F946,""id"",""en"")"),"The best world cup final")</f>
        <v>The best world cup final</v>
      </c>
    </row>
    <row r="947" ht="15.75" customHeight="1">
      <c r="A947" s="1">
        <v>946.0</v>
      </c>
      <c r="B947" s="3" t="s">
        <v>2931</v>
      </c>
      <c r="C947" s="3">
        <v>2.0</v>
      </c>
      <c r="D947" s="3">
        <v>51.0</v>
      </c>
      <c r="E947" s="3">
        <v>313.0</v>
      </c>
      <c r="F947" s="3" t="s">
        <v>2932</v>
      </c>
      <c r="G947" s="3">
        <v>1.0</v>
      </c>
      <c r="H947" s="3">
        <v>0.0</v>
      </c>
      <c r="I947" s="3" t="s">
        <v>13</v>
      </c>
      <c r="J947" s="3" t="s">
        <v>2933</v>
      </c>
      <c r="K947" s="3" t="s">
        <v>19</v>
      </c>
      <c r="L947" s="3" t="str">
        <f>IFERROR(__xludf.DUMMYFUNCTION("GOOGLETRANSLATE(F947,""id"",""en"")"),"Algeria reporter Khadija Ben Qana raised the Palestinian flag of the Qatar World Cup Final")</f>
        <v>Algeria reporter Khadija Ben Qana raised the Palestinian flag of the Qatar World Cup Final</v>
      </c>
    </row>
    <row r="948" ht="15.75" customHeight="1">
      <c r="A948" s="1">
        <v>947.0</v>
      </c>
      <c r="B948" s="3" t="s">
        <v>2934</v>
      </c>
      <c r="C948" s="3">
        <v>0.0</v>
      </c>
      <c r="D948" s="3">
        <v>0.0</v>
      </c>
      <c r="E948" s="3">
        <v>0.0</v>
      </c>
      <c r="F948" s="3" t="s">
        <v>2935</v>
      </c>
      <c r="G948" s="3">
        <v>1.0</v>
      </c>
      <c r="H948" s="3">
        <v>0.0</v>
      </c>
      <c r="I948" s="3" t="s">
        <v>13</v>
      </c>
      <c r="J948" s="3" t="s">
        <v>2936</v>
      </c>
      <c r="K948" s="3" t="s">
        <v>50</v>
      </c>
      <c r="L948" s="3" t="str">
        <f>IFERROR(__xludf.DUMMYFUNCTION("GOOGLETRANSLATE(F948,""id"",""en"")"),"The star shines the Qatar World Cup final Kylian Mbappe scored in minutes")</f>
        <v>The star shines the Qatar World Cup final Kylian Mbappe scored in minutes</v>
      </c>
    </row>
    <row r="949" ht="15.75" customHeight="1">
      <c r="A949" s="1">
        <v>948.0</v>
      </c>
      <c r="B949" s="3" t="s">
        <v>2937</v>
      </c>
      <c r="C949" s="3">
        <v>0.0</v>
      </c>
      <c r="D949" s="3">
        <v>0.0</v>
      </c>
      <c r="E949" s="3">
        <v>0.0</v>
      </c>
      <c r="F949" s="3" t="s">
        <v>2938</v>
      </c>
      <c r="G949" s="3">
        <v>1.0</v>
      </c>
      <c r="H949" s="3">
        <v>0.0</v>
      </c>
      <c r="I949" s="3" t="s">
        <v>13</v>
      </c>
      <c r="J949" s="3" t="s">
        <v>2939</v>
      </c>
      <c r="K949" s="3" t="s">
        <v>883</v>
      </c>
      <c r="L949" s="3" t="str">
        <f>IFERROR(__xludf.DUMMYFUNCTION("GOOGLETRANSLATE(F949,""id"",""en"")"),"After the excitement with the festive World Cup Final will soon be excited about the war ticket we see if the money is forbidden the benefit of gambling can use for war tickets")</f>
        <v>After the excitement with the festive World Cup Final will soon be excited about the war ticket we see if the money is forbidden the benefit of gambling can use for war tickets</v>
      </c>
    </row>
    <row r="950" ht="15.75" customHeight="1">
      <c r="A950" s="1">
        <v>949.0</v>
      </c>
      <c r="B950" s="3" t="s">
        <v>2940</v>
      </c>
      <c r="C950" s="3">
        <v>1.0</v>
      </c>
      <c r="D950" s="3">
        <v>0.0</v>
      </c>
      <c r="E950" s="3">
        <v>0.0</v>
      </c>
      <c r="F950" s="3" t="s">
        <v>2941</v>
      </c>
      <c r="G950" s="3">
        <v>1.0</v>
      </c>
      <c r="H950" s="3">
        <v>0.0</v>
      </c>
      <c r="I950" s="3" t="s">
        <v>13</v>
      </c>
      <c r="J950" s="3" t="s">
        <v>2942</v>
      </c>
      <c r="K950" s="3" t="s">
        <v>205</v>
      </c>
      <c r="L950" s="3" t="str">
        <f>IFERROR(__xludf.DUMMYFUNCTION("GOOGLETRANSLATE(F950,""id"",""en"")"),"The World Cup Final this time really made us aware if new signs do not like to quickly take the conclusion we don't know where the plot twist is put in place where")</f>
        <v>The World Cup Final this time really made us aware if new signs do not like to quickly take the conclusion we don't know where the plot twist is put in place where</v>
      </c>
    </row>
    <row r="951" ht="15.75" customHeight="1">
      <c r="A951" s="1">
        <v>950.0</v>
      </c>
      <c r="B951" s="3" t="s">
        <v>2943</v>
      </c>
      <c r="C951" s="3">
        <v>0.0</v>
      </c>
      <c r="D951" s="3">
        <v>0.0</v>
      </c>
      <c r="E951" s="3">
        <v>0.0</v>
      </c>
      <c r="F951" s="3" t="s">
        <v>2944</v>
      </c>
      <c r="G951" s="3">
        <v>1.0</v>
      </c>
      <c r="H951" s="3">
        <v>0.0</v>
      </c>
      <c r="I951" s="3" t="s">
        <v>13</v>
      </c>
      <c r="J951" s="3" t="s">
        <v>2945</v>
      </c>
      <c r="K951" s="3" t="s">
        <v>50</v>
      </c>
      <c r="L951" s="3" t="str">
        <f>IFERROR(__xludf.DUMMYFUNCTION("GOOGLETRANSLATE(F951,""id"",""en"")"),"Indeed, Argentina is the champion but there are people who are the World Cup Final Hattrick already entered reason")</f>
        <v>Indeed, Argentina is the champion but there are people who are the World Cup Final Hattrick already entered reason</v>
      </c>
    </row>
    <row r="952" ht="15.75" customHeight="1">
      <c r="A952" s="1">
        <v>951.0</v>
      </c>
      <c r="B952" s="3" t="s">
        <v>2946</v>
      </c>
      <c r="C952" s="3">
        <v>0.0</v>
      </c>
      <c r="D952" s="3">
        <v>0.0</v>
      </c>
      <c r="E952" s="3">
        <v>0.0</v>
      </c>
      <c r="F952" s="3" t="s">
        <v>2947</v>
      </c>
      <c r="G952" s="3">
        <v>1.0</v>
      </c>
      <c r="H952" s="3">
        <v>0.0</v>
      </c>
      <c r="I952" s="3" t="s">
        <v>13</v>
      </c>
      <c r="J952" s="3" t="s">
        <v>2948</v>
      </c>
      <c r="K952" s="3" t="s">
        <v>35</v>
      </c>
      <c r="L952" s="3" t="str">
        <f>IFERROR(__xludf.DUMMYFUNCTION("GOOGLETRANSLATE(F952,""id"",""en"")"),"You have to take a hat off for mbape and descham the final is excited throughout watching the World Cup final")</f>
        <v>You have to take a hat off for mbape and descham the final is excited throughout watching the World Cup final</v>
      </c>
    </row>
    <row r="953" ht="15.75" customHeight="1">
      <c r="A953" s="1">
        <v>952.0</v>
      </c>
      <c r="B953" s="3" t="s">
        <v>2949</v>
      </c>
      <c r="C953" s="3">
        <v>0.0</v>
      </c>
      <c r="D953" s="3">
        <v>0.0</v>
      </c>
      <c r="E953" s="3">
        <v>0.0</v>
      </c>
      <c r="F953" s="3" t="s">
        <v>2950</v>
      </c>
      <c r="G953" s="3">
        <v>0.6666666666666666</v>
      </c>
      <c r="H953" s="3">
        <v>0.08333333333333333</v>
      </c>
      <c r="I953" s="3" t="s">
        <v>48</v>
      </c>
      <c r="J953" s="3" t="s">
        <v>2951</v>
      </c>
      <c r="K953" s="3" t="s">
        <v>54</v>
      </c>
      <c r="L953" s="3" t="str">
        <f>IFERROR(__xludf.DUMMYFUNCTION("GOOGLETRANSLATE(F953,""id"",""en"")"),"and Ronaldo had played the World Cup final")</f>
        <v>and Ronaldo had played the World Cup final</v>
      </c>
    </row>
    <row r="954" ht="15.75" customHeight="1">
      <c r="A954" s="1">
        <v>953.0</v>
      </c>
      <c r="B954" s="3" t="s">
        <v>2952</v>
      </c>
      <c r="C954" s="3">
        <v>0.0</v>
      </c>
      <c r="D954" s="3">
        <v>0.0</v>
      </c>
      <c r="E954" s="3">
        <v>1.0</v>
      </c>
      <c r="F954" s="3" t="s">
        <v>2953</v>
      </c>
      <c r="G954" s="3">
        <v>1.0</v>
      </c>
      <c r="H954" s="3">
        <v>0.0</v>
      </c>
      <c r="I954" s="3" t="s">
        <v>13</v>
      </c>
      <c r="J954" s="3" t="s">
        <v>2954</v>
      </c>
      <c r="K954" s="3" t="s">
        <v>176</v>
      </c>
      <c r="L954" s="3" t="str">
        <f>IFERROR(__xludf.DUMMYFUNCTION("GOOGLETRANSLATE(F954,""id"",""en"")"),"From the World Cup Final the most bored to the most epic world cup final")</f>
        <v>From the World Cup Final the most bored to the most epic world cup final</v>
      </c>
    </row>
    <row r="955" ht="15.75" customHeight="1">
      <c r="A955" s="1">
        <v>954.0</v>
      </c>
      <c r="B955" s="3" t="s">
        <v>2955</v>
      </c>
      <c r="C955" s="3">
        <v>1.0</v>
      </c>
      <c r="D955" s="3">
        <v>2.0</v>
      </c>
      <c r="E955" s="3">
        <v>2.0</v>
      </c>
      <c r="F955" s="3" t="s">
        <v>2956</v>
      </c>
      <c r="G955" s="3">
        <v>1.0</v>
      </c>
      <c r="H955" s="3">
        <v>0.0</v>
      </c>
      <c r="I955" s="3" t="s">
        <v>13</v>
      </c>
      <c r="J955" s="3" t="s">
        <v>2957</v>
      </c>
      <c r="K955" s="3" t="s">
        <v>374</v>
      </c>
      <c r="L955" s="3" t="str">
        <f>IFERROR(__xludf.DUMMYFUNCTION("GOOGLETRANSLATE(F955,""id"",""en"")"),"Argentina managed to come out to win the World Cup after defeating France through the final shooting of the final party to be the third title of Argentina as well as being the best title obtained by Mega Star Football Lionel Messi")</f>
        <v>Argentina managed to come out to win the World Cup after defeating France through the final shooting of the final party to be the third title of Argentina as well as being the best title obtained by Mega Star Football Lionel Messi</v>
      </c>
    </row>
    <row r="956" ht="15.75" customHeight="1">
      <c r="A956" s="1">
        <v>955.0</v>
      </c>
      <c r="B956" s="3" t="s">
        <v>2958</v>
      </c>
      <c r="C956" s="3">
        <v>0.0</v>
      </c>
      <c r="D956" s="3">
        <v>0.0</v>
      </c>
      <c r="E956" s="3">
        <v>0.0</v>
      </c>
      <c r="F956" s="3" t="s">
        <v>2959</v>
      </c>
      <c r="G956" s="3">
        <v>1.0</v>
      </c>
      <c r="H956" s="3">
        <v>0.0</v>
      </c>
      <c r="I956" s="3" t="s">
        <v>13</v>
      </c>
      <c r="J956" s="3" t="s">
        <v>2960</v>
      </c>
      <c r="K956" s="3" t="s">
        <v>82</v>
      </c>
      <c r="L956" s="3" t="str">
        <f>IFERROR(__xludf.DUMMYFUNCTION("GOOGLETRANSLATE(F956,""id"",""en"")"),"Dramatic French French World Cup Final Results")</f>
        <v>Dramatic French French World Cup Final Results</v>
      </c>
    </row>
    <row r="957" ht="15.75" customHeight="1">
      <c r="A957" s="1">
        <v>956.0</v>
      </c>
      <c r="B957" s="3" t="s">
        <v>2961</v>
      </c>
      <c r="C957" s="3">
        <v>0.0</v>
      </c>
      <c r="D957" s="3">
        <v>0.0</v>
      </c>
      <c r="E957" s="3">
        <v>1.0</v>
      </c>
      <c r="F957" s="3" t="s">
        <v>2962</v>
      </c>
      <c r="G957" s="3">
        <v>0.7000000000000001</v>
      </c>
      <c r="H957" s="3">
        <v>0.0</v>
      </c>
      <c r="I957" s="3" t="s">
        <v>13</v>
      </c>
      <c r="J957" s="3" t="s">
        <v>2963</v>
      </c>
      <c r="K957" s="3" t="s">
        <v>286</v>
      </c>
      <c r="L957" s="3" t="str">
        <f>IFERROR(__xludf.DUMMYFUNCTION("GOOGLETRANSLATE(F957,""id"",""en"")"),"the definition of blue lock actually the team lost but the hat trick but honestly mbappe really adopted the team alone this French lek")</f>
        <v>the definition of blue lock actually the team lost but the hat trick but honestly mbappe really adopted the team alone this French lek</v>
      </c>
    </row>
    <row r="958" ht="15.75" customHeight="1">
      <c r="A958" s="1">
        <v>957.0</v>
      </c>
      <c r="B958" s="3" t="s">
        <v>2964</v>
      </c>
      <c r="C958" s="3">
        <v>0.0</v>
      </c>
      <c r="D958" s="3">
        <v>0.0</v>
      </c>
      <c r="E958" s="3">
        <v>0.0</v>
      </c>
      <c r="F958" s="3" t="s">
        <v>2965</v>
      </c>
      <c r="G958" s="3">
        <v>1.0</v>
      </c>
      <c r="H958" s="3">
        <v>0.0</v>
      </c>
      <c r="I958" s="3" t="s">
        <v>13</v>
      </c>
      <c r="J958" s="3" t="s">
        <v>2966</v>
      </c>
      <c r="K958" s="3" t="s">
        <v>75</v>
      </c>
      <c r="L958" s="3" t="str">
        <f>IFERROR(__xludf.DUMMYFUNCTION("GOOGLETRANSLATE(F958,""id"",""en"")"),"Youth Perindo Holds Nobar Final World Cup Champion Champion")</f>
        <v>Youth Perindo Holds Nobar Final World Cup Champion Champion</v>
      </c>
    </row>
    <row r="959" ht="15.75" customHeight="1">
      <c r="A959" s="1">
        <v>958.0</v>
      </c>
      <c r="B959" s="3" t="s">
        <v>2967</v>
      </c>
      <c r="C959" s="3">
        <v>0.0</v>
      </c>
      <c r="D959" s="3">
        <v>0.0</v>
      </c>
      <c r="E959" s="3">
        <v>0.0</v>
      </c>
      <c r="F959" s="3" t="s">
        <v>2968</v>
      </c>
      <c r="G959" s="3">
        <v>1.0</v>
      </c>
      <c r="H959" s="3">
        <v>0.0</v>
      </c>
      <c r="I959" s="3" t="s">
        <v>13</v>
      </c>
      <c r="J959" s="3" t="s">
        <v>2969</v>
      </c>
      <c r="K959" s="3" t="s">
        <v>510</v>
      </c>
      <c r="L959" s="3" t="str">
        <f>IFERROR(__xludf.DUMMYFUNCTION("GOOGLETRANSLATE(F959,""id"",""en"")"),"The Nobar Final title of the World Cup in the middle of the Secretary General of the DPP Youth Perindo proof we are popular")</f>
        <v>The Nobar Final title of the World Cup in the middle of the Secretary General of the DPP Youth Perindo proof we are popular</v>
      </c>
    </row>
    <row r="960" ht="15.75" customHeight="1">
      <c r="A960" s="1">
        <v>959.0</v>
      </c>
      <c r="B960" s="3" t="s">
        <v>2970</v>
      </c>
      <c r="C960" s="3">
        <v>0.0</v>
      </c>
      <c r="D960" s="3">
        <v>0.0</v>
      </c>
      <c r="E960" s="3">
        <v>0.0</v>
      </c>
      <c r="F960" s="3" t="s">
        <v>2971</v>
      </c>
      <c r="G960" s="3">
        <v>0.775</v>
      </c>
      <c r="H960" s="3">
        <v>0.175</v>
      </c>
      <c r="I960" s="3" t="s">
        <v>48</v>
      </c>
      <c r="J960" s="3" t="s">
        <v>2972</v>
      </c>
      <c r="K960" s="3" t="s">
        <v>510</v>
      </c>
      <c r="L960" s="3" t="str">
        <f>IFERROR(__xludf.DUMMYFUNCTION("GOOGLETRANSLATE(F960,""id"",""en"")"),"Bobo full smile is grateful still given the opportunity to watch until the final hopefully can still enjoy the World Cup")</f>
        <v>Bobo full smile is grateful still given the opportunity to watch until the final hopefully can still enjoy the World Cup</v>
      </c>
    </row>
    <row r="961" ht="15.75" customHeight="1">
      <c r="A961" s="1">
        <v>960.0</v>
      </c>
      <c r="B961" s="3" t="s">
        <v>2973</v>
      </c>
      <c r="C961" s="3">
        <v>1.0</v>
      </c>
      <c r="D961" s="3">
        <v>0.0</v>
      </c>
      <c r="E961" s="3">
        <v>3.0</v>
      </c>
      <c r="F961" s="3" t="s">
        <v>2974</v>
      </c>
      <c r="G961" s="3">
        <v>0.0</v>
      </c>
      <c r="H961" s="3">
        <v>0.0</v>
      </c>
      <c r="I961" s="3" t="s">
        <v>13</v>
      </c>
      <c r="J961" s="3" t="s">
        <v>2975</v>
      </c>
      <c r="K961" s="3" t="s">
        <v>41</v>
      </c>
      <c r="L961" s="3" t="str">
        <f>IFERROR(__xludf.DUMMYFUNCTION("GOOGLETRANSLATE(F961,""id"",""en"")"),"Congratulations to Argentina for the Qatar World Cup victory")</f>
        <v>Congratulations to Argentina for the Qatar World Cup victory</v>
      </c>
    </row>
    <row r="962" ht="15.75" customHeight="1">
      <c r="A962" s="1">
        <v>961.0</v>
      </c>
      <c r="B962" s="3" t="s">
        <v>2976</v>
      </c>
      <c r="C962" s="3">
        <v>0.0</v>
      </c>
      <c r="D962" s="3">
        <v>0.0</v>
      </c>
      <c r="E962" s="3">
        <v>0.0</v>
      </c>
      <c r="F962" s="3" t="s">
        <v>2977</v>
      </c>
      <c r="G962" s="3">
        <v>1.0</v>
      </c>
      <c r="H962" s="3">
        <v>0.0</v>
      </c>
      <c r="I962" s="3" t="s">
        <v>13</v>
      </c>
      <c r="J962" s="3" t="s">
        <v>2978</v>
      </c>
      <c r="K962" s="3" t="s">
        <v>82</v>
      </c>
      <c r="L962" s="3" t="str">
        <f>IFERROR(__xludf.DUMMYFUNCTION("GOOGLETRANSLATE(F962,""id"",""en"")"),"This duo of the World Cup Final goal tonight")</f>
        <v>This duo of the World Cup Final goal tonight</v>
      </c>
    </row>
    <row r="963" ht="15.75" customHeight="1">
      <c r="A963" s="1">
        <v>962.0</v>
      </c>
      <c r="B963" s="3" t="s">
        <v>2979</v>
      </c>
      <c r="C963" s="3">
        <v>0.0</v>
      </c>
      <c r="D963" s="3">
        <v>0.0</v>
      </c>
      <c r="E963" s="3">
        <v>0.0</v>
      </c>
      <c r="F963" s="3" t="s">
        <v>2980</v>
      </c>
      <c r="G963" s="3">
        <v>1.0</v>
      </c>
      <c r="H963" s="3">
        <v>0.0</v>
      </c>
      <c r="I963" s="3" t="s">
        <v>13</v>
      </c>
      <c r="J963" s="3" t="s">
        <v>2981</v>
      </c>
      <c r="K963" s="3" t="s">
        <v>205</v>
      </c>
      <c r="L963" s="3" t="str">
        <f>IFERROR(__xludf.DUMMYFUNCTION("GOOGLETRANSLATE(F963,""id"",""en"")"),"Balloon Dor or World Cup Messi chooses the Exsecrtine World Cup is always haunted by the dream of the final defeat.")</f>
        <v>Balloon Dor or World Cup Messi chooses the Exsecrtine World Cup is always haunted by the dream of the final defeat.</v>
      </c>
    </row>
    <row r="964" ht="15.75" customHeight="1">
      <c r="A964" s="1">
        <v>963.0</v>
      </c>
      <c r="B964" s="3" t="s">
        <v>2982</v>
      </c>
      <c r="C964" s="3">
        <v>0.0</v>
      </c>
      <c r="D964" s="3">
        <v>0.0</v>
      </c>
      <c r="E964" s="3">
        <v>2.0</v>
      </c>
      <c r="F964" s="3" t="s">
        <v>2983</v>
      </c>
      <c r="G964" s="3">
        <v>0.6944444444444445</v>
      </c>
      <c r="H964" s="3">
        <v>0.1555555555555556</v>
      </c>
      <c r="I964" s="3" t="s">
        <v>48</v>
      </c>
      <c r="J964" s="3" t="s">
        <v>2984</v>
      </c>
      <c r="K964" s="3" t="s">
        <v>1887</v>
      </c>
      <c r="L964" s="3" t="str">
        <f>IFERROR(__xludf.DUMMYFUNCTION("GOOGLETRANSLATE(F964,""id"",""en"")"),"As if damaged Var as the most recent soccer technology owned by FIFA played a less role, especially when Anggel Maria violated the World Cup Final Moment must be able to prove Clear Clean especially in the middle of the Issu Storm that there are contestan"&amp;"ts who are set up winning")</f>
        <v>As if damaged Var as the most recent soccer technology owned by FIFA played a less role, especially when Anggel Maria violated the World Cup Final Moment must be able to prove Clear Clean especially in the middle of the Issu Storm that there are contestants who are set up winning</v>
      </c>
    </row>
    <row r="965" ht="15.75" customHeight="1">
      <c r="A965" s="1">
        <v>964.0</v>
      </c>
      <c r="B965" s="3" t="s">
        <v>2985</v>
      </c>
      <c r="C965" s="3">
        <v>0.0</v>
      </c>
      <c r="D965" s="3">
        <v>0.0</v>
      </c>
      <c r="E965" s="3">
        <v>1.0</v>
      </c>
      <c r="F965" s="3" t="s">
        <v>2986</v>
      </c>
      <c r="G965" s="3">
        <v>1.0</v>
      </c>
      <c r="H965" s="3">
        <v>0.0</v>
      </c>
      <c r="I965" s="3" t="s">
        <v>13</v>
      </c>
      <c r="J965" s="3" t="s">
        <v>2987</v>
      </c>
      <c r="K965" s="3" t="s">
        <v>15</v>
      </c>
      <c r="L965" s="3" t="str">
        <f>IFERROR(__xludf.DUMMYFUNCTION("GOOGLETRANSLATE(F965,""id"",""en"")"),"What Final Happy Argentina Champion World Cup Qatar")</f>
        <v>What Final Happy Argentina Champion World Cup Qatar</v>
      </c>
    </row>
    <row r="966" ht="15.75" customHeight="1">
      <c r="A966" s="1">
        <v>965.0</v>
      </c>
      <c r="B966" s="3" t="s">
        <v>2988</v>
      </c>
      <c r="C966" s="3">
        <v>0.0</v>
      </c>
      <c r="D966" s="3">
        <v>0.0</v>
      </c>
      <c r="E966" s="3">
        <v>0.0</v>
      </c>
      <c r="F966" s="3" t="s">
        <v>2989</v>
      </c>
      <c r="G966" s="3">
        <v>1.0</v>
      </c>
      <c r="H966" s="3">
        <v>0.0</v>
      </c>
      <c r="I966" s="3" t="s">
        <v>13</v>
      </c>
      <c r="J966" s="3" t="s">
        <v>2990</v>
      </c>
      <c r="K966" s="3" t="s">
        <v>765</v>
      </c>
      <c r="L966" s="3" t="str">
        <f>IFERROR(__xludf.DUMMYFUNCTION("GOOGLETRANSLATE(F966,""id"",""en"")"),"From the beginning I didn't follow the World Cup once watching the final and I don't know if the Argentina Feeling will win from the beginning.")</f>
        <v>From the beginning I didn't follow the World Cup once watching the final and I don't know if the Argentina Feeling will win from the beginning.</v>
      </c>
    </row>
    <row r="967" ht="15.75" customHeight="1">
      <c r="A967" s="1">
        <v>966.0</v>
      </c>
      <c r="B967" s="3" t="s">
        <v>2991</v>
      </c>
      <c r="C967" s="3">
        <v>0.0</v>
      </c>
      <c r="D967" s="3">
        <v>0.0</v>
      </c>
      <c r="E967" s="3">
        <v>0.0</v>
      </c>
      <c r="F967" s="3" t="s">
        <v>2992</v>
      </c>
      <c r="G967" s="3">
        <v>0.3333333333333333</v>
      </c>
      <c r="H967" s="3">
        <v>0.0</v>
      </c>
      <c r="I967" s="3" t="s">
        <v>13</v>
      </c>
      <c r="J967" s="3" t="s">
        <v>2993</v>
      </c>
      <c r="K967" s="3" t="s">
        <v>695</v>
      </c>
      <c r="L967" s="3" t="str">
        <f>IFERROR(__xludf.DUMMYFUNCTION("GOOGLETRANSLATE(F967,""id"",""en"")"),"which will exceed the existing legend and also respect for France to be able to Back Back Final of the World Cup happy can still be given the opportunity to be a witness to the history of football today")</f>
        <v>which will exceed the existing legend and also respect for France to be able to Back Back Final of the World Cup happy can still be given the opportunity to be a witness to the history of football today</v>
      </c>
    </row>
    <row r="968" ht="15.75" customHeight="1">
      <c r="A968" s="1">
        <v>967.0</v>
      </c>
      <c r="B968" s="3" t="s">
        <v>2994</v>
      </c>
      <c r="C968" s="3">
        <v>0.0</v>
      </c>
      <c r="D968" s="3">
        <v>1.0</v>
      </c>
      <c r="E968" s="3">
        <v>6.0</v>
      </c>
      <c r="F968" s="3" t="s">
        <v>2249</v>
      </c>
      <c r="G968" s="3">
        <v>1.0</v>
      </c>
      <c r="H968" s="3">
        <v>0.0</v>
      </c>
      <c r="I968" s="3" t="s">
        <v>13</v>
      </c>
      <c r="J968" s="3" t="s">
        <v>2250</v>
      </c>
      <c r="K968" s="3" t="s">
        <v>699</v>
      </c>
      <c r="L968" s="3" t="str">
        <f>IFERROR(__xludf.DUMMYFUNCTION("GOOGLETRANSLATE(F968,""id"",""en"")"),"Argentina appeared as the World Cup champion after crushing France through Argentina's final penalties ended the wait for the championship after the year")</f>
        <v>Argentina appeared as the World Cup champion after crushing France through Argentina's final penalties ended the wait for the championship after the year</v>
      </c>
    </row>
    <row r="969" ht="15.75" customHeight="1">
      <c r="A969" s="1">
        <v>968.0</v>
      </c>
      <c r="B969" s="3" t="s">
        <v>2995</v>
      </c>
      <c r="C969" s="3">
        <v>0.0</v>
      </c>
      <c r="D969" s="3">
        <v>4.0</v>
      </c>
      <c r="E969" s="3">
        <v>0.0</v>
      </c>
      <c r="F969" s="3" t="s">
        <v>2996</v>
      </c>
      <c r="G969" s="3">
        <v>1.0</v>
      </c>
      <c r="H969" s="3">
        <v>0.0</v>
      </c>
      <c r="I969" s="3" t="s">
        <v>13</v>
      </c>
      <c r="J969" s="3" t="s">
        <v>2997</v>
      </c>
      <c r="K969" s="3" t="s">
        <v>657</v>
      </c>
      <c r="L969" s="3" t="str">
        <f>IFERROR(__xludf.DUMMYFUNCTION("GOOGLETRANSLATE(F969,""id"",""en"")"),"The final results of the Argentine French World Cup help the Tango Tango team Lionel Messi Print Unique Record")</f>
        <v>The final results of the Argentine French World Cup help the Tango Tango team Lionel Messi Print Unique Record</v>
      </c>
    </row>
    <row r="970" ht="15.75" customHeight="1">
      <c r="A970" s="1">
        <v>969.0</v>
      </c>
      <c r="B970" s="3" t="s">
        <v>2998</v>
      </c>
      <c r="C970" s="3">
        <v>0.0</v>
      </c>
      <c r="D970" s="3">
        <v>4.0</v>
      </c>
      <c r="E970" s="3">
        <v>0.0</v>
      </c>
      <c r="F970" s="3" t="s">
        <v>2999</v>
      </c>
      <c r="G970" s="3">
        <v>0.55</v>
      </c>
      <c r="H970" s="3">
        <v>0.0</v>
      </c>
      <c r="I970" s="3" t="s">
        <v>13</v>
      </c>
      <c r="J970" s="3" t="s">
        <v>3000</v>
      </c>
      <c r="K970" s="3" t="s">
        <v>41</v>
      </c>
      <c r="L970" s="3" t="str">
        <f>IFERROR(__xludf.DUMMYFUNCTION("GOOGLETRANSLATE(F970,""id"",""en"")"),"Extra Time Final Results of the French Argentina Score")</f>
        <v>Extra Time Final Results of the French Argentina Score</v>
      </c>
    </row>
    <row r="971" ht="15.75" customHeight="1">
      <c r="A971" s="1">
        <v>970.0</v>
      </c>
      <c r="B971" s="3" t="s">
        <v>3001</v>
      </c>
      <c r="C971" s="3">
        <v>0.0</v>
      </c>
      <c r="D971" s="3">
        <v>4.0</v>
      </c>
      <c r="E971" s="3">
        <v>0.0</v>
      </c>
      <c r="F971" s="3" t="s">
        <v>3002</v>
      </c>
      <c r="G971" s="3">
        <v>1.0</v>
      </c>
      <c r="H971" s="3">
        <v>0.0</v>
      </c>
      <c r="I971" s="3" t="s">
        <v>13</v>
      </c>
      <c r="J971" s="3" t="s">
        <v>3003</v>
      </c>
      <c r="K971" s="3" t="s">
        <v>71</v>
      </c>
      <c r="L971" s="3" t="str">
        <f>IFERROR(__xludf.DUMMYFUNCTION("GOOGLETRANSLATE(F971,""id"",""en"")"),"Kylian World Cup Final Results Mbappe Gol France forced Argentina to title extra time")</f>
        <v>Kylian World Cup Final Results Mbappe Gol France forced Argentina to title extra time</v>
      </c>
    </row>
    <row r="972" ht="15.75" customHeight="1">
      <c r="A972" s="1">
        <v>971.0</v>
      </c>
      <c r="B972" s="3" t="s">
        <v>3004</v>
      </c>
      <c r="C972" s="3">
        <v>0.0</v>
      </c>
      <c r="D972" s="3">
        <v>4.0</v>
      </c>
      <c r="E972" s="3">
        <v>0.0</v>
      </c>
      <c r="F972" s="3" t="s">
        <v>3005</v>
      </c>
      <c r="G972" s="3">
        <v>1.0</v>
      </c>
      <c r="H972" s="3">
        <v>0.0</v>
      </c>
      <c r="I972" s="3" t="s">
        <v>13</v>
      </c>
      <c r="J972" s="3" t="s">
        <v>3006</v>
      </c>
      <c r="K972" s="3" t="s">
        <v>510</v>
      </c>
      <c r="L972" s="3" t="str">
        <f>IFERROR(__xludf.DUMMYFUNCTION("GOOGLETRANSLATE(F972,""id"",""en"")"),"The results of the French Argentine World Cup final round Messi scored the Tango Team superior goal")</f>
        <v>The results of the French Argentine World Cup final round Messi scored the Tango Team superior goal</v>
      </c>
    </row>
    <row r="973" ht="15.75" customHeight="1">
      <c r="A973" s="1">
        <v>972.0</v>
      </c>
      <c r="B973" s="3" t="s">
        <v>3007</v>
      </c>
      <c r="C973" s="3">
        <v>0.0</v>
      </c>
      <c r="D973" s="3">
        <v>4.0</v>
      </c>
      <c r="E973" s="3">
        <v>0.0</v>
      </c>
      <c r="F973" s="3" t="s">
        <v>3008</v>
      </c>
      <c r="G973" s="3">
        <v>0.75</v>
      </c>
      <c r="H973" s="3">
        <v>0.06818181818181818</v>
      </c>
      <c r="I973" s="3" t="s">
        <v>48</v>
      </c>
      <c r="J973" s="3" t="s">
        <v>3009</v>
      </c>
      <c r="K973" s="3" t="s">
        <v>50</v>
      </c>
      <c r="L973" s="3" t="str">
        <f>IFERROR(__xludf.DUMMYFUNCTION("GOOGLETRANSLATE(F973,""id"",""en"")"),"The French Argentine World Cup final has started to get a live streaming link")</f>
        <v>The French Argentine World Cup final has started to get a live streaming link</v>
      </c>
    </row>
    <row r="974" ht="15.75" customHeight="1">
      <c r="A974" s="1">
        <v>973.0</v>
      </c>
      <c r="B974" s="3" t="s">
        <v>3010</v>
      </c>
      <c r="C974" s="3">
        <v>0.0</v>
      </c>
      <c r="D974" s="3">
        <v>0.0</v>
      </c>
      <c r="E974" s="3">
        <v>0.0</v>
      </c>
      <c r="F974" s="3" t="s">
        <v>3011</v>
      </c>
      <c r="G974" s="3">
        <v>1.0</v>
      </c>
      <c r="H974" s="3">
        <v>0.0</v>
      </c>
      <c r="I974" s="3" t="s">
        <v>13</v>
      </c>
      <c r="J974" s="3" t="s">
        <v>3012</v>
      </c>
      <c r="K974" s="3" t="s">
        <v>1335</v>
      </c>
      <c r="L974" s="3" t="str">
        <f>IFERROR(__xludf.DUMMYFUNCTION("GOOGLETRANSLATE(F974,""id"",""en"")"),"This final is the most exciting throughout the World Cup Final")</f>
        <v>This final is the most exciting throughout the World Cup Final</v>
      </c>
    </row>
    <row r="975" ht="15.75" customHeight="1">
      <c r="A975" s="1">
        <v>974.0</v>
      </c>
      <c r="B975" s="3" t="s">
        <v>3013</v>
      </c>
      <c r="C975" s="3">
        <v>0.0</v>
      </c>
      <c r="D975" s="3">
        <v>0.0</v>
      </c>
      <c r="E975" s="3">
        <v>0.0</v>
      </c>
      <c r="F975" s="3" t="s">
        <v>3014</v>
      </c>
      <c r="G975" s="3">
        <v>1.0</v>
      </c>
      <c r="H975" s="3">
        <v>0.0</v>
      </c>
      <c r="I975" s="3" t="s">
        <v>13</v>
      </c>
      <c r="J975" s="3" t="s">
        <v>3015</v>
      </c>
      <c r="K975" s="3" t="s">
        <v>31</v>
      </c>
      <c r="L975" s="3" t="str">
        <f>IFERROR(__xludf.DUMMYFUNCTION("GOOGLETRANSLATE(F975,""id"",""en"")"),"World Cup Final Guendeng Pol")</f>
        <v>World Cup Final Guendeng Pol</v>
      </c>
    </row>
    <row r="976" ht="15.75" customHeight="1">
      <c r="A976" s="1">
        <v>975.0</v>
      </c>
      <c r="B976" s="3" t="s">
        <v>3016</v>
      </c>
      <c r="C976" s="3">
        <v>1.0</v>
      </c>
      <c r="D976" s="3">
        <v>0.0</v>
      </c>
      <c r="E976" s="3">
        <v>0.0</v>
      </c>
      <c r="F976" s="3" t="s">
        <v>3017</v>
      </c>
      <c r="G976" s="3">
        <v>1.0</v>
      </c>
      <c r="H976" s="3">
        <v>0.0</v>
      </c>
      <c r="I976" s="3" t="s">
        <v>13</v>
      </c>
      <c r="J976" s="3" t="s">
        <v>3018</v>
      </c>
      <c r="K976" s="3" t="s">
        <v>54</v>
      </c>
      <c r="L976" s="3" t="str">
        <f>IFERROR(__xludf.DUMMYFUNCTION("GOOGLETRANSLATE(F976,""id"",""en"")"),"This is the Final of the Best World Cup Sepaniang History")</f>
        <v>This is the Final of the Best World Cup Sepaniang History</v>
      </c>
    </row>
    <row r="977" ht="15.75" customHeight="1">
      <c r="A977" s="1">
        <v>976.0</v>
      </c>
      <c r="B977" s="3" t="s">
        <v>3019</v>
      </c>
      <c r="C977" s="3">
        <v>0.0</v>
      </c>
      <c r="D977" s="3">
        <v>0.0</v>
      </c>
      <c r="E977" s="3">
        <v>0.0</v>
      </c>
      <c r="F977" s="3" t="s">
        <v>3020</v>
      </c>
      <c r="G977" s="3">
        <v>0.65</v>
      </c>
      <c r="H977" s="3">
        <v>0.1</v>
      </c>
      <c r="I977" s="3" t="s">
        <v>48</v>
      </c>
      <c r="J977" s="3" t="s">
        <v>3021</v>
      </c>
      <c r="K977" s="3" t="s">
        <v>2907</v>
      </c>
      <c r="L977" s="3" t="str">
        <f>IFERROR(__xludf.DUMMYFUNCTION("GOOGLETRANSLATE(F977,""id"",""en"")"),"The final was excited about Messi The Real Goat Complete Already the Messi Cup Congratulations Thank you World Cup")</f>
        <v>The final was excited about Messi The Real Goat Complete Already the Messi Cup Congratulations Thank you World Cup</v>
      </c>
    </row>
    <row r="978" ht="15.75" customHeight="1">
      <c r="A978" s="1">
        <v>977.0</v>
      </c>
      <c r="B978" s="3" t="s">
        <v>3022</v>
      </c>
      <c r="C978" s="3">
        <v>1.0</v>
      </c>
      <c r="D978" s="3">
        <v>0.0</v>
      </c>
      <c r="E978" s="3">
        <v>0.0</v>
      </c>
      <c r="F978" s="3" t="s">
        <v>3023</v>
      </c>
      <c r="G978" s="3">
        <v>1.0</v>
      </c>
      <c r="H978" s="3">
        <v>0.0</v>
      </c>
      <c r="I978" s="3" t="s">
        <v>13</v>
      </c>
      <c r="J978" s="3" t="s">
        <v>3024</v>
      </c>
      <c r="K978" s="3" t="s">
        <v>348</v>
      </c>
      <c r="L978" s="3" t="str">
        <f>IFERROR(__xludf.DUMMYFUNCTION("GOOGLETRANSLATE(F978,""id"",""en"")"),"Aguero Tevez Biglia Zabaleta Gago Lavezzi Higuain with Messi and Maria Almost Champion World Cup Sayang again again lost again against Germany Final")</f>
        <v>Aguero Tevez Biglia Zabaleta Gago Lavezzi Higuain with Messi and Maria Almost Champion World Cup Sayang again again lost again against Germany Final</v>
      </c>
    </row>
    <row r="979" ht="15.75" customHeight="1">
      <c r="A979" s="1">
        <v>978.0</v>
      </c>
      <c r="B979" s="3" t="s">
        <v>3025</v>
      </c>
      <c r="C979" s="3">
        <v>0.0</v>
      </c>
      <c r="D979" s="3">
        <v>0.0</v>
      </c>
      <c r="E979" s="3">
        <v>0.0</v>
      </c>
      <c r="F979" s="3" t="s">
        <v>3026</v>
      </c>
      <c r="G979" s="3">
        <v>1.0</v>
      </c>
      <c r="H979" s="3">
        <v>0.0</v>
      </c>
      <c r="I979" s="3" t="s">
        <v>13</v>
      </c>
      <c r="J979" s="3" t="s">
        <v>3027</v>
      </c>
      <c r="K979" s="3" t="s">
        <v>1265</v>
      </c>
      <c r="L979" s="3" t="str">
        <f>IFERROR(__xludf.DUMMYFUNCTION("GOOGLETRANSLATE(F979,""id"",""en"")"),"What Final Messi For Argentina Meme Argentina French World Cup Final")</f>
        <v>What Final Messi For Argentina Meme Argentina French World Cup Final</v>
      </c>
    </row>
    <row r="980" ht="15.75" customHeight="1">
      <c r="A980" s="1">
        <v>979.0</v>
      </c>
      <c r="B980" s="3" t="s">
        <v>3028</v>
      </c>
      <c r="C980" s="3">
        <v>2.0</v>
      </c>
      <c r="D980" s="3">
        <v>0.0</v>
      </c>
      <c r="E980" s="3">
        <v>3.0</v>
      </c>
      <c r="F980" s="3" t="s">
        <v>3029</v>
      </c>
      <c r="G980" s="3">
        <v>0.7666666666666666</v>
      </c>
      <c r="H980" s="3">
        <v>0.3333333333333333</v>
      </c>
      <c r="I980" s="3" t="s">
        <v>48</v>
      </c>
      <c r="J980" s="3" t="s">
        <v>3030</v>
      </c>
      <c r="K980" s="3" t="s">
        <v>123</v>
      </c>
      <c r="L980" s="3" t="str">
        <f>IFERROR(__xludf.DUMMYFUNCTION("GOOGLETRANSLATE(F980,""id"",""en"")"),"The Best Final of the World Cup The Best Final Ever Congratulations to Argentina Salute with extraordinary resistance from France")</f>
        <v>The Best Final of the World Cup The Best Final Ever Congratulations to Argentina Salute with extraordinary resistance from France</v>
      </c>
    </row>
    <row r="981" ht="15.75" customHeight="1">
      <c r="A981" s="1">
        <v>980.0</v>
      </c>
      <c r="B981" s="3" t="s">
        <v>3031</v>
      </c>
      <c r="C981" s="3">
        <v>1.0</v>
      </c>
      <c r="D981" s="3">
        <v>0.0</v>
      </c>
      <c r="E981" s="3">
        <v>0.0</v>
      </c>
      <c r="F981" s="3" t="s">
        <v>3032</v>
      </c>
      <c r="G981" s="3">
        <v>1.0</v>
      </c>
      <c r="H981" s="3">
        <v>0.0</v>
      </c>
      <c r="I981" s="3" t="s">
        <v>13</v>
      </c>
      <c r="J981" s="3" t="s">
        <v>3033</v>
      </c>
      <c r="K981" s="3" t="s">
        <v>75</v>
      </c>
      <c r="L981" s="3" t="str">
        <f>IFERROR(__xludf.DUMMYFUNCTION("GOOGLETRANSLATE(F981,""id"",""en"")"),"Print the Hattrick of the World Cup Final match and the champion is what it feels like")</f>
        <v>Print the Hattrick of the World Cup Final match and the champion is what it feels like</v>
      </c>
    </row>
    <row r="982" ht="15.75" customHeight="1">
      <c r="A982" s="1">
        <v>981.0</v>
      </c>
      <c r="B982" s="3" t="s">
        <v>3034</v>
      </c>
      <c r="C982" s="3">
        <v>0.0</v>
      </c>
      <c r="D982" s="3">
        <v>0.0</v>
      </c>
      <c r="E982" s="3">
        <v>7.0</v>
      </c>
      <c r="F982" s="3" t="s">
        <v>3035</v>
      </c>
      <c r="G982" s="3">
        <v>0.75</v>
      </c>
      <c r="H982" s="3">
        <v>0.25</v>
      </c>
      <c r="I982" s="3" t="s">
        <v>48</v>
      </c>
      <c r="J982" s="3" t="s">
        <v>3036</v>
      </c>
      <c r="K982" s="3" t="s">
        <v>19</v>
      </c>
      <c r="L982" s="3" t="str">
        <f>IFERROR(__xludf.DUMMYFUNCTION("GOOGLETRANSLATE(F982,""id"",""en"")"),"Top Score of World Cup Print Kylian Mbappe Final Hattrick Supported Lionel Messi")</f>
        <v>Top Score of World Cup Print Kylian Mbappe Final Hattrick Supported Lionel Messi</v>
      </c>
    </row>
    <row r="983" ht="15.75" customHeight="1">
      <c r="A983" s="1">
        <v>982.0</v>
      </c>
      <c r="B983" s="3" t="s">
        <v>3037</v>
      </c>
      <c r="C983" s="3">
        <v>0.0</v>
      </c>
      <c r="D983" s="3">
        <v>0.0</v>
      </c>
      <c r="E983" s="3">
        <v>0.0</v>
      </c>
      <c r="F983" s="3" t="s">
        <v>3038</v>
      </c>
      <c r="G983" s="3">
        <v>1.0</v>
      </c>
      <c r="H983" s="3">
        <v>0.0</v>
      </c>
      <c r="I983" s="3" t="s">
        <v>13</v>
      </c>
      <c r="J983" s="3" t="s">
        <v>3039</v>
      </c>
      <c r="K983" s="3" t="s">
        <v>35</v>
      </c>
      <c r="L983" s="3" t="str">
        <f>IFERROR(__xludf.DUMMYFUNCTION("GOOGLETRANSLATE(F983,""id"",""en"")"),"in vain watching the best world cup final until the morning of Japanese time")</f>
        <v>in vain watching the best world cup final until the morning of Japanese time</v>
      </c>
    </row>
    <row r="984" ht="15.75" customHeight="1">
      <c r="A984" s="1">
        <v>983.0</v>
      </c>
      <c r="B984" s="3" t="s">
        <v>3040</v>
      </c>
      <c r="C984" s="3">
        <v>0.0</v>
      </c>
      <c r="D984" s="3">
        <v>0.0</v>
      </c>
      <c r="E984" s="3">
        <v>1.0</v>
      </c>
      <c r="F984" s="3" t="s">
        <v>3041</v>
      </c>
      <c r="G984" s="3">
        <v>1.0</v>
      </c>
      <c r="H984" s="3">
        <v>0.0</v>
      </c>
      <c r="I984" s="3" t="s">
        <v>13</v>
      </c>
      <c r="J984" s="3" t="s">
        <v>3042</v>
      </c>
      <c r="K984" s="3" t="s">
        <v>184</v>
      </c>
      <c r="L984" s="3" t="str">
        <f>IFERROR(__xludf.DUMMYFUNCTION("GOOGLETRANSLATE(F984,""id"",""en"")"),"Mbappe Hattrick Final World Cup at that age and bring France Final Final Pilduun I think if you win earlier, Macron got off the president")</f>
        <v>Mbappe Hattrick Final World Cup at that age and bring France Final Final Pilduun I think if you win earlier, Macron got off the president</v>
      </c>
    </row>
    <row r="985" ht="15.75" customHeight="1">
      <c r="A985" s="1">
        <v>984.0</v>
      </c>
      <c r="B985" s="3" t="s">
        <v>3043</v>
      </c>
      <c r="C985" s="3">
        <v>0.0</v>
      </c>
      <c r="D985" s="3">
        <v>0.0</v>
      </c>
      <c r="E985" s="3">
        <v>0.0</v>
      </c>
      <c r="F985" s="3" t="s">
        <v>3044</v>
      </c>
      <c r="G985" s="3">
        <v>0.4848484848484849</v>
      </c>
      <c r="H985" s="3">
        <v>0.04545454545454545</v>
      </c>
      <c r="I985" s="3" t="s">
        <v>48</v>
      </c>
      <c r="J985" s="3" t="s">
        <v>3045</v>
      </c>
      <c r="K985" s="3" t="s">
        <v>41</v>
      </c>
      <c r="L985" s="3" t="str">
        <f>IFERROR(__xludf.DUMMYFUNCTION("GOOGLETRANSLATE(F985,""id"",""en"")"),"This match set new standard how the World Cup Final should be")</f>
        <v>This match set new standard how the World Cup Final should be</v>
      </c>
    </row>
    <row r="986" ht="15.75" customHeight="1">
      <c r="A986" s="1">
        <v>985.0</v>
      </c>
      <c r="B986" s="3" t="s">
        <v>3046</v>
      </c>
      <c r="C986" s="3">
        <v>0.0</v>
      </c>
      <c r="D986" s="3">
        <v>0.0</v>
      </c>
      <c r="E986" s="3">
        <v>0.0</v>
      </c>
      <c r="F986" s="3" t="s">
        <v>3047</v>
      </c>
      <c r="G986" s="3">
        <v>1.0</v>
      </c>
      <c r="H986" s="3">
        <v>0.0</v>
      </c>
      <c r="I986" s="3" t="s">
        <v>13</v>
      </c>
      <c r="J986" s="3" t="s">
        <v>3048</v>
      </c>
      <c r="K986" s="3" t="s">
        <v>54</v>
      </c>
      <c r="L986" s="3" t="str">
        <f>IFERROR(__xludf.DUMMYFUNCTION("GOOGLETRANSLATE(F986,""id"",""en"")"),"The World Cup Final is the most exciting for this time")</f>
        <v>The World Cup Final is the most exciting for this time</v>
      </c>
    </row>
    <row r="987" ht="15.75" customHeight="1">
      <c r="A987" s="1">
        <v>986.0</v>
      </c>
      <c r="B987" s="3" t="s">
        <v>3049</v>
      </c>
      <c r="C987" s="3">
        <v>0.0</v>
      </c>
      <c r="D987" s="3">
        <v>1.0</v>
      </c>
      <c r="E987" s="3">
        <v>0.0</v>
      </c>
      <c r="F987" s="3" t="s">
        <v>3050</v>
      </c>
      <c r="G987" s="3">
        <v>1.0</v>
      </c>
      <c r="H987" s="3">
        <v>0.0</v>
      </c>
      <c r="I987" s="3" t="s">
        <v>13</v>
      </c>
      <c r="J987" s="3" t="s">
        <v>3051</v>
      </c>
      <c r="K987" s="3" t="s">
        <v>3052</v>
      </c>
      <c r="L987" s="3" t="str">
        <f>IFERROR(__xludf.DUMMYFUNCTION("GOOGLETRANSLATE(F987,""id"",""en"")"),"Best The Best Place Wits World Champion in the Best World Cup Final in the Best Settlement All Best Messi The Best Messi Perfect")</f>
        <v>Best The Best Place Wits World Champion in the Best World Cup Final in the Best Settlement All Best Messi The Best Messi Perfect</v>
      </c>
    </row>
    <row r="988" ht="15.75" customHeight="1">
      <c r="A988" s="1">
        <v>987.0</v>
      </c>
      <c r="B988" s="3" t="s">
        <v>3053</v>
      </c>
      <c r="C988" s="3">
        <v>0.0</v>
      </c>
      <c r="D988" s="3">
        <v>0.0</v>
      </c>
      <c r="E988" s="3">
        <v>0.0</v>
      </c>
      <c r="F988" s="3" t="s">
        <v>1721</v>
      </c>
      <c r="G988" s="3">
        <v>1.0</v>
      </c>
      <c r="H988" s="3">
        <v>0.0</v>
      </c>
      <c r="I988" s="3" t="s">
        <v>13</v>
      </c>
      <c r="J988" s="3" t="s">
        <v>1722</v>
      </c>
      <c r="K988" s="3" t="s">
        <v>54</v>
      </c>
      <c r="L988" s="3" t="str">
        <f>IFERROR(__xludf.DUMMYFUNCTION("GOOGLETRANSLATE(F988,""id"",""en"")"),"the best world cup final of all time")</f>
        <v>the best world cup final of all time</v>
      </c>
    </row>
    <row r="989" ht="15.75" customHeight="1">
      <c r="A989" s="1">
        <v>988.0</v>
      </c>
      <c r="B989" s="3" t="s">
        <v>3054</v>
      </c>
      <c r="C989" s="3">
        <v>0.0</v>
      </c>
      <c r="D989" s="3">
        <v>0.0</v>
      </c>
      <c r="E989" s="3">
        <v>0.0</v>
      </c>
      <c r="F989" s="3" t="s">
        <v>3055</v>
      </c>
      <c r="G989" s="3">
        <v>0.5</v>
      </c>
      <c r="H989" s="3">
        <v>0.0</v>
      </c>
      <c r="I989" s="3" t="s">
        <v>13</v>
      </c>
      <c r="J989" s="3" t="s">
        <v>3056</v>
      </c>
      <c r="K989" s="3" t="s">
        <v>19</v>
      </c>
      <c r="L989" s="3" t="str">
        <f>IFERROR(__xludf.DUMMYFUNCTION("GOOGLETRANSLATE(F989,""id"",""en"")"),"Next, the era is that the age of the year has become the mainstay of France, two World Cup Final")</f>
        <v>Next, the era is that the age of the year has become the mainstay of France, two World Cup Final</v>
      </c>
    </row>
    <row r="990" ht="15.75" customHeight="1">
      <c r="A990" s="1">
        <v>989.0</v>
      </c>
      <c r="B990" s="3" t="s">
        <v>3057</v>
      </c>
      <c r="C990" s="3">
        <v>2.0</v>
      </c>
      <c r="D990" s="3">
        <v>0.0</v>
      </c>
      <c r="E990" s="3">
        <v>0.0</v>
      </c>
      <c r="F990" s="3" t="s">
        <v>3058</v>
      </c>
      <c r="G990" s="3">
        <v>1.0</v>
      </c>
      <c r="H990" s="3">
        <v>0.0</v>
      </c>
      <c r="I990" s="3" t="s">
        <v>13</v>
      </c>
      <c r="J990" s="3" t="s">
        <v>3059</v>
      </c>
      <c r="K990" s="3" t="s">
        <v>1897</v>
      </c>
      <c r="L990" s="3" t="str">
        <f>IFERROR(__xludf.DUMMYFUNCTION("GOOGLETRANSLATE(F990,""id"",""en"")"),"Boncos gambling can disburse the paylatner limit of Mayan cash for the grip until the end of the Argentine World Cup Dreamers Closing Ceremony Messi What Final Penalty Maria All France Benzema Mbappe")</f>
        <v>Boncos gambling can disburse the paylatner limit of Mayan cash for the grip until the end of the Argentine World Cup Dreamers Closing Ceremony Messi What Final Penalty Maria All France Benzema Mbappe</v>
      </c>
    </row>
    <row r="991" ht="15.75" customHeight="1">
      <c r="A991" s="1">
        <v>990.0</v>
      </c>
      <c r="B991" s="3" t="s">
        <v>3060</v>
      </c>
      <c r="C991" s="3">
        <v>0.0</v>
      </c>
      <c r="D991" s="3">
        <v>0.0</v>
      </c>
      <c r="E991" s="3">
        <v>0.0</v>
      </c>
      <c r="F991" s="3" t="s">
        <v>3061</v>
      </c>
      <c r="G991" s="3">
        <v>1.0</v>
      </c>
      <c r="H991" s="3">
        <v>0.0</v>
      </c>
      <c r="I991" s="3" t="s">
        <v>13</v>
      </c>
      <c r="J991" s="3" t="s">
        <v>3062</v>
      </c>
      <c r="K991" s="3" t="s">
        <v>75</v>
      </c>
      <c r="L991" s="3" t="str">
        <f>IFERROR(__xludf.DUMMYFUNCTION("GOOGLETRANSLATE(F991,""id"",""en"")"),"The Best World Cup Final ever Argentina Lionel Messi Goat")</f>
        <v>The Best World Cup Final ever Argentina Lionel Messi Goat</v>
      </c>
    </row>
    <row r="992" ht="15.75" customHeight="1">
      <c r="A992" s="1">
        <v>991.0</v>
      </c>
      <c r="B992" s="3" t="s">
        <v>3063</v>
      </c>
      <c r="C992" s="3">
        <v>0.0</v>
      </c>
      <c r="D992" s="3">
        <v>0.0</v>
      </c>
      <c r="E992" s="3">
        <v>0.0</v>
      </c>
      <c r="F992" s="3" t="s">
        <v>3064</v>
      </c>
      <c r="G992" s="3">
        <v>1.0</v>
      </c>
      <c r="H992" s="3">
        <v>0.0</v>
      </c>
      <c r="I992" s="3" t="s">
        <v>13</v>
      </c>
      <c r="J992" s="3" t="s">
        <v>3065</v>
      </c>
      <c r="K992" s="3" t="s">
        <v>2454</v>
      </c>
      <c r="L992" s="3" t="str">
        <f>IFERROR(__xludf.DUMMYFUNCTION("GOOGLETRANSLATE(F992,""id"",""en"")"),"Argentina won the controversial victory of the World Cup Final against England the first goal was scored by Maradona goalkeeper Peter Shilton became a polemic because it touched the player's hand even though the referee did not know it byk people witnesse"&amp;"d the maradona action")</f>
        <v>Argentina won the controversial victory of the World Cup Final against England the first goal was scored by Maradona goalkeeper Peter Shilton became a polemic because it touched the player's hand even though the referee did not know it byk people witnessed the maradona action</v>
      </c>
    </row>
    <row r="993" ht="15.75" customHeight="1">
      <c r="A993" s="1">
        <v>992.0</v>
      </c>
      <c r="B993" s="3" t="s">
        <v>3066</v>
      </c>
      <c r="C993" s="3">
        <v>0.0</v>
      </c>
      <c r="D993" s="3">
        <v>0.0</v>
      </c>
      <c r="E993" s="3">
        <v>7.0</v>
      </c>
      <c r="F993" s="3" t="s">
        <v>3067</v>
      </c>
      <c r="G993" s="3">
        <v>1.0</v>
      </c>
      <c r="H993" s="3">
        <v>0.0</v>
      </c>
      <c r="I993" s="3" t="s">
        <v>13</v>
      </c>
      <c r="J993" s="3" t="s">
        <v>3068</v>
      </c>
      <c r="K993" s="3" t="s">
        <v>50</v>
      </c>
      <c r="L993" s="3" t="str">
        <f>IFERROR(__xludf.DUMMYFUNCTION("GOOGLETRANSLATE(F993,""id"",""en"")"),"The Best World Cup Final I have ever watched since Congratss Leo Messi")</f>
        <v>The Best World Cup Final I have ever watched since Congratss Leo Messi</v>
      </c>
    </row>
    <row r="994" ht="15.75" customHeight="1">
      <c r="A994" s="1">
        <v>993.0</v>
      </c>
      <c r="B994" s="3" t="s">
        <v>3069</v>
      </c>
      <c r="C994" s="3">
        <v>1.0</v>
      </c>
      <c r="D994" s="3">
        <v>0.0</v>
      </c>
      <c r="E994" s="3">
        <v>0.0</v>
      </c>
      <c r="F994" s="3" t="s">
        <v>3070</v>
      </c>
      <c r="G994" s="3">
        <v>1.0</v>
      </c>
      <c r="H994" s="3">
        <v>0.0</v>
      </c>
      <c r="I994" s="3" t="s">
        <v>13</v>
      </c>
      <c r="J994" s="3" t="s">
        <v>3071</v>
      </c>
      <c r="K994" s="3" t="s">
        <v>1293</v>
      </c>
      <c r="L994" s="3" t="str">
        <f>IFERROR(__xludf.DUMMYFUNCTION("GOOGLETRANSLATE(F994,""id"",""en"")"),"Not in favor of one of the finalists but this is the shouted World Cup Final Match I have ever watched it is also fun but this time it is more exciting")</f>
        <v>Not in favor of one of the finalists but this is the shouted World Cup Final Match I have ever watched it is also fun but this time it is more exciting</v>
      </c>
    </row>
    <row r="995" ht="15.75" customHeight="1">
      <c r="A995" s="1">
        <v>994.0</v>
      </c>
      <c r="B995" s="3" t="s">
        <v>3072</v>
      </c>
      <c r="C995" s="3">
        <v>0.0</v>
      </c>
      <c r="D995" s="3">
        <v>0.0</v>
      </c>
      <c r="E995" s="3">
        <v>0.0</v>
      </c>
      <c r="F995" s="3" t="s">
        <v>3073</v>
      </c>
      <c r="G995" s="3">
        <v>1.0</v>
      </c>
      <c r="H995" s="3">
        <v>0.0</v>
      </c>
      <c r="I995" s="3" t="s">
        <v>13</v>
      </c>
      <c r="J995" s="3" t="s">
        <v>3074</v>
      </c>
      <c r="K995" s="3" t="s">
        <v>19</v>
      </c>
      <c r="L995" s="3" t="str">
        <f>IFERROR(__xludf.DUMMYFUNCTION("GOOGLETRANSLATE(F995,""id"",""en"")"),"Last update when the opening of the World Cup, now the final hasn't appeared")</f>
        <v>Last update when the opening of the World Cup, now the final hasn't appeared</v>
      </c>
    </row>
    <row r="996" ht="15.75" customHeight="1">
      <c r="A996" s="1">
        <v>995.0</v>
      </c>
      <c r="B996" s="3" t="s">
        <v>3075</v>
      </c>
      <c r="C996" s="3">
        <v>0.0</v>
      </c>
      <c r="D996" s="3">
        <v>0.0</v>
      </c>
      <c r="E996" s="3">
        <v>1.0</v>
      </c>
      <c r="F996" s="3" t="s">
        <v>3076</v>
      </c>
      <c r="G996" s="3">
        <v>0.5</v>
      </c>
      <c r="H996" s="3">
        <v>0.0</v>
      </c>
      <c r="I996" s="3" t="s">
        <v>13</v>
      </c>
      <c r="J996" s="3" t="s">
        <v>3077</v>
      </c>
      <c r="K996" s="3" t="s">
        <v>50</v>
      </c>
      <c r="L996" s="3" t="str">
        <f>IFERROR(__xludf.DUMMYFUNCTION("GOOGLETRANSLATE(F996,""id"",""en"")"),"Lionel Messi The Next Lelecy Diego Maradona for the Qatar World Cup final")</f>
        <v>Lionel Messi The Next Lelecy Diego Maradona for the Qatar World Cup final</v>
      </c>
    </row>
    <row r="997" ht="15.75" customHeight="1">
      <c r="A997" s="1">
        <v>996.0</v>
      </c>
      <c r="B997" s="3" t="s">
        <v>3078</v>
      </c>
      <c r="C997" s="3">
        <v>0.0</v>
      </c>
      <c r="D997" s="3">
        <v>0.0</v>
      </c>
      <c r="E997" s="3">
        <v>0.0</v>
      </c>
      <c r="F997" s="3" t="s">
        <v>3079</v>
      </c>
      <c r="G997" s="3">
        <v>1.0</v>
      </c>
      <c r="H997" s="3">
        <v>0.0</v>
      </c>
      <c r="I997" s="3" t="s">
        <v>13</v>
      </c>
      <c r="J997" s="3" t="s">
        <v>3080</v>
      </c>
      <c r="K997" s="3" t="s">
        <v>41</v>
      </c>
      <c r="L997" s="3" t="str">
        <f>IFERROR(__xludf.DUMMYFUNCTION("GOOGLETRANSLATE(F997,""id"",""en"")"),"Final as well as the party was excited in the World Cup I ever watched")</f>
        <v>Final as well as the party was excited in the World Cup I ever watched</v>
      </c>
    </row>
    <row r="998" ht="15.75" customHeight="1">
      <c r="A998" s="1">
        <v>997.0</v>
      </c>
      <c r="B998" s="3" t="s">
        <v>3081</v>
      </c>
      <c r="C998" s="3">
        <v>0.0</v>
      </c>
      <c r="D998" s="3">
        <v>0.0</v>
      </c>
      <c r="E998" s="3">
        <v>0.0</v>
      </c>
      <c r="F998" s="3" t="s">
        <v>3082</v>
      </c>
      <c r="G998" s="3">
        <v>1.0</v>
      </c>
      <c r="H998" s="3">
        <v>0.0</v>
      </c>
      <c r="I998" s="3" t="s">
        <v>13</v>
      </c>
      <c r="J998" s="3" t="s">
        <v>3083</v>
      </c>
      <c r="K998" s="3" t="s">
        <v>433</v>
      </c>
      <c r="L998" s="3" t="str">
        <f>IFERROR(__xludf.DUMMYFUNCTION("GOOGLETRANSLATE(F998,""id"",""en"")"),"Already watching this World Cup series the final is the most exciting even though the hero loses but the GPP which matches is very exciting")</f>
        <v>Already watching this World Cup series the final is the most exciting even though the hero loses but the GPP which matches is very exciting</v>
      </c>
    </row>
    <row r="999" ht="15.75" customHeight="1">
      <c r="A999" s="1">
        <v>998.0</v>
      </c>
      <c r="B999" s="3" t="s">
        <v>3084</v>
      </c>
      <c r="C999" s="3">
        <v>1.0</v>
      </c>
      <c r="D999" s="3">
        <v>2.0</v>
      </c>
      <c r="E999" s="3">
        <v>2.0</v>
      </c>
      <c r="F999" s="3" t="s">
        <v>3085</v>
      </c>
      <c r="G999" s="3">
        <v>1.0</v>
      </c>
      <c r="H999" s="3">
        <v>0.0</v>
      </c>
      <c r="I999" s="3" t="s">
        <v>13</v>
      </c>
      <c r="J999" s="3" t="s">
        <v>3086</v>
      </c>
      <c r="K999" s="3" t="s">
        <v>184</v>
      </c>
      <c r="L999" s="3" t="str">
        <f>IFERROR(__xludf.DUMMYFUNCTION("GOOGLETRANSLATE(F999,""id"",""en"")"),"The World Cup's best final that I watched since Argentina was rescued by Emiliano Martinez and Lionel Messi around the chest of the audience as if he was his hero")</f>
        <v>The World Cup's best final that I watched since Argentina was rescued by Emiliano Martinez and Lionel Messi around the chest of the audience as if he was his hero</v>
      </c>
    </row>
    <row r="1000" ht="15.75" customHeight="1">
      <c r="A1000" s="1">
        <v>999.0</v>
      </c>
      <c r="B1000" s="3" t="s">
        <v>3087</v>
      </c>
      <c r="C1000" s="3">
        <v>0.0</v>
      </c>
      <c r="D1000" s="3">
        <v>0.0</v>
      </c>
      <c r="E1000" s="3">
        <v>1.0</v>
      </c>
      <c r="F1000" s="3" t="s">
        <v>3088</v>
      </c>
      <c r="G1000" s="3">
        <v>0.75</v>
      </c>
      <c r="H1000" s="3">
        <v>0.25</v>
      </c>
      <c r="I1000" s="3" t="s">
        <v>48</v>
      </c>
      <c r="J1000" s="3" t="s">
        <v>3089</v>
      </c>
      <c r="K1000" s="3" t="s">
        <v>1942</v>
      </c>
      <c r="L1000" s="3" t="str">
        <f>IFERROR(__xludf.DUMMYFUNCTION("GOOGLETRANSLATE(F1000,""id"",""en"")"),"French striker Kylian Mbappe has the right to win the golden shoe award after occupying the peak of the World Cup top scorer that was obtained after Kylian Mbappe recorded a hat trick or three goals against Argentina World Cup Final")</f>
        <v>French striker Kylian Mbappe has the right to win the golden shoe award after occupying the peak of the World Cup top scorer that was obtained after Kylian Mbappe recorded a hat trick or three goals against Argentina World Cup Final</v>
      </c>
    </row>
    <row r="1001" ht="15.75" customHeight="1">
      <c r="A1001" s="1">
        <v>1000.0</v>
      </c>
      <c r="B1001" s="3" t="s">
        <v>3090</v>
      </c>
      <c r="C1001" s="3">
        <v>0.0</v>
      </c>
      <c r="D1001" s="3">
        <v>0.0</v>
      </c>
      <c r="E1001" s="3">
        <v>1.0</v>
      </c>
      <c r="F1001" s="3" t="s">
        <v>3091</v>
      </c>
      <c r="G1001" s="3">
        <v>1.0</v>
      </c>
      <c r="H1001" s="3">
        <v>0.0</v>
      </c>
      <c r="I1001" s="3" t="s">
        <v>13</v>
      </c>
      <c r="J1001" s="3" t="s">
        <v>3092</v>
      </c>
      <c r="K1001" s="3" t="s">
        <v>699</v>
      </c>
      <c r="L1001" s="3" t="str">
        <f>IFERROR(__xludf.DUMMYFUNCTION("GOOGLETRANSLATE(F1001,""id"",""en"")"),"The stunning world cup final for ball fans drawn embraced falling down the trophy how the struggle to be the best congratulations Argentina")</f>
        <v>The stunning world cup final for ball fans drawn embraced falling down the trophy how the struggle to be the best congratulations Argentina</v>
      </c>
    </row>
    <row r="1002" ht="15.75" customHeight="1">
      <c r="A1002" s="1">
        <v>1001.0</v>
      </c>
      <c r="B1002" s="3" t="s">
        <v>3093</v>
      </c>
      <c r="C1002" s="3">
        <v>0.0</v>
      </c>
      <c r="D1002" s="3">
        <v>0.0</v>
      </c>
      <c r="E1002" s="3">
        <v>0.0</v>
      </c>
      <c r="F1002" s="3" t="s">
        <v>3094</v>
      </c>
      <c r="G1002" s="3">
        <v>0.75</v>
      </c>
      <c r="H1002" s="3">
        <v>0.06818181818181818</v>
      </c>
      <c r="I1002" s="3" t="s">
        <v>48</v>
      </c>
      <c r="J1002" s="3" t="s">
        <v>3095</v>
      </c>
      <c r="K1002" s="3" t="s">
        <v>35</v>
      </c>
      <c r="L1002" s="3" t="str">
        <f>IFERROR(__xludf.DUMMYFUNCTION("GOOGLETRANSLATE(F1002,""id"",""en"")"),"Live Score Final Argentina French World Cup and Mbappe Goooollll Score")</f>
        <v>Live Score Final Argentina French World Cup and Mbappe Goooollll Score</v>
      </c>
    </row>
    <row r="1003" ht="15.75" customHeight="1">
      <c r="A1003" s="1">
        <v>1002.0</v>
      </c>
      <c r="B1003" s="3" t="s">
        <v>3096</v>
      </c>
      <c r="C1003" s="3">
        <v>0.0</v>
      </c>
      <c r="D1003" s="3">
        <v>0.0</v>
      </c>
      <c r="E1003" s="3">
        <v>0.0</v>
      </c>
      <c r="F1003" s="3" t="s">
        <v>3097</v>
      </c>
      <c r="G1003" s="3">
        <v>1.0</v>
      </c>
      <c r="H1003" s="3">
        <v>0.0</v>
      </c>
      <c r="I1003" s="3" t="s">
        <v>13</v>
      </c>
      <c r="J1003" s="3" t="s">
        <v>3098</v>
      </c>
      <c r="K1003" s="3" t="s">
        <v>50</v>
      </c>
      <c r="L1003" s="3" t="str">
        <f>IFERROR(__xludf.DUMMYFUNCTION("GOOGLETRANSLATE(F1003,""id"",""en"")"),"through the Argentine penalty shootout champion the World Cup Final Messi")</f>
        <v>through the Argentine penalty shootout champion the World Cup Final Messi</v>
      </c>
    </row>
    <row r="1004" ht="15.75" customHeight="1">
      <c r="A1004" s="1">
        <v>1003.0</v>
      </c>
      <c r="B1004" s="3" t="s">
        <v>3099</v>
      </c>
      <c r="C1004" s="3">
        <v>0.0</v>
      </c>
      <c r="D1004" s="3">
        <v>0.0</v>
      </c>
      <c r="E1004" s="3">
        <v>0.0</v>
      </c>
      <c r="F1004" s="3" t="s">
        <v>3100</v>
      </c>
      <c r="G1004" s="3">
        <v>0.75</v>
      </c>
      <c r="H1004" s="3">
        <v>0.25</v>
      </c>
      <c r="I1004" s="3" t="s">
        <v>48</v>
      </c>
      <c r="J1004" s="3" t="s">
        <v>3101</v>
      </c>
      <c r="K1004" s="3" t="s">
        <v>41</v>
      </c>
      <c r="L1004" s="3" t="str">
        <f>IFERROR(__xludf.DUMMYFUNCTION("GOOGLETRANSLATE(F1004,""id"",""en"")"),"Mbappe Top Score Final Final Hattrick Final")</f>
        <v>Mbappe Top Score Final Final Hattrick Final</v>
      </c>
    </row>
    <row r="1005" ht="15.75" customHeight="1">
      <c r="A1005" s="1">
        <v>1004.0</v>
      </c>
      <c r="B1005" s="3" t="s">
        <v>3102</v>
      </c>
      <c r="C1005" s="3">
        <v>1.0</v>
      </c>
      <c r="D1005" s="3">
        <v>0.0</v>
      </c>
      <c r="E1005" s="3">
        <v>0.0</v>
      </c>
      <c r="F1005" s="3" t="s">
        <v>3103</v>
      </c>
      <c r="G1005" s="3">
        <v>0.75</v>
      </c>
      <c r="H1005" s="3">
        <v>0.1</v>
      </c>
      <c r="I1005" s="3" t="s">
        <v>48</v>
      </c>
      <c r="J1005" s="3" t="s">
        <v>3104</v>
      </c>
      <c r="K1005" s="3" t="s">
        <v>657</v>
      </c>
      <c r="L1005" s="3" t="str">
        <f>IFERROR(__xludf.DUMMYFUNCTION("GOOGLETRANSLATE(F1005,""id"",""en"")"),"HEART SAFE HAHAHAHA This oath is just the final world cup crazy")</f>
        <v>HEART SAFE HAHAHAHA This oath is just the final world cup crazy</v>
      </c>
    </row>
    <row r="1006" ht="15.75" customHeight="1">
      <c r="A1006" s="1">
        <v>1005.0</v>
      </c>
      <c r="B1006" s="3" t="s">
        <v>3105</v>
      </c>
      <c r="C1006" s="3">
        <v>0.0</v>
      </c>
      <c r="D1006" s="3">
        <v>0.0</v>
      </c>
      <c r="E1006" s="3">
        <v>0.0</v>
      </c>
      <c r="F1006" s="3" t="s">
        <v>3106</v>
      </c>
      <c r="G1006" s="3">
        <v>1.0</v>
      </c>
      <c r="H1006" s="3">
        <v>0.0</v>
      </c>
      <c r="I1006" s="3" t="s">
        <v>13</v>
      </c>
      <c r="J1006" s="3" t="s">
        <v>3107</v>
      </c>
      <c r="K1006" s="3" t="s">
        <v>491</v>
      </c>
      <c r="L1006" s="3" t="str">
        <f>IFERROR(__xludf.DUMMYFUNCTION("GOOGLETRANSLATE(F1006,""id"",""en"")"),"The World Cup Gianni Invantino The Best World Cup Ricardo Kaka Final Pildun Most Exciting Fadlilah Ahmad")</f>
        <v>The World Cup Gianni Invantino The Best World Cup Ricardo Kaka Final Pildun Most Exciting Fadlilah Ahmad</v>
      </c>
    </row>
    <row r="1007" ht="15.75" customHeight="1">
      <c r="A1007" s="1">
        <v>1006.0</v>
      </c>
      <c r="B1007" s="3" t="s">
        <v>3108</v>
      </c>
      <c r="C1007" s="3">
        <v>0.0</v>
      </c>
      <c r="D1007" s="3">
        <v>0.0</v>
      </c>
      <c r="E1007" s="3">
        <v>0.0</v>
      </c>
      <c r="F1007" s="3" t="s">
        <v>3109</v>
      </c>
      <c r="G1007" s="3">
        <v>0.7</v>
      </c>
      <c r="H1007" s="3">
        <v>0.05</v>
      </c>
      <c r="I1007" s="3" t="s">
        <v>48</v>
      </c>
      <c r="J1007" s="3" t="s">
        <v>3110</v>
      </c>
      <c r="K1007" s="3" t="s">
        <v>31</v>
      </c>
      <c r="L1007" s="3" t="str">
        <f>IFERROR(__xludf.DUMMYFUNCTION("GOOGLETRANSLATE(F1007,""id"",""en"")"),"World Cup Final Epic")</f>
        <v>World Cup Final Epic</v>
      </c>
    </row>
    <row r="1008" ht="15.75" customHeight="1">
      <c r="A1008" s="1">
        <v>1007.0</v>
      </c>
      <c r="B1008" s="3" t="s">
        <v>3111</v>
      </c>
      <c r="C1008" s="3">
        <v>0.0</v>
      </c>
      <c r="D1008" s="3">
        <v>0.0</v>
      </c>
      <c r="E1008" s="3">
        <v>1.0</v>
      </c>
      <c r="F1008" s="3" t="s">
        <v>3112</v>
      </c>
      <c r="G1008" s="3">
        <v>1.0</v>
      </c>
      <c r="H1008" s="3">
        <v>0.0</v>
      </c>
      <c r="I1008" s="3" t="s">
        <v>13</v>
      </c>
      <c r="J1008" s="3" t="s">
        <v>3113</v>
      </c>
      <c r="K1008" s="3" t="s">
        <v>54</v>
      </c>
      <c r="L1008" s="3" t="str">
        <f>IFERROR(__xludf.DUMMYFUNCTION("GOOGLETRANSLATE(F1008,""id"",""en"")"),"Final that impressing the Argentina Congrats World Cup")</f>
        <v>Final that impressing the Argentina Congrats World Cup</v>
      </c>
    </row>
    <row r="1009" ht="15.75" customHeight="1">
      <c r="A1009" s="1">
        <v>1008.0</v>
      </c>
      <c r="B1009" s="3" t="s">
        <v>3114</v>
      </c>
      <c r="C1009" s="3">
        <v>0.0</v>
      </c>
      <c r="D1009" s="3">
        <v>0.0</v>
      </c>
      <c r="E1009" s="3">
        <v>0.0</v>
      </c>
      <c r="F1009" s="3" t="s">
        <v>3115</v>
      </c>
      <c r="G1009" s="3">
        <v>1.0</v>
      </c>
      <c r="H1009" s="3">
        <v>0.0</v>
      </c>
      <c r="I1009" s="3" t="s">
        <v>13</v>
      </c>
      <c r="J1009" s="3" t="s">
        <v>3116</v>
      </c>
      <c r="K1009" s="3" t="s">
        <v>31</v>
      </c>
      <c r="L1009" s="3" t="str">
        <f>IFERROR(__xludf.DUMMYFUNCTION("GOOGLETRANSLATE(F1009,""id"",""en"")"),"Final Final of the World Cup")</f>
        <v>Final Final of the World Cup</v>
      </c>
    </row>
    <row r="1010" ht="15.75" customHeight="1">
      <c r="A1010" s="1">
        <v>1009.0</v>
      </c>
      <c r="B1010" s="3" t="s">
        <v>3117</v>
      </c>
      <c r="C1010" s="3">
        <v>0.0</v>
      </c>
      <c r="D1010" s="3">
        <v>0.0</v>
      </c>
      <c r="E1010" s="3">
        <v>0.0</v>
      </c>
      <c r="F1010" s="3" t="s">
        <v>3118</v>
      </c>
      <c r="G1010" s="3">
        <v>1.0</v>
      </c>
      <c r="H1010" s="3">
        <v>0.0</v>
      </c>
      <c r="I1010" s="3" t="s">
        <v>13</v>
      </c>
      <c r="J1010" s="3" t="s">
        <v>3119</v>
      </c>
      <c r="K1010" s="3" t="s">
        <v>1970</v>
      </c>
      <c r="L1010" s="3" t="str">
        <f>IFERROR(__xludf.DUMMYFUNCTION("GOOGLETRANSLATE(F1010,""id"",""en"")"),"I champion France as a World Cup champion but through the final match quite dramatic ended with a final shootout that Argentina came out as a champion for Argentina")</f>
        <v>I champion France as a World Cup champion but through the final match quite dramatic ended with a final shootout that Argentina came out as a champion for Argentina</v>
      </c>
    </row>
    <row r="1011" ht="15.75" customHeight="1">
      <c r="A1011" s="1">
        <v>1010.0</v>
      </c>
      <c r="B1011" s="3" t="s">
        <v>3120</v>
      </c>
      <c r="C1011" s="3">
        <v>0.0</v>
      </c>
      <c r="D1011" s="3">
        <v>0.0</v>
      </c>
      <c r="E1011" s="3">
        <v>1.0</v>
      </c>
      <c r="F1011" s="3" t="s">
        <v>3121</v>
      </c>
      <c r="G1011" s="3">
        <v>1.0</v>
      </c>
      <c r="H1011" s="3">
        <v>0.0</v>
      </c>
      <c r="I1011" s="3" t="s">
        <v>13</v>
      </c>
      <c r="J1011" s="3" t="s">
        <v>3122</v>
      </c>
      <c r="K1011" s="3" t="s">
        <v>19</v>
      </c>
      <c r="L1011" s="3" t="str">
        <f>IFERROR(__xludf.DUMMYFUNCTION("GOOGLETRANSLATE(F1011,""id"",""en"")"),"Be thankful that you can watch the World Cup Final Moment Can't Repeat Repeated the Final")</f>
        <v>Be thankful that you can watch the World Cup Final Moment Can't Repeat Repeated the Final</v>
      </c>
    </row>
    <row r="1012" ht="15.75" customHeight="1">
      <c r="A1012" s="1">
        <v>1011.0</v>
      </c>
      <c r="B1012" s="3" t="s">
        <v>3123</v>
      </c>
      <c r="C1012" s="3">
        <v>0.0</v>
      </c>
      <c r="D1012" s="3">
        <v>0.0</v>
      </c>
      <c r="E1012" s="3">
        <v>0.0</v>
      </c>
      <c r="F1012" s="3" t="s">
        <v>3124</v>
      </c>
      <c r="G1012" s="3">
        <v>1.0</v>
      </c>
      <c r="H1012" s="3">
        <v>0.0</v>
      </c>
      <c r="I1012" s="3" t="s">
        <v>13</v>
      </c>
      <c r="J1012" s="3" t="s">
        <v>3125</v>
      </c>
      <c r="K1012" s="3" t="s">
        <v>657</v>
      </c>
      <c r="L1012" s="3" t="str">
        <f>IFERROR(__xludf.DUMMYFUNCTION("GOOGLETRANSLATE(F1012,""id"",""en"")"),"Finally, after a long wait, Messi is now able to bring Argentina to the World Cup Champion Final which is quite tense")</f>
        <v>Finally, after a long wait, Messi is now able to bring Argentina to the World Cup Champion Final which is quite tense</v>
      </c>
    </row>
    <row r="1013" ht="15.75" customHeight="1">
      <c r="A1013" s="1">
        <v>1012.0</v>
      </c>
      <c r="B1013" s="3" t="s">
        <v>3126</v>
      </c>
      <c r="C1013" s="3">
        <v>0.0</v>
      </c>
      <c r="D1013" s="3">
        <v>0.0</v>
      </c>
      <c r="E1013" s="3">
        <v>5.0</v>
      </c>
      <c r="F1013" s="3" t="s">
        <v>3127</v>
      </c>
      <c r="G1013" s="3">
        <v>1.0</v>
      </c>
      <c r="H1013" s="3">
        <v>0.0</v>
      </c>
      <c r="I1013" s="3" t="s">
        <v>13</v>
      </c>
      <c r="J1013" s="3" t="s">
        <v>3128</v>
      </c>
      <c r="K1013" s="3" t="s">
        <v>45</v>
      </c>
      <c r="L1013" s="3" t="str">
        <f>IFERROR(__xludf.DUMMYFUNCTION("GOOGLETRANSLATE(F1013,""id"",""en"")"),"IDN actually does not support anyone's final but just want to watch Messi holding the World Cup besides being the last World Cup for Messi but for a moment to complete all the club and international level trophies, all have been achieved")</f>
        <v>IDN actually does not support anyone's final but just want to watch Messi holding the World Cup besides being the last World Cup for Messi but for a moment to complete all the club and international level trophies, all have been achieved</v>
      </c>
    </row>
    <row r="1014" ht="15.75" customHeight="1">
      <c r="A1014" s="1">
        <v>1013.0</v>
      </c>
      <c r="B1014" s="3" t="s">
        <v>3129</v>
      </c>
      <c r="C1014" s="3">
        <v>2.0</v>
      </c>
      <c r="D1014" s="3">
        <v>6.0</v>
      </c>
      <c r="E1014" s="3">
        <v>64.0</v>
      </c>
      <c r="F1014" s="3" t="s">
        <v>3130</v>
      </c>
      <c r="G1014" s="3">
        <v>1.0</v>
      </c>
      <c r="H1014" s="3">
        <v>0.0</v>
      </c>
      <c r="I1014" s="3" t="s">
        <v>13</v>
      </c>
      <c r="J1014" s="3" t="s">
        <v>3131</v>
      </c>
      <c r="K1014" s="3" t="s">
        <v>348</v>
      </c>
      <c r="L1014" s="3" t="str">
        <f>IFERROR(__xludf.DUMMYFUNCTION("GOOGLETRANSLATE(F1014,""id"",""en"")"),"The World Cup Final is truly classy game that is charming and entertaining to be the best closing year full of dynamics happy Messi and Argentina Receive still Mbappe and France")</f>
        <v>The World Cup Final is truly classy game that is charming and entertaining to be the best closing year full of dynamics happy Messi and Argentina Receive still Mbappe and France</v>
      </c>
    </row>
    <row r="1015" ht="15.75" customHeight="1">
      <c r="A1015" s="1">
        <v>1014.0</v>
      </c>
      <c r="B1015" s="3" t="s">
        <v>3132</v>
      </c>
      <c r="C1015" s="3">
        <v>11.0</v>
      </c>
      <c r="D1015" s="3">
        <v>0.0</v>
      </c>
      <c r="E1015" s="3">
        <v>5.0</v>
      </c>
      <c r="F1015" s="3" t="s">
        <v>3133</v>
      </c>
      <c r="G1015" s="3">
        <v>1.0</v>
      </c>
      <c r="H1015" s="3">
        <v>0.0</v>
      </c>
      <c r="I1015" s="3" t="s">
        <v>13</v>
      </c>
      <c r="J1015" s="3" t="s">
        <v>3134</v>
      </c>
      <c r="K1015" s="3" t="s">
        <v>15</v>
      </c>
      <c r="L1015" s="3" t="str">
        <f>IFERROR(__xludf.DUMMYFUNCTION("GOOGLETRANSLATE(F1015,""id"",""en"")"),"One word for the World Cup Final tonight Braw")</f>
        <v>One word for the World Cup Final tonight Braw</v>
      </c>
    </row>
    <row r="1016" ht="15.75" customHeight="1">
      <c r="A1016" s="1">
        <v>1015.0</v>
      </c>
      <c r="B1016" s="3" t="s">
        <v>3135</v>
      </c>
      <c r="C1016" s="3">
        <v>0.0</v>
      </c>
      <c r="D1016" s="3">
        <v>0.0</v>
      </c>
      <c r="E1016" s="3">
        <v>0.0</v>
      </c>
      <c r="F1016" s="3" t="s">
        <v>3136</v>
      </c>
      <c r="G1016" s="3">
        <v>1.0</v>
      </c>
      <c r="H1016" s="3">
        <v>0.0</v>
      </c>
      <c r="I1016" s="3" t="s">
        <v>13</v>
      </c>
      <c r="J1016" s="3" t="s">
        <v>3137</v>
      </c>
      <c r="K1016" s="3" t="s">
        <v>135</v>
      </c>
      <c r="L1016" s="3" t="str">
        <f>IFERROR(__xludf.DUMMYFUNCTION("GOOGLETRANSLATE(F1016,""id"",""en"")"),"Argentina won the World Cup after defeating France through the shootout of the French Argentine match of the World Cup Final took place the Lusail Qatar Stadium Sunday night WIB")</f>
        <v>Argentina won the World Cup after defeating France through the shootout of the French Argentine match of the World Cup Final took place the Lusail Qatar Stadium Sunday night WIB</v>
      </c>
    </row>
    <row r="1017" ht="15.75" customHeight="1">
      <c r="A1017" s="1">
        <v>1016.0</v>
      </c>
      <c r="B1017" s="3" t="s">
        <v>3138</v>
      </c>
      <c r="C1017" s="3">
        <v>0.0</v>
      </c>
      <c r="D1017" s="3">
        <v>0.0</v>
      </c>
      <c r="E1017" s="3">
        <v>0.0</v>
      </c>
      <c r="F1017" s="3" t="s">
        <v>3139</v>
      </c>
      <c r="G1017" s="3">
        <v>1.0</v>
      </c>
      <c r="H1017" s="3">
        <v>0.0</v>
      </c>
      <c r="I1017" s="3" t="s">
        <v>13</v>
      </c>
      <c r="J1017" s="3" t="s">
        <v>3140</v>
      </c>
      <c r="K1017" s="3" t="s">
        <v>510</v>
      </c>
      <c r="L1017" s="3" t="str">
        <f>IFERROR(__xludf.DUMMYFUNCTION("GOOGLETRANSLATE(F1017,""id"",""en"")"),"wkwkwk see my trip watching the world cup final this time up and down coy")</f>
        <v>wkwkwk see my trip watching the world cup final this time up and down coy</v>
      </c>
    </row>
    <row r="1018" ht="15.75" customHeight="1">
      <c r="A1018" s="1">
        <v>1017.0</v>
      </c>
      <c r="B1018" s="3" t="s">
        <v>3141</v>
      </c>
      <c r="C1018" s="3">
        <v>0.0</v>
      </c>
      <c r="D1018" s="3">
        <v>0.0</v>
      </c>
      <c r="E1018" s="3">
        <v>0.0</v>
      </c>
      <c r="F1018" s="3" t="s">
        <v>3142</v>
      </c>
      <c r="G1018" s="3">
        <v>1.0</v>
      </c>
      <c r="H1018" s="3">
        <v>0.0</v>
      </c>
      <c r="I1018" s="3" t="s">
        <v>13</v>
      </c>
      <c r="J1018" s="3" t="s">
        <v>3143</v>
      </c>
      <c r="K1018" s="3" t="s">
        <v>50</v>
      </c>
      <c r="L1018" s="3" t="str">
        <f>IFERROR(__xludf.DUMMYFUNCTION("GOOGLETRANSLATE(F1018,""id"",""en"")"),"The World Cup Final The Most Anticlimax Easily Controversial Dramatic Dramatic Not Best Breed")</f>
        <v>The World Cup Final The Most Anticlimax Easily Controversial Dramatic Dramatic Not Best Breed</v>
      </c>
    </row>
    <row r="1019" ht="15.75" customHeight="1">
      <c r="A1019" s="1">
        <v>1018.0</v>
      </c>
      <c r="B1019" s="3" t="s">
        <v>3144</v>
      </c>
      <c r="C1019" s="3">
        <v>0.0</v>
      </c>
      <c r="D1019" s="3">
        <v>0.0</v>
      </c>
      <c r="E1019" s="3">
        <v>6.0</v>
      </c>
      <c r="F1019" s="3" t="s">
        <v>3145</v>
      </c>
      <c r="G1019" s="3">
        <v>1.0</v>
      </c>
      <c r="H1019" s="3">
        <v>0.0</v>
      </c>
      <c r="I1019" s="3" t="s">
        <v>13</v>
      </c>
      <c r="J1019" s="3" t="s">
        <v>3146</v>
      </c>
      <c r="K1019" s="3" t="s">
        <v>437</v>
      </c>
      <c r="L1019" s="3" t="str">
        <f>IFERROR(__xludf.DUMMYFUNCTION("GOOGLETRANSLATE(F1019,""id"",""en"")"),"History present in the Argentine World Cup final won the third title in history after winning a penalty shootout over France")</f>
        <v>History present in the Argentine World Cup final won the third title in history after winning a penalty shootout over France</v>
      </c>
    </row>
    <row r="1020" ht="15.75" customHeight="1">
      <c r="A1020" s="1">
        <v>1019.0</v>
      </c>
      <c r="B1020" s="3" t="s">
        <v>3147</v>
      </c>
      <c r="C1020" s="3">
        <v>0.0</v>
      </c>
      <c r="D1020" s="3">
        <v>0.0</v>
      </c>
      <c r="E1020" s="3">
        <v>2.0</v>
      </c>
      <c r="F1020" s="3" t="s">
        <v>3148</v>
      </c>
      <c r="G1020" s="3">
        <v>1.0</v>
      </c>
      <c r="H1020" s="3">
        <v>0.0</v>
      </c>
      <c r="I1020" s="3" t="s">
        <v>13</v>
      </c>
      <c r="J1020" s="3" t="s">
        <v>3149</v>
      </c>
      <c r="K1020" s="3" t="s">
        <v>127</v>
      </c>
      <c r="L1020" s="3" t="str">
        <f>IFERROR(__xludf.DUMMYFUNCTION("GOOGLETRANSLATE(F1020,""id"",""en"")"),"The final world cup is very exciting like a Korean drama, pulling the hearts of the audience, but they will win")</f>
        <v>The final world cup is very exciting like a Korean drama, pulling the hearts of the audience, but they will win</v>
      </c>
    </row>
    <row r="1021" ht="15.75" customHeight="1">
      <c r="A1021" s="1">
        <v>1020.0</v>
      </c>
      <c r="B1021" s="3" t="s">
        <v>3150</v>
      </c>
      <c r="C1021" s="3">
        <v>0.0</v>
      </c>
      <c r="D1021" s="3">
        <v>0.0</v>
      </c>
      <c r="E1021" s="3">
        <v>0.0</v>
      </c>
      <c r="F1021" s="3" t="s">
        <v>3151</v>
      </c>
      <c r="G1021" s="3">
        <v>1.0</v>
      </c>
      <c r="H1021" s="3">
        <v>0.0</v>
      </c>
      <c r="I1021" s="3" t="s">
        <v>13</v>
      </c>
      <c r="J1021" s="3" t="s">
        <v>3152</v>
      </c>
      <c r="K1021" s="3" t="s">
        <v>35</v>
      </c>
      <c r="L1021" s="3" t="str">
        <f>IFERROR(__xludf.DUMMYFUNCTION("GOOGLETRANSLATE(F1021,""id"",""en"")"),"After noisy, the neighbor's world cup finals continued to turn the dangdut koplo Allah")</f>
        <v>After noisy, the neighbor's world cup finals continued to turn the dangdut koplo Allah</v>
      </c>
    </row>
    <row r="1022" ht="15.75" customHeight="1">
      <c r="A1022" s="1">
        <v>1021.0</v>
      </c>
      <c r="B1022" s="3" t="s">
        <v>3153</v>
      </c>
      <c r="C1022" s="3">
        <v>0.0</v>
      </c>
      <c r="D1022" s="3">
        <v>0.0</v>
      </c>
      <c r="E1022" s="3">
        <v>0.0</v>
      </c>
      <c r="F1022" s="3" t="s">
        <v>3154</v>
      </c>
      <c r="G1022" s="3">
        <v>1.0</v>
      </c>
      <c r="H1022" s="3">
        <v>0.0</v>
      </c>
      <c r="I1022" s="3" t="s">
        <v>13</v>
      </c>
      <c r="J1022" s="3" t="s">
        <v>3155</v>
      </c>
      <c r="K1022" s="3" t="s">
        <v>3156</v>
      </c>
      <c r="L1022" s="3" t="str">
        <f>IFERROR(__xludf.DUMMYFUNCTION("GOOGLETRANSLATE(F1022,""id"",""en"")"),"so keinget who is coar coar anti -World Cup Qatar because of anti -LGBT they think I watched the final earlier")</f>
        <v>so keinget who is coar coar anti -World Cup Qatar because of anti -LGBT they think I watched the final earlier</v>
      </c>
    </row>
    <row r="1023" ht="15.75" customHeight="1">
      <c r="A1023" s="1">
        <v>1022.0</v>
      </c>
      <c r="B1023" s="3" t="s">
        <v>3157</v>
      </c>
      <c r="C1023" s="3">
        <v>1.0</v>
      </c>
      <c r="D1023" s="3">
        <v>0.0</v>
      </c>
      <c r="E1023" s="3">
        <v>0.0</v>
      </c>
      <c r="F1023" s="3" t="s">
        <v>3158</v>
      </c>
      <c r="G1023" s="3">
        <v>1.0</v>
      </c>
      <c r="H1023" s="3">
        <v>0.0</v>
      </c>
      <c r="I1023" s="3" t="s">
        <v>13</v>
      </c>
      <c r="J1023" s="3" t="s">
        <v>3159</v>
      </c>
      <c r="K1023" s="3" t="s">
        <v>3160</v>
      </c>
      <c r="L1023" s="3" t="str">
        <f>IFERROR(__xludf.DUMMYFUNCTION("GOOGLETRANSLATE(F1023,""id"",""en"")"),"The best World Cup final match I once watched the French French World Cup final continued Argentina French French game was very interesting during the World Cup because many young players rely on speed and")</f>
        <v>The best World Cup final match I once watched the French French World Cup final continued Argentina French French game was very interesting during the World Cup because many young players rely on speed and</v>
      </c>
    </row>
    <row r="1024" ht="15.75" customHeight="1">
      <c r="A1024" s="1">
        <v>1023.0</v>
      </c>
      <c r="B1024" s="3" t="s">
        <v>3161</v>
      </c>
      <c r="C1024" s="3">
        <v>6.0</v>
      </c>
      <c r="D1024" s="3">
        <v>15.0</v>
      </c>
      <c r="E1024" s="3">
        <v>23.0</v>
      </c>
      <c r="F1024" s="3" t="s">
        <v>3162</v>
      </c>
      <c r="G1024" s="3">
        <v>1.0</v>
      </c>
      <c r="H1024" s="3">
        <v>0.0</v>
      </c>
      <c r="I1024" s="3" t="s">
        <v>13</v>
      </c>
      <c r="J1024" s="3" t="s">
        <v>3163</v>
      </c>
      <c r="K1024" s="3" t="s">
        <v>3164</v>
      </c>
      <c r="L1024" s="3" t="str">
        <f>IFERROR(__xludf.DUMMYFUNCTION("GOOGLETRANSLATE(F1024,""id"",""en"")"),"France Final of the World Cup and the like won a landslide loss")</f>
        <v>France Final of the World Cup and the like won a landslide loss</v>
      </c>
    </row>
    <row r="1025" ht="15.75" customHeight="1">
      <c r="A1025" s="1">
        <v>1024.0</v>
      </c>
      <c r="B1025" s="3" t="s">
        <v>3165</v>
      </c>
      <c r="C1025" s="3">
        <v>0.0</v>
      </c>
      <c r="D1025" s="3">
        <v>0.0</v>
      </c>
      <c r="E1025" s="3">
        <v>0.0</v>
      </c>
      <c r="F1025" s="3" t="s">
        <v>3166</v>
      </c>
      <c r="G1025" s="3">
        <v>1.0</v>
      </c>
      <c r="H1025" s="3">
        <v>0.0</v>
      </c>
      <c r="I1025" s="3" t="s">
        <v>13</v>
      </c>
      <c r="J1025" s="3" t="s">
        <v>3167</v>
      </c>
      <c r="K1025" s="3" t="s">
        <v>510</v>
      </c>
      <c r="L1025" s="3" t="str">
        <f>IFERROR(__xludf.DUMMYFUNCTION("GOOGLETRANSLATE(F1025,""id"",""en"")"),"through the Argentine penalty shootout champion the World Cup What Final Messi All France")</f>
        <v>through the Argentine penalty shootout champion the World Cup What Final Messi All France</v>
      </c>
    </row>
    <row r="1026" ht="15.75" customHeight="1">
      <c r="A1026" s="1">
        <v>1025.0</v>
      </c>
      <c r="B1026" s="3" t="s">
        <v>3168</v>
      </c>
      <c r="C1026" s="3">
        <v>0.0</v>
      </c>
      <c r="D1026" s="3">
        <v>0.0</v>
      </c>
      <c r="E1026" s="3">
        <v>0.0</v>
      </c>
      <c r="F1026" s="3" t="s">
        <v>665</v>
      </c>
      <c r="G1026" s="3">
        <v>1.0</v>
      </c>
      <c r="H1026" s="3">
        <v>0.0</v>
      </c>
      <c r="I1026" s="3" t="s">
        <v>13</v>
      </c>
      <c r="J1026" s="3" t="s">
        <v>666</v>
      </c>
      <c r="K1026" s="3" t="s">
        <v>644</v>
      </c>
      <c r="L1026" s="3" t="str">
        <f>IFERROR(__xludf.DUMMYFUNCTION("GOOGLETRANSLATE(F1026,""id"",""en"")"),"the best world cup final")</f>
        <v>the best world cup final</v>
      </c>
    </row>
    <row r="1027" ht="15.75" customHeight="1">
      <c r="A1027" s="1">
        <v>1026.0</v>
      </c>
      <c r="B1027" s="3" t="s">
        <v>3169</v>
      </c>
      <c r="C1027" s="3">
        <v>0.0</v>
      </c>
      <c r="D1027" s="3">
        <v>0.0</v>
      </c>
      <c r="E1027" s="3">
        <v>0.0</v>
      </c>
      <c r="F1027" s="3" t="s">
        <v>3170</v>
      </c>
      <c r="G1027" s="3">
        <v>1.0</v>
      </c>
      <c r="H1027" s="3">
        <v>0.0</v>
      </c>
      <c r="I1027" s="3" t="s">
        <v>13</v>
      </c>
      <c r="J1027" s="3" t="s">
        <v>3171</v>
      </c>
      <c r="K1027" s="3" t="s">
        <v>41</v>
      </c>
      <c r="L1027" s="3" t="str">
        <f>IFERROR(__xludf.DUMMYFUNCTION("GOOGLETRANSLATE(F1027,""id"",""en"")"),"The World Cup Final Treat is extraordinary congratulations to Argentina")</f>
        <v>The World Cup Final Treat is extraordinary congratulations to Argentina</v>
      </c>
    </row>
    <row r="1028" ht="15.75" customHeight="1">
      <c r="A1028" s="1">
        <v>1027.0</v>
      </c>
      <c r="B1028" s="3" t="s">
        <v>3172</v>
      </c>
      <c r="C1028" s="3">
        <v>1.0</v>
      </c>
      <c r="D1028" s="3">
        <v>0.0</v>
      </c>
      <c r="E1028" s="3">
        <v>2.0</v>
      </c>
      <c r="F1028" s="3" t="s">
        <v>3173</v>
      </c>
      <c r="G1028" s="3">
        <v>1.0</v>
      </c>
      <c r="H1028" s="3">
        <v>0.0</v>
      </c>
      <c r="I1028" s="3" t="s">
        <v>13</v>
      </c>
      <c r="J1028" s="3" t="s">
        <v>3174</v>
      </c>
      <c r="K1028" s="3" t="s">
        <v>273</v>
      </c>
      <c r="L1028" s="3" t="str">
        <f>IFERROR(__xludf.DUMMYFUNCTION("GOOGLETRANSLATE(F1028,""id"",""en"")"),"Heads of Mbapp You Always Winner The struggle of MBAPP and the French team to become the first winner of the World Cup did stop the final round of FIFA World Cup Qatar after losing to the Argentine team through the penalty round")</f>
        <v>Heads of Mbapp You Always Winner The struggle of MBAPP and the French team to become the first winner of the World Cup did stop the final round of FIFA World Cup Qatar after losing to the Argentine team through the penalty round</v>
      </c>
    </row>
    <row r="1029" ht="15.75" customHeight="1">
      <c r="A1029" s="1">
        <v>1028.0</v>
      </c>
      <c r="B1029" s="3" t="s">
        <v>3175</v>
      </c>
      <c r="C1029" s="3">
        <v>0.0</v>
      </c>
      <c r="D1029" s="3">
        <v>0.0</v>
      </c>
      <c r="E1029" s="3">
        <v>0.0</v>
      </c>
      <c r="F1029" s="3" t="s">
        <v>3176</v>
      </c>
      <c r="G1029" s="3">
        <v>1.0</v>
      </c>
      <c r="H1029" s="3">
        <v>0.0</v>
      </c>
      <c r="I1029" s="3" t="s">
        <v>13</v>
      </c>
      <c r="J1029" s="3" t="s">
        <v>3177</v>
      </c>
      <c r="K1029" s="3" t="s">
        <v>75</v>
      </c>
      <c r="L1029" s="3" t="str">
        <f>IFERROR(__xludf.DUMMYFUNCTION("GOOGLETRANSLATE(F1029,""id"",""en"")"),"Argentina Won Finally Messi Raising This World Cup")</f>
        <v>Argentina Won Finally Messi Raising This World Cup</v>
      </c>
    </row>
    <row r="1030" ht="15.75" customHeight="1">
      <c r="A1030" s="1">
        <v>1029.0</v>
      </c>
      <c r="B1030" s="3" t="s">
        <v>3178</v>
      </c>
      <c r="C1030" s="3">
        <v>0.0</v>
      </c>
      <c r="D1030" s="3">
        <v>87.0</v>
      </c>
      <c r="E1030" s="3">
        <v>101.0</v>
      </c>
      <c r="F1030" s="3" t="s">
        <v>3179</v>
      </c>
      <c r="G1030" s="3">
        <v>1.0</v>
      </c>
      <c r="H1030" s="3">
        <v>0.0</v>
      </c>
      <c r="I1030" s="3" t="s">
        <v>13</v>
      </c>
      <c r="J1030" s="3" t="s">
        <v>3180</v>
      </c>
      <c r="K1030" s="3" t="s">
        <v>715</v>
      </c>
      <c r="L1030" s="3" t="str">
        <f>IFERROR(__xludf.DUMMYFUNCTION("GOOGLETRANSLATE(F1030,""id"",""en"")"),"With this FIFA has announced two great resistance throughout the age of the world is the World Cup Final France Argentina, the Malaysian Silver Cup Final")</f>
        <v>With this FIFA has announced two great resistance throughout the age of the world is the World Cup Final France Argentina, the Malaysian Silver Cup Final</v>
      </c>
    </row>
    <row r="1031" ht="15.75" customHeight="1">
      <c r="A1031" s="1">
        <v>1030.0</v>
      </c>
      <c r="B1031" s="3" t="s">
        <v>3181</v>
      </c>
      <c r="C1031" s="3">
        <v>0.0</v>
      </c>
      <c r="D1031" s="3">
        <v>0.0</v>
      </c>
      <c r="E1031" s="3">
        <v>0.0</v>
      </c>
      <c r="F1031" s="3" t="s">
        <v>2115</v>
      </c>
      <c r="G1031" s="3">
        <v>1.0</v>
      </c>
      <c r="H1031" s="3">
        <v>0.0</v>
      </c>
      <c r="I1031" s="3" t="s">
        <v>13</v>
      </c>
      <c r="J1031" s="3" t="s">
        <v>2116</v>
      </c>
      <c r="K1031" s="3" t="s">
        <v>2117</v>
      </c>
      <c r="L1031" s="3" t="str">
        <f>IFERROR(__xludf.DUMMYFUNCTION("GOOGLETRANSLATE(F1031,""id"",""en"")"),"World Cup Final")</f>
        <v>World Cup Final</v>
      </c>
    </row>
    <row r="1032" ht="15.75" customHeight="1">
      <c r="A1032" s="1">
        <v>1031.0</v>
      </c>
      <c r="B1032" s="3" t="s">
        <v>3182</v>
      </c>
      <c r="C1032" s="3">
        <v>0.0</v>
      </c>
      <c r="D1032" s="3">
        <v>0.0</v>
      </c>
      <c r="E1032" s="3">
        <v>1.0</v>
      </c>
      <c r="F1032" s="3" t="s">
        <v>3183</v>
      </c>
      <c r="G1032" s="3">
        <v>1.0</v>
      </c>
      <c r="H1032" s="3">
        <v>0.0</v>
      </c>
      <c r="I1032" s="3" t="s">
        <v>13</v>
      </c>
      <c r="J1032" s="3" t="s">
        <v>3184</v>
      </c>
      <c r="K1032" s="3" t="s">
        <v>50</v>
      </c>
      <c r="L1032" s="3" t="str">
        <f>IFERROR(__xludf.DUMMYFUNCTION("GOOGLETRANSLATE(F1032,""id"",""en"")"),"How could a player score a World Cup Final Hattrick and still lose")</f>
        <v>How could a player score a World Cup Final Hattrick and still lose</v>
      </c>
    </row>
    <row r="1033" ht="15.75" customHeight="1">
      <c r="A1033" s="1">
        <v>1032.0</v>
      </c>
      <c r="B1033" s="3" t="s">
        <v>3185</v>
      </c>
      <c r="C1033" s="3">
        <v>0.0</v>
      </c>
      <c r="D1033" s="3">
        <v>0.0</v>
      </c>
      <c r="E1033" s="3">
        <v>0.0</v>
      </c>
      <c r="F1033" s="3" t="s">
        <v>3186</v>
      </c>
      <c r="G1033" s="3">
        <v>1.0</v>
      </c>
      <c r="H1033" s="3">
        <v>0.0</v>
      </c>
      <c r="I1033" s="3" t="s">
        <v>13</v>
      </c>
      <c r="J1033" s="3" t="s">
        <v>3187</v>
      </c>
      <c r="K1033" s="3" t="s">
        <v>765</v>
      </c>
      <c r="L1033" s="3" t="str">
        <f>IFERROR(__xludf.DUMMYFUNCTION("GOOGLETRANSLATE(F1033,""id"",""en"")"),"Finally also tasted the Setitiaque watching the World Cup final literally, it only watched only the additional round and the penalty of the Argentina penn Congrats, which was dagged to win compared to France")</f>
        <v>Finally also tasted the Setitiaque watching the World Cup final literally, it only watched only the additional round and the penalty of the Argentina penn Congrats, which was dagged to win compared to France</v>
      </c>
    </row>
    <row r="1034" ht="15.75" customHeight="1">
      <c r="A1034" s="1">
        <v>1033.0</v>
      </c>
      <c r="B1034" s="3" t="s">
        <v>3188</v>
      </c>
      <c r="C1034" s="3">
        <v>0.0</v>
      </c>
      <c r="D1034" s="3">
        <v>0.0</v>
      </c>
      <c r="E1034" s="3">
        <v>0.0</v>
      </c>
      <c r="F1034" s="3" t="s">
        <v>3189</v>
      </c>
      <c r="G1034" s="3">
        <v>1.0</v>
      </c>
      <c r="H1034" s="3">
        <v>0.0</v>
      </c>
      <c r="I1034" s="3" t="s">
        <v>13</v>
      </c>
      <c r="J1034" s="3" t="s">
        <v>3190</v>
      </c>
      <c r="K1034" s="3" t="s">
        <v>184</v>
      </c>
      <c r="L1034" s="3" t="str">
        <f>IFERROR(__xludf.DUMMYFUNCTION("GOOGLETRANSLATE(F1034,""id"",""en"")"),"but according to me this is the most exciting world cup final I've ever watched from the beginning to the end of the match to get the roller coaster emotions")</f>
        <v>but according to me this is the most exciting world cup final I've ever watched from the beginning to the end of the match to get the roller coaster emotions</v>
      </c>
    </row>
    <row r="1035" ht="15.75" customHeight="1">
      <c r="A1035" s="1">
        <v>1034.0</v>
      </c>
      <c r="B1035" s="3" t="s">
        <v>3191</v>
      </c>
      <c r="C1035" s="3">
        <v>0.0</v>
      </c>
      <c r="D1035" s="3">
        <v>0.0</v>
      </c>
      <c r="E1035" s="3">
        <v>2.0</v>
      </c>
      <c r="F1035" s="3" t="s">
        <v>3192</v>
      </c>
      <c r="G1035" s="3">
        <v>1.0</v>
      </c>
      <c r="H1035" s="3">
        <v>0.0</v>
      </c>
      <c r="I1035" s="3" t="s">
        <v>13</v>
      </c>
      <c r="J1035" s="3" t="s">
        <v>3193</v>
      </c>
      <c r="K1035" s="3" t="s">
        <v>82</v>
      </c>
      <c r="L1035" s="3" t="str">
        <f>IFERROR(__xludf.DUMMYFUNCTION("GOOGLETRANSLATE(F1035,""id"",""en"")"),"like this, just the World Cup final match")</f>
        <v>like this, just the World Cup final match</v>
      </c>
    </row>
    <row r="1036" ht="15.75" customHeight="1">
      <c r="A1036" s="1">
        <v>1035.0</v>
      </c>
      <c r="B1036" s="3" t="s">
        <v>3194</v>
      </c>
      <c r="C1036" s="3">
        <v>0.0</v>
      </c>
      <c r="D1036" s="3">
        <v>0.0</v>
      </c>
      <c r="E1036" s="3">
        <v>0.0</v>
      </c>
      <c r="F1036" s="3" t="s">
        <v>3195</v>
      </c>
      <c r="G1036" s="3">
        <v>0.8</v>
      </c>
      <c r="H1036" s="3">
        <v>0.35</v>
      </c>
      <c r="I1036" s="3" t="s">
        <v>48</v>
      </c>
      <c r="J1036" s="3" t="s">
        <v>3196</v>
      </c>
      <c r="K1036" s="3" t="s">
        <v>94</v>
      </c>
      <c r="L1036" s="3" t="str">
        <f>IFERROR(__xludf.DUMMYFUNCTION("GOOGLETRANSLATE(F1036,""id"",""en"")"),"This oath is the final shouted ever watched degdeganny can be very able to support France Argentina Feeling is just a Congrats Argentina Congrats Messi Maria for the last World Cup victory Good Job Ayang Mbappe")</f>
        <v>This oath is the final shouted ever watched degdeganny can be very able to support France Argentina Feeling is just a Congrats Argentina Congrats Messi Maria for the last World Cup victory Good Job Ayang Mbappe</v>
      </c>
    </row>
    <row r="1037" ht="15.75" customHeight="1">
      <c r="A1037" s="1">
        <v>1036.0</v>
      </c>
      <c r="B1037" s="3" t="s">
        <v>3197</v>
      </c>
      <c r="C1037" s="3">
        <v>1.0</v>
      </c>
      <c r="D1037" s="3">
        <v>0.0</v>
      </c>
      <c r="E1037" s="3">
        <v>0.0</v>
      </c>
      <c r="F1037" s="3" t="s">
        <v>3198</v>
      </c>
      <c r="G1037" s="3">
        <v>1.0</v>
      </c>
      <c r="H1037" s="3">
        <v>0.0</v>
      </c>
      <c r="I1037" s="3" t="s">
        <v>13</v>
      </c>
      <c r="J1037" s="3" t="s">
        <v>3199</v>
      </c>
      <c r="K1037" s="3" t="s">
        <v>910</v>
      </c>
      <c r="L1037" s="3" t="str">
        <f>IFERROR(__xludf.DUMMYFUNCTION("GOOGLETRANSLATE(F1037,""id"",""en"")"),"Then the time came for around there was Aboanzieri Burdiso Hienze Cambiasso Mascherano Messi Saviola Tevez was very difficult to win Coppa America Final always lost to Brazil Ronaldo especially the World Cup always foundered with Germany")</f>
        <v>Then the time came for around there was Aboanzieri Burdiso Hienze Cambiasso Mascherano Messi Saviola Tevez was very difficult to win Coppa America Final always lost to Brazil Ronaldo especially the World Cup always foundered with Germany</v>
      </c>
    </row>
    <row r="1038" ht="15.75" customHeight="1">
      <c r="A1038" s="1">
        <v>1037.0</v>
      </c>
      <c r="B1038" s="3" t="s">
        <v>3200</v>
      </c>
      <c r="C1038" s="3">
        <v>0.0</v>
      </c>
      <c r="D1038" s="3">
        <v>0.0</v>
      </c>
      <c r="E1038" s="3">
        <v>0.0</v>
      </c>
      <c r="F1038" s="3" t="s">
        <v>3201</v>
      </c>
      <c r="G1038" s="3">
        <v>1.0</v>
      </c>
      <c r="H1038" s="3">
        <v>0.0</v>
      </c>
      <c r="I1038" s="3" t="s">
        <v>13</v>
      </c>
      <c r="J1038" s="3" t="s">
        <v>3202</v>
      </c>
      <c r="K1038" s="3" t="s">
        <v>192</v>
      </c>
      <c r="L1038" s="3" t="str">
        <f>IFERROR(__xludf.DUMMYFUNCTION("GOOGLETRANSLATE(F1038,""id"",""en"")"),"As a world cup boy, a sacred moment is awaited once a year from a small and plain child until now the mustache and the final just now is the final dream of all the football lovers following goals to the perfect final penalty shootout")</f>
        <v>As a world cup boy, a sacred moment is awaited once a year from a small and plain child until now the mustache and the final just now is the final dream of all the football lovers following goals to the perfect final penalty shootout</v>
      </c>
    </row>
    <row r="1039" ht="15.75" customHeight="1">
      <c r="A1039" s="1">
        <v>1038.0</v>
      </c>
      <c r="B1039" s="3" t="s">
        <v>3203</v>
      </c>
      <c r="C1039" s="3">
        <v>0.0</v>
      </c>
      <c r="D1039" s="3">
        <v>0.0</v>
      </c>
      <c r="E1039" s="3">
        <v>0.0</v>
      </c>
      <c r="F1039" s="3" t="s">
        <v>3204</v>
      </c>
      <c r="G1039" s="3">
        <v>0.65</v>
      </c>
      <c r="H1039" s="3">
        <v>0.5</v>
      </c>
      <c r="I1039" s="3" t="s">
        <v>48</v>
      </c>
      <c r="J1039" s="3" t="s">
        <v>3205</v>
      </c>
      <c r="K1039" s="3" t="s">
        <v>883</v>
      </c>
      <c r="L1039" s="3" t="str">
        <f>IFERROR(__xludf.DUMMYFUNCTION("GOOGLETRANSLATE(F1039,""id"",""en"")"),"so but rang people say this the best final ever even though before the event begins rang people ask where the world cup fever tastes")</f>
        <v>so but rang people say this the best final ever even though before the event begins rang people ask where the world cup fever tastes</v>
      </c>
    </row>
    <row r="1040" ht="15.75" customHeight="1">
      <c r="A1040" s="1">
        <v>1039.0</v>
      </c>
      <c r="B1040" s="3" t="s">
        <v>3206</v>
      </c>
      <c r="C1040" s="3">
        <v>0.0</v>
      </c>
      <c r="D1040" s="3">
        <v>0.0</v>
      </c>
      <c r="E1040" s="3">
        <v>0.0</v>
      </c>
      <c r="F1040" s="3" t="s">
        <v>3207</v>
      </c>
      <c r="G1040" s="3">
        <v>1.0</v>
      </c>
      <c r="H1040" s="3">
        <v>0.0</v>
      </c>
      <c r="I1040" s="3" t="s">
        <v>13</v>
      </c>
      <c r="J1040" s="3" t="s">
        <v>3208</v>
      </c>
      <c r="K1040" s="3" t="s">
        <v>71</v>
      </c>
      <c r="L1040" s="3" t="str">
        <f>IFERROR(__xludf.DUMMYFUNCTION("GOOGLETRANSLATE(F1040,""id"",""en"")"),"Latepost exciting Qatar World Cup Final Match Buying Mutual Attacks Congratulations for the Argentine National Team")</f>
        <v>Latepost exciting Qatar World Cup Final Match Buying Mutual Attacks Congratulations for the Argentine National Team</v>
      </c>
    </row>
    <row r="1041" ht="15.75" customHeight="1">
      <c r="A1041" s="1">
        <v>1040.0</v>
      </c>
      <c r="B1041" s="3" t="s">
        <v>3209</v>
      </c>
      <c r="C1041" s="3">
        <v>0.0</v>
      </c>
      <c r="D1041" s="3">
        <v>0.0</v>
      </c>
      <c r="E1041" s="3">
        <v>1.0</v>
      </c>
      <c r="F1041" s="3" t="s">
        <v>3210</v>
      </c>
      <c r="G1041" s="3">
        <v>1.0</v>
      </c>
      <c r="H1041" s="3">
        <v>0.0</v>
      </c>
      <c r="I1041" s="3" t="s">
        <v>13</v>
      </c>
      <c r="J1041" s="3" t="s">
        <v>3211</v>
      </c>
      <c r="K1041" s="3" t="s">
        <v>1518</v>
      </c>
      <c r="L1041" s="3" t="str">
        <f>IFERROR(__xludf.DUMMYFUNCTION("GOOGLETRANSLATE(F1041,""id"",""en"")"),"Dirs Guus my friend deliberately guess the final score of the World Cup Final taken during the Kopdarnas Kajen Pati event on December yesterday his name is still JMBL")</f>
        <v>Dirs Guus my friend deliberately guess the final score of the World Cup Final taken during the Kopdarnas Kajen Pati event on December yesterday his name is still JMBL</v>
      </c>
    </row>
    <row r="1042" ht="15.75" customHeight="1">
      <c r="A1042" s="1">
        <v>1041.0</v>
      </c>
      <c r="B1042" s="3" t="s">
        <v>3212</v>
      </c>
      <c r="C1042" s="3">
        <v>0.0</v>
      </c>
      <c r="D1042" s="3">
        <v>0.0</v>
      </c>
      <c r="E1042" s="3">
        <v>1.0</v>
      </c>
      <c r="F1042" s="3" t="s">
        <v>3213</v>
      </c>
      <c r="G1042" s="3">
        <v>1.0</v>
      </c>
      <c r="H1042" s="3">
        <v>0.0</v>
      </c>
      <c r="I1042" s="3" t="s">
        <v>13</v>
      </c>
      <c r="J1042" s="3" t="s">
        <v>3214</v>
      </c>
      <c r="K1042" s="3" t="s">
        <v>50</v>
      </c>
      <c r="L1042" s="3" t="str">
        <f>IFERROR(__xludf.DUMMYFUNCTION("GOOGLETRANSLATE(F1042,""id"",""en"")"),"Salute to Deschamps and Scaloni can mix the best tactics of the World Cup Final this time")</f>
        <v>Salute to Deschamps and Scaloni can mix the best tactics of the World Cup Final this time</v>
      </c>
    </row>
    <row r="1043" ht="15.75" customHeight="1">
      <c r="A1043" s="1">
        <v>1042.0</v>
      </c>
      <c r="B1043" s="3" t="s">
        <v>3215</v>
      </c>
      <c r="C1043" s="3">
        <v>0.0</v>
      </c>
      <c r="D1043" s="3">
        <v>0.0</v>
      </c>
      <c r="E1043" s="3">
        <v>0.0</v>
      </c>
      <c r="F1043" s="3" t="s">
        <v>3216</v>
      </c>
      <c r="G1043" s="3">
        <v>1.0</v>
      </c>
      <c r="H1043" s="3">
        <v>0.0</v>
      </c>
      <c r="I1043" s="3" t="s">
        <v>13</v>
      </c>
      <c r="J1043" s="3" t="s">
        <v>3217</v>
      </c>
      <c r="K1043" s="3" t="s">
        <v>54</v>
      </c>
      <c r="L1043" s="3" t="str">
        <f>IFERROR(__xludf.DUMMYFUNCTION("GOOGLETRANSLATE(F1043,""id"",""en"")"),"the best world cup final as far as I watched")</f>
        <v>the best world cup final as far as I watched</v>
      </c>
    </row>
    <row r="1044" ht="15.75" customHeight="1">
      <c r="A1044" s="1">
        <v>1043.0</v>
      </c>
      <c r="B1044" s="3" t="s">
        <v>3218</v>
      </c>
      <c r="C1044" s="3">
        <v>0.0</v>
      </c>
      <c r="D1044" s="3">
        <v>0.0</v>
      </c>
      <c r="E1044" s="3">
        <v>0.0</v>
      </c>
      <c r="F1044" s="3" t="s">
        <v>3219</v>
      </c>
      <c r="G1044" s="3">
        <v>1.0</v>
      </c>
      <c r="H1044" s="3">
        <v>0.0</v>
      </c>
      <c r="I1044" s="3" t="s">
        <v>13</v>
      </c>
      <c r="J1044" s="3" t="s">
        <v>3220</v>
      </c>
      <c r="K1044" s="3" t="s">
        <v>765</v>
      </c>
      <c r="L1044" s="3" t="str">
        <f>IFERROR(__xludf.DUMMYFUNCTION("GOOGLETRANSLATE(F1044,""id"",""en"")"),"The World Cup Final this time is more terrible than France Croatia Argentina is not seeded playing extraordinary even though the final minutes of loose can break and cut French bait make French players become a murder")</f>
        <v>The World Cup Final this time is more terrible than France Croatia Argentina is not seeded playing extraordinary even though the final minutes of loose can break and cut French bait make French players become a murder</v>
      </c>
    </row>
    <row r="1045" ht="15.75" customHeight="1">
      <c r="A1045" s="1">
        <v>1044.0</v>
      </c>
      <c r="B1045" s="3" t="s">
        <v>3221</v>
      </c>
      <c r="C1045" s="3">
        <v>0.0</v>
      </c>
      <c r="D1045" s="3">
        <v>0.0</v>
      </c>
      <c r="E1045" s="3">
        <v>1.0</v>
      </c>
      <c r="F1045" s="3" t="s">
        <v>3222</v>
      </c>
      <c r="G1045" s="3">
        <v>1.0</v>
      </c>
      <c r="H1045" s="3">
        <v>0.0</v>
      </c>
      <c r="I1045" s="3" t="s">
        <v>13</v>
      </c>
      <c r="J1045" s="3" t="s">
        <v>3223</v>
      </c>
      <c r="K1045" s="3" t="s">
        <v>90</v>
      </c>
      <c r="L1045" s="3" t="str">
        <f>IFERROR(__xludf.DUMMYFUNCTION("GOOGLETRANSLATE(F1045,""id"",""en"")"),"This Taun World Cup at the beginning of being cursed by Maki turns out there is a Moroccan underdog even until the final champion semera Iki what world cup")</f>
        <v>This Taun World Cup at the beginning of being cursed by Maki turns out there is a Moroccan underdog even until the final champion semera Iki what world cup</v>
      </c>
    </row>
    <row r="1046" ht="15.75" customHeight="1">
      <c r="A1046" s="1">
        <v>1045.0</v>
      </c>
      <c r="B1046" s="3" t="s">
        <v>3224</v>
      </c>
      <c r="C1046" s="3">
        <v>0.0</v>
      </c>
      <c r="D1046" s="3">
        <v>0.0</v>
      </c>
      <c r="E1046" s="3">
        <v>0.0</v>
      </c>
      <c r="F1046" s="3" t="s">
        <v>3225</v>
      </c>
      <c r="G1046" s="3">
        <v>1.0</v>
      </c>
      <c r="H1046" s="3">
        <v>0.0</v>
      </c>
      <c r="I1046" s="3" t="s">
        <v>13</v>
      </c>
      <c r="J1046" s="3" t="s">
        <v>3226</v>
      </c>
      <c r="K1046" s="3" t="s">
        <v>374</v>
      </c>
      <c r="L1046" s="3" t="str">
        <f>IFERROR(__xludf.DUMMYFUNCTION("GOOGLETRANSLATE(F1046,""id"",""en"")"),"The important figure of the Mbappe World Cup Final who has been delivering France in the World Cup champion and now Ngegolin for France even though finally losing Messi who ended a career was finally able to lift the world cup trophy for all of his crazy "&amp;"countries")</f>
        <v>The important figure of the Mbappe World Cup Final who has been delivering France in the World Cup champion and now Ngegolin for France even though finally losing Messi who ended a career was finally able to lift the world cup trophy for all of his crazy countries</v>
      </c>
    </row>
    <row r="1047" ht="15.75" customHeight="1">
      <c r="A1047" s="1">
        <v>1046.0</v>
      </c>
      <c r="B1047" s="3" t="s">
        <v>3227</v>
      </c>
      <c r="C1047" s="3">
        <v>0.0</v>
      </c>
      <c r="D1047" s="3">
        <v>0.0</v>
      </c>
      <c r="E1047" s="3">
        <v>0.0</v>
      </c>
      <c r="F1047" s="3" t="s">
        <v>3228</v>
      </c>
      <c r="G1047" s="3">
        <v>1.0</v>
      </c>
      <c r="H1047" s="3">
        <v>0.0</v>
      </c>
      <c r="I1047" s="3" t="s">
        <v>13</v>
      </c>
      <c r="J1047" s="3" t="s">
        <v>3229</v>
      </c>
      <c r="K1047" s="3" t="s">
        <v>31</v>
      </c>
      <c r="L1047" s="3" t="str">
        <f>IFERROR(__xludf.DUMMYFUNCTION("GOOGLETRANSLATE(F1047,""id"",""en"")"),"World Cup Final Most Sedapppp")</f>
        <v>World Cup Final Most Sedapppp</v>
      </c>
    </row>
    <row r="1048" ht="15.75" customHeight="1">
      <c r="A1048" s="1">
        <v>1047.0</v>
      </c>
      <c r="B1048" s="3" t="s">
        <v>3230</v>
      </c>
      <c r="C1048" s="3">
        <v>1.0</v>
      </c>
      <c r="D1048" s="3">
        <v>8.0</v>
      </c>
      <c r="E1048" s="3">
        <v>123.0</v>
      </c>
      <c r="F1048" s="3" t="s">
        <v>3231</v>
      </c>
      <c r="G1048" s="3">
        <v>0.8125</v>
      </c>
      <c r="H1048" s="3">
        <v>0.2</v>
      </c>
      <c r="I1048" s="3" t="s">
        <v>48</v>
      </c>
      <c r="J1048" s="3" t="s">
        <v>3232</v>
      </c>
      <c r="K1048" s="3" t="s">
        <v>860</v>
      </c>
      <c r="L1048" s="3" t="str">
        <f>IFERROR(__xludf.DUMMYFUNCTION("GOOGLETRANSLATE(F1048,""id"",""en"")"),"Finally Argentina won the World Cup again after winning the era of Maradona now Messi brought victory for Argentina What Final Such Great Final World Cup")</f>
        <v>Finally Argentina won the World Cup again after winning the era of Maradona now Messi brought victory for Argentina What Final Such Great Final World Cup</v>
      </c>
    </row>
    <row r="1049" ht="15.75" customHeight="1">
      <c r="A1049" s="1">
        <v>1048.0</v>
      </c>
      <c r="B1049" s="3" t="s">
        <v>3233</v>
      </c>
      <c r="C1049" s="3">
        <v>0.0</v>
      </c>
      <c r="D1049" s="3">
        <v>0.0</v>
      </c>
      <c r="E1049" s="3">
        <v>0.0</v>
      </c>
      <c r="F1049" s="3" t="s">
        <v>3234</v>
      </c>
      <c r="G1049" s="3">
        <v>1.0</v>
      </c>
      <c r="H1049" s="3">
        <v>0.0</v>
      </c>
      <c r="I1049" s="3" t="s">
        <v>13</v>
      </c>
      <c r="J1049" s="3" t="s">
        <v>3235</v>
      </c>
      <c r="K1049" s="3" t="s">
        <v>644</v>
      </c>
      <c r="L1049" s="3" t="str">
        <f>IFERROR(__xludf.DUMMYFUNCTION("GOOGLETRANSLATE(F1049,""id"",""en"")"),"World Cup Final Hattrick")</f>
        <v>World Cup Final Hattrick</v>
      </c>
    </row>
    <row r="1050" ht="15.75" customHeight="1">
      <c r="A1050" s="1">
        <v>1049.0</v>
      </c>
      <c r="B1050" s="3" t="s">
        <v>3236</v>
      </c>
      <c r="C1050" s="3">
        <v>0.0</v>
      </c>
      <c r="D1050" s="3">
        <v>0.0</v>
      </c>
      <c r="E1050" s="3">
        <v>0.0</v>
      </c>
      <c r="F1050" s="3" t="s">
        <v>3237</v>
      </c>
      <c r="G1050" s="3">
        <v>1.0</v>
      </c>
      <c r="H1050" s="3">
        <v>0.0</v>
      </c>
      <c r="I1050" s="3" t="s">
        <v>13</v>
      </c>
      <c r="J1050" s="3" t="s">
        <v>3238</v>
      </c>
      <c r="K1050" s="3" t="s">
        <v>54</v>
      </c>
      <c r="L1050" s="3" t="str">
        <f>IFERROR(__xludf.DUMMYFUNCTION("GOOGLETRANSLATE(F1050,""id"",""en"")"),"This is only the final of the Argentine World Cup")</f>
        <v>This is only the final of the Argentine World Cup</v>
      </c>
    </row>
    <row r="1051" ht="15.75" customHeight="1">
      <c r="A1051" s="1">
        <v>1050.0</v>
      </c>
      <c r="B1051" s="3" t="s">
        <v>3239</v>
      </c>
      <c r="C1051" s="3">
        <v>0.0</v>
      </c>
      <c r="D1051" s="3">
        <v>0.0</v>
      </c>
      <c r="E1051" s="3">
        <v>1.0</v>
      </c>
      <c r="F1051" s="3" t="s">
        <v>3240</v>
      </c>
      <c r="G1051" s="3">
        <v>0.825</v>
      </c>
      <c r="H1051" s="3">
        <v>0.4</v>
      </c>
      <c r="I1051" s="3" t="s">
        <v>48</v>
      </c>
      <c r="J1051" s="3" t="s">
        <v>3241</v>
      </c>
      <c r="K1051" s="3" t="s">
        <v>1970</v>
      </c>
      <c r="L1051" s="3" t="str">
        <f>IFERROR(__xludf.DUMMYFUNCTION("GOOGLETRANSLATE(F1051,""id"",""en"")"),"The craziest final is more than what I think there will be another world cup cooler but it turns out that the final this time The Best Congrats Argentina Nice Try France Let Morocco")</f>
        <v>The craziest final is more than what I think there will be another world cup cooler but it turns out that the final this time The Best Congrats Argentina Nice Try France Let Morocco</v>
      </c>
    </row>
    <row r="1052" ht="15.75" customHeight="1">
      <c r="A1052" s="1">
        <v>1051.0</v>
      </c>
      <c r="B1052" s="3" t="s">
        <v>3242</v>
      </c>
      <c r="C1052" s="3">
        <v>0.0</v>
      </c>
      <c r="D1052" s="3">
        <v>0.0</v>
      </c>
      <c r="E1052" s="3">
        <v>0.0</v>
      </c>
      <c r="F1052" s="3" t="s">
        <v>3243</v>
      </c>
      <c r="G1052" s="3">
        <v>0.66</v>
      </c>
      <c r="H1052" s="3">
        <v>0.04</v>
      </c>
      <c r="I1052" s="3" t="s">
        <v>48</v>
      </c>
      <c r="J1052" s="3" t="s">
        <v>3244</v>
      </c>
      <c r="K1052" s="3" t="s">
        <v>3245</v>
      </c>
      <c r="L1052" s="3" t="str">
        <f>IFERROR(__xludf.DUMMYFUNCTION("GOOGLETRANSLATE(F1052,""id"",""en"")"),"I said the World Cup tastes a world cup but suddenly a lot of shocking matches from Agen lost to Arabic until Marocco entered the semi -finals and finally the classy final serving could even say the best world cup final was the big thanks cup")</f>
        <v>I said the World Cup tastes a world cup but suddenly a lot of shocking matches from Agen lost to Arabic until Marocco entered the semi -finals and finally the classy final serving could even say the best world cup final was the big thanks cup</v>
      </c>
    </row>
    <row r="1053" ht="15.75" customHeight="1">
      <c r="A1053" s="1">
        <v>1052.0</v>
      </c>
      <c r="B1053" s="3" t="s">
        <v>3246</v>
      </c>
      <c r="C1053" s="3">
        <v>2.0</v>
      </c>
      <c r="D1053" s="3">
        <v>6.0</v>
      </c>
      <c r="E1053" s="3">
        <v>120.0</v>
      </c>
      <c r="F1053" s="3" t="s">
        <v>3247</v>
      </c>
      <c r="G1053" s="3">
        <v>0.65</v>
      </c>
      <c r="H1053" s="3">
        <v>0.5</v>
      </c>
      <c r="I1053" s="3" t="s">
        <v>48</v>
      </c>
      <c r="J1053" s="3" t="s">
        <v>3248</v>
      </c>
      <c r="K1053" s="3" t="s">
        <v>633</v>
      </c>
      <c r="L1053" s="3" t="str">
        <f>IFERROR(__xludf.DUMMYFUNCTION("GOOGLETRANSLATE(F1053,""id"",""en"")"),"age of the year I got the World Cup four years ago to make the final hat trick even though finally losing mbappe still one the best what player")</f>
        <v>age of the year I got the World Cup four years ago to make the final hat trick even though finally losing mbappe still one the best what player</v>
      </c>
    </row>
    <row r="1054" ht="15.75" customHeight="1">
      <c r="A1054" s="1">
        <v>1053.0</v>
      </c>
      <c r="B1054" s="3" t="s">
        <v>3249</v>
      </c>
      <c r="C1054" s="3">
        <v>0.0</v>
      </c>
      <c r="D1054" s="3">
        <v>0.0</v>
      </c>
      <c r="E1054" s="3">
        <v>0.0</v>
      </c>
      <c r="F1054" s="3" t="s">
        <v>3250</v>
      </c>
      <c r="G1054" s="3">
        <v>0.5333333333333333</v>
      </c>
      <c r="H1054" s="3">
        <v>0.04545454545454545</v>
      </c>
      <c r="I1054" s="3" t="s">
        <v>48</v>
      </c>
      <c r="J1054" s="3" t="s">
        <v>3251</v>
      </c>
      <c r="K1054" s="3" t="s">
        <v>19</v>
      </c>
      <c r="L1054" s="3" t="str">
        <f>IFERROR(__xludf.DUMMYFUNCTION("GOOGLETRANSLATE(F1054,""id"",""en"")"),"Live French French World Cup Final Score Messi Mbappe Continued Extra Time")</f>
        <v>Live French French World Cup Final Score Messi Mbappe Continued Extra Time</v>
      </c>
    </row>
    <row r="1055" ht="15.75" customHeight="1">
      <c r="A1055" s="1">
        <v>1054.0</v>
      </c>
      <c r="B1055" s="3" t="s">
        <v>3252</v>
      </c>
      <c r="C1055" s="3">
        <v>0.0</v>
      </c>
      <c r="D1055" s="3">
        <v>0.0</v>
      </c>
      <c r="E1055" s="3">
        <v>0.0</v>
      </c>
      <c r="F1055" s="3" t="s">
        <v>3253</v>
      </c>
      <c r="G1055" s="3">
        <v>1.0</v>
      </c>
      <c r="H1055" s="3">
        <v>0.0</v>
      </c>
      <c r="I1055" s="3" t="s">
        <v>13</v>
      </c>
      <c r="J1055" s="3" t="s">
        <v>3254</v>
      </c>
      <c r="K1055" s="3" t="s">
        <v>31</v>
      </c>
      <c r="L1055" s="3" t="str">
        <f>IFERROR(__xludf.DUMMYFUNCTION("GOOGLETRANSLATE(F1055,""id"",""en"")"),"This is just the name of the World Cup Final")</f>
        <v>This is just the name of the World Cup Final</v>
      </c>
    </row>
    <row r="1056" ht="15.75" customHeight="1">
      <c r="A1056" s="1">
        <v>1055.0</v>
      </c>
      <c r="B1056" s="3" t="s">
        <v>3255</v>
      </c>
      <c r="C1056" s="3">
        <v>0.0</v>
      </c>
      <c r="D1056" s="3">
        <v>0.0</v>
      </c>
      <c r="E1056" s="3">
        <v>0.0</v>
      </c>
      <c r="F1056" s="3" t="s">
        <v>3256</v>
      </c>
      <c r="G1056" s="3">
        <v>0.625</v>
      </c>
      <c r="H1056" s="3">
        <v>0.125</v>
      </c>
      <c r="I1056" s="3" t="s">
        <v>48</v>
      </c>
      <c r="J1056" s="3" t="s">
        <v>3257</v>
      </c>
      <c r="K1056" s="3" t="s">
        <v>123</v>
      </c>
      <c r="L1056" s="3" t="str">
        <f>IFERROR(__xludf.DUMMYFUNCTION("GOOGLETRANSLATE(F1056,""id"",""en"")"),"Tweet Respects of Gool Final Top Score Worldcup Kali Kylian World Cup Final Final")</f>
        <v>Tweet Respects of Gool Final Top Score Worldcup Kali Kylian World Cup Final Final</v>
      </c>
    </row>
    <row r="1057" ht="15.75" customHeight="1">
      <c r="A1057" s="1">
        <v>1056.0</v>
      </c>
      <c r="B1057" s="3" t="s">
        <v>3258</v>
      </c>
      <c r="C1057" s="3">
        <v>0.0</v>
      </c>
      <c r="D1057" s="3">
        <v>0.0</v>
      </c>
      <c r="E1057" s="3">
        <v>0.0</v>
      </c>
      <c r="F1057" s="3" t="s">
        <v>3259</v>
      </c>
      <c r="G1057" s="3">
        <v>1.0</v>
      </c>
      <c r="H1057" s="3">
        <v>0.0</v>
      </c>
      <c r="I1057" s="3" t="s">
        <v>13</v>
      </c>
      <c r="J1057" s="3" t="s">
        <v>3260</v>
      </c>
      <c r="K1057" s="3" t="s">
        <v>15</v>
      </c>
      <c r="L1057" s="3" t="str">
        <f>IFERROR(__xludf.DUMMYFUNCTION("GOOGLETRANSLATE(F1057,""id"",""en"")"),"Final of the Best World Cup Full of Argentina Worldcup Drama")</f>
        <v>Final of the Best World Cup Full of Argentina Worldcup Drama</v>
      </c>
    </row>
    <row r="1058" ht="15.75" customHeight="1">
      <c r="A1058" s="1">
        <v>1057.0</v>
      </c>
      <c r="B1058" s="3" t="s">
        <v>3261</v>
      </c>
      <c r="C1058" s="3">
        <v>0.0</v>
      </c>
      <c r="D1058" s="3">
        <v>0.0</v>
      </c>
      <c r="E1058" s="3">
        <v>4.0</v>
      </c>
      <c r="F1058" s="3" t="s">
        <v>3262</v>
      </c>
      <c r="G1058" s="3">
        <v>0.5333333333333333</v>
      </c>
      <c r="H1058" s="3">
        <v>0.6666666666666666</v>
      </c>
      <c r="I1058" s="3" t="s">
        <v>48</v>
      </c>
      <c r="J1058" s="3" t="s">
        <v>3263</v>
      </c>
      <c r="K1058" s="3" t="s">
        <v>3156</v>
      </c>
      <c r="L1058" s="3" t="str">
        <f>IFERROR(__xludf.DUMMYFUNCTION("GOOGLETRANSLATE(F1058,""id"",""en"")"),"Had a mock at the beginning to be a bad world cup but the plot tweets actually become the best Ever World Cup with its best final")</f>
        <v>Had a mock at the beginning to be a bad world cup but the plot tweets actually become the best Ever World Cup with its best final</v>
      </c>
    </row>
    <row r="1059" ht="15.75" customHeight="1">
      <c r="A1059" s="1">
        <v>1058.0</v>
      </c>
      <c r="B1059" s="3" t="s">
        <v>3264</v>
      </c>
      <c r="C1059" s="3">
        <v>0.0</v>
      </c>
      <c r="D1059" s="3">
        <v>0.0</v>
      </c>
      <c r="E1059" s="3">
        <v>3.0</v>
      </c>
      <c r="F1059" s="3" t="s">
        <v>3265</v>
      </c>
      <c r="G1059" s="3">
        <v>1.0</v>
      </c>
      <c r="H1059" s="3">
        <v>0.0</v>
      </c>
      <c r="I1059" s="3" t="s">
        <v>13</v>
      </c>
      <c r="J1059" s="3" t="s">
        <v>3266</v>
      </c>
      <c r="K1059" s="3" t="s">
        <v>510</v>
      </c>
      <c r="L1059" s="3" t="str">
        <f>IFERROR(__xludf.DUMMYFUNCTION("GOOGLETRANSLATE(F1059,""id"",""en"")"),"Angel Maria's cry broke out after scoring the second goal of the French Argentine World Cup final")</f>
        <v>Angel Maria's cry broke out after scoring the second goal of the French Argentine World Cup final</v>
      </c>
    </row>
    <row r="1060" ht="15.75" customHeight="1">
      <c r="A1060" s="1">
        <v>1059.0</v>
      </c>
      <c r="B1060" s="3" t="s">
        <v>3267</v>
      </c>
      <c r="C1060" s="3">
        <v>0.0</v>
      </c>
      <c r="D1060" s="3">
        <v>0.0</v>
      </c>
      <c r="E1060" s="3">
        <v>0.0</v>
      </c>
      <c r="F1060" s="3" t="s">
        <v>3268</v>
      </c>
      <c r="G1060" s="3">
        <v>1.0</v>
      </c>
      <c r="H1060" s="3">
        <v>0.0</v>
      </c>
      <c r="I1060" s="3" t="s">
        <v>13</v>
      </c>
      <c r="J1060" s="3" t="s">
        <v>3269</v>
      </c>
      <c r="K1060" s="3" t="s">
        <v>75</v>
      </c>
      <c r="L1060" s="3" t="str">
        <f>IFERROR(__xludf.DUMMYFUNCTION("GOOGLETRANSLATE(F1060,""id"",""en"")"),"Thank you mpapee for making the World Cup final this time so exciting")</f>
        <v>Thank you mpapee for making the World Cup final this time so exciting</v>
      </c>
    </row>
    <row r="1061" ht="15.75" customHeight="1">
      <c r="A1061" s="1">
        <v>1060.0</v>
      </c>
      <c r="B1061" s="3" t="s">
        <v>3270</v>
      </c>
      <c r="C1061" s="3">
        <v>1.0</v>
      </c>
      <c r="D1061" s="3">
        <v>0.0</v>
      </c>
      <c r="E1061" s="3">
        <v>1.0</v>
      </c>
      <c r="F1061" s="3" t="s">
        <v>3271</v>
      </c>
      <c r="G1061" s="3">
        <v>1.0</v>
      </c>
      <c r="H1061" s="3">
        <v>0.0</v>
      </c>
      <c r="I1061" s="3" t="s">
        <v>13</v>
      </c>
      <c r="J1061" s="3" t="s">
        <v>3272</v>
      </c>
      <c r="K1061" s="3" t="s">
        <v>695</v>
      </c>
      <c r="L1061" s="3" t="str">
        <f>IFERROR(__xludf.DUMMYFUNCTION("GOOGLETRANSLATE(F1061,""id"",""en"")"),"And for Ronaldo fans don't be sad for me even though Ronaldo can never reach the world cup final has given a lot of great contributions to the world of football")</f>
        <v>And for Ronaldo fans don't be sad for me even though Ronaldo can never reach the world cup final has given a lot of great contributions to the world of football</v>
      </c>
    </row>
    <row r="1062" ht="15.75" customHeight="1">
      <c r="A1062" s="1">
        <v>1061.0</v>
      </c>
      <c r="B1062" s="3" t="s">
        <v>3273</v>
      </c>
      <c r="C1062" s="3">
        <v>1.0</v>
      </c>
      <c r="D1062" s="3">
        <v>0.0</v>
      </c>
      <c r="E1062" s="3">
        <v>1.0</v>
      </c>
      <c r="F1062" s="3" t="s">
        <v>3274</v>
      </c>
      <c r="G1062" s="3">
        <v>1.0</v>
      </c>
      <c r="H1062" s="3">
        <v>0.0</v>
      </c>
      <c r="I1062" s="3" t="s">
        <v>13</v>
      </c>
      <c r="J1062" s="3" t="s">
        <v>3275</v>
      </c>
      <c r="K1062" s="3" t="s">
        <v>205</v>
      </c>
      <c r="L1062" s="3" t="str">
        <f>IFERROR(__xludf.DUMMYFUNCTION("GOOGLETRANSLATE(F1062,""id"",""en"")"),"For me this is the best final of the World Cup I am a fan of Cristiano Ronaldo but did not dismiss that Leo Messi won the hunt for the title of Leo Messi to complete his ball soccer safely")</f>
        <v>For me this is the best final of the World Cup I am a fan of Cristiano Ronaldo but did not dismiss that Leo Messi won the hunt for the title of Leo Messi to complete his ball soccer safely</v>
      </c>
    </row>
    <row r="1063" ht="15.75" customHeight="1">
      <c r="A1063" s="1">
        <v>1062.0</v>
      </c>
      <c r="B1063" s="3" t="s">
        <v>3276</v>
      </c>
      <c r="C1063" s="3">
        <v>1.0</v>
      </c>
      <c r="D1063" s="3">
        <v>1.0</v>
      </c>
      <c r="E1063" s="3">
        <v>8.0</v>
      </c>
      <c r="F1063" s="3" t="s">
        <v>1905</v>
      </c>
      <c r="G1063" s="3">
        <v>0.55</v>
      </c>
      <c r="H1063" s="3">
        <v>0.0</v>
      </c>
      <c r="I1063" s="3" t="s">
        <v>13</v>
      </c>
      <c r="J1063" s="3" t="s">
        <v>1575</v>
      </c>
      <c r="K1063" s="3" t="s">
        <v>695</v>
      </c>
      <c r="L1063" s="3" t="str">
        <f>IFERROR(__xludf.DUMMYFUNCTION("GOOGLETRANSLATE(F1063,""id"",""en"")"),"Argentina won the Argentine World Cup championship trophy to defeat France Final through penalties after playing Extra Time series")</f>
        <v>Argentina won the Argentine World Cup championship trophy to defeat France Final through penalties after playing Extra Time series</v>
      </c>
    </row>
    <row r="1064" ht="15.75" customHeight="1">
      <c r="A1064" s="1">
        <v>1063.0</v>
      </c>
      <c r="B1064" s="3" t="s">
        <v>3277</v>
      </c>
      <c r="C1064" s="3">
        <v>0.0</v>
      </c>
      <c r="D1064" s="3">
        <v>0.0</v>
      </c>
      <c r="E1064" s="3">
        <v>0.0</v>
      </c>
      <c r="F1064" s="3" t="s">
        <v>3278</v>
      </c>
      <c r="G1064" s="3">
        <v>1.0</v>
      </c>
      <c r="H1064" s="3">
        <v>0.0</v>
      </c>
      <c r="I1064" s="3" t="s">
        <v>13</v>
      </c>
      <c r="J1064" s="3" t="s">
        <v>3279</v>
      </c>
      <c r="K1064" s="3" t="s">
        <v>244</v>
      </c>
      <c r="L1064" s="3" t="str">
        <f>IFERROR(__xludf.DUMMYFUNCTION("GOOGLETRANSLATE(F1064,""id"",""en"")"),"People who watch the World Cup final this year are really losing their loss")</f>
        <v>People who watch the World Cup final this year are really losing their loss</v>
      </c>
    </row>
    <row r="1065" ht="15.75" customHeight="1">
      <c r="A1065" s="1">
        <v>1064.0</v>
      </c>
      <c r="B1065" s="3" t="s">
        <v>3280</v>
      </c>
      <c r="C1065" s="3">
        <v>0.0</v>
      </c>
      <c r="D1065" s="3">
        <v>0.0</v>
      </c>
      <c r="E1065" s="3">
        <v>0.0</v>
      </c>
      <c r="F1065" s="3" t="s">
        <v>3281</v>
      </c>
      <c r="G1065" s="3">
        <v>1.0</v>
      </c>
      <c r="H1065" s="3">
        <v>0.0</v>
      </c>
      <c r="I1065" s="3" t="s">
        <v>13</v>
      </c>
      <c r="J1065" s="3" t="s">
        <v>3282</v>
      </c>
      <c r="K1065" s="3" t="s">
        <v>90</v>
      </c>
      <c r="L1065" s="3" t="str">
        <f>IFERROR(__xludf.DUMMYFUNCTION("GOOGLETRANSLATE(F1065,""id"",""en"")"),"Watching the World Cup Final This Year Dag Dig Dug Ser Sihh Crazy Cold Cold Watching Cuyy Until Lembat Sebadan Body")</f>
        <v>Watching the World Cup Final This Year Dag Dig Dug Ser Sihh Crazy Cold Cold Watching Cuyy Until Lembat Sebadan Body</v>
      </c>
    </row>
    <row r="1066" ht="15.75" customHeight="1">
      <c r="A1066" s="1">
        <v>1065.0</v>
      </c>
      <c r="B1066" s="3" t="s">
        <v>3283</v>
      </c>
      <c r="C1066" s="3">
        <v>0.0</v>
      </c>
      <c r="D1066" s="3">
        <v>0.0</v>
      </c>
      <c r="E1066" s="3">
        <v>4.0</v>
      </c>
      <c r="F1066" s="3" t="s">
        <v>3284</v>
      </c>
      <c r="G1066" s="3">
        <v>0.55</v>
      </c>
      <c r="H1066" s="3">
        <v>0.0</v>
      </c>
      <c r="I1066" s="3" t="s">
        <v>13</v>
      </c>
      <c r="J1066" s="3" t="s">
        <v>3285</v>
      </c>
      <c r="K1066" s="3" t="s">
        <v>15</v>
      </c>
      <c r="L1066" s="3" t="str">
        <f>IFERROR(__xludf.DUMMYFUNCTION("GOOGLETRANSLATE(F1066,""id"",""en"")"),"Big Respect Also Age Is that Age already the World Cup Final")</f>
        <v>Big Respect Also Age Is that Age already the World Cup Final</v>
      </c>
    </row>
    <row r="1067" ht="15.75" customHeight="1">
      <c r="A1067" s="1">
        <v>1066.0</v>
      </c>
      <c r="B1067" s="3" t="s">
        <v>3286</v>
      </c>
      <c r="C1067" s="3">
        <v>0.0</v>
      </c>
      <c r="D1067" s="3">
        <v>0.0</v>
      </c>
      <c r="E1067" s="3">
        <v>0.0</v>
      </c>
      <c r="F1067" s="3" t="s">
        <v>3287</v>
      </c>
      <c r="G1067" s="3">
        <v>0.65</v>
      </c>
      <c r="H1067" s="3">
        <v>0.1</v>
      </c>
      <c r="I1067" s="3" t="s">
        <v>48</v>
      </c>
      <c r="J1067" s="3" t="s">
        <v>3288</v>
      </c>
      <c r="K1067" s="3" t="s">
        <v>23</v>
      </c>
      <c r="L1067" s="3" t="str">
        <f>IFERROR(__xludf.DUMMYFUNCTION("GOOGLETRANSLATE(F1067,""id"",""en"")"),"The World Cup Final was very excited to be great the Real Leo Messi for France, especially Mbappe Gokil Severe Prospective Best Players Next Mbappe")</f>
        <v>The World Cup Final was very excited to be great the Real Leo Messi for France, especially Mbappe Gokil Severe Prospective Best Players Next Mbappe</v>
      </c>
    </row>
    <row r="1068" ht="15.75" customHeight="1">
      <c r="A1068" s="1">
        <v>1067.0</v>
      </c>
      <c r="B1068" s="3" t="s">
        <v>3289</v>
      </c>
      <c r="C1068" s="3">
        <v>0.0</v>
      </c>
      <c r="D1068" s="3">
        <v>0.0</v>
      </c>
      <c r="E1068" s="3">
        <v>0.0</v>
      </c>
      <c r="F1068" s="3" t="s">
        <v>3290</v>
      </c>
      <c r="G1068" s="3">
        <v>0.775</v>
      </c>
      <c r="H1068" s="3">
        <v>0.5249999999999999</v>
      </c>
      <c r="I1068" s="3" t="s">
        <v>48</v>
      </c>
      <c r="J1068" s="3" t="s">
        <v>3291</v>
      </c>
      <c r="K1068" s="3" t="s">
        <v>675</v>
      </c>
      <c r="L1068" s="3" t="str">
        <f>IFERROR(__xludf.DUMMYFUNCTION("GOOGLETRANSLATE(F1068,""id"",""en"")"),"Beyond all the existing controversies, it must be recognized that the Qatar World Cup is a successful surprise surprise until the final match has been watched by Good Job Qatar thank you for the warm welcome")</f>
        <v>Beyond all the existing controversies, it must be recognized that the Qatar World Cup is a successful surprise surprise until the final match has been watched by Good Job Qatar thank you for the warm welcome</v>
      </c>
    </row>
    <row r="1069" ht="15.75" customHeight="1">
      <c r="A1069" s="1">
        <v>1068.0</v>
      </c>
      <c r="B1069" s="3" t="s">
        <v>3292</v>
      </c>
      <c r="C1069" s="3">
        <v>0.0</v>
      </c>
      <c r="D1069" s="3">
        <v>0.0</v>
      </c>
      <c r="E1069" s="3">
        <v>0.0</v>
      </c>
      <c r="F1069" s="3" t="s">
        <v>3293</v>
      </c>
      <c r="G1069" s="3">
        <v>1.0</v>
      </c>
      <c r="H1069" s="3">
        <v>0.0</v>
      </c>
      <c r="I1069" s="3" t="s">
        <v>13</v>
      </c>
      <c r="J1069" s="3" t="s">
        <v>3294</v>
      </c>
      <c r="K1069" s="3" t="s">
        <v>244</v>
      </c>
      <c r="L1069" s="3" t="str">
        <f>IFERROR(__xludf.DUMMYFUNCTION("GOOGLETRANSLATE(F1069,""id"",""en"")"),"One of the best Argentine World Cup finals Messi is really crazy")</f>
        <v>One of the best Argentine World Cup finals Messi is really crazy</v>
      </c>
    </row>
    <row r="1070" ht="15.75" customHeight="1">
      <c r="A1070" s="1">
        <v>1069.0</v>
      </c>
      <c r="B1070" s="3" t="s">
        <v>3295</v>
      </c>
      <c r="C1070" s="3">
        <v>0.0</v>
      </c>
      <c r="D1070" s="3">
        <v>0.0</v>
      </c>
      <c r="E1070" s="3">
        <v>0.0</v>
      </c>
      <c r="F1070" s="3" t="s">
        <v>3296</v>
      </c>
      <c r="G1070" s="3">
        <v>1.0</v>
      </c>
      <c r="H1070" s="3">
        <v>0.0</v>
      </c>
      <c r="I1070" s="3" t="s">
        <v>13</v>
      </c>
      <c r="J1070" s="3" t="s">
        <v>3297</v>
      </c>
      <c r="K1070" s="3" t="s">
        <v>71</v>
      </c>
      <c r="L1070" s="3" t="str">
        <f>IFERROR(__xludf.DUMMYFUNCTION("GOOGLETRANSLATE(F1070,""id"",""en"")"),"After Messi, the official Goat title will be held by Mbappe because he has been carrying a focus on the World Cup Final")</f>
        <v>After Messi, the official Goat title will be held by Mbappe because he has been carrying a focus on the World Cup Final</v>
      </c>
    </row>
    <row r="1071" ht="15.75" customHeight="1">
      <c r="A1071" s="1">
        <v>1070.0</v>
      </c>
      <c r="B1071" s="3" t="s">
        <v>3298</v>
      </c>
      <c r="C1071" s="3">
        <v>0.0</v>
      </c>
      <c r="D1071" s="3">
        <v>0.0</v>
      </c>
      <c r="E1071" s="3">
        <v>1.0</v>
      </c>
      <c r="F1071" s="3" t="s">
        <v>3299</v>
      </c>
      <c r="G1071" s="3">
        <v>1.0</v>
      </c>
      <c r="H1071" s="3">
        <v>0.0</v>
      </c>
      <c r="I1071" s="3" t="s">
        <v>13</v>
      </c>
      <c r="J1071" s="3" t="s">
        <v>3300</v>
      </c>
      <c r="K1071" s="3" t="s">
        <v>75</v>
      </c>
      <c r="L1071" s="3" t="str">
        <f>IFERROR(__xludf.DUMMYFUNCTION("GOOGLETRANSLATE(F1071,""id"",""en"")"),"Morning evening after watching the French World Cup final against Argentina")</f>
        <v>Morning evening after watching the French World Cup final against Argentina</v>
      </c>
    </row>
    <row r="1072" ht="15.75" customHeight="1">
      <c r="A1072" s="1">
        <v>1071.0</v>
      </c>
      <c r="B1072" s="3" t="s">
        <v>3301</v>
      </c>
      <c r="C1072" s="3">
        <v>0.0</v>
      </c>
      <c r="D1072" s="3">
        <v>0.0</v>
      </c>
      <c r="E1072" s="3">
        <v>0.0</v>
      </c>
      <c r="F1072" s="3" t="s">
        <v>3302</v>
      </c>
      <c r="G1072" s="3">
        <v>1.0</v>
      </c>
      <c r="H1072" s="3">
        <v>0.0</v>
      </c>
      <c r="I1072" s="3" t="s">
        <v>13</v>
      </c>
      <c r="J1072" s="3" t="s">
        <v>3303</v>
      </c>
      <c r="K1072" s="3" t="s">
        <v>449</v>
      </c>
      <c r="L1072" s="3" t="str">
        <f>IFERROR(__xludf.DUMMYFUNCTION("GOOGLETRANSLATE(F1072,""id"",""en"")"),"Watching the World Cup Final One of Seng's best matches never watched Buajigur Mbappe Crazy really cool Messi everyone already knows Gokilll Happy Argentina")</f>
        <v>Watching the World Cup Final One of Seng's best matches never watched Buajigur Mbappe Crazy really cool Messi everyone already knows Gokilll Happy Argentina</v>
      </c>
    </row>
    <row r="1073" ht="15.75" customHeight="1">
      <c r="A1073" s="1">
        <v>1072.0</v>
      </c>
      <c r="B1073" s="3" t="s">
        <v>3304</v>
      </c>
      <c r="C1073" s="3">
        <v>0.0</v>
      </c>
      <c r="D1073" s="3">
        <v>0.0</v>
      </c>
      <c r="E1073" s="3">
        <v>0.0</v>
      </c>
      <c r="F1073" s="3" t="s">
        <v>3305</v>
      </c>
      <c r="G1073" s="3">
        <v>0.875</v>
      </c>
      <c r="H1073" s="3">
        <v>0.0</v>
      </c>
      <c r="I1073" s="3" t="s">
        <v>13</v>
      </c>
      <c r="J1073" s="3" t="s">
        <v>3306</v>
      </c>
      <c r="K1073" s="3" t="s">
        <v>1265</v>
      </c>
      <c r="L1073" s="3" t="str">
        <f>IFERROR(__xludf.DUMMYFUNCTION("GOOGLETRANSLATE(F1073,""id"",""en"")"),"Imagine the World Cup Final Anjir Goal back to the total goal of anjir")</f>
        <v>Imagine the World Cup Final Anjir Goal back to the total goal of anjir</v>
      </c>
    </row>
    <row r="1074" ht="15.75" customHeight="1">
      <c r="A1074" s="1">
        <v>1073.0</v>
      </c>
      <c r="B1074" s="3" t="s">
        <v>3307</v>
      </c>
      <c r="C1074" s="3">
        <v>0.0</v>
      </c>
      <c r="D1074" s="3">
        <v>0.0</v>
      </c>
      <c r="E1074" s="3">
        <v>0.0</v>
      </c>
      <c r="F1074" s="3" t="s">
        <v>3308</v>
      </c>
      <c r="G1074" s="3">
        <v>1.0</v>
      </c>
      <c r="H1074" s="3">
        <v>0.0</v>
      </c>
      <c r="I1074" s="3" t="s">
        <v>13</v>
      </c>
      <c r="J1074" s="3" t="s">
        <v>3309</v>
      </c>
      <c r="K1074" s="3" t="s">
        <v>3310</v>
      </c>
      <c r="L1074" s="3" t="str">
        <f>IFERROR(__xludf.DUMMYFUNCTION("GOOGLETRANSLATE(F1074,""id"",""en"")"),"The Most Expensive World Cup in the history of the World Cup most goals in the history of the best World Cup final match in history was closed with the first World Cup moment that Lionel Messi Thank You Qatar, one of the best Cups")</f>
        <v>The Most Expensive World Cup in the history of the World Cup most goals in the history of the best World Cup final match in history was closed with the first World Cup moment that Lionel Messi Thank You Qatar, one of the best Cups</v>
      </c>
    </row>
    <row r="1075" ht="15.75" customHeight="1">
      <c r="A1075" s="1">
        <v>1074.0</v>
      </c>
      <c r="B1075" s="3" t="s">
        <v>3311</v>
      </c>
      <c r="C1075" s="3">
        <v>0.0</v>
      </c>
      <c r="D1075" s="3">
        <v>0.0</v>
      </c>
      <c r="E1075" s="3">
        <v>0.0</v>
      </c>
      <c r="F1075" s="3" t="s">
        <v>3312</v>
      </c>
      <c r="G1075" s="3">
        <v>1.0</v>
      </c>
      <c r="H1075" s="3">
        <v>0.0</v>
      </c>
      <c r="I1075" s="3" t="s">
        <v>13</v>
      </c>
      <c r="J1075" s="3" t="s">
        <v>3313</v>
      </c>
      <c r="K1075" s="3" t="s">
        <v>860</v>
      </c>
      <c r="L1075" s="3" t="str">
        <f>IFERROR(__xludf.DUMMYFUNCTION("GOOGLETRANSLATE(F1075,""id"",""en"")"),"The best Qatar World Cup in the history of the group phase is difficult to guess the new black horse team Maroco Final Best Team Best Final Ciamik Match")</f>
        <v>The best Qatar World Cup in the history of the group phase is difficult to guess the new black horse team Maroco Final Best Team Best Final Ciamik Match</v>
      </c>
    </row>
    <row r="1076" ht="15.75" customHeight="1">
      <c r="A1076" s="1">
        <v>1075.0</v>
      </c>
      <c r="B1076" s="3" t="s">
        <v>3314</v>
      </c>
      <c r="C1076" s="3">
        <v>0.0</v>
      </c>
      <c r="D1076" s="3">
        <v>0.0</v>
      </c>
      <c r="E1076" s="3">
        <v>0.0</v>
      </c>
      <c r="F1076" s="3" t="s">
        <v>3315</v>
      </c>
      <c r="G1076" s="3">
        <v>1.0</v>
      </c>
      <c r="H1076" s="3">
        <v>0.0</v>
      </c>
      <c r="I1076" s="3" t="s">
        <v>13</v>
      </c>
      <c r="J1076" s="3" t="s">
        <v>3316</v>
      </c>
      <c r="K1076" s="3" t="s">
        <v>184</v>
      </c>
      <c r="L1076" s="3" t="str">
        <f>IFERROR(__xludf.DUMMYFUNCTION("GOOGLETRANSLATE(F1076,""id"",""en"")"),"Exciting Cokk Final World Cup Final this year, I remember I want to watch it because Gabole is sleeping")</f>
        <v>Exciting Cokk Final World Cup Final this year, I remember I want to watch it because Gabole is sleeping</v>
      </c>
    </row>
    <row r="1077" ht="15.75" customHeight="1">
      <c r="A1077" s="1">
        <v>1076.0</v>
      </c>
      <c r="B1077" s="3" t="s">
        <v>3317</v>
      </c>
      <c r="C1077" s="3">
        <v>0.0</v>
      </c>
      <c r="D1077" s="3">
        <v>0.0</v>
      </c>
      <c r="E1077" s="3">
        <v>0.0</v>
      </c>
      <c r="F1077" s="3" t="s">
        <v>3318</v>
      </c>
      <c r="G1077" s="3">
        <v>0.5</v>
      </c>
      <c r="H1077" s="3">
        <v>0.225</v>
      </c>
      <c r="I1077" s="3" t="s">
        <v>48</v>
      </c>
      <c r="J1077" s="3" t="s">
        <v>3319</v>
      </c>
      <c r="K1077" s="3" t="s">
        <v>1394</v>
      </c>
      <c r="L1077" s="3" t="str">
        <f>IFERROR(__xludf.DUMMYFUNCTION("GOOGLETRANSLATE(F1077,""id"",""en"")"),"Vamos Argentina The World Cup Final was excited, thanks Mbappe to make it exciting haha, the series of pilduns finally finished and mostly day with Pildun with Apip Gavi, hopefully one day can be a hero, he will retire King Goat Messi.")</f>
        <v>Vamos Argentina The World Cup Final was excited, thanks Mbappe to make it exciting haha, the series of pilduns finally finished and mostly day with Pildun with Apip Gavi, hopefully one day can be a hero, he will retire King Goat Messi.</v>
      </c>
    </row>
    <row r="1078" ht="15.75" customHeight="1">
      <c r="A1078" s="1">
        <v>1077.0</v>
      </c>
      <c r="B1078" s="3" t="s">
        <v>3320</v>
      </c>
      <c r="C1078" s="3">
        <v>0.0</v>
      </c>
      <c r="D1078" s="3">
        <v>0.0</v>
      </c>
      <c r="E1078" s="3">
        <v>1.0</v>
      </c>
      <c r="F1078" s="3" t="s">
        <v>3321</v>
      </c>
      <c r="G1078" s="3">
        <v>1.0</v>
      </c>
      <c r="H1078" s="3">
        <v>0.0</v>
      </c>
      <c r="I1078" s="3" t="s">
        <v>13</v>
      </c>
      <c r="J1078" s="3" t="s">
        <v>3322</v>
      </c>
      <c r="K1078" s="3" t="s">
        <v>90</v>
      </c>
      <c r="L1078" s="3" t="str">
        <f>IFERROR(__xludf.DUMMYFUNCTION("GOOGLETRANSLATE(F1078,""id"",""en"")"),"The fact that Mbappe managed to score the World Cup Final Hattrick There is no doubt that other goats are being made far from his career and even not prime age")</f>
        <v>The fact that Mbappe managed to score the World Cup Final Hattrick There is no doubt that other goats are being made far from his career and even not prime age</v>
      </c>
    </row>
    <row r="1079" ht="15.75" customHeight="1">
      <c r="A1079" s="1">
        <v>1078.0</v>
      </c>
      <c r="B1079" s="3" t="s">
        <v>3323</v>
      </c>
      <c r="C1079" s="3">
        <v>0.0</v>
      </c>
      <c r="D1079" s="3">
        <v>0.0</v>
      </c>
      <c r="E1079" s="3">
        <v>0.0</v>
      </c>
      <c r="F1079" s="3" t="s">
        <v>3324</v>
      </c>
      <c r="G1079" s="3">
        <v>1.0</v>
      </c>
      <c r="H1079" s="3">
        <v>0.0</v>
      </c>
      <c r="I1079" s="3" t="s">
        <v>13</v>
      </c>
      <c r="J1079" s="3" t="s">
        <v>3325</v>
      </c>
      <c r="K1079" s="3" t="s">
        <v>41</v>
      </c>
      <c r="L1079" s="3" t="str">
        <f>IFERROR(__xludf.DUMMYFUNCTION("GOOGLETRANSLATE(F1079,""id"",""en"")"),"Argentina French World Cup Final match followed by an additional round")</f>
        <v>Argentina French World Cup Final match followed by an additional round</v>
      </c>
    </row>
    <row r="1080" ht="15.75" customHeight="1">
      <c r="A1080" s="1">
        <v>1079.0</v>
      </c>
      <c r="B1080" s="3" t="s">
        <v>3326</v>
      </c>
      <c r="C1080" s="3">
        <v>1.0</v>
      </c>
      <c r="D1080" s="3">
        <v>0.0</v>
      </c>
      <c r="E1080" s="3">
        <v>0.0</v>
      </c>
      <c r="F1080" s="3" t="s">
        <v>3326</v>
      </c>
      <c r="G1080" s="3">
        <v>1.0</v>
      </c>
      <c r="H1080" s="3">
        <v>0.0</v>
      </c>
      <c r="I1080" s="3" t="s">
        <v>13</v>
      </c>
      <c r="J1080" s="3" t="s">
        <v>3327</v>
      </c>
      <c r="K1080" s="3" t="s">
        <v>82</v>
      </c>
      <c r="L1080" s="3" t="str">
        <f>IFERROR(__xludf.DUMMYFUNCTION("GOOGLETRANSLATE(F1080,""id"",""en"")"),"my mentality after watching the World Cup final slightly shaken")</f>
        <v>my mentality after watching the World Cup final slightly shaken</v>
      </c>
    </row>
    <row r="1081" ht="15.75" customHeight="1">
      <c r="A1081" s="1">
        <v>1080.0</v>
      </c>
      <c r="B1081" s="3" t="s">
        <v>3328</v>
      </c>
      <c r="C1081" s="3">
        <v>0.0</v>
      </c>
      <c r="D1081" s="3">
        <v>0.0</v>
      </c>
      <c r="E1081" s="3">
        <v>0.0</v>
      </c>
      <c r="F1081" s="3" t="s">
        <v>3329</v>
      </c>
      <c r="G1081" s="3">
        <v>1.0</v>
      </c>
      <c r="H1081" s="3">
        <v>0.0</v>
      </c>
      <c r="I1081" s="3" t="s">
        <v>13</v>
      </c>
      <c r="J1081" s="3" t="s">
        <v>3330</v>
      </c>
      <c r="K1081" s="3" t="s">
        <v>614</v>
      </c>
      <c r="L1081" s="3" t="str">
        <f>IFERROR(__xludf.DUMMYFUNCTION("GOOGLETRANSLATE(F1081,""id"",""en"")"),"The best Congrats Messi Mbappe's best world cup is worthy")</f>
        <v>The best Congrats Messi Mbappe's best world cup is worthy</v>
      </c>
    </row>
    <row r="1082" ht="15.75" customHeight="1">
      <c r="A1082" s="1">
        <v>1081.0</v>
      </c>
      <c r="B1082" s="3" t="s">
        <v>3331</v>
      </c>
      <c r="C1082" s="3">
        <v>0.0</v>
      </c>
      <c r="D1082" s="3">
        <v>0.0</v>
      </c>
      <c r="E1082" s="3">
        <v>0.0</v>
      </c>
      <c r="F1082" s="3" t="s">
        <v>3332</v>
      </c>
      <c r="G1082" s="3">
        <v>0.7</v>
      </c>
      <c r="H1082" s="3">
        <v>0.05</v>
      </c>
      <c r="I1082" s="3" t="s">
        <v>48</v>
      </c>
      <c r="J1082" s="3" t="s">
        <v>3333</v>
      </c>
      <c r="K1082" s="3" t="s">
        <v>50</v>
      </c>
      <c r="L1082" s="3" t="str">
        <f>IFERROR(__xludf.DUMMYFUNCTION("GOOGLETRANSLATE(F1082,""id"",""en"")"),"Qatar Final Match Epic New Records of the Best World Cup I've ever seen")</f>
        <v>Qatar Final Match Epic New Records of the Best World Cup I've ever seen</v>
      </c>
    </row>
    <row r="1083" ht="15.75" customHeight="1">
      <c r="A1083" s="1">
        <v>1082.0</v>
      </c>
      <c r="B1083" s="3" t="s">
        <v>3334</v>
      </c>
      <c r="C1083" s="3">
        <v>0.0</v>
      </c>
      <c r="D1083" s="3">
        <v>0.0</v>
      </c>
      <c r="E1083" s="3">
        <v>0.0</v>
      </c>
      <c r="F1083" s="3" t="s">
        <v>3335</v>
      </c>
      <c r="G1083" s="3">
        <v>1.0</v>
      </c>
      <c r="H1083" s="3">
        <v>0.0</v>
      </c>
      <c r="I1083" s="3" t="s">
        <v>13</v>
      </c>
      <c r="J1083" s="3" t="s">
        <v>3336</v>
      </c>
      <c r="K1083" s="3" t="s">
        <v>657</v>
      </c>
      <c r="L1083" s="3" t="str">
        <f>IFERROR(__xludf.DUMMYFUNCTION("GOOGLETRANSLATE(F1083,""id"",""en"")"),"The Final Hattrick of a Crazy Youth World Cup Extraordinary Lifting your head and there is still much you have to pursue mbappe")</f>
        <v>The Final Hattrick of a Crazy Youth World Cup Extraordinary Lifting your head and there is still much you have to pursue mbappe</v>
      </c>
    </row>
    <row r="1084" ht="15.75" customHeight="1">
      <c r="A1084" s="1">
        <v>1085.0</v>
      </c>
      <c r="B1084" s="3" t="s">
        <v>3337</v>
      </c>
      <c r="C1084" s="3">
        <v>1.0</v>
      </c>
      <c r="D1084" s="3">
        <v>0.0</v>
      </c>
      <c r="E1084" s="3">
        <v>0.0</v>
      </c>
      <c r="F1084" s="3" t="s">
        <v>3338</v>
      </c>
      <c r="G1084" s="3">
        <v>1.0</v>
      </c>
      <c r="H1084" s="3">
        <v>0.0</v>
      </c>
      <c r="I1084" s="3" t="s">
        <v>13</v>
      </c>
      <c r="J1084" s="3" t="s">
        <v>3339</v>
      </c>
      <c r="K1084" s="3" t="s">
        <v>82</v>
      </c>
      <c r="L1084" s="3" t="str">
        <f>IFERROR(__xludf.DUMMYFUNCTION("GOOGLETRANSLATE(F1084,""id"",""en"")"),"This best final is during watching the World Cup since")</f>
        <v>This best final is during watching the World Cup since</v>
      </c>
    </row>
    <row r="1085" ht="15.75" customHeight="1">
      <c r="A1085" s="1">
        <v>1086.0</v>
      </c>
      <c r="B1085" s="3" t="s">
        <v>3340</v>
      </c>
      <c r="C1085" s="3">
        <v>3.0</v>
      </c>
      <c r="D1085" s="3">
        <v>0.0</v>
      </c>
      <c r="E1085" s="3">
        <v>6.0</v>
      </c>
      <c r="F1085" s="3" t="s">
        <v>3341</v>
      </c>
      <c r="G1085" s="3">
        <v>1.0</v>
      </c>
      <c r="H1085" s="3">
        <v>0.0</v>
      </c>
      <c r="I1085" s="3" t="s">
        <v>13</v>
      </c>
      <c r="J1085" s="3" t="s">
        <v>3342</v>
      </c>
      <c r="K1085" s="3" t="s">
        <v>19</v>
      </c>
      <c r="L1085" s="3" t="str">
        <f>IFERROR(__xludf.DUMMYFUNCTION("GOOGLETRANSLATE(F1085,""id"",""en"")"),"Askrl who has a voice after screaming, NNTN, the Cung World Cup Final")</f>
        <v>Askrl who has a voice after screaming, NNTN, the Cung World Cup Final</v>
      </c>
    </row>
    <row r="1086" ht="15.75" customHeight="1">
      <c r="A1086" s="1">
        <v>1087.0</v>
      </c>
      <c r="B1086" s="3" t="s">
        <v>3343</v>
      </c>
      <c r="C1086" s="3">
        <v>0.0</v>
      </c>
      <c r="D1086" s="3">
        <v>0.0</v>
      </c>
      <c r="E1086" s="3">
        <v>0.0</v>
      </c>
      <c r="F1086" s="3" t="s">
        <v>3344</v>
      </c>
      <c r="G1086" s="3">
        <v>1.0</v>
      </c>
      <c r="H1086" s="3">
        <v>0.0</v>
      </c>
      <c r="I1086" s="3" t="s">
        <v>13</v>
      </c>
      <c r="J1086" s="3" t="s">
        <v>3345</v>
      </c>
      <c r="K1086" s="3" t="s">
        <v>3346</v>
      </c>
      <c r="L1086" s="3" t="str">
        <f>IFERROR(__xludf.DUMMYFUNCTION("GOOGLETRANSLATE(F1086,""id"",""en"")"),"When was the last Argentina Champion of the Argentina World Cup who was the beginning of the World Cup but won the final")</f>
        <v>When was the last Argentina Champion of the Argentina World Cup who was the beginning of the World Cup but won the final</v>
      </c>
    </row>
    <row r="1087" ht="15.75" customHeight="1">
      <c r="A1087" s="1">
        <v>1088.0</v>
      </c>
      <c r="B1087" s="3" t="s">
        <v>3347</v>
      </c>
      <c r="C1087" s="3">
        <v>0.0</v>
      </c>
      <c r="D1087" s="3">
        <v>0.0</v>
      </c>
      <c r="E1087" s="3">
        <v>1.0</v>
      </c>
      <c r="F1087" s="3" t="s">
        <v>3348</v>
      </c>
      <c r="G1087" s="3">
        <v>0.65</v>
      </c>
      <c r="H1087" s="3">
        <v>0.1</v>
      </c>
      <c r="I1087" s="3" t="s">
        <v>48</v>
      </c>
      <c r="J1087" s="3" t="s">
        <v>3349</v>
      </c>
      <c r="K1087" s="3" t="s">
        <v>3350</v>
      </c>
      <c r="L1087" s="3" t="str">
        <f>IFERROR(__xludf.DUMMYFUNCTION("GOOGLETRANSLATE(F1087,""id"",""en"")"),"The best national team of all time of the best Brazil Club of all time Real Madrid of the best player of all time of Messi host the best World Cup of all time of Qatar World Cup's French French")</f>
        <v>The best national team of all time of the best Brazil Club of all time Real Madrid of the best player of all time of Messi host the best World Cup of all time of Qatar World Cup's French French</v>
      </c>
    </row>
    <row r="1088" ht="15.75" customHeight="1">
      <c r="A1088" s="1">
        <v>1089.0</v>
      </c>
      <c r="B1088" s="3" t="s">
        <v>3351</v>
      </c>
      <c r="C1088" s="3">
        <v>0.0</v>
      </c>
      <c r="D1088" s="3">
        <v>0.0</v>
      </c>
      <c r="E1088" s="3">
        <v>0.0</v>
      </c>
      <c r="F1088" s="3" t="s">
        <v>3352</v>
      </c>
      <c r="G1088" s="3">
        <v>1.0</v>
      </c>
      <c r="H1088" s="3">
        <v>0.0</v>
      </c>
      <c r="I1088" s="3" t="s">
        <v>13</v>
      </c>
      <c r="J1088" s="3" t="s">
        <v>3353</v>
      </c>
      <c r="K1088" s="3" t="s">
        <v>15</v>
      </c>
      <c r="L1088" s="3" t="str">
        <f>IFERROR(__xludf.DUMMYFUNCTION("GOOGLETRANSLATE(F1088,""id"",""en"")"),"new age but udal scored the world cup final goal")</f>
        <v>new age but udal scored the world cup final goal</v>
      </c>
    </row>
    <row r="1089" ht="15.75" customHeight="1">
      <c r="A1089" s="1">
        <v>1090.0</v>
      </c>
      <c r="B1089" s="3" t="s">
        <v>3354</v>
      </c>
      <c r="C1089" s="3">
        <v>0.0</v>
      </c>
      <c r="D1089" s="3">
        <v>0.0</v>
      </c>
      <c r="E1089" s="3">
        <v>0.0</v>
      </c>
      <c r="F1089" s="3" t="s">
        <v>3355</v>
      </c>
      <c r="G1089" s="3">
        <v>1.0</v>
      </c>
      <c r="H1089" s="3">
        <v>0.0</v>
      </c>
      <c r="I1089" s="3" t="s">
        <v>13</v>
      </c>
      <c r="J1089" s="3" t="s">
        <v>3356</v>
      </c>
      <c r="K1089" s="3" t="s">
        <v>1335</v>
      </c>
      <c r="L1089" s="3" t="str">
        <f>IFERROR(__xludf.DUMMYFUNCTION("GOOGLETRANSLATE(F1089,""id"",""en"")"),"From watching the World Cup final watching Chelsea Bournemouth")</f>
        <v>From watching the World Cup final watching Chelsea Bournemouth</v>
      </c>
    </row>
    <row r="1090" ht="15.75" customHeight="1">
      <c r="A1090" s="1">
        <v>1091.0</v>
      </c>
      <c r="B1090" s="3" t="s">
        <v>3357</v>
      </c>
      <c r="C1090" s="3">
        <v>0.0</v>
      </c>
      <c r="D1090" s="3">
        <v>0.0</v>
      </c>
      <c r="E1090" s="3">
        <v>0.0</v>
      </c>
      <c r="F1090" s="3" t="s">
        <v>3358</v>
      </c>
      <c r="G1090" s="3">
        <v>1.0</v>
      </c>
      <c r="H1090" s="3">
        <v>0.0</v>
      </c>
      <c r="I1090" s="3" t="s">
        <v>13</v>
      </c>
      <c r="J1090" s="3" t="s">
        <v>3359</v>
      </c>
      <c r="K1090" s="3" t="s">
        <v>50</v>
      </c>
      <c r="L1090" s="3" t="str">
        <f>IFERROR(__xludf.DUMMYFUNCTION("GOOGLETRANSLATE(F1090,""id"",""en"")"),"Weh coincides with the World Arabic Day Final World Cup and Qatar Wawww")</f>
        <v>Weh coincides with the World Arabic Day Final World Cup and Qatar Wawww</v>
      </c>
    </row>
    <row r="1091" ht="15.75" customHeight="1">
      <c r="A1091" s="1">
        <v>1092.0</v>
      </c>
      <c r="B1091" s="3" t="s">
        <v>3360</v>
      </c>
      <c r="C1091" s="3">
        <v>0.0</v>
      </c>
      <c r="D1091" s="3">
        <v>0.0</v>
      </c>
      <c r="E1091" s="3">
        <v>2.0</v>
      </c>
      <c r="F1091" s="3" t="s">
        <v>3361</v>
      </c>
      <c r="G1091" s="3">
        <v>1.0</v>
      </c>
      <c r="H1091" s="3">
        <v>0.0</v>
      </c>
      <c r="I1091" s="3" t="s">
        <v>13</v>
      </c>
      <c r="J1091" s="3" t="s">
        <v>3362</v>
      </c>
      <c r="K1091" s="3" t="s">
        <v>348</v>
      </c>
      <c r="L1091" s="3" t="str">
        <f>IFERROR(__xludf.DUMMYFUNCTION("GOOGLETRANSLATE(F1091,""id"",""en"")"),"What Final I swear even though France lost but the game remained cool especially since I made a hat trick survived for Argentina and also Messi who managed to win the World Cup this year")</f>
        <v>What Final I swear even though France lost but the game remained cool especially since I made a hat trick survived for Argentina and also Messi who managed to win the World Cup this year</v>
      </c>
    </row>
    <row r="1092" ht="15.75" customHeight="1">
      <c r="A1092" s="1">
        <v>1093.0</v>
      </c>
      <c r="B1092" s="3" t="s">
        <v>3363</v>
      </c>
      <c r="C1092" s="3">
        <v>0.0</v>
      </c>
      <c r="D1092" s="3">
        <v>0.0</v>
      </c>
      <c r="E1092" s="3">
        <v>14.0</v>
      </c>
      <c r="F1092" s="3" t="s">
        <v>3364</v>
      </c>
      <c r="G1092" s="3">
        <v>1.0</v>
      </c>
      <c r="H1092" s="3">
        <v>0.0</v>
      </c>
      <c r="I1092" s="3" t="s">
        <v>13</v>
      </c>
      <c r="J1092" s="3" t="s">
        <v>3365</v>
      </c>
      <c r="K1092" s="3" t="s">
        <v>942</v>
      </c>
      <c r="L1092" s="3" t="str">
        <f>IFERROR(__xludf.DUMMYFUNCTION("GOOGLETRANSLATE(F1092,""id"",""en"")"),"The Best World Cup Match Final Best Its Over Messi The Best")</f>
        <v>The Best World Cup Match Final Best Its Over Messi The Best</v>
      </c>
    </row>
    <row r="1093" ht="15.75" customHeight="1">
      <c r="A1093" s="1">
        <v>1094.0</v>
      </c>
      <c r="B1093" s="3" t="s">
        <v>3366</v>
      </c>
      <c r="C1093" s="3">
        <v>0.0</v>
      </c>
      <c r="D1093" s="3">
        <v>0.0</v>
      </c>
      <c r="E1093" s="3">
        <v>1.0</v>
      </c>
      <c r="F1093" s="3" t="s">
        <v>3367</v>
      </c>
      <c r="G1093" s="3">
        <v>1.0</v>
      </c>
      <c r="H1093" s="3">
        <v>0.0</v>
      </c>
      <c r="I1093" s="3" t="s">
        <v>13</v>
      </c>
      <c r="J1093" s="3" t="s">
        <v>3368</v>
      </c>
      <c r="K1093" s="3" t="s">
        <v>510</v>
      </c>
      <c r="L1093" s="3" t="str">
        <f>IFERROR(__xludf.DUMMYFUNCTION("GOOGLETRANSLATE(F1093,""id"",""en"")"),"We are lucky to have just seen the best world cup in history and there isn't necessarily there is a final this best for a thousand years to come")</f>
        <v>We are lucky to have just seen the best world cup in history and there isn't necessarily there is a final this best for a thousand years to come</v>
      </c>
    </row>
    <row r="1094" ht="15.75" customHeight="1">
      <c r="A1094" s="1">
        <v>1095.0</v>
      </c>
      <c r="B1094" s="3" t="s">
        <v>3369</v>
      </c>
      <c r="C1094" s="3">
        <v>0.0</v>
      </c>
      <c r="D1094" s="3">
        <v>0.0</v>
      </c>
      <c r="E1094" s="3">
        <v>0.0</v>
      </c>
      <c r="F1094" s="3" t="s">
        <v>3370</v>
      </c>
      <c r="G1094" s="3">
        <v>0.6</v>
      </c>
      <c r="H1094" s="3">
        <v>0.1</v>
      </c>
      <c r="I1094" s="3" t="s">
        <v>48</v>
      </c>
      <c r="J1094" s="3" t="s">
        <v>3371</v>
      </c>
      <c r="K1094" s="3" t="s">
        <v>82</v>
      </c>
      <c r="L1094" s="3" t="str">
        <f>IFERROR(__xludf.DUMMYFUNCTION("GOOGLETRANSLATE(F1094,""id"",""en"")"),"Thanks for the Final World Cup Monday, Monday")</f>
        <v>Thanks for the Final World Cup Monday, Monday</v>
      </c>
    </row>
    <row r="1095" ht="15.75" customHeight="1">
      <c r="A1095" s="1">
        <v>1096.0</v>
      </c>
      <c r="B1095" s="3" t="s">
        <v>3372</v>
      </c>
      <c r="C1095" s="3">
        <v>0.0</v>
      </c>
      <c r="D1095" s="3">
        <v>0.0</v>
      </c>
      <c r="E1095" s="3">
        <v>1.0</v>
      </c>
      <c r="F1095" s="3" t="s">
        <v>3373</v>
      </c>
      <c r="G1095" s="3">
        <v>1.0</v>
      </c>
      <c r="H1095" s="3">
        <v>0.0</v>
      </c>
      <c r="I1095" s="3" t="s">
        <v>13</v>
      </c>
      <c r="J1095" s="3" t="s">
        <v>3374</v>
      </c>
      <c r="K1095" s="3" t="s">
        <v>23</v>
      </c>
      <c r="L1095" s="3" t="str">
        <f>IFERROR(__xludf.DUMMYFUNCTION("GOOGLETRANSLATE(F1095,""id"",""en"")"),"right fomo, the final of the world cup final pdhal kmrin nnton wkwk regret it, because the problem is so tense so it is so exciting.")</f>
        <v>right fomo, the final of the world cup final pdhal kmrin nnton wkwk regret it, because the problem is so tense so it is so exciting.</v>
      </c>
    </row>
    <row r="1096" ht="15.75" customHeight="1">
      <c r="A1096" s="1">
        <v>1097.0</v>
      </c>
      <c r="B1096" s="3" t="s">
        <v>3375</v>
      </c>
      <c r="C1096" s="3">
        <v>0.0</v>
      </c>
      <c r="D1096" s="3">
        <v>0.0</v>
      </c>
      <c r="E1096" s="3">
        <v>0.0</v>
      </c>
      <c r="F1096" s="3" t="s">
        <v>3376</v>
      </c>
      <c r="G1096" s="3">
        <v>0.7</v>
      </c>
      <c r="H1096" s="3">
        <v>0.05</v>
      </c>
      <c r="I1096" s="3" t="s">
        <v>48</v>
      </c>
      <c r="J1096" s="3" t="s">
        <v>3377</v>
      </c>
      <c r="K1096" s="3" t="s">
        <v>31</v>
      </c>
      <c r="L1096" s="3" t="str">
        <f>IFERROR(__xludf.DUMMYFUNCTION("GOOGLETRANSLATE(F1096,""id"",""en"")"),"World Cup Final Most Epic")</f>
        <v>World Cup Final Most Epic</v>
      </c>
    </row>
    <row r="1097" ht="15.75" customHeight="1">
      <c r="A1097" s="1">
        <v>1098.0</v>
      </c>
      <c r="B1097" s="3" t="s">
        <v>3378</v>
      </c>
      <c r="C1097" s="3">
        <v>0.0</v>
      </c>
      <c r="D1097" s="3">
        <v>0.0</v>
      </c>
      <c r="E1097" s="3">
        <v>1.0</v>
      </c>
      <c r="F1097" s="3" t="s">
        <v>665</v>
      </c>
      <c r="G1097" s="3">
        <v>1.0</v>
      </c>
      <c r="H1097" s="3">
        <v>0.0</v>
      </c>
      <c r="I1097" s="3" t="s">
        <v>13</v>
      </c>
      <c r="J1097" s="3" t="s">
        <v>666</v>
      </c>
      <c r="K1097" s="3" t="s">
        <v>644</v>
      </c>
      <c r="L1097" s="3" t="str">
        <f>IFERROR(__xludf.DUMMYFUNCTION("GOOGLETRANSLATE(F1097,""id"",""en"")"),"the best world cup final")</f>
        <v>the best world cup final</v>
      </c>
    </row>
    <row r="1098" ht="15.75" customHeight="1">
      <c r="A1098" s="1">
        <v>1099.0</v>
      </c>
      <c r="B1098" s="3" t="s">
        <v>3379</v>
      </c>
      <c r="C1098" s="3">
        <v>2.0</v>
      </c>
      <c r="D1098" s="3">
        <v>0.0</v>
      </c>
      <c r="E1098" s="3">
        <v>1.0</v>
      </c>
      <c r="F1098" s="3" t="s">
        <v>3380</v>
      </c>
      <c r="G1098" s="3">
        <v>1.0</v>
      </c>
      <c r="H1098" s="3">
        <v>0.0</v>
      </c>
      <c r="I1098" s="3" t="s">
        <v>13</v>
      </c>
      <c r="J1098" s="3" t="s">
        <v>3381</v>
      </c>
      <c r="K1098" s="3" t="s">
        <v>50</v>
      </c>
      <c r="L1098" s="3" t="str">
        <f>IFERROR(__xludf.DUMMYFUNCTION("GOOGLETRANSLATE(F1098,""id"",""en"")"),"Mbape Jeung Messi Asup World Cup Final but Angger Moal Champions Champion")</f>
        <v>Mbape Jeung Messi Asup World Cup Final but Angger Moal Champions Champion</v>
      </c>
    </row>
    <row r="1099" ht="15.75" customHeight="1">
      <c r="A1099" s="1">
        <v>1100.0</v>
      </c>
      <c r="B1099" s="3" t="s">
        <v>3382</v>
      </c>
      <c r="C1099" s="3">
        <v>0.0</v>
      </c>
      <c r="D1099" s="3">
        <v>0.0</v>
      </c>
      <c r="E1099" s="3">
        <v>1.0</v>
      </c>
      <c r="F1099" s="3" t="s">
        <v>3383</v>
      </c>
      <c r="G1099" s="3">
        <v>1.0</v>
      </c>
      <c r="H1099" s="3">
        <v>0.0</v>
      </c>
      <c r="I1099" s="3" t="s">
        <v>13</v>
      </c>
      <c r="J1099" s="3" t="s">
        <v>3384</v>
      </c>
      <c r="K1099" s="3" t="s">
        <v>50</v>
      </c>
      <c r="L1099" s="3" t="str">
        <f>IFERROR(__xludf.DUMMYFUNCTION("GOOGLETRANSLATE(F1099,""id"",""en"")"),"Must admit the most exciting world cup final even though it is not very good")</f>
        <v>Must admit the most exciting world cup final even though it is not very good</v>
      </c>
    </row>
    <row r="1100" ht="15.75" customHeight="1">
      <c r="A1100" s="1">
        <v>1101.0</v>
      </c>
      <c r="B1100" s="3" t="s">
        <v>3385</v>
      </c>
      <c r="C1100" s="3">
        <v>0.0</v>
      </c>
      <c r="D1100" s="3">
        <v>1.0</v>
      </c>
      <c r="E1100" s="3">
        <v>3.0</v>
      </c>
      <c r="F1100" s="3" t="s">
        <v>3386</v>
      </c>
      <c r="G1100" s="3">
        <v>1.0</v>
      </c>
      <c r="H1100" s="3">
        <v>0.0</v>
      </c>
      <c r="I1100" s="3" t="s">
        <v>13</v>
      </c>
      <c r="J1100" s="3" t="s">
        <v>3387</v>
      </c>
      <c r="K1100" s="3" t="s">
        <v>1097</v>
      </c>
      <c r="L1100" s="3" t="str">
        <f>IFERROR(__xludf.DUMMYFUNCTION("GOOGLETRANSLATE(F1100,""id"",""en"")"),"What Final Final Best and Exclaimed in the History of the World Cup")</f>
        <v>What Final Final Best and Exclaimed in the History of the World Cup</v>
      </c>
    </row>
    <row r="1101" ht="15.75" customHeight="1">
      <c r="A1101" s="1">
        <v>1102.0</v>
      </c>
      <c r="B1101" s="3" t="s">
        <v>3388</v>
      </c>
      <c r="C1101" s="3">
        <v>0.0</v>
      </c>
      <c r="D1101" s="3">
        <v>0.0</v>
      </c>
      <c r="E1101" s="3">
        <v>1.0</v>
      </c>
      <c r="F1101" s="3" t="s">
        <v>3389</v>
      </c>
      <c r="G1101" s="3">
        <v>1.0</v>
      </c>
      <c r="H1101" s="3">
        <v>0.0</v>
      </c>
      <c r="I1101" s="3" t="s">
        <v>13</v>
      </c>
      <c r="J1101" s="3" t="s">
        <v>3390</v>
      </c>
      <c r="K1101" s="3" t="s">
        <v>58</v>
      </c>
      <c r="L1101" s="3" t="str">
        <f>IFERROR(__xludf.DUMMYFUNCTION("GOOGLETRANSLATE(F1101,""id"",""en"")"),"This Man, which made the World Cup final very crowded for Miracle and Miracle Arrives")</f>
        <v>This Man, which made the World Cup final very crowded for Miracle and Miracle Arrives</v>
      </c>
    </row>
    <row r="1102" ht="15.75" customHeight="1">
      <c r="A1102" s="1">
        <v>1104.0</v>
      </c>
      <c r="B1102" s="3" t="s">
        <v>3391</v>
      </c>
      <c r="C1102" s="3">
        <v>0.0</v>
      </c>
      <c r="D1102" s="3">
        <v>0.0</v>
      </c>
      <c r="E1102" s="3">
        <v>5.0</v>
      </c>
      <c r="F1102" s="3" t="s">
        <v>3392</v>
      </c>
      <c r="G1102" s="3">
        <v>1.0</v>
      </c>
      <c r="H1102" s="3">
        <v>0.0</v>
      </c>
      <c r="I1102" s="3" t="s">
        <v>13</v>
      </c>
      <c r="J1102" s="3" t="s">
        <v>3393</v>
      </c>
      <c r="K1102" s="3" t="s">
        <v>1652</v>
      </c>
      <c r="L1102" s="3" t="str">
        <f>IFERROR(__xludf.DUMMYFUNCTION("GOOGLETRANSLATE(F1102,""id"",""en"")"),"World Cup Qatar World Cup World Cup The Last Expensive With the Final National Team of the Best World Cup As far as this and ends with Lionel Messi who managed to become a Goat Congrats")</f>
        <v>World Cup Qatar World Cup World Cup The Last Expensive With the Final National Team of the Best World Cup As far as this and ends with Lionel Messi who managed to become a Goat Congrats</v>
      </c>
    </row>
    <row r="1103" ht="15.75" customHeight="1">
      <c r="A1103" s="1">
        <v>1105.0</v>
      </c>
      <c r="B1103" s="3" t="s">
        <v>3394</v>
      </c>
      <c r="C1103" s="3">
        <v>0.0</v>
      </c>
      <c r="D1103" s="3">
        <v>0.0</v>
      </c>
      <c r="E1103" s="3">
        <v>0.0</v>
      </c>
      <c r="F1103" s="3" t="s">
        <v>3395</v>
      </c>
      <c r="G1103" s="3">
        <v>1.0</v>
      </c>
      <c r="H1103" s="3">
        <v>0.0</v>
      </c>
      <c r="I1103" s="3" t="s">
        <v>13</v>
      </c>
      <c r="J1103" s="3" t="s">
        <v>3396</v>
      </c>
      <c r="K1103" s="3" t="s">
        <v>997</v>
      </c>
      <c r="L1103" s="3" t="str">
        <f>IFERROR(__xludf.DUMMYFUNCTION("GOOGLETRANSLATE(F1103,""id"",""en"")"),"Argentina Champion World Cup Qatar after defeating France Final Benzema Raul Lemos Argentina Messi All France Dybala Drake Ronaldo Konate Madrid Madrid Maradona Giroud Lautaro Camavinga Maria Heart Heart")</f>
        <v>Argentina Champion World Cup Qatar after defeating France Final Benzema Raul Lemos Argentina Messi All France Dybala Drake Ronaldo Konate Madrid Madrid Maradona Giroud Lautaro Camavinga Maria Heart Heart</v>
      </c>
    </row>
    <row r="1104" ht="15.75" customHeight="1">
      <c r="A1104" s="1">
        <v>1106.0</v>
      </c>
      <c r="B1104" s="3" t="s">
        <v>3397</v>
      </c>
      <c r="C1104" s="3">
        <v>0.0</v>
      </c>
      <c r="D1104" s="3">
        <v>0.0</v>
      </c>
      <c r="E1104" s="3">
        <v>0.0</v>
      </c>
      <c r="F1104" s="3" t="s">
        <v>2067</v>
      </c>
      <c r="G1104" s="3">
        <v>1.0</v>
      </c>
      <c r="H1104" s="3">
        <v>0.0</v>
      </c>
      <c r="I1104" s="3" t="s">
        <v>13</v>
      </c>
      <c r="J1104" s="3" t="s">
        <v>2068</v>
      </c>
      <c r="K1104" s="3" t="s">
        <v>644</v>
      </c>
      <c r="L1104" s="3" t="str">
        <f>IFERROR(__xludf.DUMMYFUNCTION("GOOGLETRANSLATE(F1104,""id"",""en"")"),"World Cup Best Final")</f>
        <v>World Cup Best Final</v>
      </c>
    </row>
    <row r="1105" ht="15.75" customHeight="1">
      <c r="A1105" s="1">
        <v>1107.0</v>
      </c>
      <c r="B1105" s="3" t="s">
        <v>3398</v>
      </c>
      <c r="C1105" s="3">
        <v>0.0</v>
      </c>
      <c r="D1105" s="3">
        <v>0.0</v>
      </c>
      <c r="E1105" s="3">
        <v>0.0</v>
      </c>
      <c r="F1105" s="3" t="s">
        <v>3399</v>
      </c>
      <c r="G1105" s="3">
        <v>1.0</v>
      </c>
      <c r="H1105" s="3">
        <v>0.0</v>
      </c>
      <c r="I1105" s="3" t="s">
        <v>13</v>
      </c>
      <c r="J1105" s="3" t="s">
        <v>3400</v>
      </c>
      <c r="K1105" s="3" t="s">
        <v>3401</v>
      </c>
      <c r="L1105" s="3" t="str">
        <f>IFERROR(__xludf.DUMMYFUNCTION("GOOGLETRANSLATE(F1105,""id"",""en"")"),"Night Appreciation of the Cup and Nobar Kapolda World Cup Final Year Pancoran Police Chief Commissioner Panji Ali Candra SIK along with PJU Polsek and Community Leaders Nobar Final World Cup Space Pancoran Police Station")</f>
        <v>Night Appreciation of the Cup and Nobar Kapolda World Cup Final Year Pancoran Police Chief Commissioner Panji Ali Candra SIK along with PJU Polsek and Community Leaders Nobar Final World Cup Space Pancoran Police Station</v>
      </c>
    </row>
    <row r="1106" ht="15.75" customHeight="1">
      <c r="A1106" s="1">
        <v>1108.0</v>
      </c>
      <c r="B1106" s="3" t="s">
        <v>3402</v>
      </c>
      <c r="C1106" s="3">
        <v>0.0</v>
      </c>
      <c r="D1106" s="3">
        <v>0.0</v>
      </c>
      <c r="E1106" s="3">
        <v>0.0</v>
      </c>
      <c r="F1106" s="3" t="s">
        <v>3403</v>
      </c>
      <c r="G1106" s="3">
        <v>1.0</v>
      </c>
      <c r="H1106" s="3">
        <v>0.0</v>
      </c>
      <c r="I1106" s="3" t="s">
        <v>13</v>
      </c>
      <c r="J1106" s="3" t="s">
        <v>3404</v>
      </c>
      <c r="K1106" s="3" t="s">
        <v>15</v>
      </c>
      <c r="L1106" s="3" t="str">
        <f>IFERROR(__xludf.DUMMYFUNCTION("GOOGLETRANSLATE(F1106,""id"",""en"")"),"The next World Cup Itali champions against Malta Final")</f>
        <v>The next World Cup Itali champions against Malta Final</v>
      </c>
    </row>
    <row r="1107" ht="15.75" customHeight="1">
      <c r="A1107" s="1">
        <v>1109.0</v>
      </c>
      <c r="B1107" s="3" t="s">
        <v>3405</v>
      </c>
      <c r="C1107" s="3">
        <v>0.0</v>
      </c>
      <c r="D1107" s="3">
        <v>0.0</v>
      </c>
      <c r="E1107" s="3">
        <v>0.0</v>
      </c>
      <c r="F1107" s="3" t="s">
        <v>3406</v>
      </c>
      <c r="G1107" s="3">
        <v>1.0</v>
      </c>
      <c r="H1107" s="3">
        <v>0.0</v>
      </c>
      <c r="I1107" s="3" t="s">
        <v>13</v>
      </c>
      <c r="J1107" s="3" t="s">
        <v>3407</v>
      </c>
      <c r="K1107" s="3" t="s">
        <v>1552</v>
      </c>
      <c r="L1107" s="3" t="str">
        <f>IFERROR(__xludf.DUMMYFUNCTION("GOOGLETRANSLATE(F1107,""id"",""en"")"),"This crazy crazy crazy, the name of the World Cup Gokilll Final this year")</f>
        <v>This crazy crazy crazy, the name of the World Cup Gokilll Final this year</v>
      </c>
    </row>
    <row r="1108" ht="15.75" customHeight="1">
      <c r="A1108" s="1">
        <v>1110.0</v>
      </c>
      <c r="B1108" s="3" t="s">
        <v>3408</v>
      </c>
      <c r="C1108" s="3">
        <v>0.0</v>
      </c>
      <c r="D1108" s="3">
        <v>0.0</v>
      </c>
      <c r="E1108" s="3">
        <v>0.0</v>
      </c>
      <c r="F1108" s="3" t="s">
        <v>3409</v>
      </c>
      <c r="G1108" s="3">
        <v>1.0</v>
      </c>
      <c r="H1108" s="3">
        <v>0.0</v>
      </c>
      <c r="I1108" s="3" t="s">
        <v>13</v>
      </c>
      <c r="J1108" s="3" t="s">
        <v>3410</v>
      </c>
      <c r="K1108" s="3" t="s">
        <v>82</v>
      </c>
      <c r="L1108" s="3" t="str">
        <f>IFERROR(__xludf.DUMMYFUNCTION("GOOGLETRANSLATE(F1108,""id"",""en"")"),"Salute to one of these exciting world cup finals")</f>
        <v>Salute to one of these exciting world cup finals</v>
      </c>
    </row>
    <row r="1109" ht="15.75" customHeight="1">
      <c r="A1109" s="1">
        <v>1111.0</v>
      </c>
      <c r="B1109" s="3" t="s">
        <v>3411</v>
      </c>
      <c r="C1109" s="3">
        <v>0.0</v>
      </c>
      <c r="D1109" s="3">
        <v>0.0</v>
      </c>
      <c r="E1109" s="3">
        <v>1.0</v>
      </c>
      <c r="F1109" s="3" t="s">
        <v>3412</v>
      </c>
      <c r="G1109" s="3">
        <v>1.0</v>
      </c>
      <c r="H1109" s="3">
        <v>0.0</v>
      </c>
      <c r="I1109" s="3" t="s">
        <v>13</v>
      </c>
      <c r="J1109" s="3" t="s">
        <v>3413</v>
      </c>
      <c r="K1109" s="3" t="s">
        <v>1897</v>
      </c>
      <c r="L1109" s="3" t="str">
        <f>IFERROR(__xludf.DUMMYFUNCTION("GOOGLETRANSLATE(F1109,""id"",""en"")"),"Thank you Argentina France for presenting a very amazing world cup final, the expectations of individual fighting skirit skills in teamwork and do not forget the heart exercise all mixed except for streaming you swear to go to the greets")</f>
        <v>Thank you Argentina France for presenting a very amazing world cup final, the expectations of individual fighting skirit skills in teamwork and do not forget the heart exercise all mixed except for streaming you swear to go to the greets</v>
      </c>
    </row>
    <row r="1110" ht="15.75" customHeight="1">
      <c r="A1110" s="1">
        <v>1112.0</v>
      </c>
      <c r="B1110" s="3" t="s">
        <v>3414</v>
      </c>
      <c r="C1110" s="3">
        <v>2.0</v>
      </c>
      <c r="D1110" s="3">
        <v>0.0</v>
      </c>
      <c r="E1110" s="3">
        <v>0.0</v>
      </c>
      <c r="F1110" s="3" t="s">
        <v>3415</v>
      </c>
      <c r="G1110" s="3">
        <v>1.0</v>
      </c>
      <c r="H1110" s="3">
        <v>0.0</v>
      </c>
      <c r="I1110" s="3" t="s">
        <v>13</v>
      </c>
      <c r="J1110" s="3" t="s">
        <v>3416</v>
      </c>
      <c r="K1110" s="3" t="s">
        <v>205</v>
      </c>
      <c r="L1110" s="3" t="str">
        <f>IFERROR(__xludf.DUMMYFUNCTION("GOOGLETRANSLATE(F1110,""id"",""en"")"),"The second World Cup that I watched the year where Messi and Argentina were almost sabet the world title but unfortunately a million unfortunately losing the final until now if told")</f>
        <v>The second World Cup that I watched the year where Messi and Argentina were almost sabet the world title but unfortunately a million unfortunately losing the final until now if told</v>
      </c>
    </row>
    <row r="1111" ht="15.75" customHeight="1">
      <c r="A1111" s="1">
        <v>1113.0</v>
      </c>
      <c r="B1111" s="3" t="s">
        <v>3417</v>
      </c>
      <c r="C1111" s="3">
        <v>2.0</v>
      </c>
      <c r="D1111" s="3">
        <v>0.0</v>
      </c>
      <c r="E1111" s="3">
        <v>0.0</v>
      </c>
      <c r="F1111" s="3" t="s">
        <v>3418</v>
      </c>
      <c r="G1111" s="3">
        <v>1.0</v>
      </c>
      <c r="H1111" s="3">
        <v>0.0</v>
      </c>
      <c r="I1111" s="3" t="s">
        <v>13</v>
      </c>
      <c r="J1111" s="3" t="s">
        <v>3419</v>
      </c>
      <c r="K1111" s="3" t="s">
        <v>50</v>
      </c>
      <c r="L1111" s="3" t="str">
        <f>IFERROR(__xludf.DUMMYFUNCTION("GOOGLETRANSLATE(F1111,""id"",""en"")"),"Mbappe Hattrick Messi World Cup Final Goat Waaahh is crazy")</f>
        <v>Mbappe Hattrick Messi World Cup Final Goat Waaahh is crazy</v>
      </c>
    </row>
    <row r="1112" ht="15.75" customHeight="1">
      <c r="A1112" s="1">
        <v>1114.0</v>
      </c>
      <c r="B1112" s="3" t="s">
        <v>3420</v>
      </c>
      <c r="C1112" s="3">
        <v>0.0</v>
      </c>
      <c r="D1112" s="3">
        <v>0.0</v>
      </c>
      <c r="E1112" s="3">
        <v>0.0</v>
      </c>
      <c r="F1112" s="3" t="s">
        <v>3421</v>
      </c>
      <c r="G1112" s="3">
        <v>1.0</v>
      </c>
      <c r="H1112" s="3">
        <v>0.0</v>
      </c>
      <c r="I1112" s="3" t="s">
        <v>13</v>
      </c>
      <c r="J1112" s="3" t="s">
        <v>3422</v>
      </c>
      <c r="K1112" s="3" t="s">
        <v>23</v>
      </c>
      <c r="L1112" s="3" t="str">
        <f>IFERROR(__xludf.DUMMYFUNCTION("GOOGLETRANSLATE(F1112,""id"",""en"")"),"Anyone who wins or loses Argentina France has provided an exciting entertainment of the World Cup final, the final match should be like this until the end is not a can of cans")</f>
        <v>Anyone who wins or loses Argentina France has provided an exciting entertainment of the World Cup final, the final match should be like this until the end is not a can of cans</v>
      </c>
    </row>
    <row r="1113" ht="15.75" customHeight="1">
      <c r="A1113" s="1">
        <v>1115.0</v>
      </c>
      <c r="B1113" s="3" t="s">
        <v>3423</v>
      </c>
      <c r="C1113" s="3">
        <v>1.0</v>
      </c>
      <c r="D1113" s="3">
        <v>0.0</v>
      </c>
      <c r="E1113" s="3">
        <v>0.0</v>
      </c>
      <c r="F1113" s="3" t="s">
        <v>3424</v>
      </c>
      <c r="G1113" s="3">
        <v>1.0</v>
      </c>
      <c r="H1113" s="3">
        <v>0.0</v>
      </c>
      <c r="I1113" s="3" t="s">
        <v>13</v>
      </c>
      <c r="J1113" s="3" t="s">
        <v>3425</v>
      </c>
      <c r="K1113" s="3" t="s">
        <v>1335</v>
      </c>
      <c r="L1113" s="3" t="str">
        <f>IFERROR(__xludf.DUMMYFUNCTION("GOOGLETRANSLATE(F1113,""id"",""en"")"),"World Cup Final The Most Deg Deg")</f>
        <v>World Cup Final The Most Deg Deg</v>
      </c>
    </row>
    <row r="1114" ht="15.75" customHeight="1">
      <c r="A1114" s="1">
        <v>1116.0</v>
      </c>
      <c r="B1114" s="3" t="s">
        <v>3426</v>
      </c>
      <c r="C1114" s="3">
        <v>2.0</v>
      </c>
      <c r="D1114" s="3">
        <v>5.0</v>
      </c>
      <c r="E1114" s="3">
        <v>35.0</v>
      </c>
      <c r="F1114" s="3" t="s">
        <v>3427</v>
      </c>
      <c r="G1114" s="3">
        <v>1.0</v>
      </c>
      <c r="H1114" s="3">
        <v>0.05</v>
      </c>
      <c r="I1114" s="3" t="s">
        <v>48</v>
      </c>
      <c r="J1114" s="3" t="s">
        <v>3428</v>
      </c>
      <c r="K1114" s="3" t="s">
        <v>15</v>
      </c>
      <c r="L1114" s="3" t="str">
        <f>IFERROR(__xludf.DUMMYFUNCTION("GOOGLETRANSLATE(F1114,""id"",""en"")"),"Players who score goals in one World Cup Final Wow")</f>
        <v>Players who score goals in one World Cup Final Wow</v>
      </c>
    </row>
    <row r="1115" ht="15.75" customHeight="1">
      <c r="A1115" s="1">
        <v>1117.0</v>
      </c>
      <c r="B1115" s="3" t="s">
        <v>3429</v>
      </c>
      <c r="C1115" s="3">
        <v>0.0</v>
      </c>
      <c r="D1115" s="3">
        <v>0.0</v>
      </c>
      <c r="E1115" s="3">
        <v>0.0</v>
      </c>
      <c r="F1115" s="3" t="s">
        <v>3430</v>
      </c>
      <c r="G1115" s="3">
        <v>1.0</v>
      </c>
      <c r="H1115" s="3">
        <v>0.0</v>
      </c>
      <c r="I1115" s="3" t="s">
        <v>13</v>
      </c>
      <c r="J1115" s="3" t="s">
        <v>3431</v>
      </c>
      <c r="K1115" s="3" t="s">
        <v>942</v>
      </c>
      <c r="L1115" s="3" t="str">
        <f>IFERROR(__xludf.DUMMYFUNCTION("GOOGLETRANSLATE(F1115,""id"",""en"")"),"many say the best world cup finals are like nnton every final ajig wkwkwk pajii pajii")</f>
        <v>many say the best world cup finals are like nnton every final ajig wkwkwk pajii pajii</v>
      </c>
    </row>
    <row r="1116" ht="15.75" customHeight="1">
      <c r="A1116" s="1">
        <v>1118.0</v>
      </c>
      <c r="B1116" s="3" t="s">
        <v>3432</v>
      </c>
      <c r="C1116" s="3">
        <v>0.0</v>
      </c>
      <c r="D1116" s="3">
        <v>1.0</v>
      </c>
      <c r="E1116" s="3">
        <v>1.0</v>
      </c>
      <c r="F1116" s="3" t="s">
        <v>3433</v>
      </c>
      <c r="G1116" s="3">
        <v>1.0</v>
      </c>
      <c r="H1116" s="3">
        <v>0.0</v>
      </c>
      <c r="I1116" s="3" t="s">
        <v>13</v>
      </c>
      <c r="J1116" s="3" t="s">
        <v>3434</v>
      </c>
      <c r="K1116" s="3" t="s">
        <v>82</v>
      </c>
      <c r="L1116" s="3" t="str">
        <f>IFERROR(__xludf.DUMMYFUNCTION("GOOGLETRANSLATE(F1116,""id"",""en"")"),"Drake got because he championed the World Cup Final Argentina")</f>
        <v>Drake got because he championed the World Cup Final Argentina</v>
      </c>
    </row>
    <row r="1117" ht="15.75" customHeight="1">
      <c r="A1117" s="1">
        <v>1119.0</v>
      </c>
      <c r="B1117" s="3" t="s">
        <v>3435</v>
      </c>
      <c r="C1117" s="3">
        <v>0.0</v>
      </c>
      <c r="D1117" s="3">
        <v>0.0</v>
      </c>
      <c r="E1117" s="3">
        <v>0.0</v>
      </c>
      <c r="F1117" s="3" t="s">
        <v>3436</v>
      </c>
      <c r="G1117" s="3">
        <v>0.75</v>
      </c>
      <c r="H1117" s="3">
        <v>0.06818181818181818</v>
      </c>
      <c r="I1117" s="3" t="s">
        <v>48</v>
      </c>
      <c r="J1117" s="3" t="s">
        <v>3437</v>
      </c>
      <c r="K1117" s="3" t="s">
        <v>58</v>
      </c>
      <c r="L1117" s="3" t="str">
        <f>IFERROR(__xludf.DUMMYFUNCTION("GOOGLETRANSLATE(F1117,""id"",""en"")"),"Live Score Final World Cup First half Mbappe does not move the second half crazy")</f>
        <v>Live Score Final World Cup First half Mbappe does not move the second half crazy</v>
      </c>
    </row>
    <row r="1118" ht="15.75" customHeight="1">
      <c r="A1118" s="1">
        <v>1120.0</v>
      </c>
      <c r="B1118" s="3" t="s">
        <v>3438</v>
      </c>
      <c r="C1118" s="3">
        <v>1.0</v>
      </c>
      <c r="D1118" s="3">
        <v>0.0</v>
      </c>
      <c r="E1118" s="3">
        <v>0.0</v>
      </c>
      <c r="F1118" s="3" t="s">
        <v>3439</v>
      </c>
      <c r="G1118" s="3">
        <v>1.0</v>
      </c>
      <c r="H1118" s="3">
        <v>0.0</v>
      </c>
      <c r="I1118" s="3" t="s">
        <v>13</v>
      </c>
      <c r="J1118" s="3" t="s">
        <v>3440</v>
      </c>
      <c r="K1118" s="3" t="s">
        <v>2013</v>
      </c>
      <c r="L1118" s="3" t="str">
        <f>IFERROR(__xludf.DUMMYFUNCTION("GOOGLETRANSLATE(F1118,""id"",""en"")"),"This Qatar World Cup in the beginning many who underestimated that it was said to be less crowded less exciting at the beginning of the preliminary preliminaries and many surprises until the final and this was the most exciting final")</f>
        <v>This Qatar World Cup in the beginning many who underestimated that it was said to be less crowded less exciting at the beginning of the preliminary preliminaries and many surprises until the final and this was the most exciting final</v>
      </c>
    </row>
    <row r="1119" ht="15.75" customHeight="1">
      <c r="A1119" s="1">
        <v>1121.0</v>
      </c>
      <c r="B1119" s="3" t="s">
        <v>3441</v>
      </c>
      <c r="C1119" s="3">
        <v>0.0</v>
      </c>
      <c r="D1119" s="3">
        <v>0.0</v>
      </c>
      <c r="E1119" s="3">
        <v>1.0</v>
      </c>
      <c r="F1119" s="3" t="s">
        <v>3442</v>
      </c>
      <c r="G1119" s="3">
        <v>1.0</v>
      </c>
      <c r="H1119" s="3">
        <v>0.0</v>
      </c>
      <c r="I1119" s="3" t="s">
        <v>13</v>
      </c>
      <c r="J1119" s="3" t="s">
        <v>3443</v>
      </c>
      <c r="K1119" s="3" t="s">
        <v>19</v>
      </c>
      <c r="L1119" s="3" t="str">
        <f>IFERROR(__xludf.DUMMYFUNCTION("GOOGLETRANSLATE(F1119,""id"",""en"")"),"The Best World Cup Final I have ever seen grateful that there can be this time to see a living legend")</f>
        <v>The Best World Cup Final I have ever seen grateful that there can be this time to see a living legend</v>
      </c>
    </row>
    <row r="1120" ht="15.75" customHeight="1">
      <c r="A1120" s="1">
        <v>1122.0</v>
      </c>
      <c r="B1120" s="3" t="s">
        <v>3444</v>
      </c>
      <c r="C1120" s="3">
        <v>0.0</v>
      </c>
      <c r="D1120" s="3">
        <v>0.0</v>
      </c>
      <c r="E1120" s="3">
        <v>0.0</v>
      </c>
      <c r="F1120" s="3" t="s">
        <v>3445</v>
      </c>
      <c r="G1120" s="3">
        <v>0.6136363636363636</v>
      </c>
      <c r="H1120" s="3">
        <v>0.1840909090909091</v>
      </c>
      <c r="I1120" s="3" t="s">
        <v>48</v>
      </c>
      <c r="J1120" s="3" t="s">
        <v>3446</v>
      </c>
      <c r="K1120" s="3" t="s">
        <v>1847</v>
      </c>
      <c r="L1120" s="3" t="str">
        <f>IFERROR(__xludf.DUMMYFUNCTION("GOOGLETRANSLATE(F1120,""id"",""en"")"),"Lines Final Hattrick Ngecarry of his own country What is unfortunately French players are not militant Argentine players to open the way Messi Champion World Cup See You Next Time Mbappe Find Your New Rival and Claim Your Own Thrones")</f>
        <v>Lines Final Hattrick Ngecarry of his own country What is unfortunately French players are not militant Argentine players to open the way Messi Champion World Cup See You Next Time Mbappe Find Your New Rival and Claim Your Own Thrones</v>
      </c>
    </row>
    <row r="1121" ht="15.75" customHeight="1">
      <c r="A1121" s="1">
        <v>1123.0</v>
      </c>
      <c r="B1121" s="3" t="s">
        <v>3447</v>
      </c>
      <c r="C1121" s="3">
        <v>1.0</v>
      </c>
      <c r="D1121" s="3">
        <v>1.0</v>
      </c>
      <c r="E1121" s="3">
        <v>1.0</v>
      </c>
      <c r="F1121" s="3" t="s">
        <v>3448</v>
      </c>
      <c r="G1121" s="3">
        <v>1.0</v>
      </c>
      <c r="H1121" s="3">
        <v>0.0</v>
      </c>
      <c r="I1121" s="3" t="s">
        <v>13</v>
      </c>
      <c r="J1121" s="3" t="s">
        <v>3449</v>
      </c>
      <c r="K1121" s="3" t="s">
        <v>495</v>
      </c>
      <c r="L1121" s="3" t="str">
        <f>IFERROR(__xludf.DUMMYFUNCTION("GOOGLETRANSLATE(F1121,""id"",""en"")"),"I congratulate Argentina and Leonel Messi who won the FIFA World Cup after one of the most controversial final matches in history")</f>
        <v>I congratulate Argentina and Leonel Messi who won the FIFA World Cup after one of the most controversial final matches in history</v>
      </c>
    </row>
    <row r="1122" ht="15.75" customHeight="1">
      <c r="A1122" s="1">
        <v>1124.0</v>
      </c>
      <c r="B1122" s="3" t="s">
        <v>3450</v>
      </c>
      <c r="C1122" s="3">
        <v>1.0</v>
      </c>
      <c r="D1122" s="3">
        <v>0.0</v>
      </c>
      <c r="E1122" s="3">
        <v>0.0</v>
      </c>
      <c r="F1122" s="3" t="s">
        <v>3451</v>
      </c>
      <c r="G1122" s="3">
        <v>1.0</v>
      </c>
      <c r="H1122" s="3">
        <v>0.0</v>
      </c>
      <c r="I1122" s="3" t="s">
        <v>13</v>
      </c>
      <c r="J1122" s="3" t="s">
        <v>3452</v>
      </c>
      <c r="K1122" s="3" t="s">
        <v>1489</v>
      </c>
      <c r="L1122" s="3" t="str">
        <f>IFERROR(__xludf.DUMMYFUNCTION("GOOGLETRANSLATE(F1122,""id"",""en"")"),"The first time I watched the World Cup and the first time watching the football somehow watching Argentina and even Goat papah with me is in the same field Maradona Messi dear to lose the quarter -finals")</f>
        <v>The first time I watched the World Cup and the first time watching the football somehow watching Argentina and even Goat papah with me is in the same field Maradona Messi dear to lose the quarter -finals</v>
      </c>
    </row>
    <row r="1123" ht="15.75" customHeight="1">
      <c r="A1123" s="1">
        <v>1125.0</v>
      </c>
      <c r="B1123" s="3" t="s">
        <v>3453</v>
      </c>
      <c r="C1123" s="3">
        <v>0.0</v>
      </c>
      <c r="D1123" s="3">
        <v>0.0</v>
      </c>
      <c r="E1123" s="3">
        <v>0.0</v>
      </c>
      <c r="F1123" s="3" t="s">
        <v>3454</v>
      </c>
      <c r="G1123" s="3">
        <v>1.0</v>
      </c>
      <c r="H1123" s="3">
        <v>0.4</v>
      </c>
      <c r="I1123" s="3" t="s">
        <v>48</v>
      </c>
      <c r="J1123" s="3" t="s">
        <v>3455</v>
      </c>
      <c r="K1123" s="3" t="s">
        <v>3456</v>
      </c>
      <c r="L1123" s="3" t="str">
        <f>IFERROR(__xludf.DUMMYFUNCTION("GOOGLETRANSLATE(F1123,""id"",""en"")"),"Messi retired the national team with a happy ending mbappe goal final martinez martinez sipaling champion of penalties will be remembered in the history of world football, especially the Qatar World Cup Congrats Argentina, thank you for the World Cup, fin"&amp;"ally back to watching emeu wkwk")</f>
        <v>Messi retired the national team with a happy ending mbappe goal final martinez martinez sipaling champion of penalties will be remembered in the history of world football, especially the Qatar World Cup Congrats Argentina, thank you for the World Cup, finally back to watching emeu wkwk</v>
      </c>
    </row>
    <row r="1124" ht="15.75" customHeight="1">
      <c r="A1124" s="1">
        <v>1126.0</v>
      </c>
      <c r="B1124" s="3" t="s">
        <v>3457</v>
      </c>
      <c r="C1124" s="3">
        <v>0.0</v>
      </c>
      <c r="D1124" s="3">
        <v>11.0</v>
      </c>
      <c r="E1124" s="3">
        <v>32.0</v>
      </c>
      <c r="F1124" s="3" t="s">
        <v>3458</v>
      </c>
      <c r="G1124" s="3">
        <v>1.0</v>
      </c>
      <c r="H1124" s="3">
        <v>0.0</v>
      </c>
      <c r="I1124" s="3" t="s">
        <v>13</v>
      </c>
      <c r="J1124" s="3" t="s">
        <v>3459</v>
      </c>
      <c r="K1124" s="3" t="s">
        <v>657</v>
      </c>
      <c r="L1124" s="3" t="str">
        <f>IFERROR(__xludf.DUMMYFUNCTION("GOOGLETRANSLATE(F1124,""id"",""en"")"),"Amazing the Final of the Best World Cup of Argentina Dramatic Bend France through penalties")</f>
        <v>Amazing the Final of the Best World Cup of Argentina Dramatic Bend France through penalties</v>
      </c>
    </row>
    <row r="1125" ht="15.75" customHeight="1">
      <c r="A1125" s="1">
        <v>1127.0</v>
      </c>
      <c r="B1125" s="3" t="s">
        <v>3460</v>
      </c>
      <c r="C1125" s="3">
        <v>0.0</v>
      </c>
      <c r="D1125" s="3">
        <v>0.0</v>
      </c>
      <c r="E1125" s="3">
        <v>0.0</v>
      </c>
      <c r="F1125" s="3" t="s">
        <v>3461</v>
      </c>
      <c r="G1125" s="3">
        <v>0.6666666666666666</v>
      </c>
      <c r="H1125" s="3">
        <v>0.08333333333333333</v>
      </c>
      <c r="I1125" s="3" t="s">
        <v>48</v>
      </c>
      <c r="J1125" s="3" t="s">
        <v>3462</v>
      </c>
      <c r="K1125" s="3" t="s">
        <v>510</v>
      </c>
      <c r="L1125" s="3" t="str">
        <f>IFERROR(__xludf.DUMMYFUNCTION("GOOGLETRANSLATE(F1125,""id"",""en"")"),"I know after the world cup final but playing ball dpn neighboring house too")</f>
        <v>I know after the world cup final but playing ball dpn neighboring house too</v>
      </c>
    </row>
    <row r="1126" ht="15.75" customHeight="1">
      <c r="A1126" s="1">
        <v>1128.0</v>
      </c>
      <c r="B1126" s="3" t="s">
        <v>3463</v>
      </c>
      <c r="C1126" s="3">
        <v>0.0</v>
      </c>
      <c r="D1126" s="3">
        <v>0.0</v>
      </c>
      <c r="E1126" s="3">
        <v>1.0</v>
      </c>
      <c r="F1126" s="3" t="s">
        <v>3464</v>
      </c>
      <c r="G1126" s="3">
        <v>1.0</v>
      </c>
      <c r="H1126" s="3">
        <v>0.0</v>
      </c>
      <c r="I1126" s="3" t="s">
        <v>13</v>
      </c>
      <c r="J1126" s="3" t="s">
        <v>3465</v>
      </c>
      <c r="K1126" s="3" t="s">
        <v>348</v>
      </c>
      <c r="L1126" s="3" t="str">
        <f>IFERROR(__xludf.DUMMYFUNCTION("GOOGLETRANSLATE(F1126,""id"",""en"")"),"South Africa may be the most donating but in terms of the quality of the Qatar World Cup competition and the final of Argentina France is one of the best games in the history of football")</f>
        <v>South Africa may be the most donating but in terms of the quality of the Qatar World Cup competition and the final of Argentina France is one of the best games in the history of football</v>
      </c>
    </row>
    <row r="1127" ht="15.75" customHeight="1">
      <c r="A1127" s="1">
        <v>1129.0</v>
      </c>
      <c r="B1127" s="3" t="s">
        <v>3466</v>
      </c>
      <c r="C1127" s="3">
        <v>0.0</v>
      </c>
      <c r="D1127" s="3">
        <v>4.0</v>
      </c>
      <c r="E1127" s="3">
        <v>28.0</v>
      </c>
      <c r="F1127" s="3" t="s">
        <v>3467</v>
      </c>
      <c r="G1127" s="3">
        <v>1.0</v>
      </c>
      <c r="H1127" s="3">
        <v>0.0</v>
      </c>
      <c r="I1127" s="3" t="s">
        <v>13</v>
      </c>
      <c r="J1127" s="3" t="s">
        <v>3468</v>
      </c>
      <c r="K1127" s="3" t="s">
        <v>374</v>
      </c>
      <c r="L1127" s="3" t="str">
        <f>IFERROR(__xludf.DUMMYFUNCTION("GOOGLETRANSLATE(F1127,""id"",""en"")"),"Since I got to know FIFA and PES, my son easily fell in love with Messi Haland and City was the experience of my son's first World Cup match tonight was one of the best finals of all time and Messi was a winning for my son tonight eternal")</f>
        <v>Since I got to know FIFA and PES, my son easily fell in love with Messi Haland and City was the experience of my son's first World Cup match tonight was one of the best finals of all time and Messi was a winning for my son tonight eternal</v>
      </c>
    </row>
    <row r="1128" ht="15.75" customHeight="1">
      <c r="A1128" s="1">
        <v>1130.0</v>
      </c>
      <c r="B1128" s="3" t="s">
        <v>3469</v>
      </c>
      <c r="C1128" s="3">
        <v>0.0</v>
      </c>
      <c r="D1128" s="3">
        <v>0.0</v>
      </c>
      <c r="E1128" s="3">
        <v>0.0</v>
      </c>
      <c r="F1128" s="3" t="s">
        <v>3470</v>
      </c>
      <c r="G1128" s="3">
        <v>1.0</v>
      </c>
      <c r="H1128" s="3">
        <v>0.0</v>
      </c>
      <c r="I1128" s="3" t="s">
        <v>13</v>
      </c>
      <c r="J1128" s="3" t="s">
        <v>3471</v>
      </c>
      <c r="K1128" s="3" t="s">
        <v>41</v>
      </c>
      <c r="L1128" s="3" t="str">
        <f>IFERROR(__xludf.DUMMYFUNCTION("GOOGLETRANSLATE(F1128,""id"",""en"")"),"One of the GGWP and Congrats World Cups")</f>
        <v>One of the GGWP and Congrats World Cups</v>
      </c>
    </row>
    <row r="1129" ht="15.75" customHeight="1">
      <c r="A1129" s="1">
        <v>1131.0</v>
      </c>
      <c r="B1129" s="3" t="s">
        <v>3472</v>
      </c>
      <c r="C1129" s="3">
        <v>0.0</v>
      </c>
      <c r="D1129" s="3">
        <v>0.0</v>
      </c>
      <c r="E1129" s="3">
        <v>0.0</v>
      </c>
      <c r="F1129" s="3" t="s">
        <v>3473</v>
      </c>
      <c r="G1129" s="3">
        <v>0.6833333333333332</v>
      </c>
      <c r="H1129" s="3">
        <v>0.2833333333333333</v>
      </c>
      <c r="I1129" s="3" t="s">
        <v>48</v>
      </c>
      <c r="J1129" s="3" t="s">
        <v>3474</v>
      </c>
      <c r="K1129" s="3" t="s">
        <v>41</v>
      </c>
      <c r="L1129" s="3" t="str">
        <f>IFERROR(__xludf.DUMMYFUNCTION("GOOGLETRANSLATE(F1129,""id"",""en"")"),"The World Cup Final Top MESSI FANS MESSI FULL SHIND")</f>
        <v>The World Cup Final Top MESSI FANS MESSI FULL SHIND</v>
      </c>
    </row>
    <row r="1130" ht="15.75" customHeight="1">
      <c r="A1130" s="1">
        <v>1132.0</v>
      </c>
      <c r="B1130" s="3" t="s">
        <v>3475</v>
      </c>
      <c r="C1130" s="3">
        <v>0.0</v>
      </c>
      <c r="D1130" s="3">
        <v>0.0</v>
      </c>
      <c r="E1130" s="3">
        <v>0.0</v>
      </c>
      <c r="F1130" s="3" t="s">
        <v>3476</v>
      </c>
      <c r="G1130" s="3">
        <v>1.0</v>
      </c>
      <c r="H1130" s="3">
        <v>0.0</v>
      </c>
      <c r="I1130" s="3" t="s">
        <v>13</v>
      </c>
      <c r="J1130" s="3" t="s">
        <v>3477</v>
      </c>
      <c r="K1130" s="3" t="s">
        <v>1479</v>
      </c>
      <c r="L1130" s="3" t="str">
        <f>IFERROR(__xludf.DUMMYFUNCTION("GOOGLETRANSLATE(F1130,""id"",""en"")"),"The Best World Cup Final ever witnessed and witnessed the Best World Cup Respect for")</f>
        <v>The Best World Cup Final ever witnessed and witnessed the Best World Cup Respect for</v>
      </c>
    </row>
    <row r="1131" ht="15.75" customHeight="1">
      <c r="A1131" s="1">
        <v>1133.0</v>
      </c>
      <c r="B1131" s="3" t="s">
        <v>3478</v>
      </c>
      <c r="C1131" s="3">
        <v>0.0</v>
      </c>
      <c r="D1131" s="3">
        <v>0.0</v>
      </c>
      <c r="E1131" s="3">
        <v>0.0</v>
      </c>
      <c r="F1131" s="3" t="s">
        <v>3479</v>
      </c>
      <c r="G1131" s="3">
        <v>1.0</v>
      </c>
      <c r="H1131" s="3">
        <v>0.0</v>
      </c>
      <c r="I1131" s="3" t="s">
        <v>13</v>
      </c>
      <c r="J1131" s="3" t="s">
        <v>3480</v>
      </c>
      <c r="K1131" s="3" t="s">
        <v>19</v>
      </c>
      <c r="L1131" s="3" t="str">
        <f>IFERROR(__xludf.DUMMYFUNCTION("GOOGLETRANSLATE(F1131,""id"",""en"")"),"The final was excited during watching the class soccer Cup Deui One Crazy Word")</f>
        <v>The final was excited during watching the class soccer Cup Deui One Crazy Word</v>
      </c>
    </row>
    <row r="1132" ht="15.75" customHeight="1">
      <c r="A1132" s="1">
        <v>1134.0</v>
      </c>
      <c r="B1132" s="3" t="s">
        <v>3481</v>
      </c>
      <c r="C1132" s="3">
        <v>4.0</v>
      </c>
      <c r="D1132" s="3">
        <v>65.0</v>
      </c>
      <c r="E1132" s="3">
        <v>1379.0</v>
      </c>
      <c r="F1132" s="3" t="s">
        <v>3482</v>
      </c>
      <c r="G1132" s="3">
        <v>1.0</v>
      </c>
      <c r="H1132" s="3">
        <v>0.0</v>
      </c>
      <c r="I1132" s="3" t="s">
        <v>13</v>
      </c>
      <c r="J1132" s="3" t="s">
        <v>3483</v>
      </c>
      <c r="K1132" s="3" t="s">
        <v>41</v>
      </c>
      <c r="L1132" s="3" t="str">
        <f>IFERROR(__xludf.DUMMYFUNCTION("GOOGLETRANSLATE(F1132,""id"",""en"")"),"Cokkkk Hatrick World Cup Final What is the story of that age")</f>
        <v>Cokkkk Hatrick World Cup Final What is the story of that age</v>
      </c>
    </row>
    <row r="1133" ht="15.75" customHeight="1">
      <c r="A1133" s="1">
        <v>1135.0</v>
      </c>
      <c r="B1133" s="3" t="s">
        <v>3484</v>
      </c>
      <c r="C1133" s="3">
        <v>1.0</v>
      </c>
      <c r="D1133" s="3">
        <v>1.0</v>
      </c>
      <c r="E1133" s="3">
        <v>9.0</v>
      </c>
      <c r="F1133" s="3" t="s">
        <v>2996</v>
      </c>
      <c r="G1133" s="3">
        <v>1.0</v>
      </c>
      <c r="H1133" s="3">
        <v>0.0</v>
      </c>
      <c r="I1133" s="3" t="s">
        <v>13</v>
      </c>
      <c r="J1133" s="3" t="s">
        <v>2997</v>
      </c>
      <c r="K1133" s="3" t="s">
        <v>657</v>
      </c>
      <c r="L1133" s="3" t="str">
        <f>IFERROR(__xludf.DUMMYFUNCTION("GOOGLETRANSLATE(F1133,""id"",""en"")"),"The final results of the Argentine French World Cup help the Tango Tango team Lionel Messi Print Unique Record")</f>
        <v>The final results of the Argentine French World Cup help the Tango Tango team Lionel Messi Print Unique Record</v>
      </c>
    </row>
    <row r="1134" ht="15.75" customHeight="1">
      <c r="A1134" s="1">
        <v>1136.0</v>
      </c>
      <c r="B1134" s="3" t="s">
        <v>3485</v>
      </c>
      <c r="C1134" s="3">
        <v>0.0</v>
      </c>
      <c r="D1134" s="3">
        <v>1.0</v>
      </c>
      <c r="E1134" s="3">
        <v>4.0</v>
      </c>
      <c r="F1134" s="3" t="s">
        <v>3486</v>
      </c>
      <c r="G1134" s="3">
        <v>1.0</v>
      </c>
      <c r="H1134" s="3">
        <v>0.0</v>
      </c>
      <c r="I1134" s="3" t="s">
        <v>13</v>
      </c>
      <c r="J1134" s="3" t="s">
        <v>3487</v>
      </c>
      <c r="K1134" s="3" t="s">
        <v>1265</v>
      </c>
      <c r="L1134" s="3" t="str">
        <f>IFERROR(__xludf.DUMMYFUNCTION("GOOGLETRANSLATE(F1134,""id"",""en"")"),"World Champion World Cup Final Hattrick Topscore Final What Year What are you doing")</f>
        <v>World Champion World Cup Final Hattrick Topscore Final What Year What are you doing</v>
      </c>
    </row>
    <row r="1135" ht="15.75" customHeight="1">
      <c r="A1135" s="1">
        <v>1137.0</v>
      </c>
      <c r="B1135" s="3" t="s">
        <v>3488</v>
      </c>
      <c r="C1135" s="3">
        <v>0.0</v>
      </c>
      <c r="D1135" s="3">
        <v>0.0</v>
      </c>
      <c r="E1135" s="3">
        <v>0.0</v>
      </c>
      <c r="F1135" s="3" t="s">
        <v>3489</v>
      </c>
      <c r="G1135" s="3">
        <v>1.0</v>
      </c>
      <c r="H1135" s="3">
        <v>0.0</v>
      </c>
      <c r="I1135" s="3" t="s">
        <v>13</v>
      </c>
      <c r="J1135" s="3" t="s">
        <v>3490</v>
      </c>
      <c r="K1135" s="3" t="s">
        <v>50</v>
      </c>
      <c r="L1135" s="3" t="str">
        <f>IFERROR(__xludf.DUMMYFUNCTION("GOOGLETRANSLATE(F1135,""id"",""en"")"),"The French Argentine World Cup final continues the penalty shootout between News Bengkulu")</f>
        <v>The French Argentine World Cup final continues the penalty shootout between News Bengkulu</v>
      </c>
    </row>
    <row r="1136" ht="15.75" customHeight="1">
      <c r="A1136" s="1">
        <v>1138.0</v>
      </c>
      <c r="B1136" s="3" t="s">
        <v>3491</v>
      </c>
      <c r="C1136" s="3">
        <v>1.0</v>
      </c>
      <c r="D1136" s="3">
        <v>0.0</v>
      </c>
      <c r="E1136" s="3">
        <v>0.0</v>
      </c>
      <c r="F1136" s="3" t="s">
        <v>3492</v>
      </c>
      <c r="G1136" s="3">
        <v>1.0</v>
      </c>
      <c r="H1136" s="3">
        <v>0.0</v>
      </c>
      <c r="I1136" s="3" t="s">
        <v>13</v>
      </c>
      <c r="J1136" s="3" t="s">
        <v>3493</v>
      </c>
      <c r="K1136" s="3" t="s">
        <v>644</v>
      </c>
      <c r="L1136" s="3" t="str">
        <f>IFERROR(__xludf.DUMMYFUNCTION("GOOGLETRANSLATE(F1136,""id"",""en"")"),"Nyet World Cup Final")</f>
        <v>Nyet World Cup Final</v>
      </c>
    </row>
    <row r="1137" ht="15.75" customHeight="1">
      <c r="A1137" s="1">
        <v>1139.0</v>
      </c>
      <c r="B1137" s="3" t="s">
        <v>3494</v>
      </c>
      <c r="C1137" s="3">
        <v>0.0</v>
      </c>
      <c r="D1137" s="3">
        <v>0.0</v>
      </c>
      <c r="E1137" s="3">
        <v>1.0</v>
      </c>
      <c r="F1137" s="3" t="s">
        <v>3495</v>
      </c>
      <c r="G1137" s="3">
        <v>1.0</v>
      </c>
      <c r="H1137" s="3">
        <v>0.0</v>
      </c>
      <c r="I1137" s="3" t="s">
        <v>13</v>
      </c>
      <c r="J1137" s="3" t="s">
        <v>3496</v>
      </c>
      <c r="K1137" s="3" t="s">
        <v>3497</v>
      </c>
      <c r="L1137" s="3" t="str">
        <f>IFERROR(__xludf.DUMMYFUNCTION("GOOGLETRANSLATE(F1137,""id"",""en"")"),"Best World Cup Final Best")</f>
        <v>Best World Cup Final Best</v>
      </c>
    </row>
    <row r="1138" ht="15.75" customHeight="1">
      <c r="A1138" s="1">
        <v>1140.0</v>
      </c>
      <c r="B1138" s="3" t="s">
        <v>3498</v>
      </c>
      <c r="C1138" s="3">
        <v>0.0</v>
      </c>
      <c r="D1138" s="3">
        <v>0.0</v>
      </c>
      <c r="E1138" s="3">
        <v>0.0</v>
      </c>
      <c r="F1138" s="3" t="s">
        <v>2246</v>
      </c>
      <c r="G1138" s="3">
        <v>1.0</v>
      </c>
      <c r="H1138" s="3">
        <v>0.0</v>
      </c>
      <c r="I1138" s="3" t="s">
        <v>13</v>
      </c>
      <c r="J1138" s="3" t="s">
        <v>2247</v>
      </c>
      <c r="K1138" s="3" t="s">
        <v>31</v>
      </c>
      <c r="L1138" s="3" t="str">
        <f>IFERROR(__xludf.DUMMYFUNCTION("GOOGLETRANSLATE(F1138,""id"",""en"")"),"World Cup Final Most Exciting")</f>
        <v>World Cup Final Most Exciting</v>
      </c>
    </row>
    <row r="1139" ht="15.75" customHeight="1">
      <c r="A1139" s="1">
        <v>1141.0</v>
      </c>
      <c r="B1139" s="3" t="s">
        <v>3499</v>
      </c>
      <c r="C1139" s="3">
        <v>25.0</v>
      </c>
      <c r="D1139" s="3">
        <v>238.0</v>
      </c>
      <c r="E1139" s="3">
        <v>1349.0</v>
      </c>
      <c r="F1139" s="3" t="s">
        <v>3500</v>
      </c>
      <c r="G1139" s="3">
        <v>1.0</v>
      </c>
      <c r="H1139" s="3">
        <v>0.0</v>
      </c>
      <c r="I1139" s="3" t="s">
        <v>13</v>
      </c>
      <c r="J1139" s="3" t="s">
        <v>3501</v>
      </c>
      <c r="K1139" s="3" t="s">
        <v>3502</v>
      </c>
      <c r="L1139" s="3" t="str">
        <f>IFERROR(__xludf.DUMMYFUNCTION("GOOGLETRANSLATE(F1139,""id"",""en"")"),"Countries that have entered the World Cup final in a row participating in Italy champion Brazil champion champion champion Runner Argentina champion champion French champion champion BTW Respect France Runner")</f>
        <v>Countries that have entered the World Cup final in a row participating in Italy champion Brazil champion champion champion Runner Argentina champion champion French champion champion BTW Respect France Runner</v>
      </c>
    </row>
    <row r="1140" ht="15.75" customHeight="1">
      <c r="A1140" s="1">
        <v>1142.0</v>
      </c>
      <c r="B1140" s="3" t="s">
        <v>3503</v>
      </c>
      <c r="C1140" s="3">
        <v>0.0</v>
      </c>
      <c r="D1140" s="3">
        <v>0.0</v>
      </c>
      <c r="E1140" s="3">
        <v>0.0</v>
      </c>
      <c r="F1140" s="3" t="s">
        <v>3504</v>
      </c>
      <c r="G1140" s="3">
        <v>1.0</v>
      </c>
      <c r="H1140" s="3">
        <v>0.0</v>
      </c>
      <c r="I1140" s="3" t="s">
        <v>13</v>
      </c>
      <c r="J1140" s="3" t="s">
        <v>3505</v>
      </c>
      <c r="K1140" s="3" t="s">
        <v>82</v>
      </c>
      <c r="L1140" s="3" t="str">
        <f>IFERROR(__xludf.DUMMYFUNCTION("GOOGLETRANSLATE(F1140,""id"",""en"")"),"The World Cup Final was excited as long as I watched")</f>
        <v>The World Cup Final was excited as long as I watched</v>
      </c>
    </row>
    <row r="1141" ht="15.75" customHeight="1">
      <c r="A1141" s="1">
        <v>1143.0</v>
      </c>
      <c r="B1141" s="3" t="s">
        <v>3506</v>
      </c>
      <c r="C1141" s="3">
        <v>0.0</v>
      </c>
      <c r="D1141" s="3">
        <v>0.0</v>
      </c>
      <c r="E1141" s="3">
        <v>0.0</v>
      </c>
      <c r="F1141" s="3" t="s">
        <v>3507</v>
      </c>
      <c r="G1141" s="3">
        <v>1.0</v>
      </c>
      <c r="H1141" s="3">
        <v>0.0</v>
      </c>
      <c r="I1141" s="3" t="s">
        <v>13</v>
      </c>
      <c r="J1141" s="3" t="s">
        <v>3508</v>
      </c>
      <c r="K1141" s="3" t="s">
        <v>510</v>
      </c>
      <c r="L1141" s="3" t="str">
        <f>IFERROR(__xludf.DUMMYFUNCTION("GOOGLETRANSLATE(F1141,""id"",""en"")"),"Thank you, wife and children have given permission to watch the best World Cup final for life")</f>
        <v>Thank you, wife and children have given permission to watch the best World Cup final for life</v>
      </c>
    </row>
    <row r="1142" ht="15.75" customHeight="1">
      <c r="A1142" s="1">
        <v>1144.0</v>
      </c>
      <c r="B1142" s="3" t="s">
        <v>3509</v>
      </c>
      <c r="C1142" s="3">
        <v>0.0</v>
      </c>
      <c r="D1142" s="3">
        <v>0.0</v>
      </c>
      <c r="E1142" s="3">
        <v>1.0</v>
      </c>
      <c r="F1142" s="3" t="s">
        <v>3510</v>
      </c>
      <c r="G1142" s="3">
        <v>1.0</v>
      </c>
      <c r="H1142" s="3">
        <v>0.0</v>
      </c>
      <c r="I1142" s="3" t="s">
        <v>13</v>
      </c>
      <c r="J1142" s="3" t="s">
        <v>3511</v>
      </c>
      <c r="K1142" s="3" t="s">
        <v>1656</v>
      </c>
      <c r="L1142" s="3" t="str">
        <f>IFERROR(__xludf.DUMMYFUNCTION("GOOGLETRANSLATE(F1142,""id"",""en"")"),"Initially doubtful but finally the Qatar World Cup became the World Cup and the most exciting final match of all time Inshaallah long life until the Canadian World Cup meeting")</f>
        <v>Initially doubtful but finally the Qatar World Cup became the World Cup and the most exciting final match of all time Inshaallah long life until the Canadian World Cup meeting</v>
      </c>
    </row>
    <row r="1143" ht="15.75" customHeight="1">
      <c r="A1143" s="1">
        <v>1145.0</v>
      </c>
      <c r="B1143" s="3" t="s">
        <v>3512</v>
      </c>
      <c r="C1143" s="3">
        <v>0.0</v>
      </c>
      <c r="D1143" s="3">
        <v>0.0</v>
      </c>
      <c r="E1143" s="3">
        <v>0.0</v>
      </c>
      <c r="F1143" s="3" t="s">
        <v>3513</v>
      </c>
      <c r="G1143" s="3">
        <v>1.0</v>
      </c>
      <c r="H1143" s="3">
        <v>0.0</v>
      </c>
      <c r="I1143" s="3" t="s">
        <v>13</v>
      </c>
      <c r="J1143" s="3" t="s">
        <v>3514</v>
      </c>
      <c r="K1143" s="3" t="s">
        <v>90</v>
      </c>
      <c r="L1143" s="3" t="str">
        <f>IFERROR(__xludf.DUMMYFUNCTION("GOOGLETRANSLATE(F1143,""id"",""en"")"),"The Argentine World Cup final results conquered France through Lionel Messi's penalty shootout to be a goat with the plenary of all pages of BolaSport")</f>
        <v>The Argentine World Cup final results conquered France through Lionel Messi's penalty shootout to be a goat with the plenary of all pages of BolaSport</v>
      </c>
    </row>
    <row r="1144" ht="15.75" customHeight="1">
      <c r="A1144" s="1">
        <v>1146.0</v>
      </c>
      <c r="B1144" s="3" t="s">
        <v>3515</v>
      </c>
      <c r="C1144" s="3">
        <v>0.0</v>
      </c>
      <c r="D1144" s="3">
        <v>0.0</v>
      </c>
      <c r="E1144" s="3">
        <v>0.0</v>
      </c>
      <c r="F1144" s="3" t="s">
        <v>2522</v>
      </c>
      <c r="G1144" s="3">
        <v>0.75</v>
      </c>
      <c r="H1144" s="3">
        <v>0.06818181818181818</v>
      </c>
      <c r="I1144" s="3" t="s">
        <v>48</v>
      </c>
      <c r="J1144" s="3" t="s">
        <v>2523</v>
      </c>
      <c r="K1144" s="3" t="s">
        <v>19</v>
      </c>
      <c r="L1144" s="3" t="str">
        <f>IFERROR(__xludf.DUMMYFUNCTION("GOOGLETRANSLATE(F1144,""id"",""en"")"),"Live Report of Argentina French Final World Cup World Cnn Indonesia Google Sports News")</f>
        <v>Live Report of Argentina French Final World Cup World Cnn Indonesia Google Sports News</v>
      </c>
    </row>
    <row r="1145" ht="15.75" customHeight="1">
      <c r="A1145" s="1">
        <v>1147.0</v>
      </c>
      <c r="B1145" s="3" t="s">
        <v>3516</v>
      </c>
      <c r="C1145" s="3">
        <v>0.0</v>
      </c>
      <c r="D1145" s="3">
        <v>0.0</v>
      </c>
      <c r="E1145" s="3">
        <v>0.0</v>
      </c>
      <c r="F1145" s="3" t="s">
        <v>3517</v>
      </c>
      <c r="G1145" s="3">
        <v>1.0</v>
      </c>
      <c r="H1145" s="3">
        <v>0.0</v>
      </c>
      <c r="I1145" s="3" t="s">
        <v>13</v>
      </c>
      <c r="J1145" s="3" t="s">
        <v>3518</v>
      </c>
      <c r="K1145" s="3" t="s">
        <v>3519</v>
      </c>
      <c r="L1145" s="3" t="str">
        <f>IFERROR(__xludf.DUMMYFUNCTION("GOOGLETRANSLATE(F1145,""id"",""en"")"),"Thank you FIFA, this is one of the best Football World Cup events until our final round as the people of Indonesia, thank you too because of fried foods like Bala Gehu Combro Tempe Fried Tempe Sold tons of tons of many people who are boring for nonbar")</f>
        <v>Thank you FIFA, this is one of the best Football World Cup events until our final round as the people of Indonesia, thank you too because of fried foods like Bala Gehu Combro Tempe Fried Tempe Sold tons of tons of many people who are boring for nonbar</v>
      </c>
    </row>
    <row r="1146" ht="15.75" customHeight="1">
      <c r="A1146" s="1">
        <v>1148.0</v>
      </c>
      <c r="B1146" s="3" t="s">
        <v>3520</v>
      </c>
      <c r="C1146" s="3">
        <v>1.0</v>
      </c>
      <c r="D1146" s="3">
        <v>1.0</v>
      </c>
      <c r="E1146" s="3">
        <v>0.0</v>
      </c>
      <c r="F1146" s="3" t="s">
        <v>3521</v>
      </c>
      <c r="G1146" s="3">
        <v>0.2888888888888889</v>
      </c>
      <c r="H1146" s="3">
        <v>-0.1555555555555556</v>
      </c>
      <c r="I1146" s="3" t="s">
        <v>179</v>
      </c>
      <c r="J1146" s="3" t="s">
        <v>3522</v>
      </c>
      <c r="K1146" s="3" t="s">
        <v>449</v>
      </c>
      <c r="L1146" s="3" t="str">
        <f>IFERROR(__xludf.DUMMYFUNCTION("GOOGLETRANSLATE(F1146,""id"",""en"")"),"Congratulations to Argentina for me, the champion is still France, and it's really cool, the entire team is great behind the goal, not, it doesn't make a down, but it can rise to the world's best heart champion")</f>
        <v>Congratulations to Argentina for me, the champion is still France, and it's really cool, the entire team is great behind the goal, not, it doesn't make a down, but it can rise to the world's best heart champion</v>
      </c>
    </row>
    <row r="1147" ht="15.75" customHeight="1">
      <c r="A1147" s="1">
        <v>1149.0</v>
      </c>
      <c r="B1147" s="3" t="s">
        <v>3523</v>
      </c>
      <c r="C1147" s="3">
        <v>0.0</v>
      </c>
      <c r="D1147" s="3">
        <v>0.0</v>
      </c>
      <c r="E1147" s="3">
        <v>0.0</v>
      </c>
      <c r="F1147" s="3" t="s">
        <v>3524</v>
      </c>
      <c r="G1147" s="3">
        <v>1.0</v>
      </c>
      <c r="H1147" s="3">
        <v>0.0</v>
      </c>
      <c r="I1147" s="3" t="s">
        <v>13</v>
      </c>
      <c r="J1147" s="3" t="s">
        <v>3525</v>
      </c>
      <c r="K1147" s="3" t="s">
        <v>437</v>
      </c>
      <c r="L1147" s="3" t="str">
        <f>IFERROR(__xludf.DUMMYFUNCTION("GOOGLETRANSLATE(F1147,""id"",""en"")"),"I am one of the witnesses of the history of the World Cup Final Match most tense Argentina and France as great as great")</f>
        <v>I am one of the witnesses of the history of the World Cup Final Match most tense Argentina and France as great as great</v>
      </c>
    </row>
    <row r="1148" ht="15.75" customHeight="1">
      <c r="A1148" s="1">
        <v>1150.0</v>
      </c>
      <c r="B1148" s="3" t="s">
        <v>3526</v>
      </c>
      <c r="C1148" s="3">
        <v>1.0</v>
      </c>
      <c r="D1148" s="3">
        <v>0.0</v>
      </c>
      <c r="E1148" s="3">
        <v>0.0</v>
      </c>
      <c r="F1148" s="3" t="s">
        <v>3527</v>
      </c>
      <c r="G1148" s="3">
        <v>1.0</v>
      </c>
      <c r="H1148" s="3">
        <v>0.0</v>
      </c>
      <c r="I1148" s="3" t="s">
        <v>13</v>
      </c>
      <c r="J1148" s="3" t="s">
        <v>3528</v>
      </c>
      <c r="K1148" s="3" t="s">
        <v>94</v>
      </c>
      <c r="L1148" s="3" t="str">
        <f>IFERROR(__xludf.DUMMYFUNCTION("GOOGLETRANSLATE(F1148,""id"",""en"")"),"Having one similarity that is there is a group of people who are watching the World Cup final match is indeed exciting to see the match Argentina and France buying and selling attacks and finally ended in the penalty shootout with Argentina Cons")</f>
        <v>Having one similarity that is there is a group of people who are watching the World Cup final match is indeed exciting to see the match Argentina and France buying and selling attacks and finally ended in the penalty shootout with Argentina Cons</v>
      </c>
    </row>
    <row r="1149" ht="15.75" customHeight="1">
      <c r="A1149" s="1">
        <v>1151.0</v>
      </c>
      <c r="B1149" s="3" t="s">
        <v>3529</v>
      </c>
      <c r="C1149" s="3">
        <v>0.0</v>
      </c>
      <c r="D1149" s="3">
        <v>0.0</v>
      </c>
      <c r="E1149" s="3">
        <v>0.0</v>
      </c>
      <c r="F1149" s="3" t="s">
        <v>3530</v>
      </c>
      <c r="G1149" s="3">
        <v>1.0</v>
      </c>
      <c r="H1149" s="3">
        <v>0.0</v>
      </c>
      <c r="I1149" s="3" t="s">
        <v>13</v>
      </c>
      <c r="J1149" s="3" t="s">
        <v>3531</v>
      </c>
      <c r="K1149" s="3" t="s">
        <v>633</v>
      </c>
      <c r="L1149" s="3" t="str">
        <f>IFERROR(__xludf.DUMMYFUNCTION("GOOGLETRANSLATE(F1149,""id"",""en"")"),"The Saudi national team should be proud because at least they have defeated the World Cup champion even though they are not during the final happy Messi Happy Argentina is enthusiastic for Mbappe")</f>
        <v>The Saudi national team should be proud because at least they have defeated the World Cup champion even though they are not during the final happy Messi Happy Argentina is enthusiastic for Mbappe</v>
      </c>
    </row>
    <row r="1150" ht="15.75" customHeight="1">
      <c r="A1150" s="1">
        <v>1152.0</v>
      </c>
      <c r="B1150" s="3" t="s">
        <v>3532</v>
      </c>
      <c r="C1150" s="3">
        <v>0.0</v>
      </c>
      <c r="D1150" s="3">
        <v>0.0</v>
      </c>
      <c r="E1150" s="3">
        <v>0.0</v>
      </c>
      <c r="F1150" s="3" t="s">
        <v>3533</v>
      </c>
      <c r="G1150" s="3">
        <v>1.0</v>
      </c>
      <c r="H1150" s="3">
        <v>0.0</v>
      </c>
      <c r="I1150" s="3" t="s">
        <v>13</v>
      </c>
      <c r="J1150" s="3" t="s">
        <v>3534</v>
      </c>
      <c r="K1150" s="3" t="s">
        <v>82</v>
      </c>
      <c r="L1150" s="3" t="str">
        <f>IFERROR(__xludf.DUMMYFUNCTION("GOOGLETRANSLATE(F1150,""id"",""en"")"),"One of the best World Cup finals ever")</f>
        <v>One of the best World Cup finals ever</v>
      </c>
    </row>
    <row r="1151" ht="15.75" customHeight="1">
      <c r="A1151" s="1">
        <v>1153.0</v>
      </c>
      <c r="B1151" s="3" t="s">
        <v>3535</v>
      </c>
      <c r="C1151" s="3">
        <v>0.0</v>
      </c>
      <c r="D1151" s="3">
        <v>0.0</v>
      </c>
      <c r="E1151" s="3">
        <v>0.0</v>
      </c>
      <c r="F1151" s="3" t="s">
        <v>665</v>
      </c>
      <c r="G1151" s="3">
        <v>1.0</v>
      </c>
      <c r="H1151" s="3">
        <v>0.0</v>
      </c>
      <c r="I1151" s="3" t="s">
        <v>13</v>
      </c>
      <c r="J1151" s="3" t="s">
        <v>666</v>
      </c>
      <c r="K1151" s="3" t="s">
        <v>644</v>
      </c>
      <c r="L1151" s="3" t="str">
        <f>IFERROR(__xludf.DUMMYFUNCTION("GOOGLETRANSLATE(F1151,""id"",""en"")"),"the best world cup final")</f>
        <v>the best world cup final</v>
      </c>
    </row>
    <row r="1152" ht="15.75" customHeight="1">
      <c r="A1152" s="1">
        <v>1154.0</v>
      </c>
      <c r="B1152" s="3" t="s">
        <v>3536</v>
      </c>
      <c r="C1152" s="3">
        <v>1.0</v>
      </c>
      <c r="D1152" s="3">
        <v>0.0</v>
      </c>
      <c r="E1152" s="3">
        <v>7.0</v>
      </c>
      <c r="F1152" s="3" t="s">
        <v>3537</v>
      </c>
      <c r="G1152" s="3">
        <v>1.0</v>
      </c>
      <c r="H1152" s="3">
        <v>0.0</v>
      </c>
      <c r="I1152" s="3" t="s">
        <v>13</v>
      </c>
      <c r="J1152" s="3" t="s">
        <v>3538</v>
      </c>
      <c r="K1152" s="3" t="s">
        <v>71</v>
      </c>
      <c r="L1152" s="3" t="str">
        <f>IFERROR(__xludf.DUMMYFUNCTION("GOOGLETRANSLATE(F1152,""id"",""en"")"),"Qatar World Cup Final Argentina won many topics trending gambling if you")</f>
        <v>Qatar World Cup Final Argentina won many topics trending gambling if you</v>
      </c>
    </row>
    <row r="1153" ht="15.75" customHeight="1">
      <c r="A1153" s="1">
        <v>1155.0</v>
      </c>
      <c r="B1153" s="3" t="s">
        <v>3539</v>
      </c>
      <c r="C1153" s="3">
        <v>0.0</v>
      </c>
      <c r="D1153" s="3">
        <v>0.0</v>
      </c>
      <c r="E1153" s="3">
        <v>0.0</v>
      </c>
      <c r="F1153" s="3" t="s">
        <v>3540</v>
      </c>
      <c r="G1153" s="3">
        <v>0.5333333333333333</v>
      </c>
      <c r="H1153" s="3">
        <v>0.04545454545454545</v>
      </c>
      <c r="I1153" s="3" t="s">
        <v>48</v>
      </c>
      <c r="J1153" s="3" t="s">
        <v>3541</v>
      </c>
      <c r="K1153" s="3" t="s">
        <v>244</v>
      </c>
      <c r="L1153" s="3" t="str">
        <f>IFERROR(__xludf.DUMMYFUNCTION("GOOGLETRANSLATE(F1153,""id"",""en"")"),"Live Score of the French French World Cup Final Score Extra Time Score Begins")</f>
        <v>Live Score of the French French World Cup Final Score Extra Time Score Begins</v>
      </c>
    </row>
    <row r="1154" ht="15.75" customHeight="1">
      <c r="A1154" s="1">
        <v>1156.0</v>
      </c>
      <c r="B1154" s="3" t="s">
        <v>3542</v>
      </c>
      <c r="C1154" s="3">
        <v>0.0</v>
      </c>
      <c r="D1154" s="3">
        <v>0.0</v>
      </c>
      <c r="E1154" s="3">
        <v>0.0</v>
      </c>
      <c r="F1154" s="3" t="s">
        <v>3543</v>
      </c>
      <c r="G1154" s="3">
        <v>0.5777777777777778</v>
      </c>
      <c r="H1154" s="3">
        <v>0.1444444444444444</v>
      </c>
      <c r="I1154" s="3" t="s">
        <v>48</v>
      </c>
      <c r="J1154" s="3" t="s">
        <v>3544</v>
      </c>
      <c r="K1154" s="3" t="s">
        <v>286</v>
      </c>
      <c r="L1154" s="3" t="str">
        <f>IFERROR(__xludf.DUMMYFUNCTION("GOOGLETRANSLATE(F1154,""id"",""en"")"),"The most tense world cup final thank you for being given the opportunity to watch Messi lifting the World Cup Trophy Keep Strong for Mbappe Try Again the Next World Cup")</f>
        <v>The most tense world cup final thank you for being given the opportunity to watch Messi lifting the World Cup Trophy Keep Strong for Mbappe Try Again the Next World Cup</v>
      </c>
    </row>
    <row r="1155" ht="15.75" customHeight="1">
      <c r="A1155" s="1">
        <v>1157.0</v>
      </c>
      <c r="B1155" s="3" t="s">
        <v>3545</v>
      </c>
      <c r="C1155" s="3">
        <v>0.0</v>
      </c>
      <c r="D1155" s="3">
        <v>0.0</v>
      </c>
      <c r="E1155" s="3">
        <v>0.0</v>
      </c>
      <c r="F1155" s="3" t="s">
        <v>3546</v>
      </c>
      <c r="G1155" s="3">
        <v>1.0</v>
      </c>
      <c r="H1155" s="3">
        <v>0.0</v>
      </c>
      <c r="I1155" s="3" t="s">
        <v>13</v>
      </c>
      <c r="J1155" s="3" t="s">
        <v>3547</v>
      </c>
      <c r="K1155" s="3" t="s">
        <v>2907</v>
      </c>
      <c r="L1155" s="3" t="str">
        <f>IFERROR(__xludf.DUMMYFUNCTION("GOOGLETRANSLATE(F1155,""id"",""en"")"),"The Qatar World Cup is doubtful the beginning even the most fierce world cup until the final")</f>
        <v>The Qatar World Cup is doubtful the beginning even the most fierce world cup until the final</v>
      </c>
    </row>
    <row r="1156" ht="15.75" customHeight="1">
      <c r="A1156" s="1">
        <v>1158.0</v>
      </c>
      <c r="B1156" s="3" t="s">
        <v>3548</v>
      </c>
      <c r="C1156" s="3">
        <v>0.0</v>
      </c>
      <c r="D1156" s="3">
        <v>0.0</v>
      </c>
      <c r="E1156" s="3">
        <v>0.0</v>
      </c>
      <c r="F1156" s="3" t="s">
        <v>3549</v>
      </c>
      <c r="G1156" s="3">
        <v>1.0</v>
      </c>
      <c r="H1156" s="3">
        <v>0.0</v>
      </c>
      <c r="I1156" s="3" t="s">
        <v>13</v>
      </c>
      <c r="J1156" s="3" t="s">
        <v>3550</v>
      </c>
      <c r="K1156" s="3" t="s">
        <v>54</v>
      </c>
      <c r="L1156" s="3" t="str">
        <f>IFERROR(__xludf.DUMMYFUNCTION("GOOGLETRANSLATE(F1156,""id"",""en"")"),"record the best December World Cup final")</f>
        <v>record the best December World Cup final</v>
      </c>
    </row>
    <row r="1157" ht="15.75" customHeight="1">
      <c r="A1157" s="1">
        <v>1159.0</v>
      </c>
      <c r="B1157" s="3" t="s">
        <v>3551</v>
      </c>
      <c r="C1157" s="3">
        <v>0.0</v>
      </c>
      <c r="D1157" s="3">
        <v>0.0</v>
      </c>
      <c r="E1157" s="3">
        <v>0.0</v>
      </c>
      <c r="F1157" s="3" t="s">
        <v>3552</v>
      </c>
      <c r="G1157" s="3">
        <v>1.0</v>
      </c>
      <c r="H1157" s="3">
        <v>0.4</v>
      </c>
      <c r="I1157" s="3" t="s">
        <v>48</v>
      </c>
      <c r="J1157" s="3" t="s">
        <v>3553</v>
      </c>
      <c r="K1157" s="3" t="s">
        <v>71</v>
      </c>
      <c r="L1157" s="3" t="str">
        <f>IFERROR(__xludf.DUMMYFUNCTION("GOOGLETRANSLATE(F1157,""id"",""en"")"),"Imagine the World Cup Final in front of Via Vallen Happy Asmara appeared for closing ceremony")</f>
        <v>Imagine the World Cup Final in front of Via Vallen Happy Asmara appeared for closing ceremony</v>
      </c>
    </row>
    <row r="1158" ht="15.75" customHeight="1">
      <c r="A1158" s="1">
        <v>1160.0</v>
      </c>
      <c r="B1158" s="3" t="s">
        <v>3554</v>
      </c>
      <c r="C1158" s="3">
        <v>0.0</v>
      </c>
      <c r="D1158" s="3">
        <v>0.0</v>
      </c>
      <c r="E1158" s="3">
        <v>0.0</v>
      </c>
      <c r="F1158" s="3" t="s">
        <v>1721</v>
      </c>
      <c r="G1158" s="3">
        <v>1.0</v>
      </c>
      <c r="H1158" s="3">
        <v>0.0</v>
      </c>
      <c r="I1158" s="3" t="s">
        <v>13</v>
      </c>
      <c r="J1158" s="3" t="s">
        <v>1722</v>
      </c>
      <c r="K1158" s="3" t="s">
        <v>54</v>
      </c>
      <c r="L1158" s="3" t="str">
        <f>IFERROR(__xludf.DUMMYFUNCTION("GOOGLETRANSLATE(F1158,""id"",""en"")"),"the best world cup final of all time")</f>
        <v>the best world cup final of all time</v>
      </c>
    </row>
    <row r="1159" ht="15.75" customHeight="1">
      <c r="A1159" s="1">
        <v>1161.0</v>
      </c>
      <c r="B1159" s="3" t="s">
        <v>3555</v>
      </c>
      <c r="C1159" s="3">
        <v>0.0</v>
      </c>
      <c r="D1159" s="3">
        <v>0.0</v>
      </c>
      <c r="E1159" s="3">
        <v>1.0</v>
      </c>
      <c r="F1159" s="3" t="s">
        <v>3556</v>
      </c>
      <c r="G1159" s="3">
        <v>1.0</v>
      </c>
      <c r="H1159" s="3">
        <v>0.0</v>
      </c>
      <c r="I1159" s="3" t="s">
        <v>13</v>
      </c>
      <c r="J1159" s="3" t="s">
        <v>3557</v>
      </c>
      <c r="K1159" s="3" t="s">
        <v>657</v>
      </c>
      <c r="L1159" s="3" t="str">
        <f>IFERROR(__xludf.DUMMYFUNCTION("GOOGLETRANSLATE(F1159,""id"",""en"")"),"The Argentine World Cup final results won over France through a penalty shootout Messi lift the trophy")</f>
        <v>The Argentine World Cup final results won over France through a penalty shootout Messi lift the trophy</v>
      </c>
    </row>
    <row r="1160" ht="15.75" customHeight="1">
      <c r="A1160" s="1">
        <v>1162.0</v>
      </c>
      <c r="B1160" s="3" t="s">
        <v>3558</v>
      </c>
      <c r="C1160" s="3">
        <v>0.0</v>
      </c>
      <c r="D1160" s="3">
        <v>0.0</v>
      </c>
      <c r="E1160" s="3">
        <v>2.0</v>
      </c>
      <c r="F1160" s="3" t="s">
        <v>3559</v>
      </c>
      <c r="G1160" s="3">
        <v>1.0</v>
      </c>
      <c r="H1160" s="3">
        <v>0.0</v>
      </c>
      <c r="I1160" s="3" t="s">
        <v>13</v>
      </c>
      <c r="J1160" s="3" t="s">
        <v>3560</v>
      </c>
      <c r="K1160" s="3" t="s">
        <v>19</v>
      </c>
      <c r="L1160" s="3" t="str">
        <f>IFERROR(__xludf.DUMMYFUNCTION("GOOGLETRANSLATE(F1160,""id"",""en"")"),"The most exciting world cup final with Congrats Argentina France Goat Messi")</f>
        <v>The most exciting world cup final with Congrats Argentina France Goat Messi</v>
      </c>
    </row>
    <row r="1161" ht="15.75" customHeight="1">
      <c r="A1161" s="1">
        <v>1163.0</v>
      </c>
      <c r="B1161" s="3" t="s">
        <v>3561</v>
      </c>
      <c r="C1161" s="3">
        <v>1.0</v>
      </c>
      <c r="D1161" s="3">
        <v>0.0</v>
      </c>
      <c r="E1161" s="3">
        <v>0.0</v>
      </c>
      <c r="F1161" s="3" t="s">
        <v>3562</v>
      </c>
      <c r="G1161" s="3">
        <v>1.0</v>
      </c>
      <c r="H1161" s="3">
        <v>0.0</v>
      </c>
      <c r="I1161" s="3" t="s">
        <v>13</v>
      </c>
      <c r="J1161" s="3" t="s">
        <v>3563</v>
      </c>
      <c r="K1161" s="3" t="s">
        <v>41</v>
      </c>
      <c r="L1161" s="3" t="str">
        <f>IFERROR(__xludf.DUMMYFUNCTION("GOOGLETRANSLATE(F1161,""id"",""en"")"),"The World Cup Final Most Edyan Deg Dgan Sak Polle")</f>
        <v>The World Cup Final Most Edyan Deg Dgan Sak Polle</v>
      </c>
    </row>
    <row r="1162" ht="15.75" customHeight="1">
      <c r="A1162" s="1">
        <v>1164.0</v>
      </c>
      <c r="B1162" s="3" t="s">
        <v>3564</v>
      </c>
      <c r="C1162" s="3">
        <v>0.0</v>
      </c>
      <c r="D1162" s="3">
        <v>0.0</v>
      </c>
      <c r="E1162" s="3">
        <v>0.0</v>
      </c>
      <c r="F1162" s="3" t="s">
        <v>3565</v>
      </c>
      <c r="G1162" s="3">
        <v>1.0</v>
      </c>
      <c r="H1162" s="3">
        <v>0.0</v>
      </c>
      <c r="I1162" s="3" t="s">
        <v>13</v>
      </c>
      <c r="J1162" s="3" t="s">
        <v>3566</v>
      </c>
      <c r="K1162" s="3" t="s">
        <v>127</v>
      </c>
      <c r="L1162" s="3" t="str">
        <f>IFERROR(__xludf.DUMMYFUNCTION("GOOGLETRANSLATE(F1162,""id"",""en"")"),"As people you can say you don't like the ball watching the World Cup final tonight, very crazy Argentina for his victory")</f>
        <v>As people you can say you don't like the ball watching the World Cup final tonight, very crazy Argentina for his victory</v>
      </c>
    </row>
    <row r="1163" ht="15.75" customHeight="1">
      <c r="A1163" s="1">
        <v>1165.0</v>
      </c>
      <c r="B1163" s="3" t="s">
        <v>3567</v>
      </c>
      <c r="C1163" s="3">
        <v>0.0</v>
      </c>
      <c r="D1163" s="3">
        <v>0.0</v>
      </c>
      <c r="E1163" s="3">
        <v>0.0</v>
      </c>
      <c r="F1163" s="3" t="s">
        <v>3568</v>
      </c>
      <c r="G1163" s="3">
        <v>1.0</v>
      </c>
      <c r="H1163" s="3">
        <v>0.0</v>
      </c>
      <c r="I1163" s="3" t="s">
        <v>13</v>
      </c>
      <c r="J1163" s="3" t="s">
        <v>3569</v>
      </c>
      <c r="K1163" s="3" t="s">
        <v>82</v>
      </c>
      <c r="L1163" s="3" t="str">
        <f>IFERROR(__xludf.DUMMYFUNCTION("GOOGLETRANSLATE(F1163,""id"",""en"")"),"Albiceleste Tango Final Dec World Cup Qatar")</f>
        <v>Albiceleste Tango Final Dec World Cup Qatar</v>
      </c>
    </row>
    <row r="1164" ht="15.75" customHeight="1">
      <c r="A1164" s="1">
        <v>1166.0</v>
      </c>
      <c r="B1164" s="3" t="s">
        <v>3570</v>
      </c>
      <c r="C1164" s="3">
        <v>0.0</v>
      </c>
      <c r="D1164" s="3">
        <v>0.0</v>
      </c>
      <c r="E1164" s="3">
        <v>0.0</v>
      </c>
      <c r="F1164" s="3" t="s">
        <v>3571</v>
      </c>
      <c r="G1164" s="3">
        <v>1.0</v>
      </c>
      <c r="H1164" s="3">
        <v>0.0</v>
      </c>
      <c r="I1164" s="3" t="s">
        <v>13</v>
      </c>
      <c r="J1164" s="3" t="s">
        <v>3572</v>
      </c>
      <c r="K1164" s="3" t="s">
        <v>266</v>
      </c>
      <c r="L1164" s="3" t="str">
        <f>IFERROR(__xludf.DUMMYFUNCTION("GOOGLETRANSLATE(F1164,""id"",""en"")"),"Watching this original World Cup Final The Best World Cup Final ever before Argentina Their penalties champions have been waiting for the year to end the champion of the extraordinary fight from Argentina challenger champion defending French champions")</f>
        <v>Watching this original World Cup Final The Best World Cup Final ever before Argentina Their penalties champions have been waiting for the year to end the champion of the extraordinary fight from Argentina challenger champion defending French champions</v>
      </c>
    </row>
    <row r="1165" ht="15.75" customHeight="1">
      <c r="A1165" s="1">
        <v>1167.0</v>
      </c>
      <c r="B1165" s="3" t="s">
        <v>3573</v>
      </c>
      <c r="C1165" s="3">
        <v>0.0</v>
      </c>
      <c r="D1165" s="3">
        <v>0.0</v>
      </c>
      <c r="E1165" s="3">
        <v>0.0</v>
      </c>
      <c r="F1165" s="3" t="s">
        <v>3574</v>
      </c>
      <c r="G1165" s="3">
        <v>0.8333333333333333</v>
      </c>
      <c r="H1165" s="3">
        <v>0.1666666666666667</v>
      </c>
      <c r="I1165" s="3" t="s">
        <v>48</v>
      </c>
      <c r="J1165" s="3" t="s">
        <v>3575</v>
      </c>
      <c r="K1165" s="3" t="s">
        <v>942</v>
      </c>
      <c r="L1165" s="3" t="str">
        <f>IFERROR(__xludf.DUMMYFUNCTION("GOOGLETRANSLATE(F1165,""id"",""en"")"),"Busy is just a reason for being busy when the president's world cup final is super busy watching")</f>
        <v>Busy is just a reason for being busy when the president's world cup final is super busy watching</v>
      </c>
    </row>
    <row r="1166" ht="15.75" customHeight="1">
      <c r="A1166" s="1">
        <v>1168.0</v>
      </c>
      <c r="B1166" s="3" t="s">
        <v>3576</v>
      </c>
      <c r="C1166" s="3">
        <v>0.0</v>
      </c>
      <c r="D1166" s="3">
        <v>0.0</v>
      </c>
      <c r="E1166" s="3">
        <v>0.0</v>
      </c>
      <c r="F1166" s="3" t="s">
        <v>3577</v>
      </c>
      <c r="G1166" s="3">
        <v>1.0</v>
      </c>
      <c r="H1166" s="3">
        <v>0.0</v>
      </c>
      <c r="I1166" s="3" t="s">
        <v>13</v>
      </c>
      <c r="J1166" s="3" t="s">
        <v>3578</v>
      </c>
      <c r="K1166" s="3" t="s">
        <v>19</v>
      </c>
      <c r="L1166" s="3" t="str">
        <f>IFERROR(__xludf.DUMMYFUNCTION("GOOGLETRANSLATE(F1166,""id"",""en"")"),"The real final until the last drop of blood finally Messi lifted the World Cup")</f>
        <v>The real final until the last drop of blood finally Messi lifted the World Cup</v>
      </c>
    </row>
    <row r="1167" ht="15.75" customHeight="1">
      <c r="A1167" s="1">
        <v>1169.0</v>
      </c>
      <c r="B1167" s="3" t="s">
        <v>3579</v>
      </c>
      <c r="C1167" s="3">
        <v>0.0</v>
      </c>
      <c r="D1167" s="3">
        <v>0.0</v>
      </c>
      <c r="E1167" s="3">
        <v>0.0</v>
      </c>
      <c r="F1167" s="3" t="s">
        <v>3580</v>
      </c>
      <c r="G1167" s="3">
        <v>1.0</v>
      </c>
      <c r="H1167" s="3">
        <v>0.0</v>
      </c>
      <c r="I1167" s="3" t="s">
        <v>13</v>
      </c>
      <c r="J1167" s="3" t="s">
        <v>3581</v>
      </c>
      <c r="K1167" s="3" t="s">
        <v>1097</v>
      </c>
      <c r="L1167" s="3" t="str">
        <f>IFERROR(__xludf.DUMMYFUNCTION("GOOGLETRANSLATE(F1167,""id"",""en"")"),"Imagine after watching the World Cup final told to watch the league")</f>
        <v>Imagine after watching the World Cup final told to watch the league</v>
      </c>
    </row>
    <row r="1168" ht="15.75" customHeight="1">
      <c r="A1168" s="1">
        <v>1170.0</v>
      </c>
      <c r="B1168" s="3" t="s">
        <v>3582</v>
      </c>
      <c r="C1168" s="3">
        <v>0.0</v>
      </c>
      <c r="D1168" s="3">
        <v>0.0</v>
      </c>
      <c r="E1168" s="3">
        <v>0.0</v>
      </c>
      <c r="F1168" s="3" t="s">
        <v>3583</v>
      </c>
      <c r="G1168" s="3">
        <v>1.0</v>
      </c>
      <c r="H1168" s="3">
        <v>0.0</v>
      </c>
      <c r="I1168" s="3" t="s">
        <v>13</v>
      </c>
      <c r="J1168" s="3" t="s">
        <v>3584</v>
      </c>
      <c r="K1168" s="3" t="s">
        <v>41</v>
      </c>
      <c r="L1168" s="3" t="str">
        <f>IFERROR(__xludf.DUMMYFUNCTION("GOOGLETRANSLATE(F1168,""id"",""en"")"),"Info late entering the office because of watching the World Cup final")</f>
        <v>Info late entering the office because of watching the World Cup final</v>
      </c>
    </row>
    <row r="1169" ht="15.75" customHeight="1">
      <c r="A1169" s="1">
        <v>1171.0</v>
      </c>
      <c r="B1169" s="3" t="s">
        <v>3585</v>
      </c>
      <c r="C1169" s="3">
        <v>1.0</v>
      </c>
      <c r="D1169" s="3">
        <v>0.0</v>
      </c>
      <c r="E1169" s="3">
        <v>0.0</v>
      </c>
      <c r="F1169" s="3" t="s">
        <v>3586</v>
      </c>
      <c r="G1169" s="3">
        <v>1.0</v>
      </c>
      <c r="H1169" s="3">
        <v>0.0</v>
      </c>
      <c r="I1169" s="3" t="s">
        <v>13</v>
      </c>
      <c r="J1169" s="3" t="s">
        <v>3587</v>
      </c>
      <c r="K1169" s="3" t="s">
        <v>19</v>
      </c>
      <c r="L1169" s="3" t="str">
        <f>IFERROR(__xludf.DUMMYFUNCTION("GOOGLETRANSLATE(F1169,""id"",""en"")"),"The Qatar World Cup final until the minute was treated to something boring because why did France do why Argentina was superior")</f>
        <v>The Qatar World Cup final until the minute was treated to something boring because why did France do why Argentina was superior</v>
      </c>
    </row>
    <row r="1170" ht="15.75" customHeight="1">
      <c r="A1170" s="1">
        <v>1172.0</v>
      </c>
      <c r="B1170" s="3" t="s">
        <v>3588</v>
      </c>
      <c r="C1170" s="3">
        <v>2.0</v>
      </c>
      <c r="D1170" s="3">
        <v>0.0</v>
      </c>
      <c r="E1170" s="3">
        <v>0.0</v>
      </c>
      <c r="F1170" s="3" t="s">
        <v>3589</v>
      </c>
      <c r="G1170" s="3">
        <v>1.0</v>
      </c>
      <c r="H1170" s="3">
        <v>0.0</v>
      </c>
      <c r="I1170" s="3" t="s">
        <v>13</v>
      </c>
      <c r="J1170" s="3" t="s">
        <v>3590</v>
      </c>
      <c r="K1170" s="3" t="s">
        <v>1652</v>
      </c>
      <c r="L1170" s="3" t="str">
        <f>IFERROR(__xludf.DUMMYFUNCTION("GOOGLETRANSLATE(F1170,""id"",""en"")"),"Welcome Messi World Cup Champion has setting FIFA from the referee until the referee VAR has been paid in full and the final is clearly the championship settings to lose the final and win the final is definitely champion")</f>
        <v>Welcome Messi World Cup Champion has setting FIFA from the referee until the referee VAR has been paid in full and the final is clearly the championship settings to lose the final and win the final is definitely champion</v>
      </c>
    </row>
    <row r="1171" ht="15.75" customHeight="1">
      <c r="A1171" s="1">
        <v>1173.0</v>
      </c>
      <c r="B1171" s="3" t="s">
        <v>3591</v>
      </c>
      <c r="C1171" s="3">
        <v>1.0</v>
      </c>
      <c r="D1171" s="3">
        <v>0.0</v>
      </c>
      <c r="E1171" s="3">
        <v>0.0</v>
      </c>
      <c r="F1171" s="3" t="s">
        <v>3592</v>
      </c>
      <c r="G1171" s="3">
        <v>1.0</v>
      </c>
      <c r="H1171" s="3">
        <v>0.0</v>
      </c>
      <c r="I1171" s="3" t="s">
        <v>13</v>
      </c>
      <c r="J1171" s="3" t="s">
        <v>3593</v>
      </c>
      <c r="K1171" s="3" t="s">
        <v>374</v>
      </c>
      <c r="L1171" s="3" t="str">
        <f>IFERROR(__xludf.DUMMYFUNCTION("GOOGLETRANSLATE(F1171,""id"",""en"")"),"Qatar World Cup was excited and grandest I had ever participated in Argentina out as the African team champion created another history of the Goat debate ending in the World Cup Final Messi qualified then won its first World Cup while Ronaldo was not foot"&amp;"ball story")</f>
        <v>Qatar World Cup was excited and grandest I had ever participated in Argentina out as the African team champion created another history of the Goat debate ending in the World Cup Final Messi qualified then won its first World Cup while Ronaldo was not football story</v>
      </c>
    </row>
    <row r="1172" ht="15.75" customHeight="1">
      <c r="A1172" s="1">
        <v>1174.0</v>
      </c>
      <c r="B1172" s="3" t="s">
        <v>3594</v>
      </c>
      <c r="C1172" s="3">
        <v>6.0</v>
      </c>
      <c r="D1172" s="3">
        <v>9.0</v>
      </c>
      <c r="E1172" s="3">
        <v>100.0</v>
      </c>
      <c r="F1172" s="3" t="s">
        <v>3595</v>
      </c>
      <c r="G1172" s="3">
        <v>1.0</v>
      </c>
      <c r="H1172" s="3">
        <v>0.0</v>
      </c>
      <c r="I1172" s="3" t="s">
        <v>13</v>
      </c>
      <c r="J1172" s="3" t="s">
        <v>3596</v>
      </c>
      <c r="K1172" s="3" t="s">
        <v>1293</v>
      </c>
      <c r="L1172" s="3" t="str">
        <f>IFERROR(__xludf.DUMMYFUNCTION("GOOGLETRANSLATE(F1172,""id"",""en"")"),"For UGM Fess children if you feel the day is hard to remember mbappe and the world cup final trick and still lose")</f>
        <v>For UGM Fess children if you feel the day is hard to remember mbappe and the world cup final trick and still lose</v>
      </c>
    </row>
    <row r="1173" ht="15.75" customHeight="1">
      <c r="A1173" s="1">
        <v>1175.0</v>
      </c>
      <c r="B1173" s="3" t="s">
        <v>3597</v>
      </c>
      <c r="C1173" s="3">
        <v>0.0</v>
      </c>
      <c r="D1173" s="3">
        <v>0.0</v>
      </c>
      <c r="E1173" s="3">
        <v>0.0</v>
      </c>
      <c r="F1173" s="3" t="s">
        <v>3598</v>
      </c>
      <c r="G1173" s="3">
        <v>0.6666666666666666</v>
      </c>
      <c r="H1173" s="3">
        <v>0.08333333333333333</v>
      </c>
      <c r="I1173" s="3" t="s">
        <v>48</v>
      </c>
      <c r="J1173" s="3" t="s">
        <v>3599</v>
      </c>
      <c r="K1173" s="3" t="s">
        <v>41</v>
      </c>
      <c r="L1173" s="3" t="str">
        <f>IFERROR(__xludf.DUMMYFUNCTION("GOOGLETRANSLATE(F1173,""id"",""en"")"),"It's cool to watch the World Cup final while playing Twitter instead lock")</f>
        <v>It's cool to watch the World Cup final while playing Twitter instead lock</v>
      </c>
    </row>
    <row r="1174" ht="15.75" customHeight="1">
      <c r="A1174" s="1">
        <v>1176.0</v>
      </c>
      <c r="B1174" s="3" t="s">
        <v>3600</v>
      </c>
      <c r="C1174" s="3">
        <v>0.0</v>
      </c>
      <c r="D1174" s="3">
        <v>0.0</v>
      </c>
      <c r="E1174" s="3">
        <v>0.0</v>
      </c>
      <c r="F1174" s="3" t="s">
        <v>3601</v>
      </c>
      <c r="G1174" s="3">
        <v>1.0</v>
      </c>
      <c r="H1174" s="3">
        <v>0.0</v>
      </c>
      <c r="I1174" s="3" t="s">
        <v>13</v>
      </c>
      <c r="J1174" s="3" t="s">
        <v>3602</v>
      </c>
      <c r="K1174" s="3" t="s">
        <v>19</v>
      </c>
      <c r="L1174" s="3" t="str">
        <f>IFERROR(__xludf.DUMMYFUNCTION("GOOGLETRANSLATE(F1174,""id"",""en"")"),"Final Crazy World Cup I once watched my heart until the lemes watched this party")</f>
        <v>Final Crazy World Cup I once watched my heart until the lemes watched this party</v>
      </c>
    </row>
    <row r="1175" ht="15.75" customHeight="1">
      <c r="A1175" s="1">
        <v>1177.0</v>
      </c>
      <c r="B1175" s="3" t="s">
        <v>3603</v>
      </c>
      <c r="C1175" s="3">
        <v>0.0</v>
      </c>
      <c r="D1175" s="3">
        <v>0.0</v>
      </c>
      <c r="E1175" s="3">
        <v>0.0</v>
      </c>
      <c r="F1175" s="3" t="s">
        <v>3604</v>
      </c>
      <c r="G1175" s="3">
        <v>1.0</v>
      </c>
      <c r="H1175" s="3">
        <v>0.0</v>
      </c>
      <c r="I1175" s="3" t="s">
        <v>13</v>
      </c>
      <c r="J1175" s="3" t="s">
        <v>3605</v>
      </c>
      <c r="K1175" s="3" t="s">
        <v>82</v>
      </c>
      <c r="L1175" s="3" t="str">
        <f>IFERROR(__xludf.DUMMYFUNCTION("GOOGLETRANSLATE(F1175,""id"",""en"")"),"The World Cup Final makes tense tense touched this year")</f>
        <v>The World Cup Final makes tense tense touched this year</v>
      </c>
    </row>
    <row r="1176" ht="15.75" customHeight="1">
      <c r="A1176" s="1">
        <v>1178.0</v>
      </c>
      <c r="B1176" s="3" t="s">
        <v>3606</v>
      </c>
      <c r="C1176" s="3">
        <v>0.0</v>
      </c>
      <c r="D1176" s="3">
        <v>0.0</v>
      </c>
      <c r="E1176" s="3">
        <v>0.0</v>
      </c>
      <c r="F1176" s="3" t="s">
        <v>3607</v>
      </c>
      <c r="G1176" s="3">
        <v>1.0</v>
      </c>
      <c r="H1176" s="3">
        <v>0.0</v>
      </c>
      <c r="I1176" s="3" t="s">
        <v>13</v>
      </c>
      <c r="J1176" s="3" t="s">
        <v>3608</v>
      </c>
      <c r="K1176" s="3" t="s">
        <v>50</v>
      </c>
      <c r="L1176" s="3" t="str">
        <f>IFERROR(__xludf.DUMMYFUNCTION("GOOGLETRANSLATE(F1176,""id"",""en"")"),"Happy to be a witness to the final world cup excited throughout this event there is what match")</f>
        <v>Happy to be a witness to the final world cup excited throughout this event there is what match</v>
      </c>
    </row>
    <row r="1177" ht="15.75" customHeight="1">
      <c r="A1177" s="1">
        <v>1179.0</v>
      </c>
      <c r="B1177" s="3" t="s">
        <v>3609</v>
      </c>
      <c r="C1177" s="3">
        <v>7.0</v>
      </c>
      <c r="D1177" s="3">
        <v>14.0</v>
      </c>
      <c r="E1177" s="3">
        <v>46.0</v>
      </c>
      <c r="F1177" s="3" t="s">
        <v>3610</v>
      </c>
      <c r="G1177" s="3">
        <v>0.6666666666666666</v>
      </c>
      <c r="H1177" s="3">
        <v>0.08333333333333333</v>
      </c>
      <c r="I1177" s="3" t="s">
        <v>48</v>
      </c>
      <c r="J1177" s="3" t="s">
        <v>3611</v>
      </c>
      <c r="K1177" s="3" t="s">
        <v>3612</v>
      </c>
      <c r="L1177" s="3" t="str">
        <f>IFERROR(__xludf.DUMMYFUNCTION("GOOGLETRANSLATE(F1177,""id"",""en"")"),"No need to compare the World Cup trophy if you play the World Cup final, you don't feel it if you score the goal out phase out of the World Cup, still keep looking for")</f>
        <v>No need to compare the World Cup trophy if you play the World Cup final, you don't feel it if you score the goal out phase out of the World Cup, still keep looking for</v>
      </c>
    </row>
    <row r="1178" ht="15.75" customHeight="1">
      <c r="A1178" s="1">
        <v>1180.0</v>
      </c>
      <c r="B1178" s="3" t="s">
        <v>3613</v>
      </c>
      <c r="C1178" s="3">
        <v>0.0</v>
      </c>
      <c r="D1178" s="3">
        <v>0.0</v>
      </c>
      <c r="E1178" s="3">
        <v>0.0</v>
      </c>
      <c r="F1178" s="3" t="s">
        <v>3614</v>
      </c>
      <c r="G1178" s="3">
        <v>1.0</v>
      </c>
      <c r="H1178" s="3">
        <v>0.0</v>
      </c>
      <c r="I1178" s="3" t="s">
        <v>13</v>
      </c>
      <c r="J1178" s="3" t="s">
        <v>3615</v>
      </c>
      <c r="K1178" s="3" t="s">
        <v>75</v>
      </c>
      <c r="L1178" s="3" t="str">
        <f>IFERROR(__xludf.DUMMYFUNCTION("GOOGLETRANSLATE(F1178,""id"",""en"")"),"The World Cup's Best Final Holds by Argentina France We Witnesses His Life Coook")</f>
        <v>The World Cup's Best Final Holds by Argentina France We Witnesses His Life Coook</v>
      </c>
    </row>
    <row r="1179" ht="15.75" customHeight="1">
      <c r="A1179" s="1">
        <v>1181.0</v>
      </c>
      <c r="B1179" s="3" t="s">
        <v>3616</v>
      </c>
      <c r="C1179" s="3">
        <v>1.0</v>
      </c>
      <c r="D1179" s="3">
        <v>0.0</v>
      </c>
      <c r="E1179" s="3">
        <v>1.0</v>
      </c>
      <c r="F1179" s="3" t="s">
        <v>3617</v>
      </c>
      <c r="G1179" s="3">
        <v>1.0</v>
      </c>
      <c r="H1179" s="3">
        <v>0.0</v>
      </c>
      <c r="I1179" s="3" t="s">
        <v>13</v>
      </c>
      <c r="J1179" s="3" t="s">
        <v>3618</v>
      </c>
      <c r="K1179" s="3" t="s">
        <v>520</v>
      </c>
      <c r="L1179" s="3" t="str">
        <f>IFERROR(__xludf.DUMMYFUNCTION("GOOGLETRANSLATE(F1179,""id"",""en"")"),"Mbappe Year Age Moist Goal in the World Cup Final You may be the year of the year script for the third time because of the continuing revision")</f>
        <v>Mbappe Year Age Moist Goal in the World Cup Final You may be the year of the year script for the third time because of the continuing revision</v>
      </c>
    </row>
    <row r="1180" ht="15.75" customHeight="1">
      <c r="A1180" s="1">
        <v>1182.0</v>
      </c>
      <c r="B1180" s="3" t="s">
        <v>3619</v>
      </c>
      <c r="C1180" s="3">
        <v>0.0</v>
      </c>
      <c r="D1180" s="3">
        <v>0.0</v>
      </c>
      <c r="E1180" s="3">
        <v>0.0</v>
      </c>
      <c r="F1180" s="3" t="s">
        <v>3620</v>
      </c>
      <c r="G1180" s="3">
        <v>0.775</v>
      </c>
      <c r="H1180" s="3">
        <v>0.175</v>
      </c>
      <c r="I1180" s="3" t="s">
        <v>48</v>
      </c>
      <c r="J1180" s="3" t="s">
        <v>3621</v>
      </c>
      <c r="K1180" s="3" t="s">
        <v>19</v>
      </c>
      <c r="L1180" s="3" t="str">
        <f>IFERROR(__xludf.DUMMYFUNCTION("GOOGLETRANSLATE(F1180,""id"",""en"")"),"outside all the controversy of this organizer is the exciting world cup many surprises and finals are full climax")</f>
        <v>outside all the controversy of this organizer is the exciting world cup many surprises and finals are full climax</v>
      </c>
    </row>
    <row r="1181" ht="15.75" customHeight="1">
      <c r="A1181" s="1">
        <v>1183.0</v>
      </c>
      <c r="B1181" s="3" t="s">
        <v>3622</v>
      </c>
      <c r="C1181" s="3">
        <v>0.0</v>
      </c>
      <c r="D1181" s="3">
        <v>0.0</v>
      </c>
      <c r="E1181" s="3">
        <v>0.0</v>
      </c>
      <c r="F1181" s="3" t="s">
        <v>3623</v>
      </c>
      <c r="G1181" s="3">
        <v>1.0</v>
      </c>
      <c r="H1181" s="3">
        <v>0.0</v>
      </c>
      <c r="I1181" s="3" t="s">
        <v>13</v>
      </c>
      <c r="J1181" s="3" t="s">
        <v>3624</v>
      </c>
      <c r="K1181" s="3" t="s">
        <v>15</v>
      </c>
      <c r="L1181" s="3" t="str">
        <f>IFERROR(__xludf.DUMMYFUNCTION("GOOGLETRANSLATE(F1181,""id"",""en"")"),"the best world cup from the group phase to the final")</f>
        <v>the best world cup from the group phase to the final</v>
      </c>
    </row>
    <row r="1182" ht="15.75" customHeight="1">
      <c r="A1182" s="1">
        <v>1184.0</v>
      </c>
      <c r="B1182" s="3" t="s">
        <v>3625</v>
      </c>
      <c r="C1182" s="3">
        <v>0.0</v>
      </c>
      <c r="D1182" s="3">
        <v>0.0</v>
      </c>
      <c r="E1182" s="3">
        <v>0.0</v>
      </c>
      <c r="F1182" s="3" t="s">
        <v>3626</v>
      </c>
      <c r="G1182" s="3">
        <v>1.0</v>
      </c>
      <c r="H1182" s="3">
        <v>0.0</v>
      </c>
      <c r="I1182" s="3" t="s">
        <v>13</v>
      </c>
      <c r="J1182" s="3" t="s">
        <v>3627</v>
      </c>
      <c r="K1182" s="3" t="s">
        <v>127</v>
      </c>
      <c r="L1182" s="3" t="str">
        <f>IFERROR(__xludf.DUMMYFUNCTION("GOOGLETRANSLATE(F1182,""id"",""en"")"),"Had been frustrated by the national team because many times lost to the final retirement back again the Copa America champion and the World Cup Lionel Messi Goat")</f>
        <v>Had been frustrated by the national team because many times lost to the final retirement back again the Copa America champion and the World Cup Lionel Messi Goat</v>
      </c>
    </row>
    <row r="1183" ht="15.75" customHeight="1">
      <c r="A1183" s="1">
        <v>1185.0</v>
      </c>
      <c r="B1183" s="3" t="s">
        <v>3628</v>
      </c>
      <c r="C1183" s="3">
        <v>0.0</v>
      </c>
      <c r="D1183" s="3">
        <v>0.0</v>
      </c>
      <c r="E1183" s="3">
        <v>0.0</v>
      </c>
      <c r="F1183" s="3" t="s">
        <v>3629</v>
      </c>
      <c r="G1183" s="3">
        <v>0.75</v>
      </c>
      <c r="H1183" s="3">
        <v>0.25</v>
      </c>
      <c r="I1183" s="3" t="s">
        <v>48</v>
      </c>
      <c r="J1183" s="3" t="s">
        <v>3630</v>
      </c>
      <c r="K1183" s="3" t="s">
        <v>215</v>
      </c>
      <c r="L1183" s="3" t="str">
        <f>IFERROR(__xludf.DUMMYFUNCTION("GOOGLETRANSLATE(F1183,""id"",""en"")"),"What Ironman Slobber Knocker Match For the World Cup Final Makes I Rada Hot Cold Cold Celating Argentina Congratulations and for the French national team even though runner but Mbappe is the top scorer with a goal")</f>
        <v>What Ironman Slobber Knocker Match For the World Cup Final Makes I Rada Hot Cold Cold Celating Argentina Congratulations and for the French national team even though runner but Mbappe is the top scorer with a goal</v>
      </c>
    </row>
    <row r="1184" ht="15.75" customHeight="1">
      <c r="A1184" s="1">
        <v>1186.0</v>
      </c>
      <c r="B1184" s="3" t="s">
        <v>3631</v>
      </c>
      <c r="C1184" s="3">
        <v>0.0</v>
      </c>
      <c r="D1184" s="3">
        <v>0.0</v>
      </c>
      <c r="E1184" s="3">
        <v>0.0</v>
      </c>
      <c r="F1184" s="3" t="s">
        <v>3632</v>
      </c>
      <c r="G1184" s="3">
        <v>1.0</v>
      </c>
      <c r="H1184" s="3">
        <v>0.0</v>
      </c>
      <c r="I1184" s="3" t="s">
        <v>13</v>
      </c>
      <c r="J1184" s="3" t="s">
        <v>3633</v>
      </c>
      <c r="K1184" s="3" t="s">
        <v>644</v>
      </c>
      <c r="L1184" s="3" t="str">
        <f>IFERROR(__xludf.DUMMYFUNCTION("GOOGLETRANSLATE(F1184,""id"",""en"")"),"Coolest World Cup Final")</f>
        <v>Coolest World Cup Final</v>
      </c>
    </row>
    <row r="1185" ht="15.75" customHeight="1">
      <c r="A1185" s="1">
        <v>1187.0</v>
      </c>
      <c r="B1185" s="3" t="s">
        <v>3634</v>
      </c>
      <c r="C1185" s="3">
        <v>1.0</v>
      </c>
      <c r="D1185" s="3">
        <v>0.0</v>
      </c>
      <c r="E1185" s="3">
        <v>0.0</v>
      </c>
      <c r="F1185" s="3" t="s">
        <v>3635</v>
      </c>
      <c r="G1185" s="3">
        <v>1.0</v>
      </c>
      <c r="H1185" s="3">
        <v>0.0</v>
      </c>
      <c r="I1185" s="3" t="s">
        <v>13</v>
      </c>
      <c r="J1185" s="3" t="s">
        <v>3636</v>
      </c>
      <c r="K1185" s="3" t="s">
        <v>15</v>
      </c>
      <c r="L1185" s="3" t="str">
        <f>IFERROR(__xludf.DUMMYFUNCTION("GOOGLETRANSLATE(F1185,""id"",""en"")"),"Mbappe Hattrick Final of the World Cup")</f>
        <v>Mbappe Hattrick Final of the World Cup</v>
      </c>
    </row>
    <row r="1186" ht="15.75" customHeight="1">
      <c r="A1186" s="1">
        <v>1188.0</v>
      </c>
      <c r="B1186" s="3" t="s">
        <v>3637</v>
      </c>
      <c r="C1186" s="3">
        <v>0.0</v>
      </c>
      <c r="D1186" s="3">
        <v>0.0</v>
      </c>
      <c r="E1186" s="3">
        <v>0.0</v>
      </c>
      <c r="F1186" s="3" t="s">
        <v>3638</v>
      </c>
      <c r="G1186" s="3">
        <v>0.75</v>
      </c>
      <c r="H1186" s="3">
        <v>0.06818181818181818</v>
      </c>
      <c r="I1186" s="3" t="s">
        <v>48</v>
      </c>
      <c r="J1186" s="3" t="s">
        <v>3639</v>
      </c>
      <c r="K1186" s="3" t="s">
        <v>3346</v>
      </c>
      <c r="L1186" s="3" t="str">
        <f>IFERROR(__xludf.DUMMYFUNCTION("GOOGLETRANSLATE(F1186,""id"",""en"")"),"Live Argentine World Cup Final Score Champion Messi Perfect Messi Messi Messi Yes")</f>
        <v>Live Argentine World Cup Final Score Champion Messi Perfect Messi Messi Messi Yes</v>
      </c>
    </row>
    <row r="1187" ht="15.75" customHeight="1">
      <c r="A1187" s="1">
        <v>1189.0</v>
      </c>
      <c r="B1187" s="3" t="s">
        <v>3640</v>
      </c>
      <c r="C1187" s="3">
        <v>0.0</v>
      </c>
      <c r="D1187" s="3">
        <v>0.0</v>
      </c>
      <c r="E1187" s="3">
        <v>0.0</v>
      </c>
      <c r="F1187" s="3" t="s">
        <v>3641</v>
      </c>
      <c r="G1187" s="3">
        <v>1.0</v>
      </c>
      <c r="H1187" s="3">
        <v>0.0</v>
      </c>
      <c r="I1187" s="3" t="s">
        <v>13</v>
      </c>
      <c r="J1187" s="3" t="s">
        <v>3642</v>
      </c>
      <c r="K1187" s="3" t="s">
        <v>657</v>
      </c>
      <c r="L1187" s="3" t="str">
        <f>IFERROR(__xludf.DUMMYFUNCTION("GOOGLETRANSLATE(F1187,""id"",""en"")"),"What Final Happy Argentina The French World Cup Champion Extraordinary Resistance Messi finally completed the trophy")</f>
        <v>What Final Happy Argentina The French World Cup Champion Extraordinary Resistance Messi finally completed the trophy</v>
      </c>
    </row>
    <row r="1188" ht="15.75" customHeight="1">
      <c r="A1188" s="1">
        <v>1190.0</v>
      </c>
      <c r="B1188" s="3" t="s">
        <v>3643</v>
      </c>
      <c r="C1188" s="3">
        <v>0.0</v>
      </c>
      <c r="D1188" s="3">
        <v>0.0</v>
      </c>
      <c r="E1188" s="3">
        <v>3.0</v>
      </c>
      <c r="F1188" s="3" t="s">
        <v>3644</v>
      </c>
      <c r="G1188" s="3">
        <v>1.0</v>
      </c>
      <c r="H1188" s="3">
        <v>0.0</v>
      </c>
      <c r="I1188" s="3" t="s">
        <v>13</v>
      </c>
      <c r="J1188" s="3" t="s">
        <v>3645</v>
      </c>
      <c r="K1188" s="3" t="s">
        <v>149</v>
      </c>
      <c r="L1188" s="3" t="str">
        <f>IFERROR(__xludf.DUMMYFUNCTION("GOOGLETRANSLATE(F1188,""id"",""en"")"),"The draft for the Tiktok video later this World Cup Messi for Ronaldo is also more deserved to get it Mbappe should be Portugal and Ronaldo who against us the final of Argentina's victory has been arranged from the start")</f>
        <v>The draft for the Tiktok video later this World Cup Messi for Ronaldo is also more deserved to get it Mbappe should be Portugal and Ronaldo who against us the final of Argentina's victory has been arranged from the start</v>
      </c>
    </row>
    <row r="1189" ht="15.75" customHeight="1">
      <c r="A1189" s="1">
        <v>1191.0</v>
      </c>
      <c r="B1189" s="3" t="s">
        <v>3646</v>
      </c>
      <c r="C1189" s="3">
        <v>0.0</v>
      </c>
      <c r="D1189" s="3">
        <v>0.0</v>
      </c>
      <c r="E1189" s="3">
        <v>0.0</v>
      </c>
      <c r="F1189" s="3" t="s">
        <v>3647</v>
      </c>
      <c r="G1189" s="3">
        <v>1.0</v>
      </c>
      <c r="H1189" s="3">
        <v>0.0</v>
      </c>
      <c r="I1189" s="3" t="s">
        <v>13</v>
      </c>
      <c r="J1189" s="3" t="s">
        <v>3648</v>
      </c>
      <c r="K1189" s="3" t="s">
        <v>31</v>
      </c>
      <c r="L1189" s="3" t="str">
        <f>IFERROR(__xludf.DUMMYFUNCTION("GOOGLETRANSLATE(F1189,""id"",""en"")"),"but this oath is the world cup final.")</f>
        <v>but this oath is the world cup final.</v>
      </c>
    </row>
    <row r="1190" ht="15.75" customHeight="1">
      <c r="A1190" s="1">
        <v>1192.0</v>
      </c>
      <c r="B1190" s="3" t="s">
        <v>3649</v>
      </c>
      <c r="C1190" s="3">
        <v>0.0</v>
      </c>
      <c r="D1190" s="3">
        <v>0.0</v>
      </c>
      <c r="E1190" s="3">
        <v>0.0</v>
      </c>
      <c r="F1190" s="3" t="s">
        <v>3650</v>
      </c>
      <c r="G1190" s="3">
        <v>1.0</v>
      </c>
      <c r="H1190" s="3">
        <v>0.0</v>
      </c>
      <c r="I1190" s="3" t="s">
        <v>13</v>
      </c>
      <c r="J1190" s="3" t="s">
        <v>3651</v>
      </c>
      <c r="K1190" s="3" t="s">
        <v>715</v>
      </c>
      <c r="L1190" s="3" t="str">
        <f>IFERROR(__xludf.DUMMYFUNCTION("GOOGLETRANSLATE(F1190,""id"",""en"")"),"This is the Profile of Emiliano Martinez Best Goalkeeper Bringing Argentina World Cup Champion Defeated France Champion Argentina French Final")</f>
        <v>This is the Profile of Emiliano Martinez Best Goalkeeper Bringing Argentina World Cup Champion Defeated France Champion Argentina French Final</v>
      </c>
    </row>
    <row r="1191" ht="15.75" customHeight="1">
      <c r="A1191" s="1">
        <v>1193.0</v>
      </c>
      <c r="B1191" s="3" t="s">
        <v>3652</v>
      </c>
      <c r="C1191" s="3">
        <v>0.0</v>
      </c>
      <c r="D1191" s="3">
        <v>0.0</v>
      </c>
      <c r="E1191" s="3">
        <v>0.0</v>
      </c>
      <c r="F1191" s="3" t="s">
        <v>3653</v>
      </c>
      <c r="G1191" s="3">
        <v>0.7</v>
      </c>
      <c r="H1191" s="3">
        <v>0.05</v>
      </c>
      <c r="I1191" s="3" t="s">
        <v>48</v>
      </c>
      <c r="J1191" s="3" t="s">
        <v>3654</v>
      </c>
      <c r="K1191" s="3" t="s">
        <v>15</v>
      </c>
      <c r="L1191" s="3" t="str">
        <f>IFERROR(__xludf.DUMMYFUNCTION("GOOGLETRANSLATE(F1191,""id"",""en"")"),"This original World Cup Final Ter Epic Sangar Poll")</f>
        <v>This original World Cup Final Ter Epic Sangar Poll</v>
      </c>
    </row>
    <row r="1192" ht="15.75" customHeight="1">
      <c r="A1192" s="1">
        <v>1194.0</v>
      </c>
      <c r="B1192" s="3" t="s">
        <v>3655</v>
      </c>
      <c r="C1192" s="3">
        <v>2.0</v>
      </c>
      <c r="D1192" s="3">
        <v>13.0</v>
      </c>
      <c r="E1192" s="3">
        <v>49.0</v>
      </c>
      <c r="F1192" s="3" t="s">
        <v>3656</v>
      </c>
      <c r="G1192" s="3">
        <v>1.0</v>
      </c>
      <c r="H1192" s="3">
        <v>0.0</v>
      </c>
      <c r="I1192" s="3" t="s">
        <v>13</v>
      </c>
      <c r="J1192" s="3" t="s">
        <v>3657</v>
      </c>
      <c r="K1192" s="3" t="s">
        <v>657</v>
      </c>
      <c r="L1192" s="3" t="str">
        <f>IFERROR(__xludf.DUMMYFUNCTION("GOOGLETRANSLATE(F1192,""id"",""en"")"),"Lionel Messi again ruffled random history books by incised two new records when opening the advantages of the World Cup Final Argentina")</f>
        <v>Lionel Messi again ruffled random history books by incised two new records when opening the advantages of the World Cup Final Argentina</v>
      </c>
    </row>
    <row r="1193" ht="15.75" customHeight="1">
      <c r="A1193" s="1">
        <v>1195.0</v>
      </c>
      <c r="B1193" s="3" t="s">
        <v>3658</v>
      </c>
      <c r="C1193" s="3">
        <v>0.0</v>
      </c>
      <c r="D1193" s="3">
        <v>0.0</v>
      </c>
      <c r="E1193" s="3">
        <v>0.0</v>
      </c>
      <c r="F1193" s="3" t="s">
        <v>3644</v>
      </c>
      <c r="G1193" s="3">
        <v>1.0</v>
      </c>
      <c r="H1193" s="3">
        <v>0.0</v>
      </c>
      <c r="I1193" s="3" t="s">
        <v>13</v>
      </c>
      <c r="J1193" s="3" t="s">
        <v>3645</v>
      </c>
      <c r="K1193" s="3" t="s">
        <v>149</v>
      </c>
      <c r="L1193" s="3" t="str">
        <f>IFERROR(__xludf.DUMMYFUNCTION("GOOGLETRANSLATE(F1193,""id"",""en"")"),"The draft for the Tiktok video later this World Cup Messi for Ronaldo is also more deserved to get it Mbappe should be Portugal and Ronaldo who against us the final of Argentina's victory has been arranged from the start")</f>
        <v>The draft for the Tiktok video later this World Cup Messi for Ronaldo is also more deserved to get it Mbappe should be Portugal and Ronaldo who against us the final of Argentina's victory has been arranged from the start</v>
      </c>
    </row>
    <row r="1194" ht="15.75" customHeight="1">
      <c r="A1194" s="1">
        <v>1196.0</v>
      </c>
      <c r="B1194" s="3" t="s">
        <v>3659</v>
      </c>
      <c r="C1194" s="3">
        <v>0.0</v>
      </c>
      <c r="D1194" s="3">
        <v>0.0</v>
      </c>
      <c r="E1194" s="3">
        <v>0.0</v>
      </c>
      <c r="F1194" s="3" t="s">
        <v>3660</v>
      </c>
      <c r="G1194" s="3">
        <v>1.0</v>
      </c>
      <c r="H1194" s="3">
        <v>0.0</v>
      </c>
      <c r="I1194" s="3" t="s">
        <v>13</v>
      </c>
      <c r="J1194" s="3" t="s">
        <v>3661</v>
      </c>
      <c r="K1194" s="3" t="s">
        <v>82</v>
      </c>
      <c r="L1194" s="3" t="str">
        <f>IFERROR(__xludf.DUMMYFUNCTION("GOOGLETRANSLATE(F1194,""id"",""en"")"),"Tonight one of the best World Cup finals")</f>
        <v>Tonight one of the best World Cup finals</v>
      </c>
    </row>
    <row r="1195" ht="15.75" customHeight="1">
      <c r="A1195" s="1">
        <v>1197.0</v>
      </c>
      <c r="B1195" s="3" t="s">
        <v>3662</v>
      </c>
      <c r="C1195" s="3">
        <v>0.0</v>
      </c>
      <c r="D1195" s="3">
        <v>1.0</v>
      </c>
      <c r="E1195" s="3">
        <v>0.0</v>
      </c>
      <c r="F1195" s="3" t="s">
        <v>3663</v>
      </c>
      <c r="G1195" s="3">
        <v>1.0</v>
      </c>
      <c r="H1195" s="3">
        <v>0.0</v>
      </c>
      <c r="I1195" s="3" t="s">
        <v>13</v>
      </c>
      <c r="J1195" s="3" t="s">
        <v>3664</v>
      </c>
      <c r="K1195" s="3" t="s">
        <v>31</v>
      </c>
      <c r="L1195" s="3" t="str">
        <f>IFERROR(__xludf.DUMMYFUNCTION("GOOGLETRANSLATE(F1195,""id"",""en"")"),"Qatar Hattrick World Cup Final")</f>
        <v>Qatar Hattrick World Cup Final</v>
      </c>
    </row>
    <row r="1196" ht="15.75" customHeight="1">
      <c r="A1196" s="1">
        <v>1198.0</v>
      </c>
      <c r="B1196" s="3" t="s">
        <v>3665</v>
      </c>
      <c r="C1196" s="3">
        <v>0.0</v>
      </c>
      <c r="D1196" s="3">
        <v>0.0</v>
      </c>
      <c r="E1196" s="3">
        <v>0.0</v>
      </c>
      <c r="F1196" s="3" t="s">
        <v>3666</v>
      </c>
      <c r="G1196" s="3">
        <v>1.0</v>
      </c>
      <c r="H1196" s="3">
        <v>0.0</v>
      </c>
      <c r="I1196" s="3" t="s">
        <v>13</v>
      </c>
      <c r="J1196" s="3" t="s">
        <v>3667</v>
      </c>
      <c r="K1196" s="3" t="s">
        <v>54</v>
      </c>
      <c r="L1196" s="3" t="str">
        <f>IFERROR(__xludf.DUMMYFUNCTION("GOOGLETRANSLATE(F1196,""id"",""en"")"),"World Cup Final Ala Heart Gymnastics")</f>
        <v>World Cup Final Ala Heart Gymnastics</v>
      </c>
    </row>
    <row r="1197" ht="15.75" customHeight="1">
      <c r="A1197" s="1">
        <v>1199.0</v>
      </c>
      <c r="B1197" s="3" t="s">
        <v>3668</v>
      </c>
      <c r="C1197" s="3">
        <v>0.0</v>
      </c>
      <c r="D1197" s="3">
        <v>0.0</v>
      </c>
      <c r="E1197" s="3">
        <v>0.0</v>
      </c>
      <c r="F1197" s="3" t="s">
        <v>3669</v>
      </c>
      <c r="G1197" s="3">
        <v>1.0</v>
      </c>
      <c r="H1197" s="3">
        <v>0.0</v>
      </c>
      <c r="I1197" s="3" t="s">
        <v>13</v>
      </c>
      <c r="J1197" s="3" t="s">
        <v>3670</v>
      </c>
      <c r="K1197" s="3" t="s">
        <v>3671</v>
      </c>
      <c r="L1197" s="3" t="str">
        <f>IFERROR(__xludf.DUMMYFUNCTION("GOOGLETRANSLATE(F1197,""id"",""en"")"),"The World Cup Final was that I watched the first time scorer for France World Cup final was Zinedine Zidane Gol Emmanuel Petit Gol Joint Kuy Mrs. Azkar")</f>
        <v>The World Cup Final was that I watched the first time scorer for France World Cup final was Zinedine Zidane Gol Emmanuel Petit Gol Joint Kuy Mrs. Azkar</v>
      </c>
    </row>
    <row r="1198" ht="15.75" customHeight="1">
      <c r="A1198" s="1">
        <v>1200.0</v>
      </c>
      <c r="B1198" s="3" t="s">
        <v>3672</v>
      </c>
      <c r="C1198" s="3">
        <v>0.0</v>
      </c>
      <c r="D1198" s="3">
        <v>0.0</v>
      </c>
      <c r="E1198" s="3">
        <v>0.0</v>
      </c>
      <c r="F1198" s="3" t="s">
        <v>3673</v>
      </c>
      <c r="G1198" s="3">
        <v>0.75</v>
      </c>
      <c r="H1198" s="3">
        <v>0.06818181818181818</v>
      </c>
      <c r="I1198" s="3" t="s">
        <v>48</v>
      </c>
      <c r="J1198" s="3" t="s">
        <v>3674</v>
      </c>
      <c r="K1198" s="3" t="s">
        <v>244</v>
      </c>
      <c r="L1198" s="3" t="str">
        <f>IFERROR(__xludf.DUMMYFUNCTION("GOOGLETRANSLATE(F1198,""id"",""en"")"),"Live Score Final Argentina French World Cup Score continued penalty shootout")</f>
        <v>Live Score Final Argentina French World Cup Score continued penalty shootout</v>
      </c>
    </row>
    <row r="1199" ht="15.75" customHeight="1">
      <c r="A1199" s="1">
        <v>1201.0</v>
      </c>
      <c r="B1199" s="3" t="s">
        <v>3675</v>
      </c>
      <c r="C1199" s="3">
        <v>0.0</v>
      </c>
      <c r="D1199" s="3">
        <v>0.0</v>
      </c>
      <c r="E1199" s="3">
        <v>0.0</v>
      </c>
      <c r="F1199" s="3" t="s">
        <v>3676</v>
      </c>
      <c r="G1199" s="3">
        <v>1.0</v>
      </c>
      <c r="H1199" s="3">
        <v>0.0</v>
      </c>
      <c r="I1199" s="3" t="s">
        <v>13</v>
      </c>
      <c r="J1199" s="3" t="s">
        <v>3677</v>
      </c>
      <c r="K1199" s="3" t="s">
        <v>41</v>
      </c>
      <c r="L1199" s="3" t="str">
        <f>IFERROR(__xludf.DUMMYFUNCTION("GOOGLETRANSLATE(F1199,""id"",""en"")"),"Luckily, boss can watch the world cup final at this time")</f>
        <v>Luckily, boss can watch the world cup final at this time</v>
      </c>
    </row>
    <row r="1200" ht="15.75" customHeight="1">
      <c r="A1200" s="1">
        <v>1202.0</v>
      </c>
      <c r="B1200" s="3" t="s">
        <v>3678</v>
      </c>
      <c r="C1200" s="3">
        <v>0.0</v>
      </c>
      <c r="D1200" s="3">
        <v>0.0</v>
      </c>
      <c r="E1200" s="3">
        <v>0.0</v>
      </c>
      <c r="F1200" s="3" t="s">
        <v>3679</v>
      </c>
      <c r="G1200" s="3">
        <v>1.0</v>
      </c>
      <c r="H1200" s="3">
        <v>0.0</v>
      </c>
      <c r="I1200" s="3" t="s">
        <v>13</v>
      </c>
      <c r="J1200" s="3" t="s">
        <v>3680</v>
      </c>
      <c r="K1200" s="3" t="s">
        <v>54</v>
      </c>
      <c r="L1200" s="3" t="str">
        <f>IFERROR(__xludf.DUMMYFUNCTION("GOOGLETRANSLATE(F1200,""id"",""en"")"),"Match Final World Cup Gokil")</f>
        <v>Match Final World Cup Gokil</v>
      </c>
    </row>
    <row r="1201" ht="15.75" customHeight="1">
      <c r="A1201" s="1">
        <v>1203.0</v>
      </c>
      <c r="B1201" s="3" t="s">
        <v>3681</v>
      </c>
      <c r="C1201" s="3">
        <v>0.0</v>
      </c>
      <c r="D1201" s="3">
        <v>1.0</v>
      </c>
      <c r="E1201" s="3">
        <v>0.0</v>
      </c>
      <c r="F1201" s="3" t="s">
        <v>3682</v>
      </c>
      <c r="G1201" s="3">
        <v>1.0</v>
      </c>
      <c r="H1201" s="3">
        <v>0.0</v>
      </c>
      <c r="I1201" s="3" t="s">
        <v>13</v>
      </c>
      <c r="J1201" s="3" t="s">
        <v>3683</v>
      </c>
      <c r="K1201" s="3" t="s">
        <v>15</v>
      </c>
      <c r="L1201" s="3" t="str">
        <f>IFERROR(__xludf.DUMMYFUNCTION("GOOGLETRANSLATE(F1201,""id"",""en"")"),"Luckily to be able to watch the Qatar World Cup final until finished")</f>
        <v>Luckily to be able to watch the Qatar World Cup final until finished</v>
      </c>
    </row>
    <row r="1202" ht="15.75" customHeight="1">
      <c r="A1202" s="1">
        <v>1204.0</v>
      </c>
      <c r="B1202" s="3" t="s">
        <v>3684</v>
      </c>
      <c r="C1202" s="3">
        <v>0.0</v>
      </c>
      <c r="D1202" s="3">
        <v>0.0</v>
      </c>
      <c r="E1202" s="3">
        <v>0.0</v>
      </c>
      <c r="F1202" s="3" t="s">
        <v>2246</v>
      </c>
      <c r="G1202" s="3">
        <v>1.0</v>
      </c>
      <c r="H1202" s="3">
        <v>0.0</v>
      </c>
      <c r="I1202" s="3" t="s">
        <v>13</v>
      </c>
      <c r="J1202" s="3" t="s">
        <v>2247</v>
      </c>
      <c r="K1202" s="3" t="s">
        <v>31</v>
      </c>
      <c r="L1202" s="3" t="str">
        <f>IFERROR(__xludf.DUMMYFUNCTION("GOOGLETRANSLATE(F1202,""id"",""en"")"),"World Cup Final Most Exciting")</f>
        <v>World Cup Final Most Exciting</v>
      </c>
    </row>
    <row r="1203" ht="15.75" customHeight="1">
      <c r="A1203" s="1">
        <v>1205.0</v>
      </c>
      <c r="B1203" s="3" t="s">
        <v>3685</v>
      </c>
      <c r="C1203" s="3">
        <v>0.0</v>
      </c>
      <c r="D1203" s="3">
        <v>0.0</v>
      </c>
      <c r="E1203" s="3">
        <v>0.0</v>
      </c>
      <c r="F1203" s="3" t="s">
        <v>3686</v>
      </c>
      <c r="G1203" s="3">
        <v>1.0</v>
      </c>
      <c r="H1203" s="3">
        <v>0.0</v>
      </c>
      <c r="I1203" s="3" t="s">
        <v>13</v>
      </c>
      <c r="J1203" s="3" t="s">
        <v>3687</v>
      </c>
      <c r="K1203" s="3" t="s">
        <v>1628</v>
      </c>
      <c r="L1203" s="3" t="str">
        <f>IFERROR(__xludf.DUMMYFUNCTION("GOOGLETRANSLATE(F1203,""id"",""en"")"),"Exciting Messi Great Happy Argentina World Cup Champion Hattrick Mbappe Recorded Final History Very charming and greatest France Happy Argentina True Champion")</f>
        <v>Exciting Messi Great Happy Argentina World Cup Champion Hattrick Mbappe Recorded Final History Very charming and greatest France Happy Argentina True Champion</v>
      </c>
    </row>
    <row r="1204" ht="15.75" customHeight="1">
      <c r="A1204" s="1">
        <v>1206.0</v>
      </c>
      <c r="B1204" s="3" t="s">
        <v>3688</v>
      </c>
      <c r="C1204" s="3">
        <v>0.0</v>
      </c>
      <c r="D1204" s="3">
        <v>0.0</v>
      </c>
      <c r="E1204" s="3">
        <v>1.0</v>
      </c>
      <c r="F1204" s="3" t="s">
        <v>3689</v>
      </c>
      <c r="G1204" s="3">
        <v>1.0</v>
      </c>
      <c r="H1204" s="3">
        <v>0.0</v>
      </c>
      <c r="I1204" s="3" t="s">
        <v>13</v>
      </c>
      <c r="J1204" s="3" t="s">
        <v>3690</v>
      </c>
      <c r="K1204" s="3" t="s">
        <v>41</v>
      </c>
      <c r="L1204" s="3" t="str">
        <f>IFERROR(__xludf.DUMMYFUNCTION("GOOGLETRANSLATE(F1204,""id"",""en"")"),"The best final is Mbappe Hattrick Messi finally lifted the World Cup")</f>
        <v>The best final is Mbappe Hattrick Messi finally lifted the World Cup</v>
      </c>
    </row>
    <row r="1205" ht="15.75" customHeight="1">
      <c r="A1205" s="1">
        <v>1207.0</v>
      </c>
      <c r="B1205" s="3" t="s">
        <v>3691</v>
      </c>
      <c r="C1205" s="3">
        <v>0.0</v>
      </c>
      <c r="D1205" s="3">
        <v>0.0</v>
      </c>
      <c r="E1205" s="3">
        <v>0.0</v>
      </c>
      <c r="F1205" s="3" t="s">
        <v>3692</v>
      </c>
      <c r="G1205" s="3">
        <v>1.0</v>
      </c>
      <c r="H1205" s="3">
        <v>0.0</v>
      </c>
      <c r="I1205" s="3" t="s">
        <v>13</v>
      </c>
      <c r="J1205" s="3" t="s">
        <v>3693</v>
      </c>
      <c r="K1205" s="3" t="s">
        <v>82</v>
      </c>
      <c r="L1205" s="3" t="str">
        <f>IFERROR(__xludf.DUMMYFUNCTION("GOOGLETRANSLATE(F1205,""id"",""en"")"),"Argentina's extraordinary world cup final")</f>
        <v>Argentina's extraordinary world cup final</v>
      </c>
    </row>
    <row r="1206" ht="15.75" customHeight="1">
      <c r="A1206" s="1">
        <v>1208.0</v>
      </c>
      <c r="B1206" s="3" t="s">
        <v>3694</v>
      </c>
      <c r="C1206" s="3">
        <v>0.0</v>
      </c>
      <c r="D1206" s="3">
        <v>0.0</v>
      </c>
      <c r="E1206" s="3">
        <v>1.0</v>
      </c>
      <c r="F1206" s="3" t="s">
        <v>3695</v>
      </c>
      <c r="G1206" s="3">
        <v>1.0</v>
      </c>
      <c r="H1206" s="3">
        <v>0.0</v>
      </c>
      <c r="I1206" s="3" t="s">
        <v>13</v>
      </c>
      <c r="J1206" s="3" t="s">
        <v>3696</v>
      </c>
      <c r="K1206" s="3" t="s">
        <v>75</v>
      </c>
      <c r="L1206" s="3" t="str">
        <f>IFERROR(__xludf.DUMMYFUNCTION("GOOGLETRANSLATE(F1206,""id"",""en"")"),"Fortunately, we are still given the age of enjoying the best World Cup final of all time")</f>
        <v>Fortunately, we are still given the age of enjoying the best World Cup final of all time</v>
      </c>
    </row>
    <row r="1207" ht="15.75" customHeight="1">
      <c r="A1207" s="1">
        <v>1209.0</v>
      </c>
      <c r="B1207" s="3" t="s">
        <v>3697</v>
      </c>
      <c r="C1207" s="3">
        <v>0.0</v>
      </c>
      <c r="D1207" s="3">
        <v>0.0</v>
      </c>
      <c r="E1207" s="3">
        <v>1.0</v>
      </c>
      <c r="F1207" s="3" t="s">
        <v>3698</v>
      </c>
      <c r="G1207" s="3">
        <v>1.0</v>
      </c>
      <c r="H1207" s="3">
        <v>0.0</v>
      </c>
      <c r="I1207" s="3" t="s">
        <v>13</v>
      </c>
      <c r="J1207" s="3" t="s">
        <v>3699</v>
      </c>
      <c r="K1207" s="3" t="s">
        <v>82</v>
      </c>
      <c r="L1207" s="3" t="str">
        <f>IFERROR(__xludf.DUMMYFUNCTION("GOOGLETRANSLATE(F1207,""id"",""en"")"),"yanan again online world cup final match")</f>
        <v>yanan again online world cup final match</v>
      </c>
    </row>
    <row r="1208" ht="15.75" customHeight="1">
      <c r="A1208" s="1">
        <v>1210.0</v>
      </c>
      <c r="B1208" s="3" t="s">
        <v>3700</v>
      </c>
      <c r="C1208" s="3">
        <v>31.0</v>
      </c>
      <c r="D1208" s="3">
        <v>0.0</v>
      </c>
      <c r="E1208" s="3">
        <v>20.0</v>
      </c>
      <c r="F1208" s="3" t="s">
        <v>3701</v>
      </c>
      <c r="G1208" s="3">
        <v>1.0</v>
      </c>
      <c r="H1208" s="3">
        <v>0.0</v>
      </c>
      <c r="I1208" s="3" t="s">
        <v>13</v>
      </c>
      <c r="J1208" s="3" t="s">
        <v>3702</v>
      </c>
      <c r="K1208" s="3" t="s">
        <v>484</v>
      </c>
      <c r="L1208" s="3" t="str">
        <f>IFERROR(__xludf.DUMMYFUNCTION("GOOGLETRANSLATE(F1208,""id"",""en"")"),"Piye Rek Results of the World Cup Iki Team Dids Nang Endi Nang Group Opo Nang Final")</f>
        <v>Piye Rek Results of the World Cup Iki Team Dids Nang Endi Nang Group Opo Nang Final</v>
      </c>
    </row>
    <row r="1209" ht="15.75" customHeight="1">
      <c r="A1209" s="1">
        <v>1211.0</v>
      </c>
      <c r="B1209" s="3" t="s">
        <v>3703</v>
      </c>
      <c r="C1209" s="3">
        <v>0.0</v>
      </c>
      <c r="D1209" s="3">
        <v>0.0</v>
      </c>
      <c r="E1209" s="3">
        <v>0.0</v>
      </c>
      <c r="F1209" s="3" t="s">
        <v>3704</v>
      </c>
      <c r="G1209" s="3">
        <v>1.0</v>
      </c>
      <c r="H1209" s="3">
        <v>0.0</v>
      </c>
      <c r="I1209" s="3" t="s">
        <v>13</v>
      </c>
      <c r="J1209" s="3" t="s">
        <v>3705</v>
      </c>
      <c r="K1209" s="3" t="s">
        <v>15</v>
      </c>
      <c r="L1209" s="3" t="str">
        <f>IFERROR(__xludf.DUMMYFUNCTION("GOOGLETRANSLATE(F1209,""id"",""en"")"),"Printing the World Cup Final Hattrick Guarantee to Win")</f>
        <v>Printing the World Cup Final Hattrick Guarantee to Win</v>
      </c>
    </row>
    <row r="1210" ht="15.75" customHeight="1">
      <c r="A1210" s="1">
        <v>1212.0</v>
      </c>
      <c r="B1210" s="3" t="s">
        <v>3706</v>
      </c>
      <c r="C1210" s="3">
        <v>0.0</v>
      </c>
      <c r="D1210" s="3">
        <v>0.0</v>
      </c>
      <c r="E1210" s="3">
        <v>0.0</v>
      </c>
      <c r="F1210" s="3" t="s">
        <v>3707</v>
      </c>
      <c r="G1210" s="3">
        <v>1.0</v>
      </c>
      <c r="H1210" s="3">
        <v>0.0</v>
      </c>
      <c r="I1210" s="3" t="s">
        <v>13</v>
      </c>
      <c r="J1210" s="3" t="s">
        <v>3708</v>
      </c>
      <c r="K1210" s="3" t="s">
        <v>50</v>
      </c>
      <c r="L1210" s="3" t="str">
        <f>IFERROR(__xludf.DUMMYFUNCTION("GOOGLETRANSLATE(F1210,""id"",""en"")"),"already sleeping again easy to be able to watch the next world cup final")</f>
        <v>already sleeping again easy to be able to watch the next world cup final</v>
      </c>
    </row>
    <row r="1211" ht="15.75" customHeight="1">
      <c r="A1211" s="1">
        <v>1213.0</v>
      </c>
      <c r="B1211" s="3" t="s">
        <v>3709</v>
      </c>
      <c r="C1211" s="3">
        <v>0.0</v>
      </c>
      <c r="D1211" s="3">
        <v>0.0</v>
      </c>
      <c r="E1211" s="3">
        <v>0.0</v>
      </c>
      <c r="F1211" s="3" t="s">
        <v>3710</v>
      </c>
      <c r="G1211" s="3">
        <v>1.0</v>
      </c>
      <c r="H1211" s="3">
        <v>0.0</v>
      </c>
      <c r="I1211" s="3" t="s">
        <v>13</v>
      </c>
      <c r="J1211" s="3" t="s">
        <v>3711</v>
      </c>
      <c r="K1211" s="3" t="s">
        <v>15</v>
      </c>
      <c r="L1211" s="3" t="str">
        <f>IFERROR(__xludf.DUMMYFUNCTION("GOOGLETRANSLATE(F1211,""id"",""en"")"),"Satisfied watching the World Cup final no matter anyone winning")</f>
        <v>Satisfied watching the World Cup final no matter anyone winning</v>
      </c>
    </row>
    <row r="1212" ht="15.75" customHeight="1">
      <c r="A1212" s="1">
        <v>1214.0</v>
      </c>
      <c r="B1212" s="3" t="s">
        <v>3712</v>
      </c>
      <c r="C1212" s="3">
        <v>1.0</v>
      </c>
      <c r="D1212" s="3">
        <v>0.0</v>
      </c>
      <c r="E1212" s="3">
        <v>1.0</v>
      </c>
      <c r="F1212" s="3" t="s">
        <v>3713</v>
      </c>
      <c r="G1212" s="3">
        <v>1.0</v>
      </c>
      <c r="H1212" s="3">
        <v>0.0</v>
      </c>
      <c r="I1212" s="3" t="s">
        <v>13</v>
      </c>
      <c r="J1212" s="3" t="s">
        <v>3714</v>
      </c>
      <c r="K1212" s="3" t="s">
        <v>31</v>
      </c>
      <c r="L1212" s="3" t="str">
        <f>IFERROR(__xludf.DUMMYFUNCTION("GOOGLETRANSLATE(F1212,""id"",""en"")"),"The excitement of the World Cup Final this year")</f>
        <v>The excitement of the World Cup Final this year</v>
      </c>
    </row>
    <row r="1213" ht="15.75" customHeight="1">
      <c r="A1213" s="1">
        <v>1215.0</v>
      </c>
      <c r="B1213" s="3" t="s">
        <v>3715</v>
      </c>
      <c r="C1213" s="3">
        <v>0.0</v>
      </c>
      <c r="D1213" s="3">
        <v>0.0</v>
      </c>
      <c r="E1213" s="3">
        <v>0.0</v>
      </c>
      <c r="F1213" s="3" t="s">
        <v>3716</v>
      </c>
      <c r="G1213" s="3">
        <v>1.0</v>
      </c>
      <c r="H1213" s="3">
        <v>0.0</v>
      </c>
      <c r="I1213" s="3" t="s">
        <v>13</v>
      </c>
      <c r="J1213" s="3" t="s">
        <v>3717</v>
      </c>
      <c r="K1213" s="3" t="s">
        <v>644</v>
      </c>
      <c r="L1213" s="3" t="str">
        <f>IFERROR(__xludf.DUMMYFUNCTION("GOOGLETRANSLATE(F1213,""id"",""en"")"),"Bahang Final World Cup")</f>
        <v>Bahang Final World Cup</v>
      </c>
    </row>
    <row r="1214" ht="15.75" customHeight="1">
      <c r="A1214" s="1">
        <v>1216.0</v>
      </c>
      <c r="B1214" s="3" t="s">
        <v>3718</v>
      </c>
      <c r="C1214" s="3">
        <v>0.0</v>
      </c>
      <c r="D1214" s="3">
        <v>0.0</v>
      </c>
      <c r="E1214" s="3">
        <v>0.0</v>
      </c>
      <c r="F1214" s="3" t="s">
        <v>3719</v>
      </c>
      <c r="G1214" s="3">
        <v>0.8333333333333334</v>
      </c>
      <c r="H1214" s="3">
        <v>-0.1222222222222222</v>
      </c>
      <c r="I1214" s="3" t="s">
        <v>179</v>
      </c>
      <c r="J1214" s="3" t="s">
        <v>3720</v>
      </c>
      <c r="K1214" s="3" t="s">
        <v>3721</v>
      </c>
      <c r="L1214" s="3" t="str">
        <f>IFERROR(__xludf.DUMMYFUNCTION("GOOGLETRANSLATE(F1214,""id"",""en"")"),"The Qatar World Cup final rating is clearly exciting and unpredictable mbappe ngecarry one Russian team France won predictable because Croatia has already been Brazil Germany won because the squad is good Argentina Bapuk")</f>
        <v>The Qatar World Cup final rating is clearly exciting and unpredictable mbappe ngecarry one Russian team France won predictable because Croatia has already been Brazil Germany won because the squad is good Argentina Bapuk</v>
      </c>
    </row>
    <row r="1215" ht="15.75" customHeight="1">
      <c r="A1215" s="1">
        <v>1217.0</v>
      </c>
      <c r="B1215" s="3" t="s">
        <v>3722</v>
      </c>
      <c r="C1215" s="3">
        <v>0.0</v>
      </c>
      <c r="D1215" s="3">
        <v>0.0</v>
      </c>
      <c r="E1215" s="3">
        <v>0.0</v>
      </c>
      <c r="F1215" s="3" t="s">
        <v>3723</v>
      </c>
      <c r="G1215" s="3">
        <v>0.7666666666666666</v>
      </c>
      <c r="H1215" s="3">
        <v>0.3333333333333333</v>
      </c>
      <c r="I1215" s="3" t="s">
        <v>48</v>
      </c>
      <c r="J1215" s="3" t="s">
        <v>3724</v>
      </c>
      <c r="K1215" s="3" t="s">
        <v>308</v>
      </c>
      <c r="L1215" s="3" t="str">
        <f>IFERROR(__xludf.DUMMYFUNCTION("GOOGLETRANSLATE(F1215,""id"",""en"")"),"The Coolest World Cup Final Hattrick World Cup Final Mbape Monster Year can complement a soccer title with extraordinary Messi The Best")</f>
        <v>The Coolest World Cup Final Hattrick World Cup Final Mbape Monster Year can complement a soccer title with extraordinary Messi The Best</v>
      </c>
    </row>
    <row r="1216" ht="15.75" customHeight="1">
      <c r="A1216" s="1">
        <v>1218.0</v>
      </c>
      <c r="B1216" s="3" t="s">
        <v>3725</v>
      </c>
      <c r="C1216" s="3">
        <v>0.0</v>
      </c>
      <c r="D1216" s="3">
        <v>0.0</v>
      </c>
      <c r="E1216" s="3">
        <v>0.0</v>
      </c>
      <c r="F1216" s="3" t="s">
        <v>3726</v>
      </c>
      <c r="G1216" s="3">
        <v>1.0</v>
      </c>
      <c r="H1216" s="3">
        <v>0.0</v>
      </c>
      <c r="I1216" s="3" t="s">
        <v>13</v>
      </c>
      <c r="J1216" s="3" t="s">
        <v>3727</v>
      </c>
      <c r="K1216" s="3" t="s">
        <v>240</v>
      </c>
      <c r="L1216" s="3" t="str">
        <f>IFERROR(__xludf.DUMMYFUNCTION("GOOGLETRANSLATE(F1216,""id"",""en"")"),"Although eventually it must be determined through a penalty shootout, it must be recognized that this final one is very exciting in the history of the World Cup event")</f>
        <v>Although eventually it must be determined through a penalty shootout, it must be recognized that this final one is very exciting in the history of the World Cup event</v>
      </c>
    </row>
    <row r="1217" ht="15.75" customHeight="1">
      <c r="A1217" s="1">
        <v>1219.0</v>
      </c>
      <c r="B1217" s="3" t="s">
        <v>3728</v>
      </c>
      <c r="C1217" s="3">
        <v>0.0</v>
      </c>
      <c r="D1217" s="3">
        <v>0.0</v>
      </c>
      <c r="E1217" s="3">
        <v>1.0</v>
      </c>
      <c r="F1217" s="3" t="s">
        <v>3729</v>
      </c>
      <c r="G1217" s="3">
        <v>1.0</v>
      </c>
      <c r="H1217" s="3">
        <v>0.0</v>
      </c>
      <c r="I1217" s="3" t="s">
        <v>13</v>
      </c>
      <c r="J1217" s="3" t="s">
        <v>3730</v>
      </c>
      <c r="K1217" s="3" t="s">
        <v>232</v>
      </c>
      <c r="L1217" s="3" t="str">
        <f>IFERROR(__xludf.DUMMYFUNCTION("GOOGLETRANSLATE(F1217,""id"",""en"")"),"The first time I watched the World Cup final during the World Cup during the year since this was the final of the Edyaan, not Marai, but Marai meh was blinking")</f>
        <v>The first time I watched the World Cup final during the World Cup during the year since this was the final of the Edyaan, not Marai, but Marai meh was blinking</v>
      </c>
    </row>
    <row r="1218" ht="15.75" customHeight="1">
      <c r="A1218" s="1">
        <v>1220.0</v>
      </c>
      <c r="B1218" s="3" t="s">
        <v>3731</v>
      </c>
      <c r="C1218" s="3">
        <v>1.0</v>
      </c>
      <c r="D1218" s="3">
        <v>0.0</v>
      </c>
      <c r="E1218" s="3">
        <v>0.0</v>
      </c>
      <c r="F1218" s="3" t="s">
        <v>3732</v>
      </c>
      <c r="G1218" s="3">
        <v>1.0</v>
      </c>
      <c r="H1218" s="3">
        <v>0.0</v>
      </c>
      <c r="I1218" s="3" t="s">
        <v>13</v>
      </c>
      <c r="J1218" s="3" t="s">
        <v>3733</v>
      </c>
      <c r="K1218" s="3" t="s">
        <v>3734</v>
      </c>
      <c r="L1218" s="3" t="str">
        <f>IFERROR(__xludf.DUMMYFUNCTION("GOOGLETRANSLATE(F1218,""id"",""en"")"),"Every world cup there must be a country to become a dark horse but fortunately this year the edition of the dark horses did not pass the finals, it should indeed be like that, the dark horse was enough until the semi -final for the creation of the final t"&amp;"hat was really climax")</f>
        <v>Every world cup there must be a country to become a dark horse but fortunately this year the edition of the dark horses did not pass the finals, it should indeed be like that, the dark horse was enough until the semi -final for the creation of the final that was really climax</v>
      </c>
    </row>
    <row r="1219" ht="15.75" customHeight="1">
      <c r="A1219" s="1">
        <v>1221.0</v>
      </c>
      <c r="B1219" s="3" t="s">
        <v>3735</v>
      </c>
      <c r="C1219" s="3">
        <v>0.0</v>
      </c>
      <c r="D1219" s="3">
        <v>0.0</v>
      </c>
      <c r="E1219" s="3">
        <v>0.0</v>
      </c>
      <c r="F1219" s="3" t="s">
        <v>3736</v>
      </c>
      <c r="G1219" s="3">
        <v>1.0</v>
      </c>
      <c r="H1219" s="3">
        <v>0.0</v>
      </c>
      <c r="I1219" s="3" t="s">
        <v>13</v>
      </c>
      <c r="J1219" s="3" t="s">
        <v>3737</v>
      </c>
      <c r="K1219" s="3" t="s">
        <v>82</v>
      </c>
      <c r="L1219" s="3" t="str">
        <f>IFERROR(__xludf.DUMMYFUNCTION("GOOGLETRANSLATE(F1219,""id"",""en"")"),"Final of the Best World Cup in Football History")</f>
        <v>Final of the Best World Cup in Football History</v>
      </c>
    </row>
    <row r="1220" ht="15.75" customHeight="1">
      <c r="A1220" s="1">
        <v>1222.0</v>
      </c>
      <c r="B1220" s="3" t="s">
        <v>3738</v>
      </c>
      <c r="C1220" s="3">
        <v>0.0</v>
      </c>
      <c r="D1220" s="3">
        <v>0.0</v>
      </c>
      <c r="E1220" s="3">
        <v>0.0</v>
      </c>
      <c r="F1220" s="3" t="s">
        <v>3739</v>
      </c>
      <c r="G1220" s="3">
        <v>1.0</v>
      </c>
      <c r="H1220" s="3">
        <v>0.0</v>
      </c>
      <c r="I1220" s="3" t="s">
        <v>13</v>
      </c>
      <c r="J1220" s="3" t="s">
        <v>3740</v>
      </c>
      <c r="K1220" s="3" t="s">
        <v>82</v>
      </c>
      <c r="L1220" s="3" t="str">
        <f>IFERROR(__xludf.DUMMYFUNCTION("GOOGLETRANSLATE(F1220,""id"",""en"")"),"Salute to Mbappe Year but the World Cup Final Hattrick")</f>
        <v>Salute to Mbappe Year but the World Cup Final Hattrick</v>
      </c>
    </row>
    <row r="1221" ht="15.75" customHeight="1">
      <c r="A1221" s="1">
        <v>1223.0</v>
      </c>
      <c r="B1221" s="3" t="s">
        <v>3741</v>
      </c>
      <c r="C1221" s="3">
        <v>0.0</v>
      </c>
      <c r="D1221" s="3">
        <v>0.0</v>
      </c>
      <c r="E1221" s="3">
        <v>0.0</v>
      </c>
      <c r="F1221" s="3" t="s">
        <v>3742</v>
      </c>
      <c r="G1221" s="3">
        <v>1.0</v>
      </c>
      <c r="H1221" s="3">
        <v>0.0</v>
      </c>
      <c r="I1221" s="3" t="s">
        <v>13</v>
      </c>
      <c r="J1221" s="3" t="s">
        <v>3743</v>
      </c>
      <c r="K1221" s="3" t="s">
        <v>644</v>
      </c>
      <c r="L1221" s="3" t="str">
        <f>IFERROR(__xludf.DUMMYFUNCTION("GOOGLETRANSLATE(F1221,""id"",""en"")"),"Petjah Final World Cup")</f>
        <v>Petjah Final World Cup</v>
      </c>
    </row>
    <row r="1222" ht="15.75" customHeight="1">
      <c r="A1222" s="1">
        <v>1224.0</v>
      </c>
      <c r="B1222" s="3" t="s">
        <v>3744</v>
      </c>
      <c r="C1222" s="3">
        <v>1.0</v>
      </c>
      <c r="D1222" s="3">
        <v>0.0</v>
      </c>
      <c r="E1222" s="3">
        <v>0.0</v>
      </c>
      <c r="F1222" s="3" t="s">
        <v>3745</v>
      </c>
      <c r="G1222" s="3">
        <v>1.0</v>
      </c>
      <c r="H1222" s="3">
        <v>0.0</v>
      </c>
      <c r="I1222" s="3" t="s">
        <v>13</v>
      </c>
      <c r="J1222" s="3" t="s">
        <v>3746</v>
      </c>
      <c r="K1222" s="3" t="s">
        <v>50</v>
      </c>
      <c r="L1222" s="3" t="str">
        <f>IFERROR(__xludf.DUMMYFUNCTION("GOOGLETRANSLATE(F1222,""id"",""en"")"),"happy to witness the best World Cup Final Witnesses of all time even though the team lost")</f>
        <v>happy to witness the best World Cup Final Witnesses of all time even though the team lost</v>
      </c>
    </row>
    <row r="1223" ht="15.75" customHeight="1">
      <c r="A1223" s="1">
        <v>1225.0</v>
      </c>
      <c r="B1223" s="3" t="s">
        <v>3747</v>
      </c>
      <c r="C1223" s="3">
        <v>0.0</v>
      </c>
      <c r="D1223" s="3">
        <v>0.0</v>
      </c>
      <c r="E1223" s="3">
        <v>0.0</v>
      </c>
      <c r="F1223" s="3" t="s">
        <v>3748</v>
      </c>
      <c r="G1223" s="3">
        <v>1.0</v>
      </c>
      <c r="H1223" s="3">
        <v>0.0</v>
      </c>
      <c r="I1223" s="3" t="s">
        <v>13</v>
      </c>
      <c r="J1223" s="3" t="s">
        <v>3749</v>
      </c>
      <c r="K1223" s="3" t="s">
        <v>484</v>
      </c>
      <c r="L1223" s="3" t="str">
        <f>IFERROR(__xludf.DUMMYFUNCTION("GOOGLETRANSLATE(F1223,""id"",""en"")"),"The final class of the World Cup only the fans won entering the field loses to the field of the field of throwing a different HR")</f>
        <v>The final class of the World Cup only the fans won entering the field loses to the field of the field of throwing a different HR</v>
      </c>
    </row>
    <row r="1224" ht="15.75" customHeight="1">
      <c r="A1224" s="1">
        <v>1226.0</v>
      </c>
      <c r="B1224" s="3" t="s">
        <v>3750</v>
      </c>
      <c r="C1224" s="3">
        <v>0.0</v>
      </c>
      <c r="D1224" s="3">
        <v>0.0</v>
      </c>
      <c r="E1224" s="3">
        <v>0.0</v>
      </c>
      <c r="F1224" s="3" t="s">
        <v>3751</v>
      </c>
      <c r="G1224" s="3">
        <v>1.0</v>
      </c>
      <c r="H1224" s="3">
        <v>0.0</v>
      </c>
      <c r="I1224" s="3" t="s">
        <v>13</v>
      </c>
      <c r="J1224" s="3" t="s">
        <v>3752</v>
      </c>
      <c r="K1224" s="3" t="s">
        <v>75</v>
      </c>
      <c r="L1224" s="3" t="str">
        <f>IFERROR(__xludf.DUMMYFUNCTION("GOOGLETRANSLATE(F1224,""id"",""en"")"),"The World Cup Final was shocked I had watched Mas Messi")</f>
        <v>The World Cup Final was shocked I had watched Mas Messi</v>
      </c>
    </row>
    <row r="1225" ht="15.75" customHeight="1">
      <c r="A1225" s="1">
        <v>1227.0</v>
      </c>
      <c r="B1225" s="3" t="s">
        <v>3753</v>
      </c>
      <c r="C1225" s="3">
        <v>1.0</v>
      </c>
      <c r="D1225" s="3">
        <v>0.0</v>
      </c>
      <c r="E1225" s="3">
        <v>0.0</v>
      </c>
      <c r="F1225" s="3" t="s">
        <v>665</v>
      </c>
      <c r="G1225" s="3">
        <v>1.0</v>
      </c>
      <c r="H1225" s="3">
        <v>0.0</v>
      </c>
      <c r="I1225" s="3" t="s">
        <v>13</v>
      </c>
      <c r="J1225" s="3" t="s">
        <v>666</v>
      </c>
      <c r="K1225" s="3" t="s">
        <v>644</v>
      </c>
      <c r="L1225" s="3" t="str">
        <f>IFERROR(__xludf.DUMMYFUNCTION("GOOGLETRANSLATE(F1225,""id"",""en"")"),"the best world cup final")</f>
        <v>the best world cup final</v>
      </c>
    </row>
    <row r="1226" ht="15.75" customHeight="1">
      <c r="A1226" s="1">
        <v>1228.0</v>
      </c>
      <c r="B1226" s="3" t="s">
        <v>3754</v>
      </c>
      <c r="C1226" s="3">
        <v>0.0</v>
      </c>
      <c r="D1226" s="3">
        <v>0.0</v>
      </c>
      <c r="E1226" s="3">
        <v>0.0</v>
      </c>
      <c r="F1226" s="3" t="s">
        <v>2067</v>
      </c>
      <c r="G1226" s="3">
        <v>1.0</v>
      </c>
      <c r="H1226" s="3">
        <v>0.0</v>
      </c>
      <c r="I1226" s="3" t="s">
        <v>13</v>
      </c>
      <c r="J1226" s="3" t="s">
        <v>2068</v>
      </c>
      <c r="K1226" s="3" t="s">
        <v>644</v>
      </c>
      <c r="L1226" s="3" t="str">
        <f>IFERROR(__xludf.DUMMYFUNCTION("GOOGLETRANSLATE(F1226,""id"",""en"")"),"World Cup Best Final")</f>
        <v>World Cup Best Final</v>
      </c>
    </row>
    <row r="1227" ht="15.75" customHeight="1">
      <c r="A1227" s="1">
        <v>1229.0</v>
      </c>
      <c r="B1227" s="3" t="s">
        <v>3755</v>
      </c>
      <c r="C1227" s="3">
        <v>0.0</v>
      </c>
      <c r="D1227" s="3">
        <v>0.0</v>
      </c>
      <c r="E1227" s="3">
        <v>0.0</v>
      </c>
      <c r="F1227" s="3" t="s">
        <v>642</v>
      </c>
      <c r="G1227" s="3">
        <v>1.0</v>
      </c>
      <c r="H1227" s="3">
        <v>0.0</v>
      </c>
      <c r="I1227" s="3" t="s">
        <v>13</v>
      </c>
      <c r="J1227" s="3" t="s">
        <v>643</v>
      </c>
      <c r="K1227" s="3" t="s">
        <v>644</v>
      </c>
      <c r="L1227" s="3" t="str">
        <f>IFERROR(__xludf.DUMMYFUNCTION("GOOGLETRANSLATE(F1227,""id"",""en"")"),"The World Cup Final was shocked")</f>
        <v>The World Cup Final was shocked</v>
      </c>
    </row>
    <row r="1228" ht="15.75" customHeight="1">
      <c r="A1228" s="1">
        <v>1230.0</v>
      </c>
      <c r="B1228" s="3" t="s">
        <v>3756</v>
      </c>
      <c r="C1228" s="3">
        <v>0.0</v>
      </c>
      <c r="D1228" s="3">
        <v>0.0</v>
      </c>
      <c r="E1228" s="3">
        <v>0.0</v>
      </c>
      <c r="F1228" s="3" t="s">
        <v>3757</v>
      </c>
      <c r="G1228" s="3">
        <v>1.0</v>
      </c>
      <c r="H1228" s="3">
        <v>0.0</v>
      </c>
      <c r="I1228" s="3" t="s">
        <v>13</v>
      </c>
      <c r="J1228" s="3" t="s">
        <v>2059</v>
      </c>
      <c r="K1228" s="3" t="s">
        <v>54</v>
      </c>
      <c r="L1228" s="3" t="str">
        <f>IFERROR(__xludf.DUMMYFUNCTION("GOOGLETRANSLATE(F1228,""id"",""en"")"),"The Best World Cup Final in History for now")</f>
        <v>The Best World Cup Final in History for now</v>
      </c>
    </row>
    <row r="1229" ht="15.75" customHeight="1">
      <c r="A1229" s="1">
        <v>1231.0</v>
      </c>
      <c r="B1229" s="3" t="s">
        <v>3758</v>
      </c>
      <c r="C1229" s="3">
        <v>0.0</v>
      </c>
      <c r="D1229" s="3">
        <v>0.0</v>
      </c>
      <c r="E1229" s="3">
        <v>0.0</v>
      </c>
      <c r="F1229" s="3" t="s">
        <v>3759</v>
      </c>
      <c r="G1229" s="3">
        <v>1.0</v>
      </c>
      <c r="H1229" s="3">
        <v>0.0</v>
      </c>
      <c r="I1229" s="3" t="s">
        <v>13</v>
      </c>
      <c r="J1229" s="3" t="s">
        <v>3760</v>
      </c>
      <c r="K1229" s="3" t="s">
        <v>244</v>
      </c>
      <c r="L1229" s="3" t="str">
        <f>IFERROR(__xludf.DUMMYFUNCTION("GOOGLETRANSLATE(F1229,""id"",""en"")"),"One of the best finals in the history of the World Cup Happy Argentina Happy Messi")</f>
        <v>One of the best finals in the history of the World Cup Happy Argentina Happy Messi</v>
      </c>
    </row>
    <row r="1230" ht="15.75" customHeight="1">
      <c r="A1230" s="1">
        <v>1232.0</v>
      </c>
      <c r="B1230" s="3" t="s">
        <v>3761</v>
      </c>
      <c r="C1230" s="3">
        <v>0.0</v>
      </c>
      <c r="D1230" s="3">
        <v>0.0</v>
      </c>
      <c r="E1230" s="3">
        <v>0.0</v>
      </c>
      <c r="F1230" s="3" t="s">
        <v>3762</v>
      </c>
      <c r="G1230" s="3">
        <v>1.0</v>
      </c>
      <c r="H1230" s="3">
        <v>0.0</v>
      </c>
      <c r="I1230" s="3" t="s">
        <v>13</v>
      </c>
      <c r="J1230" s="3" t="s">
        <v>3763</v>
      </c>
      <c r="K1230" s="3" t="s">
        <v>31</v>
      </c>
      <c r="L1230" s="3" t="str">
        <f>IFERROR(__xludf.DUMMYFUNCTION("GOOGLETRANSLATE(F1230,""id"",""en"")"),"Final of the Best World Cup in Life")</f>
        <v>Final of the Best World Cup in Life</v>
      </c>
    </row>
    <row r="1231" ht="15.75" customHeight="1">
      <c r="A1231" s="1">
        <v>1233.0</v>
      </c>
      <c r="B1231" s="3" t="s">
        <v>3764</v>
      </c>
      <c r="C1231" s="3">
        <v>0.0</v>
      </c>
      <c r="D1231" s="3">
        <v>0.0</v>
      </c>
      <c r="E1231" s="3">
        <v>1.0</v>
      </c>
      <c r="F1231" s="3" t="s">
        <v>3765</v>
      </c>
      <c r="G1231" s="3">
        <v>1.0</v>
      </c>
      <c r="H1231" s="3">
        <v>0.0</v>
      </c>
      <c r="I1231" s="3" t="s">
        <v>13</v>
      </c>
      <c r="J1231" s="3" t="s">
        <v>3766</v>
      </c>
      <c r="K1231" s="3" t="s">
        <v>695</v>
      </c>
      <c r="L1231" s="3" t="str">
        <f>IFERROR(__xludf.DUMMYFUNCTION("GOOGLETRANSLATE(F1231,""id"",""en"")"),"The euphoria of the Qatar World Cup took me to watch the final football until it was finished initially the Moroccan jagoin but did not enter the final but mbappe you are very good")</f>
        <v>The euphoria of the Qatar World Cup took me to watch the final football until it was finished initially the Moroccan jagoin but did not enter the final but mbappe you are very good</v>
      </c>
    </row>
    <row r="1232" ht="15.75" customHeight="1">
      <c r="A1232" s="1">
        <v>1234.0</v>
      </c>
      <c r="B1232" s="3" t="s">
        <v>3767</v>
      </c>
      <c r="C1232" s="3">
        <v>0.0</v>
      </c>
      <c r="D1232" s="3">
        <v>0.0</v>
      </c>
      <c r="E1232" s="3">
        <v>0.0</v>
      </c>
      <c r="F1232" s="3" t="s">
        <v>3768</v>
      </c>
      <c r="G1232" s="3">
        <v>1.0</v>
      </c>
      <c r="H1232" s="3">
        <v>0.0</v>
      </c>
      <c r="I1232" s="3" t="s">
        <v>13</v>
      </c>
      <c r="J1232" s="3" t="s">
        <v>3769</v>
      </c>
      <c r="K1232" s="3" t="s">
        <v>510</v>
      </c>
      <c r="L1232" s="3" t="str">
        <f>IFERROR(__xludf.DUMMYFUNCTION("GOOGLETRANSLATE(F1232,""id"",""en"")"),"The World Cup Final was excited by Argentina Greetings from Portugal Supporters How Kabar Bang Dodo")</f>
        <v>The World Cup Final was excited by Argentina Greetings from Portugal Supporters How Kabar Bang Dodo</v>
      </c>
    </row>
    <row r="1233" ht="15.75" customHeight="1">
      <c r="A1233" s="1">
        <v>1235.0</v>
      </c>
      <c r="B1233" s="3" t="s">
        <v>3770</v>
      </c>
      <c r="C1233" s="3">
        <v>0.0</v>
      </c>
      <c r="D1233" s="3">
        <v>0.0</v>
      </c>
      <c r="E1233" s="3">
        <v>0.0</v>
      </c>
      <c r="F1233" s="3" t="s">
        <v>3771</v>
      </c>
      <c r="G1233" s="3">
        <v>1.0</v>
      </c>
      <c r="H1233" s="3">
        <v>0.0</v>
      </c>
      <c r="I1233" s="3" t="s">
        <v>13</v>
      </c>
      <c r="J1233" s="3" t="s">
        <v>3772</v>
      </c>
      <c r="K1233" s="3" t="s">
        <v>795</v>
      </c>
      <c r="L1233" s="3" t="str">
        <f>IFERROR(__xludf.DUMMYFUNCTION("GOOGLETRANSLATE(F1233,""id"",""en"")"),"make ahh tweet like this date the world cup final one tweet as a country then will delete one by one tweet if there is fall")</f>
        <v>make ahh tweet like this date the world cup final one tweet as a country then will delete one by one tweet if there is fall</v>
      </c>
    </row>
    <row r="1234" ht="15.75" customHeight="1">
      <c r="A1234" s="1">
        <v>1236.0</v>
      </c>
      <c r="B1234" s="3" t="s">
        <v>3773</v>
      </c>
      <c r="C1234" s="3">
        <v>0.0</v>
      </c>
      <c r="D1234" s="3">
        <v>0.0</v>
      </c>
      <c r="E1234" s="3">
        <v>0.0</v>
      </c>
      <c r="F1234" s="3" t="s">
        <v>3774</v>
      </c>
      <c r="G1234" s="3">
        <v>1.0</v>
      </c>
      <c r="H1234" s="3">
        <v>0.0</v>
      </c>
      <c r="I1234" s="3" t="s">
        <v>13</v>
      </c>
      <c r="J1234" s="3" t="s">
        <v>3775</v>
      </c>
      <c r="K1234" s="3" t="s">
        <v>1518</v>
      </c>
      <c r="L1234" s="3" t="str">
        <f>IFERROR(__xludf.DUMMYFUNCTION("GOOGLETRANSLATE(F1234,""id"",""en"")"),"Crazy Final World Cup Match This is the best original, congratulations again for Argentina and finally Lionel Andres Messi got the World Cup is also quite touched, I'm honest")</f>
        <v>Crazy Final World Cup Match This is the best original, congratulations again for Argentina and finally Lionel Andres Messi got the World Cup is also quite touched, I'm honest</v>
      </c>
    </row>
    <row r="1235" ht="15.75" customHeight="1">
      <c r="A1235" s="1">
        <v>1237.0</v>
      </c>
      <c r="B1235" s="3" t="s">
        <v>3776</v>
      </c>
      <c r="C1235" s="3">
        <v>0.0</v>
      </c>
      <c r="D1235" s="3">
        <v>0.0</v>
      </c>
      <c r="E1235" s="3">
        <v>0.0</v>
      </c>
      <c r="F1235" s="3" t="s">
        <v>3777</v>
      </c>
      <c r="G1235" s="3">
        <v>1.0</v>
      </c>
      <c r="H1235" s="3">
        <v>0.0</v>
      </c>
      <c r="I1235" s="3" t="s">
        <v>13</v>
      </c>
      <c r="J1235" s="3" t="s">
        <v>3778</v>
      </c>
      <c r="K1235" s="3" t="s">
        <v>644</v>
      </c>
      <c r="L1235" s="3" t="str">
        <f>IFERROR(__xludf.DUMMYFUNCTION("GOOGLETRANSLATE(F1235,""id"",""en"")"),"Watch World Cup Final")</f>
        <v>Watch World Cup Final</v>
      </c>
    </row>
    <row r="1236" ht="15.75" customHeight="1">
      <c r="A1236" s="1">
        <v>1238.0</v>
      </c>
      <c r="B1236" s="3" t="s">
        <v>3779</v>
      </c>
      <c r="C1236" s="3">
        <v>0.0</v>
      </c>
      <c r="D1236" s="3">
        <v>0.0</v>
      </c>
      <c r="E1236" s="3">
        <v>1.0</v>
      </c>
      <c r="F1236" s="3" t="s">
        <v>3780</v>
      </c>
      <c r="G1236" s="3">
        <v>0.7</v>
      </c>
      <c r="H1236" s="3">
        <v>-0.2</v>
      </c>
      <c r="I1236" s="3" t="s">
        <v>179</v>
      </c>
      <c r="J1236" s="3" t="s">
        <v>3781</v>
      </c>
      <c r="K1236" s="3" t="s">
        <v>127</v>
      </c>
      <c r="L1236" s="3" t="str">
        <f>IFERROR(__xludf.DUMMYFUNCTION("GOOGLETRANSLATE(F1236,""id"",""en"")"),"Whattt the Games Cok Crash Crazy World Cup Final This Year Mbappe Everybody can finally see the Goat Champion World Cup")</f>
        <v>Whattt the Games Cok Crash Crazy World Cup Final This Year Mbappe Everybody can finally see the Goat Champion World Cup</v>
      </c>
    </row>
    <row r="1237" ht="15.75" customHeight="1">
      <c r="A1237" s="1">
        <v>1239.0</v>
      </c>
      <c r="B1237" s="3" t="s">
        <v>3782</v>
      </c>
      <c r="C1237" s="3">
        <v>0.0</v>
      </c>
      <c r="D1237" s="3">
        <v>0.0</v>
      </c>
      <c r="E1237" s="3">
        <v>0.0</v>
      </c>
      <c r="F1237" s="3" t="s">
        <v>3783</v>
      </c>
      <c r="G1237" s="3">
        <v>0.55</v>
      </c>
      <c r="H1237" s="3">
        <v>0.0</v>
      </c>
      <c r="I1237" s="3" t="s">
        <v>13</v>
      </c>
      <c r="J1237" s="3" t="s">
        <v>3784</v>
      </c>
      <c r="K1237" s="3" t="s">
        <v>240</v>
      </c>
      <c r="L1237" s="3" t="str">
        <f>IFERROR(__xludf.DUMMYFUNCTION("GOOGLETRANSLATE(F1237,""id"",""en"")"),"Mbappe is the age of the year to carry the final of the Big World Cup Final Respect for HIM GWS back and his team")</f>
        <v>Mbappe is the age of the year to carry the final of the Big World Cup Final Respect for HIM GWS back and his team</v>
      </c>
    </row>
    <row r="1238" ht="15.75" customHeight="1">
      <c r="A1238" s="1">
        <v>1240.0</v>
      </c>
      <c r="B1238" s="3" t="s">
        <v>3785</v>
      </c>
      <c r="C1238" s="3">
        <v>2.0</v>
      </c>
      <c r="D1238" s="3">
        <v>0.0</v>
      </c>
      <c r="E1238" s="3">
        <v>0.0</v>
      </c>
      <c r="F1238" s="3" t="s">
        <v>3786</v>
      </c>
      <c r="G1238" s="3">
        <v>1.0</v>
      </c>
      <c r="H1238" s="3">
        <v>0.0</v>
      </c>
      <c r="I1238" s="3" t="s">
        <v>13</v>
      </c>
      <c r="J1238" s="3" t="s">
        <v>3787</v>
      </c>
      <c r="K1238" s="3" t="s">
        <v>644</v>
      </c>
      <c r="L1238" s="3" t="str">
        <f>IFERROR(__xludf.DUMMYFUNCTION("GOOGLETRANSLATE(F1238,""id"",""en"")"),"World Cup Final Scenario")</f>
        <v>World Cup Final Scenario</v>
      </c>
    </row>
    <row r="1239" ht="15.75" customHeight="1">
      <c r="A1239" s="1">
        <v>1241.0</v>
      </c>
      <c r="B1239" s="3" t="s">
        <v>3788</v>
      </c>
      <c r="C1239" s="3">
        <v>7.0</v>
      </c>
      <c r="D1239" s="3">
        <v>15.0</v>
      </c>
      <c r="E1239" s="3">
        <v>103.0</v>
      </c>
      <c r="F1239" s="3" t="s">
        <v>3789</v>
      </c>
      <c r="G1239" s="3">
        <v>1.0</v>
      </c>
      <c r="H1239" s="3">
        <v>0.0</v>
      </c>
      <c r="I1239" s="3" t="s">
        <v>13</v>
      </c>
      <c r="J1239" s="3" t="s">
        <v>3790</v>
      </c>
      <c r="K1239" s="3" t="s">
        <v>1293</v>
      </c>
      <c r="L1239" s="3" t="str">
        <f>IFERROR(__xludf.DUMMYFUNCTION("GOOGLETRANSLATE(F1239,""id"",""en"")"),"Kylian Mbappe scored the World Cup Final Hat Trick scored another goal from the penalty to make the French Argentina score a draw")</f>
        <v>Kylian Mbappe scored the World Cup Final Hat Trick scored another goal from the penalty to make the French Argentina score a draw</v>
      </c>
    </row>
    <row r="1240" ht="15.75" customHeight="1">
      <c r="A1240" s="1">
        <v>1242.0</v>
      </c>
      <c r="B1240" s="3" t="s">
        <v>3791</v>
      </c>
      <c r="C1240" s="3">
        <v>0.0</v>
      </c>
      <c r="D1240" s="3">
        <v>0.0</v>
      </c>
      <c r="E1240" s="3">
        <v>0.0</v>
      </c>
      <c r="F1240" s="3" t="s">
        <v>3792</v>
      </c>
      <c r="G1240" s="3">
        <v>1.0</v>
      </c>
      <c r="H1240" s="3">
        <v>0.0</v>
      </c>
      <c r="I1240" s="3" t="s">
        <v>13</v>
      </c>
      <c r="J1240" s="3" t="s">
        <v>3793</v>
      </c>
      <c r="K1240" s="3" t="s">
        <v>2215</v>
      </c>
      <c r="L1240" s="3" t="str">
        <f>IFERROR(__xludf.DUMMYFUNCTION("GOOGLETRANSLATE(F1240,""id"",""en"")"),"Qatar World Cup Final match I will definitely watch again with my child later the best chocolate final")</f>
        <v>Qatar World Cup Final match I will definitely watch again with my child later the best chocolate final</v>
      </c>
    </row>
    <row r="1241" ht="15.75" customHeight="1">
      <c r="A1241" s="1">
        <v>1243.0</v>
      </c>
      <c r="B1241" s="3" t="s">
        <v>3794</v>
      </c>
      <c r="C1241" s="3">
        <v>1.0</v>
      </c>
      <c r="D1241" s="3">
        <v>0.0</v>
      </c>
      <c r="E1241" s="3">
        <v>1.0</v>
      </c>
      <c r="F1241" s="3" t="s">
        <v>3795</v>
      </c>
      <c r="G1241" s="3">
        <v>0.65</v>
      </c>
      <c r="H1241" s="3">
        <v>0.0</v>
      </c>
      <c r="I1241" s="3" t="s">
        <v>13</v>
      </c>
      <c r="J1241" s="3" t="s">
        <v>3796</v>
      </c>
      <c r="K1241" s="3" t="s">
        <v>1061</v>
      </c>
      <c r="L1241" s="3" t="str">
        <f>IFERROR(__xludf.DUMMYFUNCTION("GOOGLETRANSLATE(F1241,""id"",""en"")"),"Kae Low Ndelok World Cup Final Isine Mung Jegel Tok but not spoiled blasss players how come the endel is spoiled watching grandfather not strong utekmu Koclok Angel Drugs Jhonnn")</f>
        <v>Kae Low Ndelok World Cup Final Isine Mung Jegel Tok but not spoiled blasss players how come the endel is spoiled watching grandfather not strong utekmu Koclok Angel Drugs Jhonnn</v>
      </c>
    </row>
    <row r="1242" ht="15.75" customHeight="1">
      <c r="A1242" s="1">
        <v>1244.0</v>
      </c>
      <c r="B1242" s="3" t="s">
        <v>3797</v>
      </c>
      <c r="C1242" s="3">
        <v>1.0</v>
      </c>
      <c r="D1242" s="3">
        <v>0.0</v>
      </c>
      <c r="E1242" s="3">
        <v>0.0</v>
      </c>
      <c r="F1242" s="3" t="s">
        <v>3798</v>
      </c>
      <c r="G1242" s="3">
        <v>1.0</v>
      </c>
      <c r="H1242" s="3">
        <v>0.0</v>
      </c>
      <c r="I1242" s="3" t="s">
        <v>13</v>
      </c>
      <c r="J1242" s="3" t="s">
        <v>3799</v>
      </c>
      <c r="K1242" s="3" t="s">
        <v>942</v>
      </c>
      <c r="L1242" s="3" t="str">
        <f>IFERROR(__xludf.DUMMYFUNCTION("GOOGLETRANSLATE(F1242,""id"",""en"")"),"Valid Final was excited because my father was watching the World Cup from the year said Final was excited")</f>
        <v>Valid Final was excited because my father was watching the World Cup from the year said Final was excited</v>
      </c>
    </row>
    <row r="1243" ht="15.75" customHeight="1">
      <c r="A1243" s="1">
        <v>1245.0</v>
      </c>
      <c r="B1243" s="3" t="s">
        <v>3800</v>
      </c>
      <c r="C1243" s="3">
        <v>0.0</v>
      </c>
      <c r="D1243" s="3">
        <v>0.0</v>
      </c>
      <c r="E1243" s="3">
        <v>0.0</v>
      </c>
      <c r="F1243" s="3" t="s">
        <v>3801</v>
      </c>
      <c r="G1243" s="3">
        <v>1.0</v>
      </c>
      <c r="H1243" s="3">
        <v>0.0</v>
      </c>
      <c r="I1243" s="3" t="s">
        <v>13</v>
      </c>
      <c r="J1243" s="3" t="s">
        <v>3802</v>
      </c>
      <c r="K1243" s="3" t="s">
        <v>3803</v>
      </c>
      <c r="L1243" s="3" t="str">
        <f>IFERROR(__xludf.DUMMYFUNCTION("GOOGLETRANSLATE(F1243,""id"",""en"")"),"according to this cave the world cup final is the most exciting that I have been watching after the World Cup final")</f>
        <v>according to this cave the world cup final is the most exciting that I have been watching after the World Cup final</v>
      </c>
    </row>
    <row r="1244" ht="15.75" customHeight="1">
      <c r="A1244" s="1">
        <v>1246.0</v>
      </c>
      <c r="B1244" s="3" t="s">
        <v>3804</v>
      </c>
      <c r="C1244" s="3">
        <v>0.0</v>
      </c>
      <c r="D1244" s="3">
        <v>0.0</v>
      </c>
      <c r="E1244" s="3">
        <v>3.0</v>
      </c>
      <c r="F1244" s="3" t="s">
        <v>3805</v>
      </c>
      <c r="G1244" s="3">
        <v>1.0</v>
      </c>
      <c r="H1244" s="3">
        <v>0.0</v>
      </c>
      <c r="I1244" s="3" t="s">
        <v>13</v>
      </c>
      <c r="J1244" s="3" t="s">
        <v>3806</v>
      </c>
      <c r="K1244" s="3" t="s">
        <v>90</v>
      </c>
      <c r="L1244" s="3" t="str">
        <f>IFERROR(__xludf.DUMMYFUNCTION("GOOGLETRANSLATE(F1244,""id"",""en"")"),"French French Goals Scorer World Cup Answer Zinedine Zidane Emmanuel Petit Let's Join Bestie Jauhari Sapaat don't forget to follow")</f>
        <v>French French Goals Scorer World Cup Answer Zinedine Zidane Emmanuel Petit Let's Join Bestie Jauhari Sapaat don't forget to follow</v>
      </c>
    </row>
    <row r="1245" ht="15.75" customHeight="1">
      <c r="A1245" s="1">
        <v>1247.0</v>
      </c>
      <c r="B1245" s="3" t="s">
        <v>3807</v>
      </c>
      <c r="C1245" s="3">
        <v>0.0</v>
      </c>
      <c r="D1245" s="3">
        <v>0.0</v>
      </c>
      <c r="E1245" s="3">
        <v>0.0</v>
      </c>
      <c r="F1245" s="3" t="s">
        <v>3808</v>
      </c>
      <c r="G1245" s="3">
        <v>1.0</v>
      </c>
      <c r="H1245" s="3">
        <v>0.0</v>
      </c>
      <c r="I1245" s="3" t="s">
        <v>13</v>
      </c>
      <c r="J1245" s="3" t="s">
        <v>3809</v>
      </c>
      <c r="K1245" s="3" t="s">
        <v>75</v>
      </c>
      <c r="L1245" s="3" t="str">
        <f>IFERROR(__xludf.DUMMYFUNCTION("GOOGLETRANSLATE(F1245,""id"",""en"")"),"thanks cing already accompanying watching the world cup final tonight Day")</f>
        <v>thanks cing already accompanying watching the world cup final tonight Day</v>
      </c>
    </row>
    <row r="1246" ht="15.75" customHeight="1">
      <c r="A1246" s="1">
        <v>1248.0</v>
      </c>
      <c r="B1246" s="3" t="s">
        <v>3810</v>
      </c>
      <c r="C1246" s="3">
        <v>0.0</v>
      </c>
      <c r="D1246" s="3">
        <v>0.0</v>
      </c>
      <c r="E1246" s="3">
        <v>0.0</v>
      </c>
      <c r="F1246" s="3" t="s">
        <v>3811</v>
      </c>
      <c r="G1246" s="3">
        <v>1.0</v>
      </c>
      <c r="H1246" s="3">
        <v>0.0</v>
      </c>
      <c r="I1246" s="3" t="s">
        <v>13</v>
      </c>
      <c r="J1246" s="3" t="s">
        <v>3812</v>
      </c>
      <c r="K1246" s="3" t="s">
        <v>50</v>
      </c>
      <c r="L1246" s="3" t="str">
        <f>IFERROR(__xludf.DUMMYFUNCTION("GOOGLETRANSLATE(F1246,""id"",""en"")"),"The World Cup was excited about the best final and most importantly not the clown national team champion")</f>
        <v>The World Cup was excited about the best final and most importantly not the clown national team champion</v>
      </c>
    </row>
    <row r="1247" ht="15.75" customHeight="1">
      <c r="A1247" s="1">
        <v>1249.0</v>
      </c>
      <c r="B1247" s="3" t="s">
        <v>3813</v>
      </c>
      <c r="C1247" s="3">
        <v>1.0</v>
      </c>
      <c r="D1247" s="3">
        <v>0.0</v>
      </c>
      <c r="E1247" s="3">
        <v>1.0</v>
      </c>
      <c r="F1247" s="3" t="s">
        <v>3814</v>
      </c>
      <c r="G1247" s="3">
        <v>0.75</v>
      </c>
      <c r="H1247" s="3">
        <v>0.25</v>
      </c>
      <c r="I1247" s="3" t="s">
        <v>48</v>
      </c>
      <c r="J1247" s="3" t="s">
        <v>3815</v>
      </c>
      <c r="K1247" s="3" t="s">
        <v>71</v>
      </c>
      <c r="L1247" s="3" t="str">
        <f>IFERROR(__xludf.DUMMYFUNCTION("GOOGLETRANSLATE(F1247,""id"",""en"")"),"The World Cup Final is right climaxed and full of drama the results of Argentina Champion and Mbappe got the top score")</f>
        <v>The World Cup Final is right climaxed and full of drama the results of Argentina Champion and Mbappe got the top score</v>
      </c>
    </row>
    <row r="1248" ht="15.75" customHeight="1">
      <c r="A1248" s="1">
        <v>1250.0</v>
      </c>
      <c r="B1248" s="3" t="s">
        <v>3816</v>
      </c>
      <c r="C1248" s="3">
        <v>4.0</v>
      </c>
      <c r="D1248" s="3">
        <v>8.0</v>
      </c>
      <c r="E1248" s="3">
        <v>25.0</v>
      </c>
      <c r="F1248" s="3" t="s">
        <v>3817</v>
      </c>
      <c r="G1248" s="3">
        <v>0.55</v>
      </c>
      <c r="H1248" s="3">
        <v>0.0</v>
      </c>
      <c r="I1248" s="3" t="s">
        <v>13</v>
      </c>
      <c r="J1248" s="3" t="s">
        <v>3818</v>
      </c>
      <c r="K1248" s="3" t="s">
        <v>3819</v>
      </c>
      <c r="L1248" s="3" t="str">
        <f>IFERROR(__xludf.DUMMYFUNCTION("GOOGLETRANSLATE(F1248,""id"",""en"")"),"Congratulations Argentina The Argentine World Cup champion wins the World Cup championship trophy Messi is able to conquer France Final through penalties after playing extra time series")</f>
        <v>Congratulations Argentina The Argentine World Cup champion wins the World Cup championship trophy Messi is able to conquer France Final through penalties after playing extra time series</v>
      </c>
    </row>
    <row r="1249" ht="15.75" customHeight="1">
      <c r="A1249" s="1">
        <v>1251.0</v>
      </c>
      <c r="B1249" s="3" t="s">
        <v>3820</v>
      </c>
      <c r="C1249" s="3">
        <v>0.0</v>
      </c>
      <c r="D1249" s="3">
        <v>0.0</v>
      </c>
      <c r="E1249" s="3">
        <v>0.0</v>
      </c>
      <c r="F1249" s="3" t="s">
        <v>3821</v>
      </c>
      <c r="G1249" s="3">
        <v>1.0</v>
      </c>
      <c r="H1249" s="3">
        <v>0.0</v>
      </c>
      <c r="I1249" s="3" t="s">
        <v>13</v>
      </c>
      <c r="J1249" s="3" t="s">
        <v>3822</v>
      </c>
      <c r="K1249" s="3" t="s">
        <v>58</v>
      </c>
      <c r="L1249" s="3" t="str">
        <f>IFERROR(__xludf.DUMMYFUNCTION("GOOGLETRANSLATE(F1249,""id"",""en"")"),"Remembering the World Cup final hopes Zidane can lift his last cup congratulations for Mas Messi")</f>
        <v>Remembering the World Cup final hopes Zidane can lift his last cup congratulations for Mas Messi</v>
      </c>
    </row>
    <row r="1250" ht="15.75" customHeight="1">
      <c r="A1250" s="1">
        <v>1252.0</v>
      </c>
      <c r="B1250" s="3" t="s">
        <v>3823</v>
      </c>
      <c r="C1250" s="3">
        <v>0.0</v>
      </c>
      <c r="D1250" s="3">
        <v>0.0</v>
      </c>
      <c r="E1250" s="3">
        <v>0.0</v>
      </c>
      <c r="F1250" s="3" t="s">
        <v>3824</v>
      </c>
      <c r="G1250" s="3">
        <v>1.0</v>
      </c>
      <c r="H1250" s="3">
        <v>0.0</v>
      </c>
      <c r="I1250" s="3" t="s">
        <v>13</v>
      </c>
      <c r="J1250" s="3" t="s">
        <v>3825</v>
      </c>
      <c r="K1250" s="3" t="s">
        <v>31</v>
      </c>
      <c r="L1250" s="3" t="str">
        <f>IFERROR(__xludf.DUMMYFUNCTION("GOOGLETRANSLATE(F1250,""id"",""en"")"),"This is what makes the World Cup final this time exciting")</f>
        <v>This is what makes the World Cup final this time exciting</v>
      </c>
    </row>
    <row r="1251" ht="15.75" customHeight="1">
      <c r="A1251" s="1">
        <v>1253.0</v>
      </c>
      <c r="B1251" s="3" t="s">
        <v>3826</v>
      </c>
      <c r="C1251" s="3">
        <v>0.0</v>
      </c>
      <c r="D1251" s="3">
        <v>0.0</v>
      </c>
      <c r="E1251" s="3">
        <v>0.0</v>
      </c>
      <c r="F1251" s="3" t="s">
        <v>3827</v>
      </c>
      <c r="G1251" s="3">
        <v>1.0</v>
      </c>
      <c r="H1251" s="3">
        <v>0.0</v>
      </c>
      <c r="I1251" s="3" t="s">
        <v>13</v>
      </c>
      <c r="J1251" s="3" t="s">
        <v>3828</v>
      </c>
      <c r="K1251" s="3" t="s">
        <v>699</v>
      </c>
      <c r="L1251" s="3" t="str">
        <f>IFERROR(__xludf.DUMMYFUNCTION("GOOGLETRANSLATE(F1251,""id"",""en"")"),"You could say this is the best world cup final, it's exciting, the team is just as strong as the sensation of watching the final really tastes")</f>
        <v>You could say this is the best world cup final, it's exciting, the team is just as strong as the sensation of watching the final really tastes</v>
      </c>
    </row>
    <row r="1252" ht="15.75" customHeight="1">
      <c r="A1252" s="1">
        <v>1254.0</v>
      </c>
      <c r="B1252" s="3" t="s">
        <v>3829</v>
      </c>
      <c r="C1252" s="3">
        <v>0.0</v>
      </c>
      <c r="D1252" s="3">
        <v>0.0</v>
      </c>
      <c r="E1252" s="3">
        <v>0.0</v>
      </c>
      <c r="F1252" s="3" t="s">
        <v>3830</v>
      </c>
      <c r="G1252" s="3">
        <v>1.0</v>
      </c>
      <c r="H1252" s="3">
        <v>0.0</v>
      </c>
      <c r="I1252" s="3" t="s">
        <v>13</v>
      </c>
      <c r="J1252" s="3" t="s">
        <v>3831</v>
      </c>
      <c r="K1252" s="3" t="s">
        <v>644</v>
      </c>
      <c r="L1252" s="3" t="str">
        <f>IFERROR(__xludf.DUMMYFUNCTION("GOOGLETRANSLATE(F1252,""id"",""en"")"),"World Cup Final Crazy")</f>
        <v>World Cup Final Crazy</v>
      </c>
    </row>
    <row r="1253" ht="15.75" customHeight="1">
      <c r="A1253" s="1">
        <v>1255.0</v>
      </c>
      <c r="B1253" s="3" t="s">
        <v>3832</v>
      </c>
      <c r="C1253" s="3">
        <v>0.0</v>
      </c>
      <c r="D1253" s="3">
        <v>0.0</v>
      </c>
      <c r="E1253" s="3">
        <v>0.0</v>
      </c>
      <c r="F1253" s="3" t="s">
        <v>3833</v>
      </c>
      <c r="G1253" s="3">
        <v>0.65</v>
      </c>
      <c r="H1253" s="3">
        <v>0.1</v>
      </c>
      <c r="I1253" s="3" t="s">
        <v>48</v>
      </c>
      <c r="J1253" s="3" t="s">
        <v>3834</v>
      </c>
      <c r="K1253" s="3" t="s">
        <v>433</v>
      </c>
      <c r="L1253" s="3" t="str">
        <f>IFERROR(__xludf.DUMMYFUNCTION("GOOGLETRANSLATE(F1253,""id"",""en"")"),"The World Cup Final Dembest Mbappe Overpower and the End Debate Messi The Real Goat")</f>
        <v>The World Cup Final Dembest Mbappe Overpower and the End Debate Messi The Real Goat</v>
      </c>
    </row>
    <row r="1254" ht="15.75" customHeight="1">
      <c r="A1254" s="1">
        <v>1256.0</v>
      </c>
      <c r="B1254" s="3" t="s">
        <v>3835</v>
      </c>
      <c r="C1254" s="3">
        <v>1.0</v>
      </c>
      <c r="D1254" s="3">
        <v>2.0</v>
      </c>
      <c r="E1254" s="3">
        <v>47.0</v>
      </c>
      <c r="F1254" s="3" t="s">
        <v>3836</v>
      </c>
      <c r="G1254" s="3">
        <v>1.0</v>
      </c>
      <c r="H1254" s="3">
        <v>0.0</v>
      </c>
      <c r="I1254" s="3" t="s">
        <v>13</v>
      </c>
      <c r="J1254" s="3" t="s">
        <v>3837</v>
      </c>
      <c r="K1254" s="3" t="s">
        <v>35</v>
      </c>
      <c r="L1254" s="3" t="str">
        <f>IFERROR(__xludf.DUMMYFUNCTION("GOOGLETRANSLATE(F1254,""id"",""en"")"),"Fortunately, I was able to watch the best finals of all time the final of the most crazy world cup")</f>
        <v>Fortunately, I was able to watch the best finals of all time the final of the most crazy world cup</v>
      </c>
    </row>
    <row r="1255" ht="15.75" customHeight="1">
      <c r="A1255" s="1">
        <v>1257.0</v>
      </c>
      <c r="B1255" s="3" t="s">
        <v>3838</v>
      </c>
      <c r="C1255" s="3">
        <v>0.0</v>
      </c>
      <c r="D1255" s="3">
        <v>0.0</v>
      </c>
      <c r="E1255" s="3">
        <v>0.0</v>
      </c>
      <c r="F1255" s="3" t="s">
        <v>3839</v>
      </c>
      <c r="G1255" s="3">
        <v>1.0</v>
      </c>
      <c r="H1255" s="3">
        <v>0.0</v>
      </c>
      <c r="I1255" s="3" t="s">
        <v>13</v>
      </c>
      <c r="J1255" s="3" t="s">
        <v>3840</v>
      </c>
      <c r="K1255" s="3" t="s">
        <v>71</v>
      </c>
      <c r="L1255" s="3" t="str">
        <f>IFERROR(__xludf.DUMMYFUNCTION("GOOGLETRANSLATE(F1255,""id"",""en"")"),"The World Cup is really crazy, there are many unexpected and certainly all the semifinals and finals")</f>
        <v>The World Cup is really crazy, there are many unexpected and certainly all the semifinals and finals</v>
      </c>
    </row>
    <row r="1256" ht="15.75" customHeight="1">
      <c r="A1256" s="1">
        <v>1258.0</v>
      </c>
      <c r="B1256" s="3" t="s">
        <v>3841</v>
      </c>
      <c r="C1256" s="3">
        <v>0.0</v>
      </c>
      <c r="D1256" s="3">
        <v>15.0</v>
      </c>
      <c r="E1256" s="3">
        <v>66.0</v>
      </c>
      <c r="F1256" s="3" t="s">
        <v>3842</v>
      </c>
      <c r="G1256" s="3">
        <v>1.0</v>
      </c>
      <c r="H1256" s="3">
        <v>0.0</v>
      </c>
      <c r="I1256" s="3" t="s">
        <v>13</v>
      </c>
      <c r="J1256" s="3" t="s">
        <v>3843</v>
      </c>
      <c r="K1256" s="3" t="s">
        <v>1870</v>
      </c>
      <c r="L1256" s="3" t="str">
        <f>IFERROR(__xludf.DUMMYFUNCTION("GOOGLETRANSLATE(F1256,""id"",""en"")"),"What is the most beautiful cover of the World Cup wrapped in an extraordinary final surprise when the best player sticks the foot of the biggest stage of the earth, the whole eye looks with a bitter look until the last kick is happy the Messias has finall"&amp;"y Arrved")</f>
        <v>What is the most beautiful cover of the World Cup wrapped in an extraordinary final surprise when the best player sticks the foot of the biggest stage of the earth, the whole eye looks with a bitter look until the last kick is happy the Messias has finally Arrved</v>
      </c>
    </row>
    <row r="1257" ht="15.75" customHeight="1">
      <c r="A1257" s="1">
        <v>1259.0</v>
      </c>
      <c r="B1257" s="3" t="s">
        <v>3844</v>
      </c>
      <c r="C1257" s="3">
        <v>0.0</v>
      </c>
      <c r="D1257" s="3">
        <v>0.0</v>
      </c>
      <c r="E1257" s="3">
        <v>1.0</v>
      </c>
      <c r="F1257" s="3" t="s">
        <v>3845</v>
      </c>
      <c r="G1257" s="3">
        <v>1.0</v>
      </c>
      <c r="H1257" s="3">
        <v>0.0</v>
      </c>
      <c r="I1257" s="3" t="s">
        <v>13</v>
      </c>
      <c r="J1257" s="3" t="s">
        <v>3846</v>
      </c>
      <c r="K1257" s="3" t="s">
        <v>860</v>
      </c>
      <c r="L1257" s="3" t="str">
        <f>IFERROR(__xludf.DUMMYFUNCTION("GOOGLETRANSLATE(F1257,""id"",""en"")"),"Crying, you know, these are two kids if the outside fanmeet has ever been together when it goes off together when it comes to a historic moment at Nanon's birthday plus the World Cup final")</f>
        <v>Crying, you know, these are two kids if the outside fanmeet has ever been together when it goes off together when it comes to a historic moment at Nanon's birthday plus the World Cup final</v>
      </c>
    </row>
    <row r="1258" ht="15.75" customHeight="1">
      <c r="A1258" s="1">
        <v>1260.0</v>
      </c>
      <c r="B1258" s="3" t="s">
        <v>3847</v>
      </c>
      <c r="C1258" s="3">
        <v>0.0</v>
      </c>
      <c r="D1258" s="3">
        <v>0.0</v>
      </c>
      <c r="E1258" s="3">
        <v>0.0</v>
      </c>
      <c r="F1258" s="3" t="s">
        <v>3848</v>
      </c>
      <c r="G1258" s="3">
        <v>1.0</v>
      </c>
      <c r="H1258" s="3">
        <v>0.0</v>
      </c>
      <c r="I1258" s="3" t="s">
        <v>13</v>
      </c>
      <c r="J1258" s="3" t="s">
        <v>3849</v>
      </c>
      <c r="K1258" s="3" t="s">
        <v>127</v>
      </c>
      <c r="L1258" s="3" t="str">
        <f>IFERROR(__xludf.DUMMYFUNCTION("GOOGLETRANSLATE(F1258,""id"",""en"")"),"Congratulations Baba Messi and Argentina Benzema Mbape and France Lembo Ade Mena Final is very extraordinary world Qatar Cool")</f>
        <v>Congratulations Baba Messi and Argentina Benzema Mbape and France Lembo Ade Mena Final is very extraordinary world Qatar Cool</v>
      </c>
    </row>
    <row r="1259" ht="15.75" customHeight="1">
      <c r="A1259" s="1">
        <v>1261.0</v>
      </c>
      <c r="B1259" s="3" t="s">
        <v>3850</v>
      </c>
      <c r="C1259" s="3">
        <v>0.0</v>
      </c>
      <c r="D1259" s="3">
        <v>0.0</v>
      </c>
      <c r="E1259" s="3">
        <v>0.0</v>
      </c>
      <c r="F1259" s="3" t="s">
        <v>3851</v>
      </c>
      <c r="G1259" s="3">
        <v>0.7</v>
      </c>
      <c r="H1259" s="3">
        <v>0.05</v>
      </c>
      <c r="I1259" s="3" t="s">
        <v>48</v>
      </c>
      <c r="J1259" s="3" t="s">
        <v>3852</v>
      </c>
      <c r="K1259" s="3" t="s">
        <v>127</v>
      </c>
      <c r="L1259" s="3" t="str">
        <f>IFERROR(__xludf.DUMMYFUNCTION("GOOGLETRANSLATE(F1259,""id"",""en"")"),"The Final of the Best Dramatic World Cup Epic whether especially the name football is the real winner of Argentina and Respect France")</f>
        <v>The Final of the Best Dramatic World Cup Epic whether especially the name football is the real winner of Argentina and Respect France</v>
      </c>
    </row>
    <row r="1260" ht="15.75" customHeight="1">
      <c r="A1260" s="1">
        <v>1262.0</v>
      </c>
      <c r="B1260" s="3" t="s">
        <v>3853</v>
      </c>
      <c r="C1260" s="3">
        <v>0.0</v>
      </c>
      <c r="D1260" s="3">
        <v>0.0</v>
      </c>
      <c r="E1260" s="3">
        <v>0.0</v>
      </c>
      <c r="F1260" s="3" t="s">
        <v>3853</v>
      </c>
      <c r="G1260" s="3">
        <v>1.0</v>
      </c>
      <c r="H1260" s="3">
        <v>0.0</v>
      </c>
      <c r="I1260" s="3" t="s">
        <v>13</v>
      </c>
      <c r="J1260" s="3" t="s">
        <v>3854</v>
      </c>
      <c r="K1260" s="3" t="s">
        <v>15</v>
      </c>
      <c r="L1260" s="3" t="str">
        <f>IFERROR(__xludf.DUMMYFUNCTION("GOOGLETRANSLATE(F1260,""id"",""en"")"),"I feel lucky to be able to watch the best World Cup final at this time")</f>
        <v>I feel lucky to be able to watch the best World Cup final at this time</v>
      </c>
    </row>
    <row r="1261" ht="15.75" customHeight="1">
      <c r="A1261" s="1">
        <v>1263.0</v>
      </c>
      <c r="B1261" s="3" t="s">
        <v>3855</v>
      </c>
      <c r="C1261" s="3">
        <v>0.0</v>
      </c>
      <c r="D1261" s="3">
        <v>0.0</v>
      </c>
      <c r="E1261" s="3">
        <v>0.0</v>
      </c>
      <c r="F1261" s="3" t="s">
        <v>3856</v>
      </c>
      <c r="G1261" s="3">
        <v>0.3333333333333333</v>
      </c>
      <c r="H1261" s="3">
        <v>0.0</v>
      </c>
      <c r="I1261" s="3" t="s">
        <v>13</v>
      </c>
      <c r="J1261" s="3" t="s">
        <v>3857</v>
      </c>
      <c r="K1261" s="3" t="s">
        <v>633</v>
      </c>
      <c r="L1261" s="3" t="str">
        <f>IFERROR(__xludf.DUMMYFUNCTION("GOOGLETRANSLATE(F1261,""id"",""en"")"),"The World Cup closed with a sweet and class class French class already struggling Argentina Congratulations Lionel Goat Messi German Heiiii Next must be a champion")</f>
        <v>The World Cup closed with a sweet and class class French class already struggling Argentina Congratulations Lionel Goat Messi German Heiiii Next must be a champion</v>
      </c>
    </row>
    <row r="1262" ht="15.75" customHeight="1">
      <c r="A1262" s="1">
        <v>1264.0</v>
      </c>
      <c r="B1262" s="3" t="s">
        <v>3858</v>
      </c>
      <c r="C1262" s="3">
        <v>0.0</v>
      </c>
      <c r="D1262" s="3">
        <v>0.0</v>
      </c>
      <c r="E1262" s="3">
        <v>0.0</v>
      </c>
      <c r="F1262" s="3" t="s">
        <v>3859</v>
      </c>
      <c r="G1262" s="3">
        <v>1.0</v>
      </c>
      <c r="H1262" s="3">
        <v>0.0</v>
      </c>
      <c r="I1262" s="3" t="s">
        <v>13</v>
      </c>
      <c r="J1262" s="3" t="s">
        <v>3860</v>
      </c>
      <c r="K1262" s="3" t="s">
        <v>1479</v>
      </c>
      <c r="L1262" s="3" t="str">
        <f>IFERROR(__xludf.DUMMYFUNCTION("GOOGLETRANSLATE(F1262,""id"",""en"")"),"Honestly this is not the best world cup but this is the best world cup final in my life since I know football")</f>
        <v>Honestly this is not the best world cup but this is the best world cup final in my life since I know football</v>
      </c>
    </row>
    <row r="1263" ht="15.75" customHeight="1">
      <c r="A1263" s="1">
        <v>1265.0</v>
      </c>
      <c r="B1263" s="3" t="s">
        <v>3861</v>
      </c>
      <c r="C1263" s="3">
        <v>0.0</v>
      </c>
      <c r="D1263" s="3">
        <v>0.0</v>
      </c>
      <c r="E1263" s="3">
        <v>0.0</v>
      </c>
      <c r="F1263" s="3" t="s">
        <v>3862</v>
      </c>
      <c r="G1263" s="3">
        <v>1.0</v>
      </c>
      <c r="H1263" s="3">
        <v>0.0</v>
      </c>
      <c r="I1263" s="3" t="s">
        <v>13</v>
      </c>
      <c r="J1263" s="3" t="s">
        <v>3863</v>
      </c>
      <c r="K1263" s="3" t="s">
        <v>127</v>
      </c>
      <c r="L1263" s="3" t="str">
        <f>IFERROR(__xludf.DUMMYFUNCTION("GOOGLETRANSLATE(F1263,""id"",""en"")"),"As Croatia and France's finalists, they are really good, they seemed to be willing to enter the semifinals and finals just to give the World Cup trophy to the country they defeated")</f>
        <v>As Croatia and France's finalists, they are really good, they seemed to be willing to enter the semifinals and finals just to give the World Cup trophy to the country they defeated</v>
      </c>
    </row>
    <row r="1264" ht="15.75" customHeight="1">
      <c r="A1264" s="1">
        <v>1266.0</v>
      </c>
      <c r="B1264" s="3" t="s">
        <v>3864</v>
      </c>
      <c r="C1264" s="3">
        <v>0.0</v>
      </c>
      <c r="D1264" s="3">
        <v>0.0</v>
      </c>
      <c r="E1264" s="3">
        <v>0.0</v>
      </c>
      <c r="F1264" s="3" t="s">
        <v>3865</v>
      </c>
      <c r="G1264" s="3">
        <v>1.0</v>
      </c>
      <c r="H1264" s="3">
        <v>0.0</v>
      </c>
      <c r="I1264" s="3" t="s">
        <v>13</v>
      </c>
      <c r="J1264" s="3" t="s">
        <v>3866</v>
      </c>
      <c r="K1264" s="3" t="s">
        <v>41</v>
      </c>
      <c r="L1264" s="3" t="str">
        <f>IFERROR(__xludf.DUMMYFUNCTION("GOOGLETRANSLATE(F1264,""id"",""en"")"),"Argentina France Score World Cup Final Entering the Penalty Round")</f>
        <v>Argentina France Score World Cup Final Entering the Penalty Round</v>
      </c>
    </row>
    <row r="1265" ht="15.75" customHeight="1">
      <c r="A1265" s="1">
        <v>1267.0</v>
      </c>
      <c r="B1265" s="3" t="s">
        <v>3867</v>
      </c>
      <c r="C1265" s="3">
        <v>0.0</v>
      </c>
      <c r="D1265" s="3">
        <v>0.0</v>
      </c>
      <c r="E1265" s="3">
        <v>0.0</v>
      </c>
      <c r="F1265" s="3" t="s">
        <v>3868</v>
      </c>
      <c r="G1265" s="3">
        <v>1.0</v>
      </c>
      <c r="H1265" s="3">
        <v>0.0</v>
      </c>
      <c r="I1265" s="3" t="s">
        <v>13</v>
      </c>
      <c r="J1265" s="3" t="s">
        <v>3869</v>
      </c>
      <c r="K1265" s="3" t="s">
        <v>19</v>
      </c>
      <c r="L1265" s="3" t="str">
        <f>IFERROR(__xludf.DUMMYFUNCTION("GOOGLETRANSLATE(F1265,""id"",""en"")"),"Loss Watching One of the Best World Cup Final Matches GOAT PEOPLE COMPLETE")</f>
        <v>Loss Watching One of the Best World Cup Final Matches GOAT PEOPLE COMPLETE</v>
      </c>
    </row>
    <row r="1266" ht="15.75" customHeight="1">
      <c r="A1266" s="1">
        <v>1268.0</v>
      </c>
      <c r="B1266" s="3" t="s">
        <v>3870</v>
      </c>
      <c r="C1266" s="3">
        <v>1.0</v>
      </c>
      <c r="D1266" s="3">
        <v>0.0</v>
      </c>
      <c r="E1266" s="3">
        <v>0.0</v>
      </c>
      <c r="F1266" s="3" t="s">
        <v>3871</v>
      </c>
      <c r="G1266" s="3">
        <v>1.0</v>
      </c>
      <c r="H1266" s="3">
        <v>0.0</v>
      </c>
      <c r="I1266" s="3" t="s">
        <v>13</v>
      </c>
      <c r="J1266" s="3" t="s">
        <v>3872</v>
      </c>
      <c r="K1266" s="3" t="s">
        <v>15</v>
      </c>
      <c r="L1266" s="3" t="str">
        <f>IFERROR(__xludf.DUMMYFUNCTION("GOOGLETRANSLATE(F1266,""id"",""en"")"),"World Cup Myth There is an Inter Final player to lose")</f>
        <v>World Cup Myth There is an Inter Final player to lose</v>
      </c>
    </row>
    <row r="1267" ht="15.75" customHeight="1">
      <c r="A1267" s="1">
        <v>1269.0</v>
      </c>
      <c r="B1267" s="3" t="s">
        <v>3873</v>
      </c>
      <c r="C1267" s="3">
        <v>0.0</v>
      </c>
      <c r="D1267" s="3">
        <v>0.0</v>
      </c>
      <c r="E1267" s="3">
        <v>0.0</v>
      </c>
      <c r="F1267" s="3" t="s">
        <v>3874</v>
      </c>
      <c r="G1267" s="3">
        <v>1.0</v>
      </c>
      <c r="H1267" s="3">
        <v>0.0</v>
      </c>
      <c r="I1267" s="3" t="s">
        <v>13</v>
      </c>
      <c r="J1267" s="3" t="s">
        <v>3875</v>
      </c>
      <c r="K1267" s="3" t="s">
        <v>510</v>
      </c>
      <c r="L1267" s="3" t="str">
        <f>IFERROR(__xludf.DUMMYFUNCTION("GOOGLETRANSLATE(F1267,""id"",""en"")"),"Beyond this commercial aspect Fix World Cup Teradness from the group session to the final Ancor Ancoran")</f>
        <v>Beyond this commercial aspect Fix World Cup Teradness from the group session to the final Ancor Ancoran</v>
      </c>
    </row>
    <row r="1268" ht="15.75" customHeight="1">
      <c r="A1268" s="1">
        <v>1270.0</v>
      </c>
      <c r="B1268" s="3" t="s">
        <v>3876</v>
      </c>
      <c r="C1268" s="3">
        <v>0.0</v>
      </c>
      <c r="D1268" s="3">
        <v>2.0</v>
      </c>
      <c r="E1268" s="3">
        <v>2.0</v>
      </c>
      <c r="F1268" s="3" t="s">
        <v>3877</v>
      </c>
      <c r="G1268" s="3">
        <v>1.0</v>
      </c>
      <c r="H1268" s="3">
        <v>0.0</v>
      </c>
      <c r="I1268" s="3" t="s">
        <v>13</v>
      </c>
      <c r="J1268" s="3" t="s">
        <v>3878</v>
      </c>
      <c r="K1268" s="3" t="s">
        <v>491</v>
      </c>
      <c r="L1268" s="3" t="str">
        <f>IFERROR(__xludf.DUMMYFUNCTION("GOOGLETRANSLATE(F1268,""id"",""en"")"),"The World Cup has finished the AFF Cup, don't forget to know, don't have the final, the new people will rise from Tido")</f>
        <v>The World Cup has finished the AFF Cup, don't forget to know, don't have the final, the new people will rise from Tido</v>
      </c>
    </row>
    <row r="1269" ht="15.75" customHeight="1">
      <c r="A1269" s="1">
        <v>1271.0</v>
      </c>
      <c r="B1269" s="3" t="s">
        <v>3879</v>
      </c>
      <c r="C1269" s="3">
        <v>0.0</v>
      </c>
      <c r="D1269" s="3">
        <v>0.0</v>
      </c>
      <c r="E1269" s="3">
        <v>0.0</v>
      </c>
      <c r="F1269" s="3" t="s">
        <v>3880</v>
      </c>
      <c r="G1269" s="3">
        <v>1.0</v>
      </c>
      <c r="H1269" s="3">
        <v>0.0</v>
      </c>
      <c r="I1269" s="3" t="s">
        <v>13</v>
      </c>
      <c r="J1269" s="3" t="s">
        <v>3881</v>
      </c>
      <c r="K1269" s="3" t="s">
        <v>3882</v>
      </c>
      <c r="L1269" s="3" t="str">
        <f>IFERROR(__xludf.DUMMYFUNCTION("GOOGLETRANSLATE(F1269,""id"",""en"")"),"Takkira Argentina is all about Messi Only, it turns out that their round of rounds show the skill of the world -class team's team game relieved and congratulations for Argentina to be happy with happy Messi, this is the name of the World Cup Final Full Dr"&amp;"ama match")</f>
        <v>Takkira Argentina is all about Messi Only, it turns out that their round of rounds show the skill of the world -class team's team game relieved and congratulations for Argentina to be happy with happy Messi, this is the name of the World Cup Final Full Drama match</v>
      </c>
    </row>
    <row r="1270" ht="15.75" customHeight="1">
      <c r="A1270" s="1">
        <v>1272.0</v>
      </c>
      <c r="B1270" s="3" t="s">
        <v>3883</v>
      </c>
      <c r="C1270" s="3">
        <v>0.0</v>
      </c>
      <c r="D1270" s="3">
        <v>0.0</v>
      </c>
      <c r="E1270" s="3">
        <v>0.0</v>
      </c>
      <c r="F1270" s="3" t="s">
        <v>3884</v>
      </c>
      <c r="G1270" s="3">
        <v>1.0</v>
      </c>
      <c r="H1270" s="3">
        <v>0.0</v>
      </c>
      <c r="I1270" s="3" t="s">
        <v>13</v>
      </c>
      <c r="J1270" s="3" t="s">
        <v>3885</v>
      </c>
      <c r="K1270" s="3" t="s">
        <v>50</v>
      </c>
      <c r="L1270" s="3" t="str">
        <f>IFERROR(__xludf.DUMMYFUNCTION("GOOGLETRANSLATE(F1270,""id"",""en"")"),"at least Emyu has one world player champion even though the final is only a backup")</f>
        <v>at least Emyu has one world player champion even though the final is only a backup</v>
      </c>
    </row>
    <row r="1271" ht="15.75" customHeight="1">
      <c r="A1271" s="1">
        <v>1273.0</v>
      </c>
      <c r="B1271" s="3" t="s">
        <v>3886</v>
      </c>
      <c r="C1271" s="3">
        <v>0.0</v>
      </c>
      <c r="D1271" s="3">
        <v>0.0</v>
      </c>
      <c r="E1271" s="3">
        <v>0.0</v>
      </c>
      <c r="F1271" s="3" t="s">
        <v>918</v>
      </c>
      <c r="G1271" s="3">
        <v>1.0</v>
      </c>
      <c r="H1271" s="3">
        <v>0.0</v>
      </c>
      <c r="I1271" s="3" t="s">
        <v>13</v>
      </c>
      <c r="J1271" s="3" t="s">
        <v>919</v>
      </c>
      <c r="K1271" s="3" t="s">
        <v>54</v>
      </c>
      <c r="L1271" s="3" t="str">
        <f>IFERROR(__xludf.DUMMYFUNCTION("GOOGLETRANSLATE(F1271,""id"",""en"")"),"Argentina French Highlights World Cup Final")</f>
        <v>Argentina French Highlights World Cup Final</v>
      </c>
    </row>
    <row r="1272" ht="15.75" customHeight="1">
      <c r="A1272" s="1">
        <v>1274.0</v>
      </c>
      <c r="B1272" s="3" t="s">
        <v>3887</v>
      </c>
      <c r="C1272" s="3">
        <v>0.0</v>
      </c>
      <c r="D1272" s="3">
        <v>0.0</v>
      </c>
      <c r="E1272" s="3">
        <v>1.0</v>
      </c>
      <c r="F1272" s="3" t="s">
        <v>3888</v>
      </c>
      <c r="G1272" s="3">
        <v>1.0</v>
      </c>
      <c r="H1272" s="3">
        <v>0.0</v>
      </c>
      <c r="I1272" s="3" t="s">
        <v>13</v>
      </c>
      <c r="J1272" s="3" t="s">
        <v>3889</v>
      </c>
      <c r="K1272" s="3" t="s">
        <v>15</v>
      </c>
      <c r="L1272" s="3" t="str">
        <f>IFERROR(__xludf.DUMMYFUNCTION("GOOGLETRANSLATE(F1272,""id"",""en"")"),"regardless of who goals we serve the best world cup final")</f>
        <v>regardless of who goals we serve the best world cup final</v>
      </c>
    </row>
    <row r="1273" ht="15.75" customHeight="1">
      <c r="A1273" s="1">
        <v>1275.0</v>
      </c>
      <c r="B1273" s="3" t="s">
        <v>3890</v>
      </c>
      <c r="C1273" s="3">
        <v>0.0</v>
      </c>
      <c r="D1273" s="3">
        <v>0.0</v>
      </c>
      <c r="E1273" s="3">
        <v>0.0</v>
      </c>
      <c r="F1273" s="3" t="s">
        <v>3891</v>
      </c>
      <c r="G1273" s="3">
        <v>0.8333333333333333</v>
      </c>
      <c r="H1273" s="3">
        <v>0.1666666666666667</v>
      </c>
      <c r="I1273" s="3" t="s">
        <v>48</v>
      </c>
      <c r="J1273" s="3" t="s">
        <v>3892</v>
      </c>
      <c r="K1273" s="3" t="s">
        <v>71</v>
      </c>
      <c r="L1273" s="3" t="str">
        <f>IFERROR(__xludf.DUMMYFUNCTION("GOOGLETRANSLATE(F1273,""id"",""en"")"),"The original is the final of the evening world cup this night, the most cool, really super deg")</f>
        <v>The original is the final of the evening world cup this night, the most cool, really super deg</v>
      </c>
    </row>
    <row r="1274" ht="15.75" customHeight="1">
      <c r="A1274" s="1">
        <v>1276.0</v>
      </c>
      <c r="B1274" s="3" t="s">
        <v>3893</v>
      </c>
      <c r="C1274" s="3">
        <v>0.0</v>
      </c>
      <c r="D1274" s="3">
        <v>0.0</v>
      </c>
      <c r="E1274" s="3">
        <v>1.0</v>
      </c>
      <c r="F1274" s="3" t="s">
        <v>3894</v>
      </c>
      <c r="G1274" s="3">
        <v>1.0</v>
      </c>
      <c r="H1274" s="3">
        <v>0.0</v>
      </c>
      <c r="I1274" s="3" t="s">
        <v>13</v>
      </c>
      <c r="J1274" s="3" t="s">
        <v>3895</v>
      </c>
      <c r="K1274" s="3" t="s">
        <v>3896</v>
      </c>
      <c r="L1274" s="3" t="str">
        <f>IFERROR(__xludf.DUMMYFUNCTION("GOOGLETRANSLATE(F1274,""id"",""en"")"),"World Cup Final The first final spectacle my goal scorer for France The World Cup Final was Zinedine Zidane Gol Emmanuel Petit Gol Goals Yuk Joining Guys Mrs. Azkar")</f>
        <v>World Cup Final The first final spectacle my goal scorer for France The World Cup Final was Zinedine Zidane Gol Emmanuel Petit Gol Goals Yuk Joining Guys Mrs. Azkar</v>
      </c>
    </row>
    <row r="1275" ht="15.75" customHeight="1">
      <c r="A1275" s="1">
        <v>1277.0</v>
      </c>
      <c r="B1275" s="3" t="s">
        <v>3897</v>
      </c>
      <c r="C1275" s="3">
        <v>0.0</v>
      </c>
      <c r="D1275" s="3">
        <v>0.0</v>
      </c>
      <c r="E1275" s="3">
        <v>0.0</v>
      </c>
      <c r="F1275" s="3" t="s">
        <v>3898</v>
      </c>
      <c r="G1275" s="3">
        <v>1.0</v>
      </c>
      <c r="H1275" s="3">
        <v>0.0</v>
      </c>
      <c r="I1275" s="3" t="s">
        <v>13</v>
      </c>
      <c r="J1275" s="3" t="s">
        <v>3899</v>
      </c>
      <c r="K1275" s="3" t="s">
        <v>15</v>
      </c>
      <c r="L1275" s="3" t="str">
        <f>IFERROR(__xludf.DUMMYFUNCTION("GOOGLETRANSLATE(F1275,""id"",""en"")"),"I am a nail this is the best world cup final in history")</f>
        <v>I am a nail this is the best world cup final in history</v>
      </c>
    </row>
    <row r="1276" ht="15.75" customHeight="1">
      <c r="A1276" s="1">
        <v>1278.0</v>
      </c>
      <c r="B1276" s="3" t="s">
        <v>3900</v>
      </c>
      <c r="C1276" s="3">
        <v>0.0</v>
      </c>
      <c r="D1276" s="3">
        <v>2.0</v>
      </c>
      <c r="E1276" s="3">
        <v>4.0</v>
      </c>
      <c r="F1276" s="3" t="s">
        <v>3901</v>
      </c>
      <c r="G1276" s="3">
        <v>1.0</v>
      </c>
      <c r="H1276" s="3">
        <v>0.0</v>
      </c>
      <c r="I1276" s="3" t="s">
        <v>13</v>
      </c>
      <c r="J1276" s="3" t="s">
        <v>3902</v>
      </c>
      <c r="K1276" s="3" t="s">
        <v>58</v>
      </c>
      <c r="L1276" s="3" t="str">
        <f>IFERROR(__xludf.DUMMYFUNCTION("GOOGLETRANSLATE(F1276,""id"",""en"")"),"The final result of Argentina France Final World Cup Messi won via the penalty path via")</f>
        <v>The final result of Argentina France Final World Cup Messi won via the penalty path via</v>
      </c>
    </row>
    <row r="1277" ht="15.75" customHeight="1">
      <c r="A1277" s="1">
        <v>1279.0</v>
      </c>
      <c r="B1277" s="3" t="s">
        <v>3903</v>
      </c>
      <c r="C1277" s="3">
        <v>0.0</v>
      </c>
      <c r="D1277" s="3">
        <v>0.0</v>
      </c>
      <c r="E1277" s="3">
        <v>3.0</v>
      </c>
      <c r="F1277" s="3" t="s">
        <v>3904</v>
      </c>
      <c r="G1277" s="3">
        <v>1.0</v>
      </c>
      <c r="H1277" s="3">
        <v>0.0</v>
      </c>
      <c r="I1277" s="3" t="s">
        <v>13</v>
      </c>
      <c r="J1277" s="3" t="s">
        <v>3905</v>
      </c>
      <c r="K1277" s="3" t="s">
        <v>19</v>
      </c>
      <c r="L1277" s="3" t="str">
        <f>IFERROR(__xludf.DUMMYFUNCTION("GOOGLETRANSLATE(F1277,""id"",""en"")"),"This is the final only Messi's farewell match with the awarding of the World Cup looking for a new case")</f>
        <v>This is the final only Messi's farewell match with the awarding of the World Cup looking for a new case</v>
      </c>
    </row>
    <row r="1278" ht="15.75" customHeight="1">
      <c r="A1278" s="1">
        <v>1280.0</v>
      </c>
      <c r="B1278" s="3" t="s">
        <v>3906</v>
      </c>
      <c r="C1278" s="3">
        <v>0.0</v>
      </c>
      <c r="D1278" s="3">
        <v>1.0</v>
      </c>
      <c r="E1278" s="3">
        <v>0.0</v>
      </c>
      <c r="F1278" s="3" t="s">
        <v>3907</v>
      </c>
      <c r="G1278" s="3">
        <v>1.0</v>
      </c>
      <c r="H1278" s="3">
        <v>0.0</v>
      </c>
      <c r="I1278" s="3" t="s">
        <v>13</v>
      </c>
      <c r="J1278" s="3" t="s">
        <v>3908</v>
      </c>
      <c r="K1278" s="3" t="s">
        <v>2215</v>
      </c>
      <c r="L1278" s="3" t="str">
        <f>IFERROR(__xludf.DUMMYFUNCTION("GOOGLETRANSLATE(F1278,""id"",""en"")"),"Gokil, according to me, during the World Cup this time, the final is really the final to make the heart gymnastics")</f>
        <v>Gokil, according to me, during the World Cup this time, the final is really the final to make the heart gymnastics</v>
      </c>
    </row>
    <row r="1279" ht="15.75" customHeight="1">
      <c r="A1279" s="1">
        <v>1281.0</v>
      </c>
      <c r="B1279" s="3" t="s">
        <v>3909</v>
      </c>
      <c r="C1279" s="3">
        <v>0.0</v>
      </c>
      <c r="D1279" s="3">
        <v>0.0</v>
      </c>
      <c r="E1279" s="3">
        <v>0.0</v>
      </c>
      <c r="F1279" s="3" t="s">
        <v>3910</v>
      </c>
      <c r="G1279" s="3">
        <v>1.0</v>
      </c>
      <c r="H1279" s="3">
        <v>0.0</v>
      </c>
      <c r="I1279" s="3" t="s">
        <v>13</v>
      </c>
      <c r="J1279" s="3" t="s">
        <v>3911</v>
      </c>
      <c r="K1279" s="3" t="s">
        <v>31</v>
      </c>
      <c r="L1279" s="3" t="str">
        <f>IFERROR(__xludf.DUMMYFUNCTION("GOOGLETRANSLATE(F1279,""id"",""en"")"),"The World Cup Final is the Most Bastard")</f>
        <v>The World Cup Final is the Most Bastard</v>
      </c>
    </row>
    <row r="1280" ht="15.75" customHeight="1">
      <c r="A1280" s="1">
        <v>1282.0</v>
      </c>
      <c r="B1280" s="3" t="s">
        <v>3912</v>
      </c>
      <c r="C1280" s="3">
        <v>0.0</v>
      </c>
      <c r="D1280" s="3">
        <v>0.0</v>
      </c>
      <c r="E1280" s="3">
        <v>1.0</v>
      </c>
      <c r="F1280" s="3" t="s">
        <v>3913</v>
      </c>
      <c r="G1280" s="3">
        <v>1.0</v>
      </c>
      <c r="H1280" s="3">
        <v>0.0</v>
      </c>
      <c r="I1280" s="3" t="s">
        <v>13</v>
      </c>
      <c r="J1280" s="3" t="s">
        <v>3914</v>
      </c>
      <c r="K1280" s="3" t="s">
        <v>75</v>
      </c>
      <c r="L1280" s="3" t="str">
        <f>IFERROR(__xludf.DUMMYFUNCTION("GOOGLETRANSLATE(F1280,""id"",""en"")"),"The Best World Cup Final Match All Time Congratulations for Argentina")</f>
        <v>The Best World Cup Final Match All Time Congratulations for Argentina</v>
      </c>
    </row>
    <row r="1281" ht="15.75" customHeight="1">
      <c r="A1281" s="1">
        <v>1283.0</v>
      </c>
      <c r="B1281" s="3" t="s">
        <v>3915</v>
      </c>
      <c r="C1281" s="3">
        <v>0.0</v>
      </c>
      <c r="D1281" s="3">
        <v>0.0</v>
      </c>
      <c r="E1281" s="3">
        <v>0.0</v>
      </c>
      <c r="F1281" s="3" t="s">
        <v>3915</v>
      </c>
      <c r="G1281" s="3">
        <v>1.0</v>
      </c>
      <c r="H1281" s="3">
        <v>0.0</v>
      </c>
      <c r="I1281" s="3" t="s">
        <v>13</v>
      </c>
      <c r="J1281" s="3" t="s">
        <v>3916</v>
      </c>
      <c r="K1281" s="3" t="s">
        <v>82</v>
      </c>
      <c r="L1281" s="3" t="str">
        <f>IFERROR(__xludf.DUMMYFUNCTION("GOOGLETRANSLATE(F1281,""id"",""en"")"),"be the most exciting world cup final witness")</f>
        <v>be the most exciting world cup final witness</v>
      </c>
    </row>
    <row r="1282" ht="15.75" customHeight="1">
      <c r="A1282" s="1">
        <v>1284.0</v>
      </c>
      <c r="B1282" s="3" t="s">
        <v>3917</v>
      </c>
      <c r="C1282" s="3">
        <v>0.0</v>
      </c>
      <c r="D1282" s="3">
        <v>0.0</v>
      </c>
      <c r="E1282" s="3">
        <v>0.0</v>
      </c>
      <c r="F1282" s="3" t="s">
        <v>3918</v>
      </c>
      <c r="G1282" s="3">
        <v>1.0</v>
      </c>
      <c r="H1282" s="3">
        <v>0.0</v>
      </c>
      <c r="I1282" s="3" t="s">
        <v>13</v>
      </c>
      <c r="J1282" s="3" t="s">
        <v>3919</v>
      </c>
      <c r="K1282" s="3" t="s">
        <v>715</v>
      </c>
      <c r="L1282" s="3" t="str">
        <f>IFERROR(__xludf.DUMMYFUNCTION("GOOGLETRANSLATE(F1282,""id"",""en"")"),"Congratulations Messi Happy Argentina What Final Final Match The Best World Cup I Watch Messi Mbappe Savory")</f>
        <v>Congratulations Messi Happy Argentina What Final Final Match The Best World Cup I Watch Messi Mbappe Savory</v>
      </c>
    </row>
    <row r="1283" ht="15.75" customHeight="1">
      <c r="A1283" s="1">
        <v>1285.0</v>
      </c>
      <c r="B1283" s="3" t="s">
        <v>3920</v>
      </c>
      <c r="C1283" s="3">
        <v>0.0</v>
      </c>
      <c r="D1283" s="3">
        <v>0.0</v>
      </c>
      <c r="E1283" s="3">
        <v>0.0</v>
      </c>
      <c r="F1283" s="3" t="s">
        <v>3921</v>
      </c>
      <c r="G1283" s="3">
        <v>1.0</v>
      </c>
      <c r="H1283" s="3">
        <v>0.0</v>
      </c>
      <c r="I1283" s="3" t="s">
        <v>13</v>
      </c>
      <c r="J1283" s="3" t="s">
        <v>3922</v>
      </c>
      <c r="K1283" s="3" t="s">
        <v>54</v>
      </c>
      <c r="L1283" s="3" t="str">
        <f>IFERROR(__xludf.DUMMYFUNCTION("GOOGLETRANSLATE(F1283,""id"",""en"")"),"Let's silence the creativity of those who don't watch the World Cup final")</f>
        <v>Let's silence the creativity of those who don't watch the World Cup final</v>
      </c>
    </row>
    <row r="1284" ht="15.75" customHeight="1">
      <c r="A1284" s="1">
        <v>1286.0</v>
      </c>
      <c r="B1284" s="3" t="s">
        <v>3923</v>
      </c>
      <c r="C1284" s="3">
        <v>0.0</v>
      </c>
      <c r="D1284" s="3">
        <v>0.0</v>
      </c>
      <c r="E1284" s="3">
        <v>3.0</v>
      </c>
      <c r="F1284" s="3" t="s">
        <v>3638</v>
      </c>
      <c r="G1284" s="3">
        <v>0.75</v>
      </c>
      <c r="H1284" s="3">
        <v>0.06818181818181818</v>
      </c>
      <c r="I1284" s="3" t="s">
        <v>48</v>
      </c>
      <c r="J1284" s="3" t="s">
        <v>3639</v>
      </c>
      <c r="K1284" s="3" t="s">
        <v>3346</v>
      </c>
      <c r="L1284" s="3" t="str">
        <f>IFERROR(__xludf.DUMMYFUNCTION("GOOGLETRANSLATE(F1284,""id"",""en"")"),"Live Argentine World Cup Final Score Champion Messi Perfect Messi Messi Messi Yes")</f>
        <v>Live Argentine World Cup Final Score Champion Messi Perfect Messi Messi Messi Yes</v>
      </c>
    </row>
    <row r="1285" ht="15.75" customHeight="1">
      <c r="A1285" s="1">
        <v>1287.0</v>
      </c>
      <c r="B1285" s="3" t="s">
        <v>3924</v>
      </c>
      <c r="C1285" s="3">
        <v>0.0</v>
      </c>
      <c r="D1285" s="3">
        <v>0.0</v>
      </c>
      <c r="E1285" s="3">
        <v>0.0</v>
      </c>
      <c r="F1285" s="3" t="s">
        <v>3925</v>
      </c>
      <c r="G1285" s="3">
        <v>1.0</v>
      </c>
      <c r="H1285" s="3">
        <v>0.0</v>
      </c>
      <c r="I1285" s="3" t="s">
        <v>13</v>
      </c>
      <c r="J1285" s="3" t="s">
        <v>3926</v>
      </c>
      <c r="K1285" s="3" t="s">
        <v>41</v>
      </c>
      <c r="L1285" s="3" t="str">
        <f>IFERROR(__xludf.DUMMYFUNCTION("GOOGLETRANSLATE(F1285,""id"",""en"")"),"We are witnesses one of the best finals in the history of the World Cup")</f>
        <v>We are witnesses one of the best finals in the history of the World Cup</v>
      </c>
    </row>
    <row r="1286" ht="15.75" customHeight="1">
      <c r="A1286" s="1">
        <v>1288.0</v>
      </c>
      <c r="B1286" s="3" t="s">
        <v>3927</v>
      </c>
      <c r="C1286" s="3">
        <v>1.0</v>
      </c>
      <c r="D1286" s="3">
        <v>0.0</v>
      </c>
      <c r="E1286" s="3">
        <v>1.0</v>
      </c>
      <c r="F1286" s="3" t="s">
        <v>3928</v>
      </c>
      <c r="G1286" s="3">
        <v>0.8333333333333334</v>
      </c>
      <c r="H1286" s="3">
        <v>0.1666666666666667</v>
      </c>
      <c r="I1286" s="3" t="s">
        <v>48</v>
      </c>
      <c r="J1286" s="3" t="s">
        <v>3929</v>
      </c>
      <c r="K1286" s="3" t="s">
        <v>1300</v>
      </c>
      <c r="L1286" s="3" t="str">
        <f>IFERROR(__xludf.DUMMYFUNCTION("GOOGLETRANSLATE(F1286,""id"",""en"")"),"The World Cup Final defeats France through Argentine penalties championing the Argentine World Cup managed to come out as the World Cup champion after defeating the French French champion which took place Lusail Iconic Stadium Sunday")</f>
        <v>The World Cup Final defeats France through Argentine penalties championing the Argentine World Cup managed to come out as the World Cup champion after defeating the French French champion which took place Lusail Iconic Stadium Sunday</v>
      </c>
    </row>
    <row r="1287" ht="15.75" customHeight="1">
      <c r="A1287" s="1">
        <v>1289.0</v>
      </c>
      <c r="B1287" s="3" t="s">
        <v>3930</v>
      </c>
      <c r="C1287" s="3">
        <v>0.0</v>
      </c>
      <c r="D1287" s="3">
        <v>0.0</v>
      </c>
      <c r="E1287" s="3">
        <v>0.0</v>
      </c>
      <c r="F1287" s="3" t="s">
        <v>3931</v>
      </c>
      <c r="G1287" s="3">
        <v>1.0</v>
      </c>
      <c r="H1287" s="3">
        <v>0.0</v>
      </c>
      <c r="I1287" s="3" t="s">
        <v>13</v>
      </c>
      <c r="J1287" s="3" t="s">
        <v>3932</v>
      </c>
      <c r="K1287" s="3" t="s">
        <v>15</v>
      </c>
      <c r="L1287" s="3" t="str">
        <f>IFERROR(__xludf.DUMMYFUNCTION("GOOGLETRANSLATE(F1287,""id"",""en"")"),"Argentina French final schedule Qatar Mbappe World Cup")</f>
        <v>Argentina French final schedule Qatar Mbappe World Cup</v>
      </c>
    </row>
    <row r="1288" ht="15.75" customHeight="1">
      <c r="A1288" s="1">
        <v>1290.0</v>
      </c>
      <c r="B1288" s="3" t="s">
        <v>3933</v>
      </c>
      <c r="C1288" s="3">
        <v>1.0</v>
      </c>
      <c r="D1288" s="3">
        <v>0.0</v>
      </c>
      <c r="E1288" s="3">
        <v>1.0</v>
      </c>
      <c r="F1288" s="3" t="s">
        <v>3934</v>
      </c>
      <c r="G1288" s="3">
        <v>1.0</v>
      </c>
      <c r="H1288" s="3">
        <v>0.0</v>
      </c>
      <c r="I1288" s="3" t="s">
        <v>13</v>
      </c>
      <c r="J1288" s="3" t="s">
        <v>3935</v>
      </c>
      <c r="K1288" s="3" t="s">
        <v>15</v>
      </c>
      <c r="L1288" s="3" t="str">
        <f>IFERROR(__xludf.DUMMYFUNCTION("GOOGLETRANSLATE(F1288,""id"",""en"")"),"As predicted there will be Goat in the current World Cup final and that happens, namely Messi and Mbapp")</f>
        <v>As predicted there will be Goat in the current World Cup final and that happens, namely Messi and Mbapp</v>
      </c>
    </row>
    <row r="1289" ht="15.75" customHeight="1">
      <c r="A1289" s="1">
        <v>1291.0</v>
      </c>
      <c r="B1289" s="3" t="s">
        <v>3936</v>
      </c>
      <c r="C1289" s="3">
        <v>0.0</v>
      </c>
      <c r="D1289" s="3">
        <v>0.0</v>
      </c>
      <c r="E1289" s="3">
        <v>0.0</v>
      </c>
      <c r="F1289" s="3" t="s">
        <v>3937</v>
      </c>
      <c r="G1289" s="3">
        <v>1.0</v>
      </c>
      <c r="H1289" s="3">
        <v>0.0</v>
      </c>
      <c r="I1289" s="3" t="s">
        <v>13</v>
      </c>
      <c r="J1289" s="3" t="s">
        <v>3938</v>
      </c>
      <c r="K1289" s="3" t="s">
        <v>644</v>
      </c>
      <c r="L1289" s="3" t="str">
        <f>IFERROR(__xludf.DUMMYFUNCTION("GOOGLETRANSLATE(F1289,""id"",""en"")"),"TERALIG WORLD CUP FINAL")</f>
        <v>TERALIG WORLD CUP FINAL</v>
      </c>
    </row>
    <row r="1290" ht="15.75" customHeight="1">
      <c r="A1290" s="1">
        <v>1292.0</v>
      </c>
      <c r="B1290" s="3" t="s">
        <v>3939</v>
      </c>
      <c r="C1290" s="3">
        <v>0.0</v>
      </c>
      <c r="D1290" s="3">
        <v>0.0</v>
      </c>
      <c r="E1290" s="3">
        <v>1.0</v>
      </c>
      <c r="F1290" s="3" t="s">
        <v>3940</v>
      </c>
      <c r="G1290" s="3">
        <v>1.0</v>
      </c>
      <c r="H1290" s="3">
        <v>0.0</v>
      </c>
      <c r="I1290" s="3" t="s">
        <v>13</v>
      </c>
      <c r="J1290" s="3" t="s">
        <v>3941</v>
      </c>
      <c r="K1290" s="3" t="s">
        <v>50</v>
      </c>
      <c r="L1290" s="3" t="str">
        <f>IFERROR(__xludf.DUMMYFUNCTION("GOOGLETRANSLATE(F1290,""id"",""en"")"),"The best world cup final as well as end era cristianoxmessi era who else is mbappexvini")</f>
        <v>The best world cup final as well as end era cristianoxmessi era who else is mbappexvini</v>
      </c>
    </row>
    <row r="1291" ht="15.75" customHeight="1">
      <c r="A1291" s="1">
        <v>1293.0</v>
      </c>
      <c r="B1291" s="3" t="s">
        <v>3942</v>
      </c>
      <c r="C1291" s="3">
        <v>0.0</v>
      </c>
      <c r="D1291" s="3">
        <v>0.0</v>
      </c>
      <c r="E1291" s="3">
        <v>0.0</v>
      </c>
      <c r="F1291" s="3" t="s">
        <v>3943</v>
      </c>
      <c r="G1291" s="3">
        <v>1.0</v>
      </c>
      <c r="H1291" s="3">
        <v>0.0</v>
      </c>
      <c r="I1291" s="3" t="s">
        <v>13</v>
      </c>
      <c r="J1291" s="3" t="s">
        <v>3944</v>
      </c>
      <c r="K1291" s="3" t="s">
        <v>75</v>
      </c>
      <c r="L1291" s="3" t="str">
        <f>IFERROR(__xludf.DUMMYFUNCTION("GOOGLETRANSLATE(F1291,""id"",""en"")"),"It seems that this is the Final Final of the first and as cool as the cold sweat")</f>
        <v>It seems that this is the Final Final of the first and as cool as the cold sweat</v>
      </c>
    </row>
    <row r="1292" ht="15.75" customHeight="1">
      <c r="A1292" s="1">
        <v>1294.0</v>
      </c>
      <c r="B1292" s="3" t="s">
        <v>3945</v>
      </c>
      <c r="C1292" s="3">
        <v>0.0</v>
      </c>
      <c r="D1292" s="3">
        <v>0.0</v>
      </c>
      <c r="E1292" s="3">
        <v>0.0</v>
      </c>
      <c r="F1292" s="3" t="s">
        <v>3946</v>
      </c>
      <c r="G1292" s="3">
        <v>1.0</v>
      </c>
      <c r="H1292" s="3">
        <v>0.0</v>
      </c>
      <c r="I1292" s="3" t="s">
        <v>13</v>
      </c>
      <c r="J1292" s="3" t="s">
        <v>3947</v>
      </c>
      <c r="K1292" s="3" t="s">
        <v>3948</v>
      </c>
      <c r="L1292" s="3" t="str">
        <f>IFERROR(__xludf.DUMMYFUNCTION("GOOGLETRANSLATE(F1292,""id"",""en"")"),"see a long clay as well as the world cup trip my life from the group phase that is completed and revised the big chapter, compiles the big chapter and the big chapter, the chapter does not finish the semi -final chapter, the final chapter is finished, it'"&amp;"s not good, the graduation is or not")</f>
        <v>see a long clay as well as the world cup trip my life from the group phase that is completed and revised the big chapter, compiles the big chapter and the big chapter, the chapter does not finish the semi -final chapter, the final chapter is finished, it's not good, the graduation is or not</v>
      </c>
    </row>
    <row r="1293" ht="15.75" customHeight="1">
      <c r="A1293" s="1">
        <v>1295.0</v>
      </c>
      <c r="B1293" s="3" t="s">
        <v>3949</v>
      </c>
      <c r="C1293" s="3">
        <v>0.0</v>
      </c>
      <c r="D1293" s="3">
        <v>0.0</v>
      </c>
      <c r="E1293" s="3">
        <v>0.0</v>
      </c>
      <c r="F1293" s="3" t="s">
        <v>3950</v>
      </c>
      <c r="G1293" s="3">
        <v>1.0</v>
      </c>
      <c r="H1293" s="3">
        <v>0.0</v>
      </c>
      <c r="I1293" s="3" t="s">
        <v>13</v>
      </c>
      <c r="J1293" s="3" t="s">
        <v>3951</v>
      </c>
      <c r="K1293" s="3" t="s">
        <v>1097</v>
      </c>
      <c r="L1293" s="3" t="str">
        <f>IFERROR(__xludf.DUMMYFUNCTION("GOOGLETRANSLATE(F1293,""id"",""en"")"),"Not in vain, I stayed up late, the Final World Cup Final was very exciting")</f>
        <v>Not in vain, I stayed up late, the Final World Cup Final was very exciting</v>
      </c>
    </row>
    <row r="1294" ht="15.75" customHeight="1">
      <c r="A1294" s="1">
        <v>1296.0</v>
      </c>
      <c r="B1294" s="3" t="s">
        <v>3952</v>
      </c>
      <c r="C1294" s="3">
        <v>0.0</v>
      </c>
      <c r="D1294" s="3">
        <v>0.0</v>
      </c>
      <c r="E1294" s="3">
        <v>0.0</v>
      </c>
      <c r="F1294" s="3" t="s">
        <v>3953</v>
      </c>
      <c r="G1294" s="3">
        <v>1.0</v>
      </c>
      <c r="H1294" s="3">
        <v>0.0</v>
      </c>
      <c r="I1294" s="3" t="s">
        <v>13</v>
      </c>
      <c r="J1294" s="3" t="s">
        <v>3954</v>
      </c>
      <c r="K1294" s="3" t="s">
        <v>31</v>
      </c>
      <c r="L1294" s="3" t="str">
        <f>IFERROR(__xludf.DUMMYFUNCTION("GOOGLETRANSLATE(F1294,""id"",""en"")"),"The World Cup Final is the most fierce")</f>
        <v>The World Cup Final is the most fierce</v>
      </c>
    </row>
    <row r="1295" ht="15.75" customHeight="1">
      <c r="A1295" s="1">
        <v>1297.0</v>
      </c>
      <c r="B1295" s="3" t="s">
        <v>3955</v>
      </c>
      <c r="C1295" s="3">
        <v>0.0</v>
      </c>
      <c r="D1295" s="3">
        <v>0.0</v>
      </c>
      <c r="E1295" s="3">
        <v>1.0</v>
      </c>
      <c r="F1295" s="3" t="s">
        <v>3956</v>
      </c>
      <c r="G1295" s="3">
        <v>1.0</v>
      </c>
      <c r="H1295" s="3">
        <v>0.0</v>
      </c>
      <c r="I1295" s="3" t="s">
        <v>13</v>
      </c>
      <c r="J1295" s="3" t="s">
        <v>3957</v>
      </c>
      <c r="K1295" s="3" t="s">
        <v>31</v>
      </c>
      <c r="L1295" s="3" t="str">
        <f>IFERROR(__xludf.DUMMYFUNCTION("GOOGLETRANSLATE(F1295,""id"",""en"")"),"French Argentine World Cup Final Pen")</f>
        <v>French Argentine World Cup Final Pen</v>
      </c>
    </row>
    <row r="1296" ht="15.75" customHeight="1">
      <c r="A1296" s="1">
        <v>1298.0</v>
      </c>
      <c r="B1296" s="3" t="s">
        <v>3958</v>
      </c>
      <c r="C1296" s="3">
        <v>0.0</v>
      </c>
      <c r="D1296" s="3">
        <v>0.0</v>
      </c>
      <c r="E1296" s="3">
        <v>0.0</v>
      </c>
      <c r="F1296" s="3" t="s">
        <v>3959</v>
      </c>
      <c r="G1296" s="3">
        <v>1.0</v>
      </c>
      <c r="H1296" s="3">
        <v>0.0</v>
      </c>
      <c r="I1296" s="3" t="s">
        <v>13</v>
      </c>
      <c r="J1296" s="3" t="s">
        <v>3960</v>
      </c>
      <c r="K1296" s="3" t="s">
        <v>50</v>
      </c>
      <c r="L1296" s="3" t="str">
        <f>IFERROR(__xludf.DUMMYFUNCTION("GOOGLETRANSLATE(F1296,""id"",""en"")"),"Alhamdulilah Argentina Alhirnya Champion Oge World Cup Final Match Most Exciting")</f>
        <v>Alhamdulilah Argentina Alhirnya Champion Oge World Cup Final Match Most Exciting</v>
      </c>
    </row>
    <row r="1297" ht="15.75" customHeight="1">
      <c r="A1297" s="1">
        <v>1299.0</v>
      </c>
      <c r="B1297" s="3" t="s">
        <v>3961</v>
      </c>
      <c r="C1297" s="3">
        <v>0.0</v>
      </c>
      <c r="D1297" s="3">
        <v>0.0</v>
      </c>
      <c r="E1297" s="3">
        <v>1.0</v>
      </c>
      <c r="F1297" s="3" t="s">
        <v>3962</v>
      </c>
      <c r="G1297" s="3">
        <v>1.0</v>
      </c>
      <c r="H1297" s="3">
        <v>0.0</v>
      </c>
      <c r="I1297" s="3" t="s">
        <v>13</v>
      </c>
      <c r="J1297" s="3" t="s">
        <v>3963</v>
      </c>
      <c r="K1297" s="3" t="s">
        <v>374</v>
      </c>
      <c r="L1297" s="3" t="str">
        <f>IFERROR(__xludf.DUMMYFUNCTION("GOOGLETRANSLATE(F1297,""id"",""en"")"),"The best World Cup final I have ever seen as the end of the debate who is the best player of this century but Mbappe is ready to undermine the dominance of Messi congratulations to Argentina as the world champion Qatar which makes the World Cup event as t"&amp;"he Islamic Da'wah Field")</f>
        <v>The best World Cup final I have ever seen as the end of the debate who is the best player of this century but Mbappe is ready to undermine the dominance of Messi congratulations to Argentina as the world champion Qatar which makes the World Cup event as the Islamic Da'wah Field</v>
      </c>
    </row>
    <row r="1298" ht="15.75" customHeight="1">
      <c r="A1298" s="1">
        <v>1300.0</v>
      </c>
      <c r="B1298" s="3" t="s">
        <v>3964</v>
      </c>
      <c r="C1298" s="3">
        <v>0.0</v>
      </c>
      <c r="D1298" s="3">
        <v>0.0</v>
      </c>
      <c r="E1298" s="3">
        <v>0.0</v>
      </c>
      <c r="F1298" s="3" t="s">
        <v>3965</v>
      </c>
      <c r="G1298" s="3">
        <v>1.0</v>
      </c>
      <c r="H1298" s="3">
        <v>0.0</v>
      </c>
      <c r="I1298" s="3" t="s">
        <v>13</v>
      </c>
      <c r="J1298" s="3" t="s">
        <v>3966</v>
      </c>
      <c r="K1298" s="3" t="s">
        <v>433</v>
      </c>
      <c r="L1298" s="3" t="str">
        <f>IFERROR(__xludf.DUMMYFUNCTION("GOOGLETRANSLATE(F1298,""id"",""en"")"),"Thank you France Argentina for serving the final match of the Final Aing NNTN World Cup Final")</f>
        <v>Thank you France Argentina for serving the final match of the Final Aing NNTN World Cup Final</v>
      </c>
    </row>
    <row r="1299" ht="15.75" customHeight="1">
      <c r="A1299" s="1">
        <v>1301.0</v>
      </c>
      <c r="B1299" s="3" t="s">
        <v>3967</v>
      </c>
      <c r="C1299" s="3">
        <v>0.0</v>
      </c>
      <c r="D1299" s="3">
        <v>0.0</v>
      </c>
      <c r="E1299" s="3">
        <v>2.0</v>
      </c>
      <c r="F1299" s="3" t="s">
        <v>3968</v>
      </c>
      <c r="G1299" s="3">
        <v>1.0</v>
      </c>
      <c r="H1299" s="3">
        <v>0.0</v>
      </c>
      <c r="I1299" s="3" t="s">
        <v>13</v>
      </c>
      <c r="J1299" s="3" t="s">
        <v>3969</v>
      </c>
      <c r="K1299" s="3" t="s">
        <v>71</v>
      </c>
      <c r="L1299" s="3" t="str">
        <f>IFERROR(__xludf.DUMMYFUNCTION("GOOGLETRANSLATE(F1299,""id"",""en"")"),"Very inspiring remains consistent in helping the community of Congratulations Messi Argentina World Cup Mbappe France Final")</f>
        <v>Very inspiring remains consistent in helping the community of Congratulations Messi Argentina World Cup Mbappe France Final</v>
      </c>
    </row>
    <row r="1300" ht="15.75" customHeight="1">
      <c r="A1300" s="1">
        <v>1302.0</v>
      </c>
      <c r="B1300" s="3" t="s">
        <v>3970</v>
      </c>
      <c r="C1300" s="3">
        <v>0.0</v>
      </c>
      <c r="D1300" s="3">
        <v>0.0</v>
      </c>
      <c r="E1300" s="3">
        <v>0.0</v>
      </c>
      <c r="F1300" s="3" t="s">
        <v>3971</v>
      </c>
      <c r="G1300" s="3">
        <v>1.0</v>
      </c>
      <c r="H1300" s="3">
        <v>0.0</v>
      </c>
      <c r="I1300" s="3" t="s">
        <v>13</v>
      </c>
      <c r="J1300" s="3" t="s">
        <v>3972</v>
      </c>
      <c r="K1300" s="3" t="s">
        <v>3973</v>
      </c>
      <c r="L1300" s="3" t="str">
        <f>IFERROR(__xludf.DUMMYFUNCTION("GOOGLETRANSLATE(F1300,""id"",""en"")"),"Interested in the World Cup four years ago France Champion World Champion Defeated Croatia Final Now France ranked down from last year while Croatia also dropped from the fourth champion of the year and then became the championship")</f>
        <v>Interested in the World Cup four years ago France Champion World Champion Defeated Croatia Final Now France ranked down from last year while Croatia also dropped from the fourth champion of the year and then became the championship</v>
      </c>
    </row>
    <row r="1301" ht="15.75" customHeight="1">
      <c r="A1301" s="1">
        <v>1303.0</v>
      </c>
      <c r="B1301" s="3" t="s">
        <v>3974</v>
      </c>
      <c r="C1301" s="3">
        <v>39.0</v>
      </c>
      <c r="D1301" s="3">
        <v>342.0</v>
      </c>
      <c r="E1301" s="3">
        <v>1426.0</v>
      </c>
      <c r="F1301" s="3" t="s">
        <v>3975</v>
      </c>
      <c r="G1301" s="3">
        <v>1.0</v>
      </c>
      <c r="H1301" s="3">
        <v>0.0</v>
      </c>
      <c r="I1301" s="3" t="s">
        <v>13</v>
      </c>
      <c r="J1301" s="3" t="s">
        <v>3976</v>
      </c>
      <c r="K1301" s="3" t="s">
        <v>3977</v>
      </c>
      <c r="L1301" s="3" t="str">
        <f>IFERROR(__xludf.DUMMYFUNCTION("GOOGLETRANSLATE(F1301,""id"",""en"")"),"To get here Messi has gone through the very very defeated pain of the World Cup Final Final Copa America retired then realized his task was actually not finished returning to the Copa America finalisca World Cup champion")</f>
        <v>To get here Messi has gone through the very very defeated pain of the World Cup Final Final Copa America retired then realized his task was actually not finished returning to the Copa America finalisca World Cup champion</v>
      </c>
    </row>
    <row r="1302" ht="15.75" customHeight="1">
      <c r="A1302" s="1">
        <v>1304.0</v>
      </c>
      <c r="B1302" s="3" t="s">
        <v>3978</v>
      </c>
      <c r="C1302" s="3">
        <v>0.0</v>
      </c>
      <c r="D1302" s="3">
        <v>0.0</v>
      </c>
      <c r="E1302" s="3">
        <v>0.0</v>
      </c>
      <c r="F1302" s="3" t="s">
        <v>3979</v>
      </c>
      <c r="G1302" s="3">
        <v>1.0</v>
      </c>
      <c r="H1302" s="3">
        <v>0.0</v>
      </c>
      <c r="I1302" s="3" t="s">
        <v>13</v>
      </c>
      <c r="J1302" s="3" t="s">
        <v>3980</v>
      </c>
      <c r="K1302" s="3" t="s">
        <v>82</v>
      </c>
      <c r="L1302" s="3" t="str">
        <f>IFERROR(__xludf.DUMMYFUNCTION("GOOGLETRANSLATE(F1302,""id"",""en"")"),"Witnessed the Final World Cup Most Exciting")</f>
        <v>Witnessed the Final World Cup Most Exciting</v>
      </c>
    </row>
    <row r="1303" ht="15.75" customHeight="1">
      <c r="A1303" s="1">
        <v>1305.0</v>
      </c>
      <c r="B1303" s="3" t="s">
        <v>3981</v>
      </c>
      <c r="C1303" s="3">
        <v>0.0</v>
      </c>
      <c r="D1303" s="3">
        <v>0.0</v>
      </c>
      <c r="E1303" s="3">
        <v>1.0</v>
      </c>
      <c r="F1303" s="3" t="s">
        <v>3982</v>
      </c>
      <c r="G1303" s="3">
        <v>1.0</v>
      </c>
      <c r="H1303" s="3">
        <v>0.25</v>
      </c>
      <c r="I1303" s="3" t="s">
        <v>48</v>
      </c>
      <c r="J1303" s="3" t="s">
        <v>3983</v>
      </c>
      <c r="K1303" s="3" t="s">
        <v>15</v>
      </c>
      <c r="L1303" s="3" t="str">
        <f>IFERROR(__xludf.DUMMYFUNCTION("GOOGLETRANSLATE(F1303,""id"",""en"")"),"Agree the World Cup Final Most Memorable Never Watch")</f>
        <v>Agree the World Cup Final Most Memorable Never Watch</v>
      </c>
    </row>
    <row r="1304" ht="15.75" customHeight="1">
      <c r="A1304" s="1">
        <v>1306.0</v>
      </c>
      <c r="B1304" s="3" t="s">
        <v>3984</v>
      </c>
      <c r="C1304" s="3">
        <v>0.0</v>
      </c>
      <c r="D1304" s="3">
        <v>0.0</v>
      </c>
      <c r="E1304" s="3">
        <v>0.0</v>
      </c>
      <c r="F1304" s="3" t="s">
        <v>3985</v>
      </c>
      <c r="G1304" s="3">
        <v>0.65</v>
      </c>
      <c r="H1304" s="3">
        <v>-0.01666666666666668</v>
      </c>
      <c r="I1304" s="3" t="s">
        <v>179</v>
      </c>
      <c r="J1304" s="3" t="s">
        <v>3986</v>
      </c>
      <c r="K1304" s="3" t="s">
        <v>1293</v>
      </c>
      <c r="L1304" s="3" t="str">
        <f>IFERROR(__xludf.DUMMYFUNCTION("GOOGLETRANSLATE(F1304,""id"",""en"")"),"The World Cup Final The Most Drilling Full Drama and Heart Gymnastics Congratulations Argentina Happy Messi Like a Video Game Has Completed")</f>
        <v>The World Cup Final The Most Drilling Full Drama and Heart Gymnastics Congratulations Argentina Happy Messi Like a Video Game Has Completed</v>
      </c>
    </row>
    <row r="1305" ht="15.75" customHeight="1">
      <c r="A1305" s="1">
        <v>1307.0</v>
      </c>
      <c r="B1305" s="3" t="s">
        <v>3987</v>
      </c>
      <c r="C1305" s="3">
        <v>0.0</v>
      </c>
      <c r="D1305" s="3">
        <v>0.0</v>
      </c>
      <c r="E1305" s="3">
        <v>1.0</v>
      </c>
      <c r="F1305" s="3" t="s">
        <v>3988</v>
      </c>
      <c r="G1305" s="3">
        <v>1.0</v>
      </c>
      <c r="H1305" s="3">
        <v>0.0</v>
      </c>
      <c r="I1305" s="3" t="s">
        <v>13</v>
      </c>
      <c r="J1305" s="3" t="s">
        <v>3989</v>
      </c>
      <c r="K1305" s="3" t="s">
        <v>510</v>
      </c>
      <c r="L1305" s="3" t="str">
        <f>IFERROR(__xludf.DUMMYFUNCTION("GOOGLETRANSLATE(F1305,""id"",""en"")"),"Incredible one of the best World Cup finals, thank you Qatar and congratulations to Argentina")</f>
        <v>Incredible one of the best World Cup finals, thank you Qatar and congratulations to Argentina</v>
      </c>
    </row>
    <row r="1306" ht="15.75" customHeight="1">
      <c r="A1306" s="1">
        <v>1308.0</v>
      </c>
      <c r="B1306" s="3" t="s">
        <v>3990</v>
      </c>
      <c r="C1306" s="3">
        <v>1.0</v>
      </c>
      <c r="D1306" s="3">
        <v>0.0</v>
      </c>
      <c r="E1306" s="3">
        <v>0.0</v>
      </c>
      <c r="F1306" s="3" t="s">
        <v>3991</v>
      </c>
      <c r="G1306" s="3">
        <v>0.75</v>
      </c>
      <c r="H1306" s="3">
        <v>0.25</v>
      </c>
      <c r="I1306" s="3" t="s">
        <v>48</v>
      </c>
      <c r="J1306" s="3" t="s">
        <v>3992</v>
      </c>
      <c r="K1306" s="3" t="s">
        <v>495</v>
      </c>
      <c r="L1306" s="3" t="str">
        <f>IFERROR(__xludf.DUMMYFUNCTION("GOOGLETRANSLATE(F1306,""id"",""en"")"),"and high appreciation for the best game from Kylian MBAPP Lottin Hattrick the World Cup Final and became the top scorer with a fantastic goal")</f>
        <v>and high appreciation for the best game from Kylian MBAPP Lottin Hattrick the World Cup Final and became the top scorer with a fantastic goal</v>
      </c>
    </row>
    <row r="1307" ht="15.75" customHeight="1">
      <c r="A1307" s="1">
        <v>1309.0</v>
      </c>
      <c r="B1307" s="3" t="s">
        <v>3993</v>
      </c>
      <c r="C1307" s="3">
        <v>0.0</v>
      </c>
      <c r="D1307" s="3">
        <v>0.0</v>
      </c>
      <c r="E1307" s="3">
        <v>0.0</v>
      </c>
      <c r="F1307" s="3" t="s">
        <v>3994</v>
      </c>
      <c r="G1307" s="3">
        <v>1.0</v>
      </c>
      <c r="H1307" s="3">
        <v>0.0</v>
      </c>
      <c r="I1307" s="3" t="s">
        <v>13</v>
      </c>
      <c r="J1307" s="3" t="s">
        <v>3995</v>
      </c>
      <c r="K1307" s="3" t="s">
        <v>82</v>
      </c>
      <c r="L1307" s="3" t="str">
        <f>IFERROR(__xludf.DUMMYFUNCTION("GOOGLETRANSLATE(F1307,""id"",""en"")"),"exclaimed the Final was excited from the clay World Cup")</f>
        <v>exclaimed the Final was excited from the clay World Cup</v>
      </c>
    </row>
    <row r="1308" ht="15.75" customHeight="1">
      <c r="A1308" s="1">
        <v>1310.0</v>
      </c>
      <c r="B1308" s="3" t="s">
        <v>3996</v>
      </c>
      <c r="C1308" s="3">
        <v>1.0</v>
      </c>
      <c r="D1308" s="3">
        <v>0.0</v>
      </c>
      <c r="E1308" s="3">
        <v>2.0</v>
      </c>
      <c r="F1308" s="3" t="s">
        <v>3997</v>
      </c>
      <c r="G1308" s="3">
        <v>0.6</v>
      </c>
      <c r="H1308" s="3">
        <v>-0.05</v>
      </c>
      <c r="I1308" s="3" t="s">
        <v>179</v>
      </c>
      <c r="J1308" s="3" t="s">
        <v>3998</v>
      </c>
      <c r="K1308" s="3" t="s">
        <v>1897</v>
      </c>
      <c r="L1308" s="3" t="str">
        <f>IFERROR(__xludf.DUMMYFUNCTION("GOOGLETRANSLATE(F1308,""id"",""en"")"),"Dear Mr. Manager in connection with my heartbroken condition because of the French defeat in the World Cup final match which resulted in mental and financial losses for myself, please be allowed not to enter the office today. Thank you")</f>
        <v>Dear Mr. Manager in connection with my heartbroken condition because of the French defeat in the World Cup final match which resulted in mental and financial losses for myself, please be allowed not to enter the office today. Thank you</v>
      </c>
    </row>
    <row r="1309" ht="15.75" customHeight="1">
      <c r="A1309" s="1">
        <v>1311.0</v>
      </c>
      <c r="B1309" s="3" t="s">
        <v>3999</v>
      </c>
      <c r="C1309" s="3">
        <v>0.0</v>
      </c>
      <c r="D1309" s="3">
        <v>0.0</v>
      </c>
      <c r="E1309" s="3">
        <v>0.0</v>
      </c>
      <c r="F1309" s="3" t="s">
        <v>4000</v>
      </c>
      <c r="G1309" s="3">
        <v>1.0</v>
      </c>
      <c r="H1309" s="3">
        <v>0.0</v>
      </c>
      <c r="I1309" s="3" t="s">
        <v>13</v>
      </c>
      <c r="J1309" s="3" t="s">
        <v>4001</v>
      </c>
      <c r="K1309" s="3" t="s">
        <v>437</v>
      </c>
      <c r="L1309" s="3" t="str">
        <f>IFERROR(__xludf.DUMMYFUNCTION("GOOGLETRANSLATE(F1309,""id"",""en"")"),"The debate of Goat is finished with Messi Champion but Mbappe can make this World Cup Final Hatrick Sort of Submission of New Generation Goat Bhuajinguk")</f>
        <v>The debate of Goat is finished with Messi Champion but Mbappe can make this World Cup Final Hatrick Sort of Submission of New Generation Goat Bhuajinguk</v>
      </c>
    </row>
    <row r="1310" ht="15.75" customHeight="1">
      <c r="A1310" s="1">
        <v>1312.0</v>
      </c>
      <c r="B1310" s="3" t="s">
        <v>4002</v>
      </c>
      <c r="C1310" s="3">
        <v>0.0</v>
      </c>
      <c r="D1310" s="3">
        <v>0.0</v>
      </c>
      <c r="E1310" s="3">
        <v>0.0</v>
      </c>
      <c r="F1310" s="3" t="s">
        <v>4003</v>
      </c>
      <c r="G1310" s="3">
        <v>1.0</v>
      </c>
      <c r="H1310" s="3">
        <v>0.0</v>
      </c>
      <c r="I1310" s="3" t="s">
        <v>13</v>
      </c>
      <c r="J1310" s="3" t="s">
        <v>4004</v>
      </c>
      <c r="K1310" s="3" t="s">
        <v>15</v>
      </c>
      <c r="L1310" s="3" t="str">
        <f>IFERROR(__xludf.DUMMYFUNCTION("GOOGLETRANSLATE(F1310,""id"",""en"")"),"suggested when it entered the final two two countries, so there was a winner so someone was sad")</f>
        <v>suggested when it entered the final two two countries, so there was a winner so someone was sad</v>
      </c>
    </row>
    <row r="1311" ht="15.75" customHeight="1">
      <c r="A1311" s="1">
        <v>1313.0</v>
      </c>
      <c r="B1311" s="3" t="s">
        <v>4005</v>
      </c>
      <c r="C1311" s="3">
        <v>1.0</v>
      </c>
      <c r="D1311" s="3">
        <v>1.0</v>
      </c>
      <c r="E1311" s="3">
        <v>0.0</v>
      </c>
      <c r="F1311" s="3" t="s">
        <v>4006</v>
      </c>
      <c r="G1311" s="3">
        <v>0.5</v>
      </c>
      <c r="H1311" s="3">
        <v>0.0</v>
      </c>
      <c r="I1311" s="3" t="s">
        <v>13</v>
      </c>
      <c r="J1311" s="3" t="s">
        <v>4007</v>
      </c>
      <c r="K1311" s="3" t="s">
        <v>266</v>
      </c>
      <c r="L1311" s="3" t="str">
        <f>IFERROR(__xludf.DUMMYFUNCTION("GOOGLETRANSLATE(F1311,""id"",""en"")"),"The most exciting world cup final ever not to see the France Final support so that he can back back it turns out that the fortune of Messi Emi Martinez is indeed a goks if the penalty is a penalty until the penalty shoots if the goalkeeper is doi")</f>
        <v>The most exciting world cup final ever not to see the France Final support so that he can back back it turns out that the fortune of Messi Emi Martinez is indeed a goks if the penalty is a penalty until the penalty shoots if the goalkeeper is doi</v>
      </c>
    </row>
    <row r="1312" ht="15.75" customHeight="1">
      <c r="A1312" s="1">
        <v>1314.0</v>
      </c>
      <c r="B1312" s="3" t="s">
        <v>4008</v>
      </c>
      <c r="C1312" s="3">
        <v>0.0</v>
      </c>
      <c r="D1312" s="3">
        <v>0.0</v>
      </c>
      <c r="E1312" s="3">
        <v>0.0</v>
      </c>
      <c r="F1312" s="3" t="s">
        <v>4009</v>
      </c>
      <c r="G1312" s="3">
        <v>1.0</v>
      </c>
      <c r="H1312" s="3">
        <v>0.0</v>
      </c>
      <c r="I1312" s="3" t="s">
        <v>13</v>
      </c>
      <c r="J1312" s="3" t="s">
        <v>4010</v>
      </c>
      <c r="K1312" s="3" t="s">
        <v>1335</v>
      </c>
      <c r="L1312" s="3" t="str">
        <f>IFERROR(__xludf.DUMMYFUNCTION("GOOGLETRANSLATE(F1312,""id"",""en"")"),"The best world cup final is during the final watching")</f>
        <v>The best world cup final is during the final watching</v>
      </c>
    </row>
    <row r="1313" ht="15.75" customHeight="1">
      <c r="A1313" s="1">
        <v>1315.0</v>
      </c>
      <c r="B1313" s="3" t="s">
        <v>4011</v>
      </c>
      <c r="C1313" s="3">
        <v>0.0</v>
      </c>
      <c r="D1313" s="3">
        <v>0.0</v>
      </c>
      <c r="E1313" s="3">
        <v>0.0</v>
      </c>
      <c r="F1313" s="3" t="s">
        <v>4012</v>
      </c>
      <c r="G1313" s="3">
        <v>1.0</v>
      </c>
      <c r="H1313" s="3">
        <v>0.0</v>
      </c>
      <c r="I1313" s="3" t="s">
        <v>13</v>
      </c>
      <c r="J1313" s="3" t="s">
        <v>4013</v>
      </c>
      <c r="K1313" s="3" t="s">
        <v>358</v>
      </c>
      <c r="L1313" s="3" t="str">
        <f>IFERROR(__xludf.DUMMYFUNCTION("GOOGLETRANSLATE(F1313,""id"",""en"")"),"Argentina won the World Cup after defeating France Final with Argentina Score Are FIFA World Cup Champions Source")</f>
        <v>Argentina won the World Cup after defeating France Final with Argentina Score Are FIFA World Cup Champions Source</v>
      </c>
    </row>
    <row r="1314" ht="15.75" customHeight="1">
      <c r="A1314" s="1">
        <v>1316.0</v>
      </c>
      <c r="B1314" s="3" t="s">
        <v>4014</v>
      </c>
      <c r="C1314" s="3">
        <v>6.0</v>
      </c>
      <c r="D1314" s="3">
        <v>0.0</v>
      </c>
      <c r="E1314" s="3">
        <v>6.0</v>
      </c>
      <c r="F1314" s="3" t="s">
        <v>4015</v>
      </c>
      <c r="G1314" s="3">
        <v>1.0</v>
      </c>
      <c r="H1314" s="3">
        <v>0.0</v>
      </c>
      <c r="I1314" s="3" t="s">
        <v>13</v>
      </c>
      <c r="J1314" s="3" t="s">
        <v>4016</v>
      </c>
      <c r="K1314" s="3" t="s">
        <v>41</v>
      </c>
      <c r="L1314" s="3" t="str">
        <f>IFERROR(__xludf.DUMMYFUNCTION("GOOGLETRANSLATE(F1314,""id"",""en"")"),"The best World Cup final ever watching, yes, or not, Taruwit")</f>
        <v>The best World Cup final ever watching, yes, or not, Taruwit</v>
      </c>
    </row>
    <row r="1315" ht="15.75" customHeight="1">
      <c r="A1315" s="1">
        <v>1317.0</v>
      </c>
      <c r="B1315" s="3" t="s">
        <v>4017</v>
      </c>
      <c r="C1315" s="3">
        <v>0.0</v>
      </c>
      <c r="D1315" s="3">
        <v>0.0</v>
      </c>
      <c r="E1315" s="3">
        <v>0.0</v>
      </c>
      <c r="F1315" s="3" t="s">
        <v>4018</v>
      </c>
      <c r="G1315" s="3">
        <v>1.0</v>
      </c>
      <c r="H1315" s="3">
        <v>0.0</v>
      </c>
      <c r="I1315" s="3" t="s">
        <v>13</v>
      </c>
      <c r="J1315" s="3" t="s">
        <v>4019</v>
      </c>
      <c r="K1315" s="3" t="s">
        <v>15</v>
      </c>
      <c r="L1315" s="3" t="str">
        <f>IFERROR(__xludf.DUMMYFUNCTION("GOOGLETRANSLATE(F1315,""id"",""en"")"),"The best World Cup final I have watched Badabessstt")</f>
        <v>The best World Cup final I have watched Badabessstt</v>
      </c>
    </row>
    <row r="1316" ht="15.75" customHeight="1">
      <c r="A1316" s="1">
        <v>1318.0</v>
      </c>
      <c r="B1316" s="3" t="s">
        <v>4020</v>
      </c>
      <c r="C1316" s="3">
        <v>0.0</v>
      </c>
      <c r="D1316" s="3">
        <v>0.0</v>
      </c>
      <c r="E1316" s="3">
        <v>0.0</v>
      </c>
      <c r="F1316" s="3" t="s">
        <v>4021</v>
      </c>
      <c r="G1316" s="3">
        <v>1.0</v>
      </c>
      <c r="H1316" s="3">
        <v>0.0</v>
      </c>
      <c r="I1316" s="3" t="s">
        <v>13</v>
      </c>
      <c r="J1316" s="3" t="s">
        <v>4022</v>
      </c>
      <c r="K1316" s="3" t="s">
        <v>54</v>
      </c>
      <c r="L1316" s="3" t="str">
        <f>IFERROR(__xludf.DUMMYFUNCTION("GOOGLETRANSLATE(F1316,""id"",""en"")"),"The best final during watching the World Cup")</f>
        <v>The best final during watching the World Cup</v>
      </c>
    </row>
    <row r="1317" ht="15.75" customHeight="1">
      <c r="A1317" s="1">
        <v>1319.0</v>
      </c>
      <c r="B1317" s="3" t="s">
        <v>4023</v>
      </c>
      <c r="C1317" s="3">
        <v>0.0</v>
      </c>
      <c r="D1317" s="3">
        <v>0.0</v>
      </c>
      <c r="E1317" s="3">
        <v>0.0</v>
      </c>
      <c r="F1317" s="3" t="s">
        <v>2058</v>
      </c>
      <c r="G1317" s="3">
        <v>1.0</v>
      </c>
      <c r="H1317" s="3">
        <v>0.0</v>
      </c>
      <c r="I1317" s="3" t="s">
        <v>13</v>
      </c>
      <c r="J1317" s="3" t="s">
        <v>2059</v>
      </c>
      <c r="K1317" s="3" t="s">
        <v>54</v>
      </c>
      <c r="L1317" s="3" t="str">
        <f>IFERROR(__xludf.DUMMYFUNCTION("GOOGLETRANSLATE(F1317,""id"",""en"")"),"the best world cup final in history")</f>
        <v>the best world cup final in history</v>
      </c>
    </row>
    <row r="1318" ht="15.75" customHeight="1">
      <c r="A1318" s="1">
        <v>1320.0</v>
      </c>
      <c r="B1318" s="3" t="s">
        <v>4024</v>
      </c>
      <c r="C1318" s="3">
        <v>0.0</v>
      </c>
      <c r="D1318" s="3">
        <v>0.0</v>
      </c>
      <c r="E1318" s="3">
        <v>0.0</v>
      </c>
      <c r="F1318" s="3" t="s">
        <v>4025</v>
      </c>
      <c r="G1318" s="3">
        <v>1.0</v>
      </c>
      <c r="H1318" s="3">
        <v>0.0</v>
      </c>
      <c r="I1318" s="3" t="s">
        <v>13</v>
      </c>
      <c r="J1318" s="3" t="s">
        <v>4026</v>
      </c>
      <c r="K1318" s="3" t="s">
        <v>82</v>
      </c>
      <c r="L1318" s="3" t="str">
        <f>IFERROR(__xludf.DUMMYFUNCTION("GOOGLETRANSLATE(F1318,""id"",""en"")"),"How come the Argentina World Cup final is fighting AGT")</f>
        <v>How come the Argentina World Cup final is fighting AGT</v>
      </c>
    </row>
    <row r="1319" ht="15.75" customHeight="1">
      <c r="A1319" s="1">
        <v>1321.0</v>
      </c>
      <c r="B1319" s="3" t="s">
        <v>4027</v>
      </c>
      <c r="C1319" s="3">
        <v>0.0</v>
      </c>
      <c r="D1319" s="3">
        <v>0.0</v>
      </c>
      <c r="E1319" s="3">
        <v>1.0</v>
      </c>
      <c r="F1319" s="3" t="s">
        <v>4028</v>
      </c>
      <c r="G1319" s="3">
        <v>1.0</v>
      </c>
      <c r="H1319" s="3">
        <v>0.0</v>
      </c>
      <c r="I1319" s="3" t="s">
        <v>13</v>
      </c>
      <c r="J1319" s="3" t="s">
        <v>4029</v>
      </c>
      <c r="K1319" s="3" t="s">
        <v>41</v>
      </c>
      <c r="L1319" s="3" t="str">
        <f>IFERROR(__xludf.DUMMYFUNCTION("GOOGLETRANSLATE(F1319,""id"",""en"")"),"The Best World Cup Final I've ever watched Happy Argentina")</f>
        <v>The Best World Cup Final I've ever watched Happy Argentina</v>
      </c>
    </row>
    <row r="1320" ht="15.75" customHeight="1">
      <c r="A1320" s="1">
        <v>1322.0</v>
      </c>
      <c r="B1320" s="3" t="s">
        <v>4030</v>
      </c>
      <c r="C1320" s="3">
        <v>0.0</v>
      </c>
      <c r="D1320" s="3">
        <v>0.0</v>
      </c>
      <c r="E1320" s="3">
        <v>0.0</v>
      </c>
      <c r="F1320" s="3" t="s">
        <v>4031</v>
      </c>
      <c r="G1320" s="3">
        <v>1.0</v>
      </c>
      <c r="H1320" s="3">
        <v>0.0</v>
      </c>
      <c r="I1320" s="3" t="s">
        <v>13</v>
      </c>
      <c r="J1320" s="3" t="s">
        <v>4032</v>
      </c>
      <c r="K1320" s="3" t="s">
        <v>614</v>
      </c>
      <c r="L1320" s="3" t="str">
        <f>IFERROR(__xludf.DUMMYFUNCTION("GOOGLETRANSLATE(F1320,""id"",""en"")"),"The most dramatic final is tense during the World Cup Final Nnton when Argentina's final is more above because its goalkeeper Emil Martinez Titis is good")</f>
        <v>The most dramatic final is tense during the World Cup Final Nnton when Argentina's final is more above because its goalkeeper Emil Martinez Titis is good</v>
      </c>
    </row>
    <row r="1321" ht="15.75" customHeight="1">
      <c r="A1321" s="1">
        <v>1323.0</v>
      </c>
      <c r="B1321" s="3" t="s">
        <v>4033</v>
      </c>
      <c r="C1321" s="3">
        <v>0.0</v>
      </c>
      <c r="D1321" s="3">
        <v>0.0</v>
      </c>
      <c r="E1321" s="3">
        <v>0.0</v>
      </c>
      <c r="F1321" s="3" t="s">
        <v>4034</v>
      </c>
      <c r="G1321" s="3">
        <v>1.0</v>
      </c>
      <c r="H1321" s="3">
        <v>0.0</v>
      </c>
      <c r="I1321" s="3" t="s">
        <v>13</v>
      </c>
      <c r="J1321" s="3" t="s">
        <v>4035</v>
      </c>
      <c r="K1321" s="3" t="s">
        <v>477</v>
      </c>
      <c r="L1321" s="3" t="str">
        <f>IFERROR(__xludf.DUMMYFUNCTION("GOOGLETRANSLATE(F1321,""id"",""en"")"),"The World Cup Final this time is really different for congratulations to")</f>
        <v>The World Cup Final this time is really different for congratulations to</v>
      </c>
    </row>
    <row r="1322" ht="15.75" customHeight="1">
      <c r="A1322" s="1">
        <v>1324.0</v>
      </c>
      <c r="B1322" s="3" t="s">
        <v>4036</v>
      </c>
      <c r="C1322" s="3">
        <v>0.0</v>
      </c>
      <c r="D1322" s="3">
        <v>0.0</v>
      </c>
      <c r="E1322" s="3">
        <v>0.0</v>
      </c>
      <c r="F1322" s="3" t="s">
        <v>4037</v>
      </c>
      <c r="G1322" s="3">
        <v>0.6178571428571429</v>
      </c>
      <c r="H1322" s="3">
        <v>0.2392857142857143</v>
      </c>
      <c r="I1322" s="3" t="s">
        <v>48</v>
      </c>
      <c r="J1322" s="3" t="s">
        <v>4038</v>
      </c>
      <c r="K1322" s="3" t="s">
        <v>657</v>
      </c>
      <c r="L1322" s="3" t="str">
        <f>IFERROR(__xludf.DUMMYFUNCTION("GOOGLETRANSLATE(F1322,""id"",""en"")"),"The Epic is really the World Cup Final is cool abisss specially for Messii Ama Mbapeee Top Star Bedua")</f>
        <v>The Epic is really the World Cup Final is cool abisss specially for Messii Ama Mbapeee Top Star Bedua</v>
      </c>
    </row>
    <row r="1323" ht="15.75" customHeight="1">
      <c r="A1323" s="1">
        <v>1325.0</v>
      </c>
      <c r="B1323" s="3" t="s">
        <v>4039</v>
      </c>
      <c r="C1323" s="3">
        <v>0.0</v>
      </c>
      <c r="D1323" s="3">
        <v>0.0</v>
      </c>
      <c r="E1323" s="3">
        <v>1.0</v>
      </c>
      <c r="F1323" s="3" t="s">
        <v>4040</v>
      </c>
      <c r="G1323" s="3">
        <v>1.0</v>
      </c>
      <c r="H1323" s="3">
        <v>0.0</v>
      </c>
      <c r="I1323" s="3" t="s">
        <v>13</v>
      </c>
      <c r="J1323" s="3" t="s">
        <v>4041</v>
      </c>
      <c r="K1323" s="3" t="s">
        <v>15</v>
      </c>
      <c r="L1323" s="3" t="str">
        <f>IFERROR(__xludf.DUMMYFUNCTION("GOOGLETRANSLATE(F1323,""id"",""en"")"),"Write one word for the World Cup Final this year")</f>
        <v>Write one word for the World Cup Final this year</v>
      </c>
    </row>
    <row r="1324" ht="15.75" customHeight="1">
      <c r="A1324" s="1">
        <v>1326.0</v>
      </c>
      <c r="B1324" s="3" t="s">
        <v>4042</v>
      </c>
      <c r="C1324" s="3">
        <v>0.0</v>
      </c>
      <c r="D1324" s="3">
        <v>0.0</v>
      </c>
      <c r="E1324" s="3">
        <v>0.0</v>
      </c>
      <c r="F1324" s="3" t="s">
        <v>4043</v>
      </c>
      <c r="G1324" s="3">
        <v>0.7</v>
      </c>
      <c r="H1324" s="3">
        <v>0.1</v>
      </c>
      <c r="I1324" s="3" t="s">
        <v>48</v>
      </c>
      <c r="J1324" s="3" t="s">
        <v>4044</v>
      </c>
      <c r="K1324" s="3" t="s">
        <v>41</v>
      </c>
      <c r="L1324" s="3" t="str">
        <f>IFERROR(__xludf.DUMMYFUNCTION("GOOGLETRANSLATE(F1324,""id"",""en"")"),"hahaha France lost the World Cup final shootout")</f>
        <v>hahaha France lost the World Cup final shootout</v>
      </c>
    </row>
    <row r="1325" ht="15.75" customHeight="1">
      <c r="A1325" s="1">
        <v>1327.0</v>
      </c>
      <c r="B1325" s="3" t="s">
        <v>4045</v>
      </c>
      <c r="C1325" s="3">
        <v>0.0</v>
      </c>
      <c r="D1325" s="3">
        <v>0.0</v>
      </c>
      <c r="E1325" s="3">
        <v>0.0</v>
      </c>
      <c r="F1325" s="3" t="s">
        <v>4046</v>
      </c>
      <c r="G1325" s="3">
        <v>1.0</v>
      </c>
      <c r="H1325" s="3">
        <v>0.0</v>
      </c>
      <c r="I1325" s="3" t="s">
        <v>13</v>
      </c>
      <c r="J1325" s="3" t="s">
        <v>4047</v>
      </c>
      <c r="K1325" s="3" t="s">
        <v>510</v>
      </c>
      <c r="L1325" s="3" t="str">
        <f>IFERROR(__xludf.DUMMYFUNCTION("GOOGLETRANSLATE(F1325,""id"",""en"")"),"Final of the Best World Cup Sabab Lalajona with Bari Jeung Geus Nundutan")</f>
        <v>Final of the Best World Cup Sabab Lalajona with Bari Jeung Geus Nundutan</v>
      </c>
    </row>
    <row r="1326" ht="15.75" customHeight="1">
      <c r="A1326" s="1">
        <v>1328.0</v>
      </c>
      <c r="B1326" s="3" t="s">
        <v>4048</v>
      </c>
      <c r="C1326" s="3">
        <v>0.0</v>
      </c>
      <c r="D1326" s="3">
        <v>0.0</v>
      </c>
      <c r="E1326" s="3">
        <v>0.0</v>
      </c>
      <c r="F1326" s="3" t="s">
        <v>4049</v>
      </c>
      <c r="G1326" s="3">
        <v>1.0</v>
      </c>
      <c r="H1326" s="3">
        <v>0.0</v>
      </c>
      <c r="I1326" s="3" t="s">
        <v>13</v>
      </c>
      <c r="J1326" s="3" t="s">
        <v>4050</v>
      </c>
      <c r="K1326" s="3" t="s">
        <v>2215</v>
      </c>
      <c r="L1326" s="3" t="str">
        <f>IFERROR(__xludf.DUMMYFUNCTION("GOOGLETRANSLATE(F1326,""id"",""en"")"),"What Final Watching the World Cup Final From And This Is the Best Final Have Never Watching Exciting Very Entertaining")</f>
        <v>What Final Watching the World Cup Final From And This Is the Best Final Have Never Watching Exciting Very Entertaining</v>
      </c>
    </row>
    <row r="1327" ht="15.75" customHeight="1">
      <c r="A1327" s="1">
        <v>1329.0</v>
      </c>
      <c r="B1327" s="3" t="s">
        <v>4051</v>
      </c>
      <c r="C1327" s="3">
        <v>0.0</v>
      </c>
      <c r="D1327" s="3">
        <v>0.0</v>
      </c>
      <c r="E1327" s="3">
        <v>0.0</v>
      </c>
      <c r="F1327" s="3" t="s">
        <v>4052</v>
      </c>
      <c r="G1327" s="3">
        <v>0.65</v>
      </c>
      <c r="H1327" s="3">
        <v>0.5</v>
      </c>
      <c r="I1327" s="3" t="s">
        <v>48</v>
      </c>
      <c r="J1327" s="3" t="s">
        <v>4053</v>
      </c>
      <c r="K1327" s="3" t="s">
        <v>31</v>
      </c>
      <c r="L1327" s="3" t="str">
        <f>IFERROR(__xludf.DUMMYFUNCTION("GOOGLETRANSLATE(F1327,""id"",""en"")"),"Best Ever World Cup Final")</f>
        <v>Best Ever World Cup Final</v>
      </c>
    </row>
    <row r="1328" ht="15.75" customHeight="1">
      <c r="A1328" s="1">
        <v>1330.0</v>
      </c>
      <c r="B1328" s="3" t="s">
        <v>4054</v>
      </c>
      <c r="C1328" s="3">
        <v>0.0</v>
      </c>
      <c r="D1328" s="3">
        <v>0.0</v>
      </c>
      <c r="E1328" s="3">
        <v>0.0</v>
      </c>
      <c r="F1328" s="3" t="s">
        <v>4055</v>
      </c>
      <c r="G1328" s="3">
        <v>1.0</v>
      </c>
      <c r="H1328" s="3">
        <v>0.0</v>
      </c>
      <c r="I1328" s="3" t="s">
        <v>13</v>
      </c>
      <c r="J1328" s="3" t="s">
        <v>4056</v>
      </c>
      <c r="K1328" s="3" t="s">
        <v>510</v>
      </c>
      <c r="L1328" s="3" t="str">
        <f>IFERROR(__xludf.DUMMYFUNCTION("GOOGLETRANSLATE(F1328,""id"",""en"")"),"The most exciting world cup from the group phase to the final mbappe is chaotic, it's good")</f>
        <v>The most exciting world cup from the group phase to the final mbappe is chaotic, it's good</v>
      </c>
    </row>
    <row r="1329" ht="15.75" customHeight="1">
      <c r="A1329" s="1">
        <v>1331.0</v>
      </c>
      <c r="B1329" s="3" t="s">
        <v>4057</v>
      </c>
      <c r="C1329" s="3">
        <v>0.0</v>
      </c>
      <c r="D1329" s="3">
        <v>0.0</v>
      </c>
      <c r="E1329" s="3">
        <v>0.0</v>
      </c>
      <c r="F1329" s="3" t="s">
        <v>4058</v>
      </c>
      <c r="G1329" s="3">
        <v>1.0</v>
      </c>
      <c r="H1329" s="3">
        <v>0.0</v>
      </c>
      <c r="I1329" s="3" t="s">
        <v>13</v>
      </c>
      <c r="J1329" s="3" t="s">
        <v>916</v>
      </c>
      <c r="K1329" s="3" t="s">
        <v>54</v>
      </c>
      <c r="L1329" s="3" t="str">
        <f>IFERROR(__xludf.DUMMYFUNCTION("GOOGLETRANSLATE(F1329,""id"",""en"")"),"The Best World Cup Final Never Watch")</f>
        <v>The Best World Cup Final Never Watch</v>
      </c>
    </row>
    <row r="1330" ht="15.75" customHeight="1">
      <c r="A1330" s="1">
        <v>1332.0</v>
      </c>
      <c r="B1330" s="3" t="s">
        <v>4059</v>
      </c>
      <c r="C1330" s="3">
        <v>0.0</v>
      </c>
      <c r="D1330" s="3">
        <v>0.0</v>
      </c>
      <c r="E1330" s="3">
        <v>1.0</v>
      </c>
      <c r="F1330" s="3" t="s">
        <v>4060</v>
      </c>
      <c r="G1330" s="3">
        <v>1.0</v>
      </c>
      <c r="H1330" s="3">
        <v>0.0</v>
      </c>
      <c r="I1330" s="3" t="s">
        <v>13</v>
      </c>
      <c r="J1330" s="3" t="s">
        <v>4061</v>
      </c>
      <c r="K1330" s="3" t="s">
        <v>31</v>
      </c>
      <c r="L1330" s="3" t="str">
        <f>IFERROR(__xludf.DUMMYFUNCTION("GOOGLETRANSLATE(F1330,""id"",""en"")"),"And the best world cup final is also fixxx")</f>
        <v>And the best world cup final is also fixxx</v>
      </c>
    </row>
    <row r="1331" ht="15.75" customHeight="1">
      <c r="A1331" s="1">
        <v>1333.0</v>
      </c>
      <c r="B1331" s="3" t="s">
        <v>4062</v>
      </c>
      <c r="C1331" s="3">
        <v>0.0</v>
      </c>
      <c r="D1331" s="3">
        <v>0.0</v>
      </c>
      <c r="E1331" s="3">
        <v>0.0</v>
      </c>
      <c r="F1331" s="3" t="s">
        <v>4063</v>
      </c>
      <c r="G1331" s="3">
        <v>1.0</v>
      </c>
      <c r="H1331" s="3">
        <v>0.0</v>
      </c>
      <c r="I1331" s="3" t="s">
        <v>13</v>
      </c>
      <c r="J1331" s="3" t="s">
        <v>4064</v>
      </c>
      <c r="K1331" s="3" t="s">
        <v>15</v>
      </c>
      <c r="L1331" s="3" t="str">
        <f>IFERROR(__xludf.DUMMYFUNCTION("GOOGLETRANSLATE(F1331,""id"",""en"")"),"Watching the World Cup final from Taon seems like this is the best")</f>
        <v>Watching the World Cup final from Taon seems like this is the best</v>
      </c>
    </row>
    <row r="1332" ht="15.75" customHeight="1">
      <c r="A1332" s="1">
        <v>1334.0</v>
      </c>
      <c r="B1332" s="3" t="s">
        <v>4065</v>
      </c>
      <c r="C1332" s="3">
        <v>0.0</v>
      </c>
      <c r="D1332" s="3">
        <v>0.0</v>
      </c>
      <c r="E1332" s="3">
        <v>0.0</v>
      </c>
      <c r="F1332" s="3" t="s">
        <v>4066</v>
      </c>
      <c r="G1332" s="3">
        <v>1.0</v>
      </c>
      <c r="H1332" s="3">
        <v>0.0</v>
      </c>
      <c r="I1332" s="3" t="s">
        <v>13</v>
      </c>
      <c r="J1332" s="3" t="s">
        <v>4067</v>
      </c>
      <c r="K1332" s="3" t="s">
        <v>184</v>
      </c>
      <c r="L1332" s="3" t="str">
        <f>IFERROR(__xludf.DUMMYFUNCTION("GOOGLETRANSLATE(F1332,""id"",""en"")"),"sustenance, where are you going, bro, just imagine the Mac Allister players can play the final of the World Cup even though the ballon players have gotten")</f>
        <v>sustenance, where are you going, bro, just imagine the Mac Allister players can play the final of the World Cup even though the ballon players have gotten</v>
      </c>
    </row>
    <row r="1333" ht="15.75" customHeight="1">
      <c r="A1333" s="1">
        <v>1335.0</v>
      </c>
      <c r="B1333" s="3" t="s">
        <v>4068</v>
      </c>
      <c r="C1333" s="3">
        <v>0.0</v>
      </c>
      <c r="D1333" s="3">
        <v>0.0</v>
      </c>
      <c r="E1333" s="3">
        <v>0.0</v>
      </c>
      <c r="F1333" s="3" t="s">
        <v>4069</v>
      </c>
      <c r="G1333" s="3">
        <v>0.6666666666666667</v>
      </c>
      <c r="H1333" s="3">
        <v>-0.06666666666666668</v>
      </c>
      <c r="I1333" s="3" t="s">
        <v>179</v>
      </c>
      <c r="J1333" s="3" t="s">
        <v>4070</v>
      </c>
      <c r="K1333" s="3" t="s">
        <v>2735</v>
      </c>
      <c r="L1333" s="3" t="str">
        <f>IFERROR(__xludf.DUMMYFUNCTION("GOOGLETRANSLATE(F1333,""id"",""en"")"),"Watching the final world cup final seconds when the series finally decided to support France then finally France can bring home a goal trophy from all mbappe and really sad even though tomorrow mbappe birthday don't be sad mbappe next to play again")</f>
        <v>Watching the final world cup final seconds when the series finally decided to support France then finally France can bring home a goal trophy from all mbappe and really sad even though tomorrow mbappe birthday don't be sad mbappe next to play again</v>
      </c>
    </row>
    <row r="1334" ht="15.75" customHeight="1">
      <c r="A1334" s="1">
        <v>1336.0</v>
      </c>
      <c r="B1334" s="3" t="s">
        <v>4071</v>
      </c>
      <c r="C1334" s="3">
        <v>0.0</v>
      </c>
      <c r="D1334" s="3">
        <v>0.0</v>
      </c>
      <c r="E1334" s="3">
        <v>0.0</v>
      </c>
      <c r="F1334" s="3" t="s">
        <v>4072</v>
      </c>
      <c r="G1334" s="3">
        <v>0.4666666666666666</v>
      </c>
      <c r="H1334" s="3">
        <v>0.1333333333333333</v>
      </c>
      <c r="I1334" s="3" t="s">
        <v>48</v>
      </c>
      <c r="J1334" s="3" t="s">
        <v>4073</v>
      </c>
      <c r="K1334" s="3" t="s">
        <v>437</v>
      </c>
      <c r="L1334" s="3" t="str">
        <f>IFERROR(__xludf.DUMMYFUNCTION("GOOGLETRANSLATE(F1334,""id"",""en"")"),"The first time I realized that football was a cool sport to be watched was the World Cup Final Thanks Maradona Thanks Mexico Congrats Argentina")</f>
        <v>The first time I realized that football was a cool sport to be watched was the World Cup Final Thanks Maradona Thanks Mexico Congrats Argentina</v>
      </c>
    </row>
    <row r="1335" ht="15.75" customHeight="1">
      <c r="A1335" s="1">
        <v>1337.0</v>
      </c>
      <c r="B1335" s="3" t="s">
        <v>4074</v>
      </c>
      <c r="C1335" s="3">
        <v>1.0</v>
      </c>
      <c r="D1335" s="3">
        <v>0.0</v>
      </c>
      <c r="E1335" s="3">
        <v>0.0</v>
      </c>
      <c r="F1335" s="3" t="s">
        <v>4075</v>
      </c>
      <c r="G1335" s="3">
        <v>0.7</v>
      </c>
      <c r="H1335" s="3">
        <v>0.05</v>
      </c>
      <c r="I1335" s="3" t="s">
        <v>48</v>
      </c>
      <c r="J1335" s="3" t="s">
        <v>4076</v>
      </c>
      <c r="K1335" s="3" t="s">
        <v>603</v>
      </c>
      <c r="L1335" s="3" t="str">
        <f>IFERROR(__xludf.DUMMYFUNCTION("GOOGLETRANSLATE(F1335,""id"",""en"")"),"Argentine World Cup Final Francis Argentina won a penalty shootout from Francis satisfied and really epic really the quality of the match with the best quality ever watched")</f>
        <v>Argentine World Cup Final Francis Argentina won a penalty shootout from Francis satisfied and really epic really the quality of the match with the best quality ever watched</v>
      </c>
    </row>
    <row r="1336" ht="15.75" customHeight="1">
      <c r="A1336" s="1">
        <v>1338.0</v>
      </c>
      <c r="B1336" s="3" t="s">
        <v>4077</v>
      </c>
      <c r="C1336" s="3">
        <v>0.0</v>
      </c>
      <c r="D1336" s="3">
        <v>0.0</v>
      </c>
      <c r="E1336" s="3">
        <v>0.0</v>
      </c>
      <c r="F1336" s="3" t="s">
        <v>4078</v>
      </c>
      <c r="G1336" s="3">
        <v>1.0</v>
      </c>
      <c r="H1336" s="3">
        <v>0.0</v>
      </c>
      <c r="I1336" s="3" t="s">
        <v>13</v>
      </c>
      <c r="J1336" s="3" t="s">
        <v>4079</v>
      </c>
      <c r="K1336" s="3" t="s">
        <v>3156</v>
      </c>
      <c r="L1336" s="3" t="str">
        <f>IFERROR(__xludf.DUMMYFUNCTION("GOOGLETRANSLATE(F1336,""id"",""en"")"),"The best World Cup Final of all time of the best World Cup inauguration Messi as Goat Mbappe Hattrick Crazy Men Crazy")</f>
        <v>The best World Cup Final of all time of the best World Cup inauguration Messi as Goat Mbappe Hattrick Crazy Men Crazy</v>
      </c>
    </row>
    <row r="1337" ht="15.75" customHeight="1">
      <c r="A1337" s="1">
        <v>1339.0</v>
      </c>
      <c r="B1337" s="3" t="s">
        <v>4080</v>
      </c>
      <c r="C1337" s="3">
        <v>0.0</v>
      </c>
      <c r="D1337" s="3">
        <v>0.0</v>
      </c>
      <c r="E1337" s="3">
        <v>0.0</v>
      </c>
      <c r="F1337" s="3" t="s">
        <v>4081</v>
      </c>
      <c r="G1337" s="3">
        <v>1.0</v>
      </c>
      <c r="H1337" s="3">
        <v>0.0</v>
      </c>
      <c r="I1337" s="3" t="s">
        <v>13</v>
      </c>
      <c r="J1337" s="3" t="s">
        <v>4082</v>
      </c>
      <c r="K1337" s="3" t="s">
        <v>2215</v>
      </c>
      <c r="L1337" s="3" t="str">
        <f>IFERROR(__xludf.DUMMYFUNCTION("GOOGLETRANSLATE(F1337,""id"",""en"")"),"The drama is the best of the World Cup Final with a lot of scores but the game is pleasant to watch and full of the best final skills")</f>
        <v>The drama is the best of the World Cup Final with a lot of scores but the game is pleasant to watch and full of the best final skills</v>
      </c>
    </row>
    <row r="1338" ht="15.75" customHeight="1">
      <c r="A1338" s="1">
        <v>1340.0</v>
      </c>
      <c r="B1338" s="3" t="s">
        <v>4083</v>
      </c>
      <c r="C1338" s="3">
        <v>0.0</v>
      </c>
      <c r="D1338" s="3">
        <v>0.0</v>
      </c>
      <c r="E1338" s="3">
        <v>0.0</v>
      </c>
      <c r="F1338" s="3" t="s">
        <v>4084</v>
      </c>
      <c r="G1338" s="3">
        <v>1.0</v>
      </c>
      <c r="H1338" s="3">
        <v>0.0</v>
      </c>
      <c r="I1338" s="3" t="s">
        <v>13</v>
      </c>
      <c r="J1338" s="3" t="s">
        <v>4085</v>
      </c>
      <c r="K1338" s="3" t="s">
        <v>54</v>
      </c>
      <c r="L1338" s="3" t="str">
        <f>IFERROR(__xludf.DUMMYFUNCTION("GOOGLETRANSLATE(F1338,""id"",""en"")"),"used to say the best world cup final ever existed")</f>
        <v>used to say the best world cup final ever existed</v>
      </c>
    </row>
    <row r="1339" ht="15.75" customHeight="1">
      <c r="A1339" s="1">
        <v>1341.0</v>
      </c>
      <c r="B1339" s="3" t="s">
        <v>4086</v>
      </c>
      <c r="C1339" s="3">
        <v>0.0</v>
      </c>
      <c r="D1339" s="3">
        <v>0.0</v>
      </c>
      <c r="E1339" s="3">
        <v>0.0</v>
      </c>
      <c r="F1339" s="3" t="s">
        <v>4087</v>
      </c>
      <c r="G1339" s="3">
        <v>0.875</v>
      </c>
      <c r="H1339" s="3">
        <v>0.1875</v>
      </c>
      <c r="I1339" s="3" t="s">
        <v>48</v>
      </c>
      <c r="J1339" s="3" t="s">
        <v>4088</v>
      </c>
      <c r="K1339" s="3" t="s">
        <v>50</v>
      </c>
      <c r="L1339" s="3" t="str">
        <f>IFERROR(__xludf.DUMMYFUNCTION("GOOGLETRANSLATE(F1339,""id"",""en"")"),"GGWP Argentina France Final First World Cup that makes me excited bgt")</f>
        <v>GGWP Argentina France Final First World Cup that makes me excited bgt</v>
      </c>
    </row>
    <row r="1340" ht="15.75" customHeight="1">
      <c r="A1340" s="1">
        <v>1342.0</v>
      </c>
      <c r="B1340" s="3" t="s">
        <v>4089</v>
      </c>
      <c r="C1340" s="3">
        <v>0.0</v>
      </c>
      <c r="D1340" s="3">
        <v>0.0</v>
      </c>
      <c r="E1340" s="3">
        <v>1.0</v>
      </c>
      <c r="F1340" s="3" t="s">
        <v>4090</v>
      </c>
      <c r="G1340" s="3">
        <v>0.7333333333333334</v>
      </c>
      <c r="H1340" s="3">
        <v>0.06666666666666667</v>
      </c>
      <c r="I1340" s="3" t="s">
        <v>48</v>
      </c>
      <c r="J1340" s="3" t="s">
        <v>4091</v>
      </c>
      <c r="K1340" s="3" t="s">
        <v>614</v>
      </c>
      <c r="L1340" s="3" t="str">
        <f>IFERROR(__xludf.DUMMYFUNCTION("GOOGLETRANSLATE(F1340,""id"",""en"")"),"Thanks France is the most dramatic and sensational world cup final and has been watched by the population of the earth for a long time to be remembered as the second best team of the team to win there the there loser football")</f>
        <v>Thanks France is the most dramatic and sensational world cup final and has been watched by the population of the earth for a long time to be remembered as the second best team of the team to win there the there loser football</v>
      </c>
    </row>
    <row r="1341" ht="15.75" customHeight="1">
      <c r="A1341" s="1">
        <v>1343.0</v>
      </c>
      <c r="B1341" s="3" t="s">
        <v>4092</v>
      </c>
      <c r="C1341" s="3">
        <v>0.0</v>
      </c>
      <c r="D1341" s="3">
        <v>0.0</v>
      </c>
      <c r="E1341" s="3">
        <v>0.0</v>
      </c>
      <c r="F1341" s="3" t="s">
        <v>4092</v>
      </c>
      <c r="G1341" s="3">
        <v>1.0</v>
      </c>
      <c r="H1341" s="3">
        <v>0.0</v>
      </c>
      <c r="I1341" s="3" t="s">
        <v>13</v>
      </c>
      <c r="J1341" s="3" t="s">
        <v>4093</v>
      </c>
      <c r="K1341" s="3" t="s">
        <v>82</v>
      </c>
      <c r="L1341" s="3" t="str">
        <f>IFERROR(__xludf.DUMMYFUNCTION("GOOGLETRANSLATE(F1341,""id"",""en"")"),"The craziest world cup final I have ever watched")</f>
        <v>The craziest world cup final I have ever watched</v>
      </c>
    </row>
    <row r="1342" ht="15.75" customHeight="1">
      <c r="A1342" s="1">
        <v>1344.0</v>
      </c>
      <c r="B1342" s="3" t="s">
        <v>4094</v>
      </c>
      <c r="C1342" s="3">
        <v>0.0</v>
      </c>
      <c r="D1342" s="3">
        <v>0.0</v>
      </c>
      <c r="E1342" s="3">
        <v>1.0</v>
      </c>
      <c r="F1342" s="3" t="s">
        <v>4095</v>
      </c>
      <c r="G1342" s="3">
        <v>0.6333333333333333</v>
      </c>
      <c r="H1342" s="3">
        <v>0.2</v>
      </c>
      <c r="I1342" s="3" t="s">
        <v>48</v>
      </c>
      <c r="J1342" s="3" t="s">
        <v>4096</v>
      </c>
      <c r="K1342" s="3" t="s">
        <v>90</v>
      </c>
      <c r="L1342" s="3" t="str">
        <f>IFERROR(__xludf.DUMMYFUNCTION("GOOGLETRANSLATE(F1342,""id"",""en"")"),"yes, so the top score of the world cup this year is crazy, there's only a few minutes left even though the mentality of the French team is also great")</f>
        <v>yes, so the top score of the world cup this year is crazy, there's only a few minutes left even though the mentality of the French team is also great</v>
      </c>
    </row>
    <row r="1343" ht="15.75" customHeight="1">
      <c r="A1343" s="1">
        <v>1345.0</v>
      </c>
      <c r="B1343" s="3" t="s">
        <v>4097</v>
      </c>
      <c r="C1343" s="3">
        <v>1.0</v>
      </c>
      <c r="D1343" s="3">
        <v>0.0</v>
      </c>
      <c r="E1343" s="3">
        <v>0.0</v>
      </c>
      <c r="F1343" s="3" t="s">
        <v>4098</v>
      </c>
      <c r="G1343" s="3">
        <v>1.0</v>
      </c>
      <c r="H1343" s="3">
        <v>0.0</v>
      </c>
      <c r="I1343" s="3" t="s">
        <v>13</v>
      </c>
      <c r="J1343" s="3" t="s">
        <v>4099</v>
      </c>
      <c r="K1343" s="3" t="s">
        <v>15</v>
      </c>
      <c r="L1343" s="3" t="str">
        <f>IFERROR(__xludf.DUMMYFUNCTION("GOOGLETRANSLATE(F1343,""id"",""en"")"),"Many Twitter residents of the World Cup Final Final")</f>
        <v>Many Twitter residents of the World Cup Final Final</v>
      </c>
    </row>
    <row r="1344" ht="15.75" customHeight="1">
      <c r="A1344" s="1">
        <v>1346.0</v>
      </c>
      <c r="B1344" s="3" t="s">
        <v>642</v>
      </c>
      <c r="C1344" s="3">
        <v>0.0</v>
      </c>
      <c r="D1344" s="3">
        <v>0.0</v>
      </c>
      <c r="E1344" s="3">
        <v>0.0</v>
      </c>
      <c r="F1344" s="3" t="s">
        <v>642</v>
      </c>
      <c r="G1344" s="3">
        <v>1.0</v>
      </c>
      <c r="H1344" s="3">
        <v>0.0</v>
      </c>
      <c r="I1344" s="3" t="s">
        <v>13</v>
      </c>
      <c r="J1344" s="3" t="s">
        <v>643</v>
      </c>
      <c r="K1344" s="3" t="s">
        <v>644</v>
      </c>
      <c r="L1344" s="3" t="str">
        <f>IFERROR(__xludf.DUMMYFUNCTION("GOOGLETRANSLATE(F1344,""id"",""en"")"),"The World Cup Final was shocked")</f>
        <v>The World Cup Final was shocked</v>
      </c>
    </row>
    <row r="1345" ht="15.75" customHeight="1">
      <c r="A1345" s="1">
        <v>1347.0</v>
      </c>
      <c r="B1345" s="3" t="s">
        <v>2177</v>
      </c>
      <c r="C1345" s="3">
        <v>0.0</v>
      </c>
      <c r="D1345" s="3">
        <v>0.0</v>
      </c>
      <c r="E1345" s="3">
        <v>0.0</v>
      </c>
      <c r="F1345" s="3" t="s">
        <v>2177</v>
      </c>
      <c r="G1345" s="3">
        <v>1.0</v>
      </c>
      <c r="H1345" s="3">
        <v>0.0</v>
      </c>
      <c r="I1345" s="3" t="s">
        <v>13</v>
      </c>
      <c r="J1345" s="3" t="s">
        <v>2178</v>
      </c>
      <c r="K1345" s="3" t="s">
        <v>82</v>
      </c>
      <c r="L1345" s="3" t="str">
        <f>IFERROR(__xludf.DUMMYFUNCTION("GOOGLETRANSLATE(F1345,""id"",""en"")"),"The Best World Cup Final I've ever watched")</f>
        <v>The Best World Cup Final I've ever watched</v>
      </c>
    </row>
    <row r="1346" ht="15.75" customHeight="1">
      <c r="A1346" s="1">
        <v>1348.0</v>
      </c>
      <c r="B1346" s="3" t="s">
        <v>4100</v>
      </c>
      <c r="C1346" s="3">
        <v>0.0</v>
      </c>
      <c r="D1346" s="3">
        <v>0.0</v>
      </c>
      <c r="E1346" s="3">
        <v>0.0</v>
      </c>
      <c r="F1346" s="3" t="s">
        <v>4101</v>
      </c>
      <c r="G1346" s="3">
        <v>1.0</v>
      </c>
      <c r="H1346" s="3">
        <v>0.0</v>
      </c>
      <c r="I1346" s="3" t="s">
        <v>13</v>
      </c>
      <c r="J1346" s="3" t="s">
        <v>4102</v>
      </c>
      <c r="K1346" s="3" t="s">
        <v>82</v>
      </c>
      <c r="L1346" s="3" t="str">
        <f>IFERROR(__xludf.DUMMYFUNCTION("GOOGLETRANSLATE(F1346,""id"",""en"")"),"The Coolest World Cup Final in History")</f>
        <v>The Coolest World Cup Final in History</v>
      </c>
    </row>
    <row r="1347" ht="15.75" customHeight="1">
      <c r="A1347" s="1">
        <v>1349.0</v>
      </c>
      <c r="B1347" s="3" t="s">
        <v>4103</v>
      </c>
      <c r="C1347" s="3">
        <v>5.0</v>
      </c>
      <c r="D1347" s="3">
        <v>51.0</v>
      </c>
      <c r="E1347" s="3">
        <v>318.0</v>
      </c>
      <c r="F1347" s="3" t="s">
        <v>4104</v>
      </c>
      <c r="G1347" s="3">
        <v>0.7</v>
      </c>
      <c r="H1347" s="3">
        <v>-0.2</v>
      </c>
      <c r="I1347" s="3" t="s">
        <v>179</v>
      </c>
      <c r="J1347" s="3" t="s">
        <v>4105</v>
      </c>
      <c r="K1347" s="3" t="s">
        <v>426</v>
      </c>
      <c r="L1347" s="3" t="str">
        <f>IFERROR(__xludf.DUMMYFUNCTION("GOOGLETRANSLATE(F1347,""id"",""en"")"),"The state suffered the defeat of the opening game but still passed the West German World Cup final of the Argentine Italian Spain Champion Swiss Argentina Champion Champion Losing Saudi Arabia What Turnover")</f>
        <v>The state suffered the defeat of the opening game but still passed the West German World Cup final of the Argentine Italian Spain Champion Swiss Argentina Champion Champion Losing Saudi Arabia What Turnover</v>
      </c>
    </row>
    <row r="1348" ht="15.75" customHeight="1">
      <c r="A1348" s="1">
        <v>1350.0</v>
      </c>
      <c r="B1348" s="3" t="s">
        <v>4106</v>
      </c>
      <c r="C1348" s="3">
        <v>0.0</v>
      </c>
      <c r="D1348" s="3">
        <v>0.0</v>
      </c>
      <c r="E1348" s="3">
        <v>0.0</v>
      </c>
      <c r="F1348" s="3" t="s">
        <v>4107</v>
      </c>
      <c r="G1348" s="3">
        <v>1.0</v>
      </c>
      <c r="H1348" s="3">
        <v>0.0</v>
      </c>
      <c r="I1348" s="3" t="s">
        <v>13</v>
      </c>
      <c r="J1348" s="3" t="s">
        <v>4108</v>
      </c>
      <c r="K1348" s="3" t="s">
        <v>491</v>
      </c>
      <c r="L1348" s="3" t="str">
        <f>IFERROR(__xludf.DUMMYFUNCTION("GOOGLETRANSLATE(F1348,""id"",""en"")"),"The Qatar World Cup is the most crazy world cup even from the preliminary to the final of all the matches and many surprises")</f>
        <v>The Qatar World Cup is the most crazy world cup even from the preliminary to the final of all the matches and many surprises</v>
      </c>
    </row>
    <row r="1349" ht="15.75" customHeight="1">
      <c r="A1349" s="1">
        <v>1351.0</v>
      </c>
      <c r="B1349" s="3" t="s">
        <v>4109</v>
      </c>
      <c r="C1349" s="3">
        <v>0.0</v>
      </c>
      <c r="D1349" s="3">
        <v>0.0</v>
      </c>
      <c r="E1349" s="3">
        <v>0.0</v>
      </c>
      <c r="F1349" s="3" t="s">
        <v>4110</v>
      </c>
      <c r="G1349" s="3">
        <v>0.7999999999999999</v>
      </c>
      <c r="H1349" s="3">
        <v>-0.01666666666666667</v>
      </c>
      <c r="I1349" s="3" t="s">
        <v>179</v>
      </c>
      <c r="J1349" s="3" t="s">
        <v>4111</v>
      </c>
      <c r="K1349" s="3" t="s">
        <v>433</v>
      </c>
      <c r="L1349" s="3" t="str">
        <f>IFERROR(__xludf.DUMMYFUNCTION("GOOGLETRANSLATE(F1349,""id"",""en"")"),"While watching the World Cup final from Korea Japan, this final was the most exciting All Nite Long")</f>
        <v>While watching the World Cup final from Korea Japan, this final was the most exciting All Nite Long</v>
      </c>
    </row>
    <row r="1350" ht="15.75" customHeight="1">
      <c r="A1350" s="1">
        <v>1352.0</v>
      </c>
      <c r="B1350" s="3" t="s">
        <v>4112</v>
      </c>
      <c r="C1350" s="3">
        <v>0.0</v>
      </c>
      <c r="D1350" s="3">
        <v>0.0</v>
      </c>
      <c r="E1350" s="3">
        <v>0.0</v>
      </c>
      <c r="F1350" s="3" t="s">
        <v>4113</v>
      </c>
      <c r="G1350" s="3">
        <v>1.0</v>
      </c>
      <c r="H1350" s="3">
        <v>0.0</v>
      </c>
      <c r="I1350" s="3" t="s">
        <v>13</v>
      </c>
      <c r="J1350" s="3" t="s">
        <v>4114</v>
      </c>
      <c r="K1350" s="3" t="s">
        <v>695</v>
      </c>
      <c r="L1350" s="3" t="str">
        <f>IFERROR(__xludf.DUMMYFUNCTION("GOOGLETRANSLATE(F1350,""id"",""en"")"),"Kantun Ngantosan Meme Qatar World Cup Final Abi Leup Heula Watching Lift the Cup of Bari Ngopi Sakantenan Skroll")</f>
        <v>Kantun Ngantosan Meme Qatar World Cup Final Abi Leup Heula Watching Lift the Cup of Bari Ngopi Sakantenan Skroll</v>
      </c>
    </row>
    <row r="1351" ht="15.75" customHeight="1">
      <c r="A1351" s="1">
        <v>1353.0</v>
      </c>
      <c r="B1351" s="3" t="s">
        <v>4115</v>
      </c>
      <c r="C1351" s="3">
        <v>0.0</v>
      </c>
      <c r="D1351" s="3">
        <v>1.0</v>
      </c>
      <c r="E1351" s="3">
        <v>0.0</v>
      </c>
      <c r="F1351" s="3" t="s">
        <v>4116</v>
      </c>
      <c r="G1351" s="3">
        <v>1.0</v>
      </c>
      <c r="H1351" s="3">
        <v>0.0</v>
      </c>
      <c r="I1351" s="3" t="s">
        <v>13</v>
      </c>
      <c r="J1351" s="3" t="s">
        <v>4117</v>
      </c>
      <c r="K1351" s="3" t="s">
        <v>19</v>
      </c>
      <c r="L1351" s="3" t="str">
        <f>IFERROR(__xludf.DUMMYFUNCTION("GOOGLETRANSLATE(F1351,""id"",""en"")"),"Photo gallery of hundreds of fans of the Argentine French World Cup Final Gelora Dunya")</f>
        <v>Photo gallery of hundreds of fans of the Argentine French World Cup Final Gelora Dunya</v>
      </c>
    </row>
    <row r="1352" ht="15.75" customHeight="1">
      <c r="A1352" s="1">
        <v>1354.0</v>
      </c>
      <c r="B1352" s="3" t="s">
        <v>4118</v>
      </c>
      <c r="C1352" s="3">
        <v>0.0</v>
      </c>
      <c r="D1352" s="3">
        <v>0.0</v>
      </c>
      <c r="E1352" s="3">
        <v>0.0</v>
      </c>
      <c r="F1352" s="3" t="s">
        <v>4119</v>
      </c>
      <c r="G1352" s="3">
        <v>1.0</v>
      </c>
      <c r="H1352" s="3">
        <v>0.0</v>
      </c>
      <c r="I1352" s="3" t="s">
        <v>13</v>
      </c>
      <c r="J1352" s="3" t="s">
        <v>4120</v>
      </c>
      <c r="K1352" s="3" t="s">
        <v>19</v>
      </c>
      <c r="L1352" s="3" t="str">
        <f>IFERROR(__xludf.DUMMYFUNCTION("GOOGLETRANSLATE(F1352,""id"",""en"")"),"very exciting Final of the Cok World Cup chase pursuing numbers touched by Messi Champion")</f>
        <v>very exciting Final of the Cok World Cup chase pursuing numbers touched by Messi Champion</v>
      </c>
    </row>
    <row r="1353" ht="15.75" customHeight="1">
      <c r="A1353" s="1">
        <v>1355.0</v>
      </c>
      <c r="B1353" s="3" t="s">
        <v>4121</v>
      </c>
      <c r="C1353" s="3">
        <v>0.0</v>
      </c>
      <c r="D1353" s="3">
        <v>0.0</v>
      </c>
      <c r="E1353" s="3">
        <v>1.0</v>
      </c>
      <c r="F1353" s="3" t="s">
        <v>4122</v>
      </c>
      <c r="G1353" s="3">
        <v>1.0</v>
      </c>
      <c r="H1353" s="3">
        <v>0.0</v>
      </c>
      <c r="I1353" s="3" t="s">
        <v>13</v>
      </c>
      <c r="J1353" s="3" t="s">
        <v>4123</v>
      </c>
      <c r="K1353" s="3" t="s">
        <v>240</v>
      </c>
      <c r="L1353" s="3" t="str">
        <f>IFERROR(__xludf.DUMMYFUNCTION("GOOGLETRANSLATE(F1353,""id"",""en"")"),"maybe mbappe doank the only player printing the world cup final champion's champion is still long, son")</f>
        <v>maybe mbappe doank the only player printing the world cup final champion's champion is still long, son</v>
      </c>
    </row>
    <row r="1354" ht="15.75" customHeight="1">
      <c r="A1354" s="1">
        <v>1356.0</v>
      </c>
      <c r="B1354" s="3" t="s">
        <v>4124</v>
      </c>
      <c r="C1354" s="3">
        <v>0.0</v>
      </c>
      <c r="D1354" s="3">
        <v>0.0</v>
      </c>
      <c r="E1354" s="3">
        <v>0.0</v>
      </c>
      <c r="F1354" s="3" t="s">
        <v>4125</v>
      </c>
      <c r="G1354" s="3">
        <v>1.0</v>
      </c>
      <c r="H1354" s="3">
        <v>0.0</v>
      </c>
      <c r="I1354" s="3" t="s">
        <v>13</v>
      </c>
      <c r="J1354" s="3" t="s">
        <v>4126</v>
      </c>
      <c r="K1354" s="3" t="s">
        <v>58</v>
      </c>
      <c r="L1354" s="3" t="str">
        <f>IFERROR(__xludf.DUMMYFUNCTION("GOOGLETRANSLATE(F1354,""id"",""en"")"),"This original Final Best will forget that career mbape is still long at this time age is ready to fight again world cup")</f>
        <v>This original Final Best will forget that career mbape is still long at this time age is ready to fight again world cup</v>
      </c>
    </row>
    <row r="1355" ht="15.75" customHeight="1">
      <c r="A1355" s="1">
        <v>1357.0</v>
      </c>
      <c r="B1355" s="3" t="s">
        <v>4127</v>
      </c>
      <c r="C1355" s="3">
        <v>0.0</v>
      </c>
      <c r="D1355" s="3">
        <v>0.0</v>
      </c>
      <c r="E1355" s="3">
        <v>0.0</v>
      </c>
      <c r="F1355" s="3" t="s">
        <v>4128</v>
      </c>
      <c r="G1355" s="3">
        <v>1.0</v>
      </c>
      <c r="H1355" s="3">
        <v>0.0</v>
      </c>
      <c r="I1355" s="3" t="s">
        <v>13</v>
      </c>
      <c r="J1355" s="3" t="s">
        <v>4129</v>
      </c>
      <c r="K1355" s="3" t="s">
        <v>50</v>
      </c>
      <c r="L1355" s="3" t="str">
        <f>IFERROR(__xludf.DUMMYFUNCTION("GOOGLETRANSLATE(F1355,""id"",""en"")"),"Who became the best Witness of Life of the World Cup Final of all time, Bang")</f>
        <v>Who became the best Witness of Life of the World Cup Final of all time, Bang</v>
      </c>
    </row>
    <row r="1356" ht="15.75" customHeight="1">
      <c r="A1356" s="1">
        <v>1358.0</v>
      </c>
      <c r="B1356" s="3" t="s">
        <v>4130</v>
      </c>
      <c r="C1356" s="3">
        <v>0.0</v>
      </c>
      <c r="D1356" s="3">
        <v>0.0</v>
      </c>
      <c r="E1356" s="3">
        <v>2.0</v>
      </c>
      <c r="F1356" s="3" t="s">
        <v>4131</v>
      </c>
      <c r="G1356" s="3">
        <v>1.0</v>
      </c>
      <c r="H1356" s="3">
        <v>0.0</v>
      </c>
      <c r="I1356" s="3" t="s">
        <v>13</v>
      </c>
      <c r="J1356" s="3" t="s">
        <v>4132</v>
      </c>
      <c r="K1356" s="3" t="s">
        <v>41</v>
      </c>
      <c r="L1356" s="3" t="str">
        <f>IFERROR(__xludf.DUMMYFUNCTION("GOOGLETRANSLATE(F1356,""id"",""en"")"),"We are a witness to one of the best World Cup finals of all time")</f>
        <v>We are a witness to one of the best World Cup finals of all time</v>
      </c>
    </row>
    <row r="1357" ht="15.75" customHeight="1">
      <c r="A1357" s="1">
        <v>1359.0</v>
      </c>
      <c r="B1357" s="3" t="s">
        <v>4133</v>
      </c>
      <c r="C1357" s="3">
        <v>0.0</v>
      </c>
      <c r="D1357" s="3">
        <v>1.0</v>
      </c>
      <c r="E1357" s="3">
        <v>3.0</v>
      </c>
      <c r="F1357" s="3" t="s">
        <v>4134</v>
      </c>
      <c r="G1357" s="3">
        <v>1.0</v>
      </c>
      <c r="H1357" s="3">
        <v>0.0</v>
      </c>
      <c r="I1357" s="3" t="s">
        <v>13</v>
      </c>
      <c r="J1357" s="3" t="s">
        <v>4135</v>
      </c>
      <c r="K1357" s="3" t="s">
        <v>495</v>
      </c>
      <c r="L1357" s="3" t="str">
        <f>IFERROR(__xludf.DUMMYFUNCTION("GOOGLETRANSLATE(F1357,""id"",""en"")"),"Through a dramatic final match Argentina won the World Cup for the third time with the advantage of France read his Kompas daily review and")</f>
        <v>Through a dramatic final match Argentina won the World Cup for the third time with the advantage of France read his Kompas daily review and</v>
      </c>
    </row>
    <row r="1358" ht="15.75" customHeight="1">
      <c r="A1358" s="1">
        <v>1360.0</v>
      </c>
      <c r="B1358" s="3" t="s">
        <v>4136</v>
      </c>
      <c r="C1358" s="3">
        <v>0.0</v>
      </c>
      <c r="D1358" s="3">
        <v>0.0</v>
      </c>
      <c r="E1358" s="3">
        <v>0.0</v>
      </c>
      <c r="F1358" s="3" t="s">
        <v>4137</v>
      </c>
      <c r="G1358" s="3">
        <v>1.0</v>
      </c>
      <c r="H1358" s="3">
        <v>0.0</v>
      </c>
      <c r="I1358" s="3" t="s">
        <v>13</v>
      </c>
      <c r="J1358" s="3" t="s">
        <v>4138</v>
      </c>
      <c r="K1358" s="3" t="s">
        <v>54</v>
      </c>
      <c r="L1358" s="3" t="str">
        <f>IFERROR(__xludf.DUMMYFUNCTION("GOOGLETRANSLATE(F1358,""id"",""en"")"),"exclaimed the severe World Cup Final this time")</f>
        <v>exclaimed the severe World Cup Final this time</v>
      </c>
    </row>
    <row r="1359" ht="15.75" customHeight="1">
      <c r="A1359" s="1">
        <v>1361.0</v>
      </c>
      <c r="B1359" s="3" t="s">
        <v>4139</v>
      </c>
      <c r="C1359" s="3">
        <v>0.0</v>
      </c>
      <c r="D1359" s="3">
        <v>1.0</v>
      </c>
      <c r="E1359" s="3">
        <v>3.0</v>
      </c>
      <c r="F1359" s="3" t="s">
        <v>4140</v>
      </c>
      <c r="G1359" s="3">
        <v>1.0</v>
      </c>
      <c r="H1359" s="3">
        <v>0.0</v>
      </c>
      <c r="I1359" s="3" t="s">
        <v>13</v>
      </c>
      <c r="J1359" s="3" t="s">
        <v>4141</v>
      </c>
      <c r="K1359" s="3" t="s">
        <v>286</v>
      </c>
      <c r="L1359" s="3" t="str">
        <f>IFERROR(__xludf.DUMMYFUNCTION("GOOGLETRANSLATE(F1359,""id"",""en"")"),"Argentina was finally able to defeat France through a penalty shootout and successfully become the champion of the Final World Cup which was very exciting full of drama and many goals survived for Argentina")</f>
        <v>Argentina was finally able to defeat France through a penalty shootout and successfully become the champion of the Final World Cup which was very exciting full of drama and many goals survived for Argentina</v>
      </c>
    </row>
    <row r="1360" ht="15.75" customHeight="1">
      <c r="A1360" s="1">
        <v>1362.0</v>
      </c>
      <c r="B1360" s="3" t="s">
        <v>4142</v>
      </c>
      <c r="C1360" s="3">
        <v>0.0</v>
      </c>
      <c r="D1360" s="3">
        <v>5.0</v>
      </c>
      <c r="E1360" s="3">
        <v>17.0</v>
      </c>
      <c r="F1360" s="3" t="s">
        <v>4143</v>
      </c>
      <c r="G1360" s="3">
        <v>1.0</v>
      </c>
      <c r="H1360" s="3">
        <v>0.0</v>
      </c>
      <c r="I1360" s="3" t="s">
        <v>13</v>
      </c>
      <c r="J1360" s="3" t="s">
        <v>4144</v>
      </c>
      <c r="K1360" s="3" t="s">
        <v>50</v>
      </c>
      <c r="L1360" s="3" t="str">
        <f>IFERROR(__xludf.DUMMYFUNCTION("GOOGLETRANSLATE(F1360,""id"",""en"")"),"Argentina won the World Cup final match after a penalty shootout over France")</f>
        <v>Argentina won the World Cup final match after a penalty shootout over France</v>
      </c>
    </row>
    <row r="1361" ht="15.75" customHeight="1">
      <c r="A1361" s="1">
        <v>1363.0</v>
      </c>
      <c r="B1361" s="3" t="s">
        <v>4145</v>
      </c>
      <c r="C1361" s="3">
        <v>0.0</v>
      </c>
      <c r="D1361" s="3">
        <v>0.0</v>
      </c>
      <c r="E1361" s="3">
        <v>9.0</v>
      </c>
      <c r="F1361" s="3" t="s">
        <v>4140</v>
      </c>
      <c r="G1361" s="3">
        <v>1.0</v>
      </c>
      <c r="H1361" s="3">
        <v>0.0</v>
      </c>
      <c r="I1361" s="3" t="s">
        <v>13</v>
      </c>
      <c r="J1361" s="3" t="s">
        <v>4141</v>
      </c>
      <c r="K1361" s="3" t="s">
        <v>286</v>
      </c>
      <c r="L1361" s="3" t="str">
        <f>IFERROR(__xludf.DUMMYFUNCTION("GOOGLETRANSLATE(F1361,""id"",""en"")"),"Argentina was finally able to defeat France through a penalty shootout and successfully become the champion of the Final World Cup which was very exciting full of drama and many goals survived for Argentina")</f>
        <v>Argentina was finally able to defeat France through a penalty shootout and successfully become the champion of the Final World Cup which was very exciting full of drama and many goals survived for Argentina</v>
      </c>
    </row>
    <row r="1362" ht="15.75" customHeight="1">
      <c r="A1362" s="1">
        <v>1364.0</v>
      </c>
      <c r="B1362" s="3" t="s">
        <v>4146</v>
      </c>
      <c r="C1362" s="3">
        <v>1.0</v>
      </c>
      <c r="D1362" s="3">
        <v>0.0</v>
      </c>
      <c r="E1362" s="3">
        <v>2.0</v>
      </c>
      <c r="F1362" s="3" t="s">
        <v>4147</v>
      </c>
      <c r="G1362" s="3">
        <v>1.0</v>
      </c>
      <c r="H1362" s="3">
        <v>0.0</v>
      </c>
      <c r="I1362" s="3" t="s">
        <v>13</v>
      </c>
      <c r="J1362" s="3" t="s">
        <v>4148</v>
      </c>
      <c r="K1362" s="3" t="s">
        <v>50</v>
      </c>
      <c r="L1362" s="3" t="str">
        <f>IFERROR(__xludf.DUMMYFUNCTION("GOOGLETRANSLATE(F1362,""id"",""en"")"),"Crazy and Dramatic Final finally Messi won the World Cup title")</f>
        <v>Crazy and Dramatic Final finally Messi won the World Cup title</v>
      </c>
    </row>
    <row r="1363" ht="15.75" customHeight="1">
      <c r="A1363" s="1">
        <v>1365.0</v>
      </c>
      <c r="B1363" s="3" t="s">
        <v>4149</v>
      </c>
      <c r="C1363" s="3">
        <v>0.0</v>
      </c>
      <c r="D1363" s="3">
        <v>0.0</v>
      </c>
      <c r="E1363" s="3">
        <v>0.0</v>
      </c>
      <c r="F1363" s="3" t="s">
        <v>4150</v>
      </c>
      <c r="G1363" s="3">
        <v>1.0</v>
      </c>
      <c r="H1363" s="3">
        <v>0.0</v>
      </c>
      <c r="I1363" s="3" t="s">
        <v>13</v>
      </c>
      <c r="J1363" s="3" t="s">
        <v>4151</v>
      </c>
      <c r="K1363" s="3" t="s">
        <v>54</v>
      </c>
      <c r="L1363" s="3" t="str">
        <f>IFERROR(__xludf.DUMMYFUNCTION("GOOGLETRANSLATE(F1363,""id"",""en"")"),"One of the World Cup Finals was shocked")</f>
        <v>One of the World Cup Finals was shocked</v>
      </c>
    </row>
    <row r="1364" ht="15.75" customHeight="1">
      <c r="A1364" s="1">
        <v>1366.0</v>
      </c>
      <c r="B1364" s="3" t="s">
        <v>4152</v>
      </c>
      <c r="C1364" s="3">
        <v>0.0</v>
      </c>
      <c r="D1364" s="3">
        <v>0.0</v>
      </c>
      <c r="E1364" s="3">
        <v>0.0</v>
      </c>
      <c r="F1364" s="3" t="s">
        <v>4153</v>
      </c>
      <c r="G1364" s="3">
        <v>1.0</v>
      </c>
      <c r="H1364" s="3">
        <v>0.0</v>
      </c>
      <c r="I1364" s="3" t="s">
        <v>13</v>
      </c>
      <c r="J1364" s="3" t="s">
        <v>4154</v>
      </c>
      <c r="K1364" s="3" t="s">
        <v>437</v>
      </c>
      <c r="L1364" s="3" t="str">
        <f>IFERROR(__xludf.DUMMYFUNCTION("GOOGLETRANSLATE(F1364,""id"",""en"")"),"Gokill really feels the final survivors for Messi et al but Mbappe is less cool to get the World Cup Final Hatrick Uhuyy")</f>
        <v>Gokill really feels the final survivors for Messi et al but Mbappe is less cool to get the World Cup Final Hatrick Uhuyy</v>
      </c>
    </row>
    <row r="1365" ht="15.75" customHeight="1">
      <c r="A1365" s="1">
        <v>1367.0</v>
      </c>
      <c r="B1365" s="3" t="s">
        <v>4155</v>
      </c>
      <c r="C1365" s="3">
        <v>0.0</v>
      </c>
      <c r="D1365" s="3">
        <v>0.0</v>
      </c>
      <c r="E1365" s="3">
        <v>0.0</v>
      </c>
      <c r="F1365" s="3" t="s">
        <v>4156</v>
      </c>
      <c r="G1365" s="3">
        <v>1.0</v>
      </c>
      <c r="H1365" s="3">
        <v>0.0</v>
      </c>
      <c r="I1365" s="3" t="s">
        <v>13</v>
      </c>
      <c r="J1365" s="3" t="s">
        <v>4157</v>
      </c>
      <c r="K1365" s="3" t="s">
        <v>50</v>
      </c>
      <c r="L1365" s="3" t="str">
        <f>IFERROR(__xludf.DUMMYFUNCTION("GOOGLETRANSLATE(F1365,""id"",""en"")"),"Kylian Mbappe's Revenge Moment Sumbang Two French Goals Argentina World Cup Final")</f>
        <v>Kylian Mbappe's Revenge Moment Sumbang Two French Goals Argentina World Cup Final</v>
      </c>
    </row>
    <row r="1366" ht="15.75" customHeight="1">
      <c r="A1366" s="1">
        <v>1368.0</v>
      </c>
      <c r="B1366" s="3" t="s">
        <v>4158</v>
      </c>
      <c r="C1366" s="3">
        <v>0.0</v>
      </c>
      <c r="D1366" s="3">
        <v>0.0</v>
      </c>
      <c r="E1366" s="3">
        <v>0.0</v>
      </c>
      <c r="F1366" s="3" t="s">
        <v>4159</v>
      </c>
      <c r="G1366" s="3">
        <v>0.5</v>
      </c>
      <c r="H1366" s="3">
        <v>0.0</v>
      </c>
      <c r="I1366" s="3" t="s">
        <v>13</v>
      </c>
      <c r="J1366" s="3" t="s">
        <v>4160</v>
      </c>
      <c r="K1366" s="3" t="s">
        <v>54</v>
      </c>
      <c r="L1366" s="3" t="str">
        <f>IFERROR(__xludf.DUMMYFUNCTION("GOOGLETRANSLATE(F1366,""id"",""en"")"),"The original World Cup Final was exclaimed by historical")</f>
        <v>The original World Cup Final was exclaimed by historical</v>
      </c>
    </row>
    <row r="1367" ht="15.75" customHeight="1">
      <c r="A1367" s="1">
        <v>1369.0</v>
      </c>
      <c r="B1367" s="3" t="s">
        <v>4161</v>
      </c>
      <c r="C1367" s="3">
        <v>0.0</v>
      </c>
      <c r="D1367" s="3">
        <v>4.0</v>
      </c>
      <c r="E1367" s="3">
        <v>21.0</v>
      </c>
      <c r="F1367" s="3" t="s">
        <v>4162</v>
      </c>
      <c r="G1367" s="3">
        <v>0.5</v>
      </c>
      <c r="H1367" s="3">
        <v>0.0</v>
      </c>
      <c r="I1367" s="3" t="s">
        <v>13</v>
      </c>
      <c r="J1367" s="3" t="s">
        <v>4163</v>
      </c>
      <c r="K1367" s="3" t="s">
        <v>2013</v>
      </c>
      <c r="L1367" s="3" t="str">
        <f>IFERROR(__xludf.DUMMYFUNCTION("GOOGLETRANSLATE(F1367,""id"",""en"")"),"Messi Best and Complete His Journey But the World Cup Final Mbappe Bintang he will be next Messi someday the trip Mbappe is still long let this year Messi and Argentina https")</f>
        <v>Messi Best and Complete His Journey But the World Cup Final Mbappe Bintang he will be next Messi someday the trip Mbappe is still long let this year Messi and Argentina https</v>
      </c>
    </row>
    <row r="1368" ht="15.75" customHeight="1">
      <c r="A1368" s="1">
        <v>1370.0</v>
      </c>
      <c r="B1368" s="3" t="s">
        <v>4164</v>
      </c>
      <c r="C1368" s="3">
        <v>0.0</v>
      </c>
      <c r="D1368" s="3">
        <v>0.0</v>
      </c>
      <c r="E1368" s="3">
        <v>124.0</v>
      </c>
      <c r="F1368" s="3" t="s">
        <v>4165</v>
      </c>
      <c r="G1368" s="3">
        <v>1.0</v>
      </c>
      <c r="H1368" s="3">
        <v>0.0</v>
      </c>
      <c r="I1368" s="3" t="s">
        <v>13</v>
      </c>
      <c r="J1368" s="3" t="s">
        <v>4166</v>
      </c>
      <c r="K1368" s="3" t="s">
        <v>82</v>
      </c>
      <c r="L1368" s="3" t="str">
        <f>IFERROR(__xludf.DUMMYFUNCTION("GOOGLETRANSLATE(F1368,""id"",""en"")"),"The best young player in the final world cup")</f>
        <v>The best young player in the final world cup</v>
      </c>
    </row>
    <row r="1369" ht="15.75" customHeight="1">
      <c r="A1369" s="1">
        <v>1371.0</v>
      </c>
      <c r="B1369" s="3" t="s">
        <v>4167</v>
      </c>
      <c r="C1369" s="3">
        <v>1.0</v>
      </c>
      <c r="D1369" s="3">
        <v>0.0</v>
      </c>
      <c r="E1369" s="3">
        <v>0.0</v>
      </c>
      <c r="F1369" s="3" t="s">
        <v>4168</v>
      </c>
      <c r="G1369" s="3">
        <v>1.0</v>
      </c>
      <c r="H1369" s="3">
        <v>0.0</v>
      </c>
      <c r="I1369" s="3" t="s">
        <v>13</v>
      </c>
      <c r="J1369" s="3" t="s">
        <v>4169</v>
      </c>
      <c r="K1369" s="3" t="s">
        <v>477</v>
      </c>
      <c r="L1369" s="3" t="str">
        <f>IFERROR(__xludf.DUMMYFUNCTION("GOOGLETRANSLATE(F1369,""id"",""en"")"),"The best final from the best World Cup even without Italy, thank you")</f>
        <v>The best final from the best World Cup even without Italy, thank you</v>
      </c>
    </row>
    <row r="1370" ht="15.75" customHeight="1">
      <c r="A1370" s="1">
        <v>1372.0</v>
      </c>
      <c r="B1370" s="3" t="s">
        <v>4170</v>
      </c>
      <c r="C1370" s="3">
        <v>0.0</v>
      </c>
      <c r="D1370" s="3">
        <v>0.0</v>
      </c>
      <c r="E1370" s="3">
        <v>1.0</v>
      </c>
      <c r="F1370" s="3" t="s">
        <v>4171</v>
      </c>
      <c r="G1370" s="3">
        <v>1.0</v>
      </c>
      <c r="H1370" s="3">
        <v>0.0</v>
      </c>
      <c r="I1370" s="3" t="s">
        <v>13</v>
      </c>
      <c r="J1370" s="3" t="s">
        <v>4172</v>
      </c>
      <c r="K1370" s="3" t="s">
        <v>437</v>
      </c>
      <c r="L1370" s="3" t="str">
        <f>IFERROR(__xludf.DUMMYFUNCTION("GOOGLETRANSLATE(F1370,""id"",""en"")"),"memories of the hashtag that is being viral Twitter related to the Qatar World Cup final match between the Argentine national team French national team")</f>
        <v>memories of the hashtag that is being viral Twitter related to the Qatar World Cup final match between the Argentine national team French national team</v>
      </c>
    </row>
    <row r="1371" ht="15.75" customHeight="1">
      <c r="A1371" s="1">
        <v>1373.0</v>
      </c>
      <c r="B1371" s="3" t="s">
        <v>4173</v>
      </c>
      <c r="C1371" s="3">
        <v>0.0</v>
      </c>
      <c r="D1371" s="3">
        <v>0.0</v>
      </c>
      <c r="E1371" s="3">
        <v>0.0</v>
      </c>
      <c r="F1371" s="3" t="s">
        <v>4174</v>
      </c>
      <c r="G1371" s="3">
        <v>1.0</v>
      </c>
      <c r="H1371" s="3">
        <v>0.0</v>
      </c>
      <c r="I1371" s="3" t="s">
        <v>13</v>
      </c>
      <c r="J1371" s="3" t="s">
        <v>4175</v>
      </c>
      <c r="K1371" s="3" t="s">
        <v>15</v>
      </c>
      <c r="L1371" s="3" t="str">
        <f>IFERROR(__xludf.DUMMYFUNCTION("GOOGLETRANSLATE(F1371,""id"",""en"")"),"The final was shouted by the World Cup which was said to be the most boring")</f>
        <v>The final was shouted by the World Cup which was said to be the most boring</v>
      </c>
    </row>
    <row r="1372" ht="15.75" customHeight="1">
      <c r="A1372" s="1">
        <v>1374.0</v>
      </c>
      <c r="B1372" s="3" t="s">
        <v>4176</v>
      </c>
      <c r="C1372" s="3">
        <v>0.0</v>
      </c>
      <c r="D1372" s="3">
        <v>0.0</v>
      </c>
      <c r="E1372" s="3">
        <v>0.0</v>
      </c>
      <c r="F1372" s="3" t="s">
        <v>4177</v>
      </c>
      <c r="G1372" s="3">
        <v>0.65</v>
      </c>
      <c r="H1372" s="3">
        <v>0.5</v>
      </c>
      <c r="I1372" s="3" t="s">
        <v>48</v>
      </c>
      <c r="J1372" s="3" t="s">
        <v>4178</v>
      </c>
      <c r="K1372" s="3" t="s">
        <v>15</v>
      </c>
      <c r="L1372" s="3" t="str">
        <f>IFERROR(__xludf.DUMMYFUNCTION("GOOGLETRANSLATE(F1372,""id"",""en"")"),"The Most Best World Cup throughout Grouping to Final")</f>
        <v>The Most Best World Cup throughout Grouping to Final</v>
      </c>
    </row>
    <row r="1373" ht="15.75" customHeight="1">
      <c r="A1373" s="1">
        <v>1375.0</v>
      </c>
      <c r="B1373" s="3" t="s">
        <v>4179</v>
      </c>
      <c r="C1373" s="3">
        <v>0.0</v>
      </c>
      <c r="D1373" s="3">
        <v>0.0</v>
      </c>
      <c r="E1373" s="3">
        <v>0.0</v>
      </c>
      <c r="F1373" s="3" t="s">
        <v>4180</v>
      </c>
      <c r="G1373" s="3">
        <v>1.0</v>
      </c>
      <c r="H1373" s="3">
        <v>0.0</v>
      </c>
      <c r="I1373" s="3" t="s">
        <v>13</v>
      </c>
      <c r="J1373" s="3" t="s">
        <v>4181</v>
      </c>
      <c r="K1373" s="3" t="s">
        <v>433</v>
      </c>
      <c r="L1373" s="3" t="str">
        <f>IFERROR(__xludf.DUMMYFUNCTION("GOOGLETRANSLATE(F1373,""id"",""en"")"),"Lautaro Martinez and Argentina over the fantastic Qatari Qatari world champion until the World Cup met again in the year")</f>
        <v>Lautaro Martinez and Argentina over the fantastic Qatari Qatari world champion until the World Cup met again in the year</v>
      </c>
    </row>
    <row r="1374" ht="15.75" customHeight="1">
      <c r="A1374" s="1">
        <v>1376.0</v>
      </c>
      <c r="B1374" s="3" t="s">
        <v>4182</v>
      </c>
      <c r="C1374" s="3">
        <v>0.0</v>
      </c>
      <c r="D1374" s="3">
        <v>0.0</v>
      </c>
      <c r="E1374" s="3">
        <v>0.0</v>
      </c>
      <c r="F1374" s="3" t="s">
        <v>4183</v>
      </c>
      <c r="G1374" s="3">
        <v>1.0</v>
      </c>
      <c r="H1374" s="3">
        <v>0.0</v>
      </c>
      <c r="I1374" s="3" t="s">
        <v>13</v>
      </c>
      <c r="J1374" s="3" t="s">
        <v>4184</v>
      </c>
      <c r="K1374" s="3" t="s">
        <v>31</v>
      </c>
      <c r="L1374" s="3" t="str">
        <f>IFERROR(__xludf.DUMMYFUNCTION("GOOGLETRANSLATE(F1374,""id"",""en"")"),"The World Cup Final is really drained")</f>
        <v>The World Cup Final is really drained</v>
      </c>
    </row>
    <row r="1375" ht="15.75" customHeight="1">
      <c r="A1375" s="1">
        <v>1377.0</v>
      </c>
      <c r="B1375" s="3" t="s">
        <v>4185</v>
      </c>
      <c r="C1375" s="3">
        <v>0.0</v>
      </c>
      <c r="D1375" s="3">
        <v>0.0</v>
      </c>
      <c r="E1375" s="3">
        <v>0.0</v>
      </c>
      <c r="F1375" s="3" t="s">
        <v>4186</v>
      </c>
      <c r="G1375" s="3">
        <v>1.0</v>
      </c>
      <c r="H1375" s="3">
        <v>0.0</v>
      </c>
      <c r="I1375" s="3" t="s">
        <v>13</v>
      </c>
      <c r="J1375" s="3" t="s">
        <v>4187</v>
      </c>
      <c r="K1375" s="3" t="s">
        <v>71</v>
      </c>
      <c r="L1375" s="3" t="str">
        <f>IFERROR(__xludf.DUMMYFUNCTION("GOOGLETRANSLATE(F1375,""id"",""en"")"),"lost penalties, but it's still the exciting of the World Cup Final this time thank you France")</f>
        <v>lost penalties, but it's still the exciting of the World Cup Final this time thank you France</v>
      </c>
    </row>
    <row r="1376" ht="15.75" customHeight="1">
      <c r="A1376" s="1">
        <v>1378.0</v>
      </c>
      <c r="B1376" s="3" t="s">
        <v>4188</v>
      </c>
      <c r="C1376" s="3">
        <v>1.0</v>
      </c>
      <c r="D1376" s="3">
        <v>0.0</v>
      </c>
      <c r="E1376" s="3">
        <v>0.0</v>
      </c>
      <c r="F1376" s="3" t="s">
        <v>4189</v>
      </c>
      <c r="G1376" s="3">
        <v>1.0</v>
      </c>
      <c r="H1376" s="3">
        <v>0.0</v>
      </c>
      <c r="I1376" s="3" t="s">
        <v>13</v>
      </c>
      <c r="J1376" s="3" t="s">
        <v>4190</v>
      </c>
      <c r="K1376" s="3" t="s">
        <v>90</v>
      </c>
      <c r="L1376" s="3" t="str">
        <f>IFERROR(__xludf.DUMMYFUNCTION("GOOGLETRANSLATE(F1376,""id"",""en"")"),"Record today Monday December Final of the Most Josss History of the History Records Messi The Reall Goattt Lebay Affairs of Winning")</f>
        <v>Record today Monday December Final of the Most Josss History of the History Records Messi The Reall Goattt Lebay Affairs of Winning</v>
      </c>
    </row>
    <row r="1377" ht="15.75" customHeight="1">
      <c r="A1377" s="1">
        <v>1379.0</v>
      </c>
      <c r="B1377" s="3" t="s">
        <v>4191</v>
      </c>
      <c r="C1377" s="3">
        <v>0.0</v>
      </c>
      <c r="D1377" s="3">
        <v>0.0</v>
      </c>
      <c r="E1377" s="3">
        <v>0.0</v>
      </c>
      <c r="F1377" s="3" t="s">
        <v>4192</v>
      </c>
      <c r="G1377" s="3">
        <v>1.0</v>
      </c>
      <c r="H1377" s="3">
        <v>0.0</v>
      </c>
      <c r="I1377" s="3" t="s">
        <v>13</v>
      </c>
      <c r="J1377" s="3" t="s">
        <v>4193</v>
      </c>
      <c r="K1377" s="3" t="s">
        <v>75</v>
      </c>
      <c r="L1377" s="3" t="str">
        <f>IFERROR(__xludf.DUMMYFUNCTION("GOOGLETRANSLATE(F1377,""id"",""en"")"),"The car is full of the World Cup Final Broadcast Sound Anjwkw")</f>
        <v>The car is full of the World Cup Final Broadcast Sound Anjwkw</v>
      </c>
    </row>
    <row r="1378" ht="15.75" customHeight="1">
      <c r="A1378" s="1">
        <v>1380.0</v>
      </c>
      <c r="B1378" s="3" t="s">
        <v>4194</v>
      </c>
      <c r="C1378" s="3">
        <v>0.0</v>
      </c>
      <c r="D1378" s="3">
        <v>0.0</v>
      </c>
      <c r="E1378" s="3">
        <v>0.0</v>
      </c>
      <c r="F1378" s="3" t="s">
        <v>4195</v>
      </c>
      <c r="G1378" s="3">
        <v>1.0</v>
      </c>
      <c r="H1378" s="3">
        <v>0.0</v>
      </c>
      <c r="I1378" s="3" t="s">
        <v>13</v>
      </c>
      <c r="J1378" s="3" t="s">
        <v>4196</v>
      </c>
      <c r="K1378" s="3" t="s">
        <v>1293</v>
      </c>
      <c r="L1378" s="3" t="str">
        <f>IFERROR(__xludf.DUMMYFUNCTION("GOOGLETRANSLATE(F1378,""id"",""en"")"),"Kylian Mbappe World Cup Golden Shoe Winner After Breaking Argentina goalkeeper Final What Final Penalty")</f>
        <v>Kylian Mbappe World Cup Golden Shoe Winner After Breaking Argentina goalkeeper Final What Final Penalty</v>
      </c>
    </row>
    <row r="1379" ht="15.75" customHeight="1">
      <c r="A1379" s="1">
        <v>1381.0</v>
      </c>
      <c r="B1379" s="3" t="s">
        <v>4197</v>
      </c>
      <c r="C1379" s="3">
        <v>9.0</v>
      </c>
      <c r="D1379" s="3">
        <v>34.0</v>
      </c>
      <c r="E1379" s="3">
        <v>246.0</v>
      </c>
      <c r="F1379" s="3" t="s">
        <v>4198</v>
      </c>
      <c r="G1379" s="3">
        <v>1.0</v>
      </c>
      <c r="H1379" s="3">
        <v>0.0</v>
      </c>
      <c r="I1379" s="3" t="s">
        <v>13</v>
      </c>
      <c r="J1379" s="3" t="s">
        <v>4199</v>
      </c>
      <c r="K1379" s="3" t="s">
        <v>358</v>
      </c>
      <c r="L1379" s="3" t="str">
        <f>IFERROR(__xludf.DUMMYFUNCTION("GOOGLETRANSLATE(F1379,""id"",""en"")"),"regret up until the morning time of Japan is the best world cup final for life I have watched once again the best final")</f>
        <v>regret up until the morning time of Japan is the best world cup final for life I have watched once again the best final</v>
      </c>
    </row>
    <row r="1380" ht="15.75" customHeight="1">
      <c r="A1380" s="1">
        <v>1382.0</v>
      </c>
      <c r="B1380" s="3" t="s">
        <v>4200</v>
      </c>
      <c r="C1380" s="3">
        <v>0.0</v>
      </c>
      <c r="D1380" s="3">
        <v>0.0</v>
      </c>
      <c r="E1380" s="3">
        <v>0.0</v>
      </c>
      <c r="F1380" s="3" t="s">
        <v>4201</v>
      </c>
      <c r="G1380" s="3">
        <v>1.0</v>
      </c>
      <c r="H1380" s="3">
        <v>0.0</v>
      </c>
      <c r="I1380" s="3" t="s">
        <v>13</v>
      </c>
      <c r="J1380" s="3" t="s">
        <v>4202</v>
      </c>
      <c r="K1380" s="3" t="s">
        <v>3882</v>
      </c>
      <c r="L1380" s="3" t="str">
        <f>IFERROR(__xludf.DUMMYFUNCTION("GOOGLETRANSLATE(F1380,""id"",""en"")"),"From the first time I followed the World Cup because I was too interested except watching this Milan followed but how much it was just when the group stage passed the Lolsan with the knockout phase until the final was in the Final")</f>
        <v>From the first time I followed the World Cup because I was too interested except watching this Milan followed but how much it was just when the group stage passed the Lolsan with the knockout phase until the final was in the Final</v>
      </c>
    </row>
    <row r="1381" ht="15.75" customHeight="1">
      <c r="A1381" s="1">
        <v>1383.0</v>
      </c>
      <c r="B1381" s="3" t="s">
        <v>4203</v>
      </c>
      <c r="C1381" s="3">
        <v>0.0</v>
      </c>
      <c r="D1381" s="3">
        <v>0.0</v>
      </c>
      <c r="E1381" s="3">
        <v>0.0</v>
      </c>
      <c r="F1381" s="3" t="s">
        <v>4204</v>
      </c>
      <c r="G1381" s="3">
        <v>0.75</v>
      </c>
      <c r="H1381" s="3">
        <v>0.25</v>
      </c>
      <c r="I1381" s="3" t="s">
        <v>48</v>
      </c>
      <c r="J1381" s="3" t="s">
        <v>4205</v>
      </c>
      <c r="K1381" s="3" t="s">
        <v>899</v>
      </c>
      <c r="L1381" s="3" t="str">
        <f>IFERROR(__xludf.DUMMYFUNCTION("GOOGLETRANSLATE(F1381,""id"",""en"")"),"Lionel Messi finally won his first World Cup trophy after Argentina managed to come out as the World Cup champion after defeating the French French champion which took place Lusail Iconic Stadium Sunday through a penalty shootout")</f>
        <v>Lionel Messi finally won his first World Cup trophy after Argentina managed to come out as the World Cup champion after defeating the French French champion which took place Lusail Iconic Stadium Sunday through a penalty shootout</v>
      </c>
    </row>
    <row r="1382" ht="15.75" customHeight="1">
      <c r="A1382" s="1">
        <v>1384.0</v>
      </c>
      <c r="B1382" s="3" t="s">
        <v>4206</v>
      </c>
      <c r="C1382" s="3">
        <v>0.0</v>
      </c>
      <c r="D1382" s="3">
        <v>0.0</v>
      </c>
      <c r="E1382" s="3">
        <v>0.0</v>
      </c>
      <c r="F1382" s="3" t="s">
        <v>4207</v>
      </c>
      <c r="G1382" s="3">
        <v>1.0</v>
      </c>
      <c r="H1382" s="3">
        <v>0.0</v>
      </c>
      <c r="I1382" s="3" t="s">
        <v>13</v>
      </c>
      <c r="J1382" s="3" t="s">
        <v>4208</v>
      </c>
      <c r="K1382" s="3" t="s">
        <v>54</v>
      </c>
      <c r="L1382" s="3" t="str">
        <f>IFERROR(__xludf.DUMMYFUNCTION("GOOGLETRANSLATE(F1382,""id"",""en"")"),"The Final Cup of the Locused World Cup ever watched")</f>
        <v>The Final Cup of the Locused World Cup ever watched</v>
      </c>
    </row>
    <row r="1383" ht="15.75" customHeight="1">
      <c r="A1383" s="1">
        <v>1385.0</v>
      </c>
      <c r="B1383" s="3" t="s">
        <v>4209</v>
      </c>
      <c r="C1383" s="3">
        <v>0.0</v>
      </c>
      <c r="D1383" s="3">
        <v>0.0</v>
      </c>
      <c r="E1383" s="3">
        <v>0.0</v>
      </c>
      <c r="F1383" s="3" t="s">
        <v>4210</v>
      </c>
      <c r="G1383" s="3">
        <v>1.0</v>
      </c>
      <c r="H1383" s="3">
        <v>0.0</v>
      </c>
      <c r="I1383" s="3" t="s">
        <v>13</v>
      </c>
      <c r="J1383" s="3" t="s">
        <v>4211</v>
      </c>
      <c r="K1383" s="3" t="s">
        <v>1345</v>
      </c>
      <c r="L1383" s="3" t="str">
        <f>IFERROR(__xludf.DUMMYFUNCTION("GOOGLETRANSLATE(F1383,""id"",""en"")"),"The best final of the World Cup and even the best final of all the finals ever watched anjir")</f>
        <v>The best final of the World Cup and even the best final of all the finals ever watched anjir</v>
      </c>
    </row>
    <row r="1384" ht="15.75" customHeight="1">
      <c r="A1384" s="1">
        <v>1386.0</v>
      </c>
      <c r="B1384" s="3" t="s">
        <v>4212</v>
      </c>
      <c r="C1384" s="3">
        <v>1.0</v>
      </c>
      <c r="D1384" s="3">
        <v>4.0</v>
      </c>
      <c r="E1384" s="3">
        <v>11.0</v>
      </c>
      <c r="F1384" s="3" t="s">
        <v>4213</v>
      </c>
      <c r="G1384" s="3">
        <v>1.0</v>
      </c>
      <c r="H1384" s="3">
        <v>0.0</v>
      </c>
      <c r="I1384" s="3" t="s">
        <v>13</v>
      </c>
      <c r="J1384" s="3" t="s">
        <v>4214</v>
      </c>
      <c r="K1384" s="3" t="s">
        <v>1925</v>
      </c>
      <c r="L1384" s="3" t="str">
        <f>IFERROR(__xludf.DUMMYFUNCTION("GOOGLETRANSLATE(F1384,""id"",""en"")"),"Minute Play Record of the World Cup Final match which lasts until the minute also makes Lionel Messi as the player with the most minutes playing in the history of the World Cup minute")</f>
        <v>Minute Play Record of the World Cup Final match which lasts until the minute also makes Lionel Messi as the player with the most minutes playing in the history of the World Cup minute</v>
      </c>
    </row>
    <row r="1385" ht="15.75" customHeight="1">
      <c r="A1385" s="1">
        <v>1387.0</v>
      </c>
      <c r="B1385" s="3" t="s">
        <v>4215</v>
      </c>
      <c r="C1385" s="3">
        <v>1.0</v>
      </c>
      <c r="D1385" s="3">
        <v>0.0</v>
      </c>
      <c r="E1385" s="3">
        <v>0.0</v>
      </c>
      <c r="F1385" s="3" t="s">
        <v>4216</v>
      </c>
      <c r="G1385" s="3">
        <v>1.0</v>
      </c>
      <c r="H1385" s="3">
        <v>0.0</v>
      </c>
      <c r="I1385" s="3" t="s">
        <v>13</v>
      </c>
      <c r="J1385" s="3" t="s">
        <v>4217</v>
      </c>
      <c r="K1385" s="3" t="s">
        <v>75</v>
      </c>
      <c r="L1385" s="3" t="str">
        <f>IFERROR(__xludf.DUMMYFUNCTION("GOOGLETRANSLATE(F1385,""id"",""en"")"),"Watch the World Cup Final until this hour fortunately tomorrow Liboorr")</f>
        <v>Watch the World Cup Final until this hour fortunately tomorrow Liboorr</v>
      </c>
    </row>
    <row r="1386" ht="15.75" customHeight="1">
      <c r="A1386" s="1">
        <v>1388.0</v>
      </c>
      <c r="B1386" s="3" t="s">
        <v>4218</v>
      </c>
      <c r="C1386" s="3">
        <v>0.0</v>
      </c>
      <c r="D1386" s="3">
        <v>0.0</v>
      </c>
      <c r="E1386" s="3">
        <v>1.0</v>
      </c>
      <c r="F1386" s="3" t="s">
        <v>4219</v>
      </c>
      <c r="G1386" s="3">
        <v>1.0</v>
      </c>
      <c r="H1386" s="3">
        <v>0.0</v>
      </c>
      <c r="I1386" s="3" t="s">
        <v>13</v>
      </c>
      <c r="J1386" s="3" t="s">
        <v>4220</v>
      </c>
      <c r="K1386" s="3" t="s">
        <v>374</v>
      </c>
      <c r="L1386" s="3" t="str">
        <f>IFERROR(__xludf.DUMMYFUNCTION("GOOGLETRANSLATE(F1386,""id"",""en"")"),"Albiceleste Emotions Argentina fans since the World Cup knows how much disappointment loses a big tournament including the Copa America losing the final pildun and lost the final Copa America, the last year")</f>
        <v>Albiceleste Emotions Argentina fans since the World Cup knows how much disappointment loses a big tournament including the Copa America losing the final pildun and lost the final Copa America, the last year</v>
      </c>
    </row>
    <row r="1387" ht="15.75" customHeight="1">
      <c r="A1387" s="1">
        <v>1389.0</v>
      </c>
      <c r="B1387" s="3" t="s">
        <v>4221</v>
      </c>
      <c r="C1387" s="3">
        <v>0.0</v>
      </c>
      <c r="D1387" s="3">
        <v>0.0</v>
      </c>
      <c r="E1387" s="3">
        <v>0.0</v>
      </c>
      <c r="F1387" s="3" t="s">
        <v>4222</v>
      </c>
      <c r="G1387" s="3">
        <v>1.0</v>
      </c>
      <c r="H1387" s="3">
        <v>0.0</v>
      </c>
      <c r="I1387" s="3" t="s">
        <v>13</v>
      </c>
      <c r="J1387" s="3" t="s">
        <v>4223</v>
      </c>
      <c r="K1387" s="3" t="s">
        <v>695</v>
      </c>
      <c r="L1387" s="3" t="str">
        <f>IFERROR(__xludf.DUMMYFUNCTION("GOOGLETRANSLATE(F1387,""id"",""en"")"),"The best World Cup final I have ever watched so far after the final that feels anti -climax finally this year is presented with a match full of surprises and not heart -friendly")</f>
        <v>The best World Cup final I have ever watched so far after the final that feels anti -climax finally this year is presented with a match full of surprises and not heart -friendly</v>
      </c>
    </row>
    <row r="1388" ht="15.75" customHeight="1">
      <c r="A1388" s="1">
        <v>1390.0</v>
      </c>
      <c r="B1388" s="3" t="s">
        <v>4224</v>
      </c>
      <c r="C1388" s="3">
        <v>1.0</v>
      </c>
      <c r="D1388" s="3">
        <v>0.0</v>
      </c>
      <c r="E1388" s="3">
        <v>0.0</v>
      </c>
      <c r="F1388" s="3" t="s">
        <v>4225</v>
      </c>
      <c r="G1388" s="3">
        <v>1.0</v>
      </c>
      <c r="H1388" s="3">
        <v>0.0</v>
      </c>
      <c r="I1388" s="3" t="s">
        <v>13</v>
      </c>
      <c r="J1388" s="3" t="s">
        <v>4226</v>
      </c>
      <c r="K1388" s="3" t="s">
        <v>236</v>
      </c>
      <c r="L1388" s="3" t="str">
        <f>IFERROR(__xludf.DUMMYFUNCTION("GOOGLETRANSLATE(F1388,""id"",""en"")"),"the age of the final heart of the age of the world cup he achieved us more than the year")</f>
        <v>the age of the final heart of the age of the world cup he achieved us more than the year</v>
      </c>
    </row>
    <row r="1389" ht="15.75" customHeight="1">
      <c r="A1389" s="1">
        <v>1391.0</v>
      </c>
      <c r="B1389" s="3" t="s">
        <v>4227</v>
      </c>
      <c r="C1389" s="3">
        <v>2.0</v>
      </c>
      <c r="D1389" s="3">
        <v>6.0</v>
      </c>
      <c r="E1389" s="3">
        <v>27.0</v>
      </c>
      <c r="F1389" s="3" t="s">
        <v>4228</v>
      </c>
      <c r="G1389" s="3">
        <v>1.0</v>
      </c>
      <c r="H1389" s="3">
        <v>0.0</v>
      </c>
      <c r="I1389" s="3" t="s">
        <v>13</v>
      </c>
      <c r="J1389" s="3" t="s">
        <v>4229</v>
      </c>
      <c r="K1389" s="3" t="s">
        <v>35</v>
      </c>
      <c r="L1389" s="3" t="str">
        <f>IFERROR(__xludf.DUMMYFUNCTION("GOOGLETRANSLATE(F1389,""id"",""en"")"),"There are no words of the World Cup Final, congratulating again for Argentina who came out as champions")</f>
        <v>There are no words of the World Cup Final, congratulating again for Argentina who came out as champions</v>
      </c>
    </row>
    <row r="1390" ht="15.75" customHeight="1">
      <c r="A1390" s="1">
        <v>1392.0</v>
      </c>
      <c r="B1390" s="3" t="s">
        <v>4230</v>
      </c>
      <c r="C1390" s="3">
        <v>31.0</v>
      </c>
      <c r="D1390" s="3">
        <v>62.0</v>
      </c>
      <c r="E1390" s="3">
        <v>79.0</v>
      </c>
      <c r="F1390" s="3" t="s">
        <v>4231</v>
      </c>
      <c r="G1390" s="3">
        <v>1.0</v>
      </c>
      <c r="H1390" s="3">
        <v>0.25</v>
      </c>
      <c r="I1390" s="3" t="s">
        <v>48</v>
      </c>
      <c r="J1390" s="3" t="s">
        <v>4232</v>
      </c>
      <c r="K1390" s="3" t="s">
        <v>695</v>
      </c>
      <c r="L1390" s="3" t="str">
        <f>IFERROR(__xludf.DUMMYFUNCTION("GOOGLETRANSLATE(F1390,""id"",""en"")"),"Congratulations Argentina Sah won the Qatar World Cup match with Argentina France Penalties Score the Greatest Ever Just Unbelievable What Final")</f>
        <v>Congratulations Argentina Sah won the Qatar World Cup match with Argentina France Penalties Score the Greatest Ever Just Unbelievable What Final</v>
      </c>
    </row>
    <row r="1391" ht="15.75" customHeight="1">
      <c r="A1391" s="1">
        <v>1393.0</v>
      </c>
      <c r="B1391" s="3" t="s">
        <v>4233</v>
      </c>
      <c r="C1391" s="3">
        <v>0.0</v>
      </c>
      <c r="D1391" s="3">
        <v>0.0</v>
      </c>
      <c r="E1391" s="3">
        <v>0.0</v>
      </c>
      <c r="F1391" s="3" t="s">
        <v>4234</v>
      </c>
      <c r="G1391" s="3">
        <v>1.0</v>
      </c>
      <c r="H1391" s="3">
        <v>0.0</v>
      </c>
      <c r="I1391" s="3" t="s">
        <v>13</v>
      </c>
      <c r="J1391" s="3" t="s">
        <v>4235</v>
      </c>
      <c r="K1391" s="3" t="s">
        <v>4236</v>
      </c>
      <c r="L1391" s="3" t="str">
        <f>IFERROR(__xludf.DUMMYFUNCTION("GOOGLETRANSLATE(F1391,""id"",""en"")"),"Latin American troops have a good record in the European World Cup edition only the World Cup and European State won in the outer edition of Europe, there were no South American troops")</f>
        <v>Latin American troops have a good record in the European World Cup edition only the World Cup and European State won in the outer edition of Europe, there were no South American troops</v>
      </c>
    </row>
    <row r="1392" ht="15.75" customHeight="1">
      <c r="A1392" s="1">
        <v>1394.0</v>
      </c>
      <c r="B1392" s="3" t="s">
        <v>4237</v>
      </c>
      <c r="C1392" s="3">
        <v>0.0</v>
      </c>
      <c r="D1392" s="3">
        <v>0.0</v>
      </c>
      <c r="E1392" s="3">
        <v>0.0</v>
      </c>
      <c r="F1392" s="3" t="s">
        <v>4238</v>
      </c>
      <c r="G1392" s="3">
        <v>1.0</v>
      </c>
      <c r="H1392" s="3">
        <v>0.0</v>
      </c>
      <c r="I1392" s="3" t="s">
        <v>13</v>
      </c>
      <c r="J1392" s="3" t="s">
        <v>4239</v>
      </c>
      <c r="K1392" s="3" t="s">
        <v>41</v>
      </c>
      <c r="L1392" s="3" t="str">
        <f>IFERROR(__xludf.DUMMYFUNCTION("GOOGLETRANSLATE(F1392,""id"",""en"")"),"One of the most exciting finals during the Kelazz World Cup")</f>
        <v>One of the most exciting finals during the Kelazz World Cup</v>
      </c>
    </row>
    <row r="1393" ht="15.75" customHeight="1">
      <c r="A1393" s="1">
        <v>1395.0</v>
      </c>
      <c r="B1393" s="3" t="s">
        <v>4240</v>
      </c>
      <c r="C1393" s="3">
        <v>0.0</v>
      </c>
      <c r="D1393" s="3">
        <v>0.0</v>
      </c>
      <c r="E1393" s="3">
        <v>1.0</v>
      </c>
      <c r="F1393" s="3" t="s">
        <v>4241</v>
      </c>
      <c r="G1393" s="3">
        <v>1.0</v>
      </c>
      <c r="H1393" s="3">
        <v>0.0</v>
      </c>
      <c r="I1393" s="3" t="s">
        <v>13</v>
      </c>
      <c r="J1393" s="3" t="s">
        <v>4242</v>
      </c>
      <c r="K1393" s="3" t="s">
        <v>19</v>
      </c>
      <c r="L1393" s="3" t="str">
        <f>IFERROR(__xludf.DUMMYFUNCTION("GOOGLETRANSLATE(F1393,""id"",""en"")"),"The World Cup was excited about many plot twist mind blowing keukeuh final bales goals")</f>
        <v>The World Cup was excited about many plot twist mind blowing keukeuh final bales goals</v>
      </c>
    </row>
    <row r="1394" ht="15.75" customHeight="1">
      <c r="A1394" s="1">
        <v>1396.0</v>
      </c>
      <c r="B1394" s="3" t="s">
        <v>4243</v>
      </c>
      <c r="C1394" s="3">
        <v>0.0</v>
      </c>
      <c r="D1394" s="3">
        <v>0.0</v>
      </c>
      <c r="E1394" s="3">
        <v>0.0</v>
      </c>
      <c r="F1394" s="3" t="s">
        <v>4244</v>
      </c>
      <c r="G1394" s="3">
        <v>1.0</v>
      </c>
      <c r="H1394" s="3">
        <v>0.0</v>
      </c>
      <c r="I1394" s="3" t="s">
        <v>13</v>
      </c>
      <c r="J1394" s="3" t="s">
        <v>4245</v>
      </c>
      <c r="K1394" s="3" t="s">
        <v>1345</v>
      </c>
      <c r="L1394" s="3" t="str">
        <f>IFERROR(__xludf.DUMMYFUNCTION("GOOGLETRANSLATE(F1394,""id"",""en"")"),"Crazy This is the Final Final of the Best World Cup since I started seeing the World Cup")</f>
        <v>Crazy This is the Final Final of the Best World Cup since I started seeing the World Cup</v>
      </c>
    </row>
    <row r="1395" ht="15.75" customHeight="1">
      <c r="A1395" s="1">
        <v>1397.0</v>
      </c>
      <c r="B1395" s="3" t="s">
        <v>4246</v>
      </c>
      <c r="C1395" s="3">
        <v>0.0</v>
      </c>
      <c r="D1395" s="3">
        <v>0.0</v>
      </c>
      <c r="E1395" s="3">
        <v>0.0</v>
      </c>
      <c r="F1395" s="3" t="s">
        <v>4247</v>
      </c>
      <c r="G1395" s="3">
        <v>1.0</v>
      </c>
      <c r="H1395" s="3">
        <v>0.0</v>
      </c>
      <c r="I1395" s="3" t="s">
        <v>13</v>
      </c>
      <c r="J1395" s="3" t="s">
        <v>4248</v>
      </c>
      <c r="K1395" s="3" t="s">
        <v>236</v>
      </c>
      <c r="L1395" s="3" t="str">
        <f>IFERROR(__xludf.DUMMYFUNCTION("GOOGLETRANSLATE(F1395,""id"",""en"")"),"The World Cup Final is really exciting, I like the final")</f>
        <v>The World Cup Final is really exciting, I like the final</v>
      </c>
    </row>
    <row r="1396" ht="15.75" customHeight="1">
      <c r="A1396" s="1">
        <v>1398.0</v>
      </c>
      <c r="B1396" s="3" t="s">
        <v>4249</v>
      </c>
      <c r="C1396" s="3">
        <v>0.0</v>
      </c>
      <c r="D1396" s="3">
        <v>0.0</v>
      </c>
      <c r="E1396" s="3">
        <v>0.0</v>
      </c>
      <c r="F1396" s="3" t="s">
        <v>4249</v>
      </c>
      <c r="G1396" s="3">
        <v>1.0</v>
      </c>
      <c r="H1396" s="3">
        <v>0.0</v>
      </c>
      <c r="I1396" s="3" t="s">
        <v>13</v>
      </c>
      <c r="J1396" s="3" t="s">
        <v>4250</v>
      </c>
      <c r="K1396" s="3" t="s">
        <v>31</v>
      </c>
      <c r="L1396" s="3" t="str">
        <f>IFERROR(__xludf.DUMMYFUNCTION("GOOGLETRANSLATE(F1396,""id"",""en"")"),"The World Cup Final was crazy")</f>
        <v>The World Cup Final was crazy</v>
      </c>
    </row>
    <row r="1397" ht="15.75" customHeight="1">
      <c r="A1397" s="1">
        <v>1399.0</v>
      </c>
      <c r="B1397" s="3" t="s">
        <v>4251</v>
      </c>
      <c r="C1397" s="3">
        <v>0.0</v>
      </c>
      <c r="D1397" s="3">
        <v>0.0</v>
      </c>
      <c r="E1397" s="3">
        <v>0.0</v>
      </c>
      <c r="F1397" s="3" t="s">
        <v>4252</v>
      </c>
      <c r="G1397" s="3">
        <v>1.0</v>
      </c>
      <c r="H1397" s="3">
        <v>0.0</v>
      </c>
      <c r="I1397" s="3" t="s">
        <v>13</v>
      </c>
      <c r="J1397" s="3" t="s">
        <v>4253</v>
      </c>
      <c r="K1397" s="3" t="s">
        <v>75</v>
      </c>
      <c r="L1397" s="3" t="str">
        <f>IFERROR(__xludf.DUMMYFUNCTION("GOOGLETRANSLATE(F1397,""id"",""en"")"),"Anjir Exciting Bgt Match The Final Pilduun This Time")</f>
        <v>Anjir Exciting Bgt Match The Final Pilduun This Time</v>
      </c>
    </row>
    <row r="1398" ht="15.75" customHeight="1">
      <c r="A1398" s="1">
        <v>1400.0</v>
      </c>
      <c r="B1398" s="3" t="s">
        <v>4254</v>
      </c>
      <c r="C1398" s="3">
        <v>0.0</v>
      </c>
      <c r="D1398" s="3">
        <v>0.0</v>
      </c>
      <c r="E1398" s="3">
        <v>0.0</v>
      </c>
      <c r="F1398" s="3" t="s">
        <v>4255</v>
      </c>
      <c r="G1398" s="3">
        <v>1.0</v>
      </c>
      <c r="H1398" s="3">
        <v>0.0</v>
      </c>
      <c r="I1398" s="3" t="s">
        <v>13</v>
      </c>
      <c r="J1398" s="3" t="s">
        <v>4256</v>
      </c>
      <c r="K1398" s="3" t="s">
        <v>244</v>
      </c>
      <c r="L1398" s="3" t="str">
        <f>IFERROR(__xludf.DUMMYFUNCTION("GOOGLETRANSLATE(F1398,""id"",""en"")"),"Final World Cup World Cup Becomes the Best Final What do you think agree or not")</f>
        <v>Final World Cup World Cup Becomes the Best Final What do you think agree or not</v>
      </c>
    </row>
    <row r="1399" ht="15.75" customHeight="1">
      <c r="A1399" s="1">
        <v>1401.0</v>
      </c>
      <c r="B1399" s="3" t="s">
        <v>4257</v>
      </c>
      <c r="C1399" s="3">
        <v>0.0</v>
      </c>
      <c r="D1399" s="3">
        <v>1.0</v>
      </c>
      <c r="E1399" s="3">
        <v>9.0</v>
      </c>
      <c r="F1399" s="3" t="s">
        <v>4258</v>
      </c>
      <c r="G1399" s="3">
        <v>1.0</v>
      </c>
      <c r="H1399" s="3">
        <v>0.0</v>
      </c>
      <c r="I1399" s="3" t="s">
        <v>13</v>
      </c>
      <c r="J1399" s="3" t="s">
        <v>4259</v>
      </c>
      <c r="K1399" s="3" t="s">
        <v>1293</v>
      </c>
      <c r="L1399" s="3" t="str">
        <f>IFERROR(__xludf.DUMMYFUNCTION("GOOGLETRANSLATE(F1399,""id"",""en"")"),"Jokowi's mainstay club finally won the World Cup champion for the third time Messi retired calmly Messi What Final")</f>
        <v>Jokowi's mainstay club finally won the World Cup champion for the third time Messi retired calmly Messi What Final</v>
      </c>
    </row>
    <row r="1400" ht="15.75" customHeight="1">
      <c r="A1400" s="1">
        <v>1402.0</v>
      </c>
      <c r="B1400" s="3" t="s">
        <v>4260</v>
      </c>
      <c r="C1400" s="3">
        <v>0.0</v>
      </c>
      <c r="D1400" s="3">
        <v>0.0</v>
      </c>
      <c r="E1400" s="3">
        <v>0.0</v>
      </c>
      <c r="F1400" s="3" t="s">
        <v>4261</v>
      </c>
      <c r="G1400" s="3">
        <v>1.0</v>
      </c>
      <c r="H1400" s="3">
        <v>0.0</v>
      </c>
      <c r="I1400" s="3" t="s">
        <v>13</v>
      </c>
      <c r="J1400" s="3" t="s">
        <v>4262</v>
      </c>
      <c r="K1400" s="3" t="s">
        <v>50</v>
      </c>
      <c r="L1400" s="3" t="str">
        <f>IFERROR(__xludf.DUMMYFUNCTION("GOOGLETRANSLATE(F1400,""id"",""en"")"),"The original is the final of the debest even though the beginning of Qatar is doubtful to hold the World Cup")</f>
        <v>The original is the final of the debest even though the beginning of Qatar is doubtful to hold the World Cup</v>
      </c>
    </row>
    <row r="1401" ht="15.75" customHeight="1">
      <c r="A1401" s="1">
        <v>1403.0</v>
      </c>
      <c r="B1401" s="3" t="s">
        <v>4263</v>
      </c>
      <c r="C1401" s="3">
        <v>0.0</v>
      </c>
      <c r="D1401" s="3">
        <v>0.0</v>
      </c>
      <c r="E1401" s="3">
        <v>0.0</v>
      </c>
      <c r="F1401" s="3" t="s">
        <v>4264</v>
      </c>
      <c r="G1401" s="3">
        <v>1.0</v>
      </c>
      <c r="H1401" s="3">
        <v>0.0</v>
      </c>
      <c r="I1401" s="3" t="s">
        <v>13</v>
      </c>
      <c r="J1401" s="3" t="s">
        <v>4265</v>
      </c>
      <c r="K1401" s="3" t="s">
        <v>942</v>
      </c>
      <c r="L1401" s="3" t="str">
        <f>IFERROR(__xludf.DUMMYFUNCTION("GOOGLETRANSLATE(F1401,""id"",""en"")"),"The best final of Sak Suwene I watched the SAK UWISE World Cup congratulations")</f>
        <v>The best final of Sak Suwene I watched the SAK UWISE World Cup congratulations</v>
      </c>
    </row>
    <row r="1402" ht="15.75" customHeight="1">
      <c r="A1402" s="1">
        <v>1404.0</v>
      </c>
      <c r="B1402" s="3" t="s">
        <v>4266</v>
      </c>
      <c r="C1402" s="3">
        <v>0.0</v>
      </c>
      <c r="D1402" s="3">
        <v>1.0</v>
      </c>
      <c r="E1402" s="3">
        <v>2.0</v>
      </c>
      <c r="F1402" s="3" t="s">
        <v>4267</v>
      </c>
      <c r="G1402" s="3">
        <v>1.0</v>
      </c>
      <c r="H1402" s="3">
        <v>0.0</v>
      </c>
      <c r="I1402" s="3" t="s">
        <v>13</v>
      </c>
      <c r="J1402" s="3" t="s">
        <v>4268</v>
      </c>
      <c r="K1402" s="3" t="s">
        <v>348</v>
      </c>
      <c r="L1402" s="3" t="str">
        <f>IFERROR(__xludf.DUMMYFUNCTION("GOOGLETRANSLATE(F1402,""id"",""en"")"),"The Drama Penalty is presented by the World Cup Final after the draw lasted until the extra time round finally Argentina came out as the Congratulations Messi champion")</f>
        <v>The Drama Penalty is presented by the World Cup Final after the draw lasted until the extra time round finally Argentina came out as the Congratulations Messi champion</v>
      </c>
    </row>
    <row r="1403" ht="15.75" customHeight="1">
      <c r="A1403" s="1">
        <v>1405.0</v>
      </c>
      <c r="B1403" s="3" t="s">
        <v>4269</v>
      </c>
      <c r="C1403" s="3">
        <v>0.0</v>
      </c>
      <c r="D1403" s="3">
        <v>0.0</v>
      </c>
      <c r="E1403" s="3">
        <v>0.0</v>
      </c>
      <c r="F1403" s="3" t="s">
        <v>4270</v>
      </c>
      <c r="G1403" s="3">
        <v>1.0</v>
      </c>
      <c r="H1403" s="3">
        <v>0.0</v>
      </c>
      <c r="I1403" s="3" t="s">
        <v>13</v>
      </c>
      <c r="J1403" s="3" t="s">
        <v>4271</v>
      </c>
      <c r="K1403" s="3" t="s">
        <v>437</v>
      </c>
      <c r="L1403" s="3" t="str">
        <f>IFERROR(__xludf.DUMMYFUNCTION("GOOGLETRANSLATE(F1403,""id"",""en"")"),"My night is completely blue and very exciting starts watching Avatar Continue watching the World Cup Final of both Magic")</f>
        <v>My night is completely blue and very exciting starts watching Avatar Continue watching the World Cup Final of both Magic</v>
      </c>
    </row>
    <row r="1404" ht="15.75" customHeight="1">
      <c r="A1404" s="1">
        <v>1406.0</v>
      </c>
      <c r="B1404" s="3" t="s">
        <v>4272</v>
      </c>
      <c r="C1404" s="3">
        <v>0.0</v>
      </c>
      <c r="D1404" s="3">
        <v>0.0</v>
      </c>
      <c r="E1404" s="3">
        <v>0.0</v>
      </c>
      <c r="F1404" s="3" t="s">
        <v>4273</v>
      </c>
      <c r="G1404" s="3">
        <v>1.0</v>
      </c>
      <c r="H1404" s="3">
        <v>0.0</v>
      </c>
      <c r="I1404" s="3" t="s">
        <v>13</v>
      </c>
      <c r="J1404" s="3" t="s">
        <v>4274</v>
      </c>
      <c r="K1404" s="3" t="s">
        <v>54</v>
      </c>
      <c r="L1404" s="3" t="str">
        <f>IFERROR(__xludf.DUMMYFUNCTION("GOOGLETRANSLATE(F1404,""id"",""en"")"),"Crazy this Final World Cup full of drama")</f>
        <v>Crazy this Final World Cup full of drama</v>
      </c>
    </row>
    <row r="1405" ht="15.75" customHeight="1">
      <c r="A1405" s="1">
        <v>1407.0</v>
      </c>
      <c r="B1405" s="3" t="s">
        <v>4275</v>
      </c>
      <c r="C1405" s="3">
        <v>0.0</v>
      </c>
      <c r="D1405" s="3">
        <v>1.0</v>
      </c>
      <c r="E1405" s="3">
        <v>1.0</v>
      </c>
      <c r="F1405" s="3" t="s">
        <v>4276</v>
      </c>
      <c r="G1405" s="3">
        <v>1.0</v>
      </c>
      <c r="H1405" s="3">
        <v>0.0</v>
      </c>
      <c r="I1405" s="3" t="s">
        <v>13</v>
      </c>
      <c r="J1405" s="3" t="s">
        <v>4277</v>
      </c>
      <c r="K1405" s="3" t="s">
        <v>15</v>
      </c>
      <c r="L1405" s="3" t="str">
        <f>IFERROR(__xludf.DUMMYFUNCTION("GOOGLETRANSLATE(F1405,""id"",""en"")"),"full of big question marks against the World Cup final referee")</f>
        <v>full of big question marks against the World Cup final referee</v>
      </c>
    </row>
    <row r="1406" ht="15.75" customHeight="1">
      <c r="A1406" s="1">
        <v>1408.0</v>
      </c>
      <c r="B1406" s="3" t="s">
        <v>4278</v>
      </c>
      <c r="C1406" s="3">
        <v>0.0</v>
      </c>
      <c r="D1406" s="3">
        <v>0.0</v>
      </c>
      <c r="E1406" s="3">
        <v>0.0</v>
      </c>
      <c r="F1406" s="3" t="s">
        <v>4279</v>
      </c>
      <c r="G1406" s="3">
        <v>1.0</v>
      </c>
      <c r="H1406" s="3">
        <v>0.0</v>
      </c>
      <c r="I1406" s="3" t="s">
        <v>13</v>
      </c>
      <c r="J1406" s="3" t="s">
        <v>4280</v>
      </c>
      <c r="K1406" s="3" t="s">
        <v>4281</v>
      </c>
      <c r="L1406" s="3" t="str">
        <f>IFERROR(__xludf.DUMMYFUNCTION("GOOGLETRANSLATE(F1406,""id"",""en"")"),"Following Messi from middle school to now, from the start he failed the World Cup final against Germany, then Copa America then cried when the Barca separation would now be the last year before retired from the national team, finally the World Cup champio"&amp;"n")</f>
        <v>Following Messi from middle school to now, from the start he failed the World Cup final against Germany, then Copa America then cried when the Barca separation would now be the last year before retired from the national team, finally the World Cup champion</v>
      </c>
    </row>
    <row r="1407" ht="15.75" customHeight="1">
      <c r="A1407" s="1">
        <v>1409.0</v>
      </c>
      <c r="B1407" s="3" t="s">
        <v>4282</v>
      </c>
      <c r="C1407" s="3">
        <v>0.0</v>
      </c>
      <c r="D1407" s="3">
        <v>0.0</v>
      </c>
      <c r="E1407" s="3">
        <v>0.0</v>
      </c>
      <c r="F1407" s="3" t="s">
        <v>4283</v>
      </c>
      <c r="G1407" s="3">
        <v>1.0</v>
      </c>
      <c r="H1407" s="3">
        <v>0.0</v>
      </c>
      <c r="I1407" s="3" t="s">
        <v>13</v>
      </c>
      <c r="J1407" s="3" t="s">
        <v>4284</v>
      </c>
      <c r="K1407" s="3" t="s">
        <v>437</v>
      </c>
      <c r="L1407" s="3" t="str">
        <f>IFERROR(__xludf.DUMMYFUNCTION("GOOGLETRANSLATE(F1407,""id"",""en"")"),"Fuh Dahsyat has the final of Tahniah Argentina World Cup champion Messi is indeed a posted Argentina are Champions")</f>
        <v>Fuh Dahsyat has the final of Tahniah Argentina World Cup champion Messi is indeed a posted Argentina are Champions</v>
      </c>
    </row>
    <row r="1408" ht="15.75" customHeight="1">
      <c r="A1408" s="1">
        <v>1410.0</v>
      </c>
      <c r="B1408" s="3" t="s">
        <v>4285</v>
      </c>
      <c r="C1408" s="3">
        <v>0.0</v>
      </c>
      <c r="D1408" s="3">
        <v>0.0</v>
      </c>
      <c r="E1408" s="3">
        <v>0.0</v>
      </c>
      <c r="F1408" s="3" t="s">
        <v>4286</v>
      </c>
      <c r="G1408" s="3">
        <v>1.0</v>
      </c>
      <c r="H1408" s="3">
        <v>0.0</v>
      </c>
      <c r="I1408" s="3" t="s">
        <v>13</v>
      </c>
      <c r="J1408" s="3" t="s">
        <v>4287</v>
      </c>
      <c r="K1408" s="3" t="s">
        <v>695</v>
      </c>
      <c r="L1408" s="3" t="str">
        <f>IFERROR(__xludf.DUMMYFUNCTION("GOOGLETRANSLATE(F1408,""id"",""en"")"),"Let's thank God for being given today to watch the World Cup Final match this year's what Congrats Argentina Congrats Leo Messi")</f>
        <v>Let's thank God for being given today to watch the World Cup Final match this year's what Congrats Argentina Congrats Leo Messi</v>
      </c>
    </row>
    <row r="1409" ht="15.75" customHeight="1">
      <c r="A1409" s="1">
        <v>1411.0</v>
      </c>
      <c r="B1409" s="3" t="s">
        <v>4288</v>
      </c>
      <c r="C1409" s="3">
        <v>0.0</v>
      </c>
      <c r="D1409" s="3">
        <v>0.0</v>
      </c>
      <c r="E1409" s="3">
        <v>0.0</v>
      </c>
      <c r="F1409" s="3" t="s">
        <v>4289</v>
      </c>
      <c r="G1409" s="3">
        <v>1.0</v>
      </c>
      <c r="H1409" s="3">
        <v>0.0</v>
      </c>
      <c r="I1409" s="3" t="s">
        <v>13</v>
      </c>
      <c r="J1409" s="3" t="s">
        <v>4290</v>
      </c>
      <c r="K1409" s="3" t="s">
        <v>71</v>
      </c>
      <c r="L1409" s="3" t="str">
        <f>IFERROR(__xludf.DUMMYFUNCTION("GOOGLETRANSLATE(F1409,""id"",""en"")"),"Classy final match during the World Cup Nnton from until this Argentine Congratulations Class Country Play")</f>
        <v>Classy final match during the World Cup Nnton from until this Argentine Congratulations Class Country Play</v>
      </c>
    </row>
    <row r="1410" ht="15.75" customHeight="1">
      <c r="A1410" s="1">
        <v>1412.0</v>
      </c>
      <c r="B1410" s="3" t="s">
        <v>4291</v>
      </c>
      <c r="C1410" s="3">
        <v>0.0</v>
      </c>
      <c r="D1410" s="3">
        <v>0.0</v>
      </c>
      <c r="E1410" s="3">
        <v>0.0</v>
      </c>
      <c r="F1410" s="3" t="s">
        <v>4292</v>
      </c>
      <c r="G1410" s="3">
        <v>1.0</v>
      </c>
      <c r="H1410" s="3">
        <v>0.0</v>
      </c>
      <c r="I1410" s="3" t="s">
        <v>13</v>
      </c>
      <c r="J1410" s="3" t="s">
        <v>4293</v>
      </c>
      <c r="K1410" s="3" t="s">
        <v>15</v>
      </c>
      <c r="L1410" s="3" t="str">
        <f>IFERROR(__xludf.DUMMYFUNCTION("GOOGLETRANSLATE(F1410,""id"",""en"")"),"The best Dogs Crazy World Cup Final ever watched")</f>
        <v>The best Dogs Crazy World Cup Final ever watched</v>
      </c>
    </row>
    <row r="1411" ht="15.75" customHeight="1">
      <c r="A1411" s="1">
        <v>1413.0</v>
      </c>
      <c r="B1411" s="3" t="s">
        <v>4294</v>
      </c>
      <c r="C1411" s="3">
        <v>1.0</v>
      </c>
      <c r="D1411" s="3">
        <v>0.0</v>
      </c>
      <c r="E1411" s="3">
        <v>1.0</v>
      </c>
      <c r="F1411" s="3" t="s">
        <v>4295</v>
      </c>
      <c r="G1411" s="3">
        <v>1.0</v>
      </c>
      <c r="H1411" s="3">
        <v>0.0</v>
      </c>
      <c r="I1411" s="3" t="s">
        <v>13</v>
      </c>
      <c r="J1411" s="3" t="s">
        <v>4296</v>
      </c>
      <c r="K1411" s="3" t="s">
        <v>1045</v>
      </c>
      <c r="L1411" s="3" t="str">
        <f>IFERROR(__xludf.DUMMYFUNCTION("GOOGLETRANSLATE(F1411,""id"",""en"")"),"The Qatari World Cup final between Argentina French ended further exciting penalty because Argentina won the French title to give a cool fierce resistance")</f>
        <v>The Qatari World Cup final between Argentina French ended further exciting penalty because Argentina won the French title to give a cool fierce resistance</v>
      </c>
    </row>
    <row r="1412" ht="15.75" customHeight="1">
      <c r="A1412" s="1">
        <v>1414.0</v>
      </c>
      <c r="B1412" s="3" t="s">
        <v>4297</v>
      </c>
      <c r="C1412" s="3">
        <v>0.0</v>
      </c>
      <c r="D1412" s="3">
        <v>0.0</v>
      </c>
      <c r="E1412" s="3">
        <v>1.0</v>
      </c>
      <c r="F1412" s="3" t="s">
        <v>4298</v>
      </c>
      <c r="G1412" s="3">
        <v>0.7333333333333334</v>
      </c>
      <c r="H1412" s="3">
        <v>0.1333333333333333</v>
      </c>
      <c r="I1412" s="3" t="s">
        <v>48</v>
      </c>
      <c r="J1412" s="3" t="s">
        <v>4299</v>
      </c>
      <c r="K1412" s="3" t="s">
        <v>1870</v>
      </c>
      <c r="L1412" s="3" t="str">
        <f>IFERROR(__xludf.DUMMYFUNCTION("GOOGLETRANSLATE(F1412,""id"",""en"")"),"Enjoy the French World Cup Final Argentina has a high sports Sports Skill Tough Physical Mental Referee and firmly enforce the rules of the Rules of Organizers in a beautiful Suppporive Beautiful Organizer Professional Organizer Watching Jagoku Ball Loser"&amp;"s")</f>
        <v>Enjoy the French World Cup Final Argentina has a high sports Sports Skill Tough Physical Mental Referee and firmly enforce the rules of the Rules of Organizers in a beautiful Suppporive Beautiful Organizer Professional Organizer Watching Jagoku Ball Losers</v>
      </c>
    </row>
    <row r="1413" ht="15.75" customHeight="1">
      <c r="A1413" s="1">
        <v>1415.0</v>
      </c>
      <c r="B1413" s="3" t="s">
        <v>4300</v>
      </c>
      <c r="C1413" s="3">
        <v>0.0</v>
      </c>
      <c r="D1413" s="3">
        <v>0.0</v>
      </c>
      <c r="E1413" s="3">
        <v>0.0</v>
      </c>
      <c r="F1413" s="3" t="s">
        <v>665</v>
      </c>
      <c r="G1413" s="3">
        <v>1.0</v>
      </c>
      <c r="H1413" s="3">
        <v>0.0</v>
      </c>
      <c r="I1413" s="3" t="s">
        <v>13</v>
      </c>
      <c r="J1413" s="3" t="s">
        <v>666</v>
      </c>
      <c r="K1413" s="3" t="s">
        <v>644</v>
      </c>
      <c r="L1413" s="3" t="str">
        <f>IFERROR(__xludf.DUMMYFUNCTION("GOOGLETRANSLATE(F1413,""id"",""en"")"),"the best world cup final")</f>
        <v>the best world cup final</v>
      </c>
    </row>
    <row r="1414" ht="15.75" customHeight="1">
      <c r="A1414" s="1">
        <v>1416.0</v>
      </c>
      <c r="B1414" s="3" t="s">
        <v>4301</v>
      </c>
      <c r="C1414" s="3">
        <v>0.0</v>
      </c>
      <c r="D1414" s="3">
        <v>0.0</v>
      </c>
      <c r="E1414" s="3">
        <v>0.0</v>
      </c>
      <c r="F1414" s="3" t="s">
        <v>4302</v>
      </c>
      <c r="G1414" s="3">
        <v>1.0</v>
      </c>
      <c r="H1414" s="3">
        <v>0.0</v>
      </c>
      <c r="I1414" s="3" t="s">
        <v>13</v>
      </c>
      <c r="J1414" s="3" t="s">
        <v>4303</v>
      </c>
      <c r="K1414" s="3" t="s">
        <v>15</v>
      </c>
      <c r="L1414" s="3" t="str">
        <f>IFERROR(__xludf.DUMMYFUNCTION("GOOGLETRANSLATE(F1414,""id"",""en"")"),"One of the best world cup finals Congrats Messi")</f>
        <v>One of the best world cup finals Congrats Messi</v>
      </c>
    </row>
    <row r="1415" ht="15.75" customHeight="1">
      <c r="A1415" s="1">
        <v>1417.0</v>
      </c>
      <c r="B1415" s="3" t="s">
        <v>4304</v>
      </c>
      <c r="C1415" s="3">
        <v>0.0</v>
      </c>
      <c r="D1415" s="3">
        <v>0.0</v>
      </c>
      <c r="E1415" s="3">
        <v>0.0</v>
      </c>
      <c r="F1415" s="3" t="s">
        <v>4305</v>
      </c>
      <c r="G1415" s="3">
        <v>1.0</v>
      </c>
      <c r="H1415" s="3">
        <v>0.0</v>
      </c>
      <c r="I1415" s="3" t="s">
        <v>13</v>
      </c>
      <c r="J1415" s="3" t="s">
        <v>4306</v>
      </c>
      <c r="K1415" s="3" t="s">
        <v>188</v>
      </c>
      <c r="L1415" s="3" t="str">
        <f>IFERROR(__xludf.DUMMYFUNCTION("GOOGLETRANSLATE(F1415,""id"",""en"")"),"Congratulations Argentina for the struggle and victory of the final while repeating the success of the World Cup champion after the last time the year remains the spirit of France even though your game is not champion tonight, especially mbappe you are in"&amp;"deed worthy of Final Gacor")</f>
        <v>Congratulations Argentina for the struggle and victory of the final while repeating the success of the World Cup champion after the last time the year remains the spirit of France even though your game is not champion tonight, especially mbappe you are indeed worthy of Final Gacor</v>
      </c>
    </row>
    <row r="1416" ht="15.75" customHeight="1">
      <c r="A1416" s="1">
        <v>1418.0</v>
      </c>
      <c r="B1416" s="3" t="s">
        <v>4307</v>
      </c>
      <c r="C1416" s="3">
        <v>0.0</v>
      </c>
      <c r="D1416" s="3">
        <v>0.0</v>
      </c>
      <c r="E1416" s="3">
        <v>1.0</v>
      </c>
      <c r="F1416" s="3" t="s">
        <v>4308</v>
      </c>
      <c r="G1416" s="3">
        <v>1.0</v>
      </c>
      <c r="H1416" s="3">
        <v>0.0</v>
      </c>
      <c r="I1416" s="3" t="s">
        <v>13</v>
      </c>
      <c r="J1416" s="3" t="s">
        <v>4309</v>
      </c>
      <c r="K1416" s="3" t="s">
        <v>127</v>
      </c>
      <c r="L1416" s="3" t="str">
        <f>IFERROR(__xludf.DUMMYFUNCTION("GOOGLETRANSLATE(F1416,""id"",""en"")"),"One of the biggest hearts of this year France lost the Congrats Argentina World Cup final Yok turu bsok ngantor")</f>
        <v>One of the biggest hearts of this year France lost the Congrats Argentina World Cup final Yok turu bsok ngantor</v>
      </c>
    </row>
    <row r="1417" ht="15.75" customHeight="1">
      <c r="A1417" s="1">
        <v>1419.0</v>
      </c>
      <c r="B1417" s="3" t="s">
        <v>4310</v>
      </c>
      <c r="C1417" s="3">
        <v>0.0</v>
      </c>
      <c r="D1417" s="3">
        <v>0.0</v>
      </c>
      <c r="E1417" s="3">
        <v>0.0</v>
      </c>
      <c r="F1417" s="3" t="s">
        <v>4311</v>
      </c>
      <c r="G1417" s="3">
        <v>1.0</v>
      </c>
      <c r="H1417" s="3">
        <v>0.0</v>
      </c>
      <c r="I1417" s="3" t="s">
        <v>13</v>
      </c>
      <c r="J1417" s="3" t="s">
        <v>4312</v>
      </c>
      <c r="K1417" s="3" t="s">
        <v>952</v>
      </c>
      <c r="L1417" s="3" t="str">
        <f>IFERROR(__xludf.DUMMYFUNCTION("GOOGLETRANSLATE(F1417,""id"",""en"")"),"Argentina Champion World Cup Results Argentina French Final World Cup")</f>
        <v>Argentina Champion World Cup Results Argentina French Final World Cup</v>
      </c>
    </row>
    <row r="1418" ht="15.75" customHeight="1">
      <c r="A1418" s="1">
        <v>1420.0</v>
      </c>
      <c r="B1418" s="3" t="s">
        <v>4313</v>
      </c>
      <c r="C1418" s="3">
        <v>1.0</v>
      </c>
      <c r="D1418" s="3">
        <v>0.0</v>
      </c>
      <c r="E1418" s="3">
        <v>0.0</v>
      </c>
      <c r="F1418" s="3" t="s">
        <v>4314</v>
      </c>
      <c r="G1418" s="3">
        <v>1.0</v>
      </c>
      <c r="H1418" s="3">
        <v>0.0</v>
      </c>
      <c r="I1418" s="3" t="s">
        <v>13</v>
      </c>
      <c r="J1418" s="3" t="s">
        <v>4315</v>
      </c>
      <c r="K1418" s="3" t="s">
        <v>603</v>
      </c>
      <c r="L1418" s="3" t="str">
        <f>IFERROR(__xludf.DUMMYFUNCTION("GOOGLETRANSLATE(F1418,""id"",""en"")"),"I want to do it if there is still saying this world cup is really quiet, it really feels the euphoria from the group stage until the last final feels euphoria like this when the World Cup")</f>
        <v>I want to do it if there is still saying this world cup is really quiet, it really feels the euphoria from the group stage until the last final feels euphoria like this when the World Cup</v>
      </c>
    </row>
    <row r="1419" ht="15.75" customHeight="1">
      <c r="A1419" s="1">
        <v>1421.0</v>
      </c>
      <c r="B1419" s="3" t="s">
        <v>4316</v>
      </c>
      <c r="C1419" s="3">
        <v>1.0</v>
      </c>
      <c r="D1419" s="3">
        <v>0.0</v>
      </c>
      <c r="E1419" s="3">
        <v>0.0</v>
      </c>
      <c r="F1419" s="3" t="s">
        <v>4317</v>
      </c>
      <c r="G1419" s="3">
        <v>1.0</v>
      </c>
      <c r="H1419" s="3">
        <v>0.0</v>
      </c>
      <c r="I1419" s="3" t="s">
        <v>13</v>
      </c>
      <c r="J1419" s="3" t="s">
        <v>4318</v>
      </c>
      <c r="K1419" s="3" t="s">
        <v>510</v>
      </c>
      <c r="L1419" s="3" t="str">
        <f>IFERROR(__xludf.DUMMYFUNCTION("GOOGLETRANSLATE(F1419,""id"",""en"")"),"btw this is really a crazy final of the Argentine French World Cup, really deg, anjrittt")</f>
        <v>btw this is really a crazy final of the Argentine French World Cup, really deg, anjrittt</v>
      </c>
    </row>
    <row r="1420" ht="15.75" customHeight="1">
      <c r="A1420" s="1">
        <v>1422.0</v>
      </c>
      <c r="B1420" s="3" t="s">
        <v>4319</v>
      </c>
      <c r="C1420" s="3">
        <v>0.0</v>
      </c>
      <c r="D1420" s="3">
        <v>0.0</v>
      </c>
      <c r="E1420" s="3">
        <v>0.0</v>
      </c>
      <c r="F1420" s="3" t="s">
        <v>4320</v>
      </c>
      <c r="G1420" s="3">
        <v>1.0</v>
      </c>
      <c r="H1420" s="3">
        <v>0.0</v>
      </c>
      <c r="I1420" s="3" t="s">
        <v>13</v>
      </c>
      <c r="J1420" s="3" t="s">
        <v>4321</v>
      </c>
      <c r="K1420" s="3" t="s">
        <v>715</v>
      </c>
      <c r="L1420" s="3" t="str">
        <f>IFERROR(__xludf.DUMMYFUNCTION("GOOGLETRANSLATE(F1420,""id"",""en"")"),"Final of the Best World Cup Happy Argentina Happy Messi Final Career, a beautiful Asian World Cup still belongs to South America")</f>
        <v>Final of the Best World Cup Happy Argentina Happy Messi Final Career, a beautiful Asian World Cup still belongs to South America</v>
      </c>
    </row>
    <row r="1421" ht="15.75" customHeight="1">
      <c r="A1421" s="1">
        <v>1423.0</v>
      </c>
      <c r="B1421" s="3" t="s">
        <v>4322</v>
      </c>
      <c r="C1421" s="3">
        <v>2.0</v>
      </c>
      <c r="D1421" s="3">
        <v>2.0</v>
      </c>
      <c r="E1421" s="3">
        <v>22.0</v>
      </c>
      <c r="F1421" s="3" t="s">
        <v>4323</v>
      </c>
      <c r="G1421" s="3">
        <v>1.0</v>
      </c>
      <c r="H1421" s="3">
        <v>0.0</v>
      </c>
      <c r="I1421" s="3" t="s">
        <v>13</v>
      </c>
      <c r="J1421" s="3" t="s">
        <v>4324</v>
      </c>
      <c r="K1421" s="3" t="s">
        <v>1970</v>
      </c>
      <c r="L1421" s="3" t="str">
        <f>IFERROR(__xludf.DUMMYFUNCTION("GOOGLETRANSLATE(F1421,""id"",""en"")"),"Congratulations Argentina World Cup Champion Fierce match presented by the World Cup Final Tango Tango was able to score through goals from the feet of Lionel Messi and Maria")</f>
        <v>Congratulations Argentina World Cup Champion Fierce match presented by the World Cup Final Tango Tango was able to score through goals from the feet of Lionel Messi and Maria</v>
      </c>
    </row>
    <row r="1422" ht="15.75" customHeight="1">
      <c r="A1422" s="1">
        <v>1424.0</v>
      </c>
      <c r="B1422" s="3" t="s">
        <v>4325</v>
      </c>
      <c r="C1422" s="3">
        <v>0.0</v>
      </c>
      <c r="D1422" s="3">
        <v>0.0</v>
      </c>
      <c r="E1422" s="3">
        <v>0.0</v>
      </c>
      <c r="F1422" s="3" t="s">
        <v>4326</v>
      </c>
      <c r="G1422" s="3">
        <v>0.5</v>
      </c>
      <c r="H1422" s="3">
        <v>0.0</v>
      </c>
      <c r="I1422" s="3" t="s">
        <v>13</v>
      </c>
      <c r="J1422" s="3" t="s">
        <v>4327</v>
      </c>
      <c r="K1422" s="3" t="s">
        <v>633</v>
      </c>
      <c r="L1422" s="3" t="str">
        <f>IFERROR(__xludf.DUMMYFUNCTION("GOOGLETRANSLATE(F1422,""id"",""en"")"),"The Best World Cup Final Treat is presented by Qatar during my watched after French Brazil Zidane Germany Dutch Klose Brazil German Ronaldo")</f>
        <v>The Best World Cup Final Treat is presented by Qatar during my watched after French Brazil Zidane Germany Dutch Klose Brazil German Ronaldo</v>
      </c>
    </row>
    <row r="1423" ht="15.75" customHeight="1">
      <c r="A1423" s="1">
        <v>1425.0</v>
      </c>
      <c r="B1423" s="3" t="s">
        <v>4328</v>
      </c>
      <c r="C1423" s="3">
        <v>0.0</v>
      </c>
      <c r="D1423" s="3">
        <v>0.0</v>
      </c>
      <c r="E1423" s="3">
        <v>0.0</v>
      </c>
      <c r="F1423" s="3" t="s">
        <v>4329</v>
      </c>
      <c r="G1423" s="3">
        <v>1.0</v>
      </c>
      <c r="H1423" s="3">
        <v>0.0</v>
      </c>
      <c r="I1423" s="3" t="s">
        <v>13</v>
      </c>
      <c r="J1423" s="3" t="s">
        <v>4330</v>
      </c>
      <c r="K1423" s="3" t="s">
        <v>82</v>
      </c>
      <c r="L1423" s="3" t="str">
        <f>IFERROR(__xludf.DUMMYFUNCTION("GOOGLETRANSLATE(F1423,""id"",""en"")"),"The World Cup Final Goal at Critical Time Gokil")</f>
        <v>The World Cup Final Goal at Critical Time Gokil</v>
      </c>
    </row>
    <row r="1424" ht="15.75" customHeight="1">
      <c r="A1424" s="1">
        <v>1426.0</v>
      </c>
      <c r="B1424" s="3" t="s">
        <v>4331</v>
      </c>
      <c r="C1424" s="3">
        <v>1.0</v>
      </c>
      <c r="D1424" s="3">
        <v>0.0</v>
      </c>
      <c r="E1424" s="3">
        <v>1.0</v>
      </c>
      <c r="F1424" s="3" t="s">
        <v>4332</v>
      </c>
      <c r="G1424" s="3">
        <v>1.0</v>
      </c>
      <c r="H1424" s="3">
        <v>0.0</v>
      </c>
      <c r="I1424" s="3" t="s">
        <v>13</v>
      </c>
      <c r="J1424" s="3" t="s">
        <v>4333</v>
      </c>
      <c r="K1424" s="3" t="s">
        <v>192</v>
      </c>
      <c r="L1424" s="3" t="str">
        <f>IFERROR(__xludf.DUMMYFUNCTION("GOOGLETRANSLATE(F1424,""id"",""en"")"),"Fortunately, I was able to watch the final of the Gokil World Cup Kekin Messi Mbappe Martines, the difference tonight congratulations to Argentina and Argentina Mania Gausa Ricuh, Ati Ati Greetings to Mr. Ibuk Rumah")</f>
        <v>Fortunately, I was able to watch the final of the Gokil World Cup Kekin Messi Mbappe Martines, the difference tonight congratulations to Argentina and Argentina Mania Gausa Ricuh, Ati Ati Greetings to Mr. Ibuk Rumah</v>
      </c>
    </row>
    <row r="1425" ht="15.75" customHeight="1">
      <c r="A1425" s="1">
        <v>1427.0</v>
      </c>
      <c r="B1425" s="3" t="s">
        <v>4334</v>
      </c>
      <c r="C1425" s="3">
        <v>1.0</v>
      </c>
      <c r="D1425" s="3">
        <v>0.0</v>
      </c>
      <c r="E1425" s="3">
        <v>1.0</v>
      </c>
      <c r="F1425" s="3" t="s">
        <v>4335</v>
      </c>
      <c r="G1425" s="3">
        <v>1.0</v>
      </c>
      <c r="H1425" s="3">
        <v>0.0</v>
      </c>
      <c r="I1425" s="3" t="s">
        <v>13</v>
      </c>
      <c r="J1425" s="3" t="s">
        <v>4336</v>
      </c>
      <c r="K1425" s="3" t="s">
        <v>15</v>
      </c>
      <c r="L1425" s="3" t="str">
        <f>IFERROR(__xludf.DUMMYFUNCTION("GOOGLETRANSLATE(F1425,""id"",""en"")"),"Really losing the people who watched the World Cup final this time")</f>
        <v>Really losing the people who watched the World Cup final this time</v>
      </c>
    </row>
    <row r="1426" ht="15.75" customHeight="1">
      <c r="A1426" s="1">
        <v>1428.0</v>
      </c>
      <c r="B1426" s="3" t="s">
        <v>4337</v>
      </c>
      <c r="C1426" s="3">
        <v>0.0</v>
      </c>
      <c r="D1426" s="3">
        <v>0.0</v>
      </c>
      <c r="E1426" s="3">
        <v>2.0</v>
      </c>
      <c r="F1426" s="3" t="s">
        <v>4338</v>
      </c>
      <c r="G1426" s="3">
        <v>1.0</v>
      </c>
      <c r="H1426" s="3">
        <v>0.0</v>
      </c>
      <c r="I1426" s="3" t="s">
        <v>13</v>
      </c>
      <c r="J1426" s="3" t="s">
        <v>4339</v>
      </c>
      <c r="K1426" s="3" t="s">
        <v>358</v>
      </c>
      <c r="L1426" s="3" t="str">
        <f>IFERROR(__xludf.DUMMYFUNCTION("GOOGLETRANSLATE(F1426,""id"",""en"")"),"Watch the Final World Cup First half until the second tense satisfied Argentina won the World Cup through penalties")</f>
        <v>Watch the Final World Cup First half until the second tense satisfied Argentina won the World Cup through penalties</v>
      </c>
    </row>
    <row r="1427" ht="15.75" customHeight="1">
      <c r="A1427" s="1">
        <v>1429.0</v>
      </c>
      <c r="B1427" s="3" t="s">
        <v>4340</v>
      </c>
      <c r="C1427" s="3">
        <v>0.0</v>
      </c>
      <c r="D1427" s="3">
        <v>0.0</v>
      </c>
      <c r="E1427" s="3">
        <v>0.0</v>
      </c>
      <c r="F1427" s="3" t="s">
        <v>4341</v>
      </c>
      <c r="G1427" s="3">
        <v>0.8666666666666667</v>
      </c>
      <c r="H1427" s="3">
        <v>0.2333333333333333</v>
      </c>
      <c r="I1427" s="3" t="s">
        <v>48</v>
      </c>
      <c r="J1427" s="3" t="s">
        <v>4342</v>
      </c>
      <c r="K1427" s="3" t="s">
        <v>266</v>
      </c>
      <c r="L1427" s="3" t="str">
        <f>IFERROR(__xludf.DUMMYFUNCTION("GOOGLETRANSLATE(F1427,""id"",""en"")"),"The World Cup Final Even the Final The Greatest Rotated All Time of French Good Job Congrats Argentina and Messi Tankyou Messi and Ronaldo have presented and brought the euphoria of football so great in the last World Cup for them End Era")</f>
        <v>The World Cup Final Even the Final The Greatest Rotated All Time of French Good Job Congrats Argentina and Messi Tankyou Messi and Ronaldo have presented and brought the euphoria of football so great in the last World Cup for them End Era</v>
      </c>
    </row>
    <row r="1428" ht="15.75" customHeight="1">
      <c r="A1428" s="1">
        <v>1430.0</v>
      </c>
      <c r="B1428" s="3" t="s">
        <v>4343</v>
      </c>
      <c r="C1428" s="3">
        <v>0.0</v>
      </c>
      <c r="D1428" s="3">
        <v>0.0</v>
      </c>
      <c r="E1428" s="3">
        <v>0.0</v>
      </c>
      <c r="F1428" s="3" t="s">
        <v>4344</v>
      </c>
      <c r="G1428" s="3">
        <v>1.0</v>
      </c>
      <c r="H1428" s="3">
        <v>0.0</v>
      </c>
      <c r="I1428" s="3" t="s">
        <v>13</v>
      </c>
      <c r="J1428" s="3" t="s">
        <v>4345</v>
      </c>
      <c r="K1428" s="3" t="s">
        <v>15</v>
      </c>
      <c r="L1428" s="3" t="str">
        <f>IFERROR(__xludf.DUMMYFUNCTION("GOOGLETRANSLATE(F1428,""id"",""en"")"),"The best World Cup final of all time Congrats Argentina")</f>
        <v>The best World Cup final of all time Congrats Argentina</v>
      </c>
    </row>
    <row r="1429" ht="15.75" customHeight="1">
      <c r="A1429" s="1">
        <v>1431.0</v>
      </c>
      <c r="B1429" s="3" t="s">
        <v>4346</v>
      </c>
      <c r="C1429" s="3">
        <v>0.0</v>
      </c>
      <c r="D1429" s="3">
        <v>0.0</v>
      </c>
      <c r="E1429" s="3">
        <v>0.0</v>
      </c>
      <c r="F1429" s="3" t="s">
        <v>4347</v>
      </c>
      <c r="G1429" s="3">
        <v>1.0</v>
      </c>
      <c r="H1429" s="3">
        <v>0.0</v>
      </c>
      <c r="I1429" s="3" t="s">
        <v>13</v>
      </c>
      <c r="J1429" s="3" t="s">
        <v>4348</v>
      </c>
      <c r="K1429" s="3" t="s">
        <v>1265</v>
      </c>
      <c r="L1429" s="3" t="str">
        <f>IFERROR(__xludf.DUMMYFUNCTION("GOOGLETRANSLATE(F1429,""id"",""en"")"),"Argentina French Final World Cup Final Match Congratulations Argentina French spirit")</f>
        <v>Argentina French Final World Cup Final Match Congratulations Argentina French spirit</v>
      </c>
    </row>
    <row r="1430" ht="15.75" customHeight="1">
      <c r="A1430" s="1">
        <v>1432.0</v>
      </c>
      <c r="B1430" s="3" t="s">
        <v>4349</v>
      </c>
      <c r="C1430" s="3">
        <v>0.0</v>
      </c>
      <c r="D1430" s="3">
        <v>1.0</v>
      </c>
      <c r="E1430" s="3">
        <v>0.0</v>
      </c>
      <c r="F1430" s="3" t="s">
        <v>4350</v>
      </c>
      <c r="G1430" s="3">
        <v>1.0</v>
      </c>
      <c r="H1430" s="3">
        <v>0.0</v>
      </c>
      <c r="I1430" s="3" t="s">
        <v>13</v>
      </c>
      <c r="J1430" s="3" t="s">
        <v>4351</v>
      </c>
      <c r="K1430" s="3" t="s">
        <v>286</v>
      </c>
      <c r="L1430" s="3" t="str">
        <f>IFERROR(__xludf.DUMMYFUNCTION("GOOGLETRANSLATE(F1430,""id"",""en"")"),"The best debate between Messi, last night Messi completes his perfection to match the Giroud Xfinal of the World Cup.")</f>
        <v>The best debate between Messi, last night Messi completes his perfection to match the Giroud Xfinal of the World Cup.</v>
      </c>
    </row>
    <row r="1431" ht="15.75" customHeight="1">
      <c r="A1431" s="1">
        <v>1433.0</v>
      </c>
      <c r="B1431" s="3" t="s">
        <v>4352</v>
      </c>
      <c r="C1431" s="3">
        <v>0.0</v>
      </c>
      <c r="D1431" s="3">
        <v>0.0</v>
      </c>
      <c r="E1431" s="3">
        <v>0.0</v>
      </c>
      <c r="F1431" s="3" t="s">
        <v>4353</v>
      </c>
      <c r="G1431" s="3">
        <v>1.0</v>
      </c>
      <c r="H1431" s="3">
        <v>0.0</v>
      </c>
      <c r="I1431" s="3" t="s">
        <v>13</v>
      </c>
      <c r="J1431" s="3" t="s">
        <v>4354</v>
      </c>
      <c r="K1431" s="3" t="s">
        <v>1335</v>
      </c>
      <c r="L1431" s="3" t="str">
        <f>IFERROR(__xludf.DUMMYFUNCTION("GOOGLETRANSLATE(F1431,""id"",""en"")"),"crazy crazy drama final world cup wkwkwk")</f>
        <v>crazy crazy drama final world cup wkwkwk</v>
      </c>
    </row>
    <row r="1432" ht="15.75" customHeight="1">
      <c r="A1432" s="1">
        <v>1434.0</v>
      </c>
      <c r="B1432" s="3" t="s">
        <v>4355</v>
      </c>
      <c r="C1432" s="3">
        <v>0.0</v>
      </c>
      <c r="D1432" s="3">
        <v>1.0</v>
      </c>
      <c r="E1432" s="3">
        <v>2.0</v>
      </c>
      <c r="F1432" s="3" t="s">
        <v>4356</v>
      </c>
      <c r="G1432" s="3">
        <v>1.0</v>
      </c>
      <c r="H1432" s="3">
        <v>0.0</v>
      </c>
      <c r="I1432" s="3" t="s">
        <v>13</v>
      </c>
      <c r="J1432" s="3" t="s">
        <v>4357</v>
      </c>
      <c r="K1432" s="3" t="s">
        <v>90</v>
      </c>
      <c r="L1432" s="3" t="str">
        <f>IFERROR(__xludf.DUMMYFUNCTION("GOOGLETRANSLATE(F1432,""id"",""en"")"),"Following are the final results of the French Argentine World Cup which ended through a penalty shootout after the two teams drew until the extra round")</f>
        <v>Following are the final results of the French Argentine World Cup which ended through a penalty shootout after the two teams drew until the extra round</v>
      </c>
    </row>
    <row r="1433" ht="15.75" customHeight="1">
      <c r="A1433" s="1">
        <v>1435.0</v>
      </c>
      <c r="B1433" s="3" t="s">
        <v>4358</v>
      </c>
      <c r="C1433" s="3">
        <v>1.0</v>
      </c>
      <c r="D1433" s="3">
        <v>0.0</v>
      </c>
      <c r="E1433" s="3">
        <v>0.0</v>
      </c>
      <c r="F1433" s="3" t="s">
        <v>4359</v>
      </c>
      <c r="G1433" s="3">
        <v>1.0</v>
      </c>
      <c r="H1433" s="3">
        <v>0.0</v>
      </c>
      <c r="I1433" s="3" t="s">
        <v>13</v>
      </c>
      <c r="J1433" s="3" t="s">
        <v>4360</v>
      </c>
      <c r="K1433" s="3" t="s">
        <v>19</v>
      </c>
      <c r="L1433" s="3" t="str">
        <f>IFERROR(__xludf.DUMMYFUNCTION("GOOGLETRANSLATE(F1433,""id"",""en"")"),"I have at least experienced a pounding my heart until the heel was because of this World Cup Final")</f>
        <v>I have at least experienced a pounding my heart until the heel was because of this World Cup Final</v>
      </c>
    </row>
    <row r="1434" ht="15.75" customHeight="1">
      <c r="A1434" s="1">
        <v>1436.0</v>
      </c>
      <c r="B1434" s="3" t="s">
        <v>4361</v>
      </c>
      <c r="C1434" s="3">
        <v>1.0</v>
      </c>
      <c r="D1434" s="3">
        <v>0.0</v>
      </c>
      <c r="E1434" s="3">
        <v>0.0</v>
      </c>
      <c r="F1434" s="3" t="s">
        <v>4362</v>
      </c>
      <c r="G1434" s="3">
        <v>1.0</v>
      </c>
      <c r="H1434" s="3">
        <v>0.0</v>
      </c>
      <c r="I1434" s="3" t="s">
        <v>13</v>
      </c>
      <c r="J1434" s="3" t="s">
        <v>4363</v>
      </c>
      <c r="K1434" s="3" t="s">
        <v>1824</v>
      </c>
      <c r="L1434" s="3" t="str">
        <f>IFERROR(__xludf.DUMMYFUNCTION("GOOGLETRANSLATE(F1434,""id"",""en"")"),"Dogs Anjinggg Massage Disrupted Fari Satan Soci, then he heard the sound of the person screaming anjgggg terys just remembered the final day of the Cokkk World Cup, AGEN would win so hysterically like this")</f>
        <v>Dogs Anjinggg Massage Disrupted Fari Satan Soci, then he heard the sound of the person screaming anjgggg terys just remembered the final day of the Cokkk World Cup, AGEN would win so hysterically like this</v>
      </c>
    </row>
    <row r="1435" ht="15.75" customHeight="1">
      <c r="A1435" s="1">
        <v>1437.0</v>
      </c>
      <c r="B1435" s="3" t="s">
        <v>4364</v>
      </c>
      <c r="C1435" s="3">
        <v>0.0</v>
      </c>
      <c r="D1435" s="3">
        <v>0.0</v>
      </c>
      <c r="E1435" s="3">
        <v>0.0</v>
      </c>
      <c r="F1435" s="3" t="s">
        <v>4365</v>
      </c>
      <c r="G1435" s="3">
        <v>1.0</v>
      </c>
      <c r="H1435" s="3">
        <v>0.0</v>
      </c>
      <c r="I1435" s="3" t="s">
        <v>13</v>
      </c>
      <c r="J1435" s="3" t="s">
        <v>4366</v>
      </c>
      <c r="K1435" s="3" t="s">
        <v>54</v>
      </c>
      <c r="L1435" s="3" t="str">
        <f>IFERROR(__xludf.DUMMYFUNCTION("GOOGLETRANSLATE(F1435,""id"",""en"")"),"Faculty of Exciting Gini World Cup Final")</f>
        <v>Faculty of Exciting Gini World Cup Final</v>
      </c>
    </row>
    <row r="1436" ht="15.75" customHeight="1">
      <c r="A1436" s="1">
        <v>1438.0</v>
      </c>
      <c r="B1436" s="3" t="s">
        <v>4367</v>
      </c>
      <c r="C1436" s="3">
        <v>0.0</v>
      </c>
      <c r="D1436" s="3">
        <v>1.0</v>
      </c>
      <c r="E1436" s="3">
        <v>0.0</v>
      </c>
      <c r="F1436" s="3" t="s">
        <v>4368</v>
      </c>
      <c r="G1436" s="3">
        <v>1.0</v>
      </c>
      <c r="H1436" s="3">
        <v>0.0</v>
      </c>
      <c r="I1436" s="3" t="s">
        <v>13</v>
      </c>
      <c r="J1436" s="3" t="s">
        <v>4369</v>
      </c>
      <c r="K1436" s="3" t="s">
        <v>240</v>
      </c>
      <c r="L1436" s="3" t="str">
        <f>IFERROR(__xludf.DUMMYFUNCTION("GOOGLETRANSLATE(F1436,""id"",""en"")"),"Last goosebumps watching soccer when Manchester City QPR ends in champion and now the World Cup's best return")</f>
        <v>Last goosebumps watching soccer when Manchester City QPR ends in champion and now the World Cup's best return</v>
      </c>
    </row>
    <row r="1437" ht="15.75" customHeight="1">
      <c r="A1437" s="1">
        <v>1439.0</v>
      </c>
      <c r="B1437" s="3" t="s">
        <v>4370</v>
      </c>
      <c r="C1437" s="3">
        <v>1.0</v>
      </c>
      <c r="D1437" s="3">
        <v>0.0</v>
      </c>
      <c r="E1437" s="3">
        <v>1.0</v>
      </c>
      <c r="F1437" s="3" t="s">
        <v>4371</v>
      </c>
      <c r="G1437" s="3">
        <v>1.0</v>
      </c>
      <c r="H1437" s="3">
        <v>0.0</v>
      </c>
      <c r="I1437" s="3" t="s">
        <v>13</v>
      </c>
      <c r="J1437" s="3" t="s">
        <v>4372</v>
      </c>
      <c r="K1437" s="3" t="s">
        <v>308</v>
      </c>
      <c r="L1437" s="3" t="str">
        <f>IFERROR(__xludf.DUMMYFUNCTION("GOOGLETRANSLATE(F1437,""id"",""en"")"),"Actually, see this World Cup final like seeing Mbappe Argentina, Mbappe, he really carried his team, he just saw all the goals he gone.")</f>
        <v>Actually, see this World Cup final like seeing Mbappe Argentina, Mbappe, he really carried his team, he just saw all the goals he gone.</v>
      </c>
    </row>
    <row r="1438" ht="15.75" customHeight="1">
      <c r="A1438" s="1">
        <v>1440.0</v>
      </c>
      <c r="B1438" s="3" t="s">
        <v>4373</v>
      </c>
      <c r="C1438" s="3">
        <v>1.0</v>
      </c>
      <c r="D1438" s="3">
        <v>0.0</v>
      </c>
      <c r="E1438" s="3">
        <v>0.0</v>
      </c>
      <c r="F1438" s="3" t="s">
        <v>4374</v>
      </c>
      <c r="G1438" s="3">
        <v>1.0</v>
      </c>
      <c r="H1438" s="3">
        <v>0.0</v>
      </c>
      <c r="I1438" s="3" t="s">
        <v>13</v>
      </c>
      <c r="J1438" s="3" t="s">
        <v>4375</v>
      </c>
      <c r="K1438" s="3" t="s">
        <v>1465</v>
      </c>
      <c r="L1438" s="3" t="str">
        <f>IFERROR(__xludf.DUMMYFUNCTION("GOOGLETRANSLATE(F1438,""id"",""en"")"),"how happy this is my idol since childhood I like the ball because Messi Messi has failed to win the World Cup and one of them failed this final I was sleeping even though tomorrow I had to work in the morning I would relate")</f>
        <v>how happy this is my idol since childhood I like the ball because Messi Messi has failed to win the World Cup and one of them failed this final I was sleeping even though tomorrow I had to work in the morning I would relate</v>
      </c>
    </row>
    <row r="1439" ht="15.75" customHeight="1">
      <c r="A1439" s="1">
        <v>1441.0</v>
      </c>
      <c r="B1439" s="3" t="s">
        <v>4376</v>
      </c>
      <c r="C1439" s="3">
        <v>0.0</v>
      </c>
      <c r="D1439" s="3">
        <v>0.0</v>
      </c>
      <c r="E1439" s="3">
        <v>0.0</v>
      </c>
      <c r="F1439" s="3" t="s">
        <v>4377</v>
      </c>
      <c r="G1439" s="3">
        <v>1.0</v>
      </c>
      <c r="H1439" s="3">
        <v>0.0</v>
      </c>
      <c r="I1439" s="3" t="s">
        <v>13</v>
      </c>
      <c r="J1439" s="3" t="s">
        <v>4378</v>
      </c>
      <c r="K1439" s="3" t="s">
        <v>31</v>
      </c>
      <c r="L1439" s="3" t="str">
        <f>IFERROR(__xludf.DUMMYFUNCTION("GOOGLETRANSLATE(F1439,""id"",""en"")"),"Hattrick Final World Cup Gokil")</f>
        <v>Hattrick Final World Cup Gokil</v>
      </c>
    </row>
    <row r="1440" ht="15.75" customHeight="1">
      <c r="A1440" s="1">
        <v>1442.0</v>
      </c>
      <c r="B1440" s="3" t="s">
        <v>4379</v>
      </c>
      <c r="C1440" s="3">
        <v>0.0</v>
      </c>
      <c r="D1440" s="3">
        <v>0.0</v>
      </c>
      <c r="E1440" s="3">
        <v>0.0</v>
      </c>
      <c r="F1440" s="3" t="s">
        <v>4380</v>
      </c>
      <c r="G1440" s="3">
        <v>1.0</v>
      </c>
      <c r="H1440" s="3">
        <v>0.0</v>
      </c>
      <c r="I1440" s="3" t="s">
        <v>13</v>
      </c>
      <c r="J1440" s="3" t="s">
        <v>4381</v>
      </c>
      <c r="K1440" s="3" t="s">
        <v>82</v>
      </c>
      <c r="L1440" s="3" t="str">
        <f>IFERROR(__xludf.DUMMYFUNCTION("GOOGLETRANSLATE(F1440,""id"",""en"")"),"The World Cup was excited to the final.")</f>
        <v>The World Cup was excited to the final.</v>
      </c>
    </row>
    <row r="1441" ht="15.75" customHeight="1">
      <c r="A1441" s="1">
        <v>1443.0</v>
      </c>
      <c r="B1441" s="3" t="s">
        <v>4382</v>
      </c>
      <c r="C1441" s="3">
        <v>0.0</v>
      </c>
      <c r="D1441" s="3">
        <v>0.0</v>
      </c>
      <c r="E1441" s="3">
        <v>5.0</v>
      </c>
      <c r="F1441" s="3" t="s">
        <v>4383</v>
      </c>
      <c r="G1441" s="3">
        <v>1.0</v>
      </c>
      <c r="H1441" s="3">
        <v>0.0</v>
      </c>
      <c r="I1441" s="3" t="s">
        <v>13</v>
      </c>
      <c r="J1441" s="3" t="s">
        <v>4384</v>
      </c>
      <c r="K1441" s="3" t="s">
        <v>1479</v>
      </c>
      <c r="L1441" s="3" t="str">
        <f>IFERROR(__xludf.DUMMYFUNCTION("GOOGLETRANSLATE(F1441,""id"",""en"")"),"The new history of the World Cup Final Hattrick is awaited by the next World Cup, O young people")</f>
        <v>The new history of the World Cup Final Hattrick is awaited by the next World Cup, O young people</v>
      </c>
    </row>
    <row r="1442" ht="15.75" customHeight="1">
      <c r="A1442" s="1">
        <v>1444.0</v>
      </c>
      <c r="B1442" s="3" t="s">
        <v>4385</v>
      </c>
      <c r="C1442" s="3">
        <v>0.0</v>
      </c>
      <c r="D1442" s="3">
        <v>0.0</v>
      </c>
      <c r="E1442" s="3">
        <v>0.0</v>
      </c>
      <c r="F1442" s="3" t="s">
        <v>4386</v>
      </c>
      <c r="G1442" s="3">
        <v>1.0</v>
      </c>
      <c r="H1442" s="3">
        <v>0.0</v>
      </c>
      <c r="I1442" s="3" t="s">
        <v>13</v>
      </c>
      <c r="J1442" s="3" t="s">
        <v>4387</v>
      </c>
      <c r="K1442" s="3" t="s">
        <v>192</v>
      </c>
      <c r="L1442" s="3" t="str">
        <f>IFERROR(__xludf.DUMMYFUNCTION("GOOGLETRANSLATE(F1442,""id"",""en"")"),"Dybala has been named the brave person tonight kicking the world cup final penalty like the analog pes penalty is already directed but still in the middle of the rather soak teu nanaon seagrass opponent is fooled mah mah")</f>
        <v>Dybala has been named the brave person tonight kicking the world cup final penalty like the analog pes penalty is already directed but still in the middle of the rather soak teu nanaon seagrass opponent is fooled mah mah</v>
      </c>
    </row>
    <row r="1443" ht="15.75" customHeight="1">
      <c r="A1443" s="1">
        <v>1445.0</v>
      </c>
      <c r="B1443" s="3" t="s">
        <v>4388</v>
      </c>
      <c r="C1443" s="3">
        <v>0.0</v>
      </c>
      <c r="D1443" s="3">
        <v>0.0</v>
      </c>
      <c r="E1443" s="3">
        <v>0.0</v>
      </c>
      <c r="F1443" s="3" t="s">
        <v>4389</v>
      </c>
      <c r="G1443" s="3">
        <v>1.0</v>
      </c>
      <c r="H1443" s="3">
        <v>0.0</v>
      </c>
      <c r="I1443" s="3" t="s">
        <v>13</v>
      </c>
      <c r="J1443" s="3" t="s">
        <v>4390</v>
      </c>
      <c r="K1443" s="3" t="s">
        <v>192</v>
      </c>
      <c r="L1443" s="3" t="str">
        <f>IFERROR(__xludf.DUMMYFUNCTION("GOOGLETRANSLATE(F1443,""id"",""en"")"),"GGWP congratulations to Argentina to come out as ITS champion Okey France for Argentine supporters and Messi can finally celebrate this beautiful moment very sweet closing for Messi's career and the closing of the World Cup broke with a stunning final mat"&amp;"ch")</f>
        <v>GGWP congratulations to Argentina to come out as ITS champion Okey France for Argentine supporters and Messi can finally celebrate this beautiful moment very sweet closing for Messi's career and the closing of the World Cup broke with a stunning final match</v>
      </c>
    </row>
    <row r="1444" ht="15.75" customHeight="1">
      <c r="A1444" s="1">
        <v>1446.0</v>
      </c>
      <c r="B1444" s="3" t="s">
        <v>4391</v>
      </c>
      <c r="C1444" s="3">
        <v>1.0</v>
      </c>
      <c r="D1444" s="3">
        <v>0.0</v>
      </c>
      <c r="E1444" s="3">
        <v>0.0</v>
      </c>
      <c r="F1444" s="3" t="s">
        <v>4392</v>
      </c>
      <c r="G1444" s="3">
        <v>1.0</v>
      </c>
      <c r="H1444" s="3">
        <v>0.0</v>
      </c>
      <c r="I1444" s="3" t="s">
        <v>13</v>
      </c>
      <c r="J1444" s="3" t="s">
        <v>4393</v>
      </c>
      <c r="K1444" s="3" t="s">
        <v>510</v>
      </c>
      <c r="L1444" s="3" t="str">
        <f>IFERROR(__xludf.DUMMYFUNCTION("GOOGLETRANSLATE(F1444,""id"",""en"")"),"even though the intention of watching the final of the World Cup Bablas fell asleep his son who was given by his mammak also followed")</f>
        <v>even though the intention of watching the final of the World Cup Bablas fell asleep his son who was given by his mammak also followed</v>
      </c>
    </row>
    <row r="1445" ht="15.75" customHeight="1">
      <c r="A1445" s="1">
        <v>1447.0</v>
      </c>
      <c r="B1445" s="3" t="s">
        <v>4394</v>
      </c>
      <c r="C1445" s="3">
        <v>0.0</v>
      </c>
      <c r="D1445" s="3">
        <v>0.0</v>
      </c>
      <c r="E1445" s="3">
        <v>0.0</v>
      </c>
      <c r="F1445" s="3" t="s">
        <v>4395</v>
      </c>
      <c r="G1445" s="3">
        <v>1.0</v>
      </c>
      <c r="H1445" s="3">
        <v>0.0</v>
      </c>
      <c r="I1445" s="3" t="s">
        <v>13</v>
      </c>
      <c r="J1445" s="3" t="s">
        <v>4396</v>
      </c>
      <c r="K1445" s="3" t="s">
        <v>19</v>
      </c>
      <c r="L1445" s="3" t="str">
        <f>IFERROR(__xludf.DUMMYFUNCTION("GOOGLETRANSLATE(F1445,""id"",""en"")"),"The title goes is suitable for the most reasonable Match World Cup final match")</f>
        <v>The title goes is suitable for the most reasonable Match World Cup final match</v>
      </c>
    </row>
    <row r="1446" ht="15.75" customHeight="1">
      <c r="A1446" s="1">
        <v>1448.0</v>
      </c>
      <c r="B1446" s="3" t="s">
        <v>4397</v>
      </c>
      <c r="C1446" s="3">
        <v>0.0</v>
      </c>
      <c r="D1446" s="3">
        <v>0.0</v>
      </c>
      <c r="E1446" s="3">
        <v>0.0</v>
      </c>
      <c r="F1446" s="3" t="s">
        <v>4398</v>
      </c>
      <c r="G1446" s="3">
        <v>1.0</v>
      </c>
      <c r="H1446" s="3">
        <v>0.0</v>
      </c>
      <c r="I1446" s="3" t="s">
        <v>13</v>
      </c>
      <c r="J1446" s="3" t="s">
        <v>4399</v>
      </c>
      <c r="K1446" s="3" t="s">
        <v>82</v>
      </c>
      <c r="L1446" s="3" t="str">
        <f>IFERROR(__xludf.DUMMYFUNCTION("GOOGLETRANSLATE(F1446,""id"",""en"")"),"Complete World Cup Bet Dah Final")</f>
        <v>Complete World Cup Bet Dah Final</v>
      </c>
    </row>
    <row r="1447" ht="15.75" customHeight="1">
      <c r="A1447" s="1">
        <v>1449.0</v>
      </c>
      <c r="B1447" s="3" t="s">
        <v>4400</v>
      </c>
      <c r="C1447" s="3">
        <v>0.0</v>
      </c>
      <c r="D1447" s="3">
        <v>0.0</v>
      </c>
      <c r="E1447" s="3">
        <v>0.0</v>
      </c>
      <c r="F1447" s="3" t="s">
        <v>4401</v>
      </c>
      <c r="G1447" s="3">
        <v>0.75</v>
      </c>
      <c r="H1447" s="3">
        <v>0.25</v>
      </c>
      <c r="I1447" s="3" t="s">
        <v>48</v>
      </c>
      <c r="J1447" s="3" t="s">
        <v>4402</v>
      </c>
      <c r="K1447" s="3" t="s">
        <v>997</v>
      </c>
      <c r="L1447" s="3" t="str">
        <f>IFERROR(__xludf.DUMMYFUNCTION("GOOGLETRANSLATE(F1447,""id"",""en"")"),"Let See Is Mbappe in the future Mbappe can take over the title of a goat is still a long career he is still in the year twice in the World Cup directly final twice the goal of his own goal Pildun itself already if the top form can pass the record of Klose")</f>
        <v>Let See Is Mbappe in the future Mbappe can take over the title of a goat is still a long career he is still in the year twice in the World Cup directly final twice the goal of his own goal Pildun itself already if the top form can pass the record of Klose</v>
      </c>
    </row>
    <row r="1448" ht="15.75" customHeight="1">
      <c r="A1448" s="1">
        <v>1450.0</v>
      </c>
      <c r="B1448" s="3" t="s">
        <v>4403</v>
      </c>
      <c r="C1448" s="3">
        <v>0.0</v>
      </c>
      <c r="D1448" s="3">
        <v>0.0</v>
      </c>
      <c r="E1448" s="3">
        <v>0.0</v>
      </c>
      <c r="F1448" s="3" t="s">
        <v>4404</v>
      </c>
      <c r="G1448" s="3">
        <v>0.4</v>
      </c>
      <c r="H1448" s="3">
        <v>0.5</v>
      </c>
      <c r="I1448" s="3" t="s">
        <v>48</v>
      </c>
      <c r="J1448" s="3" t="s">
        <v>4405</v>
      </c>
      <c r="K1448" s="3" t="s">
        <v>205</v>
      </c>
      <c r="L1448" s="3" t="str">
        <f>IFERROR(__xludf.DUMMYFUNCTION("GOOGLETRANSLATE(F1448,""id"",""en"")"),"Congratulations Argentina Final World Cup Ter The Best Gilakk Pinalti Mbapee Next Best Player The World Final Beautiful for Leo Messi")</f>
        <v>Congratulations Argentina Final World Cup Ter The Best Gilakk Pinalti Mbapee Next Best Player The World Final Beautiful for Leo Messi</v>
      </c>
    </row>
    <row r="1449" ht="15.75" customHeight="1">
      <c r="A1449" s="1">
        <v>1451.0</v>
      </c>
      <c r="B1449" s="3" t="s">
        <v>4406</v>
      </c>
      <c r="C1449" s="3">
        <v>0.0</v>
      </c>
      <c r="D1449" s="3">
        <v>0.0</v>
      </c>
      <c r="E1449" s="3">
        <v>0.0</v>
      </c>
      <c r="F1449" s="3" t="s">
        <v>4407</v>
      </c>
      <c r="G1449" s="3">
        <v>1.0</v>
      </c>
      <c r="H1449" s="3">
        <v>0.0</v>
      </c>
      <c r="I1449" s="3" t="s">
        <v>13</v>
      </c>
      <c r="J1449" s="3" t="s">
        <v>4408</v>
      </c>
      <c r="K1449" s="3" t="s">
        <v>1097</v>
      </c>
      <c r="L1449" s="3" t="str">
        <f>IFERROR(__xludf.DUMMYFUNCTION("GOOGLETRANSLATE(F1449,""id"",""en"")"),"World Cup Final Heroes For Argentina Emiliano Martinez Argentina France")</f>
        <v>World Cup Final Heroes For Argentina Emiliano Martinez Argentina France</v>
      </c>
    </row>
    <row r="1450" ht="15.75" customHeight="1">
      <c r="A1450" s="1">
        <v>1452.0</v>
      </c>
      <c r="B1450" s="3" t="s">
        <v>4409</v>
      </c>
      <c r="C1450" s="3">
        <v>0.0</v>
      </c>
      <c r="D1450" s="3">
        <v>0.0</v>
      </c>
      <c r="E1450" s="3">
        <v>0.0</v>
      </c>
      <c r="F1450" s="3" t="s">
        <v>4410</v>
      </c>
      <c r="G1450" s="3">
        <v>1.0</v>
      </c>
      <c r="H1450" s="3">
        <v>0.0</v>
      </c>
      <c r="I1450" s="3" t="s">
        <v>13</v>
      </c>
      <c r="J1450" s="3" t="s">
        <v>4411</v>
      </c>
      <c r="K1450" s="3" t="s">
        <v>41</v>
      </c>
      <c r="L1450" s="3" t="str">
        <f>IFERROR(__xludf.DUMMYFUNCTION("GOOGLETRANSLATE(F1450,""id"",""en"")"),"imagine Mr. Jokowi calm Henhen when he lost the World Cup final")</f>
        <v>imagine Mr. Jokowi calm Henhen when he lost the World Cup final</v>
      </c>
    </row>
    <row r="1451" ht="15.75" customHeight="1">
      <c r="A1451" s="1">
        <v>1453.0</v>
      </c>
      <c r="B1451" s="3" t="s">
        <v>4412</v>
      </c>
      <c r="C1451" s="3">
        <v>0.0</v>
      </c>
      <c r="D1451" s="3">
        <v>0.0</v>
      </c>
      <c r="E1451" s="3">
        <v>0.0</v>
      </c>
      <c r="F1451" s="3" t="s">
        <v>4413</v>
      </c>
      <c r="G1451" s="3">
        <v>1.0</v>
      </c>
      <c r="H1451" s="3">
        <v>0.0</v>
      </c>
      <c r="I1451" s="3" t="s">
        <v>13</v>
      </c>
      <c r="J1451" s="3" t="s">
        <v>4414</v>
      </c>
      <c r="K1451" s="3" t="s">
        <v>499</v>
      </c>
      <c r="L1451" s="3" t="str">
        <f>IFERROR(__xludf.DUMMYFUNCTION("GOOGLETRANSLATE(F1451,""id"",""en"")"),"Argentina also initially lost to Arabic to shocked and pessimistic even cambos and proved to the final and won with the World Cup home until the penalty shootout")</f>
        <v>Argentina also initially lost to Arabic to shocked and pessimistic even cambos and proved to the final and won with the World Cup home until the penalty shootout</v>
      </c>
    </row>
    <row r="1452" ht="15.75" customHeight="1">
      <c r="A1452" s="1">
        <v>1454.0</v>
      </c>
      <c r="B1452" s="3" t="s">
        <v>4415</v>
      </c>
      <c r="C1452" s="3">
        <v>0.0</v>
      </c>
      <c r="D1452" s="3">
        <v>1.0</v>
      </c>
      <c r="E1452" s="3">
        <v>14.0</v>
      </c>
      <c r="F1452" s="3" t="s">
        <v>4416</v>
      </c>
      <c r="G1452" s="3">
        <v>1.0</v>
      </c>
      <c r="H1452" s="3">
        <v>0.0</v>
      </c>
      <c r="I1452" s="3" t="s">
        <v>13</v>
      </c>
      <c r="J1452" s="3" t="s">
        <v>4417</v>
      </c>
      <c r="K1452" s="3" t="s">
        <v>510</v>
      </c>
      <c r="L1452" s="3" t="str">
        <f>IFERROR(__xludf.DUMMYFUNCTION("GOOGLETRANSLATE(F1452,""id"",""en"")"),"What Final During the New World Cup this time watching this Semramatically Congratulations Argentina Messi")</f>
        <v>What Final During the New World Cup this time watching this Semramatically Congratulations Argentina Messi</v>
      </c>
    </row>
    <row r="1453" ht="15.75" customHeight="1">
      <c r="A1453" s="1">
        <v>1455.0</v>
      </c>
      <c r="B1453" s="3" t="s">
        <v>4418</v>
      </c>
      <c r="C1453" s="3">
        <v>0.0</v>
      </c>
      <c r="D1453" s="3">
        <v>1.0</v>
      </c>
      <c r="E1453" s="3">
        <v>1.0</v>
      </c>
      <c r="F1453" s="3" t="s">
        <v>4419</v>
      </c>
      <c r="G1453" s="3">
        <v>1.0</v>
      </c>
      <c r="H1453" s="3">
        <v>0.0</v>
      </c>
      <c r="I1453" s="3" t="s">
        <v>13</v>
      </c>
      <c r="J1453" s="3" t="s">
        <v>4420</v>
      </c>
      <c r="K1453" s="3" t="s">
        <v>50</v>
      </c>
      <c r="L1453" s="3" t="str">
        <f>IFERROR(__xludf.DUMMYFUNCTION("GOOGLETRANSLATE(F1453,""id"",""en"")"),"The World Cup final match between Argentina France continued until the extra minute round")</f>
        <v>The World Cup final match between Argentina France continued until the extra minute round</v>
      </c>
    </row>
    <row r="1454" ht="15.75" customHeight="1">
      <c r="A1454" s="1">
        <v>1456.0</v>
      </c>
      <c r="B1454" s="3" t="s">
        <v>4421</v>
      </c>
      <c r="C1454" s="3">
        <v>27.0</v>
      </c>
      <c r="D1454" s="3">
        <v>27.0</v>
      </c>
      <c r="E1454" s="3">
        <v>18.0</v>
      </c>
      <c r="F1454" s="3" t="s">
        <v>4422</v>
      </c>
      <c r="G1454" s="3">
        <v>1.0</v>
      </c>
      <c r="H1454" s="3">
        <v>0.0</v>
      </c>
      <c r="I1454" s="3" t="s">
        <v>13</v>
      </c>
      <c r="J1454" s="3" t="s">
        <v>4423</v>
      </c>
      <c r="K1454" s="3" t="s">
        <v>2735</v>
      </c>
      <c r="L1454" s="3" t="str">
        <f>IFERROR(__xludf.DUMMYFUNCTION("GOOGLETRANSLATE(F1454,""id"",""en"")"),"Since Ayang wins Messi want to giveaway Emoney balance to watch the final supporting Argentina how and reply using proof of watching the World Cup Final Streaming Nobar is important to watch and Argentina Jagoin tomorrow afternoon generally the winner")</f>
        <v>Since Ayang wins Messi want to giveaway Emoney balance to watch the final supporting Argentina how and reply using proof of watching the World Cup Final Streaming Nobar is important to watch and Argentina Jagoin tomorrow afternoon generally the winner</v>
      </c>
    </row>
    <row r="1455" ht="15.75" customHeight="1">
      <c r="A1455" s="1">
        <v>1457.0</v>
      </c>
      <c r="B1455" s="3" t="s">
        <v>4424</v>
      </c>
      <c r="C1455" s="3">
        <v>0.0</v>
      </c>
      <c r="D1455" s="3">
        <v>0.0</v>
      </c>
      <c r="E1455" s="3">
        <v>0.0</v>
      </c>
      <c r="F1455" s="3" t="s">
        <v>4425</v>
      </c>
      <c r="G1455" s="3">
        <v>1.0</v>
      </c>
      <c r="H1455" s="3">
        <v>0.0</v>
      </c>
      <c r="I1455" s="3" t="s">
        <v>13</v>
      </c>
      <c r="J1455" s="3" t="s">
        <v>4426</v>
      </c>
      <c r="K1455" s="3" t="s">
        <v>54</v>
      </c>
      <c r="L1455" s="3" t="str">
        <f>IFERROR(__xludf.DUMMYFUNCTION("GOOGLETRANSLATE(F1455,""id"",""en"")"),"IMDB Rating for the World Cup Final this time")</f>
        <v>IMDB Rating for the World Cup Final this time</v>
      </c>
    </row>
    <row r="1456" ht="15.75" customHeight="1">
      <c r="A1456" s="1">
        <v>1458.0</v>
      </c>
      <c r="B1456" s="3" t="s">
        <v>4427</v>
      </c>
      <c r="C1456" s="3">
        <v>0.0</v>
      </c>
      <c r="D1456" s="3">
        <v>0.0</v>
      </c>
      <c r="E1456" s="3">
        <v>0.0</v>
      </c>
      <c r="F1456" s="3" t="s">
        <v>4428</v>
      </c>
      <c r="G1456" s="3">
        <v>1.0</v>
      </c>
      <c r="H1456" s="3">
        <v>0.0</v>
      </c>
      <c r="I1456" s="3" t="s">
        <v>13</v>
      </c>
      <c r="J1456" s="3" t="s">
        <v>4429</v>
      </c>
      <c r="K1456" s="3" t="s">
        <v>82</v>
      </c>
      <c r="L1456" s="3" t="str">
        <f>IFERROR(__xludf.DUMMYFUNCTION("GOOGLETRANSLATE(F1456,""id"",""en"")"),"Incredible this is the final of the World Cup Lur makes teganggga")</f>
        <v>Incredible this is the final of the World Cup Lur makes teganggga</v>
      </c>
    </row>
    <row r="1457" ht="15.75" customHeight="1">
      <c r="A1457" s="1">
        <v>1459.0</v>
      </c>
      <c r="B1457" s="3" t="s">
        <v>4430</v>
      </c>
      <c r="C1457" s="3">
        <v>2.0</v>
      </c>
      <c r="D1457" s="3">
        <v>0.0</v>
      </c>
      <c r="E1457" s="3">
        <v>2.0</v>
      </c>
      <c r="F1457" s="3" t="s">
        <v>4431</v>
      </c>
      <c r="G1457" s="3">
        <v>0.4555555555555555</v>
      </c>
      <c r="H1457" s="3">
        <v>0.3333333333333333</v>
      </c>
      <c r="I1457" s="3" t="s">
        <v>48</v>
      </c>
      <c r="J1457" s="3" t="s">
        <v>4432</v>
      </c>
      <c r="K1457" s="3" t="s">
        <v>1824</v>
      </c>
      <c r="L1457" s="3" t="str">
        <f>IFERROR(__xludf.DUMMYFUNCTION("GOOGLETRANSLATE(F1457,""id"",""en"")"),"Best World Cup Final Ever The Last Dance Messi from the beginning Argentina Jagoin was defended for Messi's jersey before the start of the World Cup turned out to be really a champion who might want to bargain Yuta Size Nameset Ori")</f>
        <v>Best World Cup Final Ever The Last Dance Messi from the beginning Argentina Jagoin was defended for Messi's jersey before the start of the World Cup turned out to be really a champion who might want to bargain Yuta Size Nameset Ori</v>
      </c>
    </row>
    <row r="1458" ht="15.75" customHeight="1">
      <c r="A1458" s="1">
        <v>1460.0</v>
      </c>
      <c r="B1458" s="3" t="s">
        <v>4433</v>
      </c>
      <c r="C1458" s="3">
        <v>0.0</v>
      </c>
      <c r="D1458" s="3">
        <v>0.0</v>
      </c>
      <c r="E1458" s="3">
        <v>2.0</v>
      </c>
      <c r="F1458" s="3" t="s">
        <v>4434</v>
      </c>
      <c r="G1458" s="3">
        <v>1.0</v>
      </c>
      <c r="H1458" s="3">
        <v>0.0</v>
      </c>
      <c r="I1458" s="3" t="s">
        <v>13</v>
      </c>
      <c r="J1458" s="3" t="s">
        <v>4435</v>
      </c>
      <c r="K1458" s="3" t="s">
        <v>71</v>
      </c>
      <c r="L1458" s="3" t="str">
        <f>IFERROR(__xludf.DUMMYFUNCTION("GOOGLETRANSLATE(F1458,""id"",""en"")"),"The most exciting world cup final I ever watched back to each other's full attack Vamos Argentina")</f>
        <v>The most exciting world cup final I ever watched back to each other's full attack Vamos Argentina</v>
      </c>
    </row>
    <row r="1459" ht="15.75" customHeight="1">
      <c r="A1459" s="1">
        <v>1461.0</v>
      </c>
      <c r="B1459" s="3" t="s">
        <v>4436</v>
      </c>
      <c r="C1459" s="3">
        <v>0.0</v>
      </c>
      <c r="D1459" s="3">
        <v>0.0</v>
      </c>
      <c r="E1459" s="3">
        <v>0.0</v>
      </c>
      <c r="F1459" s="3" t="s">
        <v>4437</v>
      </c>
      <c r="G1459" s="3">
        <v>1.0</v>
      </c>
      <c r="H1459" s="3">
        <v>0.0</v>
      </c>
      <c r="I1459" s="3" t="s">
        <v>13</v>
      </c>
      <c r="J1459" s="3" t="s">
        <v>4438</v>
      </c>
      <c r="K1459" s="3" t="s">
        <v>54</v>
      </c>
      <c r="L1459" s="3" t="str">
        <f>IFERROR(__xludf.DUMMYFUNCTION("GOOGLETRANSLATE(F1459,""id"",""en"")"),"The Best Final of the World Cup I've ever watched")</f>
        <v>The Best Final of the World Cup I've ever watched</v>
      </c>
    </row>
    <row r="1460" ht="15.75" customHeight="1">
      <c r="A1460" s="1">
        <v>1462.0</v>
      </c>
      <c r="B1460" s="3" t="s">
        <v>4439</v>
      </c>
      <c r="C1460" s="3">
        <v>4.0</v>
      </c>
      <c r="D1460" s="3">
        <v>2.0</v>
      </c>
      <c r="E1460" s="3">
        <v>3.0</v>
      </c>
      <c r="F1460" s="3" t="s">
        <v>4440</v>
      </c>
      <c r="G1460" s="3">
        <v>1.0</v>
      </c>
      <c r="H1460" s="3">
        <v>0.0</v>
      </c>
      <c r="I1460" s="3" t="s">
        <v>13</v>
      </c>
      <c r="J1460" s="3" t="s">
        <v>4441</v>
      </c>
      <c r="K1460" s="3" t="s">
        <v>41</v>
      </c>
      <c r="L1460" s="3" t="str">
        <f>IFERROR(__xludf.DUMMYFUNCTION("GOOGLETRANSLATE(F1460,""id"",""en"")"),"Nobar Final of the World Cup with SNJC, please reduce the volume before watching")</f>
        <v>Nobar Final of the World Cup with SNJC, please reduce the volume before watching</v>
      </c>
    </row>
    <row r="1461" ht="15.75" customHeight="1">
      <c r="A1461" s="1">
        <v>1463.0</v>
      </c>
      <c r="B1461" s="3" t="s">
        <v>4442</v>
      </c>
      <c r="C1461" s="3">
        <v>0.0</v>
      </c>
      <c r="D1461" s="3">
        <v>0.0</v>
      </c>
      <c r="E1461" s="3">
        <v>0.0</v>
      </c>
      <c r="F1461" s="3" t="s">
        <v>4443</v>
      </c>
      <c r="G1461" s="3">
        <v>1.0</v>
      </c>
      <c r="H1461" s="3">
        <v>0.0</v>
      </c>
      <c r="I1461" s="3" t="s">
        <v>13</v>
      </c>
      <c r="J1461" s="3" t="s">
        <v>4444</v>
      </c>
      <c r="K1461" s="3" t="s">
        <v>19</v>
      </c>
      <c r="L1461" s="3" t="str">
        <f>IFERROR(__xludf.DUMMYFUNCTION("GOOGLETRANSLATE(F1461,""id"",""en"")"),"The most exciting final as long as watching the World Cup is really Arg Fra.")</f>
        <v>The most exciting final as long as watching the World Cup is really Arg Fra.</v>
      </c>
    </row>
    <row r="1462" ht="15.75" customHeight="1">
      <c r="A1462" s="1">
        <v>1464.0</v>
      </c>
      <c r="B1462" s="3" t="s">
        <v>4445</v>
      </c>
      <c r="C1462" s="3">
        <v>0.0</v>
      </c>
      <c r="D1462" s="3">
        <v>0.0</v>
      </c>
      <c r="E1462" s="3">
        <v>0.0</v>
      </c>
      <c r="F1462" s="3" t="s">
        <v>4446</v>
      </c>
      <c r="G1462" s="3">
        <v>1.0</v>
      </c>
      <c r="H1462" s="3">
        <v>0.0</v>
      </c>
      <c r="I1462" s="3" t="s">
        <v>13</v>
      </c>
      <c r="J1462" s="3" t="s">
        <v>4447</v>
      </c>
      <c r="K1462" s="3" t="s">
        <v>71</v>
      </c>
      <c r="L1462" s="3" t="str">
        <f>IFERROR(__xludf.DUMMYFUNCTION("GOOGLETRANSLATE(F1462,""id"",""en"")"),"Emyu has a World Cup final class defender installed by Ttep Number, how do you want to win tomorrow")</f>
        <v>Emyu has a World Cup final class defender installed by Ttep Number, how do you want to win tomorrow</v>
      </c>
    </row>
    <row r="1463" ht="15.75" customHeight="1">
      <c r="A1463" s="1">
        <v>1465.0</v>
      </c>
      <c r="B1463" s="3" t="s">
        <v>4448</v>
      </c>
      <c r="C1463" s="3">
        <v>0.0</v>
      </c>
      <c r="D1463" s="3">
        <v>0.0</v>
      </c>
      <c r="E1463" s="3">
        <v>0.0</v>
      </c>
      <c r="F1463" s="3" t="s">
        <v>4449</v>
      </c>
      <c r="G1463" s="3">
        <v>1.0</v>
      </c>
      <c r="H1463" s="3">
        <v>0.0</v>
      </c>
      <c r="I1463" s="3" t="s">
        <v>13</v>
      </c>
      <c r="J1463" s="3" t="s">
        <v>4450</v>
      </c>
      <c r="K1463" s="3" t="s">
        <v>127</v>
      </c>
      <c r="L1463" s="3" t="str">
        <f>IFERROR(__xludf.DUMMYFUNCTION("GOOGLETRANSLATE(F1463,""id"",""en"")"),"This year's edition of the World Cup is crazy, starting with many surprises from the first match of the Marocco group phase that can reach the semifinals of the final match")</f>
        <v>This year's edition of the World Cup is crazy, starting with many surprises from the first match of the Marocco group phase that can reach the semifinals of the final match</v>
      </c>
    </row>
    <row r="1464" ht="15.75" customHeight="1">
      <c r="A1464" s="1">
        <v>1466.0</v>
      </c>
      <c r="B1464" s="3" t="s">
        <v>4451</v>
      </c>
      <c r="C1464" s="3">
        <v>0.0</v>
      </c>
      <c r="D1464" s="3">
        <v>0.0</v>
      </c>
      <c r="E1464" s="3">
        <v>1.0</v>
      </c>
      <c r="F1464" s="3" t="s">
        <v>4452</v>
      </c>
      <c r="G1464" s="3">
        <v>1.0</v>
      </c>
      <c r="H1464" s="3">
        <v>0.0</v>
      </c>
      <c r="I1464" s="3" t="s">
        <v>13</v>
      </c>
      <c r="J1464" s="3" t="s">
        <v>4453</v>
      </c>
      <c r="K1464" s="3" t="s">
        <v>71</v>
      </c>
      <c r="L1464" s="3" t="str">
        <f>IFERROR(__xludf.DUMMYFUNCTION("GOOGLETRANSLATE(F1464,""id"",""en"")"),"The World Cup Final This time Argentina Dad France exciting so change to stand in front of the time again")</f>
        <v>The World Cup Final This time Argentina Dad France exciting so change to stand in front of the time again</v>
      </c>
    </row>
    <row r="1465" ht="15.75" customHeight="1">
      <c r="A1465" s="1">
        <v>1467.0</v>
      </c>
      <c r="B1465" s="3" t="s">
        <v>4454</v>
      </c>
      <c r="C1465" s="3">
        <v>0.0</v>
      </c>
      <c r="D1465" s="3">
        <v>0.0</v>
      </c>
      <c r="E1465" s="3">
        <v>0.0</v>
      </c>
      <c r="F1465" s="3" t="s">
        <v>2246</v>
      </c>
      <c r="G1465" s="3">
        <v>1.0</v>
      </c>
      <c r="H1465" s="3">
        <v>0.0</v>
      </c>
      <c r="I1465" s="3" t="s">
        <v>13</v>
      </c>
      <c r="J1465" s="3" t="s">
        <v>2247</v>
      </c>
      <c r="K1465" s="3" t="s">
        <v>31</v>
      </c>
      <c r="L1465" s="3" t="str">
        <f>IFERROR(__xludf.DUMMYFUNCTION("GOOGLETRANSLATE(F1465,""id"",""en"")"),"World Cup Final Most Exciting")</f>
        <v>World Cup Final Most Exciting</v>
      </c>
    </row>
    <row r="1466" ht="15.75" customHeight="1">
      <c r="A1466" s="1">
        <v>1468.0</v>
      </c>
      <c r="B1466" s="3" t="s">
        <v>4455</v>
      </c>
      <c r="C1466" s="3">
        <v>0.0</v>
      </c>
      <c r="D1466" s="3">
        <v>0.0</v>
      </c>
      <c r="E1466" s="3">
        <v>0.0</v>
      </c>
      <c r="F1466" s="3" t="s">
        <v>4456</v>
      </c>
      <c r="G1466" s="3">
        <v>1.0</v>
      </c>
      <c r="H1466" s="3">
        <v>0.0</v>
      </c>
      <c r="I1466" s="3" t="s">
        <v>13</v>
      </c>
      <c r="J1466" s="3" t="s">
        <v>4457</v>
      </c>
      <c r="K1466" s="3" t="s">
        <v>127</v>
      </c>
      <c r="L1466" s="3" t="str">
        <f>IFERROR(__xludf.DUMMYFUNCTION("GOOGLETRANSLATE(F1466,""id"",""en"")"),"Argentina Champion World Cup Coeg won against France, a penalty of one of the coolest finals in the history of football")</f>
        <v>Argentina Champion World Cup Coeg won against France, a penalty of one of the coolest finals in the history of football</v>
      </c>
    </row>
    <row r="1467" ht="15.75" customHeight="1">
      <c r="A1467" s="1">
        <v>1469.0</v>
      </c>
      <c r="B1467" s="3" t="s">
        <v>4458</v>
      </c>
      <c r="C1467" s="3">
        <v>1.0</v>
      </c>
      <c r="D1467" s="3">
        <v>0.0</v>
      </c>
      <c r="E1467" s="3">
        <v>0.0</v>
      </c>
      <c r="F1467" s="3" t="s">
        <v>4459</v>
      </c>
      <c r="G1467" s="3">
        <v>1.0</v>
      </c>
      <c r="H1467" s="3">
        <v>0.0</v>
      </c>
      <c r="I1467" s="3" t="s">
        <v>13</v>
      </c>
      <c r="J1467" s="3" t="s">
        <v>4460</v>
      </c>
      <c r="K1467" s="3" t="s">
        <v>54</v>
      </c>
      <c r="L1467" s="3" t="str">
        <f>IFERROR(__xludf.DUMMYFUNCTION("GOOGLETRANSLATE(F1467,""id"",""en"")"),"The World Cup Final I was exciting to watch from")</f>
        <v>The World Cup Final I was exciting to watch from</v>
      </c>
    </row>
    <row r="1468" ht="15.75" customHeight="1">
      <c r="A1468" s="1">
        <v>1470.0</v>
      </c>
      <c r="B1468" s="3" t="s">
        <v>4461</v>
      </c>
      <c r="C1468" s="3">
        <v>0.0</v>
      </c>
      <c r="D1468" s="3">
        <v>0.0</v>
      </c>
      <c r="E1468" s="3">
        <v>0.0</v>
      </c>
      <c r="F1468" s="3" t="s">
        <v>4462</v>
      </c>
      <c r="G1468" s="3">
        <v>0.8333333333333333</v>
      </c>
      <c r="H1468" s="3">
        <v>0.1666666666666667</v>
      </c>
      <c r="I1468" s="3" t="s">
        <v>48</v>
      </c>
      <c r="J1468" s="3" t="s">
        <v>4463</v>
      </c>
      <c r="K1468" s="3" t="s">
        <v>1045</v>
      </c>
      <c r="L1468" s="3" t="str">
        <f>IFERROR(__xludf.DUMMYFUNCTION("GOOGLETRANSLATE(F1468,""id"",""en"")"),"Argentina This Super Tense Final World Champion was finally won by Argentina through the Argentine third star shooting round and a sweet World Cup cover for the legend of Lionel Messi")</f>
        <v>Argentina This Super Tense Final World Champion was finally won by Argentina through the Argentine third star shooting round and a sweet World Cup cover for the legend of Lionel Messi</v>
      </c>
    </row>
    <row r="1469" ht="15.75" customHeight="1">
      <c r="A1469" s="1">
        <v>1471.0</v>
      </c>
      <c r="B1469" s="3" t="s">
        <v>4464</v>
      </c>
      <c r="C1469" s="3">
        <v>0.0</v>
      </c>
      <c r="D1469" s="3">
        <v>0.0</v>
      </c>
      <c r="E1469" s="3">
        <v>1.0</v>
      </c>
      <c r="F1469" s="3" t="s">
        <v>4465</v>
      </c>
      <c r="G1469" s="3">
        <v>1.0</v>
      </c>
      <c r="H1469" s="3">
        <v>0.0</v>
      </c>
      <c r="I1469" s="3" t="s">
        <v>13</v>
      </c>
      <c r="J1469" s="3" t="s">
        <v>4466</v>
      </c>
      <c r="K1469" s="3" t="s">
        <v>1335</v>
      </c>
      <c r="L1469" s="3" t="str">
        <f>IFERROR(__xludf.DUMMYFUNCTION("GOOGLETRANSLATE(F1469,""id"",""en"")"),"The Best World Cup Final ever")</f>
        <v>The Best World Cup Final ever</v>
      </c>
    </row>
    <row r="1470" ht="15.75" customHeight="1">
      <c r="A1470" s="1">
        <v>1472.0</v>
      </c>
      <c r="B1470" s="3" t="s">
        <v>4467</v>
      </c>
      <c r="C1470" s="3">
        <v>0.0</v>
      </c>
      <c r="D1470" s="3">
        <v>0.0</v>
      </c>
      <c r="E1470" s="3">
        <v>0.0</v>
      </c>
      <c r="F1470" s="3" t="s">
        <v>2246</v>
      </c>
      <c r="G1470" s="3">
        <v>1.0</v>
      </c>
      <c r="H1470" s="3">
        <v>0.0</v>
      </c>
      <c r="I1470" s="3" t="s">
        <v>13</v>
      </c>
      <c r="J1470" s="3" t="s">
        <v>2247</v>
      </c>
      <c r="K1470" s="3" t="s">
        <v>31</v>
      </c>
      <c r="L1470" s="3" t="str">
        <f>IFERROR(__xludf.DUMMYFUNCTION("GOOGLETRANSLATE(F1470,""id"",""en"")"),"World Cup Final Most Exciting")</f>
        <v>World Cup Final Most Exciting</v>
      </c>
    </row>
    <row r="1471" ht="15.75" customHeight="1">
      <c r="A1471" s="1">
        <v>1473.0</v>
      </c>
      <c r="B1471" s="3" t="s">
        <v>4468</v>
      </c>
      <c r="C1471" s="3">
        <v>0.0</v>
      </c>
      <c r="D1471" s="3">
        <v>0.0</v>
      </c>
      <c r="E1471" s="3">
        <v>0.0</v>
      </c>
      <c r="F1471" s="3" t="s">
        <v>4469</v>
      </c>
      <c r="G1471" s="3">
        <v>0.5333333333333333</v>
      </c>
      <c r="H1471" s="3">
        <v>0.0</v>
      </c>
      <c r="I1471" s="3" t="s">
        <v>13</v>
      </c>
      <c r="J1471" s="3" t="s">
        <v>4470</v>
      </c>
      <c r="K1471" s="3" t="s">
        <v>614</v>
      </c>
      <c r="L1471" s="3" t="str">
        <f>IFERROR(__xludf.DUMMYFUNCTION("GOOGLETRANSLATE(F1471,""id"",""en"")"),"This final pildun is excited as long as I've watched it from the edition and added Messi can get the last edition of the last edition of the last dance with this fix the debate is who goes")</f>
        <v>This final pildun is excited as long as I've watched it from the edition and added Messi can get the last edition of the last edition of the last dance with this fix the debate is who goes</v>
      </c>
    </row>
    <row r="1472" ht="15.75" customHeight="1">
      <c r="A1472" s="1">
        <v>1475.0</v>
      </c>
      <c r="B1472" s="3" t="s">
        <v>4471</v>
      </c>
      <c r="C1472" s="3">
        <v>0.0</v>
      </c>
      <c r="D1472" s="3">
        <v>0.0</v>
      </c>
      <c r="E1472" s="3">
        <v>1.0</v>
      </c>
      <c r="F1472" s="3" t="s">
        <v>4472</v>
      </c>
      <c r="G1472" s="3">
        <v>1.0</v>
      </c>
      <c r="H1472" s="3">
        <v>0.0</v>
      </c>
      <c r="I1472" s="3" t="s">
        <v>13</v>
      </c>
      <c r="J1472" s="3" t="s">
        <v>4473</v>
      </c>
      <c r="K1472" s="3" t="s">
        <v>1394</v>
      </c>
      <c r="L1472" s="3" t="str">
        <f>IFERROR(__xludf.DUMMYFUNCTION("GOOGLETRANSLATE(F1472,""id"",""en"")"),"Who would have thought that the World Cup even a week before it began to be interesting and then from the opening to the Final Final Amazing Sopo Sik Ngiro Wes Wingi the first match Argentina lost Soko Arabia Saiki won then Moroccan Sik Sik Press Semifina"&amp;"l")</f>
        <v>Who would have thought that the World Cup even a week before it began to be interesting and then from the opening to the Final Final Amazing Sopo Sik Ngiro Wes Wingi the first match Argentina lost Soko Arabia Saiki won then Moroccan Sik Sik Press Semifinal</v>
      </c>
    </row>
    <row r="1473" ht="15.75" customHeight="1">
      <c r="A1473" s="1">
        <v>1476.0</v>
      </c>
      <c r="B1473" s="3" t="s">
        <v>4474</v>
      </c>
      <c r="C1473" s="3">
        <v>0.0</v>
      </c>
      <c r="D1473" s="3">
        <v>0.0</v>
      </c>
      <c r="E1473" s="3">
        <v>1.0</v>
      </c>
      <c r="F1473" s="3" t="s">
        <v>4475</v>
      </c>
      <c r="G1473" s="3">
        <v>0.55</v>
      </c>
      <c r="H1473" s="3">
        <v>0.0</v>
      </c>
      <c r="I1473" s="3" t="s">
        <v>13</v>
      </c>
      <c r="J1473" s="3" t="s">
        <v>4476</v>
      </c>
      <c r="K1473" s="3" t="s">
        <v>15</v>
      </c>
      <c r="L1473" s="3" t="str">
        <f>IFERROR(__xludf.DUMMYFUNCTION("GOOGLETRANSLATE(F1473,""id"",""en"")"),"Big World Applause World Final Final for Both Teams")</f>
        <v>Big World Applause World Final Final for Both Teams</v>
      </c>
    </row>
    <row r="1474" ht="15.75" customHeight="1">
      <c r="A1474" s="1">
        <v>1477.0</v>
      </c>
      <c r="B1474" s="3" t="s">
        <v>4477</v>
      </c>
      <c r="C1474" s="3">
        <v>0.0</v>
      </c>
      <c r="D1474" s="3">
        <v>0.0</v>
      </c>
      <c r="E1474" s="3">
        <v>0.0</v>
      </c>
      <c r="F1474" s="3" t="s">
        <v>4478</v>
      </c>
      <c r="G1474" s="3">
        <v>1.0</v>
      </c>
      <c r="H1474" s="3">
        <v>0.0</v>
      </c>
      <c r="I1474" s="3" t="s">
        <v>13</v>
      </c>
      <c r="J1474" s="3" t="s">
        <v>4479</v>
      </c>
      <c r="K1474" s="3" t="s">
        <v>1097</v>
      </c>
      <c r="L1474" s="3" t="str">
        <f>IFERROR(__xludf.DUMMYFUNCTION("GOOGLETRANSLATE(F1474,""id"",""en"")"),"Argentina The Final Champion is the most exciting in the history of the World Cup Final")</f>
        <v>Argentina The Final Champion is the most exciting in the history of the World Cup Final</v>
      </c>
    </row>
    <row r="1475" ht="15.75" customHeight="1">
      <c r="A1475" s="1">
        <v>1478.0</v>
      </c>
      <c r="B1475" s="3" t="s">
        <v>4480</v>
      </c>
      <c r="C1475" s="3">
        <v>0.0</v>
      </c>
      <c r="D1475" s="3">
        <v>0.0</v>
      </c>
      <c r="E1475" s="3">
        <v>0.0</v>
      </c>
      <c r="F1475" s="3" t="s">
        <v>4481</v>
      </c>
      <c r="G1475" s="3">
        <v>0.7</v>
      </c>
      <c r="H1475" s="3">
        <v>-0.2</v>
      </c>
      <c r="I1475" s="3" t="s">
        <v>179</v>
      </c>
      <c r="J1475" s="3" t="s">
        <v>4482</v>
      </c>
      <c r="K1475" s="3" t="s">
        <v>4236</v>
      </c>
      <c r="L1475" s="3" t="str">
        <f>IFERROR(__xludf.DUMMYFUNCTION("GOOGLETRANSLATE(F1475,""id"",""en"")"),"Qatar Final The Best World Cup throughout My Life Watch the Best World Cup World Cup if the African World Cup atmospheric version is the best")</f>
        <v>Qatar Final The Best World Cup throughout My Life Watch the Best World Cup World Cup if the African World Cup atmospheric version is the best</v>
      </c>
    </row>
    <row r="1476" ht="15.75" customHeight="1">
      <c r="A1476" s="1">
        <v>1479.0</v>
      </c>
      <c r="B1476" s="3" t="s">
        <v>4483</v>
      </c>
      <c r="C1476" s="3">
        <v>1.0</v>
      </c>
      <c r="D1476" s="3">
        <v>0.0</v>
      </c>
      <c r="E1476" s="3">
        <v>20.0</v>
      </c>
      <c r="F1476" s="3" t="s">
        <v>2999</v>
      </c>
      <c r="G1476" s="3">
        <v>0.55</v>
      </c>
      <c r="H1476" s="3">
        <v>0.0</v>
      </c>
      <c r="I1476" s="3" t="s">
        <v>13</v>
      </c>
      <c r="J1476" s="3" t="s">
        <v>3000</v>
      </c>
      <c r="K1476" s="3" t="s">
        <v>41</v>
      </c>
      <c r="L1476" s="3" t="str">
        <f>IFERROR(__xludf.DUMMYFUNCTION("GOOGLETRANSLATE(F1476,""id"",""en"")"),"Extra Time Final Results of the French Argentina Score")</f>
        <v>Extra Time Final Results of the French Argentina Score</v>
      </c>
    </row>
    <row r="1477" ht="15.75" customHeight="1">
      <c r="A1477" s="1">
        <v>1480.0</v>
      </c>
      <c r="B1477" s="3" t="s">
        <v>4484</v>
      </c>
      <c r="C1477" s="3">
        <v>0.0</v>
      </c>
      <c r="D1477" s="3">
        <v>0.0</v>
      </c>
      <c r="E1477" s="3">
        <v>0.0</v>
      </c>
      <c r="F1477" s="3" t="s">
        <v>4485</v>
      </c>
      <c r="G1477" s="3">
        <v>1.0</v>
      </c>
      <c r="H1477" s="3">
        <v>0.0</v>
      </c>
      <c r="I1477" s="3" t="s">
        <v>13</v>
      </c>
      <c r="J1477" s="3" t="s">
        <v>4486</v>
      </c>
      <c r="K1477" s="3" t="s">
        <v>657</v>
      </c>
      <c r="L1477" s="3" t="str">
        <f>IFERROR(__xludf.DUMMYFUNCTION("GOOGLETRANSLATE(F1477,""id"",""en"")"),"Throughout the World Cup I only watched the last minute of the final session the rest lacked care of it.")</f>
        <v>Throughout the World Cup I only watched the last minute of the final session the rest lacked care of it.</v>
      </c>
    </row>
    <row r="1478" ht="15.75" customHeight="1">
      <c r="A1478" s="1">
        <v>1481.0</v>
      </c>
      <c r="B1478" s="3" t="s">
        <v>4487</v>
      </c>
      <c r="C1478" s="3">
        <v>0.0</v>
      </c>
      <c r="D1478" s="3">
        <v>0.0</v>
      </c>
      <c r="E1478" s="3">
        <v>0.0</v>
      </c>
      <c r="F1478" s="3" t="s">
        <v>4488</v>
      </c>
      <c r="G1478" s="3">
        <v>1.0</v>
      </c>
      <c r="H1478" s="3">
        <v>0.0</v>
      </c>
      <c r="I1478" s="3" t="s">
        <v>13</v>
      </c>
      <c r="J1478" s="3" t="s">
        <v>4489</v>
      </c>
      <c r="K1478" s="3" t="s">
        <v>467</v>
      </c>
      <c r="L1478" s="3" t="str">
        <f>IFERROR(__xludf.DUMMYFUNCTION("GOOGLETRANSLATE(F1478,""id"",""en"")"),"The last original watching football when the world waka waka, the world cup is now only watching the final")</f>
        <v>The last original watching football when the world waka waka, the world cup is now only watching the final</v>
      </c>
    </row>
    <row r="1479" ht="15.75" customHeight="1">
      <c r="A1479" s="1">
        <v>1482.0</v>
      </c>
      <c r="B1479" s="3" t="s">
        <v>4490</v>
      </c>
      <c r="C1479" s="3">
        <v>0.0</v>
      </c>
      <c r="D1479" s="3">
        <v>0.0</v>
      </c>
      <c r="E1479" s="3">
        <v>0.0</v>
      </c>
      <c r="F1479" s="3" t="s">
        <v>4491</v>
      </c>
      <c r="G1479" s="3">
        <v>1.0</v>
      </c>
      <c r="H1479" s="3">
        <v>0.0</v>
      </c>
      <c r="I1479" s="3" t="s">
        <v>13</v>
      </c>
      <c r="J1479" s="3" t="s">
        <v>4492</v>
      </c>
      <c r="K1479" s="3" t="s">
        <v>82</v>
      </c>
      <c r="L1479" s="3" t="str">
        <f>IFERROR(__xludf.DUMMYFUNCTION("GOOGLETRANSLATE(F1479,""id"",""en"")"),"One of Edun's best world cup finals")</f>
        <v>One of Edun's best world cup finals</v>
      </c>
    </row>
    <row r="1480" ht="15.75" customHeight="1">
      <c r="A1480" s="1">
        <v>1483.0</v>
      </c>
      <c r="B1480" s="3" t="s">
        <v>4493</v>
      </c>
      <c r="C1480" s="3">
        <v>0.0</v>
      </c>
      <c r="D1480" s="3">
        <v>0.0</v>
      </c>
      <c r="E1480" s="3">
        <v>0.0</v>
      </c>
      <c r="F1480" s="3" t="s">
        <v>4494</v>
      </c>
      <c r="G1480" s="3">
        <v>1.0</v>
      </c>
      <c r="H1480" s="3">
        <v>0.0</v>
      </c>
      <c r="I1480" s="3" t="s">
        <v>13</v>
      </c>
      <c r="J1480" s="3" t="s">
        <v>4495</v>
      </c>
      <c r="K1480" s="3" t="s">
        <v>31</v>
      </c>
      <c r="L1480" s="3" t="str">
        <f>IFERROR(__xludf.DUMMYFUNCTION("GOOGLETRANSLATE(F1480,""id"",""en"")"),"World Cup Final The Most Anjim")</f>
        <v>World Cup Final The Most Anjim</v>
      </c>
    </row>
    <row r="1481" ht="15.75" customHeight="1">
      <c r="A1481" s="1">
        <v>1484.0</v>
      </c>
      <c r="B1481" s="3" t="s">
        <v>4496</v>
      </c>
      <c r="C1481" s="3">
        <v>0.0</v>
      </c>
      <c r="D1481" s="3">
        <v>0.0</v>
      </c>
      <c r="E1481" s="3">
        <v>0.0</v>
      </c>
      <c r="F1481" s="3" t="s">
        <v>4497</v>
      </c>
      <c r="G1481" s="3">
        <v>1.0</v>
      </c>
      <c r="H1481" s="3">
        <v>0.0</v>
      </c>
      <c r="I1481" s="3" t="s">
        <v>13</v>
      </c>
      <c r="J1481" s="3" t="s">
        <v>4498</v>
      </c>
      <c r="K1481" s="3" t="s">
        <v>19</v>
      </c>
      <c r="L1481" s="3" t="str">
        <f>IFERROR(__xludf.DUMMYFUNCTION("GOOGLETRANSLATE(F1481,""id"",""en"")"),"Argentina's best final must pass the minute plus a penalty shootout to win the World Cup")</f>
        <v>Argentina's best final must pass the minute plus a penalty shootout to win the World Cup</v>
      </c>
    </row>
    <row r="1482" ht="15.75" customHeight="1">
      <c r="A1482" s="1">
        <v>1485.0</v>
      </c>
      <c r="B1482" s="3" t="s">
        <v>4499</v>
      </c>
      <c r="C1482" s="3">
        <v>0.0</v>
      </c>
      <c r="D1482" s="3">
        <v>0.0</v>
      </c>
      <c r="E1482" s="3">
        <v>0.0</v>
      </c>
      <c r="F1482" s="3" t="s">
        <v>4500</v>
      </c>
      <c r="G1482" s="3">
        <v>1.0</v>
      </c>
      <c r="H1482" s="3">
        <v>0.0</v>
      </c>
      <c r="I1482" s="3" t="s">
        <v>13</v>
      </c>
      <c r="J1482" s="3" t="s">
        <v>4501</v>
      </c>
      <c r="K1482" s="3" t="s">
        <v>71</v>
      </c>
      <c r="L1482" s="3" t="str">
        <f>IFERROR(__xludf.DUMMYFUNCTION("GOOGLETRANSLATE(F1482,""id"",""en"")"),"One of the best World Cup finals ever watched Happy Messi et al Argentina France Penalty")</f>
        <v>One of the best World Cup finals ever watched Happy Messi et al Argentina France Penalty</v>
      </c>
    </row>
    <row r="1483" ht="15.75" customHeight="1">
      <c r="A1483" s="1">
        <v>1486.0</v>
      </c>
      <c r="B1483" s="3" t="s">
        <v>4502</v>
      </c>
      <c r="C1483" s="3">
        <v>1.0</v>
      </c>
      <c r="D1483" s="3">
        <v>0.0</v>
      </c>
      <c r="E1483" s="3">
        <v>1.0</v>
      </c>
      <c r="F1483" s="3" t="s">
        <v>4503</v>
      </c>
      <c r="G1483" s="3">
        <v>1.0</v>
      </c>
      <c r="H1483" s="3">
        <v>0.0</v>
      </c>
      <c r="I1483" s="3" t="s">
        <v>13</v>
      </c>
      <c r="J1483" s="3" t="s">
        <v>4504</v>
      </c>
      <c r="K1483" s="3" t="s">
        <v>41</v>
      </c>
      <c r="L1483" s="3" t="str">
        <f>IFERROR(__xludf.DUMMYFUNCTION("GOOGLETRANSLATE(F1483,""id"",""en"")"),"grateful that you could be a witness to the World Cup Final can be said to be the best crazy")</f>
        <v>grateful that you could be a witness to the World Cup Final can be said to be the best crazy</v>
      </c>
    </row>
    <row r="1484" ht="15.75" customHeight="1">
      <c r="A1484" s="1">
        <v>1487.0</v>
      </c>
      <c r="B1484" s="3" t="s">
        <v>4505</v>
      </c>
      <c r="C1484" s="3">
        <v>0.0</v>
      </c>
      <c r="D1484" s="3">
        <v>1.0</v>
      </c>
      <c r="E1484" s="3">
        <v>1.0</v>
      </c>
      <c r="F1484" s="3" t="s">
        <v>4506</v>
      </c>
      <c r="G1484" s="3">
        <v>1.0</v>
      </c>
      <c r="H1484" s="3">
        <v>0.0</v>
      </c>
      <c r="I1484" s="3" t="s">
        <v>13</v>
      </c>
      <c r="J1484" s="3" t="s">
        <v>4507</v>
      </c>
      <c r="K1484" s="3" t="s">
        <v>463</v>
      </c>
      <c r="L1484" s="3" t="str">
        <f>IFERROR(__xludf.DUMMYFUNCTION("GOOGLETRANSLATE(F1484,""id"",""en"")"),"Satisfied with the final time again satisfied to look at Messi The Goat lifting the best trophy in the world for the last world cup.")</f>
        <v>Satisfied with the final time again satisfied to look at Messi The Goat lifting the best trophy in the world for the last world cup.</v>
      </c>
    </row>
    <row r="1485" ht="15.75" customHeight="1">
      <c r="A1485" s="1">
        <v>1488.0</v>
      </c>
      <c r="B1485" s="3" t="s">
        <v>4508</v>
      </c>
      <c r="C1485" s="3">
        <v>0.0</v>
      </c>
      <c r="D1485" s="3">
        <v>0.0</v>
      </c>
      <c r="E1485" s="3">
        <v>0.0</v>
      </c>
      <c r="F1485" s="3" t="s">
        <v>4509</v>
      </c>
      <c r="G1485" s="3">
        <v>1.0</v>
      </c>
      <c r="H1485" s="3">
        <v>0.0</v>
      </c>
      <c r="I1485" s="3" t="s">
        <v>13</v>
      </c>
      <c r="J1485" s="3" t="s">
        <v>4510</v>
      </c>
      <c r="K1485" s="3" t="s">
        <v>75</v>
      </c>
      <c r="L1485" s="3" t="str">
        <f>IFERROR(__xludf.DUMMYFUNCTION("GOOGLETRANSLATE(F1485,""id"",""en"")"),"Final Very Special World Cup Qatar Congratulations Argentina Messi Perfect")</f>
        <v>Final Very Special World Cup Qatar Congratulations Argentina Messi Perfect</v>
      </c>
    </row>
    <row r="1486" ht="15.75" customHeight="1">
      <c r="A1486" s="1">
        <v>1489.0</v>
      </c>
      <c r="B1486" s="3" t="s">
        <v>4511</v>
      </c>
      <c r="C1486" s="3">
        <v>0.0</v>
      </c>
      <c r="D1486" s="3">
        <v>0.0</v>
      </c>
      <c r="E1486" s="3">
        <v>7.0</v>
      </c>
      <c r="F1486" s="3" t="s">
        <v>4512</v>
      </c>
      <c r="G1486" s="3">
        <v>1.0</v>
      </c>
      <c r="H1486" s="3">
        <v>0.0</v>
      </c>
      <c r="I1486" s="3" t="s">
        <v>13</v>
      </c>
      <c r="J1486" s="3" t="s">
        <v>4513</v>
      </c>
      <c r="K1486" s="3" t="s">
        <v>657</v>
      </c>
      <c r="L1486" s="3" t="str">
        <f>IFERROR(__xludf.DUMMYFUNCTION("GOOGLETRANSLATE(F1486,""id"",""en"")"),"This is the most exciting World Cup final and Argentina finally won the match after winning the penalties against France")</f>
        <v>This is the most exciting World Cup final and Argentina finally won the match after winning the penalties against France</v>
      </c>
    </row>
    <row r="1487" ht="15.75" customHeight="1">
      <c r="A1487" s="1">
        <v>1490.0</v>
      </c>
      <c r="B1487" s="3" t="s">
        <v>4514</v>
      </c>
      <c r="C1487" s="3">
        <v>1.0</v>
      </c>
      <c r="D1487" s="3">
        <v>0.0</v>
      </c>
      <c r="E1487" s="3">
        <v>0.0</v>
      </c>
      <c r="F1487" s="3" t="s">
        <v>4515</v>
      </c>
      <c r="G1487" s="3">
        <v>1.0</v>
      </c>
      <c r="H1487" s="3">
        <v>0.0</v>
      </c>
      <c r="I1487" s="3" t="s">
        <v>13</v>
      </c>
      <c r="J1487" s="3" t="s">
        <v>4516</v>
      </c>
      <c r="K1487" s="3" t="s">
        <v>903</v>
      </c>
      <c r="L1487" s="3" t="str">
        <f>IFERROR(__xludf.DUMMYFUNCTION("GOOGLETRANSLATE(F1487,""id"",""en"")"),"The best final during his life watching the World Cup since again again Messi had to thank Emiliano Martinez Maradona, now able to rest in peace, especially now Messi has exceeded his achievements")</f>
        <v>The best final during his life watching the World Cup since again again Messi had to thank Emiliano Martinez Maradona, now able to rest in peace, especially now Messi has exceeded his achievements</v>
      </c>
    </row>
    <row r="1488" ht="15.75" customHeight="1">
      <c r="A1488" s="1">
        <v>1491.0</v>
      </c>
      <c r="B1488" s="3" t="s">
        <v>4517</v>
      </c>
      <c r="C1488" s="3">
        <v>0.0</v>
      </c>
      <c r="D1488" s="3">
        <v>0.0</v>
      </c>
      <c r="E1488" s="3">
        <v>0.0</v>
      </c>
      <c r="F1488" s="3" t="s">
        <v>4518</v>
      </c>
      <c r="G1488" s="3">
        <v>1.0</v>
      </c>
      <c r="H1488" s="3">
        <v>0.0</v>
      </c>
      <c r="I1488" s="3" t="s">
        <v>13</v>
      </c>
      <c r="J1488" s="3" t="s">
        <v>4519</v>
      </c>
      <c r="K1488" s="3" t="s">
        <v>90</v>
      </c>
      <c r="L1488" s="3" t="str">
        <f>IFERROR(__xludf.DUMMYFUNCTION("GOOGLETRANSLATE(F1488,""id"",""en"")"),"December Watching the World Cup Final with Mr. Amen accompanied by my chucky Momo who is complicated because it's sleepy when I usually sleep well his room wkwkwkwkw")</f>
        <v>December Watching the World Cup Final with Mr. Amen accompanied by my chucky Momo who is complicated because it's sleepy when I usually sleep well his room wkwkwkwkw</v>
      </c>
    </row>
    <row r="1489" ht="15.75" customHeight="1">
      <c r="A1489" s="1">
        <v>1492.0</v>
      </c>
      <c r="B1489" s="3" t="s">
        <v>4520</v>
      </c>
      <c r="C1489" s="3">
        <v>0.0</v>
      </c>
      <c r="D1489" s="3">
        <v>0.0</v>
      </c>
      <c r="E1489" s="3">
        <v>0.0</v>
      </c>
      <c r="F1489" s="3" t="s">
        <v>4521</v>
      </c>
      <c r="G1489" s="3">
        <v>1.0</v>
      </c>
      <c r="H1489" s="3">
        <v>0.0</v>
      </c>
      <c r="I1489" s="3" t="s">
        <v>13</v>
      </c>
      <c r="J1489" s="3" t="s">
        <v>4522</v>
      </c>
      <c r="K1489" s="3" t="s">
        <v>31</v>
      </c>
      <c r="L1489" s="3" t="str">
        <f>IFERROR(__xludf.DUMMYFUNCTION("GOOGLETRANSLATE(F1489,""id"",""en"")"),"exciting the world cup final this time")</f>
        <v>exciting the world cup final this time</v>
      </c>
    </row>
    <row r="1490" ht="15.75" customHeight="1">
      <c r="A1490" s="1">
        <v>1493.0</v>
      </c>
      <c r="B1490" s="3" t="s">
        <v>4523</v>
      </c>
      <c r="C1490" s="3">
        <v>0.0</v>
      </c>
      <c r="D1490" s="3">
        <v>0.0</v>
      </c>
      <c r="E1490" s="3">
        <v>0.0</v>
      </c>
      <c r="F1490" s="3" t="s">
        <v>4524</v>
      </c>
      <c r="G1490" s="3">
        <v>1.0</v>
      </c>
      <c r="H1490" s="3">
        <v>0.0</v>
      </c>
      <c r="I1490" s="3" t="s">
        <v>13</v>
      </c>
      <c r="J1490" s="3" t="s">
        <v>4525</v>
      </c>
      <c r="K1490" s="3" t="s">
        <v>19</v>
      </c>
      <c r="L1490" s="3" t="str">
        <f>IFERROR(__xludf.DUMMYFUNCTION("GOOGLETRANSLATE(F1490,""id"",""en"")"),"Mbappe just wanted the year but already the World Cup Final Trick Hats Crazy Leak")</f>
        <v>Mbappe just wanted the year but already the World Cup Final Trick Hats Crazy Leak</v>
      </c>
    </row>
    <row r="1491" ht="15.75" customHeight="1">
      <c r="A1491" s="1">
        <v>1494.0</v>
      </c>
      <c r="B1491" s="3" t="s">
        <v>4526</v>
      </c>
      <c r="C1491" s="3">
        <v>0.0</v>
      </c>
      <c r="D1491" s="3">
        <v>0.0</v>
      </c>
      <c r="E1491" s="3">
        <v>0.0</v>
      </c>
      <c r="F1491" s="3" t="s">
        <v>4527</v>
      </c>
      <c r="G1491" s="3">
        <v>1.0</v>
      </c>
      <c r="H1491" s="3">
        <v>0.0</v>
      </c>
      <c r="I1491" s="3" t="s">
        <v>13</v>
      </c>
      <c r="J1491" s="3" t="s">
        <v>4528</v>
      </c>
      <c r="K1491" s="3" t="s">
        <v>244</v>
      </c>
      <c r="L1491" s="3" t="str">
        <f>IFERROR(__xludf.DUMMYFUNCTION("GOOGLETRANSLATE(F1491,""id"",""en"")"),"Messi Mbappe Martinez Final Star This Time")</f>
        <v>Messi Mbappe Martinez Final Star This Time</v>
      </c>
    </row>
    <row r="1492" ht="15.75" customHeight="1">
      <c r="A1492" s="1">
        <v>1495.0</v>
      </c>
      <c r="B1492" s="3" t="s">
        <v>4529</v>
      </c>
      <c r="C1492" s="3">
        <v>0.0</v>
      </c>
      <c r="D1492" s="3">
        <v>0.0</v>
      </c>
      <c r="E1492" s="3">
        <v>1.0</v>
      </c>
      <c r="F1492" s="3" t="s">
        <v>4530</v>
      </c>
      <c r="G1492" s="3">
        <v>1.0</v>
      </c>
      <c r="H1492" s="3">
        <v>0.0</v>
      </c>
      <c r="I1492" s="3" t="s">
        <v>13</v>
      </c>
      <c r="J1492" s="3" t="s">
        <v>4531</v>
      </c>
      <c r="K1492" s="3" t="s">
        <v>82</v>
      </c>
      <c r="L1492" s="3" t="str">
        <f>IFERROR(__xludf.DUMMYFUNCTION("GOOGLETRANSLATE(F1492,""id"",""en"")"),"Please GRGR This World Cup Final Chat My Bales Bales")</f>
        <v>Please GRGR This World Cup Final Chat My Bales Bales</v>
      </c>
    </row>
    <row r="1493" ht="15.75" customHeight="1">
      <c r="A1493" s="1">
        <v>1496.0</v>
      </c>
      <c r="B1493" s="3" t="s">
        <v>4532</v>
      </c>
      <c r="C1493" s="3">
        <v>0.0</v>
      </c>
      <c r="D1493" s="3">
        <v>0.0</v>
      </c>
      <c r="E1493" s="3">
        <v>0.0</v>
      </c>
      <c r="F1493" s="3" t="s">
        <v>4533</v>
      </c>
      <c r="G1493" s="3">
        <v>1.0</v>
      </c>
      <c r="H1493" s="3">
        <v>0.0</v>
      </c>
      <c r="I1493" s="3" t="s">
        <v>13</v>
      </c>
      <c r="J1493" s="3" t="s">
        <v>4534</v>
      </c>
      <c r="K1493" s="3" t="s">
        <v>1942</v>
      </c>
      <c r="L1493" s="3" t="str">
        <f>IFERROR(__xludf.DUMMYFUNCTION("GOOGLETRANSLATE(F1493,""id"",""en"")"),"As long as I watched the World Cup starting this year so the best final match I have ever watched Argentina French Congrats Cool BGT World Cup Previously won this year Entering the Final Deleting Mbappe and Messi's Curse")</f>
        <v>As long as I watched the World Cup starting this year so the best final match I have ever watched Argentina French Congrats Cool BGT World Cup Previously won this year Entering the Final Deleting Mbappe and Messi's Curse</v>
      </c>
    </row>
    <row r="1494" ht="15.75" customHeight="1">
      <c r="A1494" s="1">
        <v>1497.0</v>
      </c>
      <c r="B1494" s="3" t="s">
        <v>4535</v>
      </c>
      <c r="C1494" s="3">
        <v>1.0</v>
      </c>
      <c r="D1494" s="3">
        <v>0.0</v>
      </c>
      <c r="E1494" s="3">
        <v>0.0</v>
      </c>
      <c r="F1494" s="3" t="s">
        <v>4536</v>
      </c>
      <c r="G1494" s="3">
        <v>1.0</v>
      </c>
      <c r="H1494" s="3">
        <v>0.0</v>
      </c>
      <c r="I1494" s="3" t="s">
        <v>13</v>
      </c>
      <c r="J1494" s="3" t="s">
        <v>4537</v>
      </c>
      <c r="K1494" s="3" t="s">
        <v>41</v>
      </c>
      <c r="L1494" s="3" t="str">
        <f>IFERROR(__xludf.DUMMYFUNCTION("GOOGLETRANSLATE(F1494,""id"",""en"")"),"There is a really degree watching the Argentina Congrats World Cup final")</f>
        <v>There is a really degree watching the Argentina Congrats World Cup final</v>
      </c>
    </row>
    <row r="1495" ht="15.75" customHeight="1">
      <c r="A1495" s="1">
        <v>1498.0</v>
      </c>
      <c r="B1495" s="3" t="s">
        <v>4538</v>
      </c>
      <c r="C1495" s="3">
        <v>4.0</v>
      </c>
      <c r="D1495" s="3">
        <v>6.0</v>
      </c>
      <c r="E1495" s="3">
        <v>153.0</v>
      </c>
      <c r="F1495" s="3" t="s">
        <v>4539</v>
      </c>
      <c r="G1495" s="3">
        <v>0.775</v>
      </c>
      <c r="H1495" s="3">
        <v>0.175</v>
      </c>
      <c r="I1495" s="3" t="s">
        <v>48</v>
      </c>
      <c r="J1495" s="3" t="s">
        <v>4540</v>
      </c>
      <c r="K1495" s="3" t="s">
        <v>54</v>
      </c>
      <c r="L1495" s="3" t="str">
        <f>IFERROR(__xludf.DUMMYFUNCTION("GOOGLETRANSLATE(F1495,""id"",""en"")"),"The World Cup Final was exclaimed full degdegan")</f>
        <v>The World Cup Final was exclaimed full degdegan</v>
      </c>
    </row>
    <row r="1496" ht="15.75" customHeight="1">
      <c r="A1496" s="1">
        <v>1499.0</v>
      </c>
      <c r="B1496" s="3" t="s">
        <v>4541</v>
      </c>
      <c r="C1496" s="3">
        <v>0.0</v>
      </c>
      <c r="D1496" s="3">
        <v>0.0</v>
      </c>
      <c r="E1496" s="3">
        <v>0.0</v>
      </c>
      <c r="F1496" s="3" t="s">
        <v>4542</v>
      </c>
      <c r="G1496" s="3">
        <v>1.0</v>
      </c>
      <c r="H1496" s="3">
        <v>0.0</v>
      </c>
      <c r="I1496" s="3" t="s">
        <v>13</v>
      </c>
      <c r="J1496" s="3" t="s">
        <v>4543</v>
      </c>
      <c r="K1496" s="3" t="s">
        <v>54</v>
      </c>
      <c r="L1496" s="3" t="str">
        <f>IFERROR(__xludf.DUMMYFUNCTION("GOOGLETRANSLATE(F1496,""id"",""en"")"),"Final of the Best World Cup Respect My")</f>
        <v>Final of the Best World Cup Respect My</v>
      </c>
    </row>
    <row r="1497" ht="15.75" customHeight="1">
      <c r="A1497" s="1">
        <v>1500.0</v>
      </c>
      <c r="B1497" s="3" t="s">
        <v>4544</v>
      </c>
      <c r="C1497" s="3">
        <v>1.0</v>
      </c>
      <c r="D1497" s="3">
        <v>2.0</v>
      </c>
      <c r="E1497" s="3">
        <v>5.0</v>
      </c>
      <c r="F1497" s="3" t="s">
        <v>4545</v>
      </c>
      <c r="G1497" s="3">
        <v>0.75</v>
      </c>
      <c r="H1497" s="3">
        <v>0.25</v>
      </c>
      <c r="I1497" s="3" t="s">
        <v>48</v>
      </c>
      <c r="J1497" s="3" t="s">
        <v>4546</v>
      </c>
      <c r="K1497" s="3" t="s">
        <v>860</v>
      </c>
      <c r="L1497" s="3" t="str">
        <f>IFERROR(__xludf.DUMMYFUNCTION("GOOGLETRANSLATE(F1497,""id"",""en"")"),"Most Caps Lionel Messi has made a new record when the new final match began Messi through Lothar Mattheus as the player with the most World Cup performances with the match")</f>
        <v>Most Caps Lionel Messi has made a new record when the new final match began Messi through Lothar Mattheus as the player with the most World Cup performances with the match</v>
      </c>
    </row>
    <row r="1498" ht="15.75" customHeight="1">
      <c r="A1498" s="1">
        <v>1501.0</v>
      </c>
      <c r="B1498" s="3" t="s">
        <v>4547</v>
      </c>
      <c r="C1498" s="3">
        <v>0.0</v>
      </c>
      <c r="D1498" s="3">
        <v>0.0</v>
      </c>
      <c r="E1498" s="3">
        <v>0.0</v>
      </c>
      <c r="F1498" s="3" t="s">
        <v>4548</v>
      </c>
      <c r="G1498" s="3">
        <v>1.0</v>
      </c>
      <c r="H1498" s="3">
        <v>0.0</v>
      </c>
      <c r="I1498" s="3" t="s">
        <v>13</v>
      </c>
      <c r="J1498" s="3" t="s">
        <v>4549</v>
      </c>
      <c r="K1498" s="3" t="s">
        <v>82</v>
      </c>
      <c r="L1498" s="3" t="str">
        <f>IFERROR(__xludf.DUMMYFUNCTION("GOOGLETRANSLATE(F1498,""id"",""en"")"),"Bayangke Koe Hattrick Final World Cup but Lose")</f>
        <v>Bayangke Koe Hattrick Final World Cup but Lose</v>
      </c>
    </row>
    <row r="1499" ht="15.75" customHeight="1">
      <c r="A1499" s="1">
        <v>1502.0</v>
      </c>
      <c r="B1499" s="3" t="s">
        <v>4550</v>
      </c>
      <c r="C1499" s="3">
        <v>0.0</v>
      </c>
      <c r="D1499" s="3">
        <v>0.0</v>
      </c>
      <c r="E1499" s="3">
        <v>0.0</v>
      </c>
      <c r="F1499" s="3" t="s">
        <v>4551</v>
      </c>
      <c r="G1499" s="3">
        <v>1.0</v>
      </c>
      <c r="H1499" s="3">
        <v>0.0</v>
      </c>
      <c r="I1499" s="3" t="s">
        <v>13</v>
      </c>
      <c r="J1499" s="3" t="s">
        <v>4552</v>
      </c>
      <c r="K1499" s="3" t="s">
        <v>50</v>
      </c>
      <c r="L1499" s="3" t="str">
        <f>IFERROR(__xludf.DUMMYFUNCTION("GOOGLETRANSLATE(F1499,""id"",""en"")"),"Which he said the World Cup is now exciting but instead presents the most epic final match")</f>
        <v>Which he said the World Cup is now exciting but instead presents the most epic final match</v>
      </c>
    </row>
    <row r="1500" ht="15.75" customHeight="1">
      <c r="A1500" s="1">
        <v>1503.0</v>
      </c>
      <c r="B1500" s="3" t="s">
        <v>4553</v>
      </c>
      <c r="C1500" s="3">
        <v>0.0</v>
      </c>
      <c r="D1500" s="3">
        <v>0.0</v>
      </c>
      <c r="E1500" s="3">
        <v>0.0</v>
      </c>
      <c r="F1500" s="3" t="s">
        <v>4554</v>
      </c>
      <c r="G1500" s="3">
        <v>1.0</v>
      </c>
      <c r="H1500" s="3">
        <v>0.0</v>
      </c>
      <c r="I1500" s="3" t="s">
        <v>13</v>
      </c>
      <c r="J1500" s="3" t="s">
        <v>4555</v>
      </c>
      <c r="K1500" s="3" t="s">
        <v>484</v>
      </c>
      <c r="L1500" s="3" t="str">
        <f>IFERROR(__xludf.DUMMYFUNCTION("GOOGLETRANSLATE(F1500,""id"",""en"")"),"The World Cup Final this time really made deg deg even though it ended with a penalties happy Argentina Happy Messi")</f>
        <v>The World Cup Final this time really made deg deg even though it ended with a penalties happy Argentina Happy Messi</v>
      </c>
    </row>
    <row r="1501" ht="15.75" customHeight="1">
      <c r="A1501" s="1">
        <v>1504.0</v>
      </c>
      <c r="B1501" s="3" t="s">
        <v>4556</v>
      </c>
      <c r="C1501" s="3">
        <v>0.0</v>
      </c>
      <c r="D1501" s="3">
        <v>0.0</v>
      </c>
      <c r="E1501" s="3">
        <v>0.0</v>
      </c>
      <c r="F1501" s="3" t="s">
        <v>4557</v>
      </c>
      <c r="G1501" s="3">
        <v>0.775</v>
      </c>
      <c r="H1501" s="3">
        <v>0.175</v>
      </c>
      <c r="I1501" s="3" t="s">
        <v>48</v>
      </c>
      <c r="J1501" s="3" t="s">
        <v>4558</v>
      </c>
      <c r="K1501" s="3" t="s">
        <v>437</v>
      </c>
      <c r="L1501" s="3" t="str">
        <f>IFERROR(__xludf.DUMMYFUNCTION("GOOGLETRANSLATE(F1501,""id"",""en"")"),"finally I could also watch a full match from the first minute to the last minute of the World Cup, yes, this final")</f>
        <v>finally I could also watch a full match from the first minute to the last minute of the World Cup, yes, this final</v>
      </c>
    </row>
    <row r="1502" ht="15.75" customHeight="1">
      <c r="A1502" s="1">
        <v>1505.0</v>
      </c>
      <c r="B1502" s="3" t="s">
        <v>4559</v>
      </c>
      <c r="C1502" s="3">
        <v>0.0</v>
      </c>
      <c r="D1502" s="3">
        <v>0.0</v>
      </c>
      <c r="E1502" s="3">
        <v>0.0</v>
      </c>
      <c r="F1502" s="3" t="s">
        <v>4560</v>
      </c>
      <c r="G1502" s="3">
        <v>1.0</v>
      </c>
      <c r="H1502" s="3">
        <v>0.0</v>
      </c>
      <c r="I1502" s="3" t="s">
        <v>13</v>
      </c>
      <c r="J1502" s="3" t="s">
        <v>4561</v>
      </c>
      <c r="K1502" s="3" t="s">
        <v>54</v>
      </c>
      <c r="L1502" s="3" t="str">
        <f>IFERROR(__xludf.DUMMYFUNCTION("GOOGLETRANSLATE(F1502,""id"",""en"")"),"agree that this is the most exciting world cup final")</f>
        <v>agree that this is the most exciting world cup final</v>
      </c>
    </row>
    <row r="1503" ht="15.75" customHeight="1">
      <c r="A1503" s="1">
        <v>1506.0</v>
      </c>
      <c r="B1503" s="3" t="s">
        <v>4562</v>
      </c>
      <c r="C1503" s="3">
        <v>0.0</v>
      </c>
      <c r="D1503" s="3">
        <v>0.0</v>
      </c>
      <c r="E1503" s="3">
        <v>0.0</v>
      </c>
      <c r="F1503" s="3" t="s">
        <v>4563</v>
      </c>
      <c r="G1503" s="3">
        <v>1.0</v>
      </c>
      <c r="H1503" s="3">
        <v>0.0</v>
      </c>
      <c r="I1503" s="3" t="s">
        <v>13</v>
      </c>
      <c r="J1503" s="3" t="s">
        <v>4564</v>
      </c>
      <c r="K1503" s="3" t="s">
        <v>240</v>
      </c>
      <c r="L1503" s="3" t="str">
        <f>IFERROR(__xludf.DUMMYFUNCTION("GOOGLETRANSLATE(F1503,""id"",""en"")"),"How does it feel to be an Argentina citizen who is willing to watch the final and finally see Messi directly lift the World Cup")</f>
        <v>How does it feel to be an Argentina citizen who is willing to watch the final and finally see Messi directly lift the World Cup</v>
      </c>
    </row>
    <row r="1504" ht="15.75" customHeight="1">
      <c r="A1504" s="1">
        <v>1507.0</v>
      </c>
      <c r="B1504" s="3" t="s">
        <v>4565</v>
      </c>
      <c r="C1504" s="3">
        <v>0.0</v>
      </c>
      <c r="D1504" s="3">
        <v>0.0</v>
      </c>
      <c r="E1504" s="3">
        <v>0.0</v>
      </c>
      <c r="F1504" s="3" t="s">
        <v>4566</v>
      </c>
      <c r="G1504" s="3">
        <v>1.0</v>
      </c>
      <c r="H1504" s="3">
        <v>0.0</v>
      </c>
      <c r="I1504" s="3" t="s">
        <v>13</v>
      </c>
      <c r="J1504" s="3" t="s">
        <v>4567</v>
      </c>
      <c r="K1504" s="3" t="s">
        <v>883</v>
      </c>
      <c r="L1504" s="3" t="str">
        <f>IFERROR(__xludf.DUMMYFUNCTION("GOOGLETRANSLATE(F1504,""id"",""en"")"),"So remember the beginning of the World Cup Messi bully because Argentina lost against Saudi Arabia in the end of the world champion and Messi scored the final goal")</f>
        <v>So remember the beginning of the World Cup Messi bully because Argentina lost against Saudi Arabia in the end of the world champion and Messi scored the final goal</v>
      </c>
    </row>
    <row r="1505" ht="15.75" customHeight="1">
      <c r="A1505" s="1">
        <v>1508.0</v>
      </c>
      <c r="B1505" s="3" t="s">
        <v>4568</v>
      </c>
      <c r="C1505" s="3">
        <v>0.0</v>
      </c>
      <c r="D1505" s="3">
        <v>0.0</v>
      </c>
      <c r="E1505" s="3">
        <v>0.0</v>
      </c>
      <c r="F1505" s="3" t="s">
        <v>4569</v>
      </c>
      <c r="G1505" s="3">
        <v>1.0</v>
      </c>
      <c r="H1505" s="3">
        <v>0.0</v>
      </c>
      <c r="I1505" s="3" t="s">
        <v>13</v>
      </c>
      <c r="J1505" s="3" t="s">
        <v>4570</v>
      </c>
      <c r="K1505" s="3" t="s">
        <v>19</v>
      </c>
      <c r="L1505" s="3" t="str">
        <f>IFERROR(__xludf.DUMMYFUNCTION("GOOGLETRANSLATE(F1505,""id"",""en"")"),"The World Cup Final I was destroyed because I asked for Send Verification Code, not sent by the nation")</f>
        <v>The World Cup Final I was destroyed because I asked for Send Verification Code, not sent by the nation</v>
      </c>
    </row>
    <row r="1506" ht="15.75" customHeight="1">
      <c r="A1506" s="1">
        <v>1509.0</v>
      </c>
      <c r="B1506" s="3" t="s">
        <v>4571</v>
      </c>
      <c r="C1506" s="3">
        <v>0.0</v>
      </c>
      <c r="D1506" s="3">
        <v>1.0</v>
      </c>
      <c r="E1506" s="3">
        <v>0.0</v>
      </c>
      <c r="F1506" s="3" t="s">
        <v>4572</v>
      </c>
      <c r="G1506" s="3">
        <v>1.0</v>
      </c>
      <c r="H1506" s="3">
        <v>0.0</v>
      </c>
      <c r="I1506" s="3" t="s">
        <v>13</v>
      </c>
      <c r="J1506" s="3" t="s">
        <v>4573</v>
      </c>
      <c r="K1506" s="3" t="s">
        <v>15</v>
      </c>
      <c r="L1506" s="3" t="str">
        <f>IFERROR(__xludf.DUMMYFUNCTION("GOOGLETRANSLATE(F1506,""id"",""en"")"),"Hasan Final of the Most Tense World Cup in History")</f>
        <v>Hasan Final of the Most Tense World Cup in History</v>
      </c>
    </row>
    <row r="1507" ht="15.75" customHeight="1">
      <c r="A1507" s="1">
        <v>1510.0</v>
      </c>
      <c r="B1507" s="3" t="s">
        <v>4574</v>
      </c>
      <c r="C1507" s="3">
        <v>0.0</v>
      </c>
      <c r="D1507" s="3">
        <v>0.0</v>
      </c>
      <c r="E1507" s="3">
        <v>0.0</v>
      </c>
      <c r="F1507" s="3" t="s">
        <v>4575</v>
      </c>
      <c r="G1507" s="3">
        <v>1.0</v>
      </c>
      <c r="H1507" s="3">
        <v>0.0</v>
      </c>
      <c r="I1507" s="3" t="s">
        <v>13</v>
      </c>
      <c r="J1507" s="3" t="s">
        <v>4576</v>
      </c>
      <c r="K1507" s="3" t="s">
        <v>942</v>
      </c>
      <c r="L1507" s="3" t="str">
        <f>IFERROR(__xludf.DUMMYFUNCTION("GOOGLETRANSLATE(F1507,""id"",""en"")"),"The best player to finish the best World Cup through the best final of Well Done Leo")</f>
        <v>The best player to finish the best World Cup through the best final of Well Done Leo</v>
      </c>
    </row>
    <row r="1508" ht="15.75" customHeight="1">
      <c r="A1508" s="1">
        <v>1511.0</v>
      </c>
      <c r="B1508" s="3" t="s">
        <v>4577</v>
      </c>
      <c r="C1508" s="3">
        <v>0.0</v>
      </c>
      <c r="D1508" s="3">
        <v>0.0</v>
      </c>
      <c r="E1508" s="3">
        <v>0.0</v>
      </c>
      <c r="F1508" s="3" t="s">
        <v>4578</v>
      </c>
      <c r="G1508" s="3">
        <v>1.0</v>
      </c>
      <c r="H1508" s="3">
        <v>0.0</v>
      </c>
      <c r="I1508" s="3" t="s">
        <v>13</v>
      </c>
      <c r="J1508" s="3" t="s">
        <v>4579</v>
      </c>
      <c r="K1508" s="3" t="s">
        <v>449</v>
      </c>
      <c r="L1508" s="3" t="str">
        <f>IFERROR(__xludf.DUMMYFUNCTION("GOOGLETRANSLATE(F1508,""id"",""en"")"),"Lionel Messi almost gave up and retired from the national team because frustration always entered the final and then lost and because he did not give up so he won what he hoped for the Copa America and the World Cup according to his dream")</f>
        <v>Lionel Messi almost gave up and retired from the national team because frustration always entered the final and then lost and because he did not give up so he won what he hoped for the Copa America and the World Cup according to his dream</v>
      </c>
    </row>
    <row r="1509" ht="15.75" customHeight="1">
      <c r="A1509" s="1">
        <v>1512.0</v>
      </c>
      <c r="B1509" s="3" t="s">
        <v>4580</v>
      </c>
      <c r="C1509" s="3">
        <v>0.0</v>
      </c>
      <c r="D1509" s="3">
        <v>0.0</v>
      </c>
      <c r="E1509" s="3">
        <v>0.0</v>
      </c>
      <c r="F1509" s="3" t="s">
        <v>4581</v>
      </c>
      <c r="G1509" s="3">
        <v>0.7</v>
      </c>
      <c r="H1509" s="3">
        <v>0.05</v>
      </c>
      <c r="I1509" s="3" t="s">
        <v>48</v>
      </c>
      <c r="J1509" s="3" t="s">
        <v>4582</v>
      </c>
      <c r="K1509" s="3" t="s">
        <v>1970</v>
      </c>
      <c r="L1509" s="3" t="str">
        <f>IFERROR(__xludf.DUMMYFUNCTION("GOOGLETRANSLATE(F1509,""id"",""en"")"),"This is the world's most Goks World Cup final ever watching the French Epic comeback ended tragically the right point of Campione Campione Ooo Ooo Argentina Holds Messi Plenary Already")</f>
        <v>This is the world's most Goks World Cup final ever watching the French Epic comeback ended tragically the right point of Campione Campione Ooo Ooo Argentina Holds Messi Plenary Already</v>
      </c>
    </row>
    <row r="1510" ht="15.75" customHeight="1">
      <c r="A1510" s="1">
        <v>1513.0</v>
      </c>
      <c r="B1510" s="3" t="s">
        <v>4583</v>
      </c>
      <c r="C1510" s="3">
        <v>0.0</v>
      </c>
      <c r="D1510" s="3">
        <v>0.0</v>
      </c>
      <c r="E1510" s="3">
        <v>0.0</v>
      </c>
      <c r="F1510" s="3" t="s">
        <v>4289</v>
      </c>
      <c r="G1510" s="3">
        <v>1.0</v>
      </c>
      <c r="H1510" s="3">
        <v>0.0</v>
      </c>
      <c r="I1510" s="3" t="s">
        <v>13</v>
      </c>
      <c r="J1510" s="3" t="s">
        <v>4290</v>
      </c>
      <c r="K1510" s="3" t="s">
        <v>71</v>
      </c>
      <c r="L1510" s="3" t="str">
        <f>IFERROR(__xludf.DUMMYFUNCTION("GOOGLETRANSLATE(F1510,""id"",""en"")"),"Classy final match during the World Cup Nnton from until this Argentine Congratulations Class Country Play")</f>
        <v>Classy final match during the World Cup Nnton from until this Argentine Congratulations Class Country Play</v>
      </c>
    </row>
    <row r="1511" ht="15.75" customHeight="1">
      <c r="A1511" s="1">
        <v>1514.0</v>
      </c>
      <c r="B1511" s="3" t="s">
        <v>4584</v>
      </c>
      <c r="C1511" s="3">
        <v>0.0</v>
      </c>
      <c r="D1511" s="3">
        <v>0.0</v>
      </c>
      <c r="E1511" s="3">
        <v>0.0</v>
      </c>
      <c r="F1511" s="3" t="s">
        <v>4585</v>
      </c>
      <c r="G1511" s="3">
        <v>1.0</v>
      </c>
      <c r="H1511" s="3">
        <v>0.0</v>
      </c>
      <c r="I1511" s="3" t="s">
        <v>13</v>
      </c>
      <c r="J1511" s="3" t="s">
        <v>4586</v>
      </c>
      <c r="K1511" s="3" t="s">
        <v>75</v>
      </c>
      <c r="L1511" s="3" t="str">
        <f>IFERROR(__xludf.DUMMYFUNCTION("GOOGLETRANSLATE(F1511,""id"",""en"")"),"waaaah really gokiill one of the final quarter of the Qatar World Cup")</f>
        <v>waaaah really gokiill one of the final quarter of the Qatar World Cup</v>
      </c>
    </row>
    <row r="1512" ht="15.75" customHeight="1">
      <c r="A1512" s="1">
        <v>1515.0</v>
      </c>
      <c r="B1512" s="3" t="s">
        <v>4587</v>
      </c>
      <c r="C1512" s="3">
        <v>0.0</v>
      </c>
      <c r="D1512" s="3">
        <v>1.0</v>
      </c>
      <c r="E1512" s="3">
        <v>0.0</v>
      </c>
      <c r="F1512" s="3" t="s">
        <v>4588</v>
      </c>
      <c r="G1512" s="3">
        <v>0.7999999999999999</v>
      </c>
      <c r="H1512" s="3">
        <v>0.01111111111111112</v>
      </c>
      <c r="I1512" s="3" t="s">
        <v>48</v>
      </c>
      <c r="J1512" s="3" t="s">
        <v>4589</v>
      </c>
      <c r="K1512" s="3" t="s">
        <v>695</v>
      </c>
      <c r="L1512" s="3" t="str">
        <f>IFERROR(__xludf.DUMMYFUNCTION("GOOGLETRANSLATE(F1512,""id"",""en"")"),"will miss Masamasa Nobar World Cup Qatar with the final prediction I am former hahaha but whatever the power of the pildun this time is unpredictable hayya hayya")</f>
        <v>will miss Masamasa Nobar World Cup Qatar with the final prediction I am former hahaha but whatever the power of the pildun this time is unpredictable hayya hayya</v>
      </c>
    </row>
    <row r="1513" ht="15.75" customHeight="1">
      <c r="A1513" s="1">
        <v>1516.0</v>
      </c>
      <c r="B1513" s="3" t="s">
        <v>4590</v>
      </c>
      <c r="C1513" s="3">
        <v>1.0</v>
      </c>
      <c r="D1513" s="3">
        <v>0.0</v>
      </c>
      <c r="E1513" s="3">
        <v>0.0</v>
      </c>
      <c r="F1513" s="3" t="s">
        <v>1008</v>
      </c>
      <c r="G1513" s="3">
        <v>1.0</v>
      </c>
      <c r="H1513" s="3">
        <v>0.0</v>
      </c>
      <c r="I1513" s="3" t="s">
        <v>13</v>
      </c>
      <c r="J1513" s="3" t="s">
        <v>1009</v>
      </c>
      <c r="K1513" s="3" t="s">
        <v>54</v>
      </c>
      <c r="L1513" s="3" t="str">
        <f>IFERROR(__xludf.DUMMYFUNCTION("GOOGLETRANSLATE(F1513,""id"",""en"")"),"One of the best finals of the World Cup")</f>
        <v>One of the best finals of the World Cup</v>
      </c>
    </row>
    <row r="1514" ht="15.75" customHeight="1">
      <c r="A1514" s="1">
        <v>1517.0</v>
      </c>
      <c r="B1514" s="3" t="s">
        <v>4591</v>
      </c>
      <c r="C1514" s="3">
        <v>0.0</v>
      </c>
      <c r="D1514" s="3">
        <v>0.0</v>
      </c>
      <c r="E1514" s="3">
        <v>0.0</v>
      </c>
      <c r="F1514" s="3" t="s">
        <v>4591</v>
      </c>
      <c r="G1514" s="3">
        <v>1.0</v>
      </c>
      <c r="H1514" s="3">
        <v>0.0</v>
      </c>
      <c r="I1514" s="3" t="s">
        <v>13</v>
      </c>
      <c r="J1514" s="3" t="s">
        <v>4592</v>
      </c>
      <c r="K1514" s="3" t="s">
        <v>75</v>
      </c>
      <c r="L1514" s="3" t="str">
        <f>IFERROR(__xludf.DUMMYFUNCTION("GOOGLETRANSLATE(F1514,""id"",""en"")"),"I swear to watch this world cup final, my heart wants to come off")</f>
        <v>I swear to watch this world cup final, my heart wants to come off</v>
      </c>
    </row>
    <row r="1515" ht="15.75" customHeight="1">
      <c r="A1515" s="1">
        <v>1518.0</v>
      </c>
      <c r="B1515" s="3" t="s">
        <v>4593</v>
      </c>
      <c r="C1515" s="3">
        <v>1.0</v>
      </c>
      <c r="D1515" s="3">
        <v>75.0</v>
      </c>
      <c r="E1515" s="3">
        <v>374.0</v>
      </c>
      <c r="F1515" s="3" t="s">
        <v>4594</v>
      </c>
      <c r="G1515" s="3">
        <v>0.75</v>
      </c>
      <c r="H1515" s="3">
        <v>0.25</v>
      </c>
      <c r="I1515" s="3" t="s">
        <v>48</v>
      </c>
      <c r="J1515" s="3" t="s">
        <v>4595</v>
      </c>
      <c r="K1515" s="3" t="s">
        <v>1086</v>
      </c>
      <c r="L1515" s="3" t="str">
        <f>IFERROR(__xludf.DUMMYFUNCTION("GOOGLETRANSLATE(F1515,""id"",""en"")"),"Not triumphantly to Mbappe win the world cup in succession but still end the world cup at the age of the year with the final hatrick and top scorer of the top scorer of the record that other players were never achieved in the age of Messi.")</f>
        <v>Not triumphantly to Mbappe win the world cup in succession but still end the world cup at the age of the year with the final hatrick and top scorer of the top scorer of the record that other players were never achieved in the age of Messi.</v>
      </c>
    </row>
    <row r="1516" ht="15.75" customHeight="1">
      <c r="A1516" s="1">
        <v>1519.0</v>
      </c>
      <c r="B1516" s="3" t="s">
        <v>4596</v>
      </c>
      <c r="C1516" s="3">
        <v>0.0</v>
      </c>
      <c r="D1516" s="3">
        <v>0.0</v>
      </c>
      <c r="E1516" s="3">
        <v>0.0</v>
      </c>
      <c r="F1516" s="3" t="s">
        <v>4597</v>
      </c>
      <c r="G1516" s="3">
        <v>1.0</v>
      </c>
      <c r="H1516" s="3">
        <v>0.0</v>
      </c>
      <c r="I1516" s="3" t="s">
        <v>13</v>
      </c>
      <c r="J1516" s="3" t="s">
        <v>4598</v>
      </c>
      <c r="K1516" s="3" t="s">
        <v>15</v>
      </c>
      <c r="L1516" s="3" t="str">
        <f>IFERROR(__xludf.DUMMYFUNCTION("GOOGLETRANSLATE(F1516,""id"",""en"")"),"Whatever the outcome but this is the World Cup Final, I have ever watched")</f>
        <v>Whatever the outcome but this is the World Cup Final, I have ever watched</v>
      </c>
    </row>
    <row r="1517" ht="15.75" customHeight="1">
      <c r="A1517" s="1">
        <v>1520.0</v>
      </c>
      <c r="B1517" s="3" t="s">
        <v>4599</v>
      </c>
      <c r="C1517" s="3">
        <v>0.0</v>
      </c>
      <c r="D1517" s="3">
        <v>0.0</v>
      </c>
      <c r="E1517" s="3">
        <v>0.0</v>
      </c>
      <c r="F1517" s="3" t="s">
        <v>4600</v>
      </c>
      <c r="G1517" s="3">
        <v>1.0</v>
      </c>
      <c r="H1517" s="3">
        <v>0.0</v>
      </c>
      <c r="I1517" s="3" t="s">
        <v>13</v>
      </c>
      <c r="J1517" s="3" t="s">
        <v>4601</v>
      </c>
      <c r="K1517" s="3" t="s">
        <v>82</v>
      </c>
      <c r="L1517" s="3" t="str">
        <f>IFERROR(__xludf.DUMMYFUNCTION("GOOGLETRANSLATE(F1517,""id"",""en"")"),"the most uproar of the Final World Cup Final")</f>
        <v>the most uproar of the Final World Cup Final</v>
      </c>
    </row>
    <row r="1518" ht="15.75" customHeight="1">
      <c r="A1518" s="1">
        <v>1521.0</v>
      </c>
      <c r="B1518" s="3" t="s">
        <v>4602</v>
      </c>
      <c r="C1518" s="3">
        <v>0.0</v>
      </c>
      <c r="D1518" s="3">
        <v>1.0</v>
      </c>
      <c r="E1518" s="3">
        <v>25.0</v>
      </c>
      <c r="F1518" s="3" t="s">
        <v>4603</v>
      </c>
      <c r="G1518" s="3">
        <v>0.6666666666666666</v>
      </c>
      <c r="H1518" s="3">
        <v>0.0909090909090909</v>
      </c>
      <c r="I1518" s="3" t="s">
        <v>48</v>
      </c>
      <c r="J1518" s="3" t="s">
        <v>4604</v>
      </c>
      <c r="K1518" s="3" t="s">
        <v>2215</v>
      </c>
      <c r="L1518" s="3" t="str">
        <f>IFERROR(__xludf.DUMMYFUNCTION("GOOGLETRANSLATE(F1518,""id"",""en"")"),"Thank you for following the Live Report Report of the French Argentine World Cup Final, see you at the next live report")</f>
        <v>Thank you for following the Live Report Report of the French Argentine World Cup Final, see you at the next live report</v>
      </c>
    </row>
    <row r="1519" ht="15.75" customHeight="1">
      <c r="A1519" s="1">
        <v>1522.0</v>
      </c>
      <c r="B1519" s="3" t="s">
        <v>4605</v>
      </c>
      <c r="C1519" s="3">
        <v>0.0</v>
      </c>
      <c r="D1519" s="3">
        <v>0.0</v>
      </c>
      <c r="E1519" s="3">
        <v>0.0</v>
      </c>
      <c r="F1519" s="3" t="s">
        <v>4021</v>
      </c>
      <c r="G1519" s="3">
        <v>1.0</v>
      </c>
      <c r="H1519" s="3">
        <v>0.0</v>
      </c>
      <c r="I1519" s="3" t="s">
        <v>13</v>
      </c>
      <c r="J1519" s="3" t="s">
        <v>4022</v>
      </c>
      <c r="K1519" s="3" t="s">
        <v>54</v>
      </c>
      <c r="L1519" s="3" t="str">
        <f>IFERROR(__xludf.DUMMYFUNCTION("GOOGLETRANSLATE(F1519,""id"",""en"")"),"The best final during watching the World Cup")</f>
        <v>The best final during watching the World Cup</v>
      </c>
    </row>
    <row r="1520" ht="15.75" customHeight="1">
      <c r="A1520" s="1">
        <v>1523.0</v>
      </c>
      <c r="B1520" s="3" t="s">
        <v>4606</v>
      </c>
      <c r="C1520" s="3">
        <v>0.0</v>
      </c>
      <c r="D1520" s="3">
        <v>0.0</v>
      </c>
      <c r="E1520" s="3">
        <v>0.0</v>
      </c>
      <c r="F1520" s="3" t="s">
        <v>4607</v>
      </c>
      <c r="G1520" s="3">
        <v>1.0</v>
      </c>
      <c r="H1520" s="3">
        <v>0.0</v>
      </c>
      <c r="I1520" s="3" t="s">
        <v>13</v>
      </c>
      <c r="J1520" s="3" t="s">
        <v>4608</v>
      </c>
      <c r="K1520" s="3" t="s">
        <v>4609</v>
      </c>
      <c r="L1520" s="3" t="str">
        <f>IFERROR(__xludf.DUMMYFUNCTION("GOOGLETRANSLATE(F1520,""id"",""en"")"),"The World Cup Final is the World Cup's best final so far as far as I have seen since I watched it from last year")</f>
        <v>The World Cup Final is the World Cup's best final so far as far as I have seen since I watched it from last year</v>
      </c>
    </row>
    <row r="1521" ht="15.75" customHeight="1">
      <c r="A1521" s="1">
        <v>1524.0</v>
      </c>
      <c r="B1521" s="3" t="s">
        <v>4610</v>
      </c>
      <c r="C1521" s="3">
        <v>0.0</v>
      </c>
      <c r="D1521" s="3">
        <v>0.0</v>
      </c>
      <c r="E1521" s="3">
        <v>0.0</v>
      </c>
      <c r="F1521" s="3" t="s">
        <v>4611</v>
      </c>
      <c r="G1521" s="3">
        <v>0.7</v>
      </c>
      <c r="H1521" s="3">
        <v>0.05</v>
      </c>
      <c r="I1521" s="3" t="s">
        <v>48</v>
      </c>
      <c r="J1521" s="3" t="s">
        <v>4612</v>
      </c>
      <c r="K1521" s="3" t="s">
        <v>15</v>
      </c>
      <c r="L1521" s="3" t="str">
        <f>IFERROR(__xludf.DUMMYFUNCTION("GOOGLETRANSLATE(F1521,""id"",""en"")"),"Kali NNTN This World Cup Edition Final Ter Epic")</f>
        <v>Kali NNTN This World Cup Edition Final Ter Epic</v>
      </c>
    </row>
    <row r="1522" ht="15.75" customHeight="1">
      <c r="A1522" s="1">
        <v>1525.0</v>
      </c>
      <c r="B1522" s="3" t="s">
        <v>4613</v>
      </c>
      <c r="C1522" s="3">
        <v>0.0</v>
      </c>
      <c r="D1522" s="3">
        <v>0.0</v>
      </c>
      <c r="E1522" s="3">
        <v>0.0</v>
      </c>
      <c r="F1522" s="3" t="s">
        <v>4614</v>
      </c>
      <c r="G1522" s="3">
        <v>1.0</v>
      </c>
      <c r="H1522" s="3">
        <v>0.0</v>
      </c>
      <c r="I1522" s="3" t="s">
        <v>13</v>
      </c>
      <c r="J1522" s="3" t="s">
        <v>4615</v>
      </c>
      <c r="K1522" s="3" t="s">
        <v>15</v>
      </c>
      <c r="L1522" s="3" t="str">
        <f>IFERROR(__xludf.DUMMYFUNCTION("GOOGLETRANSLATE(F1522,""id"",""en"")"),"Hattrick First Time Final World Cup Respect Mbappe")</f>
        <v>Hattrick First Time Final World Cup Respect Mbappe</v>
      </c>
    </row>
    <row r="1523" ht="15.75" customHeight="1">
      <c r="A1523" s="1">
        <v>1526.0</v>
      </c>
      <c r="B1523" s="3" t="s">
        <v>4616</v>
      </c>
      <c r="C1523" s="3">
        <v>1.0</v>
      </c>
      <c r="D1523" s="3">
        <v>3.0</v>
      </c>
      <c r="E1523" s="3">
        <v>14.0</v>
      </c>
      <c r="F1523" s="3" t="s">
        <v>4617</v>
      </c>
      <c r="G1523" s="3">
        <v>1.0</v>
      </c>
      <c r="H1523" s="3">
        <v>0.0</v>
      </c>
      <c r="I1523" s="3" t="s">
        <v>13</v>
      </c>
      <c r="J1523" s="3" t="s">
        <v>4618</v>
      </c>
      <c r="K1523" s="3" t="s">
        <v>1656</v>
      </c>
      <c r="L1523" s="3" t="str">
        <f>IFERROR(__xludf.DUMMYFUNCTION("GOOGLETRANSLATE(F1523,""id"",""en"")"),"Leo Messi Goal Lionel Messi successfully scored all the world cup phases of the big round group phase of the final semifinal only goalkeeper Wojciech SZCZ SNY failed to penetrate")</f>
        <v>Leo Messi Goal Lionel Messi successfully scored all the world cup phases of the big round group phase of the final semifinal only goalkeeper Wojciech SZCZ SNY failed to penetrate</v>
      </c>
    </row>
    <row r="1524" ht="15.75" customHeight="1">
      <c r="A1524" s="1">
        <v>1527.0</v>
      </c>
      <c r="B1524" s="3" t="s">
        <v>4619</v>
      </c>
      <c r="C1524" s="3">
        <v>0.0</v>
      </c>
      <c r="D1524" s="3">
        <v>0.0</v>
      </c>
      <c r="E1524" s="3">
        <v>0.0</v>
      </c>
      <c r="F1524" s="3" t="s">
        <v>4620</v>
      </c>
      <c r="G1524" s="3">
        <v>1.0</v>
      </c>
      <c r="H1524" s="3">
        <v>0.0</v>
      </c>
      <c r="I1524" s="3" t="s">
        <v>13</v>
      </c>
      <c r="J1524" s="3" t="s">
        <v>4621</v>
      </c>
      <c r="K1524" s="3" t="s">
        <v>82</v>
      </c>
      <c r="L1524" s="3" t="str">
        <f>IFERROR(__xludf.DUMMYFUNCTION("GOOGLETRANSLATE(F1524,""id"",""en"")"),"The spirit of crazy is the World Cup Final event")</f>
        <v>The spirit of crazy is the World Cup Final event</v>
      </c>
    </row>
    <row r="1525" ht="15.75" customHeight="1">
      <c r="A1525" s="1">
        <v>1528.0</v>
      </c>
      <c r="B1525" s="3" t="s">
        <v>4622</v>
      </c>
      <c r="C1525" s="3">
        <v>0.0</v>
      </c>
      <c r="D1525" s="3">
        <v>0.0</v>
      </c>
      <c r="E1525" s="3">
        <v>0.0</v>
      </c>
      <c r="F1525" s="3" t="s">
        <v>4623</v>
      </c>
      <c r="G1525" s="3">
        <v>1.0</v>
      </c>
      <c r="H1525" s="3">
        <v>0.0</v>
      </c>
      <c r="I1525" s="3" t="s">
        <v>13</v>
      </c>
      <c r="J1525" s="3" t="s">
        <v>4624</v>
      </c>
      <c r="K1525" s="3" t="s">
        <v>75</v>
      </c>
      <c r="L1525" s="3" t="str">
        <f>IFERROR(__xludf.DUMMYFUNCTION("GOOGLETRANSLATE(F1525,""id"",""en"")"),"The World Cup Final was excited so far Congrattss Argentina Sabar Mas Mbappe")</f>
        <v>The World Cup Final was excited so far Congrattss Argentina Sabar Mas Mbappe</v>
      </c>
    </row>
    <row r="1526" ht="15.75" customHeight="1">
      <c r="A1526" s="1">
        <v>1529.0</v>
      </c>
      <c r="B1526" s="3" t="s">
        <v>4625</v>
      </c>
      <c r="C1526" s="3">
        <v>0.0</v>
      </c>
      <c r="D1526" s="3">
        <v>0.0</v>
      </c>
      <c r="E1526" s="3">
        <v>0.0</v>
      </c>
      <c r="F1526" s="3" t="s">
        <v>4626</v>
      </c>
      <c r="G1526" s="3">
        <v>1.0</v>
      </c>
      <c r="H1526" s="3">
        <v>0.0</v>
      </c>
      <c r="I1526" s="3" t="s">
        <v>13</v>
      </c>
      <c r="J1526" s="3" t="s">
        <v>4627</v>
      </c>
      <c r="K1526" s="3" t="s">
        <v>41</v>
      </c>
      <c r="L1526" s="3" t="str">
        <f>IFERROR(__xludf.DUMMYFUNCTION("GOOGLETRANSLATE(F1526,""id"",""en"")"),"The French Argentine World Cup Final continues the penalty shootout round")</f>
        <v>The French Argentine World Cup Final continues the penalty shootout round</v>
      </c>
    </row>
    <row r="1527" ht="15.75" customHeight="1">
      <c r="A1527" s="1">
        <v>1530.0</v>
      </c>
      <c r="B1527" s="3" t="s">
        <v>4628</v>
      </c>
      <c r="C1527" s="3">
        <v>0.0</v>
      </c>
      <c r="D1527" s="3">
        <v>0.0</v>
      </c>
      <c r="E1527" s="3">
        <v>3.0</v>
      </c>
      <c r="F1527" s="3" t="s">
        <v>4629</v>
      </c>
      <c r="G1527" s="3">
        <v>1.0</v>
      </c>
      <c r="H1527" s="3">
        <v>0.0</v>
      </c>
      <c r="I1527" s="3" t="s">
        <v>13</v>
      </c>
      <c r="J1527" s="3" t="s">
        <v>4630</v>
      </c>
      <c r="K1527" s="3" t="s">
        <v>695</v>
      </c>
      <c r="L1527" s="3" t="str">
        <f>IFERROR(__xludf.DUMMYFUNCTION("GOOGLETRANSLATE(F1527,""id"",""en"")"),"From the most boring final then in the last minute to become the best World Cup final in the history of Mbappe Sensational Messi closed his career perfectly")</f>
        <v>From the most boring final then in the last minute to become the best World Cup final in the history of Mbappe Sensational Messi closed his career perfectly</v>
      </c>
    </row>
    <row r="1528" ht="15.75" customHeight="1">
      <c r="A1528" s="1">
        <v>1531.0</v>
      </c>
      <c r="B1528" s="3" t="s">
        <v>4631</v>
      </c>
      <c r="C1528" s="3">
        <v>0.0</v>
      </c>
      <c r="D1528" s="3">
        <v>0.0</v>
      </c>
      <c r="E1528" s="3">
        <v>0.0</v>
      </c>
      <c r="F1528" s="3" t="s">
        <v>4632</v>
      </c>
      <c r="G1528" s="3">
        <v>1.0</v>
      </c>
      <c r="H1528" s="3">
        <v>0.0</v>
      </c>
      <c r="I1528" s="3" t="s">
        <v>13</v>
      </c>
      <c r="J1528" s="3" t="s">
        <v>4633</v>
      </c>
      <c r="K1528" s="3" t="s">
        <v>31</v>
      </c>
      <c r="L1528" s="3" t="str">
        <f>IFERROR(__xludf.DUMMYFUNCTION("GOOGLETRANSLATE(F1528,""id"",""en"")"),"The Final World Cup Entrepreneurial")</f>
        <v>The Final World Cup Entrepreneurial</v>
      </c>
    </row>
    <row r="1529" ht="15.75" customHeight="1">
      <c r="A1529" s="1">
        <v>1532.0</v>
      </c>
      <c r="B1529" s="3" t="s">
        <v>4634</v>
      </c>
      <c r="C1529" s="3">
        <v>0.0</v>
      </c>
      <c r="D1529" s="3">
        <v>0.0</v>
      </c>
      <c r="E1529" s="3">
        <v>0.0</v>
      </c>
      <c r="F1529" s="3" t="s">
        <v>4635</v>
      </c>
      <c r="G1529" s="3">
        <v>1.0</v>
      </c>
      <c r="H1529" s="3">
        <v>0.0</v>
      </c>
      <c r="I1529" s="3" t="s">
        <v>13</v>
      </c>
      <c r="J1529" s="3" t="s">
        <v>2925</v>
      </c>
      <c r="K1529" s="3" t="s">
        <v>31</v>
      </c>
      <c r="L1529" s="3" t="str">
        <f>IFERROR(__xludf.DUMMYFUNCTION("GOOGLETRANSLATE(F1529,""id"",""en"")"),"The Best World Cup Final ever")</f>
        <v>The Best World Cup Final ever</v>
      </c>
    </row>
    <row r="1530" ht="15.75" customHeight="1">
      <c r="A1530" s="1">
        <v>1533.0</v>
      </c>
      <c r="B1530" s="3" t="s">
        <v>4636</v>
      </c>
      <c r="C1530" s="3">
        <v>0.0</v>
      </c>
      <c r="D1530" s="3">
        <v>0.0</v>
      </c>
      <c r="E1530" s="3">
        <v>0.0</v>
      </c>
      <c r="F1530" s="3" t="s">
        <v>4637</v>
      </c>
      <c r="G1530" s="3">
        <v>1.0</v>
      </c>
      <c r="H1530" s="3">
        <v>0.0</v>
      </c>
      <c r="I1530" s="3" t="s">
        <v>13</v>
      </c>
      <c r="J1530" s="3" t="s">
        <v>4638</v>
      </c>
      <c r="K1530" s="3" t="s">
        <v>54</v>
      </c>
      <c r="L1530" s="3" t="str">
        <f>IFERROR(__xludf.DUMMYFUNCTION("GOOGLETRANSLATE(F1530,""id"",""en"")"),"no need to debate this is the best world cup final")</f>
        <v>no need to debate this is the best world cup final</v>
      </c>
    </row>
    <row r="1531" ht="15.75" customHeight="1">
      <c r="A1531" s="1">
        <v>1534.0</v>
      </c>
      <c r="B1531" s="3" t="s">
        <v>4639</v>
      </c>
      <c r="C1531" s="3">
        <v>0.0</v>
      </c>
      <c r="D1531" s="3">
        <v>0.0</v>
      </c>
      <c r="E1531" s="3">
        <v>0.0</v>
      </c>
      <c r="F1531" s="3" t="s">
        <v>4640</v>
      </c>
      <c r="G1531" s="3">
        <v>1.0</v>
      </c>
      <c r="H1531" s="3">
        <v>0.0</v>
      </c>
      <c r="I1531" s="3" t="s">
        <v>13</v>
      </c>
      <c r="J1531" s="3" t="s">
        <v>4641</v>
      </c>
      <c r="K1531" s="3" t="s">
        <v>41</v>
      </c>
      <c r="L1531" s="3" t="str">
        <f>IFERROR(__xludf.DUMMYFUNCTION("GOOGLETRANSLATE(F1531,""id"",""en"")"),"the best final in the history of the world cup happy man hormone Messi")</f>
        <v>the best final in the history of the world cup happy man hormone Messi</v>
      </c>
    </row>
    <row r="1532" ht="15.75" customHeight="1">
      <c r="A1532" s="1">
        <v>1535.0</v>
      </c>
      <c r="B1532" s="3" t="s">
        <v>4642</v>
      </c>
      <c r="C1532" s="3">
        <v>0.0</v>
      </c>
      <c r="D1532" s="3">
        <v>0.0</v>
      </c>
      <c r="E1532" s="3">
        <v>0.0</v>
      </c>
      <c r="F1532" s="3" t="s">
        <v>4643</v>
      </c>
      <c r="G1532" s="3">
        <v>1.0</v>
      </c>
      <c r="H1532" s="3">
        <v>0.0</v>
      </c>
      <c r="I1532" s="3" t="s">
        <v>13</v>
      </c>
      <c r="J1532" s="3" t="s">
        <v>4644</v>
      </c>
      <c r="K1532" s="3" t="s">
        <v>75</v>
      </c>
      <c r="L1532" s="3" t="str">
        <f>IFERROR(__xludf.DUMMYFUNCTION("GOOGLETRANSLATE(F1532,""id"",""en"")"),"Become a Witness of the History of the Final Final of the Best Argentina French World Cup")</f>
        <v>Become a Witness of the History of the Final Final of the Best Argentina French World Cup</v>
      </c>
    </row>
    <row r="1533" ht="15.75" customHeight="1">
      <c r="A1533" s="1">
        <v>1536.0</v>
      </c>
      <c r="B1533" s="3" t="s">
        <v>4645</v>
      </c>
      <c r="C1533" s="3">
        <v>1.0</v>
      </c>
      <c r="D1533" s="3">
        <v>0.0</v>
      </c>
      <c r="E1533" s="3">
        <v>1.0</v>
      </c>
      <c r="F1533" s="3" t="s">
        <v>4646</v>
      </c>
      <c r="G1533" s="3">
        <v>1.0</v>
      </c>
      <c r="H1533" s="3">
        <v>0.0</v>
      </c>
      <c r="I1533" s="3" t="s">
        <v>13</v>
      </c>
      <c r="J1533" s="3" t="s">
        <v>4647</v>
      </c>
      <c r="K1533" s="3" t="s">
        <v>184</v>
      </c>
      <c r="L1533" s="3" t="str">
        <f>IFERROR(__xludf.DUMMYFUNCTION("GOOGLETRANSLATE(F1533,""id"",""en"")"),"Yes, I don't lift the Mbappe Man The Match fast trophy, the Most Coolest World Cup Final")</f>
        <v>Yes, I don't lift the Mbappe Man The Match fast trophy, the Most Coolest World Cup Final</v>
      </c>
    </row>
    <row r="1534" ht="15.75" customHeight="1">
      <c r="A1534" s="1">
        <v>1537.0</v>
      </c>
      <c r="B1534" s="3" t="s">
        <v>4648</v>
      </c>
      <c r="C1534" s="3">
        <v>0.0</v>
      </c>
      <c r="D1534" s="3">
        <v>0.0</v>
      </c>
      <c r="E1534" s="3">
        <v>0.0</v>
      </c>
      <c r="F1534" s="3" t="s">
        <v>4649</v>
      </c>
      <c r="G1534" s="3">
        <v>1.0</v>
      </c>
      <c r="H1534" s="3">
        <v>0.0</v>
      </c>
      <c r="I1534" s="3" t="s">
        <v>13</v>
      </c>
      <c r="J1534" s="3" t="s">
        <v>4650</v>
      </c>
      <c r="K1534" s="3" t="s">
        <v>41</v>
      </c>
      <c r="L1534" s="3" t="str">
        <f>IFERROR(__xludf.DUMMYFUNCTION("GOOGLETRANSLATE(F1534,""id"",""en"")"),"Final Located During the World Cup and Congratsss for Agegen and Messi")</f>
        <v>Final Located During the World Cup and Congratsss for Agegen and Messi</v>
      </c>
    </row>
    <row r="1535" ht="15.75" customHeight="1">
      <c r="A1535" s="1">
        <v>1538.0</v>
      </c>
      <c r="B1535" s="3" t="s">
        <v>4651</v>
      </c>
      <c r="C1535" s="3">
        <v>0.0</v>
      </c>
      <c r="D1535" s="3">
        <v>0.0</v>
      </c>
      <c r="E1535" s="3">
        <v>0.0</v>
      </c>
      <c r="F1535" s="3" t="s">
        <v>4652</v>
      </c>
      <c r="G1535" s="3">
        <v>1.0</v>
      </c>
      <c r="H1535" s="3">
        <v>0.0</v>
      </c>
      <c r="I1535" s="3" t="s">
        <v>13</v>
      </c>
      <c r="J1535" s="3" t="s">
        <v>4653</v>
      </c>
      <c r="K1535" s="3" t="s">
        <v>1978</v>
      </c>
      <c r="L1535" s="3" t="str">
        <f>IFERROR(__xludf.DUMMYFUNCTION("GOOGLETRANSLATE(F1535,""id"",""en"")"),"We have underestimate the beginning of the World Cup and the beginning of the final match, it turns out that lies the sensation of the best World Cup with the best final match")</f>
        <v>We have underestimate the beginning of the World Cup and the beginning of the final match, it turns out that lies the sensation of the best World Cup with the best final match</v>
      </c>
    </row>
    <row r="1536" ht="15.75" customHeight="1">
      <c r="A1536" s="1">
        <v>1539.0</v>
      </c>
      <c r="B1536" s="3" t="s">
        <v>4654</v>
      </c>
      <c r="C1536" s="3">
        <v>0.0</v>
      </c>
      <c r="D1536" s="3">
        <v>0.0</v>
      </c>
      <c r="E1536" s="3">
        <v>0.0</v>
      </c>
      <c r="F1536" s="3" t="s">
        <v>4655</v>
      </c>
      <c r="G1536" s="3">
        <v>1.0</v>
      </c>
      <c r="H1536" s="3">
        <v>0.0</v>
      </c>
      <c r="I1536" s="3" t="s">
        <v>13</v>
      </c>
      <c r="J1536" s="3" t="s">
        <v>4656</v>
      </c>
      <c r="K1536" s="3" t="s">
        <v>50</v>
      </c>
      <c r="L1536" s="3" t="str">
        <f>IFERROR(__xludf.DUMMYFUNCTION("GOOGLETRANSLATE(F1536,""id"",""en"")"),"what do you do at the age of losing to mbappe bro world cup finals")</f>
        <v>what do you do at the age of losing to mbappe bro world cup finals</v>
      </c>
    </row>
    <row r="1537" ht="15.75" customHeight="1">
      <c r="A1537" s="1">
        <v>1540.0</v>
      </c>
      <c r="B1537" s="3" t="s">
        <v>4657</v>
      </c>
      <c r="C1537" s="3">
        <v>0.0</v>
      </c>
      <c r="D1537" s="3">
        <v>0.0</v>
      </c>
      <c r="E1537" s="3">
        <v>0.0</v>
      </c>
      <c r="F1537" s="3" t="s">
        <v>4658</v>
      </c>
      <c r="G1537" s="3">
        <v>1.0</v>
      </c>
      <c r="H1537" s="3">
        <v>0.0</v>
      </c>
      <c r="I1537" s="3" t="s">
        <v>13</v>
      </c>
      <c r="J1537" s="3" t="s">
        <v>4659</v>
      </c>
      <c r="K1537" s="3" t="s">
        <v>19</v>
      </c>
      <c r="L1537" s="3" t="str">
        <f>IFERROR(__xludf.DUMMYFUNCTION("GOOGLETRANSLATE(F1537,""id"",""en"")"),"Mbappe Hattrick Final World Cup I breed Indomie when camping the beach")</f>
        <v>Mbappe Hattrick Final World Cup I breed Indomie when camping the beach</v>
      </c>
    </row>
    <row r="1538" ht="15.75" customHeight="1">
      <c r="A1538" s="1">
        <v>1541.0</v>
      </c>
      <c r="B1538" s="3" t="s">
        <v>4660</v>
      </c>
      <c r="C1538" s="3">
        <v>0.0</v>
      </c>
      <c r="D1538" s="3">
        <v>0.0</v>
      </c>
      <c r="E1538" s="3">
        <v>0.0</v>
      </c>
      <c r="F1538" s="3" t="s">
        <v>4661</v>
      </c>
      <c r="G1538" s="3">
        <v>1.0</v>
      </c>
      <c r="H1538" s="3">
        <v>0.0</v>
      </c>
      <c r="I1538" s="3" t="s">
        <v>13</v>
      </c>
      <c r="J1538" s="3" t="s">
        <v>4662</v>
      </c>
      <c r="K1538" s="3" t="s">
        <v>1317</v>
      </c>
      <c r="L1538" s="3" t="str">
        <f>IFERROR(__xludf.DUMMYFUNCTION("GOOGLETRANSLATE(F1538,""id"",""en"")"),"The Best World Cup that has ever had the best final ever and legitimate Messi became the best player ever thank France Mbappe for his fierce resistance and happy Argentina for his title")</f>
        <v>The Best World Cup that has ever had the best final ever and legitimate Messi became the best player ever thank France Mbappe for his fierce resistance and happy Argentina for his title</v>
      </c>
    </row>
    <row r="1539" ht="15.75" customHeight="1">
      <c r="A1539" s="1">
        <v>1542.0</v>
      </c>
      <c r="B1539" s="3" t="s">
        <v>4663</v>
      </c>
      <c r="C1539" s="3">
        <v>0.0</v>
      </c>
      <c r="D1539" s="3">
        <v>0.0</v>
      </c>
      <c r="E1539" s="3">
        <v>0.0</v>
      </c>
      <c r="F1539" s="3" t="s">
        <v>4664</v>
      </c>
      <c r="G1539" s="3">
        <v>1.0</v>
      </c>
      <c r="H1539" s="3">
        <v>0.0</v>
      </c>
      <c r="I1539" s="3" t="s">
        <v>13</v>
      </c>
      <c r="J1539" s="3" t="s">
        <v>4665</v>
      </c>
      <c r="K1539" s="3" t="s">
        <v>2023</v>
      </c>
      <c r="L1539" s="3" t="str">
        <f>IFERROR(__xludf.DUMMYFUNCTION("GOOGLETRANSLATE(F1539,""id"",""en"")"),"The best final of the best world cup mbape gokil but still Messi Messiah the best Savior is the best, finally Messi won the World Cup")</f>
        <v>The best final of the best world cup mbape gokil but still Messi Messiah the best Savior is the best, finally Messi won the World Cup</v>
      </c>
    </row>
    <row r="1540" ht="15.75" customHeight="1">
      <c r="A1540" s="1">
        <v>1543.0</v>
      </c>
      <c r="B1540" s="3" t="s">
        <v>4666</v>
      </c>
      <c r="C1540" s="3">
        <v>0.0</v>
      </c>
      <c r="D1540" s="3">
        <v>1.0</v>
      </c>
      <c r="E1540" s="3">
        <v>0.0</v>
      </c>
      <c r="F1540" s="3" t="s">
        <v>4667</v>
      </c>
      <c r="G1540" s="3">
        <v>1.0</v>
      </c>
      <c r="H1540" s="3">
        <v>0.0</v>
      </c>
      <c r="I1540" s="3" t="s">
        <v>13</v>
      </c>
      <c r="J1540" s="3" t="s">
        <v>4668</v>
      </c>
      <c r="K1540" s="3" t="s">
        <v>23</v>
      </c>
      <c r="L1540" s="3" t="str">
        <f>IFERROR(__xludf.DUMMYFUNCTION("GOOGLETRANSLATE(F1540,""id"",""en"")"),"Disappointed Argentina World Cup Champion Disappointed McD Order via application from the first round of the final only after after the penal shootout finished the trash mcD")</f>
        <v>Disappointed Argentina World Cup Champion Disappointed McD Order via application from the first round of the final only after after the penal shootout finished the trash mcD</v>
      </c>
    </row>
    <row r="1541" ht="15.75" customHeight="1">
      <c r="A1541" s="1">
        <v>1544.0</v>
      </c>
      <c r="B1541" s="3" t="s">
        <v>4669</v>
      </c>
      <c r="C1541" s="3">
        <v>0.0</v>
      </c>
      <c r="D1541" s="3">
        <v>0.0</v>
      </c>
      <c r="E1541" s="3">
        <v>0.0</v>
      </c>
      <c r="F1541" s="3" t="s">
        <v>4670</v>
      </c>
      <c r="G1541" s="3">
        <v>1.0</v>
      </c>
      <c r="H1541" s="3">
        <v>-0.125</v>
      </c>
      <c r="I1541" s="3" t="s">
        <v>179</v>
      </c>
      <c r="J1541" s="3" t="s">
        <v>4671</v>
      </c>
      <c r="K1541" s="3" t="s">
        <v>19</v>
      </c>
      <c r="L1541" s="3" t="str">
        <f>IFERROR(__xludf.DUMMYFUNCTION("GOOGLETRANSLATE(F1541,""id"",""en"")"),"This is the best World Cup Debate Print Hattrick Final Living Legend Lift Throphy Unbelievable")</f>
        <v>This is the best World Cup Debate Print Hattrick Final Living Legend Lift Throphy Unbelievable</v>
      </c>
    </row>
    <row r="1542" ht="15.75" customHeight="1">
      <c r="A1542" s="1">
        <v>1545.0</v>
      </c>
      <c r="B1542" s="3" t="s">
        <v>4672</v>
      </c>
      <c r="C1542" s="3">
        <v>0.0</v>
      </c>
      <c r="D1542" s="3">
        <v>0.0</v>
      </c>
      <c r="E1542" s="3">
        <v>0.0</v>
      </c>
      <c r="F1542" s="3" t="s">
        <v>4673</v>
      </c>
      <c r="G1542" s="3">
        <v>1.0</v>
      </c>
      <c r="H1542" s="3">
        <v>0.0</v>
      </c>
      <c r="I1542" s="3" t="s">
        <v>13</v>
      </c>
      <c r="J1542" s="3" t="s">
        <v>4674</v>
      </c>
      <c r="K1542" s="3" t="s">
        <v>82</v>
      </c>
      <c r="L1542" s="3" t="str">
        <f>IFERROR(__xludf.DUMMYFUNCTION("GOOGLETRANSLATE(F1542,""id"",""en"")"),"The World Cup Final was shocked throughout the year")</f>
        <v>The World Cup Final was shocked throughout the year</v>
      </c>
    </row>
    <row r="1543" ht="15.75" customHeight="1">
      <c r="A1543" s="1">
        <v>1546.0</v>
      </c>
      <c r="B1543" s="3" t="s">
        <v>4675</v>
      </c>
      <c r="C1543" s="3">
        <v>0.0</v>
      </c>
      <c r="D1543" s="3">
        <v>0.0</v>
      </c>
      <c r="E1543" s="3">
        <v>0.0</v>
      </c>
      <c r="F1543" s="3" t="s">
        <v>4676</v>
      </c>
      <c r="G1543" s="3">
        <v>1.0</v>
      </c>
      <c r="H1543" s="3">
        <v>0.0</v>
      </c>
      <c r="I1543" s="3" t="s">
        <v>13</v>
      </c>
      <c r="J1543" s="3" t="s">
        <v>4677</v>
      </c>
      <c r="K1543" s="3" t="s">
        <v>1359</v>
      </c>
      <c r="L1543" s="3" t="str">
        <f>IFERROR(__xludf.DUMMYFUNCTION("GOOGLETRANSLATE(F1543,""id"",""en"")"),"last world cup format of the last world cup final in history")</f>
        <v>last world cup format of the last world cup final in history</v>
      </c>
    </row>
    <row r="1544" ht="15.75" customHeight="1">
      <c r="A1544" s="1">
        <v>1547.0</v>
      </c>
      <c r="B1544" s="3" t="s">
        <v>4678</v>
      </c>
      <c r="C1544" s="3">
        <v>0.0</v>
      </c>
      <c r="D1544" s="3">
        <v>0.0</v>
      </c>
      <c r="E1544" s="3">
        <v>0.0</v>
      </c>
      <c r="F1544" s="3" t="s">
        <v>4679</v>
      </c>
      <c r="G1544" s="3">
        <v>1.0</v>
      </c>
      <c r="H1544" s="3">
        <v>0.0</v>
      </c>
      <c r="I1544" s="3" t="s">
        <v>13</v>
      </c>
      <c r="J1544" s="3" t="s">
        <v>4680</v>
      </c>
      <c r="K1544" s="3" t="s">
        <v>54</v>
      </c>
      <c r="L1544" s="3" t="str">
        <f>IFERROR(__xludf.DUMMYFUNCTION("GOOGLETRANSLATE(F1544,""id"",""en"")"),"Crazy Final Best During the World Cup")</f>
        <v>Crazy Final Best During the World Cup</v>
      </c>
    </row>
    <row r="1545" ht="15.75" customHeight="1">
      <c r="A1545" s="1">
        <v>1548.0</v>
      </c>
      <c r="B1545" s="3" t="s">
        <v>4681</v>
      </c>
      <c r="C1545" s="3">
        <v>1.0</v>
      </c>
      <c r="D1545" s="3">
        <v>0.0</v>
      </c>
      <c r="E1545" s="3">
        <v>0.0</v>
      </c>
      <c r="F1545" s="3" t="s">
        <v>4682</v>
      </c>
      <c r="G1545" s="3">
        <v>1.0</v>
      </c>
      <c r="H1545" s="3">
        <v>0.0</v>
      </c>
      <c r="I1545" s="3" t="s">
        <v>13</v>
      </c>
      <c r="J1545" s="3" t="s">
        <v>4683</v>
      </c>
      <c r="K1545" s="3" t="s">
        <v>1518</v>
      </c>
      <c r="L1545" s="3" t="str">
        <f>IFERROR(__xludf.DUMMYFUNCTION("GOOGLETRANSLATE(F1545,""id"",""en"")"),"Yes, there are many motivators who are experts to motivate others not for himself, but I stayed up, I was watching the final of the world cup, Argentina won")</f>
        <v>Yes, there are many motivators who are experts to motivate others not for himself, but I stayed up, I was watching the final of the world cup, Argentina won</v>
      </c>
    </row>
    <row r="1546" ht="15.75" customHeight="1">
      <c r="A1546" s="1">
        <v>1549.0</v>
      </c>
      <c r="B1546" s="3" t="s">
        <v>4684</v>
      </c>
      <c r="C1546" s="3">
        <v>0.0</v>
      </c>
      <c r="D1546" s="3">
        <v>0.0</v>
      </c>
      <c r="E1546" s="3">
        <v>0.0</v>
      </c>
      <c r="F1546" s="3" t="s">
        <v>4685</v>
      </c>
      <c r="G1546" s="3">
        <v>1.0</v>
      </c>
      <c r="H1546" s="3">
        <v>0.0</v>
      </c>
      <c r="I1546" s="3" t="s">
        <v>13</v>
      </c>
      <c r="J1546" s="3" t="s">
        <v>4686</v>
      </c>
      <c r="K1546" s="3" t="s">
        <v>50</v>
      </c>
      <c r="L1546" s="3" t="str">
        <f>IFERROR(__xludf.DUMMYFUNCTION("GOOGLETRANSLATE(F1546,""id"",""en"")"),"This is called the World Cup final in the history of Salut Congrats Argentina")</f>
        <v>This is called the World Cup final in the history of Salut Congrats Argentina</v>
      </c>
    </row>
    <row r="1547" ht="15.75" customHeight="1">
      <c r="A1547" s="1">
        <v>1550.0</v>
      </c>
      <c r="B1547" s="3" t="s">
        <v>4687</v>
      </c>
      <c r="C1547" s="3">
        <v>1.0</v>
      </c>
      <c r="D1547" s="3">
        <v>0.0</v>
      </c>
      <c r="E1547" s="3">
        <v>0.0</v>
      </c>
      <c r="F1547" s="3" t="s">
        <v>4688</v>
      </c>
      <c r="G1547" s="3">
        <v>1.0</v>
      </c>
      <c r="H1547" s="3">
        <v>0.0</v>
      </c>
      <c r="I1547" s="3" t="s">
        <v>13</v>
      </c>
      <c r="J1547" s="3" t="s">
        <v>4689</v>
      </c>
      <c r="K1547" s="3" t="s">
        <v>4690</v>
      </c>
      <c r="L1547" s="3" t="str">
        <f>IFERROR(__xludf.DUMMYFUNCTION("GOOGLETRANSLATE(F1547,""id"",""en"")"),"Aldi was evening later watching the World Cup Final, Yok later, I will wake up Aduduh, I am at all interested in sports, you want to do the sport directly or watch it right when the champions league final you wake up right for eating noodles.")</f>
        <v>Aldi was evening later watching the World Cup Final, Yok later, I will wake up Aduduh, I am at all interested in sports, you want to do the sport directly or watch it right when the champions league final you wake up right for eating noodles.</v>
      </c>
    </row>
    <row r="1548" ht="15.75" customHeight="1">
      <c r="A1548" s="1">
        <v>1551.0</v>
      </c>
      <c r="B1548" s="3" t="s">
        <v>4691</v>
      </c>
      <c r="C1548" s="3">
        <v>0.0</v>
      </c>
      <c r="D1548" s="3">
        <v>0.0</v>
      </c>
      <c r="E1548" s="3">
        <v>1.0</v>
      </c>
      <c r="F1548" s="3" t="s">
        <v>4692</v>
      </c>
      <c r="G1548" s="3">
        <v>1.0</v>
      </c>
      <c r="H1548" s="3">
        <v>0.0</v>
      </c>
      <c r="I1548" s="3" t="s">
        <v>13</v>
      </c>
      <c r="J1548" s="3" t="s">
        <v>4693</v>
      </c>
      <c r="K1548" s="3" t="s">
        <v>50</v>
      </c>
      <c r="L1548" s="3" t="str">
        <f>IFERROR(__xludf.DUMMYFUNCTION("GOOGLETRANSLATE(F1548,""id"",""en"")"),"but respect mbappe to be the first player to print the World Cup Final Hattrick")</f>
        <v>but respect mbappe to be the first player to print the World Cup Final Hattrick</v>
      </c>
    </row>
    <row r="1549" ht="15.75" customHeight="1">
      <c r="A1549" s="1">
        <v>1552.0</v>
      </c>
      <c r="B1549" s="3" t="s">
        <v>4694</v>
      </c>
      <c r="C1549" s="3">
        <v>0.0</v>
      </c>
      <c r="D1549" s="3">
        <v>0.0</v>
      </c>
      <c r="E1549" s="3">
        <v>0.0</v>
      </c>
      <c r="F1549" s="3" t="s">
        <v>4695</v>
      </c>
      <c r="G1549" s="3">
        <v>1.0</v>
      </c>
      <c r="H1549" s="3">
        <v>0.0</v>
      </c>
      <c r="I1549" s="3" t="s">
        <v>13</v>
      </c>
      <c r="J1549" s="3" t="s">
        <v>4696</v>
      </c>
      <c r="K1549" s="3" t="s">
        <v>41</v>
      </c>
      <c r="L1549" s="3" t="str">
        <f>IFERROR(__xludf.DUMMYFUNCTION("GOOGLETRANSLATE(F1549,""id"",""en"")"),"The first time the Nobar Final of the World Cup and BGT CoIIIIII")</f>
        <v>The first time the Nobar Final of the World Cup and BGT CoIIIIII</v>
      </c>
    </row>
    <row r="1550" ht="15.75" customHeight="1">
      <c r="A1550" s="1">
        <v>1553.0</v>
      </c>
      <c r="B1550" s="3" t="s">
        <v>4697</v>
      </c>
      <c r="C1550" s="3">
        <v>0.0</v>
      </c>
      <c r="D1550" s="3">
        <v>0.0</v>
      </c>
      <c r="E1550" s="3">
        <v>0.0</v>
      </c>
      <c r="F1550" s="3" t="s">
        <v>4698</v>
      </c>
      <c r="G1550" s="3">
        <v>0.5333333333333333</v>
      </c>
      <c r="H1550" s="3">
        <v>0.2333333333333333</v>
      </c>
      <c r="I1550" s="3" t="s">
        <v>48</v>
      </c>
      <c r="J1550" s="3" t="s">
        <v>4699</v>
      </c>
      <c r="K1550" s="3" t="s">
        <v>1045</v>
      </c>
      <c r="L1550" s="3" t="str">
        <f>IFERROR(__xludf.DUMMYFUNCTION("GOOGLETRANSLATE(F1550,""id"",""en"")"),"MBAPE young people who scored goals when the world of the world cup final will face hopefully he becomes the next guard your feet and body young people good luck Godspeed")</f>
        <v>MBAPE young people who scored goals when the world of the world cup final will face hopefully he becomes the next guard your feet and body young people good luck Godspeed</v>
      </c>
    </row>
    <row r="1551" ht="15.75" customHeight="1">
      <c r="A1551" s="1">
        <v>1554.0</v>
      </c>
      <c r="B1551" s="3" t="s">
        <v>4700</v>
      </c>
      <c r="C1551" s="3">
        <v>0.0</v>
      </c>
      <c r="D1551" s="3">
        <v>0.0</v>
      </c>
      <c r="E1551" s="3">
        <v>0.0</v>
      </c>
      <c r="F1551" s="3" t="s">
        <v>4701</v>
      </c>
      <c r="G1551" s="3">
        <v>1.0</v>
      </c>
      <c r="H1551" s="3">
        <v>0.0</v>
      </c>
      <c r="I1551" s="3" t="s">
        <v>13</v>
      </c>
      <c r="J1551" s="3" t="s">
        <v>4702</v>
      </c>
      <c r="K1551" s="3" t="s">
        <v>1097</v>
      </c>
      <c r="L1551" s="3" t="str">
        <f>IFERROR(__xludf.DUMMYFUNCTION("GOOGLETRANSLATE(F1551,""id"",""en"")"),"watching the World Cup final starting from this year the best final match")</f>
        <v>watching the World Cup final starting from this year the best final match</v>
      </c>
    </row>
    <row r="1552" ht="15.75" customHeight="1">
      <c r="A1552" s="1">
        <v>1555.0</v>
      </c>
      <c r="B1552" s="3" t="s">
        <v>4703</v>
      </c>
      <c r="C1552" s="3">
        <v>0.0</v>
      </c>
      <c r="D1552" s="3">
        <v>0.0</v>
      </c>
      <c r="E1552" s="3">
        <v>0.0</v>
      </c>
      <c r="F1552" s="3" t="s">
        <v>4704</v>
      </c>
      <c r="G1552" s="3">
        <v>1.0</v>
      </c>
      <c r="H1552" s="3">
        <v>0.0</v>
      </c>
      <c r="I1552" s="3" t="s">
        <v>13</v>
      </c>
      <c r="J1552" s="3" t="s">
        <v>4705</v>
      </c>
      <c r="K1552" s="3" t="s">
        <v>3612</v>
      </c>
      <c r="L1552" s="3" t="str">
        <f>IFERROR(__xludf.DUMMYFUNCTION("GOOGLETRANSLATE(F1552,""id"",""en"")"),"The World Cup Final was shocked I had watched both teams as worth winning but finally Argentina won the World Cup Happy Argentina")</f>
        <v>The World Cup Final was shocked I had watched both teams as worth winning but finally Argentina won the World Cup Happy Argentina</v>
      </c>
    </row>
    <row r="1553" ht="15.75" customHeight="1">
      <c r="A1553" s="1">
        <v>1556.0</v>
      </c>
      <c r="B1553" s="3" t="s">
        <v>4706</v>
      </c>
      <c r="C1553" s="3">
        <v>1.0</v>
      </c>
      <c r="D1553" s="3">
        <v>0.0</v>
      </c>
      <c r="E1553" s="3">
        <v>0.0</v>
      </c>
      <c r="F1553" s="3" t="s">
        <v>4707</v>
      </c>
      <c r="G1553" s="3">
        <v>1.0</v>
      </c>
      <c r="H1553" s="3">
        <v>-0.5</v>
      </c>
      <c r="I1553" s="3" t="s">
        <v>179</v>
      </c>
      <c r="J1553" s="3" t="s">
        <v>4708</v>
      </c>
      <c r="K1553" s="3" t="s">
        <v>2146</v>
      </c>
      <c r="L1553" s="3" t="str">
        <f>IFERROR(__xludf.DUMMYFUNCTION("GOOGLETRANSLATE(F1553,""id"",""en"")"),"Broken this World Cup at the beginning of the event very quiet there is no vibes and then shocking moments began to emerge Asian countries entering the big Morocco Belgium Spanish Portugal continued")</f>
        <v>Broken this World Cup at the beginning of the event very quiet there is no vibes and then shocking moments began to emerge Asian countries entering the big Morocco Belgium Spanish Portugal continued</v>
      </c>
    </row>
    <row r="1554" ht="15.75" customHeight="1">
      <c r="A1554" s="1">
        <v>1557.0</v>
      </c>
      <c r="B1554" s="3" t="s">
        <v>4709</v>
      </c>
      <c r="C1554" s="3">
        <v>0.0</v>
      </c>
      <c r="D1554" s="3">
        <v>0.0</v>
      </c>
      <c r="E1554" s="3">
        <v>0.0</v>
      </c>
      <c r="F1554" s="3" t="s">
        <v>4710</v>
      </c>
      <c r="G1554" s="3">
        <v>0.7333333333333334</v>
      </c>
      <c r="H1554" s="3">
        <v>-0.03333333333333333</v>
      </c>
      <c r="I1554" s="3" t="s">
        <v>179</v>
      </c>
      <c r="J1554" s="3" t="s">
        <v>4711</v>
      </c>
      <c r="K1554" s="3" t="s">
        <v>1854</v>
      </c>
      <c r="L1554" s="3" t="str">
        <f>IFERROR(__xludf.DUMMYFUNCTION("GOOGLETRANSLATE(F1554,""id"",""en"")"),"Since the first time watching the final of the World Cup Qatar, the most dramatic Congrats Argentina, the title of Messi Level Club and the most complete Congrat Lautaro, brought this mental Inter")</f>
        <v>Since the first time watching the final of the World Cup Qatar, the most dramatic Congrats Argentina, the title of Messi Level Club and the most complete Congrat Lautaro, brought this mental Inter</v>
      </c>
    </row>
    <row r="1555" ht="15.75" customHeight="1">
      <c r="A1555" s="1">
        <v>1558.0</v>
      </c>
      <c r="B1555" s="3" t="s">
        <v>4712</v>
      </c>
      <c r="C1555" s="3">
        <v>0.0</v>
      </c>
      <c r="D1555" s="3">
        <v>0.0</v>
      </c>
      <c r="E1555" s="3">
        <v>0.0</v>
      </c>
      <c r="F1555" s="3" t="s">
        <v>4713</v>
      </c>
      <c r="G1555" s="3">
        <v>0.5</v>
      </c>
      <c r="H1555" s="3">
        <v>0.07499999999999998</v>
      </c>
      <c r="I1555" s="3" t="s">
        <v>48</v>
      </c>
      <c r="J1555" s="3" t="s">
        <v>4714</v>
      </c>
      <c r="K1555" s="3" t="s">
        <v>1518</v>
      </c>
      <c r="L1555" s="3" t="str">
        <f>IFERROR(__xludf.DUMMYFUNCTION("GOOGLETRANSLATE(F1555,""id"",""en"")"),"This best world cup final is really congratted Messi you desserved this for mbappe good game try next time squad better to carry the team's own team")</f>
        <v>This best world cup final is really congratted Messi you desserved this for mbappe good game try next time squad better to carry the team's own team</v>
      </c>
    </row>
    <row r="1556" ht="15.75" customHeight="1">
      <c r="A1556" s="1">
        <v>1559.0</v>
      </c>
      <c r="B1556" s="3" t="s">
        <v>4715</v>
      </c>
      <c r="C1556" s="3">
        <v>0.0</v>
      </c>
      <c r="D1556" s="3">
        <v>1.0</v>
      </c>
      <c r="E1556" s="3">
        <v>0.0</v>
      </c>
      <c r="F1556" s="3" t="s">
        <v>4716</v>
      </c>
      <c r="G1556" s="3">
        <v>0.65</v>
      </c>
      <c r="H1556" s="3">
        <v>0.1</v>
      </c>
      <c r="I1556" s="3" t="s">
        <v>48</v>
      </c>
      <c r="J1556" s="3" t="s">
        <v>4717</v>
      </c>
      <c r="K1556" s="3" t="s">
        <v>82</v>
      </c>
      <c r="L1556" s="3" t="str">
        <f>IFERROR(__xludf.DUMMYFUNCTION("GOOGLETRANSLATE(F1556,""id"",""en"")"),"The World Cup Final was shocked throughout modern football")</f>
        <v>The World Cup Final was shocked throughout modern football</v>
      </c>
    </row>
    <row r="1557" ht="15.75" customHeight="1">
      <c r="A1557" s="1">
        <v>1560.0</v>
      </c>
      <c r="B1557" s="3" t="s">
        <v>4718</v>
      </c>
      <c r="C1557" s="3">
        <v>1.0</v>
      </c>
      <c r="D1557" s="3">
        <v>0.0</v>
      </c>
      <c r="E1557" s="3">
        <v>0.0</v>
      </c>
      <c r="F1557" s="3" t="s">
        <v>4719</v>
      </c>
      <c r="G1557" s="3">
        <v>1.0</v>
      </c>
      <c r="H1557" s="3">
        <v>0.0</v>
      </c>
      <c r="I1557" s="3" t="s">
        <v>13</v>
      </c>
      <c r="J1557" s="3" t="s">
        <v>4720</v>
      </c>
      <c r="K1557" s="3" t="s">
        <v>75</v>
      </c>
      <c r="L1557" s="3" t="str">
        <f>IFERROR(__xludf.DUMMYFUNCTION("GOOGLETRANSLATE(F1557,""id"",""en"")"),"World Cup French squad again age mateng mateng, God willing, the final again")</f>
        <v>World Cup French squad again age mateng mateng, God willing, the final again</v>
      </c>
    </row>
    <row r="1558" ht="15.75" customHeight="1">
      <c r="A1558" s="1">
        <v>1561.0</v>
      </c>
      <c r="B1558" s="3" t="s">
        <v>4721</v>
      </c>
      <c r="C1558" s="3">
        <v>0.0</v>
      </c>
      <c r="D1558" s="3">
        <v>0.0</v>
      </c>
      <c r="E1558" s="3">
        <v>0.0</v>
      </c>
      <c r="F1558" s="3" t="s">
        <v>4722</v>
      </c>
      <c r="G1558" s="3">
        <v>1.0</v>
      </c>
      <c r="H1558" s="3">
        <v>0.0</v>
      </c>
      <c r="I1558" s="3" t="s">
        <v>13</v>
      </c>
      <c r="J1558" s="3" t="s">
        <v>4723</v>
      </c>
      <c r="K1558" s="3" t="s">
        <v>244</v>
      </c>
      <c r="L1558" s="3" t="str">
        <f>IFERROR(__xludf.DUMMYFUNCTION("GOOGLETRANSLATE(F1558,""id"",""en"")"),"Once you see the World Cup final making mules deg deg wkwkwkwkwk very exciting")</f>
        <v>Once you see the World Cup final making mules deg deg wkwkwkwkwk very exciting</v>
      </c>
    </row>
    <row r="1559" ht="15.75" customHeight="1">
      <c r="A1559" s="1">
        <v>1562.0</v>
      </c>
      <c r="B1559" s="3" t="s">
        <v>4724</v>
      </c>
      <c r="C1559" s="3">
        <v>0.0</v>
      </c>
      <c r="D1559" s="3">
        <v>2.0</v>
      </c>
      <c r="E1559" s="3">
        <v>0.0</v>
      </c>
      <c r="F1559" s="3" t="s">
        <v>4725</v>
      </c>
      <c r="G1559" s="3">
        <v>1.0</v>
      </c>
      <c r="H1559" s="3">
        <v>0.0</v>
      </c>
      <c r="I1559" s="3" t="s">
        <v>13</v>
      </c>
      <c r="J1559" s="3" t="s">
        <v>4726</v>
      </c>
      <c r="K1559" s="3" t="s">
        <v>1479</v>
      </c>
      <c r="L1559" s="3" t="str">
        <f>IFERROR(__xludf.DUMMYFUNCTION("GOOGLETRANSLATE(F1559,""id"",""en"")"),"The results of the French Argentina Final Dramatic World Cup Argentina Champion World Cup through penalties")</f>
        <v>The results of the French Argentina Final Dramatic World Cup Argentina Champion World Cup through penalties</v>
      </c>
    </row>
    <row r="1560" ht="15.75" customHeight="1">
      <c r="A1560" s="1">
        <v>1563.0</v>
      </c>
      <c r="B1560" s="3" t="s">
        <v>4727</v>
      </c>
      <c r="C1560" s="3">
        <v>0.0</v>
      </c>
      <c r="D1560" s="3">
        <v>0.0</v>
      </c>
      <c r="E1560" s="3">
        <v>0.0</v>
      </c>
      <c r="F1560" s="3" t="s">
        <v>4728</v>
      </c>
      <c r="G1560" s="3">
        <v>0.7666666666666666</v>
      </c>
      <c r="H1560" s="3">
        <v>0.3333333333333333</v>
      </c>
      <c r="I1560" s="3" t="s">
        <v>48</v>
      </c>
      <c r="J1560" s="3" t="s">
        <v>4729</v>
      </c>
      <c r="K1560" s="3" t="s">
        <v>974</v>
      </c>
      <c r="L1560" s="3" t="str">
        <f>IFERROR(__xludf.DUMMYFUNCTION("GOOGLETRANSLATE(F1560,""id"",""en"")"),"The Final Extraordinary Final World Cup Ter The Best Mbappe Perfect Messi as well but Destiny has been recorded by Argentina's Qatar Congratulations Lionel Messi Perfect Career as a footballer salutes for France to resistance until the last second")</f>
        <v>The Final Extraordinary Final World Cup Ter The Best Mbappe Perfect Messi as well but Destiny has been recorded by Argentina's Qatar Congratulations Lionel Messi Perfect Career as a footballer salutes for France to resistance until the last second</v>
      </c>
    </row>
    <row r="1561" ht="15.75" customHeight="1">
      <c r="A1561" s="1">
        <v>1564.0</v>
      </c>
      <c r="B1561" s="3" t="s">
        <v>4730</v>
      </c>
      <c r="C1561" s="3">
        <v>0.0</v>
      </c>
      <c r="D1561" s="3">
        <v>0.0</v>
      </c>
      <c r="E1561" s="3">
        <v>1.0</v>
      </c>
      <c r="F1561" s="3" t="s">
        <v>4731</v>
      </c>
      <c r="G1561" s="3">
        <v>1.0</v>
      </c>
      <c r="H1561" s="3">
        <v>0.0</v>
      </c>
      <c r="I1561" s="3" t="s">
        <v>13</v>
      </c>
      <c r="J1561" s="3" t="s">
        <v>4732</v>
      </c>
      <c r="K1561" s="3" t="s">
        <v>1335</v>
      </c>
      <c r="L1561" s="3" t="str">
        <f>IFERROR(__xludf.DUMMYFUNCTION("GOOGLETRANSLATE(F1561,""id"",""en"")"),"The final was excited during watching the World Cup final")</f>
        <v>The final was excited during watching the World Cup final</v>
      </c>
    </row>
    <row r="1562" ht="15.75" customHeight="1">
      <c r="A1562" s="1">
        <v>1565.0</v>
      </c>
      <c r="B1562" s="3" t="s">
        <v>4733</v>
      </c>
      <c r="C1562" s="3">
        <v>0.0</v>
      </c>
      <c r="D1562" s="3">
        <v>0.0</v>
      </c>
      <c r="E1562" s="3">
        <v>1.0</v>
      </c>
      <c r="F1562" s="3" t="s">
        <v>4734</v>
      </c>
      <c r="G1562" s="3">
        <v>1.0</v>
      </c>
      <c r="H1562" s="3">
        <v>0.0</v>
      </c>
      <c r="I1562" s="3" t="s">
        <v>13</v>
      </c>
      <c r="J1562" s="3" t="s">
        <v>4735</v>
      </c>
      <c r="K1562" s="3" t="s">
        <v>19</v>
      </c>
      <c r="L1562" s="3" t="str">
        <f>IFERROR(__xludf.DUMMYFUNCTION("GOOGLETRANSLATE(F1562,""id"",""en"")"),"From the start of the World Cup never won only Portugal Switzerland and the final gave a victory to thank capital")</f>
        <v>From the start of the World Cup never won only Portugal Switzerland and the final gave a victory to thank capital</v>
      </c>
    </row>
    <row r="1563" ht="15.75" customHeight="1">
      <c r="A1563" s="1">
        <v>1566.0</v>
      </c>
      <c r="B1563" s="3" t="s">
        <v>4736</v>
      </c>
      <c r="C1563" s="3">
        <v>0.0</v>
      </c>
      <c r="D1563" s="3">
        <v>0.0</v>
      </c>
      <c r="E1563" s="3">
        <v>0.0</v>
      </c>
      <c r="F1563" s="3" t="s">
        <v>665</v>
      </c>
      <c r="G1563" s="3">
        <v>1.0</v>
      </c>
      <c r="H1563" s="3">
        <v>0.0</v>
      </c>
      <c r="I1563" s="3" t="s">
        <v>13</v>
      </c>
      <c r="J1563" s="3" t="s">
        <v>666</v>
      </c>
      <c r="K1563" s="3" t="s">
        <v>644</v>
      </c>
      <c r="L1563" s="3" t="str">
        <f>IFERROR(__xludf.DUMMYFUNCTION("GOOGLETRANSLATE(F1563,""id"",""en"")"),"the best world cup final")</f>
        <v>the best world cup final</v>
      </c>
    </row>
    <row r="1564" ht="15.75" customHeight="1">
      <c r="A1564" s="1">
        <v>1567.0</v>
      </c>
      <c r="B1564" s="3" t="s">
        <v>4737</v>
      </c>
      <c r="C1564" s="3">
        <v>0.0</v>
      </c>
      <c r="D1564" s="3">
        <v>0.0</v>
      </c>
      <c r="E1564" s="3">
        <v>0.0</v>
      </c>
      <c r="F1564" s="3" t="s">
        <v>4738</v>
      </c>
      <c r="G1564" s="3">
        <v>1.0</v>
      </c>
      <c r="H1564" s="3">
        <v>0.0</v>
      </c>
      <c r="I1564" s="3" t="s">
        <v>13</v>
      </c>
      <c r="J1564" s="3" t="s">
        <v>4739</v>
      </c>
      <c r="K1564" s="3" t="s">
        <v>31</v>
      </c>
      <c r="L1564" s="3" t="str">
        <f>IFERROR(__xludf.DUMMYFUNCTION("GOOGLETRANSLATE(F1564,""id"",""en"")"),"The best world cup final is ieu")</f>
        <v>The best world cup final is ieu</v>
      </c>
    </row>
    <row r="1565" ht="15.75" customHeight="1">
      <c r="A1565" s="1">
        <v>1568.0</v>
      </c>
      <c r="B1565" s="3" t="s">
        <v>4740</v>
      </c>
      <c r="C1565" s="3">
        <v>0.0</v>
      </c>
      <c r="D1565" s="3">
        <v>0.0</v>
      </c>
      <c r="E1565" s="3">
        <v>0.0</v>
      </c>
      <c r="F1565" s="3" t="s">
        <v>4741</v>
      </c>
      <c r="G1565" s="3">
        <v>1.0</v>
      </c>
      <c r="H1565" s="3">
        <v>0.0</v>
      </c>
      <c r="I1565" s="3" t="s">
        <v>13</v>
      </c>
      <c r="J1565" s="3" t="s">
        <v>4742</v>
      </c>
      <c r="K1565" s="3" t="s">
        <v>695</v>
      </c>
      <c r="L1565" s="3" t="str">
        <f>IFERROR(__xludf.DUMMYFUNCTION("GOOGLETRANSLATE(F1565,""id"",""en"")"),"Alhamdulillah, Argentina successfully defeated France Final of the World Cup through a thrilling penalty shootout with this complete Lionel Messi title as the world's best player")</f>
        <v>Alhamdulillah, Argentina successfully defeated France Final of the World Cup through a thrilling penalty shootout with this complete Lionel Messi title as the world's best player</v>
      </c>
    </row>
    <row r="1566" ht="15.75" customHeight="1">
      <c r="A1566" s="1">
        <v>1569.0</v>
      </c>
      <c r="B1566" s="3" t="s">
        <v>4743</v>
      </c>
      <c r="C1566" s="3">
        <v>0.0</v>
      </c>
      <c r="D1566" s="3">
        <v>0.0</v>
      </c>
      <c r="E1566" s="3">
        <v>0.0</v>
      </c>
      <c r="F1566" s="3" t="s">
        <v>4744</v>
      </c>
      <c r="G1566" s="3">
        <v>1.0</v>
      </c>
      <c r="H1566" s="3">
        <v>0.0</v>
      </c>
      <c r="I1566" s="3" t="s">
        <v>13</v>
      </c>
      <c r="J1566" s="3" t="s">
        <v>4745</v>
      </c>
      <c r="K1566" s="3" t="s">
        <v>31</v>
      </c>
      <c r="L1566" s="3" t="str">
        <f>IFERROR(__xludf.DUMMYFUNCTION("GOOGLETRANSLATE(F1566,""id"",""en"")"),"The World Cup Final was shocked by Njir")</f>
        <v>The World Cup Final was shocked by Njir</v>
      </c>
    </row>
    <row r="1567" ht="15.75" customHeight="1">
      <c r="A1567" s="1">
        <v>1570.0</v>
      </c>
      <c r="B1567" s="3" t="s">
        <v>4746</v>
      </c>
      <c r="C1567" s="3">
        <v>0.0</v>
      </c>
      <c r="D1567" s="3">
        <v>0.0</v>
      </c>
      <c r="E1567" s="3">
        <v>0.0</v>
      </c>
      <c r="F1567" s="3" t="s">
        <v>4747</v>
      </c>
      <c r="G1567" s="3">
        <v>1.0</v>
      </c>
      <c r="H1567" s="3">
        <v>0.0</v>
      </c>
      <c r="I1567" s="3" t="s">
        <v>13</v>
      </c>
      <c r="J1567" s="3" t="s">
        <v>4748</v>
      </c>
      <c r="K1567" s="3" t="s">
        <v>510</v>
      </c>
      <c r="L1567" s="3" t="str">
        <f>IFERROR(__xludf.DUMMYFUNCTION("GOOGLETRANSLATE(F1567,""id"",""en"")"),"They both gave a show of the best World Cup Final match Thank you Messi Continue Mbappe")</f>
        <v>They both gave a show of the best World Cup Final match Thank you Messi Continue Mbappe</v>
      </c>
    </row>
    <row r="1568" ht="15.75" customHeight="1">
      <c r="A1568" s="1">
        <v>1571.0</v>
      </c>
      <c r="B1568" s="3" t="s">
        <v>4749</v>
      </c>
      <c r="C1568" s="3">
        <v>41.0</v>
      </c>
      <c r="D1568" s="3">
        <v>178.0</v>
      </c>
      <c r="E1568" s="3">
        <v>2083.0</v>
      </c>
      <c r="F1568" s="3" t="s">
        <v>4750</v>
      </c>
      <c r="G1568" s="3">
        <v>1.0</v>
      </c>
      <c r="H1568" s="3">
        <v>0.0</v>
      </c>
      <c r="I1568" s="3" t="s">
        <v>13</v>
      </c>
      <c r="J1568" s="3" t="s">
        <v>4751</v>
      </c>
      <c r="K1568" s="3" t="s">
        <v>633</v>
      </c>
      <c r="L1568" s="3" t="str">
        <f>IFERROR(__xludf.DUMMYFUNCTION("GOOGLETRANSLATE(F1568,""id"",""en"")"),"What final finally Argentina came out as the World Cup champion defeated the defending champion France through a penalty shootout for Messi and Team")</f>
        <v>What final finally Argentina came out as the World Cup champion defeated the defending champion France through a penalty shootout for Messi and Team</v>
      </c>
    </row>
    <row r="1569" ht="15.75" customHeight="1">
      <c r="A1569" s="1">
        <v>1572.0</v>
      </c>
      <c r="B1569" s="3" t="s">
        <v>4752</v>
      </c>
      <c r="C1569" s="3">
        <v>0.0</v>
      </c>
      <c r="D1569" s="3">
        <v>0.0</v>
      </c>
      <c r="E1569" s="3">
        <v>0.0</v>
      </c>
      <c r="F1569" s="3" t="s">
        <v>4753</v>
      </c>
      <c r="G1569" s="3">
        <v>1.0</v>
      </c>
      <c r="H1569" s="3">
        <v>0.0</v>
      </c>
      <c r="I1569" s="3" t="s">
        <v>13</v>
      </c>
      <c r="J1569" s="3" t="s">
        <v>666</v>
      </c>
      <c r="K1569" s="3" t="s">
        <v>644</v>
      </c>
      <c r="L1569" s="3" t="str">
        <f>IFERROR(__xludf.DUMMYFUNCTION("GOOGLETRANSLATE(F1569,""id"",""en"")"),"Final and Best World Cup")</f>
        <v>Final and Best World Cup</v>
      </c>
    </row>
    <row r="1570" ht="15.75" customHeight="1">
      <c r="A1570" s="1">
        <v>1573.0</v>
      </c>
      <c r="B1570" s="3" t="s">
        <v>4754</v>
      </c>
      <c r="C1570" s="3">
        <v>0.0</v>
      </c>
      <c r="D1570" s="3">
        <v>0.0</v>
      </c>
      <c r="E1570" s="3">
        <v>0.0</v>
      </c>
      <c r="F1570" s="3" t="s">
        <v>4755</v>
      </c>
      <c r="G1570" s="3">
        <v>1.0</v>
      </c>
      <c r="H1570" s="3">
        <v>0.0</v>
      </c>
      <c r="I1570" s="3" t="s">
        <v>13</v>
      </c>
      <c r="J1570" s="3" t="s">
        <v>4756</v>
      </c>
      <c r="K1570" s="3" t="s">
        <v>149</v>
      </c>
      <c r="L1570" s="3" t="str">
        <f>IFERROR(__xludf.DUMMYFUNCTION("GOOGLETRANSLATE(F1570,""id"",""en"")"),"The World Cup Final was shocked to watch Messi finally world champion too but Mbappe Stole the Show What Player Congrats Argentina Ynwa Ibou Konate")</f>
        <v>The World Cup Final was shocked to watch Messi finally world champion too but Mbappe Stole the Show What Player Congrats Argentina Ynwa Ibou Konate</v>
      </c>
    </row>
    <row r="1571" ht="15.75" customHeight="1">
      <c r="A1571" s="1">
        <v>1574.0</v>
      </c>
      <c r="B1571" s="3" t="s">
        <v>4757</v>
      </c>
      <c r="C1571" s="3">
        <v>0.0</v>
      </c>
      <c r="D1571" s="3">
        <v>0.0</v>
      </c>
      <c r="E1571" s="3">
        <v>3.0</v>
      </c>
      <c r="F1571" s="3" t="s">
        <v>4758</v>
      </c>
      <c r="G1571" s="3">
        <v>1.0</v>
      </c>
      <c r="H1571" s="3">
        <v>0.0</v>
      </c>
      <c r="I1571" s="3" t="s">
        <v>13</v>
      </c>
      <c r="J1571" s="3" t="s">
        <v>4759</v>
      </c>
      <c r="K1571" s="3" t="s">
        <v>15</v>
      </c>
      <c r="L1571" s="3" t="str">
        <f>IFERROR(__xludf.DUMMYFUNCTION("GOOGLETRANSLATE(F1571,""id"",""en"")"),"This is the craziest final of Anjir during watching the World Cup")</f>
        <v>This is the craziest final of Anjir during watching the World Cup</v>
      </c>
    </row>
    <row r="1572" ht="15.75" customHeight="1">
      <c r="A1572" s="1">
        <v>1575.0</v>
      </c>
      <c r="B1572" s="3" t="s">
        <v>4760</v>
      </c>
      <c r="C1572" s="3">
        <v>0.0</v>
      </c>
      <c r="D1572" s="3">
        <v>0.0</v>
      </c>
      <c r="E1572" s="3">
        <v>0.0</v>
      </c>
      <c r="F1572" s="3" t="s">
        <v>4761</v>
      </c>
      <c r="G1572" s="3">
        <v>1.0</v>
      </c>
      <c r="H1572" s="3">
        <v>0.0</v>
      </c>
      <c r="I1572" s="3" t="s">
        <v>13</v>
      </c>
      <c r="J1572" s="3" t="s">
        <v>4762</v>
      </c>
      <c r="K1572" s="3" t="s">
        <v>31</v>
      </c>
      <c r="L1572" s="3" t="str">
        <f>IFERROR(__xludf.DUMMYFUNCTION("GOOGLETRANSLATE(F1572,""id"",""en"")"),"World Cup Final Most Edyannn")</f>
        <v>World Cup Final Most Edyannn</v>
      </c>
    </row>
    <row r="1573" ht="15.75" customHeight="1">
      <c r="A1573" s="1">
        <v>1576.0</v>
      </c>
      <c r="B1573" s="3" t="s">
        <v>4763</v>
      </c>
      <c r="C1573" s="3">
        <v>0.0</v>
      </c>
      <c r="D1573" s="3">
        <v>0.0</v>
      </c>
      <c r="E1573" s="3">
        <v>0.0</v>
      </c>
      <c r="F1573" s="3" t="s">
        <v>4764</v>
      </c>
      <c r="G1573" s="3">
        <v>1.0</v>
      </c>
      <c r="H1573" s="3">
        <v>0.0</v>
      </c>
      <c r="I1573" s="3" t="s">
        <v>13</v>
      </c>
      <c r="J1573" s="3" t="s">
        <v>4765</v>
      </c>
      <c r="K1573" s="3" t="s">
        <v>495</v>
      </c>
      <c r="L1573" s="3" t="str">
        <f>IFERROR(__xludf.DUMMYFUNCTION("GOOGLETRANSLATE(F1573,""id"",""en"")"),"One of the best World Cup finals all the time Cuy was tense chasing chasing goals from the drama climax of the Pokonya Happy Argentin Messi")</f>
        <v>One of the best World Cup finals all the time Cuy was tense chasing chasing goals from the drama climax of the Pokonya Happy Argentin Messi</v>
      </c>
    </row>
    <row r="1574" ht="15.75" customHeight="1">
      <c r="A1574" s="1">
        <v>1577.0</v>
      </c>
      <c r="B1574" s="3" t="s">
        <v>4766</v>
      </c>
      <c r="C1574" s="3">
        <v>0.0</v>
      </c>
      <c r="D1574" s="3">
        <v>0.0</v>
      </c>
      <c r="E1574" s="3">
        <v>0.0</v>
      </c>
      <c r="F1574" s="3" t="s">
        <v>4767</v>
      </c>
      <c r="G1574" s="3">
        <v>1.0</v>
      </c>
      <c r="H1574" s="3">
        <v>0.0</v>
      </c>
      <c r="I1574" s="3" t="s">
        <v>13</v>
      </c>
      <c r="J1574" s="3" t="s">
        <v>4768</v>
      </c>
      <c r="K1574" s="3" t="s">
        <v>437</v>
      </c>
      <c r="L1574" s="3" t="str">
        <f>IFERROR(__xludf.DUMMYFUNCTION("GOOGLETRANSLATE(F1574,""id"",""en"")"),"But France until the final has also broken the myth still remember the champion when the DiPas World Cup even though it was just the Euro championship")</f>
        <v>But France until the final has also broken the myth still remember the champion when the DiPas World Cup even though it was just the Euro championship</v>
      </c>
    </row>
    <row r="1575" ht="15.75" customHeight="1">
      <c r="A1575" s="1">
        <v>1578.0</v>
      </c>
      <c r="B1575" s="3" t="s">
        <v>4769</v>
      </c>
      <c r="C1575" s="3">
        <v>0.0</v>
      </c>
      <c r="D1575" s="3">
        <v>0.0</v>
      </c>
      <c r="E1575" s="3">
        <v>0.0</v>
      </c>
      <c r="F1575" s="3" t="s">
        <v>4770</v>
      </c>
      <c r="G1575" s="3">
        <v>1.0</v>
      </c>
      <c r="H1575" s="3">
        <v>0.0</v>
      </c>
      <c r="I1575" s="3" t="s">
        <v>13</v>
      </c>
      <c r="J1575" s="3" t="s">
        <v>4771</v>
      </c>
      <c r="K1575" s="3" t="s">
        <v>322</v>
      </c>
      <c r="L1575" s="3" t="str">
        <f>IFERROR(__xludf.DUMMYFUNCTION("GOOGLETRANSLATE(F1575,""id"",""en"")"),"really the crazy world cup final")</f>
        <v>really the crazy world cup final</v>
      </c>
    </row>
    <row r="1576" ht="15.75" customHeight="1">
      <c r="A1576" s="1">
        <v>1579.0</v>
      </c>
      <c r="B1576" s="3" t="s">
        <v>4772</v>
      </c>
      <c r="C1576" s="3">
        <v>0.0</v>
      </c>
      <c r="D1576" s="3">
        <v>0.0</v>
      </c>
      <c r="E1576" s="3">
        <v>0.0</v>
      </c>
      <c r="F1576" s="3" t="s">
        <v>4773</v>
      </c>
      <c r="G1576" s="3">
        <v>1.0</v>
      </c>
      <c r="H1576" s="3">
        <v>0.0</v>
      </c>
      <c r="I1576" s="3" t="s">
        <v>13</v>
      </c>
      <c r="J1576" s="3" t="s">
        <v>4774</v>
      </c>
      <c r="K1576" s="3" t="s">
        <v>644</v>
      </c>
      <c r="L1576" s="3" t="str">
        <f>IFERROR(__xludf.DUMMYFUNCTION("GOOGLETRANSLATE(F1576,""id"",""en"")"),"The World Cup Final")</f>
        <v>The World Cup Final</v>
      </c>
    </row>
    <row r="1577" ht="15.75" customHeight="1">
      <c r="A1577" s="1">
        <v>1580.0</v>
      </c>
      <c r="B1577" s="3" t="s">
        <v>4775</v>
      </c>
      <c r="C1577" s="3">
        <v>0.0</v>
      </c>
      <c r="D1577" s="3">
        <v>0.0</v>
      </c>
      <c r="E1577" s="3">
        <v>0.0</v>
      </c>
      <c r="F1577" s="3" t="s">
        <v>4776</v>
      </c>
      <c r="G1577" s="3">
        <v>1.0</v>
      </c>
      <c r="H1577" s="3">
        <v>0.0</v>
      </c>
      <c r="I1577" s="3" t="s">
        <v>13</v>
      </c>
      <c r="J1577" s="3" t="s">
        <v>4777</v>
      </c>
      <c r="K1577" s="3" t="s">
        <v>184</v>
      </c>
      <c r="L1577" s="3" t="str">
        <f>IFERROR(__xludf.DUMMYFUNCTION("GOOGLETRANSLATE(F1577,""id"",""en"")"),"The World Cup Final One of the Football Matches Congratulations for Goat Lionel Messi Worthy")</f>
        <v>The World Cup Final One of the Football Matches Congratulations for Goat Lionel Messi Worthy</v>
      </c>
    </row>
    <row r="1578" ht="15.75" customHeight="1">
      <c r="A1578" s="1">
        <v>1581.0</v>
      </c>
      <c r="B1578" s="3" t="s">
        <v>4778</v>
      </c>
      <c r="C1578" s="3">
        <v>1.0</v>
      </c>
      <c r="D1578" s="3">
        <v>9.0</v>
      </c>
      <c r="E1578" s="3">
        <v>98.0</v>
      </c>
      <c r="F1578" s="3" t="s">
        <v>4779</v>
      </c>
      <c r="G1578" s="3">
        <v>0.7666666666666666</v>
      </c>
      <c r="H1578" s="3">
        <v>0.3333333333333333</v>
      </c>
      <c r="I1578" s="3" t="s">
        <v>48</v>
      </c>
      <c r="J1578" s="3" t="s">
        <v>4780</v>
      </c>
      <c r="K1578" s="3" t="s">
        <v>4281</v>
      </c>
      <c r="L1578" s="3" t="str">
        <f>IFERROR(__xludf.DUMMYFUNCTION("GOOGLETRANSLATE(F1578,""id"",""en"")"),"Mbappe still champions of the World Cup Final Hattrick is cool for the heart of Nnton WLWpun Messi and Argentina to win the journey is still long, let Messi finish the world cup trip BTW is The Best World Cup Final Ever All France Cool Cool Cool")</f>
        <v>Mbappe still champions of the World Cup Final Hattrick is cool for the heart of Nnton WLWpun Messi and Argentina to win the journey is still long, let Messi finish the world cup trip BTW is The Best World Cup Final Ever All France Cool Cool Cool</v>
      </c>
    </row>
    <row r="1579" ht="15.75" customHeight="1">
      <c r="A1579" s="1">
        <v>1582.0</v>
      </c>
      <c r="B1579" s="3" t="s">
        <v>4781</v>
      </c>
      <c r="C1579" s="3">
        <v>0.0</v>
      </c>
      <c r="D1579" s="3">
        <v>12.0</v>
      </c>
      <c r="E1579" s="3">
        <v>154.0</v>
      </c>
      <c r="F1579" s="3" t="s">
        <v>4782</v>
      </c>
      <c r="G1579" s="3">
        <v>0.6</v>
      </c>
      <c r="H1579" s="3">
        <v>-0.05</v>
      </c>
      <c r="I1579" s="3" t="s">
        <v>179</v>
      </c>
      <c r="J1579" s="3" t="s">
        <v>4783</v>
      </c>
      <c r="K1579" s="3" t="s">
        <v>4784</v>
      </c>
      <c r="L1579" s="3" t="str">
        <f>IFERROR(__xludf.DUMMYFUNCTION("GOOGLETRANSLATE(F1579,""id"",""en"")"),"The difference between the age of French and Argentine Kickers Final World Cup Mbappe Year Coman Year Tchouameni Year of Kolo Muani Year Messi Year Year PAREDES YEAR MONTIEL")</f>
        <v>The difference between the age of French and Argentine Kickers Final World Cup Mbappe Year Coman Year Tchouameni Year of Kolo Muani Year Messi Year Year PAREDES YEAR MONTIEL</v>
      </c>
    </row>
    <row r="1580" ht="15.75" customHeight="1">
      <c r="A1580" s="1">
        <v>1583.0</v>
      </c>
      <c r="B1580" s="3" t="s">
        <v>4785</v>
      </c>
      <c r="C1580" s="3">
        <v>0.0</v>
      </c>
      <c r="D1580" s="3">
        <v>0.0</v>
      </c>
      <c r="E1580" s="3">
        <v>0.0</v>
      </c>
      <c r="F1580" s="3" t="s">
        <v>4786</v>
      </c>
      <c r="G1580" s="3">
        <v>1.0</v>
      </c>
      <c r="H1580" s="3">
        <v>0.0</v>
      </c>
      <c r="I1580" s="3" t="s">
        <v>13</v>
      </c>
      <c r="J1580" s="3" t="s">
        <v>4787</v>
      </c>
      <c r="K1580" s="3" t="s">
        <v>15</v>
      </c>
      <c r="L1580" s="3" t="str">
        <f>IFERROR(__xludf.DUMMYFUNCTION("GOOGLETRANSLATE(F1580,""id"",""en"")"),"The Best Final of the World Cup So far I have ever watched")</f>
        <v>The Best Final of the World Cup So far I have ever watched</v>
      </c>
    </row>
    <row r="1581" ht="15.75" customHeight="1">
      <c r="A1581" s="1">
        <v>1584.0</v>
      </c>
      <c r="B1581" s="3" t="s">
        <v>4788</v>
      </c>
      <c r="C1581" s="3">
        <v>0.0</v>
      </c>
      <c r="D1581" s="3">
        <v>0.0</v>
      </c>
      <c r="E1581" s="3">
        <v>0.0</v>
      </c>
      <c r="F1581" s="3" t="s">
        <v>4789</v>
      </c>
      <c r="G1581" s="3">
        <v>0.5</v>
      </c>
      <c r="H1581" s="3">
        <v>0.1666666666666667</v>
      </c>
      <c r="I1581" s="3" t="s">
        <v>48</v>
      </c>
      <c r="J1581" s="3" t="s">
        <v>4790</v>
      </c>
      <c r="K1581" s="3" t="s">
        <v>437</v>
      </c>
      <c r="L1581" s="3" t="str">
        <f>IFERROR(__xludf.DUMMYFUNCTION("GOOGLETRANSLATE(F1581,""id"",""en"")"),"times watching this world cup final the most exciting Argentina Happy Messi France Better Luck Next Time")</f>
        <v>times watching this world cup final the most exciting Argentina Happy Messi France Better Luck Next Time</v>
      </c>
    </row>
    <row r="1582" ht="15.75" customHeight="1">
      <c r="A1582" s="1">
        <v>1585.0</v>
      </c>
      <c r="B1582" s="3" t="s">
        <v>4791</v>
      </c>
      <c r="C1582" s="3">
        <v>0.0</v>
      </c>
      <c r="D1582" s="3">
        <v>0.0</v>
      </c>
      <c r="E1582" s="3">
        <v>0.0</v>
      </c>
      <c r="F1582" s="3" t="s">
        <v>4792</v>
      </c>
      <c r="G1582" s="3">
        <v>1.0</v>
      </c>
      <c r="H1582" s="3">
        <v>0.0</v>
      </c>
      <c r="I1582" s="3" t="s">
        <v>13</v>
      </c>
      <c r="J1582" s="3" t="s">
        <v>4793</v>
      </c>
      <c r="K1582" s="3" t="s">
        <v>510</v>
      </c>
      <c r="L1582" s="3" t="str">
        <f>IFERROR(__xludf.DUMMYFUNCTION("GOOGLETRANSLATE(F1582,""id"",""en"")"),"Waiting for Argentina to Champion Since finally this is the best World Cup final match I have ever seen")</f>
        <v>Waiting for Argentina to Champion Since finally this is the best World Cup final match I have ever seen</v>
      </c>
    </row>
    <row r="1583" ht="15.75" customHeight="1">
      <c r="A1583" s="1">
        <v>1586.0</v>
      </c>
      <c r="B1583" s="3" t="s">
        <v>4794</v>
      </c>
      <c r="C1583" s="3">
        <v>0.0</v>
      </c>
      <c r="D1583" s="3">
        <v>0.0</v>
      </c>
      <c r="E1583" s="3">
        <v>0.0</v>
      </c>
      <c r="F1583" s="3" t="s">
        <v>2015</v>
      </c>
      <c r="G1583" s="3">
        <v>1.0</v>
      </c>
      <c r="H1583" s="3">
        <v>0.0</v>
      </c>
      <c r="I1583" s="3" t="s">
        <v>13</v>
      </c>
      <c r="J1583" s="3" t="s">
        <v>2016</v>
      </c>
      <c r="K1583" s="3" t="s">
        <v>54</v>
      </c>
      <c r="L1583" s="3" t="str">
        <f>IFERROR(__xludf.DUMMYFUNCTION("GOOGLETRANSLATE(F1583,""id"",""en"")"),"One of the best World Cup finals")</f>
        <v>One of the best World Cup finals</v>
      </c>
    </row>
    <row r="1584" ht="15.75" customHeight="1">
      <c r="A1584" s="1">
        <v>1587.0</v>
      </c>
      <c r="B1584" s="3" t="s">
        <v>4795</v>
      </c>
      <c r="C1584" s="3">
        <v>0.0</v>
      </c>
      <c r="D1584" s="3">
        <v>0.0</v>
      </c>
      <c r="E1584" s="3">
        <v>0.0</v>
      </c>
      <c r="F1584" s="3" t="s">
        <v>4796</v>
      </c>
      <c r="G1584" s="3">
        <v>1.0</v>
      </c>
      <c r="H1584" s="3">
        <v>0.0</v>
      </c>
      <c r="I1584" s="3" t="s">
        <v>13</v>
      </c>
      <c r="J1584" s="3" t="s">
        <v>4797</v>
      </c>
      <c r="K1584" s="3" t="s">
        <v>19</v>
      </c>
      <c r="L1584" s="3" t="str">
        <f>IFERROR(__xludf.DUMMYFUNCTION("GOOGLETRANSLATE(F1584,""id"",""en"")"),"This is why Messi is postponed to retire from the final national team caught last night watching the Mbappe World Cup there is no medicine")</f>
        <v>This is why Messi is postponed to retire from the final national team caught last night watching the Mbappe World Cup there is no medicine</v>
      </c>
    </row>
    <row r="1585" ht="15.75" customHeight="1">
      <c r="A1585" s="1">
        <v>1588.0</v>
      </c>
      <c r="B1585" s="3" t="s">
        <v>4798</v>
      </c>
      <c r="C1585" s="3">
        <v>0.0</v>
      </c>
      <c r="D1585" s="3">
        <v>0.0</v>
      </c>
      <c r="E1585" s="3">
        <v>0.0</v>
      </c>
      <c r="F1585" s="3" t="s">
        <v>4799</v>
      </c>
      <c r="G1585" s="3">
        <v>1.0</v>
      </c>
      <c r="H1585" s="3">
        <v>0.0</v>
      </c>
      <c r="I1585" s="3" t="s">
        <v>13</v>
      </c>
      <c r="J1585" s="3" t="s">
        <v>4800</v>
      </c>
      <c r="K1585" s="3" t="s">
        <v>19</v>
      </c>
      <c r="L1585" s="3" t="str">
        <f>IFERROR(__xludf.DUMMYFUNCTION("GOOGLETRANSLATE(F1585,""id"",""en"")"),"please deg dgan real bro watching the world cup final this time Alhamdulillah Argentina")</f>
        <v>please deg dgan real bro watching the world cup final this time Alhamdulillah Argentina</v>
      </c>
    </row>
    <row r="1586" ht="15.75" customHeight="1">
      <c r="A1586" s="1">
        <v>1589.0</v>
      </c>
      <c r="B1586" s="3" t="s">
        <v>4801</v>
      </c>
      <c r="C1586" s="3">
        <v>0.0</v>
      </c>
      <c r="D1586" s="3">
        <v>0.0</v>
      </c>
      <c r="E1586" s="3">
        <v>0.0</v>
      </c>
      <c r="F1586" s="3" t="s">
        <v>4021</v>
      </c>
      <c r="G1586" s="3">
        <v>1.0</v>
      </c>
      <c r="H1586" s="3">
        <v>0.0</v>
      </c>
      <c r="I1586" s="3" t="s">
        <v>13</v>
      </c>
      <c r="J1586" s="3" t="s">
        <v>4022</v>
      </c>
      <c r="K1586" s="3" t="s">
        <v>54</v>
      </c>
      <c r="L1586" s="3" t="str">
        <f>IFERROR(__xludf.DUMMYFUNCTION("GOOGLETRANSLATE(F1586,""id"",""en"")"),"The best final during watching the World Cup")</f>
        <v>The best final during watching the World Cup</v>
      </c>
    </row>
    <row r="1587" ht="15.75" customHeight="1">
      <c r="A1587" s="1">
        <v>1590.0</v>
      </c>
      <c r="B1587" s="3" t="s">
        <v>4802</v>
      </c>
      <c r="C1587" s="3">
        <v>0.0</v>
      </c>
      <c r="D1587" s="3">
        <v>0.0</v>
      </c>
      <c r="E1587" s="3">
        <v>0.0</v>
      </c>
      <c r="F1587" s="3" t="s">
        <v>4803</v>
      </c>
      <c r="G1587" s="3">
        <v>1.0</v>
      </c>
      <c r="H1587" s="3">
        <v>0.0</v>
      </c>
      <c r="I1587" s="3" t="s">
        <v>13</v>
      </c>
      <c r="J1587" s="3" t="s">
        <v>4804</v>
      </c>
      <c r="K1587" s="3" t="s">
        <v>15</v>
      </c>
      <c r="L1587" s="3" t="str">
        <f>IFERROR(__xludf.DUMMYFUNCTION("GOOGLETRANSLATE(F1587,""id"",""en"")"),"Congratulations also for Mbappe to make a new record for this World Cup Final")</f>
        <v>Congratulations also for Mbappe to make a new record for this World Cup Final</v>
      </c>
    </row>
    <row r="1588" ht="15.75" customHeight="1">
      <c r="A1588" s="1">
        <v>1591.0</v>
      </c>
      <c r="B1588" s="3" t="s">
        <v>4805</v>
      </c>
      <c r="C1588" s="3">
        <v>0.0</v>
      </c>
      <c r="D1588" s="3">
        <v>0.0</v>
      </c>
      <c r="E1588" s="3">
        <v>1.0</v>
      </c>
      <c r="F1588" s="3" t="s">
        <v>4806</v>
      </c>
      <c r="G1588" s="3">
        <v>1.0</v>
      </c>
      <c r="H1588" s="3">
        <v>0.0</v>
      </c>
      <c r="I1588" s="3" t="s">
        <v>13</v>
      </c>
      <c r="J1588" s="3" t="s">
        <v>4807</v>
      </c>
      <c r="K1588" s="3" t="s">
        <v>15</v>
      </c>
      <c r="L1588" s="3" t="str">
        <f>IFERROR(__xludf.DUMMYFUNCTION("GOOGLETRANSLATE(F1588,""id"",""en"")"),"Rispek also for Mbappe Hattrick Final World Cup Edan anyway")</f>
        <v>Rispek also for Mbappe Hattrick Final World Cup Edan anyway</v>
      </c>
    </row>
    <row r="1589" ht="15.75" customHeight="1">
      <c r="A1589" s="1">
        <v>1592.0</v>
      </c>
      <c r="B1589" s="3" t="s">
        <v>4808</v>
      </c>
      <c r="C1589" s="3">
        <v>0.0</v>
      </c>
      <c r="D1589" s="3">
        <v>0.0</v>
      </c>
      <c r="E1589" s="3">
        <v>0.0</v>
      </c>
      <c r="F1589" s="3" t="s">
        <v>4809</v>
      </c>
      <c r="G1589" s="3">
        <v>1.0</v>
      </c>
      <c r="H1589" s="3">
        <v>0.0</v>
      </c>
      <c r="I1589" s="3" t="s">
        <v>13</v>
      </c>
      <c r="J1589" s="3" t="s">
        <v>4810</v>
      </c>
      <c r="K1589" s="3" t="s">
        <v>131</v>
      </c>
      <c r="L1589" s="3" t="str">
        <f>IFERROR(__xludf.DUMMYFUNCTION("GOOGLETRANSLATE(F1589,""id"",""en"")"),"Qatar with all the dramas outside the field to host the World Cup instead become a tournament and give the best final of the World Cup")</f>
        <v>Qatar with all the dramas outside the field to host the World Cup instead become a tournament and give the best final of the World Cup</v>
      </c>
    </row>
    <row r="1590" ht="15.75" customHeight="1">
      <c r="A1590" s="1">
        <v>1593.0</v>
      </c>
      <c r="B1590" s="3" t="s">
        <v>4811</v>
      </c>
      <c r="C1590" s="3">
        <v>0.0</v>
      </c>
      <c r="D1590" s="3">
        <v>0.0</v>
      </c>
      <c r="E1590" s="3">
        <v>0.0</v>
      </c>
      <c r="F1590" s="3" t="s">
        <v>4812</v>
      </c>
      <c r="G1590" s="3">
        <v>0.4000000000000001</v>
      </c>
      <c r="H1590" s="3">
        <v>0.0</v>
      </c>
      <c r="I1590" s="3" t="s">
        <v>13</v>
      </c>
      <c r="J1590" s="3" t="s">
        <v>4813</v>
      </c>
      <c r="K1590" s="3" t="s">
        <v>4814</v>
      </c>
      <c r="L1590" s="3" t="str">
        <f>IFERROR(__xludf.DUMMYFUNCTION("GOOGLETRANSLATE(F1590,""id"",""en"")"),"This is the exciting World Cup final and Argentina's heart exercises ahead of the comeback to Extra Time Messi Print Goal Score to change to the final minute of French French Penalty Score so finally the penalty and Argentina are the Qatar World Cup champ"&amp;"ion and Argentina")</f>
        <v>This is the exciting World Cup final and Argentina's heart exercises ahead of the comeback to Extra Time Messi Print Goal Score to change to the final minute of French French Penalty Score so finally the penalty and Argentina are the Qatar World Cup champion and Argentina</v>
      </c>
    </row>
    <row r="1591" ht="15.75" customHeight="1">
      <c r="A1591" s="1">
        <v>1594.0</v>
      </c>
      <c r="B1591" s="3" t="s">
        <v>4815</v>
      </c>
      <c r="C1591" s="3">
        <v>0.0</v>
      </c>
      <c r="D1591" s="3">
        <v>0.0</v>
      </c>
      <c r="E1591" s="3">
        <v>0.0</v>
      </c>
      <c r="F1591" s="3" t="s">
        <v>4816</v>
      </c>
      <c r="G1591" s="3">
        <v>1.0</v>
      </c>
      <c r="H1591" s="3">
        <v>0.0</v>
      </c>
      <c r="I1591" s="3" t="s">
        <v>13</v>
      </c>
      <c r="J1591" s="3" t="s">
        <v>4817</v>
      </c>
      <c r="K1591" s="3" t="s">
        <v>2633</v>
      </c>
      <c r="L1591" s="3" t="str">
        <f>IFERROR(__xludf.DUMMYFUNCTION("GOOGLETRANSLATE(F1591,""id"",""en"")"),"Argentina Champion World Cup Argentina Sah won their World Cup to beat France in the final match of the Lusail Stadium Stadium Sunday")</f>
        <v>Argentina Champion World Cup Argentina Sah won their World Cup to beat France in the final match of the Lusail Stadium Stadium Sunday</v>
      </c>
    </row>
    <row r="1592" ht="15.75" customHeight="1">
      <c r="A1592" s="1">
        <v>1595.0</v>
      </c>
      <c r="B1592" s="3" t="s">
        <v>4818</v>
      </c>
      <c r="C1592" s="3">
        <v>0.0</v>
      </c>
      <c r="D1592" s="3">
        <v>0.0</v>
      </c>
      <c r="E1592" s="3">
        <v>0.0</v>
      </c>
      <c r="F1592" s="3" t="s">
        <v>4819</v>
      </c>
      <c r="G1592" s="3">
        <v>1.0</v>
      </c>
      <c r="H1592" s="3">
        <v>0.0</v>
      </c>
      <c r="I1592" s="3" t="s">
        <v>13</v>
      </c>
      <c r="J1592" s="3" t="s">
        <v>4820</v>
      </c>
      <c r="K1592" s="3" t="s">
        <v>58</v>
      </c>
      <c r="L1592" s="3" t="str">
        <f>IFERROR(__xludf.DUMMYFUNCTION("GOOGLETRANSLATE(F1592,""id"",""en"")"),"Incredibly the final that said Argentina Congratss World Cup champion Argentina France Croatia Morocco")</f>
        <v>Incredibly the final that said Argentina Congratss World Cup champion Argentina France Croatia Morocco</v>
      </c>
    </row>
    <row r="1593" ht="15.75" customHeight="1">
      <c r="A1593" s="1">
        <v>1596.0</v>
      </c>
      <c r="B1593" s="3" t="s">
        <v>4821</v>
      </c>
      <c r="C1593" s="3">
        <v>1.0</v>
      </c>
      <c r="D1593" s="3">
        <v>1.0</v>
      </c>
      <c r="E1593" s="3">
        <v>13.0</v>
      </c>
      <c r="F1593" s="3" t="s">
        <v>4822</v>
      </c>
      <c r="G1593" s="3">
        <v>1.0</v>
      </c>
      <c r="H1593" s="3">
        <v>0.0</v>
      </c>
      <c r="I1593" s="3" t="s">
        <v>13</v>
      </c>
      <c r="J1593" s="3" t="s">
        <v>4823</v>
      </c>
      <c r="K1593" s="3" t="s">
        <v>19</v>
      </c>
      <c r="L1593" s="3" t="str">
        <f>IFERROR(__xludf.DUMMYFUNCTION("GOOGLETRANSLATE(F1593,""id"",""en"")"),"The World Cup Final Hattrick Kylian Mbappe Forced Duel Argentina French shootout penalty")</f>
        <v>The World Cup Final Hattrick Kylian Mbappe Forced Duel Argentina French shootout penalty</v>
      </c>
    </row>
    <row r="1594" ht="15.75" customHeight="1">
      <c r="A1594" s="1">
        <v>1597.0</v>
      </c>
      <c r="B1594" s="3" t="s">
        <v>4824</v>
      </c>
      <c r="C1594" s="3">
        <v>0.0</v>
      </c>
      <c r="D1594" s="3">
        <v>0.0</v>
      </c>
      <c r="E1594" s="3">
        <v>0.0</v>
      </c>
      <c r="F1594" s="3" t="s">
        <v>4825</v>
      </c>
      <c r="G1594" s="3">
        <v>1.0</v>
      </c>
      <c r="H1594" s="3">
        <v>0.0</v>
      </c>
      <c r="I1594" s="3" t="s">
        <v>13</v>
      </c>
      <c r="J1594" s="3" t="s">
        <v>4826</v>
      </c>
      <c r="K1594" s="3" t="s">
        <v>41</v>
      </c>
      <c r="L1594" s="3" t="str">
        <f>IFERROR(__xludf.DUMMYFUNCTION("GOOGLETRANSLATE(F1594,""id"",""en"")"),"Not a fan of the ball but the World Cup final is extraordinary")</f>
        <v>Not a fan of the ball but the World Cup final is extraordinary</v>
      </c>
    </row>
    <row r="1595" ht="15.75" customHeight="1">
      <c r="A1595" s="1">
        <v>1598.0</v>
      </c>
      <c r="B1595" s="3" t="s">
        <v>4827</v>
      </c>
      <c r="C1595" s="3">
        <v>0.0</v>
      </c>
      <c r="D1595" s="3">
        <v>0.0</v>
      </c>
      <c r="E1595" s="3">
        <v>0.0</v>
      </c>
      <c r="F1595" s="3" t="s">
        <v>4828</v>
      </c>
      <c r="G1595" s="3">
        <v>1.0</v>
      </c>
      <c r="H1595" s="3">
        <v>0.0</v>
      </c>
      <c r="I1595" s="3" t="s">
        <v>13</v>
      </c>
      <c r="J1595" s="3" t="s">
        <v>4829</v>
      </c>
      <c r="K1595" s="3" t="s">
        <v>19</v>
      </c>
      <c r="L1595" s="3" t="str">
        <f>IFERROR(__xludf.DUMMYFUNCTION("GOOGLETRANSLATE(F1595,""id"",""en"")"),"Argentina Champion World Cup after defeating France Final through the penalty shootout round")</f>
        <v>Argentina Champion World Cup after defeating France Final through the penalty shootout round</v>
      </c>
    </row>
    <row r="1596" ht="15.75" customHeight="1">
      <c r="A1596" s="1">
        <v>1599.0</v>
      </c>
      <c r="B1596" s="3" t="s">
        <v>4830</v>
      </c>
      <c r="C1596" s="3">
        <v>0.0</v>
      </c>
      <c r="D1596" s="3">
        <v>0.0</v>
      </c>
      <c r="E1596" s="3">
        <v>0.0</v>
      </c>
      <c r="F1596" s="3" t="s">
        <v>4831</v>
      </c>
      <c r="G1596" s="3">
        <v>1.0</v>
      </c>
      <c r="H1596" s="3">
        <v>0.0</v>
      </c>
      <c r="I1596" s="3" t="s">
        <v>13</v>
      </c>
      <c r="J1596" s="3" t="s">
        <v>643</v>
      </c>
      <c r="K1596" s="3" t="s">
        <v>644</v>
      </c>
      <c r="L1596" s="3" t="str">
        <f>IFERROR(__xludf.DUMMYFUNCTION("GOOGLETRANSLATE(F1596,""id"",""en"")"),"But the World Cup Final was excited")</f>
        <v>But the World Cup Final was excited</v>
      </c>
    </row>
    <row r="1597" ht="15.75" customHeight="1">
      <c r="A1597" s="1">
        <v>1600.0</v>
      </c>
      <c r="B1597" s="3" t="s">
        <v>4832</v>
      </c>
      <c r="C1597" s="3">
        <v>0.0</v>
      </c>
      <c r="D1597" s="3">
        <v>0.0</v>
      </c>
      <c r="E1597" s="3">
        <v>0.0</v>
      </c>
      <c r="F1597" s="3" t="s">
        <v>4833</v>
      </c>
      <c r="G1597" s="3">
        <v>1.0</v>
      </c>
      <c r="H1597" s="3">
        <v>0.0</v>
      </c>
      <c r="I1597" s="3" t="s">
        <v>13</v>
      </c>
      <c r="J1597" s="3" t="s">
        <v>4834</v>
      </c>
      <c r="K1597" s="3" t="s">
        <v>54</v>
      </c>
      <c r="L1597" s="3" t="str">
        <f>IFERROR(__xludf.DUMMYFUNCTION("GOOGLETRANSLATE(F1597,""id"",""en"")"),"The best final in the history of the World Cup is Qatar")</f>
        <v>The best final in the history of the World Cup is Qatar</v>
      </c>
    </row>
    <row r="1598" ht="15.75" customHeight="1">
      <c r="A1598" s="1">
        <v>1601.0</v>
      </c>
      <c r="B1598" s="3" t="s">
        <v>4835</v>
      </c>
      <c r="C1598" s="3">
        <v>0.0</v>
      </c>
      <c r="D1598" s="3">
        <v>0.0</v>
      </c>
      <c r="E1598" s="3">
        <v>0.0</v>
      </c>
      <c r="F1598" s="3" t="s">
        <v>4836</v>
      </c>
      <c r="G1598" s="3">
        <v>0.6666666666666666</v>
      </c>
      <c r="H1598" s="3">
        <v>0.0</v>
      </c>
      <c r="I1598" s="3" t="s">
        <v>13</v>
      </c>
      <c r="J1598" s="3" t="s">
        <v>4837</v>
      </c>
      <c r="K1598" s="3" t="s">
        <v>477</v>
      </c>
      <c r="L1598" s="3" t="str">
        <f>IFERROR(__xludf.DUMMYFUNCTION("GOOGLETRANSLATE(F1598,""id"",""en"")"),"The World Cup Final is just exciting especially Dota The International Final")</f>
        <v>The World Cup Final is just exciting especially Dota The International Final</v>
      </c>
    </row>
    <row r="1599" ht="15.75" customHeight="1">
      <c r="A1599" s="1">
        <v>1602.0</v>
      </c>
      <c r="B1599" s="3" t="s">
        <v>4838</v>
      </c>
      <c r="C1599" s="3">
        <v>0.0</v>
      </c>
      <c r="D1599" s="3">
        <v>0.0</v>
      </c>
      <c r="E1599" s="3">
        <v>0.0</v>
      </c>
      <c r="F1599" s="3" t="s">
        <v>2246</v>
      </c>
      <c r="G1599" s="3">
        <v>1.0</v>
      </c>
      <c r="H1599" s="3">
        <v>0.0</v>
      </c>
      <c r="I1599" s="3" t="s">
        <v>13</v>
      </c>
      <c r="J1599" s="3" t="s">
        <v>2247</v>
      </c>
      <c r="K1599" s="3" t="s">
        <v>31</v>
      </c>
      <c r="L1599" s="3" t="str">
        <f>IFERROR(__xludf.DUMMYFUNCTION("GOOGLETRANSLATE(F1599,""id"",""en"")"),"World Cup Final Most Exciting")</f>
        <v>World Cup Final Most Exciting</v>
      </c>
    </row>
    <row r="1600" ht="15.75" customHeight="1">
      <c r="A1600" s="1">
        <v>1603.0</v>
      </c>
      <c r="B1600" s="3" t="s">
        <v>4839</v>
      </c>
      <c r="C1600" s="3">
        <v>0.0</v>
      </c>
      <c r="D1600" s="3">
        <v>0.0</v>
      </c>
      <c r="E1600" s="3">
        <v>0.0</v>
      </c>
      <c r="F1600" s="3" t="s">
        <v>4840</v>
      </c>
      <c r="G1600" s="3">
        <v>1.0</v>
      </c>
      <c r="H1600" s="3">
        <v>0.0</v>
      </c>
      <c r="I1600" s="3" t="s">
        <v>13</v>
      </c>
      <c r="J1600" s="3" t="s">
        <v>4841</v>
      </c>
      <c r="K1600" s="3" t="s">
        <v>699</v>
      </c>
      <c r="L1600" s="3" t="str">
        <f>IFERROR(__xludf.DUMMYFUNCTION("GOOGLETRANSLATE(F1600,""id"",""en"")"),"Mbappe cool until the final minute let's fight again the next World Cup Congratulations to Argentina Final This is really making a cool heart exercise")</f>
        <v>Mbappe cool until the final minute let's fight again the next World Cup Congratulations to Argentina Final This is really making a cool heart exercise</v>
      </c>
    </row>
    <row r="1601" ht="15.75" customHeight="1">
      <c r="A1601" s="1">
        <v>1604.0</v>
      </c>
      <c r="B1601" s="3" t="s">
        <v>4842</v>
      </c>
      <c r="C1601" s="3">
        <v>0.0</v>
      </c>
      <c r="D1601" s="3">
        <v>0.0</v>
      </c>
      <c r="E1601" s="3">
        <v>0.0</v>
      </c>
      <c r="F1601" s="3" t="s">
        <v>4843</v>
      </c>
      <c r="G1601" s="3">
        <v>1.0</v>
      </c>
      <c r="H1601" s="3">
        <v>0.0</v>
      </c>
      <c r="I1601" s="3" t="s">
        <v>13</v>
      </c>
      <c r="J1601" s="3" t="s">
        <v>4844</v>
      </c>
      <c r="K1601" s="3" t="s">
        <v>50</v>
      </c>
      <c r="L1601" s="3" t="str">
        <f>IFERROR(__xludf.DUMMYFUNCTION("GOOGLETRANSLATE(F1601,""id"",""en"")"),"see the world cup right when the final is also not watching from the beginning of the sound of the sound")</f>
        <v>see the world cup right when the final is also not watching from the beginning of the sound of the sound</v>
      </c>
    </row>
    <row r="1602" ht="15.75" customHeight="1">
      <c r="A1602" s="1">
        <v>1605.0</v>
      </c>
      <c r="B1602" s="3" t="s">
        <v>4845</v>
      </c>
      <c r="C1602" s="3">
        <v>0.0</v>
      </c>
      <c r="D1602" s="3">
        <v>0.0</v>
      </c>
      <c r="E1602" s="3">
        <v>0.0</v>
      </c>
      <c r="F1602" s="3" t="s">
        <v>4846</v>
      </c>
      <c r="G1602" s="3">
        <v>1.0</v>
      </c>
      <c r="H1602" s="3">
        <v>0.0</v>
      </c>
      <c r="I1602" s="3" t="s">
        <v>13</v>
      </c>
      <c r="J1602" s="3" t="s">
        <v>4847</v>
      </c>
      <c r="K1602" s="3" t="s">
        <v>41</v>
      </c>
      <c r="L1602" s="3" t="str">
        <f>IFERROR(__xludf.DUMMYFUNCTION("GOOGLETRANSLATE(F1602,""id"",""en"")"),"The Qatar World Cup was doubtful that it presented the eumejing final")</f>
        <v>The Qatar World Cup was doubtful that it presented the eumejing final</v>
      </c>
    </row>
    <row r="1603" ht="15.75" customHeight="1">
      <c r="A1603" s="1">
        <v>1606.0</v>
      </c>
      <c r="B1603" s="3" t="s">
        <v>4848</v>
      </c>
      <c r="C1603" s="3">
        <v>0.0</v>
      </c>
      <c r="D1603" s="3">
        <v>0.0</v>
      </c>
      <c r="E1603" s="3">
        <v>0.0</v>
      </c>
      <c r="F1603" s="3" t="s">
        <v>4849</v>
      </c>
      <c r="G1603" s="3">
        <v>1.0</v>
      </c>
      <c r="H1603" s="3">
        <v>0.0</v>
      </c>
      <c r="I1603" s="3" t="s">
        <v>13</v>
      </c>
      <c r="J1603" s="3" t="s">
        <v>4850</v>
      </c>
      <c r="K1603" s="3" t="s">
        <v>433</v>
      </c>
      <c r="L1603" s="3" t="str">
        <f>IFERROR(__xludf.DUMMYFUNCTION("GOOGLETRANSLATE(F1603,""id"",""en"")"),"Indeed, the final team is worthy")</f>
        <v>Indeed, the final team is worthy</v>
      </c>
    </row>
    <row r="1604" ht="15.75" customHeight="1">
      <c r="A1604" s="1">
        <v>1607.0</v>
      </c>
      <c r="B1604" s="3" t="s">
        <v>4851</v>
      </c>
      <c r="C1604" s="3">
        <v>4.0</v>
      </c>
      <c r="D1604" s="3">
        <v>16.0</v>
      </c>
      <c r="E1604" s="3">
        <v>193.0</v>
      </c>
      <c r="F1604" s="3" t="s">
        <v>4852</v>
      </c>
      <c r="G1604" s="3">
        <v>1.0</v>
      </c>
      <c r="H1604" s="3">
        <v>0.0</v>
      </c>
      <c r="I1604" s="3" t="s">
        <v>13</v>
      </c>
      <c r="J1604" s="3" t="s">
        <v>4853</v>
      </c>
      <c r="K1604" s="3" t="s">
        <v>358</v>
      </c>
      <c r="L1604" s="3" t="str">
        <f>IFERROR(__xludf.DUMMYFUNCTION("GOOGLETRANSLATE(F1604,""id"",""en"")"),"a beautiful way to end an era of the birth of a new king in a world cup final match in history truly a")</f>
        <v>a beautiful way to end an era of the birth of a new king in a world cup final match in history truly a</v>
      </c>
    </row>
    <row r="1605" ht="15.75" customHeight="1">
      <c r="A1605" s="1">
        <v>1608.0</v>
      </c>
      <c r="B1605" s="3" t="s">
        <v>4854</v>
      </c>
      <c r="C1605" s="3">
        <v>1.0</v>
      </c>
      <c r="D1605" s="3">
        <v>0.0</v>
      </c>
      <c r="E1605" s="3">
        <v>0.0</v>
      </c>
      <c r="F1605" s="3" t="s">
        <v>4855</v>
      </c>
      <c r="G1605" s="3">
        <v>1.0</v>
      </c>
      <c r="H1605" s="3">
        <v>0.0</v>
      </c>
      <c r="I1605" s="3" t="s">
        <v>13</v>
      </c>
      <c r="J1605" s="3" t="s">
        <v>4856</v>
      </c>
      <c r="K1605" s="3" t="s">
        <v>765</v>
      </c>
      <c r="L1605" s="3" t="str">
        <f>IFERROR(__xludf.DUMMYFUNCTION("GOOGLETRANSLATE(F1605,""id"",""en"")"),"Watching the World Cup since the original Final of the Best World Cup I've ever watched your France cool, how come the playing can make Agens worried about the final round well and happy Argentina")</f>
        <v>Watching the World Cup since the original Final of the Best World Cup I've ever watched your France cool, how come the playing can make Agens worried about the final round well and happy Argentina</v>
      </c>
    </row>
    <row r="1606" ht="15.75" customHeight="1">
      <c r="A1606" s="1">
        <v>1609.0</v>
      </c>
      <c r="B1606" s="3" t="s">
        <v>4857</v>
      </c>
      <c r="C1606" s="3">
        <v>0.0</v>
      </c>
      <c r="D1606" s="3">
        <v>0.0</v>
      </c>
      <c r="E1606" s="3">
        <v>0.0</v>
      </c>
      <c r="F1606" s="3" t="s">
        <v>4858</v>
      </c>
      <c r="G1606" s="3">
        <v>1.0</v>
      </c>
      <c r="H1606" s="3">
        <v>0.0</v>
      </c>
      <c r="I1606" s="3" t="s">
        <v>13</v>
      </c>
      <c r="J1606" s="3" t="s">
        <v>4859</v>
      </c>
      <c r="K1606" s="3" t="s">
        <v>15</v>
      </c>
      <c r="L1606" s="3" t="str">
        <f>IFERROR(__xludf.DUMMYFUNCTION("GOOGLETRANSLATE(F1606,""id"",""en"")"),"Hopefully the next World Cup can still be able to Nobar Final with the family")</f>
        <v>Hopefully the next World Cup can still be able to Nobar Final with the family</v>
      </c>
    </row>
    <row r="1607" ht="15.75" customHeight="1">
      <c r="A1607" s="1">
        <v>1610.0</v>
      </c>
      <c r="B1607" s="3" t="s">
        <v>4860</v>
      </c>
      <c r="C1607" s="3">
        <v>0.0</v>
      </c>
      <c r="D1607" s="3">
        <v>0.0</v>
      </c>
      <c r="E1607" s="3">
        <v>0.0</v>
      </c>
      <c r="F1607" s="3" t="s">
        <v>4861</v>
      </c>
      <c r="G1607" s="3">
        <v>0.65</v>
      </c>
      <c r="H1607" s="3">
        <v>0.1</v>
      </c>
      <c r="I1607" s="3" t="s">
        <v>48</v>
      </c>
      <c r="J1607" s="3" t="s">
        <v>4862</v>
      </c>
      <c r="K1607" s="3" t="s">
        <v>657</v>
      </c>
      <c r="L1607" s="3" t="str">
        <f>IFERROR(__xludf.DUMMYFUNCTION("GOOGLETRANSLATE(F1607,""id"",""en"")"),"One of the best finals in the history of the Mbappe World Cup is very cool and Messi The Real Goat")</f>
        <v>One of the best finals in the history of the Mbappe World Cup is very cool and Messi The Real Goat</v>
      </c>
    </row>
    <row r="1608" ht="15.75" customHeight="1">
      <c r="A1608" s="1">
        <v>1611.0</v>
      </c>
      <c r="B1608" s="3" t="s">
        <v>4863</v>
      </c>
      <c r="C1608" s="3">
        <v>0.0</v>
      </c>
      <c r="D1608" s="3">
        <v>0.0</v>
      </c>
      <c r="E1608" s="3">
        <v>0.0</v>
      </c>
      <c r="F1608" s="3" t="s">
        <v>4864</v>
      </c>
      <c r="G1608" s="3">
        <v>0.4666666666666666</v>
      </c>
      <c r="H1608" s="3">
        <v>0.3</v>
      </c>
      <c r="I1608" s="3" t="s">
        <v>48</v>
      </c>
      <c r="J1608" s="3" t="s">
        <v>4865</v>
      </c>
      <c r="K1608" s="3" t="s">
        <v>240</v>
      </c>
      <c r="L1608" s="3" t="str">
        <f>IFERROR(__xludf.DUMMYFUNCTION("GOOGLETRANSLATE(F1608,""id"",""en"")"),"Best World Cup Ever Literally Everyone Talking about World Cup Closed with this Masterclass Final")</f>
        <v>Best World Cup Ever Literally Everyone Talking about World Cup Closed with this Masterclass Final</v>
      </c>
    </row>
    <row r="1609" ht="15.75" customHeight="1">
      <c r="A1609" s="1">
        <v>1612.0</v>
      </c>
      <c r="B1609" s="3" t="s">
        <v>4866</v>
      </c>
      <c r="C1609" s="3">
        <v>0.0</v>
      </c>
      <c r="D1609" s="3">
        <v>0.0</v>
      </c>
      <c r="E1609" s="3">
        <v>0.0</v>
      </c>
      <c r="F1609" s="3" t="s">
        <v>4867</v>
      </c>
      <c r="G1609" s="3">
        <v>1.0</v>
      </c>
      <c r="H1609" s="3">
        <v>0.0</v>
      </c>
      <c r="I1609" s="3" t="s">
        <v>13</v>
      </c>
      <c r="J1609" s="3" t="s">
        <v>4868</v>
      </c>
      <c r="K1609" s="3" t="s">
        <v>82</v>
      </c>
      <c r="L1609" s="3" t="str">
        <f>IFERROR(__xludf.DUMMYFUNCTION("GOOGLETRANSLATE(F1609,""id"",""en"")"),"exclaimed Iyeu Final World Cup Congrats Agen")</f>
        <v>exclaimed Iyeu Final World Cup Congrats Agen</v>
      </c>
    </row>
    <row r="1610" ht="15.75" customHeight="1">
      <c r="A1610" s="1">
        <v>1613.0</v>
      </c>
      <c r="B1610" s="3" t="s">
        <v>4869</v>
      </c>
      <c r="C1610" s="3">
        <v>0.0</v>
      </c>
      <c r="D1610" s="3">
        <v>0.0</v>
      </c>
      <c r="E1610" s="3">
        <v>0.0</v>
      </c>
      <c r="F1610" s="3" t="s">
        <v>4870</v>
      </c>
      <c r="G1610" s="3">
        <v>1.0</v>
      </c>
      <c r="H1610" s="3">
        <v>0.0</v>
      </c>
      <c r="I1610" s="3" t="s">
        <v>13</v>
      </c>
      <c r="J1610" s="3" t="s">
        <v>4871</v>
      </c>
      <c r="K1610" s="3" t="s">
        <v>240</v>
      </c>
      <c r="L1610" s="3" t="str">
        <f>IFERROR(__xludf.DUMMYFUNCTION("GOOGLETRANSLATE(F1610,""id"",""en"")"),"The World Cup Final is like NGE Prank France only hit by PHP times BTW Congratulations your game is amazing")</f>
        <v>The World Cup Final is like NGE Prank France only hit by PHP times BTW Congratulations your game is amazing</v>
      </c>
    </row>
    <row r="1611" ht="15.75" customHeight="1">
      <c r="A1611" s="1">
        <v>1614.0</v>
      </c>
      <c r="B1611" s="3" t="s">
        <v>4872</v>
      </c>
      <c r="C1611" s="3">
        <v>0.0</v>
      </c>
      <c r="D1611" s="3">
        <v>0.0</v>
      </c>
      <c r="E1611" s="3">
        <v>0.0</v>
      </c>
      <c r="F1611" s="3" t="s">
        <v>4873</v>
      </c>
      <c r="G1611" s="3">
        <v>0.6</v>
      </c>
      <c r="H1611" s="3">
        <v>-0.05</v>
      </c>
      <c r="I1611" s="3" t="s">
        <v>179</v>
      </c>
      <c r="J1611" s="3" t="s">
        <v>4874</v>
      </c>
      <c r="K1611" s="3" t="s">
        <v>90</v>
      </c>
      <c r="L1611" s="3" t="str">
        <f>IFERROR(__xludf.DUMMYFUNCTION("GOOGLETRANSLATE(F1611,""id"",""en"")"),"MBAPPE MONCER DEEARY AT ALL COMPLICATION ABOUT MATENG MENTAL TEP SANGAR HAT TRICAL WORLD Cup Final")</f>
        <v>MBAPPE MONCER DEEARY AT ALL COMPLICATION ABOUT MATENG MENTAL TEP SANGAR HAT TRICAL WORLD Cup Final</v>
      </c>
    </row>
    <row r="1612" ht="15.75" customHeight="1">
      <c r="A1612" s="1">
        <v>1615.0</v>
      </c>
      <c r="B1612" s="3" t="s">
        <v>4875</v>
      </c>
      <c r="C1612" s="3">
        <v>0.0</v>
      </c>
      <c r="D1612" s="3">
        <v>0.0</v>
      </c>
      <c r="E1612" s="3">
        <v>0.0</v>
      </c>
      <c r="F1612" s="3" t="s">
        <v>4819</v>
      </c>
      <c r="G1612" s="3">
        <v>1.0</v>
      </c>
      <c r="H1612" s="3">
        <v>0.0</v>
      </c>
      <c r="I1612" s="3" t="s">
        <v>13</v>
      </c>
      <c r="J1612" s="3" t="s">
        <v>4820</v>
      </c>
      <c r="K1612" s="3" t="s">
        <v>58</v>
      </c>
      <c r="L1612" s="3" t="str">
        <f>IFERROR(__xludf.DUMMYFUNCTION("GOOGLETRANSLATE(F1612,""id"",""en"")"),"Incredibly the final that said Argentina Congratss World Cup champion Argentina France Croatia Morocco")</f>
        <v>Incredibly the final that said Argentina Congratss World Cup champion Argentina France Croatia Morocco</v>
      </c>
    </row>
    <row r="1613" ht="15.75" customHeight="1">
      <c r="A1613" s="1">
        <v>1616.0</v>
      </c>
      <c r="B1613" s="3" t="s">
        <v>4876</v>
      </c>
      <c r="C1613" s="3">
        <v>0.0</v>
      </c>
      <c r="D1613" s="3">
        <v>0.0</v>
      </c>
      <c r="E1613" s="3">
        <v>0.0</v>
      </c>
      <c r="F1613" s="3" t="s">
        <v>4877</v>
      </c>
      <c r="G1613" s="3">
        <v>1.0</v>
      </c>
      <c r="H1613" s="3">
        <v>0.0</v>
      </c>
      <c r="I1613" s="3" t="s">
        <v>13</v>
      </c>
      <c r="J1613" s="3" t="s">
        <v>4878</v>
      </c>
      <c r="K1613" s="3" t="s">
        <v>1097</v>
      </c>
      <c r="L1613" s="3" t="str">
        <f>IFERROR(__xludf.DUMMYFUNCTION("GOOGLETRANSLATE(F1613,""id"",""en"")"),"Edann Edan Edann Final The Best World Cup I've ever watched")</f>
        <v>Edann Edan Edann Final The Best World Cup I've ever watched</v>
      </c>
    </row>
    <row r="1614" ht="15.75" customHeight="1">
      <c r="A1614" s="1">
        <v>1617.0</v>
      </c>
      <c r="B1614" s="3" t="s">
        <v>4879</v>
      </c>
      <c r="C1614" s="3">
        <v>0.0</v>
      </c>
      <c r="D1614" s="3">
        <v>0.0</v>
      </c>
      <c r="E1614" s="3">
        <v>0.0</v>
      </c>
      <c r="F1614" s="3" t="s">
        <v>4880</v>
      </c>
      <c r="G1614" s="3">
        <v>1.0</v>
      </c>
      <c r="H1614" s="3">
        <v>0.0</v>
      </c>
      <c r="I1614" s="3" t="s">
        <v>13</v>
      </c>
      <c r="J1614" s="3" t="s">
        <v>4881</v>
      </c>
      <c r="K1614" s="3" t="s">
        <v>31</v>
      </c>
      <c r="L1614" s="3" t="str">
        <f>IFERROR(__xludf.DUMMYFUNCTION("GOOGLETRANSLATE(F1614,""id"",""en"")"),"the best world cup final aliiig")</f>
        <v>the best world cup final aliiig</v>
      </c>
    </row>
    <row r="1615" ht="15.75" customHeight="1">
      <c r="A1615" s="1">
        <v>1618.0</v>
      </c>
      <c r="B1615" s="3" t="s">
        <v>4882</v>
      </c>
      <c r="C1615" s="3">
        <v>0.0</v>
      </c>
      <c r="D1615" s="3">
        <v>0.0</v>
      </c>
      <c r="E1615" s="3">
        <v>1.0</v>
      </c>
      <c r="F1615" s="3" t="s">
        <v>4883</v>
      </c>
      <c r="G1615" s="3">
        <v>1.0</v>
      </c>
      <c r="H1615" s="3">
        <v>0.0</v>
      </c>
      <c r="I1615" s="3" t="s">
        <v>13</v>
      </c>
      <c r="J1615" s="3" t="s">
        <v>4884</v>
      </c>
      <c r="K1615" s="3" t="s">
        <v>165</v>
      </c>
      <c r="L1615" s="3" t="str">
        <f>IFERROR(__xludf.DUMMYFUNCTION("GOOGLETRANSLATE(F1615,""id"",""en"")"),"Who would have thought the most conflictual World Cup many controversies could actually present the best World Cup final that was once closed by making me messi to be in football a perfect story about soccer with all the drama conflict")</f>
        <v>Who would have thought the most conflictual World Cup many controversies could actually present the best World Cup final that was once closed by making me messi to be in football a perfect story about soccer with all the drama conflict</v>
      </c>
    </row>
    <row r="1616" ht="15.75" customHeight="1">
      <c r="A1616" s="1">
        <v>1619.0</v>
      </c>
      <c r="B1616" s="3" t="s">
        <v>4885</v>
      </c>
      <c r="C1616" s="3">
        <v>0.0</v>
      </c>
      <c r="D1616" s="3">
        <v>0.0</v>
      </c>
      <c r="E1616" s="3">
        <v>0.0</v>
      </c>
      <c r="F1616" s="3" t="s">
        <v>1454</v>
      </c>
      <c r="G1616" s="3">
        <v>1.0</v>
      </c>
      <c r="H1616" s="3">
        <v>0.0</v>
      </c>
      <c r="I1616" s="3" t="s">
        <v>13</v>
      </c>
      <c r="J1616" s="3" t="s">
        <v>1455</v>
      </c>
      <c r="K1616" s="3" t="s">
        <v>54</v>
      </c>
      <c r="L1616" s="3" t="str">
        <f>IFERROR(__xludf.DUMMYFUNCTION("GOOGLETRANSLATE(F1616,""id"",""en"")"),"The Best World Cup Final ever watched")</f>
        <v>The Best World Cup Final ever watched</v>
      </c>
    </row>
    <row r="1617" ht="15.75" customHeight="1">
      <c r="A1617" s="1">
        <v>1620.0</v>
      </c>
      <c r="B1617" s="3" t="s">
        <v>4886</v>
      </c>
      <c r="C1617" s="3">
        <v>0.0</v>
      </c>
      <c r="D1617" s="3">
        <v>0.0</v>
      </c>
      <c r="E1617" s="3">
        <v>1.0</v>
      </c>
      <c r="F1617" s="3" t="s">
        <v>665</v>
      </c>
      <c r="G1617" s="3">
        <v>1.0</v>
      </c>
      <c r="H1617" s="3">
        <v>0.0</v>
      </c>
      <c r="I1617" s="3" t="s">
        <v>13</v>
      </c>
      <c r="J1617" s="3" t="s">
        <v>666</v>
      </c>
      <c r="K1617" s="3" t="s">
        <v>644</v>
      </c>
      <c r="L1617" s="3" t="str">
        <f>IFERROR(__xludf.DUMMYFUNCTION("GOOGLETRANSLATE(F1617,""id"",""en"")"),"the best world cup final")</f>
        <v>the best world cup final</v>
      </c>
    </row>
    <row r="1618" ht="15.75" customHeight="1">
      <c r="A1618" s="1">
        <v>1621.0</v>
      </c>
      <c r="B1618" s="3" t="s">
        <v>4887</v>
      </c>
      <c r="C1618" s="3">
        <v>0.0</v>
      </c>
      <c r="D1618" s="3">
        <v>0.0</v>
      </c>
      <c r="E1618" s="3">
        <v>0.0</v>
      </c>
      <c r="F1618" s="3" t="s">
        <v>665</v>
      </c>
      <c r="G1618" s="3">
        <v>1.0</v>
      </c>
      <c r="H1618" s="3">
        <v>0.0</v>
      </c>
      <c r="I1618" s="3" t="s">
        <v>13</v>
      </c>
      <c r="J1618" s="3" t="s">
        <v>666</v>
      </c>
      <c r="K1618" s="3" t="s">
        <v>644</v>
      </c>
      <c r="L1618" s="3" t="str">
        <f>IFERROR(__xludf.DUMMYFUNCTION("GOOGLETRANSLATE(F1618,""id"",""en"")"),"the best world cup final")</f>
        <v>the best world cup final</v>
      </c>
    </row>
    <row r="1619" ht="15.75" customHeight="1">
      <c r="A1619" s="1">
        <v>1622.0</v>
      </c>
      <c r="B1619" s="3" t="s">
        <v>4888</v>
      </c>
      <c r="C1619" s="3">
        <v>0.0</v>
      </c>
      <c r="D1619" s="3">
        <v>0.0</v>
      </c>
      <c r="E1619" s="3">
        <v>0.0</v>
      </c>
      <c r="F1619" s="3" t="s">
        <v>4889</v>
      </c>
      <c r="G1619" s="3">
        <v>0.65</v>
      </c>
      <c r="H1619" s="3">
        <v>0.5</v>
      </c>
      <c r="I1619" s="3" t="s">
        <v>48</v>
      </c>
      <c r="J1619" s="3" t="s">
        <v>4890</v>
      </c>
      <c r="K1619" s="3" t="s">
        <v>725</v>
      </c>
      <c r="L1619" s="3" t="str">
        <f>IFERROR(__xludf.DUMMYFUNCTION("GOOGLETRANSLATE(F1619,""id"",""en"")"),"Messi has indeed become the best destiny but mbappe in the national team that is a little limp because many core players are absent clear")</f>
        <v>Messi has indeed become the best destiny but mbappe in the national team that is a little limp because many core players are absent clear</v>
      </c>
    </row>
    <row r="1620" ht="15.75" customHeight="1">
      <c r="A1620" s="1">
        <v>1623.0</v>
      </c>
      <c r="B1620" s="3" t="s">
        <v>4891</v>
      </c>
      <c r="C1620" s="3">
        <v>0.0</v>
      </c>
      <c r="D1620" s="3">
        <v>0.0</v>
      </c>
      <c r="E1620" s="3">
        <v>0.0</v>
      </c>
      <c r="F1620" s="3" t="s">
        <v>4892</v>
      </c>
      <c r="G1620" s="3">
        <v>1.0</v>
      </c>
      <c r="H1620" s="3">
        <v>0.0</v>
      </c>
      <c r="I1620" s="3" t="s">
        <v>13</v>
      </c>
      <c r="J1620" s="3" t="s">
        <v>4893</v>
      </c>
      <c r="K1620" s="3" t="s">
        <v>477</v>
      </c>
      <c r="L1620" s="3" t="str">
        <f>IFERROR(__xludf.DUMMYFUNCTION("GOOGLETRANSLATE(F1620,""id"",""en"")"),"What is crazy final is the most dramatic final of the world cup")</f>
        <v>What is crazy final is the most dramatic final of the world cup</v>
      </c>
    </row>
    <row r="1621" ht="15.75" customHeight="1">
      <c r="A1621" s="1">
        <v>1624.0</v>
      </c>
      <c r="B1621" s="3" t="s">
        <v>4894</v>
      </c>
      <c r="C1621" s="3">
        <v>0.0</v>
      </c>
      <c r="D1621" s="3">
        <v>0.0</v>
      </c>
      <c r="E1621" s="3">
        <v>0.0</v>
      </c>
      <c r="F1621" s="3" t="s">
        <v>4895</v>
      </c>
      <c r="G1621" s="3">
        <v>1.0</v>
      </c>
      <c r="H1621" s="3">
        <v>0.0</v>
      </c>
      <c r="I1621" s="3" t="s">
        <v>13</v>
      </c>
      <c r="J1621" s="3" t="s">
        <v>4896</v>
      </c>
      <c r="K1621" s="3" t="s">
        <v>1293</v>
      </c>
      <c r="L1621" s="3" t="str">
        <f>IFERROR(__xludf.DUMMYFUNCTION("GOOGLETRANSLATE(F1621,""id"",""en"")"),"Dag Dig Dug the same feeling when watching the Brazilian World Cup final match Italy finally relieved that he was finally champion")</f>
        <v>Dag Dig Dug the same feeling when watching the Brazilian World Cup final match Italy finally relieved that he was finally champion</v>
      </c>
    </row>
    <row r="1622" ht="15.75" customHeight="1">
      <c r="A1622" s="1">
        <v>1625.0</v>
      </c>
      <c r="B1622" s="3" t="s">
        <v>4897</v>
      </c>
      <c r="C1622" s="3">
        <v>0.0</v>
      </c>
      <c r="D1622" s="3">
        <v>0.0</v>
      </c>
      <c r="E1622" s="3">
        <v>0.0</v>
      </c>
      <c r="F1622" s="3" t="s">
        <v>4898</v>
      </c>
      <c r="G1622" s="3">
        <v>1.0</v>
      </c>
      <c r="H1622" s="3">
        <v>0.0</v>
      </c>
      <c r="I1622" s="3" t="s">
        <v>13</v>
      </c>
      <c r="J1622" s="3" t="s">
        <v>4899</v>
      </c>
      <c r="K1622" s="3" t="s">
        <v>433</v>
      </c>
      <c r="L1622" s="3" t="str">
        <f>IFERROR(__xludf.DUMMYFUNCTION("GOOGLETRANSLATE(F1622,""id"",""en"")"),"Very Heart Spot Watching the World Cup Final This Malem Mainstay I The Best Best Congrats Argentina")</f>
        <v>Very Heart Spot Watching the World Cup Final This Malem Mainstay I The Best Best Congrats Argentina</v>
      </c>
    </row>
    <row r="1623" ht="15.75" customHeight="1">
      <c r="A1623" s="1">
        <v>1626.0</v>
      </c>
      <c r="B1623" s="3" t="s">
        <v>4900</v>
      </c>
      <c r="C1623" s="3">
        <v>0.0</v>
      </c>
      <c r="D1623" s="3">
        <v>0.0</v>
      </c>
      <c r="E1623" s="3">
        <v>0.0</v>
      </c>
      <c r="F1623" s="3" t="s">
        <v>4901</v>
      </c>
      <c r="G1623" s="3">
        <v>0.7</v>
      </c>
      <c r="H1623" s="3">
        <v>-0.2</v>
      </c>
      <c r="I1623" s="3" t="s">
        <v>179</v>
      </c>
      <c r="J1623" s="3" t="s">
        <v>4902</v>
      </c>
      <c r="K1623" s="3" t="s">
        <v>90</v>
      </c>
      <c r="L1623" s="3" t="str">
        <f>IFERROR(__xludf.DUMMYFUNCTION("GOOGLETRANSLATE(F1623,""id"",""en"")"),"The best World Cup Final of all time, the magic boy of Messi, completes his football degree what soccer game is beautiful, friend congrats")</f>
        <v>The best World Cup Final of all time, the magic boy of Messi, completes his football degree what soccer game is beautiful, friend congrats</v>
      </c>
    </row>
    <row r="1624" ht="15.75" customHeight="1">
      <c r="A1624" s="1">
        <v>1627.0</v>
      </c>
      <c r="B1624" s="3" t="s">
        <v>4903</v>
      </c>
      <c r="C1624" s="3">
        <v>0.0</v>
      </c>
      <c r="D1624" s="3">
        <v>0.0</v>
      </c>
      <c r="E1624" s="3">
        <v>0.0</v>
      </c>
      <c r="F1624" s="3" t="s">
        <v>4904</v>
      </c>
      <c r="G1624" s="3">
        <v>1.0</v>
      </c>
      <c r="H1624" s="3">
        <v>0.0</v>
      </c>
      <c r="I1624" s="3" t="s">
        <v>13</v>
      </c>
      <c r="J1624" s="3" t="s">
        <v>4905</v>
      </c>
      <c r="K1624" s="3" t="s">
        <v>82</v>
      </c>
      <c r="L1624" s="3" t="str">
        <f>IFERROR(__xludf.DUMMYFUNCTION("GOOGLETRANSLATE(F1624,""id"",""en"")"),"The Best Qatar World Cup Final Party Watch")</f>
        <v>The Best Qatar World Cup Final Party Watch</v>
      </c>
    </row>
    <row r="1625" ht="15.75" customHeight="1">
      <c r="A1625" s="1">
        <v>1628.0</v>
      </c>
      <c r="B1625" s="3" t="s">
        <v>4906</v>
      </c>
      <c r="C1625" s="3">
        <v>1.0</v>
      </c>
      <c r="D1625" s="3">
        <v>0.0</v>
      </c>
      <c r="E1625" s="3">
        <v>0.0</v>
      </c>
      <c r="F1625" s="3" t="s">
        <v>4907</v>
      </c>
      <c r="G1625" s="3">
        <v>1.0</v>
      </c>
      <c r="H1625" s="3">
        <v>0.0</v>
      </c>
      <c r="I1625" s="3" t="s">
        <v>13</v>
      </c>
      <c r="J1625" s="3" t="s">
        <v>4908</v>
      </c>
      <c r="K1625" s="3" t="s">
        <v>23</v>
      </c>
      <c r="L1625" s="3" t="str">
        <f>IFERROR(__xludf.DUMMYFUNCTION("GOOGLETRANSLATE(F1625,""id"",""en"")"),"finally finished the World Cup Setting FIFA from the referee of the line judge until the referee VAR has been paid and the final is clear")</f>
        <v>finally finished the World Cup Setting FIFA from the referee of the line judge until the referee VAR has been paid and the final is clear</v>
      </c>
    </row>
    <row r="1626" ht="15.75" customHeight="1">
      <c r="A1626" s="1">
        <v>1629.0</v>
      </c>
      <c r="B1626" s="3" t="s">
        <v>4909</v>
      </c>
      <c r="C1626" s="3">
        <v>0.0</v>
      </c>
      <c r="D1626" s="3">
        <v>0.0</v>
      </c>
      <c r="E1626" s="3">
        <v>0.0</v>
      </c>
      <c r="F1626" s="3" t="s">
        <v>4910</v>
      </c>
      <c r="G1626" s="3">
        <v>1.0</v>
      </c>
      <c r="H1626" s="3">
        <v>0.0</v>
      </c>
      <c r="I1626" s="3" t="s">
        <v>13</v>
      </c>
      <c r="J1626" s="3" t="s">
        <v>4911</v>
      </c>
      <c r="K1626" s="3" t="s">
        <v>82</v>
      </c>
      <c r="L1626" s="3" t="str">
        <f>IFERROR(__xludf.DUMMYFUNCTION("GOOGLETRANSLATE(F1626,""id"",""en"")"),"Year can already be a Hattick Final of the Gokil World Cup")</f>
        <v>Year can already be a Hattick Final of the Gokil World Cup</v>
      </c>
    </row>
    <row r="1627" ht="15.75" customHeight="1">
      <c r="A1627" s="1">
        <v>1630.0</v>
      </c>
      <c r="B1627" s="3" t="s">
        <v>4912</v>
      </c>
      <c r="C1627" s="3">
        <v>1875.0</v>
      </c>
      <c r="D1627" s="3">
        <v>332.0</v>
      </c>
      <c r="E1627" s="3">
        <v>6365.0</v>
      </c>
      <c r="F1627" s="3" t="s">
        <v>4913</v>
      </c>
      <c r="G1627" s="3">
        <v>1.0</v>
      </c>
      <c r="H1627" s="3">
        <v>0.0</v>
      </c>
      <c r="I1627" s="3" t="s">
        <v>13</v>
      </c>
      <c r="J1627" s="3" t="s">
        <v>4914</v>
      </c>
      <c r="K1627" s="3" t="s">
        <v>644</v>
      </c>
      <c r="L1627" s="3" t="str">
        <f>IFERROR(__xludf.DUMMYFUNCTION("GOOGLETRANSLATE(F1627,""id"",""en"")"),"Rated for the World Cup Final")</f>
        <v>Rated for the World Cup Final</v>
      </c>
    </row>
    <row r="1628" ht="15.75" customHeight="1">
      <c r="A1628" s="1">
        <v>1631.0</v>
      </c>
      <c r="B1628" s="3" t="s">
        <v>4915</v>
      </c>
      <c r="C1628" s="3">
        <v>0.0</v>
      </c>
      <c r="D1628" s="3">
        <v>0.0</v>
      </c>
      <c r="E1628" s="3">
        <v>0.0</v>
      </c>
      <c r="F1628" s="3" t="s">
        <v>4916</v>
      </c>
      <c r="G1628" s="3">
        <v>1.0</v>
      </c>
      <c r="H1628" s="3">
        <v>0.0</v>
      </c>
      <c r="I1628" s="3" t="s">
        <v>13</v>
      </c>
      <c r="J1628" s="3" t="s">
        <v>4917</v>
      </c>
      <c r="K1628" s="3" t="s">
        <v>71</v>
      </c>
      <c r="L1628" s="3" t="str">
        <f>IFERROR(__xludf.DUMMYFUNCTION("GOOGLETRANSLATE(F1628,""id"",""en"")"),"Going goosebumps are very grateful to be the opportunity to watch from the beginning to the final of the best world cup.")</f>
        <v>Going goosebumps are very grateful to be the opportunity to watch from the beginning to the final of the best world cup.</v>
      </c>
    </row>
    <row r="1629" ht="15.75" customHeight="1">
      <c r="A1629" s="1">
        <v>1632.0</v>
      </c>
      <c r="B1629" s="3" t="s">
        <v>4918</v>
      </c>
      <c r="C1629" s="3">
        <v>0.0</v>
      </c>
      <c r="D1629" s="3">
        <v>0.0</v>
      </c>
      <c r="E1629" s="3">
        <v>0.0</v>
      </c>
      <c r="F1629" s="3" t="s">
        <v>4919</v>
      </c>
      <c r="G1629" s="3">
        <v>1.0</v>
      </c>
      <c r="H1629" s="3">
        <v>0.0</v>
      </c>
      <c r="I1629" s="3" t="s">
        <v>13</v>
      </c>
      <c r="J1629" s="3" t="s">
        <v>4920</v>
      </c>
      <c r="K1629" s="3" t="s">
        <v>82</v>
      </c>
      <c r="L1629" s="3" t="str">
        <f>IFERROR(__xludf.DUMMYFUNCTION("GOOGLETRANSLATE(F1629,""id"",""en"")"),"The Best World Cup Final During Watching Soccer")</f>
        <v>The Best World Cup Final During Watching Soccer</v>
      </c>
    </row>
    <row r="1630" ht="15.75" customHeight="1">
      <c r="A1630" s="1">
        <v>1633.0</v>
      </c>
      <c r="B1630" s="3" t="s">
        <v>4921</v>
      </c>
      <c r="C1630" s="3">
        <v>0.0</v>
      </c>
      <c r="D1630" s="3">
        <v>0.0</v>
      </c>
      <c r="E1630" s="3">
        <v>0.0</v>
      </c>
      <c r="F1630" s="3" t="s">
        <v>4922</v>
      </c>
      <c r="G1630" s="3">
        <v>1.0</v>
      </c>
      <c r="H1630" s="3">
        <v>0.0</v>
      </c>
      <c r="I1630" s="3" t="s">
        <v>13</v>
      </c>
      <c r="J1630" s="3" t="s">
        <v>4923</v>
      </c>
      <c r="K1630" s="3" t="s">
        <v>54</v>
      </c>
      <c r="L1630" s="3" t="str">
        <f>IFERROR(__xludf.DUMMYFUNCTION("GOOGLETRANSLATE(F1630,""id"",""en"")"),"The World Cup Final was excited about Argentina France")</f>
        <v>The World Cup Final was excited about Argentina France</v>
      </c>
    </row>
    <row r="1631" ht="15.75" customHeight="1">
      <c r="A1631" s="1">
        <v>1634.0</v>
      </c>
      <c r="B1631" s="3" t="s">
        <v>4924</v>
      </c>
      <c r="C1631" s="3">
        <v>0.0</v>
      </c>
      <c r="D1631" s="3">
        <v>0.0</v>
      </c>
      <c r="E1631" s="3">
        <v>0.0</v>
      </c>
      <c r="F1631" s="3" t="s">
        <v>4828</v>
      </c>
      <c r="G1631" s="3">
        <v>1.0</v>
      </c>
      <c r="H1631" s="3">
        <v>0.0</v>
      </c>
      <c r="I1631" s="3" t="s">
        <v>13</v>
      </c>
      <c r="J1631" s="3" t="s">
        <v>4829</v>
      </c>
      <c r="K1631" s="3" t="s">
        <v>19</v>
      </c>
      <c r="L1631" s="3" t="str">
        <f>IFERROR(__xludf.DUMMYFUNCTION("GOOGLETRANSLATE(F1631,""id"",""en"")"),"Argentina Champion World Cup after defeating France Final through the penalty shootout round")</f>
        <v>Argentina Champion World Cup after defeating France Final through the penalty shootout round</v>
      </c>
    </row>
    <row r="1632" ht="15.75" customHeight="1">
      <c r="A1632" s="1">
        <v>1635.0</v>
      </c>
      <c r="B1632" s="3" t="s">
        <v>4925</v>
      </c>
      <c r="C1632" s="3">
        <v>3.0</v>
      </c>
      <c r="D1632" s="3">
        <v>5.0</v>
      </c>
      <c r="E1632" s="3">
        <v>56.0</v>
      </c>
      <c r="F1632" s="3" t="s">
        <v>4926</v>
      </c>
      <c r="G1632" s="3">
        <v>1.0</v>
      </c>
      <c r="H1632" s="3">
        <v>0.0</v>
      </c>
      <c r="I1632" s="3" t="s">
        <v>13</v>
      </c>
      <c r="J1632" s="3" t="s">
        <v>4927</v>
      </c>
      <c r="K1632" s="3" t="s">
        <v>510</v>
      </c>
      <c r="L1632" s="3" t="str">
        <f>IFERROR(__xludf.DUMMYFUNCTION("GOOGLETRANSLATE(F1632,""id"",""en"")"),"In accordance with the prediction of Argentina, this Proficiat won the Proficiat, the exciting French World Cup final also fought to death")</f>
        <v>In accordance with the prediction of Argentina, this Proficiat won the Proficiat, the exciting French World Cup final also fought to death</v>
      </c>
    </row>
    <row r="1633" ht="15.75" customHeight="1">
      <c r="A1633" s="1">
        <v>1636.0</v>
      </c>
      <c r="B1633" s="3" t="s">
        <v>4928</v>
      </c>
      <c r="C1633" s="3">
        <v>0.0</v>
      </c>
      <c r="D1633" s="3">
        <v>0.0</v>
      </c>
      <c r="E1633" s="3">
        <v>0.0</v>
      </c>
      <c r="F1633" s="3" t="s">
        <v>4929</v>
      </c>
      <c r="G1633" s="3">
        <v>0.75</v>
      </c>
      <c r="H1633" s="3">
        <v>0.25</v>
      </c>
      <c r="I1633" s="3" t="s">
        <v>48</v>
      </c>
      <c r="J1633" s="3" t="s">
        <v>4930</v>
      </c>
      <c r="K1633" s="3" t="s">
        <v>495</v>
      </c>
      <c r="L1633" s="3" t="str">
        <f>IFERROR(__xludf.DUMMYFUNCTION("GOOGLETRANSLATE(F1633,""id"",""en"")"),"Argentina Champion World Cup Lionel Messi managed to defeat France penalties in the final match which was held Lusail Iconic Stadium Sunday")</f>
        <v>Argentina Champion World Cup Lionel Messi managed to defeat France penalties in the final match which was held Lusail Iconic Stadium Sunday</v>
      </c>
    </row>
    <row r="1634" ht="15.75" customHeight="1">
      <c r="A1634" s="1">
        <v>1637.0</v>
      </c>
      <c r="B1634" s="3" t="s">
        <v>4931</v>
      </c>
      <c r="C1634" s="3">
        <v>0.0</v>
      </c>
      <c r="D1634" s="3">
        <v>0.0</v>
      </c>
      <c r="E1634" s="3">
        <v>0.0</v>
      </c>
      <c r="F1634" s="3" t="s">
        <v>4932</v>
      </c>
      <c r="G1634" s="3">
        <v>1.0</v>
      </c>
      <c r="H1634" s="3">
        <v>0.0</v>
      </c>
      <c r="I1634" s="3" t="s">
        <v>13</v>
      </c>
      <c r="J1634" s="3" t="s">
        <v>4933</v>
      </c>
      <c r="K1634" s="3" t="s">
        <v>899</v>
      </c>
      <c r="L1634" s="3" t="str">
        <f>IFERROR(__xludf.DUMMYFUNCTION("GOOGLETRANSLATE(F1634,""id"",""en"")"),"Finally, Argentina champions Messi champion ngefans and this country since I first watched pildun because of Messi also supported Argentina at that time tonight was so beautiful in the exciting world cup and the satisfying final result")</f>
        <v>Finally, Argentina champions Messi champion ngefans and this country since I first watched pildun because of Messi also supported Argentina at that time tonight was so beautiful in the exciting world cup and the satisfying final result</v>
      </c>
    </row>
    <row r="1635" ht="15.75" customHeight="1">
      <c r="A1635" s="1">
        <v>1638.0</v>
      </c>
      <c r="B1635" s="3" t="s">
        <v>4934</v>
      </c>
      <c r="C1635" s="3">
        <v>0.0</v>
      </c>
      <c r="D1635" s="3">
        <v>0.0</v>
      </c>
      <c r="E1635" s="3">
        <v>1.0</v>
      </c>
      <c r="F1635" s="3" t="s">
        <v>4935</v>
      </c>
      <c r="G1635" s="3">
        <v>1.0</v>
      </c>
      <c r="H1635" s="3">
        <v>0.0</v>
      </c>
      <c r="I1635" s="3" t="s">
        <v>13</v>
      </c>
      <c r="J1635" s="3" t="s">
        <v>4936</v>
      </c>
      <c r="K1635" s="3" t="s">
        <v>695</v>
      </c>
      <c r="L1635" s="3" t="str">
        <f>IFERROR(__xludf.DUMMYFUNCTION("GOOGLETRANSLATE(F1635,""id"",""en"")"),"Gebyar World Cup Catar Kalapas Class IIA Pematangsiantar Regional Office of Kemkumham North Sumatra Watch Final FIFA World Cup Catar Argentina France")</f>
        <v>Gebyar World Cup Catar Kalapas Class IIA Pematangsiantar Regional Office of Kemkumham North Sumatra Watch Final FIFA World Cup Catar Argentina France</v>
      </c>
    </row>
    <row r="1636" ht="15.75" customHeight="1">
      <c r="A1636" s="1">
        <v>1639.0</v>
      </c>
      <c r="B1636" s="3" t="s">
        <v>4937</v>
      </c>
      <c r="C1636" s="3">
        <v>0.0</v>
      </c>
      <c r="D1636" s="3">
        <v>0.0</v>
      </c>
      <c r="E1636" s="3">
        <v>0.0</v>
      </c>
      <c r="F1636" s="3" t="s">
        <v>4938</v>
      </c>
      <c r="G1636" s="3">
        <v>0.75</v>
      </c>
      <c r="H1636" s="3">
        <v>0.4333333333333333</v>
      </c>
      <c r="I1636" s="3" t="s">
        <v>48</v>
      </c>
      <c r="J1636" s="3" t="s">
        <v>4939</v>
      </c>
      <c r="K1636" s="3" t="s">
        <v>1824</v>
      </c>
      <c r="L1636" s="3" t="str">
        <f>IFERROR(__xludf.DUMMYFUNCTION("GOOGLETRANSLATE(F1636,""id"",""en"")"),"From the referee drama, he said that he guessing ARgen, even France diving for the sake of digesing was done until the treats of Messi Mbappe Top Player Ever Gokil World Cup was closed with a spectacular final match.")</f>
        <v>From the referee drama, he said that he guessing ARgen, even France diving for the sake of digesing was done until the treats of Messi Mbappe Top Player Ever Gokil World Cup was closed with a spectacular final match.</v>
      </c>
    </row>
    <row r="1637" ht="15.75" customHeight="1">
      <c r="A1637" s="1">
        <v>1640.0</v>
      </c>
      <c r="B1637" s="3" t="s">
        <v>4940</v>
      </c>
      <c r="C1637" s="3">
        <v>0.0</v>
      </c>
      <c r="D1637" s="3">
        <v>0.0</v>
      </c>
      <c r="E1637" s="3">
        <v>0.0</v>
      </c>
      <c r="F1637" s="3" t="s">
        <v>4941</v>
      </c>
      <c r="G1637" s="3">
        <v>1.0</v>
      </c>
      <c r="H1637" s="3">
        <v>0.0</v>
      </c>
      <c r="I1637" s="3" t="s">
        <v>13</v>
      </c>
      <c r="J1637" s="3" t="s">
        <v>4942</v>
      </c>
      <c r="K1637" s="3" t="s">
        <v>41</v>
      </c>
      <c r="L1637" s="3" t="str">
        <f>IFERROR(__xludf.DUMMYFUNCTION("GOOGLETRANSLATE(F1637,""id"",""en"")"),"The most epic final in the history of the World Cup is satisfied with")</f>
        <v>The most epic final in the history of the World Cup is satisfied with</v>
      </c>
    </row>
    <row r="1638" ht="15.75" customHeight="1">
      <c r="A1638" s="1">
        <v>1641.0</v>
      </c>
      <c r="B1638" s="3" t="s">
        <v>4943</v>
      </c>
      <c r="C1638" s="3">
        <v>1.0</v>
      </c>
      <c r="D1638" s="3">
        <v>0.0</v>
      </c>
      <c r="E1638" s="3">
        <v>0.0</v>
      </c>
      <c r="F1638" s="3" t="s">
        <v>4944</v>
      </c>
      <c r="G1638" s="3">
        <v>1.0</v>
      </c>
      <c r="H1638" s="3">
        <v>0.0</v>
      </c>
      <c r="I1638" s="3" t="s">
        <v>13</v>
      </c>
      <c r="J1638" s="3" t="s">
        <v>4945</v>
      </c>
      <c r="K1638" s="3" t="s">
        <v>236</v>
      </c>
      <c r="L1638" s="3" t="str">
        <f>IFERROR(__xludf.DUMMYFUNCTION("GOOGLETRANSLATE(F1638,""id"",""en"")"),"I don't know if all the time but this is clearly the best final as long as I watch the World Cup now")</f>
        <v>I don't know if all the time but this is clearly the best final as long as I watch the World Cup now</v>
      </c>
    </row>
    <row r="1639" ht="15.75" customHeight="1">
      <c r="A1639" s="1">
        <v>1642.0</v>
      </c>
      <c r="B1639" s="3" t="s">
        <v>4946</v>
      </c>
      <c r="C1639" s="3">
        <v>0.0</v>
      </c>
      <c r="D1639" s="3">
        <v>0.0</v>
      </c>
      <c r="E1639" s="3">
        <v>0.0</v>
      </c>
      <c r="F1639" s="3" t="s">
        <v>4947</v>
      </c>
      <c r="G1639" s="3">
        <v>1.0</v>
      </c>
      <c r="H1639" s="3">
        <v>0.0</v>
      </c>
      <c r="I1639" s="3" t="s">
        <v>13</v>
      </c>
      <c r="J1639" s="3" t="s">
        <v>916</v>
      </c>
      <c r="K1639" s="3" t="s">
        <v>54</v>
      </c>
      <c r="L1639" s="3" t="str">
        <f>IFERROR(__xludf.DUMMYFUNCTION("GOOGLETRANSLATE(F1639,""id"",""en"")"),"The best World Cup final I ever watched")</f>
        <v>The best World Cup final I ever watched</v>
      </c>
    </row>
    <row r="1640" ht="15.75" customHeight="1">
      <c r="A1640" s="1">
        <v>1643.0</v>
      </c>
      <c r="B1640" s="3" t="s">
        <v>4948</v>
      </c>
      <c r="C1640" s="3">
        <v>0.0</v>
      </c>
      <c r="D1640" s="3">
        <v>0.0</v>
      </c>
      <c r="E1640" s="3">
        <v>1.0</v>
      </c>
      <c r="F1640" s="3" t="s">
        <v>4289</v>
      </c>
      <c r="G1640" s="3">
        <v>1.0</v>
      </c>
      <c r="H1640" s="3">
        <v>0.0</v>
      </c>
      <c r="I1640" s="3" t="s">
        <v>13</v>
      </c>
      <c r="J1640" s="3" t="s">
        <v>4290</v>
      </c>
      <c r="K1640" s="3" t="s">
        <v>71</v>
      </c>
      <c r="L1640" s="3" t="str">
        <f>IFERROR(__xludf.DUMMYFUNCTION("GOOGLETRANSLATE(F1640,""id"",""en"")"),"Classy final match during the World Cup Nnton from until this Argentine Congratulations Class Country Play")</f>
        <v>Classy final match during the World Cup Nnton from until this Argentine Congratulations Class Country Play</v>
      </c>
    </row>
    <row r="1641" ht="15.75" customHeight="1">
      <c r="A1641" s="1">
        <v>1644.0</v>
      </c>
      <c r="B1641" s="3" t="s">
        <v>4949</v>
      </c>
      <c r="C1641" s="3">
        <v>0.0</v>
      </c>
      <c r="D1641" s="3">
        <v>0.0</v>
      </c>
      <c r="E1641" s="3">
        <v>0.0</v>
      </c>
      <c r="F1641" s="3" t="s">
        <v>4950</v>
      </c>
      <c r="G1641" s="3">
        <v>1.0</v>
      </c>
      <c r="H1641" s="3">
        <v>0.0</v>
      </c>
      <c r="I1641" s="3" t="s">
        <v>13</v>
      </c>
      <c r="J1641" s="3" t="s">
        <v>4951</v>
      </c>
      <c r="K1641" s="3" t="s">
        <v>41</v>
      </c>
      <c r="L1641" s="3" t="str">
        <f>IFERROR(__xludf.DUMMYFUNCTION("GOOGLETRANSLATE(F1641,""id"",""en"")"),"Congrats Argentina The World Cup Final was adhered to the original drama")</f>
        <v>Congrats Argentina The World Cup Final was adhered to the original drama</v>
      </c>
    </row>
    <row r="1642" ht="15.75" customHeight="1">
      <c r="A1642" s="1">
        <v>1645.0</v>
      </c>
      <c r="B1642" s="3" t="s">
        <v>4952</v>
      </c>
      <c r="C1642" s="3">
        <v>0.0</v>
      </c>
      <c r="D1642" s="3">
        <v>0.0</v>
      </c>
      <c r="E1642" s="3">
        <v>0.0</v>
      </c>
      <c r="F1642" s="3" t="s">
        <v>2015</v>
      </c>
      <c r="G1642" s="3">
        <v>1.0</v>
      </c>
      <c r="H1642" s="3">
        <v>0.0</v>
      </c>
      <c r="I1642" s="3" t="s">
        <v>13</v>
      </c>
      <c r="J1642" s="3" t="s">
        <v>2016</v>
      </c>
      <c r="K1642" s="3" t="s">
        <v>54</v>
      </c>
      <c r="L1642" s="3" t="str">
        <f>IFERROR(__xludf.DUMMYFUNCTION("GOOGLETRANSLATE(F1642,""id"",""en"")"),"One of the best World Cup finals")</f>
        <v>One of the best World Cup finals</v>
      </c>
    </row>
    <row r="1643" ht="15.75" customHeight="1">
      <c r="A1643" s="1">
        <v>1646.0</v>
      </c>
      <c r="B1643" s="3" t="s">
        <v>4953</v>
      </c>
      <c r="C1643" s="3">
        <v>0.0</v>
      </c>
      <c r="D1643" s="3">
        <v>1.0</v>
      </c>
      <c r="E1643" s="3">
        <v>2.0</v>
      </c>
      <c r="F1643" s="3" t="s">
        <v>1905</v>
      </c>
      <c r="G1643" s="3">
        <v>0.55</v>
      </c>
      <c r="H1643" s="3">
        <v>0.0</v>
      </c>
      <c r="I1643" s="3" t="s">
        <v>13</v>
      </c>
      <c r="J1643" s="3" t="s">
        <v>1575</v>
      </c>
      <c r="K1643" s="3" t="s">
        <v>695</v>
      </c>
      <c r="L1643" s="3" t="str">
        <f>IFERROR(__xludf.DUMMYFUNCTION("GOOGLETRANSLATE(F1643,""id"",""en"")"),"Argentina won the Argentine World Cup championship trophy to defeat France Final through penalties after playing Extra Time series")</f>
        <v>Argentina won the Argentine World Cup championship trophy to defeat France Final through penalties after playing Extra Time series</v>
      </c>
    </row>
    <row r="1644" ht="15.75" customHeight="1">
      <c r="A1644" s="1">
        <v>1647.0</v>
      </c>
      <c r="B1644" s="3" t="s">
        <v>4954</v>
      </c>
      <c r="C1644" s="3">
        <v>0.0</v>
      </c>
      <c r="D1644" s="3">
        <v>0.0</v>
      </c>
      <c r="E1644" s="3">
        <v>0.0</v>
      </c>
      <c r="F1644" s="3" t="s">
        <v>4955</v>
      </c>
      <c r="G1644" s="3">
        <v>1.0</v>
      </c>
      <c r="H1644" s="3">
        <v>0.0</v>
      </c>
      <c r="I1644" s="3" t="s">
        <v>13</v>
      </c>
      <c r="J1644" s="3" t="s">
        <v>4956</v>
      </c>
      <c r="K1644" s="3" t="s">
        <v>75</v>
      </c>
      <c r="L1644" s="3" t="str">
        <f>IFERROR(__xludf.DUMMYFUNCTION("GOOGLETRANSLATE(F1644,""id"",""en"")"),"Apart from Italy, this champion is the Final of the Best World Cup I have ever watched")</f>
        <v>Apart from Italy, this champion is the Final of the Best World Cup I have ever watched</v>
      </c>
    </row>
    <row r="1645" ht="15.75" customHeight="1">
      <c r="A1645" s="1">
        <v>1648.0</v>
      </c>
      <c r="B1645" s="3" t="s">
        <v>4957</v>
      </c>
      <c r="C1645" s="3">
        <v>0.0</v>
      </c>
      <c r="D1645" s="3">
        <v>0.0</v>
      </c>
      <c r="E1645" s="3">
        <v>0.0</v>
      </c>
      <c r="F1645" s="3" t="s">
        <v>4958</v>
      </c>
      <c r="G1645" s="3">
        <v>1.0</v>
      </c>
      <c r="H1645" s="3">
        <v>0.0</v>
      </c>
      <c r="I1645" s="3" t="s">
        <v>13</v>
      </c>
      <c r="J1645" s="3" t="s">
        <v>4959</v>
      </c>
      <c r="K1645" s="3" t="s">
        <v>236</v>
      </c>
      <c r="L1645" s="3" t="str">
        <f>IFERROR(__xludf.DUMMYFUNCTION("GOOGLETRANSLATE(F1645,""id"",""en"")"),"One of the best finals in the Qatar World Cup final history")</f>
        <v>One of the best finals in the Qatar World Cup final history</v>
      </c>
    </row>
    <row r="1646" ht="15.75" customHeight="1">
      <c r="A1646" s="1">
        <v>1649.0</v>
      </c>
      <c r="B1646" s="3" t="s">
        <v>4960</v>
      </c>
      <c r="C1646" s="3">
        <v>0.0</v>
      </c>
      <c r="D1646" s="3">
        <v>0.0</v>
      </c>
      <c r="E1646" s="3">
        <v>0.0</v>
      </c>
      <c r="F1646" s="3" t="s">
        <v>4961</v>
      </c>
      <c r="G1646" s="3">
        <v>1.0</v>
      </c>
      <c r="H1646" s="3">
        <v>0.0</v>
      </c>
      <c r="I1646" s="3" t="s">
        <v>13</v>
      </c>
      <c r="J1646" s="3" t="s">
        <v>4962</v>
      </c>
      <c r="K1646" s="3" t="s">
        <v>127</v>
      </c>
      <c r="L1646" s="3" t="str">
        <f>IFERROR(__xludf.DUMMYFUNCTION("GOOGLETRANSLATE(F1646,""id"",""en"")"),"I am crazy about me, one of the best world cup final witnesses, the world is plotted")</f>
        <v>I am crazy about me, one of the best world cup final witnesses, the world is plotted</v>
      </c>
    </row>
    <row r="1647" ht="15.75" customHeight="1">
      <c r="A1647" s="1">
        <v>1650.0</v>
      </c>
      <c r="B1647" s="3" t="s">
        <v>4963</v>
      </c>
      <c r="C1647" s="3">
        <v>2.0</v>
      </c>
      <c r="D1647" s="3">
        <v>0.0</v>
      </c>
      <c r="E1647" s="3">
        <v>1.0</v>
      </c>
      <c r="F1647" s="3" t="s">
        <v>4964</v>
      </c>
      <c r="G1647" s="3">
        <v>1.0</v>
      </c>
      <c r="H1647" s="3">
        <v>0.0</v>
      </c>
      <c r="I1647" s="3" t="s">
        <v>13</v>
      </c>
      <c r="J1647" s="3" t="s">
        <v>4965</v>
      </c>
      <c r="K1647" s="3" t="s">
        <v>41</v>
      </c>
      <c r="L1647" s="3" t="str">
        <f>IFERROR(__xludf.DUMMYFUNCTION("GOOGLETRANSLATE(F1647,""id"",""en"")"),"Mbappe became the second player who had ever had the World Cup Final Hattrick")</f>
        <v>Mbappe became the second player who had ever had the World Cup Final Hattrick</v>
      </c>
    </row>
    <row r="1648" ht="15.75" customHeight="1">
      <c r="A1648" s="1">
        <v>1651.0</v>
      </c>
      <c r="B1648" s="3" t="s">
        <v>4966</v>
      </c>
      <c r="C1648" s="3">
        <v>0.0</v>
      </c>
      <c r="D1648" s="3">
        <v>0.0</v>
      </c>
      <c r="E1648" s="3">
        <v>0.0</v>
      </c>
      <c r="F1648" s="3" t="s">
        <v>4967</v>
      </c>
      <c r="G1648" s="3">
        <v>1.0</v>
      </c>
      <c r="H1648" s="3">
        <v>0.0</v>
      </c>
      <c r="I1648" s="3" t="s">
        <v>13</v>
      </c>
      <c r="J1648" s="3" t="s">
        <v>4968</v>
      </c>
      <c r="K1648" s="3" t="s">
        <v>236</v>
      </c>
      <c r="L1648" s="3" t="str">
        <f>IFERROR(__xludf.DUMMYFUNCTION("GOOGLETRANSLATE(F1648,""id"",""en"")"),"what final I admit this is the best final I have ever watched the World Cup Agree")</f>
        <v>what final I admit this is the best final I have ever watched the World Cup Agree</v>
      </c>
    </row>
    <row r="1649" ht="15.75" customHeight="1">
      <c r="A1649" s="1">
        <v>1652.0</v>
      </c>
      <c r="B1649" s="3" t="s">
        <v>4969</v>
      </c>
      <c r="C1649" s="3">
        <v>0.0</v>
      </c>
      <c r="D1649" s="3">
        <v>1.0</v>
      </c>
      <c r="E1649" s="3">
        <v>3.0</v>
      </c>
      <c r="F1649" s="3" t="s">
        <v>4970</v>
      </c>
      <c r="G1649" s="3">
        <v>1.0</v>
      </c>
      <c r="H1649" s="3">
        <v>0.0</v>
      </c>
      <c r="I1649" s="3" t="s">
        <v>13</v>
      </c>
      <c r="J1649" s="3" t="s">
        <v>4971</v>
      </c>
      <c r="K1649" s="3" t="s">
        <v>1518</v>
      </c>
      <c r="L1649" s="3" t="str">
        <f>IFERROR(__xludf.DUMMYFUNCTION("GOOGLETRANSLATE(F1649,""id"",""en"")"),"rarely really ngehype the ball but if the world cup is different weh always always happy when the finals are still crowded so so I miss there is no mix")</f>
        <v>rarely really ngehype the ball but if the world cup is different weh always always happy when the finals are still crowded so so I miss there is no mix</v>
      </c>
    </row>
    <row r="1650" ht="15.75" customHeight="1">
      <c r="A1650" s="1">
        <v>1653.0</v>
      </c>
      <c r="B1650" s="3" t="s">
        <v>4972</v>
      </c>
      <c r="C1650" s="3">
        <v>0.0</v>
      </c>
      <c r="D1650" s="3">
        <v>0.0</v>
      </c>
      <c r="E1650" s="3">
        <v>1.0</v>
      </c>
      <c r="F1650" s="3" t="s">
        <v>4973</v>
      </c>
      <c r="G1650" s="3">
        <v>1.0</v>
      </c>
      <c r="H1650" s="3">
        <v>0.0</v>
      </c>
      <c r="I1650" s="3" t="s">
        <v>13</v>
      </c>
      <c r="J1650" s="3" t="s">
        <v>4974</v>
      </c>
      <c r="K1650" s="3" t="s">
        <v>348</v>
      </c>
      <c r="L1650" s="3" t="str">
        <f>IFERROR(__xludf.DUMMYFUNCTION("GOOGLETRANSLATE(F1650,""id"",""en"")"),"Already feeling Argentina will be champions based on the implied message and France has a history of unlucky fights for the World Cup Final Final")</f>
        <v>Already feeling Argentina will be champions based on the implied message and France has a history of unlucky fights for the World Cup Final Final</v>
      </c>
    </row>
    <row r="1651" ht="15.75" customHeight="1">
      <c r="A1651" s="1">
        <v>1654.0</v>
      </c>
      <c r="B1651" s="3" t="s">
        <v>4975</v>
      </c>
      <c r="C1651" s="3">
        <v>0.0</v>
      </c>
      <c r="D1651" s="3">
        <v>0.0</v>
      </c>
      <c r="E1651" s="3">
        <v>0.0</v>
      </c>
      <c r="F1651" s="3" t="s">
        <v>4976</v>
      </c>
      <c r="G1651" s="3">
        <v>1.0</v>
      </c>
      <c r="H1651" s="3">
        <v>0.0</v>
      </c>
      <c r="I1651" s="3" t="s">
        <v>13</v>
      </c>
      <c r="J1651" s="3" t="s">
        <v>4977</v>
      </c>
      <c r="K1651" s="3" t="s">
        <v>75</v>
      </c>
      <c r="L1651" s="3" t="str">
        <f>IFERROR(__xludf.DUMMYFUNCTION("GOOGLETRANSLATE(F1651,""id"",""en"")"),"The temporary results of the Qatar Mbappe World Cup final for Argentina and their supporters are sluggish")</f>
        <v>The temporary results of the Qatar Mbappe World Cup final for Argentina and their supporters are sluggish</v>
      </c>
    </row>
    <row r="1652" ht="15.75" customHeight="1">
      <c r="A1652" s="1">
        <v>1655.0</v>
      </c>
      <c r="B1652" s="3" t="s">
        <v>4978</v>
      </c>
      <c r="C1652" s="3">
        <v>0.0</v>
      </c>
      <c r="D1652" s="3">
        <v>0.0</v>
      </c>
      <c r="E1652" s="3">
        <v>1.0</v>
      </c>
      <c r="F1652" s="3" t="s">
        <v>4979</v>
      </c>
      <c r="G1652" s="3">
        <v>1.0</v>
      </c>
      <c r="H1652" s="3">
        <v>0.0</v>
      </c>
      <c r="I1652" s="3" t="s">
        <v>13</v>
      </c>
      <c r="J1652" s="3" t="s">
        <v>4980</v>
      </c>
      <c r="K1652" s="3" t="s">
        <v>71</v>
      </c>
      <c r="L1652" s="3" t="str">
        <f>IFERROR(__xludf.DUMMYFUNCTION("GOOGLETRANSLATE(F1652,""id"",""en"")"),"Although I support Brazil, but this is the World Cup Final which is very crazy, congratulations to Argentina and keeps the spirit for Mbappe")</f>
        <v>Although I support Brazil, but this is the World Cup Final which is very crazy, congratulations to Argentina and keeps the spirit for Mbappe</v>
      </c>
    </row>
    <row r="1653" ht="15.75" customHeight="1">
      <c r="A1653" s="1">
        <v>1656.0</v>
      </c>
      <c r="B1653" s="3" t="s">
        <v>4981</v>
      </c>
      <c r="C1653" s="3">
        <v>0.0</v>
      </c>
      <c r="D1653" s="3">
        <v>5.0</v>
      </c>
      <c r="E1653" s="3">
        <v>7.0</v>
      </c>
      <c r="F1653" s="3" t="s">
        <v>4982</v>
      </c>
      <c r="G1653" s="3">
        <v>1.0</v>
      </c>
      <c r="H1653" s="3">
        <v>0.0</v>
      </c>
      <c r="I1653" s="3" t="s">
        <v>13</v>
      </c>
      <c r="J1653" s="3" t="s">
        <v>4983</v>
      </c>
      <c r="K1653" s="3" t="s">
        <v>90</v>
      </c>
      <c r="L1653" s="3" t="str">
        <f>IFERROR(__xludf.DUMMYFUNCTION("GOOGLETRANSLATE(F1653,""id"",""en"")"),"Lionel Messi broke a series of new records after performing and brought Agentina to win over France Final of the World Cup following the full list")</f>
        <v>Lionel Messi broke a series of new records after performing and brought Agentina to win over France Final of the World Cup following the full list</v>
      </c>
    </row>
    <row r="1654" ht="15.75" customHeight="1">
      <c r="A1654" s="1">
        <v>1657.0</v>
      </c>
      <c r="B1654" s="3" t="s">
        <v>4984</v>
      </c>
      <c r="C1654" s="3">
        <v>0.0</v>
      </c>
      <c r="D1654" s="3">
        <v>0.0</v>
      </c>
      <c r="E1654" s="3">
        <v>0.0</v>
      </c>
      <c r="F1654" s="3" t="s">
        <v>4985</v>
      </c>
      <c r="G1654" s="3">
        <v>1.0</v>
      </c>
      <c r="H1654" s="3">
        <v>0.0</v>
      </c>
      <c r="I1654" s="3" t="s">
        <v>13</v>
      </c>
      <c r="J1654" s="3" t="s">
        <v>4986</v>
      </c>
      <c r="K1654" s="3" t="s">
        <v>41</v>
      </c>
      <c r="L1654" s="3" t="str">
        <f>IFERROR(__xludf.DUMMYFUNCTION("GOOGLETRANSLATE(F1654,""id"",""en"")"),"One of the best finals in the World Cup and Argentina won the championship")</f>
        <v>One of the best finals in the World Cup and Argentina won the championship</v>
      </c>
    </row>
    <row r="1655" ht="15.75" customHeight="1">
      <c r="A1655" s="1">
        <v>1658.0</v>
      </c>
      <c r="B1655" s="3" t="s">
        <v>4987</v>
      </c>
      <c r="C1655" s="3">
        <v>0.0</v>
      </c>
      <c r="D1655" s="3">
        <v>0.0</v>
      </c>
      <c r="E1655" s="3">
        <v>1.0</v>
      </c>
      <c r="F1655" s="3" t="s">
        <v>4988</v>
      </c>
      <c r="G1655" s="3">
        <v>1.0</v>
      </c>
      <c r="H1655" s="3">
        <v>0.0</v>
      </c>
      <c r="I1655" s="3" t="s">
        <v>13</v>
      </c>
      <c r="J1655" s="3" t="s">
        <v>4989</v>
      </c>
      <c r="K1655" s="3" t="s">
        <v>75</v>
      </c>
      <c r="L1655" s="3" t="str">
        <f>IFERROR(__xludf.DUMMYFUNCTION("GOOGLETRANSLATE(F1655,""id"",""en"")"),"so witnesses the history of what the moment is really anjir this world cup final")</f>
        <v>so witnesses the history of what the moment is really anjir this world cup final</v>
      </c>
    </row>
    <row r="1656" ht="15.75" customHeight="1">
      <c r="A1656" s="1">
        <v>1659.0</v>
      </c>
      <c r="B1656" s="3" t="s">
        <v>4990</v>
      </c>
      <c r="C1656" s="3">
        <v>0.0</v>
      </c>
      <c r="D1656" s="3">
        <v>0.0</v>
      </c>
      <c r="E1656" s="3">
        <v>1.0</v>
      </c>
      <c r="F1656" s="3" t="s">
        <v>4991</v>
      </c>
      <c r="G1656" s="3">
        <v>1.0</v>
      </c>
      <c r="H1656" s="3">
        <v>0.0</v>
      </c>
      <c r="I1656" s="3" t="s">
        <v>13</v>
      </c>
      <c r="J1656" s="3" t="s">
        <v>4992</v>
      </c>
      <c r="K1656" s="3" t="s">
        <v>1628</v>
      </c>
      <c r="L1656" s="3" t="str">
        <f>IFERROR(__xludf.DUMMYFUNCTION("GOOGLETRANSLATE(F1656,""id"",""en"")"),"During watching the World Cup final before finally Argentina who won alias while watching me was very heartbroken.")</f>
        <v>During watching the World Cup final before finally Argentina who won alias while watching me was very heartbroken.</v>
      </c>
    </row>
    <row r="1657" ht="15.75" customHeight="1">
      <c r="A1657" s="1">
        <v>1660.0</v>
      </c>
      <c r="B1657" s="3" t="s">
        <v>4993</v>
      </c>
      <c r="C1657" s="3">
        <v>0.0</v>
      </c>
      <c r="D1657" s="3">
        <v>3.0</v>
      </c>
      <c r="E1657" s="3">
        <v>5.0</v>
      </c>
      <c r="F1657" s="3" t="s">
        <v>4356</v>
      </c>
      <c r="G1657" s="3">
        <v>1.0</v>
      </c>
      <c r="H1657" s="3">
        <v>0.0</v>
      </c>
      <c r="I1657" s="3" t="s">
        <v>13</v>
      </c>
      <c r="J1657" s="3" t="s">
        <v>4357</v>
      </c>
      <c r="K1657" s="3" t="s">
        <v>90</v>
      </c>
      <c r="L1657" s="3" t="str">
        <f>IFERROR(__xludf.DUMMYFUNCTION("GOOGLETRANSLATE(F1657,""id"",""en"")"),"Following are the final results of the French Argentine World Cup which ended through a penalty shootout after the two teams drew until the extra round")</f>
        <v>Following are the final results of the French Argentine World Cup which ended through a penalty shootout after the two teams drew until the extra round</v>
      </c>
    </row>
    <row r="1658" ht="15.75" customHeight="1">
      <c r="A1658" s="1">
        <v>1661.0</v>
      </c>
      <c r="B1658" s="3" t="s">
        <v>4994</v>
      </c>
      <c r="C1658" s="3">
        <v>0.0</v>
      </c>
      <c r="D1658" s="3">
        <v>0.0</v>
      </c>
      <c r="E1658" s="3">
        <v>0.0</v>
      </c>
      <c r="F1658" s="3" t="s">
        <v>4995</v>
      </c>
      <c r="G1658" s="3">
        <v>1.0</v>
      </c>
      <c r="H1658" s="3">
        <v>0.0</v>
      </c>
      <c r="I1658" s="3" t="s">
        <v>13</v>
      </c>
      <c r="J1658" s="3" t="s">
        <v>4996</v>
      </c>
      <c r="K1658" s="3" t="s">
        <v>19</v>
      </c>
      <c r="L1658" s="3" t="str">
        <f>IFERROR(__xludf.DUMMYFUNCTION("GOOGLETRANSLATE(F1658,""id"",""en"")"),"The final results of the Argentina French World Cup Punalti Punalti Tango Les Blues Team")</f>
        <v>The final results of the Argentina French World Cup Punalti Punalti Tango Les Blues Team</v>
      </c>
    </row>
    <row r="1659" ht="15.75" customHeight="1">
      <c r="A1659" s="1">
        <v>1662.0</v>
      </c>
      <c r="B1659" s="3" t="s">
        <v>4997</v>
      </c>
      <c r="C1659" s="3">
        <v>0.0</v>
      </c>
      <c r="D1659" s="3">
        <v>0.0</v>
      </c>
      <c r="E1659" s="3">
        <v>0.0</v>
      </c>
      <c r="F1659" s="3" t="s">
        <v>4998</v>
      </c>
      <c r="G1659" s="3">
        <v>1.0</v>
      </c>
      <c r="H1659" s="3">
        <v>0.0</v>
      </c>
      <c r="I1659" s="3" t="s">
        <v>13</v>
      </c>
      <c r="J1659" s="3" t="s">
        <v>4999</v>
      </c>
      <c r="K1659" s="3" t="s">
        <v>82</v>
      </c>
      <c r="L1659" s="3" t="str">
        <f>IFERROR(__xludf.DUMMYFUNCTION("GOOGLETRANSLATE(F1659,""id"",""en"")"),"One of the best finals in the history of the World Cup")</f>
        <v>One of the best finals in the history of the World Cup</v>
      </c>
    </row>
    <row r="1660" ht="15.75" customHeight="1">
      <c r="A1660" s="1">
        <v>1663.0</v>
      </c>
      <c r="B1660" s="3" t="s">
        <v>5000</v>
      </c>
      <c r="C1660" s="3">
        <v>0.0</v>
      </c>
      <c r="D1660" s="3">
        <v>0.0</v>
      </c>
      <c r="E1660" s="3">
        <v>0.0</v>
      </c>
      <c r="F1660" s="3" t="s">
        <v>5001</v>
      </c>
      <c r="G1660" s="3">
        <v>1.0</v>
      </c>
      <c r="H1660" s="3">
        <v>0.0</v>
      </c>
      <c r="I1660" s="3" t="s">
        <v>13</v>
      </c>
      <c r="J1660" s="3" t="s">
        <v>5002</v>
      </c>
      <c r="K1660" s="3" t="s">
        <v>657</v>
      </c>
      <c r="L1660" s="3" t="str">
        <f>IFERROR(__xludf.DUMMYFUNCTION("GOOGLETRANSLATE(F1660,""id"",""en"")"),"Mr. Ustadz is it possible after watching the World Cup final immediately tahajud because if you have to sleep first, afraid of Bablas until noon")</f>
        <v>Mr. Ustadz is it possible after watching the World Cup final immediately tahajud because if you have to sleep first, afraid of Bablas until noon</v>
      </c>
    </row>
    <row r="1661" ht="15.75" customHeight="1">
      <c r="A1661" s="1">
        <v>1664.0</v>
      </c>
      <c r="B1661" s="3" t="s">
        <v>5003</v>
      </c>
      <c r="C1661" s="3">
        <v>0.0</v>
      </c>
      <c r="D1661" s="3">
        <v>0.0</v>
      </c>
      <c r="E1661" s="3">
        <v>0.0</v>
      </c>
      <c r="F1661" s="3" t="s">
        <v>5004</v>
      </c>
      <c r="G1661" s="3">
        <v>1.0</v>
      </c>
      <c r="H1661" s="3">
        <v>0.0</v>
      </c>
      <c r="I1661" s="3" t="s">
        <v>13</v>
      </c>
      <c r="J1661" s="3" t="s">
        <v>5005</v>
      </c>
      <c r="K1661" s="3" t="s">
        <v>82</v>
      </c>
      <c r="L1661" s="3" t="str">
        <f>IFERROR(__xludf.DUMMYFUNCTION("GOOGLETRANSLATE(F1661,""id"",""en"")"),"The tense World Cup final was won by Argentina Penalty")</f>
        <v>The tense World Cup final was won by Argentina Penalty</v>
      </c>
    </row>
    <row r="1662" ht="15.75" customHeight="1">
      <c r="A1662" s="1">
        <v>1665.0</v>
      </c>
      <c r="B1662" s="3" t="s">
        <v>5006</v>
      </c>
      <c r="C1662" s="3">
        <v>0.0</v>
      </c>
      <c r="D1662" s="3">
        <v>0.0</v>
      </c>
      <c r="E1662" s="3">
        <v>0.0</v>
      </c>
      <c r="F1662" s="3" t="s">
        <v>5007</v>
      </c>
      <c r="G1662" s="3">
        <v>1.0</v>
      </c>
      <c r="H1662" s="3">
        <v>0.0</v>
      </c>
      <c r="I1662" s="3" t="s">
        <v>13</v>
      </c>
      <c r="J1662" s="3" t="s">
        <v>5008</v>
      </c>
      <c r="K1662" s="3" t="s">
        <v>1489</v>
      </c>
      <c r="L1662" s="3" t="str">
        <f>IFERROR(__xludf.DUMMYFUNCTION("GOOGLETRANSLATE(F1662,""id"",""en"")"),"The beautiful of the World Cup final match this time is the match that is presented between Argentina and France two teams that show the only class of the World Cup Final that made the most degree and amazing congratulations for Argentina and Messi")</f>
        <v>The beautiful of the World Cup final match this time is the match that is presented between Argentina and France two teams that show the only class of the World Cup Final that made the most degree and amazing congratulations for Argentina and Messi</v>
      </c>
    </row>
    <row r="1663" ht="15.75" customHeight="1">
      <c r="A1663" s="1">
        <v>1666.0</v>
      </c>
      <c r="B1663" s="3" t="s">
        <v>5009</v>
      </c>
      <c r="C1663" s="3">
        <v>0.0</v>
      </c>
      <c r="D1663" s="3">
        <v>0.0</v>
      </c>
      <c r="E1663" s="3">
        <v>0.0</v>
      </c>
      <c r="F1663" s="3" t="s">
        <v>5010</v>
      </c>
      <c r="G1663" s="3">
        <v>1.0</v>
      </c>
      <c r="H1663" s="3">
        <v>0.0</v>
      </c>
      <c r="I1663" s="3" t="s">
        <v>13</v>
      </c>
      <c r="J1663" s="3" t="s">
        <v>5011</v>
      </c>
      <c r="K1663" s="3" t="s">
        <v>41</v>
      </c>
      <c r="L1663" s="3" t="str">
        <f>IFERROR(__xludf.DUMMYFUNCTION("GOOGLETRANSLATE(F1663,""id"",""en"")"),"The World Cup Final is the most exciting in the history of Argentina")</f>
        <v>The World Cup Final is the most exciting in the history of Argentina</v>
      </c>
    </row>
    <row r="1664" ht="15.75" customHeight="1">
      <c r="A1664" s="1">
        <v>1667.0</v>
      </c>
      <c r="B1664" s="3" t="s">
        <v>5012</v>
      </c>
      <c r="C1664" s="3">
        <v>0.0</v>
      </c>
      <c r="D1664" s="3">
        <v>0.0</v>
      </c>
      <c r="E1664" s="3">
        <v>0.0</v>
      </c>
      <c r="F1664" s="3" t="s">
        <v>5013</v>
      </c>
      <c r="G1664" s="3">
        <v>1.0</v>
      </c>
      <c r="H1664" s="3">
        <v>0.0</v>
      </c>
      <c r="I1664" s="3" t="s">
        <v>13</v>
      </c>
      <c r="J1664" s="3" t="s">
        <v>5014</v>
      </c>
      <c r="K1664" s="3" t="s">
        <v>82</v>
      </c>
      <c r="L1664" s="3" t="str">
        <f>IFERROR(__xludf.DUMMYFUNCTION("GOOGLETRANSLATE(F1664,""id"",""en"")"),"The best final so far during watching the World Cup")</f>
        <v>The best final so far during watching the World Cup</v>
      </c>
    </row>
    <row r="1665" ht="15.75" customHeight="1">
      <c r="A1665" s="1">
        <v>1668.0</v>
      </c>
      <c r="B1665" s="3" t="s">
        <v>5015</v>
      </c>
      <c r="C1665" s="3">
        <v>0.0</v>
      </c>
      <c r="D1665" s="3">
        <v>0.0</v>
      </c>
      <c r="E1665" s="3">
        <v>1.0</v>
      </c>
      <c r="F1665" s="3" t="s">
        <v>4819</v>
      </c>
      <c r="G1665" s="3">
        <v>1.0</v>
      </c>
      <c r="H1665" s="3">
        <v>0.0</v>
      </c>
      <c r="I1665" s="3" t="s">
        <v>13</v>
      </c>
      <c r="J1665" s="3" t="s">
        <v>4820</v>
      </c>
      <c r="K1665" s="3" t="s">
        <v>58</v>
      </c>
      <c r="L1665" s="3" t="str">
        <f>IFERROR(__xludf.DUMMYFUNCTION("GOOGLETRANSLATE(F1665,""id"",""en"")"),"Incredibly the final that said Argentina Congratss World Cup champion Argentina France Croatia Morocco")</f>
        <v>Incredibly the final that said Argentina Congratss World Cup champion Argentina France Croatia Morocco</v>
      </c>
    </row>
    <row r="1666" ht="15.75" customHeight="1">
      <c r="A1666" s="1">
        <v>1669.0</v>
      </c>
      <c r="B1666" s="3" t="s">
        <v>5016</v>
      </c>
      <c r="C1666" s="3">
        <v>0.0</v>
      </c>
      <c r="D1666" s="3">
        <v>0.0</v>
      </c>
      <c r="E1666" s="3">
        <v>1.0</v>
      </c>
      <c r="F1666" s="3" t="s">
        <v>5017</v>
      </c>
      <c r="G1666" s="3">
        <v>1.0</v>
      </c>
      <c r="H1666" s="3">
        <v>0.0</v>
      </c>
      <c r="I1666" s="3" t="s">
        <v>13</v>
      </c>
      <c r="J1666" s="3" t="s">
        <v>5018</v>
      </c>
      <c r="K1666" s="3" t="s">
        <v>1293</v>
      </c>
      <c r="L1666" s="3" t="str">
        <f>IFERROR(__xludf.DUMMYFUNCTION("GOOGLETRANSLATE(F1666,""id"",""en"")"),"deserves to be the best final match throughout the World Cup event until now the Final FIFA World Cup Qatar Argentina France")</f>
        <v>deserves to be the best final match throughout the World Cup event until now the Final FIFA World Cup Qatar Argentina France</v>
      </c>
    </row>
    <row r="1667" ht="15.75" customHeight="1">
      <c r="A1667" s="1">
        <v>1670.0</v>
      </c>
      <c r="B1667" s="3" t="s">
        <v>5019</v>
      </c>
      <c r="C1667" s="3">
        <v>2.0</v>
      </c>
      <c r="D1667" s="3">
        <v>3.0</v>
      </c>
      <c r="E1667" s="3">
        <v>10.0</v>
      </c>
      <c r="F1667" s="3" t="s">
        <v>5020</v>
      </c>
      <c r="G1667" s="3">
        <v>0.8333333333333334</v>
      </c>
      <c r="H1667" s="3">
        <v>0.1666666666666667</v>
      </c>
      <c r="I1667" s="3" t="s">
        <v>48</v>
      </c>
      <c r="J1667" s="3" t="s">
        <v>5021</v>
      </c>
      <c r="K1667" s="3" t="s">
        <v>374</v>
      </c>
      <c r="L1667" s="3" t="str">
        <f>IFERROR(__xludf.DUMMYFUNCTION("GOOGLETRANSLATE(F1667,""id"",""en"")"),"The World Cup Qatar World Cup is currently very attractive to the French Argentina final running dramatically is the best final producing the best champion through the penalties happy Argentina champion and salute for Kylian Mbappe as the top score")</f>
        <v>The World Cup Qatar World Cup is currently very attractive to the French Argentina final running dramatically is the best final producing the best champion through the penalties happy Argentina champion and salute for Kylian Mbappe as the top score</v>
      </c>
    </row>
    <row r="1668" ht="15.75" customHeight="1">
      <c r="A1668" s="1">
        <v>1671.0</v>
      </c>
      <c r="B1668" s="3" t="s">
        <v>5022</v>
      </c>
      <c r="C1668" s="3">
        <v>0.0</v>
      </c>
      <c r="D1668" s="3">
        <v>0.0</v>
      </c>
      <c r="E1668" s="3">
        <v>0.0</v>
      </c>
      <c r="F1668" s="3" t="s">
        <v>5023</v>
      </c>
      <c r="G1668" s="3">
        <v>1.0</v>
      </c>
      <c r="H1668" s="3">
        <v>0.0</v>
      </c>
      <c r="I1668" s="3" t="s">
        <v>13</v>
      </c>
      <c r="J1668" s="3" t="s">
        <v>5024</v>
      </c>
      <c r="K1668" s="3" t="s">
        <v>123</v>
      </c>
      <c r="L1668" s="3" t="str">
        <f>IFERROR(__xludf.DUMMYFUNCTION("GOOGLETRANSLATE(F1668,""id"",""en"")"),"Tumben Watching the Tense World Cup Final and Extraordinary Both Great Teams Congratulations for the Argentina Team")</f>
        <v>Tumben Watching the Tense World Cup Final and Extraordinary Both Great Teams Congratulations for the Argentina Team</v>
      </c>
    </row>
    <row r="1669" ht="15.75" customHeight="1">
      <c r="A1669" s="1">
        <v>1672.0</v>
      </c>
      <c r="B1669" s="3" t="s">
        <v>5025</v>
      </c>
      <c r="C1669" s="3">
        <v>0.0</v>
      </c>
      <c r="D1669" s="3">
        <v>0.0</v>
      </c>
      <c r="E1669" s="3">
        <v>0.0</v>
      </c>
      <c r="F1669" s="3" t="s">
        <v>5026</v>
      </c>
      <c r="G1669" s="3">
        <v>0.775</v>
      </c>
      <c r="H1669" s="3">
        <v>0.175</v>
      </c>
      <c r="I1669" s="3" t="s">
        <v>48</v>
      </c>
      <c r="J1669" s="3" t="s">
        <v>5027</v>
      </c>
      <c r="K1669" s="3" t="s">
        <v>1628</v>
      </c>
      <c r="L1669" s="3" t="str">
        <f>IFERROR(__xludf.DUMMYFUNCTION("GOOGLETRANSLATE(F1669,""id"",""en"")"),"Watching the World Cup Final is actually exciting watching the status and tweet people sometimes until the funny status Congratulations Argentina Messi retired full smile")</f>
        <v>Watching the World Cup Final is actually exciting watching the status and tweet people sometimes until the funny status Congratulations Argentina Messi retired full smile</v>
      </c>
    </row>
    <row r="1670" ht="15.75" customHeight="1">
      <c r="A1670" s="1">
        <v>1673.0</v>
      </c>
      <c r="B1670" s="3" t="s">
        <v>5028</v>
      </c>
      <c r="C1670" s="3">
        <v>0.0</v>
      </c>
      <c r="D1670" s="3">
        <v>0.0</v>
      </c>
      <c r="E1670" s="3">
        <v>0.0</v>
      </c>
      <c r="F1670" s="3" t="s">
        <v>5029</v>
      </c>
      <c r="G1670" s="3">
        <v>0.5666666666666668</v>
      </c>
      <c r="H1670" s="3">
        <v>-0.1</v>
      </c>
      <c r="I1670" s="3" t="s">
        <v>179</v>
      </c>
      <c r="J1670" s="3" t="s">
        <v>5030</v>
      </c>
      <c r="K1670" s="3" t="s">
        <v>90</v>
      </c>
      <c r="L1670" s="3" t="str">
        <f>IFERROR(__xludf.DUMMYFUNCTION("GOOGLETRANSLATE(F1670,""id"",""en"")"),"Analysis of the Argentine World Cup Final Party Strong Early Game Makro is good if France Mechanical Mbappe is extraordinary but loses macro")</f>
        <v>Analysis of the Argentine World Cup Final Party Strong Early Game Makro is good if France Mechanical Mbappe is extraordinary but loses macro</v>
      </c>
    </row>
    <row r="1671" ht="15.75" customHeight="1">
      <c r="A1671" s="1">
        <v>1674.0</v>
      </c>
      <c r="B1671" s="3" t="s">
        <v>5031</v>
      </c>
      <c r="C1671" s="3">
        <v>0.0</v>
      </c>
      <c r="D1671" s="3">
        <v>0.0</v>
      </c>
      <c r="E1671" s="3">
        <v>0.0</v>
      </c>
      <c r="F1671" s="3" t="s">
        <v>5032</v>
      </c>
      <c r="G1671" s="3">
        <v>1.0</v>
      </c>
      <c r="H1671" s="3">
        <v>0.0</v>
      </c>
      <c r="I1671" s="3" t="s">
        <v>13</v>
      </c>
      <c r="J1671" s="3" t="s">
        <v>5033</v>
      </c>
      <c r="K1671" s="3" t="s">
        <v>903</v>
      </c>
      <c r="L1671" s="3" t="str">
        <f>IFERROR(__xludf.DUMMYFUNCTION("GOOGLETRANSLATE(F1671,""id"",""en"")"),"December which is really tiring makes it unable to watch the World Cup match starting from the preliminary round but it turns out that Argentina advances to the final and can watch even though Italy does not enter but Argentina is champion already happy")</f>
        <v>December which is really tiring makes it unable to watch the World Cup match starting from the preliminary round but it turns out that Argentina advances to the final and can watch even though Italy does not enter but Argentina is champion already happy</v>
      </c>
    </row>
    <row r="1672" ht="15.75" customHeight="1">
      <c r="A1672" s="1">
        <v>1675.0</v>
      </c>
      <c r="B1672" s="3" t="s">
        <v>5034</v>
      </c>
      <c r="C1672" s="3">
        <v>0.0</v>
      </c>
      <c r="D1672" s="3">
        <v>0.0</v>
      </c>
      <c r="E1672" s="3">
        <v>0.0</v>
      </c>
      <c r="F1672" s="3" t="s">
        <v>5035</v>
      </c>
      <c r="G1672" s="3">
        <v>1.0</v>
      </c>
      <c r="H1672" s="3">
        <v>0.0</v>
      </c>
      <c r="I1672" s="3" t="s">
        <v>13</v>
      </c>
      <c r="J1672" s="3" t="s">
        <v>5036</v>
      </c>
      <c r="K1672" s="3" t="s">
        <v>15</v>
      </c>
      <c r="L1672" s="3" t="str">
        <f>IFERROR(__xludf.DUMMYFUNCTION("GOOGLETRANSLATE(F1672,""id"",""en"")"),"Close the weekend with the best World Cup Final Treat")</f>
        <v>Close the weekend with the best World Cup Final Treat</v>
      </c>
    </row>
    <row r="1673" ht="15.75" customHeight="1">
      <c r="A1673" s="1">
        <v>1676.0</v>
      </c>
      <c r="B1673" s="3" t="s">
        <v>5037</v>
      </c>
      <c r="C1673" s="3">
        <v>0.0</v>
      </c>
      <c r="D1673" s="3">
        <v>0.0</v>
      </c>
      <c r="E1673" s="3">
        <v>0.0</v>
      </c>
      <c r="F1673" s="3" t="s">
        <v>5038</v>
      </c>
      <c r="G1673" s="3">
        <v>1.0</v>
      </c>
      <c r="H1673" s="3">
        <v>0.0</v>
      </c>
      <c r="I1673" s="3" t="s">
        <v>13</v>
      </c>
      <c r="J1673" s="3" t="s">
        <v>5039</v>
      </c>
      <c r="K1673" s="3" t="s">
        <v>510</v>
      </c>
      <c r="L1673" s="3" t="str">
        <f>IFERROR(__xludf.DUMMYFUNCTION("GOOGLETRANSLATE(F1673,""id"",""en"")"),"The most dramatic world cup final I watched the winning and lost to crying applause for both teams")</f>
        <v>The most dramatic world cup final I watched the winning and lost to crying applause for both teams</v>
      </c>
    </row>
    <row r="1674" ht="15.75" customHeight="1">
      <c r="A1674" s="1">
        <v>1677.0</v>
      </c>
      <c r="B1674" s="3" t="s">
        <v>5040</v>
      </c>
      <c r="C1674" s="3">
        <v>0.0</v>
      </c>
      <c r="D1674" s="3">
        <v>0.0</v>
      </c>
      <c r="E1674" s="3">
        <v>0.0</v>
      </c>
      <c r="F1674" s="3" t="s">
        <v>5041</v>
      </c>
      <c r="G1674" s="3">
        <v>1.0</v>
      </c>
      <c r="H1674" s="3">
        <v>0.0</v>
      </c>
      <c r="I1674" s="3" t="s">
        <v>13</v>
      </c>
      <c r="J1674" s="3" t="s">
        <v>5042</v>
      </c>
      <c r="K1674" s="3" t="s">
        <v>31</v>
      </c>
      <c r="L1674" s="3" t="str">
        <f>IFERROR(__xludf.DUMMYFUNCTION("GOOGLETRANSLATE(F1674,""id"",""en"")"),"the very intense world cup final")</f>
        <v>the very intense world cup final</v>
      </c>
    </row>
    <row r="1675" ht="15.75" customHeight="1">
      <c r="A1675" s="1">
        <v>1678.0</v>
      </c>
      <c r="B1675" s="3" t="s">
        <v>5043</v>
      </c>
      <c r="C1675" s="3">
        <v>0.0</v>
      </c>
      <c r="D1675" s="3">
        <v>0.0</v>
      </c>
      <c r="E1675" s="3">
        <v>0.0</v>
      </c>
      <c r="F1675" s="3" t="s">
        <v>5044</v>
      </c>
      <c r="G1675" s="3">
        <v>1.0</v>
      </c>
      <c r="H1675" s="3">
        <v>0.0</v>
      </c>
      <c r="I1675" s="3" t="s">
        <v>13</v>
      </c>
      <c r="J1675" s="3" t="s">
        <v>5045</v>
      </c>
      <c r="K1675" s="3" t="s">
        <v>31</v>
      </c>
      <c r="L1675" s="3" t="str">
        <f>IFERROR(__xludf.DUMMYFUNCTION("GOOGLETRANSLATE(F1675,""id"",""en"")"),"Kobongann Cakk World Cup Final")</f>
        <v>Kobongann Cakk World Cup Final</v>
      </c>
    </row>
    <row r="1676" ht="15.75" customHeight="1">
      <c r="A1676" s="1">
        <v>1679.0</v>
      </c>
      <c r="B1676" s="3" t="s">
        <v>5046</v>
      </c>
      <c r="C1676" s="3">
        <v>0.0</v>
      </c>
      <c r="D1676" s="3">
        <v>0.0</v>
      </c>
      <c r="E1676" s="3">
        <v>0.0</v>
      </c>
      <c r="F1676" s="3" t="s">
        <v>5047</v>
      </c>
      <c r="G1676" s="3">
        <v>1.0</v>
      </c>
      <c r="H1676" s="3">
        <v>0.0</v>
      </c>
      <c r="I1676" s="3" t="s">
        <v>13</v>
      </c>
      <c r="J1676" s="3" t="s">
        <v>5048</v>
      </c>
      <c r="K1676" s="3" t="s">
        <v>82</v>
      </c>
      <c r="L1676" s="3" t="str">
        <f>IFERROR(__xludf.DUMMYFUNCTION("GOOGLETRANSLATE(F1676,""id"",""en"")"),"The Crazhemiest World Cup Final of all time")</f>
        <v>The Crazhemiest World Cup Final of all time</v>
      </c>
    </row>
    <row r="1677" ht="15.75" customHeight="1">
      <c r="A1677" s="1">
        <v>1680.0</v>
      </c>
      <c r="B1677" s="3" t="s">
        <v>5049</v>
      </c>
      <c r="C1677" s="3">
        <v>0.0</v>
      </c>
      <c r="D1677" s="3">
        <v>0.0</v>
      </c>
      <c r="E1677" s="3">
        <v>0.0</v>
      </c>
      <c r="F1677" s="3" t="s">
        <v>5050</v>
      </c>
      <c r="G1677" s="3">
        <v>1.0</v>
      </c>
      <c r="H1677" s="3">
        <v>0.0</v>
      </c>
      <c r="I1677" s="3" t="s">
        <v>13</v>
      </c>
      <c r="J1677" s="3" t="s">
        <v>5051</v>
      </c>
      <c r="K1677" s="3" t="s">
        <v>54</v>
      </c>
      <c r="L1677" s="3" t="str">
        <f>IFERROR(__xludf.DUMMYFUNCTION("GOOGLETRANSLATE(F1677,""id"",""en"")"),"The Best World Cup Final that will never be forgotten")</f>
        <v>The Best World Cup Final that will never be forgotten</v>
      </c>
    </row>
    <row r="1678" ht="15.75" customHeight="1">
      <c r="A1678" s="1">
        <v>1681.0</v>
      </c>
      <c r="B1678" s="3" t="s">
        <v>5052</v>
      </c>
      <c r="C1678" s="3">
        <v>0.0</v>
      </c>
      <c r="D1678" s="3">
        <v>0.0</v>
      </c>
      <c r="E1678" s="3">
        <v>0.0</v>
      </c>
      <c r="F1678" s="3" t="s">
        <v>2015</v>
      </c>
      <c r="G1678" s="3">
        <v>1.0</v>
      </c>
      <c r="H1678" s="3">
        <v>0.0</v>
      </c>
      <c r="I1678" s="3" t="s">
        <v>13</v>
      </c>
      <c r="J1678" s="3" t="s">
        <v>2016</v>
      </c>
      <c r="K1678" s="3" t="s">
        <v>54</v>
      </c>
      <c r="L1678" s="3" t="str">
        <f>IFERROR(__xludf.DUMMYFUNCTION("GOOGLETRANSLATE(F1678,""id"",""en"")"),"One of the best World Cup finals")</f>
        <v>One of the best World Cup finals</v>
      </c>
    </row>
    <row r="1679" ht="15.75" customHeight="1">
      <c r="A1679" s="1">
        <v>1682.0</v>
      </c>
      <c r="B1679" s="3" t="s">
        <v>5053</v>
      </c>
      <c r="C1679" s="3">
        <v>0.0</v>
      </c>
      <c r="D1679" s="3">
        <v>3.0</v>
      </c>
      <c r="E1679" s="3">
        <v>3.0</v>
      </c>
      <c r="F1679" s="3" t="s">
        <v>5054</v>
      </c>
      <c r="G1679" s="3">
        <v>1.0</v>
      </c>
      <c r="H1679" s="3">
        <v>0.0</v>
      </c>
      <c r="I1679" s="3" t="s">
        <v>13</v>
      </c>
      <c r="J1679" s="3" t="s">
        <v>5055</v>
      </c>
      <c r="K1679" s="3" t="s">
        <v>41</v>
      </c>
      <c r="L1679" s="3" t="str">
        <f>IFERROR(__xludf.DUMMYFUNCTION("GOOGLETRANSLATE(F1679,""id"",""en"")"),"The last time the World Cup Final Penalty and France Lose")</f>
        <v>The last time the World Cup Final Penalty and France Lose</v>
      </c>
    </row>
    <row r="1680" ht="15.75" customHeight="1">
      <c r="A1680" s="1">
        <v>1683.0</v>
      </c>
      <c r="B1680" s="3" t="s">
        <v>5056</v>
      </c>
      <c r="C1680" s="3">
        <v>0.0</v>
      </c>
      <c r="D1680" s="3">
        <v>0.0</v>
      </c>
      <c r="E1680" s="3">
        <v>0.0</v>
      </c>
      <c r="F1680" s="3" t="s">
        <v>5057</v>
      </c>
      <c r="G1680" s="3">
        <v>1.0</v>
      </c>
      <c r="H1680" s="3">
        <v>0.0</v>
      </c>
      <c r="I1680" s="3" t="s">
        <v>13</v>
      </c>
      <c r="J1680" s="3" t="s">
        <v>5058</v>
      </c>
      <c r="K1680" s="3" t="s">
        <v>54</v>
      </c>
      <c r="L1680" s="3" t="str">
        <f>IFERROR(__xludf.DUMMYFUNCTION("GOOGLETRANSLATE(F1680,""id"",""en"")"),"The Best World Cup Final has been spectacular")</f>
        <v>The Best World Cup Final has been spectacular</v>
      </c>
    </row>
    <row r="1681" ht="15.75" customHeight="1">
      <c r="A1681" s="1">
        <v>1684.0</v>
      </c>
      <c r="B1681" s="3" t="s">
        <v>5059</v>
      </c>
      <c r="C1681" s="3">
        <v>0.0</v>
      </c>
      <c r="D1681" s="3">
        <v>0.0</v>
      </c>
      <c r="E1681" s="3">
        <v>0.0</v>
      </c>
      <c r="F1681" s="3" t="s">
        <v>5060</v>
      </c>
      <c r="G1681" s="3">
        <v>1.0</v>
      </c>
      <c r="H1681" s="3">
        <v>0.0</v>
      </c>
      <c r="I1681" s="3" t="s">
        <v>13</v>
      </c>
      <c r="J1681" s="3" t="s">
        <v>5061</v>
      </c>
      <c r="K1681" s="3" t="s">
        <v>1097</v>
      </c>
      <c r="L1681" s="3" t="str">
        <f>IFERROR(__xludf.DUMMYFUNCTION("GOOGLETRANSLATE(F1681,""id"",""en"")"),"What final is just the name of the World Cup Final Hot Cold")</f>
        <v>What final is just the name of the World Cup Final Hot Cold</v>
      </c>
    </row>
    <row r="1682" ht="15.75" customHeight="1">
      <c r="A1682" s="1">
        <v>1685.0</v>
      </c>
      <c r="B1682" s="3" t="s">
        <v>5062</v>
      </c>
      <c r="C1682" s="3">
        <v>0.0</v>
      </c>
      <c r="D1682" s="3">
        <v>0.0</v>
      </c>
      <c r="E1682" s="3">
        <v>0.0</v>
      </c>
      <c r="F1682" s="3" t="s">
        <v>5063</v>
      </c>
      <c r="G1682" s="3">
        <v>1.0</v>
      </c>
      <c r="H1682" s="3">
        <v>0.0</v>
      </c>
      <c r="I1682" s="3" t="s">
        <v>13</v>
      </c>
      <c r="J1682" s="3" t="s">
        <v>5064</v>
      </c>
      <c r="K1682" s="3" t="s">
        <v>31</v>
      </c>
      <c r="L1682" s="3" t="str">
        <f>IFERROR(__xludf.DUMMYFUNCTION("GOOGLETRANSLATE(F1682,""id"",""en"")"),"Match World Cup Final Final")</f>
        <v>Match World Cup Final Final</v>
      </c>
    </row>
    <row r="1683" ht="15.75" customHeight="1">
      <c r="A1683" s="1">
        <v>1686.0</v>
      </c>
      <c r="B1683" s="3" t="s">
        <v>5065</v>
      </c>
      <c r="C1683" s="3">
        <v>0.0</v>
      </c>
      <c r="D1683" s="3">
        <v>0.0</v>
      </c>
      <c r="E1683" s="3">
        <v>0.0</v>
      </c>
      <c r="F1683" s="3" t="s">
        <v>4828</v>
      </c>
      <c r="G1683" s="3">
        <v>1.0</v>
      </c>
      <c r="H1683" s="3">
        <v>0.0</v>
      </c>
      <c r="I1683" s="3" t="s">
        <v>13</v>
      </c>
      <c r="J1683" s="3" t="s">
        <v>4829</v>
      </c>
      <c r="K1683" s="3" t="s">
        <v>19</v>
      </c>
      <c r="L1683" s="3" t="str">
        <f>IFERROR(__xludf.DUMMYFUNCTION("GOOGLETRANSLATE(F1683,""id"",""en"")"),"Argentina Champion World Cup after defeating France Final through the penalty shootout round")</f>
        <v>Argentina Champion World Cup after defeating France Final through the penalty shootout round</v>
      </c>
    </row>
    <row r="1684" ht="15.75" customHeight="1">
      <c r="A1684" s="1">
        <v>1687.0</v>
      </c>
      <c r="B1684" s="3" t="s">
        <v>5066</v>
      </c>
      <c r="C1684" s="3">
        <v>0.0</v>
      </c>
      <c r="D1684" s="3">
        <v>0.0</v>
      </c>
      <c r="E1684" s="3">
        <v>0.0</v>
      </c>
      <c r="F1684" s="3" t="s">
        <v>5067</v>
      </c>
      <c r="G1684" s="3">
        <v>1.0</v>
      </c>
      <c r="H1684" s="3">
        <v>0.0</v>
      </c>
      <c r="I1684" s="3" t="s">
        <v>13</v>
      </c>
      <c r="J1684" s="3" t="s">
        <v>5068</v>
      </c>
      <c r="K1684" s="3" t="s">
        <v>75</v>
      </c>
      <c r="L1684" s="3" t="str">
        <f>IFERROR(__xludf.DUMMYFUNCTION("GOOGLETRANSLATE(F1684,""id"",""en"")"),"Haechan you are proud of me not watching the World Cup final while streaming Candy")</f>
        <v>Haechan you are proud of me not watching the World Cup final while streaming Candy</v>
      </c>
    </row>
    <row r="1685" ht="15.75" customHeight="1">
      <c r="A1685" s="1">
        <v>1688.0</v>
      </c>
      <c r="B1685" s="3" t="s">
        <v>5069</v>
      </c>
      <c r="C1685" s="3">
        <v>0.0</v>
      </c>
      <c r="D1685" s="3">
        <v>0.0</v>
      </c>
      <c r="E1685" s="3">
        <v>0.0</v>
      </c>
      <c r="F1685" s="3" t="s">
        <v>5070</v>
      </c>
      <c r="G1685" s="3">
        <v>0.7166666666666667</v>
      </c>
      <c r="H1685" s="3">
        <v>0.1333333333333333</v>
      </c>
      <c r="I1685" s="3" t="s">
        <v>48</v>
      </c>
      <c r="J1685" s="3" t="s">
        <v>5071</v>
      </c>
      <c r="K1685" s="3" t="s">
        <v>725</v>
      </c>
      <c r="L1685" s="3" t="str">
        <f>IFERROR(__xludf.DUMMYFUNCTION("GOOGLETRANSLATE(F1685,""id"",""en"")"),"not like the ball but this world cup final is somewhat making heart gymnastics yaahhh what great game with all the dramas congrats for Argentina Messi Bapack Cute Papering France Happy Champion")</f>
        <v>not like the ball but this world cup final is somewhat making heart gymnastics yaahhh what great game with all the dramas congrats for Argentina Messi Bapack Cute Papering France Happy Champion</v>
      </c>
    </row>
    <row r="1686" ht="15.75" customHeight="1">
      <c r="A1686" s="1">
        <v>1689.0</v>
      </c>
      <c r="B1686" s="3" t="s">
        <v>5072</v>
      </c>
      <c r="C1686" s="3">
        <v>0.0</v>
      </c>
      <c r="D1686" s="3">
        <v>0.0</v>
      </c>
      <c r="E1686" s="3">
        <v>0.0</v>
      </c>
      <c r="F1686" s="3" t="s">
        <v>5073</v>
      </c>
      <c r="G1686" s="3">
        <v>0.65</v>
      </c>
      <c r="H1686" s="3">
        <v>0.1</v>
      </c>
      <c r="I1686" s="3" t="s">
        <v>48</v>
      </c>
      <c r="J1686" s="3" t="s">
        <v>5074</v>
      </c>
      <c r="K1686" s="3" t="s">
        <v>41</v>
      </c>
      <c r="L1686" s="3" t="str">
        <f>IFERROR(__xludf.DUMMYFUNCTION("GOOGLETRANSLATE(F1686,""id"",""en"")"),"The perfect world cup final for Messi The Real Goat")</f>
        <v>The perfect world cup final for Messi The Real Goat</v>
      </c>
    </row>
    <row r="1687" ht="15.75" customHeight="1">
      <c r="A1687" s="1">
        <v>1690.0</v>
      </c>
      <c r="B1687" s="3" t="s">
        <v>5075</v>
      </c>
      <c r="C1687" s="3">
        <v>0.0</v>
      </c>
      <c r="D1687" s="3">
        <v>18.0</v>
      </c>
      <c r="E1687" s="3">
        <v>54.0</v>
      </c>
      <c r="F1687" s="3" t="s">
        <v>5076</v>
      </c>
      <c r="G1687" s="3">
        <v>1.0</v>
      </c>
      <c r="H1687" s="3">
        <v>0.0</v>
      </c>
      <c r="I1687" s="3" t="s">
        <v>13</v>
      </c>
      <c r="J1687" s="3" t="s">
        <v>5077</v>
      </c>
      <c r="K1687" s="3" t="s">
        <v>240</v>
      </c>
      <c r="L1687" s="3" t="str">
        <f>IFERROR(__xludf.DUMMYFUNCTION("GOOGLETRANSLATE(F1687,""id"",""en"")"),"The Best World Cup Final I have ever watched Goodbye Ronaldo Messi, thank you for accompanying youth to old age")</f>
        <v>The Best World Cup Final I have ever watched Goodbye Ronaldo Messi, thank you for accompanying youth to old age</v>
      </c>
    </row>
    <row r="1688" ht="15.75" customHeight="1">
      <c r="A1688" s="1">
        <v>1691.0</v>
      </c>
      <c r="B1688" s="3" t="s">
        <v>2067</v>
      </c>
      <c r="C1688" s="3">
        <v>0.0</v>
      </c>
      <c r="D1688" s="3">
        <v>0.0</v>
      </c>
      <c r="E1688" s="3">
        <v>0.0</v>
      </c>
      <c r="F1688" s="3" t="s">
        <v>2067</v>
      </c>
      <c r="G1688" s="3">
        <v>1.0</v>
      </c>
      <c r="H1688" s="3">
        <v>0.0</v>
      </c>
      <c r="I1688" s="3" t="s">
        <v>13</v>
      </c>
      <c r="J1688" s="3" t="s">
        <v>2068</v>
      </c>
      <c r="K1688" s="3" t="s">
        <v>644</v>
      </c>
      <c r="L1688" s="3" t="str">
        <f>IFERROR(__xludf.DUMMYFUNCTION("GOOGLETRANSLATE(F1688,""id"",""en"")"),"World Cup Best Final")</f>
        <v>World Cup Best Final</v>
      </c>
    </row>
    <row r="1689" ht="15.75" customHeight="1">
      <c r="A1689" s="1">
        <v>1692.0</v>
      </c>
      <c r="B1689" s="3" t="s">
        <v>5078</v>
      </c>
      <c r="C1689" s="3">
        <v>0.0</v>
      </c>
      <c r="D1689" s="3">
        <v>0.0</v>
      </c>
      <c r="E1689" s="3">
        <v>0.0</v>
      </c>
      <c r="F1689" s="3" t="s">
        <v>5079</v>
      </c>
      <c r="G1689" s="3">
        <v>1.0</v>
      </c>
      <c r="H1689" s="3">
        <v>0.0</v>
      </c>
      <c r="I1689" s="3" t="s">
        <v>13</v>
      </c>
      <c r="J1689" s="3" t="s">
        <v>5080</v>
      </c>
      <c r="K1689" s="3" t="s">
        <v>644</v>
      </c>
      <c r="L1689" s="3" t="str">
        <f>IFERROR(__xludf.DUMMYFUNCTION("GOOGLETRANSLATE(F1689,""id"",""en"")"),"This is the best world cup finalkkk")</f>
        <v>This is the best world cup finalkkk</v>
      </c>
    </row>
    <row r="1690" ht="15.75" customHeight="1">
      <c r="A1690" s="1">
        <v>1693.0</v>
      </c>
      <c r="B1690" s="3" t="s">
        <v>5081</v>
      </c>
      <c r="C1690" s="3">
        <v>0.0</v>
      </c>
      <c r="D1690" s="3">
        <v>0.0</v>
      </c>
      <c r="E1690" s="3">
        <v>0.0</v>
      </c>
      <c r="F1690" s="3" t="s">
        <v>5082</v>
      </c>
      <c r="G1690" s="3">
        <v>1.0</v>
      </c>
      <c r="H1690" s="3">
        <v>0.0</v>
      </c>
      <c r="I1690" s="3" t="s">
        <v>13</v>
      </c>
      <c r="J1690" s="3" t="s">
        <v>5083</v>
      </c>
      <c r="K1690" s="3" t="s">
        <v>358</v>
      </c>
      <c r="L1690" s="3" t="str">
        <f>IFERROR(__xludf.DUMMYFUNCTION("GOOGLETRANSLATE(F1690,""id"",""en"")"),"The Anticlimax Round of the Suddenly a Draw of Extension of Time Exchange of the Best World Cup Final Ever Penalty Ever Watching")</f>
        <v>The Anticlimax Round of the Suddenly a Draw of Extension of Time Exchange of the Best World Cup Final Ever Penalty Ever Watching</v>
      </c>
    </row>
    <row r="1691" ht="15.75" customHeight="1">
      <c r="A1691" s="1">
        <v>1694.0</v>
      </c>
      <c r="B1691" s="3" t="s">
        <v>5084</v>
      </c>
      <c r="C1691" s="3">
        <v>0.0</v>
      </c>
      <c r="D1691" s="3">
        <v>0.0</v>
      </c>
      <c r="E1691" s="3">
        <v>0.0</v>
      </c>
      <c r="F1691" s="3" t="s">
        <v>5085</v>
      </c>
      <c r="G1691" s="3">
        <v>1.0</v>
      </c>
      <c r="H1691" s="3">
        <v>0.0</v>
      </c>
      <c r="I1691" s="3" t="s">
        <v>13</v>
      </c>
      <c r="J1691" s="3" t="s">
        <v>5086</v>
      </c>
      <c r="K1691" s="3" t="s">
        <v>463</v>
      </c>
      <c r="L1691" s="3" t="str">
        <f>IFERROR(__xludf.DUMMYFUNCTION("GOOGLETRANSLATE(F1691,""id"",""en"")"),"Thank you Argentina France for the drama of the Dunja Cup final match which is exciting for France to remain enthusiastic and try again in the next opportunity and congratulations to Argentina for the World Cup championship")</f>
        <v>Thank you Argentina France for the drama of the Dunja Cup final match which is exciting for France to remain enthusiastic and try again in the next opportunity and congratulations to Argentina for the World Cup championship</v>
      </c>
    </row>
    <row r="1692" ht="15.75" customHeight="1">
      <c r="A1692" s="1">
        <v>1695.0</v>
      </c>
      <c r="B1692" s="3" t="s">
        <v>5087</v>
      </c>
      <c r="C1692" s="3">
        <v>0.0</v>
      </c>
      <c r="D1692" s="3">
        <v>0.0</v>
      </c>
      <c r="E1692" s="3">
        <v>0.0</v>
      </c>
      <c r="F1692" s="3" t="s">
        <v>5088</v>
      </c>
      <c r="G1692" s="3">
        <v>1.0</v>
      </c>
      <c r="H1692" s="3">
        <v>0.45</v>
      </c>
      <c r="I1692" s="3" t="s">
        <v>48</v>
      </c>
      <c r="J1692" s="3" t="s">
        <v>5089</v>
      </c>
      <c r="K1692" s="3" t="s">
        <v>54</v>
      </c>
      <c r="L1692" s="3" t="str">
        <f>IFERROR(__xludf.DUMMYFUNCTION("GOOGLETRANSLATE(F1692,""id"",""en"")"),"The ideal World Cup final is very entertaining")</f>
        <v>The ideal World Cup final is very entertaining</v>
      </c>
    </row>
    <row r="1693" ht="15.75" customHeight="1">
      <c r="A1693" s="1">
        <v>1696.0</v>
      </c>
      <c r="B1693" s="3" t="s">
        <v>5090</v>
      </c>
      <c r="C1693" s="3">
        <v>0.0</v>
      </c>
      <c r="D1693" s="3">
        <v>0.0</v>
      </c>
      <c r="E1693" s="3">
        <v>0.0</v>
      </c>
      <c r="F1693" s="3" t="s">
        <v>5091</v>
      </c>
      <c r="G1693" s="3">
        <v>1.0</v>
      </c>
      <c r="H1693" s="3">
        <v>0.0</v>
      </c>
      <c r="I1693" s="3" t="s">
        <v>13</v>
      </c>
      <c r="J1693" s="3" t="s">
        <v>5092</v>
      </c>
      <c r="K1693" s="3" t="s">
        <v>54</v>
      </c>
      <c r="L1693" s="3" t="str">
        <f>IFERROR(__xludf.DUMMYFUNCTION("GOOGLETRANSLATE(F1693,""id"",""en"")"),"The Coolest World Cup Final ever watched")</f>
        <v>The Coolest World Cup Final ever watched</v>
      </c>
    </row>
    <row r="1694" ht="15.75" customHeight="1">
      <c r="A1694" s="1">
        <v>1697.0</v>
      </c>
      <c r="B1694" s="3" t="s">
        <v>5093</v>
      </c>
      <c r="C1694" s="3">
        <v>0.0</v>
      </c>
      <c r="D1694" s="3">
        <v>0.0</v>
      </c>
      <c r="E1694" s="3">
        <v>1.0</v>
      </c>
      <c r="F1694" s="3" t="s">
        <v>5094</v>
      </c>
      <c r="G1694" s="3">
        <v>1.0</v>
      </c>
      <c r="H1694" s="3">
        <v>0.0</v>
      </c>
      <c r="I1694" s="3" t="s">
        <v>13</v>
      </c>
      <c r="J1694" s="3" t="s">
        <v>5095</v>
      </c>
      <c r="K1694" s="3" t="s">
        <v>41</v>
      </c>
      <c r="L1694" s="3" t="str">
        <f>IFERROR(__xludf.DUMMYFUNCTION("GOOGLETRANSLATE(F1694,""id"",""en"")"),"France must admit the superiority of Argentina in the World Cup final with your opinion score")</f>
        <v>France must admit the superiority of Argentina in the World Cup final with your opinion score</v>
      </c>
    </row>
    <row r="1695" ht="15.75" customHeight="1">
      <c r="A1695" s="1">
        <v>1698.0</v>
      </c>
      <c r="B1695" s="3" t="s">
        <v>5096</v>
      </c>
      <c r="C1695" s="3">
        <v>0.0</v>
      </c>
      <c r="D1695" s="3">
        <v>1.0</v>
      </c>
      <c r="E1695" s="3">
        <v>1.0</v>
      </c>
      <c r="F1695" s="3" t="s">
        <v>5097</v>
      </c>
      <c r="G1695" s="3">
        <v>1.0</v>
      </c>
      <c r="H1695" s="3">
        <v>0.0</v>
      </c>
      <c r="I1695" s="3" t="s">
        <v>13</v>
      </c>
      <c r="J1695" s="3" t="s">
        <v>5098</v>
      </c>
      <c r="K1695" s="3" t="s">
        <v>15</v>
      </c>
      <c r="L1695" s="3" t="str">
        <f>IFERROR(__xludf.DUMMYFUNCTION("GOOGLETRANSLATE(F1695,""id"",""en"")"),"The best World Cup final ever because Messi was the winner")</f>
        <v>The best World Cup final ever because Messi was the winner</v>
      </c>
    </row>
    <row r="1696" ht="15.75" customHeight="1">
      <c r="A1696" s="1">
        <v>1699.0</v>
      </c>
      <c r="B1696" s="3" t="s">
        <v>5099</v>
      </c>
      <c r="C1696" s="3">
        <v>0.0</v>
      </c>
      <c r="D1696" s="3">
        <v>0.0</v>
      </c>
      <c r="E1696" s="3">
        <v>0.0</v>
      </c>
      <c r="F1696" s="3" t="s">
        <v>5099</v>
      </c>
      <c r="G1696" s="3">
        <v>1.0</v>
      </c>
      <c r="H1696" s="3">
        <v>0.0</v>
      </c>
      <c r="I1696" s="3" t="s">
        <v>13</v>
      </c>
      <c r="J1696" s="3" t="s">
        <v>5100</v>
      </c>
      <c r="K1696" s="3" t="s">
        <v>54</v>
      </c>
      <c r="L1696" s="3" t="str">
        <f>IFERROR(__xludf.DUMMYFUNCTION("GOOGLETRANSLATE(F1696,""id"",""en"")"),"Gosh, the excitement of the World Cup Final this year")</f>
        <v>Gosh, the excitement of the World Cup Final this year</v>
      </c>
    </row>
    <row r="1697" ht="15.75" customHeight="1">
      <c r="A1697" s="1">
        <v>1700.0</v>
      </c>
      <c r="B1697" s="3" t="s">
        <v>5101</v>
      </c>
      <c r="C1697" s="3">
        <v>0.0</v>
      </c>
      <c r="D1697" s="3">
        <v>0.0</v>
      </c>
      <c r="E1697" s="3">
        <v>1.0</v>
      </c>
      <c r="F1697" s="3" t="s">
        <v>2246</v>
      </c>
      <c r="G1697" s="3">
        <v>1.0</v>
      </c>
      <c r="H1697" s="3">
        <v>0.0</v>
      </c>
      <c r="I1697" s="3" t="s">
        <v>13</v>
      </c>
      <c r="J1697" s="3" t="s">
        <v>2247</v>
      </c>
      <c r="K1697" s="3" t="s">
        <v>31</v>
      </c>
      <c r="L1697" s="3" t="str">
        <f>IFERROR(__xludf.DUMMYFUNCTION("GOOGLETRANSLATE(F1697,""id"",""en"")"),"World Cup Final Most Exciting")</f>
        <v>World Cup Final Most Exciting</v>
      </c>
    </row>
    <row r="1698" ht="15.75" customHeight="1">
      <c r="A1698" s="1">
        <v>1701.0</v>
      </c>
      <c r="B1698" s="3" t="s">
        <v>5102</v>
      </c>
      <c r="C1698" s="3">
        <v>0.0</v>
      </c>
      <c r="D1698" s="3">
        <v>0.0</v>
      </c>
      <c r="E1698" s="3">
        <v>0.0</v>
      </c>
      <c r="F1698" s="3" t="s">
        <v>5103</v>
      </c>
      <c r="G1698" s="3">
        <v>1.0</v>
      </c>
      <c r="H1698" s="3">
        <v>0.0</v>
      </c>
      <c r="I1698" s="3" t="s">
        <v>13</v>
      </c>
      <c r="J1698" s="3" t="s">
        <v>5104</v>
      </c>
      <c r="K1698" s="3" t="s">
        <v>236</v>
      </c>
      <c r="L1698" s="3" t="str">
        <f>IFERROR(__xludf.DUMMYFUNCTION("GOOGLETRANSLATE(F1698,""id"",""en"")"),"Mbappe Year Printing the Final Score of My World Cup Another Years")</f>
        <v>Mbappe Year Printing the Final Score of My World Cup Another Years</v>
      </c>
    </row>
    <row r="1699" ht="15.75" customHeight="1">
      <c r="A1699" s="1">
        <v>1702.0</v>
      </c>
      <c r="B1699" s="3" t="s">
        <v>5105</v>
      </c>
      <c r="C1699" s="3">
        <v>0.0</v>
      </c>
      <c r="D1699" s="3">
        <v>0.0</v>
      </c>
      <c r="E1699" s="3">
        <v>0.0</v>
      </c>
      <c r="F1699" s="3" t="s">
        <v>5106</v>
      </c>
      <c r="G1699" s="3">
        <v>1.0</v>
      </c>
      <c r="H1699" s="3">
        <v>0.0</v>
      </c>
      <c r="I1699" s="3" t="s">
        <v>13</v>
      </c>
      <c r="J1699" s="3" t="s">
        <v>5107</v>
      </c>
      <c r="K1699" s="3" t="s">
        <v>54</v>
      </c>
      <c r="L1699" s="3" t="str">
        <f>IFERROR(__xludf.DUMMYFUNCTION("GOOGLETRANSLATE(F1699,""id"",""en"")"),"The best final during seeing the World Cup")</f>
        <v>The best final during seeing the World Cup</v>
      </c>
    </row>
    <row r="1700" ht="15.75" customHeight="1">
      <c r="A1700" s="1">
        <v>1703.0</v>
      </c>
      <c r="B1700" s="3" t="s">
        <v>5108</v>
      </c>
      <c r="C1700" s="3">
        <v>0.0</v>
      </c>
      <c r="D1700" s="3">
        <v>0.0</v>
      </c>
      <c r="E1700" s="3">
        <v>0.0</v>
      </c>
      <c r="F1700" s="3" t="s">
        <v>5109</v>
      </c>
      <c r="G1700" s="3">
        <v>1.0</v>
      </c>
      <c r="H1700" s="3">
        <v>0.0</v>
      </c>
      <c r="I1700" s="3" t="s">
        <v>13</v>
      </c>
      <c r="J1700" s="3" t="s">
        <v>5110</v>
      </c>
      <c r="K1700" s="3" t="s">
        <v>41</v>
      </c>
      <c r="L1700" s="3" t="str">
        <f>IFERROR(__xludf.DUMMYFUNCTION("GOOGLETRANSLATE(F1700,""id"",""en"")"),"failed to kick the overthinking world cup final penalty how long")</f>
        <v>failed to kick the overthinking world cup final penalty how long</v>
      </c>
    </row>
    <row r="1701" ht="15.75" customHeight="1">
      <c r="A1701" s="1">
        <v>1704.0</v>
      </c>
      <c r="B1701" s="3" t="s">
        <v>5111</v>
      </c>
      <c r="C1701" s="3">
        <v>0.0</v>
      </c>
      <c r="D1701" s="3">
        <v>0.0</v>
      </c>
      <c r="E1701" s="3">
        <v>0.0</v>
      </c>
      <c r="F1701" s="3" t="s">
        <v>5112</v>
      </c>
      <c r="G1701" s="3">
        <v>1.0</v>
      </c>
      <c r="H1701" s="3">
        <v>0.0</v>
      </c>
      <c r="I1701" s="3" t="s">
        <v>13</v>
      </c>
      <c r="J1701" s="3" t="s">
        <v>5113</v>
      </c>
      <c r="K1701" s="3" t="s">
        <v>149</v>
      </c>
      <c r="L1701" s="3" t="str">
        <f>IFERROR(__xludf.DUMMYFUNCTION("GOOGLETRANSLATE(F1701,""id"",""en"")"),"Appreciation for France has broken the curse of the World Cup champion to the final without Kante Pogba and Benzema even though the final world cup is repeated again losing penalties")</f>
        <v>Appreciation for France has broken the curse of the World Cup champion to the final without Kante Pogba and Benzema even though the final world cup is repeated again losing penalties</v>
      </c>
    </row>
    <row r="1702" ht="15.75" customHeight="1">
      <c r="A1702" s="1">
        <v>1705.0</v>
      </c>
      <c r="B1702" s="3" t="s">
        <v>5114</v>
      </c>
      <c r="C1702" s="3">
        <v>0.0</v>
      </c>
      <c r="D1702" s="3">
        <v>0.0</v>
      </c>
      <c r="E1702" s="3">
        <v>0.0</v>
      </c>
      <c r="F1702" s="3" t="s">
        <v>5115</v>
      </c>
      <c r="G1702" s="3">
        <v>1.0</v>
      </c>
      <c r="H1702" s="3">
        <v>0.0</v>
      </c>
      <c r="I1702" s="3" t="s">
        <v>13</v>
      </c>
      <c r="J1702" s="3" t="s">
        <v>5116</v>
      </c>
      <c r="K1702" s="3" t="s">
        <v>15</v>
      </c>
      <c r="L1702" s="3" t="str">
        <f>IFERROR(__xludf.DUMMYFUNCTION("GOOGLETRANSLATE(F1702,""id"",""en"")"),"The final has been paid completely, goodbye to the next World Cup")</f>
        <v>The final has been paid completely, goodbye to the next World Cup</v>
      </c>
    </row>
    <row r="1703" ht="15.75" customHeight="1">
      <c r="A1703" s="1">
        <v>1706.0</v>
      </c>
      <c r="B1703" s="3" t="s">
        <v>5117</v>
      </c>
      <c r="C1703" s="3">
        <v>0.0</v>
      </c>
      <c r="D1703" s="3">
        <v>0.0</v>
      </c>
      <c r="E1703" s="3">
        <v>0.0</v>
      </c>
      <c r="F1703" s="3" t="s">
        <v>5118</v>
      </c>
      <c r="G1703" s="3">
        <v>1.0</v>
      </c>
      <c r="H1703" s="3">
        <v>0.0</v>
      </c>
      <c r="I1703" s="3" t="s">
        <v>13</v>
      </c>
      <c r="J1703" s="3" t="s">
        <v>5119</v>
      </c>
      <c r="K1703" s="3" t="s">
        <v>54</v>
      </c>
      <c r="L1703" s="3" t="str">
        <f>IFERROR(__xludf.DUMMYFUNCTION("GOOGLETRANSLATE(F1703,""id"",""en"")"),"The best final during the Respect World Cup")</f>
        <v>The best final during the Respect World Cup</v>
      </c>
    </row>
    <row r="1704" ht="15.75" customHeight="1">
      <c r="A1704" s="1">
        <v>1707.0</v>
      </c>
      <c r="B1704" s="3" t="s">
        <v>5120</v>
      </c>
      <c r="C1704" s="3">
        <v>0.0</v>
      </c>
      <c r="D1704" s="3">
        <v>0.0</v>
      </c>
      <c r="E1704" s="3">
        <v>0.0</v>
      </c>
      <c r="F1704" s="3" t="s">
        <v>5121</v>
      </c>
      <c r="G1704" s="3">
        <v>1.0</v>
      </c>
      <c r="H1704" s="3">
        <v>0.0</v>
      </c>
      <c r="I1704" s="3" t="s">
        <v>13</v>
      </c>
      <c r="J1704" s="3" t="s">
        <v>5122</v>
      </c>
      <c r="K1704" s="3" t="s">
        <v>54</v>
      </c>
      <c r="L1704" s="3" t="str">
        <f>IFERROR(__xludf.DUMMYFUNCTION("GOOGLETRANSLATE(F1704,""id"",""en"")"),"Final of the Best World Cup Happy Argentina")</f>
        <v>Final of the Best World Cup Happy Argentina</v>
      </c>
    </row>
    <row r="1705" ht="15.75" customHeight="1">
      <c r="A1705" s="1">
        <v>1708.0</v>
      </c>
      <c r="B1705" s="3" t="s">
        <v>5123</v>
      </c>
      <c r="C1705" s="3">
        <v>1.0</v>
      </c>
      <c r="D1705" s="3">
        <v>6.0</v>
      </c>
      <c r="E1705" s="3">
        <v>20.0</v>
      </c>
      <c r="F1705" s="3" t="s">
        <v>5124</v>
      </c>
      <c r="G1705" s="3">
        <v>1.0</v>
      </c>
      <c r="H1705" s="3">
        <v>0.0</v>
      </c>
      <c r="I1705" s="3" t="s">
        <v>13</v>
      </c>
      <c r="J1705" s="3" t="s">
        <v>5125</v>
      </c>
      <c r="K1705" s="3" t="s">
        <v>765</v>
      </c>
      <c r="L1705" s="3" t="str">
        <f>IFERROR(__xludf.DUMMYFUNCTION("GOOGLETRANSLATE(F1705,""id"",""en"")"),"Argentina was finally able to defeat France through a penalty shootout and successfully become the champion of the Final Diala Cup which was very exciting full of drama and many survivors for Argentina Vamos")</f>
        <v>Argentina was finally able to defeat France through a penalty shootout and successfully become the champion of the Final Diala Cup which was very exciting full of drama and many survivors for Argentina Vamos</v>
      </c>
    </row>
    <row r="1706" ht="15.75" customHeight="1">
      <c r="A1706" s="1">
        <v>1709.0</v>
      </c>
      <c r="B1706" s="3" t="s">
        <v>5126</v>
      </c>
      <c r="C1706" s="3">
        <v>0.0</v>
      </c>
      <c r="D1706" s="3">
        <v>0.0</v>
      </c>
      <c r="E1706" s="3">
        <v>0.0</v>
      </c>
      <c r="F1706" s="3" t="s">
        <v>4819</v>
      </c>
      <c r="G1706" s="3">
        <v>1.0</v>
      </c>
      <c r="H1706" s="3">
        <v>0.0</v>
      </c>
      <c r="I1706" s="3" t="s">
        <v>13</v>
      </c>
      <c r="J1706" s="3" t="s">
        <v>4820</v>
      </c>
      <c r="K1706" s="3" t="s">
        <v>58</v>
      </c>
      <c r="L1706" s="3" t="str">
        <f>IFERROR(__xludf.DUMMYFUNCTION("GOOGLETRANSLATE(F1706,""id"",""en"")"),"Incredibly the final that said Argentina Congratss World Cup champion Argentina France Croatia Morocco")</f>
        <v>Incredibly the final that said Argentina Congratss World Cup champion Argentina France Croatia Morocco</v>
      </c>
    </row>
    <row r="1707" ht="15.75" customHeight="1">
      <c r="A1707" s="1">
        <v>1710.0</v>
      </c>
      <c r="B1707" s="3" t="s">
        <v>5127</v>
      </c>
      <c r="C1707" s="3">
        <v>0.0</v>
      </c>
      <c r="D1707" s="3">
        <v>0.0</v>
      </c>
      <c r="E1707" s="3">
        <v>0.0</v>
      </c>
      <c r="F1707" s="3" t="s">
        <v>5128</v>
      </c>
      <c r="G1707" s="3">
        <v>1.0</v>
      </c>
      <c r="H1707" s="3">
        <v>0.0</v>
      </c>
      <c r="I1707" s="3" t="s">
        <v>13</v>
      </c>
      <c r="J1707" s="3" t="s">
        <v>5129</v>
      </c>
      <c r="K1707" s="3" t="s">
        <v>205</v>
      </c>
      <c r="L1707" s="3" t="str">
        <f>IFERROR(__xludf.DUMMYFUNCTION("GOOGLETRANSLATE(F1707,""id"",""en"")"),"Really like the anime story losing the final further World Cup until the final against the last enemy is easy to beat and finally win and win")</f>
        <v>Really like the anime story losing the final further World Cup until the final against the last enemy is easy to beat and finally win and win</v>
      </c>
    </row>
    <row r="1708" ht="15.75" customHeight="1">
      <c r="A1708" s="1">
        <v>1711.0</v>
      </c>
      <c r="B1708" s="3" t="s">
        <v>5130</v>
      </c>
      <c r="C1708" s="3">
        <v>1.0</v>
      </c>
      <c r="D1708" s="3">
        <v>0.0</v>
      </c>
      <c r="E1708" s="3">
        <v>1.0</v>
      </c>
      <c r="F1708" s="3" t="s">
        <v>5131</v>
      </c>
      <c r="G1708" s="3">
        <v>0.775</v>
      </c>
      <c r="H1708" s="3">
        <v>0.175</v>
      </c>
      <c r="I1708" s="3" t="s">
        <v>48</v>
      </c>
      <c r="J1708" s="3" t="s">
        <v>5132</v>
      </c>
      <c r="K1708" s="3" t="s">
        <v>71</v>
      </c>
      <c r="L1708" s="3" t="str">
        <f>IFERROR(__xludf.DUMMYFUNCTION("GOOGLETRANSLATE(F1708,""id"",""en"")"),"This is the first time following the World Cup final and happy to finally win because I chose Argentina so that it is full of smiles")</f>
        <v>This is the first time following the World Cup final and happy to finally win because I chose Argentina so that it is full of smiles</v>
      </c>
    </row>
    <row r="1709" ht="15.75" customHeight="1">
      <c r="A1709" s="1">
        <v>1712.0</v>
      </c>
      <c r="B1709" s="3" t="s">
        <v>5133</v>
      </c>
      <c r="C1709" s="3">
        <v>0.0</v>
      </c>
      <c r="D1709" s="3">
        <v>0.0</v>
      </c>
      <c r="E1709" s="3">
        <v>0.0</v>
      </c>
      <c r="F1709" s="3" t="s">
        <v>5134</v>
      </c>
      <c r="G1709" s="3">
        <v>1.0</v>
      </c>
      <c r="H1709" s="3">
        <v>0.0</v>
      </c>
      <c r="I1709" s="3" t="s">
        <v>13</v>
      </c>
      <c r="J1709" s="3" t="s">
        <v>5135</v>
      </c>
      <c r="K1709" s="3" t="s">
        <v>19</v>
      </c>
      <c r="L1709" s="3" t="str">
        <f>IFERROR(__xludf.DUMMYFUNCTION("GOOGLETRANSLATE(F1709,""id"",""en"")"),"The Best World Cup Final was trembling throughout watching even though France failed to maintain the title")</f>
        <v>The Best World Cup Final was trembling throughout watching even though France failed to maintain the title</v>
      </c>
    </row>
    <row r="1710" ht="15.75" customHeight="1">
      <c r="A1710" s="1">
        <v>1713.0</v>
      </c>
      <c r="B1710" s="3" t="s">
        <v>5136</v>
      </c>
      <c r="C1710" s="3">
        <v>0.0</v>
      </c>
      <c r="D1710" s="3">
        <v>0.0</v>
      </c>
      <c r="E1710" s="3">
        <v>0.0</v>
      </c>
      <c r="F1710" s="3" t="s">
        <v>5137</v>
      </c>
      <c r="G1710" s="3">
        <v>1.0</v>
      </c>
      <c r="H1710" s="3">
        <v>0.0</v>
      </c>
      <c r="I1710" s="3" t="s">
        <v>13</v>
      </c>
      <c r="J1710" s="3" t="s">
        <v>5138</v>
      </c>
      <c r="K1710" s="3" t="s">
        <v>82</v>
      </c>
      <c r="L1710" s="3" t="str">
        <f>IFERROR(__xludf.DUMMYFUNCTION("GOOGLETRANSLATE(F1710,""id"",""en"")"),"Final Outside Reason Still Want to Say the World Cup Settingan")</f>
        <v>Final Outside Reason Still Want to Say the World Cup Settingan</v>
      </c>
    </row>
    <row r="1711" ht="15.75" customHeight="1">
      <c r="A1711" s="1">
        <v>1714.0</v>
      </c>
      <c r="B1711" s="3" t="s">
        <v>5139</v>
      </c>
      <c r="C1711" s="3">
        <v>0.0</v>
      </c>
      <c r="D1711" s="3">
        <v>0.0</v>
      </c>
      <c r="E1711" s="3">
        <v>0.0</v>
      </c>
      <c r="F1711" s="3" t="s">
        <v>5140</v>
      </c>
      <c r="G1711" s="3">
        <v>1.0</v>
      </c>
      <c r="H1711" s="3">
        <v>0.0</v>
      </c>
      <c r="I1711" s="3" t="s">
        <v>13</v>
      </c>
      <c r="J1711" s="3" t="s">
        <v>5141</v>
      </c>
      <c r="K1711" s="3" t="s">
        <v>75</v>
      </c>
      <c r="L1711" s="3" t="str">
        <f>IFERROR(__xludf.DUMMYFUNCTION("GOOGLETRANSLATE(F1711,""id"",""en"")"),"The World Cup Final was excreted until I was tired of chasing then watching")</f>
        <v>The World Cup Final was excreted until I was tired of chasing then watching</v>
      </c>
    </row>
    <row r="1712" ht="15.75" customHeight="1">
      <c r="A1712" s="1">
        <v>1715.0</v>
      </c>
      <c r="B1712" s="3" t="s">
        <v>5142</v>
      </c>
      <c r="C1712" s="3">
        <v>2.0</v>
      </c>
      <c r="D1712" s="3">
        <v>1.0</v>
      </c>
      <c r="E1712" s="3">
        <v>2.0</v>
      </c>
      <c r="F1712" s="3" t="s">
        <v>5143</v>
      </c>
      <c r="G1712" s="3">
        <v>0.7</v>
      </c>
      <c r="H1712" s="3">
        <v>0.05</v>
      </c>
      <c r="I1712" s="3" t="s">
        <v>48</v>
      </c>
      <c r="J1712" s="3" t="s">
        <v>5144</v>
      </c>
      <c r="K1712" s="3" t="s">
        <v>1469</v>
      </c>
      <c r="L1712" s="3" t="str">
        <f>IFERROR(__xludf.DUMMYFUNCTION("GOOGLETRANSLATE(F1712,""id"",""en"")"),"As a football fan this is the best final while watching the World Cup after the first time watching the Epic World Cup")</f>
        <v>As a football fan this is the best final while watching the World Cup after the first time watching the Epic World Cup</v>
      </c>
    </row>
    <row r="1713" ht="15.75" customHeight="1">
      <c r="A1713" s="1">
        <v>1716.0</v>
      </c>
      <c r="B1713" s="3" t="s">
        <v>5145</v>
      </c>
      <c r="C1713" s="3">
        <v>0.0</v>
      </c>
      <c r="D1713" s="3">
        <v>0.0</v>
      </c>
      <c r="E1713" s="3">
        <v>0.0</v>
      </c>
      <c r="F1713" s="3" t="s">
        <v>5146</v>
      </c>
      <c r="G1713" s="3">
        <v>1.0</v>
      </c>
      <c r="H1713" s="3">
        <v>0.0</v>
      </c>
      <c r="I1713" s="3" t="s">
        <v>13</v>
      </c>
      <c r="J1713" s="3" t="s">
        <v>5147</v>
      </c>
      <c r="K1713" s="3" t="s">
        <v>50</v>
      </c>
      <c r="L1713" s="3" t="str">
        <f>IFERROR(__xludf.DUMMYFUNCTION("GOOGLETRANSLATE(F1713,""id"",""en"")"),"Although Qatar as the host of his controversy but the best World Cup final")</f>
        <v>Although Qatar as the host of his controversy but the best World Cup final</v>
      </c>
    </row>
    <row r="1714" ht="15.75" customHeight="1">
      <c r="A1714" s="1">
        <v>1717.0</v>
      </c>
      <c r="B1714" s="3" t="s">
        <v>5148</v>
      </c>
      <c r="C1714" s="3">
        <v>0.0</v>
      </c>
      <c r="D1714" s="3">
        <v>0.0</v>
      </c>
      <c r="E1714" s="3">
        <v>0.0</v>
      </c>
      <c r="F1714" s="3" t="s">
        <v>5149</v>
      </c>
      <c r="G1714" s="3">
        <v>1.0</v>
      </c>
      <c r="H1714" s="3">
        <v>0.0</v>
      </c>
      <c r="I1714" s="3" t="s">
        <v>13</v>
      </c>
      <c r="J1714" s="3" t="s">
        <v>5150</v>
      </c>
      <c r="K1714" s="3" t="s">
        <v>433</v>
      </c>
      <c r="L1714" s="3" t="str">
        <f>IFERROR(__xludf.DUMMYFUNCTION("GOOGLETRANSLATE(F1714,""id"",""en"")"),"From the beginning the World Cup hopes between Messi and Ronaldo to win and finally Messi and Argentina Champion Final Cool")</f>
        <v>From the beginning the World Cup hopes between Messi and Ronaldo to win and finally Messi and Argentina Champion Final Cool</v>
      </c>
    </row>
    <row r="1715" ht="15.75" customHeight="1">
      <c r="A1715" s="1">
        <v>1718.0</v>
      </c>
      <c r="B1715" s="3" t="s">
        <v>5151</v>
      </c>
      <c r="C1715" s="3">
        <v>0.0</v>
      </c>
      <c r="D1715" s="3">
        <v>0.0</v>
      </c>
      <c r="E1715" s="3">
        <v>0.0</v>
      </c>
      <c r="F1715" s="3" t="s">
        <v>5151</v>
      </c>
      <c r="G1715" s="3">
        <v>1.0</v>
      </c>
      <c r="H1715" s="3">
        <v>0.0</v>
      </c>
      <c r="I1715" s="3" t="s">
        <v>13</v>
      </c>
      <c r="J1715" s="3" t="s">
        <v>5152</v>
      </c>
      <c r="K1715" s="3" t="s">
        <v>82</v>
      </c>
      <c r="L1715" s="3" t="str">
        <f>IFERROR(__xludf.DUMMYFUNCTION("GOOGLETRANSLATE(F1715,""id"",""en"")"),"The final was excited during the World Cup Nnton Cave")</f>
        <v>The final was excited during the World Cup Nnton Cave</v>
      </c>
    </row>
    <row r="1716" ht="15.75" customHeight="1">
      <c r="A1716" s="1">
        <v>1719.0</v>
      </c>
      <c r="B1716" s="3" t="s">
        <v>5153</v>
      </c>
      <c r="C1716" s="3">
        <v>0.0</v>
      </c>
      <c r="D1716" s="3">
        <v>0.0</v>
      </c>
      <c r="E1716" s="3">
        <v>0.0</v>
      </c>
      <c r="F1716" s="3" t="s">
        <v>5154</v>
      </c>
      <c r="G1716" s="3">
        <v>1.0</v>
      </c>
      <c r="H1716" s="3">
        <v>0.0</v>
      </c>
      <c r="I1716" s="3" t="s">
        <v>13</v>
      </c>
      <c r="J1716" s="3" t="s">
        <v>5155</v>
      </c>
      <c r="K1716" s="3" t="s">
        <v>50</v>
      </c>
      <c r="L1716" s="3" t="str">
        <f>IFERROR(__xludf.DUMMYFUNCTION("GOOGLETRANSLATE(F1716,""id"",""en"")"),"Argentina's most tense final champion Lionel Messi won his dream")</f>
        <v>Argentina's most tense final champion Lionel Messi won his dream</v>
      </c>
    </row>
    <row r="1717" ht="15.75" customHeight="1">
      <c r="A1717" s="1">
        <v>1720.0</v>
      </c>
      <c r="B1717" s="3" t="s">
        <v>5156</v>
      </c>
      <c r="C1717" s="3">
        <v>0.0</v>
      </c>
      <c r="D1717" s="3">
        <v>0.0</v>
      </c>
      <c r="E1717" s="3">
        <v>5.0</v>
      </c>
      <c r="F1717" s="3" t="s">
        <v>4626</v>
      </c>
      <c r="G1717" s="3">
        <v>1.0</v>
      </c>
      <c r="H1717" s="3">
        <v>0.0</v>
      </c>
      <c r="I1717" s="3" t="s">
        <v>13</v>
      </c>
      <c r="J1717" s="3" t="s">
        <v>4627</v>
      </c>
      <c r="K1717" s="3" t="s">
        <v>41</v>
      </c>
      <c r="L1717" s="3" t="str">
        <f>IFERROR(__xludf.DUMMYFUNCTION("GOOGLETRANSLATE(F1717,""id"",""en"")"),"The French Argentine World Cup Final continues the penalty shootout round")</f>
        <v>The French Argentine World Cup Final continues the penalty shootout round</v>
      </c>
    </row>
    <row r="1718" ht="15.75" customHeight="1">
      <c r="A1718" s="1">
        <v>1721.0</v>
      </c>
      <c r="B1718" s="3" t="s">
        <v>5157</v>
      </c>
      <c r="C1718" s="3">
        <v>0.0</v>
      </c>
      <c r="D1718" s="3">
        <v>0.0</v>
      </c>
      <c r="E1718" s="3">
        <v>0.0</v>
      </c>
      <c r="F1718" s="3" t="s">
        <v>5158</v>
      </c>
      <c r="G1718" s="3">
        <v>1.0</v>
      </c>
      <c r="H1718" s="3">
        <v>0.25</v>
      </c>
      <c r="I1718" s="3" t="s">
        <v>48</v>
      </c>
      <c r="J1718" s="3" t="s">
        <v>5159</v>
      </c>
      <c r="K1718" s="3" t="s">
        <v>54</v>
      </c>
      <c r="L1718" s="3" t="str">
        <f>IFERROR(__xludf.DUMMYFUNCTION("GOOGLETRANSLATE(F1718,""id"",""en"")"),"Crazy Grand Final of the Best World Cup")</f>
        <v>Crazy Grand Final of the Best World Cup</v>
      </c>
    </row>
    <row r="1719" ht="15.75" customHeight="1">
      <c r="A1719" s="1">
        <v>1722.0</v>
      </c>
      <c r="B1719" s="3" t="s">
        <v>5160</v>
      </c>
      <c r="C1719" s="3">
        <v>0.0</v>
      </c>
      <c r="D1719" s="3">
        <v>0.0</v>
      </c>
      <c r="E1719" s="3">
        <v>1.0</v>
      </c>
      <c r="F1719" s="3" t="s">
        <v>5161</v>
      </c>
      <c r="G1719" s="3">
        <v>1.0</v>
      </c>
      <c r="H1719" s="3">
        <v>0.0</v>
      </c>
      <c r="I1719" s="3" t="s">
        <v>13</v>
      </c>
      <c r="J1719" s="3" t="s">
        <v>2059</v>
      </c>
      <c r="K1719" s="3" t="s">
        <v>54</v>
      </c>
      <c r="L1719" s="3" t="str">
        <f>IFERROR(__xludf.DUMMYFUNCTION("GOOGLETRANSLATE(F1719,""id"",""en"")"),"the best world cup final in cuy history")</f>
        <v>the best world cup final in cuy history</v>
      </c>
    </row>
    <row r="1720" ht="15.75" customHeight="1">
      <c r="A1720" s="1">
        <v>1723.0</v>
      </c>
      <c r="B1720" s="3" t="s">
        <v>5162</v>
      </c>
      <c r="C1720" s="3">
        <v>0.0</v>
      </c>
      <c r="D1720" s="3">
        <v>0.0</v>
      </c>
      <c r="E1720" s="3">
        <v>1.0</v>
      </c>
      <c r="F1720" s="3" t="s">
        <v>5163</v>
      </c>
      <c r="G1720" s="3">
        <v>0.65</v>
      </c>
      <c r="H1720" s="3">
        <v>0.1</v>
      </c>
      <c r="I1720" s="3" t="s">
        <v>48</v>
      </c>
      <c r="J1720" s="3" t="s">
        <v>5164</v>
      </c>
      <c r="K1720" s="3" t="s">
        <v>50</v>
      </c>
      <c r="L1720" s="3" t="str">
        <f>IFERROR(__xludf.DUMMYFUNCTION("GOOGLETRANSLATE(F1720,""id"",""en"")"),"Yup Match the best World Cup Final according to me and once again The Real Messi")</f>
        <v>Yup Match the best World Cup Final according to me and once again The Real Messi</v>
      </c>
    </row>
    <row r="1721" ht="15.75" customHeight="1">
      <c r="A1721" s="1">
        <v>1724.0</v>
      </c>
      <c r="B1721" s="3" t="s">
        <v>5165</v>
      </c>
      <c r="C1721" s="3">
        <v>0.0</v>
      </c>
      <c r="D1721" s="3">
        <v>0.0</v>
      </c>
      <c r="E1721" s="3">
        <v>0.0</v>
      </c>
      <c r="F1721" s="3" t="s">
        <v>5166</v>
      </c>
      <c r="G1721" s="3">
        <v>1.0</v>
      </c>
      <c r="H1721" s="3">
        <v>0.0</v>
      </c>
      <c r="I1721" s="3" t="s">
        <v>13</v>
      </c>
      <c r="J1721" s="3" t="s">
        <v>5167</v>
      </c>
      <c r="K1721" s="3" t="s">
        <v>1335</v>
      </c>
      <c r="L1721" s="3" t="str">
        <f>IFERROR(__xludf.DUMMYFUNCTION("GOOGLETRANSLATE(F1721,""id"",""en"")"),"The World Cup Final is crazy about the history of what final")</f>
        <v>The World Cup Final is crazy about the history of what final</v>
      </c>
    </row>
    <row r="1722" ht="15.75" customHeight="1">
      <c r="A1722" s="1">
        <v>1725.0</v>
      </c>
      <c r="B1722" s="3" t="s">
        <v>5168</v>
      </c>
      <c r="C1722" s="3">
        <v>0.0</v>
      </c>
      <c r="D1722" s="3">
        <v>0.0</v>
      </c>
      <c r="E1722" s="3">
        <v>0.0</v>
      </c>
      <c r="F1722" s="3" t="s">
        <v>5169</v>
      </c>
      <c r="G1722" s="3">
        <v>1.0</v>
      </c>
      <c r="H1722" s="3">
        <v>0.0</v>
      </c>
      <c r="I1722" s="3" t="s">
        <v>13</v>
      </c>
      <c r="J1722" s="3" t="s">
        <v>5170</v>
      </c>
      <c r="K1722" s="3" t="s">
        <v>75</v>
      </c>
      <c r="L1722" s="3" t="str">
        <f>IFERROR(__xludf.DUMMYFUNCTION("GOOGLETRANSLATE(F1722,""id"",""en"")"),"The best final during watching the World Cup despite the finally Messi Champion")</f>
        <v>The best final during watching the World Cup despite the finally Messi Champion</v>
      </c>
    </row>
    <row r="1723" ht="15.75" customHeight="1">
      <c r="A1723" s="1">
        <v>1726.0</v>
      </c>
      <c r="B1723" s="3" t="s">
        <v>5171</v>
      </c>
      <c r="C1723" s="3">
        <v>3.0</v>
      </c>
      <c r="D1723" s="3">
        <v>180.0</v>
      </c>
      <c r="E1723" s="3">
        <v>370.0</v>
      </c>
      <c r="F1723" s="3" t="s">
        <v>5172</v>
      </c>
      <c r="G1723" s="3">
        <v>0.6888888888888888</v>
      </c>
      <c r="H1723" s="3">
        <v>0.3333333333333333</v>
      </c>
      <c r="I1723" s="3" t="s">
        <v>48</v>
      </c>
      <c r="J1723" s="3" t="s">
        <v>5173</v>
      </c>
      <c r="K1723" s="3" t="s">
        <v>374</v>
      </c>
      <c r="L1723" s="3" t="str">
        <f>IFERROR(__xludf.DUMMYFUNCTION("GOOGLETRANSLATE(F1723,""id"",""en"")"),"Lionel Messi The Perfect End Dance His goal for Argentina is the most important goal for him to go to the world cup for the only player who scores all the World Cup Ranking and Final Ranking")</f>
        <v>Lionel Messi The Perfect End Dance His goal for Argentina is the most important goal for him to go to the world cup for the only player who scores all the World Cup Ranking and Final Ranking</v>
      </c>
    </row>
    <row r="1724" ht="15.75" customHeight="1">
      <c r="A1724" s="1">
        <v>1727.0</v>
      </c>
      <c r="B1724" s="3" t="s">
        <v>5174</v>
      </c>
      <c r="C1724" s="3">
        <v>0.0</v>
      </c>
      <c r="D1724" s="3">
        <v>0.0</v>
      </c>
      <c r="E1724" s="3">
        <v>0.0</v>
      </c>
      <c r="F1724" s="3" t="s">
        <v>5175</v>
      </c>
      <c r="G1724" s="3">
        <v>1.0</v>
      </c>
      <c r="H1724" s="3">
        <v>0.0</v>
      </c>
      <c r="I1724" s="3" t="s">
        <v>13</v>
      </c>
      <c r="J1724" s="3" t="s">
        <v>5176</v>
      </c>
      <c r="K1724" s="3" t="s">
        <v>71</v>
      </c>
      <c r="L1724" s="3" t="str">
        <f>IFERROR(__xludf.DUMMYFUNCTION("GOOGLETRANSLATE(F1724,""id"",""en"")"),"Feeling I am in the morning class tomorrow by the absence because of watching the World Cup final wkwkwkw")</f>
        <v>Feeling I am in the morning class tomorrow by the absence because of watching the World Cup final wkwkwkw</v>
      </c>
    </row>
    <row r="1725" ht="15.75" customHeight="1">
      <c r="A1725" s="1">
        <v>1729.0</v>
      </c>
      <c r="B1725" s="3" t="s">
        <v>5177</v>
      </c>
      <c r="C1725" s="3">
        <v>0.0</v>
      </c>
      <c r="D1725" s="3">
        <v>0.0</v>
      </c>
      <c r="E1725" s="3">
        <v>0.0</v>
      </c>
      <c r="F1725" s="3" t="s">
        <v>5178</v>
      </c>
      <c r="G1725" s="3">
        <v>1.0</v>
      </c>
      <c r="H1725" s="3">
        <v>0.0</v>
      </c>
      <c r="I1725" s="3" t="s">
        <v>13</v>
      </c>
      <c r="J1725" s="3" t="s">
        <v>5179</v>
      </c>
      <c r="K1725" s="3" t="s">
        <v>644</v>
      </c>
      <c r="L1725" s="3" t="str">
        <f>IFERROR(__xludf.DUMMYFUNCTION("GOOGLETRANSLATE(F1725,""id"",""en"")"),"The World Cup Final was excited")</f>
        <v>The World Cup Final was excited</v>
      </c>
    </row>
    <row r="1726" ht="15.75" customHeight="1">
      <c r="A1726" s="1">
        <v>1730.0</v>
      </c>
      <c r="B1726" s="3" t="s">
        <v>5180</v>
      </c>
      <c r="C1726" s="3">
        <v>0.0</v>
      </c>
      <c r="D1726" s="3">
        <v>0.0</v>
      </c>
      <c r="E1726" s="3">
        <v>0.0</v>
      </c>
      <c r="F1726" s="3" t="s">
        <v>5181</v>
      </c>
      <c r="G1726" s="3">
        <v>1.0</v>
      </c>
      <c r="H1726" s="3">
        <v>0.0</v>
      </c>
      <c r="I1726" s="3" t="s">
        <v>13</v>
      </c>
      <c r="J1726" s="3" t="s">
        <v>5182</v>
      </c>
      <c r="K1726" s="3" t="s">
        <v>31</v>
      </c>
      <c r="L1726" s="3" t="str">
        <f>IFERROR(__xludf.DUMMYFUNCTION("GOOGLETRANSLATE(F1726,""id"",""en"")"),"The Coolest World Cup Final")</f>
        <v>The Coolest World Cup Final</v>
      </c>
    </row>
    <row r="1727" ht="15.75" customHeight="1">
      <c r="A1727" s="1">
        <v>1731.0</v>
      </c>
      <c r="B1727" s="3" t="s">
        <v>5183</v>
      </c>
      <c r="C1727" s="3">
        <v>0.0</v>
      </c>
      <c r="D1727" s="3">
        <v>3.0</v>
      </c>
      <c r="E1727" s="3">
        <v>7.0</v>
      </c>
      <c r="F1727" s="3" t="s">
        <v>5184</v>
      </c>
      <c r="G1727" s="3">
        <v>1.0</v>
      </c>
      <c r="H1727" s="3">
        <v>0.0</v>
      </c>
      <c r="I1727" s="3" t="s">
        <v>13</v>
      </c>
      <c r="J1727" s="3" t="s">
        <v>5185</v>
      </c>
      <c r="K1727" s="3" t="s">
        <v>15</v>
      </c>
      <c r="L1727" s="3" t="str">
        <f>IFERROR(__xludf.DUMMYFUNCTION("GOOGLETRANSLATE(F1727,""id"",""en"")"),"Pass the final full of Argentina drama champions of the World Cup")</f>
        <v>Pass the final full of Argentina drama champions of the World Cup</v>
      </c>
    </row>
    <row r="1728" ht="15.75" customHeight="1">
      <c r="A1728" s="1">
        <v>1732.0</v>
      </c>
      <c r="B1728" s="3" t="s">
        <v>5186</v>
      </c>
      <c r="C1728" s="3">
        <v>0.0</v>
      </c>
      <c r="D1728" s="3">
        <v>0.0</v>
      </c>
      <c r="E1728" s="3">
        <v>0.0</v>
      </c>
      <c r="F1728" s="3" t="s">
        <v>642</v>
      </c>
      <c r="G1728" s="3">
        <v>1.0</v>
      </c>
      <c r="H1728" s="3">
        <v>0.0</v>
      </c>
      <c r="I1728" s="3" t="s">
        <v>13</v>
      </c>
      <c r="J1728" s="3" t="s">
        <v>643</v>
      </c>
      <c r="K1728" s="3" t="s">
        <v>644</v>
      </c>
      <c r="L1728" s="3" t="str">
        <f>IFERROR(__xludf.DUMMYFUNCTION("GOOGLETRANSLATE(F1728,""id"",""en"")"),"The World Cup Final was shocked")</f>
        <v>The World Cup Final was shocked</v>
      </c>
    </row>
    <row r="1729" ht="15.75" customHeight="1">
      <c r="A1729" s="1">
        <v>1733.0</v>
      </c>
      <c r="B1729" s="3" t="s">
        <v>5187</v>
      </c>
      <c r="C1729" s="3">
        <v>0.0</v>
      </c>
      <c r="D1729" s="3">
        <v>0.0</v>
      </c>
      <c r="E1729" s="3">
        <v>0.0</v>
      </c>
      <c r="F1729" s="3" t="s">
        <v>5188</v>
      </c>
      <c r="G1729" s="3">
        <v>1.0</v>
      </c>
      <c r="H1729" s="3">
        <v>0.0</v>
      </c>
      <c r="I1729" s="3" t="s">
        <v>13</v>
      </c>
      <c r="J1729" s="3" t="s">
        <v>5189</v>
      </c>
      <c r="K1729" s="3" t="s">
        <v>484</v>
      </c>
      <c r="L1729" s="3" t="str">
        <f>IFERROR(__xludf.DUMMYFUNCTION("GOOGLETRANSLATE(F1729,""id"",""en"")"),"Mbappe is also crazy, this Hattrick Final of the World Cup Final is still and mathematically can still take part in the three editions of the future World Cup")</f>
        <v>Mbappe is also crazy, this Hattrick Final of the World Cup Final is still and mathematically can still take part in the three editions of the future World Cup</v>
      </c>
    </row>
    <row r="1730" ht="15.75" customHeight="1">
      <c r="A1730" s="1">
        <v>1734.0</v>
      </c>
      <c r="B1730" s="3" t="s">
        <v>5190</v>
      </c>
      <c r="C1730" s="3">
        <v>1.0</v>
      </c>
      <c r="D1730" s="3">
        <v>0.0</v>
      </c>
      <c r="E1730" s="3">
        <v>1.0</v>
      </c>
      <c r="F1730" s="3" t="s">
        <v>5191</v>
      </c>
      <c r="G1730" s="3">
        <v>1.0</v>
      </c>
      <c r="H1730" s="3">
        <v>0.0</v>
      </c>
      <c r="I1730" s="3" t="s">
        <v>13</v>
      </c>
      <c r="J1730" s="3" t="s">
        <v>5192</v>
      </c>
      <c r="K1730" s="3" t="s">
        <v>5193</v>
      </c>
      <c r="L1730" s="3" t="str">
        <f>IFERROR(__xludf.DUMMYFUNCTION("GOOGLETRANSLATE(F1730,""id"",""en"")"),"Match World Cup from the Aet Argentina Final Lionel Messi Pen mels Mar Lionel Messi Kylian Mbapp Pen Kylian Mbapp Kylian Mbapp Pen")</f>
        <v>Match World Cup from the Aet Argentina Final Lionel Messi Pen mels Mar Lionel Messi Kylian Mbapp Pen Kylian Mbapp Kylian Mbapp Pen</v>
      </c>
    </row>
    <row r="1731" ht="15.75" customHeight="1">
      <c r="A1731" s="1">
        <v>1735.0</v>
      </c>
      <c r="B1731" s="3" t="s">
        <v>5194</v>
      </c>
      <c r="C1731" s="3">
        <v>0.0</v>
      </c>
      <c r="D1731" s="3">
        <v>0.0</v>
      </c>
      <c r="E1731" s="3">
        <v>1.0</v>
      </c>
      <c r="F1731" s="3" t="s">
        <v>5195</v>
      </c>
      <c r="G1731" s="3">
        <v>1.0</v>
      </c>
      <c r="H1731" s="3">
        <v>0.0</v>
      </c>
      <c r="I1731" s="3" t="s">
        <v>13</v>
      </c>
      <c r="J1731" s="3" t="s">
        <v>5196</v>
      </c>
      <c r="K1731" s="3" t="s">
        <v>54</v>
      </c>
      <c r="L1731" s="3" t="str">
        <f>IFERROR(__xludf.DUMMYFUNCTION("GOOGLETRANSLATE(F1731,""id"",""en"")"),"cool pisan is the world cup final")</f>
        <v>cool pisan is the world cup final</v>
      </c>
    </row>
    <row r="1732" ht="15.75" customHeight="1">
      <c r="A1732" s="1">
        <v>1736.0</v>
      </c>
      <c r="B1732" s="3" t="s">
        <v>5197</v>
      </c>
      <c r="C1732" s="3">
        <v>0.0</v>
      </c>
      <c r="D1732" s="3">
        <v>0.0</v>
      </c>
      <c r="E1732" s="3">
        <v>0.0</v>
      </c>
      <c r="F1732" s="3" t="s">
        <v>5197</v>
      </c>
      <c r="G1732" s="3">
        <v>1.0</v>
      </c>
      <c r="H1732" s="3">
        <v>0.0</v>
      </c>
      <c r="I1732" s="3" t="s">
        <v>13</v>
      </c>
      <c r="J1732" s="3" t="s">
        <v>5198</v>
      </c>
      <c r="K1732" s="3" t="s">
        <v>54</v>
      </c>
      <c r="L1732" s="3" t="str">
        <f>IFERROR(__xludf.DUMMYFUNCTION("GOOGLETRANSLATE(F1732,""id"",""en"")"),"The final of this World Cup was excited")</f>
        <v>The final of this World Cup was excited</v>
      </c>
    </row>
    <row r="1733" ht="15.75" customHeight="1">
      <c r="A1733" s="1">
        <v>1737.0</v>
      </c>
      <c r="B1733" s="3" t="s">
        <v>5199</v>
      </c>
      <c r="C1733" s="3">
        <v>0.0</v>
      </c>
      <c r="D1733" s="3">
        <v>0.0</v>
      </c>
      <c r="E1733" s="3">
        <v>0.0</v>
      </c>
      <c r="F1733" s="3" t="s">
        <v>5200</v>
      </c>
      <c r="G1733" s="3">
        <v>1.0</v>
      </c>
      <c r="H1733" s="3">
        <v>0.0</v>
      </c>
      <c r="I1733" s="3" t="s">
        <v>13</v>
      </c>
      <c r="J1733" s="3" t="s">
        <v>5201</v>
      </c>
      <c r="K1733" s="3" t="s">
        <v>54</v>
      </c>
      <c r="L1733" s="3" t="str">
        <f>IFERROR(__xludf.DUMMYFUNCTION("GOOGLETRANSLATE(F1733,""id"",""en"")"),"I testify that this vulnerable is the best World Cup final")</f>
        <v>I testify that this vulnerable is the best World Cup final</v>
      </c>
    </row>
    <row r="1734" ht="15.75" customHeight="1">
      <c r="A1734" s="1">
        <v>1738.0</v>
      </c>
      <c r="B1734" s="3" t="s">
        <v>5202</v>
      </c>
      <c r="C1734" s="3">
        <v>0.0</v>
      </c>
      <c r="D1734" s="3">
        <v>0.0</v>
      </c>
      <c r="E1734" s="3">
        <v>0.0</v>
      </c>
      <c r="F1734" s="3" t="s">
        <v>5203</v>
      </c>
      <c r="G1734" s="3">
        <v>1.0</v>
      </c>
      <c r="H1734" s="3">
        <v>0.0</v>
      </c>
      <c r="I1734" s="3" t="s">
        <v>13</v>
      </c>
      <c r="J1734" s="3" t="s">
        <v>5204</v>
      </c>
      <c r="K1734" s="3" t="s">
        <v>41</v>
      </c>
      <c r="L1734" s="3" t="str">
        <f>IFERROR(__xludf.DUMMYFUNCTION("GOOGLETRANSLATE(F1734,""id"",""en"")"),"very worthy of the match in the World Cup final match just now")</f>
        <v>very worthy of the match in the World Cup final match just now</v>
      </c>
    </row>
    <row r="1735" ht="15.75" customHeight="1">
      <c r="A1735" s="1">
        <v>1739.0</v>
      </c>
      <c r="B1735" s="3" t="s">
        <v>5205</v>
      </c>
      <c r="C1735" s="3">
        <v>0.0</v>
      </c>
      <c r="D1735" s="3">
        <v>0.0</v>
      </c>
      <c r="E1735" s="3">
        <v>0.0</v>
      </c>
      <c r="F1735" s="3" t="s">
        <v>5206</v>
      </c>
      <c r="G1735" s="3">
        <v>0.65</v>
      </c>
      <c r="H1735" s="3">
        <v>0.5</v>
      </c>
      <c r="I1735" s="3" t="s">
        <v>48</v>
      </c>
      <c r="J1735" s="3" t="s">
        <v>5207</v>
      </c>
      <c r="K1735" s="3" t="s">
        <v>510</v>
      </c>
      <c r="L1735" s="3" t="str">
        <f>IFERROR(__xludf.DUMMYFUNCTION("GOOGLETRANSLATE(F1735,""id"",""en"")"),"Best Match All Time Moots There's Watching the Final World Cup Exciting I am mules")</f>
        <v>Best Match All Time Moots There's Watching the Final World Cup Exciting I am mules</v>
      </c>
    </row>
    <row r="1736" ht="15.75" customHeight="1">
      <c r="A1736" s="1">
        <v>1740.0</v>
      </c>
      <c r="B1736" s="3" t="s">
        <v>5208</v>
      </c>
      <c r="C1736" s="3">
        <v>0.0</v>
      </c>
      <c r="D1736" s="3">
        <v>0.0</v>
      </c>
      <c r="E1736" s="3">
        <v>0.0</v>
      </c>
      <c r="F1736" s="3" t="s">
        <v>5209</v>
      </c>
      <c r="G1736" s="3">
        <v>1.0</v>
      </c>
      <c r="H1736" s="3">
        <v>0.0</v>
      </c>
      <c r="I1736" s="3" t="s">
        <v>13</v>
      </c>
      <c r="J1736" s="3" t="s">
        <v>5210</v>
      </c>
      <c r="K1736" s="3" t="s">
        <v>75</v>
      </c>
      <c r="L1736" s="3" t="str">
        <f>IFERROR(__xludf.DUMMYFUNCTION("GOOGLETRANSLATE(F1736,""id"",""en"")"),"Mbappe Year Hattrick The Final World Cup Final Cool Ngab")</f>
        <v>Mbappe Year Hattrick The Final World Cup Final Cool Ngab</v>
      </c>
    </row>
    <row r="1737" ht="15.75" customHeight="1">
      <c r="A1737" s="1">
        <v>1741.0</v>
      </c>
      <c r="B1737" s="3" t="s">
        <v>5211</v>
      </c>
      <c r="C1737" s="3">
        <v>0.0</v>
      </c>
      <c r="D1737" s="3">
        <v>0.0</v>
      </c>
      <c r="E1737" s="3">
        <v>7.0</v>
      </c>
      <c r="F1737" s="3" t="s">
        <v>5212</v>
      </c>
      <c r="G1737" s="3">
        <v>0.65</v>
      </c>
      <c r="H1737" s="3">
        <v>0.1</v>
      </c>
      <c r="I1737" s="3" t="s">
        <v>48</v>
      </c>
      <c r="J1737" s="3" t="s">
        <v>5213</v>
      </c>
      <c r="K1737" s="3" t="s">
        <v>2633</v>
      </c>
      <c r="L1737" s="3" t="str">
        <f>IFERROR(__xludf.DUMMYFUNCTION("GOOGLETRANSLATE(F1737,""id"",""en"")"),"finally Messi won the World Cup with Argentina Copa America World Cup Real Goat World Cup Final Most Dramatic")</f>
        <v>finally Messi won the World Cup with Argentina Copa America World Cup Real Goat World Cup Final Most Dramatic</v>
      </c>
    </row>
    <row r="1738" ht="15.75" customHeight="1">
      <c r="A1738" s="1">
        <v>1742.0</v>
      </c>
      <c r="B1738" s="3" t="s">
        <v>5214</v>
      </c>
      <c r="C1738" s="3">
        <v>0.0</v>
      </c>
      <c r="D1738" s="3">
        <v>0.0</v>
      </c>
      <c r="E1738" s="3">
        <v>0.0</v>
      </c>
      <c r="F1738" s="3" t="s">
        <v>5215</v>
      </c>
      <c r="G1738" s="3">
        <v>1.0</v>
      </c>
      <c r="H1738" s="3">
        <v>0.0</v>
      </c>
      <c r="I1738" s="3" t="s">
        <v>13</v>
      </c>
      <c r="J1738" s="3" t="s">
        <v>5216</v>
      </c>
      <c r="K1738" s="3" t="s">
        <v>510</v>
      </c>
      <c r="L1738" s="3" t="str">
        <f>IFERROR(__xludf.DUMMYFUNCTION("GOOGLETRANSLATE(F1738,""id"",""en"")"),"Grateful that I can like football, you can consider this exciting final to see Messi World Cup champions")</f>
        <v>Grateful that I can like football, you can consider this exciting final to see Messi World Cup champions</v>
      </c>
    </row>
    <row r="1739" ht="15.75" customHeight="1">
      <c r="A1739" s="1">
        <v>1743.0</v>
      </c>
      <c r="B1739" s="3" t="s">
        <v>5217</v>
      </c>
      <c r="C1739" s="3">
        <v>0.0</v>
      </c>
      <c r="D1739" s="3">
        <v>0.0</v>
      </c>
      <c r="E1739" s="3">
        <v>1.0</v>
      </c>
      <c r="F1739" s="3" t="s">
        <v>5218</v>
      </c>
      <c r="G1739" s="3">
        <v>1.0</v>
      </c>
      <c r="H1739" s="3">
        <v>0.0</v>
      </c>
      <c r="I1739" s="3" t="s">
        <v>13</v>
      </c>
      <c r="J1739" s="3" t="s">
        <v>5219</v>
      </c>
      <c r="K1739" s="3" t="s">
        <v>54</v>
      </c>
      <c r="L1739" s="3" t="str">
        <f>IFERROR(__xludf.DUMMYFUNCTION("GOOGLETRANSLATE(F1739,""id"",""en"")"),"The World Cup Final is really exciting")</f>
        <v>The World Cup Final is really exciting</v>
      </c>
    </row>
    <row r="1740" ht="15.75" customHeight="1">
      <c r="A1740" s="1">
        <v>1744.0</v>
      </c>
      <c r="B1740" s="3" t="s">
        <v>5220</v>
      </c>
      <c r="C1740" s="3">
        <v>0.0</v>
      </c>
      <c r="D1740" s="3">
        <v>0.0</v>
      </c>
      <c r="E1740" s="3">
        <v>0.0</v>
      </c>
      <c r="F1740" s="3" t="s">
        <v>5221</v>
      </c>
      <c r="G1740" s="3">
        <v>1.0</v>
      </c>
      <c r="H1740" s="3">
        <v>0.0</v>
      </c>
      <c r="I1740" s="3" t="s">
        <v>13</v>
      </c>
      <c r="J1740" s="3" t="s">
        <v>5222</v>
      </c>
      <c r="K1740" s="3" t="s">
        <v>41</v>
      </c>
      <c r="L1740" s="3" t="str">
        <f>IFERROR(__xludf.DUMMYFUNCTION("GOOGLETRANSLATE(F1740,""id"",""en"")"),"World Cup Final The Most Exciting Happy Argentina Champion Banging")</f>
        <v>World Cup Final The Most Exciting Happy Argentina Champion Banging</v>
      </c>
    </row>
    <row r="1741" ht="15.75" customHeight="1">
      <c r="A1741" s="1">
        <v>1745.0</v>
      </c>
      <c r="B1741" s="3" t="s">
        <v>5223</v>
      </c>
      <c r="C1741" s="3">
        <v>0.0</v>
      </c>
      <c r="D1741" s="3">
        <v>0.0</v>
      </c>
      <c r="E1741" s="3">
        <v>0.0</v>
      </c>
      <c r="F1741" s="3" t="s">
        <v>921</v>
      </c>
      <c r="G1741" s="3">
        <v>1.0</v>
      </c>
      <c r="H1741" s="3">
        <v>0.0</v>
      </c>
      <c r="I1741" s="3" t="s">
        <v>13</v>
      </c>
      <c r="J1741" s="3" t="s">
        <v>922</v>
      </c>
      <c r="K1741" s="3" t="s">
        <v>15</v>
      </c>
      <c r="L1741" s="3" t="str">
        <f>IFERROR(__xludf.DUMMYFUNCTION("GOOGLETRANSLATE(F1741,""id"",""en"")"),"Defeat France Final Argentina Champion World Cup Qatar")</f>
        <v>Defeat France Final Argentina Champion World Cup Qatar</v>
      </c>
    </row>
    <row r="1742" ht="15.75" customHeight="1">
      <c r="A1742" s="1">
        <v>1746.0</v>
      </c>
      <c r="B1742" s="3" t="s">
        <v>5224</v>
      </c>
      <c r="C1742" s="3">
        <v>0.0</v>
      </c>
      <c r="D1742" s="3">
        <v>0.0</v>
      </c>
      <c r="E1742" s="3">
        <v>0.0</v>
      </c>
      <c r="F1742" s="3" t="s">
        <v>5225</v>
      </c>
      <c r="G1742" s="3">
        <v>1.0</v>
      </c>
      <c r="H1742" s="3">
        <v>0.0</v>
      </c>
      <c r="I1742" s="3" t="s">
        <v>13</v>
      </c>
      <c r="J1742" s="3" t="s">
        <v>5226</v>
      </c>
      <c r="K1742" s="3" t="s">
        <v>31</v>
      </c>
      <c r="L1742" s="3" t="str">
        <f>IFERROR(__xludf.DUMMYFUNCTION("GOOGLETRANSLATE(F1742,""id"",""en"")"),"the best world cup final indeed")</f>
        <v>the best world cup final indeed</v>
      </c>
    </row>
    <row r="1743" ht="15.75" customHeight="1">
      <c r="A1743" s="1">
        <v>1747.0</v>
      </c>
      <c r="B1743" s="3" t="s">
        <v>5227</v>
      </c>
      <c r="C1743" s="3">
        <v>0.0</v>
      </c>
      <c r="D1743" s="3">
        <v>0.0</v>
      </c>
      <c r="E1743" s="3">
        <v>0.0</v>
      </c>
      <c r="F1743" s="3" t="s">
        <v>5228</v>
      </c>
      <c r="G1743" s="3">
        <v>1.0</v>
      </c>
      <c r="H1743" s="3">
        <v>0.0</v>
      </c>
      <c r="I1743" s="3" t="s">
        <v>13</v>
      </c>
      <c r="J1743" s="3" t="s">
        <v>5229</v>
      </c>
      <c r="K1743" s="3" t="s">
        <v>82</v>
      </c>
      <c r="L1743" s="3" t="str">
        <f>IFERROR(__xludf.DUMMYFUNCTION("GOOGLETRANSLATE(F1743,""id"",""en"")"),"The World Cup Final was shocked ever watched the original")</f>
        <v>The World Cup Final was shocked ever watched the original</v>
      </c>
    </row>
    <row r="1744" ht="15.75" customHeight="1">
      <c r="A1744" s="1">
        <v>1748.0</v>
      </c>
      <c r="B1744" s="3" t="s">
        <v>5230</v>
      </c>
      <c r="C1744" s="3">
        <v>0.0</v>
      </c>
      <c r="D1744" s="3">
        <v>0.0</v>
      </c>
      <c r="E1744" s="3">
        <v>0.0</v>
      </c>
      <c r="F1744" s="3" t="s">
        <v>5231</v>
      </c>
      <c r="G1744" s="3">
        <v>0.7</v>
      </c>
      <c r="H1744" s="3">
        <v>0.05</v>
      </c>
      <c r="I1744" s="3" t="s">
        <v>48</v>
      </c>
      <c r="J1744" s="3" t="s">
        <v>5232</v>
      </c>
      <c r="K1744" s="3" t="s">
        <v>1265</v>
      </c>
      <c r="L1744" s="3" t="str">
        <f>IFERROR(__xludf.DUMMYFUNCTION("GOOGLETRANSLATE(F1744,""id"",""en"")"),"The best World Cup World Cup Final Final Match")</f>
        <v>The best World Cup World Cup Final Final Match</v>
      </c>
    </row>
    <row r="1745" ht="15.75" customHeight="1">
      <c r="A1745" s="1">
        <v>1749.0</v>
      </c>
      <c r="B1745" s="3" t="s">
        <v>5233</v>
      </c>
      <c r="C1745" s="3">
        <v>0.0</v>
      </c>
      <c r="D1745" s="3">
        <v>0.0</v>
      </c>
      <c r="E1745" s="3">
        <v>0.0</v>
      </c>
      <c r="F1745" s="3" t="s">
        <v>5234</v>
      </c>
      <c r="G1745" s="3">
        <v>1.0</v>
      </c>
      <c r="H1745" s="3">
        <v>0.0</v>
      </c>
      <c r="I1745" s="3" t="s">
        <v>13</v>
      </c>
      <c r="J1745" s="3" t="s">
        <v>5235</v>
      </c>
      <c r="K1745" s="3" t="s">
        <v>82</v>
      </c>
      <c r="L1745" s="3" t="str">
        <f>IFERROR(__xludf.DUMMYFUNCTION("GOOGLETRANSLATE(F1745,""id"",""en"")"),"really happy watching the world cup final this year")</f>
        <v>really happy watching the world cup final this year</v>
      </c>
    </row>
    <row r="1746" ht="15.75" customHeight="1">
      <c r="A1746" s="1">
        <v>1750.0</v>
      </c>
      <c r="B1746" s="3" t="s">
        <v>5236</v>
      </c>
      <c r="C1746" s="3">
        <v>0.0</v>
      </c>
      <c r="D1746" s="3">
        <v>0.0</v>
      </c>
      <c r="E1746" s="3">
        <v>0.0</v>
      </c>
      <c r="F1746" s="3" t="s">
        <v>5237</v>
      </c>
      <c r="G1746" s="3">
        <v>1.0</v>
      </c>
      <c r="H1746" s="3">
        <v>0.0</v>
      </c>
      <c r="I1746" s="3" t="s">
        <v>13</v>
      </c>
      <c r="J1746" s="3" t="s">
        <v>5238</v>
      </c>
      <c r="K1746" s="3" t="s">
        <v>82</v>
      </c>
      <c r="L1746" s="3" t="str">
        <f>IFERROR(__xludf.DUMMYFUNCTION("GOOGLETRANSLATE(F1746,""id"",""en"")"),"the best world cup final match of all time")</f>
        <v>the best world cup final match of all time</v>
      </c>
    </row>
    <row r="1747" ht="15.75" customHeight="1">
      <c r="A1747" s="1">
        <v>1751.0</v>
      </c>
      <c r="B1747" s="3" t="s">
        <v>5239</v>
      </c>
      <c r="C1747" s="3">
        <v>0.0</v>
      </c>
      <c r="D1747" s="3">
        <v>0.0</v>
      </c>
      <c r="E1747" s="3">
        <v>1.0</v>
      </c>
      <c r="F1747" s="3" t="s">
        <v>5240</v>
      </c>
      <c r="G1747" s="3">
        <v>1.0</v>
      </c>
      <c r="H1747" s="3">
        <v>0.0</v>
      </c>
      <c r="I1747" s="3" t="s">
        <v>13</v>
      </c>
      <c r="J1747" s="3" t="s">
        <v>5241</v>
      </c>
      <c r="K1747" s="3" t="s">
        <v>54</v>
      </c>
      <c r="L1747" s="3" t="str">
        <f>IFERROR(__xludf.DUMMYFUNCTION("GOOGLETRANSLATE(F1747,""id"",""en"")"),"Qatar Day World Cup Final Drama")</f>
        <v>Qatar Day World Cup Final Drama</v>
      </c>
    </row>
    <row r="1748" ht="15.75" customHeight="1">
      <c r="A1748" s="1">
        <v>1752.0</v>
      </c>
      <c r="B1748" s="3" t="s">
        <v>5242</v>
      </c>
      <c r="C1748" s="3">
        <v>1.0</v>
      </c>
      <c r="D1748" s="3">
        <v>0.0</v>
      </c>
      <c r="E1748" s="3">
        <v>0.0</v>
      </c>
      <c r="F1748" s="3" t="s">
        <v>5243</v>
      </c>
      <c r="G1748" s="3">
        <v>0.5</v>
      </c>
      <c r="H1748" s="3">
        <v>0.0</v>
      </c>
      <c r="I1748" s="3" t="s">
        <v>13</v>
      </c>
      <c r="J1748" s="3" t="s">
        <v>5244</v>
      </c>
      <c r="K1748" s="3" t="s">
        <v>574</v>
      </c>
      <c r="L1748" s="3" t="str">
        <f>IFERROR(__xludf.DUMMYFUNCTION("GOOGLETRANSLATE(F1748,""id"",""en"")"),"The most exciting world cup final during my life Argentina can win instead of handsball some seconds of the time that runs out of the penalty for champions accidentally handsball second chance")</f>
        <v>The most exciting world cup final during my life Argentina can win instead of handsball some seconds of the time that runs out of the penalty for champions accidentally handsball second chance</v>
      </c>
    </row>
    <row r="1749" ht="15.75" customHeight="1">
      <c r="A1749" s="1">
        <v>1753.0</v>
      </c>
      <c r="B1749" s="3" t="s">
        <v>5245</v>
      </c>
      <c r="C1749" s="3">
        <v>0.0</v>
      </c>
      <c r="D1749" s="3">
        <v>0.0</v>
      </c>
      <c r="E1749" s="3">
        <v>1.0</v>
      </c>
      <c r="F1749" s="3" t="s">
        <v>5246</v>
      </c>
      <c r="G1749" s="3">
        <v>1.0</v>
      </c>
      <c r="H1749" s="3">
        <v>0.0</v>
      </c>
      <c r="I1749" s="3" t="s">
        <v>13</v>
      </c>
      <c r="J1749" s="3" t="s">
        <v>5247</v>
      </c>
      <c r="K1749" s="3" t="s">
        <v>463</v>
      </c>
      <c r="L1749" s="3" t="str">
        <f>IFERROR(__xludf.DUMMYFUNCTION("GOOGLETRANSLATE(F1749,""id"",""en"")"),"Argentina won the World Cup after defeating France Final draw until an extension of time making penalties determine the title of Argentina World Cup champion Messi")</f>
        <v>Argentina won the World Cup after defeating France Final draw until an extension of time making penalties determine the title of Argentina World Cup champion Messi</v>
      </c>
    </row>
    <row r="1750" ht="15.75" customHeight="1">
      <c r="A1750" s="1">
        <v>1754.0</v>
      </c>
      <c r="B1750" s="3" t="s">
        <v>5248</v>
      </c>
      <c r="C1750" s="3">
        <v>0.0</v>
      </c>
      <c r="D1750" s="3">
        <v>0.0</v>
      </c>
      <c r="E1750" s="3">
        <v>0.0</v>
      </c>
      <c r="F1750" s="3" t="s">
        <v>5249</v>
      </c>
      <c r="G1750" s="3">
        <v>1.0</v>
      </c>
      <c r="H1750" s="3">
        <v>0.0</v>
      </c>
      <c r="I1750" s="3" t="s">
        <v>13</v>
      </c>
      <c r="J1750" s="3" t="s">
        <v>5250</v>
      </c>
      <c r="K1750" s="3" t="s">
        <v>41</v>
      </c>
      <c r="L1750" s="3" t="str">
        <f>IFERROR(__xludf.DUMMYFUNCTION("GOOGLETRANSLATE(F1750,""id"",""en"")"),"Very exciting, the World Cup Final Crazy Congratulations for Aregntina")</f>
        <v>Very exciting, the World Cup Final Crazy Congratulations for Aregntina</v>
      </c>
    </row>
    <row r="1751" ht="15.75" customHeight="1">
      <c r="A1751" s="1">
        <v>1755.0</v>
      </c>
      <c r="B1751" s="3" t="s">
        <v>5251</v>
      </c>
      <c r="C1751" s="3">
        <v>0.0</v>
      </c>
      <c r="D1751" s="3">
        <v>0.0</v>
      </c>
      <c r="E1751" s="3">
        <v>0.0</v>
      </c>
      <c r="F1751" s="3" t="s">
        <v>5252</v>
      </c>
      <c r="G1751" s="3">
        <v>1.0</v>
      </c>
      <c r="H1751" s="3">
        <v>0.0</v>
      </c>
      <c r="I1751" s="3" t="s">
        <v>13</v>
      </c>
      <c r="J1751" s="3" t="s">
        <v>5253</v>
      </c>
      <c r="K1751" s="3" t="s">
        <v>19</v>
      </c>
      <c r="L1751" s="3" t="str">
        <f>IFERROR(__xludf.DUMMYFUNCTION("GOOGLETRANSLATE(F1751,""id"",""en"")"),"Lionel World Cup Final Results scored Argentina again for France")</f>
        <v>Lionel World Cup Final Results scored Argentina again for France</v>
      </c>
    </row>
    <row r="1752" ht="15.75" customHeight="1">
      <c r="A1752" s="1">
        <v>1756.0</v>
      </c>
      <c r="B1752" s="3" t="s">
        <v>5254</v>
      </c>
      <c r="C1752" s="3">
        <v>818.0</v>
      </c>
      <c r="D1752" s="3">
        <v>10115.0</v>
      </c>
      <c r="E1752" s="3">
        <v>38762.0</v>
      </c>
      <c r="F1752" s="3" t="s">
        <v>3925</v>
      </c>
      <c r="G1752" s="3">
        <v>1.0</v>
      </c>
      <c r="H1752" s="3">
        <v>0.0</v>
      </c>
      <c r="I1752" s="3" t="s">
        <v>13</v>
      </c>
      <c r="J1752" s="3" t="s">
        <v>3926</v>
      </c>
      <c r="K1752" s="3" t="s">
        <v>41</v>
      </c>
      <c r="L1752" s="3" t="str">
        <f>IFERROR(__xludf.DUMMYFUNCTION("GOOGLETRANSLATE(F1752,""id"",""en"")"),"We are witnesses one of the best finals in the history of the World Cup")</f>
        <v>We are witnesses one of the best finals in the history of the World Cup</v>
      </c>
    </row>
    <row r="1753" ht="15.75" customHeight="1">
      <c r="A1753" s="1">
        <v>1757.0</v>
      </c>
      <c r="B1753" s="3" t="s">
        <v>5255</v>
      </c>
      <c r="C1753" s="3">
        <v>0.0</v>
      </c>
      <c r="D1753" s="3">
        <v>0.0</v>
      </c>
      <c r="E1753" s="3">
        <v>0.0</v>
      </c>
      <c r="F1753" s="3" t="s">
        <v>5256</v>
      </c>
      <c r="G1753" s="3">
        <v>1.0</v>
      </c>
      <c r="H1753" s="3">
        <v>0.0</v>
      </c>
      <c r="I1753" s="3" t="s">
        <v>13</v>
      </c>
      <c r="J1753" s="3" t="s">
        <v>5257</v>
      </c>
      <c r="K1753" s="3" t="s">
        <v>58</v>
      </c>
      <c r="L1753" s="3" t="str">
        <f>IFERROR(__xludf.DUMMYFUNCTION("GOOGLETRANSLATE(F1753,""id"",""en"")"),"The most neat World Cup Final Congratulations Argentina finally Messi has a GGWP Complete Cup")</f>
        <v>The most neat World Cup Final Congratulations Argentina finally Messi has a GGWP Complete Cup</v>
      </c>
    </row>
    <row r="1754" ht="15.75" customHeight="1">
      <c r="A1754" s="1">
        <v>1758.0</v>
      </c>
      <c r="B1754" s="3" t="s">
        <v>5258</v>
      </c>
      <c r="C1754" s="3">
        <v>0.0</v>
      </c>
      <c r="D1754" s="3">
        <v>0.0</v>
      </c>
      <c r="E1754" s="3">
        <v>0.0</v>
      </c>
      <c r="F1754" s="3" t="s">
        <v>5259</v>
      </c>
      <c r="G1754" s="3">
        <v>1.0</v>
      </c>
      <c r="H1754" s="3">
        <v>0.0</v>
      </c>
      <c r="I1754" s="3" t="s">
        <v>13</v>
      </c>
      <c r="J1754" s="3" t="s">
        <v>5260</v>
      </c>
      <c r="K1754" s="3" t="s">
        <v>510</v>
      </c>
      <c r="L1754" s="3" t="str">
        <f>IFERROR(__xludf.DUMMYFUNCTION("GOOGLETRANSLATE(F1754,""id"",""en"")"),"The World Cup Final this time is far over the expectations of the heart really made not safe Congrats Argentina")</f>
        <v>The World Cup Final this time is far over the expectations of the heart really made not safe Congrats Argentina</v>
      </c>
    </row>
    <row r="1755" ht="15.75" customHeight="1">
      <c r="A1755" s="1">
        <v>1759.0</v>
      </c>
      <c r="B1755" s="3" t="s">
        <v>5261</v>
      </c>
      <c r="C1755" s="3">
        <v>0.0</v>
      </c>
      <c r="D1755" s="3">
        <v>0.0</v>
      </c>
      <c r="E1755" s="3">
        <v>0.0</v>
      </c>
      <c r="F1755" s="3" t="s">
        <v>5262</v>
      </c>
      <c r="G1755" s="3">
        <v>1.0</v>
      </c>
      <c r="H1755" s="3">
        <v>0.0</v>
      </c>
      <c r="I1755" s="3" t="s">
        <v>13</v>
      </c>
      <c r="J1755" s="3" t="s">
        <v>5263</v>
      </c>
      <c r="K1755" s="3" t="s">
        <v>1097</v>
      </c>
      <c r="L1755" s="3" t="str">
        <f>IFERROR(__xludf.DUMMYFUNCTION("GOOGLETRANSLATE(F1755,""id"",""en"")"),"Still believe this World Cup is the final setting of this crazy setting")</f>
        <v>Still believe this World Cup is the final setting of this crazy setting</v>
      </c>
    </row>
    <row r="1756" ht="15.75" customHeight="1">
      <c r="A1756" s="1">
        <v>1760.0</v>
      </c>
      <c r="B1756" s="3" t="s">
        <v>5264</v>
      </c>
      <c r="C1756" s="3">
        <v>0.0</v>
      </c>
      <c r="D1756" s="3">
        <v>0.0</v>
      </c>
      <c r="E1756" s="3">
        <v>0.0</v>
      </c>
      <c r="F1756" s="3" t="s">
        <v>2246</v>
      </c>
      <c r="G1756" s="3">
        <v>1.0</v>
      </c>
      <c r="H1756" s="3">
        <v>0.0</v>
      </c>
      <c r="I1756" s="3" t="s">
        <v>13</v>
      </c>
      <c r="J1756" s="3" t="s">
        <v>2247</v>
      </c>
      <c r="K1756" s="3" t="s">
        <v>31</v>
      </c>
      <c r="L1756" s="3" t="str">
        <f>IFERROR(__xludf.DUMMYFUNCTION("GOOGLETRANSLATE(F1756,""id"",""en"")"),"World Cup Final Most Exciting")</f>
        <v>World Cup Final Most Exciting</v>
      </c>
    </row>
    <row r="1757" ht="15.75" customHeight="1">
      <c r="A1757" s="1">
        <v>1761.0</v>
      </c>
      <c r="B1757" s="3" t="s">
        <v>5265</v>
      </c>
      <c r="C1757" s="3">
        <v>0.0</v>
      </c>
      <c r="D1757" s="3">
        <v>0.0</v>
      </c>
      <c r="E1757" s="3">
        <v>0.0</v>
      </c>
      <c r="F1757" s="3" t="s">
        <v>5266</v>
      </c>
      <c r="G1757" s="3">
        <v>0.7999999999999999</v>
      </c>
      <c r="H1757" s="3">
        <v>0.3666666666666667</v>
      </c>
      <c r="I1757" s="3" t="s">
        <v>48</v>
      </c>
      <c r="J1757" s="3" t="s">
        <v>5267</v>
      </c>
      <c r="K1757" s="3" t="s">
        <v>675</v>
      </c>
      <c r="L1757" s="3" t="str">
        <f>IFERROR(__xludf.DUMMYFUNCTION("GOOGLETRANSLATE(F1757,""id"",""en"")"),"Pen Argentina The Penalty World Cup champion separates the two sustenance teams from Argentina France not fares to both Messi Complete Cup throughout his career he Mbappe the best Harini Perfect Final Most Epic will be avoided")</f>
        <v>Pen Argentina The Penalty World Cup champion separates the two sustenance teams from Argentina France not fares to both Messi Complete Cup throughout his career he Mbappe the best Harini Perfect Final Most Epic will be avoided</v>
      </c>
    </row>
    <row r="1758" ht="15.75" customHeight="1">
      <c r="A1758" s="1">
        <v>1762.0</v>
      </c>
      <c r="B1758" s="3" t="s">
        <v>5268</v>
      </c>
      <c r="C1758" s="3">
        <v>0.0</v>
      </c>
      <c r="D1758" s="3">
        <v>0.0</v>
      </c>
      <c r="E1758" s="3">
        <v>0.0</v>
      </c>
      <c r="F1758" s="3" t="s">
        <v>5269</v>
      </c>
      <c r="G1758" s="3">
        <v>1.0</v>
      </c>
      <c r="H1758" s="3">
        <v>0.0</v>
      </c>
      <c r="I1758" s="3" t="s">
        <v>13</v>
      </c>
      <c r="J1758" s="3" t="s">
        <v>5270</v>
      </c>
      <c r="K1758" s="3" t="s">
        <v>41</v>
      </c>
      <c r="L1758" s="3" t="str">
        <f>IFERROR(__xludf.DUMMYFUNCTION("GOOGLETRANSLATE(F1758,""id"",""en"")"),"The Best World Cup Final There was a Congratulations Argentina Messi Goat")</f>
        <v>The Best World Cup Final There was a Congratulations Argentina Messi Goat</v>
      </c>
    </row>
    <row r="1759" ht="15.75" customHeight="1">
      <c r="A1759" s="1">
        <v>1763.0</v>
      </c>
      <c r="B1759" s="3" t="s">
        <v>5271</v>
      </c>
      <c r="C1759" s="3">
        <v>0.0</v>
      </c>
      <c r="D1759" s="3">
        <v>0.0</v>
      </c>
      <c r="E1759" s="3">
        <v>0.0</v>
      </c>
      <c r="F1759" s="3" t="s">
        <v>5272</v>
      </c>
      <c r="G1759" s="3">
        <v>1.0</v>
      </c>
      <c r="H1759" s="3">
        <v>0.0</v>
      </c>
      <c r="I1759" s="3" t="s">
        <v>13</v>
      </c>
      <c r="J1759" s="3" t="s">
        <v>5273</v>
      </c>
      <c r="K1759" s="3" t="s">
        <v>240</v>
      </c>
      <c r="L1759" s="3" t="str">
        <f>IFERROR(__xludf.DUMMYFUNCTION("GOOGLETRANSLATE(F1759,""id"",""en"")"),"During watching the World Cup final this year, which really makes it nervous and excited to pee until it holds Sangkin exciting")</f>
        <v>During watching the World Cup final this year, which really makes it nervous and excited to pee until it holds Sangkin exciting</v>
      </c>
    </row>
    <row r="1760" ht="15.75" customHeight="1">
      <c r="A1760" s="1">
        <v>1764.0</v>
      </c>
      <c r="B1760" s="3" t="s">
        <v>5274</v>
      </c>
      <c r="C1760" s="3">
        <v>0.0</v>
      </c>
      <c r="D1760" s="3">
        <v>0.0</v>
      </c>
      <c r="E1760" s="3">
        <v>1.0</v>
      </c>
      <c r="F1760" s="3" t="s">
        <v>5275</v>
      </c>
      <c r="G1760" s="3">
        <v>0.65</v>
      </c>
      <c r="H1760" s="3">
        <v>0.1</v>
      </c>
      <c r="I1760" s="3" t="s">
        <v>48</v>
      </c>
      <c r="J1760" s="3" t="s">
        <v>5276</v>
      </c>
      <c r="K1760" s="3" t="s">
        <v>657</v>
      </c>
      <c r="L1760" s="3" t="str">
        <f>IFERROR(__xludf.DUMMYFUNCTION("GOOGLETRANSLATE(F1760,""id"",""en"")"),"The final was excited throughout the World Cup Thank you Camavinga et al. You still champion our hearts Real Madrid")</f>
        <v>The final was excited throughout the World Cup Thank you Camavinga et al. You still champion our hearts Real Madrid</v>
      </c>
    </row>
    <row r="1761" ht="15.75" customHeight="1">
      <c r="A1761" s="1">
        <v>1765.0</v>
      </c>
      <c r="B1761" s="3" t="s">
        <v>5277</v>
      </c>
      <c r="C1761" s="3">
        <v>0.0</v>
      </c>
      <c r="D1761" s="3">
        <v>8.0</v>
      </c>
      <c r="E1761" s="3">
        <v>15.0</v>
      </c>
      <c r="F1761" s="3" t="s">
        <v>5278</v>
      </c>
      <c r="G1761" s="3">
        <v>0.5833333333333334</v>
      </c>
      <c r="H1761" s="3">
        <v>0.05</v>
      </c>
      <c r="I1761" s="3" t="s">
        <v>48</v>
      </c>
      <c r="J1761" s="3" t="s">
        <v>5279</v>
      </c>
      <c r="K1761" s="3" t="s">
        <v>584</v>
      </c>
      <c r="L1761" s="3" t="str">
        <f>IFERROR(__xludf.DUMMYFUNCTION("GOOGLETRANSLATE(F1761,""id"",""en"")"),"Congratulations Albiceleste Argentina defeated France in the final of the Lusail Qatar Stadium, Sunday night, the final score of normal time until Extra Time Argentina then won a penalty shootout")</f>
        <v>Congratulations Albiceleste Argentina defeated France in the final of the Lusail Qatar Stadium, Sunday night, the final score of normal time until Extra Time Argentina then won a penalty shootout</v>
      </c>
    </row>
    <row r="1762" ht="15.75" customHeight="1">
      <c r="A1762" s="1">
        <v>1766.0</v>
      </c>
      <c r="B1762" s="3" t="s">
        <v>5280</v>
      </c>
      <c r="C1762" s="3">
        <v>0.0</v>
      </c>
      <c r="D1762" s="3">
        <v>0.0</v>
      </c>
      <c r="E1762" s="3">
        <v>0.0</v>
      </c>
      <c r="F1762" s="3" t="s">
        <v>5281</v>
      </c>
      <c r="G1762" s="3">
        <v>1.0</v>
      </c>
      <c r="H1762" s="3">
        <v>0.0</v>
      </c>
      <c r="I1762" s="3" t="s">
        <v>13</v>
      </c>
      <c r="J1762" s="3" t="s">
        <v>5282</v>
      </c>
      <c r="K1762" s="3" t="s">
        <v>90</v>
      </c>
      <c r="L1762" s="3" t="str">
        <f>IFERROR(__xludf.DUMMYFUNCTION("GOOGLETRANSLATE(F1762,""id"",""en"")"),"mbappe he is still young, still a long way to get a world cup final hat trick, it's really cool")</f>
        <v>mbappe he is still young, still a long way to get a world cup final hat trick, it's really cool</v>
      </c>
    </row>
    <row r="1763" ht="15.75" customHeight="1">
      <c r="A1763" s="1">
        <v>1767.0</v>
      </c>
      <c r="B1763" s="3" t="s">
        <v>5283</v>
      </c>
      <c r="C1763" s="3">
        <v>0.0</v>
      </c>
      <c r="D1763" s="3">
        <v>0.0</v>
      </c>
      <c r="E1763" s="3">
        <v>0.0</v>
      </c>
      <c r="F1763" s="3" t="s">
        <v>5284</v>
      </c>
      <c r="G1763" s="3">
        <v>1.0</v>
      </c>
      <c r="H1763" s="3">
        <v>0.0</v>
      </c>
      <c r="I1763" s="3" t="s">
        <v>13</v>
      </c>
      <c r="J1763" s="3" t="s">
        <v>5285</v>
      </c>
      <c r="K1763" s="3" t="s">
        <v>510</v>
      </c>
      <c r="L1763" s="3" t="str">
        <f>IFERROR(__xludf.DUMMYFUNCTION("GOOGLETRANSLATE(F1763,""id"",""en"")"),"World Cup Final Results Messi brought Argentina champions Mbappe failed to record Pele records")</f>
        <v>World Cup Final Results Messi brought Argentina champions Mbappe failed to record Pele records</v>
      </c>
    </row>
    <row r="1764" ht="15.75" customHeight="1">
      <c r="A1764" s="1">
        <v>1768.0</v>
      </c>
      <c r="B1764" s="3" t="s">
        <v>5286</v>
      </c>
      <c r="C1764" s="3">
        <v>3.0</v>
      </c>
      <c r="D1764" s="3">
        <v>2.0</v>
      </c>
      <c r="E1764" s="3">
        <v>1.0</v>
      </c>
      <c r="F1764" s="3" t="s">
        <v>5287</v>
      </c>
      <c r="G1764" s="3">
        <v>1.0</v>
      </c>
      <c r="H1764" s="3">
        <v>0.0</v>
      </c>
      <c r="I1764" s="3" t="s">
        <v>13</v>
      </c>
      <c r="J1764" s="3" t="s">
        <v>5288</v>
      </c>
      <c r="K1764" s="3" t="s">
        <v>910</v>
      </c>
      <c r="L1764" s="3" t="str">
        <f>IFERROR(__xludf.DUMMYFUNCTION("GOOGLETRANSLATE(F1764,""id"",""en"")"),"Although starting with the veil of the Pikasebeleun application with error teu kudu hahahhaha honest this is the best world cup final match I have ever watched full of surprise tensions.")</f>
        <v>Although starting with the veil of the Pikasebeleun application with error teu kudu hahahhaha honest this is the best world cup final match I have ever watched full of surprise tensions.</v>
      </c>
    </row>
    <row r="1765" ht="15.75" customHeight="1">
      <c r="A1765" s="1">
        <v>1770.0</v>
      </c>
      <c r="B1765" s="3" t="s">
        <v>5289</v>
      </c>
      <c r="C1765" s="3">
        <v>0.0</v>
      </c>
      <c r="D1765" s="3">
        <v>0.0</v>
      </c>
      <c r="E1765" s="3">
        <v>0.0</v>
      </c>
      <c r="F1765" s="3" t="s">
        <v>5290</v>
      </c>
      <c r="G1765" s="3">
        <v>1.0</v>
      </c>
      <c r="H1765" s="3">
        <v>0.0</v>
      </c>
      <c r="I1765" s="3" t="s">
        <v>13</v>
      </c>
      <c r="J1765" s="3" t="s">
        <v>5291</v>
      </c>
      <c r="K1765" s="3" t="s">
        <v>358</v>
      </c>
      <c r="L1765" s="3" t="str">
        <f>IFERROR(__xludf.DUMMYFUNCTION("GOOGLETRANSLATE(F1765,""id"",""en"")"),"The final was excited for this late World Cup, from the beginning, there were many dramas.")</f>
        <v>The final was excited for this late World Cup, from the beginning, there were many dramas.</v>
      </c>
    </row>
    <row r="1766" ht="15.75" customHeight="1">
      <c r="A1766" s="1">
        <v>1771.0</v>
      </c>
      <c r="B1766" s="3" t="s">
        <v>5292</v>
      </c>
      <c r="C1766" s="3">
        <v>0.0</v>
      </c>
      <c r="D1766" s="3">
        <v>0.0</v>
      </c>
      <c r="E1766" s="3">
        <v>0.0</v>
      </c>
      <c r="F1766" s="3" t="s">
        <v>5293</v>
      </c>
      <c r="G1766" s="3">
        <v>1.0</v>
      </c>
      <c r="H1766" s="3">
        <v>0.0</v>
      </c>
      <c r="I1766" s="3" t="s">
        <v>13</v>
      </c>
      <c r="J1766" s="3" t="s">
        <v>5294</v>
      </c>
      <c r="K1766" s="3" t="s">
        <v>31</v>
      </c>
      <c r="L1766" s="3" t="str">
        <f>IFERROR(__xludf.DUMMYFUNCTION("GOOGLETRANSLATE(F1766,""id"",""en"")"),"The World Cup Final broke out exciting")</f>
        <v>The World Cup Final broke out exciting</v>
      </c>
    </row>
    <row r="1767" ht="15.75" customHeight="1">
      <c r="A1767" s="1">
        <v>1772.0</v>
      </c>
      <c r="B1767" s="3" t="s">
        <v>5295</v>
      </c>
      <c r="C1767" s="3">
        <v>0.0</v>
      </c>
      <c r="D1767" s="3">
        <v>0.0</v>
      </c>
      <c r="E1767" s="3">
        <v>0.0</v>
      </c>
      <c r="F1767" s="3" t="s">
        <v>5296</v>
      </c>
      <c r="G1767" s="3">
        <v>0.5333333333333333</v>
      </c>
      <c r="H1767" s="3">
        <v>0.1666666666666667</v>
      </c>
      <c r="I1767" s="3" t="s">
        <v>48</v>
      </c>
      <c r="J1767" s="3" t="s">
        <v>5297</v>
      </c>
      <c r="K1767" s="3" t="s">
        <v>974</v>
      </c>
      <c r="L1767" s="3" t="str">
        <f>IFERROR(__xludf.DUMMYFUNCTION("GOOGLETRANSLATE(F1767,""id"",""en"")"),"The World Cup Final is the most exciting even until the end of extra time there will still be a surgery for the top scorer for Argentina, the Achievement of Messi Patient for Ronaldo Fans Achievement of the World Cup is difficult to debate about who the b"&amp;"est")</f>
        <v>The World Cup Final is the most exciting even until the end of extra time there will still be a surgery for the top scorer for Argentina, the Achievement of Messi Patient for Ronaldo Fans Achievement of the World Cup is difficult to debate about who the best</v>
      </c>
    </row>
    <row r="1768" ht="15.75" customHeight="1">
      <c r="A1768" s="1">
        <v>1773.0</v>
      </c>
      <c r="B1768" s="3" t="s">
        <v>5298</v>
      </c>
      <c r="C1768" s="3">
        <v>11.0</v>
      </c>
      <c r="D1768" s="3">
        <v>17.0</v>
      </c>
      <c r="E1768" s="3">
        <v>126.0</v>
      </c>
      <c r="F1768" s="3" t="s">
        <v>5299</v>
      </c>
      <c r="G1768" s="3">
        <v>0.75</v>
      </c>
      <c r="H1768" s="3">
        <v>0.25</v>
      </c>
      <c r="I1768" s="3" t="s">
        <v>48</v>
      </c>
      <c r="J1768" s="3" t="s">
        <v>5300</v>
      </c>
      <c r="K1768" s="3" t="s">
        <v>348</v>
      </c>
      <c r="L1768" s="3" t="str">
        <f>IFERROR(__xludf.DUMMYFUNCTION("GOOGLETRANSLATE(F1768,""id"",""en"")"),"Argentina Champion World Cup Lionel Messi managed to defeat France penalties in the final match which was held Lusail Iconic Stadium Sunday Albiceleste")</f>
        <v>Argentina Champion World Cup Lionel Messi managed to defeat France penalties in the final match which was held Lusail Iconic Stadium Sunday Albiceleste</v>
      </c>
    </row>
    <row r="1769" ht="15.75" customHeight="1">
      <c r="A1769" s="1">
        <v>1774.0</v>
      </c>
      <c r="B1769" s="3" t="s">
        <v>5301</v>
      </c>
      <c r="C1769" s="3">
        <v>0.0</v>
      </c>
      <c r="D1769" s="3">
        <v>0.0</v>
      </c>
      <c r="E1769" s="3">
        <v>0.0</v>
      </c>
      <c r="F1769" s="3" t="s">
        <v>5302</v>
      </c>
      <c r="G1769" s="3">
        <v>1.0</v>
      </c>
      <c r="H1769" s="3">
        <v>0.05</v>
      </c>
      <c r="I1769" s="3" t="s">
        <v>48</v>
      </c>
      <c r="J1769" s="3" t="s">
        <v>5303</v>
      </c>
      <c r="K1769" s="3" t="s">
        <v>15</v>
      </c>
      <c r="L1769" s="3" t="str">
        <f>IFERROR(__xludf.DUMMYFUNCTION("GOOGLETRANSLATE(F1769,""id"",""en"")"),"The best world cup final has ever seen Wow Messi")</f>
        <v>The best world cup final has ever seen Wow Messi</v>
      </c>
    </row>
    <row r="1770" ht="15.75" customHeight="1">
      <c r="A1770" s="1">
        <v>1775.0</v>
      </c>
      <c r="B1770" s="3" t="s">
        <v>5304</v>
      </c>
      <c r="C1770" s="3">
        <v>0.0</v>
      </c>
      <c r="D1770" s="3">
        <v>0.0</v>
      </c>
      <c r="E1770" s="3">
        <v>0.0</v>
      </c>
      <c r="F1770" s="3" t="s">
        <v>5305</v>
      </c>
      <c r="G1770" s="3">
        <v>1.0</v>
      </c>
      <c r="H1770" s="3">
        <v>0.0</v>
      </c>
      <c r="I1770" s="3" t="s">
        <v>13</v>
      </c>
      <c r="J1770" s="3" t="s">
        <v>5306</v>
      </c>
      <c r="K1770" s="3" t="s">
        <v>2215</v>
      </c>
      <c r="L1770" s="3" t="str">
        <f>IFERROR(__xludf.DUMMYFUNCTION("GOOGLETRANSLATE(F1770,""id"",""en"")"),"What Final presents the most exciting match during the Argentina Congrats World Congrats World Cup final")</f>
        <v>What Final presents the most exciting match during the Argentina Congrats World Congrats World Cup final</v>
      </c>
    </row>
    <row r="1771" ht="15.75" customHeight="1">
      <c r="A1771" s="1">
        <v>1776.0</v>
      </c>
      <c r="B1771" s="3" t="s">
        <v>5307</v>
      </c>
      <c r="C1771" s="3">
        <v>0.0</v>
      </c>
      <c r="D1771" s="3">
        <v>0.0</v>
      </c>
      <c r="E1771" s="3">
        <v>0.0</v>
      </c>
      <c r="F1771" s="3" t="s">
        <v>5308</v>
      </c>
      <c r="G1771" s="3">
        <v>1.0</v>
      </c>
      <c r="H1771" s="3">
        <v>0.0</v>
      </c>
      <c r="I1771" s="3" t="s">
        <v>13</v>
      </c>
      <c r="J1771" s="3" t="s">
        <v>5309</v>
      </c>
      <c r="K1771" s="3" t="s">
        <v>699</v>
      </c>
      <c r="L1771" s="3" t="str">
        <f>IFERROR(__xludf.DUMMYFUNCTION("GOOGLETRANSLATE(F1771,""id"",""en"")"),"Bravo Argentina Final World Cup Qatar Mbappe Crying Argentina")</f>
        <v>Bravo Argentina Final World Cup Qatar Mbappe Crying Argentina</v>
      </c>
    </row>
    <row r="1772" ht="15.75" customHeight="1">
      <c r="A1772" s="1">
        <v>1777.0</v>
      </c>
      <c r="B1772" s="3" t="s">
        <v>5310</v>
      </c>
      <c r="C1772" s="3">
        <v>0.0</v>
      </c>
      <c r="D1772" s="3">
        <v>0.0</v>
      </c>
      <c r="E1772" s="3">
        <v>0.0</v>
      </c>
      <c r="F1772" s="3" t="s">
        <v>5311</v>
      </c>
      <c r="G1772" s="3">
        <v>1.0</v>
      </c>
      <c r="H1772" s="3">
        <v>0.0</v>
      </c>
      <c r="I1772" s="3" t="s">
        <v>13</v>
      </c>
      <c r="J1772" s="3" t="s">
        <v>5312</v>
      </c>
      <c r="K1772" s="3" t="s">
        <v>23</v>
      </c>
      <c r="L1772" s="3" t="str">
        <f>IFERROR(__xludf.DUMMYFUNCTION("GOOGLETRANSLATE(F1772,""id"",""en"")"),"Thank you to and the final is very exciting for Argentina especially for Messi to close the national team's career by bringing a complete world cup trophy. Already a Trophy collection")</f>
        <v>Thank you to and the final is very exciting for Argentina especially for Messi to close the national team's career by bringing a complete world cup trophy. Already a Trophy collection</v>
      </c>
    </row>
    <row r="1773" ht="15.75" customHeight="1">
      <c r="A1773" s="1">
        <v>1778.0</v>
      </c>
      <c r="B1773" s="3" t="s">
        <v>5313</v>
      </c>
      <c r="C1773" s="3">
        <v>0.0</v>
      </c>
      <c r="D1773" s="3">
        <v>0.0</v>
      </c>
      <c r="E1773" s="3">
        <v>2.0</v>
      </c>
      <c r="F1773" s="3" t="s">
        <v>5314</v>
      </c>
      <c r="G1773" s="3">
        <v>1.0</v>
      </c>
      <c r="H1773" s="3">
        <v>0.0</v>
      </c>
      <c r="I1773" s="3" t="s">
        <v>13</v>
      </c>
      <c r="J1773" s="3" t="s">
        <v>5315</v>
      </c>
      <c r="K1773" s="3" t="s">
        <v>82</v>
      </c>
      <c r="L1773" s="3" t="str">
        <f>IFERROR(__xludf.DUMMYFUNCTION("GOOGLETRANSLATE(F1773,""id"",""en"")"),"Final The Most Ramed Salila Lalajo World Cup")</f>
        <v>Final The Most Ramed Salila Lalajo World Cup</v>
      </c>
    </row>
    <row r="1774" ht="15.75" customHeight="1">
      <c r="A1774" s="1">
        <v>1779.0</v>
      </c>
      <c r="B1774" s="3" t="s">
        <v>5316</v>
      </c>
      <c r="C1774" s="3">
        <v>0.0</v>
      </c>
      <c r="D1774" s="3">
        <v>0.0</v>
      </c>
      <c r="E1774" s="3">
        <v>0.0</v>
      </c>
      <c r="F1774" s="3" t="s">
        <v>5317</v>
      </c>
      <c r="G1774" s="3">
        <v>1.0</v>
      </c>
      <c r="H1774" s="3">
        <v>0.0</v>
      </c>
      <c r="I1774" s="3" t="s">
        <v>13</v>
      </c>
      <c r="J1774" s="3" t="s">
        <v>5318</v>
      </c>
      <c r="K1774" s="3" t="s">
        <v>433</v>
      </c>
      <c r="L1774" s="3" t="str">
        <f>IFERROR(__xludf.DUMMYFUNCTION("GOOGLETRANSLATE(F1774,""id"",""en"")"),"Since I met and watched the first world cup this year this was the most exciting Final Bedebahhh AMATTTT")</f>
        <v>Since I met and watched the first world cup this year this was the most exciting Final Bedebahhh AMATTTT</v>
      </c>
    </row>
    <row r="1775" ht="15.75" customHeight="1">
      <c r="A1775" s="1">
        <v>1780.0</v>
      </c>
      <c r="B1775" s="3" t="s">
        <v>5319</v>
      </c>
      <c r="C1775" s="3">
        <v>0.0</v>
      </c>
      <c r="D1775" s="3">
        <v>0.0</v>
      </c>
      <c r="E1775" s="3">
        <v>0.0</v>
      </c>
      <c r="F1775" s="3" t="s">
        <v>5320</v>
      </c>
      <c r="G1775" s="3">
        <v>1.0</v>
      </c>
      <c r="H1775" s="3">
        <v>0.0</v>
      </c>
      <c r="I1775" s="3" t="s">
        <v>13</v>
      </c>
      <c r="J1775" s="3" t="s">
        <v>5321</v>
      </c>
      <c r="K1775" s="3" t="s">
        <v>510</v>
      </c>
      <c r="L1775" s="3" t="str">
        <f>IFERROR(__xludf.DUMMYFUNCTION("GOOGLETRANSLATE(F1775,""id"",""en"")"),"Spanish Argentina My team hates both of the world cup final fighting penalty anjeeeeeng")</f>
        <v>Spanish Argentina My team hates both of the world cup final fighting penalty anjeeeeeng</v>
      </c>
    </row>
    <row r="1776" ht="15.75" customHeight="1">
      <c r="A1776" s="1">
        <v>1781.0</v>
      </c>
      <c r="B1776" s="3" t="s">
        <v>5322</v>
      </c>
      <c r="C1776" s="3">
        <v>0.0</v>
      </c>
      <c r="D1776" s="3">
        <v>0.0</v>
      </c>
      <c r="E1776" s="3">
        <v>0.0</v>
      </c>
      <c r="F1776" s="3" t="s">
        <v>5323</v>
      </c>
      <c r="G1776" s="3">
        <v>1.0</v>
      </c>
      <c r="H1776" s="3">
        <v>0.0</v>
      </c>
      <c r="I1776" s="3" t="s">
        <v>13</v>
      </c>
      <c r="J1776" s="3" t="s">
        <v>5324</v>
      </c>
      <c r="K1776" s="3" t="s">
        <v>54</v>
      </c>
      <c r="L1776" s="3" t="str">
        <f>IFERROR(__xludf.DUMMYFUNCTION("GOOGLETRANSLATE(F1776,""id"",""en"")"),"The final was excited during the World Cup")</f>
        <v>The final was excited during the World Cup</v>
      </c>
    </row>
    <row r="1777" ht="15.75" customHeight="1">
      <c r="A1777" s="1">
        <v>1782.0</v>
      </c>
      <c r="B1777" s="3" t="s">
        <v>5325</v>
      </c>
      <c r="C1777" s="3">
        <v>0.0</v>
      </c>
      <c r="D1777" s="3">
        <v>0.0</v>
      </c>
      <c r="E1777" s="3">
        <v>0.0</v>
      </c>
      <c r="F1777" s="3" t="s">
        <v>5326</v>
      </c>
      <c r="G1777" s="3">
        <v>1.0</v>
      </c>
      <c r="H1777" s="3">
        <v>0.0</v>
      </c>
      <c r="I1777" s="3" t="s">
        <v>13</v>
      </c>
      <c r="J1777" s="3" t="s">
        <v>5327</v>
      </c>
      <c r="K1777" s="3" t="s">
        <v>50</v>
      </c>
      <c r="L1777" s="3" t="str">
        <f>IFERROR(__xludf.DUMMYFUNCTION("GOOGLETRANSLATE(F1777,""id"",""en"")"),"One of the best finals of the intense World Cup from the early minutes of Argentina Congrats")</f>
        <v>One of the best finals of the intense World Cup from the early minutes of Argentina Congrats</v>
      </c>
    </row>
    <row r="1778" ht="15.75" customHeight="1">
      <c r="A1778" s="1">
        <v>1783.0</v>
      </c>
      <c r="B1778" s="3" t="s">
        <v>5328</v>
      </c>
      <c r="C1778" s="3">
        <v>0.0</v>
      </c>
      <c r="D1778" s="3">
        <v>0.0</v>
      </c>
      <c r="E1778" s="3">
        <v>6.0</v>
      </c>
      <c r="F1778" s="3" t="s">
        <v>5329</v>
      </c>
      <c r="G1778" s="3">
        <v>1.0</v>
      </c>
      <c r="H1778" s="3">
        <v>0.0</v>
      </c>
      <c r="I1778" s="3" t="s">
        <v>13</v>
      </c>
      <c r="J1778" s="3" t="s">
        <v>5330</v>
      </c>
      <c r="K1778" s="3" t="s">
        <v>484</v>
      </c>
      <c r="L1778" s="3" t="str">
        <f>IFERROR(__xludf.DUMMYFUNCTION("GOOGLETRANSLATE(F1778,""id"",""en"")"),"There are still those who say this is the World Cup this Settingan Final of the Best World Cup I've ever watched from your struggle Argentina France")</f>
        <v>There are still those who say this is the World Cup this Settingan Final of the Best World Cup I've ever watched from your struggle Argentina France</v>
      </c>
    </row>
    <row r="1779" ht="15.75" customHeight="1">
      <c r="A1779" s="1">
        <v>1784.0</v>
      </c>
      <c r="B1779" s="3" t="s">
        <v>5331</v>
      </c>
      <c r="C1779" s="3">
        <v>0.0</v>
      </c>
      <c r="D1779" s="3">
        <v>0.0</v>
      </c>
      <c r="E1779" s="3">
        <v>0.0</v>
      </c>
      <c r="F1779" s="3" t="s">
        <v>5332</v>
      </c>
      <c r="G1779" s="3">
        <v>1.0</v>
      </c>
      <c r="H1779" s="3">
        <v>0.0</v>
      </c>
      <c r="I1779" s="3" t="s">
        <v>13</v>
      </c>
      <c r="J1779" s="3" t="s">
        <v>5333</v>
      </c>
      <c r="K1779" s="3" t="s">
        <v>3896</v>
      </c>
      <c r="L1779" s="3" t="str">
        <f>IFERROR(__xludf.DUMMYFUNCTION("GOOGLETRANSLATE(F1779,""id"",""en"")"),"Qatar World Cup Thank you the most emotional final I have ever watched congratulations for Argentina congratulations for Messi congratulations for KUH's friends who support Argentina Respect")</f>
        <v>Qatar World Cup Thank you the most emotional final I have ever watched congratulations for Argentina congratulations for Messi congratulations for KUH's friends who support Argentina Respect</v>
      </c>
    </row>
    <row r="1780" ht="15.75" customHeight="1">
      <c r="A1780" s="1">
        <v>1785.0</v>
      </c>
      <c r="B1780" s="3" t="s">
        <v>5334</v>
      </c>
      <c r="C1780" s="3">
        <v>0.0</v>
      </c>
      <c r="D1780" s="3">
        <v>0.0</v>
      </c>
      <c r="E1780" s="3">
        <v>0.0</v>
      </c>
      <c r="F1780" s="3" t="s">
        <v>5335</v>
      </c>
      <c r="G1780" s="3">
        <v>1.0</v>
      </c>
      <c r="H1780" s="3">
        <v>0.0</v>
      </c>
      <c r="I1780" s="3" t="s">
        <v>13</v>
      </c>
      <c r="J1780" s="3" t="s">
        <v>5336</v>
      </c>
      <c r="K1780" s="3" t="s">
        <v>883</v>
      </c>
      <c r="L1780" s="3" t="str">
        <f>IFERROR(__xludf.DUMMYFUNCTION("GOOGLETRANSLATE(F1780,""id"",""en"")"),"The World Cup Final Terrrrrrgokil Congratulations Argentina won the World Cup title but France is also very JOSS to fight until the last second")</f>
        <v>The World Cup Final Terrrrrrgokil Congratulations Argentina won the World Cup title but France is also very JOSS to fight until the last second</v>
      </c>
    </row>
    <row r="1781" ht="15.75" customHeight="1">
      <c r="A1781" s="1">
        <v>1786.0</v>
      </c>
      <c r="B1781" s="3" t="s">
        <v>5337</v>
      </c>
      <c r="C1781" s="3">
        <v>0.0</v>
      </c>
      <c r="D1781" s="3">
        <v>0.0</v>
      </c>
      <c r="E1781" s="3">
        <v>0.0</v>
      </c>
      <c r="F1781" s="3" t="s">
        <v>5338</v>
      </c>
      <c r="G1781" s="3">
        <v>1.0</v>
      </c>
      <c r="H1781" s="3">
        <v>0.0</v>
      </c>
      <c r="I1781" s="3" t="s">
        <v>13</v>
      </c>
      <c r="J1781" s="3" t="s">
        <v>5339</v>
      </c>
      <c r="K1781" s="3" t="s">
        <v>266</v>
      </c>
      <c r="L1781" s="3" t="str">
        <f>IFERROR(__xludf.DUMMYFUNCTION("GOOGLETRANSLATE(F1781,""id"",""en"")"),"The confidence of the Messiah after God's hand has been real in his football world congratulations to Argentina and especially Messi Final of the Best World Cup Congratulations for Qatar and the Islamic Arab world you are good ambassadors for the peace of"&amp;" Islam")</f>
        <v>The confidence of the Messiah after God's hand has been real in his football world congratulations to Argentina and especially Messi Final of the Best World Cup Congratulations for Qatar and the Islamic Arab world you are good ambassadors for the peace of Islam</v>
      </c>
    </row>
    <row r="1782" ht="15.75" customHeight="1">
      <c r="A1782" s="1">
        <v>1787.0</v>
      </c>
      <c r="B1782" s="3" t="s">
        <v>5340</v>
      </c>
      <c r="C1782" s="3">
        <v>0.0</v>
      </c>
      <c r="D1782" s="3">
        <v>0.0</v>
      </c>
      <c r="E1782" s="3">
        <v>0.0</v>
      </c>
      <c r="F1782" s="3" t="s">
        <v>5341</v>
      </c>
      <c r="G1782" s="3">
        <v>1.0</v>
      </c>
      <c r="H1782" s="3">
        <v>0.0</v>
      </c>
      <c r="I1782" s="3" t="s">
        <v>13</v>
      </c>
      <c r="J1782" s="3" t="s">
        <v>5342</v>
      </c>
      <c r="K1782" s="3" t="s">
        <v>15</v>
      </c>
      <c r="L1782" s="3" t="str">
        <f>IFERROR(__xludf.DUMMYFUNCTION("GOOGLETRANSLATE(F1782,""id"",""en"")"),"Whoever the World Cup final champion this time is really crazy")</f>
        <v>Whoever the World Cup final champion this time is really crazy</v>
      </c>
    </row>
    <row r="1783" ht="15.75" customHeight="1">
      <c r="A1783" s="1">
        <v>1788.0</v>
      </c>
      <c r="B1783" s="3" t="s">
        <v>5343</v>
      </c>
      <c r="C1783" s="3">
        <v>0.0</v>
      </c>
      <c r="D1783" s="3">
        <v>0.0</v>
      </c>
      <c r="E1783" s="3">
        <v>0.0</v>
      </c>
      <c r="F1783" s="3" t="s">
        <v>5344</v>
      </c>
      <c r="G1783" s="3">
        <v>0.65</v>
      </c>
      <c r="H1783" s="3">
        <v>0.5</v>
      </c>
      <c r="I1783" s="3" t="s">
        <v>48</v>
      </c>
      <c r="J1783" s="3" t="s">
        <v>5345</v>
      </c>
      <c r="K1783" s="3" t="s">
        <v>50</v>
      </c>
      <c r="L1783" s="3" t="str">
        <f>IFERROR(__xludf.DUMMYFUNCTION("GOOGLETRANSLATE(F1783,""id"",""en"")"),"The Best Final of the World Cup I once watched because when I wasn't born")</f>
        <v>The Best Final of the World Cup I once watched because when I wasn't born</v>
      </c>
    </row>
    <row r="1784" ht="15.75" customHeight="1">
      <c r="A1784" s="1">
        <v>1789.0</v>
      </c>
      <c r="B1784" s="3" t="s">
        <v>5346</v>
      </c>
      <c r="C1784" s="3">
        <v>3.0</v>
      </c>
      <c r="D1784" s="3">
        <v>6.0</v>
      </c>
      <c r="E1784" s="3">
        <v>17.0</v>
      </c>
      <c r="F1784" s="3" t="s">
        <v>5347</v>
      </c>
      <c r="G1784" s="3">
        <v>0.825</v>
      </c>
      <c r="H1784" s="3">
        <v>0.075</v>
      </c>
      <c r="I1784" s="3" t="s">
        <v>48</v>
      </c>
      <c r="J1784" s="3" t="s">
        <v>5348</v>
      </c>
      <c r="K1784" s="3" t="s">
        <v>695</v>
      </c>
      <c r="L1784" s="3" t="str">
        <f>IFERROR(__xludf.DUMMYFUNCTION("GOOGLETRANSLATE(F1784,""id"",""en"")"),"Argentina won the Argentine World Cup championship trophy to defeat France Final through penalties after playing a series of normal time")</f>
        <v>Argentina won the Argentine World Cup championship trophy to defeat France Final through penalties after playing a series of normal time</v>
      </c>
    </row>
    <row r="1785" ht="15.75" customHeight="1">
      <c r="A1785" s="1">
        <v>1790.0</v>
      </c>
      <c r="B1785" s="3" t="s">
        <v>5349</v>
      </c>
      <c r="C1785" s="3">
        <v>0.0</v>
      </c>
      <c r="D1785" s="3">
        <v>0.0</v>
      </c>
      <c r="E1785" s="3">
        <v>0.0</v>
      </c>
      <c r="F1785" s="3" t="s">
        <v>5350</v>
      </c>
      <c r="G1785" s="3">
        <v>1.0</v>
      </c>
      <c r="H1785" s="3">
        <v>0.0</v>
      </c>
      <c r="I1785" s="3" t="s">
        <v>13</v>
      </c>
      <c r="J1785" s="3" t="s">
        <v>5351</v>
      </c>
      <c r="K1785" s="3" t="s">
        <v>149</v>
      </c>
      <c r="L1785" s="3" t="str">
        <f>IFERROR(__xludf.DUMMYFUNCTION("GOOGLETRANSLATE(F1785,""id"",""en"")"),"Remember the world cup from the beginning of the Argentina but lost the final of Germany and now paid for Argentina to win when he was not stuck")</f>
        <v>Remember the world cup from the beginning of the Argentina but lost the final of Germany and now paid for Argentina to win when he was not stuck</v>
      </c>
    </row>
    <row r="1786" ht="15.75" customHeight="1">
      <c r="A1786" s="1">
        <v>1791.0</v>
      </c>
      <c r="B1786" s="3" t="s">
        <v>5352</v>
      </c>
      <c r="C1786" s="3">
        <v>0.0</v>
      </c>
      <c r="D1786" s="3">
        <v>0.0</v>
      </c>
      <c r="E1786" s="3">
        <v>0.0</v>
      </c>
      <c r="F1786" s="3" t="s">
        <v>5353</v>
      </c>
      <c r="G1786" s="3">
        <v>1.0</v>
      </c>
      <c r="H1786" s="3">
        <v>0.0</v>
      </c>
      <c r="I1786" s="3" t="s">
        <v>13</v>
      </c>
      <c r="J1786" s="3" t="s">
        <v>5354</v>
      </c>
      <c r="K1786" s="3" t="s">
        <v>75</v>
      </c>
      <c r="L1786" s="3" t="str">
        <f>IFERROR(__xludf.DUMMYFUNCTION("GOOGLETRANSLATE(F1786,""id"",""en"")"),"Year finally saw Argentina Champion World Cup What Fucking Final")</f>
        <v>Year finally saw Argentina Champion World Cup What Fucking Final</v>
      </c>
    </row>
    <row r="1787" ht="15.75" customHeight="1">
      <c r="A1787" s="1">
        <v>1792.0</v>
      </c>
      <c r="B1787" s="3" t="s">
        <v>5355</v>
      </c>
      <c r="C1787" s="3">
        <v>0.0</v>
      </c>
      <c r="D1787" s="3">
        <v>0.0</v>
      </c>
      <c r="E1787" s="3">
        <v>0.0</v>
      </c>
      <c r="F1787" s="3" t="s">
        <v>5356</v>
      </c>
      <c r="G1787" s="3">
        <v>1.0</v>
      </c>
      <c r="H1787" s="3">
        <v>0.0</v>
      </c>
      <c r="I1787" s="3" t="s">
        <v>13</v>
      </c>
      <c r="J1787" s="3" t="s">
        <v>5357</v>
      </c>
      <c r="K1787" s="3" t="s">
        <v>437</v>
      </c>
      <c r="L1787" s="3" t="str">
        <f>IFERROR(__xludf.DUMMYFUNCTION("GOOGLETRANSLATE(F1787,""id"",""en"")"),"Cool Messi retired as the best era of the second human being after Geoff Hurst scored the Cool World Cup Final Hattrick")</f>
        <v>Cool Messi retired as the best era of the second human being after Geoff Hurst scored the Cool World Cup Final Hattrick</v>
      </c>
    </row>
    <row r="1788" ht="15.75" customHeight="1">
      <c r="A1788" s="1">
        <v>1793.0</v>
      </c>
      <c r="B1788" s="3" t="s">
        <v>5358</v>
      </c>
      <c r="C1788" s="3">
        <v>0.0</v>
      </c>
      <c r="D1788" s="3">
        <v>2.0</v>
      </c>
      <c r="E1788" s="3">
        <v>1.0</v>
      </c>
      <c r="F1788" s="3" t="s">
        <v>5359</v>
      </c>
      <c r="G1788" s="3">
        <v>1.0</v>
      </c>
      <c r="H1788" s="3">
        <v>0.0</v>
      </c>
      <c r="I1788" s="3" t="s">
        <v>13</v>
      </c>
      <c r="J1788" s="3" t="s">
        <v>5360</v>
      </c>
      <c r="K1788" s="3" t="s">
        <v>633</v>
      </c>
      <c r="L1788" s="3" t="str">
        <f>IFERROR(__xludf.DUMMYFUNCTION("GOOGLETRANSLATE(F1788,""id"",""en"")"),"Argentina Defeated France in the Argentine World Cup Final Action Winning to Determining a Penalty Kick After Both Two Troops are Bounded by Tamat Taman Additional")</f>
        <v>Argentina Defeated France in the Argentine World Cup Final Action Winning to Determining a Penalty Kick After Both Two Troops are Bounded by Tamat Taman Additional</v>
      </c>
    </row>
    <row r="1789" ht="15.75" customHeight="1">
      <c r="A1789" s="1">
        <v>1794.0</v>
      </c>
      <c r="B1789" s="3" t="s">
        <v>5361</v>
      </c>
      <c r="C1789" s="3">
        <v>0.0</v>
      </c>
      <c r="D1789" s="3">
        <v>0.0</v>
      </c>
      <c r="E1789" s="3">
        <v>0.0</v>
      </c>
      <c r="F1789" s="3" t="s">
        <v>5362</v>
      </c>
      <c r="G1789" s="3">
        <v>1.0</v>
      </c>
      <c r="H1789" s="3">
        <v>0.0</v>
      </c>
      <c r="I1789" s="3" t="s">
        <v>13</v>
      </c>
      <c r="J1789" s="3" t="s">
        <v>5363</v>
      </c>
      <c r="K1789" s="3" t="s">
        <v>54</v>
      </c>
      <c r="L1789" s="3" t="str">
        <f>IFERROR(__xludf.DUMMYFUNCTION("GOOGLETRANSLATE(F1789,""id"",""en"")"),"World Cup Final Most Sintinggggg Beneer")</f>
        <v>World Cup Final Most Sintinggggg Beneer</v>
      </c>
    </row>
    <row r="1790" ht="15.75" customHeight="1">
      <c r="A1790" s="1">
        <v>1795.0</v>
      </c>
      <c r="B1790" s="3" t="s">
        <v>5364</v>
      </c>
      <c r="C1790" s="3">
        <v>1.0</v>
      </c>
      <c r="D1790" s="3">
        <v>0.0</v>
      </c>
      <c r="E1790" s="3">
        <v>17.0</v>
      </c>
      <c r="F1790" s="3" t="s">
        <v>5365</v>
      </c>
      <c r="G1790" s="3">
        <v>0.95</v>
      </c>
      <c r="H1790" s="3">
        <v>0.3</v>
      </c>
      <c r="I1790" s="3" t="s">
        <v>48</v>
      </c>
      <c r="J1790" s="3" t="s">
        <v>5366</v>
      </c>
      <c r="K1790" s="3" t="s">
        <v>19</v>
      </c>
      <c r="L1790" s="3" t="str">
        <f>IFERROR(__xludf.DUMMYFUNCTION("GOOGLETRANSLATE(F1790,""id"",""en"")"),"In the future, every time you watch the World Cup, you will not be able to forget this extraordinary final. Amazing Qatar")</f>
        <v>In the future, every time you watch the World Cup, you will not be able to forget this extraordinary final. Amazing Qatar</v>
      </c>
    </row>
    <row r="1791" ht="15.75" customHeight="1">
      <c r="A1791" s="1">
        <v>1796.0</v>
      </c>
      <c r="B1791" s="3" t="s">
        <v>5367</v>
      </c>
      <c r="C1791" s="3">
        <v>0.0</v>
      </c>
      <c r="D1791" s="3">
        <v>0.0</v>
      </c>
      <c r="E1791" s="3">
        <v>0.0</v>
      </c>
      <c r="F1791" s="3" t="s">
        <v>5368</v>
      </c>
      <c r="G1791" s="3">
        <v>1.0</v>
      </c>
      <c r="H1791" s="3">
        <v>0.0</v>
      </c>
      <c r="I1791" s="3" t="s">
        <v>13</v>
      </c>
      <c r="J1791" s="3" t="s">
        <v>5369</v>
      </c>
      <c r="K1791" s="3" t="s">
        <v>50</v>
      </c>
      <c r="L1791" s="3" t="str">
        <f>IFERROR(__xludf.DUMMYFUNCTION("GOOGLETRANSLATE(F1791,""id"",""en"")"),"The Best World Cup Final Throughout I Watch Thank You Argentina and France")</f>
        <v>The Best World Cup Final Throughout I Watch Thank You Argentina and France</v>
      </c>
    </row>
    <row r="1792" ht="15.75" customHeight="1">
      <c r="A1792" s="1">
        <v>1797.0</v>
      </c>
      <c r="B1792" s="3" t="s">
        <v>5370</v>
      </c>
      <c r="C1792" s="3">
        <v>1.0</v>
      </c>
      <c r="D1792" s="3">
        <v>0.0</v>
      </c>
      <c r="E1792" s="3">
        <v>0.0</v>
      </c>
      <c r="F1792" s="3" t="s">
        <v>5371</v>
      </c>
      <c r="G1792" s="3">
        <v>1.0</v>
      </c>
      <c r="H1792" s="3">
        <v>0.0</v>
      </c>
      <c r="I1792" s="3" t="s">
        <v>13</v>
      </c>
      <c r="J1792" s="3" t="s">
        <v>5372</v>
      </c>
      <c r="K1792" s="3" t="s">
        <v>244</v>
      </c>
      <c r="L1792" s="3" t="str">
        <f>IFERROR(__xludf.DUMMYFUNCTION("GOOGLETRANSLATE(F1792,""id"",""en"")"),"tonight staying here because of the final Congrats World Cup Messi Deserve")</f>
        <v>tonight staying here because of the final Congrats World Cup Messi Deserve</v>
      </c>
    </row>
    <row r="1793" ht="15.75" customHeight="1">
      <c r="A1793" s="1">
        <v>1798.0</v>
      </c>
      <c r="B1793" s="3" t="s">
        <v>5373</v>
      </c>
      <c r="C1793" s="3">
        <v>0.0</v>
      </c>
      <c r="D1793" s="3">
        <v>0.0</v>
      </c>
      <c r="E1793" s="3">
        <v>0.0</v>
      </c>
      <c r="F1793" s="3" t="s">
        <v>5374</v>
      </c>
      <c r="G1793" s="3">
        <v>1.0</v>
      </c>
      <c r="H1793" s="3">
        <v>0.0</v>
      </c>
      <c r="I1793" s="3" t="s">
        <v>13</v>
      </c>
      <c r="J1793" s="3" t="s">
        <v>5375</v>
      </c>
      <c r="K1793" s="3" t="s">
        <v>82</v>
      </c>
      <c r="L1793" s="3" t="str">
        <f>IFERROR(__xludf.DUMMYFUNCTION("GOOGLETRANSLATE(F1793,""id"",""en"")"),"The Coolest World Cup Final for Lifetime")</f>
        <v>The Coolest World Cup Final for Lifetime</v>
      </c>
    </row>
    <row r="1794" ht="15.75" customHeight="1">
      <c r="A1794" s="1">
        <v>1799.0</v>
      </c>
      <c r="B1794" s="3" t="s">
        <v>5376</v>
      </c>
      <c r="C1794" s="3">
        <v>0.0</v>
      </c>
      <c r="D1794" s="3">
        <v>0.0</v>
      </c>
      <c r="E1794" s="3">
        <v>0.0</v>
      </c>
      <c r="F1794" s="3" t="s">
        <v>5377</v>
      </c>
      <c r="G1794" s="3">
        <v>1.0</v>
      </c>
      <c r="H1794" s="3">
        <v>0.4</v>
      </c>
      <c r="I1794" s="3" t="s">
        <v>48</v>
      </c>
      <c r="J1794" s="3" t="s">
        <v>5378</v>
      </c>
      <c r="K1794" s="3" t="s">
        <v>35</v>
      </c>
      <c r="L1794" s="3" t="str">
        <f>IFERROR(__xludf.DUMMYFUNCTION("GOOGLETRANSLATE(F1794,""id"",""en"")"),"Congratulationsssss Messi and friends are you happy guys the World Cup Final this time")</f>
        <v>Congratulationsssss Messi and friends are you happy guys the World Cup Final this time</v>
      </c>
    </row>
    <row r="1795" ht="15.75" customHeight="1">
      <c r="A1795" s="1">
        <v>1800.0</v>
      </c>
      <c r="B1795" s="3" t="s">
        <v>5379</v>
      </c>
      <c r="C1795" s="3">
        <v>0.0</v>
      </c>
      <c r="D1795" s="3">
        <v>0.0</v>
      </c>
      <c r="E1795" s="3">
        <v>0.0</v>
      </c>
      <c r="F1795" s="3" t="s">
        <v>5380</v>
      </c>
      <c r="G1795" s="3">
        <v>1.0</v>
      </c>
      <c r="H1795" s="3">
        <v>0.0</v>
      </c>
      <c r="I1795" s="3" t="s">
        <v>13</v>
      </c>
      <c r="J1795" s="3" t="s">
        <v>5381</v>
      </c>
      <c r="K1795" s="3" t="s">
        <v>510</v>
      </c>
      <c r="L1795" s="3" t="str">
        <f>IFERROR(__xludf.DUMMYFUNCTION("GOOGLETRANSLATE(F1795,""id"",""en"")"),"France ends with the World Cup Final Final Final Filer Fabio Grosso Gonzalo Montiel")</f>
        <v>France ends with the World Cup Final Final Final Filer Fabio Grosso Gonzalo Montiel</v>
      </c>
    </row>
    <row r="1796" ht="15.75" customHeight="1">
      <c r="A1796" s="1">
        <v>1801.0</v>
      </c>
      <c r="B1796" s="3" t="s">
        <v>5382</v>
      </c>
      <c r="C1796" s="3">
        <v>0.0</v>
      </c>
      <c r="D1796" s="3">
        <v>0.0</v>
      </c>
      <c r="E1796" s="3">
        <v>1.0</v>
      </c>
      <c r="F1796" s="3" t="s">
        <v>5383</v>
      </c>
      <c r="G1796" s="3">
        <v>1.0</v>
      </c>
      <c r="H1796" s="3">
        <v>0.0</v>
      </c>
      <c r="I1796" s="3" t="s">
        <v>13</v>
      </c>
      <c r="J1796" s="3" t="s">
        <v>5384</v>
      </c>
      <c r="K1796" s="3" t="s">
        <v>41</v>
      </c>
      <c r="L1796" s="3" t="str">
        <f>IFERROR(__xludf.DUMMYFUNCTION("GOOGLETRANSLATE(F1796,""id"",""en"")"),"The best World Cup final I watched Argentina Happy")</f>
        <v>The best World Cup final I watched Argentina Happy</v>
      </c>
    </row>
    <row r="1797" ht="15.75" customHeight="1">
      <c r="A1797" s="1">
        <v>1802.0</v>
      </c>
      <c r="B1797" s="3" t="s">
        <v>5385</v>
      </c>
      <c r="C1797" s="3">
        <v>0.0</v>
      </c>
      <c r="D1797" s="3">
        <v>0.0</v>
      </c>
      <c r="E1797" s="3">
        <v>0.0</v>
      </c>
      <c r="F1797" s="3" t="s">
        <v>5386</v>
      </c>
      <c r="G1797" s="3">
        <v>0.6</v>
      </c>
      <c r="H1797" s="3">
        <v>-0.05</v>
      </c>
      <c r="I1797" s="3" t="s">
        <v>179</v>
      </c>
      <c r="J1797" s="3" t="s">
        <v>5387</v>
      </c>
      <c r="K1797" s="3" t="s">
        <v>23</v>
      </c>
      <c r="L1797" s="3" t="str">
        <f>IFERROR(__xludf.DUMMYFUNCTION("GOOGLETRANSLATE(F1797,""id"",""en"")"),"Young people told you to kick the event as big as the final of the World Cup Mental Mental Well Played Tchouameni uphold your young people")</f>
        <v>Young people told you to kick the event as big as the final of the World Cup Mental Mental Well Played Tchouameni uphold your young people</v>
      </c>
    </row>
    <row r="1798" ht="15.75" customHeight="1">
      <c r="A1798" s="1">
        <v>1803.0</v>
      </c>
      <c r="B1798" s="3" t="s">
        <v>5388</v>
      </c>
      <c r="C1798" s="3">
        <v>0.0</v>
      </c>
      <c r="D1798" s="3">
        <v>0.0</v>
      </c>
      <c r="E1798" s="3">
        <v>1.0</v>
      </c>
      <c r="F1798" s="3" t="s">
        <v>5389</v>
      </c>
      <c r="G1798" s="3">
        <v>1.0</v>
      </c>
      <c r="H1798" s="3">
        <v>0.0</v>
      </c>
      <c r="I1798" s="3" t="s">
        <v>13</v>
      </c>
      <c r="J1798" s="3" t="s">
        <v>5390</v>
      </c>
      <c r="K1798" s="3" t="s">
        <v>205</v>
      </c>
      <c r="L1798" s="3" t="str">
        <f>IFERROR(__xludf.DUMMYFUNCTION("GOOGLETRANSLATE(F1798,""id"",""en"")"),"The World Cup which he said was actually serving the unforgettable final of Messi, but Mbappe Moal Lila Ngagusur Messi Aing supported Mbappe Anjengggg")</f>
        <v>The World Cup which he said was actually serving the unforgettable final of Messi, but Mbappe Moal Lila Ngagusur Messi Aing supported Mbappe Anjengggg</v>
      </c>
    </row>
    <row r="1799" ht="15.75" customHeight="1">
      <c r="A1799" s="1">
        <v>1804.0</v>
      </c>
      <c r="B1799" s="3" t="s">
        <v>5391</v>
      </c>
      <c r="C1799" s="3">
        <v>0.0</v>
      </c>
      <c r="D1799" s="3">
        <v>0.0</v>
      </c>
      <c r="E1799" s="3">
        <v>0.0</v>
      </c>
      <c r="F1799" s="3" t="s">
        <v>5392</v>
      </c>
      <c r="G1799" s="3">
        <v>1.0</v>
      </c>
      <c r="H1799" s="3">
        <v>0.0</v>
      </c>
      <c r="I1799" s="3" t="s">
        <v>13</v>
      </c>
      <c r="J1799" s="3" t="s">
        <v>5393</v>
      </c>
      <c r="K1799" s="3" t="s">
        <v>495</v>
      </c>
      <c r="L1799" s="3" t="str">
        <f>IFERROR(__xludf.DUMMYFUNCTION("GOOGLETRANSLATE(F1799,""id"",""en"")"),"The results of the time extension of the French French national team of the French World Cup Albiceleste and Les Bleus the penalty shootout after being as strong as strong")</f>
        <v>The results of the time extension of the French French national team of the French World Cup Albiceleste and Les Bleus the penalty shootout after being as strong as strong</v>
      </c>
    </row>
    <row r="1800" ht="15.75" customHeight="1">
      <c r="A1800" s="1">
        <v>1805.0</v>
      </c>
      <c r="B1800" s="3" t="s">
        <v>5394</v>
      </c>
      <c r="C1800" s="3">
        <v>0.0</v>
      </c>
      <c r="D1800" s="3">
        <v>0.0</v>
      </c>
      <c r="E1800" s="3">
        <v>0.0</v>
      </c>
      <c r="F1800" s="3" t="s">
        <v>5395</v>
      </c>
      <c r="G1800" s="3">
        <v>1.0</v>
      </c>
      <c r="H1800" s="3">
        <v>0.0</v>
      </c>
      <c r="I1800" s="3" t="s">
        <v>13</v>
      </c>
      <c r="J1800" s="3" t="s">
        <v>5396</v>
      </c>
      <c r="K1800" s="3" t="s">
        <v>50</v>
      </c>
      <c r="L1800" s="3" t="str">
        <f>IFERROR(__xludf.DUMMYFUNCTION("GOOGLETRANSLATE(F1800,""id"",""en"")"),"Kylian Mbappe Hattrick French World Cup Final Final Results")</f>
        <v>Kylian Mbappe Hattrick French World Cup Final Final Results</v>
      </c>
    </row>
    <row r="1801" ht="15.75" customHeight="1">
      <c r="A1801" s="1">
        <v>1806.0</v>
      </c>
      <c r="B1801" s="3" t="s">
        <v>5397</v>
      </c>
      <c r="C1801" s="3">
        <v>0.0</v>
      </c>
      <c r="D1801" s="3">
        <v>0.0</v>
      </c>
      <c r="E1801" s="3">
        <v>0.0</v>
      </c>
      <c r="F1801" s="3" t="s">
        <v>5398</v>
      </c>
      <c r="G1801" s="3">
        <v>1.0</v>
      </c>
      <c r="H1801" s="3">
        <v>0.0</v>
      </c>
      <c r="I1801" s="3" t="s">
        <v>13</v>
      </c>
      <c r="J1801" s="3" t="s">
        <v>5399</v>
      </c>
      <c r="K1801" s="3" t="s">
        <v>19</v>
      </c>
      <c r="L1801" s="3" t="str">
        <f>IFERROR(__xludf.DUMMYFUNCTION("GOOGLETRANSLATE(F1801,""id"",""en"")"),"The most exciting world cup final so far I watched Congrats for Argentina World Cup")</f>
        <v>The most exciting world cup final so far I watched Congrats for Argentina World Cup</v>
      </c>
    </row>
    <row r="1802" ht="15.75" customHeight="1">
      <c r="A1802" s="1">
        <v>1807.0</v>
      </c>
      <c r="B1802" s="3" t="s">
        <v>5400</v>
      </c>
      <c r="C1802" s="3">
        <v>1.0</v>
      </c>
      <c r="D1802" s="3">
        <v>0.0</v>
      </c>
      <c r="E1802" s="3">
        <v>0.0</v>
      </c>
      <c r="F1802" s="3" t="s">
        <v>915</v>
      </c>
      <c r="G1802" s="3">
        <v>1.0</v>
      </c>
      <c r="H1802" s="3">
        <v>0.0</v>
      </c>
      <c r="I1802" s="3" t="s">
        <v>13</v>
      </c>
      <c r="J1802" s="3" t="s">
        <v>916</v>
      </c>
      <c r="K1802" s="3" t="s">
        <v>54</v>
      </c>
      <c r="L1802" s="3" t="str">
        <f>IFERROR(__xludf.DUMMYFUNCTION("GOOGLETRANSLATE(F1802,""id"",""en"")"),"The Best World Cup Final I've ever watched")</f>
        <v>The Best World Cup Final I've ever watched</v>
      </c>
    </row>
    <row r="1803" ht="15.75" customHeight="1">
      <c r="A1803" s="1">
        <v>1808.0</v>
      </c>
      <c r="B1803" s="3" t="s">
        <v>5401</v>
      </c>
      <c r="C1803" s="3">
        <v>0.0</v>
      </c>
      <c r="D1803" s="3">
        <v>0.0</v>
      </c>
      <c r="E1803" s="3">
        <v>0.0</v>
      </c>
      <c r="F1803" s="3" t="s">
        <v>5402</v>
      </c>
      <c r="G1803" s="3">
        <v>1.0</v>
      </c>
      <c r="H1803" s="3">
        <v>0.0</v>
      </c>
      <c r="I1803" s="3" t="s">
        <v>13</v>
      </c>
      <c r="J1803" s="3" t="s">
        <v>5403</v>
      </c>
      <c r="K1803" s="3" t="s">
        <v>5404</v>
      </c>
      <c r="L1803" s="3" t="str">
        <f>IFERROR(__xludf.DUMMYFUNCTION("GOOGLETRANSLATE(F1803,""id"",""en"")"),"The best final of the World Cup I have ever watched since Brazil Italy French Brazil Brazil Germany Italy French Dutch Spanish Germany Argentina French Croatia is the best")</f>
        <v>The best final of the World Cup I have ever watched since Brazil Italy French Brazil Brazil Germany Italy French Dutch Spanish Germany Argentina French Croatia is the best</v>
      </c>
    </row>
    <row r="1804" ht="15.75" customHeight="1">
      <c r="A1804" s="1">
        <v>1809.0</v>
      </c>
      <c r="B1804" s="3" t="s">
        <v>5405</v>
      </c>
      <c r="C1804" s="3">
        <v>0.0</v>
      </c>
      <c r="D1804" s="3">
        <v>0.0</v>
      </c>
      <c r="E1804" s="3">
        <v>0.0</v>
      </c>
      <c r="F1804" s="3" t="s">
        <v>5406</v>
      </c>
      <c r="G1804" s="3">
        <v>1.0</v>
      </c>
      <c r="H1804" s="3">
        <v>0.0</v>
      </c>
      <c r="I1804" s="3" t="s">
        <v>13</v>
      </c>
      <c r="J1804" s="3" t="s">
        <v>5407</v>
      </c>
      <c r="K1804" s="3" t="s">
        <v>54</v>
      </c>
      <c r="L1804" s="3" t="str">
        <f>IFERROR(__xludf.DUMMYFUNCTION("GOOGLETRANSLATE(F1804,""id"",""en"")"),"World Cup Final for Watching")</f>
        <v>World Cup Final for Watching</v>
      </c>
    </row>
    <row r="1805" ht="15.75" customHeight="1">
      <c r="A1805" s="1">
        <v>1810.0</v>
      </c>
      <c r="B1805" s="3" t="s">
        <v>5408</v>
      </c>
      <c r="C1805" s="3">
        <v>0.0</v>
      </c>
      <c r="D1805" s="3">
        <v>0.0</v>
      </c>
      <c r="E1805" s="3">
        <v>1.0</v>
      </c>
      <c r="F1805" s="3" t="s">
        <v>5409</v>
      </c>
      <c r="G1805" s="3">
        <v>1.0</v>
      </c>
      <c r="H1805" s="3">
        <v>0.0</v>
      </c>
      <c r="I1805" s="3" t="s">
        <v>13</v>
      </c>
      <c r="J1805" s="3" t="s">
        <v>5410</v>
      </c>
      <c r="K1805" s="3" t="s">
        <v>477</v>
      </c>
      <c r="L1805" s="3" t="str">
        <f>IFERROR(__xludf.DUMMYFUNCTION("GOOGLETRANSLATE(F1805,""id"",""en"")"),"staying up late watching the world cup final staying up late because of reading")</f>
        <v>staying up late watching the world cup final staying up late because of reading</v>
      </c>
    </row>
    <row r="1806" ht="15.75" customHeight="1">
      <c r="A1806" s="1">
        <v>1811.0</v>
      </c>
      <c r="B1806" s="3" t="s">
        <v>5411</v>
      </c>
      <c r="C1806" s="3">
        <v>0.0</v>
      </c>
      <c r="D1806" s="3">
        <v>0.0</v>
      </c>
      <c r="E1806" s="3">
        <v>0.0</v>
      </c>
      <c r="F1806" s="3" t="s">
        <v>5412</v>
      </c>
      <c r="G1806" s="3">
        <v>1.0</v>
      </c>
      <c r="H1806" s="3">
        <v>0.0</v>
      </c>
      <c r="I1806" s="3" t="s">
        <v>13</v>
      </c>
      <c r="J1806" s="3" t="s">
        <v>5413</v>
      </c>
      <c r="K1806" s="3" t="s">
        <v>127</v>
      </c>
      <c r="L1806" s="3" t="str">
        <f>IFERROR(__xludf.DUMMYFUNCTION("GOOGLETRANSLATE(F1806,""id"",""en"")"),"ALLOH BAHAGIAAA BNGT ARGEN CHAMPIONS MESSI Holds World Cup Final World Cup Extraordinary Applause for the Team")</f>
        <v>ALLOH BAHAGIAAA BNGT ARGEN CHAMPIONS MESSI Holds World Cup Final World Cup Extraordinary Applause for the Team</v>
      </c>
    </row>
    <row r="1807" ht="15.75" customHeight="1">
      <c r="A1807" s="1">
        <v>1812.0</v>
      </c>
      <c r="B1807" s="3" t="s">
        <v>5414</v>
      </c>
      <c r="C1807" s="3">
        <v>0.0</v>
      </c>
      <c r="D1807" s="3">
        <v>0.0</v>
      </c>
      <c r="E1807" s="3">
        <v>0.0</v>
      </c>
      <c r="F1807" s="3" t="s">
        <v>5415</v>
      </c>
      <c r="G1807" s="3">
        <v>1.0</v>
      </c>
      <c r="H1807" s="3">
        <v>0.0</v>
      </c>
      <c r="I1807" s="3" t="s">
        <v>13</v>
      </c>
      <c r="J1807" s="3" t="s">
        <v>5416</v>
      </c>
      <c r="K1807" s="3" t="s">
        <v>50</v>
      </c>
      <c r="L1807" s="3" t="str">
        <f>IFERROR(__xludf.DUMMYFUNCTION("GOOGLETRANSLATE(F1807,""id"",""en"")"),"The World Cup series and the best final feels better because Messi finally wins")</f>
        <v>The World Cup series and the best final feels better because Messi finally wins</v>
      </c>
    </row>
    <row r="1808" ht="15.75" customHeight="1">
      <c r="A1808" s="1">
        <v>1813.0</v>
      </c>
      <c r="B1808" s="3" t="s">
        <v>5417</v>
      </c>
      <c r="C1808" s="3">
        <v>0.0</v>
      </c>
      <c r="D1808" s="3">
        <v>1.0</v>
      </c>
      <c r="E1808" s="3">
        <v>1.0</v>
      </c>
      <c r="F1808" s="3" t="s">
        <v>5418</v>
      </c>
      <c r="G1808" s="3">
        <v>1.0</v>
      </c>
      <c r="H1808" s="3">
        <v>0.0</v>
      </c>
      <c r="I1808" s="3" t="s">
        <v>13</v>
      </c>
      <c r="J1808" s="3" t="s">
        <v>5419</v>
      </c>
      <c r="K1808" s="3" t="s">
        <v>19</v>
      </c>
      <c r="L1808" s="3" t="str">
        <f>IFERROR(__xludf.DUMMYFUNCTION("GOOGLETRANSLATE(F1808,""id"",""en"")"),"Breaking News After more hours of the final match that made Argentina's heart champion the FIFA World Cup championship")</f>
        <v>Breaking News After more hours of the final match that made Argentina's heart champion the FIFA World Cup championship</v>
      </c>
    </row>
    <row r="1809" ht="15.75" customHeight="1">
      <c r="A1809" s="1">
        <v>1814.0</v>
      </c>
      <c r="B1809" s="3" t="s">
        <v>5420</v>
      </c>
      <c r="C1809" s="3">
        <v>0.0</v>
      </c>
      <c r="D1809" s="3">
        <v>0.0</v>
      </c>
      <c r="E1809" s="3">
        <v>0.0</v>
      </c>
      <c r="F1809" s="3" t="s">
        <v>5421</v>
      </c>
      <c r="G1809" s="3">
        <v>1.0</v>
      </c>
      <c r="H1809" s="3">
        <v>0.0</v>
      </c>
      <c r="I1809" s="3" t="s">
        <v>13</v>
      </c>
      <c r="J1809" s="3" t="s">
        <v>5422</v>
      </c>
      <c r="K1809" s="3" t="s">
        <v>31</v>
      </c>
      <c r="L1809" s="3" t="str">
        <f>IFERROR(__xludf.DUMMYFUNCTION("GOOGLETRANSLATE(F1809,""id"",""en"")"),"The World Cup Final match was exclaimed")</f>
        <v>The World Cup Final match was exclaimed</v>
      </c>
    </row>
    <row r="1810" ht="15.75" customHeight="1">
      <c r="A1810" s="1">
        <v>1815.0</v>
      </c>
      <c r="B1810" s="3" t="s">
        <v>5423</v>
      </c>
      <c r="C1810" s="3">
        <v>0.0</v>
      </c>
      <c r="D1810" s="3">
        <v>0.0</v>
      </c>
      <c r="E1810" s="3">
        <v>0.0</v>
      </c>
      <c r="F1810" s="3" t="s">
        <v>5424</v>
      </c>
      <c r="G1810" s="3">
        <v>1.0</v>
      </c>
      <c r="H1810" s="3">
        <v>0.0</v>
      </c>
      <c r="I1810" s="3" t="s">
        <v>13</v>
      </c>
      <c r="J1810" s="3" t="s">
        <v>5425</v>
      </c>
      <c r="K1810" s="3" t="s">
        <v>50</v>
      </c>
      <c r="L1810" s="3" t="str">
        <f>IFERROR(__xludf.DUMMYFUNCTION("GOOGLETRANSLATE(F1810,""id"",""en"")"),"No Kiro Screen Nak Sod Iki Gawe Nyarno World Cup Final")</f>
        <v>No Kiro Screen Nak Sod Iki Gawe Nyarno World Cup Final</v>
      </c>
    </row>
    <row r="1811" ht="15.75" customHeight="1">
      <c r="A1811" s="1">
        <v>1816.0</v>
      </c>
      <c r="B1811" s="3" t="s">
        <v>5426</v>
      </c>
      <c r="C1811" s="3">
        <v>1.0</v>
      </c>
      <c r="D1811" s="3">
        <v>0.0</v>
      </c>
      <c r="E1811" s="3">
        <v>0.0</v>
      </c>
      <c r="F1811" s="3" t="s">
        <v>5427</v>
      </c>
      <c r="G1811" s="3">
        <v>1.0</v>
      </c>
      <c r="H1811" s="3">
        <v>0.0</v>
      </c>
      <c r="I1811" s="3" t="s">
        <v>13</v>
      </c>
      <c r="J1811" s="3" t="s">
        <v>5182</v>
      </c>
      <c r="K1811" s="3" t="s">
        <v>31</v>
      </c>
      <c r="L1811" s="3" t="str">
        <f>IFERROR(__xludf.DUMMYFUNCTION("GOOGLETRANSLATE(F1811,""id"",""en"")"),"The Coolest World Cup Final")</f>
        <v>The Coolest World Cup Final</v>
      </c>
    </row>
    <row r="1812" ht="15.75" customHeight="1">
      <c r="A1812" s="1">
        <v>1817.0</v>
      </c>
      <c r="B1812" s="3" t="s">
        <v>5428</v>
      </c>
      <c r="C1812" s="3">
        <v>1.0</v>
      </c>
      <c r="D1812" s="3">
        <v>0.0</v>
      </c>
      <c r="E1812" s="3">
        <v>0.0</v>
      </c>
      <c r="F1812" s="3" t="s">
        <v>5429</v>
      </c>
      <c r="G1812" s="3">
        <v>1.0</v>
      </c>
      <c r="H1812" s="3">
        <v>0.0</v>
      </c>
      <c r="I1812" s="3" t="s">
        <v>13</v>
      </c>
      <c r="J1812" s="3" t="s">
        <v>5430</v>
      </c>
      <c r="K1812" s="3" t="s">
        <v>510</v>
      </c>
      <c r="L1812" s="3" t="str">
        <f>IFERROR(__xludf.DUMMYFUNCTION("GOOGLETRANSLATE(F1812,""id"",""en"")"),"Gile Gileeeee watching until the trembling wkwkwkwk congratulations to Argentina the most exciting World Cup Final")</f>
        <v>Gile Gileeeee watching until the trembling wkwkwkwk congratulations to Argentina the most exciting World Cup Final</v>
      </c>
    </row>
    <row r="1813" ht="15.75" customHeight="1">
      <c r="A1813" s="1">
        <v>1818.0</v>
      </c>
      <c r="B1813" s="3" t="s">
        <v>5431</v>
      </c>
      <c r="C1813" s="3">
        <v>0.0</v>
      </c>
      <c r="D1813" s="3">
        <v>0.0</v>
      </c>
      <c r="E1813" s="3">
        <v>0.0</v>
      </c>
      <c r="F1813" s="3" t="s">
        <v>5432</v>
      </c>
      <c r="G1813" s="3">
        <v>1.0</v>
      </c>
      <c r="H1813" s="3">
        <v>0.0</v>
      </c>
      <c r="I1813" s="3" t="s">
        <v>13</v>
      </c>
      <c r="J1813" s="3" t="s">
        <v>5433</v>
      </c>
      <c r="K1813" s="3" t="s">
        <v>15</v>
      </c>
      <c r="L1813" s="3" t="str">
        <f>IFERROR(__xludf.DUMMYFUNCTION("GOOGLETRANSLATE(F1813,""id"",""en"")"),"how is the story already a world cup final hat trick but not champion")</f>
        <v>how is the story already a world cup final hat trick but not champion</v>
      </c>
    </row>
    <row r="1814" ht="15.75" customHeight="1">
      <c r="A1814" s="1">
        <v>1819.0</v>
      </c>
      <c r="B1814" s="3" t="s">
        <v>5434</v>
      </c>
      <c r="C1814" s="3">
        <v>1.0</v>
      </c>
      <c r="D1814" s="3">
        <v>3.0</v>
      </c>
      <c r="E1814" s="3">
        <v>25.0</v>
      </c>
      <c r="F1814" s="3" t="s">
        <v>5435</v>
      </c>
      <c r="G1814" s="3">
        <v>1.0</v>
      </c>
      <c r="H1814" s="3">
        <v>0.0</v>
      </c>
      <c r="I1814" s="3" t="s">
        <v>13</v>
      </c>
      <c r="J1814" s="3" t="s">
        <v>5436</v>
      </c>
      <c r="K1814" s="3" t="s">
        <v>82</v>
      </c>
      <c r="L1814" s="3" t="str">
        <f>IFERROR(__xludf.DUMMYFUNCTION("GOOGLETRANSLATE(F1814,""id"",""en"")"),"The World Cup Final match is crazy about all the time")</f>
        <v>The World Cup Final match is crazy about all the time</v>
      </c>
    </row>
    <row r="1815" ht="15.75" customHeight="1">
      <c r="A1815" s="1">
        <v>1820.0</v>
      </c>
      <c r="B1815" s="3" t="s">
        <v>5437</v>
      </c>
      <c r="C1815" s="3">
        <v>0.0</v>
      </c>
      <c r="D1815" s="3">
        <v>0.0</v>
      </c>
      <c r="E1815" s="3">
        <v>0.0</v>
      </c>
      <c r="F1815" s="3" t="s">
        <v>5438</v>
      </c>
      <c r="G1815" s="3">
        <v>1.0</v>
      </c>
      <c r="H1815" s="3">
        <v>0.0</v>
      </c>
      <c r="I1815" s="3" t="s">
        <v>13</v>
      </c>
      <c r="J1815" s="3" t="s">
        <v>5439</v>
      </c>
      <c r="K1815" s="3" t="s">
        <v>1045</v>
      </c>
      <c r="L1815" s="3" t="str">
        <f>IFERROR(__xludf.DUMMYFUNCTION("GOOGLETRANSLATE(F1815,""id"",""en"")"),"The best world cup final although Mbappe is able to hatrick and turn on the atmosphere but the dream of Messi to become the World Cup champion is realized for almost retirement for Argentina")</f>
        <v>The best world cup final although Mbappe is able to hatrick and turn on the atmosphere but the dream of Messi to become the World Cup champion is realized for almost retirement for Argentina</v>
      </c>
    </row>
    <row r="1816" ht="15.75" customHeight="1">
      <c r="A1816" s="1">
        <v>1821.0</v>
      </c>
      <c r="B1816" s="3" t="s">
        <v>5440</v>
      </c>
      <c r="C1816" s="3">
        <v>0.0</v>
      </c>
      <c r="D1816" s="3">
        <v>0.0</v>
      </c>
      <c r="E1816" s="3">
        <v>0.0</v>
      </c>
      <c r="F1816" s="3" t="s">
        <v>5441</v>
      </c>
      <c r="G1816" s="3">
        <v>1.0</v>
      </c>
      <c r="H1816" s="3">
        <v>0.0</v>
      </c>
      <c r="I1816" s="3" t="s">
        <v>13</v>
      </c>
      <c r="J1816" s="3" t="s">
        <v>5442</v>
      </c>
      <c r="K1816" s="3" t="s">
        <v>82</v>
      </c>
      <c r="L1816" s="3" t="str">
        <f>IFERROR(__xludf.DUMMYFUNCTION("GOOGLETRANSLATE(F1816,""id"",""en"")"),"The World Cup Final can be very degree")</f>
        <v>The World Cup Final can be very degree</v>
      </c>
    </row>
    <row r="1817" ht="15.75" customHeight="1">
      <c r="A1817" s="1">
        <v>1822.0</v>
      </c>
      <c r="B1817" s="3" t="s">
        <v>5443</v>
      </c>
      <c r="C1817" s="3">
        <v>0.0</v>
      </c>
      <c r="D1817" s="3">
        <v>0.0</v>
      </c>
      <c r="E1817" s="3">
        <v>0.0</v>
      </c>
      <c r="F1817" s="3" t="s">
        <v>5444</v>
      </c>
      <c r="G1817" s="3">
        <v>1.0</v>
      </c>
      <c r="H1817" s="3">
        <v>0.0</v>
      </c>
      <c r="I1817" s="3" t="s">
        <v>13</v>
      </c>
      <c r="J1817" s="3" t="s">
        <v>5445</v>
      </c>
      <c r="K1817" s="3" t="s">
        <v>1061</v>
      </c>
      <c r="L1817" s="3" t="str">
        <f>IFERROR(__xludf.DUMMYFUNCTION("GOOGLETRANSLATE(F1817,""id"",""en"")"),"billions of world people are made stressed and tense because of the world cup final this year who would have thought Argentina could win even though the group phase had lost to Saudi Arabia and became a bullied material")</f>
        <v>billions of world people are made stressed and tense because of the world cup final this year who would have thought Argentina could win even though the group phase had lost to Saudi Arabia and became a bullied material</v>
      </c>
    </row>
    <row r="1818" ht="15.75" customHeight="1">
      <c r="A1818" s="1">
        <v>1823.0</v>
      </c>
      <c r="B1818" s="3" t="s">
        <v>5446</v>
      </c>
      <c r="C1818" s="3">
        <v>0.0</v>
      </c>
      <c r="D1818" s="3">
        <v>0.0</v>
      </c>
      <c r="E1818" s="3">
        <v>0.0</v>
      </c>
      <c r="F1818" s="3" t="s">
        <v>5447</v>
      </c>
      <c r="G1818" s="3">
        <v>1.0</v>
      </c>
      <c r="H1818" s="3">
        <v>0.0</v>
      </c>
      <c r="I1818" s="3" t="s">
        <v>13</v>
      </c>
      <c r="J1818" s="3" t="s">
        <v>5448</v>
      </c>
      <c r="K1818" s="3" t="s">
        <v>15</v>
      </c>
      <c r="L1818" s="3" t="str">
        <f>IFERROR(__xludf.DUMMYFUNCTION("GOOGLETRANSLATE(F1818,""id"",""en"")"),"The World Cup Final is really exciting")</f>
        <v>The World Cup Final is really exciting</v>
      </c>
    </row>
    <row r="1819" ht="15.75" customHeight="1">
      <c r="A1819" s="1">
        <v>1824.0</v>
      </c>
      <c r="B1819" s="3" t="s">
        <v>5449</v>
      </c>
      <c r="C1819" s="3">
        <v>0.0</v>
      </c>
      <c r="D1819" s="3">
        <v>0.0</v>
      </c>
      <c r="E1819" s="3">
        <v>1.0</v>
      </c>
      <c r="F1819" s="3" t="s">
        <v>5450</v>
      </c>
      <c r="G1819" s="3">
        <v>0.7999999999999999</v>
      </c>
      <c r="H1819" s="3">
        <v>0.06666666666666665</v>
      </c>
      <c r="I1819" s="3" t="s">
        <v>48</v>
      </c>
      <c r="J1819" s="3" t="s">
        <v>5451</v>
      </c>
      <c r="K1819" s="3" t="s">
        <v>75</v>
      </c>
      <c r="L1819" s="3" t="str">
        <f>IFERROR(__xludf.DUMMYFUNCTION("GOOGLETRANSLATE(F1819,""id"",""en"")"),"This is the first time watching the Final World Cup exciting after nice game")</f>
        <v>This is the first time watching the Final World Cup exciting after nice game</v>
      </c>
    </row>
    <row r="1820" ht="15.75" customHeight="1">
      <c r="A1820" s="1">
        <v>1825.0</v>
      </c>
      <c r="B1820" s="3" t="s">
        <v>5452</v>
      </c>
      <c r="C1820" s="3">
        <v>0.0</v>
      </c>
      <c r="D1820" s="3">
        <v>1.0</v>
      </c>
      <c r="E1820" s="3">
        <v>0.0</v>
      </c>
      <c r="F1820" s="3" t="s">
        <v>5453</v>
      </c>
      <c r="G1820" s="3">
        <v>0.825</v>
      </c>
      <c r="H1820" s="3">
        <v>0.075</v>
      </c>
      <c r="I1820" s="3" t="s">
        <v>48</v>
      </c>
      <c r="J1820" s="3" t="s">
        <v>5454</v>
      </c>
      <c r="K1820" s="3" t="s">
        <v>614</v>
      </c>
      <c r="L1820" s="3" t="str">
        <f>IFERROR(__xludf.DUMMYFUNCTION("GOOGLETRANSLATE(F1820,""id"",""en"")"),"Argentina Champion the Qatar World Cup through French penalties is always left behind but can reply and finally the series of normal and most tense normal final times")</f>
        <v>Argentina Champion the Qatar World Cup through French penalties is always left behind but can reply and finally the series of normal and most tense normal final times</v>
      </c>
    </row>
    <row r="1821" ht="15.75" customHeight="1">
      <c r="A1821" s="1">
        <v>1826.0</v>
      </c>
      <c r="B1821" s="3" t="s">
        <v>5455</v>
      </c>
      <c r="C1821" s="3">
        <v>1.0</v>
      </c>
      <c r="D1821" s="3">
        <v>0.0</v>
      </c>
      <c r="E1821" s="3">
        <v>1.0</v>
      </c>
      <c r="F1821" s="3" t="s">
        <v>5456</v>
      </c>
      <c r="G1821" s="3">
        <v>0.8333333333333334</v>
      </c>
      <c r="H1821" s="3">
        <v>0.5</v>
      </c>
      <c r="I1821" s="3" t="s">
        <v>48</v>
      </c>
      <c r="J1821" s="3" t="s">
        <v>5457</v>
      </c>
      <c r="K1821" s="3" t="s">
        <v>348</v>
      </c>
      <c r="L1821" s="3" t="str">
        <f>IFERROR(__xludf.DUMMYFUNCTION("GOOGLETRANSLATE(F1821,""id"",""en"")"),"No need to watch the final because from the beginning the World Cup begins already sure Argentina will win Messi Better Than Rnaldo Goat Legendary Barca Bosss")</f>
        <v>No need to watch the final because from the beginning the World Cup begins already sure Argentina will win Messi Better Than Rnaldo Goat Legendary Barca Bosss</v>
      </c>
    </row>
    <row r="1822" ht="15.75" customHeight="1">
      <c r="A1822" s="1">
        <v>1827.0</v>
      </c>
      <c r="B1822" s="3" t="s">
        <v>5458</v>
      </c>
      <c r="C1822" s="3">
        <v>0.0</v>
      </c>
      <c r="D1822" s="3">
        <v>0.0</v>
      </c>
      <c r="E1822" s="3">
        <v>0.0</v>
      </c>
      <c r="F1822" s="3" t="s">
        <v>5459</v>
      </c>
      <c r="G1822" s="3">
        <v>0.5</v>
      </c>
      <c r="H1822" s="3">
        <v>0.0</v>
      </c>
      <c r="I1822" s="3" t="s">
        <v>13</v>
      </c>
      <c r="J1822" s="3" t="s">
        <v>5460</v>
      </c>
      <c r="K1822" s="3" t="s">
        <v>1699</v>
      </c>
      <c r="L1822" s="3" t="str">
        <f>IFERROR(__xludf.DUMMYFUNCTION("GOOGLETRANSLATE(F1822,""id"",""en"")"),"Messi Argentina Bagus Emi Martinez Dog is too good at penalty but Mbappe Hatrick Final World Cup Keeper Penalty Specialist does not catch a single penalty mbappe next goat")</f>
        <v>Messi Argentina Bagus Emi Martinez Dog is too good at penalty but Mbappe Hatrick Final World Cup Keeper Penalty Specialist does not catch a single penalty mbappe next goat</v>
      </c>
    </row>
    <row r="1823" ht="15.75" customHeight="1">
      <c r="A1823" s="1">
        <v>1828.0</v>
      </c>
      <c r="B1823" s="3" t="s">
        <v>5461</v>
      </c>
      <c r="C1823" s="3">
        <v>0.0</v>
      </c>
      <c r="D1823" s="3">
        <v>0.0</v>
      </c>
      <c r="E1823" s="3">
        <v>0.0</v>
      </c>
      <c r="F1823" s="3" t="s">
        <v>5462</v>
      </c>
      <c r="G1823" s="3">
        <v>1.0</v>
      </c>
      <c r="H1823" s="3">
        <v>0.0</v>
      </c>
      <c r="I1823" s="3" t="s">
        <v>13</v>
      </c>
      <c r="J1823" s="3" t="s">
        <v>5463</v>
      </c>
      <c r="K1823" s="3" t="s">
        <v>123</v>
      </c>
      <c r="L1823" s="3" t="str">
        <f>IFERROR(__xludf.DUMMYFUNCTION("GOOGLETRANSLATE(F1823,""id"",""en"")"),"Cool Classy World Cup Final Pisan Mbape Emg Edan But Messi Leuwih Edan Congratulation Argentina Champion")</f>
        <v>Cool Classy World Cup Final Pisan Mbape Emg Edan But Messi Leuwih Edan Congratulation Argentina Champion</v>
      </c>
    </row>
    <row r="1824" ht="15.75" customHeight="1">
      <c r="A1824" s="1">
        <v>1829.0</v>
      </c>
      <c r="B1824" s="3" t="s">
        <v>5464</v>
      </c>
      <c r="C1824" s="3">
        <v>0.0</v>
      </c>
      <c r="D1824" s="3">
        <v>0.0</v>
      </c>
      <c r="E1824" s="3">
        <v>0.0</v>
      </c>
      <c r="F1824" s="3" t="s">
        <v>5465</v>
      </c>
      <c r="G1824" s="3">
        <v>1.0</v>
      </c>
      <c r="H1824" s="3">
        <v>0.0</v>
      </c>
      <c r="I1824" s="3" t="s">
        <v>13</v>
      </c>
      <c r="J1824" s="3" t="s">
        <v>5466</v>
      </c>
      <c r="K1824" s="3" t="s">
        <v>54</v>
      </c>
      <c r="L1824" s="3" t="str">
        <f>IFERROR(__xludf.DUMMYFUNCTION("GOOGLETRANSLATE(F1824,""id"",""en"")"),"Qatar's Best Football World Cup Final")</f>
        <v>Qatar's Best Football World Cup Final</v>
      </c>
    </row>
    <row r="1825" ht="15.75" customHeight="1">
      <c r="A1825" s="1">
        <v>1830.0</v>
      </c>
      <c r="B1825" s="3" t="s">
        <v>5467</v>
      </c>
      <c r="C1825" s="3">
        <v>0.0</v>
      </c>
      <c r="D1825" s="3">
        <v>0.0</v>
      </c>
      <c r="E1825" s="3">
        <v>0.0</v>
      </c>
      <c r="F1825" s="3" t="s">
        <v>5468</v>
      </c>
      <c r="G1825" s="3">
        <v>1.0</v>
      </c>
      <c r="H1825" s="3">
        <v>0.0</v>
      </c>
      <c r="I1825" s="3" t="s">
        <v>13</v>
      </c>
      <c r="J1825" s="3" t="s">
        <v>5469</v>
      </c>
      <c r="K1825" s="3" t="s">
        <v>123</v>
      </c>
      <c r="L1825" s="3" t="str">
        <f>IFERROR(__xludf.DUMMYFUNCTION("GOOGLETRANSLATE(F1825,""id"",""en"")"),"Qatar World Cup with all its controversy but with the final that will be remembered throughout the final time that is the most tense until the penaltian")</f>
        <v>Qatar World Cup with all its controversy but with the final that will be remembered throughout the final time that is the most tense until the penaltian</v>
      </c>
    </row>
    <row r="1826" ht="15.75" customHeight="1">
      <c r="A1826" s="1">
        <v>1831.0</v>
      </c>
      <c r="B1826" s="3" t="s">
        <v>5470</v>
      </c>
      <c r="C1826" s="3">
        <v>0.0</v>
      </c>
      <c r="D1826" s="3">
        <v>0.0</v>
      </c>
      <c r="E1826" s="3">
        <v>0.0</v>
      </c>
      <c r="F1826" s="3" t="s">
        <v>5471</v>
      </c>
      <c r="G1826" s="3">
        <v>1.0</v>
      </c>
      <c r="H1826" s="3">
        <v>0.0</v>
      </c>
      <c r="I1826" s="3" t="s">
        <v>13</v>
      </c>
      <c r="J1826" s="3" t="s">
        <v>5472</v>
      </c>
      <c r="K1826" s="3" t="s">
        <v>236</v>
      </c>
      <c r="L1826" s="3" t="str">
        <f>IFERROR(__xludf.DUMMYFUNCTION("GOOGLETRANSLATE(F1826,""id"",""en"")"),"FIFA WORLD CUP AGERTINA FRANCE Argentina Champion World Cup")</f>
        <v>FIFA WORLD CUP AGERTINA FRANCE Argentina Champion World Cup</v>
      </c>
    </row>
    <row r="1827" ht="15.75" customHeight="1">
      <c r="A1827" s="1">
        <v>1832.0</v>
      </c>
      <c r="B1827" s="3" t="s">
        <v>5473</v>
      </c>
      <c r="C1827" s="3">
        <v>0.0</v>
      </c>
      <c r="D1827" s="3">
        <v>0.0</v>
      </c>
      <c r="E1827" s="3">
        <v>0.0</v>
      </c>
      <c r="F1827" s="3" t="s">
        <v>5474</v>
      </c>
      <c r="G1827" s="3">
        <v>1.0</v>
      </c>
      <c r="H1827" s="3">
        <v>0.0</v>
      </c>
      <c r="I1827" s="3" t="s">
        <v>13</v>
      </c>
      <c r="J1827" s="3" t="s">
        <v>5475</v>
      </c>
      <c r="K1827" s="3" t="s">
        <v>15</v>
      </c>
      <c r="L1827" s="3" t="str">
        <f>IFERROR(__xludf.DUMMYFUNCTION("GOOGLETRANSLATE(F1827,""id"",""en"")"),"loss has been watching the final world cup really exciting")</f>
        <v>loss has been watching the final world cup really exciting</v>
      </c>
    </row>
    <row r="1828" ht="15.75" customHeight="1">
      <c r="A1828" s="1">
        <v>1833.0</v>
      </c>
      <c r="B1828" s="3" t="s">
        <v>5476</v>
      </c>
      <c r="C1828" s="3">
        <v>0.0</v>
      </c>
      <c r="D1828" s="3">
        <v>0.0</v>
      </c>
      <c r="E1828" s="3">
        <v>0.0</v>
      </c>
      <c r="F1828" s="3" t="s">
        <v>5477</v>
      </c>
      <c r="G1828" s="3">
        <v>1.0</v>
      </c>
      <c r="H1828" s="3">
        <v>0.0</v>
      </c>
      <c r="I1828" s="3" t="s">
        <v>13</v>
      </c>
      <c r="J1828" s="3" t="s">
        <v>5478</v>
      </c>
      <c r="K1828" s="3" t="s">
        <v>495</v>
      </c>
      <c r="L1828" s="3" t="str">
        <f>IFERROR(__xludf.DUMMYFUNCTION("GOOGLETRANSLATE(F1828,""id"",""en"")"),"Apart from all the controversies there is the best World Cup I have ever watched the Knock Out Final Stage Group, everything is worth watching, thank you")</f>
        <v>Apart from all the controversies there is the best World Cup I have ever watched the Knock Out Final Stage Group, everything is worth watching, thank you</v>
      </c>
    </row>
    <row r="1829" ht="15.75" customHeight="1">
      <c r="A1829" s="1">
        <v>1834.0</v>
      </c>
      <c r="B1829" s="3" t="s">
        <v>5479</v>
      </c>
      <c r="C1829" s="3">
        <v>0.0</v>
      </c>
      <c r="D1829" s="3">
        <v>0.0</v>
      </c>
      <c r="E1829" s="3">
        <v>0.0</v>
      </c>
      <c r="F1829" s="3" t="s">
        <v>5480</v>
      </c>
      <c r="G1829" s="3">
        <v>1.0</v>
      </c>
      <c r="H1829" s="3">
        <v>0.0</v>
      </c>
      <c r="I1829" s="3" t="s">
        <v>13</v>
      </c>
      <c r="J1829" s="3" t="s">
        <v>5481</v>
      </c>
      <c r="K1829" s="3" t="s">
        <v>236</v>
      </c>
      <c r="L1829" s="3" t="str">
        <f>IFERROR(__xludf.DUMMYFUNCTION("GOOGLETRANSLATE(F1829,""id"",""en"")"),"The best World Cup Final of all time Congrats Antina Congrats Goat")</f>
        <v>The best World Cup Final of all time Congrats Antina Congrats Goat</v>
      </c>
    </row>
    <row r="1830" ht="15.75" customHeight="1">
      <c r="A1830" s="1">
        <v>1835.0</v>
      </c>
      <c r="B1830" s="3" t="s">
        <v>5482</v>
      </c>
      <c r="C1830" s="3">
        <v>0.0</v>
      </c>
      <c r="D1830" s="3">
        <v>0.0</v>
      </c>
      <c r="E1830" s="3">
        <v>0.0</v>
      </c>
      <c r="F1830" s="3" t="s">
        <v>5483</v>
      </c>
      <c r="G1830" s="3">
        <v>0.7</v>
      </c>
      <c r="H1830" s="3">
        <v>-0.2</v>
      </c>
      <c r="I1830" s="3" t="s">
        <v>179</v>
      </c>
      <c r="J1830" s="3" t="s">
        <v>5484</v>
      </c>
      <c r="K1830" s="3" t="s">
        <v>15</v>
      </c>
      <c r="L1830" s="3" t="str">
        <f>IFERROR(__xludf.DUMMYFUNCTION("GOOGLETRANSLATE(F1830,""id"",""en"")"),"What Final Game finally Messi Champion World Cup")</f>
        <v>What Final Game finally Messi Champion World Cup</v>
      </c>
    </row>
    <row r="1831" ht="15.75" customHeight="1">
      <c r="A1831" s="1">
        <v>1836.0</v>
      </c>
      <c r="B1831" s="3" t="s">
        <v>5485</v>
      </c>
      <c r="C1831" s="3">
        <v>0.0</v>
      </c>
      <c r="D1831" s="3">
        <v>0.0</v>
      </c>
      <c r="E1831" s="3">
        <v>0.0</v>
      </c>
      <c r="F1831" s="3" t="s">
        <v>5486</v>
      </c>
      <c r="G1831" s="3">
        <v>1.0</v>
      </c>
      <c r="H1831" s="3">
        <v>0.0</v>
      </c>
      <c r="I1831" s="3" t="s">
        <v>13</v>
      </c>
      <c r="J1831" s="3" t="s">
        <v>5487</v>
      </c>
      <c r="K1831" s="3" t="s">
        <v>1097</v>
      </c>
      <c r="L1831" s="3" t="str">
        <f>IFERROR(__xludf.DUMMYFUNCTION("GOOGLETRANSLATE(F1831,""id"",""en"")"),"The World Cup Final is the most exciting but more exciting if you meet you")</f>
        <v>The World Cup Final is the most exciting but more exciting if you meet you</v>
      </c>
    </row>
    <row r="1832" ht="15.75" customHeight="1">
      <c r="A1832" s="1">
        <v>1837.0</v>
      </c>
      <c r="B1832" s="3" t="s">
        <v>5488</v>
      </c>
      <c r="C1832" s="3">
        <v>0.0</v>
      </c>
      <c r="D1832" s="3">
        <v>0.0</v>
      </c>
      <c r="E1832" s="3">
        <v>82.0</v>
      </c>
      <c r="F1832" s="3" t="s">
        <v>5489</v>
      </c>
      <c r="G1832" s="3">
        <v>1.0</v>
      </c>
      <c r="H1832" s="3">
        <v>0.0</v>
      </c>
      <c r="I1832" s="3" t="s">
        <v>13</v>
      </c>
      <c r="J1832" s="3" t="s">
        <v>5490</v>
      </c>
      <c r="K1832" s="3" t="s">
        <v>1097</v>
      </c>
      <c r="L1832" s="3" t="str">
        <f>IFERROR(__xludf.DUMMYFUNCTION("GOOGLETRANSLATE(F1832,""id"",""en"")"),"The World Cup Final this time really made it like a lion dance")</f>
        <v>The World Cup Final this time really made it like a lion dance</v>
      </c>
    </row>
    <row r="1833" ht="15.75" customHeight="1">
      <c r="A1833" s="1">
        <v>1838.0</v>
      </c>
      <c r="B1833" s="3" t="s">
        <v>5491</v>
      </c>
      <c r="C1833" s="3">
        <v>0.0</v>
      </c>
      <c r="D1833" s="3">
        <v>0.0</v>
      </c>
      <c r="E1833" s="3">
        <v>0.0</v>
      </c>
      <c r="F1833" s="3" t="s">
        <v>1721</v>
      </c>
      <c r="G1833" s="3">
        <v>1.0</v>
      </c>
      <c r="H1833" s="3">
        <v>0.0</v>
      </c>
      <c r="I1833" s="3" t="s">
        <v>13</v>
      </c>
      <c r="J1833" s="3" t="s">
        <v>1722</v>
      </c>
      <c r="K1833" s="3" t="s">
        <v>54</v>
      </c>
      <c r="L1833" s="3" t="str">
        <f>IFERROR(__xludf.DUMMYFUNCTION("GOOGLETRANSLATE(F1833,""id"",""en"")"),"the best world cup final of all time")</f>
        <v>the best world cup final of all time</v>
      </c>
    </row>
    <row r="1834" ht="15.75" customHeight="1">
      <c r="A1834" s="1">
        <v>1839.0</v>
      </c>
      <c r="B1834" s="3" t="s">
        <v>5492</v>
      </c>
      <c r="C1834" s="3">
        <v>0.0</v>
      </c>
      <c r="D1834" s="3">
        <v>0.0</v>
      </c>
      <c r="E1834" s="3">
        <v>0.0</v>
      </c>
      <c r="F1834" s="3" t="s">
        <v>5493</v>
      </c>
      <c r="G1834" s="3">
        <v>1.0</v>
      </c>
      <c r="H1834" s="3">
        <v>0.0</v>
      </c>
      <c r="I1834" s="3" t="s">
        <v>13</v>
      </c>
      <c r="J1834" s="3" t="s">
        <v>5494</v>
      </c>
      <c r="K1834" s="3" t="s">
        <v>75</v>
      </c>
      <c r="L1834" s="3" t="str">
        <f>IFERROR(__xludf.DUMMYFUNCTION("GOOGLETRANSLATE(F1834,""id"",""en"")"),"Anjggg is very fortunate to live in the era of Messi and the Qatar World Cup final")</f>
        <v>Anjggg is very fortunate to live in the era of Messi and the Qatar World Cup final</v>
      </c>
    </row>
    <row r="1835" ht="15.75" customHeight="1">
      <c r="A1835" s="1">
        <v>1840.0</v>
      </c>
      <c r="B1835" s="3" t="s">
        <v>5495</v>
      </c>
      <c r="C1835" s="3">
        <v>1.0</v>
      </c>
      <c r="D1835" s="3">
        <v>33.0</v>
      </c>
      <c r="E1835" s="3">
        <v>59.0</v>
      </c>
      <c r="F1835" s="3" t="s">
        <v>5496</v>
      </c>
      <c r="G1835" s="3">
        <v>1.0</v>
      </c>
      <c r="H1835" s="3">
        <v>0.0</v>
      </c>
      <c r="I1835" s="3" t="s">
        <v>13</v>
      </c>
      <c r="J1835" s="3" t="s">
        <v>5497</v>
      </c>
      <c r="K1835" s="3" t="s">
        <v>1293</v>
      </c>
      <c r="L1835" s="3" t="str">
        <f>IFERROR(__xludf.DUMMYFUNCTION("GOOGLETRANSLATE(F1835,""id"",""en"")"),"Qatar World Cup Final French Decision of French Lionel Messi Pen Angel Maria Kylian Mbappe Argentina won a penalty")</f>
        <v>Qatar World Cup Final French Decision of French Lionel Messi Pen Angel Maria Kylian Mbappe Argentina won a penalty</v>
      </c>
    </row>
    <row r="1836" ht="15.75" customHeight="1">
      <c r="A1836" s="1">
        <v>1841.0</v>
      </c>
      <c r="B1836" s="3" t="s">
        <v>5498</v>
      </c>
      <c r="C1836" s="3">
        <v>0.0</v>
      </c>
      <c r="D1836" s="3">
        <v>0.0</v>
      </c>
      <c r="E1836" s="3">
        <v>0.0</v>
      </c>
      <c r="F1836" s="3" t="s">
        <v>5499</v>
      </c>
      <c r="G1836" s="3">
        <v>1.0</v>
      </c>
      <c r="H1836" s="3">
        <v>0.0</v>
      </c>
      <c r="I1836" s="3" t="s">
        <v>13</v>
      </c>
      <c r="J1836" s="3" t="s">
        <v>5500</v>
      </c>
      <c r="K1836" s="3" t="s">
        <v>15</v>
      </c>
      <c r="L1836" s="3" t="str">
        <f>IFERROR(__xludf.DUMMYFUNCTION("GOOGLETRANSLATE(F1836,""id"",""en"")"),"Most exciting throughout the final since the World Cup")</f>
        <v>Most exciting throughout the final since the World Cup</v>
      </c>
    </row>
    <row r="1837" ht="15.75" customHeight="1">
      <c r="A1837" s="1">
        <v>1842.0</v>
      </c>
      <c r="B1837" s="3" t="s">
        <v>5501</v>
      </c>
      <c r="C1837" s="3">
        <v>0.0</v>
      </c>
      <c r="D1837" s="3">
        <v>0.0</v>
      </c>
      <c r="E1837" s="3">
        <v>1.0</v>
      </c>
      <c r="F1837" s="3" t="s">
        <v>5502</v>
      </c>
      <c r="G1837" s="3">
        <v>1.0</v>
      </c>
      <c r="H1837" s="3">
        <v>0.0</v>
      </c>
      <c r="I1837" s="3" t="s">
        <v>13</v>
      </c>
      <c r="J1837" s="3" t="s">
        <v>5503</v>
      </c>
      <c r="K1837" s="3" t="s">
        <v>31</v>
      </c>
      <c r="L1837" s="3" t="str">
        <f>IFERROR(__xludf.DUMMYFUNCTION("GOOGLETRANSLATE(F1837,""id"",""en"")"),"The Best World Cup Final Debate")</f>
        <v>The Best World Cup Final Debate</v>
      </c>
    </row>
    <row r="1838" ht="15.75" customHeight="1">
      <c r="A1838" s="1">
        <v>1843.0</v>
      </c>
      <c r="B1838" s="3" t="s">
        <v>5504</v>
      </c>
      <c r="C1838" s="3">
        <v>0.0</v>
      </c>
      <c r="D1838" s="3">
        <v>0.0</v>
      </c>
      <c r="E1838" s="3">
        <v>0.0</v>
      </c>
      <c r="F1838" s="3" t="s">
        <v>5505</v>
      </c>
      <c r="G1838" s="3">
        <v>1.0</v>
      </c>
      <c r="H1838" s="3">
        <v>0.0</v>
      </c>
      <c r="I1838" s="3" t="s">
        <v>13</v>
      </c>
      <c r="J1838" s="3" t="s">
        <v>5506</v>
      </c>
      <c r="K1838" s="3" t="s">
        <v>236</v>
      </c>
      <c r="L1838" s="3" t="str">
        <f>IFERROR(__xludf.DUMMYFUNCTION("GOOGLETRANSLATE(F1838,""id"",""en"")"),"Final was excited about the world smiling at the end")</f>
        <v>Final was excited about the world smiling at the end</v>
      </c>
    </row>
    <row r="1839" ht="15.75" customHeight="1">
      <c r="A1839" s="1">
        <v>1844.0</v>
      </c>
      <c r="B1839" s="3" t="s">
        <v>5507</v>
      </c>
      <c r="C1839" s="3">
        <v>0.0</v>
      </c>
      <c r="D1839" s="3">
        <v>0.0</v>
      </c>
      <c r="E1839" s="3">
        <v>0.0</v>
      </c>
      <c r="F1839" s="3" t="s">
        <v>5507</v>
      </c>
      <c r="G1839" s="3">
        <v>1.0</v>
      </c>
      <c r="H1839" s="3">
        <v>0.0</v>
      </c>
      <c r="I1839" s="3" t="s">
        <v>13</v>
      </c>
      <c r="J1839" s="3" t="s">
        <v>5508</v>
      </c>
      <c r="K1839" s="3" t="s">
        <v>31</v>
      </c>
      <c r="L1839" s="3" t="str">
        <f>IFERROR(__xludf.DUMMYFUNCTION("GOOGLETRANSLATE(F1839,""id"",""en"")"),"the severe exclaiming the World Cup Final")</f>
        <v>the severe exclaiming the World Cup Final</v>
      </c>
    </row>
    <row r="1840" ht="15.75" customHeight="1">
      <c r="A1840" s="1">
        <v>1845.0</v>
      </c>
      <c r="B1840" s="3" t="s">
        <v>5509</v>
      </c>
      <c r="C1840" s="3">
        <v>0.0</v>
      </c>
      <c r="D1840" s="3">
        <v>0.0</v>
      </c>
      <c r="E1840" s="3">
        <v>0.0</v>
      </c>
      <c r="F1840" s="3" t="s">
        <v>4344</v>
      </c>
      <c r="G1840" s="3">
        <v>1.0</v>
      </c>
      <c r="H1840" s="3">
        <v>0.0</v>
      </c>
      <c r="I1840" s="3" t="s">
        <v>13</v>
      </c>
      <c r="J1840" s="3" t="s">
        <v>4345</v>
      </c>
      <c r="K1840" s="3" t="s">
        <v>15</v>
      </c>
      <c r="L1840" s="3" t="str">
        <f>IFERROR(__xludf.DUMMYFUNCTION("GOOGLETRANSLATE(F1840,""id"",""en"")"),"The best World Cup final of all time Congrats Argentina")</f>
        <v>The best World Cup final of all time Congrats Argentina</v>
      </c>
    </row>
    <row r="1841" ht="15.75" customHeight="1">
      <c r="A1841" s="1">
        <v>1847.0</v>
      </c>
      <c r="B1841" s="3" t="s">
        <v>5510</v>
      </c>
      <c r="C1841" s="3">
        <v>11.0</v>
      </c>
      <c r="D1841" s="3">
        <v>17.0</v>
      </c>
      <c r="E1841" s="3">
        <v>64.0</v>
      </c>
      <c r="F1841" s="3" t="s">
        <v>5511</v>
      </c>
      <c r="G1841" s="3">
        <v>1.0</v>
      </c>
      <c r="H1841" s="3">
        <v>0.0</v>
      </c>
      <c r="I1841" s="3" t="s">
        <v>13</v>
      </c>
      <c r="J1841" s="3" t="s">
        <v>5512</v>
      </c>
      <c r="K1841" s="3" t="s">
        <v>484</v>
      </c>
      <c r="L1841" s="3" t="str">
        <f>IFERROR(__xludf.DUMMYFUNCTION("GOOGLETRANSLATE(F1841,""id"",""en"")"),"The best fate is not born the second born and dead young fate is to enter the World Cup final and supported")</f>
        <v>The best fate is not born the second born and dead young fate is to enter the World Cup final and supported</v>
      </c>
    </row>
    <row r="1842" ht="15.75" customHeight="1">
      <c r="A1842" s="1">
        <v>1848.0</v>
      </c>
      <c r="B1842" s="3" t="s">
        <v>5513</v>
      </c>
      <c r="C1842" s="3">
        <v>0.0</v>
      </c>
      <c r="D1842" s="3">
        <v>0.0</v>
      </c>
      <c r="E1842" s="3">
        <v>0.0</v>
      </c>
      <c r="F1842" s="3" t="s">
        <v>5514</v>
      </c>
      <c r="G1842" s="3">
        <v>1.0</v>
      </c>
      <c r="H1842" s="3">
        <v>0.0</v>
      </c>
      <c r="I1842" s="3" t="s">
        <v>13</v>
      </c>
      <c r="J1842" s="3" t="s">
        <v>5515</v>
      </c>
      <c r="K1842" s="3" t="s">
        <v>348</v>
      </c>
      <c r="L1842" s="3" t="str">
        <f>IFERROR(__xludf.DUMMYFUNCTION("GOOGLETRANSLATE(F1842,""id"",""en"")"),"Congratulations Argentina Victory is delayed from the first round to the penalties of French French World Cup final so it pulled his goal")</f>
        <v>Congratulations Argentina Victory is delayed from the first round to the penalties of French French World Cup final so it pulled his goal</v>
      </c>
    </row>
    <row r="1843" ht="15.75" customHeight="1">
      <c r="A1843" s="1">
        <v>1849.0</v>
      </c>
      <c r="B1843" s="3" t="s">
        <v>5516</v>
      </c>
      <c r="C1843" s="3">
        <v>0.0</v>
      </c>
      <c r="D1843" s="3">
        <v>0.0</v>
      </c>
      <c r="E1843" s="3">
        <v>0.0</v>
      </c>
      <c r="F1843" s="3" t="s">
        <v>5517</v>
      </c>
      <c r="G1843" s="3">
        <v>1.0</v>
      </c>
      <c r="H1843" s="3">
        <v>0.0</v>
      </c>
      <c r="I1843" s="3" t="s">
        <v>13</v>
      </c>
      <c r="J1843" s="3" t="s">
        <v>5518</v>
      </c>
      <c r="K1843" s="3" t="s">
        <v>31</v>
      </c>
      <c r="L1843" s="3" t="str">
        <f>IFERROR(__xludf.DUMMYFUNCTION("GOOGLETRANSLATE(F1843,""id"",""en"")"),"World Cup Final Most Exciting")</f>
        <v>World Cup Final Most Exciting</v>
      </c>
    </row>
    <row r="1844" ht="15.75" customHeight="1">
      <c r="A1844" s="1">
        <v>1850.0</v>
      </c>
      <c r="B1844" s="3" t="s">
        <v>5519</v>
      </c>
      <c r="C1844" s="3">
        <v>0.0</v>
      </c>
      <c r="D1844" s="3">
        <v>0.0</v>
      </c>
      <c r="E1844" s="3">
        <v>0.0</v>
      </c>
      <c r="F1844" s="3" t="s">
        <v>5520</v>
      </c>
      <c r="G1844" s="3">
        <v>0.65</v>
      </c>
      <c r="H1844" s="3">
        <v>0.5</v>
      </c>
      <c r="I1844" s="3" t="s">
        <v>48</v>
      </c>
      <c r="J1844" s="3" t="s">
        <v>5521</v>
      </c>
      <c r="K1844" s="3" t="s">
        <v>82</v>
      </c>
      <c r="L1844" s="3" t="str">
        <f>IFERROR(__xludf.DUMMYFUNCTION("GOOGLETRANSLATE(F1844,""id"",""en"")"),"The Best Final of the Argentina World Cup France")</f>
        <v>The Best Final of the Argentina World Cup France</v>
      </c>
    </row>
    <row r="1845" ht="15.75" customHeight="1">
      <c r="A1845" s="1">
        <v>1851.0</v>
      </c>
      <c r="B1845" s="3" t="s">
        <v>5522</v>
      </c>
      <c r="C1845" s="3">
        <v>0.0</v>
      </c>
      <c r="D1845" s="3">
        <v>0.0</v>
      </c>
      <c r="E1845" s="3">
        <v>0.0</v>
      </c>
      <c r="F1845" s="3" t="s">
        <v>5523</v>
      </c>
      <c r="G1845" s="3">
        <v>1.0</v>
      </c>
      <c r="H1845" s="3">
        <v>0.0</v>
      </c>
      <c r="I1845" s="3" t="s">
        <v>13</v>
      </c>
      <c r="J1845" s="3" t="s">
        <v>5524</v>
      </c>
      <c r="K1845" s="3" t="s">
        <v>54</v>
      </c>
      <c r="L1845" s="3" t="str">
        <f>IFERROR(__xludf.DUMMYFUNCTION("GOOGLETRANSLATE(F1845,""id"",""en"")"),"French French World Cup Final Gaming")</f>
        <v>French French World Cup Final Gaming</v>
      </c>
    </row>
    <row r="1846" ht="15.75" customHeight="1">
      <c r="A1846" s="1">
        <v>1852.0</v>
      </c>
      <c r="B1846" s="3" t="s">
        <v>5525</v>
      </c>
      <c r="C1846" s="3">
        <v>0.0</v>
      </c>
      <c r="D1846" s="3">
        <v>0.0</v>
      </c>
      <c r="E1846" s="3">
        <v>0.0</v>
      </c>
      <c r="F1846" s="3" t="s">
        <v>5526</v>
      </c>
      <c r="G1846" s="3">
        <v>1.0</v>
      </c>
      <c r="H1846" s="3">
        <v>0.0</v>
      </c>
      <c r="I1846" s="3" t="s">
        <v>13</v>
      </c>
      <c r="J1846" s="3" t="s">
        <v>5527</v>
      </c>
      <c r="K1846" s="3" t="s">
        <v>240</v>
      </c>
      <c r="L1846" s="3" t="str">
        <f>IFERROR(__xludf.DUMMYFUNCTION("GOOGLETRANSLATE(F1846,""id"",""en"")"),"Respect for Mbappe Hat Trick Final French World Cup still potential they can win the depth of their regeneration")</f>
        <v>Respect for Mbappe Hat Trick Final French World Cup still potential they can win the depth of their regeneration</v>
      </c>
    </row>
    <row r="1847" ht="15.75" customHeight="1">
      <c r="A1847" s="1">
        <v>1853.0</v>
      </c>
      <c r="B1847" s="3" t="s">
        <v>5528</v>
      </c>
      <c r="C1847" s="3">
        <v>1.0</v>
      </c>
      <c r="D1847" s="3">
        <v>0.0</v>
      </c>
      <c r="E1847" s="3">
        <v>0.0</v>
      </c>
      <c r="F1847" s="3" t="s">
        <v>5529</v>
      </c>
      <c r="G1847" s="3">
        <v>1.0</v>
      </c>
      <c r="H1847" s="3">
        <v>0.0</v>
      </c>
      <c r="I1847" s="3" t="s">
        <v>13</v>
      </c>
      <c r="J1847" s="3" t="s">
        <v>5530</v>
      </c>
      <c r="K1847" s="3" t="s">
        <v>75</v>
      </c>
      <c r="L1847" s="3" t="str">
        <f>IFERROR(__xludf.DUMMYFUNCTION("GOOGLETRANSLATE(F1847,""id"",""en"")"),"indeed the match of the final world cup that is exciting and awaited waiting for Argentina Congrats")</f>
        <v>indeed the match of the final world cup that is exciting and awaited waiting for Argentina Congrats</v>
      </c>
    </row>
    <row r="1848" ht="15.75" customHeight="1">
      <c r="A1848" s="1">
        <v>1854.0</v>
      </c>
      <c r="B1848" s="3" t="s">
        <v>5531</v>
      </c>
      <c r="C1848" s="3">
        <v>0.0</v>
      </c>
      <c r="D1848" s="3">
        <v>0.0</v>
      </c>
      <c r="E1848" s="3">
        <v>0.0</v>
      </c>
      <c r="F1848" s="3" t="s">
        <v>5532</v>
      </c>
      <c r="G1848" s="3">
        <v>0.76</v>
      </c>
      <c r="H1848" s="3">
        <v>-0.06000000000000001</v>
      </c>
      <c r="I1848" s="3" t="s">
        <v>179</v>
      </c>
      <c r="J1848" s="3" t="s">
        <v>5533</v>
      </c>
      <c r="K1848" s="3" t="s">
        <v>1147</v>
      </c>
      <c r="L1848" s="3" t="str">
        <f>IFERROR(__xludf.DUMMYFUNCTION("GOOGLETRANSLATE(F1848,""id"",""en"")"),"Congratulations Argentina for World Champion Happy Messi for the Highest Achievement as a French Congratulations for the Best Final Games Congratulations Mbappe for the Final Final Epic Final Hattrick that is always remembered")</f>
        <v>Congratulations Argentina for World Champion Happy Messi for the Highest Achievement as a French Congratulations for the Best Final Games Congratulations Mbappe for the Final Final Epic Final Hattrick that is always remembered</v>
      </c>
    </row>
    <row r="1849" ht="15.75" customHeight="1">
      <c r="A1849" s="1">
        <v>1855.0</v>
      </c>
      <c r="B1849" s="3" t="s">
        <v>5534</v>
      </c>
      <c r="C1849" s="3">
        <v>0.0</v>
      </c>
      <c r="D1849" s="3">
        <v>1.0</v>
      </c>
      <c r="E1849" s="3">
        <v>0.0</v>
      </c>
      <c r="F1849" s="3" t="s">
        <v>5535</v>
      </c>
      <c r="G1849" s="3">
        <v>1.0</v>
      </c>
      <c r="H1849" s="3">
        <v>0.0</v>
      </c>
      <c r="I1849" s="3" t="s">
        <v>13</v>
      </c>
      <c r="J1849" s="3" t="s">
        <v>5536</v>
      </c>
      <c r="K1849" s="3" t="s">
        <v>244</v>
      </c>
      <c r="L1849" s="3" t="str">
        <f>IFERROR(__xludf.DUMMYFUNCTION("GOOGLETRANSLATE(F1849,""id"",""en"")"),"The World Cup Final was excited all the time I will tell my children and grandchildren")</f>
        <v>The World Cup Final was excited all the time I will tell my children and grandchildren</v>
      </c>
    </row>
    <row r="1850" ht="15.75" customHeight="1">
      <c r="A1850" s="1">
        <v>1856.0</v>
      </c>
      <c r="B1850" s="3" t="s">
        <v>5537</v>
      </c>
      <c r="C1850" s="3">
        <v>0.0</v>
      </c>
      <c r="D1850" s="3">
        <v>0.0</v>
      </c>
      <c r="E1850" s="3">
        <v>0.0</v>
      </c>
      <c r="F1850" s="3" t="s">
        <v>5538</v>
      </c>
      <c r="G1850" s="3">
        <v>1.0</v>
      </c>
      <c r="H1850" s="3">
        <v>0.0</v>
      </c>
      <c r="I1850" s="3" t="s">
        <v>13</v>
      </c>
      <c r="J1850" s="3" t="s">
        <v>5539</v>
      </c>
      <c r="K1850" s="3" t="s">
        <v>31</v>
      </c>
      <c r="L1850" s="3" t="str">
        <f>IFERROR(__xludf.DUMMYFUNCTION("GOOGLETRANSLATE(F1850,""id"",""en"")"),"The Most Epic World Cup Final")</f>
        <v>The Most Epic World Cup Final</v>
      </c>
    </row>
    <row r="1851" ht="15.75" customHeight="1">
      <c r="A1851" s="1">
        <v>1857.0</v>
      </c>
      <c r="B1851" s="3" t="s">
        <v>5540</v>
      </c>
      <c r="C1851" s="3">
        <v>0.0</v>
      </c>
      <c r="D1851" s="3">
        <v>0.0</v>
      </c>
      <c r="E1851" s="3">
        <v>0.0</v>
      </c>
      <c r="F1851" s="3" t="s">
        <v>5540</v>
      </c>
      <c r="G1851" s="3">
        <v>1.0</v>
      </c>
      <c r="H1851" s="3">
        <v>0.0</v>
      </c>
      <c r="I1851" s="3" t="s">
        <v>13</v>
      </c>
      <c r="J1851" s="3" t="s">
        <v>5541</v>
      </c>
      <c r="K1851" s="3" t="s">
        <v>82</v>
      </c>
      <c r="L1851" s="3" t="str">
        <f>IFERROR(__xludf.DUMMYFUNCTION("GOOGLETRANSLATE(F1851,""id"",""en"")"),"the best world cup final during my life")</f>
        <v>the best world cup final during my life</v>
      </c>
    </row>
    <row r="1852" ht="15.75" customHeight="1">
      <c r="A1852" s="1">
        <v>1858.0</v>
      </c>
      <c r="B1852" s="3" t="s">
        <v>5542</v>
      </c>
      <c r="C1852" s="3">
        <v>0.0</v>
      </c>
      <c r="D1852" s="3">
        <v>0.0</v>
      </c>
      <c r="E1852" s="3">
        <v>0.0</v>
      </c>
      <c r="F1852" s="3" t="s">
        <v>5543</v>
      </c>
      <c r="G1852" s="3">
        <v>0.75</v>
      </c>
      <c r="H1852" s="3">
        <v>0.225</v>
      </c>
      <c r="I1852" s="3" t="s">
        <v>48</v>
      </c>
      <c r="J1852" s="3" t="s">
        <v>5544</v>
      </c>
      <c r="K1852" s="3" t="s">
        <v>240</v>
      </c>
      <c r="L1852" s="3" t="str">
        <f>IFERROR(__xludf.DUMMYFUNCTION("GOOGLETRANSLATE(F1852,""id"",""en"")"),"Good Game Happy Argentina Messi This is the Final World Cup Exciting Original Boong Nice Try France Mbapee")</f>
        <v>Good Game Happy Argentina Messi This is the Final World Cup Exciting Original Boong Nice Try France Mbapee</v>
      </c>
    </row>
    <row r="1853" ht="15.75" customHeight="1">
      <c r="A1853" s="1">
        <v>1859.0</v>
      </c>
      <c r="B1853" s="3" t="s">
        <v>5545</v>
      </c>
      <c r="C1853" s="3">
        <v>0.0</v>
      </c>
      <c r="D1853" s="3">
        <v>0.0</v>
      </c>
      <c r="E1853" s="3">
        <v>0.0</v>
      </c>
      <c r="F1853" s="3" t="s">
        <v>5546</v>
      </c>
      <c r="G1853" s="3">
        <v>1.0</v>
      </c>
      <c r="H1853" s="3">
        <v>0.0</v>
      </c>
      <c r="I1853" s="3" t="s">
        <v>13</v>
      </c>
      <c r="J1853" s="3" t="s">
        <v>5547</v>
      </c>
      <c r="K1853" s="3" t="s">
        <v>41</v>
      </c>
      <c r="L1853" s="3" t="str">
        <f>IFERROR(__xludf.DUMMYFUNCTION("GOOGLETRANSLATE(F1853,""id"",""en"")"),"many streets closed crazy euphoria of the World Cup Final Society")</f>
        <v>many streets closed crazy euphoria of the World Cup Final Society</v>
      </c>
    </row>
    <row r="1854" ht="15.75" customHeight="1">
      <c r="A1854" s="1">
        <v>1860.0</v>
      </c>
      <c r="B1854" s="3" t="s">
        <v>5548</v>
      </c>
      <c r="C1854" s="3">
        <v>10.0</v>
      </c>
      <c r="D1854" s="3">
        <v>13.0</v>
      </c>
      <c r="E1854" s="3">
        <v>60.0</v>
      </c>
      <c r="F1854" s="3" t="s">
        <v>5549</v>
      </c>
      <c r="G1854" s="3">
        <v>1.0</v>
      </c>
      <c r="H1854" s="3">
        <v>0.0</v>
      </c>
      <c r="I1854" s="3" t="s">
        <v>13</v>
      </c>
      <c r="J1854" s="3" t="s">
        <v>5550</v>
      </c>
      <c r="K1854" s="3" t="s">
        <v>2610</v>
      </c>
      <c r="L1854" s="3" t="str">
        <f>IFERROR(__xludf.DUMMYFUNCTION("GOOGLETRANSLATE(F1854,""id"",""en"")"),"How do you react to Gaes happy or sad Argentina won against France with a penalty shootout in the final round of the FIFA Qatar World Cup Stadium in December")</f>
        <v>How do you react to Gaes happy or sad Argentina won against France with a penalty shootout in the final round of the FIFA Qatar World Cup Stadium in December</v>
      </c>
    </row>
    <row r="1855" ht="15.75" customHeight="1">
      <c r="A1855" s="1">
        <v>1861.0</v>
      </c>
      <c r="B1855" s="3" t="s">
        <v>5551</v>
      </c>
      <c r="C1855" s="3">
        <v>0.0</v>
      </c>
      <c r="D1855" s="3">
        <v>0.0</v>
      </c>
      <c r="E1855" s="3">
        <v>0.0</v>
      </c>
      <c r="F1855" s="3" t="s">
        <v>5552</v>
      </c>
      <c r="G1855" s="3">
        <v>1.0</v>
      </c>
      <c r="H1855" s="3">
        <v>0.0</v>
      </c>
      <c r="I1855" s="3" t="s">
        <v>13</v>
      </c>
      <c r="J1855" s="3" t="s">
        <v>5553</v>
      </c>
      <c r="K1855" s="3" t="s">
        <v>123</v>
      </c>
      <c r="L1855" s="3" t="str">
        <f>IFERROR(__xludf.DUMMYFUNCTION("GOOGLETRANSLATE(F1855,""id"",""en"")"),"What Final Argentina The Champion The World Cup Well Deserve Congrats For Messi And Team")</f>
        <v>What Final Argentina The Champion The World Cup Well Deserve Congrats For Messi And Team</v>
      </c>
    </row>
    <row r="1856" ht="15.75" customHeight="1">
      <c r="A1856" s="1">
        <v>1862.0</v>
      </c>
      <c r="B1856" s="3" t="s">
        <v>5554</v>
      </c>
      <c r="C1856" s="3">
        <v>1.0</v>
      </c>
      <c r="D1856" s="3">
        <v>11.0</v>
      </c>
      <c r="E1856" s="3">
        <v>22.0</v>
      </c>
      <c r="F1856" s="3" t="s">
        <v>5555</v>
      </c>
      <c r="G1856" s="3">
        <v>1.0</v>
      </c>
      <c r="H1856" s="3">
        <v>0.0</v>
      </c>
      <c r="I1856" s="3" t="s">
        <v>13</v>
      </c>
      <c r="J1856" s="3" t="s">
        <v>5556</v>
      </c>
      <c r="K1856" s="3" t="s">
        <v>71</v>
      </c>
      <c r="L1856" s="3" t="str">
        <f>IFERROR(__xludf.DUMMYFUNCTION("GOOGLETRANSLATE(F1856,""id"",""en"")"),"Alcohol needs to make fans of the Ugal Bat Soccer Final French French Argentina")</f>
        <v>Alcohol needs to make fans of the Ugal Bat Soccer Final French French Argentina</v>
      </c>
    </row>
    <row r="1857" ht="15.75" customHeight="1">
      <c r="A1857" s="1">
        <v>1863.0</v>
      </c>
      <c r="B1857" s="3" t="s">
        <v>5557</v>
      </c>
      <c r="C1857" s="3">
        <v>0.0</v>
      </c>
      <c r="D1857" s="3">
        <v>0.0</v>
      </c>
      <c r="E1857" s="3">
        <v>0.0</v>
      </c>
      <c r="F1857" s="3" t="s">
        <v>665</v>
      </c>
      <c r="G1857" s="3">
        <v>1.0</v>
      </c>
      <c r="H1857" s="3">
        <v>0.0</v>
      </c>
      <c r="I1857" s="3" t="s">
        <v>13</v>
      </c>
      <c r="J1857" s="3" t="s">
        <v>666</v>
      </c>
      <c r="K1857" s="3" t="s">
        <v>644</v>
      </c>
      <c r="L1857" s="3" t="str">
        <f>IFERROR(__xludf.DUMMYFUNCTION("GOOGLETRANSLATE(F1857,""id"",""en"")"),"the best world cup final")</f>
        <v>the best world cup final</v>
      </c>
    </row>
    <row r="1858" ht="15.75" customHeight="1">
      <c r="A1858" s="1">
        <v>1864.0</v>
      </c>
      <c r="B1858" s="3" t="s">
        <v>5558</v>
      </c>
      <c r="C1858" s="3">
        <v>1.0</v>
      </c>
      <c r="D1858" s="3">
        <v>0.0</v>
      </c>
      <c r="E1858" s="3">
        <v>0.0</v>
      </c>
      <c r="F1858" s="3" t="s">
        <v>5559</v>
      </c>
      <c r="G1858" s="3">
        <v>1.0</v>
      </c>
      <c r="H1858" s="3">
        <v>0.0</v>
      </c>
      <c r="I1858" s="3" t="s">
        <v>13</v>
      </c>
      <c r="J1858" s="3" t="s">
        <v>5560</v>
      </c>
      <c r="K1858" s="3" t="s">
        <v>27</v>
      </c>
      <c r="L1858" s="3" t="str">
        <f>IFERROR(__xludf.DUMMYFUNCTION("GOOGLETRANSLATE(F1858,""id"",""en"")"),"I respect really crazy with mbappe cool, this young man is another birthday, hopefully this world cup final hat trick can be a historic gift for him")</f>
        <v>I respect really crazy with mbappe cool, this young man is another birthday, hopefully this world cup final hat trick can be a historic gift for him</v>
      </c>
    </row>
    <row r="1859" ht="15.75" customHeight="1">
      <c r="A1859" s="1">
        <v>1865.0</v>
      </c>
      <c r="B1859" s="3" t="s">
        <v>5561</v>
      </c>
      <c r="C1859" s="3">
        <v>0.0</v>
      </c>
      <c r="D1859" s="3">
        <v>0.0</v>
      </c>
      <c r="E1859" s="3">
        <v>0.0</v>
      </c>
      <c r="F1859" s="3" t="s">
        <v>5562</v>
      </c>
      <c r="G1859" s="3">
        <v>1.0</v>
      </c>
      <c r="H1859" s="3">
        <v>0.0</v>
      </c>
      <c r="I1859" s="3" t="s">
        <v>13</v>
      </c>
      <c r="J1859" s="3" t="s">
        <v>5563</v>
      </c>
      <c r="K1859" s="3" t="s">
        <v>15</v>
      </c>
      <c r="L1859" s="3" t="str">
        <f>IFERROR(__xludf.DUMMYFUNCTION("GOOGLETRANSLATE(F1859,""id"",""en"")"),"Argentine World Cup Final Silence France in the first half")</f>
        <v>Argentine World Cup Final Silence France in the first half</v>
      </c>
    </row>
    <row r="1860" ht="15.75" customHeight="1">
      <c r="A1860" s="1">
        <v>1866.0</v>
      </c>
      <c r="B1860" s="3" t="s">
        <v>5564</v>
      </c>
      <c r="C1860" s="3">
        <v>1.0</v>
      </c>
      <c r="D1860" s="3">
        <v>2.0</v>
      </c>
      <c r="E1860" s="3">
        <v>16.0</v>
      </c>
      <c r="F1860" s="3" t="s">
        <v>5565</v>
      </c>
      <c r="G1860" s="3">
        <v>1.0</v>
      </c>
      <c r="H1860" s="3">
        <v>0.0</v>
      </c>
      <c r="I1860" s="3" t="s">
        <v>13</v>
      </c>
      <c r="J1860" s="3" t="s">
        <v>5566</v>
      </c>
      <c r="K1860" s="3" t="s">
        <v>41</v>
      </c>
      <c r="L1860" s="3" t="str">
        <f>IFERROR(__xludf.DUMMYFUNCTION("GOOGLETRANSLATE(F1860,""id"",""en"")"),"This is if the story of Messi becomes the act of the world cup final")</f>
        <v>This is if the story of Messi becomes the act of the world cup final</v>
      </c>
    </row>
    <row r="1861" ht="15.75" customHeight="1">
      <c r="A1861" s="1">
        <v>1867.0</v>
      </c>
      <c r="B1861" s="3" t="s">
        <v>5567</v>
      </c>
      <c r="C1861" s="3">
        <v>0.0</v>
      </c>
      <c r="D1861" s="3">
        <v>0.0</v>
      </c>
      <c r="E1861" s="3">
        <v>0.0</v>
      </c>
      <c r="F1861" s="3" t="s">
        <v>5568</v>
      </c>
      <c r="G1861" s="3">
        <v>1.0</v>
      </c>
      <c r="H1861" s="3">
        <v>0.0</v>
      </c>
      <c r="I1861" s="3" t="s">
        <v>13</v>
      </c>
      <c r="J1861" s="3" t="s">
        <v>5569</v>
      </c>
      <c r="K1861" s="3" t="s">
        <v>1345</v>
      </c>
      <c r="L1861" s="3" t="str">
        <f>IFERROR(__xludf.DUMMYFUNCTION("GOOGLETRANSLATE(F1861,""id"",""en"")"),"Argentina French World Cup Final Dramatic Argentina match came out as World Cup champions")</f>
        <v>Argentina French World Cup Final Dramatic Argentina match came out as World Cup champions</v>
      </c>
    </row>
    <row r="1862" ht="15.75" customHeight="1">
      <c r="A1862" s="1">
        <v>1868.0</v>
      </c>
      <c r="B1862" s="3" t="s">
        <v>5570</v>
      </c>
      <c r="C1862" s="3">
        <v>0.0</v>
      </c>
      <c r="D1862" s="3">
        <v>0.0</v>
      </c>
      <c r="E1862" s="3">
        <v>0.0</v>
      </c>
      <c r="F1862" s="3" t="s">
        <v>5571</v>
      </c>
      <c r="G1862" s="3">
        <v>1.0</v>
      </c>
      <c r="H1862" s="3">
        <v>0.0</v>
      </c>
      <c r="I1862" s="3" t="s">
        <v>13</v>
      </c>
      <c r="J1862" s="3" t="s">
        <v>5572</v>
      </c>
      <c r="K1862" s="3" t="s">
        <v>510</v>
      </c>
      <c r="L1862" s="3" t="str">
        <f>IFERROR(__xludf.DUMMYFUNCTION("GOOGLETRANSLATE(F1862,""id"",""en"")"),"Kylian Mbape followed in the footsteps of Geoff Hurst who scored three goals in the World Cup Final")</f>
        <v>Kylian Mbape followed in the footsteps of Geoff Hurst who scored three goals in the World Cup Final</v>
      </c>
    </row>
    <row r="1863" ht="15.75" customHeight="1">
      <c r="A1863" s="1">
        <v>1869.0</v>
      </c>
      <c r="B1863" s="3" t="s">
        <v>5573</v>
      </c>
      <c r="C1863" s="3">
        <v>0.0</v>
      </c>
      <c r="D1863" s="3">
        <v>0.0</v>
      </c>
      <c r="E1863" s="3">
        <v>0.0</v>
      </c>
      <c r="F1863" s="3" t="s">
        <v>5574</v>
      </c>
      <c r="G1863" s="3">
        <v>1.0</v>
      </c>
      <c r="H1863" s="3">
        <v>0.0</v>
      </c>
      <c r="I1863" s="3" t="s">
        <v>13</v>
      </c>
      <c r="J1863" s="3" t="s">
        <v>5575</v>
      </c>
      <c r="K1863" s="3" t="s">
        <v>15</v>
      </c>
      <c r="L1863" s="3" t="str">
        <f>IFERROR(__xludf.DUMMYFUNCTION("GOOGLETRANSLATE(F1863,""id"",""en"")"),"watching soccer sis, this history is natural for the World Cup Final")</f>
        <v>watching soccer sis, this history is natural for the World Cup Final</v>
      </c>
    </row>
    <row r="1864" ht="15.75" customHeight="1">
      <c r="A1864" s="1">
        <v>1870.0</v>
      </c>
      <c r="B1864" s="3" t="s">
        <v>5576</v>
      </c>
      <c r="C1864" s="3">
        <v>0.0</v>
      </c>
      <c r="D1864" s="3">
        <v>0.0</v>
      </c>
      <c r="E1864" s="3">
        <v>0.0</v>
      </c>
      <c r="F1864" s="3" t="s">
        <v>5577</v>
      </c>
      <c r="G1864" s="3">
        <v>0.7777777777777777</v>
      </c>
      <c r="H1864" s="3">
        <v>0.05555555555555555</v>
      </c>
      <c r="I1864" s="3" t="s">
        <v>48</v>
      </c>
      <c r="J1864" s="3" t="s">
        <v>5578</v>
      </c>
      <c r="K1864" s="3" t="s">
        <v>192</v>
      </c>
      <c r="L1864" s="3" t="str">
        <f>IFERROR(__xludf.DUMMYFUNCTION("GOOGLETRANSLATE(F1864,""id"",""en"")"),"Argentina World Champion Goat Messi Retired Bringing a Small Boss Cup Hattrick Final Sing Pekok Scaloni Alvarez Playing Ugly From the beginning of the Final Final Fast Replaced Proven Lautaro made a difference after entering")</f>
        <v>Argentina World Champion Goat Messi Retired Bringing a Small Boss Cup Hattrick Final Sing Pekok Scaloni Alvarez Playing Ugly From the beginning of the Final Final Fast Replaced Proven Lautaro made a difference after entering</v>
      </c>
    </row>
    <row r="1865" ht="15.75" customHeight="1">
      <c r="A1865" s="1">
        <v>1871.0</v>
      </c>
      <c r="B1865" s="3" t="s">
        <v>5579</v>
      </c>
      <c r="C1865" s="3">
        <v>0.0</v>
      </c>
      <c r="D1865" s="3">
        <v>0.0</v>
      </c>
      <c r="E1865" s="3">
        <v>0.0</v>
      </c>
      <c r="F1865" s="3" t="s">
        <v>5580</v>
      </c>
      <c r="G1865" s="3">
        <v>0.65</v>
      </c>
      <c r="H1865" s="3">
        <v>0.5</v>
      </c>
      <c r="I1865" s="3" t="s">
        <v>48</v>
      </c>
      <c r="J1865" s="3" t="s">
        <v>5581</v>
      </c>
      <c r="K1865" s="3" t="s">
        <v>50</v>
      </c>
      <c r="L1865" s="3" t="str">
        <f>IFERROR(__xludf.DUMMYFUNCTION("GOOGLETRANSLATE(F1865,""id"",""en"")"),"The World Cup Final Ter The Best Sih Congratulations to Argentina and GOAT is actually Messi")</f>
        <v>The World Cup Final Ter The Best Sih Congratulations to Argentina and GOAT is actually Messi</v>
      </c>
    </row>
    <row r="1866" ht="15.75" customHeight="1">
      <c r="A1866" s="1">
        <v>1872.0</v>
      </c>
      <c r="B1866" s="3" t="s">
        <v>5582</v>
      </c>
      <c r="C1866" s="3">
        <v>0.0</v>
      </c>
      <c r="D1866" s="3">
        <v>0.0</v>
      </c>
      <c r="E1866" s="3">
        <v>0.0</v>
      </c>
      <c r="F1866" s="3" t="s">
        <v>5583</v>
      </c>
      <c r="G1866" s="3">
        <v>1.0</v>
      </c>
      <c r="H1866" s="3">
        <v>0.0</v>
      </c>
      <c r="I1866" s="3" t="s">
        <v>13</v>
      </c>
      <c r="J1866" s="3" t="s">
        <v>5584</v>
      </c>
      <c r="K1866" s="3" t="s">
        <v>75</v>
      </c>
      <c r="L1866" s="3" t="str">
        <f>IFERROR(__xludf.DUMMYFUNCTION("GOOGLETRANSLATE(F1866,""id"",""en"")"),"the first time watching the final of the World Cup Since Wuuu Congrats Argenn")</f>
        <v>the first time watching the final of the World Cup Since Wuuu Congrats Argenn</v>
      </c>
    </row>
    <row r="1867" ht="15.75" customHeight="1">
      <c r="A1867" s="1">
        <v>1873.0</v>
      </c>
      <c r="B1867" s="3" t="s">
        <v>5585</v>
      </c>
      <c r="C1867" s="3">
        <v>0.0</v>
      </c>
      <c r="D1867" s="3">
        <v>0.0</v>
      </c>
      <c r="E1867" s="3">
        <v>0.0</v>
      </c>
      <c r="F1867" s="3" t="s">
        <v>5586</v>
      </c>
      <c r="G1867" s="3">
        <v>1.0</v>
      </c>
      <c r="H1867" s="3">
        <v>0.0</v>
      </c>
      <c r="I1867" s="3" t="s">
        <v>13</v>
      </c>
      <c r="J1867" s="3" t="s">
        <v>5587</v>
      </c>
      <c r="K1867" s="3" t="s">
        <v>765</v>
      </c>
      <c r="L1867" s="3" t="str">
        <f>IFERROR(__xludf.DUMMYFUNCTION("GOOGLETRANSLATE(F1867,""id"",""en"")"),"Congratulations on the Argentine national team and Lionel Messi champion the Qatar World Cup from the initially very boring to turn into one of the most fierce world cup finals that are needed by football connoisseurs")</f>
        <v>Congratulations on the Argentine national team and Lionel Messi champion the Qatar World Cup from the initially very boring to turn into one of the most fierce world cup finals that are needed by football connoisseurs</v>
      </c>
    </row>
    <row r="1868" ht="15.75" customHeight="1">
      <c r="A1868" s="1">
        <v>1874.0</v>
      </c>
      <c r="B1868" s="3" t="s">
        <v>5588</v>
      </c>
      <c r="C1868" s="3">
        <v>0.0</v>
      </c>
      <c r="D1868" s="3">
        <v>0.0</v>
      </c>
      <c r="E1868" s="3">
        <v>0.0</v>
      </c>
      <c r="F1868" s="3" t="s">
        <v>5589</v>
      </c>
      <c r="G1868" s="3">
        <v>1.0</v>
      </c>
      <c r="H1868" s="3">
        <v>0.0</v>
      </c>
      <c r="I1868" s="3" t="s">
        <v>13</v>
      </c>
      <c r="J1868" s="3" t="s">
        <v>5590</v>
      </c>
      <c r="K1868" s="3" t="s">
        <v>437</v>
      </c>
      <c r="L1868" s="3" t="str">
        <f>IFERROR(__xludf.DUMMYFUNCTION("GOOGLETRANSLATE(F1868,""id"",""en"")"),"Exciting Exciting This World Cup Final was excited even though the hype was lacking but the match and drama presented made this the best")</f>
        <v>Exciting Exciting This World Cup Final was excited even though the hype was lacking but the match and drama presented made this the best</v>
      </c>
    </row>
    <row r="1869" ht="15.75" customHeight="1">
      <c r="A1869" s="1">
        <v>1875.0</v>
      </c>
      <c r="B1869" s="3" t="s">
        <v>5591</v>
      </c>
      <c r="C1869" s="3">
        <v>0.0</v>
      </c>
      <c r="D1869" s="3">
        <v>1.0</v>
      </c>
      <c r="E1869" s="3">
        <v>0.0</v>
      </c>
      <c r="F1869" s="3" t="s">
        <v>5591</v>
      </c>
      <c r="G1869" s="3">
        <v>1.0</v>
      </c>
      <c r="H1869" s="3">
        <v>0.0</v>
      </c>
      <c r="I1869" s="3" t="s">
        <v>13</v>
      </c>
      <c r="J1869" s="3" t="s">
        <v>5592</v>
      </c>
      <c r="K1869" s="3" t="s">
        <v>82</v>
      </c>
      <c r="L1869" s="3" t="str">
        <f>IFERROR(__xludf.DUMMYFUNCTION("GOOGLETRANSLATE(F1869,""id"",""en"")"),"The most exciting final for watching the World Cup")</f>
        <v>The most exciting final for watching the World Cup</v>
      </c>
    </row>
    <row r="1870" ht="15.75" customHeight="1">
      <c r="A1870" s="1">
        <v>1876.0</v>
      </c>
      <c r="B1870" s="3" t="s">
        <v>5593</v>
      </c>
      <c r="C1870" s="3">
        <v>0.0</v>
      </c>
      <c r="D1870" s="3">
        <v>0.0</v>
      </c>
      <c r="E1870" s="3">
        <v>2.0</v>
      </c>
      <c r="F1870" s="3" t="s">
        <v>5594</v>
      </c>
      <c r="G1870" s="3">
        <v>1.0</v>
      </c>
      <c r="H1870" s="3">
        <v>0.0</v>
      </c>
      <c r="I1870" s="3" t="s">
        <v>13</v>
      </c>
      <c r="J1870" s="3" t="s">
        <v>5595</v>
      </c>
      <c r="K1870" s="3" t="s">
        <v>75</v>
      </c>
      <c r="L1870" s="3" t="str">
        <f>IFERROR(__xludf.DUMMYFUNCTION("GOOGLETRANSLATE(F1870,""id"",""en"")"),"The World Cup Final The Best The Best and Excited for Life of My Life Vamos Argentina")</f>
        <v>The World Cup Final The Best The Best and Excited for Life of My Life Vamos Argentina</v>
      </c>
    </row>
    <row r="1871" ht="15.75" customHeight="1">
      <c r="A1871" s="1">
        <v>1877.0</v>
      </c>
      <c r="B1871" s="3" t="s">
        <v>5596</v>
      </c>
      <c r="C1871" s="3">
        <v>0.0</v>
      </c>
      <c r="D1871" s="3">
        <v>0.0</v>
      </c>
      <c r="E1871" s="3">
        <v>0.0</v>
      </c>
      <c r="F1871" s="3" t="s">
        <v>1721</v>
      </c>
      <c r="G1871" s="3">
        <v>1.0</v>
      </c>
      <c r="H1871" s="3">
        <v>0.0</v>
      </c>
      <c r="I1871" s="3" t="s">
        <v>13</v>
      </c>
      <c r="J1871" s="3" t="s">
        <v>1722</v>
      </c>
      <c r="K1871" s="3" t="s">
        <v>54</v>
      </c>
      <c r="L1871" s="3" t="str">
        <f>IFERROR(__xludf.DUMMYFUNCTION("GOOGLETRANSLATE(F1871,""id"",""en"")"),"the best world cup final of all time")</f>
        <v>the best world cup final of all time</v>
      </c>
    </row>
    <row r="1872" ht="15.75" customHeight="1">
      <c r="A1872" s="1">
        <v>1878.0</v>
      </c>
      <c r="B1872" s="3" t="s">
        <v>5597</v>
      </c>
      <c r="C1872" s="3">
        <v>0.0</v>
      </c>
      <c r="D1872" s="3">
        <v>0.0</v>
      </c>
      <c r="E1872" s="3">
        <v>0.0</v>
      </c>
      <c r="F1872" s="3" t="s">
        <v>5598</v>
      </c>
      <c r="G1872" s="3">
        <v>0.7</v>
      </c>
      <c r="H1872" s="3">
        <v>-0.2</v>
      </c>
      <c r="I1872" s="3" t="s">
        <v>179</v>
      </c>
      <c r="J1872" s="3" t="s">
        <v>5599</v>
      </c>
      <c r="K1872" s="3" t="s">
        <v>1265</v>
      </c>
      <c r="L1872" s="3" t="str">
        <f>IFERROR(__xludf.DUMMYFUNCTION("GOOGLETRANSLATE(F1872,""id"",""en"")"),"What Show What Final What the Best World Cup Game Closed Beautiful")</f>
        <v>What Show What Final What the Best World Cup Game Closed Beautiful</v>
      </c>
    </row>
    <row r="1873" ht="15.75" customHeight="1">
      <c r="A1873" s="1">
        <v>1879.0</v>
      </c>
      <c r="B1873" s="3" t="s">
        <v>5600</v>
      </c>
      <c r="C1873" s="3">
        <v>0.0</v>
      </c>
      <c r="D1873" s="3">
        <v>0.0</v>
      </c>
      <c r="E1873" s="3">
        <v>0.0</v>
      </c>
      <c r="F1873" s="3" t="s">
        <v>5601</v>
      </c>
      <c r="G1873" s="3">
        <v>1.0</v>
      </c>
      <c r="H1873" s="3">
        <v>0.0</v>
      </c>
      <c r="I1873" s="3" t="s">
        <v>13</v>
      </c>
      <c r="J1873" s="3" t="s">
        <v>5602</v>
      </c>
      <c r="K1873" s="3" t="s">
        <v>31</v>
      </c>
      <c r="L1873" s="3" t="str">
        <f>IFERROR(__xludf.DUMMYFUNCTION("GOOGLETRANSLATE(F1873,""id"",""en"")"),"The Best World Cup Final So far")</f>
        <v>The Best World Cup Final So far</v>
      </c>
    </row>
    <row r="1874" ht="15.75" customHeight="1">
      <c r="A1874" s="1">
        <v>1880.0</v>
      </c>
      <c r="B1874" s="3" t="s">
        <v>5603</v>
      </c>
      <c r="C1874" s="3">
        <v>0.0</v>
      </c>
      <c r="D1874" s="3">
        <v>0.0</v>
      </c>
      <c r="E1874" s="3">
        <v>0.0</v>
      </c>
      <c r="F1874" s="3" t="s">
        <v>5604</v>
      </c>
      <c r="G1874" s="3">
        <v>1.0</v>
      </c>
      <c r="H1874" s="3">
        <v>0.0</v>
      </c>
      <c r="I1874" s="3" t="s">
        <v>13</v>
      </c>
      <c r="J1874" s="3" t="s">
        <v>5605</v>
      </c>
      <c r="K1874" s="3" t="s">
        <v>695</v>
      </c>
      <c r="L1874" s="3" t="str">
        <f>IFERROR(__xludf.DUMMYFUNCTION("GOOGLETRANSLATE(F1874,""id"",""en"")"),"watching the World Cup like watching the final nudc contents all powhouse with a new campus sticking out really good")</f>
        <v>watching the World Cup like watching the final nudc contents all powhouse with a new campus sticking out really good</v>
      </c>
    </row>
    <row r="1875" ht="15.75" customHeight="1">
      <c r="A1875" s="1">
        <v>1881.0</v>
      </c>
      <c r="B1875" s="3" t="s">
        <v>5606</v>
      </c>
      <c r="C1875" s="3">
        <v>0.0</v>
      </c>
      <c r="D1875" s="3">
        <v>0.0</v>
      </c>
      <c r="E1875" s="3">
        <v>0.0</v>
      </c>
      <c r="F1875" s="3" t="s">
        <v>5607</v>
      </c>
      <c r="G1875" s="3">
        <v>1.0</v>
      </c>
      <c r="H1875" s="3">
        <v>0.0</v>
      </c>
      <c r="I1875" s="3" t="s">
        <v>13</v>
      </c>
      <c r="J1875" s="3" t="s">
        <v>1455</v>
      </c>
      <c r="K1875" s="3" t="s">
        <v>54</v>
      </c>
      <c r="L1875" s="3" t="str">
        <f>IFERROR(__xludf.DUMMYFUNCTION("GOOGLETRANSLATE(F1875,""id"",""en"")"),"The Best World Cup Final Never Watching")</f>
        <v>The Best World Cup Final Never Watching</v>
      </c>
    </row>
    <row r="1876" ht="15.75" customHeight="1">
      <c r="A1876" s="1">
        <v>1882.0</v>
      </c>
      <c r="B1876" s="3" t="s">
        <v>5608</v>
      </c>
      <c r="C1876" s="3">
        <v>0.0</v>
      </c>
      <c r="D1876" s="3">
        <v>1.0</v>
      </c>
      <c r="E1876" s="3">
        <v>1.0</v>
      </c>
      <c r="F1876" s="3" t="s">
        <v>5609</v>
      </c>
      <c r="G1876" s="3">
        <v>1.0</v>
      </c>
      <c r="H1876" s="3">
        <v>0.0</v>
      </c>
      <c r="I1876" s="3" t="s">
        <v>13</v>
      </c>
      <c r="J1876" s="3" t="s">
        <v>5610</v>
      </c>
      <c r="K1876" s="3" t="s">
        <v>131</v>
      </c>
      <c r="L1876" s="3" t="str">
        <f>IFERROR(__xludf.DUMMYFUNCTION("GOOGLETRANSLATE(F1876,""id"",""en"")"),"Final full of tense drama and finally Argentina grabbed the World Cup trophy after and complete Lionel Messi's struggle Happy Argentina Messi")</f>
        <v>Final full of tense drama and finally Argentina grabbed the World Cup trophy after and complete Lionel Messi's struggle Happy Argentina Messi</v>
      </c>
    </row>
    <row r="1877" ht="15.75" customHeight="1">
      <c r="A1877" s="1">
        <v>1883.0</v>
      </c>
      <c r="B1877" s="3" t="s">
        <v>5611</v>
      </c>
      <c r="C1877" s="3">
        <v>1.0</v>
      </c>
      <c r="D1877" s="3">
        <v>0.0</v>
      </c>
      <c r="E1877" s="3">
        <v>0.0</v>
      </c>
      <c r="F1877" s="3" t="s">
        <v>5612</v>
      </c>
      <c r="G1877" s="3">
        <v>1.0</v>
      </c>
      <c r="H1877" s="3">
        <v>0.0</v>
      </c>
      <c r="I1877" s="3" t="s">
        <v>13</v>
      </c>
      <c r="J1877" s="3" t="s">
        <v>5613</v>
      </c>
      <c r="K1877" s="3" t="s">
        <v>205</v>
      </c>
      <c r="L1877" s="3" t="str">
        <f>IFERROR(__xludf.DUMMYFUNCTION("GOOGLETRANSLATE(F1877,""id"",""en"")"),"One of the World Cup finals was excited, this was a pity that the kickers of France had been withdrawn all the rest of the young young people even though mbappe was a hat trick")</f>
        <v>One of the World Cup finals was excited, this was a pity that the kickers of France had been withdrawn all the rest of the young young people even though mbappe was a hat trick</v>
      </c>
    </row>
    <row r="1878" ht="15.75" customHeight="1">
      <c r="A1878" s="1">
        <v>1884.0</v>
      </c>
      <c r="B1878" s="3" t="s">
        <v>5614</v>
      </c>
      <c r="C1878" s="3">
        <v>0.0</v>
      </c>
      <c r="D1878" s="3">
        <v>0.0</v>
      </c>
      <c r="E1878" s="3">
        <v>0.0</v>
      </c>
      <c r="F1878" s="3" t="s">
        <v>5615</v>
      </c>
      <c r="G1878" s="3">
        <v>1.0</v>
      </c>
      <c r="H1878" s="3">
        <v>0.0</v>
      </c>
      <c r="I1878" s="3" t="s">
        <v>13</v>
      </c>
      <c r="J1878" s="3" t="s">
        <v>5616</v>
      </c>
      <c r="K1878" s="3" t="s">
        <v>31</v>
      </c>
      <c r="L1878" s="3" t="str">
        <f>IFERROR(__xludf.DUMMYFUNCTION("GOOGLETRANSLATE(F1878,""id"",""en"")"),"The Crazy World Cup Final")</f>
        <v>The Crazy World Cup Final</v>
      </c>
    </row>
    <row r="1879" ht="15.75" customHeight="1">
      <c r="A1879" s="1">
        <v>1885.0</v>
      </c>
      <c r="B1879" s="3" t="s">
        <v>5617</v>
      </c>
      <c r="C1879" s="3">
        <v>1.0</v>
      </c>
      <c r="D1879" s="3">
        <v>0.0</v>
      </c>
      <c r="E1879" s="3">
        <v>0.0</v>
      </c>
      <c r="F1879" s="3" t="s">
        <v>5618</v>
      </c>
      <c r="G1879" s="3">
        <v>1.0</v>
      </c>
      <c r="H1879" s="3">
        <v>0.0</v>
      </c>
      <c r="I1879" s="3" t="s">
        <v>13</v>
      </c>
      <c r="J1879" s="3" t="s">
        <v>5619</v>
      </c>
      <c r="K1879" s="3" t="s">
        <v>82</v>
      </c>
      <c r="L1879" s="3" t="str">
        <f>IFERROR(__xludf.DUMMYFUNCTION("GOOGLETRANSLATE(F1879,""id"",""en"")"),"Gokil World Cup Final Match This time Congratulations")</f>
        <v>Gokil World Cup Final Match This time Congratulations</v>
      </c>
    </row>
    <row r="1880" ht="15.75" customHeight="1">
      <c r="A1880" s="1">
        <v>1886.0</v>
      </c>
      <c r="B1880" s="3" t="s">
        <v>5620</v>
      </c>
      <c r="C1880" s="3">
        <v>0.0</v>
      </c>
      <c r="D1880" s="3">
        <v>0.0</v>
      </c>
      <c r="E1880" s="3">
        <v>0.0</v>
      </c>
      <c r="F1880" s="3" t="s">
        <v>5621</v>
      </c>
      <c r="G1880" s="3">
        <v>1.0</v>
      </c>
      <c r="H1880" s="3">
        <v>0.0</v>
      </c>
      <c r="I1880" s="3" t="s">
        <v>13</v>
      </c>
      <c r="J1880" s="3" t="s">
        <v>5622</v>
      </c>
      <c r="K1880" s="3" t="s">
        <v>82</v>
      </c>
      <c r="L1880" s="3" t="str">
        <f>IFERROR(__xludf.DUMMYFUNCTION("GOOGLETRANSLATE(F1880,""id"",""en"")"),"The best World Cup final as far as Aing Watch")</f>
        <v>The best World Cup final as far as Aing Watch</v>
      </c>
    </row>
    <row r="1881" ht="15.75" customHeight="1">
      <c r="A1881" s="1">
        <v>1887.0</v>
      </c>
      <c r="B1881" s="3" t="s">
        <v>5623</v>
      </c>
      <c r="C1881" s="3">
        <v>0.0</v>
      </c>
      <c r="D1881" s="3">
        <v>0.0</v>
      </c>
      <c r="E1881" s="3">
        <v>0.0</v>
      </c>
      <c r="F1881" s="3" t="s">
        <v>5624</v>
      </c>
      <c r="G1881" s="3">
        <v>1.0</v>
      </c>
      <c r="H1881" s="3">
        <v>0.0</v>
      </c>
      <c r="I1881" s="3" t="s">
        <v>13</v>
      </c>
      <c r="J1881" s="3" t="s">
        <v>5625</v>
      </c>
      <c r="K1881" s="3" t="s">
        <v>82</v>
      </c>
      <c r="L1881" s="3" t="str">
        <f>IFERROR(__xludf.DUMMYFUNCTION("GOOGLETRANSLATE(F1881,""id"",""en"")"),"Lah Try that the World Cup Final Hattrick wkwkwk")</f>
        <v>Lah Try that the World Cup Final Hattrick wkwkwk</v>
      </c>
    </row>
    <row r="1882" ht="15.75" customHeight="1">
      <c r="A1882" s="1">
        <v>1888.0</v>
      </c>
      <c r="B1882" s="3" t="s">
        <v>5626</v>
      </c>
      <c r="C1882" s="3">
        <v>0.0</v>
      </c>
      <c r="D1882" s="3">
        <v>0.0</v>
      </c>
      <c r="E1882" s="3">
        <v>0.0</v>
      </c>
      <c r="F1882" s="3" t="s">
        <v>5627</v>
      </c>
      <c r="G1882" s="3">
        <v>1.0</v>
      </c>
      <c r="H1882" s="3">
        <v>0.0</v>
      </c>
      <c r="I1882" s="3" t="s">
        <v>13</v>
      </c>
      <c r="J1882" s="3" t="s">
        <v>5628</v>
      </c>
      <c r="K1882" s="3" t="s">
        <v>31</v>
      </c>
      <c r="L1882" s="3" t="str">
        <f>IFERROR(__xludf.DUMMYFUNCTION("GOOGLETRANSLATE(F1882,""id"",""en"")"),"Marshajkt Final of the Best World Cup")</f>
        <v>Marshajkt Final of the Best World Cup</v>
      </c>
    </row>
    <row r="1883" ht="15.75" customHeight="1">
      <c r="A1883" s="1">
        <v>1889.0</v>
      </c>
      <c r="B1883" s="3" t="s">
        <v>5629</v>
      </c>
      <c r="C1883" s="3">
        <v>0.0</v>
      </c>
      <c r="D1883" s="3">
        <v>0.0</v>
      </c>
      <c r="E1883" s="3">
        <v>0.0</v>
      </c>
      <c r="F1883" s="3" t="s">
        <v>5630</v>
      </c>
      <c r="G1883" s="3">
        <v>1.0</v>
      </c>
      <c r="H1883" s="3">
        <v>0.0</v>
      </c>
      <c r="I1883" s="3" t="s">
        <v>13</v>
      </c>
      <c r="J1883" s="3" t="s">
        <v>5631</v>
      </c>
      <c r="K1883" s="3" t="s">
        <v>1345</v>
      </c>
      <c r="L1883" s="3" t="str">
        <f>IFERROR(__xludf.DUMMYFUNCTION("GOOGLETRANSLATE(F1883,""id"",""en"")"),"Messi got the World Cup Mbappe to get the Best World Cup Final Golden Shoe")</f>
        <v>Messi got the World Cup Mbappe to get the Best World Cup Final Golden Shoe</v>
      </c>
    </row>
    <row r="1884" ht="15.75" customHeight="1">
      <c r="A1884" s="1">
        <v>1890.0</v>
      </c>
      <c r="B1884" s="3" t="s">
        <v>5632</v>
      </c>
      <c r="C1884" s="3">
        <v>0.0</v>
      </c>
      <c r="D1884" s="3">
        <v>0.0</v>
      </c>
      <c r="E1884" s="3">
        <v>0.0</v>
      </c>
      <c r="F1884" s="3" t="s">
        <v>5633</v>
      </c>
      <c r="G1884" s="3">
        <v>1.0</v>
      </c>
      <c r="H1884" s="3">
        <v>0.0</v>
      </c>
      <c r="I1884" s="3" t="s">
        <v>13</v>
      </c>
      <c r="J1884" s="3" t="s">
        <v>5634</v>
      </c>
      <c r="K1884" s="3" t="s">
        <v>1479</v>
      </c>
      <c r="L1884" s="3" t="str">
        <f>IFERROR(__xludf.DUMMYFUNCTION("GOOGLETRANSLATE(F1884,""id"",""en"")"),"Argentina Champion of the Qatari World Cup full of Argentina French penalty Argentina French Final epic")</f>
        <v>Argentina Champion of the Qatari World Cup full of Argentina French penalty Argentina French Final epic</v>
      </c>
    </row>
    <row r="1885" ht="15.75" customHeight="1">
      <c r="A1885" s="1">
        <v>1891.0</v>
      </c>
      <c r="B1885" s="3" t="s">
        <v>5635</v>
      </c>
      <c r="C1885" s="3">
        <v>0.0</v>
      </c>
      <c r="D1885" s="3">
        <v>0.0</v>
      </c>
      <c r="E1885" s="3">
        <v>0.0</v>
      </c>
      <c r="F1885" s="3" t="s">
        <v>5636</v>
      </c>
      <c r="G1885" s="3">
        <v>1.0</v>
      </c>
      <c r="H1885" s="3">
        <v>0.0</v>
      </c>
      <c r="I1885" s="3" t="s">
        <v>13</v>
      </c>
      <c r="J1885" s="3" t="s">
        <v>5637</v>
      </c>
      <c r="K1885" s="3" t="s">
        <v>41</v>
      </c>
      <c r="L1885" s="3" t="str">
        <f>IFERROR(__xludf.DUMMYFUNCTION("GOOGLETRANSLATE(F1885,""id"",""en"")"),"How can the World Cup Final Trending Raul Lemos usually")</f>
        <v>How can the World Cup Final Trending Raul Lemos usually</v>
      </c>
    </row>
    <row r="1886" ht="15.75" customHeight="1">
      <c r="A1886" s="1">
        <v>1892.0</v>
      </c>
      <c r="B1886" s="3" t="s">
        <v>5638</v>
      </c>
      <c r="C1886" s="3">
        <v>0.0</v>
      </c>
      <c r="D1886" s="3">
        <v>0.0</v>
      </c>
      <c r="E1886" s="3">
        <v>0.0</v>
      </c>
      <c r="F1886" s="3" t="s">
        <v>5639</v>
      </c>
      <c r="G1886" s="3">
        <v>1.0</v>
      </c>
      <c r="H1886" s="3">
        <v>0.0</v>
      </c>
      <c r="I1886" s="3" t="s">
        <v>13</v>
      </c>
      <c r="J1886" s="3" t="s">
        <v>5640</v>
      </c>
      <c r="K1886" s="3" t="s">
        <v>41</v>
      </c>
      <c r="L1886" s="3" t="str">
        <f>IFERROR(__xludf.DUMMYFUNCTION("GOOGLETRANSLATE(F1886,""id"",""en"")"),"The best World Cup final I once watched Argentina Congrats")</f>
        <v>The best World Cup final I once watched Argentina Congrats</v>
      </c>
    </row>
    <row r="1887" ht="15.75" customHeight="1">
      <c r="A1887" s="1">
        <v>1893.0</v>
      </c>
      <c r="B1887" s="3" t="s">
        <v>5641</v>
      </c>
      <c r="C1887" s="3">
        <v>4.0</v>
      </c>
      <c r="D1887" s="3">
        <v>20.0</v>
      </c>
      <c r="E1887" s="3">
        <v>60.0</v>
      </c>
      <c r="F1887" s="3" t="s">
        <v>5642</v>
      </c>
      <c r="G1887" s="3">
        <v>1.0</v>
      </c>
      <c r="H1887" s="3">
        <v>0.0</v>
      </c>
      <c r="I1887" s="3" t="s">
        <v>13</v>
      </c>
      <c r="J1887" s="3" t="s">
        <v>5643</v>
      </c>
      <c r="K1887" s="3" t="s">
        <v>437</v>
      </c>
      <c r="L1887" s="3" t="str">
        <f>IFERROR(__xludf.DUMMYFUNCTION("GOOGLETRANSLATE(F1887,""id"",""en"")"),"Dramatic World Cup Argentina champion defending French champions through the best final penalty all time")</f>
        <v>Dramatic World Cup Argentina champion defending French champions through the best final penalty all time</v>
      </c>
    </row>
    <row r="1888" ht="15.75" customHeight="1">
      <c r="A1888" s="1">
        <v>1894.0</v>
      </c>
      <c r="B1888" s="3" t="s">
        <v>5644</v>
      </c>
      <c r="C1888" s="3">
        <v>0.0</v>
      </c>
      <c r="D1888" s="3">
        <v>0.0</v>
      </c>
      <c r="E1888" s="3">
        <v>0.0</v>
      </c>
      <c r="F1888" s="3" t="s">
        <v>5645</v>
      </c>
      <c r="G1888" s="3">
        <v>1.0</v>
      </c>
      <c r="H1888" s="3">
        <v>0.0</v>
      </c>
      <c r="I1888" s="3" t="s">
        <v>13</v>
      </c>
      <c r="J1888" s="3" t="s">
        <v>5646</v>
      </c>
      <c r="K1888" s="3" t="s">
        <v>82</v>
      </c>
      <c r="L1888" s="3" t="str">
        <f>IFERROR(__xludf.DUMMYFUNCTION("GOOGLETRANSLATE(F1888,""id"",""en"")"),"Happy Argentina Final Terminal World Cup this time")</f>
        <v>Happy Argentina Final Terminal World Cup this time</v>
      </c>
    </row>
    <row r="1889" ht="15.75" customHeight="1">
      <c r="A1889" s="1">
        <v>1895.0</v>
      </c>
      <c r="B1889" s="3" t="s">
        <v>5647</v>
      </c>
      <c r="C1889" s="3">
        <v>1.0</v>
      </c>
      <c r="D1889" s="3">
        <v>0.0</v>
      </c>
      <c r="E1889" s="3">
        <v>0.0</v>
      </c>
      <c r="F1889" s="3" t="s">
        <v>5648</v>
      </c>
      <c r="G1889" s="3">
        <v>1.0</v>
      </c>
      <c r="H1889" s="3">
        <v>0.0</v>
      </c>
      <c r="I1889" s="3" t="s">
        <v>13</v>
      </c>
      <c r="J1889" s="3" t="s">
        <v>5649</v>
      </c>
      <c r="K1889" s="3" t="s">
        <v>82</v>
      </c>
      <c r="L1889" s="3" t="str">
        <f>IFERROR(__xludf.DUMMYFUNCTION("GOOGLETRANSLATE(F1889,""id"",""en"")"),"Imagine Print the World Cup Final Hattrick But Lose")</f>
        <v>Imagine Print the World Cup Final Hattrick But Lose</v>
      </c>
    </row>
    <row r="1890" ht="15.75" customHeight="1">
      <c r="A1890" s="1">
        <v>1896.0</v>
      </c>
      <c r="B1890" s="3" t="s">
        <v>5650</v>
      </c>
      <c r="C1890" s="3">
        <v>0.0</v>
      </c>
      <c r="D1890" s="3">
        <v>0.0</v>
      </c>
      <c r="E1890" s="3">
        <v>0.0</v>
      </c>
      <c r="F1890" s="3" t="s">
        <v>5651</v>
      </c>
      <c r="G1890" s="3">
        <v>1.0</v>
      </c>
      <c r="H1890" s="3">
        <v>0.0</v>
      </c>
      <c r="I1890" s="3" t="s">
        <v>13</v>
      </c>
      <c r="J1890" s="3" t="s">
        <v>5652</v>
      </c>
      <c r="K1890" s="3" t="s">
        <v>31</v>
      </c>
      <c r="L1890" s="3" t="str">
        <f>IFERROR(__xludf.DUMMYFUNCTION("GOOGLETRANSLATE(F1890,""id"",""en"")"),"Final of the World Cup Terepic Slamett")</f>
        <v>Final of the World Cup Terepic Slamett</v>
      </c>
    </row>
    <row r="1891" ht="15.75" customHeight="1">
      <c r="A1891" s="1">
        <v>1897.0</v>
      </c>
      <c r="B1891" s="3" t="s">
        <v>5653</v>
      </c>
      <c r="C1891" s="3">
        <v>0.0</v>
      </c>
      <c r="D1891" s="3">
        <v>0.0</v>
      </c>
      <c r="E1891" s="3">
        <v>0.0</v>
      </c>
      <c r="F1891" s="3" t="s">
        <v>5654</v>
      </c>
      <c r="G1891" s="3">
        <v>1.0</v>
      </c>
      <c r="H1891" s="3">
        <v>0.0</v>
      </c>
      <c r="I1891" s="3" t="s">
        <v>13</v>
      </c>
      <c r="J1891" s="3" t="s">
        <v>5655</v>
      </c>
      <c r="K1891" s="3" t="s">
        <v>2869</v>
      </c>
      <c r="L1891" s="3" t="str">
        <f>IFERROR(__xludf.DUMMYFUNCTION("GOOGLETRANSLATE(F1891,""id"",""en"")"),"The best final ever watching the best World Cup ever watching Messi Champion World Cup The Goat The Only One")</f>
        <v>The best final ever watching the best World Cup ever watching Messi Champion World Cup The Goat The Only One</v>
      </c>
    </row>
    <row r="1892" ht="15.75" customHeight="1">
      <c r="A1892" s="1">
        <v>1898.0</v>
      </c>
      <c r="B1892" s="3" t="s">
        <v>5656</v>
      </c>
      <c r="C1892" s="3">
        <v>0.0</v>
      </c>
      <c r="D1892" s="3">
        <v>0.0</v>
      </c>
      <c r="E1892" s="3">
        <v>0.0</v>
      </c>
      <c r="F1892" s="3" t="s">
        <v>5657</v>
      </c>
      <c r="G1892" s="3">
        <v>1.0</v>
      </c>
      <c r="H1892" s="3">
        <v>0.0</v>
      </c>
      <c r="I1892" s="3" t="s">
        <v>13</v>
      </c>
      <c r="J1892" s="3" t="s">
        <v>5658</v>
      </c>
      <c r="K1892" s="3" t="s">
        <v>499</v>
      </c>
      <c r="L1892" s="3" t="str">
        <f>IFERROR(__xludf.DUMMYFUNCTION("GOOGLETRANSLATE(F1892,""id"",""en"")"),"Congratulations to Messi for perfecting his football title, mbappe, let's chase, aka thank you for this world cup final football")</f>
        <v>Congratulations to Messi for perfecting his football title, mbappe, let's chase, aka thank you for this world cup final football</v>
      </c>
    </row>
    <row r="1893" ht="15.75" customHeight="1">
      <c r="A1893" s="1">
        <v>1899.0</v>
      </c>
      <c r="B1893" s="3" t="s">
        <v>5659</v>
      </c>
      <c r="C1893" s="3">
        <v>1.0</v>
      </c>
      <c r="D1893" s="3">
        <v>0.0</v>
      </c>
      <c r="E1893" s="3">
        <v>0.0</v>
      </c>
      <c r="F1893" s="3" t="s">
        <v>5660</v>
      </c>
      <c r="G1893" s="3">
        <v>1.0</v>
      </c>
      <c r="H1893" s="3">
        <v>0.0</v>
      </c>
      <c r="I1893" s="3" t="s">
        <v>13</v>
      </c>
      <c r="J1893" s="3" t="s">
        <v>5661</v>
      </c>
      <c r="K1893" s="3" t="s">
        <v>5662</v>
      </c>
      <c r="L1893" s="3" t="str">
        <f>IFERROR(__xludf.DUMMYFUNCTION("GOOGLETRANSLATE(F1893,""id"",""en"")"),"Argentina record of the World Cup second place in the quarter -finals round round round round championship round champion quarter -finals")</f>
        <v>Argentina record of the World Cup second place in the quarter -finals round round round round championship round champion quarter -finals</v>
      </c>
    </row>
    <row r="1894" ht="15.75" customHeight="1">
      <c r="A1894" s="1">
        <v>1900.0</v>
      </c>
      <c r="B1894" s="3" t="s">
        <v>5663</v>
      </c>
      <c r="C1894" s="3">
        <v>0.0</v>
      </c>
      <c r="D1894" s="3">
        <v>0.0</v>
      </c>
      <c r="E1894" s="3">
        <v>0.0</v>
      </c>
      <c r="F1894" s="3" t="s">
        <v>5664</v>
      </c>
      <c r="G1894" s="3">
        <v>1.0</v>
      </c>
      <c r="H1894" s="3">
        <v>0.0</v>
      </c>
      <c r="I1894" s="3" t="s">
        <v>13</v>
      </c>
      <c r="J1894" s="3" t="s">
        <v>5665</v>
      </c>
      <c r="K1894" s="3" t="s">
        <v>82</v>
      </c>
      <c r="L1894" s="3" t="str">
        <f>IFERROR(__xludf.DUMMYFUNCTION("GOOGLETRANSLATE(F1894,""id"",""en"")"),"The Best World Cup Final This Century Tahniah Argentina")</f>
        <v>The Best World Cup Final This Century Tahniah Argentina</v>
      </c>
    </row>
    <row r="1895" ht="15.75" customHeight="1">
      <c r="A1895" s="1">
        <v>1901.0</v>
      </c>
      <c r="B1895" s="3" t="s">
        <v>5666</v>
      </c>
      <c r="C1895" s="3">
        <v>0.0</v>
      </c>
      <c r="D1895" s="3">
        <v>0.0</v>
      </c>
      <c r="E1895" s="3">
        <v>0.0</v>
      </c>
      <c r="F1895" s="3" t="s">
        <v>5667</v>
      </c>
      <c r="G1895" s="3">
        <v>1.0</v>
      </c>
      <c r="H1895" s="3">
        <v>0.0</v>
      </c>
      <c r="I1895" s="3" t="s">
        <v>13</v>
      </c>
      <c r="J1895" s="3" t="s">
        <v>5668</v>
      </c>
      <c r="K1895" s="3" t="s">
        <v>71</v>
      </c>
      <c r="L1895" s="3" t="str">
        <f>IFERROR(__xludf.DUMMYFUNCTION("GOOGLETRANSLATE(F1895,""id"",""en"")"),"Kyllian Mbappe the second player of all time who scored the World Cup Final Hattrick after Geoff Hurst England")</f>
        <v>Kyllian Mbappe the second player of all time who scored the World Cup Final Hattrick after Geoff Hurst England</v>
      </c>
    </row>
    <row r="1896" ht="15.75" customHeight="1">
      <c r="A1896" s="1">
        <v>1902.0</v>
      </c>
      <c r="B1896" s="3" t="s">
        <v>5669</v>
      </c>
      <c r="C1896" s="3">
        <v>0.0</v>
      </c>
      <c r="D1896" s="3">
        <v>0.0</v>
      </c>
      <c r="E1896" s="3">
        <v>0.0</v>
      </c>
      <c r="F1896" s="3" t="s">
        <v>5670</v>
      </c>
      <c r="G1896" s="3">
        <v>1.0</v>
      </c>
      <c r="H1896" s="3">
        <v>0.0</v>
      </c>
      <c r="I1896" s="3" t="s">
        <v>13</v>
      </c>
      <c r="J1896" s="3" t="s">
        <v>5671</v>
      </c>
      <c r="K1896" s="3" t="s">
        <v>1265</v>
      </c>
      <c r="L1896" s="3" t="str">
        <f>IFERROR(__xludf.DUMMYFUNCTION("GOOGLETRANSLATE(F1896,""id"",""en"")"),"Final extraordinary for the extraordinary World Cup, thank you France Respect")</f>
        <v>Final extraordinary for the extraordinary World Cup, thank you France Respect</v>
      </c>
    </row>
    <row r="1897" ht="15.75" customHeight="1">
      <c r="A1897" s="1">
        <v>1903.0</v>
      </c>
      <c r="B1897" s="3" t="s">
        <v>5672</v>
      </c>
      <c r="C1897" s="3">
        <v>0.0</v>
      </c>
      <c r="D1897" s="3">
        <v>1.0</v>
      </c>
      <c r="E1897" s="3">
        <v>1.0</v>
      </c>
      <c r="F1897" s="3" t="s">
        <v>5673</v>
      </c>
      <c r="G1897" s="3">
        <v>1.0</v>
      </c>
      <c r="H1897" s="3">
        <v>0.0</v>
      </c>
      <c r="I1897" s="3" t="s">
        <v>13</v>
      </c>
      <c r="J1897" s="3" t="s">
        <v>5674</v>
      </c>
      <c r="K1897" s="3" t="s">
        <v>54</v>
      </c>
      <c r="L1897" s="3" t="str">
        <f>IFERROR(__xludf.DUMMYFUNCTION("GOOGLETRANSLATE(F1897,""id"",""en"")"),"The World Cup Final Dramajeeng")</f>
        <v>The World Cup Final Dramajeeng</v>
      </c>
    </row>
    <row r="1898" ht="15.75" customHeight="1">
      <c r="A1898" s="1">
        <v>1904.0</v>
      </c>
      <c r="B1898" s="3" t="s">
        <v>5675</v>
      </c>
      <c r="C1898" s="3">
        <v>0.0</v>
      </c>
      <c r="D1898" s="3">
        <v>0.0</v>
      </c>
      <c r="E1898" s="3">
        <v>1.0</v>
      </c>
      <c r="F1898" s="3" t="s">
        <v>5676</v>
      </c>
      <c r="G1898" s="3">
        <v>0.7666666666666666</v>
      </c>
      <c r="H1898" s="3">
        <v>0.3333333333333333</v>
      </c>
      <c r="I1898" s="3" t="s">
        <v>48</v>
      </c>
      <c r="J1898" s="3" t="s">
        <v>5677</v>
      </c>
      <c r="K1898" s="3" t="s">
        <v>1335</v>
      </c>
      <c r="L1898" s="3" t="str">
        <f>IFERROR(__xludf.DUMMYFUNCTION("GOOGLETRANSLATE(F1898,""id"",""en"")"),"Must be recognized the World Cup Final The Best Final")</f>
        <v>Must be recognized the World Cup Final The Best Final</v>
      </c>
    </row>
    <row r="1899" ht="15.75" customHeight="1">
      <c r="A1899" s="1">
        <v>1905.0</v>
      </c>
      <c r="B1899" s="3" t="s">
        <v>5678</v>
      </c>
      <c r="C1899" s="3">
        <v>0.0</v>
      </c>
      <c r="D1899" s="3">
        <v>0.0</v>
      </c>
      <c r="E1899" s="3">
        <v>0.0</v>
      </c>
      <c r="F1899" s="3" t="s">
        <v>5679</v>
      </c>
      <c r="G1899" s="3">
        <v>1.0</v>
      </c>
      <c r="H1899" s="3">
        <v>0.4</v>
      </c>
      <c r="I1899" s="3" t="s">
        <v>48</v>
      </c>
      <c r="J1899" s="3" t="s">
        <v>5680</v>
      </c>
      <c r="K1899" s="3" t="s">
        <v>41</v>
      </c>
      <c r="L1899" s="3" t="str">
        <f>IFERROR(__xludf.DUMMYFUNCTION("GOOGLETRANSLATE(F1899,""id"",""en"")"),"This is the Coolest World Cup Final of the World Cup Messi Happy Ending")</f>
        <v>This is the Coolest World Cup Final of the World Cup Messi Happy Ending</v>
      </c>
    </row>
    <row r="1900" ht="15.75" customHeight="1">
      <c r="A1900" s="1">
        <v>1906.0</v>
      </c>
      <c r="B1900" s="3" t="s">
        <v>5681</v>
      </c>
      <c r="C1900" s="3">
        <v>0.0</v>
      </c>
      <c r="D1900" s="3">
        <v>0.0</v>
      </c>
      <c r="E1900" s="3">
        <v>0.0</v>
      </c>
      <c r="F1900" s="3" t="s">
        <v>5682</v>
      </c>
      <c r="G1900" s="3">
        <v>1.0</v>
      </c>
      <c r="H1900" s="3">
        <v>0.0</v>
      </c>
      <c r="I1900" s="3" t="s">
        <v>13</v>
      </c>
      <c r="J1900" s="3" t="s">
        <v>5683</v>
      </c>
      <c r="K1900" s="3" t="s">
        <v>82</v>
      </c>
      <c r="L1900" s="3" t="str">
        <f>IFERROR(__xludf.DUMMYFUNCTION("GOOGLETRANSLATE(F1900,""id"",""en"")"),"The most exciting world cup final of Congratz Argentina")</f>
        <v>The most exciting world cup final of Congratz Argentina</v>
      </c>
    </row>
    <row r="1901" ht="15.75" customHeight="1">
      <c r="A1901" s="1">
        <v>1907.0</v>
      </c>
      <c r="B1901" s="3" t="s">
        <v>5684</v>
      </c>
      <c r="C1901" s="3">
        <v>0.0</v>
      </c>
      <c r="D1901" s="3">
        <v>0.0</v>
      </c>
      <c r="E1901" s="3">
        <v>0.0</v>
      </c>
      <c r="F1901" s="3" t="s">
        <v>642</v>
      </c>
      <c r="G1901" s="3">
        <v>1.0</v>
      </c>
      <c r="H1901" s="3">
        <v>0.0</v>
      </c>
      <c r="I1901" s="3" t="s">
        <v>13</v>
      </c>
      <c r="J1901" s="3" t="s">
        <v>643</v>
      </c>
      <c r="K1901" s="3" t="s">
        <v>644</v>
      </c>
      <c r="L1901" s="3" t="str">
        <f>IFERROR(__xludf.DUMMYFUNCTION("GOOGLETRANSLATE(F1901,""id"",""en"")"),"The World Cup Final was shocked")</f>
        <v>The World Cup Final was shocked</v>
      </c>
    </row>
    <row r="1902" ht="15.75" customHeight="1">
      <c r="A1902" s="1">
        <v>1908.0</v>
      </c>
      <c r="B1902" s="3" t="s">
        <v>5685</v>
      </c>
      <c r="C1902" s="3">
        <v>0.0</v>
      </c>
      <c r="D1902" s="3">
        <v>0.0</v>
      </c>
      <c r="E1902" s="3">
        <v>0.0</v>
      </c>
      <c r="F1902" s="3" t="s">
        <v>5686</v>
      </c>
      <c r="G1902" s="3">
        <v>1.0</v>
      </c>
      <c r="H1902" s="3">
        <v>0.0</v>
      </c>
      <c r="I1902" s="3" t="s">
        <v>13</v>
      </c>
      <c r="J1902" s="3" t="s">
        <v>5687</v>
      </c>
      <c r="K1902" s="3" t="s">
        <v>499</v>
      </c>
      <c r="L1902" s="3" t="str">
        <f>IFERROR(__xludf.DUMMYFUNCTION("GOOGLETRANSLATE(F1902,""id"",""en"")"),"The key is Messi who has nothing to lose to get a world cup looks at France always able to reply to a different goal with the final before being burdened to be champion")</f>
        <v>The key is Messi who has nothing to lose to get a world cup looks at France always able to reply to a different goal with the final before being burdened to be champion</v>
      </c>
    </row>
    <row r="1903" ht="15.75" customHeight="1">
      <c r="A1903" s="1">
        <v>1909.0</v>
      </c>
      <c r="B1903" s="3" t="s">
        <v>5688</v>
      </c>
      <c r="C1903" s="3">
        <v>0.0</v>
      </c>
      <c r="D1903" s="3">
        <v>0.0</v>
      </c>
      <c r="E1903" s="3">
        <v>0.0</v>
      </c>
      <c r="F1903" s="3" t="s">
        <v>5689</v>
      </c>
      <c r="G1903" s="3">
        <v>1.0</v>
      </c>
      <c r="H1903" s="3">
        <v>0.0</v>
      </c>
      <c r="I1903" s="3" t="s">
        <v>13</v>
      </c>
      <c r="J1903" s="3" t="s">
        <v>5690</v>
      </c>
      <c r="K1903" s="3" t="s">
        <v>657</v>
      </c>
      <c r="L1903" s="3" t="str">
        <f>IFERROR(__xludf.DUMMYFUNCTION("GOOGLETRANSLATE(F1903,""id"",""en"")"),"Very entertaining once the World Cup Final this time from winning goals to be able to equalize even to the penalty shootout")</f>
        <v>Very entertaining once the World Cup Final this time from winning goals to be able to equalize even to the penalty shootout</v>
      </c>
    </row>
    <row r="1904" ht="15.75" customHeight="1">
      <c r="A1904" s="1">
        <v>1910.0</v>
      </c>
      <c r="B1904" s="3" t="s">
        <v>5691</v>
      </c>
      <c r="C1904" s="3">
        <v>0.0</v>
      </c>
      <c r="D1904" s="3">
        <v>0.0</v>
      </c>
      <c r="E1904" s="3">
        <v>0.0</v>
      </c>
      <c r="F1904" s="3" t="s">
        <v>5692</v>
      </c>
      <c r="G1904" s="3">
        <v>1.0</v>
      </c>
      <c r="H1904" s="3">
        <v>0.0</v>
      </c>
      <c r="I1904" s="3" t="s">
        <v>13</v>
      </c>
      <c r="J1904" s="3" t="s">
        <v>5693</v>
      </c>
      <c r="K1904" s="3" t="s">
        <v>31</v>
      </c>
      <c r="L1904" s="3" t="str">
        <f>IFERROR(__xludf.DUMMYFUNCTION("GOOGLETRANSLATE(F1904,""id"",""en"")"),"the best world cup final match")</f>
        <v>the best world cup final match</v>
      </c>
    </row>
    <row r="1905" ht="15.75" customHeight="1">
      <c r="A1905" s="1">
        <v>1911.0</v>
      </c>
      <c r="B1905" s="3" t="s">
        <v>5694</v>
      </c>
      <c r="C1905" s="3">
        <v>0.0</v>
      </c>
      <c r="D1905" s="3">
        <v>0.0</v>
      </c>
      <c r="E1905" s="3">
        <v>1.0</v>
      </c>
      <c r="F1905" s="3" t="s">
        <v>5695</v>
      </c>
      <c r="G1905" s="3">
        <v>1.0</v>
      </c>
      <c r="H1905" s="3">
        <v>0.0</v>
      </c>
      <c r="I1905" s="3" t="s">
        <v>13</v>
      </c>
      <c r="J1905" s="3" t="s">
        <v>5696</v>
      </c>
      <c r="K1905" s="3" t="s">
        <v>15</v>
      </c>
      <c r="L1905" s="3" t="str">
        <f>IFERROR(__xludf.DUMMYFUNCTION("GOOGLETRANSLATE(F1905,""id"",""en"")"),"This is the World Cup final for high pressure blood")</f>
        <v>This is the World Cup final for high pressure blood</v>
      </c>
    </row>
    <row r="1906" ht="15.75" customHeight="1">
      <c r="A1906" s="1">
        <v>1912.0</v>
      </c>
      <c r="B1906" s="3" t="s">
        <v>5697</v>
      </c>
      <c r="C1906" s="3">
        <v>0.0</v>
      </c>
      <c r="D1906" s="3">
        <v>0.0</v>
      </c>
      <c r="E1906" s="3">
        <v>0.0</v>
      </c>
      <c r="F1906" s="3" t="s">
        <v>5697</v>
      </c>
      <c r="G1906" s="3">
        <v>1.0</v>
      </c>
      <c r="H1906" s="3">
        <v>0.0</v>
      </c>
      <c r="I1906" s="3" t="s">
        <v>13</v>
      </c>
      <c r="J1906" s="3" t="s">
        <v>5698</v>
      </c>
      <c r="K1906" s="3" t="s">
        <v>41</v>
      </c>
      <c r="L1906" s="3" t="str">
        <f>IFERROR(__xludf.DUMMYFUNCTION("GOOGLETRANSLATE(F1906,""id"",""en"")"),"The World Cup Final is the most exciting while getting to know football")</f>
        <v>The World Cup Final is the most exciting while getting to know football</v>
      </c>
    </row>
    <row r="1907" ht="15.75" customHeight="1">
      <c r="A1907" s="1">
        <v>1913.0</v>
      </c>
      <c r="B1907" s="3" t="s">
        <v>5699</v>
      </c>
      <c r="C1907" s="3">
        <v>0.0</v>
      </c>
      <c r="D1907" s="3">
        <v>0.0</v>
      </c>
      <c r="E1907" s="3">
        <v>0.0</v>
      </c>
      <c r="F1907" s="3" t="s">
        <v>5700</v>
      </c>
      <c r="G1907" s="3">
        <v>1.0</v>
      </c>
      <c r="H1907" s="3">
        <v>0.0</v>
      </c>
      <c r="I1907" s="3" t="s">
        <v>13</v>
      </c>
      <c r="J1907" s="3" t="s">
        <v>5701</v>
      </c>
      <c r="K1907" s="3" t="s">
        <v>1335</v>
      </c>
      <c r="L1907" s="3" t="str">
        <f>IFERROR(__xludf.DUMMYFUNCTION("GOOGLETRANSLATE(F1907,""id"",""en"")"),"Nuhun Pisan Katampi Pisan Final World Cup")</f>
        <v>Nuhun Pisan Katampi Pisan Final World Cup</v>
      </c>
    </row>
    <row r="1908" ht="15.75" customHeight="1">
      <c r="A1908" s="1">
        <v>1914.0</v>
      </c>
      <c r="B1908" s="3" t="s">
        <v>5702</v>
      </c>
      <c r="C1908" s="3">
        <v>0.0</v>
      </c>
      <c r="D1908" s="3">
        <v>0.0</v>
      </c>
      <c r="E1908" s="3">
        <v>0.0</v>
      </c>
      <c r="F1908" s="3" t="s">
        <v>5702</v>
      </c>
      <c r="G1908" s="3">
        <v>1.0</v>
      </c>
      <c r="H1908" s="3">
        <v>0.0</v>
      </c>
      <c r="I1908" s="3" t="s">
        <v>13</v>
      </c>
      <c r="J1908" s="3" t="s">
        <v>5703</v>
      </c>
      <c r="K1908" s="3" t="s">
        <v>54</v>
      </c>
      <c r="L1908" s="3" t="str">
        <f>IFERROR(__xludf.DUMMYFUNCTION("GOOGLETRANSLATE(F1908,""id"",""en"")"),"World Cup Final Most Exciting Gokil")</f>
        <v>World Cup Final Most Exciting Gokil</v>
      </c>
    </row>
    <row r="1909" ht="15.75" customHeight="1">
      <c r="A1909" s="1">
        <v>1915.0</v>
      </c>
      <c r="B1909" s="3" t="s">
        <v>5704</v>
      </c>
      <c r="C1909" s="3">
        <v>0.0</v>
      </c>
      <c r="D1909" s="3">
        <v>0.0</v>
      </c>
      <c r="E1909" s="3">
        <v>0.0</v>
      </c>
      <c r="F1909" s="3" t="s">
        <v>5705</v>
      </c>
      <c r="G1909" s="3">
        <v>1.0</v>
      </c>
      <c r="H1909" s="3">
        <v>0.0</v>
      </c>
      <c r="I1909" s="3" t="s">
        <v>13</v>
      </c>
      <c r="J1909" s="3" t="s">
        <v>5706</v>
      </c>
      <c r="K1909" s="3" t="s">
        <v>123</v>
      </c>
      <c r="L1909" s="3" t="str">
        <f>IFERROR(__xludf.DUMMYFUNCTION("GOOGLETRANSLATE(F1909,""id"",""en"")"),"Mbappe Years Futted Kat Kat World Cup Final I takde in the direction of life again")</f>
        <v>Mbappe Years Futted Kat Kat World Cup Final I takde in the direction of life again</v>
      </c>
    </row>
    <row r="1910" ht="15.75" customHeight="1">
      <c r="A1910" s="1">
        <v>1916.0</v>
      </c>
      <c r="B1910" s="3" t="s">
        <v>5707</v>
      </c>
      <c r="C1910" s="3">
        <v>0.0</v>
      </c>
      <c r="D1910" s="3">
        <v>0.0</v>
      </c>
      <c r="E1910" s="3">
        <v>0.0</v>
      </c>
      <c r="F1910" s="3" t="s">
        <v>5708</v>
      </c>
      <c r="G1910" s="3">
        <v>1.0</v>
      </c>
      <c r="H1910" s="3">
        <v>0.0</v>
      </c>
      <c r="I1910" s="3" t="s">
        <v>13</v>
      </c>
      <c r="J1910" s="3" t="s">
        <v>5709</v>
      </c>
      <c r="K1910" s="3" t="s">
        <v>82</v>
      </c>
      <c r="L1910" s="3" t="str">
        <f>IFERROR(__xludf.DUMMYFUNCTION("GOOGLETRANSLATE(F1910,""id"",""en"")"),"World Cup Final Ndredek Vamos Argentina")</f>
        <v>World Cup Final Ndredek Vamos Argentina</v>
      </c>
    </row>
    <row r="1911" ht="15.75" customHeight="1">
      <c r="A1911" s="1">
        <v>1917.0</v>
      </c>
      <c r="B1911" s="3" t="s">
        <v>5710</v>
      </c>
      <c r="C1911" s="3">
        <v>0.0</v>
      </c>
      <c r="D1911" s="3">
        <v>0.0</v>
      </c>
      <c r="E1911" s="3">
        <v>0.0</v>
      </c>
      <c r="F1911" s="3" t="s">
        <v>5711</v>
      </c>
      <c r="G1911" s="3">
        <v>1.0</v>
      </c>
      <c r="H1911" s="3">
        <v>0.0</v>
      </c>
      <c r="I1911" s="3" t="s">
        <v>13</v>
      </c>
      <c r="J1911" s="3" t="s">
        <v>5712</v>
      </c>
      <c r="K1911" s="3" t="s">
        <v>477</v>
      </c>
      <c r="L1911" s="3" t="str">
        <f>IFERROR(__xludf.DUMMYFUNCTION("GOOGLETRANSLATE(F1911,""id"",""en"")"),"Congrats Argentina Congrats Messi Final of the Best World Cup")</f>
        <v>Congrats Argentina Congrats Messi Final of the Best World Cup</v>
      </c>
    </row>
    <row r="1912" ht="15.75" customHeight="1">
      <c r="A1912" s="1">
        <v>1918.0</v>
      </c>
      <c r="B1912" s="3" t="s">
        <v>5713</v>
      </c>
      <c r="C1912" s="3">
        <v>0.0</v>
      </c>
      <c r="D1912" s="3">
        <v>0.0</v>
      </c>
      <c r="E1912" s="3">
        <v>1.0</v>
      </c>
      <c r="F1912" s="3" t="s">
        <v>5714</v>
      </c>
      <c r="G1912" s="3">
        <v>1.0</v>
      </c>
      <c r="H1912" s="3">
        <v>0.0</v>
      </c>
      <c r="I1912" s="3" t="s">
        <v>13</v>
      </c>
      <c r="J1912" s="3" t="s">
        <v>5715</v>
      </c>
      <c r="K1912" s="3" t="s">
        <v>19</v>
      </c>
      <c r="L1912" s="3" t="str">
        <f>IFERROR(__xludf.DUMMYFUNCTION("GOOGLETRANSLATE(F1912,""id"",""en"")"),"Regardless of whoever the champion, thank you, I gave the world cup final that was hard to forget")</f>
        <v>Regardless of whoever the champion, thank you, I gave the world cup final that was hard to forget</v>
      </c>
    </row>
    <row r="1913" ht="15.75" customHeight="1">
      <c r="A1913" s="1">
        <v>1919.0</v>
      </c>
      <c r="B1913" s="3" t="s">
        <v>5716</v>
      </c>
      <c r="C1913" s="3">
        <v>0.0</v>
      </c>
      <c r="D1913" s="3">
        <v>0.0</v>
      </c>
      <c r="E1913" s="3">
        <v>0.0</v>
      </c>
      <c r="F1913" s="3" t="s">
        <v>5717</v>
      </c>
      <c r="G1913" s="3">
        <v>1.0</v>
      </c>
      <c r="H1913" s="3">
        <v>0.0</v>
      </c>
      <c r="I1913" s="3" t="s">
        <v>13</v>
      </c>
      <c r="J1913" s="3" t="s">
        <v>5718</v>
      </c>
      <c r="K1913" s="3" t="s">
        <v>50</v>
      </c>
      <c r="L1913" s="3" t="str">
        <f>IFERROR(__xludf.DUMMYFUNCTION("GOOGLETRANSLATE(F1913,""id"",""en"")"),"The World Cup Final is very entertaining, thank you for the two Argentine teams deserves to be champions")</f>
        <v>The World Cup Final is very entertaining, thank you for the two Argentine teams deserves to be champions</v>
      </c>
    </row>
    <row r="1914" ht="15.75" customHeight="1">
      <c r="A1914" s="1">
        <v>1920.0</v>
      </c>
      <c r="B1914" s="3" t="s">
        <v>5719</v>
      </c>
      <c r="C1914" s="3">
        <v>0.0</v>
      </c>
      <c r="D1914" s="3">
        <v>0.0</v>
      </c>
      <c r="E1914" s="3">
        <v>0.0</v>
      </c>
      <c r="F1914" s="3" t="s">
        <v>5720</v>
      </c>
      <c r="G1914" s="3">
        <v>0.75</v>
      </c>
      <c r="H1914" s="3">
        <v>0.25</v>
      </c>
      <c r="I1914" s="3" t="s">
        <v>48</v>
      </c>
      <c r="J1914" s="3" t="s">
        <v>5721</v>
      </c>
      <c r="K1914" s="3" t="s">
        <v>54</v>
      </c>
      <c r="L1914" s="3" t="str">
        <f>IFERROR(__xludf.DUMMYFUNCTION("GOOGLETRANSLATE(F1914,""id"",""en"")"),"World Cup Final Top Markotop")</f>
        <v>World Cup Final Top Markotop</v>
      </c>
    </row>
    <row r="1915" ht="15.75" customHeight="1">
      <c r="A1915" s="1">
        <v>1921.0</v>
      </c>
      <c r="B1915" s="3" t="s">
        <v>5722</v>
      </c>
      <c r="C1915" s="3">
        <v>0.0</v>
      </c>
      <c r="D1915" s="3">
        <v>0.0</v>
      </c>
      <c r="E1915" s="3">
        <v>0.0</v>
      </c>
      <c r="F1915" s="3" t="s">
        <v>5723</v>
      </c>
      <c r="G1915" s="3">
        <v>1.0</v>
      </c>
      <c r="H1915" s="3">
        <v>0.0</v>
      </c>
      <c r="I1915" s="3" t="s">
        <v>13</v>
      </c>
      <c r="J1915" s="3" t="s">
        <v>5724</v>
      </c>
      <c r="K1915" s="3" t="s">
        <v>54</v>
      </c>
      <c r="L1915" s="3" t="str">
        <f>IFERROR(__xludf.DUMMYFUNCTION("GOOGLETRANSLATE(F1915,""id"",""en"")"),"The Extraordinary World Cup Final Congratulations")</f>
        <v>The Extraordinary World Cup Final Congratulations</v>
      </c>
    </row>
    <row r="1916" ht="15.75" customHeight="1">
      <c r="A1916" s="1">
        <v>1922.0</v>
      </c>
      <c r="B1916" s="3" t="s">
        <v>5725</v>
      </c>
      <c r="C1916" s="3">
        <v>0.0</v>
      </c>
      <c r="D1916" s="3">
        <v>0.0</v>
      </c>
      <c r="E1916" s="3">
        <v>0.0</v>
      </c>
      <c r="F1916" s="3" t="s">
        <v>5726</v>
      </c>
      <c r="G1916" s="3">
        <v>1.0</v>
      </c>
      <c r="H1916" s="3">
        <v>0.0</v>
      </c>
      <c r="I1916" s="3" t="s">
        <v>13</v>
      </c>
      <c r="J1916" s="3" t="s">
        <v>5727</v>
      </c>
      <c r="K1916" s="3" t="s">
        <v>644</v>
      </c>
      <c r="L1916" s="3" t="str">
        <f>IFERROR(__xludf.DUMMYFUNCTION("GOOGLETRANSLATE(F1916,""id"",""en"")"),"The exciting world cup final")</f>
        <v>The exciting world cup final</v>
      </c>
    </row>
    <row r="1917" ht="15.75" customHeight="1">
      <c r="A1917" s="1">
        <v>1923.0</v>
      </c>
      <c r="B1917" s="3" t="s">
        <v>5728</v>
      </c>
      <c r="C1917" s="3">
        <v>0.0</v>
      </c>
      <c r="D1917" s="3">
        <v>0.0</v>
      </c>
      <c r="E1917" s="3">
        <v>0.0</v>
      </c>
      <c r="F1917" s="3" t="s">
        <v>5729</v>
      </c>
      <c r="G1917" s="3">
        <v>1.0</v>
      </c>
      <c r="H1917" s="3">
        <v>0.0</v>
      </c>
      <c r="I1917" s="3" t="s">
        <v>13</v>
      </c>
      <c r="J1917" s="3" t="s">
        <v>5730</v>
      </c>
      <c r="K1917" s="3" t="s">
        <v>244</v>
      </c>
      <c r="L1917" s="3" t="str">
        <f>IFERROR(__xludf.DUMMYFUNCTION("GOOGLETRANSLATE(F1917,""id"",""en"")"),"You are just watching the other football at the World Cup Final")</f>
        <v>You are just watching the other football at the World Cup Final</v>
      </c>
    </row>
    <row r="1918" ht="15.75" customHeight="1">
      <c r="A1918" s="1">
        <v>1924.0</v>
      </c>
      <c r="B1918" s="3" t="s">
        <v>5731</v>
      </c>
      <c r="C1918" s="3">
        <v>0.0</v>
      </c>
      <c r="D1918" s="3">
        <v>0.0</v>
      </c>
      <c r="E1918" s="3">
        <v>0.0</v>
      </c>
      <c r="F1918" s="3" t="s">
        <v>5732</v>
      </c>
      <c r="G1918" s="3">
        <v>1.0</v>
      </c>
      <c r="H1918" s="3">
        <v>0.3</v>
      </c>
      <c r="I1918" s="3" t="s">
        <v>48</v>
      </c>
      <c r="J1918" s="3" t="s">
        <v>5733</v>
      </c>
      <c r="K1918" s="3" t="s">
        <v>19</v>
      </c>
      <c r="L1918" s="3" t="str">
        <f>IFERROR(__xludf.DUMMYFUNCTION("GOOGLETRANSLATE(F1918,""id"",""en"")"),"The most exciting world cup final has ever watched Nice Try France Congrats Agen")</f>
        <v>The most exciting world cup final has ever watched Nice Try France Congrats Agen</v>
      </c>
    </row>
    <row r="1919" ht="15.75" customHeight="1">
      <c r="A1919" s="1">
        <v>1925.0</v>
      </c>
      <c r="B1919" s="3" t="s">
        <v>5734</v>
      </c>
      <c r="C1919" s="3">
        <v>0.0</v>
      </c>
      <c r="D1919" s="3">
        <v>0.0</v>
      </c>
      <c r="E1919" s="3">
        <v>0.0</v>
      </c>
      <c r="F1919" s="3" t="s">
        <v>5735</v>
      </c>
      <c r="G1919" s="3">
        <v>1.0</v>
      </c>
      <c r="H1919" s="3">
        <v>0.0</v>
      </c>
      <c r="I1919" s="3" t="s">
        <v>13</v>
      </c>
      <c r="J1919" s="3" t="s">
        <v>5736</v>
      </c>
      <c r="K1919" s="3" t="s">
        <v>15</v>
      </c>
      <c r="L1919" s="3" t="str">
        <f>IFERROR(__xludf.DUMMYFUNCTION("GOOGLETRANSLATE(F1919,""id"",""en"")"),"The World Cup Final is the most chaotic, France")</f>
        <v>The World Cup Final is the most chaotic, France</v>
      </c>
    </row>
    <row r="1920" ht="15.75" customHeight="1">
      <c r="A1920" s="1">
        <v>1926.0</v>
      </c>
      <c r="B1920" s="3" t="s">
        <v>5737</v>
      </c>
      <c r="C1920" s="3">
        <v>0.0</v>
      </c>
      <c r="D1920" s="3">
        <v>0.0</v>
      </c>
      <c r="E1920" s="3">
        <v>0.0</v>
      </c>
      <c r="F1920" s="3" t="s">
        <v>5738</v>
      </c>
      <c r="G1920" s="3">
        <v>1.0</v>
      </c>
      <c r="H1920" s="3">
        <v>0.0</v>
      </c>
      <c r="I1920" s="3" t="s">
        <v>13</v>
      </c>
      <c r="J1920" s="3" t="s">
        <v>5739</v>
      </c>
      <c r="K1920" s="3" t="s">
        <v>19</v>
      </c>
      <c r="L1920" s="3" t="str">
        <f>IFERROR(__xludf.DUMMYFUNCTION("GOOGLETRANSLATE(F1920,""id"",""en"")"),"Watching France Losing World Cup Final Final Arguments Wkwkwkkkkk Vamossss Argentinaa France")</f>
        <v>Watching France Losing World Cup Final Final Arguments Wkwkwkkkkk Vamossss Argentinaa France</v>
      </c>
    </row>
    <row r="1921" ht="15.75" customHeight="1">
      <c r="A1921" s="1">
        <v>1927.0</v>
      </c>
      <c r="B1921" s="3" t="s">
        <v>5740</v>
      </c>
      <c r="C1921" s="3">
        <v>0.0</v>
      </c>
      <c r="D1921" s="3">
        <v>0.0</v>
      </c>
      <c r="E1921" s="3">
        <v>0.0</v>
      </c>
      <c r="F1921" s="3" t="s">
        <v>5741</v>
      </c>
      <c r="G1921" s="3">
        <v>1.0</v>
      </c>
      <c r="H1921" s="3">
        <v>0.0</v>
      </c>
      <c r="I1921" s="3" t="s">
        <v>13</v>
      </c>
      <c r="J1921" s="3" t="s">
        <v>5742</v>
      </c>
      <c r="K1921" s="3" t="s">
        <v>54</v>
      </c>
      <c r="L1921" s="3" t="str">
        <f>IFERROR(__xludf.DUMMYFUNCTION("GOOGLETRANSLATE(F1921,""id"",""en"")"),"RISPEKAS French Final of the Best World Cup")</f>
        <v>RISPEKAS French Final of the Best World Cup</v>
      </c>
    </row>
    <row r="1922" ht="15.75" customHeight="1">
      <c r="A1922" s="1">
        <v>1928.0</v>
      </c>
      <c r="B1922" s="3" t="s">
        <v>5743</v>
      </c>
      <c r="C1922" s="3">
        <v>0.0</v>
      </c>
      <c r="D1922" s="3">
        <v>0.0</v>
      </c>
      <c r="E1922" s="3">
        <v>0.0</v>
      </c>
      <c r="F1922" s="3" t="s">
        <v>5744</v>
      </c>
      <c r="G1922" s="3">
        <v>0.65</v>
      </c>
      <c r="H1922" s="3">
        <v>0.5</v>
      </c>
      <c r="I1922" s="3" t="s">
        <v>48</v>
      </c>
      <c r="J1922" s="3" t="s">
        <v>5745</v>
      </c>
      <c r="K1922" s="3" t="s">
        <v>510</v>
      </c>
      <c r="L1922" s="3" t="str">
        <f>IFERROR(__xludf.DUMMYFUNCTION("GOOGLETRANSLATE(F1922,""id"",""en"")"),"Woaaaaaaahhhhhhhhhhhhhhhhhhh")</f>
        <v>Woaaaaaaahhhhhhhhhhhhhhhhhhh</v>
      </c>
    </row>
    <row r="1923" ht="15.75" customHeight="1">
      <c r="A1923" s="1">
        <v>1929.0</v>
      </c>
      <c r="B1923" s="3" t="s">
        <v>5746</v>
      </c>
      <c r="C1923" s="3">
        <v>0.0</v>
      </c>
      <c r="D1923" s="3">
        <v>4.0</v>
      </c>
      <c r="E1923" s="3">
        <v>13.0</v>
      </c>
      <c r="F1923" s="3" t="s">
        <v>5747</v>
      </c>
      <c r="G1923" s="3">
        <v>1.0</v>
      </c>
      <c r="H1923" s="3">
        <v>0.0</v>
      </c>
      <c r="I1923" s="3" t="s">
        <v>13</v>
      </c>
      <c r="J1923" s="3" t="s">
        <v>5748</v>
      </c>
      <c r="K1923" s="3" t="s">
        <v>1045</v>
      </c>
      <c r="L1923" s="3" t="str">
        <f>IFERROR(__xludf.DUMMYFUNCTION("GOOGLETRANSLATE(F1923,""id"",""en"")"),"The group stage is full of plot twist phase Knock out full Final drama Tense Crazy World Cup Last Format World Cup Qatar Messi Messi Messi")</f>
        <v>The group stage is full of plot twist phase Knock out full Final drama Tense Crazy World Cup Last Format World Cup Qatar Messi Messi Messi</v>
      </c>
    </row>
    <row r="1924" ht="15.75" customHeight="1">
      <c r="A1924" s="1">
        <v>1930.0</v>
      </c>
      <c r="B1924" s="3" t="s">
        <v>5749</v>
      </c>
      <c r="C1924" s="3">
        <v>1.0</v>
      </c>
      <c r="D1924" s="3">
        <v>0.0</v>
      </c>
      <c r="E1924" s="3">
        <v>1.0</v>
      </c>
      <c r="F1924" s="3" t="s">
        <v>5750</v>
      </c>
      <c r="G1924" s="3">
        <v>1.0</v>
      </c>
      <c r="H1924" s="3">
        <v>0.0</v>
      </c>
      <c r="I1924" s="3" t="s">
        <v>13</v>
      </c>
      <c r="J1924" s="3" t="s">
        <v>5751</v>
      </c>
      <c r="K1924" s="3" t="s">
        <v>5752</v>
      </c>
      <c r="L1924" s="3" t="str">
        <f>IFERROR(__xludf.DUMMYFUNCTION("GOOGLETRANSLATE(F1924,""id"",""en"")"),"French record of the quarter -finals of the quarter -final round of the round of the round of the championship round sequence round championship round of the quarter -finals of the champions")</f>
        <v>French record of the quarter -finals of the quarter -final round of the round of the round of the championship round sequence round championship round of the quarter -finals of the champions</v>
      </c>
    </row>
    <row r="1925" ht="15.75" customHeight="1">
      <c r="A1925" s="1">
        <v>1931.0</v>
      </c>
      <c r="B1925" s="3" t="s">
        <v>5753</v>
      </c>
      <c r="C1925" s="3">
        <v>0.0</v>
      </c>
      <c r="D1925" s="3">
        <v>0.0</v>
      </c>
      <c r="E1925" s="3">
        <v>0.0</v>
      </c>
      <c r="F1925" s="3" t="s">
        <v>5754</v>
      </c>
      <c r="G1925" s="3">
        <v>1.0</v>
      </c>
      <c r="H1925" s="3">
        <v>0.0</v>
      </c>
      <c r="I1925" s="3" t="s">
        <v>13</v>
      </c>
      <c r="J1925" s="3" t="s">
        <v>5755</v>
      </c>
      <c r="K1925" s="3" t="s">
        <v>244</v>
      </c>
      <c r="L1925" s="3" t="str">
        <f>IFERROR(__xludf.DUMMYFUNCTION("GOOGLETRANSLATE(F1925,""id"",""en"")"),"The Best Final of the World Cup is really true of the last drop of Vamos Argentina")</f>
        <v>The Best Final of the World Cup is really true of the last drop of Vamos Argentina</v>
      </c>
    </row>
    <row r="1926" ht="15.75" customHeight="1">
      <c r="A1926" s="1">
        <v>1932.0</v>
      </c>
      <c r="B1926" s="3" t="s">
        <v>5756</v>
      </c>
      <c r="C1926" s="3">
        <v>0.0</v>
      </c>
      <c r="D1926" s="3">
        <v>0.0</v>
      </c>
      <c r="E1926" s="3">
        <v>0.0</v>
      </c>
      <c r="F1926" s="3" t="s">
        <v>5757</v>
      </c>
      <c r="G1926" s="3">
        <v>1.0</v>
      </c>
      <c r="H1926" s="3">
        <v>0.0</v>
      </c>
      <c r="I1926" s="3" t="s">
        <v>13</v>
      </c>
      <c r="J1926" s="3" t="s">
        <v>5758</v>
      </c>
      <c r="K1926" s="3" t="s">
        <v>41</v>
      </c>
      <c r="L1926" s="3" t="str">
        <f>IFERROR(__xludf.DUMMYFUNCTION("GOOGLETRANSLATE(F1926,""id"",""en"")"),"Final and World Cup was excited as long as I understood watching the Since ball")</f>
        <v>Final and World Cup was excited as long as I understood watching the Since ball</v>
      </c>
    </row>
    <row r="1927" ht="15.75" customHeight="1">
      <c r="A1927" s="1">
        <v>1933.0</v>
      </c>
      <c r="B1927" s="3" t="s">
        <v>5759</v>
      </c>
      <c r="C1927" s="3">
        <v>1.0</v>
      </c>
      <c r="D1927" s="3">
        <v>0.0</v>
      </c>
      <c r="E1927" s="3">
        <v>0.0</v>
      </c>
      <c r="F1927" s="3" t="s">
        <v>5760</v>
      </c>
      <c r="G1927" s="3">
        <v>1.0</v>
      </c>
      <c r="H1927" s="3">
        <v>0.0</v>
      </c>
      <c r="I1927" s="3" t="s">
        <v>13</v>
      </c>
      <c r="J1927" s="3" t="s">
        <v>5761</v>
      </c>
      <c r="K1927" s="3" t="s">
        <v>82</v>
      </c>
      <c r="L1927" s="3" t="str">
        <f>IFERROR(__xludf.DUMMYFUNCTION("GOOGLETRANSLATE(F1927,""id"",""en"")"),"Argentine World Cup Final Penalty The Winner")</f>
        <v>Argentine World Cup Final Penalty The Winner</v>
      </c>
    </row>
    <row r="1928" ht="15.75" customHeight="1">
      <c r="A1928" s="1">
        <v>1934.0</v>
      </c>
      <c r="B1928" s="3" t="s">
        <v>5762</v>
      </c>
      <c r="C1928" s="3">
        <v>1.0</v>
      </c>
      <c r="D1928" s="3">
        <v>55.0</v>
      </c>
      <c r="E1928" s="3">
        <v>229.0</v>
      </c>
      <c r="F1928" s="3" t="s">
        <v>5763</v>
      </c>
      <c r="G1928" s="3">
        <v>1.0</v>
      </c>
      <c r="H1928" s="3">
        <v>0.0</v>
      </c>
      <c r="I1928" s="3" t="s">
        <v>13</v>
      </c>
      <c r="J1928" s="3" t="s">
        <v>5764</v>
      </c>
      <c r="K1928" s="3" t="s">
        <v>3245</v>
      </c>
      <c r="L1928" s="3" t="str">
        <f>IFERROR(__xludf.DUMMYFUNCTION("GOOGLETRANSLATE(F1928,""id"",""en"")"),"The final world cup is really for degdedang to think about it, I want to spoiler for the world cup now for those who don't watch, haechan shut up in silence and Jeno who watched him seems to be a world cup score spoiler")</f>
        <v>The final world cup is really for degdedang to think about it, I want to spoiler for the world cup now for those who don't watch, haechan shut up in silence and Jeno who watched him seems to be a world cup score spoiler</v>
      </c>
    </row>
    <row r="1929" ht="15.75" customHeight="1">
      <c r="A1929" s="1">
        <v>1935.0</v>
      </c>
      <c r="B1929" s="3" t="s">
        <v>5765</v>
      </c>
      <c r="C1929" s="3">
        <v>6.0</v>
      </c>
      <c r="D1929" s="3">
        <v>34.0</v>
      </c>
      <c r="E1929" s="3">
        <v>135.0</v>
      </c>
      <c r="F1929" s="3" t="s">
        <v>5766</v>
      </c>
      <c r="G1929" s="3">
        <v>1.0</v>
      </c>
      <c r="H1929" s="3">
        <v>0.4</v>
      </c>
      <c r="I1929" s="3" t="s">
        <v>48</v>
      </c>
      <c r="J1929" s="3" t="s">
        <v>5767</v>
      </c>
      <c r="K1929" s="3" t="s">
        <v>71</v>
      </c>
      <c r="L1929" s="3" t="str">
        <f>IFERROR(__xludf.DUMMYFUNCTION("GOOGLETRANSLATE(F1929,""id"",""en"")"),"Argentina and Messi are very worthy")</f>
        <v>Argentina and Messi are very worthy</v>
      </c>
    </row>
    <row r="1930" ht="15.75" customHeight="1">
      <c r="A1930" s="1">
        <v>1936.0</v>
      </c>
      <c r="B1930" s="3" t="s">
        <v>5768</v>
      </c>
      <c r="C1930" s="3">
        <v>0.0</v>
      </c>
      <c r="D1930" s="3">
        <v>0.0</v>
      </c>
      <c r="E1930" s="3">
        <v>0.0</v>
      </c>
      <c r="F1930" s="3" t="s">
        <v>5769</v>
      </c>
      <c r="G1930" s="3">
        <v>1.0</v>
      </c>
      <c r="H1930" s="3">
        <v>0.0</v>
      </c>
      <c r="I1930" s="3" t="s">
        <v>13</v>
      </c>
      <c r="J1930" s="3" t="s">
        <v>5770</v>
      </c>
      <c r="K1930" s="3" t="s">
        <v>31</v>
      </c>
      <c r="L1930" s="3" t="str">
        <f>IFERROR(__xludf.DUMMYFUNCTION("GOOGLETRANSLATE(F1930,""id"",""en"")"),"The Best World Cup Final is clear")</f>
        <v>The Best World Cup Final is clear</v>
      </c>
    </row>
    <row r="1931" ht="15.75" customHeight="1">
      <c r="A1931" s="1">
        <v>1937.0</v>
      </c>
      <c r="B1931" s="3" t="s">
        <v>5771</v>
      </c>
      <c r="C1931" s="3">
        <v>0.0</v>
      </c>
      <c r="D1931" s="3">
        <v>0.0</v>
      </c>
      <c r="E1931" s="3">
        <v>0.0</v>
      </c>
      <c r="F1931" s="3" t="s">
        <v>5772</v>
      </c>
      <c r="G1931" s="3">
        <v>1.0</v>
      </c>
      <c r="H1931" s="3">
        <v>0.0</v>
      </c>
      <c r="I1931" s="3" t="s">
        <v>13</v>
      </c>
      <c r="J1931" s="3" t="s">
        <v>5773</v>
      </c>
      <c r="K1931" s="3" t="s">
        <v>15</v>
      </c>
      <c r="L1931" s="3" t="str">
        <f>IFERROR(__xludf.DUMMYFUNCTION("GOOGLETRANSLATE(F1931,""id"",""en"")"),"Thank you universe for presenting the exciting World Cup final")</f>
        <v>Thank you universe for presenting the exciting World Cup final</v>
      </c>
    </row>
    <row r="1932" ht="15.75" customHeight="1">
      <c r="A1932" s="1">
        <v>1938.0</v>
      </c>
      <c r="B1932" s="3" t="s">
        <v>5774</v>
      </c>
      <c r="C1932" s="3">
        <v>0.0</v>
      </c>
      <c r="D1932" s="3">
        <v>0.0</v>
      </c>
      <c r="E1932" s="3">
        <v>0.0</v>
      </c>
      <c r="F1932" s="3" t="s">
        <v>5775</v>
      </c>
      <c r="G1932" s="3">
        <v>1.0</v>
      </c>
      <c r="H1932" s="3">
        <v>0.0</v>
      </c>
      <c r="I1932" s="3" t="s">
        <v>13</v>
      </c>
      <c r="J1932" s="3" t="s">
        <v>5776</v>
      </c>
      <c r="K1932" s="3" t="s">
        <v>244</v>
      </c>
      <c r="L1932" s="3" t="str">
        <f>IFERROR(__xludf.DUMMYFUNCTION("GOOGLETRANSLATE(F1932,""id"",""en"")"),"Argentina Champion World Cup against France Final Penalty Messi What Final")</f>
        <v>Argentina Champion World Cup against France Final Penalty Messi What Final</v>
      </c>
    </row>
    <row r="1933" ht="15.75" customHeight="1">
      <c r="A1933" s="1">
        <v>1939.0</v>
      </c>
      <c r="B1933" s="3" t="s">
        <v>5777</v>
      </c>
      <c r="C1933" s="3">
        <v>0.0</v>
      </c>
      <c r="D1933" s="3">
        <v>0.0</v>
      </c>
      <c r="E1933" s="3">
        <v>0.0</v>
      </c>
      <c r="F1933" s="3" t="s">
        <v>5778</v>
      </c>
      <c r="G1933" s="3">
        <v>1.0</v>
      </c>
      <c r="H1933" s="3">
        <v>0.0</v>
      </c>
      <c r="I1933" s="3" t="s">
        <v>13</v>
      </c>
      <c r="J1933" s="3" t="s">
        <v>5779</v>
      </c>
      <c r="K1933" s="3" t="s">
        <v>82</v>
      </c>
      <c r="L1933" s="3" t="str">
        <f>IFERROR(__xludf.DUMMYFUNCTION("GOOGLETRANSLATE(F1933,""id"",""en"")"),"This is the final of the World Cup, really crazy")</f>
        <v>This is the final of the World Cup, really crazy</v>
      </c>
    </row>
    <row r="1934" ht="15.75" customHeight="1">
      <c r="A1934" s="1">
        <v>1940.0</v>
      </c>
      <c r="B1934" s="3" t="s">
        <v>5780</v>
      </c>
      <c r="C1934" s="3">
        <v>0.0</v>
      </c>
      <c r="D1934" s="3">
        <v>0.0</v>
      </c>
      <c r="E1934" s="3">
        <v>0.0</v>
      </c>
      <c r="F1934" s="3" t="s">
        <v>5781</v>
      </c>
      <c r="G1934" s="3">
        <v>1.0</v>
      </c>
      <c r="H1934" s="3">
        <v>0.0</v>
      </c>
      <c r="I1934" s="3" t="s">
        <v>13</v>
      </c>
      <c r="J1934" s="3" t="s">
        <v>5782</v>
      </c>
      <c r="K1934" s="3" t="s">
        <v>54</v>
      </c>
      <c r="L1934" s="3" t="str">
        <f>IFERROR(__xludf.DUMMYFUNCTION("GOOGLETRANSLATE(F1934,""id"",""en"")"),"I ever watched the best world cup final")</f>
        <v>I ever watched the best world cup final</v>
      </c>
    </row>
    <row r="1935" ht="15.75" customHeight="1">
      <c r="A1935" s="1">
        <v>1941.0</v>
      </c>
      <c r="B1935" s="3" t="s">
        <v>5783</v>
      </c>
      <c r="C1935" s="3">
        <v>0.0</v>
      </c>
      <c r="D1935" s="3">
        <v>0.0</v>
      </c>
      <c r="E1935" s="3">
        <v>0.0</v>
      </c>
      <c r="F1935" s="3" t="s">
        <v>5784</v>
      </c>
      <c r="G1935" s="3">
        <v>1.0</v>
      </c>
      <c r="H1935" s="3">
        <v>0.0</v>
      </c>
      <c r="I1935" s="3" t="s">
        <v>13</v>
      </c>
      <c r="J1935" s="3" t="s">
        <v>5785</v>
      </c>
      <c r="K1935" s="3" t="s">
        <v>31</v>
      </c>
      <c r="L1935" s="3" t="str">
        <f>IFERROR(__xludf.DUMMYFUNCTION("GOOGLETRANSLATE(F1935,""id"",""en"")"),"World Cup Final Most Kerennn")</f>
        <v>World Cup Final Most Kerennn</v>
      </c>
    </row>
    <row r="1936" ht="15.75" customHeight="1">
      <c r="A1936" s="1">
        <v>1942.0</v>
      </c>
      <c r="B1936" s="3" t="s">
        <v>5786</v>
      </c>
      <c r="C1936" s="3">
        <v>0.0</v>
      </c>
      <c r="D1936" s="3">
        <v>0.0</v>
      </c>
      <c r="E1936" s="3">
        <v>1.0</v>
      </c>
      <c r="F1936" s="3" t="s">
        <v>5787</v>
      </c>
      <c r="G1936" s="3">
        <v>1.0</v>
      </c>
      <c r="H1936" s="3">
        <v>0.0</v>
      </c>
      <c r="I1936" s="3" t="s">
        <v>13</v>
      </c>
      <c r="J1936" s="3" t="s">
        <v>5788</v>
      </c>
      <c r="K1936" s="3" t="s">
        <v>3346</v>
      </c>
      <c r="L1936" s="3" t="str">
        <f>IFERROR(__xludf.DUMMYFUNCTION("GOOGLETRANSLATE(F1936,""id"",""en"")"),"World Cup World Cup Shortned with many plot twist many of the best final dramas")</f>
        <v>World Cup World Cup Shortned with many plot twist many of the best final dramas</v>
      </c>
    </row>
    <row r="1937" ht="15.75" customHeight="1">
      <c r="A1937" s="1">
        <v>1943.0</v>
      </c>
      <c r="B1937" s="3" t="s">
        <v>5789</v>
      </c>
      <c r="C1937" s="3">
        <v>0.0</v>
      </c>
      <c r="D1937" s="3">
        <v>0.0</v>
      </c>
      <c r="E1937" s="3">
        <v>0.0</v>
      </c>
      <c r="F1937" s="3" t="s">
        <v>5790</v>
      </c>
      <c r="G1937" s="3">
        <v>1.0</v>
      </c>
      <c r="H1937" s="3">
        <v>0.0</v>
      </c>
      <c r="I1937" s="3" t="s">
        <v>13</v>
      </c>
      <c r="J1937" s="3" t="s">
        <v>5791</v>
      </c>
      <c r="K1937" s="3" t="s">
        <v>35</v>
      </c>
      <c r="L1937" s="3" t="str">
        <f>IFERROR(__xludf.DUMMYFUNCTION("GOOGLETRANSLATE(F1937,""id"",""en"")"),"Argentina Congrast Congrast Congrast was excited to the last World Cup finally lifted trhopy too")</f>
        <v>Argentina Congrast Congrast Congrast was excited to the last World Cup finally lifted trhopy too</v>
      </c>
    </row>
    <row r="1938" ht="15.75" customHeight="1">
      <c r="A1938" s="1">
        <v>1944.0</v>
      </c>
      <c r="B1938" s="3" t="s">
        <v>5792</v>
      </c>
      <c r="C1938" s="3">
        <v>0.0</v>
      </c>
      <c r="D1938" s="3">
        <v>0.0</v>
      </c>
      <c r="E1938" s="3">
        <v>0.0</v>
      </c>
      <c r="F1938" s="3" t="s">
        <v>5793</v>
      </c>
      <c r="G1938" s="3">
        <v>1.0</v>
      </c>
      <c r="H1938" s="3">
        <v>0.5</v>
      </c>
      <c r="I1938" s="3" t="s">
        <v>48</v>
      </c>
      <c r="J1938" s="3" t="s">
        <v>5794</v>
      </c>
      <c r="K1938" s="3" t="s">
        <v>495</v>
      </c>
      <c r="L1938" s="3" t="str">
        <f>IFERROR(__xludf.DUMMYFUNCTION("GOOGLETRANSLATE(F1938,""id"",""en"")"),"During watching the World Cup from this, one of the most exciting final years and if the French penalties win will definitely be more perfect kwkwkw")</f>
        <v>During watching the World Cup from this, one of the most exciting final years and if the French penalties win will definitely be more perfect kwkwkw</v>
      </c>
    </row>
    <row r="1939" ht="15.75" customHeight="1">
      <c r="A1939" s="1">
        <v>1945.0</v>
      </c>
      <c r="B1939" s="3" t="s">
        <v>5795</v>
      </c>
      <c r="C1939" s="3">
        <v>0.0</v>
      </c>
      <c r="D1939" s="3">
        <v>0.0</v>
      </c>
      <c r="E1939" s="3">
        <v>0.0</v>
      </c>
      <c r="F1939" s="3" t="s">
        <v>5796</v>
      </c>
      <c r="G1939" s="3">
        <v>1.0</v>
      </c>
      <c r="H1939" s="3">
        <v>0.0</v>
      </c>
      <c r="I1939" s="3" t="s">
        <v>13</v>
      </c>
      <c r="J1939" s="3" t="s">
        <v>5797</v>
      </c>
      <c r="K1939" s="3" t="s">
        <v>2215</v>
      </c>
      <c r="L1939" s="3" t="str">
        <f>IFERROR(__xludf.DUMMYFUNCTION("GOOGLETRANSLATE(F1939,""id"",""en"")"),"Congrats Congrats Argentina Congrats Messi Respect France Supercool Mbappe World Cup Most Cup")</f>
        <v>Congrats Congrats Argentina Congrats Messi Respect France Supercool Mbappe World Cup Most Cup</v>
      </c>
    </row>
    <row r="1940" ht="15.75" customHeight="1">
      <c r="A1940" s="1">
        <v>1946.0</v>
      </c>
      <c r="B1940" s="3" t="s">
        <v>5798</v>
      </c>
      <c r="C1940" s="3">
        <v>0.0</v>
      </c>
      <c r="D1940" s="3">
        <v>0.0</v>
      </c>
      <c r="E1940" s="3">
        <v>0.0</v>
      </c>
      <c r="F1940" s="3" t="s">
        <v>5799</v>
      </c>
      <c r="G1940" s="3">
        <v>1.0</v>
      </c>
      <c r="H1940" s="3">
        <v>0.0</v>
      </c>
      <c r="I1940" s="3" t="s">
        <v>13</v>
      </c>
      <c r="J1940" s="3" t="s">
        <v>5800</v>
      </c>
      <c r="K1940" s="3" t="s">
        <v>19</v>
      </c>
      <c r="L1940" s="3" t="str">
        <f>IFERROR(__xludf.DUMMYFUNCTION("GOOGLETRANSLATE(F1940,""id"",""en"")"),"Argentina won it apparently could not sleep because of the final of the Gawe Morning World Cup, even though")</f>
        <v>Argentina won it apparently could not sleep because of the final of the Gawe Morning World Cup, even though</v>
      </c>
    </row>
    <row r="1941" ht="15.75" customHeight="1">
      <c r="A1941" s="1">
        <v>1947.0</v>
      </c>
      <c r="B1941" s="3" t="s">
        <v>5801</v>
      </c>
      <c r="C1941" s="3">
        <v>0.0</v>
      </c>
      <c r="D1941" s="3">
        <v>0.0</v>
      </c>
      <c r="E1941" s="3">
        <v>0.0</v>
      </c>
      <c r="F1941" s="3" t="s">
        <v>5802</v>
      </c>
      <c r="G1941" s="3">
        <v>1.0</v>
      </c>
      <c r="H1941" s="3">
        <v>0.0</v>
      </c>
      <c r="I1941" s="3" t="s">
        <v>13</v>
      </c>
      <c r="J1941" s="3" t="s">
        <v>5803</v>
      </c>
      <c r="K1941" s="3" t="s">
        <v>644</v>
      </c>
      <c r="L1941" s="3" t="str">
        <f>IFERROR(__xludf.DUMMYFUNCTION("GOOGLETRANSLATE(F1941,""id"",""en"")"),"Camelia World Cup Final")</f>
        <v>Camelia World Cup Final</v>
      </c>
    </row>
    <row r="1942" ht="15.75" customHeight="1">
      <c r="A1942" s="1">
        <v>1948.0</v>
      </c>
      <c r="B1942" s="3" t="s">
        <v>5804</v>
      </c>
      <c r="C1942" s="3">
        <v>0.0</v>
      </c>
      <c r="D1942" s="3">
        <v>0.0</v>
      </c>
      <c r="E1942" s="3">
        <v>0.0</v>
      </c>
      <c r="F1942" s="3" t="s">
        <v>5805</v>
      </c>
      <c r="G1942" s="3">
        <v>1.0</v>
      </c>
      <c r="H1942" s="3">
        <v>0.0</v>
      </c>
      <c r="I1942" s="3" t="s">
        <v>13</v>
      </c>
      <c r="J1942" s="3" t="s">
        <v>5806</v>
      </c>
      <c r="K1942" s="3" t="s">
        <v>31</v>
      </c>
      <c r="L1942" s="3" t="str">
        <f>IFERROR(__xludf.DUMMYFUNCTION("GOOGLETRANSLATE(F1942,""id"",""en"")"),"The World Cup Final was shocked by Goks")</f>
        <v>The World Cup Final was shocked by Goks</v>
      </c>
    </row>
    <row r="1943" ht="15.75" customHeight="1">
      <c r="A1943" s="1">
        <v>1949.0</v>
      </c>
      <c r="B1943" s="3" t="s">
        <v>5807</v>
      </c>
      <c r="C1943" s="3">
        <v>0.0</v>
      </c>
      <c r="D1943" s="3">
        <v>0.0</v>
      </c>
      <c r="E1943" s="3">
        <v>8.0</v>
      </c>
      <c r="F1943" s="3" t="s">
        <v>5808</v>
      </c>
      <c r="G1943" s="3">
        <v>0.525</v>
      </c>
      <c r="H1943" s="3">
        <v>0.575</v>
      </c>
      <c r="I1943" s="3" t="s">
        <v>48</v>
      </c>
      <c r="J1943" s="3" t="s">
        <v>5809</v>
      </c>
      <c r="K1943" s="3" t="s">
        <v>1428</v>
      </c>
      <c r="L1943" s="3" t="str">
        <f>IFERROR(__xludf.DUMMYFUNCTION("GOOGLETRANSLATE(F1943,""id"",""en"")"),"Argentina France finally Argentina won the World Cup Messi Goat throughout the Best World Cup Final Ever and The Best Performance from Golden Boy Mbappe Lottin")</f>
        <v>Argentina France finally Argentina won the World Cup Messi Goat throughout the Best World Cup Final Ever and The Best Performance from Golden Boy Mbappe Lottin</v>
      </c>
    </row>
    <row r="1944" ht="15.75" customHeight="1">
      <c r="A1944" s="1">
        <v>1950.0</v>
      </c>
      <c r="B1944" s="3" t="s">
        <v>5810</v>
      </c>
      <c r="C1944" s="3">
        <v>0.0</v>
      </c>
      <c r="D1944" s="3">
        <v>0.0</v>
      </c>
      <c r="E1944" s="3">
        <v>0.0</v>
      </c>
      <c r="F1944" s="3" t="s">
        <v>5811</v>
      </c>
      <c r="G1944" s="3">
        <v>1.0</v>
      </c>
      <c r="H1944" s="3">
        <v>0.0</v>
      </c>
      <c r="I1944" s="3" t="s">
        <v>13</v>
      </c>
      <c r="J1944" s="3" t="s">
        <v>5812</v>
      </c>
      <c r="K1944" s="3" t="s">
        <v>603</v>
      </c>
      <c r="L1944" s="3" t="str">
        <f>IFERROR(__xludf.DUMMYFUNCTION("GOOGLETRANSLATE(F1944,""id"",""en"")"),"Argentina Kali Sah Champion Messi GOAT SAH SAVE Argentina Thank you French Final of the Extraordinary World Cup I've ever watched")</f>
        <v>Argentina Kali Sah Champion Messi GOAT SAH SAVE Argentina Thank you French Final of the Extraordinary World Cup I've ever watched</v>
      </c>
    </row>
    <row r="1945" ht="15.75" customHeight="1">
      <c r="A1945" s="1">
        <v>1951.0</v>
      </c>
      <c r="B1945" s="3" t="s">
        <v>5813</v>
      </c>
      <c r="C1945" s="3">
        <v>0.0</v>
      </c>
      <c r="D1945" s="3">
        <v>0.0</v>
      </c>
      <c r="E1945" s="3">
        <v>0.0</v>
      </c>
      <c r="F1945" s="3" t="s">
        <v>5121</v>
      </c>
      <c r="G1945" s="3">
        <v>1.0</v>
      </c>
      <c r="H1945" s="3">
        <v>0.0</v>
      </c>
      <c r="I1945" s="3" t="s">
        <v>13</v>
      </c>
      <c r="J1945" s="3" t="s">
        <v>5122</v>
      </c>
      <c r="K1945" s="3" t="s">
        <v>54</v>
      </c>
      <c r="L1945" s="3" t="str">
        <f>IFERROR(__xludf.DUMMYFUNCTION("GOOGLETRANSLATE(F1945,""id"",""en"")"),"Final of the Best World Cup Happy Argentina")</f>
        <v>Final of the Best World Cup Happy Argentina</v>
      </c>
    </row>
    <row r="1946" ht="15.75" customHeight="1">
      <c r="A1946" s="1">
        <v>1952.0</v>
      </c>
      <c r="B1946" s="3" t="s">
        <v>5814</v>
      </c>
      <c r="C1946" s="3">
        <v>0.0</v>
      </c>
      <c r="D1946" s="3">
        <v>0.0</v>
      </c>
      <c r="E1946" s="3">
        <v>0.0</v>
      </c>
      <c r="F1946" s="3" t="s">
        <v>5815</v>
      </c>
      <c r="G1946" s="3">
        <v>1.0</v>
      </c>
      <c r="H1946" s="3">
        <v>0.0</v>
      </c>
      <c r="I1946" s="3" t="s">
        <v>13</v>
      </c>
      <c r="J1946" s="3" t="s">
        <v>5816</v>
      </c>
      <c r="K1946" s="3" t="s">
        <v>31</v>
      </c>
      <c r="L1946" s="3" t="str">
        <f>IFERROR(__xludf.DUMMYFUNCTION("GOOGLETRANSLATE(F1946,""id"",""en"")"),"This original Final of the Best World Cup")</f>
        <v>This original Final of the Best World Cup</v>
      </c>
    </row>
    <row r="1947" ht="15.75" customHeight="1">
      <c r="A1947" s="1">
        <v>1953.0</v>
      </c>
      <c r="B1947" s="3" t="s">
        <v>5817</v>
      </c>
      <c r="C1947" s="3">
        <v>0.0</v>
      </c>
      <c r="D1947" s="3">
        <v>0.0</v>
      </c>
      <c r="E1947" s="3">
        <v>0.0</v>
      </c>
      <c r="F1947" s="3" t="s">
        <v>5818</v>
      </c>
      <c r="G1947" s="3">
        <v>1.0</v>
      </c>
      <c r="H1947" s="3">
        <v>0.0</v>
      </c>
      <c r="I1947" s="3" t="s">
        <v>13</v>
      </c>
      <c r="J1947" s="3" t="s">
        <v>5819</v>
      </c>
      <c r="K1947" s="3" t="s">
        <v>31</v>
      </c>
      <c r="L1947" s="3" t="str">
        <f>IFERROR(__xludf.DUMMYFUNCTION("GOOGLETRANSLATE(F1947,""id"",""en"")"),"The World Cup Final was excited")</f>
        <v>The World Cup Final was excited</v>
      </c>
    </row>
    <row r="1948" ht="15.75" customHeight="1">
      <c r="A1948" s="1">
        <v>1954.0</v>
      </c>
      <c r="B1948" s="3" t="s">
        <v>5820</v>
      </c>
      <c r="C1948" s="3">
        <v>1.0</v>
      </c>
      <c r="D1948" s="3">
        <v>0.0</v>
      </c>
      <c r="E1948" s="3">
        <v>0.0</v>
      </c>
      <c r="F1948" s="3" t="s">
        <v>5821</v>
      </c>
      <c r="G1948" s="3">
        <v>1.0</v>
      </c>
      <c r="H1948" s="3">
        <v>0.0</v>
      </c>
      <c r="I1948" s="3" t="s">
        <v>13</v>
      </c>
      <c r="J1948" s="3" t="s">
        <v>5822</v>
      </c>
      <c r="K1948" s="3" t="s">
        <v>82</v>
      </c>
      <c r="L1948" s="3" t="str">
        <f>IFERROR(__xludf.DUMMYFUNCTION("GOOGLETRANSLATE(F1948,""id"",""en"")"),"Kerennn Benaar Final World Cup is very memorable")</f>
        <v>Kerennn Benaar Final World Cup is very memorable</v>
      </c>
    </row>
    <row r="1949" ht="15.75" customHeight="1">
      <c r="A1949" s="1">
        <v>1955.0</v>
      </c>
      <c r="B1949" s="3" t="s">
        <v>5823</v>
      </c>
      <c r="C1949" s="3">
        <v>1.0</v>
      </c>
      <c r="D1949" s="3">
        <v>0.0</v>
      </c>
      <c r="E1949" s="3">
        <v>0.0</v>
      </c>
      <c r="F1949" s="3" t="s">
        <v>5824</v>
      </c>
      <c r="G1949" s="3">
        <v>1.0</v>
      </c>
      <c r="H1949" s="3">
        <v>0.0</v>
      </c>
      <c r="I1949" s="3" t="s">
        <v>13</v>
      </c>
      <c r="J1949" s="3" t="s">
        <v>5825</v>
      </c>
      <c r="K1949" s="3" t="s">
        <v>131</v>
      </c>
      <c r="L1949" s="3" t="str">
        <f>IFERROR(__xludf.DUMMYFUNCTION("GOOGLETRANSLATE(F1949,""id"",""en"")"),"Woww Cool World Cup Final This is just a cool match until the Angkara Angkara Angkara Mbape Boom Boom Bawww")</f>
        <v>Woww Cool World Cup Final This is just a cool match until the Angkara Angkara Angkara Mbape Boom Boom Bawww</v>
      </c>
    </row>
    <row r="1950" ht="15.75" customHeight="1">
      <c r="A1950" s="1">
        <v>1956.0</v>
      </c>
      <c r="B1950" s="3" t="s">
        <v>5826</v>
      </c>
      <c r="C1950" s="3">
        <v>0.0</v>
      </c>
      <c r="D1950" s="3">
        <v>0.0</v>
      </c>
      <c r="E1950" s="3">
        <v>0.0</v>
      </c>
      <c r="F1950" s="3" t="s">
        <v>5827</v>
      </c>
      <c r="G1950" s="3">
        <v>1.0</v>
      </c>
      <c r="H1950" s="3">
        <v>0.0</v>
      </c>
      <c r="I1950" s="3" t="s">
        <v>13</v>
      </c>
      <c r="J1950" s="3" t="s">
        <v>5828</v>
      </c>
      <c r="K1950" s="3" t="s">
        <v>15</v>
      </c>
      <c r="L1950" s="3" t="str">
        <f>IFERROR(__xludf.DUMMYFUNCTION("GOOGLETRANSLATE(F1950,""id"",""en"")"),"The final was exciting, Messi finally won the World Cup")</f>
        <v>The final was exciting, Messi finally won the World Cup</v>
      </c>
    </row>
    <row r="1951" ht="15.75" customHeight="1">
      <c r="A1951" s="1">
        <v>1957.0</v>
      </c>
      <c r="B1951" s="3" t="s">
        <v>5829</v>
      </c>
      <c r="C1951" s="3">
        <v>0.0</v>
      </c>
      <c r="D1951" s="3">
        <v>0.0</v>
      </c>
      <c r="E1951" s="3">
        <v>0.0</v>
      </c>
      <c r="F1951" s="3" t="s">
        <v>5830</v>
      </c>
      <c r="G1951" s="3">
        <v>1.0</v>
      </c>
      <c r="H1951" s="3">
        <v>0.0</v>
      </c>
      <c r="I1951" s="3" t="s">
        <v>13</v>
      </c>
      <c r="J1951" s="3" t="s">
        <v>5831</v>
      </c>
      <c r="K1951" s="3" t="s">
        <v>1097</v>
      </c>
      <c r="L1951" s="3" t="str">
        <f>IFERROR(__xludf.DUMMYFUNCTION("GOOGLETRANSLATE(F1951,""id"",""en"")"),"Happy Argentia Happy Messi World Cup Final Coolest")</f>
        <v>Happy Argentia Happy Messi World Cup Final Coolest</v>
      </c>
    </row>
    <row r="1952" ht="15.75" customHeight="1">
      <c r="A1952" s="1">
        <v>1958.0</v>
      </c>
      <c r="B1952" s="3" t="s">
        <v>5832</v>
      </c>
      <c r="C1952" s="3">
        <v>0.0</v>
      </c>
      <c r="D1952" s="3">
        <v>7.0</v>
      </c>
      <c r="E1952" s="3">
        <v>4.0</v>
      </c>
      <c r="F1952" s="3" t="s">
        <v>5833</v>
      </c>
      <c r="G1952" s="3">
        <v>1.0</v>
      </c>
      <c r="H1952" s="3">
        <v>0.0</v>
      </c>
      <c r="I1952" s="3" t="s">
        <v>13</v>
      </c>
      <c r="J1952" s="3" t="s">
        <v>5834</v>
      </c>
      <c r="K1952" s="3" t="s">
        <v>15</v>
      </c>
      <c r="L1952" s="3" t="str">
        <f>IFERROR(__xludf.DUMMYFUNCTION("GOOGLETRANSLATE(F1952,""id"",""en"")"),"Argentina Champion World Cup Defeat France Final Vamosss")</f>
        <v>Argentina Champion World Cup Defeat France Final Vamosss</v>
      </c>
    </row>
    <row r="1953" ht="15.75" customHeight="1">
      <c r="A1953" s="1">
        <v>1959.0</v>
      </c>
      <c r="B1953" s="3" t="s">
        <v>5835</v>
      </c>
      <c r="C1953" s="3">
        <v>0.0</v>
      </c>
      <c r="D1953" s="3">
        <v>0.0</v>
      </c>
      <c r="E1953" s="3">
        <v>0.0</v>
      </c>
      <c r="F1953" s="3" t="s">
        <v>5836</v>
      </c>
      <c r="G1953" s="3">
        <v>1.0</v>
      </c>
      <c r="H1953" s="3">
        <v>0.0</v>
      </c>
      <c r="I1953" s="3" t="s">
        <v>13</v>
      </c>
      <c r="J1953" s="3" t="s">
        <v>5837</v>
      </c>
      <c r="K1953" s="3" t="s">
        <v>31</v>
      </c>
      <c r="L1953" s="3" t="str">
        <f>IFERROR(__xludf.DUMMYFUNCTION("GOOGLETRANSLATE(F1953,""id"",""en"")"),"The World Cup Final was shocked by a dog")</f>
        <v>The World Cup Final was shocked by a dog</v>
      </c>
    </row>
    <row r="1954" ht="15.75" customHeight="1">
      <c r="A1954" s="1">
        <v>1960.0</v>
      </c>
      <c r="B1954" s="3" t="s">
        <v>5838</v>
      </c>
      <c r="C1954" s="3">
        <v>0.0</v>
      </c>
      <c r="D1954" s="3">
        <v>0.0</v>
      </c>
      <c r="E1954" s="3">
        <v>0.0</v>
      </c>
      <c r="F1954" s="3" t="s">
        <v>5839</v>
      </c>
      <c r="G1954" s="3">
        <v>1.0</v>
      </c>
      <c r="H1954" s="3">
        <v>0.0</v>
      </c>
      <c r="I1954" s="3" t="s">
        <v>13</v>
      </c>
      <c r="J1954" s="3" t="s">
        <v>5840</v>
      </c>
      <c r="K1954" s="3" t="s">
        <v>82</v>
      </c>
      <c r="L1954" s="3" t="str">
        <f>IFERROR(__xludf.DUMMYFUNCTION("GOOGLETRANSLATE(F1954,""id"",""en"")"),"Is there a percirclean who didn't watch the World Cup from the beginning of the final")</f>
        <v>Is there a percirclean who didn't watch the World Cup from the beginning of the final</v>
      </c>
    </row>
    <row r="1955" ht="15.75" customHeight="1">
      <c r="A1955" s="1">
        <v>1961.0</v>
      </c>
      <c r="B1955" s="3" t="s">
        <v>5841</v>
      </c>
      <c r="C1955" s="3">
        <v>0.0</v>
      </c>
      <c r="D1955" s="3">
        <v>4.0</v>
      </c>
      <c r="E1955" s="3">
        <v>7.0</v>
      </c>
      <c r="F1955" s="3" t="s">
        <v>5842</v>
      </c>
      <c r="G1955" s="3">
        <v>1.0</v>
      </c>
      <c r="H1955" s="3">
        <v>0.0</v>
      </c>
      <c r="I1955" s="3" t="s">
        <v>13</v>
      </c>
      <c r="J1955" s="3" t="s">
        <v>5843</v>
      </c>
      <c r="K1955" s="3" t="s">
        <v>75</v>
      </c>
      <c r="L1955" s="3" t="str">
        <f>IFERROR(__xludf.DUMMYFUNCTION("GOOGLETRANSLATE(F1955,""id"",""en"")"),"very dramatic following the report of the French French Argentine match of the World Cup")</f>
        <v>very dramatic following the report of the French French Argentine match of the World Cup</v>
      </c>
    </row>
    <row r="1956" ht="15.75" customHeight="1">
      <c r="A1956" s="1">
        <v>1962.0</v>
      </c>
      <c r="B1956" s="3" t="s">
        <v>5844</v>
      </c>
      <c r="C1956" s="3">
        <v>0.0</v>
      </c>
      <c r="D1956" s="3">
        <v>0.0</v>
      </c>
      <c r="E1956" s="3">
        <v>1.0</v>
      </c>
      <c r="F1956" s="3" t="s">
        <v>5845</v>
      </c>
      <c r="G1956" s="3">
        <v>0.75</v>
      </c>
      <c r="H1956" s="3">
        <v>0.06818181818181818</v>
      </c>
      <c r="I1956" s="3" t="s">
        <v>48</v>
      </c>
      <c r="J1956" s="3" t="s">
        <v>5846</v>
      </c>
      <c r="K1956" s="3" t="s">
        <v>75</v>
      </c>
      <c r="L1956" s="3" t="str">
        <f>IFERROR(__xludf.DUMMYFUNCTION("GOOGLETRANSLATE(F1956,""id"",""en"")"),"Update Live Score while Argentina French Final match of the Qatar World Cup")</f>
        <v>Update Live Score while Argentina French Final match of the Qatar World Cup</v>
      </c>
    </row>
    <row r="1957" ht="15.75" customHeight="1">
      <c r="A1957" s="1">
        <v>1963.0</v>
      </c>
      <c r="B1957" s="3" t="s">
        <v>5847</v>
      </c>
      <c r="C1957" s="3">
        <v>0.0</v>
      </c>
      <c r="D1957" s="3">
        <v>0.0</v>
      </c>
      <c r="E1957" s="3">
        <v>1.0</v>
      </c>
      <c r="F1957" s="3" t="s">
        <v>5848</v>
      </c>
      <c r="G1957" s="3">
        <v>1.0</v>
      </c>
      <c r="H1957" s="3">
        <v>0.0</v>
      </c>
      <c r="I1957" s="3" t="s">
        <v>13</v>
      </c>
      <c r="J1957" s="3" t="s">
        <v>5849</v>
      </c>
      <c r="K1957" s="3" t="s">
        <v>41</v>
      </c>
      <c r="L1957" s="3" t="str">
        <f>IFERROR(__xludf.DUMMYFUNCTION("GOOGLETRANSLATE(F1957,""id"",""en"")"),"Argentina Champion World Cup against France Final Tag Messi")</f>
        <v>Argentina Champion World Cup against France Final Tag Messi</v>
      </c>
    </row>
    <row r="1958" ht="15.75" customHeight="1">
      <c r="A1958" s="1">
        <v>1964.0</v>
      </c>
      <c r="B1958" s="3" t="s">
        <v>5850</v>
      </c>
      <c r="C1958" s="3">
        <v>0.0</v>
      </c>
      <c r="D1958" s="3">
        <v>0.0</v>
      </c>
      <c r="E1958" s="3">
        <v>0.0</v>
      </c>
      <c r="F1958" s="3" t="s">
        <v>5851</v>
      </c>
      <c r="G1958" s="3">
        <v>1.0</v>
      </c>
      <c r="H1958" s="3">
        <v>0.0</v>
      </c>
      <c r="I1958" s="3" t="s">
        <v>13</v>
      </c>
      <c r="J1958" s="3" t="s">
        <v>5852</v>
      </c>
      <c r="K1958" s="3" t="s">
        <v>433</v>
      </c>
      <c r="L1958" s="3" t="str">
        <f>IFERROR(__xludf.DUMMYFUNCTION("GOOGLETRANSLATE(F1958,""id"",""en"")"),"Argentina Champion with this European people won the World Cup winning against the final African Alhamdulillah Messi")</f>
        <v>Argentina Champion with this European people won the World Cup winning against the final African Alhamdulillah Messi</v>
      </c>
    </row>
    <row r="1959" ht="15.75" customHeight="1">
      <c r="A1959" s="1">
        <v>1965.0</v>
      </c>
      <c r="B1959" s="3" t="s">
        <v>5853</v>
      </c>
      <c r="C1959" s="3">
        <v>0.0</v>
      </c>
      <c r="D1959" s="3">
        <v>0.0</v>
      </c>
      <c r="E1959" s="3">
        <v>0.0</v>
      </c>
      <c r="F1959" s="3" t="s">
        <v>5854</v>
      </c>
      <c r="G1959" s="3">
        <v>1.0</v>
      </c>
      <c r="H1959" s="3">
        <v>0.0</v>
      </c>
      <c r="I1959" s="3" t="s">
        <v>13</v>
      </c>
      <c r="J1959" s="3" t="s">
        <v>916</v>
      </c>
      <c r="K1959" s="3" t="s">
        <v>54</v>
      </c>
      <c r="L1959" s="3" t="str">
        <f>IFERROR(__xludf.DUMMYFUNCTION("GOOGLETRANSLATE(F1959,""id"",""en"")"),"The Best World Cup Final ever watched")</f>
        <v>The Best World Cup Final ever watched</v>
      </c>
    </row>
    <row r="1960" ht="15.75" customHeight="1">
      <c r="A1960" s="1">
        <v>1966.0</v>
      </c>
      <c r="B1960" s="3" t="s">
        <v>5855</v>
      </c>
      <c r="C1960" s="3">
        <v>0.0</v>
      </c>
      <c r="D1960" s="3">
        <v>0.0</v>
      </c>
      <c r="E1960" s="3">
        <v>0.0</v>
      </c>
      <c r="F1960" s="3" t="s">
        <v>5856</v>
      </c>
      <c r="G1960" s="3">
        <v>1.0</v>
      </c>
      <c r="H1960" s="3">
        <v>0.0</v>
      </c>
      <c r="I1960" s="3" t="s">
        <v>13</v>
      </c>
      <c r="J1960" s="3" t="s">
        <v>5857</v>
      </c>
      <c r="K1960" s="3" t="s">
        <v>499</v>
      </c>
      <c r="L1960" s="3" t="str">
        <f>IFERROR(__xludf.DUMMYFUNCTION("GOOGLETRANSLATE(F1960,""id"",""en"")"),"tonight, Mr. Acting Mayor of Bekasi watched the final of the world cup of the residence of the brother of Umar Kei, it looks exciting mixed with degos.")</f>
        <v>tonight, Mr. Acting Mayor of Bekasi watched the final of the world cup of the residence of the brother of Umar Kei, it looks exciting mixed with degos.</v>
      </c>
    </row>
    <row r="1961" ht="15.75" customHeight="1">
      <c r="A1961" s="1">
        <v>1967.0</v>
      </c>
      <c r="B1961" s="3" t="s">
        <v>5858</v>
      </c>
      <c r="C1961" s="3">
        <v>0.0</v>
      </c>
      <c r="D1961" s="3">
        <v>0.0</v>
      </c>
      <c r="E1961" s="3">
        <v>0.0</v>
      </c>
      <c r="F1961" s="3" t="s">
        <v>5859</v>
      </c>
      <c r="G1961" s="3">
        <v>1.0</v>
      </c>
      <c r="H1961" s="3">
        <v>0.0</v>
      </c>
      <c r="I1961" s="3" t="s">
        <v>13</v>
      </c>
      <c r="J1961" s="3" t="s">
        <v>5860</v>
      </c>
      <c r="K1961" s="3" t="s">
        <v>123</v>
      </c>
      <c r="L1961" s="3" t="str">
        <f>IFERROR(__xludf.DUMMYFUNCTION("GOOGLETRANSLATE(F1961,""id"",""en"")"),"Funny, see people at Misah Misuh watching the Argentina World Cup final with France wkwk Gokil")</f>
        <v>Funny, see people at Misah Misuh watching the Argentina World Cup final with France wkwk Gokil</v>
      </c>
    </row>
    <row r="1962" ht="15.75" customHeight="1">
      <c r="A1962" s="1">
        <v>1968.0</v>
      </c>
      <c r="B1962" s="3" t="s">
        <v>5861</v>
      </c>
      <c r="C1962" s="3">
        <v>21.0</v>
      </c>
      <c r="D1962" s="3">
        <v>166.0</v>
      </c>
      <c r="E1962" s="3">
        <v>673.0</v>
      </c>
      <c r="F1962" s="3" t="s">
        <v>5862</v>
      </c>
      <c r="G1962" s="3">
        <v>0.7</v>
      </c>
      <c r="H1962" s="3">
        <v>-0.2</v>
      </c>
      <c r="I1962" s="3" t="s">
        <v>179</v>
      </c>
      <c r="J1962" s="3" t="s">
        <v>5863</v>
      </c>
      <c r="K1962" s="3" t="s">
        <v>1970</v>
      </c>
      <c r="L1962" s="3" t="str">
        <f>IFERROR(__xludf.DUMMYFUNCTION("GOOGLETRANSLATE(F1962,""id"",""en"")"),"What Final Games Caught Through the Drama Chase Goals Until Argentine's Official World Cup Penalty Fighting")</f>
        <v>What Final Games Caught Through the Drama Chase Goals Until Argentine's Official World Cup Penalty Fighting</v>
      </c>
    </row>
    <row r="1963" ht="15.75" customHeight="1">
      <c r="A1963" s="1">
        <v>1969.0</v>
      </c>
      <c r="B1963" s="3" t="s">
        <v>5864</v>
      </c>
      <c r="C1963" s="3">
        <v>0.0</v>
      </c>
      <c r="D1963" s="3">
        <v>0.0</v>
      </c>
      <c r="E1963" s="3">
        <v>0.0</v>
      </c>
      <c r="F1963" s="3" t="s">
        <v>5865</v>
      </c>
      <c r="G1963" s="3">
        <v>0.65</v>
      </c>
      <c r="H1963" s="3">
        <v>0.5</v>
      </c>
      <c r="I1963" s="3" t="s">
        <v>48</v>
      </c>
      <c r="J1963" s="3" t="s">
        <v>5866</v>
      </c>
      <c r="K1963" s="3" t="s">
        <v>31</v>
      </c>
      <c r="L1963" s="3" t="str">
        <f>IFERROR(__xludf.DUMMYFUNCTION("GOOGLETRANSLATE(F1963,""id"",""en"")"),"Best Final World Cup YGY")</f>
        <v>Best Final World Cup YGY</v>
      </c>
    </row>
    <row r="1964" ht="15.75" customHeight="1">
      <c r="A1964" s="1">
        <v>1970.0</v>
      </c>
      <c r="B1964" s="3" t="s">
        <v>5867</v>
      </c>
      <c r="C1964" s="3">
        <v>8.0</v>
      </c>
      <c r="D1964" s="3">
        <v>0.0</v>
      </c>
      <c r="E1964" s="3">
        <v>10.0</v>
      </c>
      <c r="F1964" s="3" t="s">
        <v>4907</v>
      </c>
      <c r="G1964" s="3">
        <v>1.0</v>
      </c>
      <c r="H1964" s="3">
        <v>0.0</v>
      </c>
      <c r="I1964" s="3" t="s">
        <v>13</v>
      </c>
      <c r="J1964" s="3" t="s">
        <v>4908</v>
      </c>
      <c r="K1964" s="3" t="s">
        <v>23</v>
      </c>
      <c r="L1964" s="3" t="str">
        <f>IFERROR(__xludf.DUMMYFUNCTION("GOOGLETRANSLATE(F1964,""id"",""en"")"),"finally finished the World Cup Setting FIFA from the referee of the line judge until the referee VAR has been paid and the final is clear")</f>
        <v>finally finished the World Cup Setting FIFA from the referee of the line judge until the referee VAR has been paid and the final is clear</v>
      </c>
    </row>
    <row r="1965" ht="15.75" customHeight="1">
      <c r="A1965" s="1">
        <v>1971.0</v>
      </c>
      <c r="B1965" s="3" t="s">
        <v>5868</v>
      </c>
      <c r="C1965" s="3">
        <v>8.0</v>
      </c>
      <c r="D1965" s="3">
        <v>45.0</v>
      </c>
      <c r="E1965" s="3">
        <v>299.0</v>
      </c>
      <c r="F1965" s="3" t="s">
        <v>5869</v>
      </c>
      <c r="G1965" s="3">
        <v>1.0</v>
      </c>
      <c r="H1965" s="3">
        <v>0.0</v>
      </c>
      <c r="I1965" s="3" t="s">
        <v>13</v>
      </c>
      <c r="J1965" s="3" t="s">
        <v>5870</v>
      </c>
      <c r="K1965" s="3" t="s">
        <v>236</v>
      </c>
      <c r="L1965" s="3" t="str">
        <f>IFERROR(__xludf.DUMMYFUNCTION("GOOGLETRANSLATE(F1965,""id"",""en"")"),"Argentina Argentina's FRANCE FINAL SHOOT OUT")</f>
        <v>Argentina Argentina's FRANCE FINAL SHOOT OUT</v>
      </c>
    </row>
    <row r="1966" ht="15.75" customHeight="1">
      <c r="A1966" s="1">
        <v>1972.0</v>
      </c>
      <c r="B1966" s="3" t="s">
        <v>5871</v>
      </c>
      <c r="C1966" s="3">
        <v>0.0</v>
      </c>
      <c r="D1966" s="3">
        <v>0.0</v>
      </c>
      <c r="E1966" s="3">
        <v>0.0</v>
      </c>
      <c r="F1966" s="3" t="s">
        <v>5872</v>
      </c>
      <c r="G1966" s="3">
        <v>1.0</v>
      </c>
      <c r="H1966" s="3">
        <v>0.0</v>
      </c>
      <c r="I1966" s="3" t="s">
        <v>13</v>
      </c>
      <c r="J1966" s="3" t="s">
        <v>5873</v>
      </c>
      <c r="K1966" s="3" t="s">
        <v>82</v>
      </c>
      <c r="L1966" s="3" t="str">
        <f>IFERROR(__xludf.DUMMYFUNCTION("GOOGLETRANSLATE(F1966,""id"",""en"")"),"Argentina Champion World Cup against France Final")</f>
        <v>Argentina Champion World Cup against France Final</v>
      </c>
    </row>
    <row r="1967" ht="15.75" customHeight="1">
      <c r="A1967" s="1">
        <v>1973.0</v>
      </c>
      <c r="B1967" s="3" t="s">
        <v>5874</v>
      </c>
      <c r="C1967" s="3">
        <v>0.0</v>
      </c>
      <c r="D1967" s="3">
        <v>0.0</v>
      </c>
      <c r="E1967" s="3">
        <v>0.0</v>
      </c>
      <c r="F1967" s="3" t="s">
        <v>5875</v>
      </c>
      <c r="G1967" s="3">
        <v>1.0</v>
      </c>
      <c r="H1967" s="3">
        <v>0.0</v>
      </c>
      <c r="I1967" s="3" t="s">
        <v>13</v>
      </c>
      <c r="J1967" s="3" t="s">
        <v>5876</v>
      </c>
      <c r="K1967" s="3" t="s">
        <v>633</v>
      </c>
      <c r="L1967" s="3" t="str">
        <f>IFERROR(__xludf.DUMMYFUNCTION("GOOGLETRANSLATE(F1967,""id"",""en"")"),"Congratulations to Argentina, try again for France, finally Messi grabbed the cup that was coveted and Mbappe had to try even harder the World Cup Final")</f>
        <v>Congratulations to Argentina, try again for France, finally Messi grabbed the cup that was coveted and Mbappe had to try even harder the World Cup Final</v>
      </c>
    </row>
    <row r="1968" ht="15.75" customHeight="1">
      <c r="A1968" s="1">
        <v>1974.0</v>
      </c>
      <c r="B1968" s="3" t="s">
        <v>5877</v>
      </c>
      <c r="C1968" s="3">
        <v>0.0</v>
      </c>
      <c r="D1968" s="3">
        <v>0.0</v>
      </c>
      <c r="E1968" s="3">
        <v>0.0</v>
      </c>
      <c r="F1968" s="3" t="s">
        <v>5878</v>
      </c>
      <c r="G1968" s="3">
        <v>1.0</v>
      </c>
      <c r="H1968" s="3">
        <v>0.0</v>
      </c>
      <c r="I1968" s="3" t="s">
        <v>13</v>
      </c>
      <c r="J1968" s="3" t="s">
        <v>5782</v>
      </c>
      <c r="K1968" s="3" t="s">
        <v>54</v>
      </c>
      <c r="L1968" s="3" t="str">
        <f>IFERROR(__xludf.DUMMYFUNCTION("GOOGLETRANSLATE(F1968,""id"",""en"")"),"The best World Cup Final I've ever watched")</f>
        <v>The best World Cup Final I've ever watched</v>
      </c>
    </row>
    <row r="1969" ht="15.75" customHeight="1">
      <c r="A1969" s="1">
        <v>1975.0</v>
      </c>
      <c r="B1969" s="3" t="s">
        <v>5879</v>
      </c>
      <c r="C1969" s="3">
        <v>0.0</v>
      </c>
      <c r="D1969" s="3">
        <v>0.0</v>
      </c>
      <c r="E1969" s="3">
        <v>0.0</v>
      </c>
      <c r="F1969" s="3" t="s">
        <v>5880</v>
      </c>
      <c r="G1969" s="3">
        <v>1.0</v>
      </c>
      <c r="H1969" s="3">
        <v>0.0</v>
      </c>
      <c r="I1969" s="3" t="s">
        <v>13</v>
      </c>
      <c r="J1969" s="3" t="s">
        <v>5881</v>
      </c>
      <c r="K1969" s="3" t="s">
        <v>82</v>
      </c>
      <c r="L1969" s="3" t="str">
        <f>IFERROR(__xludf.DUMMYFUNCTION("GOOGLETRANSLATE(F1969,""id"",""en"")"),"The World Cup final is now very fierce Ancrit")</f>
        <v>The World Cup final is now very fierce Ancrit</v>
      </c>
    </row>
    <row r="1970" ht="15.75" customHeight="1">
      <c r="A1970" s="1">
        <v>1976.0</v>
      </c>
      <c r="B1970" s="3" t="s">
        <v>5882</v>
      </c>
      <c r="C1970" s="3">
        <v>0.0</v>
      </c>
      <c r="D1970" s="3">
        <v>0.0</v>
      </c>
      <c r="E1970" s="3">
        <v>0.0</v>
      </c>
      <c r="F1970" s="3" t="s">
        <v>5883</v>
      </c>
      <c r="G1970" s="3">
        <v>0.7</v>
      </c>
      <c r="H1970" s="3">
        <v>-0.2</v>
      </c>
      <c r="I1970" s="3" t="s">
        <v>179</v>
      </c>
      <c r="J1970" s="3" t="s">
        <v>5884</v>
      </c>
      <c r="K1970" s="3" t="s">
        <v>236</v>
      </c>
      <c r="L1970" s="3" t="str">
        <f>IFERROR(__xludf.DUMMYFUNCTION("GOOGLETRANSLATE(F1970,""id"",""en"")"),"What Final What Game Messi Goat Argentina Champion World Cup")</f>
        <v>What Final What Game Messi Goat Argentina Champion World Cup</v>
      </c>
    </row>
    <row r="1971" ht="15.75" customHeight="1">
      <c r="A1971" s="1">
        <v>1977.0</v>
      </c>
      <c r="B1971" s="3" t="s">
        <v>5885</v>
      </c>
      <c r="C1971" s="3">
        <v>0.0</v>
      </c>
      <c r="D1971" s="3">
        <v>0.0</v>
      </c>
      <c r="E1971" s="3">
        <v>0.0</v>
      </c>
      <c r="F1971" s="3" t="s">
        <v>5886</v>
      </c>
      <c r="G1971" s="3">
        <v>1.0</v>
      </c>
      <c r="H1971" s="3">
        <v>0.0</v>
      </c>
      <c r="I1971" s="3" t="s">
        <v>13</v>
      </c>
      <c r="J1971" s="3" t="s">
        <v>5887</v>
      </c>
      <c r="K1971" s="3" t="s">
        <v>31</v>
      </c>
      <c r="L1971" s="3" t="str">
        <f>IFERROR(__xludf.DUMMYFUNCTION("GOOGLETRANSLATE(F1971,""id"",""en"")"),"Argentine World Cup Final Francis")</f>
        <v>Argentine World Cup Final Francis</v>
      </c>
    </row>
    <row r="1972" ht="15.75" customHeight="1">
      <c r="A1972" s="1">
        <v>1978.0</v>
      </c>
      <c r="B1972" s="3" t="s">
        <v>5888</v>
      </c>
      <c r="C1972" s="3">
        <v>0.0</v>
      </c>
      <c r="D1972" s="3">
        <v>0.0</v>
      </c>
      <c r="E1972" s="3">
        <v>1.0</v>
      </c>
      <c r="F1972" s="3" t="s">
        <v>5889</v>
      </c>
      <c r="G1972" s="3">
        <v>1.0</v>
      </c>
      <c r="H1972" s="3">
        <v>0.0</v>
      </c>
      <c r="I1972" s="3" t="s">
        <v>13</v>
      </c>
      <c r="J1972" s="3" t="s">
        <v>5890</v>
      </c>
      <c r="K1972" s="3" t="s">
        <v>82</v>
      </c>
      <c r="L1972" s="3" t="str">
        <f>IFERROR(__xludf.DUMMYFUNCTION("GOOGLETRANSLATE(F1972,""id"",""en"")"),"One of the World Cup Final Most Made Contest")</f>
        <v>One of the World Cup Final Most Made Contest</v>
      </c>
    </row>
    <row r="1973" ht="15.75" customHeight="1">
      <c r="A1973" s="1">
        <v>1979.0</v>
      </c>
      <c r="B1973" s="3" t="s">
        <v>5891</v>
      </c>
      <c r="C1973" s="3">
        <v>0.0</v>
      </c>
      <c r="D1973" s="3">
        <v>0.0</v>
      </c>
      <c r="E1973" s="3">
        <v>0.0</v>
      </c>
      <c r="F1973" s="3" t="s">
        <v>5892</v>
      </c>
      <c r="G1973" s="3">
        <v>0.7000000000000001</v>
      </c>
      <c r="H1973" s="3">
        <v>0.0</v>
      </c>
      <c r="I1973" s="3" t="s">
        <v>13</v>
      </c>
      <c r="J1973" s="3" t="s">
        <v>5893</v>
      </c>
      <c r="K1973" s="3" t="s">
        <v>1293</v>
      </c>
      <c r="L1973" s="3" t="str">
        <f>IFERROR(__xludf.DUMMYFUNCTION("GOOGLETRANSLATE(F1973,""id"",""en"")"),"Given the exciting spectacle of the Final World Cup Admin instead worked on Silent Makasiih Many Min had taken time in the middle of the excitement of the final")</f>
        <v>Given the exciting spectacle of the Final World Cup Admin instead worked on Silent Makasiih Many Min had taken time in the middle of the excitement of the final</v>
      </c>
    </row>
    <row r="1974" ht="15.75" customHeight="1">
      <c r="A1974" s="1">
        <v>1980.0</v>
      </c>
      <c r="B1974" s="3" t="s">
        <v>5894</v>
      </c>
      <c r="C1974" s="3">
        <v>0.0</v>
      </c>
      <c r="D1974" s="3">
        <v>0.0</v>
      </c>
      <c r="E1974" s="3">
        <v>0.0</v>
      </c>
      <c r="F1974" s="3" t="s">
        <v>5895</v>
      </c>
      <c r="G1974" s="3">
        <v>1.0</v>
      </c>
      <c r="H1974" s="3">
        <v>0.0</v>
      </c>
      <c r="I1974" s="3" t="s">
        <v>13</v>
      </c>
      <c r="J1974" s="3" t="s">
        <v>5896</v>
      </c>
      <c r="K1974" s="3" t="s">
        <v>41</v>
      </c>
      <c r="L1974" s="3" t="str">
        <f>IFERROR(__xludf.DUMMYFUNCTION("GOOGLETRANSLATE(F1974,""id"",""en"")"),"The results of the first round of the French Argentine World Cup final score")</f>
        <v>The results of the first round of the French Argentine World Cup final score</v>
      </c>
    </row>
    <row r="1975" ht="15.75" customHeight="1">
      <c r="A1975" s="1">
        <v>1981.0</v>
      </c>
      <c r="B1975" s="3" t="s">
        <v>5897</v>
      </c>
      <c r="C1975" s="3">
        <v>0.0</v>
      </c>
      <c r="D1975" s="3">
        <v>0.0</v>
      </c>
      <c r="E1975" s="3">
        <v>0.0</v>
      </c>
      <c r="F1975" s="3" t="s">
        <v>5898</v>
      </c>
      <c r="G1975" s="3">
        <v>0.6</v>
      </c>
      <c r="H1975" s="3">
        <v>-0.05</v>
      </c>
      <c r="I1975" s="3" t="s">
        <v>179</v>
      </c>
      <c r="J1975" s="3" t="s">
        <v>5899</v>
      </c>
      <c r="K1975" s="3" t="s">
        <v>236</v>
      </c>
      <c r="L1975" s="3" t="str">
        <f>IFERROR(__xludf.DUMMYFUNCTION("GOOGLETRANSLATE(F1975,""id"",""en"")"),"who said mentally I was strong to see the final of the world cup final.")</f>
        <v>who said mentally I was strong to see the final of the world cup final.</v>
      </c>
    </row>
    <row r="1976" ht="15.75" customHeight="1">
      <c r="A1976" s="1">
        <v>1982.0</v>
      </c>
      <c r="B1976" s="3" t="s">
        <v>5900</v>
      </c>
      <c r="C1976" s="3">
        <v>0.0</v>
      </c>
      <c r="D1976" s="3">
        <v>0.0</v>
      </c>
      <c r="E1976" s="3">
        <v>0.0</v>
      </c>
      <c r="F1976" s="3" t="s">
        <v>2246</v>
      </c>
      <c r="G1976" s="3">
        <v>1.0</v>
      </c>
      <c r="H1976" s="3">
        <v>0.0</v>
      </c>
      <c r="I1976" s="3" t="s">
        <v>13</v>
      </c>
      <c r="J1976" s="3" t="s">
        <v>2247</v>
      </c>
      <c r="K1976" s="3" t="s">
        <v>31</v>
      </c>
      <c r="L1976" s="3" t="str">
        <f>IFERROR(__xludf.DUMMYFUNCTION("GOOGLETRANSLATE(F1976,""id"",""en"")"),"World Cup Final Most Exciting")</f>
        <v>World Cup Final Most Exciting</v>
      </c>
    </row>
    <row r="1977" ht="15.75" customHeight="1">
      <c r="A1977" s="1">
        <v>1983.0</v>
      </c>
      <c r="B1977" s="3" t="s">
        <v>5901</v>
      </c>
      <c r="C1977" s="3">
        <v>0.0</v>
      </c>
      <c r="D1977" s="3">
        <v>0.0</v>
      </c>
      <c r="E1977" s="3">
        <v>0.0</v>
      </c>
      <c r="F1977" s="3" t="s">
        <v>5902</v>
      </c>
      <c r="G1977" s="3">
        <v>1.0</v>
      </c>
      <c r="H1977" s="3">
        <v>0.0</v>
      </c>
      <c r="I1977" s="3" t="s">
        <v>13</v>
      </c>
      <c r="J1977" s="3" t="s">
        <v>5903</v>
      </c>
      <c r="K1977" s="3" t="s">
        <v>131</v>
      </c>
      <c r="L1977" s="3" t="str">
        <f>IFERROR(__xludf.DUMMYFUNCTION("GOOGLETRANSLATE(F1977,""id"",""en"")"),"Anyone wins the world, the World Cup final is excited about Argentina French, Gokillll, I can only say that you are the best crazy, dahhh")</f>
        <v>Anyone wins the world, the World Cup final is excited about Argentina French, Gokillll, I can only say that you are the best crazy, dahhh</v>
      </c>
    </row>
    <row r="1978" ht="15.75" customHeight="1">
      <c r="A1978" s="1">
        <v>1984.0</v>
      </c>
      <c r="B1978" s="3" t="s">
        <v>5904</v>
      </c>
      <c r="C1978" s="3">
        <v>0.0</v>
      </c>
      <c r="D1978" s="3">
        <v>0.0</v>
      </c>
      <c r="E1978" s="3">
        <v>0.0</v>
      </c>
      <c r="F1978" s="3" t="s">
        <v>5905</v>
      </c>
      <c r="G1978" s="3">
        <v>1.0</v>
      </c>
      <c r="H1978" s="3">
        <v>0.0</v>
      </c>
      <c r="I1978" s="3" t="s">
        <v>13</v>
      </c>
      <c r="J1978" s="3" t="s">
        <v>5906</v>
      </c>
      <c r="K1978" s="3" t="s">
        <v>41</v>
      </c>
      <c r="L1978" s="3" t="str">
        <f>IFERROR(__xludf.DUMMYFUNCTION("GOOGLETRANSLATE(F1978,""id"",""en"")"),"Don't tell the kid's square, the GERA World Cup Final Penalty")</f>
        <v>Don't tell the kid's square, the GERA World Cup Final Penalty</v>
      </c>
    </row>
    <row r="1979" ht="15.75" customHeight="1">
      <c r="A1979" s="1">
        <v>1985.0</v>
      </c>
      <c r="B1979" s="3" t="s">
        <v>5907</v>
      </c>
      <c r="C1979" s="3">
        <v>0.0</v>
      </c>
      <c r="D1979" s="3">
        <v>0.0</v>
      </c>
      <c r="E1979" s="3">
        <v>1.0</v>
      </c>
      <c r="F1979" s="3" t="s">
        <v>5908</v>
      </c>
      <c r="G1979" s="3">
        <v>1.0</v>
      </c>
      <c r="H1979" s="3">
        <v>0.0</v>
      </c>
      <c r="I1979" s="3" t="s">
        <v>13</v>
      </c>
      <c r="J1979" s="3" t="s">
        <v>5909</v>
      </c>
      <c r="K1979" s="3" t="s">
        <v>50</v>
      </c>
      <c r="L1979" s="3" t="str">
        <f>IFERROR(__xludf.DUMMYFUNCTION("GOOGLETRANSLATE(F1979,""id"",""en"")"),"Pasaman Police Chief Holds the World Cup Nobar Final with Stocks and Togetherness")</f>
        <v>Pasaman Police Chief Holds the World Cup Nobar Final with Stocks and Togetherness</v>
      </c>
    </row>
    <row r="1980" ht="15.75" customHeight="1">
      <c r="A1980" s="1">
        <v>1986.0</v>
      </c>
      <c r="B1980" s="3" t="s">
        <v>5910</v>
      </c>
      <c r="C1980" s="3">
        <v>0.0</v>
      </c>
      <c r="D1980" s="3">
        <v>0.0</v>
      </c>
      <c r="E1980" s="3">
        <v>0.0</v>
      </c>
      <c r="F1980" s="3" t="s">
        <v>5911</v>
      </c>
      <c r="G1980" s="3">
        <v>1.0</v>
      </c>
      <c r="H1980" s="3">
        <v>0.0</v>
      </c>
      <c r="I1980" s="3" t="s">
        <v>13</v>
      </c>
      <c r="J1980" s="3" t="s">
        <v>5912</v>
      </c>
      <c r="K1980" s="3" t="s">
        <v>437</v>
      </c>
      <c r="L1980" s="3" t="str">
        <f>IFERROR(__xludf.DUMMYFUNCTION("GOOGLETRANSLATE(F1980,""id"",""en"")"),"Supporters complained about the name Lionel Messi when the Argentine star appeared in the World Cup final match against Argentina")</f>
        <v>Supporters complained about the name Lionel Messi when the Argentine star appeared in the World Cup final match against Argentina</v>
      </c>
    </row>
    <row r="1981" ht="15.75" customHeight="1">
      <c r="A1981" s="1">
        <v>1987.0</v>
      </c>
      <c r="B1981" s="3" t="s">
        <v>5913</v>
      </c>
      <c r="C1981" s="3">
        <v>0.0</v>
      </c>
      <c r="D1981" s="3">
        <v>0.0</v>
      </c>
      <c r="E1981" s="3">
        <v>0.0</v>
      </c>
      <c r="F1981" s="3" t="s">
        <v>5914</v>
      </c>
      <c r="G1981" s="3">
        <v>1.0</v>
      </c>
      <c r="H1981" s="3">
        <v>0.0</v>
      </c>
      <c r="I1981" s="3" t="s">
        <v>13</v>
      </c>
      <c r="J1981" s="3" t="s">
        <v>5915</v>
      </c>
      <c r="K1981" s="3" t="s">
        <v>41</v>
      </c>
      <c r="L1981" s="3" t="str">
        <f>IFERROR(__xludf.DUMMYFUNCTION("GOOGLETRANSLATE(F1981,""id"",""en"")"),"Penalty Link Streaming Free Argentina French World Cup Final")</f>
        <v>Penalty Link Streaming Free Argentina French World Cup Final</v>
      </c>
    </row>
    <row r="1982" ht="15.75" customHeight="1">
      <c r="A1982" s="1">
        <v>1988.0</v>
      </c>
      <c r="B1982" s="3" t="s">
        <v>5916</v>
      </c>
      <c r="C1982" s="3">
        <v>0.0</v>
      </c>
      <c r="D1982" s="3">
        <v>0.0</v>
      </c>
      <c r="E1982" s="3">
        <v>0.0</v>
      </c>
      <c r="F1982" s="3" t="s">
        <v>5917</v>
      </c>
      <c r="G1982" s="3">
        <v>1.0</v>
      </c>
      <c r="H1982" s="3">
        <v>0.0</v>
      </c>
      <c r="I1982" s="3" t="s">
        <v>13</v>
      </c>
      <c r="J1982" s="3" t="s">
        <v>5918</v>
      </c>
      <c r="K1982" s="3" t="s">
        <v>54</v>
      </c>
      <c r="L1982" s="3" t="str">
        <f>IFERROR(__xludf.DUMMYFUNCTION("GOOGLETRANSLATE(F1982,""id"",""en"")"),"indeed these two teams are worth the World Cup Final")</f>
        <v>indeed these two teams are worth the World Cup Final</v>
      </c>
    </row>
    <row r="1983" ht="15.75" customHeight="1">
      <c r="A1983" s="1">
        <v>1989.0</v>
      </c>
      <c r="B1983" s="3" t="s">
        <v>5919</v>
      </c>
      <c r="C1983" s="3">
        <v>0.0</v>
      </c>
      <c r="D1983" s="3">
        <v>0.0</v>
      </c>
      <c r="E1983" s="3">
        <v>0.0</v>
      </c>
      <c r="F1983" s="3" t="s">
        <v>5920</v>
      </c>
      <c r="G1983" s="3">
        <v>1.0</v>
      </c>
      <c r="H1983" s="3">
        <v>0.0</v>
      </c>
      <c r="I1983" s="3" t="s">
        <v>13</v>
      </c>
      <c r="J1983" s="3" t="s">
        <v>5921</v>
      </c>
      <c r="K1983" s="3" t="s">
        <v>54</v>
      </c>
      <c r="L1983" s="3" t="str">
        <f>IFERROR(__xludf.DUMMYFUNCTION("GOOGLETRANSLATE(F1983,""id"",""en"")"),"The final of the World Cup final is very exciting")</f>
        <v>The final of the World Cup final is very exciting</v>
      </c>
    </row>
    <row r="1984" ht="15.75" customHeight="1">
      <c r="A1984" s="1">
        <v>1990.0</v>
      </c>
      <c r="B1984" s="3" t="s">
        <v>5922</v>
      </c>
      <c r="C1984" s="3">
        <v>1.0</v>
      </c>
      <c r="D1984" s="3">
        <v>20.0</v>
      </c>
      <c r="E1984" s="3">
        <v>32.0</v>
      </c>
      <c r="F1984" s="3" t="s">
        <v>5923</v>
      </c>
      <c r="G1984" s="3">
        <v>1.0</v>
      </c>
      <c r="H1984" s="3">
        <v>0.0</v>
      </c>
      <c r="I1984" s="3" t="s">
        <v>13</v>
      </c>
      <c r="J1984" s="3" t="s">
        <v>5924</v>
      </c>
      <c r="K1984" s="3" t="s">
        <v>31</v>
      </c>
      <c r="L1984" s="3" t="str">
        <f>IFERROR(__xludf.DUMMYFUNCTION("GOOGLETRANSLATE(F1984,""id"",""en"")"),"World Cup Final in a photo")</f>
        <v>World Cup Final in a photo</v>
      </c>
    </row>
    <row r="1985" ht="15.75" customHeight="1">
      <c r="A1985" s="1">
        <v>1991.0</v>
      </c>
      <c r="B1985" s="3" t="s">
        <v>5925</v>
      </c>
      <c r="C1985" s="3">
        <v>0.0</v>
      </c>
      <c r="D1985" s="3">
        <v>0.0</v>
      </c>
      <c r="E1985" s="3">
        <v>1.0</v>
      </c>
      <c r="F1985" s="3" t="s">
        <v>5911</v>
      </c>
      <c r="G1985" s="3">
        <v>1.0</v>
      </c>
      <c r="H1985" s="3">
        <v>0.0</v>
      </c>
      <c r="I1985" s="3" t="s">
        <v>13</v>
      </c>
      <c r="J1985" s="3" t="s">
        <v>5912</v>
      </c>
      <c r="K1985" s="3" t="s">
        <v>437</v>
      </c>
      <c r="L1985" s="3" t="str">
        <f>IFERROR(__xludf.DUMMYFUNCTION("GOOGLETRANSLATE(F1985,""id"",""en"")"),"Supporters complained about the name Lionel Messi when the Argentine star appeared in the World Cup final match against Argentina")</f>
        <v>Supporters complained about the name Lionel Messi when the Argentine star appeared in the World Cup final match against Argentina</v>
      </c>
    </row>
    <row r="1986" ht="15.75" customHeight="1">
      <c r="A1986" s="1">
        <v>1992.0</v>
      </c>
      <c r="B1986" s="3" t="s">
        <v>5926</v>
      </c>
      <c r="C1986" s="3">
        <v>0.0</v>
      </c>
      <c r="D1986" s="3">
        <v>0.0</v>
      </c>
      <c r="E1986" s="3">
        <v>0.0</v>
      </c>
      <c r="F1986" s="3" t="s">
        <v>5927</v>
      </c>
      <c r="G1986" s="3">
        <v>0.75</v>
      </c>
      <c r="H1986" s="3">
        <v>0.06818181818181818</v>
      </c>
      <c r="I1986" s="3" t="s">
        <v>48</v>
      </c>
      <c r="J1986" s="3" t="s">
        <v>5928</v>
      </c>
      <c r="K1986" s="3" t="s">
        <v>657</v>
      </c>
      <c r="L1986" s="3" t="str">
        <f>IFERROR(__xludf.DUMMYFUNCTION("GOOGLETRANSLATE(F1986,""id"",""en"")"),"Argentina France live streaming predictions of the composition of players and the latest news of the World Cup Final Final Sports News")</f>
        <v>Argentina France live streaming predictions of the composition of players and the latest news of the World Cup Final Final Sports News</v>
      </c>
    </row>
    <row r="1987" ht="15.75" customHeight="1">
      <c r="A1987" s="1">
        <v>1993.0</v>
      </c>
      <c r="B1987" s="3" t="s">
        <v>5929</v>
      </c>
      <c r="C1987" s="3">
        <v>1.0</v>
      </c>
      <c r="D1987" s="3">
        <v>0.0</v>
      </c>
      <c r="E1987" s="3">
        <v>0.0</v>
      </c>
      <c r="F1987" s="3" t="s">
        <v>5930</v>
      </c>
      <c r="G1987" s="3">
        <v>0.825</v>
      </c>
      <c r="H1987" s="3">
        <v>0.075</v>
      </c>
      <c r="I1987" s="3" t="s">
        <v>48</v>
      </c>
      <c r="J1987" s="3" t="s">
        <v>5931</v>
      </c>
      <c r="K1987" s="3" t="s">
        <v>2907</v>
      </c>
      <c r="L1987" s="3" t="str">
        <f>IFERROR(__xludf.DUMMYFUNCTION("GOOGLETRANSLATE(F1987,""id"",""en"")"),"The World Cup Final with the most penalty has normal time, additional time there is another drama shootout")</f>
        <v>The World Cup Final with the most penalty has normal time, additional time there is another drama shootout</v>
      </c>
    </row>
    <row r="1988" ht="15.75" customHeight="1">
      <c r="A1988" s="1">
        <v>1994.0</v>
      </c>
      <c r="B1988" s="3" t="s">
        <v>5932</v>
      </c>
      <c r="C1988" s="3">
        <v>0.0</v>
      </c>
      <c r="D1988" s="3">
        <v>0.0</v>
      </c>
      <c r="E1988" s="3">
        <v>0.0</v>
      </c>
      <c r="F1988" s="3" t="s">
        <v>5933</v>
      </c>
      <c r="G1988" s="3">
        <v>1.0</v>
      </c>
      <c r="H1988" s="3">
        <v>0.0</v>
      </c>
      <c r="I1988" s="3" t="s">
        <v>13</v>
      </c>
      <c r="J1988" s="3" t="s">
        <v>5934</v>
      </c>
      <c r="K1988" s="3" t="s">
        <v>75</v>
      </c>
      <c r="L1988" s="3" t="str">
        <f>IFERROR(__xludf.DUMMYFUNCTION("GOOGLETRANSLATE(F1988,""id"",""en"")"),"Throughout the KEK World Cup event, the final var Kaga was used")</f>
        <v>Throughout the KEK World Cup event, the final var Kaga was used</v>
      </c>
    </row>
    <row r="1989" ht="15.75" customHeight="1">
      <c r="A1989" s="1">
        <v>1995.0</v>
      </c>
      <c r="B1989" s="3" t="s">
        <v>5935</v>
      </c>
      <c r="C1989" s="3">
        <v>0.0</v>
      </c>
      <c r="D1989" s="3">
        <v>0.0</v>
      </c>
      <c r="E1989" s="3">
        <v>0.0</v>
      </c>
      <c r="F1989" s="3" t="s">
        <v>5936</v>
      </c>
      <c r="G1989" s="3">
        <v>0.7</v>
      </c>
      <c r="H1989" s="3">
        <v>0.05</v>
      </c>
      <c r="I1989" s="3" t="s">
        <v>48</v>
      </c>
      <c r="J1989" s="3" t="s">
        <v>5937</v>
      </c>
      <c r="K1989" s="3" t="s">
        <v>54</v>
      </c>
      <c r="L1989" s="3" t="str">
        <f>IFERROR(__xludf.DUMMYFUNCTION("GOOGLETRANSLATE(F1989,""id"",""en"")"),"ter epic, the world cup is oathhh")</f>
        <v>ter epic, the world cup is oathhh</v>
      </c>
    </row>
    <row r="1990" ht="15.75" customHeight="1">
      <c r="A1990" s="1">
        <v>1996.0</v>
      </c>
      <c r="B1990" s="3" t="s">
        <v>5938</v>
      </c>
      <c r="C1990" s="3">
        <v>0.0</v>
      </c>
      <c r="D1990" s="3">
        <v>0.0</v>
      </c>
      <c r="E1990" s="3">
        <v>4.0</v>
      </c>
      <c r="F1990" s="3" t="s">
        <v>5939</v>
      </c>
      <c r="G1990" s="3">
        <v>1.0</v>
      </c>
      <c r="H1990" s="3">
        <v>0.0</v>
      </c>
      <c r="I1990" s="3" t="s">
        <v>13</v>
      </c>
      <c r="J1990" s="3" t="s">
        <v>5940</v>
      </c>
      <c r="K1990" s="3" t="s">
        <v>3156</v>
      </c>
      <c r="L1990" s="3" t="str">
        <f>IFERROR(__xludf.DUMMYFUNCTION("GOOGLETRANSLATE(F1990,""id"",""en"")"),"Until the first half, the Final World Cup Final was still the French Final Italia entered the second half this crazy crazy")</f>
        <v>Until the first half, the Final World Cup Final was still the French Final Italia entered the second half this crazy crazy</v>
      </c>
    </row>
    <row r="1991" ht="15.75" customHeight="1">
      <c r="A1991" s="1">
        <v>1997.0</v>
      </c>
      <c r="B1991" s="3" t="s">
        <v>5941</v>
      </c>
      <c r="C1991" s="3">
        <v>0.0</v>
      </c>
      <c r="D1991" s="3">
        <v>0.0</v>
      </c>
      <c r="E1991" s="3">
        <v>0.0</v>
      </c>
      <c r="F1991" s="3" t="s">
        <v>5942</v>
      </c>
      <c r="G1991" s="3">
        <v>1.0</v>
      </c>
      <c r="H1991" s="3">
        <v>0.0</v>
      </c>
      <c r="I1991" s="3" t="s">
        <v>13</v>
      </c>
      <c r="J1991" s="3" t="s">
        <v>5943</v>
      </c>
      <c r="K1991" s="3" t="s">
        <v>41</v>
      </c>
      <c r="L1991" s="3" t="str">
        <f>IFERROR(__xludf.DUMMYFUNCTION("GOOGLETRANSLATE(F1991,""id"",""en"")"),"Kylian Mbappe Print Nbsp Hattrick Final of the Qatar World Cup")</f>
        <v>Kylian Mbappe Print Nbsp Hattrick Final of the Qatar World Cup</v>
      </c>
    </row>
    <row r="1992" ht="15.75" customHeight="1">
      <c r="A1992" s="1">
        <v>1998.0</v>
      </c>
      <c r="B1992" s="3" t="s">
        <v>5944</v>
      </c>
      <c r="C1992" s="3">
        <v>0.0</v>
      </c>
      <c r="D1992" s="3">
        <v>0.0</v>
      </c>
      <c r="E1992" s="3">
        <v>0.0</v>
      </c>
      <c r="F1992" s="3" t="s">
        <v>5945</v>
      </c>
      <c r="G1992" s="3">
        <v>1.0</v>
      </c>
      <c r="H1992" s="3">
        <v>0.0</v>
      </c>
      <c r="I1992" s="3" t="s">
        <v>13</v>
      </c>
      <c r="J1992" s="3" t="s">
        <v>5946</v>
      </c>
      <c r="K1992" s="3" t="s">
        <v>35</v>
      </c>
      <c r="L1992" s="3" t="str">
        <f>IFERROR(__xludf.DUMMYFUNCTION("GOOGLETRANSLATE(F1992,""id"",""en"")"),"indeed Sek by Melu Gayeng enjoy the final of the World Cup Muk Sek Dong Bal")</f>
        <v>indeed Sek by Melu Gayeng enjoy the final of the World Cup Muk Sek Dong Bal</v>
      </c>
    </row>
    <row r="1993" ht="15.75" customHeight="1">
      <c r="A1993" s="1">
        <v>1999.0</v>
      </c>
      <c r="B1993" s="3" t="s">
        <v>5947</v>
      </c>
      <c r="C1993" s="3">
        <v>0.0</v>
      </c>
      <c r="D1993" s="3">
        <v>0.0</v>
      </c>
      <c r="E1993" s="3">
        <v>0.0</v>
      </c>
      <c r="F1993" s="3" t="s">
        <v>5948</v>
      </c>
      <c r="G1993" s="3">
        <v>1.0</v>
      </c>
      <c r="H1993" s="3">
        <v>0.0</v>
      </c>
      <c r="I1993" s="3" t="s">
        <v>13</v>
      </c>
      <c r="J1993" s="3" t="s">
        <v>5949</v>
      </c>
      <c r="K1993" s="3" t="s">
        <v>433</v>
      </c>
      <c r="L1993" s="3" t="str">
        <f>IFERROR(__xludf.DUMMYFUNCTION("GOOGLETRANSLATE(F1993,""id"",""en"")"),"This year's Pildun Final Gilak is very tense, hopefully Argentina holds this year's World Cup")</f>
        <v>This year's Pildun Final Gilak is very tense, hopefully Argentina holds this year's World Cup</v>
      </c>
    </row>
    <row r="1994" ht="15.75" customHeight="1">
      <c r="A1994" s="1">
        <v>2000.0</v>
      </c>
      <c r="B1994" s="3" t="s">
        <v>5950</v>
      </c>
      <c r="C1994" s="3">
        <v>0.0</v>
      </c>
      <c r="D1994" s="3">
        <v>0.0</v>
      </c>
      <c r="E1994" s="3">
        <v>2.0</v>
      </c>
      <c r="F1994" s="3" t="s">
        <v>5951</v>
      </c>
      <c r="G1994" s="3">
        <v>1.0</v>
      </c>
      <c r="H1994" s="3">
        <v>0.0</v>
      </c>
      <c r="I1994" s="3" t="s">
        <v>13</v>
      </c>
      <c r="J1994" s="3" t="s">
        <v>5952</v>
      </c>
      <c r="K1994" s="3" t="s">
        <v>15</v>
      </c>
      <c r="L1994" s="3" t="str">
        <f>IFERROR(__xludf.DUMMYFUNCTION("GOOGLETRANSLATE(F1994,""id"",""en"")"),"Watching the World Cup final is actually not good for the heart")</f>
        <v>Watching the World Cup final is actually not good for the heart</v>
      </c>
    </row>
    <row r="1995" ht="15.75" customHeight="1">
      <c r="A1995" s="1">
        <v>2001.0</v>
      </c>
      <c r="B1995" s="3" t="s">
        <v>5953</v>
      </c>
      <c r="C1995" s="3">
        <v>0.0</v>
      </c>
      <c r="D1995" s="3">
        <v>0.0</v>
      </c>
      <c r="E1995" s="3">
        <v>1.0</v>
      </c>
      <c r="F1995" s="3" t="s">
        <v>5954</v>
      </c>
      <c r="G1995" s="3">
        <v>1.0</v>
      </c>
      <c r="H1995" s="3">
        <v>0.0</v>
      </c>
      <c r="I1995" s="3" t="s">
        <v>13</v>
      </c>
      <c r="J1995" s="3" t="s">
        <v>5955</v>
      </c>
      <c r="K1995" s="3" t="s">
        <v>172</v>
      </c>
      <c r="L1995" s="3" t="str">
        <f>IFERROR(__xludf.DUMMYFUNCTION("GOOGLETRANSLATE(F1995,""id"",""en"")"),"Alhamdulillah, Bekasi's video was smooth during watching the World Cup from the year, this is the most spectacular final round of the standing ovation for all Argentine and France players so enthusiastic")</f>
        <v>Alhamdulillah, Bekasi's video was smooth during watching the World Cup from the year, this is the most spectacular final round of the standing ovation for all Argentine and France players so enthusiastic</v>
      </c>
    </row>
    <row r="1996" ht="15.75" customHeight="1">
      <c r="A1996" s="1">
        <v>2002.0</v>
      </c>
      <c r="B1996" s="3" t="s">
        <v>5956</v>
      </c>
      <c r="C1996" s="3">
        <v>0.0</v>
      </c>
      <c r="D1996" s="3">
        <v>1.0</v>
      </c>
      <c r="E1996" s="3">
        <v>5.0</v>
      </c>
      <c r="F1996" s="3" t="s">
        <v>5957</v>
      </c>
      <c r="G1996" s="3">
        <v>1.0</v>
      </c>
      <c r="H1996" s="3">
        <v>0.0</v>
      </c>
      <c r="I1996" s="3" t="s">
        <v>13</v>
      </c>
      <c r="J1996" s="3" t="s">
        <v>5958</v>
      </c>
      <c r="K1996" s="3" t="s">
        <v>54</v>
      </c>
      <c r="L1996" s="3" t="str">
        <f>IFERROR(__xludf.DUMMYFUNCTION("GOOGLETRANSLATE(F1996,""id"",""en"")"),"Mbappe scored the World Cup final goal")</f>
        <v>Mbappe scored the World Cup final goal</v>
      </c>
    </row>
    <row r="1997" ht="15.75" customHeight="1">
      <c r="A1997" s="1">
        <v>2003.0</v>
      </c>
      <c r="B1997" s="3" t="s">
        <v>5959</v>
      </c>
      <c r="C1997" s="3">
        <v>0.0</v>
      </c>
      <c r="D1997" s="3">
        <v>0.0</v>
      </c>
      <c r="E1997" s="3">
        <v>0.0</v>
      </c>
      <c r="F1997" s="3" t="s">
        <v>5960</v>
      </c>
      <c r="G1997" s="3">
        <v>1.0</v>
      </c>
      <c r="H1997" s="3">
        <v>0.0</v>
      </c>
      <c r="I1997" s="3" t="s">
        <v>13</v>
      </c>
      <c r="J1997" s="3" t="s">
        <v>5961</v>
      </c>
      <c r="K1997" s="3" t="s">
        <v>82</v>
      </c>
      <c r="L1997" s="3" t="str">
        <f>IFERROR(__xludf.DUMMYFUNCTION("GOOGLETRANSLATE(F1997,""id"",""en"")"),"Anjrittt World Cup Final This Time Full of Drama")</f>
        <v>Anjrittt World Cup Final This Time Full of Drama</v>
      </c>
    </row>
    <row r="1998" ht="15.75" customHeight="1">
      <c r="A1998" s="1">
        <v>2004.0</v>
      </c>
      <c r="B1998" s="3" t="s">
        <v>5962</v>
      </c>
      <c r="C1998" s="3">
        <v>0.0</v>
      </c>
      <c r="D1998" s="3">
        <v>0.0</v>
      </c>
      <c r="E1998" s="3">
        <v>0.0</v>
      </c>
      <c r="F1998" s="3" t="s">
        <v>5963</v>
      </c>
      <c r="G1998" s="3">
        <v>1.0</v>
      </c>
      <c r="H1998" s="3">
        <v>0.0</v>
      </c>
      <c r="I1998" s="3" t="s">
        <v>13</v>
      </c>
      <c r="J1998" s="3" t="s">
        <v>5964</v>
      </c>
      <c r="K1998" s="3" t="s">
        <v>358</v>
      </c>
      <c r="L1998" s="3" t="str">
        <f>IFERROR(__xludf.DUMMYFUNCTION("GOOGLETRANSLATE(F1998,""id"",""en"")"),"Starting with the news of the most quiet World Cup and the song did not echo too much closed with the Final of the Best World Cup with all its surprises and controversy")</f>
        <v>Starting with the news of the most quiet World Cup and the song did not echo too much closed with the Final of the Best World Cup with all its surprises and controversy</v>
      </c>
    </row>
    <row r="1999" ht="15.75" customHeight="1">
      <c r="A1999" s="1">
        <v>2005.0</v>
      </c>
      <c r="B1999" s="3" t="s">
        <v>5965</v>
      </c>
      <c r="C1999" s="3">
        <v>0.0</v>
      </c>
      <c r="D1999" s="3">
        <v>0.0</v>
      </c>
      <c r="E1999" s="3">
        <v>0.0</v>
      </c>
      <c r="F1999" s="3" t="s">
        <v>5966</v>
      </c>
      <c r="G1999" s="3">
        <v>1.0</v>
      </c>
      <c r="H1999" s="3">
        <v>0.0</v>
      </c>
      <c r="I1999" s="3" t="s">
        <v>13</v>
      </c>
      <c r="J1999" s="3" t="s">
        <v>5967</v>
      </c>
      <c r="K1999" s="3" t="s">
        <v>75</v>
      </c>
      <c r="L1999" s="3" t="str">
        <f>IFERROR(__xludf.DUMMYFUNCTION("GOOGLETRANSLATE(F1999,""id"",""en"")"),"The Record of Geoff Hurst as one of the final matrick match printers was finally thwarted by")</f>
        <v>The Record of Geoff Hurst as one of the final matrick match printers was finally thwarted by</v>
      </c>
    </row>
    <row r="2000" ht="15.75" customHeight="1">
      <c r="A2000" s="1">
        <v>2006.0</v>
      </c>
      <c r="B2000" s="3" t="s">
        <v>5968</v>
      </c>
      <c r="C2000" s="3">
        <v>1.0</v>
      </c>
      <c r="D2000" s="3">
        <v>0.0</v>
      </c>
      <c r="E2000" s="3">
        <v>1.0</v>
      </c>
      <c r="F2000" s="3" t="s">
        <v>5969</v>
      </c>
      <c r="G2000" s="3">
        <v>1.0</v>
      </c>
      <c r="H2000" s="3">
        <v>0.0</v>
      </c>
      <c r="I2000" s="3" t="s">
        <v>13</v>
      </c>
      <c r="J2000" s="3" t="s">
        <v>5970</v>
      </c>
      <c r="K2000" s="3" t="s">
        <v>1265</v>
      </c>
      <c r="L2000" s="3" t="str">
        <f>IFERROR(__xludf.DUMMYFUNCTION("GOOGLETRANSLATE(F2000,""id"",""en"")"),"Argentine French penalties see the French Argentine World Cup final through")</f>
        <v>Argentine French penalties see the French Argentine World Cup final through</v>
      </c>
    </row>
    <row r="2001" ht="15.75" customHeight="1">
      <c r="A2001" s="1">
        <v>2007.0</v>
      </c>
      <c r="B2001" s="3" t="s">
        <v>5971</v>
      </c>
      <c r="C2001" s="3">
        <v>0.0</v>
      </c>
      <c r="D2001" s="3">
        <v>0.0</v>
      </c>
      <c r="E2001" s="3">
        <v>0.0</v>
      </c>
      <c r="F2001" s="3" t="s">
        <v>5972</v>
      </c>
      <c r="G2001" s="3">
        <v>1.0</v>
      </c>
      <c r="H2001" s="3">
        <v>0.0</v>
      </c>
      <c r="I2001" s="3" t="s">
        <v>13</v>
      </c>
      <c r="J2001" s="3" t="s">
        <v>5973</v>
      </c>
      <c r="K2001" s="3" t="s">
        <v>682</v>
      </c>
      <c r="L2001" s="3" t="str">
        <f>IFERROR(__xludf.DUMMYFUNCTION("GOOGLETRANSLATE(F2001,""id"",""en"")"),"Final Penalty Messi Mbappe The Best World Cup Final for Messi Keknya is very unfortunate if he never champions the World Cup because he wishes to get a world cup but if France champion means a new legend appears identical with Pele")</f>
        <v>Final Penalty Messi Mbappe The Best World Cup Final for Messi Keknya is very unfortunate if he never champions the World Cup because he wishes to get a world cup but if France champion means a new legend appears identical with Pele</v>
      </c>
    </row>
    <row r="2002" ht="15.75" customHeight="1">
      <c r="A2002" s="1">
        <v>2008.0</v>
      </c>
      <c r="B2002" s="3" t="s">
        <v>5974</v>
      </c>
      <c r="C2002" s="3">
        <v>0.0</v>
      </c>
      <c r="D2002" s="3">
        <v>0.0</v>
      </c>
      <c r="E2002" s="3">
        <v>0.0</v>
      </c>
      <c r="F2002" s="3" t="s">
        <v>4635</v>
      </c>
      <c r="G2002" s="3">
        <v>1.0</v>
      </c>
      <c r="H2002" s="3">
        <v>0.0</v>
      </c>
      <c r="I2002" s="3" t="s">
        <v>13</v>
      </c>
      <c r="J2002" s="3" t="s">
        <v>2925</v>
      </c>
      <c r="K2002" s="3" t="s">
        <v>31</v>
      </c>
      <c r="L2002" s="3" t="str">
        <f>IFERROR(__xludf.DUMMYFUNCTION("GOOGLETRANSLATE(F2002,""id"",""en"")"),"The Best World Cup Final ever")</f>
        <v>The Best World Cup Final ever</v>
      </c>
    </row>
    <row r="2003" ht="15.75" customHeight="1">
      <c r="A2003" s="1">
        <v>2009.0</v>
      </c>
      <c r="B2003" s="3" t="s">
        <v>5975</v>
      </c>
      <c r="C2003" s="3">
        <v>0.0</v>
      </c>
      <c r="D2003" s="3">
        <v>0.0</v>
      </c>
      <c r="E2003" s="3">
        <v>2.0</v>
      </c>
      <c r="F2003" s="3" t="s">
        <v>5976</v>
      </c>
      <c r="G2003" s="3">
        <v>1.0</v>
      </c>
      <c r="H2003" s="3">
        <v>0.0</v>
      </c>
      <c r="I2003" s="3" t="s">
        <v>13</v>
      </c>
      <c r="J2003" s="3" t="s">
        <v>5977</v>
      </c>
      <c r="K2003" s="3" t="s">
        <v>1293</v>
      </c>
      <c r="L2003" s="3" t="str">
        <f>IFERROR(__xludf.DUMMYFUNCTION("GOOGLETRANSLATE(F2003,""id"",""en"")"),"I think the World Cup final tonight is really hot, actually I also watch it, but what can I do for me too")</f>
        <v>I think the World Cup final tonight is really hot, actually I also watch it, but what can I do for me too</v>
      </c>
    </row>
    <row r="2004" ht="15.75" customHeight="1">
      <c r="A2004" s="1">
        <v>2010.0</v>
      </c>
      <c r="B2004" s="3" t="s">
        <v>5978</v>
      </c>
      <c r="C2004" s="3">
        <v>0.0</v>
      </c>
      <c r="D2004" s="3">
        <v>0.0</v>
      </c>
      <c r="E2004" s="3">
        <v>0.0</v>
      </c>
      <c r="F2004" s="3" t="s">
        <v>5979</v>
      </c>
      <c r="G2004" s="3">
        <v>1.0</v>
      </c>
      <c r="H2004" s="3">
        <v>0.0</v>
      </c>
      <c r="I2004" s="3" t="s">
        <v>13</v>
      </c>
      <c r="J2004" s="3" t="s">
        <v>5980</v>
      </c>
      <c r="K2004" s="3" t="s">
        <v>322</v>
      </c>
      <c r="L2004" s="3" t="str">
        <f>IFERROR(__xludf.DUMMYFUNCTION("GOOGLETRANSLATE(F2004,""id"",""en"")"),"Korean Drama Drama Final World Cup")</f>
        <v>Korean Drama Drama Final World Cup</v>
      </c>
    </row>
    <row r="2005" ht="15.75" customHeight="1">
      <c r="A2005" s="1">
        <v>2011.0</v>
      </c>
      <c r="B2005" s="3" t="s">
        <v>5981</v>
      </c>
      <c r="C2005" s="3">
        <v>0.0</v>
      </c>
      <c r="D2005" s="3">
        <v>0.0</v>
      </c>
      <c r="E2005" s="3">
        <v>1.0</v>
      </c>
      <c r="F2005" s="3" t="s">
        <v>5982</v>
      </c>
      <c r="G2005" s="3">
        <v>0.7666666666666666</v>
      </c>
      <c r="H2005" s="3">
        <v>0.3333333333333333</v>
      </c>
      <c r="I2005" s="3" t="s">
        <v>48</v>
      </c>
      <c r="J2005" s="3" t="s">
        <v>5983</v>
      </c>
      <c r="K2005" s="3" t="s">
        <v>35</v>
      </c>
      <c r="L2005" s="3" t="str">
        <f>IFERROR(__xludf.DUMMYFUNCTION("GOOGLETRANSLATE(F2005,""id"",""en"")"),"What Final The Best Final of the Best World Cup During Watching Cuk Heuheuheu")</f>
        <v>What Final The Best Final of the Best World Cup During Watching Cuk Heuheuheu</v>
      </c>
    </row>
    <row r="2006" ht="15.75" customHeight="1">
      <c r="A2006" s="1">
        <v>2012.0</v>
      </c>
      <c r="B2006" s="3" t="s">
        <v>5984</v>
      </c>
      <c r="C2006" s="3">
        <v>0.0</v>
      </c>
      <c r="D2006" s="3">
        <v>0.0</v>
      </c>
      <c r="E2006" s="3">
        <v>0.0</v>
      </c>
      <c r="F2006" s="3" t="s">
        <v>5985</v>
      </c>
      <c r="G2006" s="3">
        <v>1.0</v>
      </c>
      <c r="H2006" s="3">
        <v>0.0</v>
      </c>
      <c r="I2006" s="3" t="s">
        <v>13</v>
      </c>
      <c r="J2006" s="3" t="s">
        <v>5986</v>
      </c>
      <c r="K2006" s="3" t="s">
        <v>657</v>
      </c>
      <c r="L2006" s="3" t="str">
        <f>IFERROR(__xludf.DUMMYFUNCTION("GOOGLETRANSLATE(F2006,""id"",""en"")"),"The World Cup is indeed the most interesting of the controversy of the superior drama karma in the fall and the final is really because of the two teams")</f>
        <v>The World Cup is indeed the most interesting of the controversy of the superior drama karma in the fall and the final is really because of the two teams</v>
      </c>
    </row>
    <row r="2007" ht="15.75" customHeight="1">
      <c r="A2007" s="1">
        <v>2013.0</v>
      </c>
      <c r="B2007" s="3" t="s">
        <v>5987</v>
      </c>
      <c r="C2007" s="3">
        <v>0.0</v>
      </c>
      <c r="D2007" s="3">
        <v>0.0</v>
      </c>
      <c r="E2007" s="3">
        <v>1.0</v>
      </c>
      <c r="F2007" s="3" t="s">
        <v>5988</v>
      </c>
      <c r="G2007" s="3">
        <v>1.0</v>
      </c>
      <c r="H2007" s="3">
        <v>0.0</v>
      </c>
      <c r="I2007" s="3" t="s">
        <v>13</v>
      </c>
      <c r="J2007" s="3" t="s">
        <v>5989</v>
      </c>
      <c r="K2007" s="3" t="s">
        <v>765</v>
      </c>
      <c r="L2007" s="3" t="str">
        <f>IFERROR(__xludf.DUMMYFUNCTION("GOOGLETRANSLATE(F2007,""id"",""en"")"),"The final match that is so great is full of energy while the results of the Argentine France match there is still a penalty to determine the victory of this world cup final can check your internet package if it runs out can refill mepay")</f>
        <v>The final match that is so great is full of energy while the results of the Argentine France match there is still a penalty to determine the victory of this world cup final can check your internet package if it runs out can refill mepay</v>
      </c>
    </row>
    <row r="2008" ht="15.75" customHeight="1">
      <c r="A2008" s="1">
        <v>2014.0</v>
      </c>
      <c r="B2008" s="3" t="s">
        <v>5990</v>
      </c>
      <c r="C2008" s="3">
        <v>1.0</v>
      </c>
      <c r="D2008" s="3">
        <v>0.0</v>
      </c>
      <c r="E2008" s="3">
        <v>1.0</v>
      </c>
      <c r="F2008" s="3" t="s">
        <v>5969</v>
      </c>
      <c r="G2008" s="3">
        <v>1.0</v>
      </c>
      <c r="H2008" s="3">
        <v>0.0</v>
      </c>
      <c r="I2008" s="3" t="s">
        <v>13</v>
      </c>
      <c r="J2008" s="3" t="s">
        <v>5970</v>
      </c>
      <c r="K2008" s="3" t="s">
        <v>1265</v>
      </c>
      <c r="L2008" s="3" t="str">
        <f>IFERROR(__xludf.DUMMYFUNCTION("GOOGLETRANSLATE(F2008,""id"",""en"")"),"Argentine French penalties see the French Argentine World Cup final through")</f>
        <v>Argentine French penalties see the French Argentine World Cup final through</v>
      </c>
    </row>
    <row r="2009" ht="15.75" customHeight="1">
      <c r="A2009" s="1">
        <v>2015.0</v>
      </c>
      <c r="B2009" s="3" t="s">
        <v>5991</v>
      </c>
      <c r="C2009" s="3">
        <v>0.0</v>
      </c>
      <c r="D2009" s="3">
        <v>9.0</v>
      </c>
      <c r="E2009" s="3">
        <v>20.0</v>
      </c>
      <c r="F2009" s="3" t="s">
        <v>5992</v>
      </c>
      <c r="G2009" s="3">
        <v>1.0</v>
      </c>
      <c r="H2009" s="3">
        <v>0.0</v>
      </c>
      <c r="I2009" s="3" t="s">
        <v>13</v>
      </c>
      <c r="J2009" s="3" t="s">
        <v>5993</v>
      </c>
      <c r="K2009" s="3" t="s">
        <v>149</v>
      </c>
      <c r="L2009" s="3" t="str">
        <f>IFERROR(__xludf.DUMMYFUNCTION("GOOGLETRANSLATE(F2009,""id"",""en"")"),"Mr. Boss and Buk Boss if there are employees rather late tomorrow morning, please understand the best world cup final being presented in front of the eyes")</f>
        <v>Mr. Boss and Buk Boss if there are employees rather late tomorrow morning, please understand the best world cup final being presented in front of the eyes</v>
      </c>
    </row>
    <row r="2010" ht="15.75" customHeight="1">
      <c r="A2010" s="1">
        <v>2016.0</v>
      </c>
      <c r="B2010" s="3" t="s">
        <v>5994</v>
      </c>
      <c r="C2010" s="3">
        <v>1.0</v>
      </c>
      <c r="D2010" s="3">
        <v>0.0</v>
      </c>
      <c r="E2010" s="3">
        <v>1.0</v>
      </c>
      <c r="F2010" s="3" t="s">
        <v>5995</v>
      </c>
      <c r="G2010" s="3">
        <v>0.7</v>
      </c>
      <c r="H2010" s="3">
        <v>0.05</v>
      </c>
      <c r="I2010" s="3" t="s">
        <v>48</v>
      </c>
      <c r="J2010" s="3" t="s">
        <v>5996</v>
      </c>
      <c r="K2010" s="3" t="s">
        <v>510</v>
      </c>
      <c r="L2010" s="3" t="str">
        <f>IFERROR(__xludf.DUMMYFUNCTION("GOOGLETRANSLATE(F2010,""id"",""en"")"),"Menset Messi and Mbappe there is a very epic drug of the World Cup Final this time")</f>
        <v>Menset Messi and Mbappe there is a very epic drug of the World Cup Final this time</v>
      </c>
    </row>
    <row r="2011" ht="15.75" customHeight="1">
      <c r="A2011" s="1">
        <v>2017.0</v>
      </c>
      <c r="B2011" s="3" t="s">
        <v>5997</v>
      </c>
      <c r="C2011" s="3">
        <v>0.0</v>
      </c>
      <c r="D2011" s="3">
        <v>0.0</v>
      </c>
      <c r="E2011" s="3">
        <v>0.0</v>
      </c>
      <c r="F2011" s="3" t="s">
        <v>5998</v>
      </c>
      <c r="G2011" s="3">
        <v>1.0</v>
      </c>
      <c r="H2011" s="3">
        <v>0.0</v>
      </c>
      <c r="I2011" s="3" t="s">
        <v>13</v>
      </c>
      <c r="J2011" s="3" t="s">
        <v>5999</v>
      </c>
      <c r="K2011" s="3" t="s">
        <v>715</v>
      </c>
      <c r="L2011" s="3" t="str">
        <f>IFERROR(__xludf.DUMMYFUNCTION("GOOGLETRANSLATE(F2011,""id"",""en"")"),"The World Cup Final is the most exciting World Cup final in the crazy history of extension of time.")</f>
        <v>The World Cup Final is the most exciting World Cup final in the crazy history of extension of time.</v>
      </c>
    </row>
    <row r="2012" ht="15.75" customHeight="1">
      <c r="A2012" s="1">
        <v>2018.0</v>
      </c>
      <c r="B2012" s="3" t="s">
        <v>6000</v>
      </c>
      <c r="C2012" s="3">
        <v>0.0</v>
      </c>
      <c r="D2012" s="3">
        <v>0.0</v>
      </c>
      <c r="E2012" s="3">
        <v>0.0</v>
      </c>
      <c r="F2012" s="3" t="s">
        <v>6001</v>
      </c>
      <c r="G2012" s="3">
        <v>1.0</v>
      </c>
      <c r="H2012" s="3">
        <v>0.0</v>
      </c>
      <c r="I2012" s="3" t="s">
        <v>13</v>
      </c>
      <c r="J2012" s="3" t="s">
        <v>6002</v>
      </c>
      <c r="K2012" s="3" t="s">
        <v>15</v>
      </c>
      <c r="L2012" s="3" t="str">
        <f>IFERROR(__xludf.DUMMYFUNCTION("GOOGLETRANSLATE(F2012,""id"",""en"")"),"Ngotu Pinalty Argentina France Final World Cup Qatar")</f>
        <v>Ngotu Pinalty Argentina France Final World Cup Qatar</v>
      </c>
    </row>
    <row r="2013" ht="15.75" customHeight="1">
      <c r="A2013" s="1">
        <v>2019.0</v>
      </c>
      <c r="B2013" s="3" t="s">
        <v>6003</v>
      </c>
      <c r="C2013" s="3">
        <v>0.0</v>
      </c>
      <c r="D2013" s="3">
        <v>0.0</v>
      </c>
      <c r="E2013" s="3">
        <v>0.0</v>
      </c>
      <c r="F2013" s="3" t="s">
        <v>6004</v>
      </c>
      <c r="G2013" s="3">
        <v>0.9166666666666667</v>
      </c>
      <c r="H2013" s="3">
        <v>0.2166666666666667</v>
      </c>
      <c r="I2013" s="3" t="s">
        <v>48</v>
      </c>
      <c r="J2013" s="3" t="s">
        <v>6005</v>
      </c>
      <c r="K2013" s="3" t="s">
        <v>75</v>
      </c>
      <c r="L2013" s="3" t="str">
        <f>IFERROR(__xludf.DUMMYFUNCTION("GOOGLETRANSLATE(F2013,""id"",""en"")"),"Penalty look easy with Leo even though the Ajikk World Cup final")</f>
        <v>Penalty look easy with Leo even though the Ajikk World Cup final</v>
      </c>
    </row>
    <row r="2014" ht="15.75" customHeight="1">
      <c r="A2014" s="1">
        <v>2020.0</v>
      </c>
      <c r="B2014" s="3" t="s">
        <v>6006</v>
      </c>
      <c r="C2014" s="3">
        <v>0.0</v>
      </c>
      <c r="D2014" s="3">
        <v>0.0</v>
      </c>
      <c r="E2014" s="3">
        <v>0.0</v>
      </c>
      <c r="F2014" s="3" t="s">
        <v>6007</v>
      </c>
      <c r="G2014" s="3">
        <v>1.0</v>
      </c>
      <c r="H2014" s="3">
        <v>0.0</v>
      </c>
      <c r="I2014" s="3" t="s">
        <v>13</v>
      </c>
      <c r="J2014" s="3" t="s">
        <v>6008</v>
      </c>
      <c r="K2014" s="3" t="s">
        <v>58</v>
      </c>
      <c r="L2014" s="3" t="str">
        <f>IFERROR(__xludf.DUMMYFUNCTION("GOOGLETRANSLATE(F2014,""id"",""en"")"),"And this Qatar World Cup is the most exciting siihhhh plot twist, many of the final final")</f>
        <v>And this Qatar World Cup is the most exciting siihhhh plot twist, many of the final final</v>
      </c>
    </row>
    <row r="2015" ht="15.75" customHeight="1">
      <c r="A2015" s="1">
        <v>2021.0</v>
      </c>
      <c r="B2015" s="3" t="s">
        <v>6009</v>
      </c>
      <c r="C2015" s="3">
        <v>0.0</v>
      </c>
      <c r="D2015" s="3">
        <v>0.0</v>
      </c>
      <c r="E2015" s="3">
        <v>0.0</v>
      </c>
      <c r="F2015" s="3" t="s">
        <v>6010</v>
      </c>
      <c r="G2015" s="3">
        <v>1.0</v>
      </c>
      <c r="H2015" s="3">
        <v>0.0</v>
      </c>
      <c r="I2015" s="3" t="s">
        <v>13</v>
      </c>
      <c r="J2015" s="3" t="s">
        <v>6011</v>
      </c>
      <c r="K2015" s="3" t="s">
        <v>41</v>
      </c>
      <c r="L2015" s="3" t="str">
        <f>IFERROR(__xludf.DUMMYFUNCTION("GOOGLETRANSLATE(F2015,""id"",""en"")"),"Mbappe Kali Takes the World Cup Final Pinalty and all of them entered")</f>
        <v>Mbappe Kali Takes the World Cup Final Pinalty and all of them entered</v>
      </c>
    </row>
    <row r="2016" ht="15.75" customHeight="1">
      <c r="A2016" s="1">
        <v>2022.0</v>
      </c>
      <c r="B2016" s="3" t="s">
        <v>6012</v>
      </c>
      <c r="C2016" s="3">
        <v>1.0</v>
      </c>
      <c r="D2016" s="3">
        <v>0.0</v>
      </c>
      <c r="E2016" s="3">
        <v>0.0</v>
      </c>
      <c r="F2016" s="3" t="s">
        <v>6013</v>
      </c>
      <c r="G2016" s="3">
        <v>1.0</v>
      </c>
      <c r="H2016" s="3">
        <v>0.0</v>
      </c>
      <c r="I2016" s="3" t="s">
        <v>13</v>
      </c>
      <c r="J2016" s="3" t="s">
        <v>6014</v>
      </c>
      <c r="K2016" s="3" t="s">
        <v>510</v>
      </c>
      <c r="L2016" s="3" t="str">
        <f>IFERROR(__xludf.DUMMYFUNCTION("GOOGLETRANSLATE(F2016,""id"",""en"")"),"the disobedience of this match penalty shoutotut basically the Arsenal goalkeeper former World Cup Final Spurs")</f>
        <v>the disobedience of this match penalty shoutotut basically the Arsenal goalkeeper former World Cup Final Spurs</v>
      </c>
    </row>
    <row r="2017" ht="15.75" customHeight="1">
      <c r="A2017" s="1">
        <v>2023.0</v>
      </c>
      <c r="B2017" s="3" t="s">
        <v>6015</v>
      </c>
      <c r="C2017" s="3">
        <v>0.0</v>
      </c>
      <c r="D2017" s="3">
        <v>1.0</v>
      </c>
      <c r="E2017" s="3">
        <v>1.0</v>
      </c>
      <c r="F2017" s="3" t="s">
        <v>6016</v>
      </c>
      <c r="G2017" s="3">
        <v>1.0</v>
      </c>
      <c r="H2017" s="3">
        <v>0.0</v>
      </c>
      <c r="I2017" s="3" t="s">
        <v>13</v>
      </c>
      <c r="J2017" s="3" t="s">
        <v>6017</v>
      </c>
      <c r="K2017" s="3" t="s">
        <v>1699</v>
      </c>
      <c r="L2017" s="3" t="str">
        <f>IFERROR(__xludf.DUMMYFUNCTION("GOOGLETRANSLATE(F2017,""id"",""en"")"),"During watching the Qatar World Cup World Cup, Argentina France is the best champion must be determined through a penalties after the same score")</f>
        <v>During watching the Qatar World Cup World Cup, Argentina France is the best champion must be determined through a penalties after the same score</v>
      </c>
    </row>
    <row r="2018" ht="15.75" customHeight="1">
      <c r="A2018" s="1">
        <v>2024.0</v>
      </c>
      <c r="B2018" s="3" t="s">
        <v>6018</v>
      </c>
      <c r="C2018" s="3">
        <v>0.0</v>
      </c>
      <c r="D2018" s="3">
        <v>0.0</v>
      </c>
      <c r="E2018" s="3">
        <v>0.0</v>
      </c>
      <c r="F2018" s="3" t="s">
        <v>6019</v>
      </c>
      <c r="G2018" s="3">
        <v>1.0</v>
      </c>
      <c r="H2018" s="3">
        <v>0.0</v>
      </c>
      <c r="I2018" s="3" t="s">
        <v>13</v>
      </c>
      <c r="J2018" s="3" t="s">
        <v>6020</v>
      </c>
      <c r="K2018" s="3" t="s">
        <v>54</v>
      </c>
      <c r="L2018" s="3" t="str">
        <f>IFERROR(__xludf.DUMMYFUNCTION("GOOGLETRANSLATE(F2018,""id"",""en"")"),"Goals from penalties in the World Cup final")</f>
        <v>Goals from penalties in the World Cup final</v>
      </c>
    </row>
    <row r="2019" ht="15.75" customHeight="1">
      <c r="A2019" s="1">
        <v>2025.0</v>
      </c>
      <c r="B2019" s="3" t="s">
        <v>6021</v>
      </c>
      <c r="C2019" s="3">
        <v>1.0</v>
      </c>
      <c r="D2019" s="3">
        <v>1.0</v>
      </c>
      <c r="E2019" s="3">
        <v>3.0</v>
      </c>
      <c r="F2019" s="3" t="s">
        <v>6022</v>
      </c>
      <c r="G2019" s="3">
        <v>1.0</v>
      </c>
      <c r="H2019" s="3">
        <v>0.0</v>
      </c>
      <c r="I2019" s="3" t="s">
        <v>13</v>
      </c>
      <c r="J2019" s="3" t="s">
        <v>6023</v>
      </c>
      <c r="K2019" s="3" t="s">
        <v>54</v>
      </c>
      <c r="L2019" s="3" t="str">
        <f>IFERROR(__xludf.DUMMYFUNCTION("GOOGLETRANSLATE(F2019,""id"",""en"")"),"This is what makes the spirit before the World Cup final match")</f>
        <v>This is what makes the spirit before the World Cup final match</v>
      </c>
    </row>
    <row r="2020" ht="15.75" customHeight="1">
      <c r="A2020" s="1">
        <v>2026.0</v>
      </c>
      <c r="B2020" s="3" t="s">
        <v>6024</v>
      </c>
      <c r="C2020" s="3">
        <v>0.0</v>
      </c>
      <c r="D2020" s="3">
        <v>0.0</v>
      </c>
      <c r="E2020" s="3">
        <v>0.0</v>
      </c>
      <c r="F2020" s="3" t="s">
        <v>6025</v>
      </c>
      <c r="G2020" s="3">
        <v>1.0</v>
      </c>
      <c r="H2020" s="3">
        <v>0.0</v>
      </c>
      <c r="I2020" s="3" t="s">
        <v>13</v>
      </c>
      <c r="J2020" s="3" t="s">
        <v>6026</v>
      </c>
      <c r="K2020" s="3" t="s">
        <v>795</v>
      </c>
      <c r="L2020" s="3" t="str">
        <f>IFERROR(__xludf.DUMMYFUNCTION("GOOGLETRANSLATE(F2020,""id"",""en"")"),"Welcome to attack football created the last six goals of the two world cups but the most productive world cup final is still held by the final year with seven goals")</f>
        <v>Welcome to attack football created the last six goals of the two world cups but the most productive world cup final is still held by the final year with seven goals</v>
      </c>
    </row>
    <row r="2021" ht="15.75" customHeight="1">
      <c r="A2021" s="1">
        <v>2027.0</v>
      </c>
      <c r="B2021" s="3" t="s">
        <v>6027</v>
      </c>
      <c r="C2021" s="3">
        <v>1.0</v>
      </c>
      <c r="D2021" s="3">
        <v>0.0</v>
      </c>
      <c r="E2021" s="3">
        <v>0.0</v>
      </c>
      <c r="F2021" s="3" t="s">
        <v>6028</v>
      </c>
      <c r="G2021" s="3">
        <v>1.0</v>
      </c>
      <c r="H2021" s="3">
        <v>0.0</v>
      </c>
      <c r="I2021" s="3" t="s">
        <v>13</v>
      </c>
      <c r="J2021" s="3" t="s">
        <v>6029</v>
      </c>
      <c r="K2021" s="3" t="s">
        <v>75</v>
      </c>
      <c r="L2021" s="3" t="str">
        <f>IFERROR(__xludf.DUMMYFUNCTION("GOOGLETRANSLATE(F2021,""id"",""en"")"),"Avatar movie Ajah hours of the final world cup minute")</f>
        <v>Avatar movie Ajah hours of the final world cup minute</v>
      </c>
    </row>
    <row r="2022" ht="15.75" customHeight="1">
      <c r="A2022" s="1">
        <v>2028.0</v>
      </c>
      <c r="B2022" s="3" t="s">
        <v>6030</v>
      </c>
      <c r="C2022" s="3">
        <v>0.0</v>
      </c>
      <c r="D2022" s="3">
        <v>0.0</v>
      </c>
      <c r="E2022" s="3">
        <v>0.0</v>
      </c>
      <c r="F2022" s="3" t="s">
        <v>6031</v>
      </c>
      <c r="G2022" s="3">
        <v>1.0</v>
      </c>
      <c r="H2022" s="3">
        <v>0.0</v>
      </c>
      <c r="I2022" s="3" t="s">
        <v>13</v>
      </c>
      <c r="J2022" s="3" t="s">
        <v>6032</v>
      </c>
      <c r="K2022" s="3" t="s">
        <v>15</v>
      </c>
      <c r="L2022" s="3" t="str">
        <f>IFERROR(__xludf.DUMMYFUNCTION("GOOGLETRANSLATE(F2022,""id"",""en"")"),"The best World Cup Final of all time Arg Fra")</f>
        <v>The best World Cup Final of all time Arg Fra</v>
      </c>
    </row>
    <row r="2023" ht="15.75" customHeight="1">
      <c r="A2023" s="1">
        <v>2029.0</v>
      </c>
      <c r="B2023" s="3" t="s">
        <v>6033</v>
      </c>
      <c r="C2023" s="3">
        <v>0.0</v>
      </c>
      <c r="D2023" s="3">
        <v>0.0</v>
      </c>
      <c r="E2023" s="3">
        <v>0.0</v>
      </c>
      <c r="F2023" s="3" t="s">
        <v>6034</v>
      </c>
      <c r="G2023" s="3">
        <v>1.0</v>
      </c>
      <c r="H2023" s="3">
        <v>0.0</v>
      </c>
      <c r="I2023" s="3" t="s">
        <v>13</v>
      </c>
      <c r="J2023" s="3" t="s">
        <v>6035</v>
      </c>
      <c r="K2023" s="3" t="s">
        <v>54</v>
      </c>
      <c r="L2023" s="3" t="str">
        <f>IFERROR(__xludf.DUMMYFUNCTION("GOOGLETRANSLATE(F2023,""id"",""en"")"),"Exciting Gaes World Cup Final")</f>
        <v>Exciting Gaes World Cup Final</v>
      </c>
    </row>
    <row r="2024" ht="15.75" customHeight="1">
      <c r="A2024" s="1">
        <v>2030.0</v>
      </c>
      <c r="B2024" s="3" t="s">
        <v>6036</v>
      </c>
      <c r="C2024" s="3">
        <v>0.0</v>
      </c>
      <c r="D2024" s="3">
        <v>0.0</v>
      </c>
      <c r="E2024" s="3">
        <v>0.0</v>
      </c>
      <c r="F2024" s="3" t="s">
        <v>6037</v>
      </c>
      <c r="G2024" s="3">
        <v>1.0</v>
      </c>
      <c r="H2024" s="3">
        <v>0.0</v>
      </c>
      <c r="I2024" s="3" t="s">
        <v>13</v>
      </c>
      <c r="J2024" s="3" t="s">
        <v>6038</v>
      </c>
      <c r="K2024" s="3" t="s">
        <v>82</v>
      </c>
      <c r="L2024" s="3" t="str">
        <f>IFERROR(__xludf.DUMMYFUNCTION("GOOGLETRANSLATE(F2024,""id"",""en"")"),"You're died like the World Cup Final")</f>
        <v>You're died like the World Cup Final</v>
      </c>
    </row>
    <row r="2025" ht="15.75" customHeight="1">
      <c r="A2025" s="1">
        <v>2031.0</v>
      </c>
      <c r="B2025" s="3" t="s">
        <v>6039</v>
      </c>
      <c r="C2025" s="3">
        <v>0.0</v>
      </c>
      <c r="D2025" s="3">
        <v>0.0</v>
      </c>
      <c r="E2025" s="3">
        <v>0.0</v>
      </c>
      <c r="F2025" s="3" t="s">
        <v>6040</v>
      </c>
      <c r="G2025" s="3">
        <v>1.0</v>
      </c>
      <c r="H2025" s="3">
        <v>0.0</v>
      </c>
      <c r="I2025" s="3" t="s">
        <v>13</v>
      </c>
      <c r="J2025" s="3" t="s">
        <v>6041</v>
      </c>
      <c r="K2025" s="3" t="s">
        <v>75</v>
      </c>
      <c r="L2025" s="3" t="str">
        <f>IFERROR(__xludf.DUMMYFUNCTION("GOOGLETRANSLATE(F2025,""id"",""en"")"),"Gudluck guys anyone finally winning this world cup final.")</f>
        <v>Gudluck guys anyone finally winning this world cup final.</v>
      </c>
    </row>
    <row r="2026" ht="15.75" customHeight="1">
      <c r="A2026" s="1">
        <v>2032.0</v>
      </c>
      <c r="B2026" s="3" t="s">
        <v>6042</v>
      </c>
      <c r="C2026" s="3">
        <v>1.0</v>
      </c>
      <c r="D2026" s="3">
        <v>0.0</v>
      </c>
      <c r="E2026" s="3">
        <v>1.0</v>
      </c>
      <c r="F2026" s="3" t="s">
        <v>6043</v>
      </c>
      <c r="G2026" s="3">
        <v>1.0</v>
      </c>
      <c r="H2026" s="3">
        <v>0.0</v>
      </c>
      <c r="I2026" s="3" t="s">
        <v>13</v>
      </c>
      <c r="J2026" s="3" t="s">
        <v>6044</v>
      </c>
      <c r="K2026" s="3" t="s">
        <v>58</v>
      </c>
      <c r="L2026" s="3" t="str">
        <f>IFERROR(__xludf.DUMMYFUNCTION("GOOGLETRANSLATE(F2026,""id"",""en"")"),"Argentine and French French Cool World Cool Final Match Two is really enjoying watching it")</f>
        <v>Argentine and French French Cool World Cool Final Match Two is really enjoying watching it</v>
      </c>
    </row>
    <row r="2027" ht="15.75" customHeight="1">
      <c r="A2027" s="1">
        <v>2033.0</v>
      </c>
      <c r="B2027" s="3" t="s">
        <v>6045</v>
      </c>
      <c r="C2027" s="3">
        <v>0.0</v>
      </c>
      <c r="D2027" s="3">
        <v>0.0</v>
      </c>
      <c r="E2027" s="3">
        <v>0.0</v>
      </c>
      <c r="F2027" s="3" t="s">
        <v>6046</v>
      </c>
      <c r="G2027" s="3">
        <v>1.0</v>
      </c>
      <c r="H2027" s="3">
        <v>0.0</v>
      </c>
      <c r="I2027" s="3" t="s">
        <v>13</v>
      </c>
      <c r="J2027" s="3" t="s">
        <v>6047</v>
      </c>
      <c r="K2027" s="3" t="s">
        <v>644</v>
      </c>
      <c r="L2027" s="3" t="str">
        <f>IFERROR(__xludf.DUMMYFUNCTION("GOOGLETRANSLATE(F2027,""id"",""en"")"),"World Cup Final Edition")</f>
        <v>World Cup Final Edition</v>
      </c>
    </row>
    <row r="2028" ht="15.75" customHeight="1">
      <c r="A2028" s="1">
        <v>2034.0</v>
      </c>
      <c r="B2028" s="3" t="s">
        <v>6048</v>
      </c>
      <c r="C2028" s="3">
        <v>0.0</v>
      </c>
      <c r="D2028" s="3">
        <v>0.0</v>
      </c>
      <c r="E2028" s="3">
        <v>0.0</v>
      </c>
      <c r="F2028" s="3" t="s">
        <v>6049</v>
      </c>
      <c r="G2028" s="3">
        <v>1.0</v>
      </c>
      <c r="H2028" s="3">
        <v>0.0</v>
      </c>
      <c r="I2028" s="3" t="s">
        <v>13</v>
      </c>
      <c r="J2028" s="3" t="s">
        <v>6050</v>
      </c>
      <c r="K2028" s="3" t="s">
        <v>266</v>
      </c>
      <c r="L2028" s="3" t="str">
        <f>IFERROR(__xludf.DUMMYFUNCTION("GOOGLETRANSLATE(F2028,""id"",""en"")"),"The Best World Cup, many teams that are not seeded to defeat the big team of the final are also crazy until the final minutes are chasing each other but the Dutch philosopher World Cup Qatar World Cup is not crowded")</f>
        <v>The Best World Cup, many teams that are not seeded to defeat the big team of the final are also crazy until the final minutes are chasing each other but the Dutch philosopher World Cup Qatar World Cup is not crowded</v>
      </c>
    </row>
    <row r="2029" ht="15.75" customHeight="1">
      <c r="A2029" s="1">
        <v>2035.0</v>
      </c>
      <c r="B2029" s="3" t="s">
        <v>6051</v>
      </c>
      <c r="C2029" s="3">
        <v>0.0</v>
      </c>
      <c r="D2029" s="3">
        <v>0.0</v>
      </c>
      <c r="E2029" s="3">
        <v>0.0</v>
      </c>
      <c r="F2029" s="3" t="s">
        <v>6052</v>
      </c>
      <c r="G2029" s="3">
        <v>1.0</v>
      </c>
      <c r="H2029" s="3">
        <v>0.0</v>
      </c>
      <c r="I2029" s="3" t="s">
        <v>13</v>
      </c>
      <c r="J2029" s="3" t="s">
        <v>6053</v>
      </c>
      <c r="K2029" s="3" t="s">
        <v>54</v>
      </c>
      <c r="L2029" s="3" t="str">
        <f>IFERROR(__xludf.DUMMYFUNCTION("GOOGLETRANSLATE(F2029,""id"",""en"")"),"The World Cup Final Most Iki")</f>
        <v>The World Cup Final Most Iki</v>
      </c>
    </row>
    <row r="2030" ht="15.75" customHeight="1">
      <c r="A2030" s="1">
        <v>2036.0</v>
      </c>
      <c r="B2030" s="3" t="s">
        <v>6054</v>
      </c>
      <c r="C2030" s="3">
        <v>0.0</v>
      </c>
      <c r="D2030" s="3">
        <v>2.0</v>
      </c>
      <c r="E2030" s="3">
        <v>0.0</v>
      </c>
      <c r="F2030" s="3" t="s">
        <v>6055</v>
      </c>
      <c r="G2030" s="3">
        <v>1.0</v>
      </c>
      <c r="H2030" s="3">
        <v>0.0</v>
      </c>
      <c r="I2030" s="3" t="s">
        <v>13</v>
      </c>
      <c r="J2030" s="3" t="s">
        <v>6056</v>
      </c>
      <c r="K2030" s="3" t="s">
        <v>1265</v>
      </c>
      <c r="L2030" s="3" t="str">
        <f>IFERROR(__xludf.DUMMYFUNCTION("GOOGLETRANSLATE(F2030,""id"",""en"")"),"First time seeing the World Cup Final this year the most real final")</f>
        <v>First time seeing the World Cup Final this year the most real final</v>
      </c>
    </row>
    <row r="2031" ht="15.75" customHeight="1">
      <c r="A2031" s="1">
        <v>2037.0</v>
      </c>
      <c r="B2031" s="3" t="s">
        <v>6057</v>
      </c>
      <c r="C2031" s="3">
        <v>0.0</v>
      </c>
      <c r="D2031" s="3">
        <v>0.0</v>
      </c>
      <c r="E2031" s="3">
        <v>0.0</v>
      </c>
      <c r="F2031" s="3" t="s">
        <v>6058</v>
      </c>
      <c r="G2031" s="3">
        <v>1.0</v>
      </c>
      <c r="H2031" s="3">
        <v>0.0</v>
      </c>
      <c r="I2031" s="3" t="s">
        <v>13</v>
      </c>
      <c r="J2031" s="3" t="s">
        <v>6059</v>
      </c>
      <c r="K2031" s="3" t="s">
        <v>54</v>
      </c>
      <c r="L2031" s="3" t="str">
        <f>IFERROR(__xludf.DUMMYFUNCTION("GOOGLETRANSLATE(F2031,""id"",""en"")"),"wow crazy world cup final wkwkw")</f>
        <v>wow crazy world cup final wkwkw</v>
      </c>
    </row>
    <row r="2032" ht="15.75" customHeight="1">
      <c r="A2032" s="1">
        <v>2038.0</v>
      </c>
      <c r="B2032" s="3" t="s">
        <v>6060</v>
      </c>
      <c r="C2032" s="3">
        <v>1.0</v>
      </c>
      <c r="D2032" s="3">
        <v>0.0</v>
      </c>
      <c r="E2032" s="3">
        <v>0.0</v>
      </c>
      <c r="F2032" s="3" t="s">
        <v>6061</v>
      </c>
      <c r="G2032" s="3">
        <v>1.0</v>
      </c>
      <c r="H2032" s="3">
        <v>0.0</v>
      </c>
      <c r="I2032" s="3" t="s">
        <v>13</v>
      </c>
      <c r="J2032" s="3" t="s">
        <v>6062</v>
      </c>
      <c r="K2032" s="3" t="s">
        <v>15</v>
      </c>
      <c r="L2032" s="3" t="str">
        <f>IFERROR(__xludf.DUMMYFUNCTION("GOOGLETRANSLATE(F2032,""id"",""en"")"),"tired of watching the World Cup final draining emotions")</f>
        <v>tired of watching the World Cup final draining emotions</v>
      </c>
    </row>
    <row r="2033" ht="15.75" customHeight="1">
      <c r="A2033" s="1">
        <v>2039.0</v>
      </c>
      <c r="B2033" s="3" t="s">
        <v>6063</v>
      </c>
      <c r="C2033" s="3">
        <v>0.0</v>
      </c>
      <c r="D2033" s="3">
        <v>0.0</v>
      </c>
      <c r="E2033" s="3">
        <v>0.0</v>
      </c>
      <c r="F2033" s="3" t="s">
        <v>6064</v>
      </c>
      <c r="G2033" s="3">
        <v>1.0</v>
      </c>
      <c r="H2033" s="3">
        <v>0.0</v>
      </c>
      <c r="I2033" s="3" t="s">
        <v>13</v>
      </c>
      <c r="J2033" s="3" t="s">
        <v>6065</v>
      </c>
      <c r="K2033" s="3" t="s">
        <v>15</v>
      </c>
      <c r="L2033" s="3" t="str">
        <f>IFERROR(__xludf.DUMMYFUNCTION("GOOGLETRANSLATE(F2033,""id"",""en"")"),"the year continues to make the world cup final hatrick not really good")</f>
        <v>the year continues to make the world cup final hatrick not really good</v>
      </c>
    </row>
    <row r="2034" ht="15.75" customHeight="1">
      <c r="A2034" s="1">
        <v>2040.0</v>
      </c>
      <c r="B2034" s="3" t="s">
        <v>6066</v>
      </c>
      <c r="C2034" s="3">
        <v>1.0</v>
      </c>
      <c r="D2034" s="3">
        <v>0.0</v>
      </c>
      <c r="E2034" s="3">
        <v>0.0</v>
      </c>
      <c r="F2034" s="3" t="s">
        <v>6067</v>
      </c>
      <c r="G2034" s="3">
        <v>1.0</v>
      </c>
      <c r="H2034" s="3">
        <v>0.0</v>
      </c>
      <c r="I2034" s="3" t="s">
        <v>13</v>
      </c>
      <c r="J2034" s="3" t="s">
        <v>6068</v>
      </c>
      <c r="K2034" s="3" t="s">
        <v>41</v>
      </c>
      <c r="L2034" s="3" t="str">
        <f>IFERROR(__xludf.DUMMYFUNCTION("GOOGLETRANSLATE(F2034,""id"",""en"")"),"crazy mbappe penalties entering the Mental World Cup final")</f>
        <v>crazy mbappe penalties entering the Mental World Cup final</v>
      </c>
    </row>
    <row r="2035" ht="15.75" customHeight="1">
      <c r="A2035" s="1">
        <v>2042.0</v>
      </c>
      <c r="B2035" s="3" t="s">
        <v>6069</v>
      </c>
      <c r="C2035" s="3">
        <v>0.0</v>
      </c>
      <c r="D2035" s="3">
        <v>0.0</v>
      </c>
      <c r="E2035" s="3">
        <v>0.0</v>
      </c>
      <c r="F2035" s="3" t="s">
        <v>6070</v>
      </c>
      <c r="G2035" s="3">
        <v>1.0</v>
      </c>
      <c r="H2035" s="3">
        <v>0.05</v>
      </c>
      <c r="I2035" s="3" t="s">
        <v>48</v>
      </c>
      <c r="J2035" s="3" t="s">
        <v>6071</v>
      </c>
      <c r="K2035" s="3" t="s">
        <v>31</v>
      </c>
      <c r="L2035" s="3" t="str">
        <f>IFERROR(__xludf.DUMMYFUNCTION("GOOGLETRANSLATE(F2035,""id"",""en"")"),"Final Ter Wow World Cup")</f>
        <v>Final Ter Wow World Cup</v>
      </c>
    </row>
    <row r="2036" ht="15.75" customHeight="1">
      <c r="A2036" s="1">
        <v>2043.0</v>
      </c>
      <c r="B2036" s="3" t="s">
        <v>6072</v>
      </c>
      <c r="C2036" s="3">
        <v>0.0</v>
      </c>
      <c r="D2036" s="3">
        <v>0.0</v>
      </c>
      <c r="E2036" s="3">
        <v>0.0</v>
      </c>
      <c r="F2036" s="3" t="s">
        <v>6073</v>
      </c>
      <c r="G2036" s="3">
        <v>1.0</v>
      </c>
      <c r="H2036" s="3">
        <v>0.0</v>
      </c>
      <c r="I2036" s="3" t="s">
        <v>13</v>
      </c>
      <c r="J2036" s="3" t="s">
        <v>6074</v>
      </c>
      <c r="K2036" s="3" t="s">
        <v>15</v>
      </c>
      <c r="L2036" s="3" t="str">
        <f>IFERROR(__xludf.DUMMYFUNCTION("GOOGLETRANSLATE(F2036,""id"",""en"")"),"The World Cup final goal against Messi is bad")</f>
        <v>The World Cup final goal against Messi is bad</v>
      </c>
    </row>
    <row r="2037" ht="15.75" customHeight="1">
      <c r="A2037" s="1">
        <v>2044.0</v>
      </c>
      <c r="B2037" s="3" t="s">
        <v>6075</v>
      </c>
      <c r="C2037" s="3">
        <v>0.0</v>
      </c>
      <c r="D2037" s="3">
        <v>0.0</v>
      </c>
      <c r="E2037" s="3">
        <v>0.0</v>
      </c>
      <c r="F2037" s="3" t="s">
        <v>6076</v>
      </c>
      <c r="G2037" s="3">
        <v>0.6888888888888888</v>
      </c>
      <c r="H2037" s="3">
        <v>0.1444444444444445</v>
      </c>
      <c r="I2037" s="3" t="s">
        <v>48</v>
      </c>
      <c r="J2037" s="3" t="s">
        <v>6077</v>
      </c>
      <c r="K2037" s="3" t="s">
        <v>1097</v>
      </c>
      <c r="L2037" s="3" t="str">
        <f>IFERROR(__xludf.DUMMYFUNCTION("GOOGLETRANSLATE(F2037,""id"",""en"")"),"Crazy Crazy World Cup Final This time Super Epic")</f>
        <v>Crazy Crazy World Cup Final This time Super Epic</v>
      </c>
    </row>
    <row r="2038" ht="15.75" customHeight="1">
      <c r="A2038" s="1">
        <v>2045.0</v>
      </c>
      <c r="B2038" s="3" t="s">
        <v>6078</v>
      </c>
      <c r="C2038" s="3">
        <v>0.0</v>
      </c>
      <c r="D2038" s="3">
        <v>0.0</v>
      </c>
      <c r="E2038" s="3">
        <v>0.0</v>
      </c>
      <c r="F2038" s="3" t="s">
        <v>6079</v>
      </c>
      <c r="G2038" s="3">
        <v>0.95</v>
      </c>
      <c r="H2038" s="3">
        <v>-0.4</v>
      </c>
      <c r="I2038" s="3" t="s">
        <v>179</v>
      </c>
      <c r="J2038" s="3" t="s">
        <v>6080</v>
      </c>
      <c r="K2038" s="3" t="s">
        <v>19</v>
      </c>
      <c r="L2038" s="3" t="str">
        <f>IFERROR(__xludf.DUMMYFUNCTION("GOOGLETRANSLATE(F2038,""id"",""en"")"),"Mbappe Years Can Hatrick The Final World Cup I Age Still Push Rank Warkop")</f>
        <v>Mbappe Years Can Hatrick The Final World Cup I Age Still Push Rank Warkop</v>
      </c>
    </row>
    <row r="2039" ht="15.75" customHeight="1">
      <c r="A2039" s="1">
        <v>2046.0</v>
      </c>
      <c r="B2039" s="3" t="s">
        <v>6081</v>
      </c>
      <c r="C2039" s="3">
        <v>0.0</v>
      </c>
      <c r="D2039" s="3">
        <v>0.0</v>
      </c>
      <c r="E2039" s="3">
        <v>0.0</v>
      </c>
      <c r="F2039" s="3" t="s">
        <v>6082</v>
      </c>
      <c r="G2039" s="3">
        <v>1.0</v>
      </c>
      <c r="H2039" s="3">
        <v>0.0</v>
      </c>
      <c r="I2039" s="3" t="s">
        <v>13</v>
      </c>
      <c r="J2039" s="3" t="s">
        <v>6083</v>
      </c>
      <c r="K2039" s="3" t="s">
        <v>31</v>
      </c>
      <c r="L2039" s="3" t="str">
        <f>IFERROR(__xludf.DUMMYFUNCTION("GOOGLETRANSLATE(F2039,""id"",""en"")"),"The Final World Cup exciting Pisannn")</f>
        <v>The Final World Cup exciting Pisannn</v>
      </c>
    </row>
    <row r="2040" ht="15.75" customHeight="1">
      <c r="A2040" s="1">
        <v>2047.0</v>
      </c>
      <c r="B2040" s="3" t="s">
        <v>6084</v>
      </c>
      <c r="C2040" s="3">
        <v>0.0</v>
      </c>
      <c r="D2040" s="3">
        <v>0.0</v>
      </c>
      <c r="E2040" s="3">
        <v>0.0</v>
      </c>
      <c r="F2040" s="3" t="s">
        <v>6085</v>
      </c>
      <c r="G2040" s="3">
        <v>1.0</v>
      </c>
      <c r="H2040" s="3">
        <v>0.0</v>
      </c>
      <c r="I2040" s="3" t="s">
        <v>13</v>
      </c>
      <c r="J2040" s="3" t="s">
        <v>6086</v>
      </c>
      <c r="K2040" s="3" t="s">
        <v>54</v>
      </c>
      <c r="L2040" s="3" t="str">
        <f>IFERROR(__xludf.DUMMYFUNCTION("GOOGLETRANSLATE(F2040,""id"",""en"")"),"What's the World Cup final")</f>
        <v>What's the World Cup final</v>
      </c>
    </row>
    <row r="2041" ht="15.75" customHeight="1">
      <c r="A2041" s="1">
        <v>2048.0</v>
      </c>
      <c r="B2041" s="3" t="s">
        <v>6087</v>
      </c>
      <c r="C2041" s="3">
        <v>0.0</v>
      </c>
      <c r="D2041" s="3">
        <v>0.0</v>
      </c>
      <c r="E2041" s="3">
        <v>0.0</v>
      </c>
      <c r="F2041" s="3" t="s">
        <v>6088</v>
      </c>
      <c r="G2041" s="3">
        <v>1.0</v>
      </c>
      <c r="H2041" s="3">
        <v>0.0</v>
      </c>
      <c r="I2041" s="3" t="s">
        <v>13</v>
      </c>
      <c r="J2041" s="3" t="s">
        <v>6089</v>
      </c>
      <c r="K2041" s="3" t="s">
        <v>23</v>
      </c>
      <c r="L2041" s="3" t="str">
        <f>IFERROR(__xludf.DUMMYFUNCTION("GOOGLETRANSLATE(F2041,""id"",""en"")"),"Crazy as long as I watched the World Cup final since this was the best final I have watched anyone winning indeed they deserve to be the champion")</f>
        <v>Crazy as long as I watched the World Cup final since this was the best final I have watched anyone winning indeed they deserve to be the champion</v>
      </c>
    </row>
    <row r="2042" ht="15.75" customHeight="1">
      <c r="A2042" s="1">
        <v>2049.0</v>
      </c>
      <c r="B2042" s="3" t="s">
        <v>6090</v>
      </c>
      <c r="C2042" s="3">
        <v>0.0</v>
      </c>
      <c r="D2042" s="3">
        <v>0.0</v>
      </c>
      <c r="E2042" s="3">
        <v>0.0</v>
      </c>
      <c r="F2042" s="3" t="s">
        <v>6091</v>
      </c>
      <c r="G2042" s="3">
        <v>1.0</v>
      </c>
      <c r="H2042" s="3">
        <v>0.0</v>
      </c>
      <c r="I2042" s="3" t="s">
        <v>13</v>
      </c>
      <c r="J2042" s="3" t="s">
        <v>6092</v>
      </c>
      <c r="K2042" s="3" t="s">
        <v>41</v>
      </c>
      <c r="L2042" s="3" t="str">
        <f>IFERROR(__xludf.DUMMYFUNCTION("GOOGLETRANSLATE(F2042,""id"",""en"")"),"Just watching the World Cup final but it feels like running out")</f>
        <v>Just watching the World Cup final but it feels like running out</v>
      </c>
    </row>
    <row r="2043" ht="15.75" customHeight="1">
      <c r="A2043" s="1">
        <v>2050.0</v>
      </c>
      <c r="B2043" s="3" t="s">
        <v>6093</v>
      </c>
      <c r="C2043" s="3">
        <v>0.0</v>
      </c>
      <c r="D2043" s="3">
        <v>0.0</v>
      </c>
      <c r="E2043" s="3">
        <v>0.0</v>
      </c>
      <c r="F2043" s="3" t="s">
        <v>6094</v>
      </c>
      <c r="G2043" s="3">
        <v>1.0</v>
      </c>
      <c r="H2043" s="3">
        <v>0.0</v>
      </c>
      <c r="I2043" s="3" t="s">
        <v>13</v>
      </c>
      <c r="J2043" s="3" t="s">
        <v>6095</v>
      </c>
      <c r="K2043" s="3" t="s">
        <v>15</v>
      </c>
      <c r="L2043" s="3" t="str">
        <f>IFERROR(__xludf.DUMMYFUNCTION("GOOGLETRANSLATE(F2043,""id"",""en"")"),"The name is also the final of the World Cup Kudu Legiiit as great")</f>
        <v>The name is also the final of the World Cup Kudu Legiiit as great</v>
      </c>
    </row>
    <row r="2044" ht="15.75" customHeight="1">
      <c r="A2044" s="1">
        <v>2051.0</v>
      </c>
      <c r="B2044" s="3" t="s">
        <v>6096</v>
      </c>
      <c r="C2044" s="3">
        <v>0.0</v>
      </c>
      <c r="D2044" s="3">
        <v>0.0</v>
      </c>
      <c r="E2044" s="3">
        <v>0.0</v>
      </c>
      <c r="F2044" s="3" t="s">
        <v>6097</v>
      </c>
      <c r="G2044" s="3">
        <v>1.0</v>
      </c>
      <c r="H2044" s="3">
        <v>0.0</v>
      </c>
      <c r="I2044" s="3" t="s">
        <v>13</v>
      </c>
      <c r="J2044" s="3" t="s">
        <v>6098</v>
      </c>
      <c r="K2044" s="3" t="s">
        <v>41</v>
      </c>
      <c r="L2044" s="3" t="str">
        <f>IFERROR(__xludf.DUMMYFUNCTION("GOOGLETRANSLATE(F2044,""id"",""en"")"),"This is anyone who worthy of the best World Cup final ever")</f>
        <v>This is anyone who worthy of the best World Cup final ever</v>
      </c>
    </row>
    <row r="2045" ht="15.75" customHeight="1">
      <c r="A2045" s="1">
        <v>2052.0</v>
      </c>
      <c r="B2045" s="3" t="s">
        <v>6099</v>
      </c>
      <c r="C2045" s="3">
        <v>0.0</v>
      </c>
      <c r="D2045" s="3">
        <v>0.0</v>
      </c>
      <c r="E2045" s="3">
        <v>1.0</v>
      </c>
      <c r="F2045" s="3" t="s">
        <v>6100</v>
      </c>
      <c r="G2045" s="3">
        <v>0.8875</v>
      </c>
      <c r="H2045" s="3">
        <v>0.0875</v>
      </c>
      <c r="I2045" s="3" t="s">
        <v>48</v>
      </c>
      <c r="J2045" s="3" t="s">
        <v>6101</v>
      </c>
      <c r="K2045" s="3" t="s">
        <v>823</v>
      </c>
      <c r="L2045" s="3" t="str">
        <f>IFERROR(__xludf.DUMMYFUNCTION("GOOGLETRANSLATE(F2045,""id"",""en"")"),"Whatever the results of this penalty shootout this World Cup final is the best final since I first watched the Final World Cup Full Full Drama from the beginning to the end of the emotional roller coaster presented without stopping")</f>
        <v>Whatever the results of this penalty shootout this World Cup final is the best final since I first watched the Final World Cup Full Full Drama from the beginning to the end of the emotional roller coaster presented without stopping</v>
      </c>
    </row>
    <row r="2046" ht="15.75" customHeight="1">
      <c r="A2046" s="1">
        <v>2053.0</v>
      </c>
      <c r="B2046" s="3" t="s">
        <v>6102</v>
      </c>
      <c r="C2046" s="3">
        <v>0.0</v>
      </c>
      <c r="D2046" s="3">
        <v>0.0</v>
      </c>
      <c r="E2046" s="3">
        <v>0.0</v>
      </c>
      <c r="F2046" s="3" t="s">
        <v>6103</v>
      </c>
      <c r="G2046" s="3">
        <v>0.775</v>
      </c>
      <c r="H2046" s="3">
        <v>0.175</v>
      </c>
      <c r="I2046" s="3" t="s">
        <v>48</v>
      </c>
      <c r="J2046" s="3" t="s">
        <v>6104</v>
      </c>
      <c r="K2046" s="3" t="s">
        <v>82</v>
      </c>
      <c r="L2046" s="3" t="str">
        <f>IFERROR(__xludf.DUMMYFUNCTION("GOOGLETRANSLATE(F2046,""id"",""en"")"),"The World Cup final this time is full of heart gymnastics")</f>
        <v>The World Cup final this time is full of heart gymnastics</v>
      </c>
    </row>
    <row r="2047" ht="15.75" customHeight="1">
      <c r="A2047" s="1">
        <v>2054.0</v>
      </c>
      <c r="B2047" s="3" t="s">
        <v>6105</v>
      </c>
      <c r="C2047" s="3">
        <v>0.0</v>
      </c>
      <c r="D2047" s="3">
        <v>0.0</v>
      </c>
      <c r="E2047" s="3">
        <v>2.0</v>
      </c>
      <c r="F2047" s="3" t="s">
        <v>6106</v>
      </c>
      <c r="G2047" s="3">
        <v>1.0</v>
      </c>
      <c r="H2047" s="3">
        <v>0.0</v>
      </c>
      <c r="I2047" s="3" t="s">
        <v>13</v>
      </c>
      <c r="J2047" s="3" t="s">
        <v>6107</v>
      </c>
      <c r="K2047" s="3" t="s">
        <v>15</v>
      </c>
      <c r="L2047" s="3" t="str">
        <f>IFERROR(__xludf.DUMMYFUNCTION("GOOGLETRANSLATE(F2047,""id"",""en"")"),"zeejkt already the world cup final is very vibes wkwkw")</f>
        <v>zeejkt already the world cup final is very vibes wkwkw</v>
      </c>
    </row>
    <row r="2048" ht="15.75" customHeight="1">
      <c r="A2048" s="1">
        <v>2055.0</v>
      </c>
      <c r="B2048" s="3" t="s">
        <v>6108</v>
      </c>
      <c r="C2048" s="3">
        <v>0.0</v>
      </c>
      <c r="D2048" s="3">
        <v>0.0</v>
      </c>
      <c r="E2048" s="3">
        <v>0.0</v>
      </c>
      <c r="F2048" s="3" t="s">
        <v>6109</v>
      </c>
      <c r="G2048" s="3">
        <v>1.0</v>
      </c>
      <c r="H2048" s="3">
        <v>0.05</v>
      </c>
      <c r="I2048" s="3" t="s">
        <v>48</v>
      </c>
      <c r="J2048" s="3" t="s">
        <v>6110</v>
      </c>
      <c r="K2048" s="3" t="s">
        <v>520</v>
      </c>
      <c r="L2048" s="3" t="str">
        <f>IFERROR(__xludf.DUMMYFUNCTION("GOOGLETRANSLATE(F2048,""id"",""en"")"),"Wow Wow Final is very exciting the best final throughout the cave watching the World Cup whoever is Argentina and your French best")</f>
        <v>Wow Wow Final is very exciting the best final throughout the cave watching the World Cup whoever is Argentina and your French best</v>
      </c>
    </row>
    <row r="2049" ht="15.75" customHeight="1">
      <c r="A2049" s="1">
        <v>2056.0</v>
      </c>
      <c r="B2049" s="3" t="s">
        <v>6111</v>
      </c>
      <c r="C2049" s="3">
        <v>0.0</v>
      </c>
      <c r="D2049" s="3">
        <v>0.0</v>
      </c>
      <c r="E2049" s="3">
        <v>0.0</v>
      </c>
      <c r="F2049" s="3" t="s">
        <v>6112</v>
      </c>
      <c r="G2049" s="3">
        <v>1.0</v>
      </c>
      <c r="H2049" s="3">
        <v>0.0</v>
      </c>
      <c r="I2049" s="3" t="s">
        <v>13</v>
      </c>
      <c r="J2049" s="3" t="s">
        <v>6113</v>
      </c>
      <c r="K2049" s="3" t="s">
        <v>54</v>
      </c>
      <c r="L2049" s="3" t="str">
        <f>IFERROR(__xludf.DUMMYFUNCTION("GOOGLETRANSLATE(F2049,""id"",""en"")"),"Whoever the winner is the best World Cup final")</f>
        <v>Whoever the winner is the best World Cup final</v>
      </c>
    </row>
    <row r="2050" ht="15.75" customHeight="1">
      <c r="A2050" s="1">
        <v>2057.0</v>
      </c>
      <c r="B2050" s="3" t="s">
        <v>6114</v>
      </c>
      <c r="C2050" s="3">
        <v>0.0</v>
      </c>
      <c r="D2050" s="3">
        <v>0.0</v>
      </c>
      <c r="E2050" s="3">
        <v>0.0</v>
      </c>
      <c r="F2050" s="3" t="s">
        <v>6115</v>
      </c>
      <c r="G2050" s="3">
        <v>0.8</v>
      </c>
      <c r="H2050" s="3">
        <v>0.35</v>
      </c>
      <c r="I2050" s="3" t="s">
        <v>48</v>
      </c>
      <c r="J2050" s="3" t="s">
        <v>6116</v>
      </c>
      <c r="K2050" s="3" t="s">
        <v>6117</v>
      </c>
      <c r="L2050" s="3" t="str">
        <f>IFERROR(__xludf.DUMMYFUNCTION("GOOGLETRANSLATE(F2050,""id"",""en"")"),"The World Cup which is remembered as the final full of colorful above Padang Good Jobs for the two teams whatever penalty also determine the World Cup World Cup Champion for some of the second team won the championship is the champion")</f>
        <v>The World Cup which is remembered as the final full of colorful above Padang Good Jobs for the two teams whatever penalty also determine the World Cup World Cup Champion for some of the second team won the championship is the champion</v>
      </c>
    </row>
    <row r="2051" ht="15.75" customHeight="1">
      <c r="A2051" s="1">
        <v>2058.0</v>
      </c>
      <c r="B2051" s="3" t="s">
        <v>6118</v>
      </c>
      <c r="C2051" s="3">
        <v>0.0</v>
      </c>
      <c r="D2051" s="3">
        <v>0.0</v>
      </c>
      <c r="E2051" s="3">
        <v>0.0</v>
      </c>
      <c r="F2051" s="3" t="s">
        <v>6119</v>
      </c>
      <c r="G2051" s="3">
        <v>1.0</v>
      </c>
      <c r="H2051" s="3">
        <v>0.0</v>
      </c>
      <c r="I2051" s="3" t="s">
        <v>13</v>
      </c>
      <c r="J2051" s="3" t="s">
        <v>6120</v>
      </c>
      <c r="K2051" s="3" t="s">
        <v>19</v>
      </c>
      <c r="L2051" s="3" t="str">
        <f>IFERROR(__xludf.DUMMYFUNCTION("GOOGLETRANSLATE(F2051,""id"",""en"")"),"The penalty shootout anyone who champions Argentina or France is the best Respect Final of the Fun World Cup")</f>
        <v>The penalty shootout anyone who champions Argentina or France is the best Respect Final of the Fun World Cup</v>
      </c>
    </row>
    <row r="2052" ht="15.75" customHeight="1">
      <c r="A2052" s="1">
        <v>2059.0</v>
      </c>
      <c r="B2052" s="3" t="s">
        <v>6121</v>
      </c>
      <c r="C2052" s="3">
        <v>0.0</v>
      </c>
      <c r="D2052" s="3">
        <v>0.0</v>
      </c>
      <c r="E2052" s="3">
        <v>1.0</v>
      </c>
      <c r="F2052" s="3" t="s">
        <v>6122</v>
      </c>
      <c r="G2052" s="3">
        <v>1.0</v>
      </c>
      <c r="H2052" s="3">
        <v>0.25</v>
      </c>
      <c r="I2052" s="3" t="s">
        <v>48</v>
      </c>
      <c r="J2052" s="3" t="s">
        <v>6123</v>
      </c>
      <c r="K2052" s="3" t="s">
        <v>71</v>
      </c>
      <c r="L2052" s="3" t="str">
        <f>IFERROR(__xludf.DUMMYFUNCTION("GOOGLETRANSLATE(F2052,""id"",""en"")"),"regardless of who won later this will be recorded the history of one of the MATCH Final Match Memorable Respect")</f>
        <v>regardless of who won later this will be recorded the history of one of the MATCH Final Match Memorable Respect</v>
      </c>
    </row>
    <row r="2053" ht="15.75" customHeight="1">
      <c r="A2053" s="1">
        <v>2061.0</v>
      </c>
      <c r="B2053" s="3" t="s">
        <v>6124</v>
      </c>
      <c r="C2053" s="3">
        <v>0.0</v>
      </c>
      <c r="D2053" s="3">
        <v>0.0</v>
      </c>
      <c r="E2053" s="3">
        <v>0.0</v>
      </c>
      <c r="F2053" s="3" t="s">
        <v>6125</v>
      </c>
      <c r="G2053" s="3">
        <v>1.0</v>
      </c>
      <c r="H2053" s="3">
        <v>0.0</v>
      </c>
      <c r="I2053" s="3" t="s">
        <v>13</v>
      </c>
      <c r="J2053" s="3" t="s">
        <v>6126</v>
      </c>
      <c r="K2053" s="3" t="s">
        <v>54</v>
      </c>
      <c r="L2053" s="3" t="str">
        <f>IFERROR(__xludf.DUMMYFUNCTION("GOOGLETRANSLATE(F2053,""id"",""en"")"),"Mbappe Hatrick Final World Cup")</f>
        <v>Mbappe Hatrick Final World Cup</v>
      </c>
    </row>
    <row r="2054" ht="15.75" customHeight="1">
      <c r="A2054" s="1">
        <v>2062.0</v>
      </c>
      <c r="B2054" s="3" t="s">
        <v>6127</v>
      </c>
      <c r="C2054" s="3">
        <v>0.0</v>
      </c>
      <c r="D2054" s="3">
        <v>0.0</v>
      </c>
      <c r="E2054" s="3">
        <v>0.0</v>
      </c>
      <c r="F2054" s="3" t="s">
        <v>6128</v>
      </c>
      <c r="G2054" s="3">
        <v>1.0</v>
      </c>
      <c r="H2054" s="3">
        <v>0.0</v>
      </c>
      <c r="I2054" s="3" t="s">
        <v>13</v>
      </c>
      <c r="J2054" s="3" t="s">
        <v>6129</v>
      </c>
      <c r="K2054" s="3" t="s">
        <v>715</v>
      </c>
      <c r="L2054" s="3" t="str">
        <f>IFERROR(__xludf.DUMMYFUNCTION("GOOGLETRANSLATE(F2054,""id"",""en"")"),"The World Cup Final teaches us not to be takabbur sometimes it looks like to win, not necessarily win and those who seem to lose are not necessarily losing crazy Messi Mbappe")</f>
        <v>The World Cup Final teaches us not to be takabbur sometimes it looks like to win, not necessarily win and those who seem to lose are not necessarily losing crazy Messi Mbappe</v>
      </c>
    </row>
    <row r="2055" ht="15.75" customHeight="1">
      <c r="A2055" s="1">
        <v>2063.0</v>
      </c>
      <c r="B2055" s="3" t="s">
        <v>6130</v>
      </c>
      <c r="C2055" s="3">
        <v>0.0</v>
      </c>
      <c r="D2055" s="3">
        <v>0.0</v>
      </c>
      <c r="E2055" s="3">
        <v>1.0</v>
      </c>
      <c r="F2055" s="3" t="s">
        <v>6131</v>
      </c>
      <c r="G2055" s="3">
        <v>1.0</v>
      </c>
      <c r="H2055" s="3">
        <v>0.0</v>
      </c>
      <c r="I2055" s="3" t="s">
        <v>13</v>
      </c>
      <c r="J2055" s="3" t="s">
        <v>6132</v>
      </c>
      <c r="K2055" s="3" t="s">
        <v>15</v>
      </c>
      <c r="L2055" s="3" t="str">
        <f>IFERROR(__xludf.DUMMYFUNCTION("GOOGLETRANSLATE(F2055,""id"",""en"")"),"Mbappe and Messi carved the dramatic and entertaining World Cup final")</f>
        <v>Mbappe and Messi carved the dramatic and entertaining World Cup final</v>
      </c>
    </row>
    <row r="2056" ht="15.75" customHeight="1">
      <c r="A2056" s="1">
        <v>2064.0</v>
      </c>
      <c r="B2056" s="3" t="s">
        <v>6133</v>
      </c>
      <c r="C2056" s="3">
        <v>0.0</v>
      </c>
      <c r="D2056" s="3">
        <v>0.0</v>
      </c>
      <c r="E2056" s="3">
        <v>0.0</v>
      </c>
      <c r="F2056" s="3" t="s">
        <v>6134</v>
      </c>
      <c r="G2056" s="3">
        <v>1.0</v>
      </c>
      <c r="H2056" s="3">
        <v>0.0</v>
      </c>
      <c r="I2056" s="3" t="s">
        <v>13</v>
      </c>
      <c r="J2056" s="3" t="s">
        <v>6135</v>
      </c>
      <c r="K2056" s="3" t="s">
        <v>644</v>
      </c>
      <c r="L2056" s="3" t="str">
        <f>IFERROR(__xludf.DUMMYFUNCTION("GOOGLETRANSLATE(F2056,""id"",""en"")"),"The World Cup Final")</f>
        <v>The World Cup Final</v>
      </c>
    </row>
    <row r="2057" ht="15.75" customHeight="1">
      <c r="A2057" s="1">
        <v>2065.0</v>
      </c>
      <c r="B2057" s="3" t="s">
        <v>6136</v>
      </c>
      <c r="C2057" s="3">
        <v>0.0</v>
      </c>
      <c r="D2057" s="3">
        <v>0.0</v>
      </c>
      <c r="E2057" s="3">
        <v>0.0</v>
      </c>
      <c r="F2057" s="3" t="s">
        <v>6137</v>
      </c>
      <c r="G2057" s="3">
        <v>1.0</v>
      </c>
      <c r="H2057" s="3">
        <v>0.0</v>
      </c>
      <c r="I2057" s="3" t="s">
        <v>13</v>
      </c>
      <c r="J2057" s="3" t="s">
        <v>6138</v>
      </c>
      <c r="K2057" s="3" t="s">
        <v>54</v>
      </c>
      <c r="L2057" s="3" t="str">
        <f>IFERROR(__xludf.DUMMYFUNCTION("GOOGLETRANSLATE(F2057,""id"",""en"")"),"Whoever this champion is the best World Cup final")</f>
        <v>Whoever this champion is the best World Cup final</v>
      </c>
    </row>
    <row r="2058" ht="15.75" customHeight="1">
      <c r="A2058" s="1">
        <v>2066.0</v>
      </c>
      <c r="B2058" s="3" t="s">
        <v>6139</v>
      </c>
      <c r="C2058" s="3">
        <v>0.0</v>
      </c>
      <c r="D2058" s="3">
        <v>0.0</v>
      </c>
      <c r="E2058" s="3">
        <v>0.0</v>
      </c>
      <c r="F2058" s="3" t="s">
        <v>6140</v>
      </c>
      <c r="G2058" s="3">
        <v>1.0</v>
      </c>
      <c r="H2058" s="3">
        <v>0.0</v>
      </c>
      <c r="I2058" s="3" t="s">
        <v>13</v>
      </c>
      <c r="J2058" s="3" t="s">
        <v>6141</v>
      </c>
      <c r="K2058" s="3" t="s">
        <v>54</v>
      </c>
      <c r="L2058" s="3" t="str">
        <f>IFERROR(__xludf.DUMMYFUNCTION("GOOGLETRANSLATE(F2058,""id"",""en"")"),"This Epiccc World Cup final match")</f>
        <v>This Epiccc World Cup final match</v>
      </c>
    </row>
    <row r="2059" ht="15.75" customHeight="1">
      <c r="A2059" s="1">
        <v>2067.0</v>
      </c>
      <c r="B2059" s="3" t="s">
        <v>6142</v>
      </c>
      <c r="C2059" s="3">
        <v>0.0</v>
      </c>
      <c r="D2059" s="3">
        <v>0.0</v>
      </c>
      <c r="E2059" s="3">
        <v>0.0</v>
      </c>
      <c r="F2059" s="3" t="s">
        <v>6143</v>
      </c>
      <c r="G2059" s="3">
        <v>1.0</v>
      </c>
      <c r="H2059" s="3">
        <v>0.0</v>
      </c>
      <c r="I2059" s="3" t="s">
        <v>13</v>
      </c>
      <c r="J2059" s="3" t="s">
        <v>6144</v>
      </c>
      <c r="K2059" s="3" t="s">
        <v>104</v>
      </c>
      <c r="L2059" s="3" t="str">
        <f>IFERROR(__xludf.DUMMYFUNCTION("GOOGLETRANSLATE(F2059,""id"",""en"")"),"Admit absolute predictions, aka landslide because there is no way no one will win and there is no way no one will lose and win and lose from the results of the penalties that is the result of a happy match of the French Argentine World Cup match")</f>
        <v>Admit absolute predictions, aka landslide because there is no way no one will win and there is no way no one will lose and win and lose from the results of the penalties that is the result of a happy match of the French Argentine World Cup match</v>
      </c>
    </row>
    <row r="2060" ht="15.75" customHeight="1">
      <c r="A2060" s="1">
        <v>2068.0</v>
      </c>
      <c r="B2060" s="3" t="s">
        <v>6145</v>
      </c>
      <c r="C2060" s="3">
        <v>0.0</v>
      </c>
      <c r="D2060" s="3">
        <v>0.0</v>
      </c>
      <c r="E2060" s="3">
        <v>0.0</v>
      </c>
      <c r="F2060" s="3" t="s">
        <v>6146</v>
      </c>
      <c r="G2060" s="3">
        <v>1.0</v>
      </c>
      <c r="H2060" s="3">
        <v>0.0</v>
      </c>
      <c r="I2060" s="3" t="s">
        <v>13</v>
      </c>
      <c r="J2060" s="3" t="s">
        <v>6147</v>
      </c>
      <c r="K2060" s="3" t="s">
        <v>437</v>
      </c>
      <c r="L2060" s="3" t="str">
        <f>IFERROR(__xludf.DUMMYFUNCTION("GOOGLETRANSLATE(F2060,""id"",""en"")"),"Despite this goal from the penalty, including the World Cup, continued to continue the penalties without supporting the final team because Morocco and Portugal had died")</f>
        <v>Despite this goal from the penalty, including the World Cup, continued to continue the penalties without supporting the final team because Morocco and Portugal had died</v>
      </c>
    </row>
    <row r="2061" ht="15.75" customHeight="1">
      <c r="A2061" s="1">
        <v>2069.0</v>
      </c>
      <c r="B2061" s="3" t="s">
        <v>6148</v>
      </c>
      <c r="C2061" s="3">
        <v>0.0</v>
      </c>
      <c r="D2061" s="3">
        <v>0.0</v>
      </c>
      <c r="E2061" s="3">
        <v>0.0</v>
      </c>
      <c r="F2061" s="3" t="s">
        <v>6149</v>
      </c>
      <c r="G2061" s="3">
        <v>0.7999999999999999</v>
      </c>
      <c r="H2061" s="3">
        <v>-0.1333333333333333</v>
      </c>
      <c r="I2061" s="3" t="s">
        <v>179</v>
      </c>
      <c r="J2061" s="3" t="s">
        <v>6150</v>
      </c>
      <c r="K2061" s="3" t="s">
        <v>2907</v>
      </c>
      <c r="L2061" s="3" t="str">
        <f>IFERROR(__xludf.DUMMYFUNCTION("GOOGLETRANSLATE(F2061,""id"",""en"")"),"What Final Game Adu Penalty Penalty Final goalkeeper of the Qatar Cok World Cup Final")</f>
        <v>What Final Game Adu Penalty Penalty Final goalkeeper of the Qatar Cok World Cup Final</v>
      </c>
    </row>
    <row r="2062" ht="15.75" customHeight="1">
      <c r="A2062" s="1">
        <v>2070.0</v>
      </c>
      <c r="B2062" s="3" t="s">
        <v>6151</v>
      </c>
      <c r="C2062" s="3">
        <v>0.0</v>
      </c>
      <c r="D2062" s="3">
        <v>0.0</v>
      </c>
      <c r="E2062" s="3">
        <v>0.0</v>
      </c>
      <c r="F2062" s="3" t="s">
        <v>6152</v>
      </c>
      <c r="G2062" s="3">
        <v>1.0</v>
      </c>
      <c r="H2062" s="3">
        <v>0.0</v>
      </c>
      <c r="I2062" s="3" t="s">
        <v>13</v>
      </c>
      <c r="J2062" s="3" t="s">
        <v>6153</v>
      </c>
      <c r="K2062" s="3" t="s">
        <v>75</v>
      </c>
      <c r="L2062" s="3" t="str">
        <f>IFERROR(__xludf.DUMMYFUNCTION("GOOGLETRANSLATE(F2062,""id"",""en"")"),"The World Cup Final was excited about Argentina Mbappe Score continued with a penalty shootout")</f>
        <v>The World Cup Final was excited about Argentina Mbappe Score continued with a penalty shootout</v>
      </c>
    </row>
    <row r="2063" ht="15.75" customHeight="1">
      <c r="A2063" s="1">
        <v>2071.0</v>
      </c>
      <c r="B2063" s="3" t="s">
        <v>6154</v>
      </c>
      <c r="C2063" s="3">
        <v>1.0</v>
      </c>
      <c r="D2063" s="3">
        <v>0.0</v>
      </c>
      <c r="E2063" s="3">
        <v>1.0</v>
      </c>
      <c r="F2063" s="3" t="s">
        <v>6155</v>
      </c>
      <c r="G2063" s="3">
        <v>1.0</v>
      </c>
      <c r="H2063" s="3">
        <v>0.0</v>
      </c>
      <c r="I2063" s="3" t="s">
        <v>13</v>
      </c>
      <c r="J2063" s="3" t="s">
        <v>6156</v>
      </c>
      <c r="K2063" s="3" t="s">
        <v>41</v>
      </c>
      <c r="L2063" s="3" t="str">
        <f>IFERROR(__xludf.DUMMYFUNCTION("GOOGLETRANSLATE(F2063,""id"",""en"")"),"World Cup Final Most Gayeng Ikih Heart Spot Real")</f>
        <v>World Cup Final Most Gayeng Ikih Heart Spot Real</v>
      </c>
    </row>
    <row r="2064" ht="15.75" customHeight="1">
      <c r="A2064" s="1">
        <v>2072.0</v>
      </c>
      <c r="B2064" s="3" t="s">
        <v>6157</v>
      </c>
      <c r="C2064" s="3">
        <v>0.0</v>
      </c>
      <c r="D2064" s="3">
        <v>0.0</v>
      </c>
      <c r="E2064" s="3">
        <v>0.0</v>
      </c>
      <c r="F2064" s="3" t="s">
        <v>6158</v>
      </c>
      <c r="G2064" s="3">
        <v>1.0</v>
      </c>
      <c r="H2064" s="3">
        <v>0.0</v>
      </c>
      <c r="I2064" s="3" t="s">
        <v>13</v>
      </c>
      <c r="J2064" s="3" t="s">
        <v>6159</v>
      </c>
      <c r="K2064" s="3" t="s">
        <v>90</v>
      </c>
      <c r="L2064" s="3" t="str">
        <f>IFERROR(__xludf.DUMMYFUNCTION("GOOGLETRANSLATE(F2064,""id"",""en"")"),"Watching the Qatar World Cup Final House Falling asleep from the evening hours of the wake up, Argentina over France now wants to be a penalty shootout")</f>
        <v>Watching the Qatar World Cup Final House Falling asleep from the evening hours of the wake up, Argentina over France now wants to be a penalty shootout</v>
      </c>
    </row>
    <row r="2065" ht="15.75" customHeight="1">
      <c r="A2065" s="1">
        <v>2073.0</v>
      </c>
      <c r="B2065" s="3" t="s">
        <v>6160</v>
      </c>
      <c r="C2065" s="3">
        <v>0.0</v>
      </c>
      <c r="D2065" s="3">
        <v>0.0</v>
      </c>
      <c r="E2065" s="3">
        <v>0.0</v>
      </c>
      <c r="F2065" s="3" t="s">
        <v>2058</v>
      </c>
      <c r="G2065" s="3">
        <v>1.0</v>
      </c>
      <c r="H2065" s="3">
        <v>0.0</v>
      </c>
      <c r="I2065" s="3" t="s">
        <v>13</v>
      </c>
      <c r="J2065" s="3" t="s">
        <v>2059</v>
      </c>
      <c r="K2065" s="3" t="s">
        <v>54</v>
      </c>
      <c r="L2065" s="3" t="str">
        <f>IFERROR(__xludf.DUMMYFUNCTION("GOOGLETRANSLATE(F2065,""id"",""en"")"),"the best world cup final in history")</f>
        <v>the best world cup final in history</v>
      </c>
    </row>
    <row r="2066" ht="15.75" customHeight="1">
      <c r="A2066" s="1">
        <v>2074.0</v>
      </c>
      <c r="B2066" s="3" t="s">
        <v>6161</v>
      </c>
      <c r="C2066" s="3">
        <v>0.0</v>
      </c>
      <c r="D2066" s="3">
        <v>0.0</v>
      </c>
      <c r="E2066" s="3">
        <v>0.0</v>
      </c>
      <c r="F2066" s="3" t="s">
        <v>6162</v>
      </c>
      <c r="G2066" s="3">
        <v>1.0</v>
      </c>
      <c r="H2066" s="3">
        <v>0.0</v>
      </c>
      <c r="I2066" s="3" t="s">
        <v>13</v>
      </c>
      <c r="J2066" s="3" t="s">
        <v>6163</v>
      </c>
      <c r="K2066" s="3" t="s">
        <v>90</v>
      </c>
      <c r="L2066" s="3" t="str">
        <f>IFERROR(__xludf.DUMMYFUNCTION("GOOGLETRANSLATE(F2066,""id"",""en"")"),"Throughout watching this World Cup final, the most cool draw is even though the winner is drawn by a penalty because he is good")</f>
        <v>Throughout watching this World Cup final, the most cool draw is even though the winner is drawn by a penalty because he is good</v>
      </c>
    </row>
    <row r="2067" ht="15.75" customHeight="1">
      <c r="A2067" s="1">
        <v>2075.0</v>
      </c>
      <c r="B2067" s="3" t="s">
        <v>6164</v>
      </c>
      <c r="C2067" s="3">
        <v>0.0</v>
      </c>
      <c r="D2067" s="3">
        <v>0.0</v>
      </c>
      <c r="E2067" s="3">
        <v>0.0</v>
      </c>
      <c r="F2067" s="3" t="s">
        <v>6165</v>
      </c>
      <c r="G2067" s="3">
        <v>0.6</v>
      </c>
      <c r="H2067" s="3">
        <v>-0.05</v>
      </c>
      <c r="I2067" s="3" t="s">
        <v>179</v>
      </c>
      <c r="J2067" s="3" t="s">
        <v>6166</v>
      </c>
      <c r="K2067" s="3" t="s">
        <v>675</v>
      </c>
      <c r="L2067" s="3" t="str">
        <f>IFERROR(__xludf.DUMMYFUNCTION("GOOGLETRANSLATE(F2067,""id"",""en"")"),"This is like the true definition of the World Cup Final of the World's Best National Team Collaborates with Skill and Mental I really love me at the beginning of the overslept, I still built it")</f>
        <v>This is like the true definition of the World Cup Final of the World's Best National Team Collaborates with Skill and Mental I really love me at the beginning of the overslept, I still built it</v>
      </c>
    </row>
    <row r="2068" ht="15.75" customHeight="1">
      <c r="A2068" s="1">
        <v>2076.0</v>
      </c>
      <c r="B2068" s="3" t="s">
        <v>6167</v>
      </c>
      <c r="C2068" s="3">
        <v>0.0</v>
      </c>
      <c r="D2068" s="3">
        <v>0.0</v>
      </c>
      <c r="E2068" s="3">
        <v>0.0</v>
      </c>
      <c r="F2068" s="3" t="s">
        <v>6168</v>
      </c>
      <c r="G2068" s="3">
        <v>1.0</v>
      </c>
      <c r="H2068" s="3">
        <v>0.0</v>
      </c>
      <c r="I2068" s="3" t="s">
        <v>13</v>
      </c>
      <c r="J2068" s="3" t="s">
        <v>6169</v>
      </c>
      <c r="K2068" s="3" t="s">
        <v>1335</v>
      </c>
      <c r="L2068" s="3" t="str">
        <f>IFERROR(__xludf.DUMMYFUNCTION("GOOGLETRANSLATE(F2068,""id"",""en"")"),"The World Cup final is really cool")</f>
        <v>The World Cup final is really cool</v>
      </c>
    </row>
    <row r="2069" ht="15.75" customHeight="1">
      <c r="A2069" s="1">
        <v>2077.0</v>
      </c>
      <c r="B2069" s="3" t="s">
        <v>6170</v>
      </c>
      <c r="C2069" s="3">
        <v>0.0</v>
      </c>
      <c r="D2069" s="3">
        <v>0.0</v>
      </c>
      <c r="E2069" s="3">
        <v>0.0</v>
      </c>
      <c r="F2069" s="3" t="s">
        <v>6171</v>
      </c>
      <c r="G2069" s="3">
        <v>1.0</v>
      </c>
      <c r="H2069" s="3">
        <v>0.0</v>
      </c>
      <c r="I2069" s="3" t="s">
        <v>13</v>
      </c>
      <c r="J2069" s="3" t="s">
        <v>6172</v>
      </c>
      <c r="K2069" s="3" t="s">
        <v>477</v>
      </c>
      <c r="L2069" s="3" t="str">
        <f>IFERROR(__xludf.DUMMYFUNCTION("GOOGLETRANSLATE(F2069,""id"",""en"")"),"What Final Final of the Best World Cup of All Time")</f>
        <v>What Final Final of the Best World Cup of All Time</v>
      </c>
    </row>
    <row r="2070" ht="15.75" customHeight="1">
      <c r="A2070" s="1">
        <v>2078.0</v>
      </c>
      <c r="B2070" s="3" t="s">
        <v>6173</v>
      </c>
      <c r="C2070" s="3">
        <v>1.0</v>
      </c>
      <c r="D2070" s="3">
        <v>0.0</v>
      </c>
      <c r="E2070" s="3">
        <v>1.0</v>
      </c>
      <c r="F2070" s="3" t="s">
        <v>6174</v>
      </c>
      <c r="G2070" s="3">
        <v>1.0</v>
      </c>
      <c r="H2070" s="3">
        <v>0.0</v>
      </c>
      <c r="I2070" s="3" t="s">
        <v>13</v>
      </c>
      <c r="J2070" s="3" t="s">
        <v>6175</v>
      </c>
      <c r="K2070" s="3" t="s">
        <v>15</v>
      </c>
      <c r="L2070" s="3" t="str">
        <f>IFERROR(__xludf.DUMMYFUNCTION("GOOGLETRANSLATE(F2070,""id"",""en"")"),"Seeing the final of the World Cup Messi is already valid")</f>
        <v>Seeing the final of the World Cup Messi is already valid</v>
      </c>
    </row>
    <row r="2071" ht="15.75" customHeight="1">
      <c r="A2071" s="1">
        <v>2079.0</v>
      </c>
      <c r="B2071" s="3" t="s">
        <v>6176</v>
      </c>
      <c r="C2071" s="3">
        <v>3.0</v>
      </c>
      <c r="D2071" s="3">
        <v>1.0</v>
      </c>
      <c r="E2071" s="3">
        <v>5.0</v>
      </c>
      <c r="F2071" s="3" t="s">
        <v>6177</v>
      </c>
      <c r="G2071" s="3">
        <v>1.0</v>
      </c>
      <c r="H2071" s="3">
        <v>0.0</v>
      </c>
      <c r="I2071" s="3" t="s">
        <v>13</v>
      </c>
      <c r="J2071" s="3" t="s">
        <v>6178</v>
      </c>
      <c r="K2071" s="3" t="s">
        <v>82</v>
      </c>
      <c r="L2071" s="3" t="str">
        <f>IFERROR(__xludf.DUMMYFUNCTION("GOOGLETRANSLATE(F2071,""id"",""en"")"),"This is the most dramatic world cup final")</f>
        <v>This is the most dramatic world cup final</v>
      </c>
    </row>
    <row r="2072" ht="15.75" customHeight="1">
      <c r="A2072" s="1">
        <v>2080.0</v>
      </c>
      <c r="B2072" s="3" t="s">
        <v>6179</v>
      </c>
      <c r="C2072" s="3">
        <v>0.0</v>
      </c>
      <c r="D2072" s="3">
        <v>0.0</v>
      </c>
      <c r="E2072" s="3">
        <v>0.0</v>
      </c>
      <c r="F2072" s="3" t="s">
        <v>6180</v>
      </c>
      <c r="G2072" s="3">
        <v>1.0</v>
      </c>
      <c r="H2072" s="3">
        <v>0.0</v>
      </c>
      <c r="I2072" s="3" t="s">
        <v>13</v>
      </c>
      <c r="J2072" s="3" t="s">
        <v>6181</v>
      </c>
      <c r="K2072" s="3" t="s">
        <v>82</v>
      </c>
      <c r="L2072" s="3" t="str">
        <f>IFERROR(__xludf.DUMMYFUNCTION("GOOGLETRANSLATE(F2072,""id"",""en"")"),"Crazy Final of the Best World Cup ever watched")</f>
        <v>Crazy Final of the Best World Cup ever watched</v>
      </c>
    </row>
    <row r="2073" ht="15.75" customHeight="1">
      <c r="A2073" s="1">
        <v>2081.0</v>
      </c>
      <c r="B2073" s="3" t="s">
        <v>6182</v>
      </c>
      <c r="C2073" s="3">
        <v>0.0</v>
      </c>
      <c r="D2073" s="3">
        <v>0.0</v>
      </c>
      <c r="E2073" s="3">
        <v>0.0</v>
      </c>
      <c r="F2073" s="3" t="s">
        <v>6183</v>
      </c>
      <c r="G2073" s="3">
        <v>0.65</v>
      </c>
      <c r="H2073" s="3">
        <v>0.1</v>
      </c>
      <c r="I2073" s="3" t="s">
        <v>48</v>
      </c>
      <c r="J2073" s="3" t="s">
        <v>6184</v>
      </c>
      <c r="K2073" s="3" t="s">
        <v>41</v>
      </c>
      <c r="L2073" s="3" t="str">
        <f>IFERROR(__xludf.DUMMYFUNCTION("GOOGLETRANSLATE(F2073,""id"",""en"")"),"The World Cup Final Hattrick is possessed what are you mbappe haha")</f>
        <v>The World Cup Final Hattrick is possessed what are you mbappe haha</v>
      </c>
    </row>
    <row r="2074" ht="15.75" customHeight="1">
      <c r="A2074" s="1">
        <v>2082.0</v>
      </c>
      <c r="B2074" s="3" t="s">
        <v>6185</v>
      </c>
      <c r="C2074" s="3">
        <v>0.0</v>
      </c>
      <c r="D2074" s="3">
        <v>0.0</v>
      </c>
      <c r="E2074" s="3">
        <v>0.0</v>
      </c>
      <c r="F2074" s="3" t="s">
        <v>6186</v>
      </c>
      <c r="G2074" s="3">
        <v>1.0</v>
      </c>
      <c r="H2074" s="3">
        <v>0.0</v>
      </c>
      <c r="I2074" s="3" t="s">
        <v>13</v>
      </c>
      <c r="J2074" s="3" t="s">
        <v>6187</v>
      </c>
      <c r="K2074" s="3" t="s">
        <v>510</v>
      </c>
      <c r="L2074" s="3" t="str">
        <f>IFERROR(__xludf.DUMMYFUNCTION("GOOGLETRANSLATE(F2074,""id"",""en"")"),"there are people out there who choose to sleep rather than see the best world cup final of all time")</f>
        <v>there are people out there who choose to sleep rather than see the best world cup final of all time</v>
      </c>
    </row>
    <row r="2075" ht="15.75" customHeight="1">
      <c r="A2075" s="1">
        <v>2083.0</v>
      </c>
      <c r="B2075" s="3" t="s">
        <v>6188</v>
      </c>
      <c r="C2075" s="3">
        <v>0.0</v>
      </c>
      <c r="D2075" s="3">
        <v>0.0</v>
      </c>
      <c r="E2075" s="3">
        <v>0.0</v>
      </c>
      <c r="F2075" s="3" t="s">
        <v>6189</v>
      </c>
      <c r="G2075" s="3">
        <v>1.0</v>
      </c>
      <c r="H2075" s="3">
        <v>0.0</v>
      </c>
      <c r="I2075" s="3" t="s">
        <v>13</v>
      </c>
      <c r="J2075" s="3" t="s">
        <v>6190</v>
      </c>
      <c r="K2075" s="3" t="s">
        <v>82</v>
      </c>
      <c r="L2075" s="3" t="str">
        <f>IFERROR(__xludf.DUMMYFUNCTION("GOOGLETRANSLATE(F2075,""id"",""en"")"),"Ajig's most exciting world cup final according to Aing")</f>
        <v>Ajig's most exciting world cup final according to Aing</v>
      </c>
    </row>
    <row r="2076" ht="15.75" customHeight="1">
      <c r="A2076" s="1">
        <v>2084.0</v>
      </c>
      <c r="B2076" s="3" t="s">
        <v>6191</v>
      </c>
      <c r="C2076" s="3">
        <v>0.0</v>
      </c>
      <c r="D2076" s="3">
        <v>0.0</v>
      </c>
      <c r="E2076" s="3">
        <v>0.0</v>
      </c>
      <c r="F2076" s="3" t="s">
        <v>6191</v>
      </c>
      <c r="G2076" s="3">
        <v>1.0</v>
      </c>
      <c r="H2076" s="3">
        <v>0.0</v>
      </c>
      <c r="I2076" s="3" t="s">
        <v>13</v>
      </c>
      <c r="J2076" s="3" t="s">
        <v>6192</v>
      </c>
      <c r="K2076" s="3" t="s">
        <v>31</v>
      </c>
      <c r="L2076" s="3" t="str">
        <f>IFERROR(__xludf.DUMMYFUNCTION("GOOGLETRANSLATE(F2076,""id"",""en"")"),"The Real Final World Cup")</f>
        <v>The Real Final World Cup</v>
      </c>
    </row>
    <row r="2077" ht="15.75" customHeight="1">
      <c r="A2077" s="1">
        <v>2085.0</v>
      </c>
      <c r="B2077" s="3" t="s">
        <v>6193</v>
      </c>
      <c r="C2077" s="3">
        <v>0.0</v>
      </c>
      <c r="D2077" s="3">
        <v>0.0</v>
      </c>
      <c r="E2077" s="3">
        <v>0.0</v>
      </c>
      <c r="F2077" s="3" t="s">
        <v>6194</v>
      </c>
      <c r="G2077" s="3">
        <v>0.5555555555555555</v>
      </c>
      <c r="H2077" s="3">
        <v>0.1111111111111111</v>
      </c>
      <c r="I2077" s="3" t="s">
        <v>48</v>
      </c>
      <c r="J2077" s="3" t="s">
        <v>6195</v>
      </c>
      <c r="K2077" s="3" t="s">
        <v>123</v>
      </c>
      <c r="L2077" s="3" t="str">
        <f>IFERROR(__xludf.DUMMYFUNCTION("GOOGLETRANSLATE(F2077,""id"",""en"")"),"France mentally doesn't play cool, this is the best spectacle of the World Cup final, which is just a goalkeeper who is good at Nepis")</f>
        <v>France mentally doesn't play cool, this is the best spectacle of the World Cup final, which is just a goalkeeper who is good at Nepis</v>
      </c>
    </row>
    <row r="2078" ht="15.75" customHeight="1">
      <c r="A2078" s="1">
        <v>2086.0</v>
      </c>
      <c r="B2078" s="3" t="s">
        <v>6196</v>
      </c>
      <c r="C2078" s="3">
        <v>0.0</v>
      </c>
      <c r="D2078" s="3">
        <v>0.0</v>
      </c>
      <c r="E2078" s="3">
        <v>0.0</v>
      </c>
      <c r="F2078" s="3" t="s">
        <v>6197</v>
      </c>
      <c r="G2078" s="3">
        <v>0.8333333333333334</v>
      </c>
      <c r="H2078" s="3">
        <v>0.3333333333333333</v>
      </c>
      <c r="I2078" s="3" t="s">
        <v>48</v>
      </c>
      <c r="J2078" s="3" t="s">
        <v>6198</v>
      </c>
      <c r="K2078" s="3" t="s">
        <v>50</v>
      </c>
      <c r="L2078" s="3" t="str">
        <f>IFERROR(__xludf.DUMMYFUNCTION("GOOGLETRANSLATE(F2078,""id"",""en"")"),"Most Memorable World Cup Final is the most entertaining in the history of the World Cup")</f>
        <v>Most Memorable World Cup Final is the most entertaining in the history of the World Cup</v>
      </c>
    </row>
    <row r="2079" ht="15.75" customHeight="1">
      <c r="A2079" s="1">
        <v>2087.0</v>
      </c>
      <c r="B2079" s="3" t="s">
        <v>6199</v>
      </c>
      <c r="C2079" s="3">
        <v>0.0</v>
      </c>
      <c r="D2079" s="3">
        <v>0.0</v>
      </c>
      <c r="E2079" s="3">
        <v>0.0</v>
      </c>
      <c r="F2079" s="3" t="s">
        <v>6199</v>
      </c>
      <c r="G2079" s="3">
        <v>1.0</v>
      </c>
      <c r="H2079" s="3">
        <v>0.0</v>
      </c>
      <c r="I2079" s="3" t="s">
        <v>13</v>
      </c>
      <c r="J2079" s="3" t="s">
        <v>3633</v>
      </c>
      <c r="K2079" s="3" t="s">
        <v>644</v>
      </c>
      <c r="L2079" s="3" t="str">
        <f>IFERROR(__xludf.DUMMYFUNCTION("GOOGLETRANSLATE(F2079,""id"",""en"")"),"The Coolest World Cup Final")</f>
        <v>The Coolest World Cup Final</v>
      </c>
    </row>
    <row r="2080" ht="15.75" customHeight="1">
      <c r="A2080" s="1">
        <v>2088.0</v>
      </c>
      <c r="B2080" s="3" t="s">
        <v>6200</v>
      </c>
      <c r="C2080" s="3">
        <v>0.0</v>
      </c>
      <c r="D2080" s="3">
        <v>0.0</v>
      </c>
      <c r="E2080" s="3">
        <v>0.0</v>
      </c>
      <c r="F2080" s="3" t="s">
        <v>6201</v>
      </c>
      <c r="G2080" s="3">
        <v>1.0</v>
      </c>
      <c r="H2080" s="3">
        <v>0.0</v>
      </c>
      <c r="I2080" s="3" t="s">
        <v>13</v>
      </c>
      <c r="J2080" s="3" t="s">
        <v>6202</v>
      </c>
      <c r="K2080" s="3" t="s">
        <v>31</v>
      </c>
      <c r="L2080" s="3" t="str">
        <f>IFERROR(__xludf.DUMMYFUNCTION("GOOGLETRANSLATE(F2080,""id"",""en"")"),"World Cup Hatrick Kali Cuy Final")</f>
        <v>World Cup Hatrick Kali Cuy Final</v>
      </c>
    </row>
    <row r="2081" ht="15.75" customHeight="1">
      <c r="A2081" s="1">
        <v>2089.0</v>
      </c>
      <c r="B2081" s="3" t="s">
        <v>6203</v>
      </c>
      <c r="C2081" s="3">
        <v>0.0</v>
      </c>
      <c r="D2081" s="3">
        <v>0.0</v>
      </c>
      <c r="E2081" s="3">
        <v>0.0</v>
      </c>
      <c r="F2081" s="3" t="s">
        <v>6204</v>
      </c>
      <c r="G2081" s="3">
        <v>1.0</v>
      </c>
      <c r="H2081" s="3">
        <v>0.0</v>
      </c>
      <c r="I2081" s="3" t="s">
        <v>13</v>
      </c>
      <c r="J2081" s="3" t="s">
        <v>6205</v>
      </c>
      <c r="K2081" s="3" t="s">
        <v>54</v>
      </c>
      <c r="L2081" s="3" t="str">
        <f>IFERROR(__xludf.DUMMYFUNCTION("GOOGLETRANSLATE(F2081,""id"",""en"")"),"Ever seen this exciting world cup final")</f>
        <v>Ever seen this exciting world cup final</v>
      </c>
    </row>
    <row r="2082" ht="15.75" customHeight="1">
      <c r="A2082" s="1">
        <v>2091.0</v>
      </c>
      <c r="B2082" s="3" t="s">
        <v>6206</v>
      </c>
      <c r="C2082" s="3">
        <v>0.0</v>
      </c>
      <c r="D2082" s="3">
        <v>0.0</v>
      </c>
      <c r="E2082" s="3">
        <v>0.0</v>
      </c>
      <c r="F2082" s="3" t="s">
        <v>6207</v>
      </c>
      <c r="G2082" s="3">
        <v>1.0</v>
      </c>
      <c r="H2082" s="3">
        <v>0.0</v>
      </c>
      <c r="I2082" s="3" t="s">
        <v>13</v>
      </c>
      <c r="J2082" s="3" t="s">
        <v>6208</v>
      </c>
      <c r="K2082" s="3" t="s">
        <v>31</v>
      </c>
      <c r="L2082" s="3" t="str">
        <f>IFERROR(__xludf.DUMMYFUNCTION("GOOGLETRANSLATE(F2082,""id"",""en"")"),"World Cup Final Most Edan")</f>
        <v>World Cup Final Most Edan</v>
      </c>
    </row>
    <row r="2083" ht="15.75" customHeight="1">
      <c r="A2083" s="1">
        <v>2092.0</v>
      </c>
      <c r="B2083" s="3" t="s">
        <v>6209</v>
      </c>
      <c r="C2083" s="3">
        <v>0.0</v>
      </c>
      <c r="D2083" s="3">
        <v>0.0</v>
      </c>
      <c r="E2083" s="3">
        <v>0.0</v>
      </c>
      <c r="F2083" s="3" t="s">
        <v>6210</v>
      </c>
      <c r="G2083" s="3">
        <v>0.75</v>
      </c>
      <c r="H2083" s="3">
        <v>0.06818181818181818</v>
      </c>
      <c r="I2083" s="3" t="s">
        <v>48</v>
      </c>
      <c r="J2083" s="3" t="s">
        <v>6211</v>
      </c>
      <c r="K2083" s="3" t="s">
        <v>71</v>
      </c>
      <c r="L2083" s="3" t="str">
        <f>IFERROR(__xludf.DUMMYFUNCTION("GOOGLETRANSLATE(F2083,""id"",""en"")"),"LIVE LIVE STREAMING Argentina French Final World Cup Will Lionel Messi Raise the Trophy Via")</f>
        <v>LIVE LIVE STREAMING Argentina French Final World Cup Will Lionel Messi Raise the Trophy Via</v>
      </c>
    </row>
    <row r="2084" ht="15.75" customHeight="1">
      <c r="A2084" s="1">
        <v>2093.0</v>
      </c>
      <c r="B2084" s="3" t="s">
        <v>6212</v>
      </c>
      <c r="C2084" s="3">
        <v>1.0</v>
      </c>
      <c r="D2084" s="3">
        <v>0.0</v>
      </c>
      <c r="E2084" s="3">
        <v>0.0</v>
      </c>
      <c r="F2084" s="3" t="s">
        <v>6213</v>
      </c>
      <c r="G2084" s="3">
        <v>1.0</v>
      </c>
      <c r="H2084" s="3">
        <v>0.0</v>
      </c>
      <c r="I2084" s="3" t="s">
        <v>13</v>
      </c>
      <c r="J2084" s="3" t="s">
        <v>6214</v>
      </c>
      <c r="K2084" s="3" t="s">
        <v>15</v>
      </c>
      <c r="L2084" s="3" t="str">
        <f>IFERROR(__xludf.DUMMYFUNCTION("GOOGLETRANSLATE(F2084,""id"",""en"")"),"Fix Match Final of the Best World Cup ever watched")</f>
        <v>Fix Match Final of the Best World Cup ever watched</v>
      </c>
    </row>
    <row r="2085" ht="15.75" customHeight="1">
      <c r="A2085" s="1">
        <v>2094.0</v>
      </c>
      <c r="B2085" s="3" t="s">
        <v>6215</v>
      </c>
      <c r="C2085" s="3">
        <v>0.0</v>
      </c>
      <c r="D2085" s="3">
        <v>0.0</v>
      </c>
      <c r="E2085" s="3">
        <v>0.0</v>
      </c>
      <c r="F2085" s="3" t="s">
        <v>6216</v>
      </c>
      <c r="G2085" s="3">
        <v>1.0</v>
      </c>
      <c r="H2085" s="3">
        <v>0.0</v>
      </c>
      <c r="I2085" s="3" t="s">
        <v>13</v>
      </c>
      <c r="J2085" s="3" t="s">
        <v>6217</v>
      </c>
      <c r="K2085" s="3" t="s">
        <v>3346</v>
      </c>
      <c r="L2085" s="3" t="str">
        <f>IFERROR(__xludf.DUMMYFUNCTION("GOOGLETRANSLATE(F2085,""id"",""en"")"),"I think the World Cup final from me watching until now the most exciting and dramatic final in my opinion")</f>
        <v>I think the World Cup final from me watching until now the most exciting and dramatic final in my opinion</v>
      </c>
    </row>
    <row r="2086" ht="15.75" customHeight="1">
      <c r="A2086" s="1">
        <v>2095.0</v>
      </c>
      <c r="B2086" s="3" t="s">
        <v>6218</v>
      </c>
      <c r="C2086" s="3">
        <v>0.0</v>
      </c>
      <c r="D2086" s="3">
        <v>0.0</v>
      </c>
      <c r="E2086" s="3">
        <v>0.0</v>
      </c>
      <c r="F2086" s="3" t="s">
        <v>2115</v>
      </c>
      <c r="G2086" s="3">
        <v>1.0</v>
      </c>
      <c r="H2086" s="3">
        <v>0.0</v>
      </c>
      <c r="I2086" s="3" t="s">
        <v>13</v>
      </c>
      <c r="J2086" s="3" t="s">
        <v>2116</v>
      </c>
      <c r="K2086" s="3" t="s">
        <v>2117</v>
      </c>
      <c r="L2086" s="3" t="str">
        <f>IFERROR(__xludf.DUMMYFUNCTION("GOOGLETRANSLATE(F2086,""id"",""en"")"),"World Cup Final")</f>
        <v>World Cup Final</v>
      </c>
    </row>
    <row r="2087" ht="15.75" customHeight="1">
      <c r="A2087" s="1">
        <v>2096.0</v>
      </c>
      <c r="B2087" s="3" t="s">
        <v>6219</v>
      </c>
      <c r="C2087" s="3">
        <v>0.0</v>
      </c>
      <c r="D2087" s="3">
        <v>1.0</v>
      </c>
      <c r="E2087" s="3">
        <v>0.0</v>
      </c>
      <c r="F2087" s="3" t="s">
        <v>6220</v>
      </c>
      <c r="G2087" s="3">
        <v>1.0</v>
      </c>
      <c r="H2087" s="3">
        <v>0.0</v>
      </c>
      <c r="I2087" s="3" t="s">
        <v>13</v>
      </c>
      <c r="J2087" s="3" t="s">
        <v>6221</v>
      </c>
      <c r="K2087" s="3" t="s">
        <v>75</v>
      </c>
      <c r="L2087" s="3" t="str">
        <f>IFERROR(__xludf.DUMMYFUNCTION("GOOGLETRANSLATE(F2087,""id"",""en"")"),"from the first time watching the World Cup final right this is the most exciting fix")</f>
        <v>from the first time watching the World Cup final right this is the most exciting fix</v>
      </c>
    </row>
    <row r="2088" ht="15.75" customHeight="1">
      <c r="A2088" s="1">
        <v>2097.0</v>
      </c>
      <c r="B2088" s="3" t="s">
        <v>6222</v>
      </c>
      <c r="C2088" s="3">
        <v>0.0</v>
      </c>
      <c r="D2088" s="3">
        <v>0.0</v>
      </c>
      <c r="E2088" s="3">
        <v>1.0</v>
      </c>
      <c r="F2088" s="3" t="s">
        <v>3789</v>
      </c>
      <c r="G2088" s="3">
        <v>1.0</v>
      </c>
      <c r="H2088" s="3">
        <v>0.0</v>
      </c>
      <c r="I2088" s="3" t="s">
        <v>13</v>
      </c>
      <c r="J2088" s="3" t="s">
        <v>3790</v>
      </c>
      <c r="K2088" s="3" t="s">
        <v>1293</v>
      </c>
      <c r="L2088" s="3" t="str">
        <f>IFERROR(__xludf.DUMMYFUNCTION("GOOGLETRANSLATE(F2088,""id"",""en"")"),"Kylian Mbappe scored the World Cup Final Hat Trick scored another goal from the penalty to make the French Argentina score a draw")</f>
        <v>Kylian Mbappe scored the World Cup Final Hat Trick scored another goal from the penalty to make the French Argentina score a draw</v>
      </c>
    </row>
    <row r="2089" ht="15.75" customHeight="1">
      <c r="A2089" s="1">
        <v>2098.0</v>
      </c>
      <c r="B2089" s="3" t="s">
        <v>6223</v>
      </c>
      <c r="C2089" s="3">
        <v>0.0</v>
      </c>
      <c r="D2089" s="3">
        <v>0.0</v>
      </c>
      <c r="E2089" s="3">
        <v>1.0</v>
      </c>
      <c r="F2089" s="3" t="s">
        <v>6224</v>
      </c>
      <c r="G2089" s="3">
        <v>0.75</v>
      </c>
      <c r="H2089" s="3">
        <v>0.06818181818181818</v>
      </c>
      <c r="I2089" s="3" t="s">
        <v>48</v>
      </c>
      <c r="J2089" s="3" t="s">
        <v>6225</v>
      </c>
      <c r="K2089" s="3" t="s">
        <v>15</v>
      </c>
      <c r="L2089" s="3" t="str">
        <f>IFERROR(__xludf.DUMMYFUNCTION("GOOGLETRANSLATE(F2089,""id"",""en"")"),"Penalty Live Streaming of the French Argentine World Cup Final")</f>
        <v>Penalty Live Streaming of the French Argentine World Cup Final</v>
      </c>
    </row>
    <row r="2090" ht="15.75" customHeight="1">
      <c r="A2090" s="1">
        <v>2099.0</v>
      </c>
      <c r="B2090" s="3" t="s">
        <v>6226</v>
      </c>
      <c r="C2090" s="3">
        <v>0.0</v>
      </c>
      <c r="D2090" s="3">
        <v>0.0</v>
      </c>
      <c r="E2090" s="3">
        <v>0.0</v>
      </c>
      <c r="F2090" s="3" t="s">
        <v>665</v>
      </c>
      <c r="G2090" s="3">
        <v>1.0</v>
      </c>
      <c r="H2090" s="3">
        <v>0.0</v>
      </c>
      <c r="I2090" s="3" t="s">
        <v>13</v>
      </c>
      <c r="J2090" s="3" t="s">
        <v>666</v>
      </c>
      <c r="K2090" s="3" t="s">
        <v>644</v>
      </c>
      <c r="L2090" s="3" t="str">
        <f>IFERROR(__xludf.DUMMYFUNCTION("GOOGLETRANSLATE(F2090,""id"",""en"")"),"the best world cup final")</f>
        <v>the best world cup final</v>
      </c>
    </row>
    <row r="2091" ht="15.75" customHeight="1">
      <c r="A2091" s="1">
        <v>2100.0</v>
      </c>
      <c r="B2091" s="3" t="s">
        <v>6227</v>
      </c>
      <c r="C2091" s="3">
        <v>0.0</v>
      </c>
      <c r="D2091" s="3">
        <v>0.0</v>
      </c>
      <c r="E2091" s="3">
        <v>0.0</v>
      </c>
      <c r="F2091" s="3" t="s">
        <v>6228</v>
      </c>
      <c r="G2091" s="3">
        <v>1.0</v>
      </c>
      <c r="H2091" s="3">
        <v>0.0</v>
      </c>
      <c r="I2091" s="3" t="s">
        <v>13</v>
      </c>
      <c r="J2091" s="3" t="s">
        <v>6229</v>
      </c>
      <c r="K2091" s="3" t="s">
        <v>240</v>
      </c>
      <c r="L2091" s="3" t="str">
        <f>IFERROR(__xludf.DUMMYFUNCTION("GOOGLETRANSLATE(F2091,""id"",""en"")"),"Fix Kylian Mbappe Winning of World Cup Golden Shoe after breaking goal goal Argentina")</f>
        <v>Fix Kylian Mbappe Winning of World Cup Golden Shoe after breaking goal goal Argentina</v>
      </c>
    </row>
    <row r="2092" ht="15.75" customHeight="1">
      <c r="A2092" s="1">
        <v>2101.0</v>
      </c>
      <c r="B2092" s="3" t="s">
        <v>6230</v>
      </c>
      <c r="C2092" s="3">
        <v>0.0</v>
      </c>
      <c r="D2092" s="3">
        <v>0.0</v>
      </c>
      <c r="E2092" s="3">
        <v>2.0</v>
      </c>
      <c r="F2092" s="3" t="s">
        <v>6231</v>
      </c>
      <c r="G2092" s="3">
        <v>1.0</v>
      </c>
      <c r="H2092" s="3">
        <v>0.0</v>
      </c>
      <c r="I2092" s="3" t="s">
        <v>13</v>
      </c>
      <c r="J2092" s="3" t="s">
        <v>6232</v>
      </c>
      <c r="K2092" s="3" t="s">
        <v>82</v>
      </c>
      <c r="L2092" s="3" t="str">
        <f>IFERROR(__xludf.DUMMYFUNCTION("GOOGLETRANSLATE(F2092,""id"",""en"")"),"The best world cup final for life is crazy")</f>
        <v>The best world cup final for life is crazy</v>
      </c>
    </row>
    <row r="2093" ht="15.75" customHeight="1">
      <c r="A2093" s="1">
        <v>2102.0</v>
      </c>
      <c r="B2093" s="3" t="s">
        <v>6233</v>
      </c>
      <c r="C2093" s="3">
        <v>0.0</v>
      </c>
      <c r="D2093" s="3">
        <v>0.0</v>
      </c>
      <c r="E2093" s="3">
        <v>0.0</v>
      </c>
      <c r="F2093" s="3" t="s">
        <v>3789</v>
      </c>
      <c r="G2093" s="3">
        <v>1.0</v>
      </c>
      <c r="H2093" s="3">
        <v>0.0</v>
      </c>
      <c r="I2093" s="3" t="s">
        <v>13</v>
      </c>
      <c r="J2093" s="3" t="s">
        <v>3790</v>
      </c>
      <c r="K2093" s="3" t="s">
        <v>1293</v>
      </c>
      <c r="L2093" s="3" t="str">
        <f>IFERROR(__xludf.DUMMYFUNCTION("GOOGLETRANSLATE(F2093,""id"",""en"")"),"Kylian Mbappe scored the World Cup Final Hat Trick scored another goal from the penalty to make the French Argentina score a draw")</f>
        <v>Kylian Mbappe scored the World Cup Final Hat Trick scored another goal from the penalty to make the French Argentina score a draw</v>
      </c>
    </row>
    <row r="2094" ht="15.75" customHeight="1">
      <c r="A2094" s="1">
        <v>2103.0</v>
      </c>
      <c r="B2094" s="3" t="s">
        <v>6234</v>
      </c>
      <c r="C2094" s="3">
        <v>0.0</v>
      </c>
      <c r="D2094" s="3">
        <v>0.0</v>
      </c>
      <c r="E2094" s="3">
        <v>0.0</v>
      </c>
      <c r="F2094" s="3" t="s">
        <v>6235</v>
      </c>
      <c r="G2094" s="3">
        <v>1.0</v>
      </c>
      <c r="H2094" s="3">
        <v>0.0</v>
      </c>
      <c r="I2094" s="3" t="s">
        <v>13</v>
      </c>
      <c r="J2094" s="3" t="s">
        <v>6236</v>
      </c>
      <c r="K2094" s="3" t="s">
        <v>82</v>
      </c>
      <c r="L2094" s="3" t="str">
        <f>IFERROR(__xludf.DUMMYFUNCTION("GOOGLETRANSLATE(F2094,""id"",""en"")"),"the craziest world cup finals exclaimed")</f>
        <v>the craziest world cup finals exclaimed</v>
      </c>
    </row>
    <row r="2095" ht="15.75" customHeight="1">
      <c r="A2095" s="1">
        <v>2104.0</v>
      </c>
      <c r="B2095" s="3" t="s">
        <v>6237</v>
      </c>
      <c r="C2095" s="3">
        <v>0.0</v>
      </c>
      <c r="D2095" s="3">
        <v>0.0</v>
      </c>
      <c r="E2095" s="3">
        <v>0.0</v>
      </c>
      <c r="F2095" s="3" t="s">
        <v>6238</v>
      </c>
      <c r="G2095" s="3">
        <v>1.0</v>
      </c>
      <c r="H2095" s="3">
        <v>0.0</v>
      </c>
      <c r="I2095" s="3" t="s">
        <v>13</v>
      </c>
      <c r="J2095" s="3" t="s">
        <v>6239</v>
      </c>
      <c r="K2095" s="3" t="s">
        <v>41</v>
      </c>
      <c r="L2095" s="3" t="str">
        <f>IFERROR(__xludf.DUMMYFUNCTION("GOOGLETRANSLATE(F2095,""id"",""en"")"),"Kylian Mbappe made the last World Cup Final Hattrick is Geoff Hurst")</f>
        <v>Kylian Mbappe made the last World Cup Final Hattrick is Geoff Hurst</v>
      </c>
    </row>
    <row r="2096" ht="15.75" customHeight="1">
      <c r="A2096" s="1">
        <v>2105.0</v>
      </c>
      <c r="B2096" s="3" t="s">
        <v>6240</v>
      </c>
      <c r="C2096" s="3">
        <v>0.0</v>
      </c>
      <c r="D2096" s="3">
        <v>0.0</v>
      </c>
      <c r="E2096" s="3">
        <v>1.0</v>
      </c>
      <c r="F2096" s="3" t="s">
        <v>6241</v>
      </c>
      <c r="G2096" s="3">
        <v>1.0</v>
      </c>
      <c r="H2096" s="3">
        <v>0.0</v>
      </c>
      <c r="I2096" s="3" t="s">
        <v>13</v>
      </c>
      <c r="J2096" s="3" t="s">
        <v>6242</v>
      </c>
      <c r="K2096" s="3" t="s">
        <v>1552</v>
      </c>
      <c r="L2096" s="3" t="str">
        <f>IFERROR(__xludf.DUMMYFUNCTION("GOOGLETRANSLATE(F2096,""id"",""en"")"),"World Cup Final Penalty Will Be Dramatic and Emotional Remembering the World Cup")</f>
        <v>World Cup Final Penalty Will Be Dramatic and Emotional Remembering the World Cup</v>
      </c>
    </row>
    <row r="2097" ht="15.75" customHeight="1">
      <c r="A2097" s="1">
        <v>2106.0</v>
      </c>
      <c r="B2097" s="3" t="s">
        <v>6243</v>
      </c>
      <c r="C2097" s="3">
        <v>0.0</v>
      </c>
      <c r="D2097" s="3">
        <v>0.0</v>
      </c>
      <c r="E2097" s="3">
        <v>0.0</v>
      </c>
      <c r="F2097" s="3" t="s">
        <v>6244</v>
      </c>
      <c r="G2097" s="3">
        <v>1.0</v>
      </c>
      <c r="H2097" s="3">
        <v>0.0</v>
      </c>
      <c r="I2097" s="3" t="s">
        <v>13</v>
      </c>
      <c r="J2097" s="3" t="s">
        <v>6245</v>
      </c>
      <c r="K2097" s="3" t="s">
        <v>54</v>
      </c>
      <c r="L2097" s="3" t="str">
        <f>IFERROR(__xludf.DUMMYFUNCTION("GOOGLETRANSLATE(F2097,""id"",""en"")"),"The World Cup Final was shocked in history")</f>
        <v>The World Cup Final was shocked in history</v>
      </c>
    </row>
    <row r="2098" ht="15.75" customHeight="1">
      <c r="A2098" s="1">
        <v>2107.0</v>
      </c>
      <c r="B2098" s="3" t="s">
        <v>6246</v>
      </c>
      <c r="C2098" s="3">
        <v>0.0</v>
      </c>
      <c r="D2098" s="3">
        <v>2.0</v>
      </c>
      <c r="E2098" s="3">
        <v>3.0</v>
      </c>
      <c r="F2098" s="3" t="s">
        <v>6247</v>
      </c>
      <c r="G2098" s="3">
        <v>1.0</v>
      </c>
      <c r="H2098" s="3">
        <v>0.0</v>
      </c>
      <c r="I2098" s="3" t="s">
        <v>13</v>
      </c>
      <c r="J2098" s="3" t="s">
        <v>6248</v>
      </c>
      <c r="K2098" s="3" t="s">
        <v>75</v>
      </c>
      <c r="L2098" s="3" t="str">
        <f>IFERROR(__xludf.DUMMYFUNCTION("GOOGLETRANSLATE(F2098,""id"",""en"")"),"The World Cup Final Hattrick Not Maen, Mbappe must be a big recognition for him")</f>
        <v>The World Cup Final Hattrick Not Maen, Mbappe must be a big recognition for him</v>
      </c>
    </row>
    <row r="2099" ht="15.75" customHeight="1">
      <c r="A2099" s="1">
        <v>2108.0</v>
      </c>
      <c r="B2099" s="3" t="s">
        <v>6249</v>
      </c>
      <c r="C2099" s="3">
        <v>0.0</v>
      </c>
      <c r="D2099" s="3">
        <v>0.0</v>
      </c>
      <c r="E2099" s="3">
        <v>2.0</v>
      </c>
      <c r="F2099" s="3" t="s">
        <v>6250</v>
      </c>
      <c r="G2099" s="3">
        <v>1.0</v>
      </c>
      <c r="H2099" s="3">
        <v>0.0</v>
      </c>
      <c r="I2099" s="3" t="s">
        <v>13</v>
      </c>
      <c r="J2099" s="3" t="s">
        <v>6251</v>
      </c>
      <c r="K2099" s="3" t="s">
        <v>75</v>
      </c>
      <c r="L2099" s="3" t="str">
        <f>IFERROR(__xludf.DUMMYFUNCTION("GOOGLETRANSLATE(F2099,""id"",""en"")"),"Whoever is the champion is this World Cup and the Final Best Awk watched")</f>
        <v>Whoever is the champion is this World Cup and the Final Best Awk watched</v>
      </c>
    </row>
    <row r="2100" ht="15.75" customHeight="1">
      <c r="A2100" s="1">
        <v>2109.0</v>
      </c>
      <c r="B2100" s="3" t="s">
        <v>6252</v>
      </c>
      <c r="C2100" s="3">
        <v>0.0</v>
      </c>
      <c r="D2100" s="3">
        <v>0.0</v>
      </c>
      <c r="E2100" s="3">
        <v>0.0</v>
      </c>
      <c r="F2100" s="3" t="s">
        <v>6253</v>
      </c>
      <c r="G2100" s="3">
        <v>1.0</v>
      </c>
      <c r="H2100" s="3">
        <v>0.0</v>
      </c>
      <c r="I2100" s="3" t="s">
        <v>13</v>
      </c>
      <c r="J2100" s="3" t="s">
        <v>6254</v>
      </c>
      <c r="K2100" s="3" t="s">
        <v>82</v>
      </c>
      <c r="L2100" s="3" t="str">
        <f>IFERROR(__xludf.DUMMYFUNCTION("GOOGLETRANSLATE(F2100,""id"",""en"")"),"crazy age of the world cup final hatrick")</f>
        <v>crazy age of the world cup final hatrick</v>
      </c>
    </row>
    <row r="2101" ht="15.75" customHeight="1">
      <c r="A2101" s="1">
        <v>2110.0</v>
      </c>
      <c r="B2101" s="3" t="s">
        <v>6255</v>
      </c>
      <c r="C2101" s="3">
        <v>1.0</v>
      </c>
      <c r="D2101" s="3">
        <v>0.0</v>
      </c>
      <c r="E2101" s="3">
        <v>0.0</v>
      </c>
      <c r="F2101" s="3" t="s">
        <v>6256</v>
      </c>
      <c r="G2101" s="3">
        <v>1.0</v>
      </c>
      <c r="H2101" s="3">
        <v>0.0</v>
      </c>
      <c r="I2101" s="3" t="s">
        <v>13</v>
      </c>
      <c r="J2101" s="3" t="s">
        <v>6257</v>
      </c>
      <c r="K2101" s="3" t="s">
        <v>184</v>
      </c>
      <c r="L2101" s="3" t="str">
        <f>IFERROR(__xludf.DUMMYFUNCTION("GOOGLETRANSLATE(F2101,""id"",""en"")"),"regret I intend to watch the final world cup exciting really even though I have watched it from the group phase only for Messi, hopefully Argentina is champion")</f>
        <v>regret I intend to watch the final world cup exciting really even though I have watched it from the group phase only for Messi, hopefully Argentina is champion</v>
      </c>
    </row>
    <row r="2102" ht="15.75" customHeight="1">
      <c r="A2102" s="1">
        <v>2111.0</v>
      </c>
      <c r="B2102" s="3" t="s">
        <v>6258</v>
      </c>
      <c r="C2102" s="3">
        <v>0.0</v>
      </c>
      <c r="D2102" s="3">
        <v>0.0</v>
      </c>
      <c r="E2102" s="3">
        <v>0.0</v>
      </c>
      <c r="F2102" s="3" t="s">
        <v>6259</v>
      </c>
      <c r="G2102" s="3">
        <v>1.0</v>
      </c>
      <c r="H2102" s="3">
        <v>0.0</v>
      </c>
      <c r="I2102" s="3" t="s">
        <v>13</v>
      </c>
      <c r="J2102" s="3" t="s">
        <v>5508</v>
      </c>
      <c r="K2102" s="3" t="s">
        <v>31</v>
      </c>
      <c r="L2102" s="3" t="str">
        <f>IFERROR(__xludf.DUMMYFUNCTION("GOOGLETRANSLATE(F2102,""id"",""en"")"),"This is the fun of the World Cup Final")</f>
        <v>This is the fun of the World Cup Final</v>
      </c>
    </row>
    <row r="2103" ht="15.75" customHeight="1">
      <c r="A2103" s="1">
        <v>2112.0</v>
      </c>
      <c r="B2103" s="3" t="s">
        <v>6260</v>
      </c>
      <c r="C2103" s="3">
        <v>0.0</v>
      </c>
      <c r="D2103" s="3">
        <v>0.0</v>
      </c>
      <c r="E2103" s="3">
        <v>0.0</v>
      </c>
      <c r="F2103" s="3" t="s">
        <v>6261</v>
      </c>
      <c r="G2103" s="3">
        <v>1.0</v>
      </c>
      <c r="H2103" s="3">
        <v>0.0</v>
      </c>
      <c r="I2103" s="3" t="s">
        <v>13</v>
      </c>
      <c r="J2103" s="3" t="s">
        <v>6262</v>
      </c>
      <c r="K2103" s="3" t="s">
        <v>54</v>
      </c>
      <c r="L2103" s="3" t="str">
        <f>IFERROR(__xludf.DUMMYFUNCTION("GOOGLETRANSLATE(F2103,""id"",""en"")"),"The World Cup Final was once excited")</f>
        <v>The World Cup Final was once excited</v>
      </c>
    </row>
    <row r="2104" ht="15.75" customHeight="1">
      <c r="A2104" s="1">
        <v>2113.0</v>
      </c>
      <c r="B2104" s="3" t="s">
        <v>6263</v>
      </c>
      <c r="C2104" s="3">
        <v>0.0</v>
      </c>
      <c r="D2104" s="3">
        <v>0.0</v>
      </c>
      <c r="E2104" s="3">
        <v>0.0</v>
      </c>
      <c r="F2104" s="3" t="s">
        <v>6264</v>
      </c>
      <c r="G2104" s="3">
        <v>1.0</v>
      </c>
      <c r="H2104" s="3">
        <v>0.0</v>
      </c>
      <c r="I2104" s="3" t="s">
        <v>13</v>
      </c>
      <c r="J2104" s="3" t="s">
        <v>6265</v>
      </c>
      <c r="K2104" s="3" t="s">
        <v>71</v>
      </c>
      <c r="L2104" s="3" t="str">
        <f>IFERROR(__xludf.DUMMYFUNCTION("GOOGLETRANSLATE(F2104,""id"",""en"")"),"Dad is awake not for the Nobar Final of the World Cup Ndrakor Nyambi Ngawasin Adeek's body temperature")</f>
        <v>Dad is awake not for the Nobar Final of the World Cup Ndrakor Nyambi Ngawasin Adeek's body temperature</v>
      </c>
    </row>
    <row r="2105" ht="15.75" customHeight="1">
      <c r="A2105" s="1">
        <v>2114.0</v>
      </c>
      <c r="B2105" s="3" t="s">
        <v>6266</v>
      </c>
      <c r="C2105" s="3">
        <v>0.0</v>
      </c>
      <c r="D2105" s="3">
        <v>0.0</v>
      </c>
      <c r="E2105" s="3">
        <v>0.0</v>
      </c>
      <c r="F2105" s="3" t="s">
        <v>6267</v>
      </c>
      <c r="G2105" s="3">
        <v>1.0</v>
      </c>
      <c r="H2105" s="3">
        <v>0.0</v>
      </c>
      <c r="I2105" s="3" t="s">
        <v>13</v>
      </c>
      <c r="J2105" s="3" t="s">
        <v>6268</v>
      </c>
      <c r="K2105" s="3" t="s">
        <v>2907</v>
      </c>
      <c r="L2105" s="3" t="str">
        <f>IFERROR(__xludf.DUMMYFUNCTION("GOOGLETRANSLATE(F2105,""id"",""en"")"),"The World Cup is indeed iconic but the best World Cup from the group phase to the final many exciting matches")</f>
        <v>The World Cup is indeed iconic but the best World Cup from the group phase to the final many exciting matches</v>
      </c>
    </row>
    <row r="2106" ht="15.75" customHeight="1">
      <c r="A2106" s="1">
        <v>2115.0</v>
      </c>
      <c r="B2106" s="3" t="s">
        <v>6269</v>
      </c>
      <c r="C2106" s="3">
        <v>0.0</v>
      </c>
      <c r="D2106" s="3">
        <v>0.0</v>
      </c>
      <c r="E2106" s="3">
        <v>0.0</v>
      </c>
      <c r="F2106" s="3" t="s">
        <v>6270</v>
      </c>
      <c r="G2106" s="3">
        <v>1.0</v>
      </c>
      <c r="H2106" s="3">
        <v>0.0</v>
      </c>
      <c r="I2106" s="3" t="s">
        <v>13</v>
      </c>
      <c r="J2106" s="3" t="s">
        <v>6271</v>
      </c>
      <c r="K2106" s="3" t="s">
        <v>50</v>
      </c>
      <c r="L2106" s="3" t="str">
        <f>IFERROR(__xludf.DUMMYFUNCTION("GOOGLETRANSLATE(F2106,""id"",""en"")"),"Come on, the spirit of the free streaming link of Argentina French Final World Cup")</f>
        <v>Come on, the spirit of the free streaming link of Argentina French Final World Cup</v>
      </c>
    </row>
    <row r="2107" ht="15.75" customHeight="1">
      <c r="A2107" s="1">
        <v>2116.0</v>
      </c>
      <c r="B2107" s="3" t="s">
        <v>6272</v>
      </c>
      <c r="C2107" s="3">
        <v>1.0</v>
      </c>
      <c r="D2107" s="3">
        <v>0.0</v>
      </c>
      <c r="E2107" s="3">
        <v>0.0</v>
      </c>
      <c r="F2107" s="3" t="s">
        <v>6273</v>
      </c>
      <c r="G2107" s="3">
        <v>1.0</v>
      </c>
      <c r="H2107" s="3">
        <v>0.0</v>
      </c>
      <c r="I2107" s="3" t="s">
        <v>13</v>
      </c>
      <c r="J2107" s="3" t="s">
        <v>6274</v>
      </c>
      <c r="K2107" s="3" t="s">
        <v>41</v>
      </c>
      <c r="L2107" s="3" t="str">
        <f>IFERROR(__xludf.DUMMYFUNCTION("GOOGLETRANSLATE(F2107,""id"",""en"")"),"Genius is very final on the world cup shooting up the internet instead of the internet recurrent")</f>
        <v>Genius is very final on the world cup shooting up the internet instead of the internet recurrent</v>
      </c>
    </row>
    <row r="2108" ht="15.75" customHeight="1">
      <c r="A2108" s="1">
        <v>2117.0</v>
      </c>
      <c r="B2108" s="3" t="s">
        <v>6275</v>
      </c>
      <c r="C2108" s="3">
        <v>0.0</v>
      </c>
      <c r="D2108" s="3">
        <v>0.0</v>
      </c>
      <c r="E2108" s="3">
        <v>0.0</v>
      </c>
      <c r="F2108" s="3" t="s">
        <v>6276</v>
      </c>
      <c r="G2108" s="3">
        <v>1.0</v>
      </c>
      <c r="H2108" s="3">
        <v>0.0</v>
      </c>
      <c r="I2108" s="3" t="s">
        <v>13</v>
      </c>
      <c r="J2108" s="3" t="s">
        <v>6277</v>
      </c>
      <c r="K2108" s="3" t="s">
        <v>31</v>
      </c>
      <c r="L2108" s="3" t="str">
        <f>IFERROR(__xludf.DUMMYFUNCTION("GOOGLETRANSLATE(F2108,""id"",""en"")"),"exciting this is the World Cup Final")</f>
        <v>exciting this is the World Cup Final</v>
      </c>
    </row>
    <row r="2109" ht="15.75" customHeight="1">
      <c r="A2109" s="1">
        <v>2118.0</v>
      </c>
      <c r="B2109" s="3" t="s">
        <v>6278</v>
      </c>
      <c r="C2109" s="3">
        <v>0.0</v>
      </c>
      <c r="D2109" s="3">
        <v>0.0</v>
      </c>
      <c r="E2109" s="3">
        <v>0.0</v>
      </c>
      <c r="F2109" s="3" t="s">
        <v>6279</v>
      </c>
      <c r="G2109" s="3">
        <v>1.0</v>
      </c>
      <c r="H2109" s="3">
        <v>0.0</v>
      </c>
      <c r="I2109" s="3" t="s">
        <v>13</v>
      </c>
      <c r="J2109" s="3" t="s">
        <v>6280</v>
      </c>
      <c r="K2109" s="3" t="s">
        <v>15</v>
      </c>
      <c r="L2109" s="3" t="str">
        <f>IFERROR(__xludf.DUMMYFUNCTION("GOOGLETRANSLATE(F2109,""id"",""en"")"),"The final final during the World Cup is anjeeeeng score")</f>
        <v>The final final during the World Cup is anjeeeeng score</v>
      </c>
    </row>
    <row r="2110" ht="15.75" customHeight="1">
      <c r="A2110" s="1">
        <v>2119.0</v>
      </c>
      <c r="B2110" s="3" t="s">
        <v>6281</v>
      </c>
      <c r="C2110" s="3">
        <v>0.0</v>
      </c>
      <c r="D2110" s="3">
        <v>0.0</v>
      </c>
      <c r="E2110" s="3">
        <v>0.0</v>
      </c>
      <c r="F2110" s="3" t="s">
        <v>6282</v>
      </c>
      <c r="G2110" s="3">
        <v>1.0</v>
      </c>
      <c r="H2110" s="3">
        <v>0.0</v>
      </c>
      <c r="I2110" s="3" t="s">
        <v>13</v>
      </c>
      <c r="J2110" s="3" t="s">
        <v>6283</v>
      </c>
      <c r="K2110" s="3" t="s">
        <v>54</v>
      </c>
      <c r="L2110" s="3" t="str">
        <f>IFERROR(__xludf.DUMMYFUNCTION("GOOGLETRANSLATE(F2110,""id"",""en"")"),"The Final World Cup Gokil Exciting")</f>
        <v>The Final World Cup Gokil Exciting</v>
      </c>
    </row>
    <row r="2111" ht="15.75" customHeight="1">
      <c r="A2111" s="1">
        <v>2120.0</v>
      </c>
      <c r="B2111" s="3" t="s">
        <v>6284</v>
      </c>
      <c r="C2111" s="3">
        <v>0.0</v>
      </c>
      <c r="D2111" s="3">
        <v>0.0</v>
      </c>
      <c r="E2111" s="3">
        <v>0.0</v>
      </c>
      <c r="F2111" s="3" t="s">
        <v>6285</v>
      </c>
      <c r="G2111" s="3">
        <v>1.0</v>
      </c>
      <c r="H2111" s="3">
        <v>0.0</v>
      </c>
      <c r="I2111" s="3" t="s">
        <v>13</v>
      </c>
      <c r="J2111" s="3" t="s">
        <v>6286</v>
      </c>
      <c r="K2111" s="3" t="s">
        <v>54</v>
      </c>
      <c r="L2111" s="3" t="str">
        <f>IFERROR(__xludf.DUMMYFUNCTION("GOOGLETRANSLATE(F2111,""id"",""en"")"),"The World Cup Final was excited during this watching")</f>
        <v>The World Cup Final was excited during this watching</v>
      </c>
    </row>
    <row r="2112" ht="15.75" customHeight="1">
      <c r="A2112" s="1">
        <v>2121.0</v>
      </c>
      <c r="B2112" s="3" t="s">
        <v>6287</v>
      </c>
      <c r="C2112" s="3">
        <v>1.0</v>
      </c>
      <c r="D2112" s="3">
        <v>0.0</v>
      </c>
      <c r="E2112" s="3">
        <v>1.0</v>
      </c>
      <c r="F2112" s="3" t="s">
        <v>1721</v>
      </c>
      <c r="G2112" s="3">
        <v>1.0</v>
      </c>
      <c r="H2112" s="3">
        <v>0.0</v>
      </c>
      <c r="I2112" s="3" t="s">
        <v>13</v>
      </c>
      <c r="J2112" s="3" t="s">
        <v>1722</v>
      </c>
      <c r="K2112" s="3" t="s">
        <v>54</v>
      </c>
      <c r="L2112" s="3" t="str">
        <f>IFERROR(__xludf.DUMMYFUNCTION("GOOGLETRANSLATE(F2112,""id"",""en"")"),"the best world cup final of all time")</f>
        <v>the best world cup final of all time</v>
      </c>
    </row>
    <row r="2113" ht="15.75" customHeight="1">
      <c r="A2113" s="1">
        <v>2122.0</v>
      </c>
      <c r="B2113" s="3" t="s">
        <v>6288</v>
      </c>
      <c r="C2113" s="3">
        <v>0.0</v>
      </c>
      <c r="D2113" s="3">
        <v>0.0</v>
      </c>
      <c r="E2113" s="3">
        <v>0.0</v>
      </c>
      <c r="F2113" s="3" t="s">
        <v>6289</v>
      </c>
      <c r="G2113" s="3">
        <v>1.0</v>
      </c>
      <c r="H2113" s="3">
        <v>0.0</v>
      </c>
      <c r="I2113" s="3" t="s">
        <v>13</v>
      </c>
      <c r="J2113" s="3" t="s">
        <v>6290</v>
      </c>
      <c r="K2113" s="3" t="s">
        <v>54</v>
      </c>
      <c r="L2113" s="3" t="str">
        <f>IFERROR(__xludf.DUMMYFUNCTION("GOOGLETRANSLATE(F2113,""id"",""en"")"),"The Final Most Exciting In the History of the World Cup")</f>
        <v>The Final Most Exciting In the History of the World Cup</v>
      </c>
    </row>
    <row r="2114" ht="15.75" customHeight="1">
      <c r="A2114" s="1">
        <v>2123.0</v>
      </c>
      <c r="B2114" s="3" t="s">
        <v>6291</v>
      </c>
      <c r="C2114" s="3">
        <v>0.0</v>
      </c>
      <c r="D2114" s="3">
        <v>0.0</v>
      </c>
      <c r="E2114" s="3">
        <v>0.0</v>
      </c>
      <c r="F2114" s="3" t="s">
        <v>665</v>
      </c>
      <c r="G2114" s="3">
        <v>1.0</v>
      </c>
      <c r="H2114" s="3">
        <v>0.0</v>
      </c>
      <c r="I2114" s="3" t="s">
        <v>13</v>
      </c>
      <c r="J2114" s="3" t="s">
        <v>666</v>
      </c>
      <c r="K2114" s="3" t="s">
        <v>644</v>
      </c>
      <c r="L2114" s="3" t="str">
        <f>IFERROR(__xludf.DUMMYFUNCTION("GOOGLETRANSLATE(F2114,""id"",""en"")"),"the best world cup final")</f>
        <v>the best world cup final</v>
      </c>
    </row>
    <row r="2115" ht="15.75" customHeight="1">
      <c r="A2115" s="1">
        <v>2124.0</v>
      </c>
      <c r="B2115" s="3" t="s">
        <v>6292</v>
      </c>
      <c r="C2115" s="3">
        <v>0.0</v>
      </c>
      <c r="D2115" s="3">
        <v>0.0</v>
      </c>
      <c r="E2115" s="3">
        <v>0.0</v>
      </c>
      <c r="F2115" s="3" t="s">
        <v>6293</v>
      </c>
      <c r="G2115" s="3">
        <v>1.0</v>
      </c>
      <c r="H2115" s="3">
        <v>0.0</v>
      </c>
      <c r="I2115" s="3" t="s">
        <v>13</v>
      </c>
      <c r="J2115" s="3" t="s">
        <v>6294</v>
      </c>
      <c r="K2115" s="3" t="s">
        <v>657</v>
      </c>
      <c r="L2115" s="3" t="str">
        <f>IFERROR(__xludf.DUMMYFUNCTION("GOOGLETRANSLATE(F2115,""id"",""en"")"),"Lhah, the World Cup final hasn't finished, who wins who wakes up and then remember the ball even though I don't watch")</f>
        <v>Lhah, the World Cup final hasn't finished, who wins who wakes up and then remember the ball even though I don't watch</v>
      </c>
    </row>
    <row r="2116" ht="15.75" customHeight="1">
      <c r="A2116" s="1">
        <v>2125.0</v>
      </c>
      <c r="B2116" s="3" t="s">
        <v>6295</v>
      </c>
      <c r="C2116" s="3">
        <v>1.0</v>
      </c>
      <c r="D2116" s="3">
        <v>0.0</v>
      </c>
      <c r="E2116" s="3">
        <v>0.0</v>
      </c>
      <c r="F2116" s="3" t="s">
        <v>6295</v>
      </c>
      <c r="G2116" s="3">
        <v>0.875</v>
      </c>
      <c r="H2116" s="3">
        <v>0.1875</v>
      </c>
      <c r="I2116" s="3" t="s">
        <v>48</v>
      </c>
      <c r="J2116" s="3" t="s">
        <v>6296</v>
      </c>
      <c r="K2116" s="3" t="s">
        <v>41</v>
      </c>
      <c r="L2116" s="3" t="str">
        <f>IFERROR(__xludf.DUMMYFUNCTION("GOOGLETRANSLATE(F2116,""id"",""en"")"),"Watch the World Cup final from excited until I want to go on.")</f>
        <v>Watch the World Cup final from excited until I want to go on.</v>
      </c>
    </row>
    <row r="2117" ht="15.75" customHeight="1">
      <c r="A2117" s="1">
        <v>2126.0</v>
      </c>
      <c r="B2117" s="3" t="s">
        <v>6297</v>
      </c>
      <c r="C2117" s="3">
        <v>0.0</v>
      </c>
      <c r="D2117" s="3">
        <v>0.0</v>
      </c>
      <c r="E2117" s="3">
        <v>0.0</v>
      </c>
      <c r="F2117" s="3" t="s">
        <v>6298</v>
      </c>
      <c r="G2117" s="3">
        <v>1.0</v>
      </c>
      <c r="H2117" s="3">
        <v>0.0</v>
      </c>
      <c r="I2117" s="3" t="s">
        <v>13</v>
      </c>
      <c r="J2117" s="3" t="s">
        <v>6299</v>
      </c>
      <c r="K2117" s="3" t="s">
        <v>41</v>
      </c>
      <c r="L2117" s="3" t="str">
        <f>IFERROR(__xludf.DUMMYFUNCTION("GOOGLETRANSLATE(F2117,""id"",""en"")"),"this time the world cup this time if it's not a penalty kureng, but this is the final.")</f>
        <v>this time the world cup this time if it's not a penalty kureng, but this is the final.</v>
      </c>
    </row>
    <row r="2118" ht="15.75" customHeight="1">
      <c r="A2118" s="1">
        <v>2127.0</v>
      </c>
      <c r="B2118" s="3" t="s">
        <v>6300</v>
      </c>
      <c r="C2118" s="3">
        <v>0.0</v>
      </c>
      <c r="D2118" s="3">
        <v>0.0</v>
      </c>
      <c r="E2118" s="3">
        <v>0.0</v>
      </c>
      <c r="F2118" s="3" t="s">
        <v>6301</v>
      </c>
      <c r="G2118" s="3">
        <v>0.75</v>
      </c>
      <c r="H2118" s="3">
        <v>0.06818181818181818</v>
      </c>
      <c r="I2118" s="3" t="s">
        <v>48</v>
      </c>
      <c r="J2118" s="3" t="s">
        <v>6302</v>
      </c>
      <c r="K2118" s="3" t="s">
        <v>19</v>
      </c>
      <c r="L2118" s="3" t="str">
        <f>IFERROR(__xludf.DUMMYFUNCTION("GOOGLETRANSLATE(F2118,""id"",""en"")"),"Penalty Live Streaming of the French French World Cup Final Kylian Mbappe Equal Score")</f>
        <v>Penalty Live Streaming of the French French World Cup Final Kylian Mbappe Equal Score</v>
      </c>
    </row>
    <row r="2119" ht="15.75" customHeight="1">
      <c r="A2119" s="1">
        <v>2129.0</v>
      </c>
      <c r="B2119" s="3" t="s">
        <v>6303</v>
      </c>
      <c r="C2119" s="3">
        <v>0.0</v>
      </c>
      <c r="D2119" s="3">
        <v>0.0</v>
      </c>
      <c r="E2119" s="3">
        <v>0.0</v>
      </c>
      <c r="F2119" s="3" t="s">
        <v>6304</v>
      </c>
      <c r="G2119" s="3">
        <v>1.0</v>
      </c>
      <c r="H2119" s="3">
        <v>0.0</v>
      </c>
      <c r="I2119" s="3" t="s">
        <v>13</v>
      </c>
      <c r="J2119" s="3" t="s">
        <v>6305</v>
      </c>
      <c r="K2119" s="3" t="s">
        <v>82</v>
      </c>
      <c r="L2119" s="3" t="str">
        <f>IFERROR(__xludf.DUMMYFUNCTION("GOOGLETRANSLATE(F2119,""id"",""en"")"),"The Crazy World Cup final")</f>
        <v>The Crazy World Cup final</v>
      </c>
    </row>
    <row r="2120" ht="15.75" customHeight="1">
      <c r="A2120" s="1">
        <v>2130.0</v>
      </c>
      <c r="B2120" s="3" t="s">
        <v>6306</v>
      </c>
      <c r="C2120" s="3">
        <v>0.0</v>
      </c>
      <c r="D2120" s="3">
        <v>0.0</v>
      </c>
      <c r="E2120" s="3">
        <v>0.0</v>
      </c>
      <c r="F2120" s="3" t="s">
        <v>6307</v>
      </c>
      <c r="G2120" s="3">
        <v>1.0</v>
      </c>
      <c r="H2120" s="3">
        <v>0.0</v>
      </c>
      <c r="I2120" s="3" t="s">
        <v>13</v>
      </c>
      <c r="J2120" s="3" t="s">
        <v>6308</v>
      </c>
      <c r="K2120" s="3" t="s">
        <v>50</v>
      </c>
      <c r="L2120" s="3" t="str">
        <f>IFERROR(__xludf.DUMMYFUNCTION("GOOGLETRANSLATE(F2120,""id"",""en"")"),"what final that said the Qatar World Cup Kureng Lebay many rules on hide")</f>
        <v>what final that said the Qatar World Cup Kureng Lebay many rules on hide</v>
      </c>
    </row>
    <row r="2121" ht="15.75" customHeight="1">
      <c r="A2121" s="1">
        <v>2131.0</v>
      </c>
      <c r="B2121" s="3" t="s">
        <v>6309</v>
      </c>
      <c r="C2121" s="3">
        <v>0.0</v>
      </c>
      <c r="D2121" s="3">
        <v>0.0</v>
      </c>
      <c r="E2121" s="3">
        <v>0.0</v>
      </c>
      <c r="F2121" s="3" t="s">
        <v>6310</v>
      </c>
      <c r="G2121" s="3">
        <v>1.0</v>
      </c>
      <c r="H2121" s="3">
        <v>0.0</v>
      </c>
      <c r="I2121" s="3" t="s">
        <v>13</v>
      </c>
      <c r="J2121" s="3" t="s">
        <v>6311</v>
      </c>
      <c r="K2121" s="3" t="s">
        <v>31</v>
      </c>
      <c r="L2121" s="3" t="str">
        <f>IFERROR(__xludf.DUMMYFUNCTION("GOOGLETRANSLATE(F2121,""id"",""en"")"),"The World Cup Final is very entertaining")</f>
        <v>The World Cup Final is very entertaining</v>
      </c>
    </row>
    <row r="2122" ht="15.75" customHeight="1">
      <c r="A2122" s="1">
        <v>2132.0</v>
      </c>
      <c r="B2122" s="3" t="s">
        <v>6312</v>
      </c>
      <c r="C2122" s="3">
        <v>0.0</v>
      </c>
      <c r="D2122" s="3">
        <v>0.0</v>
      </c>
      <c r="E2122" s="3">
        <v>0.0</v>
      </c>
      <c r="F2122" s="3" t="s">
        <v>6313</v>
      </c>
      <c r="G2122" s="3">
        <v>1.0</v>
      </c>
      <c r="H2122" s="3">
        <v>0.0</v>
      </c>
      <c r="I2122" s="3" t="s">
        <v>13</v>
      </c>
      <c r="J2122" s="3" t="s">
        <v>6314</v>
      </c>
      <c r="K2122" s="3" t="s">
        <v>82</v>
      </c>
      <c r="L2122" s="3" t="str">
        <f>IFERROR(__xludf.DUMMYFUNCTION("GOOGLETRANSLATE(F2122,""id"",""en"")"),"The World Cup Final Cookillll continued penalties")</f>
        <v>The World Cup Final Cookillll continued penalties</v>
      </c>
    </row>
    <row r="2123" ht="15.75" customHeight="1">
      <c r="A2123" s="1">
        <v>2133.0</v>
      </c>
      <c r="B2123" s="3" t="s">
        <v>6315</v>
      </c>
      <c r="C2123" s="3">
        <v>0.0</v>
      </c>
      <c r="D2123" s="3">
        <v>0.0</v>
      </c>
      <c r="E2123" s="3">
        <v>0.0</v>
      </c>
      <c r="F2123" s="3" t="s">
        <v>6316</v>
      </c>
      <c r="G2123" s="3">
        <v>1.0</v>
      </c>
      <c r="H2123" s="3">
        <v>0.0</v>
      </c>
      <c r="I2123" s="3" t="s">
        <v>13</v>
      </c>
      <c r="J2123" s="3" t="s">
        <v>6317</v>
      </c>
      <c r="K2123" s="3" t="s">
        <v>54</v>
      </c>
      <c r="L2123" s="3" t="str">
        <f>IFERROR(__xludf.DUMMYFUNCTION("GOOGLETRANSLATE(F2123,""id"",""en"")"),"exclaimed the World Cup Final like this")</f>
        <v>exclaimed the World Cup Final like this</v>
      </c>
    </row>
    <row r="2124" ht="15.75" customHeight="1">
      <c r="A2124" s="1">
        <v>2134.0</v>
      </c>
      <c r="B2124" s="3" t="s">
        <v>6318</v>
      </c>
      <c r="C2124" s="3">
        <v>0.0</v>
      </c>
      <c r="D2124" s="3">
        <v>0.0</v>
      </c>
      <c r="E2124" s="3">
        <v>0.0</v>
      </c>
      <c r="F2124" s="3" t="s">
        <v>6319</v>
      </c>
      <c r="G2124" s="3">
        <v>1.0</v>
      </c>
      <c r="H2124" s="3">
        <v>0.0</v>
      </c>
      <c r="I2124" s="3" t="s">
        <v>13</v>
      </c>
      <c r="J2124" s="3" t="s">
        <v>6320</v>
      </c>
      <c r="K2124" s="3" t="s">
        <v>75</v>
      </c>
      <c r="L2124" s="3" t="str">
        <f>IFERROR(__xludf.DUMMYFUNCTION("GOOGLETRANSLATE(F2124,""id"",""en"")"),"Already care who won the World Cup final this time exciting dogs")</f>
        <v>Already care who won the World Cup final this time exciting dogs</v>
      </c>
    </row>
    <row r="2125" ht="15.75" customHeight="1">
      <c r="A2125" s="1">
        <v>2135.0</v>
      </c>
      <c r="B2125" s="3" t="s">
        <v>6321</v>
      </c>
      <c r="C2125" s="3">
        <v>0.0</v>
      </c>
      <c r="D2125" s="3">
        <v>0.0</v>
      </c>
      <c r="E2125" s="3">
        <v>0.0</v>
      </c>
      <c r="F2125" s="3" t="s">
        <v>6322</v>
      </c>
      <c r="G2125" s="3">
        <v>1.0</v>
      </c>
      <c r="H2125" s="3">
        <v>0.0</v>
      </c>
      <c r="I2125" s="3" t="s">
        <v>13</v>
      </c>
      <c r="J2125" s="3" t="s">
        <v>6323</v>
      </c>
      <c r="K2125" s="3" t="s">
        <v>2907</v>
      </c>
      <c r="L2125" s="3" t="str">
        <f>IFERROR(__xludf.DUMMYFUNCTION("GOOGLETRANSLATE(F2125,""id"",""en"")"),"The Best World Cup Final ever watched since The Heat The Drama The Twist")</f>
        <v>The Best World Cup Final ever watched since The Heat The Drama The Twist</v>
      </c>
    </row>
    <row r="2126" ht="15.75" customHeight="1">
      <c r="A2126" s="1">
        <v>2136.0</v>
      </c>
      <c r="B2126" s="3" t="s">
        <v>6324</v>
      </c>
      <c r="C2126" s="3">
        <v>0.0</v>
      </c>
      <c r="D2126" s="3">
        <v>0.0</v>
      </c>
      <c r="E2126" s="3">
        <v>0.0</v>
      </c>
      <c r="F2126" s="3" t="s">
        <v>6325</v>
      </c>
      <c r="G2126" s="3">
        <v>1.0</v>
      </c>
      <c r="H2126" s="3">
        <v>0.0</v>
      </c>
      <c r="I2126" s="3" t="s">
        <v>13</v>
      </c>
      <c r="J2126" s="3" t="s">
        <v>6326</v>
      </c>
      <c r="K2126" s="3" t="s">
        <v>441</v>
      </c>
      <c r="L2126" s="3" t="str">
        <f>IFERROR(__xludf.DUMMYFUNCTION("GOOGLETRANSLATE(F2126,""id"",""en"")"),"France won to decide the bad trend of the defending world cup champion since this has entered the final, the champion before it was not so far Argentina champions focused all Messi had entered the final twice")</f>
        <v>France won to decide the bad trend of the defending world cup champion since this has entered the final, the champion before it was not so far Argentina champions focused all Messi had entered the final twice</v>
      </c>
    </row>
    <row r="2127" ht="15.75" customHeight="1">
      <c r="A2127" s="1">
        <v>2137.0</v>
      </c>
      <c r="B2127" s="3" t="s">
        <v>6327</v>
      </c>
      <c r="C2127" s="3">
        <v>0.0</v>
      </c>
      <c r="D2127" s="3">
        <v>0.0</v>
      </c>
      <c r="E2127" s="3">
        <v>1.0</v>
      </c>
      <c r="F2127" s="3" t="s">
        <v>6328</v>
      </c>
      <c r="G2127" s="3">
        <v>1.0</v>
      </c>
      <c r="H2127" s="3">
        <v>0.0</v>
      </c>
      <c r="I2127" s="3" t="s">
        <v>13</v>
      </c>
      <c r="J2127" s="3" t="s">
        <v>6329</v>
      </c>
      <c r="K2127" s="3" t="s">
        <v>135</v>
      </c>
      <c r="L2127" s="3" t="str">
        <f>IFERROR(__xludf.DUMMYFUNCTION("GOOGLETRANSLATE(F2127,""id"",""en"")"),"I once imagined being able to see the World Cup final determined through penalties after a draw score was not but the goal of the World Cup Final goal was a corrupt framework claiming to be wrong")</f>
        <v>I once imagined being able to see the World Cup final determined through penalties after a draw score was not but the goal of the World Cup Final goal was a corrupt framework claiming to be wrong</v>
      </c>
    </row>
    <row r="2128" ht="15.75" customHeight="1">
      <c r="A2128" s="1">
        <v>2138.0</v>
      </c>
      <c r="B2128" s="3" t="s">
        <v>6330</v>
      </c>
      <c r="C2128" s="3">
        <v>0.0</v>
      </c>
      <c r="D2128" s="3">
        <v>0.0</v>
      </c>
      <c r="E2128" s="3">
        <v>1.0</v>
      </c>
      <c r="F2128" s="3" t="s">
        <v>6331</v>
      </c>
      <c r="G2128" s="3">
        <v>1.0</v>
      </c>
      <c r="H2128" s="3">
        <v>0.0</v>
      </c>
      <c r="I2128" s="3" t="s">
        <v>13</v>
      </c>
      <c r="J2128" s="3" t="s">
        <v>6332</v>
      </c>
      <c r="K2128" s="3" t="s">
        <v>495</v>
      </c>
      <c r="L2128" s="3" t="str">
        <f>IFERROR(__xludf.DUMMYFUNCTION("GOOGLETRANSLATE(F2128,""id"",""en"")"),"Swear you never see anything like this ever again watch Drink World Cup Final Santos cons Flamengo")</f>
        <v>Swear you never see anything like this ever again watch Drink World Cup Final Santos cons Flamengo</v>
      </c>
    </row>
    <row r="2129" ht="15.75" customHeight="1">
      <c r="A2129" s="1">
        <v>2140.0</v>
      </c>
      <c r="B2129" s="3" t="s">
        <v>6333</v>
      </c>
      <c r="C2129" s="3">
        <v>0.0</v>
      </c>
      <c r="D2129" s="3">
        <v>0.0</v>
      </c>
      <c r="E2129" s="3">
        <v>1.0</v>
      </c>
      <c r="F2129" s="3" t="s">
        <v>6334</v>
      </c>
      <c r="G2129" s="3">
        <v>1.0</v>
      </c>
      <c r="H2129" s="3">
        <v>0.0</v>
      </c>
      <c r="I2129" s="3" t="s">
        <v>13</v>
      </c>
      <c r="J2129" s="3" t="s">
        <v>6335</v>
      </c>
      <c r="K2129" s="3" t="s">
        <v>19</v>
      </c>
      <c r="L2129" s="3" t="str">
        <f>IFERROR(__xludf.DUMMYFUNCTION("GOOGLETRANSLATE(F2129,""id"",""en"")"),"indeed the world cup is not great rich or but this is the final exciting that I watched")</f>
        <v>indeed the world cup is not great rich or but this is the final exciting that I watched</v>
      </c>
    </row>
    <row r="2130" ht="15.75" customHeight="1">
      <c r="A2130" s="1">
        <v>2141.0</v>
      </c>
      <c r="B2130" s="3" t="s">
        <v>6336</v>
      </c>
      <c r="C2130" s="3">
        <v>1.0</v>
      </c>
      <c r="D2130" s="3">
        <v>0.0</v>
      </c>
      <c r="E2130" s="3">
        <v>0.0</v>
      </c>
      <c r="F2130" s="3" t="s">
        <v>6337</v>
      </c>
      <c r="G2130" s="3">
        <v>0.7666666666666666</v>
      </c>
      <c r="H2130" s="3">
        <v>0.3333333333333333</v>
      </c>
      <c r="I2130" s="3" t="s">
        <v>48</v>
      </c>
      <c r="J2130" s="3" t="s">
        <v>6338</v>
      </c>
      <c r="K2130" s="3" t="s">
        <v>3734</v>
      </c>
      <c r="L2130" s="3" t="str">
        <f>IFERROR(__xludf.DUMMYFUNCTION("GOOGLETRANSLATE(F2130,""id"",""en"")"),"People who say this is the best world cup final must have watched the final of the XXXX world cup where at that time it was more like watching it more crowded")</f>
        <v>People who say this is the best world cup final must have watched the final of the XXXX world cup where at that time it was more like watching it more crowded</v>
      </c>
    </row>
    <row r="2131" ht="15.75" customHeight="1">
      <c r="A2131" s="1">
        <v>2142.0</v>
      </c>
      <c r="B2131" s="3" t="s">
        <v>6339</v>
      </c>
      <c r="C2131" s="3">
        <v>0.0</v>
      </c>
      <c r="D2131" s="3">
        <v>0.0</v>
      </c>
      <c r="E2131" s="3">
        <v>0.0</v>
      </c>
      <c r="F2131" s="3" t="s">
        <v>6340</v>
      </c>
      <c r="G2131" s="3">
        <v>0.6666666666666666</v>
      </c>
      <c r="H2131" s="3">
        <v>0.08333333333333333</v>
      </c>
      <c r="I2131" s="3" t="s">
        <v>48</v>
      </c>
      <c r="J2131" s="3" t="s">
        <v>6341</v>
      </c>
      <c r="K2131" s="3" t="s">
        <v>123</v>
      </c>
      <c r="L2131" s="3" t="str">
        <f>IFERROR(__xludf.DUMMYFUNCTION("GOOGLETRANSLATE(F2131,""id"",""en"")"),"Argentina will be able to calm down while Mbappe is still playing Gilakkk Goat and Mbappe What Final of the Most Exciting World Cup")</f>
        <v>Argentina will be able to calm down while Mbappe is still playing Gilakkk Goat and Mbappe What Final of the Most Exciting World Cup</v>
      </c>
    </row>
    <row r="2132" ht="15.75" customHeight="1">
      <c r="A2132" s="1">
        <v>2143.0</v>
      </c>
      <c r="B2132" s="3" t="s">
        <v>6342</v>
      </c>
      <c r="C2132" s="3">
        <v>0.0</v>
      </c>
      <c r="D2132" s="3">
        <v>0.0</v>
      </c>
      <c r="E2132" s="3">
        <v>0.0</v>
      </c>
      <c r="F2132" s="3" t="s">
        <v>6343</v>
      </c>
      <c r="G2132" s="3">
        <v>1.0</v>
      </c>
      <c r="H2132" s="3">
        <v>0.0</v>
      </c>
      <c r="I2132" s="3" t="s">
        <v>13</v>
      </c>
      <c r="J2132" s="3" t="s">
        <v>6344</v>
      </c>
      <c r="K2132" s="3" t="s">
        <v>510</v>
      </c>
      <c r="L2132" s="3" t="str">
        <f>IFERROR(__xludf.DUMMYFUNCTION("GOOGLETRANSLATE(F2132,""id"",""en"")"),"from the first time watching the world cup final until now I think this is the most dizzy nutmeg")</f>
        <v>from the first time watching the world cup final until now I think this is the most dizzy nutmeg</v>
      </c>
    </row>
    <row r="2133" ht="15.75" customHeight="1">
      <c r="A2133" s="1">
        <v>2144.0</v>
      </c>
      <c r="B2133" s="3" t="s">
        <v>6345</v>
      </c>
      <c r="C2133" s="3">
        <v>0.0</v>
      </c>
      <c r="D2133" s="3">
        <v>0.0</v>
      </c>
      <c r="E2133" s="3">
        <v>0.0</v>
      </c>
      <c r="F2133" s="3" t="s">
        <v>1721</v>
      </c>
      <c r="G2133" s="3">
        <v>1.0</v>
      </c>
      <c r="H2133" s="3">
        <v>0.0</v>
      </c>
      <c r="I2133" s="3" t="s">
        <v>13</v>
      </c>
      <c r="J2133" s="3" t="s">
        <v>1722</v>
      </c>
      <c r="K2133" s="3" t="s">
        <v>54</v>
      </c>
      <c r="L2133" s="3" t="str">
        <f>IFERROR(__xludf.DUMMYFUNCTION("GOOGLETRANSLATE(F2133,""id"",""en"")"),"the best world cup final of all time")</f>
        <v>the best world cup final of all time</v>
      </c>
    </row>
    <row r="2134" ht="15.75" customHeight="1">
      <c r="A2134" s="1">
        <v>2145.0</v>
      </c>
      <c r="B2134" s="3" t="s">
        <v>6346</v>
      </c>
      <c r="C2134" s="3">
        <v>0.0</v>
      </c>
      <c r="D2134" s="3">
        <v>0.0</v>
      </c>
      <c r="E2134" s="3">
        <v>4.0</v>
      </c>
      <c r="F2134" s="3" t="s">
        <v>6347</v>
      </c>
      <c r="G2134" s="3">
        <v>1.0</v>
      </c>
      <c r="H2134" s="3">
        <v>0.0</v>
      </c>
      <c r="I2134" s="3" t="s">
        <v>13</v>
      </c>
      <c r="J2134" s="3" t="s">
        <v>6348</v>
      </c>
      <c r="K2134" s="3" t="s">
        <v>54</v>
      </c>
      <c r="L2134" s="3" t="str">
        <f>IFERROR(__xludf.DUMMYFUNCTION("GOOGLETRANSLATE(F2134,""id"",""en"")"),"This original World Cup Final has ever existed")</f>
        <v>This original World Cup Final has ever existed</v>
      </c>
    </row>
    <row r="2135" ht="15.75" customHeight="1">
      <c r="A2135" s="1">
        <v>2146.0</v>
      </c>
      <c r="B2135" s="3" t="s">
        <v>6349</v>
      </c>
      <c r="C2135" s="3">
        <v>19.0</v>
      </c>
      <c r="D2135" s="3">
        <v>24.0</v>
      </c>
      <c r="E2135" s="3">
        <v>243.0</v>
      </c>
      <c r="F2135" s="3" t="s">
        <v>6350</v>
      </c>
      <c r="G2135" s="3">
        <v>1.0</v>
      </c>
      <c r="H2135" s="3">
        <v>0.0</v>
      </c>
      <c r="I2135" s="3" t="s">
        <v>13</v>
      </c>
      <c r="J2135" s="3" t="s">
        <v>6351</v>
      </c>
      <c r="K2135" s="3" t="s">
        <v>1265</v>
      </c>
      <c r="L2135" s="3" t="str">
        <f>IFERROR(__xludf.DUMMYFUNCTION("GOOGLETRANSLATE(F2135,""id"",""en"")"),"The best final match in the history of the best World Cup in the history of Qatar Syukran Katsira")</f>
        <v>The best final match in the history of the best World Cup in the history of Qatar Syukran Katsira</v>
      </c>
    </row>
    <row r="2136" ht="15.75" customHeight="1">
      <c r="A2136" s="1">
        <v>2147.0</v>
      </c>
      <c r="B2136" s="3" t="s">
        <v>6352</v>
      </c>
      <c r="C2136" s="3">
        <v>0.0</v>
      </c>
      <c r="D2136" s="3">
        <v>0.0</v>
      </c>
      <c r="E2136" s="3">
        <v>0.0</v>
      </c>
      <c r="F2136" s="3" t="s">
        <v>6353</v>
      </c>
      <c r="G2136" s="3">
        <v>1.0</v>
      </c>
      <c r="H2136" s="3">
        <v>0.0</v>
      </c>
      <c r="I2136" s="3" t="s">
        <v>13</v>
      </c>
      <c r="J2136" s="3" t="s">
        <v>6354</v>
      </c>
      <c r="K2136" s="3" t="s">
        <v>15</v>
      </c>
      <c r="L2136" s="3" t="str">
        <f>IFERROR(__xludf.DUMMYFUNCTION("GOOGLETRANSLATE(F2136,""id"",""en"")"),"who watched the world cup final regretted very exciting")</f>
        <v>who watched the world cup final regretted very exciting</v>
      </c>
    </row>
    <row r="2137" ht="15.75" customHeight="1">
      <c r="A2137" s="1">
        <v>2148.0</v>
      </c>
      <c r="B2137" s="3" t="s">
        <v>6355</v>
      </c>
      <c r="C2137" s="3">
        <v>0.0</v>
      </c>
      <c r="D2137" s="3">
        <v>0.0</v>
      </c>
      <c r="E2137" s="3">
        <v>0.0</v>
      </c>
      <c r="F2137" s="3" t="s">
        <v>6356</v>
      </c>
      <c r="G2137" s="3">
        <v>1.0</v>
      </c>
      <c r="H2137" s="3">
        <v>0.0</v>
      </c>
      <c r="I2137" s="3" t="s">
        <v>13</v>
      </c>
      <c r="J2137" s="3" t="s">
        <v>6357</v>
      </c>
      <c r="K2137" s="3" t="s">
        <v>50</v>
      </c>
      <c r="L2137" s="3" t="str">
        <f>IFERROR(__xludf.DUMMYFUNCTION("GOOGLETRANSLATE(F2137,""id"",""en"")"),"Final World Cup Goal Hat Trick Crazy Understand again this year's World Cup")</f>
        <v>Final World Cup Goal Hat Trick Crazy Understand again this year's World Cup</v>
      </c>
    </row>
    <row r="2138" ht="15.75" customHeight="1">
      <c r="A2138" s="1">
        <v>2149.0</v>
      </c>
      <c r="B2138" s="3" t="s">
        <v>6358</v>
      </c>
      <c r="C2138" s="3">
        <v>0.0</v>
      </c>
      <c r="D2138" s="3">
        <v>0.0</v>
      </c>
      <c r="E2138" s="3">
        <v>0.0</v>
      </c>
      <c r="F2138" s="3" t="s">
        <v>6359</v>
      </c>
      <c r="G2138" s="3">
        <v>1.0</v>
      </c>
      <c r="H2138" s="3">
        <v>0.0</v>
      </c>
      <c r="I2138" s="3" t="s">
        <v>13</v>
      </c>
      <c r="J2138" s="3" t="s">
        <v>6360</v>
      </c>
      <c r="K2138" s="3" t="s">
        <v>31</v>
      </c>
      <c r="L2138" s="3" t="str">
        <f>IFERROR(__xludf.DUMMYFUNCTION("GOOGLETRANSLATE(F2138,""id"",""en"")"),"The World Cup Final was shouted by Anjerr")</f>
        <v>The World Cup Final was shouted by Anjerr</v>
      </c>
    </row>
    <row r="2139" ht="15.75" customHeight="1">
      <c r="A2139" s="1">
        <v>2150.0</v>
      </c>
      <c r="B2139" s="3" t="s">
        <v>6361</v>
      </c>
      <c r="C2139" s="3">
        <v>0.0</v>
      </c>
      <c r="D2139" s="3">
        <v>0.0</v>
      </c>
      <c r="E2139" s="3">
        <v>0.0</v>
      </c>
      <c r="F2139" s="3" t="s">
        <v>2067</v>
      </c>
      <c r="G2139" s="3">
        <v>1.0</v>
      </c>
      <c r="H2139" s="3">
        <v>0.0</v>
      </c>
      <c r="I2139" s="3" t="s">
        <v>13</v>
      </c>
      <c r="J2139" s="3" t="s">
        <v>2068</v>
      </c>
      <c r="K2139" s="3" t="s">
        <v>644</v>
      </c>
      <c r="L2139" s="3" t="str">
        <f>IFERROR(__xludf.DUMMYFUNCTION("GOOGLETRANSLATE(F2139,""id"",""en"")"),"World Cup Best Final")</f>
        <v>World Cup Best Final</v>
      </c>
    </row>
    <row r="2140" ht="15.75" customHeight="1">
      <c r="A2140" s="1">
        <v>2151.0</v>
      </c>
      <c r="B2140" s="3" t="s">
        <v>6362</v>
      </c>
      <c r="C2140" s="3">
        <v>0.0</v>
      </c>
      <c r="D2140" s="3">
        <v>0.0</v>
      </c>
      <c r="E2140" s="3">
        <v>1.0</v>
      </c>
      <c r="F2140" s="3" t="s">
        <v>6363</v>
      </c>
      <c r="G2140" s="3">
        <v>1.0</v>
      </c>
      <c r="H2140" s="3">
        <v>0.0</v>
      </c>
      <c r="I2140" s="3" t="s">
        <v>13</v>
      </c>
      <c r="J2140" s="3" t="s">
        <v>6364</v>
      </c>
      <c r="K2140" s="3" t="s">
        <v>41</v>
      </c>
      <c r="L2140" s="3" t="str">
        <f>IFERROR(__xludf.DUMMYFUNCTION("GOOGLETRANSLATE(F2140,""id"",""en"")"),"The World Cup Final between Argentina France is the most crazy according to the match")</f>
        <v>The World Cup Final between Argentina France is the most crazy according to the match</v>
      </c>
    </row>
    <row r="2141" ht="15.75" customHeight="1">
      <c r="A2141" s="1">
        <v>2152.0</v>
      </c>
      <c r="B2141" s="3" t="s">
        <v>6365</v>
      </c>
      <c r="C2141" s="3">
        <v>0.0</v>
      </c>
      <c r="D2141" s="3">
        <v>0.0</v>
      </c>
      <c r="E2141" s="3">
        <v>0.0</v>
      </c>
      <c r="F2141" s="3" t="s">
        <v>6366</v>
      </c>
      <c r="G2141" s="3">
        <v>1.0</v>
      </c>
      <c r="H2141" s="3">
        <v>0.0</v>
      </c>
      <c r="I2141" s="3" t="s">
        <v>13</v>
      </c>
      <c r="J2141" s="3" t="s">
        <v>6367</v>
      </c>
      <c r="K2141" s="3" t="s">
        <v>510</v>
      </c>
      <c r="L2141" s="3" t="str">
        <f>IFERROR(__xludf.DUMMYFUNCTION("GOOGLETRANSLATE(F2141,""id"",""en"")"),"The first time I watched the World Cup final but crazy SIII this is the best match Seng knows not dilap")</f>
        <v>The first time I watched the World Cup final but crazy SIII this is the best match Seng knows not dilap</v>
      </c>
    </row>
    <row r="2142" ht="15.75" customHeight="1">
      <c r="A2142" s="1">
        <v>2153.0</v>
      </c>
      <c r="B2142" s="3" t="s">
        <v>6368</v>
      </c>
      <c r="C2142" s="3">
        <v>0.0</v>
      </c>
      <c r="D2142" s="3">
        <v>0.0</v>
      </c>
      <c r="E2142" s="3">
        <v>0.0</v>
      </c>
      <c r="F2142" s="3" t="s">
        <v>6369</v>
      </c>
      <c r="G2142" s="3">
        <v>1.0</v>
      </c>
      <c r="H2142" s="3">
        <v>0.0</v>
      </c>
      <c r="I2142" s="3" t="s">
        <v>13</v>
      </c>
      <c r="J2142" s="3" t="s">
        <v>6370</v>
      </c>
      <c r="K2142" s="3" t="s">
        <v>15</v>
      </c>
      <c r="L2142" s="3" t="str">
        <f>IFERROR(__xludf.DUMMYFUNCTION("GOOGLETRANSLATE(F2142,""id"",""en"")"),"Alhamdulillah, I can still watch the best Maybe World Cup final so far")</f>
        <v>Alhamdulillah, I can still watch the best Maybe World Cup final so far</v>
      </c>
    </row>
    <row r="2143" ht="15.75" customHeight="1">
      <c r="A2143" s="1">
        <v>2154.0</v>
      </c>
      <c r="B2143" s="3" t="s">
        <v>6371</v>
      </c>
      <c r="C2143" s="3">
        <v>0.0</v>
      </c>
      <c r="D2143" s="3">
        <v>0.0</v>
      </c>
      <c r="E2143" s="3">
        <v>0.0</v>
      </c>
      <c r="F2143" s="3" t="s">
        <v>2067</v>
      </c>
      <c r="G2143" s="3">
        <v>1.0</v>
      </c>
      <c r="H2143" s="3">
        <v>0.0</v>
      </c>
      <c r="I2143" s="3" t="s">
        <v>13</v>
      </c>
      <c r="J2143" s="3" t="s">
        <v>2068</v>
      </c>
      <c r="K2143" s="3" t="s">
        <v>644</v>
      </c>
      <c r="L2143" s="3" t="str">
        <f>IFERROR(__xludf.DUMMYFUNCTION("GOOGLETRANSLATE(F2143,""id"",""en"")"),"World Cup Best Final")</f>
        <v>World Cup Best Final</v>
      </c>
    </row>
    <row r="2144" ht="15.75" customHeight="1">
      <c r="A2144" s="1">
        <v>2155.0</v>
      </c>
      <c r="B2144" s="3" t="s">
        <v>6372</v>
      </c>
      <c r="C2144" s="3">
        <v>0.0</v>
      </c>
      <c r="D2144" s="3">
        <v>0.0</v>
      </c>
      <c r="E2144" s="3">
        <v>0.0</v>
      </c>
      <c r="F2144" s="3" t="s">
        <v>6373</v>
      </c>
      <c r="G2144" s="3">
        <v>1.0</v>
      </c>
      <c r="H2144" s="3">
        <v>0.0</v>
      </c>
      <c r="I2144" s="3" t="s">
        <v>13</v>
      </c>
      <c r="J2144" s="3" t="s">
        <v>6374</v>
      </c>
      <c r="K2144" s="3" t="s">
        <v>1335</v>
      </c>
      <c r="L2144" s="3" t="str">
        <f>IFERROR(__xludf.DUMMYFUNCTION("GOOGLETRANSLATE(F2144,""id"",""en"")"),"The best final as long as watching the World Cup final")</f>
        <v>The best final as long as watching the World Cup final</v>
      </c>
    </row>
    <row r="2145" ht="15.75" customHeight="1">
      <c r="A2145" s="1">
        <v>2156.0</v>
      </c>
      <c r="B2145" s="3" t="s">
        <v>6375</v>
      </c>
      <c r="C2145" s="3">
        <v>0.0</v>
      </c>
      <c r="D2145" s="3">
        <v>0.0</v>
      </c>
      <c r="E2145" s="3">
        <v>0.0</v>
      </c>
      <c r="F2145" s="3" t="s">
        <v>6376</v>
      </c>
      <c r="G2145" s="3">
        <v>1.0</v>
      </c>
      <c r="H2145" s="3">
        <v>0.0</v>
      </c>
      <c r="I2145" s="3" t="s">
        <v>13</v>
      </c>
      <c r="J2145" s="3" t="s">
        <v>6377</v>
      </c>
      <c r="K2145" s="3" t="s">
        <v>50</v>
      </c>
      <c r="L2145" s="3" t="str">
        <f>IFERROR(__xludf.DUMMYFUNCTION("GOOGLETRANSLATE(F2145,""id"",""en"")"),"AET France Argentina The World Cup Final was shipped.")</f>
        <v>AET France Argentina The World Cup Final was shipped.</v>
      </c>
    </row>
    <row r="2146" ht="15.75" customHeight="1">
      <c r="A2146" s="1">
        <v>2157.0</v>
      </c>
      <c r="B2146" s="3" t="s">
        <v>6378</v>
      </c>
      <c r="C2146" s="3">
        <v>0.0</v>
      </c>
      <c r="D2146" s="3">
        <v>0.0</v>
      </c>
      <c r="E2146" s="3">
        <v>1.0</v>
      </c>
      <c r="F2146" s="3" t="s">
        <v>6379</v>
      </c>
      <c r="G2146" s="3">
        <v>1.0</v>
      </c>
      <c r="H2146" s="3">
        <v>0.0</v>
      </c>
      <c r="I2146" s="3" t="s">
        <v>13</v>
      </c>
      <c r="J2146" s="3" t="s">
        <v>6380</v>
      </c>
      <c r="K2146" s="3" t="s">
        <v>240</v>
      </c>
      <c r="L2146" s="3" t="str">
        <f>IFERROR(__xludf.DUMMYFUNCTION("GOOGLETRANSLATE(F2146,""id"",""en"")"),"Kylian Mbappe became the first player to score the World Cup final hat since Sir Geoff Hurst in the year")</f>
        <v>Kylian Mbappe became the first player to score the World Cup final hat since Sir Geoff Hurst in the year</v>
      </c>
    </row>
    <row r="2147" ht="15.75" customHeight="1">
      <c r="A2147" s="1">
        <v>2158.0</v>
      </c>
      <c r="B2147" s="3" t="s">
        <v>6381</v>
      </c>
      <c r="C2147" s="3">
        <v>0.0</v>
      </c>
      <c r="D2147" s="3">
        <v>0.0</v>
      </c>
      <c r="E2147" s="3">
        <v>0.0</v>
      </c>
      <c r="F2147" s="3" t="s">
        <v>6382</v>
      </c>
      <c r="G2147" s="3">
        <v>1.0</v>
      </c>
      <c r="H2147" s="3">
        <v>0.0</v>
      </c>
      <c r="I2147" s="3" t="s">
        <v>13</v>
      </c>
      <c r="J2147" s="3" t="s">
        <v>6383</v>
      </c>
      <c r="K2147" s="3" t="s">
        <v>31</v>
      </c>
      <c r="L2147" s="3" t="str">
        <f>IFERROR(__xludf.DUMMYFUNCTION("GOOGLETRANSLATE(F2147,""id"",""en"")"),"The Best Dramatic World Cup Final")</f>
        <v>The Best Dramatic World Cup Final</v>
      </c>
    </row>
    <row r="2148" ht="15.75" customHeight="1">
      <c r="A2148" s="1">
        <v>2159.0</v>
      </c>
      <c r="B2148" s="3" t="s">
        <v>6384</v>
      </c>
      <c r="C2148" s="3">
        <v>0.0</v>
      </c>
      <c r="D2148" s="3">
        <v>0.0</v>
      </c>
      <c r="E2148" s="3">
        <v>0.0</v>
      </c>
      <c r="F2148" s="3" t="s">
        <v>6385</v>
      </c>
      <c r="G2148" s="3">
        <v>1.0</v>
      </c>
      <c r="H2148" s="3">
        <v>0.0</v>
      </c>
      <c r="I2148" s="3" t="s">
        <v>13</v>
      </c>
      <c r="J2148" s="3" t="s">
        <v>6386</v>
      </c>
      <c r="K2148" s="3" t="s">
        <v>2215</v>
      </c>
      <c r="L2148" s="3" t="str">
        <f>IFERROR(__xludf.DUMMYFUNCTION("GOOGLETRANSLATE(F2148,""id"",""en"")"),"From teaching, watching the new World Cup this is the most exciting Final to watch the best Qatar World Cup")</f>
        <v>From teaching, watching the new World Cup this is the most exciting Final to watch the best Qatar World Cup</v>
      </c>
    </row>
    <row r="2149" ht="15.75" customHeight="1">
      <c r="A2149" s="1">
        <v>2160.0</v>
      </c>
      <c r="B2149" s="3" t="s">
        <v>6387</v>
      </c>
      <c r="C2149" s="3">
        <v>0.0</v>
      </c>
      <c r="D2149" s="3">
        <v>0.0</v>
      </c>
      <c r="E2149" s="3">
        <v>0.0</v>
      </c>
      <c r="F2149" s="3" t="s">
        <v>6388</v>
      </c>
      <c r="G2149" s="3">
        <v>1.0</v>
      </c>
      <c r="H2149" s="3">
        <v>0.0</v>
      </c>
      <c r="I2149" s="3" t="s">
        <v>13</v>
      </c>
      <c r="J2149" s="3" t="s">
        <v>6389</v>
      </c>
      <c r="K2149" s="3" t="s">
        <v>1652</v>
      </c>
      <c r="L2149" s="3" t="str">
        <f>IFERROR(__xludf.DUMMYFUNCTION("GOOGLETRANSLATE(F2149,""id"",""en"")"),"Dramatic Argentina French continued penalties after a dramatic match in the two additional rounds of the French Argentine World Cup which ended in a draw a penalties.")</f>
        <v>Dramatic Argentina French continued penalties after a dramatic match in the two additional rounds of the French Argentine World Cup which ended in a draw a penalties.</v>
      </c>
    </row>
    <row r="2150" ht="15.75" customHeight="1">
      <c r="A2150" s="1">
        <v>2161.0</v>
      </c>
      <c r="B2150" s="3" t="s">
        <v>6390</v>
      </c>
      <c r="C2150" s="3">
        <v>0.0</v>
      </c>
      <c r="D2150" s="3">
        <v>0.0</v>
      </c>
      <c r="E2150" s="3">
        <v>0.0</v>
      </c>
      <c r="F2150" s="3" t="s">
        <v>6391</v>
      </c>
      <c r="G2150" s="3">
        <v>1.0</v>
      </c>
      <c r="H2150" s="3">
        <v>0.0</v>
      </c>
      <c r="I2150" s="3" t="s">
        <v>13</v>
      </c>
      <c r="J2150" s="3" t="s">
        <v>6392</v>
      </c>
      <c r="K2150" s="3" t="s">
        <v>41</v>
      </c>
      <c r="L2150" s="3" t="str">
        <f>IFERROR(__xludf.DUMMYFUNCTION("GOOGLETRANSLATE(F2150,""id"",""en"")"),"This PSG player show is not the World Cup Final")</f>
        <v>This PSG player show is not the World Cup Final</v>
      </c>
    </row>
    <row r="2151" ht="15.75" customHeight="1">
      <c r="A2151" s="1">
        <v>2162.0</v>
      </c>
      <c r="B2151" s="3" t="s">
        <v>6393</v>
      </c>
      <c r="C2151" s="3">
        <v>0.0</v>
      </c>
      <c r="D2151" s="3">
        <v>0.0</v>
      </c>
      <c r="E2151" s="3">
        <v>0.0</v>
      </c>
      <c r="F2151" s="3" t="s">
        <v>6394</v>
      </c>
      <c r="G2151" s="3">
        <v>1.0</v>
      </c>
      <c r="H2151" s="3">
        <v>0.0</v>
      </c>
      <c r="I2151" s="3" t="s">
        <v>13</v>
      </c>
      <c r="J2151" s="3" t="s">
        <v>6395</v>
      </c>
      <c r="K2151" s="3" t="s">
        <v>15</v>
      </c>
      <c r="L2151" s="3" t="str">
        <f>IFERROR(__xludf.DUMMYFUNCTION("GOOGLETRANSLATE(F2151,""id"",""en"")"),"the best world cup final all time mah huhh")</f>
        <v>the best world cup final all time mah huhh</v>
      </c>
    </row>
    <row r="2152" ht="15.75" customHeight="1">
      <c r="A2152" s="1">
        <v>2163.0</v>
      </c>
      <c r="B2152" s="3" t="s">
        <v>6396</v>
      </c>
      <c r="C2152" s="3">
        <v>0.0</v>
      </c>
      <c r="D2152" s="3">
        <v>0.0</v>
      </c>
      <c r="E2152" s="3">
        <v>0.0</v>
      </c>
      <c r="F2152" s="3" t="s">
        <v>6397</v>
      </c>
      <c r="G2152" s="3">
        <v>0.6666666666666666</v>
      </c>
      <c r="H2152" s="3">
        <v>0.08333333333333333</v>
      </c>
      <c r="I2152" s="3" t="s">
        <v>48</v>
      </c>
      <c r="J2152" s="3" t="s">
        <v>6398</v>
      </c>
      <c r="K2152" s="3" t="s">
        <v>510</v>
      </c>
      <c r="L2152" s="3" t="str">
        <f>IFERROR(__xludf.DUMMYFUNCTION("GOOGLETRANSLATE(F2152,""id"",""en"")"),"To hell with the beginning of the world cup this time exciting because playing Middle Eastern Urelf Dude this Final")</f>
        <v>To hell with the beginning of the world cup this time exciting because playing Middle Eastern Urelf Dude this Final</v>
      </c>
    </row>
    <row r="2153" ht="15.75" customHeight="1">
      <c r="A2153" s="1">
        <v>2164.0</v>
      </c>
      <c r="B2153" s="3" t="s">
        <v>6399</v>
      </c>
      <c r="C2153" s="3">
        <v>0.0</v>
      </c>
      <c r="D2153" s="3">
        <v>0.0</v>
      </c>
      <c r="E2153" s="3">
        <v>0.0</v>
      </c>
      <c r="F2153" s="3" t="s">
        <v>6400</v>
      </c>
      <c r="G2153" s="3">
        <v>1.0</v>
      </c>
      <c r="H2153" s="3">
        <v>0.0</v>
      </c>
      <c r="I2153" s="3" t="s">
        <v>13</v>
      </c>
      <c r="J2153" s="3" t="s">
        <v>6401</v>
      </c>
      <c r="K2153" s="3" t="s">
        <v>54</v>
      </c>
      <c r="L2153" s="3" t="str">
        <f>IFERROR(__xludf.DUMMYFUNCTION("GOOGLETRANSLATE(F2153,""id"",""en"")"),"World Cup Final Star War")</f>
        <v>World Cup Final Star War</v>
      </c>
    </row>
    <row r="2154" ht="15.75" customHeight="1">
      <c r="A2154" s="1">
        <v>2165.0</v>
      </c>
      <c r="B2154" s="3" t="s">
        <v>6402</v>
      </c>
      <c r="C2154" s="3">
        <v>0.0</v>
      </c>
      <c r="D2154" s="3">
        <v>0.0</v>
      </c>
      <c r="E2154" s="3">
        <v>0.0</v>
      </c>
      <c r="F2154" s="3" t="s">
        <v>6403</v>
      </c>
      <c r="G2154" s="3">
        <v>1.0</v>
      </c>
      <c r="H2154" s="3">
        <v>0.0</v>
      </c>
      <c r="I2154" s="3" t="s">
        <v>13</v>
      </c>
      <c r="J2154" s="3" t="s">
        <v>6404</v>
      </c>
      <c r="K2154" s="3" t="s">
        <v>6405</v>
      </c>
      <c r="L2154" s="3" t="str">
        <f>IFERROR(__xludf.DUMMYFUNCTION("GOOGLETRANSLATE(F2154,""id"",""en"")"),"The Best Final of the Best World Cup World Cup")</f>
        <v>The Best Final of the Best World Cup World Cup</v>
      </c>
    </row>
    <row r="2155" ht="15.75" customHeight="1">
      <c r="A2155" s="1">
        <v>2166.0</v>
      </c>
      <c r="B2155" s="3" t="s">
        <v>6406</v>
      </c>
      <c r="C2155" s="3">
        <v>0.0</v>
      </c>
      <c r="D2155" s="3">
        <v>0.0</v>
      </c>
      <c r="E2155" s="3">
        <v>0.0</v>
      </c>
      <c r="F2155" s="3" t="s">
        <v>6407</v>
      </c>
      <c r="G2155" s="3">
        <v>0.6444444444444445</v>
      </c>
      <c r="H2155" s="3">
        <v>-0.07777777777777779</v>
      </c>
      <c r="I2155" s="3" t="s">
        <v>179</v>
      </c>
      <c r="J2155" s="3" t="s">
        <v>6408</v>
      </c>
      <c r="K2155" s="3" t="s">
        <v>54</v>
      </c>
      <c r="L2155" s="3" t="str">
        <f>IFERROR(__xludf.DUMMYFUNCTION("GOOGLETRANSLATE(F2155,""id"",""en"")"),"Final of the Best World Cup Hands Down")</f>
        <v>Final of the Best World Cup Hands Down</v>
      </c>
    </row>
    <row r="2156" ht="15.75" customHeight="1">
      <c r="A2156" s="1">
        <v>2167.0</v>
      </c>
      <c r="B2156" s="3" t="s">
        <v>6409</v>
      </c>
      <c r="C2156" s="3">
        <v>0.0</v>
      </c>
      <c r="D2156" s="3">
        <v>0.0</v>
      </c>
      <c r="E2156" s="3">
        <v>0.0</v>
      </c>
      <c r="F2156" s="3" t="s">
        <v>6410</v>
      </c>
      <c r="G2156" s="3">
        <v>1.0</v>
      </c>
      <c r="H2156" s="3">
        <v>0.0</v>
      </c>
      <c r="I2156" s="3" t="s">
        <v>13</v>
      </c>
      <c r="J2156" s="3" t="s">
        <v>6411</v>
      </c>
      <c r="K2156" s="3" t="s">
        <v>41</v>
      </c>
      <c r="L2156" s="3" t="str">
        <f>IFERROR(__xludf.DUMMYFUNCTION("GOOGLETRANSLATE(F2156,""id"",""en"")"),"Daei Aka Sing's Best World Cup Final")</f>
        <v>Daei Aka Sing's Best World Cup Final</v>
      </c>
    </row>
    <row r="2157" ht="15.75" customHeight="1">
      <c r="A2157" s="1">
        <v>2168.0</v>
      </c>
      <c r="B2157" s="3" t="s">
        <v>6412</v>
      </c>
      <c r="C2157" s="3">
        <v>0.0</v>
      </c>
      <c r="D2157" s="3">
        <v>0.0</v>
      </c>
      <c r="E2157" s="3">
        <v>0.0</v>
      </c>
      <c r="F2157" s="3" t="s">
        <v>6413</v>
      </c>
      <c r="G2157" s="3">
        <v>1.0</v>
      </c>
      <c r="H2157" s="3">
        <v>0.0</v>
      </c>
      <c r="I2157" s="3" t="s">
        <v>13</v>
      </c>
      <c r="J2157" s="3" t="s">
        <v>6414</v>
      </c>
      <c r="K2157" s="3" t="s">
        <v>31</v>
      </c>
      <c r="L2157" s="3" t="str">
        <f>IFERROR(__xludf.DUMMYFUNCTION("GOOGLETRANSLATE(F2157,""id"",""en"")"),"the original original world cup final")</f>
        <v>the original original world cup final</v>
      </c>
    </row>
    <row r="2158" ht="15.75" customHeight="1">
      <c r="A2158" s="1">
        <v>2169.0</v>
      </c>
      <c r="B2158" s="3" t="s">
        <v>6415</v>
      </c>
      <c r="C2158" s="3">
        <v>0.0</v>
      </c>
      <c r="D2158" s="3">
        <v>0.0</v>
      </c>
      <c r="E2158" s="3">
        <v>0.0</v>
      </c>
      <c r="F2158" s="3" t="s">
        <v>6416</v>
      </c>
      <c r="G2158" s="3">
        <v>1.0</v>
      </c>
      <c r="H2158" s="3">
        <v>0.0</v>
      </c>
      <c r="I2158" s="3" t="s">
        <v>13</v>
      </c>
      <c r="J2158" s="3" t="s">
        <v>6417</v>
      </c>
      <c r="K2158" s="3" t="s">
        <v>15</v>
      </c>
      <c r="L2158" s="3" t="str">
        <f>IFERROR(__xludf.DUMMYFUNCTION("GOOGLETRANSLATE(F2158,""id"",""en"")"),"Crazy Final Most Exciting Throughout Watching World Cup")</f>
        <v>Crazy Final Most Exciting Throughout Watching World Cup</v>
      </c>
    </row>
    <row r="2159" ht="15.75" customHeight="1">
      <c r="A2159" s="1">
        <v>2170.0</v>
      </c>
      <c r="B2159" s="3" t="s">
        <v>6418</v>
      </c>
      <c r="C2159" s="3">
        <v>0.0</v>
      </c>
      <c r="D2159" s="3">
        <v>0.0</v>
      </c>
      <c r="E2159" s="3">
        <v>0.0</v>
      </c>
      <c r="F2159" s="3" t="s">
        <v>6419</v>
      </c>
      <c r="G2159" s="3">
        <v>1.0</v>
      </c>
      <c r="H2159" s="3">
        <v>0.0</v>
      </c>
      <c r="I2159" s="3" t="s">
        <v>13</v>
      </c>
      <c r="J2159" s="3" t="s">
        <v>6420</v>
      </c>
      <c r="K2159" s="3" t="s">
        <v>82</v>
      </c>
      <c r="L2159" s="3" t="str">
        <f>IFERROR(__xludf.DUMMYFUNCTION("GOOGLETRANSLATE(F2159,""id"",""en"")"),"The World Cup Final was excited about Argentina France Gokil")</f>
        <v>The World Cup Final was excited about Argentina France Gokil</v>
      </c>
    </row>
    <row r="2160" ht="15.75" customHeight="1">
      <c r="A2160" s="1">
        <v>2171.0</v>
      </c>
      <c r="B2160" s="3" t="s">
        <v>6421</v>
      </c>
      <c r="C2160" s="3">
        <v>0.0</v>
      </c>
      <c r="D2160" s="3">
        <v>0.0</v>
      </c>
      <c r="E2160" s="3">
        <v>0.0</v>
      </c>
      <c r="F2160" s="3" t="s">
        <v>6422</v>
      </c>
      <c r="G2160" s="3">
        <v>1.0</v>
      </c>
      <c r="H2160" s="3">
        <v>0.0</v>
      </c>
      <c r="I2160" s="3" t="s">
        <v>13</v>
      </c>
      <c r="J2160" s="3" t="s">
        <v>6423</v>
      </c>
      <c r="K2160" s="3" t="s">
        <v>437</v>
      </c>
      <c r="L2160" s="3" t="str">
        <f>IFERROR(__xludf.DUMMYFUNCTION("GOOGLETRANSLATE(F2160,""id"",""en"")"),"what world cup is this world cup final, what is this exciting heart woyy woyy mbappee Messiii leftover penalty remaining")</f>
        <v>what world cup is this world cup final, what is this exciting heart woyy woyy mbappee Messiii leftover penalty remaining</v>
      </c>
    </row>
    <row r="2161" ht="15.75" customHeight="1">
      <c r="A2161" s="1">
        <v>2172.0</v>
      </c>
      <c r="B2161" s="3" t="s">
        <v>6424</v>
      </c>
      <c r="C2161" s="3">
        <v>0.0</v>
      </c>
      <c r="D2161" s="3">
        <v>0.0</v>
      </c>
      <c r="E2161" s="3">
        <v>1.0</v>
      </c>
      <c r="F2161" s="3" t="s">
        <v>6425</v>
      </c>
      <c r="G2161" s="3">
        <v>1.0</v>
      </c>
      <c r="H2161" s="3">
        <v>0.0</v>
      </c>
      <c r="I2161" s="3" t="s">
        <v>13</v>
      </c>
      <c r="J2161" s="3" t="s">
        <v>6426</v>
      </c>
      <c r="K2161" s="3" t="s">
        <v>54</v>
      </c>
      <c r="L2161" s="3" t="str">
        <f>IFERROR(__xludf.DUMMYFUNCTION("GOOGLETRANSLATE(F2161,""id"",""en"")"),"Throughout watching the World Cup Final the best")</f>
        <v>Throughout watching the World Cup Final the best</v>
      </c>
    </row>
    <row r="2162" ht="15.75" customHeight="1">
      <c r="A2162" s="1">
        <v>2173.0</v>
      </c>
      <c r="B2162" s="3" t="s">
        <v>6427</v>
      </c>
      <c r="C2162" s="3">
        <v>0.0</v>
      </c>
      <c r="D2162" s="3">
        <v>0.0</v>
      </c>
      <c r="E2162" s="3">
        <v>1.0</v>
      </c>
      <c r="F2162" s="3" t="s">
        <v>6428</v>
      </c>
      <c r="G2162" s="3">
        <v>1.0</v>
      </c>
      <c r="H2162" s="3">
        <v>0.0</v>
      </c>
      <c r="I2162" s="3" t="s">
        <v>13</v>
      </c>
      <c r="J2162" s="3" t="s">
        <v>6429</v>
      </c>
      <c r="K2162" s="3" t="s">
        <v>644</v>
      </c>
      <c r="L2162" s="3" t="str">
        <f>IFERROR(__xludf.DUMMYFUNCTION("GOOGLETRANSLATE(F2162,""id"",""en"")"),"This is the World Cup Final Real")</f>
        <v>This is the World Cup Final Real</v>
      </c>
    </row>
    <row r="2163" ht="15.75" customHeight="1">
      <c r="A2163" s="1">
        <v>2174.0</v>
      </c>
      <c r="B2163" s="3" t="s">
        <v>6430</v>
      </c>
      <c r="C2163" s="3">
        <v>0.0</v>
      </c>
      <c r="D2163" s="3">
        <v>0.0</v>
      </c>
      <c r="E2163" s="3">
        <v>0.0</v>
      </c>
      <c r="F2163" s="3" t="s">
        <v>6431</v>
      </c>
      <c r="G2163" s="3">
        <v>1.0</v>
      </c>
      <c r="H2163" s="3">
        <v>0.0</v>
      </c>
      <c r="I2163" s="3" t="s">
        <v>13</v>
      </c>
      <c r="J2163" s="3" t="s">
        <v>6432</v>
      </c>
      <c r="K2163" s="3" t="s">
        <v>41</v>
      </c>
      <c r="L2163" s="3" t="str">
        <f>IFERROR(__xludf.DUMMYFUNCTION("GOOGLETRANSLATE(F2163,""id"",""en"")"),"Imagine the Kicker of the World Cup Final Penalty shootout")</f>
        <v>Imagine the Kicker of the World Cup Final Penalty shootout</v>
      </c>
    </row>
    <row r="2164" ht="15.75" customHeight="1">
      <c r="A2164" s="1">
        <v>2175.0</v>
      </c>
      <c r="B2164" s="3" t="s">
        <v>6433</v>
      </c>
      <c r="C2164" s="3">
        <v>0.0</v>
      </c>
      <c r="D2164" s="3">
        <v>0.0</v>
      </c>
      <c r="E2164" s="3">
        <v>0.0</v>
      </c>
      <c r="F2164" s="3" t="s">
        <v>6434</v>
      </c>
      <c r="G2164" s="3">
        <v>1.0</v>
      </c>
      <c r="H2164" s="3">
        <v>0.0</v>
      </c>
      <c r="I2164" s="3" t="s">
        <v>13</v>
      </c>
      <c r="J2164" s="3" t="s">
        <v>6435</v>
      </c>
      <c r="K2164" s="3" t="s">
        <v>31</v>
      </c>
      <c r="L2164" s="3" t="str">
        <f>IFERROR(__xludf.DUMMYFUNCTION("GOOGLETRANSLATE(F2164,""id"",""en"")"),"Anying This Is Just the World Cup Final")</f>
        <v>Anying This Is Just the World Cup Final</v>
      </c>
    </row>
    <row r="2165" ht="15.75" customHeight="1">
      <c r="A2165" s="1">
        <v>2176.0</v>
      </c>
      <c r="B2165" s="3" t="s">
        <v>6436</v>
      </c>
      <c r="C2165" s="3">
        <v>0.0</v>
      </c>
      <c r="D2165" s="3">
        <v>0.0</v>
      </c>
      <c r="E2165" s="3">
        <v>0.0</v>
      </c>
      <c r="F2165" s="3" t="s">
        <v>6437</v>
      </c>
      <c r="G2165" s="3">
        <v>1.0</v>
      </c>
      <c r="H2165" s="3">
        <v>0.0</v>
      </c>
      <c r="I2165" s="3" t="s">
        <v>13</v>
      </c>
      <c r="J2165" s="3" t="s">
        <v>6438</v>
      </c>
      <c r="K2165" s="3" t="s">
        <v>54</v>
      </c>
      <c r="L2165" s="3" t="str">
        <f>IFERROR(__xludf.DUMMYFUNCTION("GOOGLETRANSLATE(F2165,""id"",""en"")"),"This is just the final of the MBAPE MBAPE World Cup")</f>
        <v>This is just the final of the MBAPE MBAPE World Cup</v>
      </c>
    </row>
    <row r="2166" ht="15.75" customHeight="1">
      <c r="A2166" s="1">
        <v>2177.0</v>
      </c>
      <c r="B2166" s="3" t="s">
        <v>6439</v>
      </c>
      <c r="C2166" s="3">
        <v>1.0</v>
      </c>
      <c r="D2166" s="3">
        <v>2.0</v>
      </c>
      <c r="E2166" s="3">
        <v>16.0</v>
      </c>
      <c r="F2166" s="3" t="s">
        <v>6440</v>
      </c>
      <c r="G2166" s="3">
        <v>1.0</v>
      </c>
      <c r="H2166" s="3">
        <v>0.0</v>
      </c>
      <c r="I2166" s="3" t="s">
        <v>13</v>
      </c>
      <c r="J2166" s="3" t="s">
        <v>6441</v>
      </c>
      <c r="K2166" s="3" t="s">
        <v>240</v>
      </c>
      <c r="L2166" s="3" t="str">
        <f>IFERROR(__xludf.DUMMYFUNCTION("GOOGLETRANSLATE(F2166,""id"",""en"")"),"After a dramatic running match in the two additional rounds of the French Argentine World Cup final which ended in a game to continue the penalty shootout")</f>
        <v>After a dramatic running match in the two additional rounds of the French Argentine World Cup final which ended in a game to continue the penalty shootout</v>
      </c>
    </row>
    <row r="2167" ht="15.75" customHeight="1">
      <c r="A2167" s="1">
        <v>2178.0</v>
      </c>
      <c r="B2167" s="3" t="s">
        <v>6442</v>
      </c>
      <c r="C2167" s="3">
        <v>1.0</v>
      </c>
      <c r="D2167" s="3">
        <v>0.0</v>
      </c>
      <c r="E2167" s="3">
        <v>0.0</v>
      </c>
      <c r="F2167" s="3" t="s">
        <v>6443</v>
      </c>
      <c r="G2167" s="3">
        <v>1.0</v>
      </c>
      <c r="H2167" s="3">
        <v>0.0</v>
      </c>
      <c r="I2167" s="3" t="s">
        <v>13</v>
      </c>
      <c r="J2167" s="3" t="s">
        <v>6444</v>
      </c>
      <c r="K2167" s="3" t="s">
        <v>695</v>
      </c>
      <c r="L2167" s="3" t="str">
        <f>IFERROR(__xludf.DUMMYFUNCTION("GOOGLETRANSLATE(F2167,""id"",""en"")"),"Following the World Cup Final Story and Twit Pluss people update one friend even though I don't understand ballauuuuuuuuuuuuu")</f>
        <v>Following the World Cup Final Story and Twit Pluss people update one friend even though I don't understand ballauuuuuuuuuuuuu</v>
      </c>
    </row>
    <row r="2168" ht="15.75" customHeight="1">
      <c r="A2168" s="1">
        <v>2179.0</v>
      </c>
      <c r="B2168" s="3" t="s">
        <v>6445</v>
      </c>
      <c r="C2168" s="3">
        <v>0.0</v>
      </c>
      <c r="D2168" s="3">
        <v>0.0</v>
      </c>
      <c r="E2168" s="3">
        <v>0.0</v>
      </c>
      <c r="F2168" s="3" t="s">
        <v>6446</v>
      </c>
      <c r="G2168" s="3">
        <v>1.0</v>
      </c>
      <c r="H2168" s="3">
        <v>0.0</v>
      </c>
      <c r="I2168" s="3" t="s">
        <v>13</v>
      </c>
      <c r="J2168" s="3" t="s">
        <v>6447</v>
      </c>
      <c r="K2168" s="3" t="s">
        <v>50</v>
      </c>
      <c r="L2168" s="3" t="str">
        <f>IFERROR(__xludf.DUMMYFUNCTION("GOOGLETRANSLATE(F2168,""id"",""en"")"),"Whatever the result, this is the exciting world cup final I have ever watched a lifetime")</f>
        <v>Whatever the result, this is the exciting world cup final I have ever watched a lifetime</v>
      </c>
    </row>
    <row r="2169" ht="15.75" customHeight="1">
      <c r="A2169" s="1">
        <v>2180.0</v>
      </c>
      <c r="B2169" s="3" t="s">
        <v>6448</v>
      </c>
      <c r="C2169" s="3">
        <v>0.0</v>
      </c>
      <c r="D2169" s="3">
        <v>0.0</v>
      </c>
      <c r="E2169" s="3">
        <v>0.0</v>
      </c>
      <c r="F2169" s="3" t="s">
        <v>6449</v>
      </c>
      <c r="G2169" s="3">
        <v>1.0</v>
      </c>
      <c r="H2169" s="3">
        <v>0.0</v>
      </c>
      <c r="I2169" s="3" t="s">
        <v>13</v>
      </c>
      <c r="J2169" s="3" t="s">
        <v>6450</v>
      </c>
      <c r="K2169" s="3" t="s">
        <v>75</v>
      </c>
      <c r="L2169" s="3" t="str">
        <f>IFERROR(__xludf.DUMMYFUNCTION("GOOGLETRANSLATE(F2169,""id"",""en"")"),"The best match of the Qatar World Cup falls in the final coach match kyknya")</f>
        <v>The best match of the Qatar World Cup falls in the final coach match kyknya</v>
      </c>
    </row>
    <row r="2170" ht="15.75" customHeight="1">
      <c r="A2170" s="1">
        <v>2181.0</v>
      </c>
      <c r="B2170" s="3" t="s">
        <v>6451</v>
      </c>
      <c r="C2170" s="3">
        <v>0.0</v>
      </c>
      <c r="D2170" s="3">
        <v>0.0</v>
      </c>
      <c r="E2170" s="3">
        <v>0.0</v>
      </c>
      <c r="F2170" s="3" t="s">
        <v>6452</v>
      </c>
      <c r="G2170" s="3">
        <v>1.0</v>
      </c>
      <c r="H2170" s="3">
        <v>0.0</v>
      </c>
      <c r="I2170" s="3" t="s">
        <v>13</v>
      </c>
      <c r="J2170" s="3" t="s">
        <v>6453</v>
      </c>
      <c r="K2170" s="3" t="s">
        <v>477</v>
      </c>
      <c r="L2170" s="3" t="str">
        <f>IFERROR(__xludf.DUMMYFUNCTION("GOOGLETRANSLATE(F2170,""id"",""en"")"),"One of the best finals of the World Final World Cup")</f>
        <v>One of the best finals of the World Final World Cup</v>
      </c>
    </row>
    <row r="2171" ht="15.75" customHeight="1">
      <c r="A2171" s="1">
        <v>2182.0</v>
      </c>
      <c r="B2171" s="3" t="s">
        <v>6454</v>
      </c>
      <c r="C2171" s="3">
        <v>0.0</v>
      </c>
      <c r="D2171" s="3">
        <v>0.0</v>
      </c>
      <c r="E2171" s="3">
        <v>0.0</v>
      </c>
      <c r="F2171" s="3" t="s">
        <v>6455</v>
      </c>
      <c r="G2171" s="3">
        <v>1.0</v>
      </c>
      <c r="H2171" s="3">
        <v>0.0</v>
      </c>
      <c r="I2171" s="3" t="s">
        <v>13</v>
      </c>
      <c r="J2171" s="3" t="s">
        <v>6456</v>
      </c>
      <c r="K2171" s="3" t="s">
        <v>15</v>
      </c>
      <c r="L2171" s="3" t="str">
        <f>IFERROR(__xludf.DUMMYFUNCTION("GOOGLETRANSLATE(F2171,""id"",""en"")"),"This can be one of the best final of the World Cup all time")</f>
        <v>This can be one of the best final of the World Cup all time</v>
      </c>
    </row>
    <row r="2172" ht="15.75" customHeight="1">
      <c r="A2172" s="1">
        <v>2183.0</v>
      </c>
      <c r="B2172" s="3" t="s">
        <v>6457</v>
      </c>
      <c r="C2172" s="3">
        <v>0.0</v>
      </c>
      <c r="D2172" s="3">
        <v>0.0</v>
      </c>
      <c r="E2172" s="3">
        <v>0.0</v>
      </c>
      <c r="F2172" s="3" t="s">
        <v>6458</v>
      </c>
      <c r="G2172" s="3">
        <v>1.0</v>
      </c>
      <c r="H2172" s="3">
        <v>0.0</v>
      </c>
      <c r="I2172" s="3" t="s">
        <v>13</v>
      </c>
      <c r="J2172" s="3" t="s">
        <v>6459</v>
      </c>
      <c r="K2172" s="3" t="s">
        <v>1479</v>
      </c>
      <c r="L2172" s="3" t="str">
        <f>IFERROR(__xludf.DUMMYFUNCTION("GOOGLETRANSLATE(F2172,""id"",""en"")"),"Since I first watched the Biyen World Cup Dino Iki's match was the best World Cup final match")</f>
        <v>Since I first watched the Biyen World Cup Dino Iki's match was the best World Cup final match</v>
      </c>
    </row>
    <row r="2173" ht="15.75" customHeight="1">
      <c r="A2173" s="1">
        <v>2184.0</v>
      </c>
      <c r="B2173" s="3" t="s">
        <v>6460</v>
      </c>
      <c r="C2173" s="3">
        <v>0.0</v>
      </c>
      <c r="D2173" s="3">
        <v>0.0</v>
      </c>
      <c r="E2173" s="3">
        <v>0.0</v>
      </c>
      <c r="F2173" s="3" t="s">
        <v>6461</v>
      </c>
      <c r="G2173" s="3">
        <v>1.0</v>
      </c>
      <c r="H2173" s="3">
        <v>0.0</v>
      </c>
      <c r="I2173" s="3" t="s">
        <v>13</v>
      </c>
      <c r="J2173" s="3" t="s">
        <v>6462</v>
      </c>
      <c r="K2173" s="3" t="s">
        <v>236</v>
      </c>
      <c r="L2173" s="3" t="str">
        <f>IFERROR(__xludf.DUMMYFUNCTION("GOOGLETRANSLATE(F2173,""id"",""en"")"),"Argentine French World Cup final results Mbappe Save France via")</f>
        <v>Argentine French World Cup final results Mbappe Save France via</v>
      </c>
    </row>
    <row r="2174" ht="15.75" customHeight="1">
      <c r="A2174" s="1">
        <v>2185.0</v>
      </c>
      <c r="B2174" s="3" t="s">
        <v>6463</v>
      </c>
      <c r="C2174" s="3">
        <v>0.0</v>
      </c>
      <c r="D2174" s="3">
        <v>0.0</v>
      </c>
      <c r="E2174" s="3">
        <v>0.0</v>
      </c>
      <c r="F2174" s="3" t="s">
        <v>6464</v>
      </c>
      <c r="G2174" s="3">
        <v>1.0</v>
      </c>
      <c r="H2174" s="3">
        <v>0.0</v>
      </c>
      <c r="I2174" s="3" t="s">
        <v>13</v>
      </c>
      <c r="J2174" s="3" t="s">
        <v>6465</v>
      </c>
      <c r="K2174" s="3" t="s">
        <v>41</v>
      </c>
      <c r="L2174" s="3" t="str">
        <f>IFERROR(__xludf.DUMMYFUNCTION("GOOGLETRANSLATE(F2174,""id"",""en"")"),"Argentina France continues the Best World Cup Final Penalty round")</f>
        <v>Argentina France continues the Best World Cup Final Penalty round</v>
      </c>
    </row>
    <row r="2175" ht="15.75" customHeight="1">
      <c r="A2175" s="1">
        <v>2187.0</v>
      </c>
      <c r="B2175" s="3" t="s">
        <v>6466</v>
      </c>
      <c r="C2175" s="3">
        <v>0.0</v>
      </c>
      <c r="D2175" s="3">
        <v>0.0</v>
      </c>
      <c r="E2175" s="3">
        <v>0.0</v>
      </c>
      <c r="F2175" s="3" t="s">
        <v>6467</v>
      </c>
      <c r="G2175" s="3">
        <v>1.0</v>
      </c>
      <c r="H2175" s="3">
        <v>0.0</v>
      </c>
      <c r="I2175" s="3" t="s">
        <v>13</v>
      </c>
      <c r="J2175" s="3" t="s">
        <v>6468</v>
      </c>
      <c r="K2175" s="3" t="s">
        <v>41</v>
      </c>
      <c r="L2175" s="3" t="str">
        <f>IFERROR(__xludf.DUMMYFUNCTION("GOOGLETRANSLATE(F2175,""id"",""en"")"),"Woyy Papa again the World Cup Final knows watching not Pahh wkwkwkkwkwk")</f>
        <v>Woyy Papa again the World Cup Final knows watching not Pahh wkwkwkkwkwk</v>
      </c>
    </row>
    <row r="2176" ht="15.75" customHeight="1">
      <c r="A2176" s="1">
        <v>2188.0</v>
      </c>
      <c r="B2176" s="3" t="s">
        <v>6469</v>
      </c>
      <c r="C2176" s="3">
        <v>0.0</v>
      </c>
      <c r="D2176" s="3">
        <v>0.0</v>
      </c>
      <c r="E2176" s="3">
        <v>0.0</v>
      </c>
      <c r="F2176" s="3" t="s">
        <v>6470</v>
      </c>
      <c r="G2176" s="3">
        <v>1.0</v>
      </c>
      <c r="H2176" s="3">
        <v>0.0</v>
      </c>
      <c r="I2176" s="3" t="s">
        <v>13</v>
      </c>
      <c r="J2176" s="3" t="s">
        <v>6471</v>
      </c>
      <c r="K2176" s="3" t="s">
        <v>82</v>
      </c>
      <c r="L2176" s="3" t="str">
        <f>IFERROR(__xludf.DUMMYFUNCTION("GOOGLETRANSLATE(F2176,""id"",""en"")"),"Agree during watching the best world cup finalkk")</f>
        <v>Agree during watching the best world cup finalkk</v>
      </c>
    </row>
    <row r="2177" ht="15.75" customHeight="1">
      <c r="A2177" s="1">
        <v>2189.0</v>
      </c>
      <c r="B2177" s="3" t="s">
        <v>6472</v>
      </c>
      <c r="C2177" s="3">
        <v>0.0</v>
      </c>
      <c r="D2177" s="3">
        <v>0.0</v>
      </c>
      <c r="E2177" s="3">
        <v>0.0</v>
      </c>
      <c r="F2177" s="3" t="s">
        <v>6473</v>
      </c>
      <c r="G2177" s="3">
        <v>1.0</v>
      </c>
      <c r="H2177" s="3">
        <v>0.0</v>
      </c>
      <c r="I2177" s="3" t="s">
        <v>13</v>
      </c>
      <c r="J2177" s="3" t="s">
        <v>6474</v>
      </c>
      <c r="K2177" s="3" t="s">
        <v>657</v>
      </c>
      <c r="L2177" s="3" t="str">
        <f>IFERROR(__xludf.DUMMYFUNCTION("GOOGLETRANSLATE(F2177,""id"",""en"")"),"One that will be proud of children and grandchildren later if you have a historic world cup final")</f>
        <v>One that will be proud of children and grandchildren later if you have a historic world cup final</v>
      </c>
    </row>
    <row r="2178" ht="15.75" customHeight="1">
      <c r="A2178" s="1">
        <v>2190.0</v>
      </c>
      <c r="B2178" s="3" t="s">
        <v>6475</v>
      </c>
      <c r="C2178" s="3">
        <v>0.0</v>
      </c>
      <c r="D2178" s="3">
        <v>0.0</v>
      </c>
      <c r="E2178" s="3">
        <v>0.0</v>
      </c>
      <c r="F2178" s="3" t="s">
        <v>6476</v>
      </c>
      <c r="G2178" s="3">
        <v>1.0</v>
      </c>
      <c r="H2178" s="3">
        <v>0.0</v>
      </c>
      <c r="I2178" s="3" t="s">
        <v>13</v>
      </c>
      <c r="J2178" s="3" t="s">
        <v>643</v>
      </c>
      <c r="K2178" s="3" t="s">
        <v>644</v>
      </c>
      <c r="L2178" s="3" t="str">
        <f>IFERROR(__xludf.DUMMYFUNCTION("GOOGLETRANSLATE(F2178,""id"",""en"")"),"The World Cup Final was shocked")</f>
        <v>The World Cup Final was shocked</v>
      </c>
    </row>
    <row r="2179" ht="15.75" customHeight="1">
      <c r="A2179" s="1">
        <v>2191.0</v>
      </c>
      <c r="B2179" s="3" t="s">
        <v>6477</v>
      </c>
      <c r="C2179" s="3">
        <v>0.0</v>
      </c>
      <c r="D2179" s="3">
        <v>0.0</v>
      </c>
      <c r="E2179" s="3">
        <v>0.0</v>
      </c>
      <c r="F2179" s="3" t="s">
        <v>6477</v>
      </c>
      <c r="G2179" s="3">
        <v>1.0</v>
      </c>
      <c r="H2179" s="3">
        <v>0.0</v>
      </c>
      <c r="I2179" s="3" t="s">
        <v>13</v>
      </c>
      <c r="J2179" s="3" t="s">
        <v>6478</v>
      </c>
      <c r="K2179" s="3" t="s">
        <v>31</v>
      </c>
      <c r="L2179" s="3" t="str">
        <f>IFERROR(__xludf.DUMMYFUNCTION("GOOGLETRANSLATE(F2179,""id"",""en"")"),"Crazy World Cup Final this time")</f>
        <v>Crazy World Cup Final this time</v>
      </c>
    </row>
    <row r="2180" ht="15.75" customHeight="1">
      <c r="A2180" s="1">
        <v>2192.0</v>
      </c>
      <c r="B2180" s="3" t="s">
        <v>6479</v>
      </c>
      <c r="C2180" s="3">
        <v>0.0</v>
      </c>
      <c r="D2180" s="3">
        <v>0.0</v>
      </c>
      <c r="E2180" s="3">
        <v>0.0</v>
      </c>
      <c r="F2180" s="3" t="s">
        <v>6480</v>
      </c>
      <c r="G2180" s="3">
        <v>1.0</v>
      </c>
      <c r="H2180" s="3">
        <v>0.0</v>
      </c>
      <c r="I2180" s="3" t="s">
        <v>13</v>
      </c>
      <c r="J2180" s="3" t="s">
        <v>6481</v>
      </c>
      <c r="K2180" s="3" t="s">
        <v>15</v>
      </c>
      <c r="L2180" s="3" t="str">
        <f>IFERROR(__xludf.DUMMYFUNCTION("GOOGLETRANSLATE(F2180,""id"",""en"")"),"Penalty Watching Free Argentina French World Cup Final")</f>
        <v>Penalty Watching Free Argentina French World Cup Final</v>
      </c>
    </row>
    <row r="2181" ht="15.75" customHeight="1">
      <c r="A2181" s="1">
        <v>2193.0</v>
      </c>
      <c r="B2181" s="3" t="s">
        <v>6482</v>
      </c>
      <c r="C2181" s="3">
        <v>1.0</v>
      </c>
      <c r="D2181" s="3">
        <v>0.0</v>
      </c>
      <c r="E2181" s="3">
        <v>0.0</v>
      </c>
      <c r="F2181" s="3" t="s">
        <v>6482</v>
      </c>
      <c r="G2181" s="3">
        <v>1.0</v>
      </c>
      <c r="H2181" s="3">
        <v>0.0</v>
      </c>
      <c r="I2181" s="3" t="s">
        <v>13</v>
      </c>
      <c r="J2181" s="3" t="s">
        <v>6483</v>
      </c>
      <c r="K2181" s="3" t="s">
        <v>15</v>
      </c>
      <c r="L2181" s="3" t="str">
        <f>IFERROR(__xludf.DUMMYFUNCTION("GOOGLETRANSLATE(F2181,""id"",""en"")"),"The World Cup Final The Most Exciting So far I Watch")</f>
        <v>The World Cup Final The Most Exciting So far I Watch</v>
      </c>
    </row>
    <row r="2182" ht="15.75" customHeight="1">
      <c r="A2182" s="1">
        <v>2194.0</v>
      </c>
      <c r="B2182" s="3" t="s">
        <v>6484</v>
      </c>
      <c r="C2182" s="3">
        <v>1.0</v>
      </c>
      <c r="D2182" s="3">
        <v>0.0</v>
      </c>
      <c r="E2182" s="3">
        <v>0.0</v>
      </c>
      <c r="F2182" s="3" t="s">
        <v>6485</v>
      </c>
      <c r="G2182" s="3">
        <v>1.0</v>
      </c>
      <c r="H2182" s="3">
        <v>0.0</v>
      </c>
      <c r="I2182" s="3" t="s">
        <v>13</v>
      </c>
      <c r="J2182" s="3" t="s">
        <v>6486</v>
      </c>
      <c r="K2182" s="3" t="s">
        <v>1349</v>
      </c>
      <c r="L2182" s="3" t="str">
        <f>IFERROR(__xludf.DUMMYFUNCTION("GOOGLETRANSLATE(F2182,""id"",""en"")"),"Not watching a single match since the beginning of the world cup this year once watching the final once watching the final kek like this")</f>
        <v>Not watching a single match since the beginning of the world cup this year once watching the final once watching the final kek like this</v>
      </c>
    </row>
    <row r="2183" ht="15.75" customHeight="1">
      <c r="A2183" s="1">
        <v>2195.0</v>
      </c>
      <c r="B2183" s="3" t="s">
        <v>6487</v>
      </c>
      <c r="C2183" s="3">
        <v>0.0</v>
      </c>
      <c r="D2183" s="3">
        <v>0.0</v>
      </c>
      <c r="E2183" s="3">
        <v>0.0</v>
      </c>
      <c r="F2183" s="3" t="s">
        <v>6488</v>
      </c>
      <c r="G2183" s="3">
        <v>1.0</v>
      </c>
      <c r="H2183" s="3">
        <v>0.0</v>
      </c>
      <c r="I2183" s="3" t="s">
        <v>13</v>
      </c>
      <c r="J2183" s="3" t="s">
        <v>6489</v>
      </c>
      <c r="K2183" s="3" t="s">
        <v>54</v>
      </c>
      <c r="L2183" s="3" t="str">
        <f>IFERROR(__xludf.DUMMYFUNCTION("GOOGLETRANSLATE(F2183,""id"",""en"")"),"Crazy World Cup Final Most Exciting")</f>
        <v>Crazy World Cup Final Most Exciting</v>
      </c>
    </row>
    <row r="2184" ht="15.75" customHeight="1">
      <c r="A2184" s="1">
        <v>2196.0</v>
      </c>
      <c r="B2184" s="3" t="s">
        <v>6490</v>
      </c>
      <c r="C2184" s="3">
        <v>0.0</v>
      </c>
      <c r="D2184" s="3">
        <v>0.0</v>
      </c>
      <c r="E2184" s="3">
        <v>0.0</v>
      </c>
      <c r="F2184" s="3" t="s">
        <v>6491</v>
      </c>
      <c r="G2184" s="3">
        <v>1.0</v>
      </c>
      <c r="H2184" s="3">
        <v>0.0</v>
      </c>
      <c r="I2184" s="3" t="s">
        <v>13</v>
      </c>
      <c r="J2184" s="3" t="s">
        <v>6492</v>
      </c>
      <c r="K2184" s="3" t="s">
        <v>1469</v>
      </c>
      <c r="L2184" s="3" t="str">
        <f>IFERROR(__xludf.DUMMYFUNCTION("GOOGLETRANSLATE(F2184,""id"",""en"")"),"crazy mbappe Messi Iki UDU MUK UCL match you know the World Cup World Cup")</f>
        <v>crazy mbappe Messi Iki UDU MUK UCL match you know the World Cup World Cup</v>
      </c>
    </row>
    <row r="2185" ht="15.75" customHeight="1">
      <c r="A2185" s="1">
        <v>2197.0</v>
      </c>
      <c r="B2185" s="3" t="s">
        <v>6493</v>
      </c>
      <c r="C2185" s="3">
        <v>3.0</v>
      </c>
      <c r="D2185" s="3">
        <v>2.0</v>
      </c>
      <c r="E2185" s="3">
        <v>0.0</v>
      </c>
      <c r="F2185" s="3" t="s">
        <v>6494</v>
      </c>
      <c r="G2185" s="3">
        <v>1.0</v>
      </c>
      <c r="H2185" s="3">
        <v>0.0</v>
      </c>
      <c r="I2185" s="3" t="s">
        <v>13</v>
      </c>
      <c r="J2185" s="3" t="s">
        <v>6495</v>
      </c>
      <c r="K2185" s="3" t="s">
        <v>484</v>
      </c>
      <c r="L2185" s="3" t="str">
        <f>IFERROR(__xludf.DUMMYFUNCTION("GOOGLETRANSLATE(F2185,""id"",""en"")"),"no longer care who wins the IMI penalty shootout is the best World Cup final watched since following the World Cup")</f>
        <v>no longer care who wins the IMI penalty shootout is the best World Cup final watched since following the World Cup</v>
      </c>
    </row>
    <row r="2186" ht="15.75" customHeight="1">
      <c r="A2186" s="1">
        <v>2198.0</v>
      </c>
      <c r="B2186" s="3" t="s">
        <v>6496</v>
      </c>
      <c r="C2186" s="3">
        <v>0.0</v>
      </c>
      <c r="D2186" s="3">
        <v>0.0</v>
      </c>
      <c r="E2186" s="3">
        <v>0.0</v>
      </c>
      <c r="F2186" s="3" t="s">
        <v>6497</v>
      </c>
      <c r="G2186" s="3">
        <v>1.0</v>
      </c>
      <c r="H2186" s="3">
        <v>0.0</v>
      </c>
      <c r="I2186" s="3" t="s">
        <v>13</v>
      </c>
      <c r="J2186" s="3" t="s">
        <v>6498</v>
      </c>
      <c r="K2186" s="3" t="s">
        <v>58</v>
      </c>
      <c r="L2186" s="3" t="str">
        <f>IFERROR(__xludf.DUMMYFUNCTION("GOOGLETRANSLATE(F2186,""id"",""en"")"),"Sopo Sing Winning IKI Roming the World Cup Final Most Gayeng Suwun Bandar Suwun")</f>
        <v>Sopo Sing Winning IKI Roming the World Cup Final Most Gayeng Suwun Bandar Suwun</v>
      </c>
    </row>
    <row r="2187" ht="15.75" customHeight="1">
      <c r="A2187" s="1">
        <v>2199.0</v>
      </c>
      <c r="B2187" s="3" t="s">
        <v>6499</v>
      </c>
      <c r="C2187" s="3">
        <v>0.0</v>
      </c>
      <c r="D2187" s="3">
        <v>0.0</v>
      </c>
      <c r="E2187" s="3">
        <v>0.0</v>
      </c>
      <c r="F2187" s="3" t="s">
        <v>6500</v>
      </c>
      <c r="G2187" s="3">
        <v>1.0</v>
      </c>
      <c r="H2187" s="3">
        <v>0.0</v>
      </c>
      <c r="I2187" s="3" t="s">
        <v>13</v>
      </c>
      <c r="J2187" s="3" t="s">
        <v>6501</v>
      </c>
      <c r="K2187" s="3" t="s">
        <v>437</v>
      </c>
      <c r="L2187" s="3" t="str">
        <f>IFERROR(__xludf.DUMMYFUNCTION("GOOGLETRANSLATE(F2187,""id"",""en"")"),"The World Cup Final is very fierce, oh my cold sweat watching it so riots")</f>
        <v>The World Cup Final is very fierce, oh my cold sweat watching it so riots</v>
      </c>
    </row>
    <row r="2188" ht="15.75" customHeight="1">
      <c r="A2188" s="1">
        <v>2200.0</v>
      </c>
      <c r="B2188" s="3" t="s">
        <v>6502</v>
      </c>
      <c r="C2188" s="3">
        <v>0.0</v>
      </c>
      <c r="D2188" s="3">
        <v>0.0</v>
      </c>
      <c r="E2188" s="3">
        <v>0.0</v>
      </c>
      <c r="F2188" s="3" t="s">
        <v>6503</v>
      </c>
      <c r="G2188" s="3">
        <v>1.0</v>
      </c>
      <c r="H2188" s="3">
        <v>0.0</v>
      </c>
      <c r="I2188" s="3" t="s">
        <v>13</v>
      </c>
      <c r="J2188" s="3" t="s">
        <v>6504</v>
      </c>
      <c r="K2188" s="3" t="s">
        <v>82</v>
      </c>
      <c r="L2188" s="3" t="str">
        <f>IFERROR(__xludf.DUMMYFUNCTION("GOOGLETRANSLATE(F2188,""id"",""en"")"),"The World Cup Final Most Ever Watching")</f>
        <v>The World Cup Final Most Ever Watching</v>
      </c>
    </row>
    <row r="2189" ht="15.75" customHeight="1">
      <c r="A2189" s="1">
        <v>2201.0</v>
      </c>
      <c r="B2189" s="3" t="s">
        <v>6505</v>
      </c>
      <c r="C2189" s="3">
        <v>0.0</v>
      </c>
      <c r="D2189" s="3">
        <v>0.0</v>
      </c>
      <c r="E2189" s="3">
        <v>0.0</v>
      </c>
      <c r="F2189" s="3" t="s">
        <v>6506</v>
      </c>
      <c r="G2189" s="3">
        <v>1.0</v>
      </c>
      <c r="H2189" s="3">
        <v>0.0</v>
      </c>
      <c r="I2189" s="3" t="s">
        <v>13</v>
      </c>
      <c r="J2189" s="3" t="s">
        <v>6507</v>
      </c>
      <c r="K2189" s="3" t="s">
        <v>54</v>
      </c>
      <c r="L2189" s="3" t="str">
        <f>IFERROR(__xludf.DUMMYFUNCTION("GOOGLETRANSLATE(F2189,""id"",""en"")"),"World Cup Final Crazy Iki")</f>
        <v>World Cup Final Crazy Iki</v>
      </c>
    </row>
    <row r="2190" ht="15.75" customHeight="1">
      <c r="A2190" s="1">
        <v>2202.0</v>
      </c>
      <c r="B2190" s="3" t="s">
        <v>6508</v>
      </c>
      <c r="C2190" s="3">
        <v>1.0</v>
      </c>
      <c r="D2190" s="3">
        <v>0.0</v>
      </c>
      <c r="E2190" s="3">
        <v>0.0</v>
      </c>
      <c r="F2190" s="3" t="s">
        <v>6509</v>
      </c>
      <c r="G2190" s="3">
        <v>1.0</v>
      </c>
      <c r="H2190" s="3">
        <v>0.0</v>
      </c>
      <c r="I2190" s="3" t="s">
        <v>13</v>
      </c>
      <c r="J2190" s="3" t="s">
        <v>6510</v>
      </c>
      <c r="K2190" s="3" t="s">
        <v>644</v>
      </c>
      <c r="L2190" s="3" t="str">
        <f>IFERROR(__xludf.DUMMYFUNCTION("GOOGLETRANSLATE(F2190,""id"",""en"")"),"This is only the World Cup final")</f>
        <v>This is only the World Cup final</v>
      </c>
    </row>
    <row r="2191" ht="15.75" customHeight="1">
      <c r="A2191" s="1">
        <v>2203.0</v>
      </c>
      <c r="B2191" s="3" t="s">
        <v>6511</v>
      </c>
      <c r="C2191" s="3">
        <v>0.0</v>
      </c>
      <c r="D2191" s="3">
        <v>0.0</v>
      </c>
      <c r="E2191" s="3">
        <v>0.0</v>
      </c>
      <c r="F2191" s="3" t="s">
        <v>6512</v>
      </c>
      <c r="G2191" s="3">
        <v>1.0</v>
      </c>
      <c r="H2191" s="3">
        <v>0.0</v>
      </c>
      <c r="I2191" s="3" t="s">
        <v>13</v>
      </c>
      <c r="J2191" s="3" t="s">
        <v>6513</v>
      </c>
      <c r="K2191" s="3" t="s">
        <v>31</v>
      </c>
      <c r="L2191" s="3" t="str">
        <f>IFERROR(__xludf.DUMMYFUNCTION("GOOGLETRANSLATE(F2191,""id"",""en"")"),"Ajeengg World Cup Final")</f>
        <v>Ajeengg World Cup Final</v>
      </c>
    </row>
    <row r="2192" ht="15.75" customHeight="1">
      <c r="A2192" s="1">
        <v>2204.0</v>
      </c>
      <c r="B2192" s="3" t="s">
        <v>6514</v>
      </c>
      <c r="C2192" s="3">
        <v>1.0</v>
      </c>
      <c r="D2192" s="3">
        <v>0.0</v>
      </c>
      <c r="E2192" s="3">
        <v>0.0</v>
      </c>
      <c r="F2192" s="3" t="s">
        <v>6515</v>
      </c>
      <c r="G2192" s="3">
        <v>1.0</v>
      </c>
      <c r="H2192" s="3">
        <v>0.0</v>
      </c>
      <c r="I2192" s="3" t="s">
        <v>13</v>
      </c>
      <c r="J2192" s="3" t="s">
        <v>6516</v>
      </c>
      <c r="K2192" s="3" t="s">
        <v>1345</v>
      </c>
      <c r="L2192" s="3" t="str">
        <f>IFERROR(__xludf.DUMMYFUNCTION("GOOGLETRANSLATE(F2192,""id"",""en"")"),"crazy crazy since watching the final of the world cup of the final year Gokss")</f>
        <v>crazy crazy since watching the final of the world cup of the final year Gokss</v>
      </c>
    </row>
    <row r="2193" ht="15.75" customHeight="1">
      <c r="A2193" s="1">
        <v>2205.0</v>
      </c>
      <c r="B2193" s="3" t="s">
        <v>6517</v>
      </c>
      <c r="C2193" s="3">
        <v>0.0</v>
      </c>
      <c r="D2193" s="3">
        <v>2.0</v>
      </c>
      <c r="E2193" s="3">
        <v>7.0</v>
      </c>
      <c r="F2193" s="3" t="s">
        <v>6518</v>
      </c>
      <c r="G2193" s="3">
        <v>1.0</v>
      </c>
      <c r="H2193" s="3">
        <v>0.0</v>
      </c>
      <c r="I2193" s="3" t="s">
        <v>13</v>
      </c>
      <c r="J2193" s="3" t="s">
        <v>6519</v>
      </c>
      <c r="K2193" s="3" t="s">
        <v>54</v>
      </c>
      <c r="L2193" s="3" t="str">
        <f>IFERROR(__xludf.DUMMYFUNCTION("GOOGLETRANSLATE(F2193,""id"",""en"")"),"The latest condition of the World Cup Final audience")</f>
        <v>The latest condition of the World Cup Final audience</v>
      </c>
    </row>
    <row r="2194" ht="15.75" customHeight="1">
      <c r="A2194" s="1">
        <v>2206.0</v>
      </c>
      <c r="B2194" s="3" t="s">
        <v>6520</v>
      </c>
      <c r="C2194" s="3">
        <v>0.0</v>
      </c>
      <c r="D2194" s="3">
        <v>0.0</v>
      </c>
      <c r="E2194" s="3">
        <v>0.0</v>
      </c>
      <c r="F2194" s="3" t="s">
        <v>6521</v>
      </c>
      <c r="G2194" s="3">
        <v>1.0</v>
      </c>
      <c r="H2194" s="3">
        <v>0.0</v>
      </c>
      <c r="I2194" s="3" t="s">
        <v>13</v>
      </c>
      <c r="J2194" s="3" t="s">
        <v>6522</v>
      </c>
      <c r="K2194" s="3" t="s">
        <v>31</v>
      </c>
      <c r="L2194" s="3" t="str">
        <f>IFERROR(__xludf.DUMMYFUNCTION("GOOGLETRANSLATE(F2194,""id"",""en"")"),"World Cup Final Most Gokilll")</f>
        <v>World Cup Final Most Gokilll</v>
      </c>
    </row>
    <row r="2195" ht="15.75" customHeight="1">
      <c r="A2195" s="1">
        <v>2207.0</v>
      </c>
      <c r="B2195" s="3" t="s">
        <v>6523</v>
      </c>
      <c r="C2195" s="3">
        <v>1.0</v>
      </c>
      <c r="D2195" s="3">
        <v>0.0</v>
      </c>
      <c r="E2195" s="3">
        <v>1.0</v>
      </c>
      <c r="F2195" s="3" t="s">
        <v>6524</v>
      </c>
      <c r="G2195" s="3">
        <v>1.0</v>
      </c>
      <c r="H2195" s="3">
        <v>0.0</v>
      </c>
      <c r="I2195" s="3" t="s">
        <v>13</v>
      </c>
      <c r="J2195" s="3" t="s">
        <v>6525</v>
      </c>
      <c r="K2195" s="3" t="s">
        <v>41</v>
      </c>
      <c r="L2195" s="3" t="str">
        <f>IFERROR(__xludf.DUMMYFUNCTION("GOOGLETRANSLATE(F2195,""id"",""en"")"),"The most exciting final in the history of the original world cup debate")</f>
        <v>The most exciting final in the history of the original world cup debate</v>
      </c>
    </row>
    <row r="2196" ht="15.75" customHeight="1">
      <c r="A2196" s="1">
        <v>2208.0</v>
      </c>
      <c r="B2196" s="3" t="s">
        <v>6526</v>
      </c>
      <c r="C2196" s="3">
        <v>0.0</v>
      </c>
      <c r="D2196" s="3">
        <v>0.0</v>
      </c>
      <c r="E2196" s="3">
        <v>0.0</v>
      </c>
      <c r="F2196" s="3" t="s">
        <v>6527</v>
      </c>
      <c r="G2196" s="3">
        <v>1.0</v>
      </c>
      <c r="H2196" s="3">
        <v>0.0</v>
      </c>
      <c r="I2196" s="3" t="s">
        <v>13</v>
      </c>
      <c r="J2196" s="3" t="s">
        <v>6528</v>
      </c>
      <c r="K2196" s="3" t="s">
        <v>54</v>
      </c>
      <c r="L2196" s="3" t="str">
        <f>IFERROR(__xludf.DUMMYFUNCTION("GOOGLETRANSLATE(F2196,""id"",""en"")"),"World Cup Final Epic Oath")</f>
        <v>World Cup Final Epic Oath</v>
      </c>
    </row>
    <row r="2197" ht="15.75" customHeight="1">
      <c r="A2197" s="1">
        <v>2209.0</v>
      </c>
      <c r="B2197" s="3" t="s">
        <v>6529</v>
      </c>
      <c r="C2197" s="3">
        <v>1.0</v>
      </c>
      <c r="D2197" s="3">
        <v>3.0</v>
      </c>
      <c r="E2197" s="3">
        <v>4.0</v>
      </c>
      <c r="F2197" s="3" t="s">
        <v>6530</v>
      </c>
      <c r="G2197" s="3">
        <v>1.0</v>
      </c>
      <c r="H2197" s="3">
        <v>0.0</v>
      </c>
      <c r="I2197" s="3" t="s">
        <v>13</v>
      </c>
      <c r="J2197" s="3" t="s">
        <v>6531</v>
      </c>
      <c r="K2197" s="3" t="s">
        <v>35</v>
      </c>
      <c r="L2197" s="3" t="str">
        <f>IFERROR(__xludf.DUMMYFUNCTION("GOOGLETRANSLATE(F2197,""id"",""en"")"),"Final of the Best World Cup One of the greatest football final matches of all time")</f>
        <v>Final of the Best World Cup One of the greatest football final matches of all time</v>
      </c>
    </row>
    <row r="2198" ht="15.75" customHeight="1">
      <c r="A2198" s="1">
        <v>2210.0</v>
      </c>
      <c r="B2198" s="3" t="s">
        <v>6532</v>
      </c>
      <c r="C2198" s="3">
        <v>0.0</v>
      </c>
      <c r="D2198" s="3">
        <v>0.0</v>
      </c>
      <c r="E2198" s="3">
        <v>0.0</v>
      </c>
      <c r="F2198" s="3" t="s">
        <v>6533</v>
      </c>
      <c r="G2198" s="3">
        <v>1.0</v>
      </c>
      <c r="H2198" s="3">
        <v>0.0</v>
      </c>
      <c r="I2198" s="3" t="s">
        <v>13</v>
      </c>
      <c r="J2198" s="3" t="s">
        <v>6534</v>
      </c>
      <c r="K2198" s="3" t="s">
        <v>41</v>
      </c>
      <c r="L2198" s="3" t="str">
        <f>IFERROR(__xludf.DUMMYFUNCTION("GOOGLETRANSLATE(F2198,""id"",""en"")"),"Argentina World Cup Final Mbappe France and ends with a penalties")</f>
        <v>Argentina World Cup Final Mbappe France and ends with a penalties</v>
      </c>
    </row>
    <row r="2199" ht="15.75" customHeight="1">
      <c r="A2199" s="1">
        <v>2211.0</v>
      </c>
      <c r="B2199" s="3" t="s">
        <v>6535</v>
      </c>
      <c r="C2199" s="3">
        <v>0.0</v>
      </c>
      <c r="D2199" s="3">
        <v>0.0</v>
      </c>
      <c r="E2199" s="3">
        <v>1.0</v>
      </c>
      <c r="F2199" s="3" t="s">
        <v>6536</v>
      </c>
      <c r="G2199" s="3">
        <v>1.0</v>
      </c>
      <c r="H2199" s="3">
        <v>0.0</v>
      </c>
      <c r="I2199" s="3" t="s">
        <v>13</v>
      </c>
      <c r="J2199" s="3" t="s">
        <v>6537</v>
      </c>
      <c r="K2199" s="3" t="s">
        <v>82</v>
      </c>
      <c r="L2199" s="3" t="str">
        <f>IFERROR(__xludf.DUMMYFUNCTION("GOOGLETRANSLATE(F2199,""id"",""en"")"),"From watching the World Cup final until this year the most exciting")</f>
        <v>From watching the World Cup final until this year the most exciting</v>
      </c>
    </row>
    <row r="2200" ht="15.75" customHeight="1">
      <c r="A2200" s="1">
        <v>2212.0</v>
      </c>
      <c r="B2200" s="3" t="s">
        <v>6538</v>
      </c>
      <c r="C2200" s="3">
        <v>5.0</v>
      </c>
      <c r="D2200" s="3">
        <v>15.0</v>
      </c>
      <c r="E2200" s="3">
        <v>64.0</v>
      </c>
      <c r="F2200" s="3" t="s">
        <v>6539</v>
      </c>
      <c r="G2200" s="3">
        <v>1.0</v>
      </c>
      <c r="H2200" s="3">
        <v>0.0</v>
      </c>
      <c r="I2200" s="3" t="s">
        <v>13</v>
      </c>
      <c r="J2200" s="3" t="s">
        <v>6540</v>
      </c>
      <c r="K2200" s="3" t="s">
        <v>657</v>
      </c>
      <c r="L2200" s="3" t="str">
        <f>IFERROR(__xludf.DUMMYFUNCTION("GOOGLETRANSLATE(F2200,""id"",""en"")"),"The last time there was a shootout of the Bald French World Cup World Cup.")</f>
        <v>The last time there was a shootout of the Bald French World Cup World Cup.</v>
      </c>
    </row>
    <row r="2201" ht="15.75" customHeight="1">
      <c r="A2201" s="1">
        <v>2213.0</v>
      </c>
      <c r="B2201" s="3" t="s">
        <v>6541</v>
      </c>
      <c r="C2201" s="3">
        <v>0.0</v>
      </c>
      <c r="D2201" s="3">
        <v>0.0</v>
      </c>
      <c r="E2201" s="3">
        <v>0.0</v>
      </c>
      <c r="F2201" s="3" t="s">
        <v>6542</v>
      </c>
      <c r="G2201" s="3">
        <v>1.0</v>
      </c>
      <c r="H2201" s="3">
        <v>0.0</v>
      </c>
      <c r="I2201" s="3" t="s">
        <v>13</v>
      </c>
      <c r="J2201" s="3" t="s">
        <v>6543</v>
      </c>
      <c r="K2201" s="3" t="s">
        <v>82</v>
      </c>
      <c r="L2201" s="3" t="str">
        <f>IFERROR(__xludf.DUMMYFUNCTION("GOOGLETRANSLATE(F2201,""id"",""en"")"),"The Final World Cup is the most exciting")</f>
        <v>The Final World Cup is the most exciting</v>
      </c>
    </row>
    <row r="2202" ht="15.75" customHeight="1">
      <c r="A2202" s="1">
        <v>2214.0</v>
      </c>
      <c r="B2202" s="3" t="s">
        <v>6544</v>
      </c>
      <c r="C2202" s="3">
        <v>0.0</v>
      </c>
      <c r="D2202" s="3">
        <v>0.0</v>
      </c>
      <c r="E2202" s="3">
        <v>0.0</v>
      </c>
      <c r="F2202" s="3" t="s">
        <v>6545</v>
      </c>
      <c r="G2202" s="3">
        <v>1.0</v>
      </c>
      <c r="H2202" s="3">
        <v>0.0</v>
      </c>
      <c r="I2202" s="3" t="s">
        <v>13</v>
      </c>
      <c r="J2202" s="3" t="s">
        <v>6546</v>
      </c>
      <c r="K2202" s="3" t="s">
        <v>19</v>
      </c>
      <c r="L2202" s="3" t="str">
        <f>IFERROR(__xludf.DUMMYFUNCTION("GOOGLETRANSLATE(F2202,""id"",""en"")"),"Tomorrow Monday Coy Mon Sorry to Sleep Gaksie instead wipe the World Cup Final")</f>
        <v>Tomorrow Monday Coy Mon Sorry to Sleep Gaksie instead wipe the World Cup Final</v>
      </c>
    </row>
    <row r="2203" ht="15.75" customHeight="1">
      <c r="A2203" s="1">
        <v>2215.0</v>
      </c>
      <c r="B2203" s="3" t="s">
        <v>6547</v>
      </c>
      <c r="C2203" s="3">
        <v>15.0</v>
      </c>
      <c r="D2203" s="3">
        <v>61.0</v>
      </c>
      <c r="E2203" s="3">
        <v>181.0</v>
      </c>
      <c r="F2203" s="3" t="s">
        <v>6548</v>
      </c>
      <c r="G2203" s="3">
        <v>1.0</v>
      </c>
      <c r="H2203" s="3">
        <v>0.0</v>
      </c>
      <c r="I2203" s="3" t="s">
        <v>13</v>
      </c>
      <c r="J2203" s="3" t="s">
        <v>6549</v>
      </c>
      <c r="K2203" s="3" t="s">
        <v>495</v>
      </c>
      <c r="L2203" s="3" t="str">
        <f>IFERROR(__xludf.DUMMYFUNCTION("GOOGLETRANSLATE(F2203,""id"",""en"")"),"Minutes ended in the Final Final Final of all time of France Argentina as strong as a penalty shootout preparing the heart Klean")</f>
        <v>Minutes ended in the Final Final Final of all time of France Argentina as strong as a penalty shootout preparing the heart Klean</v>
      </c>
    </row>
    <row r="2204" ht="15.75" customHeight="1">
      <c r="A2204" s="1">
        <v>2216.0</v>
      </c>
      <c r="B2204" s="3" t="s">
        <v>5877</v>
      </c>
      <c r="C2204" s="3">
        <v>20.0</v>
      </c>
      <c r="D2204" s="3">
        <v>155.0</v>
      </c>
      <c r="E2204" s="3">
        <v>533.0</v>
      </c>
      <c r="F2204" s="3" t="s">
        <v>5878</v>
      </c>
      <c r="G2204" s="3">
        <v>1.0</v>
      </c>
      <c r="H2204" s="3">
        <v>0.0</v>
      </c>
      <c r="I2204" s="3" t="s">
        <v>13</v>
      </c>
      <c r="J2204" s="3" t="s">
        <v>5782</v>
      </c>
      <c r="K2204" s="3" t="s">
        <v>54</v>
      </c>
      <c r="L2204" s="3" t="str">
        <f>IFERROR(__xludf.DUMMYFUNCTION("GOOGLETRANSLATE(F2204,""id"",""en"")"),"The best World Cup Final I've ever watched")</f>
        <v>The best World Cup Final I've ever watched</v>
      </c>
    </row>
    <row r="2205" ht="15.75" customHeight="1">
      <c r="A2205" s="1">
        <v>2217.0</v>
      </c>
      <c r="B2205" s="3" t="s">
        <v>6550</v>
      </c>
      <c r="C2205" s="3">
        <v>0.0</v>
      </c>
      <c r="D2205" s="3">
        <v>0.0</v>
      </c>
      <c r="E2205" s="3">
        <v>0.0</v>
      </c>
      <c r="F2205" s="3" t="s">
        <v>6551</v>
      </c>
      <c r="G2205" s="3">
        <v>1.0</v>
      </c>
      <c r="H2205" s="3">
        <v>0.0</v>
      </c>
      <c r="I2205" s="3" t="s">
        <v>13</v>
      </c>
      <c r="J2205" s="3" t="s">
        <v>6552</v>
      </c>
      <c r="K2205" s="3" t="s">
        <v>31</v>
      </c>
      <c r="L2205" s="3" t="str">
        <f>IFERROR(__xludf.DUMMYFUNCTION("GOOGLETRANSLATE(F2205,""id"",""en"")"),"This is the only World Cup Final")</f>
        <v>This is the only World Cup Final</v>
      </c>
    </row>
    <row r="2206" ht="15.75" customHeight="1">
      <c r="A2206" s="1">
        <v>2218.0</v>
      </c>
      <c r="B2206" s="3" t="s">
        <v>6553</v>
      </c>
      <c r="C2206" s="3">
        <v>1.0</v>
      </c>
      <c r="D2206" s="3">
        <v>0.0</v>
      </c>
      <c r="E2206" s="3">
        <v>1.0</v>
      </c>
      <c r="F2206" s="3" t="s">
        <v>6554</v>
      </c>
      <c r="G2206" s="3">
        <v>1.0</v>
      </c>
      <c r="H2206" s="3">
        <v>0.0</v>
      </c>
      <c r="I2206" s="3" t="s">
        <v>13</v>
      </c>
      <c r="J2206" s="3" t="s">
        <v>6555</v>
      </c>
      <c r="K2206" s="3" t="s">
        <v>54</v>
      </c>
      <c r="L2206" s="3" t="str">
        <f>IFERROR(__xludf.DUMMYFUNCTION("GOOGLETRANSLATE(F2206,""id"",""en"")"),"The final was sampled along watching the World Cup")</f>
        <v>The final was sampled along watching the World Cup</v>
      </c>
    </row>
    <row r="2207" ht="15.75" customHeight="1">
      <c r="A2207" s="1">
        <v>2219.0</v>
      </c>
      <c r="B2207" s="3" t="s">
        <v>6556</v>
      </c>
      <c r="C2207" s="3">
        <v>0.0</v>
      </c>
      <c r="D2207" s="3">
        <v>0.0</v>
      </c>
      <c r="E2207" s="3">
        <v>0.0</v>
      </c>
      <c r="F2207" s="3" t="s">
        <v>6557</v>
      </c>
      <c r="G2207" s="3">
        <v>1.0</v>
      </c>
      <c r="H2207" s="3">
        <v>0.0</v>
      </c>
      <c r="I2207" s="3" t="s">
        <v>13</v>
      </c>
      <c r="J2207" s="3" t="s">
        <v>6558</v>
      </c>
      <c r="K2207" s="3" t="s">
        <v>41</v>
      </c>
      <c r="L2207" s="3" t="str">
        <f>IFERROR(__xludf.DUMMYFUNCTION("GOOGLETRANSLATE(F2207,""id"",""en"")"),"because this is the world cup below there are some UCL semifinal final")</f>
        <v>because this is the world cup below there are some UCL semifinal final</v>
      </c>
    </row>
    <row r="2208" ht="15.75" customHeight="1">
      <c r="A2208" s="1">
        <v>2220.0</v>
      </c>
      <c r="B2208" s="3" t="s">
        <v>6559</v>
      </c>
      <c r="C2208" s="3">
        <v>2.0</v>
      </c>
      <c r="D2208" s="3">
        <v>51.0</v>
      </c>
      <c r="E2208" s="3">
        <v>64.0</v>
      </c>
      <c r="F2208" s="3" t="s">
        <v>6560</v>
      </c>
      <c r="G2208" s="3">
        <v>1.0</v>
      </c>
      <c r="H2208" s="3">
        <v>0.0</v>
      </c>
      <c r="I2208" s="3" t="s">
        <v>13</v>
      </c>
      <c r="J2208" s="3" t="s">
        <v>6561</v>
      </c>
      <c r="K2208" s="3" t="s">
        <v>41</v>
      </c>
      <c r="L2208" s="3" t="str">
        <f>IFERROR(__xludf.DUMMYFUNCTION("GOOGLETRANSLATE(F2208,""id"",""en"")"),"But to be honest, the most appropriate rating for the World Cup final is thank you")</f>
        <v>But to be honest, the most appropriate rating for the World Cup final is thank you</v>
      </c>
    </row>
    <row r="2209" ht="15.75" customHeight="1">
      <c r="A2209" s="1">
        <v>2221.0</v>
      </c>
      <c r="B2209" s="3" t="s">
        <v>6562</v>
      </c>
      <c r="C2209" s="3">
        <v>0.0</v>
      </c>
      <c r="D2209" s="3">
        <v>0.0</v>
      </c>
      <c r="E2209" s="3">
        <v>0.0</v>
      </c>
      <c r="F2209" s="3" t="s">
        <v>6563</v>
      </c>
      <c r="G2209" s="3">
        <v>1.0</v>
      </c>
      <c r="H2209" s="3">
        <v>0.0</v>
      </c>
      <c r="I2209" s="3" t="s">
        <v>13</v>
      </c>
      <c r="J2209" s="3" t="s">
        <v>6564</v>
      </c>
      <c r="K2209" s="3" t="s">
        <v>15</v>
      </c>
      <c r="L2209" s="3" t="str">
        <f>IFERROR(__xludf.DUMMYFUNCTION("GOOGLETRANSLATE(F2209,""id"",""en"")"),"The second final was excited while I watched the World Cup")</f>
        <v>The second final was excited while I watched the World Cup</v>
      </c>
    </row>
    <row r="2210" ht="15.75" customHeight="1">
      <c r="A2210" s="1">
        <v>2222.0</v>
      </c>
      <c r="B2210" s="3" t="s">
        <v>6565</v>
      </c>
      <c r="C2210" s="3">
        <v>0.0</v>
      </c>
      <c r="D2210" s="3">
        <v>0.0</v>
      </c>
      <c r="E2210" s="3">
        <v>0.0</v>
      </c>
      <c r="F2210" s="3" t="s">
        <v>6566</v>
      </c>
      <c r="G2210" s="3">
        <v>1.0</v>
      </c>
      <c r="H2210" s="3">
        <v>0.0</v>
      </c>
      <c r="I2210" s="3" t="s">
        <v>13</v>
      </c>
      <c r="J2210" s="3" t="s">
        <v>6567</v>
      </c>
      <c r="K2210" s="3" t="s">
        <v>322</v>
      </c>
      <c r="L2210" s="3" t="str">
        <f>IFERROR(__xludf.DUMMYFUNCTION("GOOGLETRANSLATE(F2210,""id"",""en"")"),"this is the world class and the world cup final")</f>
        <v>this is the world class and the world cup final</v>
      </c>
    </row>
    <row r="2211" ht="15.75" customHeight="1">
      <c r="A2211" s="1">
        <v>2223.0</v>
      </c>
      <c r="B2211" s="3" t="s">
        <v>6568</v>
      </c>
      <c r="C2211" s="3">
        <v>0.0</v>
      </c>
      <c r="D2211" s="3">
        <v>0.0</v>
      </c>
      <c r="E2211" s="3">
        <v>0.0</v>
      </c>
      <c r="F2211" s="3" t="s">
        <v>6569</v>
      </c>
      <c r="G2211" s="3">
        <v>1.0</v>
      </c>
      <c r="H2211" s="3">
        <v>0.0</v>
      </c>
      <c r="I2211" s="3" t="s">
        <v>13</v>
      </c>
      <c r="J2211" s="3" t="s">
        <v>6570</v>
      </c>
      <c r="K2211" s="3" t="s">
        <v>15</v>
      </c>
      <c r="L2211" s="3" t="str">
        <f>IFERROR(__xludf.DUMMYFUNCTION("GOOGLETRANSLATE(F2211,""id"",""en"")"),"The World Cup Final was excited as long as Edyannnn had seen")</f>
        <v>The World Cup Final was excited as long as Edyannnn had seen</v>
      </c>
    </row>
    <row r="2212" ht="15.75" customHeight="1">
      <c r="A2212" s="1">
        <v>2224.0</v>
      </c>
      <c r="B2212" s="3" t="s">
        <v>6571</v>
      </c>
      <c r="C2212" s="3">
        <v>0.0</v>
      </c>
      <c r="D2212" s="3">
        <v>0.0</v>
      </c>
      <c r="E2212" s="3">
        <v>0.0</v>
      </c>
      <c r="F2212" s="3" t="s">
        <v>6572</v>
      </c>
      <c r="G2212" s="3">
        <v>1.0</v>
      </c>
      <c r="H2212" s="3">
        <v>0.0</v>
      </c>
      <c r="I2212" s="3" t="s">
        <v>13</v>
      </c>
      <c r="J2212" s="3" t="s">
        <v>6573</v>
      </c>
      <c r="K2212" s="3" t="s">
        <v>82</v>
      </c>
      <c r="L2212" s="3" t="str">
        <f>IFERROR(__xludf.DUMMYFUNCTION("GOOGLETRANSLATE(F2212,""id"",""en"")"),"World Cup Final Drama Nggarai Janting Cokkkk")</f>
        <v>World Cup Final Drama Nggarai Janting Cokkkk</v>
      </c>
    </row>
    <row r="2213" ht="15.75" customHeight="1">
      <c r="A2213" s="1">
        <v>2225.0</v>
      </c>
      <c r="B2213" s="3" t="s">
        <v>6574</v>
      </c>
      <c r="C2213" s="3">
        <v>1.0</v>
      </c>
      <c r="D2213" s="3">
        <v>0.0</v>
      </c>
      <c r="E2213" s="3">
        <v>0.0</v>
      </c>
      <c r="F2213" s="3" t="s">
        <v>6575</v>
      </c>
      <c r="G2213" s="3">
        <v>1.0</v>
      </c>
      <c r="H2213" s="3">
        <v>0.0</v>
      </c>
      <c r="I2213" s="3" t="s">
        <v>13</v>
      </c>
      <c r="J2213" s="3" t="s">
        <v>6576</v>
      </c>
      <c r="K2213" s="3" t="s">
        <v>71</v>
      </c>
      <c r="L2213" s="3" t="str">
        <f>IFERROR(__xludf.DUMMYFUNCTION("GOOGLETRANSLATE(F2213,""id"",""en"")"),"Completed Minit During the Crazy Network Games World Cup Final I tired Jom we kick a penalty")</f>
        <v>Completed Minit During the Crazy Network Games World Cup Final I tired Jom we kick a penalty</v>
      </c>
    </row>
    <row r="2214" ht="15.75" customHeight="1">
      <c r="A2214" s="1">
        <v>2226.0</v>
      </c>
      <c r="B2214" s="3" t="s">
        <v>6577</v>
      </c>
      <c r="C2214" s="3">
        <v>0.0</v>
      </c>
      <c r="D2214" s="3">
        <v>0.0</v>
      </c>
      <c r="E2214" s="3">
        <v>0.0</v>
      </c>
      <c r="F2214" s="3" t="s">
        <v>6578</v>
      </c>
      <c r="G2214" s="3">
        <v>1.0</v>
      </c>
      <c r="H2214" s="3">
        <v>0.0</v>
      </c>
      <c r="I2214" s="3" t="s">
        <v>13</v>
      </c>
      <c r="J2214" s="3" t="s">
        <v>6579</v>
      </c>
      <c r="K2214" s="3" t="s">
        <v>54</v>
      </c>
      <c r="L2214" s="3" t="str">
        <f>IFERROR(__xludf.DUMMYFUNCTION("GOOGLETRANSLATE(F2214,""id"",""en"")"),"the best world cup finals crazy heart")</f>
        <v>the best world cup finals crazy heart</v>
      </c>
    </row>
    <row r="2215" ht="15.75" customHeight="1">
      <c r="A2215" s="1">
        <v>2227.0</v>
      </c>
      <c r="B2215" s="3" t="s">
        <v>6580</v>
      </c>
      <c r="C2215" s="3">
        <v>0.0</v>
      </c>
      <c r="D2215" s="3">
        <v>0.0</v>
      </c>
      <c r="E2215" s="3">
        <v>0.0</v>
      </c>
      <c r="F2215" s="3" t="s">
        <v>6581</v>
      </c>
      <c r="G2215" s="3">
        <v>1.0</v>
      </c>
      <c r="H2215" s="3">
        <v>0.0</v>
      </c>
      <c r="I2215" s="3" t="s">
        <v>13</v>
      </c>
      <c r="J2215" s="3" t="s">
        <v>6582</v>
      </c>
      <c r="K2215" s="3" t="s">
        <v>31</v>
      </c>
      <c r="L2215" s="3" t="str">
        <f>IFERROR(__xludf.DUMMYFUNCTION("GOOGLETRANSLATE(F2215,""id"",""en"")"),"watch only the final world cup")</f>
        <v>watch only the final world cup</v>
      </c>
    </row>
    <row r="2216" ht="15.75" customHeight="1">
      <c r="A2216" s="1">
        <v>2228.0</v>
      </c>
      <c r="B2216" s="3" t="s">
        <v>6583</v>
      </c>
      <c r="C2216" s="3">
        <v>0.0</v>
      </c>
      <c r="D2216" s="3">
        <v>0.0</v>
      </c>
      <c r="E2216" s="3">
        <v>0.0</v>
      </c>
      <c r="F2216" s="3" t="s">
        <v>6584</v>
      </c>
      <c r="G2216" s="3">
        <v>1.0</v>
      </c>
      <c r="H2216" s="3">
        <v>0.0</v>
      </c>
      <c r="I2216" s="3" t="s">
        <v>13</v>
      </c>
      <c r="J2216" s="3" t="s">
        <v>6585</v>
      </c>
      <c r="K2216" s="3" t="s">
        <v>75</v>
      </c>
      <c r="L2216" s="3" t="str">
        <f>IFERROR(__xludf.DUMMYFUNCTION("GOOGLETRANSLATE(F2216,""id"",""en"")"),"Crazy World Cup Final Best Never Watch Now Penalty Shoutotut")</f>
        <v>Crazy World Cup Final Best Never Watch Now Penalty Shoutotut</v>
      </c>
    </row>
    <row r="2217" ht="15.75" customHeight="1">
      <c r="A2217" s="1">
        <v>2229.0</v>
      </c>
      <c r="B2217" s="3" t="s">
        <v>6586</v>
      </c>
      <c r="C2217" s="3">
        <v>2.0</v>
      </c>
      <c r="D2217" s="3">
        <v>4.0</v>
      </c>
      <c r="E2217" s="3">
        <v>14.0</v>
      </c>
      <c r="F2217" s="3" t="s">
        <v>6587</v>
      </c>
      <c r="G2217" s="3">
        <v>1.0</v>
      </c>
      <c r="H2217" s="3">
        <v>0.0</v>
      </c>
      <c r="I2217" s="3" t="s">
        <v>13</v>
      </c>
      <c r="J2217" s="3" t="s">
        <v>6588</v>
      </c>
      <c r="K2217" s="3" t="s">
        <v>644</v>
      </c>
      <c r="L2217" s="3" t="str">
        <f>IFERROR(__xludf.DUMMYFUNCTION("GOOGLETRANSLATE(F2217,""id"",""en"")"),"The World Cup Final")</f>
        <v>The World Cup Final</v>
      </c>
    </row>
    <row r="2218" ht="15.75" customHeight="1">
      <c r="A2218" s="1">
        <v>2230.0</v>
      </c>
      <c r="B2218" s="3" t="s">
        <v>6589</v>
      </c>
      <c r="C2218" s="3">
        <v>0.0</v>
      </c>
      <c r="D2218" s="3">
        <v>0.0</v>
      </c>
      <c r="E2218" s="3">
        <v>0.0</v>
      </c>
      <c r="F2218" s="3" t="s">
        <v>6590</v>
      </c>
      <c r="G2218" s="3">
        <v>1.0</v>
      </c>
      <c r="H2218" s="3">
        <v>0.0</v>
      </c>
      <c r="I2218" s="3" t="s">
        <v>13</v>
      </c>
      <c r="J2218" s="3" t="s">
        <v>6591</v>
      </c>
      <c r="K2218" s="3" t="s">
        <v>6592</v>
      </c>
      <c r="L2218" s="3" t="str">
        <f>IFERROR(__xludf.DUMMYFUNCTION("GOOGLETRANSLATE(F2218,""id"",""en"")"),"The Best World Cup Final Since Watching the World Cup")</f>
        <v>The Best World Cup Final Since Watching the World Cup</v>
      </c>
    </row>
    <row r="2219" ht="15.75" customHeight="1">
      <c r="A2219" s="1">
        <v>2231.0</v>
      </c>
      <c r="B2219" s="3" t="s">
        <v>6593</v>
      </c>
      <c r="C2219" s="3">
        <v>2.0</v>
      </c>
      <c r="D2219" s="3">
        <v>0.0</v>
      </c>
      <c r="E2219" s="3">
        <v>1.0</v>
      </c>
      <c r="F2219" s="3" t="s">
        <v>6594</v>
      </c>
      <c r="G2219" s="3">
        <v>1.0</v>
      </c>
      <c r="H2219" s="3">
        <v>0.0</v>
      </c>
      <c r="I2219" s="3" t="s">
        <v>13</v>
      </c>
      <c r="J2219" s="3" t="s">
        <v>6595</v>
      </c>
      <c r="K2219" s="3" t="s">
        <v>15</v>
      </c>
      <c r="L2219" s="3" t="str">
        <f>IFERROR(__xludf.DUMMYFUNCTION("GOOGLETRANSLATE(F2219,""id"",""en"")"),"The most exciting world cup final that has been watching the debate")</f>
        <v>The most exciting world cup final that has been watching the debate</v>
      </c>
    </row>
    <row r="2220" ht="15.75" customHeight="1">
      <c r="A2220" s="1">
        <v>2232.0</v>
      </c>
      <c r="B2220" s="3" t="s">
        <v>6596</v>
      </c>
      <c r="C2220" s="3">
        <v>0.0</v>
      </c>
      <c r="D2220" s="3">
        <v>0.0</v>
      </c>
      <c r="E2220" s="3">
        <v>0.0</v>
      </c>
      <c r="F2220" s="3" t="s">
        <v>6597</v>
      </c>
      <c r="G2220" s="3">
        <v>1.0</v>
      </c>
      <c r="H2220" s="3">
        <v>0.0</v>
      </c>
      <c r="I2220" s="3" t="s">
        <v>13</v>
      </c>
      <c r="J2220" s="3" t="s">
        <v>6598</v>
      </c>
      <c r="K2220" s="3" t="s">
        <v>41</v>
      </c>
      <c r="L2220" s="3" t="str">
        <f>IFERROR(__xludf.DUMMYFUNCTION("GOOGLETRANSLATE(F2220,""id"",""en"")"),"Kylian Mbappe scored three Qatar World Cup Final goals")</f>
        <v>Kylian Mbappe scored three Qatar World Cup Final goals</v>
      </c>
    </row>
    <row r="2221" ht="15.75" customHeight="1">
      <c r="A2221" s="1">
        <v>2233.0</v>
      </c>
      <c r="B2221" s="3" t="s">
        <v>6599</v>
      </c>
      <c r="C2221" s="3">
        <v>0.0</v>
      </c>
      <c r="D2221" s="3">
        <v>0.0</v>
      </c>
      <c r="E2221" s="3">
        <v>0.0</v>
      </c>
      <c r="F2221" s="3" t="s">
        <v>6600</v>
      </c>
      <c r="G2221" s="3">
        <v>1.0</v>
      </c>
      <c r="H2221" s="3">
        <v>0.0</v>
      </c>
      <c r="I2221" s="3" t="s">
        <v>13</v>
      </c>
      <c r="J2221" s="3" t="s">
        <v>6601</v>
      </c>
      <c r="K2221" s="3" t="s">
        <v>41</v>
      </c>
      <c r="L2221" s="3" t="str">
        <f>IFERROR(__xludf.DUMMYFUNCTION("GOOGLETRANSLATE(F2221,""id"",""en"")"),"The first time I watched the most interesting IEU World Cup final")</f>
        <v>The first time I watched the most interesting IEU World Cup final</v>
      </c>
    </row>
    <row r="2222" ht="15.75" customHeight="1">
      <c r="A2222" s="1">
        <v>2234.0</v>
      </c>
      <c r="B2222" s="3" t="s">
        <v>6602</v>
      </c>
      <c r="C2222" s="3">
        <v>0.0</v>
      </c>
      <c r="D2222" s="3">
        <v>0.0</v>
      </c>
      <c r="E2222" s="3">
        <v>0.0</v>
      </c>
      <c r="F2222" s="3" t="s">
        <v>6603</v>
      </c>
      <c r="G2222" s="3">
        <v>1.0</v>
      </c>
      <c r="H2222" s="3">
        <v>0.0</v>
      </c>
      <c r="I2222" s="3" t="s">
        <v>13</v>
      </c>
      <c r="J2222" s="3" t="s">
        <v>6604</v>
      </c>
      <c r="K2222" s="3" t="s">
        <v>75</v>
      </c>
      <c r="L2222" s="3" t="str">
        <f>IFERROR(__xludf.DUMMYFUNCTION("GOOGLETRANSLATE(F2222,""id"",""en"")"),"muleesssssss bgttt engappp bgt euy crazy world cup final")</f>
        <v>muleesssssss bgttt engappp bgt euy crazy world cup final</v>
      </c>
    </row>
    <row r="2223" ht="15.75" customHeight="1">
      <c r="A2223" s="1">
        <v>2235.0</v>
      </c>
      <c r="B2223" s="3" t="s">
        <v>6605</v>
      </c>
      <c r="C2223" s="3">
        <v>0.0</v>
      </c>
      <c r="D2223" s="3">
        <v>0.0</v>
      </c>
      <c r="E2223" s="3">
        <v>0.0</v>
      </c>
      <c r="F2223" s="3" t="s">
        <v>6606</v>
      </c>
      <c r="G2223" s="3">
        <v>1.0</v>
      </c>
      <c r="H2223" s="3">
        <v>0.0</v>
      </c>
      <c r="I2223" s="3" t="s">
        <v>13</v>
      </c>
      <c r="J2223" s="3" t="s">
        <v>6607</v>
      </c>
      <c r="K2223" s="3" t="s">
        <v>860</v>
      </c>
      <c r="L2223" s="3" t="str">
        <f>IFERROR(__xludf.DUMMYFUNCTION("GOOGLETRANSLATE(F2223,""id"",""en"")"),"Watching the final from this is the best World Cup final in history that I have watched anyone champions through penalties do not change the quality of this final party")</f>
        <v>Watching the final from this is the best World Cup final in history that I have watched anyone champions through penalties do not change the quality of this final party</v>
      </c>
    </row>
    <row r="2224" ht="15.75" customHeight="1">
      <c r="A2224" s="1">
        <v>2236.0</v>
      </c>
      <c r="B2224" s="3" t="s">
        <v>6608</v>
      </c>
      <c r="C2224" s="3">
        <v>1.0</v>
      </c>
      <c r="D2224" s="3">
        <v>1.0</v>
      </c>
      <c r="E2224" s="3">
        <v>3.0</v>
      </c>
      <c r="F2224" s="3" t="s">
        <v>6609</v>
      </c>
      <c r="G2224" s="3">
        <v>1.0</v>
      </c>
      <c r="H2224" s="3">
        <v>0.0</v>
      </c>
      <c r="I2224" s="3" t="s">
        <v>13</v>
      </c>
      <c r="J2224" s="3" t="s">
        <v>6610</v>
      </c>
      <c r="K2224" s="3" t="s">
        <v>15</v>
      </c>
      <c r="L2224" s="3" t="str">
        <f>IFERROR(__xludf.DUMMYFUNCTION("GOOGLETRANSLATE(F2224,""id"",""en"")"),"This is the World Cup final, what is the Seventeen concert")</f>
        <v>This is the World Cup final, what is the Seventeen concert</v>
      </c>
    </row>
    <row r="2225" ht="15.75" customHeight="1">
      <c r="A2225" s="1">
        <v>2237.0</v>
      </c>
      <c r="B2225" s="3" t="s">
        <v>6611</v>
      </c>
      <c r="C2225" s="3">
        <v>0.0</v>
      </c>
      <c r="D2225" s="3">
        <v>0.0</v>
      </c>
      <c r="E2225" s="3">
        <v>0.0</v>
      </c>
      <c r="F2225" s="3" t="s">
        <v>6612</v>
      </c>
      <c r="G2225" s="3">
        <v>1.0</v>
      </c>
      <c r="H2225" s="3">
        <v>0.0</v>
      </c>
      <c r="I2225" s="3" t="s">
        <v>13</v>
      </c>
      <c r="J2225" s="3" t="s">
        <v>6613</v>
      </c>
      <c r="K2225" s="3" t="s">
        <v>31</v>
      </c>
      <c r="L2225" s="3" t="str">
        <f>IFERROR(__xludf.DUMMYFUNCTION("GOOGLETRANSLATE(F2225,""id"",""en"")"),"penalties like the World Cup final")</f>
        <v>penalties like the World Cup final</v>
      </c>
    </row>
    <row r="2226" ht="15.75" customHeight="1">
      <c r="A2226" s="1">
        <v>2238.0</v>
      </c>
      <c r="B2226" s="3" t="s">
        <v>6614</v>
      </c>
      <c r="C2226" s="3">
        <v>0.0</v>
      </c>
      <c r="D2226" s="3">
        <v>0.0</v>
      </c>
      <c r="E2226" s="3">
        <v>0.0</v>
      </c>
      <c r="F2226" s="3" t="s">
        <v>6615</v>
      </c>
      <c r="G2226" s="3">
        <v>1.0</v>
      </c>
      <c r="H2226" s="3">
        <v>0.0</v>
      </c>
      <c r="I2226" s="3" t="s">
        <v>13</v>
      </c>
      <c r="J2226" s="3" t="s">
        <v>6616</v>
      </c>
      <c r="K2226" s="3" t="s">
        <v>82</v>
      </c>
      <c r="L2226" s="3" t="str">
        <f>IFERROR(__xludf.DUMMYFUNCTION("GOOGLETRANSLATE(F2226,""id"",""en"")"),"Crazy this Year World Cup Final")</f>
        <v>Crazy this Year World Cup Final</v>
      </c>
    </row>
    <row r="2227" ht="15.75" customHeight="1">
      <c r="A2227" s="1">
        <v>2239.0</v>
      </c>
      <c r="B2227" s="3" t="s">
        <v>6617</v>
      </c>
      <c r="C2227" s="3">
        <v>0.0</v>
      </c>
      <c r="D2227" s="3">
        <v>0.0</v>
      </c>
      <c r="E2227" s="3">
        <v>0.0</v>
      </c>
      <c r="F2227" s="3" t="s">
        <v>6618</v>
      </c>
      <c r="G2227" s="3">
        <v>1.0</v>
      </c>
      <c r="H2227" s="3">
        <v>0.0</v>
      </c>
      <c r="I2227" s="3" t="s">
        <v>13</v>
      </c>
      <c r="J2227" s="3" t="s">
        <v>6619</v>
      </c>
      <c r="K2227" s="3" t="s">
        <v>644</v>
      </c>
      <c r="L2227" s="3" t="str">
        <f>IFERROR(__xludf.DUMMYFUNCTION("GOOGLETRANSLATE(F2227,""id"",""en"")"),"World Cup Final")</f>
        <v>World Cup Final</v>
      </c>
    </row>
    <row r="2228" ht="15.75" customHeight="1">
      <c r="A2228" s="1">
        <v>2240.0</v>
      </c>
      <c r="B2228" s="3" t="s">
        <v>6620</v>
      </c>
      <c r="C2228" s="3">
        <v>0.0</v>
      </c>
      <c r="D2228" s="3">
        <v>0.0</v>
      </c>
      <c r="E2228" s="3">
        <v>0.0</v>
      </c>
      <c r="F2228" s="3" t="s">
        <v>6621</v>
      </c>
      <c r="G2228" s="3">
        <v>1.0</v>
      </c>
      <c r="H2228" s="3">
        <v>0.0</v>
      </c>
      <c r="I2228" s="3" t="s">
        <v>13</v>
      </c>
      <c r="J2228" s="3" t="s">
        <v>6622</v>
      </c>
      <c r="K2228" s="3" t="s">
        <v>82</v>
      </c>
      <c r="L2228" s="3" t="str">
        <f>IFERROR(__xludf.DUMMYFUNCTION("GOOGLETRANSLATE(F2228,""id"",""en"")"),"One of the most exciting world cup finals")</f>
        <v>One of the most exciting world cup finals</v>
      </c>
    </row>
    <row r="2229" ht="15.75" customHeight="1">
      <c r="A2229" s="1">
        <v>2241.0</v>
      </c>
      <c r="B2229" s="3" t="s">
        <v>6623</v>
      </c>
      <c r="C2229" s="3">
        <v>0.0</v>
      </c>
      <c r="D2229" s="3">
        <v>0.0</v>
      </c>
      <c r="E2229" s="3">
        <v>0.0</v>
      </c>
      <c r="F2229" s="3" t="s">
        <v>6624</v>
      </c>
      <c r="G2229" s="3">
        <v>1.0</v>
      </c>
      <c r="H2229" s="3">
        <v>0.0</v>
      </c>
      <c r="I2229" s="3" t="s">
        <v>13</v>
      </c>
      <c r="J2229" s="3" t="s">
        <v>6625</v>
      </c>
      <c r="K2229" s="3" t="s">
        <v>657</v>
      </c>
      <c r="L2229" s="3" t="str">
        <f>IFERROR(__xludf.DUMMYFUNCTION("GOOGLETRANSLATE(F2229,""id"",""en"")"),"Ibuk Mbapee Iku Jan Nyidam Opo, how come I have been in the age of the World Cup Final Hatrick")</f>
        <v>Ibuk Mbapee Iku Jan Nyidam Opo, how come I have been in the age of the World Cup Final Hatrick</v>
      </c>
    </row>
    <row r="2230" ht="15.75" customHeight="1">
      <c r="A2230" s="1">
        <v>2242.0</v>
      </c>
      <c r="B2230" s="3" t="s">
        <v>6626</v>
      </c>
      <c r="C2230" s="3">
        <v>0.0</v>
      </c>
      <c r="D2230" s="3">
        <v>0.0</v>
      </c>
      <c r="E2230" s="3">
        <v>1.0</v>
      </c>
      <c r="F2230" s="3" t="s">
        <v>6627</v>
      </c>
      <c r="G2230" s="3">
        <v>1.0</v>
      </c>
      <c r="H2230" s="3">
        <v>0.0</v>
      </c>
      <c r="I2230" s="3" t="s">
        <v>13</v>
      </c>
      <c r="J2230" s="3" t="s">
        <v>6628</v>
      </c>
      <c r="K2230" s="3" t="s">
        <v>41</v>
      </c>
      <c r="L2230" s="3" t="str">
        <f>IFERROR(__xludf.DUMMYFUNCTION("GOOGLETRANSLATE(F2230,""id"",""en"")"),"I think this is the most dramatic world cup final I have ever watched")</f>
        <v>I think this is the most dramatic world cup final I have ever watched</v>
      </c>
    </row>
    <row r="2231" ht="15.75" customHeight="1">
      <c r="A2231" s="1">
        <v>2243.0</v>
      </c>
      <c r="B2231" s="3" t="s">
        <v>6629</v>
      </c>
      <c r="C2231" s="3">
        <v>0.0</v>
      </c>
      <c r="D2231" s="3">
        <v>0.0</v>
      </c>
      <c r="E2231" s="3">
        <v>0.0</v>
      </c>
      <c r="F2231" s="3" t="s">
        <v>6630</v>
      </c>
      <c r="G2231" s="3">
        <v>1.0</v>
      </c>
      <c r="H2231" s="3">
        <v>0.0</v>
      </c>
      <c r="I2231" s="3" t="s">
        <v>13</v>
      </c>
      <c r="J2231" s="3" t="s">
        <v>6631</v>
      </c>
      <c r="K2231" s="3" t="s">
        <v>236</v>
      </c>
      <c r="L2231" s="3" t="str">
        <f>IFERROR(__xludf.DUMMYFUNCTION("GOOGLETRANSLATE(F2231,""id"",""en"")"),"World Cup Final of Old Goat Meeting Versu New Goat Candidate")</f>
        <v>World Cup Final of Old Goat Meeting Versu New Goat Candidate</v>
      </c>
    </row>
    <row r="2232" ht="15.75" customHeight="1">
      <c r="A2232" s="1">
        <v>2244.0</v>
      </c>
      <c r="B2232" s="3" t="s">
        <v>6632</v>
      </c>
      <c r="C2232" s="3">
        <v>1.0</v>
      </c>
      <c r="D2232" s="3">
        <v>1.0</v>
      </c>
      <c r="E2232" s="3">
        <v>12.0</v>
      </c>
      <c r="F2232" s="3" t="s">
        <v>6633</v>
      </c>
      <c r="G2232" s="3">
        <v>1.0</v>
      </c>
      <c r="H2232" s="3">
        <v>0.0</v>
      </c>
      <c r="I2232" s="3" t="s">
        <v>13</v>
      </c>
      <c r="J2232" s="3" t="s">
        <v>6634</v>
      </c>
      <c r="K2232" s="3" t="s">
        <v>31</v>
      </c>
      <c r="L2232" s="3" t="str">
        <f>IFERROR(__xludf.DUMMYFUNCTION("GOOGLETRANSLATE(F2232,""id"",""en"")"),"SAVERYA CASILLAS Final World Cup")</f>
        <v>SAVERYA CASILLAS Final World Cup</v>
      </c>
    </row>
    <row r="2233" ht="15.75" customHeight="1">
      <c r="A2233" s="1">
        <v>2245.0</v>
      </c>
      <c r="B2233" s="3" t="s">
        <v>6635</v>
      </c>
      <c r="C2233" s="3">
        <v>0.0</v>
      </c>
      <c r="D2233" s="3">
        <v>0.0</v>
      </c>
      <c r="E2233" s="3">
        <v>0.0</v>
      </c>
      <c r="F2233" s="3" t="s">
        <v>6636</v>
      </c>
      <c r="G2233" s="3">
        <v>1.0</v>
      </c>
      <c r="H2233" s="3">
        <v>0.0</v>
      </c>
      <c r="I2233" s="3" t="s">
        <v>13</v>
      </c>
      <c r="J2233" s="3" t="s">
        <v>6637</v>
      </c>
      <c r="K2233" s="3" t="s">
        <v>75</v>
      </c>
      <c r="L2233" s="3" t="str">
        <f>IFERROR(__xludf.DUMMYFUNCTION("GOOGLETRANSLATE(F2233,""id"",""en"")"),"Whoever wins is the most exciting world cup final I have ever watched")</f>
        <v>Whoever wins is the most exciting world cup final I have ever watched</v>
      </c>
    </row>
    <row r="2234" ht="15.75" customHeight="1">
      <c r="A2234" s="1">
        <v>2246.0</v>
      </c>
      <c r="B2234" s="3" t="s">
        <v>6638</v>
      </c>
      <c r="C2234" s="3">
        <v>20.0</v>
      </c>
      <c r="D2234" s="3">
        <v>55.0</v>
      </c>
      <c r="E2234" s="3">
        <v>285.0</v>
      </c>
      <c r="F2234" s="3" t="s">
        <v>6639</v>
      </c>
      <c r="G2234" s="3">
        <v>1.0</v>
      </c>
      <c r="H2234" s="3">
        <v>0.0</v>
      </c>
      <c r="I2234" s="3" t="s">
        <v>13</v>
      </c>
      <c r="J2234" s="3" t="s">
        <v>6640</v>
      </c>
      <c r="K2234" s="3" t="s">
        <v>50</v>
      </c>
      <c r="L2234" s="3" t="str">
        <f>IFERROR(__xludf.DUMMYFUNCTION("GOOGLETRANSLATE(F2234,""id"",""en"")"),"The two worthy of winning is balanced, when the last world cup final is equivalent")</f>
        <v>The two worthy of winning is balanced, when the last world cup final is equivalent</v>
      </c>
    </row>
    <row r="2235" ht="15.75" customHeight="1">
      <c r="A2235" s="1">
        <v>2247.0</v>
      </c>
      <c r="B2235" s="3" t="s">
        <v>6641</v>
      </c>
      <c r="C2235" s="3">
        <v>0.0</v>
      </c>
      <c r="D2235" s="3">
        <v>0.0</v>
      </c>
      <c r="E2235" s="3">
        <v>0.0</v>
      </c>
      <c r="F2235" s="3" t="s">
        <v>6642</v>
      </c>
      <c r="G2235" s="3">
        <v>1.0</v>
      </c>
      <c r="H2235" s="3">
        <v>0.0</v>
      </c>
      <c r="I2235" s="3" t="s">
        <v>13</v>
      </c>
      <c r="J2235" s="3" t="s">
        <v>6643</v>
      </c>
      <c r="K2235" s="3" t="s">
        <v>31</v>
      </c>
      <c r="L2235" s="3" t="str">
        <f>IFERROR(__xludf.DUMMYFUNCTION("GOOGLETRANSLATE(F2235,""id"",""en"")"),"The best final of the World Cup in my opinion")</f>
        <v>The best final of the World Cup in my opinion</v>
      </c>
    </row>
    <row r="2236" ht="15.75" customHeight="1">
      <c r="A2236" s="1">
        <v>2248.0</v>
      </c>
      <c r="B2236" s="3" t="s">
        <v>6644</v>
      </c>
      <c r="C2236" s="3">
        <v>0.0</v>
      </c>
      <c r="D2236" s="3">
        <v>0.0</v>
      </c>
      <c r="E2236" s="3">
        <v>0.0</v>
      </c>
      <c r="F2236" s="3" t="s">
        <v>6645</v>
      </c>
      <c r="G2236" s="3">
        <v>1.0</v>
      </c>
      <c r="H2236" s="3">
        <v>0.0</v>
      </c>
      <c r="I2236" s="3" t="s">
        <v>13</v>
      </c>
      <c r="J2236" s="3" t="s">
        <v>6646</v>
      </c>
      <c r="K2236" s="3" t="s">
        <v>54</v>
      </c>
      <c r="L2236" s="3" t="str">
        <f>IFERROR(__xludf.DUMMYFUNCTION("GOOGLETRANSLATE(F2236,""id"",""en"")"),"World Cup Final Anjay Gurijay")</f>
        <v>World Cup Final Anjay Gurijay</v>
      </c>
    </row>
    <row r="2237" ht="15.75" customHeight="1">
      <c r="A2237" s="1">
        <v>2249.0</v>
      </c>
      <c r="B2237" s="3" t="s">
        <v>6647</v>
      </c>
      <c r="C2237" s="3">
        <v>0.0</v>
      </c>
      <c r="D2237" s="3">
        <v>0.0</v>
      </c>
      <c r="E2237" s="3">
        <v>0.0</v>
      </c>
      <c r="F2237" s="3" t="s">
        <v>6648</v>
      </c>
      <c r="G2237" s="3">
        <v>1.0</v>
      </c>
      <c r="H2237" s="3">
        <v>0.0</v>
      </c>
      <c r="I2237" s="3" t="s">
        <v>13</v>
      </c>
      <c r="J2237" s="3" t="s">
        <v>6649</v>
      </c>
      <c r="K2237" s="3" t="s">
        <v>644</v>
      </c>
      <c r="L2237" s="3" t="str">
        <f>IFERROR(__xludf.DUMMYFUNCTION("GOOGLETRANSLATE(F2237,""id"",""en"")"),"World Cup Final Drama")</f>
        <v>World Cup Final Drama</v>
      </c>
    </row>
    <row r="2238" ht="15.75" customHeight="1">
      <c r="A2238" s="1">
        <v>2250.0</v>
      </c>
      <c r="B2238" s="3" t="s">
        <v>6650</v>
      </c>
      <c r="C2238" s="3">
        <v>0.0</v>
      </c>
      <c r="D2238" s="3">
        <v>1.0</v>
      </c>
      <c r="E2238" s="3">
        <v>0.0</v>
      </c>
      <c r="F2238" s="3" t="s">
        <v>6651</v>
      </c>
      <c r="G2238" s="3">
        <v>1.0</v>
      </c>
      <c r="H2238" s="3">
        <v>0.0</v>
      </c>
      <c r="I2238" s="3" t="s">
        <v>13</v>
      </c>
      <c r="J2238" s="3" t="s">
        <v>6652</v>
      </c>
      <c r="K2238" s="3" t="s">
        <v>82</v>
      </c>
      <c r="L2238" s="3" t="str">
        <f>IFERROR(__xludf.DUMMYFUNCTION("GOOGLETRANSLATE(F2238,""id"",""en"")"),"Whoever the champion is the final world cup exciting severe")</f>
        <v>Whoever the champion is the final world cup exciting severe</v>
      </c>
    </row>
    <row r="2239" ht="15.75" customHeight="1">
      <c r="A2239" s="1">
        <v>2251.0</v>
      </c>
      <c r="B2239" s="3" t="s">
        <v>6653</v>
      </c>
      <c r="C2239" s="3">
        <v>0.0</v>
      </c>
      <c r="D2239" s="3">
        <v>0.0</v>
      </c>
      <c r="E2239" s="3">
        <v>0.0</v>
      </c>
      <c r="F2239" s="3" t="s">
        <v>6654</v>
      </c>
      <c r="G2239" s="3">
        <v>1.0</v>
      </c>
      <c r="H2239" s="3">
        <v>0.0</v>
      </c>
      <c r="I2239" s="3" t="s">
        <v>13</v>
      </c>
      <c r="J2239" s="3" t="s">
        <v>6655</v>
      </c>
      <c r="K2239" s="3" t="s">
        <v>82</v>
      </c>
      <c r="L2239" s="3" t="str">
        <f>IFERROR(__xludf.DUMMYFUNCTION("GOOGLETRANSLATE(F2239,""id"",""en"")"),"One of the best World Cup finals watching")</f>
        <v>One of the best World Cup finals watching</v>
      </c>
    </row>
    <row r="2240" ht="15.75" customHeight="1">
      <c r="A2240" s="1">
        <v>2252.0</v>
      </c>
      <c r="B2240" s="3" t="s">
        <v>6656</v>
      </c>
      <c r="C2240" s="3">
        <v>0.0</v>
      </c>
      <c r="D2240" s="3">
        <v>0.0</v>
      </c>
      <c r="E2240" s="3">
        <v>0.0</v>
      </c>
      <c r="F2240" s="3" t="s">
        <v>6657</v>
      </c>
      <c r="G2240" s="3">
        <v>1.0</v>
      </c>
      <c r="H2240" s="3">
        <v>0.0</v>
      </c>
      <c r="I2240" s="3" t="s">
        <v>13</v>
      </c>
      <c r="J2240" s="3" t="s">
        <v>6658</v>
      </c>
      <c r="K2240" s="3" t="s">
        <v>31</v>
      </c>
      <c r="L2240" s="3" t="str">
        <f>IFERROR(__xludf.DUMMYFUNCTION("GOOGLETRANSLATE(F2240,""id"",""en"")"),"The World Cup Final Crazy this time")</f>
        <v>The World Cup Final Crazy this time</v>
      </c>
    </row>
    <row r="2241" ht="15.75" customHeight="1">
      <c r="A2241" s="1">
        <v>2253.0</v>
      </c>
      <c r="B2241" s="3" t="s">
        <v>6659</v>
      </c>
      <c r="C2241" s="3">
        <v>0.0</v>
      </c>
      <c r="D2241" s="3">
        <v>0.0</v>
      </c>
      <c r="E2241" s="3">
        <v>0.0</v>
      </c>
      <c r="F2241" s="3" t="s">
        <v>6660</v>
      </c>
      <c r="G2241" s="3">
        <v>1.0</v>
      </c>
      <c r="H2241" s="3">
        <v>0.0</v>
      </c>
      <c r="I2241" s="3" t="s">
        <v>13</v>
      </c>
      <c r="J2241" s="3" t="s">
        <v>6661</v>
      </c>
      <c r="K2241" s="3" t="s">
        <v>54</v>
      </c>
      <c r="L2241" s="3" t="str">
        <f>IFERROR(__xludf.DUMMYFUNCTION("GOOGLETRANSLATE(F2241,""id"",""en"")"),"Whoever the champion is the best world cup final")</f>
        <v>Whoever the champion is the best world cup final</v>
      </c>
    </row>
    <row r="2242" ht="15.75" customHeight="1">
      <c r="A2242" s="1">
        <v>2254.0</v>
      </c>
      <c r="B2242" s="3" t="s">
        <v>6662</v>
      </c>
      <c r="C2242" s="3">
        <v>0.0</v>
      </c>
      <c r="D2242" s="3">
        <v>0.0</v>
      </c>
      <c r="E2242" s="3">
        <v>0.0</v>
      </c>
      <c r="F2242" s="3" t="s">
        <v>6663</v>
      </c>
      <c r="G2242" s="3">
        <v>1.0</v>
      </c>
      <c r="H2242" s="3">
        <v>0.0</v>
      </c>
      <c r="I2242" s="3" t="s">
        <v>13</v>
      </c>
      <c r="J2242" s="3" t="s">
        <v>6664</v>
      </c>
      <c r="K2242" s="3" t="s">
        <v>82</v>
      </c>
      <c r="L2242" s="3" t="str">
        <f>IFERROR(__xludf.DUMMYFUNCTION("GOOGLETRANSLATE(F2242,""id"",""en"")"),"World Cup Final Most Exciting During Iki")</f>
        <v>World Cup Final Most Exciting During Iki</v>
      </c>
    </row>
    <row r="2243" ht="15.75" customHeight="1">
      <c r="A2243" s="1">
        <v>2255.0</v>
      </c>
      <c r="B2243" s="3" t="s">
        <v>6665</v>
      </c>
      <c r="C2243" s="3">
        <v>0.0</v>
      </c>
      <c r="D2243" s="3">
        <v>0.0</v>
      </c>
      <c r="E2243" s="3">
        <v>0.0</v>
      </c>
      <c r="F2243" s="3" t="s">
        <v>6666</v>
      </c>
      <c r="G2243" s="3">
        <v>1.0</v>
      </c>
      <c r="H2243" s="3">
        <v>0.0</v>
      </c>
      <c r="I2243" s="3" t="s">
        <v>13</v>
      </c>
      <c r="J2243" s="3" t="s">
        <v>6667</v>
      </c>
      <c r="K2243" s="3" t="s">
        <v>82</v>
      </c>
      <c r="L2243" s="3" t="str">
        <f>IFERROR(__xludf.DUMMYFUNCTION("GOOGLETRANSLATE(F2243,""id"",""en"")"),"crazyaaaa kereeeeen wauw world cup final shouted")</f>
        <v>crazyaaaa kereeeeen wauw world cup final shouted</v>
      </c>
    </row>
    <row r="2244" ht="15.75" customHeight="1">
      <c r="A2244" s="1">
        <v>2256.0</v>
      </c>
      <c r="B2244" s="3" t="s">
        <v>6668</v>
      </c>
      <c r="C2244" s="3">
        <v>0.0</v>
      </c>
      <c r="D2244" s="3">
        <v>0.0</v>
      </c>
      <c r="E2244" s="3">
        <v>0.0</v>
      </c>
      <c r="F2244" s="3" t="s">
        <v>6669</v>
      </c>
      <c r="G2244" s="3">
        <v>1.0</v>
      </c>
      <c r="H2244" s="3">
        <v>0.0</v>
      </c>
      <c r="I2244" s="3" t="s">
        <v>13</v>
      </c>
      <c r="J2244" s="3" t="s">
        <v>6670</v>
      </c>
      <c r="K2244" s="3" t="s">
        <v>2117</v>
      </c>
      <c r="L2244" s="3" t="str">
        <f>IFERROR(__xludf.DUMMYFUNCTION("GOOGLETRANSLATE(F2244,""id"",""en"")"),"Gilak Final Paladunia")</f>
        <v>Gilak Final Paladunia</v>
      </c>
    </row>
    <row r="2245" ht="15.75" customHeight="1">
      <c r="A2245" s="1">
        <v>2257.0</v>
      </c>
      <c r="B2245" s="3" t="s">
        <v>6671</v>
      </c>
      <c r="C2245" s="3">
        <v>0.0</v>
      </c>
      <c r="D2245" s="3">
        <v>0.0</v>
      </c>
      <c r="E2245" s="3">
        <v>0.0</v>
      </c>
      <c r="F2245" s="3" t="s">
        <v>6672</v>
      </c>
      <c r="G2245" s="3">
        <v>1.0</v>
      </c>
      <c r="H2245" s="3">
        <v>0.0</v>
      </c>
      <c r="I2245" s="3" t="s">
        <v>13</v>
      </c>
      <c r="J2245" s="3" t="s">
        <v>6673</v>
      </c>
      <c r="K2245" s="3" t="s">
        <v>6674</v>
      </c>
      <c r="L2245" s="3" t="str">
        <f>IFERROR(__xludf.DUMMYFUNCTION("GOOGLETRANSLATE(F2245,""id"",""en"")"),"Watching the World Cup Final Rasane Koyo Watching the NBA Final")</f>
        <v>Watching the World Cup Final Rasane Koyo Watching the NBA Final</v>
      </c>
    </row>
    <row r="2246" ht="15.75" customHeight="1">
      <c r="A2246" s="1">
        <v>2258.0</v>
      </c>
      <c r="B2246" s="3" t="s">
        <v>6675</v>
      </c>
      <c r="C2246" s="3">
        <v>10.0</v>
      </c>
      <c r="D2246" s="3">
        <v>28.0</v>
      </c>
      <c r="E2246" s="3">
        <v>94.0</v>
      </c>
      <c r="F2246" s="3" t="s">
        <v>6676</v>
      </c>
      <c r="G2246" s="3">
        <v>1.0</v>
      </c>
      <c r="H2246" s="3">
        <v>0.0</v>
      </c>
      <c r="I2246" s="3" t="s">
        <v>13</v>
      </c>
      <c r="J2246" s="3" t="s">
        <v>6677</v>
      </c>
      <c r="K2246" s="3" t="s">
        <v>510</v>
      </c>
      <c r="L2246" s="3" t="str">
        <f>IFERROR(__xludf.DUMMYFUNCTION("GOOGLETRANSLATE(F2246,""id"",""en"")"),"Only two people in the history of the World Cup who scored Sir Geoff Hurst Kylian Mbappe's final hat")</f>
        <v>Only two people in the history of the World Cup who scored Sir Geoff Hurst Kylian Mbappe's final hat</v>
      </c>
    </row>
    <row r="2247" ht="15.75" customHeight="1">
      <c r="A2247" s="1">
        <v>2259.0</v>
      </c>
      <c r="B2247" s="3" t="s">
        <v>6678</v>
      </c>
      <c r="C2247" s="3">
        <v>0.0</v>
      </c>
      <c r="D2247" s="3">
        <v>0.0</v>
      </c>
      <c r="E2247" s="3">
        <v>0.0</v>
      </c>
      <c r="F2247" s="3" t="s">
        <v>6678</v>
      </c>
      <c r="G2247" s="3">
        <v>1.0</v>
      </c>
      <c r="H2247" s="3">
        <v>0.0</v>
      </c>
      <c r="I2247" s="3" t="s">
        <v>13</v>
      </c>
      <c r="J2247" s="3" t="s">
        <v>6679</v>
      </c>
      <c r="K2247" s="3" t="s">
        <v>82</v>
      </c>
      <c r="L2247" s="3" t="str">
        <f>IFERROR(__xludf.DUMMYFUNCTION("GOOGLETRANSLATE(F2247,""id"",""en"")"),"Heart tired of watching the World Cup final")</f>
        <v>Heart tired of watching the World Cup final</v>
      </c>
    </row>
    <row r="2248" ht="15.75" customHeight="1">
      <c r="A2248" s="1">
        <v>2260.0</v>
      </c>
      <c r="B2248" s="3" t="s">
        <v>6680</v>
      </c>
      <c r="C2248" s="3">
        <v>0.0</v>
      </c>
      <c r="D2248" s="3">
        <v>0.0</v>
      </c>
      <c r="E2248" s="3">
        <v>0.0</v>
      </c>
      <c r="F2248" s="3" t="s">
        <v>6681</v>
      </c>
      <c r="G2248" s="3">
        <v>1.0</v>
      </c>
      <c r="H2248" s="3">
        <v>0.0</v>
      </c>
      <c r="I2248" s="3" t="s">
        <v>13</v>
      </c>
      <c r="J2248" s="3" t="s">
        <v>6682</v>
      </c>
      <c r="K2248" s="3" t="s">
        <v>31</v>
      </c>
      <c r="L2248" s="3" t="str">
        <f>IFERROR(__xludf.DUMMYFUNCTION("GOOGLETRANSLATE(F2248,""id"",""en"")"),"World Cup Final Most Gokil")</f>
        <v>World Cup Final Most Gokil</v>
      </c>
    </row>
    <row r="2249" ht="15.75" customHeight="1">
      <c r="A2249" s="1">
        <v>2261.0</v>
      </c>
      <c r="B2249" s="3" t="s">
        <v>6683</v>
      </c>
      <c r="C2249" s="3">
        <v>0.0</v>
      </c>
      <c r="D2249" s="3">
        <v>1.0</v>
      </c>
      <c r="E2249" s="3">
        <v>1.0</v>
      </c>
      <c r="F2249" s="3" t="s">
        <v>6684</v>
      </c>
      <c r="G2249" s="3">
        <v>1.0</v>
      </c>
      <c r="H2249" s="3">
        <v>0.0</v>
      </c>
      <c r="I2249" s="3" t="s">
        <v>13</v>
      </c>
      <c r="J2249" s="3" t="s">
        <v>6685</v>
      </c>
      <c r="K2249" s="3" t="s">
        <v>31</v>
      </c>
      <c r="L2249" s="3" t="str">
        <f>IFERROR(__xludf.DUMMYFUNCTION("GOOGLETRANSLATE(F2249,""id"",""en"")"),"the best world cup final")</f>
        <v>the best world cup final</v>
      </c>
    </row>
    <row r="2250" ht="15.75" customHeight="1">
      <c r="A2250" s="1">
        <v>2262.0</v>
      </c>
      <c r="B2250" s="3" t="s">
        <v>6686</v>
      </c>
      <c r="C2250" s="3">
        <v>0.0</v>
      </c>
      <c r="D2250" s="3">
        <v>0.0</v>
      </c>
      <c r="E2250" s="3">
        <v>0.0</v>
      </c>
      <c r="F2250" s="3" t="s">
        <v>6687</v>
      </c>
      <c r="G2250" s="3">
        <v>1.0</v>
      </c>
      <c r="H2250" s="3">
        <v>0.0</v>
      </c>
      <c r="I2250" s="3" t="s">
        <v>13</v>
      </c>
      <c r="J2250" s="3" t="s">
        <v>6688</v>
      </c>
      <c r="K2250" s="3" t="s">
        <v>41</v>
      </c>
      <c r="L2250" s="3" t="str">
        <f>IFERROR(__xludf.DUMMYFUNCTION("GOOGLETRANSLATE(F2250,""id"",""en"")"),"Gilakkk Final World Cup Exciting Really Masio My Paketan Dying")</f>
        <v>Gilakkk Final World Cup Exciting Really Masio My Paketan Dying</v>
      </c>
    </row>
    <row r="2251" ht="15.75" customHeight="1">
      <c r="A2251" s="1">
        <v>2263.0</v>
      </c>
      <c r="B2251" s="3" t="s">
        <v>6689</v>
      </c>
      <c r="C2251" s="3">
        <v>0.0</v>
      </c>
      <c r="D2251" s="3">
        <v>0.0</v>
      </c>
      <c r="E2251" s="3">
        <v>0.0</v>
      </c>
      <c r="F2251" s="3" t="s">
        <v>6690</v>
      </c>
      <c r="G2251" s="3">
        <v>1.0</v>
      </c>
      <c r="H2251" s="3">
        <v>0.0</v>
      </c>
      <c r="I2251" s="3" t="s">
        <v>13</v>
      </c>
      <c r="J2251" s="3" t="s">
        <v>6691</v>
      </c>
      <c r="K2251" s="3" t="s">
        <v>54</v>
      </c>
      <c r="L2251" s="3" t="str">
        <f>IFERROR(__xludf.DUMMYFUNCTION("GOOGLETRANSLATE(F2251,""id"",""en"")"),"The worst World Cup will definitely be the best final.")</f>
        <v>The worst World Cup will definitely be the best final.</v>
      </c>
    </row>
    <row r="2252" ht="15.75" customHeight="1">
      <c r="A2252" s="1">
        <v>2264.0</v>
      </c>
      <c r="B2252" s="3" t="s">
        <v>6692</v>
      </c>
      <c r="C2252" s="3">
        <v>0.0</v>
      </c>
      <c r="D2252" s="3">
        <v>0.0</v>
      </c>
      <c r="E2252" s="3">
        <v>0.0</v>
      </c>
      <c r="F2252" s="3" t="s">
        <v>6693</v>
      </c>
      <c r="G2252" s="3">
        <v>1.0</v>
      </c>
      <c r="H2252" s="3">
        <v>0.0</v>
      </c>
      <c r="I2252" s="3" t="s">
        <v>13</v>
      </c>
      <c r="J2252" s="3" t="s">
        <v>6694</v>
      </c>
      <c r="K2252" s="3" t="s">
        <v>19</v>
      </c>
      <c r="L2252" s="3" t="str">
        <f>IFERROR(__xludf.DUMMYFUNCTION("GOOGLETRANSLATE(F2252,""id"",""en"")"),"Mbappe Years are not the peak age, it's already like this, the World Cup Final")</f>
        <v>Mbappe Years are not the peak age, it's already like this, the World Cup Final</v>
      </c>
    </row>
    <row r="2253" ht="15.75" customHeight="1">
      <c r="A2253" s="1">
        <v>2265.0</v>
      </c>
      <c r="B2253" s="3" t="s">
        <v>6695</v>
      </c>
      <c r="C2253" s="3">
        <v>0.0</v>
      </c>
      <c r="D2253" s="3">
        <v>0.0</v>
      </c>
      <c r="E2253" s="3">
        <v>0.0</v>
      </c>
      <c r="F2253" s="3" t="s">
        <v>6696</v>
      </c>
      <c r="G2253" s="3">
        <v>1.0</v>
      </c>
      <c r="H2253" s="3">
        <v>0.0</v>
      </c>
      <c r="I2253" s="3" t="s">
        <v>13</v>
      </c>
      <c r="J2253" s="3" t="s">
        <v>6697</v>
      </c>
      <c r="K2253" s="3" t="s">
        <v>31</v>
      </c>
      <c r="L2253" s="3" t="str">
        <f>IFERROR(__xludf.DUMMYFUNCTION("GOOGLETRANSLATE(F2253,""id"",""en"")"),"World Cup Final Embohns")</f>
        <v>World Cup Final Embohns</v>
      </c>
    </row>
    <row r="2254" ht="15.75" customHeight="1">
      <c r="A2254" s="1">
        <v>2266.0</v>
      </c>
      <c r="B2254" s="3" t="s">
        <v>6698</v>
      </c>
      <c r="C2254" s="3">
        <v>1.0</v>
      </c>
      <c r="D2254" s="3">
        <v>0.0</v>
      </c>
      <c r="E2254" s="3">
        <v>0.0</v>
      </c>
      <c r="F2254" s="3" t="s">
        <v>6699</v>
      </c>
      <c r="G2254" s="3">
        <v>1.0</v>
      </c>
      <c r="H2254" s="3">
        <v>0.0</v>
      </c>
      <c r="I2254" s="3" t="s">
        <v>13</v>
      </c>
      <c r="J2254" s="3" t="s">
        <v>6700</v>
      </c>
      <c r="K2254" s="3" t="s">
        <v>644</v>
      </c>
      <c r="L2254" s="3" t="str">
        <f>IFERROR(__xludf.DUMMYFUNCTION("GOOGLETRANSLATE(F2254,""id"",""en"")"),"The World Cup Final was excited")</f>
        <v>The World Cup Final was excited</v>
      </c>
    </row>
    <row r="2255" ht="15.75" customHeight="1">
      <c r="A2255" s="1">
        <v>2267.0</v>
      </c>
      <c r="B2255" s="3" t="s">
        <v>6701</v>
      </c>
      <c r="C2255" s="3">
        <v>0.0</v>
      </c>
      <c r="D2255" s="3">
        <v>0.0</v>
      </c>
      <c r="E2255" s="3">
        <v>0.0</v>
      </c>
      <c r="F2255" s="3" t="s">
        <v>6702</v>
      </c>
      <c r="G2255" s="3">
        <v>1.0</v>
      </c>
      <c r="H2255" s="3">
        <v>0.5</v>
      </c>
      <c r="I2255" s="3" t="s">
        <v>48</v>
      </c>
      <c r="J2255" s="3" t="s">
        <v>6703</v>
      </c>
      <c r="K2255" s="3" t="s">
        <v>184</v>
      </c>
      <c r="L2255" s="3" t="str">
        <f>IFERROR(__xludf.DUMMYFUNCTION("GOOGLETRANSLATE(F2255,""id"",""en"")"),"The commentator just said that Absolutely Magnificent was the Coolest World Cup Final, I never watched it and would definitely be a billions of experience in the world people were very entertained")</f>
        <v>The commentator just said that Absolutely Magnificent was the Coolest World Cup Final, I never watched it and would definitely be a billions of experience in the world people were very entertained</v>
      </c>
    </row>
    <row r="2256" ht="15.75" customHeight="1">
      <c r="A2256" s="1">
        <v>2268.0</v>
      </c>
      <c r="B2256" s="3" t="s">
        <v>6704</v>
      </c>
      <c r="C2256" s="3">
        <v>0.0</v>
      </c>
      <c r="D2256" s="3">
        <v>0.0</v>
      </c>
      <c r="E2256" s="3">
        <v>0.0</v>
      </c>
      <c r="F2256" s="3" t="s">
        <v>6705</v>
      </c>
      <c r="G2256" s="3">
        <v>1.0</v>
      </c>
      <c r="H2256" s="3">
        <v>0.0</v>
      </c>
      <c r="I2256" s="3" t="s">
        <v>13</v>
      </c>
      <c r="J2256" s="3" t="s">
        <v>6706</v>
      </c>
      <c r="K2256" s="3" t="s">
        <v>1782</v>
      </c>
      <c r="L2256" s="3" t="str">
        <f>IFERROR(__xludf.DUMMYFUNCTION("GOOGLETRANSLATE(F2256,""id"",""en"")"),"World Cup Final Wkwk Penalties")</f>
        <v>World Cup Final Wkwk Penalties</v>
      </c>
    </row>
    <row r="2257" ht="15.75" customHeight="1">
      <c r="A2257" s="1">
        <v>2269.0</v>
      </c>
      <c r="B2257" s="3" t="s">
        <v>6707</v>
      </c>
      <c r="C2257" s="3">
        <v>0.0</v>
      </c>
      <c r="D2257" s="3">
        <v>0.0</v>
      </c>
      <c r="E2257" s="3">
        <v>0.0</v>
      </c>
      <c r="F2257" s="3" t="s">
        <v>6708</v>
      </c>
      <c r="G2257" s="3">
        <v>1.0</v>
      </c>
      <c r="H2257" s="3">
        <v>0.0</v>
      </c>
      <c r="I2257" s="3" t="s">
        <v>13</v>
      </c>
      <c r="J2257" s="3" t="s">
        <v>6709</v>
      </c>
      <c r="K2257" s="3" t="s">
        <v>82</v>
      </c>
      <c r="L2257" s="3" t="str">
        <f>IFERROR(__xludf.DUMMYFUNCTION("GOOGLETRANSLATE(F2257,""id"",""en"")"),"crazy worse world cup final this time")</f>
        <v>crazy worse world cup final this time</v>
      </c>
    </row>
    <row r="2258" ht="15.75" customHeight="1">
      <c r="A2258" s="1">
        <v>2270.0</v>
      </c>
      <c r="B2258" s="3" t="s">
        <v>6710</v>
      </c>
      <c r="C2258" s="3">
        <v>0.0</v>
      </c>
      <c r="D2258" s="3">
        <v>0.0</v>
      </c>
      <c r="E2258" s="3">
        <v>1.0</v>
      </c>
      <c r="F2258" s="3" t="s">
        <v>6711</v>
      </c>
      <c r="G2258" s="3">
        <v>1.0</v>
      </c>
      <c r="H2258" s="3">
        <v>0.0</v>
      </c>
      <c r="I2258" s="3" t="s">
        <v>13</v>
      </c>
      <c r="J2258" s="3" t="s">
        <v>6712</v>
      </c>
      <c r="K2258" s="3" t="s">
        <v>82</v>
      </c>
      <c r="L2258" s="3" t="str">
        <f>IFERROR(__xludf.DUMMYFUNCTION("GOOGLETRANSLATE(F2258,""id"",""en"")"),"The best final of the World Cup I ever watched")</f>
        <v>The best final of the World Cup I ever watched</v>
      </c>
    </row>
    <row r="2259" ht="15.75" customHeight="1">
      <c r="A2259" s="1">
        <v>2271.0</v>
      </c>
      <c r="B2259" s="3" t="s">
        <v>6713</v>
      </c>
      <c r="C2259" s="3">
        <v>0.0</v>
      </c>
      <c r="D2259" s="3">
        <v>0.0</v>
      </c>
      <c r="E2259" s="3">
        <v>0.0</v>
      </c>
      <c r="F2259" s="3" t="s">
        <v>6714</v>
      </c>
      <c r="G2259" s="3">
        <v>1.0</v>
      </c>
      <c r="H2259" s="3">
        <v>0.0</v>
      </c>
      <c r="I2259" s="3" t="s">
        <v>13</v>
      </c>
      <c r="J2259" s="3" t="s">
        <v>6715</v>
      </c>
      <c r="K2259" s="3" t="s">
        <v>31</v>
      </c>
      <c r="L2259" s="3" t="str">
        <f>IFERROR(__xludf.DUMMYFUNCTION("GOOGLETRANSLATE(F2259,""id"",""en"")"),"The World Cup Final Gilakk was excited")</f>
        <v>The World Cup Final Gilakk was excited</v>
      </c>
    </row>
    <row r="2260" ht="15.75" customHeight="1">
      <c r="A2260" s="1">
        <v>2272.0</v>
      </c>
      <c r="B2260" s="3" t="s">
        <v>6716</v>
      </c>
      <c r="C2260" s="3">
        <v>0.0</v>
      </c>
      <c r="D2260" s="3">
        <v>0.0</v>
      </c>
      <c r="E2260" s="3">
        <v>6.0</v>
      </c>
      <c r="F2260" s="3" t="s">
        <v>3789</v>
      </c>
      <c r="G2260" s="3">
        <v>1.0</v>
      </c>
      <c r="H2260" s="3">
        <v>0.0</v>
      </c>
      <c r="I2260" s="3" t="s">
        <v>13</v>
      </c>
      <c r="J2260" s="3" t="s">
        <v>3790</v>
      </c>
      <c r="K2260" s="3" t="s">
        <v>1293</v>
      </c>
      <c r="L2260" s="3" t="str">
        <f>IFERROR(__xludf.DUMMYFUNCTION("GOOGLETRANSLATE(F2260,""id"",""en"")"),"Kylian Mbappe scored the World Cup Final Hat Trick scored another goal from the penalty to make the French Argentina score a draw")</f>
        <v>Kylian Mbappe scored the World Cup Final Hat Trick scored another goal from the penalty to make the French Argentina score a draw</v>
      </c>
    </row>
    <row r="2261" ht="15.75" customHeight="1">
      <c r="A2261" s="1">
        <v>2273.0</v>
      </c>
      <c r="B2261" s="3" t="s">
        <v>6717</v>
      </c>
      <c r="C2261" s="3">
        <v>0.0</v>
      </c>
      <c r="D2261" s="3">
        <v>0.0</v>
      </c>
      <c r="E2261" s="3">
        <v>0.0</v>
      </c>
      <c r="F2261" s="3" t="s">
        <v>6718</v>
      </c>
      <c r="G2261" s="3">
        <v>1.0</v>
      </c>
      <c r="H2261" s="3">
        <v>0.0</v>
      </c>
      <c r="I2261" s="3" t="s">
        <v>13</v>
      </c>
      <c r="J2261" s="3" t="s">
        <v>6719</v>
      </c>
      <c r="K2261" s="3" t="s">
        <v>31</v>
      </c>
      <c r="L2261" s="3" t="str">
        <f>IFERROR(__xludf.DUMMYFUNCTION("GOOGLETRANSLATE(F2261,""id"",""en"")"),"The Epic World Cup Final")</f>
        <v>The Epic World Cup Final</v>
      </c>
    </row>
    <row r="2262" ht="15.75" customHeight="1">
      <c r="A2262" s="1">
        <v>2274.0</v>
      </c>
      <c r="B2262" s="3" t="s">
        <v>6720</v>
      </c>
      <c r="C2262" s="3">
        <v>1.0</v>
      </c>
      <c r="D2262" s="3">
        <v>0.0</v>
      </c>
      <c r="E2262" s="3">
        <v>2.0</v>
      </c>
      <c r="F2262" s="3" t="s">
        <v>6721</v>
      </c>
      <c r="G2262" s="3">
        <v>1.0</v>
      </c>
      <c r="H2262" s="3">
        <v>0.0</v>
      </c>
      <c r="I2262" s="3" t="s">
        <v>13</v>
      </c>
      <c r="J2262" s="3" t="s">
        <v>6722</v>
      </c>
      <c r="K2262" s="3" t="s">
        <v>510</v>
      </c>
      <c r="L2262" s="3" t="str">
        <f>IFERROR(__xludf.DUMMYFUNCTION("GOOGLETRANSLATE(F2262,""id"",""en"")"),"Twenty years I live this new time watching the World Cup final like this what match")</f>
        <v>Twenty years I live this new time watching the World Cup final like this what match</v>
      </c>
    </row>
    <row r="2263" ht="15.75" customHeight="1">
      <c r="A2263" s="1">
        <v>2275.0</v>
      </c>
      <c r="B2263" s="3" t="s">
        <v>6723</v>
      </c>
      <c r="C2263" s="3">
        <v>0.0</v>
      </c>
      <c r="D2263" s="3">
        <v>0.0</v>
      </c>
      <c r="E2263" s="3">
        <v>0.0</v>
      </c>
      <c r="F2263" s="3" t="s">
        <v>6724</v>
      </c>
      <c r="G2263" s="3">
        <v>1.0</v>
      </c>
      <c r="H2263" s="3">
        <v>0.0</v>
      </c>
      <c r="I2263" s="3" t="s">
        <v>13</v>
      </c>
      <c r="J2263" s="3" t="s">
        <v>6725</v>
      </c>
      <c r="K2263" s="3" t="s">
        <v>644</v>
      </c>
      <c r="L2263" s="3" t="str">
        <f>IFERROR(__xludf.DUMMYFUNCTION("GOOGLETRANSLATE(F2263,""id"",""en"")"),"then the World Cup final")</f>
        <v>then the World Cup final</v>
      </c>
    </row>
    <row r="2264" ht="15.75" customHeight="1">
      <c r="A2264" s="1">
        <v>2276.0</v>
      </c>
      <c r="B2264" s="3" t="s">
        <v>6726</v>
      </c>
      <c r="C2264" s="3">
        <v>0.0</v>
      </c>
      <c r="D2264" s="3">
        <v>0.0</v>
      </c>
      <c r="E2264" s="3">
        <v>0.0</v>
      </c>
      <c r="F2264" s="3" t="s">
        <v>665</v>
      </c>
      <c r="G2264" s="3">
        <v>1.0</v>
      </c>
      <c r="H2264" s="3">
        <v>0.0</v>
      </c>
      <c r="I2264" s="3" t="s">
        <v>13</v>
      </c>
      <c r="J2264" s="3" t="s">
        <v>666</v>
      </c>
      <c r="K2264" s="3" t="s">
        <v>644</v>
      </c>
      <c r="L2264" s="3" t="str">
        <f>IFERROR(__xludf.DUMMYFUNCTION("GOOGLETRANSLATE(F2264,""id"",""en"")"),"the best world cup final")</f>
        <v>the best world cup final</v>
      </c>
    </row>
    <row r="2265" ht="15.75" customHeight="1">
      <c r="A2265" s="1">
        <v>2278.0</v>
      </c>
      <c r="B2265" s="3" t="s">
        <v>6727</v>
      </c>
      <c r="C2265" s="3">
        <v>0.0</v>
      </c>
      <c r="D2265" s="3">
        <v>0.0</v>
      </c>
      <c r="E2265" s="3">
        <v>0.0</v>
      </c>
      <c r="F2265" s="3" t="s">
        <v>6728</v>
      </c>
      <c r="G2265" s="3">
        <v>1.0</v>
      </c>
      <c r="H2265" s="3">
        <v>0.0</v>
      </c>
      <c r="I2265" s="3" t="s">
        <v>13</v>
      </c>
      <c r="J2265" s="3" t="s">
        <v>6729</v>
      </c>
      <c r="K2265" s="3" t="s">
        <v>54</v>
      </c>
      <c r="L2265" s="3" t="str">
        <f>IFERROR(__xludf.DUMMYFUNCTION("GOOGLETRANSLATE(F2265,""id"",""en"")"),"The Best Final of the World Cup Fix Debate")</f>
        <v>The Best Final of the World Cup Fix Debate</v>
      </c>
    </row>
    <row r="2266" ht="15.75" customHeight="1">
      <c r="A2266" s="1">
        <v>2279.0</v>
      </c>
      <c r="B2266" s="3" t="s">
        <v>6730</v>
      </c>
      <c r="C2266" s="3">
        <v>0.0</v>
      </c>
      <c r="D2266" s="3">
        <v>0.0</v>
      </c>
      <c r="E2266" s="3">
        <v>0.0</v>
      </c>
      <c r="F2266" s="3" t="s">
        <v>2246</v>
      </c>
      <c r="G2266" s="3">
        <v>1.0</v>
      </c>
      <c r="H2266" s="3">
        <v>0.0</v>
      </c>
      <c r="I2266" s="3" t="s">
        <v>13</v>
      </c>
      <c r="J2266" s="3" t="s">
        <v>2247</v>
      </c>
      <c r="K2266" s="3" t="s">
        <v>31</v>
      </c>
      <c r="L2266" s="3" t="str">
        <f>IFERROR(__xludf.DUMMYFUNCTION("GOOGLETRANSLATE(F2266,""id"",""en"")"),"World Cup Final Most Exciting")</f>
        <v>World Cup Final Most Exciting</v>
      </c>
    </row>
    <row r="2267" ht="15.75" customHeight="1">
      <c r="A2267" s="1">
        <v>2280.0</v>
      </c>
      <c r="B2267" s="3" t="s">
        <v>6731</v>
      </c>
      <c r="C2267" s="3">
        <v>0.0</v>
      </c>
      <c r="D2267" s="3">
        <v>0.0</v>
      </c>
      <c r="E2267" s="3">
        <v>0.0</v>
      </c>
      <c r="F2267" s="3" t="s">
        <v>6732</v>
      </c>
      <c r="G2267" s="3">
        <v>1.0</v>
      </c>
      <c r="H2267" s="3">
        <v>0.0</v>
      </c>
      <c r="I2267" s="3" t="s">
        <v>13</v>
      </c>
      <c r="J2267" s="3" t="s">
        <v>6733</v>
      </c>
      <c r="K2267" s="3" t="s">
        <v>31</v>
      </c>
      <c r="L2267" s="3" t="str">
        <f>IFERROR(__xludf.DUMMYFUNCTION("GOOGLETRANSLATE(F2267,""id"",""en"")"),"This best world cup final mah")</f>
        <v>This best world cup final mah</v>
      </c>
    </row>
    <row r="2268" ht="15.75" customHeight="1">
      <c r="A2268" s="1">
        <v>2281.0</v>
      </c>
      <c r="B2268" s="3" t="s">
        <v>6734</v>
      </c>
      <c r="C2268" s="3">
        <v>0.0</v>
      </c>
      <c r="D2268" s="3">
        <v>3.0</v>
      </c>
      <c r="E2268" s="3">
        <v>4.0</v>
      </c>
      <c r="F2268" s="3" t="s">
        <v>1721</v>
      </c>
      <c r="G2268" s="3">
        <v>1.0</v>
      </c>
      <c r="H2268" s="3">
        <v>0.0</v>
      </c>
      <c r="I2268" s="3" t="s">
        <v>13</v>
      </c>
      <c r="J2268" s="3" t="s">
        <v>1722</v>
      </c>
      <c r="K2268" s="3" t="s">
        <v>54</v>
      </c>
      <c r="L2268" s="3" t="str">
        <f>IFERROR(__xludf.DUMMYFUNCTION("GOOGLETRANSLATE(F2268,""id"",""en"")"),"the best world cup final of all time")</f>
        <v>the best world cup final of all time</v>
      </c>
    </row>
    <row r="2269" ht="15.75" customHeight="1">
      <c r="A2269" s="1">
        <v>2282.0</v>
      </c>
      <c r="B2269" s="3" t="s">
        <v>6735</v>
      </c>
      <c r="C2269" s="3">
        <v>0.0</v>
      </c>
      <c r="D2269" s="3">
        <v>0.0</v>
      </c>
      <c r="E2269" s="3">
        <v>0.0</v>
      </c>
      <c r="F2269" s="3" t="s">
        <v>6736</v>
      </c>
      <c r="G2269" s="3">
        <v>1.0</v>
      </c>
      <c r="H2269" s="3">
        <v>0.0</v>
      </c>
      <c r="I2269" s="3" t="s">
        <v>13</v>
      </c>
      <c r="J2269" s="3" t="s">
        <v>6737</v>
      </c>
      <c r="K2269" s="3" t="s">
        <v>41</v>
      </c>
      <c r="L2269" s="3" t="str">
        <f>IFERROR(__xludf.DUMMYFUNCTION("GOOGLETRANSLATE(F2269,""id"",""en"")"),"Mbok World Cup Committee if the final match is just Sunday in the future")</f>
        <v>Mbok World Cup Committee if the final match is just Sunday in the future</v>
      </c>
    </row>
    <row r="2270" ht="15.75" customHeight="1">
      <c r="A2270" s="1">
        <v>2283.0</v>
      </c>
      <c r="B2270" s="3" t="s">
        <v>6738</v>
      </c>
      <c r="C2270" s="3">
        <v>0.0</v>
      </c>
      <c r="D2270" s="3">
        <v>0.0</v>
      </c>
      <c r="E2270" s="3">
        <v>0.0</v>
      </c>
      <c r="F2270" s="3" t="s">
        <v>6739</v>
      </c>
      <c r="G2270" s="3">
        <v>1.0</v>
      </c>
      <c r="H2270" s="3">
        <v>0.0</v>
      </c>
      <c r="I2270" s="3" t="s">
        <v>13</v>
      </c>
      <c r="J2270" s="3" t="s">
        <v>6740</v>
      </c>
      <c r="K2270" s="3" t="s">
        <v>644</v>
      </c>
      <c r="L2270" s="3" t="str">
        <f>IFERROR(__xludf.DUMMYFUNCTION("GOOGLETRANSLATE(F2270,""id"",""en"")"),"The World Cup Final is Terepic")</f>
        <v>The World Cup Final is Terepic</v>
      </c>
    </row>
    <row r="2271" ht="15.75" customHeight="1">
      <c r="A2271" s="1">
        <v>2284.0</v>
      </c>
      <c r="B2271" s="3" t="s">
        <v>6741</v>
      </c>
      <c r="C2271" s="3">
        <v>0.0</v>
      </c>
      <c r="D2271" s="3">
        <v>0.0</v>
      </c>
      <c r="E2271" s="3">
        <v>1.0</v>
      </c>
      <c r="F2271" s="3" t="s">
        <v>6742</v>
      </c>
      <c r="G2271" s="3">
        <v>1.0</v>
      </c>
      <c r="H2271" s="3">
        <v>0.0</v>
      </c>
      <c r="I2271" s="3" t="s">
        <v>13</v>
      </c>
      <c r="J2271" s="3" t="s">
        <v>6743</v>
      </c>
      <c r="K2271" s="3" t="s">
        <v>82</v>
      </c>
      <c r="L2271" s="3" t="str">
        <f>IFERROR(__xludf.DUMMYFUNCTION("GOOGLETRANSLATE(F2271,""id"",""en"")"),"Aangattt like the world of the world pilduun cup")</f>
        <v>Aangattt like the world of the world pilduun cup</v>
      </c>
    </row>
    <row r="2272" ht="15.75" customHeight="1">
      <c r="A2272" s="1">
        <v>2285.0</v>
      </c>
      <c r="B2272" s="3" t="s">
        <v>6744</v>
      </c>
      <c r="C2272" s="3">
        <v>1.0</v>
      </c>
      <c r="D2272" s="3">
        <v>0.0</v>
      </c>
      <c r="E2272" s="3">
        <v>0.0</v>
      </c>
      <c r="F2272" s="3" t="s">
        <v>6745</v>
      </c>
      <c r="G2272" s="3">
        <v>1.0</v>
      </c>
      <c r="H2272" s="3">
        <v>0.0</v>
      </c>
      <c r="I2272" s="3" t="s">
        <v>13</v>
      </c>
      <c r="J2272" s="3" t="s">
        <v>6746</v>
      </c>
      <c r="K2272" s="3" t="s">
        <v>15</v>
      </c>
      <c r="L2272" s="3" t="str">
        <f>IFERROR(__xludf.DUMMYFUNCTION("GOOGLETRANSLATE(F2272,""id"",""en"")"),"So remember watching the World Cup final in the end of the penalty")</f>
        <v>So remember watching the World Cup final in the end of the penalty</v>
      </c>
    </row>
    <row r="2273" ht="15.75" customHeight="1">
      <c r="A2273" s="1">
        <v>2286.0</v>
      </c>
      <c r="B2273" s="3" t="s">
        <v>6747</v>
      </c>
      <c r="C2273" s="3">
        <v>0.0</v>
      </c>
      <c r="D2273" s="3">
        <v>0.0</v>
      </c>
      <c r="E2273" s="3">
        <v>0.0</v>
      </c>
      <c r="F2273" s="3" t="s">
        <v>6747</v>
      </c>
      <c r="G2273" s="3">
        <v>1.0</v>
      </c>
      <c r="H2273" s="3">
        <v>0.0</v>
      </c>
      <c r="I2273" s="3" t="s">
        <v>13</v>
      </c>
      <c r="J2273" s="3" t="s">
        <v>6748</v>
      </c>
      <c r="K2273" s="3" t="s">
        <v>31</v>
      </c>
      <c r="L2273" s="3" t="str">
        <f>IFERROR(__xludf.DUMMYFUNCTION("GOOGLETRANSLATE(F2273,""id"",""en"")"),"this world cup final")</f>
        <v>this world cup final</v>
      </c>
    </row>
    <row r="2274" ht="15.75" customHeight="1">
      <c r="A2274" s="1">
        <v>2287.0</v>
      </c>
      <c r="B2274" s="3" t="s">
        <v>6749</v>
      </c>
      <c r="C2274" s="3">
        <v>0.0</v>
      </c>
      <c r="D2274" s="3">
        <v>0.0</v>
      </c>
      <c r="E2274" s="3">
        <v>0.0</v>
      </c>
      <c r="F2274" s="3" t="s">
        <v>6750</v>
      </c>
      <c r="G2274" s="3">
        <v>1.0</v>
      </c>
      <c r="H2274" s="3">
        <v>0.0</v>
      </c>
      <c r="I2274" s="3" t="s">
        <v>13</v>
      </c>
      <c r="J2274" s="3" t="s">
        <v>6751</v>
      </c>
      <c r="K2274" s="3" t="s">
        <v>6752</v>
      </c>
      <c r="L2274" s="3" t="str">
        <f>IFERROR(__xludf.DUMMYFUNCTION("GOOGLETRANSLATE(F2274,""id"",""en"")"),"Best Best World Cup Final")</f>
        <v>Best Best World Cup Final</v>
      </c>
    </row>
    <row r="2275" ht="15.75" customHeight="1">
      <c r="A2275" s="1">
        <v>2288.0</v>
      </c>
      <c r="B2275" s="3" t="s">
        <v>6753</v>
      </c>
      <c r="C2275" s="3">
        <v>0.0</v>
      </c>
      <c r="D2275" s="3">
        <v>0.0</v>
      </c>
      <c r="E2275" s="3">
        <v>0.0</v>
      </c>
      <c r="F2275" s="3" t="s">
        <v>6754</v>
      </c>
      <c r="G2275" s="3">
        <v>1.0</v>
      </c>
      <c r="H2275" s="3">
        <v>0.0</v>
      </c>
      <c r="I2275" s="3" t="s">
        <v>13</v>
      </c>
      <c r="J2275" s="3" t="s">
        <v>6755</v>
      </c>
      <c r="K2275" s="3" t="s">
        <v>54</v>
      </c>
      <c r="L2275" s="3" t="str">
        <f>IFERROR(__xludf.DUMMYFUNCTION("GOOGLETRANSLATE(F2275,""id"",""en"")"),"The World Cup Final is the point")</f>
        <v>The World Cup Final is the point</v>
      </c>
    </row>
    <row r="2276" ht="15.75" customHeight="1">
      <c r="A2276" s="1">
        <v>2289.0</v>
      </c>
      <c r="B2276" s="3" t="s">
        <v>6756</v>
      </c>
      <c r="C2276" s="3">
        <v>1.0</v>
      </c>
      <c r="D2276" s="3">
        <v>0.0</v>
      </c>
      <c r="E2276" s="3">
        <v>0.0</v>
      </c>
      <c r="F2276" s="3" t="s">
        <v>6757</v>
      </c>
      <c r="G2276" s="3">
        <v>1.0</v>
      </c>
      <c r="H2276" s="3">
        <v>0.0</v>
      </c>
      <c r="I2276" s="3" t="s">
        <v>13</v>
      </c>
      <c r="J2276" s="3" t="s">
        <v>6758</v>
      </c>
      <c r="K2276" s="3" t="s">
        <v>15</v>
      </c>
      <c r="L2276" s="3" t="str">
        <f>IFERROR(__xludf.DUMMYFUNCTION("GOOGLETRANSLATE(F2276,""id"",""en"")"),"The first time the World Cup Final was Hatrick Champion Not Pinalty Fighting")</f>
        <v>The first time the World Cup Final was Hatrick Champion Not Pinalty Fighting</v>
      </c>
    </row>
    <row r="2277" ht="15.75" customHeight="1">
      <c r="A2277" s="1">
        <v>2290.0</v>
      </c>
      <c r="B2277" s="3" t="s">
        <v>6759</v>
      </c>
      <c r="C2277" s="3">
        <v>0.0</v>
      </c>
      <c r="D2277" s="3">
        <v>0.0</v>
      </c>
      <c r="E2277" s="3">
        <v>0.0</v>
      </c>
      <c r="F2277" s="3" t="s">
        <v>6760</v>
      </c>
      <c r="G2277" s="3">
        <v>1.0</v>
      </c>
      <c r="H2277" s="3">
        <v>0.0</v>
      </c>
      <c r="I2277" s="3" t="s">
        <v>13</v>
      </c>
      <c r="J2277" s="3" t="s">
        <v>6761</v>
      </c>
      <c r="K2277" s="3" t="s">
        <v>50</v>
      </c>
      <c r="L2277" s="3" t="str">
        <f>IFERROR(__xludf.DUMMYFUNCTION("GOOGLETRANSLATE(F2277,""id"",""en"")"),"This is who the winner wants Argentina or France they are really worthy of the World Cup Final")</f>
        <v>This is who the winner wants Argentina or France they are really worthy of the World Cup Final</v>
      </c>
    </row>
    <row r="2278" ht="15.75" customHeight="1">
      <c r="A2278" s="1">
        <v>2291.0</v>
      </c>
      <c r="B2278" s="3" t="s">
        <v>6762</v>
      </c>
      <c r="C2278" s="3">
        <v>0.0</v>
      </c>
      <c r="D2278" s="3">
        <v>0.0</v>
      </c>
      <c r="E2278" s="3">
        <v>0.0</v>
      </c>
      <c r="F2278" s="3" t="s">
        <v>6763</v>
      </c>
      <c r="G2278" s="3">
        <v>1.0</v>
      </c>
      <c r="H2278" s="3">
        <v>0.0</v>
      </c>
      <c r="I2278" s="3" t="s">
        <v>13</v>
      </c>
      <c r="J2278" s="3" t="s">
        <v>6764</v>
      </c>
      <c r="K2278" s="3" t="s">
        <v>31</v>
      </c>
      <c r="L2278" s="3" t="str">
        <f>IFERROR(__xludf.DUMMYFUNCTION("GOOGLETRANSLATE(F2278,""id"",""en"")"),"Lastly, the World Cup final penalty")</f>
        <v>Lastly, the World Cup final penalty</v>
      </c>
    </row>
    <row r="2279" ht="15.75" customHeight="1">
      <c r="A2279" s="1">
        <v>2292.0</v>
      </c>
      <c r="B2279" s="3" t="s">
        <v>6765</v>
      </c>
      <c r="C2279" s="3">
        <v>0.0</v>
      </c>
      <c r="D2279" s="3">
        <v>0.0</v>
      </c>
      <c r="E2279" s="3">
        <v>0.0</v>
      </c>
      <c r="F2279" s="3" t="s">
        <v>6766</v>
      </c>
      <c r="G2279" s="3">
        <v>1.0</v>
      </c>
      <c r="H2279" s="3">
        <v>0.0</v>
      </c>
      <c r="I2279" s="3" t="s">
        <v>13</v>
      </c>
      <c r="J2279" s="3" t="s">
        <v>6767</v>
      </c>
      <c r="K2279" s="3" t="s">
        <v>31</v>
      </c>
      <c r="L2279" s="3" t="str">
        <f>IFERROR(__xludf.DUMMYFUNCTION("GOOGLETRANSLATE(F2279,""id"",""en"")"),"The Final of the Best World Cup Edition")</f>
        <v>The Final of the Best World Cup Edition</v>
      </c>
    </row>
    <row r="2280" ht="15.75" customHeight="1">
      <c r="A2280" s="1">
        <v>2293.0</v>
      </c>
      <c r="B2280" s="3" t="s">
        <v>6768</v>
      </c>
      <c r="C2280" s="3">
        <v>0.0</v>
      </c>
      <c r="D2280" s="3">
        <v>0.0</v>
      </c>
      <c r="E2280" s="3">
        <v>0.0</v>
      </c>
      <c r="F2280" s="3" t="s">
        <v>6769</v>
      </c>
      <c r="G2280" s="3">
        <v>1.0</v>
      </c>
      <c r="H2280" s="3">
        <v>0.0</v>
      </c>
      <c r="I2280" s="3" t="s">
        <v>13</v>
      </c>
      <c r="J2280" s="3" t="s">
        <v>6770</v>
      </c>
      <c r="K2280" s="3" t="s">
        <v>510</v>
      </c>
      <c r="L2280" s="3" t="str">
        <f>IFERROR(__xludf.DUMMYFUNCTION("GOOGLETRANSLATE(F2280,""id"",""en"")"),"Sangking dizzy thinking about the life of junior high school is reluctant to watch the World Cup final despite fear of Fomo")</f>
        <v>Sangking dizzy thinking about the life of junior high school is reluctant to watch the World Cup final despite fear of Fomo</v>
      </c>
    </row>
    <row r="2281" ht="15.75" customHeight="1">
      <c r="A2281" s="1">
        <v>2294.0</v>
      </c>
      <c r="B2281" s="3" t="s">
        <v>6771</v>
      </c>
      <c r="C2281" s="3">
        <v>0.0</v>
      </c>
      <c r="D2281" s="3">
        <v>0.0</v>
      </c>
      <c r="E2281" s="3">
        <v>2.0</v>
      </c>
      <c r="F2281" s="3" t="s">
        <v>6772</v>
      </c>
      <c r="G2281" s="3">
        <v>1.0</v>
      </c>
      <c r="H2281" s="3">
        <v>0.0</v>
      </c>
      <c r="I2281" s="3" t="s">
        <v>13</v>
      </c>
      <c r="J2281" s="3" t="s">
        <v>6773</v>
      </c>
      <c r="K2281" s="3" t="s">
        <v>31</v>
      </c>
      <c r="L2281" s="3" t="str">
        <f>IFERROR(__xludf.DUMMYFUNCTION("GOOGLETRANSLATE(F2281,""id"",""en"")"),"the Final World Cup Football Gambling")</f>
        <v>the Final World Cup Football Gambling</v>
      </c>
    </row>
    <row r="2282" ht="15.75" customHeight="1">
      <c r="A2282" s="1">
        <v>2295.0</v>
      </c>
      <c r="B2282" s="3" t="s">
        <v>6774</v>
      </c>
      <c r="C2282" s="3">
        <v>0.0</v>
      </c>
      <c r="D2282" s="3">
        <v>0.0</v>
      </c>
      <c r="E2282" s="3">
        <v>0.0</v>
      </c>
      <c r="F2282" s="3" t="s">
        <v>6775</v>
      </c>
      <c r="G2282" s="3">
        <v>1.0</v>
      </c>
      <c r="H2282" s="3">
        <v>0.0</v>
      </c>
      <c r="I2282" s="3" t="s">
        <v>13</v>
      </c>
      <c r="J2282" s="3" t="s">
        <v>6776</v>
      </c>
      <c r="K2282" s="3" t="s">
        <v>644</v>
      </c>
      <c r="L2282" s="3" t="str">
        <f>IFERROR(__xludf.DUMMYFUNCTION("GOOGLETRANSLATE(F2282,""id"",""en"")"),"World Cup Final Sponsor")</f>
        <v>World Cup Final Sponsor</v>
      </c>
    </row>
    <row r="2283" ht="15.75" customHeight="1">
      <c r="A2283" s="1">
        <v>2296.0</v>
      </c>
      <c r="B2283" s="3" t="s">
        <v>6777</v>
      </c>
      <c r="C2283" s="3">
        <v>2.0</v>
      </c>
      <c r="D2283" s="3">
        <v>0.0</v>
      </c>
      <c r="E2283" s="3">
        <v>0.0</v>
      </c>
      <c r="F2283" s="3" t="s">
        <v>6777</v>
      </c>
      <c r="G2283" s="3">
        <v>1.0</v>
      </c>
      <c r="H2283" s="3">
        <v>0.0</v>
      </c>
      <c r="I2283" s="3" t="s">
        <v>13</v>
      </c>
      <c r="J2283" s="3" t="s">
        <v>6778</v>
      </c>
      <c r="K2283" s="3" t="s">
        <v>54</v>
      </c>
      <c r="L2283" s="3" t="str">
        <f>IFERROR(__xludf.DUMMYFUNCTION("GOOGLETRANSLATE(F2283,""id"",""en"")"),"Cape Dog See World Cup Final")</f>
        <v>Cape Dog See World Cup Final</v>
      </c>
    </row>
    <row r="2284" ht="15.75" customHeight="1">
      <c r="A2284" s="1">
        <v>2297.0</v>
      </c>
      <c r="B2284" s="3" t="s">
        <v>6779</v>
      </c>
      <c r="C2284" s="3">
        <v>0.0</v>
      </c>
      <c r="D2284" s="3">
        <v>0.0</v>
      </c>
      <c r="E2284" s="3">
        <v>2.0</v>
      </c>
      <c r="F2284" s="3" t="s">
        <v>6780</v>
      </c>
      <c r="G2284" s="3">
        <v>1.0</v>
      </c>
      <c r="H2284" s="3">
        <v>0.0</v>
      </c>
      <c r="I2284" s="3" t="s">
        <v>13</v>
      </c>
      <c r="J2284" s="3" t="s">
        <v>6781</v>
      </c>
      <c r="K2284" s="3" t="s">
        <v>82</v>
      </c>
      <c r="L2284" s="3" t="str">
        <f>IFERROR(__xludf.DUMMYFUNCTION("GOOGLETRANSLATE(F2284,""id"",""en"")"),"World Cup Final Dag Dig Dug")</f>
        <v>World Cup Final Dag Dig Dug</v>
      </c>
    </row>
    <row r="2285" ht="15.75" customHeight="1">
      <c r="A2285" s="1">
        <v>2298.0</v>
      </c>
      <c r="B2285" s="3" t="s">
        <v>6782</v>
      </c>
      <c r="C2285" s="3">
        <v>0.0</v>
      </c>
      <c r="D2285" s="3">
        <v>0.0</v>
      </c>
      <c r="E2285" s="3">
        <v>1.0</v>
      </c>
      <c r="F2285" s="3" t="s">
        <v>6783</v>
      </c>
      <c r="G2285" s="3">
        <v>1.0</v>
      </c>
      <c r="H2285" s="3">
        <v>0.0</v>
      </c>
      <c r="I2285" s="3" t="s">
        <v>13</v>
      </c>
      <c r="J2285" s="3" t="s">
        <v>6784</v>
      </c>
      <c r="K2285" s="3" t="s">
        <v>82</v>
      </c>
      <c r="L2285" s="3" t="str">
        <f>IFERROR(__xludf.DUMMYFUNCTION("GOOGLETRANSLATE(F2285,""id"",""en"")"),"bear to see the final of the Qatar Cuyy World Cup")</f>
        <v>bear to see the final of the Qatar Cuyy World Cup</v>
      </c>
    </row>
    <row r="2286" ht="15.75" customHeight="1">
      <c r="A2286" s="1">
        <v>2299.0</v>
      </c>
      <c r="B2286" s="3" t="s">
        <v>6785</v>
      </c>
      <c r="C2286" s="3">
        <v>49.0</v>
      </c>
      <c r="D2286" s="3">
        <v>335.0</v>
      </c>
      <c r="E2286" s="3">
        <v>1712.0</v>
      </c>
      <c r="F2286" s="3" t="s">
        <v>6786</v>
      </c>
      <c r="G2286" s="3">
        <v>1.0</v>
      </c>
      <c r="H2286" s="3">
        <v>0.0</v>
      </c>
      <c r="I2286" s="3" t="s">
        <v>13</v>
      </c>
      <c r="J2286" s="3" t="s">
        <v>6787</v>
      </c>
      <c r="K2286" s="3" t="s">
        <v>236</v>
      </c>
      <c r="L2286" s="3" t="str">
        <f>IFERROR(__xludf.DUMMYFUNCTION("GOOGLETRANSLATE(F2286,""id"",""en"")"),"crazy crazy crazy Final of the best world cup I've ever watched")</f>
        <v>crazy crazy crazy Final of the best world cup I've ever watched</v>
      </c>
    </row>
    <row r="2287" ht="15.75" customHeight="1">
      <c r="A2287" s="1">
        <v>2300.0</v>
      </c>
      <c r="B2287" s="3" t="s">
        <v>6788</v>
      </c>
      <c r="C2287" s="3">
        <v>1.0</v>
      </c>
      <c r="D2287" s="3">
        <v>0.0</v>
      </c>
      <c r="E2287" s="3">
        <v>0.0</v>
      </c>
      <c r="F2287" s="3" t="s">
        <v>6789</v>
      </c>
      <c r="G2287" s="3">
        <v>1.0</v>
      </c>
      <c r="H2287" s="3">
        <v>0.0</v>
      </c>
      <c r="I2287" s="3" t="s">
        <v>13</v>
      </c>
      <c r="J2287" s="3" t="s">
        <v>6790</v>
      </c>
      <c r="K2287" s="3" t="s">
        <v>82</v>
      </c>
      <c r="L2287" s="3" t="str">
        <f>IFERROR(__xludf.DUMMYFUNCTION("GOOGLETRANSLATE(F2287,""id"",""en"")"),"The most drama world cup final until the end of the champion is uncertain")</f>
        <v>The most drama world cup final until the end of the champion is uncertain</v>
      </c>
    </row>
    <row r="2288" ht="15.75" customHeight="1">
      <c r="A2288" s="1">
        <v>2301.0</v>
      </c>
      <c r="B2288" s="3" t="s">
        <v>6791</v>
      </c>
      <c r="C2288" s="3">
        <v>9.0</v>
      </c>
      <c r="D2288" s="3">
        <v>9.0</v>
      </c>
      <c r="E2288" s="3">
        <v>45.0</v>
      </c>
      <c r="F2288" s="3" t="s">
        <v>6792</v>
      </c>
      <c r="G2288" s="3">
        <v>1.0</v>
      </c>
      <c r="H2288" s="3">
        <v>0.0</v>
      </c>
      <c r="I2288" s="3" t="s">
        <v>13</v>
      </c>
      <c r="J2288" s="3" t="s">
        <v>6793</v>
      </c>
      <c r="K2288" s="3" t="s">
        <v>15</v>
      </c>
      <c r="L2288" s="3" t="str">
        <f>IFERROR(__xludf.DUMMYFUNCTION("GOOGLETRANSLATE(F2288,""id"",""en"")"),"The World Cup Final has been set up by the Esgrem Rek brand")</f>
        <v>The World Cup Final has been set up by the Esgrem Rek brand</v>
      </c>
    </row>
    <row r="2289" ht="15.75" customHeight="1">
      <c r="A2289" s="1">
        <v>2302.0</v>
      </c>
      <c r="B2289" s="3" t="s">
        <v>6794</v>
      </c>
      <c r="C2289" s="3">
        <v>0.0</v>
      </c>
      <c r="D2289" s="3">
        <v>0.0</v>
      </c>
      <c r="E2289" s="3">
        <v>0.0</v>
      </c>
      <c r="F2289" s="3" t="s">
        <v>6795</v>
      </c>
      <c r="G2289" s="3">
        <v>1.0</v>
      </c>
      <c r="H2289" s="3">
        <v>0.0</v>
      </c>
      <c r="I2289" s="3" t="s">
        <v>13</v>
      </c>
      <c r="J2289" s="3" t="s">
        <v>6796</v>
      </c>
      <c r="K2289" s="3" t="s">
        <v>31</v>
      </c>
      <c r="L2289" s="3" t="str">
        <f>IFERROR(__xludf.DUMMYFUNCTION("GOOGLETRANSLATE(F2289,""id"",""en"")"),"World Cup Final Most Gayeng")</f>
        <v>World Cup Final Most Gayeng</v>
      </c>
    </row>
    <row r="2290" ht="15.75" customHeight="1">
      <c r="A2290" s="1">
        <v>2303.0</v>
      </c>
      <c r="B2290" s="3" t="s">
        <v>6797</v>
      </c>
      <c r="C2290" s="3">
        <v>0.0</v>
      </c>
      <c r="D2290" s="3">
        <v>9.0</v>
      </c>
      <c r="E2290" s="3">
        <v>25.0</v>
      </c>
      <c r="F2290" s="3" t="s">
        <v>6798</v>
      </c>
      <c r="G2290" s="3">
        <v>1.0</v>
      </c>
      <c r="H2290" s="3">
        <v>0.0</v>
      </c>
      <c r="I2290" s="3" t="s">
        <v>13</v>
      </c>
      <c r="J2290" s="3" t="s">
        <v>6799</v>
      </c>
      <c r="K2290" s="3" t="s">
        <v>433</v>
      </c>
      <c r="L2290" s="3" t="str">
        <f>IFERROR(__xludf.DUMMYFUNCTION("GOOGLETRANSLATE(F2290,""id"",""en"")"),"The last Hattrick of the World Cup Final was printed by English player Geoff Hurst, West Germany")</f>
        <v>The last Hattrick of the World Cup Final was printed by English player Geoff Hurst, West Germany</v>
      </c>
    </row>
    <row r="2291" ht="15.75" customHeight="1">
      <c r="A2291" s="1">
        <v>2304.0</v>
      </c>
      <c r="B2291" s="3" t="s">
        <v>6800</v>
      </c>
      <c r="C2291" s="3">
        <v>0.0</v>
      </c>
      <c r="D2291" s="3">
        <v>0.0</v>
      </c>
      <c r="E2291" s="3">
        <v>0.0</v>
      </c>
      <c r="F2291" s="3" t="s">
        <v>6801</v>
      </c>
      <c r="G2291" s="3">
        <v>1.0</v>
      </c>
      <c r="H2291" s="3">
        <v>0.0</v>
      </c>
      <c r="I2291" s="3" t="s">
        <v>13</v>
      </c>
      <c r="J2291" s="3" t="s">
        <v>6802</v>
      </c>
      <c r="K2291" s="3" t="s">
        <v>54</v>
      </c>
      <c r="L2291" s="3" t="str">
        <f>IFERROR(__xludf.DUMMYFUNCTION("GOOGLETRANSLATE(F2291,""id"",""en"")"),"he cried already the world cup final")</f>
        <v>he cried already the world cup final</v>
      </c>
    </row>
    <row r="2292" ht="15.75" customHeight="1">
      <c r="A2292" s="1">
        <v>2305.0</v>
      </c>
      <c r="B2292" s="3" t="s">
        <v>6803</v>
      </c>
      <c r="C2292" s="3">
        <v>0.0</v>
      </c>
      <c r="D2292" s="3">
        <v>0.0</v>
      </c>
      <c r="E2292" s="3">
        <v>0.0</v>
      </c>
      <c r="F2292" s="3" t="s">
        <v>6804</v>
      </c>
      <c r="G2292" s="3">
        <v>1.0</v>
      </c>
      <c r="H2292" s="3">
        <v>0.0</v>
      </c>
      <c r="I2292" s="3" t="s">
        <v>13</v>
      </c>
      <c r="J2292" s="3" t="s">
        <v>6805</v>
      </c>
      <c r="K2292" s="3" t="s">
        <v>54</v>
      </c>
      <c r="L2292" s="3" t="str">
        <f>IFERROR(__xludf.DUMMYFUNCTION("GOOGLETRANSLATE(F2292,""id"",""en"")"),"The most exciting world cup final mah")</f>
        <v>The most exciting world cup final mah</v>
      </c>
    </row>
    <row r="2293" ht="15.75" customHeight="1">
      <c r="A2293" s="1">
        <v>2306.0</v>
      </c>
      <c r="B2293" s="3" t="s">
        <v>6806</v>
      </c>
      <c r="C2293" s="3">
        <v>0.0</v>
      </c>
      <c r="D2293" s="3">
        <v>0.0</v>
      </c>
      <c r="E2293" s="3">
        <v>0.0</v>
      </c>
      <c r="F2293" s="3" t="s">
        <v>6807</v>
      </c>
      <c r="G2293" s="3">
        <v>1.0</v>
      </c>
      <c r="H2293" s="3">
        <v>0.0</v>
      </c>
      <c r="I2293" s="3" t="s">
        <v>13</v>
      </c>
      <c r="J2293" s="3" t="s">
        <v>6808</v>
      </c>
      <c r="K2293" s="3" t="s">
        <v>15</v>
      </c>
      <c r="L2293" s="3" t="str">
        <f>IFERROR(__xludf.DUMMYFUNCTION("GOOGLETRANSLATE(F2293,""id"",""en"")"),"What Matchhhhh World Cup Final The Most Exciting Anjinkkkk")</f>
        <v>What Matchhhhh World Cup Final The Most Exciting Anjinkkkk</v>
      </c>
    </row>
    <row r="2294" ht="15.75" customHeight="1">
      <c r="A2294" s="1">
        <v>2307.0</v>
      </c>
      <c r="B2294" s="3" t="s">
        <v>6809</v>
      </c>
      <c r="C2294" s="3">
        <v>0.0</v>
      </c>
      <c r="D2294" s="3">
        <v>0.0</v>
      </c>
      <c r="E2294" s="3">
        <v>0.0</v>
      </c>
      <c r="F2294" s="3" t="s">
        <v>6810</v>
      </c>
      <c r="G2294" s="3">
        <v>1.0</v>
      </c>
      <c r="H2294" s="3">
        <v>0.0</v>
      </c>
      <c r="I2294" s="3" t="s">
        <v>13</v>
      </c>
      <c r="J2294" s="3" t="s">
        <v>6811</v>
      </c>
      <c r="K2294" s="3" t="s">
        <v>15</v>
      </c>
      <c r="L2294" s="3" t="str">
        <f>IFERROR(__xludf.DUMMYFUNCTION("GOOGLETRANSLATE(F2294,""id"",""en"")"),"This dog is the exciting Paleng World Cup final that watched until now")</f>
        <v>This dog is the exciting Paleng World Cup final that watched until now</v>
      </c>
    </row>
    <row r="2295" ht="15.75" customHeight="1">
      <c r="A2295" s="1">
        <v>2308.0</v>
      </c>
      <c r="B2295" s="3" t="s">
        <v>6812</v>
      </c>
      <c r="C2295" s="3">
        <v>0.0</v>
      </c>
      <c r="D2295" s="3">
        <v>0.0</v>
      </c>
      <c r="E2295" s="3">
        <v>0.0</v>
      </c>
      <c r="F2295" s="3" t="s">
        <v>6813</v>
      </c>
      <c r="G2295" s="3">
        <v>0.7</v>
      </c>
      <c r="H2295" s="3">
        <v>0.05</v>
      </c>
      <c r="I2295" s="3" t="s">
        <v>48</v>
      </c>
      <c r="J2295" s="3" t="s">
        <v>6814</v>
      </c>
      <c r="K2295" s="3" t="s">
        <v>82</v>
      </c>
      <c r="L2295" s="3" t="str">
        <f>IFERROR(__xludf.DUMMYFUNCTION("GOOGLETRANSLATE(F2295,""id"",""en"")"),"Epic World Cup Final Final Final")</f>
        <v>Epic World Cup Final Final Final</v>
      </c>
    </row>
    <row r="2296" ht="15.75" customHeight="1">
      <c r="A2296" s="1">
        <v>2309.0</v>
      </c>
      <c r="B2296" s="3" t="s">
        <v>6815</v>
      </c>
      <c r="C2296" s="3">
        <v>0.0</v>
      </c>
      <c r="D2296" s="3">
        <v>5.0</v>
      </c>
      <c r="E2296" s="3">
        <v>46.0</v>
      </c>
      <c r="F2296" s="3" t="s">
        <v>6816</v>
      </c>
      <c r="G2296" s="3">
        <v>1.0</v>
      </c>
      <c r="H2296" s="3">
        <v>0.0</v>
      </c>
      <c r="I2296" s="3" t="s">
        <v>13</v>
      </c>
      <c r="J2296" s="3" t="s">
        <v>6817</v>
      </c>
      <c r="K2296" s="3" t="s">
        <v>50</v>
      </c>
      <c r="L2296" s="3" t="str">
        <f>IFERROR(__xludf.DUMMYFUNCTION("GOOGLETRANSLATE(F2296,""id"",""en"")"),"whatever the outcome according to this is one of the best world cup final matches of all time")</f>
        <v>whatever the outcome according to this is one of the best world cup final matches of all time</v>
      </c>
    </row>
    <row r="2297" ht="15.75" customHeight="1">
      <c r="A2297" s="1">
        <v>2310.0</v>
      </c>
      <c r="B2297" s="3" t="s">
        <v>6818</v>
      </c>
      <c r="C2297" s="3">
        <v>0.0</v>
      </c>
      <c r="D2297" s="3">
        <v>0.0</v>
      </c>
      <c r="E2297" s="3">
        <v>0.0</v>
      </c>
      <c r="F2297" s="3" t="s">
        <v>6819</v>
      </c>
      <c r="G2297" s="3">
        <v>0.75</v>
      </c>
      <c r="H2297" s="3">
        <v>0.06818181818181818</v>
      </c>
      <c r="I2297" s="3" t="s">
        <v>48</v>
      </c>
      <c r="J2297" s="3" t="s">
        <v>6820</v>
      </c>
      <c r="K2297" s="3" t="s">
        <v>2215</v>
      </c>
      <c r="L2297" s="3" t="str">
        <f>IFERROR(__xludf.DUMMYFUNCTION("GOOGLETRANSLATE(F2297,""id"",""en"")"),"Argentine Penalty French Link Link Live Streaming Argentina France tonight WIB World Cup Final")</f>
        <v>Argentine Penalty French Link Link Live Streaming Argentina France tonight WIB World Cup Final</v>
      </c>
    </row>
    <row r="2298" ht="15.75" customHeight="1">
      <c r="A2298" s="1">
        <v>2311.0</v>
      </c>
      <c r="B2298" s="3" t="s">
        <v>6821</v>
      </c>
      <c r="C2298" s="3">
        <v>1.0</v>
      </c>
      <c r="D2298" s="3">
        <v>0.0</v>
      </c>
      <c r="E2298" s="3">
        <v>5.0</v>
      </c>
      <c r="F2298" s="3" t="s">
        <v>915</v>
      </c>
      <c r="G2298" s="3">
        <v>1.0</v>
      </c>
      <c r="H2298" s="3">
        <v>0.0</v>
      </c>
      <c r="I2298" s="3" t="s">
        <v>13</v>
      </c>
      <c r="J2298" s="3" t="s">
        <v>916</v>
      </c>
      <c r="K2298" s="3" t="s">
        <v>54</v>
      </c>
      <c r="L2298" s="3" t="str">
        <f>IFERROR(__xludf.DUMMYFUNCTION("GOOGLETRANSLATE(F2298,""id"",""en"")"),"The Best World Cup Final I've ever watched")</f>
        <v>The Best World Cup Final I've ever watched</v>
      </c>
    </row>
    <row r="2299" ht="15.75" customHeight="1">
      <c r="A2299" s="1">
        <v>2312.0</v>
      </c>
      <c r="B2299" s="3" t="s">
        <v>6822</v>
      </c>
      <c r="C2299" s="3">
        <v>0.0</v>
      </c>
      <c r="D2299" s="3">
        <v>0.0</v>
      </c>
      <c r="E2299" s="3">
        <v>2.0</v>
      </c>
      <c r="F2299" s="3" t="s">
        <v>6823</v>
      </c>
      <c r="G2299" s="3">
        <v>1.0</v>
      </c>
      <c r="H2299" s="3">
        <v>0.0</v>
      </c>
      <c r="I2299" s="3" t="s">
        <v>13</v>
      </c>
      <c r="J2299" s="3" t="s">
        <v>6824</v>
      </c>
      <c r="K2299" s="3" t="s">
        <v>50</v>
      </c>
      <c r="L2299" s="3" t="str">
        <f>IFERROR(__xludf.DUMMYFUNCTION("GOOGLETRANSLATE(F2299,""id"",""en"")"),"the weak heart or asks to asthma, don't have to watch the World Cup final")</f>
        <v>the weak heart or asks to asthma, don't have to watch the World Cup final</v>
      </c>
    </row>
    <row r="2300" ht="15.75" customHeight="1">
      <c r="A2300" s="1">
        <v>2313.0</v>
      </c>
      <c r="B2300" s="3" t="s">
        <v>6825</v>
      </c>
      <c r="C2300" s="3">
        <v>0.0</v>
      </c>
      <c r="D2300" s="3">
        <v>0.0</v>
      </c>
      <c r="E2300" s="3">
        <v>0.0</v>
      </c>
      <c r="F2300" s="3" t="s">
        <v>6826</v>
      </c>
      <c r="G2300" s="3">
        <v>1.0</v>
      </c>
      <c r="H2300" s="3">
        <v>0.0</v>
      </c>
      <c r="I2300" s="3" t="s">
        <v>13</v>
      </c>
      <c r="J2300" s="3" t="s">
        <v>6827</v>
      </c>
      <c r="K2300" s="3" t="s">
        <v>15</v>
      </c>
      <c r="L2300" s="3" t="str">
        <f>IFERROR(__xludf.DUMMYFUNCTION("GOOGLETRANSLATE(F2300,""id"",""en"")"),"Final World Cup Both Team Anjirlha Argentina France")</f>
        <v>Final World Cup Both Team Anjirlha Argentina France</v>
      </c>
    </row>
    <row r="2301" ht="15.75" customHeight="1">
      <c r="A2301" s="1">
        <v>2314.0</v>
      </c>
      <c r="B2301" s="3" t="s">
        <v>6828</v>
      </c>
      <c r="C2301" s="3">
        <v>0.0</v>
      </c>
      <c r="D2301" s="3">
        <v>0.0</v>
      </c>
      <c r="E2301" s="3">
        <v>0.0</v>
      </c>
      <c r="F2301" s="3" t="s">
        <v>6829</v>
      </c>
      <c r="G2301" s="3">
        <v>0.6333333333333334</v>
      </c>
      <c r="H2301" s="3">
        <v>0.03333333333333333</v>
      </c>
      <c r="I2301" s="3" t="s">
        <v>48</v>
      </c>
      <c r="J2301" s="3" t="s">
        <v>6830</v>
      </c>
      <c r="K2301" s="3" t="s">
        <v>19</v>
      </c>
      <c r="L2301" s="3" t="str">
        <f>IFERROR(__xludf.DUMMYFUNCTION("GOOGLETRANSLATE(F2301,""id"",""en"")"),"I will regret if I don't watch this World Cup final, worth watch, fortunately, wis back shit")</f>
        <v>I will regret if I don't watch this World Cup final, worth watch, fortunately, wis back shit</v>
      </c>
    </row>
    <row r="2302" ht="15.75" customHeight="1">
      <c r="A2302" s="1">
        <v>2315.0</v>
      </c>
      <c r="B2302" s="3" t="s">
        <v>6831</v>
      </c>
      <c r="C2302" s="3">
        <v>0.0</v>
      </c>
      <c r="D2302" s="3">
        <v>0.0</v>
      </c>
      <c r="E2302" s="3">
        <v>0.0</v>
      </c>
      <c r="F2302" s="3" t="s">
        <v>6832</v>
      </c>
      <c r="G2302" s="3">
        <v>1.0</v>
      </c>
      <c r="H2302" s="3">
        <v>0.0</v>
      </c>
      <c r="I2302" s="3" t="s">
        <v>13</v>
      </c>
      <c r="J2302" s="3" t="s">
        <v>6833</v>
      </c>
      <c r="K2302" s="3" t="s">
        <v>54</v>
      </c>
      <c r="L2302" s="3" t="str">
        <f>IFERROR(__xludf.DUMMYFUNCTION("GOOGLETRANSLATE(F2302,""id"",""en"")"),"This salting is really watching the World Cup final")</f>
        <v>This salting is really watching the World Cup final</v>
      </c>
    </row>
    <row r="2303" ht="15.75" customHeight="1">
      <c r="A2303" s="1">
        <v>2316.0</v>
      </c>
      <c r="B2303" s="3" t="s">
        <v>6834</v>
      </c>
      <c r="C2303" s="3">
        <v>0.0</v>
      </c>
      <c r="D2303" s="3">
        <v>1.0</v>
      </c>
      <c r="E2303" s="3">
        <v>0.0</v>
      </c>
      <c r="F2303" s="3" t="s">
        <v>6835</v>
      </c>
      <c r="G2303" s="3">
        <v>0.6666666666666666</v>
      </c>
      <c r="H2303" s="3">
        <v>0.08333333333333333</v>
      </c>
      <c r="I2303" s="3" t="s">
        <v>48</v>
      </c>
      <c r="J2303" s="3" t="s">
        <v>6836</v>
      </c>
      <c r="K2303" s="3" t="s">
        <v>15</v>
      </c>
      <c r="L2303" s="3" t="str">
        <f>IFERROR(__xludf.DUMMYFUNCTION("GOOGLETRANSLATE(F2303,""id"",""en"")"),"who just watch really tired especially those who play this best world cup final")</f>
        <v>who just watch really tired especially those who play this best world cup final</v>
      </c>
    </row>
    <row r="2304" ht="15.75" customHeight="1">
      <c r="A2304" s="1">
        <v>2317.0</v>
      </c>
      <c r="B2304" s="3" t="s">
        <v>6837</v>
      </c>
      <c r="C2304" s="3">
        <v>0.0</v>
      </c>
      <c r="D2304" s="3">
        <v>0.0</v>
      </c>
      <c r="E2304" s="3">
        <v>0.0</v>
      </c>
      <c r="F2304" s="3" t="s">
        <v>6838</v>
      </c>
      <c r="G2304" s="3">
        <v>1.0</v>
      </c>
      <c r="H2304" s="3">
        <v>0.0</v>
      </c>
      <c r="I2304" s="3" t="s">
        <v>13</v>
      </c>
      <c r="J2304" s="3" t="s">
        <v>6839</v>
      </c>
      <c r="K2304" s="3" t="s">
        <v>6592</v>
      </c>
      <c r="L2304" s="3" t="str">
        <f>IFERROR(__xludf.DUMMYFUNCTION("GOOGLETRANSLATE(F2304,""id"",""en"")"),"The World Cup World Cup World Cup is the most crowded")</f>
        <v>The World Cup World Cup World Cup is the most crowded</v>
      </c>
    </row>
    <row r="2305" ht="15.75" customHeight="1">
      <c r="A2305" s="1">
        <v>2318.0</v>
      </c>
      <c r="B2305" s="3" t="s">
        <v>6840</v>
      </c>
      <c r="C2305" s="3">
        <v>0.0</v>
      </c>
      <c r="D2305" s="3">
        <v>0.0</v>
      </c>
      <c r="E2305" s="3">
        <v>0.0</v>
      </c>
      <c r="F2305" s="3" t="s">
        <v>6841</v>
      </c>
      <c r="G2305" s="3">
        <v>0.55</v>
      </c>
      <c r="H2305" s="3">
        <v>0.15</v>
      </c>
      <c r="I2305" s="3" t="s">
        <v>48</v>
      </c>
      <c r="J2305" s="3" t="s">
        <v>6842</v>
      </c>
      <c r="K2305" s="3" t="s">
        <v>1335</v>
      </c>
      <c r="L2305" s="3" t="str">
        <f>IFERROR(__xludf.DUMMYFUNCTION("GOOGLETRANSLATE(F2305,""id"",""en"")"),"Worth World Cup Final for One World")</f>
        <v>Worth World Cup Final for One World</v>
      </c>
    </row>
    <row r="2306" ht="15.75" customHeight="1">
      <c r="A2306" s="1">
        <v>2319.0</v>
      </c>
      <c r="B2306" s="3" t="s">
        <v>6843</v>
      </c>
      <c r="C2306" s="3">
        <v>0.0</v>
      </c>
      <c r="D2306" s="3">
        <v>0.0</v>
      </c>
      <c r="E2306" s="3">
        <v>0.0</v>
      </c>
      <c r="F2306" s="3" t="s">
        <v>6844</v>
      </c>
      <c r="G2306" s="3">
        <v>1.0</v>
      </c>
      <c r="H2306" s="3">
        <v>0.0</v>
      </c>
      <c r="I2306" s="3" t="s">
        <v>13</v>
      </c>
      <c r="J2306" s="3" t="s">
        <v>6845</v>
      </c>
      <c r="K2306" s="3" t="s">
        <v>15</v>
      </c>
      <c r="L2306" s="3" t="str">
        <f>IFERROR(__xludf.DUMMYFUNCTION("GOOGLETRANSLATE(F2306,""id"",""en"")"),"Crazy Anjir Final of the Best World Cup of All Time")</f>
        <v>Crazy Anjir Final of the Best World Cup of All Time</v>
      </c>
    </row>
    <row r="2307" ht="15.75" customHeight="1">
      <c r="A2307" s="1">
        <v>2320.0</v>
      </c>
      <c r="B2307" s="3" t="s">
        <v>6846</v>
      </c>
      <c r="C2307" s="3">
        <v>0.0</v>
      </c>
      <c r="D2307" s="3">
        <v>0.0</v>
      </c>
      <c r="E2307" s="3">
        <v>0.0</v>
      </c>
      <c r="F2307" s="3" t="s">
        <v>6847</v>
      </c>
      <c r="G2307" s="3">
        <v>1.0</v>
      </c>
      <c r="H2307" s="3">
        <v>0.0</v>
      </c>
      <c r="I2307" s="3" t="s">
        <v>13</v>
      </c>
      <c r="J2307" s="3" t="s">
        <v>6848</v>
      </c>
      <c r="K2307" s="3" t="s">
        <v>31</v>
      </c>
      <c r="L2307" s="3" t="str">
        <f>IFERROR(__xludf.DUMMYFUNCTION("GOOGLETRANSLATE(F2307,""id"",""en"")"),"World Cup Final Most Gokss")</f>
        <v>World Cup Final Most Gokss</v>
      </c>
    </row>
    <row r="2308" ht="15.75" customHeight="1">
      <c r="A2308" s="1">
        <v>2321.0</v>
      </c>
      <c r="B2308" s="3" t="s">
        <v>6849</v>
      </c>
      <c r="C2308" s="3">
        <v>0.0</v>
      </c>
      <c r="D2308" s="3">
        <v>0.0</v>
      </c>
      <c r="E2308" s="3">
        <v>0.0</v>
      </c>
      <c r="F2308" s="3" t="s">
        <v>6850</v>
      </c>
      <c r="G2308" s="3">
        <v>1.0</v>
      </c>
      <c r="H2308" s="3">
        <v>0.0</v>
      </c>
      <c r="I2308" s="3" t="s">
        <v>13</v>
      </c>
      <c r="J2308" s="3" t="s">
        <v>6851</v>
      </c>
      <c r="K2308" s="3" t="s">
        <v>75</v>
      </c>
      <c r="L2308" s="3" t="str">
        <f>IFERROR(__xludf.DUMMYFUNCTION("GOOGLETRANSLATE(F2308,""id"",""en"")"),"Youth Perindo Holds the World Cup Final Nobar Participant in a crowded exciting")</f>
        <v>Youth Perindo Holds the World Cup Final Nobar Participant in a crowded exciting</v>
      </c>
    </row>
    <row r="2309" ht="15.75" customHeight="1">
      <c r="A2309" s="1">
        <v>2322.0</v>
      </c>
      <c r="B2309" s="3" t="s">
        <v>6852</v>
      </c>
      <c r="C2309" s="3">
        <v>0.0</v>
      </c>
      <c r="D2309" s="3">
        <v>0.0</v>
      </c>
      <c r="E2309" s="3">
        <v>0.0</v>
      </c>
      <c r="F2309" s="3" t="s">
        <v>6853</v>
      </c>
      <c r="G2309" s="3">
        <v>1.0</v>
      </c>
      <c r="H2309" s="3">
        <v>0.0</v>
      </c>
      <c r="I2309" s="3" t="s">
        <v>13</v>
      </c>
      <c r="J2309" s="3" t="s">
        <v>6854</v>
      </c>
      <c r="K2309" s="3" t="s">
        <v>322</v>
      </c>
      <c r="L2309" s="3" t="str">
        <f>IFERROR(__xludf.DUMMYFUNCTION("GOOGLETRANSLATE(F2309,""id"",""en"")"),"Really World Cup Final Match")</f>
        <v>Really World Cup Final Match</v>
      </c>
    </row>
    <row r="2310" ht="15.75" customHeight="1">
      <c r="A2310" s="1">
        <v>2323.0</v>
      </c>
      <c r="B2310" s="3" t="s">
        <v>6855</v>
      </c>
      <c r="C2310" s="3">
        <v>1.0</v>
      </c>
      <c r="D2310" s="3">
        <v>6.0</v>
      </c>
      <c r="E2310" s="3">
        <v>32.0</v>
      </c>
      <c r="F2310" s="3" t="s">
        <v>6856</v>
      </c>
      <c r="G2310" s="3">
        <v>0.65</v>
      </c>
      <c r="H2310" s="3">
        <v>0.5</v>
      </c>
      <c r="I2310" s="3" t="s">
        <v>48</v>
      </c>
      <c r="J2310" s="3" t="s">
        <v>6857</v>
      </c>
      <c r="K2310" s="3" t="s">
        <v>15</v>
      </c>
      <c r="L2310" s="3" t="str">
        <f>IFERROR(__xludf.DUMMYFUNCTION("GOOGLETRANSLATE(F2310,""id"",""en"")"),"The most best final in the history of the World Cup who agrees")</f>
        <v>The most best final in the history of the World Cup who agrees</v>
      </c>
    </row>
    <row r="2311" ht="15.75" customHeight="1">
      <c r="A2311" s="1">
        <v>2324.0</v>
      </c>
      <c r="B2311" s="3" t="s">
        <v>6858</v>
      </c>
      <c r="C2311" s="3">
        <v>0.0</v>
      </c>
      <c r="D2311" s="3">
        <v>0.0</v>
      </c>
      <c r="E2311" s="3">
        <v>0.0</v>
      </c>
      <c r="F2311" s="3" t="s">
        <v>6859</v>
      </c>
      <c r="G2311" s="3">
        <v>1.0</v>
      </c>
      <c r="H2311" s="3">
        <v>0.0</v>
      </c>
      <c r="I2311" s="3" t="s">
        <v>13</v>
      </c>
      <c r="J2311" s="3" t="s">
        <v>6860</v>
      </c>
      <c r="K2311" s="3" t="s">
        <v>82</v>
      </c>
      <c r="L2311" s="3" t="str">
        <f>IFERROR(__xludf.DUMMYFUNCTION("GOOGLETRANSLATE(F2311,""id"",""en"")"),"This is very tinny, this is the most exciting world cup final")</f>
        <v>This is very tinny, this is the most exciting world cup final</v>
      </c>
    </row>
    <row r="2312" ht="15.75" customHeight="1">
      <c r="A2312" s="1">
        <v>2325.0</v>
      </c>
      <c r="B2312" s="3" t="s">
        <v>6861</v>
      </c>
      <c r="C2312" s="3">
        <v>0.0</v>
      </c>
      <c r="D2312" s="3">
        <v>0.0</v>
      </c>
      <c r="E2312" s="3">
        <v>0.0</v>
      </c>
      <c r="F2312" s="3" t="s">
        <v>6862</v>
      </c>
      <c r="G2312" s="3">
        <v>0.7000000000000001</v>
      </c>
      <c r="H2312" s="3">
        <v>0.0</v>
      </c>
      <c r="I2312" s="3" t="s">
        <v>13</v>
      </c>
      <c r="J2312" s="3" t="s">
        <v>6863</v>
      </c>
      <c r="K2312" s="3" t="s">
        <v>603</v>
      </c>
      <c r="L2312" s="3" t="str">
        <f>IFERROR(__xludf.DUMMYFUNCTION("GOOGLETRANSLATE(F2312,""id"",""en"")"),"Since the World Cup final all matches have always entered the extra time round two of them ended through a penal shootout including the World Cup final")</f>
        <v>Since the World Cup final all matches have always entered the extra time round two of them ended through a penal shootout including the World Cup final</v>
      </c>
    </row>
    <row r="2313" ht="15.75" customHeight="1">
      <c r="A2313" s="1">
        <v>2326.0</v>
      </c>
      <c r="B2313" s="3" t="s">
        <v>6864</v>
      </c>
      <c r="C2313" s="3">
        <v>1.0</v>
      </c>
      <c r="D2313" s="3">
        <v>0.0</v>
      </c>
      <c r="E2313" s="3">
        <v>0.0</v>
      </c>
      <c r="F2313" s="3" t="s">
        <v>6865</v>
      </c>
      <c r="G2313" s="3">
        <v>1.0</v>
      </c>
      <c r="H2313" s="3">
        <v>0.0</v>
      </c>
      <c r="I2313" s="3" t="s">
        <v>13</v>
      </c>
      <c r="J2313" s="3" t="s">
        <v>6866</v>
      </c>
      <c r="K2313" s="3" t="s">
        <v>82</v>
      </c>
      <c r="L2313" s="3" t="str">
        <f>IFERROR(__xludf.DUMMYFUNCTION("GOOGLETRANSLATE(F2313,""id"",""en"")"),"HAT Trick Final World Cup Gendeng")</f>
        <v>HAT Trick Final World Cup Gendeng</v>
      </c>
    </row>
    <row r="2314" ht="15.75" customHeight="1">
      <c r="A2314" s="1">
        <v>2327.0</v>
      </c>
      <c r="B2314" s="3" t="s">
        <v>6867</v>
      </c>
      <c r="C2314" s="3">
        <v>0.0</v>
      </c>
      <c r="D2314" s="3">
        <v>0.0</v>
      </c>
      <c r="E2314" s="3">
        <v>0.0</v>
      </c>
      <c r="F2314" s="3" t="s">
        <v>2246</v>
      </c>
      <c r="G2314" s="3">
        <v>1.0</v>
      </c>
      <c r="H2314" s="3">
        <v>0.0</v>
      </c>
      <c r="I2314" s="3" t="s">
        <v>13</v>
      </c>
      <c r="J2314" s="3" t="s">
        <v>2247</v>
      </c>
      <c r="K2314" s="3" t="s">
        <v>31</v>
      </c>
      <c r="L2314" s="3" t="str">
        <f>IFERROR(__xludf.DUMMYFUNCTION("GOOGLETRANSLATE(F2314,""id"",""en"")"),"World Cup Final Most Exciting")</f>
        <v>World Cup Final Most Exciting</v>
      </c>
    </row>
    <row r="2315" ht="15.75" customHeight="1">
      <c r="A2315" s="1">
        <v>2328.0</v>
      </c>
      <c r="B2315" s="3" t="s">
        <v>6868</v>
      </c>
      <c r="C2315" s="3">
        <v>0.0</v>
      </c>
      <c r="D2315" s="3">
        <v>0.0</v>
      </c>
      <c r="E2315" s="3">
        <v>0.0</v>
      </c>
      <c r="F2315" s="3" t="s">
        <v>6869</v>
      </c>
      <c r="G2315" s="3">
        <v>1.0</v>
      </c>
      <c r="H2315" s="3">
        <v>0.0</v>
      </c>
      <c r="I2315" s="3" t="s">
        <v>13</v>
      </c>
      <c r="J2315" s="3" t="s">
        <v>6870</v>
      </c>
      <c r="K2315" s="3" t="s">
        <v>75</v>
      </c>
      <c r="L2315" s="3" t="str">
        <f>IFERROR(__xludf.DUMMYFUNCTION("GOOGLETRANSLATE(F2315,""id"",""en"")"),"The best World Cup final with the worst broadcasting rights holders of all time")</f>
        <v>The best World Cup final with the worst broadcasting rights holders of all time</v>
      </c>
    </row>
    <row r="2316" ht="15.75" customHeight="1">
      <c r="A2316" s="1">
        <v>2329.0</v>
      </c>
      <c r="B2316" s="3" t="s">
        <v>6871</v>
      </c>
      <c r="C2316" s="3">
        <v>0.0</v>
      </c>
      <c r="D2316" s="3">
        <v>0.0</v>
      </c>
      <c r="E2316" s="3">
        <v>4.0</v>
      </c>
      <c r="F2316" s="3" t="s">
        <v>6872</v>
      </c>
      <c r="G2316" s="3">
        <v>1.0</v>
      </c>
      <c r="H2316" s="3">
        <v>0.0</v>
      </c>
      <c r="I2316" s="3" t="s">
        <v>13</v>
      </c>
      <c r="J2316" s="3" t="s">
        <v>6873</v>
      </c>
      <c r="K2316" s="3" t="s">
        <v>50</v>
      </c>
      <c r="L2316" s="3" t="str">
        <f>IFERROR(__xludf.DUMMYFUNCTION("GOOGLETRANSLATE(F2316,""id"",""en"")"),"Those of you who watch the World Cup Final Party are the lucky people like if it's one of you")</f>
        <v>Those of you who watch the World Cup Final Party are the lucky people like if it's one of you</v>
      </c>
    </row>
    <row r="2317" ht="15.75" customHeight="1">
      <c r="A2317" s="1">
        <v>2330.0</v>
      </c>
      <c r="B2317" s="3" t="s">
        <v>6874</v>
      </c>
      <c r="C2317" s="3">
        <v>0.0</v>
      </c>
      <c r="D2317" s="3">
        <v>0.0</v>
      </c>
      <c r="E2317" s="3">
        <v>0.0</v>
      </c>
      <c r="F2317" s="3" t="s">
        <v>6875</v>
      </c>
      <c r="G2317" s="3">
        <v>1.0</v>
      </c>
      <c r="H2317" s="3">
        <v>0.0</v>
      </c>
      <c r="I2317" s="3" t="s">
        <v>13</v>
      </c>
      <c r="J2317" s="3" t="s">
        <v>6876</v>
      </c>
      <c r="K2317" s="3" t="s">
        <v>31</v>
      </c>
      <c r="L2317" s="3" t="str">
        <f>IFERROR(__xludf.DUMMYFUNCTION("GOOGLETRANSLATE(F2317,""id"",""en"")"),"Throughout watching the World Cup final")</f>
        <v>Throughout watching the World Cup final</v>
      </c>
    </row>
    <row r="2318" ht="15.75" customHeight="1">
      <c r="A2318" s="1">
        <v>2331.0</v>
      </c>
      <c r="B2318" s="3" t="s">
        <v>6877</v>
      </c>
      <c r="C2318" s="3">
        <v>0.0</v>
      </c>
      <c r="D2318" s="3">
        <v>0.0</v>
      </c>
      <c r="E2318" s="3">
        <v>1.0</v>
      </c>
      <c r="F2318" s="3" t="s">
        <v>6877</v>
      </c>
      <c r="G2318" s="3">
        <v>1.0</v>
      </c>
      <c r="H2318" s="3">
        <v>0.0</v>
      </c>
      <c r="I2318" s="3" t="s">
        <v>13</v>
      </c>
      <c r="J2318" s="3" t="s">
        <v>6878</v>
      </c>
      <c r="K2318" s="3" t="s">
        <v>31</v>
      </c>
      <c r="L2318" s="3" t="str">
        <f>IFERROR(__xludf.DUMMYFUNCTION("GOOGLETRANSLATE(F2318,""id"",""en"")"),"The final was excited during the World Cup")</f>
        <v>The final was excited during the World Cup</v>
      </c>
    </row>
    <row r="2319" ht="15.75" customHeight="1">
      <c r="A2319" s="1">
        <v>2332.0</v>
      </c>
      <c r="B2319" s="3" t="s">
        <v>6879</v>
      </c>
      <c r="C2319" s="3">
        <v>0.0</v>
      </c>
      <c r="D2319" s="3">
        <v>0.0</v>
      </c>
      <c r="E2319" s="3">
        <v>0.0</v>
      </c>
      <c r="F2319" s="3" t="s">
        <v>6880</v>
      </c>
      <c r="G2319" s="3">
        <v>1.0</v>
      </c>
      <c r="H2319" s="3">
        <v>0.0</v>
      </c>
      <c r="I2319" s="3" t="s">
        <v>13</v>
      </c>
      <c r="J2319" s="3" t="s">
        <v>6881</v>
      </c>
      <c r="K2319" s="3" t="s">
        <v>31</v>
      </c>
      <c r="L2319" s="3" t="str">
        <f>IFERROR(__xludf.DUMMYFUNCTION("GOOGLETRANSLATE(F2319,""id"",""en"")"),"Final World Cup Teruuu")</f>
        <v>Final World Cup Teruuu</v>
      </c>
    </row>
    <row r="2320" ht="15.75" customHeight="1">
      <c r="A2320" s="1">
        <v>2333.0</v>
      </c>
      <c r="B2320" s="3" t="s">
        <v>6882</v>
      </c>
      <c r="C2320" s="3">
        <v>1.0</v>
      </c>
      <c r="D2320" s="3">
        <v>1.0</v>
      </c>
      <c r="E2320" s="3">
        <v>2.0</v>
      </c>
      <c r="F2320" s="3" t="s">
        <v>6883</v>
      </c>
      <c r="G2320" s="3">
        <v>1.0</v>
      </c>
      <c r="H2320" s="3">
        <v>0.0</v>
      </c>
      <c r="I2320" s="3" t="s">
        <v>13</v>
      </c>
      <c r="J2320" s="3" t="s">
        <v>6884</v>
      </c>
      <c r="K2320" s="3" t="s">
        <v>322</v>
      </c>
      <c r="L2320" s="3" t="str">
        <f>IFERROR(__xludf.DUMMYFUNCTION("GOOGLETRANSLATE(F2320,""id"",""en"")"),"World Cup Final Final Most Crazy")</f>
        <v>World Cup Final Final Most Crazy</v>
      </c>
    </row>
    <row r="2321" ht="15.75" customHeight="1">
      <c r="A2321" s="1">
        <v>2334.0</v>
      </c>
      <c r="B2321" s="3" t="s">
        <v>6885</v>
      </c>
      <c r="C2321" s="3">
        <v>0.0</v>
      </c>
      <c r="D2321" s="3">
        <v>0.0</v>
      </c>
      <c r="E2321" s="3">
        <v>0.0</v>
      </c>
      <c r="F2321" s="3" t="s">
        <v>2067</v>
      </c>
      <c r="G2321" s="3">
        <v>1.0</v>
      </c>
      <c r="H2321" s="3">
        <v>0.0</v>
      </c>
      <c r="I2321" s="3" t="s">
        <v>13</v>
      </c>
      <c r="J2321" s="3" t="s">
        <v>2068</v>
      </c>
      <c r="K2321" s="3" t="s">
        <v>644</v>
      </c>
      <c r="L2321" s="3" t="str">
        <f>IFERROR(__xludf.DUMMYFUNCTION("GOOGLETRANSLATE(F2321,""id"",""en"")"),"World Cup Best Final")</f>
        <v>World Cup Best Final</v>
      </c>
    </row>
    <row r="2322" ht="15.75" customHeight="1">
      <c r="A2322" s="1">
        <v>2335.0</v>
      </c>
      <c r="B2322" s="3" t="s">
        <v>6886</v>
      </c>
      <c r="C2322" s="3">
        <v>0.0</v>
      </c>
      <c r="D2322" s="3">
        <v>0.0</v>
      </c>
      <c r="E2322" s="3">
        <v>0.0</v>
      </c>
      <c r="F2322" s="3" t="s">
        <v>6887</v>
      </c>
      <c r="G2322" s="3">
        <v>1.0</v>
      </c>
      <c r="H2322" s="3">
        <v>0.0</v>
      </c>
      <c r="I2322" s="3" t="s">
        <v>13</v>
      </c>
      <c r="J2322" s="3" t="s">
        <v>6888</v>
      </c>
      <c r="K2322" s="3" t="s">
        <v>477</v>
      </c>
      <c r="L2322" s="3" t="str">
        <f>IFERROR(__xludf.DUMMYFUNCTION("GOOGLETRANSLATE(F2322,""id"",""en"")"),"MBAPE YEAR HATTRICK Final My World Cup What Year")</f>
        <v>MBAPE YEAR HATTRICK Final My World Cup What Year</v>
      </c>
    </row>
    <row r="2323" ht="15.75" customHeight="1">
      <c r="A2323" s="1">
        <v>2336.0</v>
      </c>
      <c r="B2323" s="3" t="s">
        <v>6889</v>
      </c>
      <c r="C2323" s="3">
        <v>1.0</v>
      </c>
      <c r="D2323" s="3">
        <v>0.0</v>
      </c>
      <c r="E2323" s="3">
        <v>15.0</v>
      </c>
      <c r="F2323" s="3" t="s">
        <v>6890</v>
      </c>
      <c r="G2323" s="3">
        <v>1.0</v>
      </c>
      <c r="H2323" s="3">
        <v>0.0</v>
      </c>
      <c r="I2323" s="3" t="s">
        <v>13</v>
      </c>
      <c r="J2323" s="3" t="s">
        <v>6891</v>
      </c>
      <c r="K2323" s="3" t="s">
        <v>236</v>
      </c>
      <c r="L2323" s="3" t="str">
        <f>IFERROR(__xludf.DUMMYFUNCTION("GOOGLETRANSLATE(F2323,""id"",""en"")"),"The World Cup Final I swear a lot of twist plots are very exciting")</f>
        <v>The World Cup Final I swear a lot of twist plots are very exciting</v>
      </c>
    </row>
    <row r="2324" ht="15.75" customHeight="1">
      <c r="A2324" s="1">
        <v>2337.0</v>
      </c>
      <c r="B2324" s="3" t="s">
        <v>6892</v>
      </c>
      <c r="C2324" s="3">
        <v>0.0</v>
      </c>
      <c r="D2324" s="3">
        <v>0.0</v>
      </c>
      <c r="E2324" s="3">
        <v>0.0</v>
      </c>
      <c r="F2324" s="3" t="s">
        <v>6893</v>
      </c>
      <c r="G2324" s="3">
        <v>0.75</v>
      </c>
      <c r="H2324" s="3">
        <v>0.06818181818181818</v>
      </c>
      <c r="I2324" s="3" t="s">
        <v>48</v>
      </c>
      <c r="J2324" s="3" t="s">
        <v>6894</v>
      </c>
      <c r="K2324" s="3" t="s">
        <v>433</v>
      </c>
      <c r="L2324" s="3" t="str">
        <f>IFERROR(__xludf.DUMMYFUNCTION("GOOGLETRANSLATE(F2324,""id"",""en"")"),"Yok Argentina Penalty French Link Link Live Streaming Argentina France tonight WIB World Cup Final")</f>
        <v>Yok Argentina Penalty French Link Link Live Streaming Argentina France tonight WIB World Cup Final</v>
      </c>
    </row>
    <row r="2325" ht="15.75" customHeight="1">
      <c r="A2325" s="1">
        <v>2338.0</v>
      </c>
      <c r="B2325" s="3" t="s">
        <v>6895</v>
      </c>
      <c r="C2325" s="3">
        <v>0.0</v>
      </c>
      <c r="D2325" s="3">
        <v>4.0</v>
      </c>
      <c r="E2325" s="3">
        <v>65.0</v>
      </c>
      <c r="F2325" s="3" t="s">
        <v>6896</v>
      </c>
      <c r="G2325" s="3">
        <v>1.0</v>
      </c>
      <c r="H2325" s="3">
        <v>0.0</v>
      </c>
      <c r="I2325" s="3" t="s">
        <v>13</v>
      </c>
      <c r="J2325" s="3" t="s">
        <v>6897</v>
      </c>
      <c r="K2325" s="3" t="s">
        <v>1656</v>
      </c>
      <c r="L2325" s="3" t="str">
        <f>IFERROR(__xludf.DUMMYFUNCTION("GOOGLETRANSLATE(F2325,""id"",""en"")"),"what final heart wants to take off the surprise mbappe and Messi the World Cup Final is for the heart to come off the All France score this is the most exciting match I watched")</f>
        <v>what final heart wants to take off the surprise mbappe and Messi the World Cup Final is for the heart to come off the All France score this is the most exciting match I watched</v>
      </c>
    </row>
    <row r="2326" ht="15.75" customHeight="1">
      <c r="A2326" s="1">
        <v>2339.0</v>
      </c>
      <c r="B2326" s="3" t="s">
        <v>6898</v>
      </c>
      <c r="C2326" s="3">
        <v>0.0</v>
      </c>
      <c r="D2326" s="3">
        <v>0.0</v>
      </c>
      <c r="E2326" s="3">
        <v>1.0</v>
      </c>
      <c r="F2326" s="3" t="s">
        <v>6899</v>
      </c>
      <c r="G2326" s="3">
        <v>1.0</v>
      </c>
      <c r="H2326" s="3">
        <v>0.0</v>
      </c>
      <c r="I2326" s="3" t="s">
        <v>13</v>
      </c>
      <c r="J2326" s="3" t="s">
        <v>6900</v>
      </c>
      <c r="K2326" s="3" t="s">
        <v>31</v>
      </c>
      <c r="L2326" s="3" t="str">
        <f>IFERROR(__xludf.DUMMYFUNCTION("GOOGLETRANSLATE(F2326,""id"",""en"")"),"The Best World Cup Final")</f>
        <v>The Best World Cup Final</v>
      </c>
    </row>
    <row r="2327" ht="15.75" customHeight="1">
      <c r="A2327" s="1">
        <v>2340.0</v>
      </c>
      <c r="B2327" s="3" t="s">
        <v>6901</v>
      </c>
      <c r="C2327" s="3">
        <v>0.0</v>
      </c>
      <c r="D2327" s="3">
        <v>0.0</v>
      </c>
      <c r="E2327" s="3">
        <v>0.0</v>
      </c>
      <c r="F2327" s="3" t="s">
        <v>6902</v>
      </c>
      <c r="G2327" s="3">
        <v>1.0</v>
      </c>
      <c r="H2327" s="3">
        <v>0.0</v>
      </c>
      <c r="I2327" s="3" t="s">
        <v>13</v>
      </c>
      <c r="J2327" s="3" t="s">
        <v>6903</v>
      </c>
      <c r="K2327" s="3" t="s">
        <v>123</v>
      </c>
      <c r="L2327" s="3" t="str">
        <f>IFERROR(__xludf.DUMMYFUNCTION("GOOGLETRANSLATE(F2327,""id"",""en"")"),"The French Argentina Final Score and Mbappe's second half statistics for the World Cup Final Score Waited")</f>
        <v>The French Argentina Final Score and Mbappe's second half statistics for the World Cup Final Score Waited</v>
      </c>
    </row>
    <row r="2328" ht="15.75" customHeight="1">
      <c r="A2328" s="1">
        <v>2341.0</v>
      </c>
      <c r="B2328" s="3" t="s">
        <v>6904</v>
      </c>
      <c r="C2328" s="3">
        <v>0.0</v>
      </c>
      <c r="D2328" s="3">
        <v>0.0</v>
      </c>
      <c r="E2328" s="3">
        <v>0.0</v>
      </c>
      <c r="F2328" s="3" t="s">
        <v>6905</v>
      </c>
      <c r="G2328" s="3">
        <v>1.0</v>
      </c>
      <c r="H2328" s="3">
        <v>0.0</v>
      </c>
      <c r="I2328" s="3" t="s">
        <v>13</v>
      </c>
      <c r="J2328" s="3" t="s">
        <v>6906</v>
      </c>
      <c r="K2328" s="3" t="s">
        <v>510</v>
      </c>
      <c r="L2328" s="3" t="str">
        <f>IFERROR(__xludf.DUMMYFUNCTION("GOOGLETRANSLATE(F2328,""id"",""en"")"),"Crazy This is the Best World Cup Final Mbappe and Messi and Nunjikan if they are star players")</f>
        <v>Crazy This is the Best World Cup Final Mbappe and Messi and Nunjikan if they are star players</v>
      </c>
    </row>
    <row r="2329" ht="15.75" customHeight="1">
      <c r="A2329" s="1">
        <v>2342.0</v>
      </c>
      <c r="B2329" s="3" t="s">
        <v>2246</v>
      </c>
      <c r="C2329" s="3">
        <v>0.0</v>
      </c>
      <c r="D2329" s="3">
        <v>0.0</v>
      </c>
      <c r="E2329" s="3">
        <v>0.0</v>
      </c>
      <c r="F2329" s="3" t="s">
        <v>2246</v>
      </c>
      <c r="G2329" s="3">
        <v>1.0</v>
      </c>
      <c r="H2329" s="3">
        <v>0.0</v>
      </c>
      <c r="I2329" s="3" t="s">
        <v>13</v>
      </c>
      <c r="J2329" s="3" t="s">
        <v>2247</v>
      </c>
      <c r="K2329" s="3" t="s">
        <v>31</v>
      </c>
      <c r="L2329" s="3" t="str">
        <f>IFERROR(__xludf.DUMMYFUNCTION("GOOGLETRANSLATE(F2329,""id"",""en"")"),"World Cup Final Most Exciting")</f>
        <v>World Cup Final Most Exciting</v>
      </c>
    </row>
    <row r="2330" ht="15.75" customHeight="1">
      <c r="A2330" s="1">
        <v>2343.0</v>
      </c>
      <c r="B2330" s="3" t="s">
        <v>6907</v>
      </c>
      <c r="C2330" s="3">
        <v>0.0</v>
      </c>
      <c r="D2330" s="3">
        <v>0.0</v>
      </c>
      <c r="E2330" s="3">
        <v>8.0</v>
      </c>
      <c r="F2330" s="3" t="s">
        <v>3777</v>
      </c>
      <c r="G2330" s="3">
        <v>1.0</v>
      </c>
      <c r="H2330" s="3">
        <v>0.0</v>
      </c>
      <c r="I2330" s="3" t="s">
        <v>13</v>
      </c>
      <c r="J2330" s="3" t="s">
        <v>3778</v>
      </c>
      <c r="K2330" s="3" t="s">
        <v>644</v>
      </c>
      <c r="L2330" s="3" t="str">
        <f>IFERROR(__xludf.DUMMYFUNCTION("GOOGLETRANSLATE(F2330,""id"",""en"")"),"Watch World Cup Final")</f>
        <v>Watch World Cup Final</v>
      </c>
    </row>
    <row r="2331" ht="15.75" customHeight="1">
      <c r="A2331" s="1">
        <v>2344.0</v>
      </c>
      <c r="B2331" s="3" t="s">
        <v>6908</v>
      </c>
      <c r="C2331" s="3">
        <v>0.0</v>
      </c>
      <c r="D2331" s="3">
        <v>0.0</v>
      </c>
      <c r="E2331" s="3">
        <v>0.0</v>
      </c>
      <c r="F2331" s="3" t="s">
        <v>6909</v>
      </c>
      <c r="G2331" s="3">
        <v>0.75</v>
      </c>
      <c r="H2331" s="3">
        <v>-0.09375</v>
      </c>
      <c r="I2331" s="3" t="s">
        <v>179</v>
      </c>
      <c r="J2331" s="3" t="s">
        <v>6910</v>
      </c>
      <c r="K2331" s="3" t="s">
        <v>437</v>
      </c>
      <c r="L2331" s="3" t="str">
        <f>IFERROR(__xludf.DUMMYFUNCTION("GOOGLETRANSLATE(F2331,""id"",""en"")"),"Mbappe Crazy World Cup Final File This Year is really right yeeee Little Kokoro just kennot")</f>
        <v>Mbappe Crazy World Cup Final File This Year is really right yeeee Little Kokoro just kennot</v>
      </c>
    </row>
    <row r="2332" ht="15.75" customHeight="1">
      <c r="A2332" s="1">
        <v>2346.0</v>
      </c>
      <c r="B2332" s="3" t="s">
        <v>6911</v>
      </c>
      <c r="C2332" s="3">
        <v>0.0</v>
      </c>
      <c r="D2332" s="3">
        <v>5.0</v>
      </c>
      <c r="E2332" s="3">
        <v>15.0</v>
      </c>
      <c r="F2332" s="3" t="s">
        <v>6912</v>
      </c>
      <c r="G2332" s="3">
        <v>0.55</v>
      </c>
      <c r="H2332" s="3">
        <v>0.0</v>
      </c>
      <c r="I2332" s="3" t="s">
        <v>13</v>
      </c>
      <c r="J2332" s="3" t="s">
        <v>6913</v>
      </c>
      <c r="K2332" s="3" t="s">
        <v>495</v>
      </c>
      <c r="L2332" s="3" t="str">
        <f>IFERROR(__xludf.DUMMYFUNCTION("GOOGLETRANSLATE(F2332,""id"",""en"")"),"Kylian Mbappe scored a hat trick in the French Argentine match Final World Cup Score now draws Extra Time Minutes")</f>
        <v>Kylian Mbappe scored a hat trick in the French Argentine match Final World Cup Score now draws Extra Time Minutes</v>
      </c>
    </row>
    <row r="2333" ht="15.75" customHeight="1">
      <c r="A2333" s="1">
        <v>2347.0</v>
      </c>
      <c r="B2333" s="3" t="s">
        <v>6914</v>
      </c>
      <c r="C2333" s="3">
        <v>1.0</v>
      </c>
      <c r="D2333" s="3">
        <v>0.0</v>
      </c>
      <c r="E2333" s="3">
        <v>0.0</v>
      </c>
      <c r="F2333" s="3" t="s">
        <v>6915</v>
      </c>
      <c r="G2333" s="3">
        <v>1.0</v>
      </c>
      <c r="H2333" s="3">
        <v>0.0</v>
      </c>
      <c r="I2333" s="3" t="s">
        <v>13</v>
      </c>
      <c r="J2333" s="3" t="s">
        <v>6916</v>
      </c>
      <c r="K2333" s="3" t="s">
        <v>1335</v>
      </c>
      <c r="L2333" s="3" t="str">
        <f>IFERROR(__xludf.DUMMYFUNCTION("GOOGLETRANSLATE(F2333,""id"",""en"")"),"mercy deg deg bro, the world cup final")</f>
        <v>mercy deg deg bro, the world cup final</v>
      </c>
    </row>
    <row r="2334" ht="15.75" customHeight="1">
      <c r="A2334" s="1">
        <v>2348.0</v>
      </c>
      <c r="B2334" s="3" t="s">
        <v>6917</v>
      </c>
      <c r="C2334" s="3">
        <v>0.0</v>
      </c>
      <c r="D2334" s="3">
        <v>0.0</v>
      </c>
      <c r="E2334" s="3">
        <v>2.0</v>
      </c>
      <c r="F2334" s="3" t="s">
        <v>6918</v>
      </c>
      <c r="G2334" s="3">
        <v>1.0</v>
      </c>
      <c r="H2334" s="3">
        <v>0.0</v>
      </c>
      <c r="I2334" s="3" t="s">
        <v>13</v>
      </c>
      <c r="J2334" s="3" t="s">
        <v>6919</v>
      </c>
      <c r="K2334" s="3" t="s">
        <v>1293</v>
      </c>
      <c r="L2334" s="3" t="str">
        <f>IFERROR(__xludf.DUMMYFUNCTION("GOOGLETRANSLATE(F2334,""id"",""en"")"),"France managed to equalize the score against Argentina in the World Cup final through the two kylian mbappe scores now")</f>
        <v>France managed to equalize the score against Argentina in the World Cup final through the two kylian mbappe scores now</v>
      </c>
    </row>
    <row r="2335" ht="15.75" customHeight="1">
      <c r="A2335" s="1">
        <v>2350.0</v>
      </c>
      <c r="B2335" s="3" t="s">
        <v>6920</v>
      </c>
      <c r="C2335" s="3">
        <v>0.0</v>
      </c>
      <c r="D2335" s="3">
        <v>0.0</v>
      </c>
      <c r="E2335" s="3">
        <v>0.0</v>
      </c>
      <c r="F2335" s="3" t="s">
        <v>6921</v>
      </c>
      <c r="G2335" s="3">
        <v>1.0</v>
      </c>
      <c r="H2335" s="3">
        <v>0.0</v>
      </c>
      <c r="I2335" s="3" t="s">
        <v>13</v>
      </c>
      <c r="J2335" s="3" t="s">
        <v>6922</v>
      </c>
      <c r="K2335" s="3" t="s">
        <v>82</v>
      </c>
      <c r="L2335" s="3" t="str">
        <f>IFERROR(__xludf.DUMMYFUNCTION("GOOGLETRANSLATE(F2335,""id"",""en"")"),"Who is already not strong enough to watch the World Cup final")</f>
        <v>Who is already not strong enough to watch the World Cup final</v>
      </c>
    </row>
    <row r="2336" ht="15.75" customHeight="1">
      <c r="A2336" s="1">
        <v>2351.0</v>
      </c>
      <c r="B2336" s="3" t="s">
        <v>6923</v>
      </c>
      <c r="C2336" s="3">
        <v>0.0</v>
      </c>
      <c r="D2336" s="3">
        <v>0.0</v>
      </c>
      <c r="E2336" s="3">
        <v>0.0</v>
      </c>
      <c r="F2336" s="3" t="s">
        <v>6924</v>
      </c>
      <c r="G2336" s="3">
        <v>0.75</v>
      </c>
      <c r="H2336" s="3">
        <v>0.06818181818181818</v>
      </c>
      <c r="I2336" s="3" t="s">
        <v>48</v>
      </c>
      <c r="J2336" s="3" t="s">
        <v>6925</v>
      </c>
      <c r="K2336" s="3" t="s">
        <v>1469</v>
      </c>
      <c r="L2336" s="3" t="str">
        <f>IFERROR(__xludf.DUMMYFUNCTION("GOOGLETRANSLATE(F2336,""id"",""en"")"),"Argentine penalty French penalty Link Link Live Streaming Argentina France tonight WIB World Cup Final")</f>
        <v>Argentine penalty French penalty Link Link Live Streaming Argentina France tonight WIB World Cup Final</v>
      </c>
    </row>
    <row r="2337" ht="15.75" customHeight="1">
      <c r="A2337" s="1">
        <v>2352.0</v>
      </c>
      <c r="B2337" s="3" t="s">
        <v>6926</v>
      </c>
      <c r="C2337" s="3">
        <v>0.0</v>
      </c>
      <c r="D2337" s="3">
        <v>0.0</v>
      </c>
      <c r="E2337" s="3">
        <v>0.0</v>
      </c>
      <c r="F2337" s="3" t="s">
        <v>6927</v>
      </c>
      <c r="G2337" s="3">
        <v>1.0</v>
      </c>
      <c r="H2337" s="3">
        <v>0.0</v>
      </c>
      <c r="I2337" s="3" t="s">
        <v>13</v>
      </c>
      <c r="J2337" s="3" t="s">
        <v>6928</v>
      </c>
      <c r="K2337" s="3" t="s">
        <v>31</v>
      </c>
      <c r="L2337" s="3" t="str">
        <f>IFERROR(__xludf.DUMMYFUNCTION("GOOGLETRANSLATE(F2337,""id"",""en"")"),"World Cup Final Most Interesting Today")</f>
        <v>World Cup Final Most Interesting Today</v>
      </c>
    </row>
    <row r="2338" ht="15.75" customHeight="1">
      <c r="A2338" s="1">
        <v>2353.0</v>
      </c>
      <c r="B2338" s="3" t="s">
        <v>6929</v>
      </c>
      <c r="C2338" s="3">
        <v>0.0</v>
      </c>
      <c r="D2338" s="3">
        <v>0.0</v>
      </c>
      <c r="E2338" s="3">
        <v>0.0</v>
      </c>
      <c r="F2338" s="3" t="s">
        <v>6930</v>
      </c>
      <c r="G2338" s="3">
        <v>1.0</v>
      </c>
      <c r="H2338" s="3">
        <v>0.0</v>
      </c>
      <c r="I2338" s="3" t="s">
        <v>13</v>
      </c>
      <c r="J2338" s="3" t="s">
        <v>6931</v>
      </c>
      <c r="K2338" s="3" t="s">
        <v>19</v>
      </c>
      <c r="L2338" s="3" t="str">
        <f>IFERROR(__xludf.DUMMYFUNCTION("GOOGLETRANSLATE(F2338,""id"",""en"")"),"Wow, it's great looking for the moment when the World Cup Final is Jin Eliminating Evidence")</f>
        <v>Wow, it's great looking for the moment when the World Cup Final is Jin Eliminating Evidence</v>
      </c>
    </row>
    <row r="2339" ht="15.75" customHeight="1">
      <c r="A2339" s="1">
        <v>2354.0</v>
      </c>
      <c r="B2339" s="3" t="s">
        <v>6932</v>
      </c>
      <c r="C2339" s="3">
        <v>0.0</v>
      </c>
      <c r="D2339" s="3">
        <v>0.0</v>
      </c>
      <c r="E2339" s="3">
        <v>0.0</v>
      </c>
      <c r="F2339" s="3" t="s">
        <v>6933</v>
      </c>
      <c r="G2339" s="3">
        <v>1.0</v>
      </c>
      <c r="H2339" s="3">
        <v>0.0</v>
      </c>
      <c r="I2339" s="3" t="s">
        <v>13</v>
      </c>
      <c r="J2339" s="3" t="s">
        <v>6934</v>
      </c>
      <c r="K2339" s="3" t="s">
        <v>15</v>
      </c>
      <c r="L2339" s="3" t="str">
        <f>IFERROR(__xludf.DUMMYFUNCTION("GOOGLETRANSLATE(F2339,""id"",""en"")"),"Dramatic of the French Argentina match in the Qatar World Cup final")</f>
        <v>Dramatic of the French Argentina match in the Qatar World Cup final</v>
      </c>
    </row>
    <row r="2340" ht="15.75" customHeight="1">
      <c r="A2340" s="1">
        <v>2355.0</v>
      </c>
      <c r="B2340" s="3" t="s">
        <v>6935</v>
      </c>
      <c r="C2340" s="3">
        <v>0.0</v>
      </c>
      <c r="D2340" s="3">
        <v>0.0</v>
      </c>
      <c r="E2340" s="3">
        <v>0.0</v>
      </c>
      <c r="F2340" s="3" t="s">
        <v>3109</v>
      </c>
      <c r="G2340" s="3">
        <v>0.7</v>
      </c>
      <c r="H2340" s="3">
        <v>0.05</v>
      </c>
      <c r="I2340" s="3" t="s">
        <v>48</v>
      </c>
      <c r="J2340" s="3" t="s">
        <v>3110</v>
      </c>
      <c r="K2340" s="3" t="s">
        <v>31</v>
      </c>
      <c r="L2340" s="3" t="str">
        <f>IFERROR(__xludf.DUMMYFUNCTION("GOOGLETRANSLATE(F2340,""id"",""en"")"),"World Cup Final Epic")</f>
        <v>World Cup Final Epic</v>
      </c>
    </row>
    <row r="2341" ht="15.75" customHeight="1">
      <c r="A2341" s="1">
        <v>2356.0</v>
      </c>
      <c r="B2341" s="3" t="s">
        <v>6936</v>
      </c>
      <c r="C2341" s="3">
        <v>0.0</v>
      </c>
      <c r="D2341" s="3">
        <v>0.0</v>
      </c>
      <c r="E2341" s="3">
        <v>0.0</v>
      </c>
      <c r="F2341" s="3" t="s">
        <v>6937</v>
      </c>
      <c r="G2341" s="3">
        <v>1.0</v>
      </c>
      <c r="H2341" s="3">
        <v>0.0</v>
      </c>
      <c r="I2341" s="3" t="s">
        <v>13</v>
      </c>
      <c r="J2341" s="3" t="s">
        <v>6938</v>
      </c>
      <c r="K2341" s="3" t="s">
        <v>75</v>
      </c>
      <c r="L2341" s="3" t="str">
        <f>IFERROR(__xludf.DUMMYFUNCTION("GOOGLETRANSLATE(F2341,""id"",""en"")"),"Tomorrow if you are late, you will make the world cup schedule pokonya why the final is late Monday")</f>
        <v>Tomorrow if you are late, you will make the world cup schedule pokonya why the final is late Monday</v>
      </c>
    </row>
    <row r="2342" ht="15.75" customHeight="1">
      <c r="A2342" s="1">
        <v>2357.0</v>
      </c>
      <c r="B2342" s="3" t="s">
        <v>6939</v>
      </c>
      <c r="C2342" s="3">
        <v>0.0</v>
      </c>
      <c r="D2342" s="3">
        <v>0.0</v>
      </c>
      <c r="E2342" s="3">
        <v>1.0</v>
      </c>
      <c r="F2342" s="3" t="s">
        <v>6940</v>
      </c>
      <c r="G2342" s="3">
        <v>1.0</v>
      </c>
      <c r="H2342" s="3">
        <v>0.0</v>
      </c>
      <c r="I2342" s="3" t="s">
        <v>13</v>
      </c>
      <c r="J2342" s="3" t="s">
        <v>6941</v>
      </c>
      <c r="K2342" s="3" t="s">
        <v>19</v>
      </c>
      <c r="L2342" s="3" t="str">
        <f>IFERROR(__xludf.DUMMYFUNCTION("GOOGLETRANSLATE(F2342,""id"",""en"")"),"World Cup which was doubtful at the beginning turned out to present an extraordinary match from beginning to final")</f>
        <v>World Cup which was doubtful at the beginning turned out to present an extraordinary match from beginning to final</v>
      </c>
    </row>
    <row r="2343" ht="15.75" customHeight="1">
      <c r="A2343" s="1">
        <v>2358.0</v>
      </c>
      <c r="B2343" s="3" t="s">
        <v>6942</v>
      </c>
      <c r="C2343" s="3">
        <v>0.0</v>
      </c>
      <c r="D2343" s="3">
        <v>0.0</v>
      </c>
      <c r="E2343" s="3">
        <v>0.0</v>
      </c>
      <c r="F2343" s="3" t="s">
        <v>6943</v>
      </c>
      <c r="G2343" s="3">
        <v>1.0</v>
      </c>
      <c r="H2343" s="3">
        <v>0.0</v>
      </c>
      <c r="I2343" s="3" t="s">
        <v>13</v>
      </c>
      <c r="J2343" s="3" t="s">
        <v>6944</v>
      </c>
      <c r="K2343" s="3" t="s">
        <v>348</v>
      </c>
      <c r="L2343" s="3" t="str">
        <f>IFERROR(__xludf.DUMMYFUNCTION("GOOGLETRANSLATE(F2343,""id"",""en"")"),"That's the nobar Final of the World Cup very crowded at midnight like this disturbing people rest more riweh even if the house is a rather sensitive baby with noisy sound")</f>
        <v>That's the nobar Final of the World Cup very crowded at midnight like this disturbing people rest more riweh even if the house is a rather sensitive baby with noisy sound</v>
      </c>
    </row>
    <row r="2344" ht="15.75" customHeight="1">
      <c r="A2344" s="1">
        <v>2359.0</v>
      </c>
      <c r="B2344" s="3" t="s">
        <v>6945</v>
      </c>
      <c r="C2344" s="3">
        <v>0.0</v>
      </c>
      <c r="D2344" s="3">
        <v>0.0</v>
      </c>
      <c r="E2344" s="3">
        <v>0.0</v>
      </c>
      <c r="F2344" s="3" t="s">
        <v>6946</v>
      </c>
      <c r="G2344" s="3">
        <v>0.6666666666666666</v>
      </c>
      <c r="H2344" s="3">
        <v>0.125</v>
      </c>
      <c r="I2344" s="3" t="s">
        <v>48</v>
      </c>
      <c r="J2344" s="3" t="s">
        <v>6947</v>
      </c>
      <c r="K2344" s="3" t="s">
        <v>50</v>
      </c>
      <c r="L2344" s="3" t="str">
        <f>IFERROR(__xludf.DUMMYFUNCTION("GOOGLETRANSLATE(F2344,""id"",""en"")"),"Tight is really the World Cup Final watching it beats First Kiss Ayang")</f>
        <v>Tight is really the World Cup Final watching it beats First Kiss Ayang</v>
      </c>
    </row>
    <row r="2345" ht="15.75" customHeight="1">
      <c r="A2345" s="1">
        <v>2360.0</v>
      </c>
      <c r="B2345" s="3" t="s">
        <v>6948</v>
      </c>
      <c r="C2345" s="3">
        <v>5.0</v>
      </c>
      <c r="D2345" s="3">
        <v>0.0</v>
      </c>
      <c r="E2345" s="3">
        <v>7.0</v>
      </c>
      <c r="F2345" s="3" t="s">
        <v>6948</v>
      </c>
      <c r="G2345" s="3">
        <v>1.0</v>
      </c>
      <c r="H2345" s="3">
        <v>0.0</v>
      </c>
      <c r="I2345" s="3" t="s">
        <v>13</v>
      </c>
      <c r="J2345" s="3" t="s">
        <v>3778</v>
      </c>
      <c r="K2345" s="3" t="s">
        <v>644</v>
      </c>
      <c r="L2345" s="3" t="str">
        <f>IFERROR(__xludf.DUMMYFUNCTION("GOOGLETRANSLATE(F2345,""id"",""en"")"),"definitely watching the World Cup final")</f>
        <v>definitely watching the World Cup final</v>
      </c>
    </row>
    <row r="2346" ht="15.75" customHeight="1">
      <c r="A2346" s="1">
        <v>2361.0</v>
      </c>
      <c r="B2346" s="3" t="s">
        <v>6949</v>
      </c>
      <c r="C2346" s="3">
        <v>0.0</v>
      </c>
      <c r="D2346" s="3">
        <v>0.0</v>
      </c>
      <c r="E2346" s="3">
        <v>0.0</v>
      </c>
      <c r="F2346" s="3" t="s">
        <v>6950</v>
      </c>
      <c r="G2346" s="3">
        <v>1.0</v>
      </c>
      <c r="H2346" s="3">
        <v>0.0</v>
      </c>
      <c r="I2346" s="3" t="s">
        <v>13</v>
      </c>
      <c r="J2346" s="3" t="s">
        <v>6951</v>
      </c>
      <c r="K2346" s="3" t="s">
        <v>82</v>
      </c>
      <c r="L2346" s="3" t="str">
        <f>IFERROR(__xludf.DUMMYFUNCTION("GOOGLETRANSLATE(F2346,""id"",""en"")"),"irregular one of the best world cup finals")</f>
        <v>irregular one of the best world cup finals</v>
      </c>
    </row>
    <row r="2347" ht="15.75" customHeight="1">
      <c r="A2347" s="1">
        <v>2362.0</v>
      </c>
      <c r="B2347" s="3" t="s">
        <v>6952</v>
      </c>
      <c r="C2347" s="3">
        <v>0.0</v>
      </c>
      <c r="D2347" s="3">
        <v>0.0</v>
      </c>
      <c r="E2347" s="3">
        <v>9.0</v>
      </c>
      <c r="F2347" s="3" t="s">
        <v>6953</v>
      </c>
      <c r="G2347" s="3">
        <v>0.5833333333333334</v>
      </c>
      <c r="H2347" s="3">
        <v>0.05</v>
      </c>
      <c r="I2347" s="3" t="s">
        <v>48</v>
      </c>
      <c r="J2347" s="3" t="s">
        <v>6954</v>
      </c>
      <c r="K2347" s="3" t="s">
        <v>240</v>
      </c>
      <c r="L2347" s="3" t="str">
        <f>IFERROR(__xludf.DUMMYFUNCTION("GOOGLETRANSLATE(F2347,""id"",""en"")"),"The World Cup Final Entering the Extra Time Round Two Minutes Kylian Mbappe Making a Normal Time Final Score")</f>
        <v>The World Cup Final Entering the Extra Time Round Two Minutes Kylian Mbappe Making a Normal Time Final Score</v>
      </c>
    </row>
    <row r="2348" ht="15.75" customHeight="1">
      <c r="A2348" s="1">
        <v>2363.0</v>
      </c>
      <c r="B2348" s="3" t="s">
        <v>6955</v>
      </c>
      <c r="C2348" s="3">
        <v>0.0</v>
      </c>
      <c r="D2348" s="3">
        <v>0.0</v>
      </c>
      <c r="E2348" s="3">
        <v>0.0</v>
      </c>
      <c r="F2348" s="3" t="s">
        <v>6956</v>
      </c>
      <c r="G2348" s="3">
        <v>1.0</v>
      </c>
      <c r="H2348" s="3">
        <v>0.0</v>
      </c>
      <c r="I2348" s="3" t="s">
        <v>13</v>
      </c>
      <c r="J2348" s="3" t="s">
        <v>6957</v>
      </c>
      <c r="K2348" s="3" t="s">
        <v>54</v>
      </c>
      <c r="L2348" s="3" t="str">
        <f>IFERROR(__xludf.DUMMYFUNCTION("GOOGLETRANSLATE(F2348,""id"",""en"")"),"This is the Gabaik World Cup final for the heart")</f>
        <v>This is the Gabaik World Cup final for the heart</v>
      </c>
    </row>
    <row r="2349" ht="15.75" customHeight="1">
      <c r="A2349" s="1">
        <v>2364.0</v>
      </c>
      <c r="B2349" s="3" t="s">
        <v>6958</v>
      </c>
      <c r="C2349" s="3">
        <v>0.0</v>
      </c>
      <c r="D2349" s="3">
        <v>0.0</v>
      </c>
      <c r="E2349" s="3">
        <v>0.0</v>
      </c>
      <c r="F2349" s="3" t="s">
        <v>6795</v>
      </c>
      <c r="G2349" s="3">
        <v>1.0</v>
      </c>
      <c r="H2349" s="3">
        <v>0.0</v>
      </c>
      <c r="I2349" s="3" t="s">
        <v>13</v>
      </c>
      <c r="J2349" s="3" t="s">
        <v>6796</v>
      </c>
      <c r="K2349" s="3" t="s">
        <v>31</v>
      </c>
      <c r="L2349" s="3" t="str">
        <f>IFERROR(__xludf.DUMMYFUNCTION("GOOGLETRANSLATE(F2349,""id"",""en"")"),"World Cup Final Most Gayeng")</f>
        <v>World Cup Final Most Gayeng</v>
      </c>
    </row>
    <row r="2350" ht="15.75" customHeight="1">
      <c r="A2350" s="1">
        <v>2365.0</v>
      </c>
      <c r="B2350" s="3" t="s">
        <v>6959</v>
      </c>
      <c r="C2350" s="3">
        <v>1.0</v>
      </c>
      <c r="D2350" s="3">
        <v>0.0</v>
      </c>
      <c r="E2350" s="3">
        <v>0.0</v>
      </c>
      <c r="F2350" s="3" t="s">
        <v>6960</v>
      </c>
      <c r="G2350" s="3">
        <v>1.0</v>
      </c>
      <c r="H2350" s="3">
        <v>0.0</v>
      </c>
      <c r="I2350" s="3" t="s">
        <v>13</v>
      </c>
      <c r="J2350" s="3" t="s">
        <v>6961</v>
      </c>
      <c r="K2350" s="3" t="s">
        <v>82</v>
      </c>
      <c r="L2350" s="3" t="str">
        <f>IFERROR(__xludf.DUMMYFUNCTION("GOOGLETRANSLATE(F2350,""id"",""en"")"),"It could be that this is the best world cup final crazy")</f>
        <v>It could be that this is the best world cup final crazy</v>
      </c>
    </row>
    <row r="2351" ht="15.75" customHeight="1">
      <c r="A2351" s="1">
        <v>2366.0</v>
      </c>
      <c r="B2351" s="3" t="s">
        <v>6962</v>
      </c>
      <c r="C2351" s="3">
        <v>0.0</v>
      </c>
      <c r="D2351" s="3">
        <v>0.0</v>
      </c>
      <c r="E2351" s="3">
        <v>0.0</v>
      </c>
      <c r="F2351" s="3" t="s">
        <v>6963</v>
      </c>
      <c r="G2351" s="3">
        <v>1.0</v>
      </c>
      <c r="H2351" s="3">
        <v>0.0</v>
      </c>
      <c r="I2351" s="3" t="s">
        <v>13</v>
      </c>
      <c r="J2351" s="3" t="s">
        <v>6964</v>
      </c>
      <c r="K2351" s="3" t="s">
        <v>54</v>
      </c>
      <c r="L2351" s="3" t="str">
        <f>IFERROR(__xludf.DUMMYFUNCTION("GOOGLETRANSLATE(F2351,""id"",""en"")"),"the most exciting world cup final this time")</f>
        <v>the most exciting world cup final this time</v>
      </c>
    </row>
    <row r="2352" ht="15.75" customHeight="1">
      <c r="A2352" s="1">
        <v>2367.0</v>
      </c>
      <c r="B2352" s="3" t="s">
        <v>6965</v>
      </c>
      <c r="C2352" s="3">
        <v>1.0</v>
      </c>
      <c r="D2352" s="3">
        <v>0.0</v>
      </c>
      <c r="E2352" s="3">
        <v>0.0</v>
      </c>
      <c r="F2352" s="3" t="s">
        <v>6966</v>
      </c>
      <c r="G2352" s="3">
        <v>1.0</v>
      </c>
      <c r="H2352" s="3">
        <v>0.0</v>
      </c>
      <c r="I2352" s="3" t="s">
        <v>13</v>
      </c>
      <c r="J2352" s="3" t="s">
        <v>6967</v>
      </c>
      <c r="K2352" s="3" t="s">
        <v>82</v>
      </c>
      <c r="L2352" s="3" t="str">
        <f>IFERROR(__xludf.DUMMYFUNCTION("GOOGLETRANSLATE(F2352,""id"",""en"")"),"The most exciting French Argentine World Cup Final")</f>
        <v>The most exciting French Argentine World Cup Final</v>
      </c>
    </row>
    <row r="2353" ht="15.75" customHeight="1">
      <c r="A2353" s="1">
        <v>2368.0</v>
      </c>
      <c r="B2353" s="3" t="s">
        <v>6968</v>
      </c>
      <c r="C2353" s="3">
        <v>0.0</v>
      </c>
      <c r="D2353" s="3">
        <v>0.0</v>
      </c>
      <c r="E2353" s="3">
        <v>0.0</v>
      </c>
      <c r="F2353" s="3" t="s">
        <v>6969</v>
      </c>
      <c r="G2353" s="3">
        <v>1.0</v>
      </c>
      <c r="H2353" s="3">
        <v>0.0</v>
      </c>
      <c r="I2353" s="3" t="s">
        <v>13</v>
      </c>
      <c r="J2353" s="3" t="s">
        <v>6970</v>
      </c>
      <c r="K2353" s="3" t="s">
        <v>6752</v>
      </c>
      <c r="L2353" s="3" t="str">
        <f>IFERROR(__xludf.DUMMYFUNCTION("GOOGLETRANSLATE(F2353,""id"",""en"")"),"World Cup Final Final Pinal of World")</f>
        <v>World Cup Final Final Pinal of World</v>
      </c>
    </row>
    <row r="2354" ht="15.75" customHeight="1">
      <c r="A2354" s="1">
        <v>2369.0</v>
      </c>
      <c r="B2354" s="3" t="s">
        <v>6971</v>
      </c>
      <c r="C2354" s="3">
        <v>0.0</v>
      </c>
      <c r="D2354" s="3">
        <v>0.0</v>
      </c>
      <c r="E2354" s="3">
        <v>0.0</v>
      </c>
      <c r="F2354" s="3" t="s">
        <v>6972</v>
      </c>
      <c r="G2354" s="3">
        <v>1.0</v>
      </c>
      <c r="H2354" s="3">
        <v>0.0</v>
      </c>
      <c r="I2354" s="3" t="s">
        <v>13</v>
      </c>
      <c r="J2354" s="3" t="s">
        <v>6973</v>
      </c>
      <c r="K2354" s="3" t="s">
        <v>433</v>
      </c>
      <c r="L2354" s="3" t="str">
        <f>IFERROR(__xludf.DUMMYFUNCTION("GOOGLETRANSLATE(F2354,""id"",""en"")"),"Enjing Enjing Aya Tolerance Kaberangan Gawe Manya Understanding Lalajo World Cup Final Kitu Wkwkwk")</f>
        <v>Enjing Enjing Aya Tolerance Kaberangan Gawe Manya Understanding Lalajo World Cup Final Kitu Wkwkwk</v>
      </c>
    </row>
    <row r="2355" ht="15.75" customHeight="1">
      <c r="A2355" s="1">
        <v>2370.0</v>
      </c>
      <c r="B2355" s="3" t="s">
        <v>6974</v>
      </c>
      <c r="C2355" s="3">
        <v>0.0</v>
      </c>
      <c r="D2355" s="3">
        <v>0.0</v>
      </c>
      <c r="E2355" s="3">
        <v>0.0</v>
      </c>
      <c r="F2355" s="3" t="s">
        <v>6975</v>
      </c>
      <c r="G2355" s="3">
        <v>1.0</v>
      </c>
      <c r="H2355" s="3">
        <v>0.0</v>
      </c>
      <c r="I2355" s="3" t="s">
        <v>13</v>
      </c>
      <c r="J2355" s="3" t="s">
        <v>6976</v>
      </c>
      <c r="K2355" s="3" t="s">
        <v>50</v>
      </c>
      <c r="L2355" s="3" t="str">
        <f>IFERROR(__xludf.DUMMYFUNCTION("GOOGLETRANSLATE(F2355,""id"",""en"")"),"Perindo Party Holds Nobar Final World Cup Citizens many benefits can be friendly")</f>
        <v>Perindo Party Holds Nobar Final World Cup Citizens many benefits can be friendly</v>
      </c>
    </row>
    <row r="2356" ht="15.75" customHeight="1">
      <c r="A2356" s="1">
        <v>2371.0</v>
      </c>
      <c r="B2356" s="3" t="s">
        <v>6977</v>
      </c>
      <c r="C2356" s="3">
        <v>0.0</v>
      </c>
      <c r="D2356" s="3">
        <v>0.0</v>
      </c>
      <c r="E2356" s="3">
        <v>0.0</v>
      </c>
      <c r="F2356" s="3" t="s">
        <v>6978</v>
      </c>
      <c r="G2356" s="3">
        <v>1.0</v>
      </c>
      <c r="H2356" s="3">
        <v>0.0</v>
      </c>
      <c r="I2356" s="3" t="s">
        <v>13</v>
      </c>
      <c r="J2356" s="3" t="s">
        <v>6979</v>
      </c>
      <c r="K2356" s="3" t="s">
        <v>54</v>
      </c>
      <c r="L2356" s="3" t="str">
        <f>IFERROR(__xludf.DUMMYFUNCTION("GOOGLETRANSLATE(F2356,""id"",""en"")"),"This is the Final World Cup Funny GOAL GOAL")</f>
        <v>This is the Final World Cup Funny GOAL GOAL</v>
      </c>
    </row>
    <row r="2357" ht="15.75" customHeight="1">
      <c r="A2357" s="1">
        <v>2372.0</v>
      </c>
      <c r="B2357" s="3" t="s">
        <v>6980</v>
      </c>
      <c r="C2357" s="3">
        <v>0.0</v>
      </c>
      <c r="D2357" s="3">
        <v>0.0</v>
      </c>
      <c r="E2357" s="3">
        <v>0.0</v>
      </c>
      <c r="F2357" s="3" t="s">
        <v>3789</v>
      </c>
      <c r="G2357" s="3">
        <v>1.0</v>
      </c>
      <c r="H2357" s="3">
        <v>0.0</v>
      </c>
      <c r="I2357" s="3" t="s">
        <v>13</v>
      </c>
      <c r="J2357" s="3" t="s">
        <v>3790</v>
      </c>
      <c r="K2357" s="3" t="s">
        <v>1293</v>
      </c>
      <c r="L2357" s="3" t="str">
        <f>IFERROR(__xludf.DUMMYFUNCTION("GOOGLETRANSLATE(F2357,""id"",""en"")"),"Kylian Mbappe scored the World Cup Final Hat Trick scored another goal from the penalty to make the French Argentina score a draw")</f>
        <v>Kylian Mbappe scored the World Cup Final Hat Trick scored another goal from the penalty to make the French Argentina score a draw</v>
      </c>
    </row>
    <row r="2358" ht="15.75" customHeight="1">
      <c r="A2358" s="1">
        <v>2373.0</v>
      </c>
      <c r="B2358" s="3" t="s">
        <v>6981</v>
      </c>
      <c r="C2358" s="3">
        <v>0.0</v>
      </c>
      <c r="D2358" s="3">
        <v>0.0</v>
      </c>
      <c r="E2358" s="3">
        <v>0.0</v>
      </c>
      <c r="F2358" s="3" t="s">
        <v>6982</v>
      </c>
      <c r="G2358" s="3">
        <v>1.0</v>
      </c>
      <c r="H2358" s="3">
        <v>0.0</v>
      </c>
      <c r="I2358" s="3" t="s">
        <v>13</v>
      </c>
      <c r="J2358" s="3" t="s">
        <v>6983</v>
      </c>
      <c r="K2358" s="3" t="s">
        <v>54</v>
      </c>
      <c r="L2358" s="3" t="str">
        <f>IFERROR(__xludf.DUMMYFUNCTION("GOOGLETRANSLATE(F2358,""id"",""en"")"),"The World Cup Final I was shocked by I ever watched")</f>
        <v>The World Cup Final I was shocked by I ever watched</v>
      </c>
    </row>
    <row r="2359" ht="15.75" customHeight="1">
      <c r="A2359" s="1">
        <v>2374.0</v>
      </c>
      <c r="B2359" s="3" t="s">
        <v>6984</v>
      </c>
      <c r="C2359" s="3">
        <v>1.0</v>
      </c>
      <c r="D2359" s="3">
        <v>0.0</v>
      </c>
      <c r="E2359" s="3">
        <v>0.0</v>
      </c>
      <c r="F2359" s="3" t="s">
        <v>6921</v>
      </c>
      <c r="G2359" s="3">
        <v>1.0</v>
      </c>
      <c r="H2359" s="3">
        <v>0.0</v>
      </c>
      <c r="I2359" s="3" t="s">
        <v>13</v>
      </c>
      <c r="J2359" s="3" t="s">
        <v>6922</v>
      </c>
      <c r="K2359" s="3" t="s">
        <v>82</v>
      </c>
      <c r="L2359" s="3" t="str">
        <f>IFERROR(__xludf.DUMMYFUNCTION("GOOGLETRANSLATE(F2359,""id"",""en"")"),"Who is already not strong enough to watch the World Cup final")</f>
        <v>Who is already not strong enough to watch the World Cup final</v>
      </c>
    </row>
    <row r="2360" ht="15.75" customHeight="1">
      <c r="A2360" s="1">
        <v>2375.0</v>
      </c>
      <c r="B2360" s="3" t="s">
        <v>6985</v>
      </c>
      <c r="C2360" s="3">
        <v>0.0</v>
      </c>
      <c r="D2360" s="3">
        <v>0.0</v>
      </c>
      <c r="E2360" s="3">
        <v>0.0</v>
      </c>
      <c r="F2360" s="3" t="s">
        <v>6986</v>
      </c>
      <c r="G2360" s="3">
        <v>0.75</v>
      </c>
      <c r="H2360" s="3">
        <v>0.06818181818181818</v>
      </c>
      <c r="I2360" s="3" t="s">
        <v>48</v>
      </c>
      <c r="J2360" s="3" t="s">
        <v>6987</v>
      </c>
      <c r="K2360" s="3" t="s">
        <v>15</v>
      </c>
      <c r="L2360" s="3" t="str">
        <f>IFERROR(__xludf.DUMMYFUNCTION("GOOGLETRANSLATE(F2360,""id"",""en"")"),"LIVE LIVE STREAMING Argentina French Final World Cup")</f>
        <v>LIVE LIVE STREAMING Argentina French Final World Cup</v>
      </c>
    </row>
    <row r="2361" ht="15.75" customHeight="1">
      <c r="A2361" s="1">
        <v>2376.0</v>
      </c>
      <c r="B2361" s="3" t="s">
        <v>6988</v>
      </c>
      <c r="C2361" s="3">
        <v>0.0</v>
      </c>
      <c r="D2361" s="3">
        <v>0.0</v>
      </c>
      <c r="E2361" s="3">
        <v>0.0</v>
      </c>
      <c r="F2361" s="3" t="s">
        <v>6989</v>
      </c>
      <c r="G2361" s="3">
        <v>1.0</v>
      </c>
      <c r="H2361" s="3">
        <v>0.0</v>
      </c>
      <c r="I2361" s="3" t="s">
        <v>13</v>
      </c>
      <c r="J2361" s="3" t="s">
        <v>6990</v>
      </c>
      <c r="K2361" s="3" t="s">
        <v>54</v>
      </c>
      <c r="L2361" s="3" t="str">
        <f>IFERROR(__xludf.DUMMYFUNCTION("GOOGLETRANSLATE(F2361,""id"",""en"")"),"This is only the most dramatic World Cup final")</f>
        <v>This is only the most dramatic World Cup final</v>
      </c>
    </row>
    <row r="2362" ht="15.75" customHeight="1">
      <c r="A2362" s="1">
        <v>2377.0</v>
      </c>
      <c r="B2362" s="3" t="s">
        <v>6991</v>
      </c>
      <c r="C2362" s="3">
        <v>0.0</v>
      </c>
      <c r="D2362" s="3">
        <v>0.0</v>
      </c>
      <c r="E2362" s="3">
        <v>1.0</v>
      </c>
      <c r="F2362" s="3" t="s">
        <v>6992</v>
      </c>
      <c r="G2362" s="3">
        <v>1.0</v>
      </c>
      <c r="H2362" s="3">
        <v>0.0</v>
      </c>
      <c r="I2362" s="3" t="s">
        <v>13</v>
      </c>
      <c r="J2362" s="3" t="s">
        <v>6993</v>
      </c>
      <c r="K2362" s="3" t="s">
        <v>644</v>
      </c>
      <c r="L2362" s="3" t="str">
        <f>IFERROR(__xludf.DUMMYFUNCTION("GOOGLETRANSLATE(F2362,""id"",""en"")"),"This is the cool world cup final")</f>
        <v>This is the cool world cup final</v>
      </c>
    </row>
    <row r="2363" ht="15.75" customHeight="1">
      <c r="A2363" s="1">
        <v>2378.0</v>
      </c>
      <c r="B2363" s="3" t="s">
        <v>6994</v>
      </c>
      <c r="C2363" s="3">
        <v>0.0</v>
      </c>
      <c r="D2363" s="3">
        <v>0.0</v>
      </c>
      <c r="E2363" s="3">
        <v>0.0</v>
      </c>
      <c r="F2363" s="3" t="s">
        <v>6995</v>
      </c>
      <c r="G2363" s="3">
        <v>1.0</v>
      </c>
      <c r="H2363" s="3">
        <v>0.0</v>
      </c>
      <c r="I2363" s="3" t="s">
        <v>13</v>
      </c>
      <c r="J2363" s="3" t="s">
        <v>6996</v>
      </c>
      <c r="K2363" s="3" t="s">
        <v>31</v>
      </c>
      <c r="L2363" s="3" t="str">
        <f>IFERROR(__xludf.DUMMYFUNCTION("GOOGLETRANSLATE(F2363,""id"",""en"")"),"The World Cup Final is crazy")</f>
        <v>The World Cup Final is crazy</v>
      </c>
    </row>
    <row r="2364" ht="15.75" customHeight="1">
      <c r="A2364" s="1">
        <v>2379.0</v>
      </c>
      <c r="B2364" s="3" t="s">
        <v>6997</v>
      </c>
      <c r="C2364" s="3">
        <v>0.0</v>
      </c>
      <c r="D2364" s="3">
        <v>0.0</v>
      </c>
      <c r="E2364" s="3">
        <v>0.0</v>
      </c>
      <c r="F2364" s="3" t="s">
        <v>6998</v>
      </c>
      <c r="G2364" s="3">
        <v>0.75</v>
      </c>
      <c r="H2364" s="3">
        <v>0.06818181818181818</v>
      </c>
      <c r="I2364" s="3" t="s">
        <v>48</v>
      </c>
      <c r="J2364" s="3" t="s">
        <v>6999</v>
      </c>
      <c r="K2364" s="3" t="s">
        <v>510</v>
      </c>
      <c r="L2364" s="3" t="str">
        <f>IFERROR(__xludf.DUMMYFUNCTION("GOOGLETRANSLATE(F2364,""id"",""en"")"),"Argentina French French Live Streaming is ongo")</f>
        <v>Argentina French French Live Streaming is ongo</v>
      </c>
    </row>
    <row r="2365" ht="15.75" customHeight="1">
      <c r="A2365" s="1">
        <v>2380.0</v>
      </c>
      <c r="B2365" s="3" t="s">
        <v>7000</v>
      </c>
      <c r="C2365" s="3">
        <v>0.0</v>
      </c>
      <c r="D2365" s="3">
        <v>0.0</v>
      </c>
      <c r="E2365" s="3">
        <v>0.0</v>
      </c>
      <c r="F2365" s="3" t="s">
        <v>7001</v>
      </c>
      <c r="G2365" s="3">
        <v>1.0</v>
      </c>
      <c r="H2365" s="3">
        <v>0.0</v>
      </c>
      <c r="I2365" s="3" t="s">
        <v>13</v>
      </c>
      <c r="J2365" s="3" t="s">
        <v>7002</v>
      </c>
      <c r="K2365" s="3" t="s">
        <v>82</v>
      </c>
      <c r="L2365" s="3" t="str">
        <f>IFERROR(__xludf.DUMMYFUNCTION("GOOGLETRANSLATE(F2365,""id"",""en"")"),"The World Cup Final is the most exciting chase the score")</f>
        <v>The World Cup Final is the most exciting chase the score</v>
      </c>
    </row>
    <row r="2366" ht="15.75" customHeight="1">
      <c r="A2366" s="1">
        <v>2381.0</v>
      </c>
      <c r="B2366" s="3" t="s">
        <v>7003</v>
      </c>
      <c r="C2366" s="3">
        <v>7.0</v>
      </c>
      <c r="D2366" s="3">
        <v>35.0</v>
      </c>
      <c r="E2366" s="3">
        <v>132.0</v>
      </c>
      <c r="F2366" s="3" t="s">
        <v>7004</v>
      </c>
      <c r="G2366" s="3">
        <v>1.0</v>
      </c>
      <c r="H2366" s="3">
        <v>0.0</v>
      </c>
      <c r="I2366" s="3" t="s">
        <v>13</v>
      </c>
      <c r="J2366" s="3" t="s">
        <v>7005</v>
      </c>
      <c r="K2366" s="3" t="s">
        <v>795</v>
      </c>
      <c r="L2366" s="3" t="str">
        <f>IFERROR(__xludf.DUMMYFUNCTION("GOOGLETRANSLATE(F2366,""id"",""en"")"),"Say what you want about this world cup but this is one of the best finals during the World Cup What Match What Final Match")</f>
        <v>Say what you want about this world cup but this is one of the best finals during the World Cup What Match What Final Match</v>
      </c>
    </row>
    <row r="2367" ht="15.75" customHeight="1">
      <c r="A2367" s="1">
        <v>2382.0</v>
      </c>
      <c r="B2367" s="3" t="s">
        <v>7006</v>
      </c>
      <c r="C2367" s="3">
        <v>0.0</v>
      </c>
      <c r="D2367" s="3">
        <v>0.0</v>
      </c>
      <c r="E2367" s="3">
        <v>1.0</v>
      </c>
      <c r="F2367" s="3" t="s">
        <v>7007</v>
      </c>
      <c r="G2367" s="3">
        <v>1.0</v>
      </c>
      <c r="H2367" s="3">
        <v>0.0</v>
      </c>
      <c r="I2367" s="3" t="s">
        <v>13</v>
      </c>
      <c r="J2367" s="3" t="s">
        <v>7008</v>
      </c>
      <c r="K2367" s="3" t="s">
        <v>54</v>
      </c>
      <c r="L2367" s="3" t="str">
        <f>IFERROR(__xludf.DUMMYFUNCTION("GOOGLETRANSLATE(F2367,""id"",""en"")"),"this is the world cup final what heart exercises")</f>
        <v>this is the world cup final what heart exercises</v>
      </c>
    </row>
    <row r="2368" ht="15.75" customHeight="1">
      <c r="A2368" s="1">
        <v>2383.0</v>
      </c>
      <c r="B2368" s="3" t="s">
        <v>7009</v>
      </c>
      <c r="C2368" s="3">
        <v>10.0</v>
      </c>
      <c r="D2368" s="3">
        <v>48.0</v>
      </c>
      <c r="E2368" s="3">
        <v>83.0</v>
      </c>
      <c r="F2368" s="3" t="s">
        <v>7010</v>
      </c>
      <c r="G2368" s="3">
        <v>1.0</v>
      </c>
      <c r="H2368" s="3">
        <v>0.0</v>
      </c>
      <c r="I2368" s="3" t="s">
        <v>13</v>
      </c>
      <c r="J2368" s="3" t="s">
        <v>7011</v>
      </c>
      <c r="K2368" s="3" t="s">
        <v>75</v>
      </c>
      <c r="L2368" s="3" t="str">
        <f>IFERROR(__xludf.DUMMYFUNCTION("GOOGLETRANSLATE(F2368,""id"",""en"")"),"This is the most exciting world cup final that I watched a heart of Woy Plis")</f>
        <v>This is the most exciting world cup final that I watched a heart of Woy Plis</v>
      </c>
    </row>
    <row r="2369" ht="15.75" customHeight="1">
      <c r="A2369" s="1">
        <v>2384.0</v>
      </c>
      <c r="B2369" s="3" t="s">
        <v>7012</v>
      </c>
      <c r="C2369" s="3">
        <v>0.0</v>
      </c>
      <c r="D2369" s="3">
        <v>0.0</v>
      </c>
      <c r="E2369" s="3">
        <v>0.0</v>
      </c>
      <c r="F2369" s="3" t="s">
        <v>7013</v>
      </c>
      <c r="G2369" s="3">
        <v>1.0</v>
      </c>
      <c r="H2369" s="3">
        <v>0.0</v>
      </c>
      <c r="I2369" s="3" t="s">
        <v>13</v>
      </c>
      <c r="J2369" s="3" t="s">
        <v>7014</v>
      </c>
      <c r="K2369" s="3" t="s">
        <v>75</v>
      </c>
      <c r="L2369" s="3" t="str">
        <f>IFERROR(__xludf.DUMMYFUNCTION("GOOGLETRANSLATE(F2369,""id"",""en"")"),"Exciting bangeeeet weeyyyy world cup final this time Weyyyy is cool abissssss")</f>
        <v>Exciting bangeeeet weeyyyy world cup final this time Weyyyy is cool abissssss</v>
      </c>
    </row>
    <row r="2370" ht="15.75" customHeight="1">
      <c r="A2370" s="1">
        <v>2385.0</v>
      </c>
      <c r="B2370" s="3" t="s">
        <v>7015</v>
      </c>
      <c r="C2370" s="3">
        <v>0.0</v>
      </c>
      <c r="D2370" s="3">
        <v>0.0</v>
      </c>
      <c r="E2370" s="3">
        <v>0.0</v>
      </c>
      <c r="F2370" s="3" t="s">
        <v>7016</v>
      </c>
      <c r="G2370" s="3">
        <v>1.0</v>
      </c>
      <c r="H2370" s="3">
        <v>0.0</v>
      </c>
      <c r="I2370" s="3" t="s">
        <v>13</v>
      </c>
      <c r="J2370" s="3" t="s">
        <v>7017</v>
      </c>
      <c r="K2370" s="3" t="s">
        <v>31</v>
      </c>
      <c r="L2370" s="3" t="str">
        <f>IFERROR(__xludf.DUMMYFUNCTION("GOOGLETRANSLATE(F2370,""id"",""en"")"),"Fix This World Cup Final is Located")</f>
        <v>Fix This World Cup Final is Located</v>
      </c>
    </row>
    <row r="2371" ht="15.75" customHeight="1">
      <c r="A2371" s="1">
        <v>2386.0</v>
      </c>
      <c r="B2371" s="3" t="s">
        <v>7018</v>
      </c>
      <c r="C2371" s="3">
        <v>9.0</v>
      </c>
      <c r="D2371" s="3">
        <v>129.0</v>
      </c>
      <c r="E2371" s="3">
        <v>457.0</v>
      </c>
      <c r="F2371" s="3" t="s">
        <v>7019</v>
      </c>
      <c r="G2371" s="3">
        <v>1.0</v>
      </c>
      <c r="H2371" s="3">
        <v>0.0</v>
      </c>
      <c r="I2371" s="3" t="s">
        <v>13</v>
      </c>
      <c r="J2371" s="3" t="s">
        <v>7020</v>
      </c>
      <c r="K2371" s="3" t="s">
        <v>75</v>
      </c>
      <c r="L2371" s="3" t="str">
        <f>IFERROR(__xludf.DUMMYFUNCTION("GOOGLETRANSLATE(F2371,""id"",""en"")"),"Kylian Mbappe New Year Print Special World Cup Final Hattrick")</f>
        <v>Kylian Mbappe New Year Print Special World Cup Final Hattrick</v>
      </c>
    </row>
    <row r="2372" ht="15.75" customHeight="1">
      <c r="A2372" s="1">
        <v>2387.0</v>
      </c>
      <c r="B2372" s="3" t="s">
        <v>7021</v>
      </c>
      <c r="C2372" s="3">
        <v>0.0</v>
      </c>
      <c r="D2372" s="3">
        <v>0.0</v>
      </c>
      <c r="E2372" s="3">
        <v>5.0</v>
      </c>
      <c r="F2372" s="3" t="s">
        <v>7022</v>
      </c>
      <c r="G2372" s="3">
        <v>1.0</v>
      </c>
      <c r="H2372" s="3">
        <v>0.0</v>
      </c>
      <c r="I2372" s="3" t="s">
        <v>13</v>
      </c>
      <c r="J2372" s="3" t="s">
        <v>7023</v>
      </c>
      <c r="K2372" s="3" t="s">
        <v>15</v>
      </c>
      <c r="L2372" s="3" t="str">
        <f>IFERROR(__xludf.DUMMYFUNCTION("GOOGLETRANSLATE(F2372,""id"",""en"")"),"really cool this year's world cup final")</f>
        <v>really cool this year's world cup final</v>
      </c>
    </row>
    <row r="2373" ht="15.75" customHeight="1">
      <c r="A2373" s="1">
        <v>2388.0</v>
      </c>
      <c r="B2373" s="3" t="s">
        <v>7024</v>
      </c>
      <c r="C2373" s="3">
        <v>0.0</v>
      </c>
      <c r="D2373" s="3">
        <v>0.0</v>
      </c>
      <c r="E2373" s="3">
        <v>0.0</v>
      </c>
      <c r="F2373" s="3" t="s">
        <v>7024</v>
      </c>
      <c r="G2373" s="3">
        <v>0.6</v>
      </c>
      <c r="H2373" s="3">
        <v>-0.05</v>
      </c>
      <c r="I2373" s="3" t="s">
        <v>179</v>
      </c>
      <c r="J2373" s="3" t="s">
        <v>7025</v>
      </c>
      <c r="K2373" s="3" t="s">
        <v>15</v>
      </c>
      <c r="L2373" s="3" t="str">
        <f>IFERROR(__xludf.DUMMYFUNCTION("GOOGLETRANSLATE(F2373,""id"",""en"")"),"Mental I am not strong enough to watch the World Cup final match")</f>
        <v>Mental I am not strong enough to watch the World Cup final match</v>
      </c>
    </row>
    <row r="2374" ht="15.75" customHeight="1">
      <c r="A2374" s="1">
        <v>2389.0</v>
      </c>
      <c r="B2374" s="3" t="s">
        <v>7026</v>
      </c>
      <c r="C2374" s="3">
        <v>0.0</v>
      </c>
      <c r="D2374" s="3">
        <v>0.0</v>
      </c>
      <c r="E2374" s="3">
        <v>0.0</v>
      </c>
      <c r="F2374" s="3" t="s">
        <v>7027</v>
      </c>
      <c r="G2374" s="3">
        <v>1.0</v>
      </c>
      <c r="H2374" s="3">
        <v>0.0</v>
      </c>
      <c r="I2374" s="3" t="s">
        <v>13</v>
      </c>
      <c r="J2374" s="3" t="s">
        <v>7028</v>
      </c>
      <c r="K2374" s="3" t="s">
        <v>15</v>
      </c>
      <c r="L2374" s="3" t="str">
        <f>IFERROR(__xludf.DUMMYFUNCTION("GOOGLETRANSLATE(F2374,""id"",""en"")"),"The World Cup Final is the most crowded from ever watching anjjjj")</f>
        <v>The World Cup Final is the most crowded from ever watching anjjjj</v>
      </c>
    </row>
    <row r="2375" ht="15.75" customHeight="1">
      <c r="A2375" s="1">
        <v>2390.0</v>
      </c>
      <c r="B2375" s="3" t="s">
        <v>7029</v>
      </c>
      <c r="C2375" s="3">
        <v>0.0</v>
      </c>
      <c r="D2375" s="3">
        <v>0.0</v>
      </c>
      <c r="E2375" s="3">
        <v>0.0</v>
      </c>
      <c r="F2375" s="3" t="s">
        <v>7029</v>
      </c>
      <c r="G2375" s="3">
        <v>1.0</v>
      </c>
      <c r="H2375" s="3">
        <v>0.0</v>
      </c>
      <c r="I2375" s="3" t="s">
        <v>13</v>
      </c>
      <c r="J2375" s="3" t="s">
        <v>7030</v>
      </c>
      <c r="K2375" s="3" t="s">
        <v>50</v>
      </c>
      <c r="L2375" s="3" t="str">
        <f>IFERROR(__xludf.DUMMYFUNCTION("GOOGLETRANSLATE(F2375,""id"",""en"")"),"The World Cup Final this time was very exciting")</f>
        <v>The World Cup Final this time was very exciting</v>
      </c>
    </row>
    <row r="2376" ht="15.75" customHeight="1">
      <c r="A2376" s="1">
        <v>2391.0</v>
      </c>
      <c r="B2376" s="3" t="s">
        <v>7031</v>
      </c>
      <c r="C2376" s="3">
        <v>0.0</v>
      </c>
      <c r="D2376" s="3">
        <v>0.0</v>
      </c>
      <c r="E2376" s="3">
        <v>0.0</v>
      </c>
      <c r="F2376" s="3" t="s">
        <v>7031</v>
      </c>
      <c r="G2376" s="3">
        <v>1.0</v>
      </c>
      <c r="H2376" s="3">
        <v>0.0</v>
      </c>
      <c r="I2376" s="3" t="s">
        <v>13</v>
      </c>
      <c r="J2376" s="3" t="s">
        <v>7032</v>
      </c>
      <c r="K2376" s="3" t="s">
        <v>31</v>
      </c>
      <c r="L2376" s="3" t="str">
        <f>IFERROR(__xludf.DUMMYFUNCTION("GOOGLETRANSLATE(F2376,""id"",""en"")"),"really funny world cup final")</f>
        <v>really funny world cup final</v>
      </c>
    </row>
    <row r="2377" ht="15.75" customHeight="1">
      <c r="A2377" s="1">
        <v>2392.0</v>
      </c>
      <c r="B2377" s="3" t="s">
        <v>7033</v>
      </c>
      <c r="C2377" s="3">
        <v>0.0</v>
      </c>
      <c r="D2377" s="3">
        <v>0.0</v>
      </c>
      <c r="E2377" s="3">
        <v>0.0</v>
      </c>
      <c r="F2377" s="3" t="s">
        <v>7034</v>
      </c>
      <c r="G2377" s="3">
        <v>0.6</v>
      </c>
      <c r="H2377" s="3">
        <v>0.05</v>
      </c>
      <c r="I2377" s="3" t="s">
        <v>48</v>
      </c>
      <c r="J2377" s="3" t="s">
        <v>7035</v>
      </c>
      <c r="K2377" s="3" t="s">
        <v>240</v>
      </c>
      <c r="L2377" s="3" t="str">
        <f>IFERROR(__xludf.DUMMYFUNCTION("GOOGLETRANSLATE(F2377,""id"",""en"")"),"there isn't any hat trick like this, the world cup final if not crazy, this is a mbappe from his attitude, it can be fixed, he can be more than Ronaldo Messi")</f>
        <v>there isn't any hat trick like this, the world cup final if not crazy, this is a mbappe from his attitude, it can be fixed, he can be more than Ronaldo Messi</v>
      </c>
    </row>
    <row r="2378" ht="15.75" customHeight="1">
      <c r="A2378" s="1">
        <v>2393.0</v>
      </c>
      <c r="B2378" s="3" t="s">
        <v>7036</v>
      </c>
      <c r="C2378" s="3">
        <v>0.0</v>
      </c>
      <c r="D2378" s="3">
        <v>0.0</v>
      </c>
      <c r="E2378" s="3">
        <v>0.0</v>
      </c>
      <c r="F2378" s="3" t="s">
        <v>7037</v>
      </c>
      <c r="G2378" s="3">
        <v>1.0</v>
      </c>
      <c r="H2378" s="3">
        <v>0.0</v>
      </c>
      <c r="I2378" s="3" t="s">
        <v>13</v>
      </c>
      <c r="J2378" s="3" t="s">
        <v>7038</v>
      </c>
      <c r="K2378" s="3" t="s">
        <v>31</v>
      </c>
      <c r="L2378" s="3" t="str">
        <f>IFERROR(__xludf.DUMMYFUNCTION("GOOGLETRANSLATE(F2378,""id"",""en"")"),"The more hot the World Cup final")</f>
        <v>The more hot the World Cup final</v>
      </c>
    </row>
    <row r="2379" ht="15.75" customHeight="1">
      <c r="A2379" s="1">
        <v>2394.0</v>
      </c>
      <c r="B2379" s="3" t="s">
        <v>7039</v>
      </c>
      <c r="C2379" s="3">
        <v>0.0</v>
      </c>
      <c r="D2379" s="3">
        <v>0.0</v>
      </c>
      <c r="E2379" s="3">
        <v>0.0</v>
      </c>
      <c r="F2379" s="3" t="s">
        <v>7040</v>
      </c>
      <c r="G2379" s="3">
        <v>1.0</v>
      </c>
      <c r="H2379" s="3">
        <v>0.0</v>
      </c>
      <c r="I2379" s="3" t="s">
        <v>13</v>
      </c>
      <c r="J2379" s="3" t="s">
        <v>7041</v>
      </c>
      <c r="K2379" s="3" t="s">
        <v>1335</v>
      </c>
      <c r="L2379" s="3" t="str">
        <f>IFERROR(__xludf.DUMMYFUNCTION("GOOGLETRANSLATE(F2379,""id"",""en"")"),"crazy crazy this is the best final throughout the world cup")</f>
        <v>crazy crazy this is the best final throughout the world cup</v>
      </c>
    </row>
    <row r="2380" ht="15.75" customHeight="1">
      <c r="A2380" s="1">
        <v>2395.0</v>
      </c>
      <c r="B2380" s="3" t="s">
        <v>7042</v>
      </c>
      <c r="C2380" s="3">
        <v>0.0</v>
      </c>
      <c r="D2380" s="3">
        <v>0.0</v>
      </c>
      <c r="E2380" s="3">
        <v>0.0</v>
      </c>
      <c r="F2380" s="3" t="s">
        <v>7043</v>
      </c>
      <c r="G2380" s="3">
        <v>1.0</v>
      </c>
      <c r="H2380" s="3">
        <v>0.0</v>
      </c>
      <c r="I2380" s="3" t="s">
        <v>13</v>
      </c>
      <c r="J2380" s="3" t="s">
        <v>7044</v>
      </c>
      <c r="K2380" s="3" t="s">
        <v>41</v>
      </c>
      <c r="L2380" s="3" t="str">
        <f>IFERROR(__xludf.DUMMYFUNCTION("GOOGLETRANSLATE(F2380,""id"",""en"")"),"The Edan World Cup Final Hattrick is indeed Mbappe's little boss")</f>
        <v>The Edan World Cup Final Hattrick is indeed Mbappe's little boss</v>
      </c>
    </row>
    <row r="2381" ht="15.75" customHeight="1">
      <c r="A2381" s="1">
        <v>2396.0</v>
      </c>
      <c r="B2381" s="3" t="s">
        <v>7045</v>
      </c>
      <c r="C2381" s="3">
        <v>0.0</v>
      </c>
      <c r="D2381" s="3">
        <v>0.0</v>
      </c>
      <c r="E2381" s="3">
        <v>0.0</v>
      </c>
      <c r="F2381" s="3" t="s">
        <v>7046</v>
      </c>
      <c r="G2381" s="3">
        <v>1.0</v>
      </c>
      <c r="H2381" s="3">
        <v>0.0</v>
      </c>
      <c r="I2381" s="3" t="s">
        <v>13</v>
      </c>
      <c r="J2381" s="3" t="s">
        <v>7047</v>
      </c>
      <c r="K2381" s="3" t="s">
        <v>82</v>
      </c>
      <c r="L2381" s="3" t="str">
        <f>IFERROR(__xludf.DUMMYFUNCTION("GOOGLETRANSLATE(F2381,""id"",""en"")"),"The French French Argentine World Cup Final")</f>
        <v>The French French Argentine World Cup Final</v>
      </c>
    </row>
    <row r="2382" ht="15.75" customHeight="1">
      <c r="A2382" s="1">
        <v>2397.0</v>
      </c>
      <c r="B2382" s="3" t="s">
        <v>7048</v>
      </c>
      <c r="C2382" s="3">
        <v>0.0</v>
      </c>
      <c r="D2382" s="3">
        <v>0.0</v>
      </c>
      <c r="E2382" s="3">
        <v>0.0</v>
      </c>
      <c r="F2382" s="3" t="s">
        <v>7049</v>
      </c>
      <c r="G2382" s="3">
        <v>0.7288888888888888</v>
      </c>
      <c r="H2382" s="3">
        <v>0.1544444444444444</v>
      </c>
      <c r="I2382" s="3" t="s">
        <v>48</v>
      </c>
      <c r="J2382" s="3" t="s">
        <v>7050</v>
      </c>
      <c r="K2382" s="3" t="s">
        <v>75</v>
      </c>
      <c r="L2382" s="3" t="str">
        <f>IFERROR(__xludf.DUMMYFUNCTION("GOOGLETRANSLATE(F2382,""id"",""en"")"),"Apart from all the World Cup Final this year Super Duper Very Epic")</f>
        <v>Apart from all the World Cup Final this year Super Duper Very Epic</v>
      </c>
    </row>
    <row r="2383" ht="15.75" customHeight="1">
      <c r="A2383" s="1">
        <v>2398.0</v>
      </c>
      <c r="B2383" s="3" t="s">
        <v>7051</v>
      </c>
      <c r="C2383" s="3">
        <v>0.0</v>
      </c>
      <c r="D2383" s="3">
        <v>0.0</v>
      </c>
      <c r="E2383" s="3">
        <v>0.0</v>
      </c>
      <c r="F2383" s="3" t="s">
        <v>7052</v>
      </c>
      <c r="G2383" s="3">
        <v>1.0</v>
      </c>
      <c r="H2383" s="3">
        <v>0.0</v>
      </c>
      <c r="I2383" s="3" t="s">
        <v>13</v>
      </c>
      <c r="J2383" s="3" t="s">
        <v>7053</v>
      </c>
      <c r="K2383" s="3" t="s">
        <v>82</v>
      </c>
      <c r="L2383" s="3" t="str">
        <f>IFERROR(__xludf.DUMMYFUNCTION("GOOGLETRANSLATE(F2383,""id"",""en"")"),"The World Cup Final was excited during my life")</f>
        <v>The World Cup Final was excited during my life</v>
      </c>
    </row>
    <row r="2384" ht="15.75" customHeight="1">
      <c r="A2384" s="1">
        <v>2399.0</v>
      </c>
      <c r="B2384" s="3" t="s">
        <v>7054</v>
      </c>
      <c r="C2384" s="3">
        <v>0.0</v>
      </c>
      <c r="D2384" s="3">
        <v>0.0</v>
      </c>
      <c r="E2384" s="3">
        <v>1.0</v>
      </c>
      <c r="F2384" s="3" t="s">
        <v>7055</v>
      </c>
      <c r="G2384" s="3">
        <v>1.0</v>
      </c>
      <c r="H2384" s="3">
        <v>0.0</v>
      </c>
      <c r="I2384" s="3" t="s">
        <v>13</v>
      </c>
      <c r="J2384" s="3" t="s">
        <v>7056</v>
      </c>
      <c r="K2384" s="3" t="s">
        <v>41</v>
      </c>
      <c r="L2384" s="3" t="str">
        <f>IFERROR(__xludf.DUMMYFUNCTION("GOOGLETRANSLATE(F2384,""id"",""en"")"),"Since the first time watching this World Cup, I think the final is the best")</f>
        <v>Since the first time watching this World Cup, I think the final is the best</v>
      </c>
    </row>
    <row r="2385" ht="15.75" customHeight="1">
      <c r="A2385" s="1">
        <v>2400.0</v>
      </c>
      <c r="B2385" s="3" t="s">
        <v>7057</v>
      </c>
      <c r="C2385" s="3">
        <v>0.0</v>
      </c>
      <c r="D2385" s="3">
        <v>0.0</v>
      </c>
      <c r="E2385" s="3">
        <v>0.0</v>
      </c>
      <c r="F2385" s="3" t="s">
        <v>7058</v>
      </c>
      <c r="G2385" s="3">
        <v>1.0</v>
      </c>
      <c r="H2385" s="3">
        <v>0.0</v>
      </c>
      <c r="I2385" s="3" t="s">
        <v>13</v>
      </c>
      <c r="J2385" s="3" t="s">
        <v>6682</v>
      </c>
      <c r="K2385" s="3" t="s">
        <v>31</v>
      </c>
      <c r="L2385" s="3" t="str">
        <f>IFERROR(__xludf.DUMMYFUNCTION("GOOGLETRANSLATE(F2385,""id"",""en"")"),"World Crazy World Cup Final")</f>
        <v>World Crazy World Cup Final</v>
      </c>
    </row>
    <row r="2386" ht="15.75" customHeight="1">
      <c r="A2386" s="1">
        <v>2401.0</v>
      </c>
      <c r="B2386" s="3" t="s">
        <v>7059</v>
      </c>
      <c r="C2386" s="3">
        <v>0.0</v>
      </c>
      <c r="D2386" s="3">
        <v>0.0</v>
      </c>
      <c r="E2386" s="3">
        <v>1.0</v>
      </c>
      <c r="F2386" s="3" t="s">
        <v>7060</v>
      </c>
      <c r="G2386" s="3">
        <v>1.0</v>
      </c>
      <c r="H2386" s="3">
        <v>0.0</v>
      </c>
      <c r="I2386" s="3" t="s">
        <v>13</v>
      </c>
      <c r="J2386" s="3" t="s">
        <v>7061</v>
      </c>
      <c r="K2386" s="3" t="s">
        <v>236</v>
      </c>
      <c r="L2386" s="3" t="str">
        <f>IFERROR(__xludf.DUMMYFUNCTION("GOOGLETRANSLATE(F2386,""id"",""en"")"),"Gokil, this is the final of the most exciting world cup.")</f>
        <v>Gokil, this is the final of the most exciting world cup.</v>
      </c>
    </row>
    <row r="2387" ht="15.75" customHeight="1">
      <c r="A2387" s="1">
        <v>2402.0</v>
      </c>
      <c r="B2387" s="3" t="s">
        <v>7062</v>
      </c>
      <c r="C2387" s="3">
        <v>0.0</v>
      </c>
      <c r="D2387" s="3">
        <v>0.0</v>
      </c>
      <c r="E2387" s="3">
        <v>0.0</v>
      </c>
      <c r="F2387" s="3" t="s">
        <v>6509</v>
      </c>
      <c r="G2387" s="3">
        <v>1.0</v>
      </c>
      <c r="H2387" s="3">
        <v>0.0</v>
      </c>
      <c r="I2387" s="3" t="s">
        <v>13</v>
      </c>
      <c r="J2387" s="3" t="s">
        <v>6510</v>
      </c>
      <c r="K2387" s="3" t="s">
        <v>644</v>
      </c>
      <c r="L2387" s="3" t="str">
        <f>IFERROR(__xludf.DUMMYFUNCTION("GOOGLETRANSLATE(F2387,""id"",""en"")"),"This is only the World Cup final")</f>
        <v>This is only the World Cup final</v>
      </c>
    </row>
    <row r="2388" ht="15.75" customHeight="1">
      <c r="A2388" s="1">
        <v>2403.0</v>
      </c>
      <c r="B2388" s="3" t="s">
        <v>7063</v>
      </c>
      <c r="C2388" s="3">
        <v>0.0</v>
      </c>
      <c r="D2388" s="3">
        <v>0.0</v>
      </c>
      <c r="E2388" s="3">
        <v>0.0</v>
      </c>
      <c r="F2388" s="3" t="s">
        <v>7064</v>
      </c>
      <c r="G2388" s="3">
        <v>1.0</v>
      </c>
      <c r="H2388" s="3">
        <v>0.0</v>
      </c>
      <c r="I2388" s="3" t="s">
        <v>13</v>
      </c>
      <c r="J2388" s="3" t="s">
        <v>7065</v>
      </c>
      <c r="K2388" s="3" t="s">
        <v>54</v>
      </c>
      <c r="L2388" s="3" t="str">
        <f>IFERROR(__xludf.DUMMYFUNCTION("GOOGLETRANSLATE(F2388,""id"",""en"")"),"The World Cup Final is really crazy")</f>
        <v>The World Cup Final is really crazy</v>
      </c>
    </row>
    <row r="2389" ht="15.75" customHeight="1">
      <c r="A2389" s="1">
        <v>2404.0</v>
      </c>
      <c r="B2389" s="3" t="s">
        <v>7066</v>
      </c>
      <c r="C2389" s="3">
        <v>0.0</v>
      </c>
      <c r="D2389" s="3">
        <v>0.0</v>
      </c>
      <c r="E2389" s="3">
        <v>0.0</v>
      </c>
      <c r="F2389" s="3" t="s">
        <v>7067</v>
      </c>
      <c r="G2389" s="3">
        <v>1.0</v>
      </c>
      <c r="H2389" s="3">
        <v>0.0</v>
      </c>
      <c r="I2389" s="3" t="s">
        <v>13</v>
      </c>
      <c r="J2389" s="3" t="s">
        <v>7068</v>
      </c>
      <c r="K2389" s="3" t="s">
        <v>82</v>
      </c>
      <c r="L2389" s="3" t="str">
        <f>IFERROR(__xludf.DUMMYFUNCTION("GOOGLETRANSLATE(F2389,""id"",""en"")"),"Looks like this will be the most exciting world cup final")</f>
        <v>Looks like this will be the most exciting world cup final</v>
      </c>
    </row>
    <row r="2390" ht="15.75" customHeight="1">
      <c r="A2390" s="1">
        <v>2405.0</v>
      </c>
      <c r="B2390" s="3" t="s">
        <v>7069</v>
      </c>
      <c r="C2390" s="3">
        <v>1.0</v>
      </c>
      <c r="D2390" s="3">
        <v>0.0</v>
      </c>
      <c r="E2390" s="3">
        <v>0.0</v>
      </c>
      <c r="F2390" s="3" t="s">
        <v>7070</v>
      </c>
      <c r="G2390" s="3">
        <v>0.75</v>
      </c>
      <c r="H2390" s="3">
        <v>0.06818181818181818</v>
      </c>
      <c r="I2390" s="3" t="s">
        <v>48</v>
      </c>
      <c r="J2390" s="3" t="s">
        <v>7071</v>
      </c>
      <c r="K2390" s="3" t="s">
        <v>1293</v>
      </c>
      <c r="L2390" s="3" t="str">
        <f>IFERROR(__xludf.DUMMYFUNCTION("GOOGLETRANSLATE(F2390,""id"",""en"")"),"additional minutes to the French Argentine penalty Link Live Streaming Argentina France tonight WIB World Cup Final")</f>
        <v>additional minutes to the French Argentine penalty Link Live Streaming Argentina France tonight WIB World Cup Final</v>
      </c>
    </row>
    <row r="2391" ht="15.75" customHeight="1">
      <c r="A2391" s="1">
        <v>2406.0</v>
      </c>
      <c r="B2391" s="3" t="s">
        <v>7072</v>
      </c>
      <c r="C2391" s="3">
        <v>0.0</v>
      </c>
      <c r="D2391" s="3">
        <v>0.0</v>
      </c>
      <c r="E2391" s="3">
        <v>0.0</v>
      </c>
      <c r="F2391" s="3" t="s">
        <v>7073</v>
      </c>
      <c r="G2391" s="3">
        <v>1.0</v>
      </c>
      <c r="H2391" s="3">
        <v>0.0</v>
      </c>
      <c r="I2391" s="3" t="s">
        <v>13</v>
      </c>
      <c r="J2391" s="3" t="s">
        <v>7074</v>
      </c>
      <c r="K2391" s="3" t="s">
        <v>82</v>
      </c>
      <c r="L2391" s="3" t="str">
        <f>IFERROR(__xludf.DUMMYFUNCTION("GOOGLETRANSLATE(F2391,""id"",""en"")"),"Luckily, I watched this kind of world cup final")</f>
        <v>Luckily, I watched this kind of world cup final</v>
      </c>
    </row>
    <row r="2392" ht="15.75" customHeight="1">
      <c r="A2392" s="1">
        <v>2407.0</v>
      </c>
      <c r="B2392" s="3" t="s">
        <v>7075</v>
      </c>
      <c r="C2392" s="3">
        <v>0.0</v>
      </c>
      <c r="D2392" s="3">
        <v>0.0</v>
      </c>
      <c r="E2392" s="3">
        <v>0.0</v>
      </c>
      <c r="F2392" s="3" t="s">
        <v>7076</v>
      </c>
      <c r="G2392" s="3">
        <v>1.0</v>
      </c>
      <c r="H2392" s="3">
        <v>0.0</v>
      </c>
      <c r="I2392" s="3" t="s">
        <v>13</v>
      </c>
      <c r="J2392" s="3" t="s">
        <v>7077</v>
      </c>
      <c r="K2392" s="3" t="s">
        <v>54</v>
      </c>
      <c r="L2392" s="3" t="str">
        <f>IFERROR(__xludf.DUMMYFUNCTION("GOOGLETRANSLATE(F2392,""id"",""en"")"),"The World Cup Final is the most exciting")</f>
        <v>The World Cup Final is the most exciting</v>
      </c>
    </row>
    <row r="2393" ht="15.75" customHeight="1">
      <c r="A2393" s="1">
        <v>2408.0</v>
      </c>
      <c r="B2393" s="3" t="s">
        <v>7078</v>
      </c>
      <c r="C2393" s="3">
        <v>0.0</v>
      </c>
      <c r="D2393" s="3">
        <v>0.0</v>
      </c>
      <c r="E2393" s="3">
        <v>0.0</v>
      </c>
      <c r="F2393" s="3" t="s">
        <v>7079</v>
      </c>
      <c r="G2393" s="3">
        <v>1.0</v>
      </c>
      <c r="H2393" s="3">
        <v>0.0</v>
      </c>
      <c r="I2393" s="3" t="s">
        <v>13</v>
      </c>
      <c r="J2393" s="3" t="s">
        <v>7080</v>
      </c>
      <c r="K2393" s="3" t="s">
        <v>31</v>
      </c>
      <c r="L2393" s="3" t="str">
        <f>IFERROR(__xludf.DUMMYFUNCTION("GOOGLETRANSLATE(F2393,""id"",""en"")"),"World Cup Final Most Magic")</f>
        <v>World Cup Final Most Magic</v>
      </c>
    </row>
    <row r="2394" ht="15.75" customHeight="1">
      <c r="A2394" s="1">
        <v>2409.0</v>
      </c>
      <c r="B2394" s="3" t="s">
        <v>7081</v>
      </c>
      <c r="C2394" s="3">
        <v>0.0</v>
      </c>
      <c r="D2394" s="3">
        <v>0.0</v>
      </c>
      <c r="E2394" s="3">
        <v>0.0</v>
      </c>
      <c r="F2394" s="3" t="s">
        <v>7082</v>
      </c>
      <c r="G2394" s="3">
        <v>1.0</v>
      </c>
      <c r="H2394" s="3">
        <v>0.0</v>
      </c>
      <c r="I2394" s="3" t="s">
        <v>13</v>
      </c>
      <c r="J2394" s="3" t="s">
        <v>7083</v>
      </c>
      <c r="K2394" s="3" t="s">
        <v>31</v>
      </c>
      <c r="L2394" s="3" t="str">
        <f>IFERROR(__xludf.DUMMYFUNCTION("GOOGLETRANSLATE(F2394,""id"",""en"")"),"World Cup Final Most Gokill")</f>
        <v>World Cup Final Most Gokill</v>
      </c>
    </row>
    <row r="2395" ht="15.75" customHeight="1">
      <c r="A2395" s="1">
        <v>2410.0</v>
      </c>
      <c r="B2395" s="3" t="s">
        <v>7084</v>
      </c>
      <c r="C2395" s="3">
        <v>0.0</v>
      </c>
      <c r="D2395" s="3">
        <v>0.0</v>
      </c>
      <c r="E2395" s="3">
        <v>1.0</v>
      </c>
      <c r="F2395" s="3" t="s">
        <v>7085</v>
      </c>
      <c r="G2395" s="3">
        <v>1.0</v>
      </c>
      <c r="H2395" s="3">
        <v>0.0</v>
      </c>
      <c r="I2395" s="3" t="s">
        <v>13</v>
      </c>
      <c r="J2395" s="3" t="s">
        <v>7086</v>
      </c>
      <c r="K2395" s="3" t="s">
        <v>54</v>
      </c>
      <c r="L2395" s="3" t="str">
        <f>IFERROR(__xludf.DUMMYFUNCTION("GOOGLETRANSLATE(F2395,""id"",""en"")"),"The World Cup Final has been watched")</f>
        <v>The World Cup Final has been watched</v>
      </c>
    </row>
    <row r="2396" ht="15.75" customHeight="1">
      <c r="A2396" s="1">
        <v>2411.0</v>
      </c>
      <c r="B2396" s="3" t="s">
        <v>7087</v>
      </c>
      <c r="C2396" s="3">
        <v>0.0</v>
      </c>
      <c r="D2396" s="3">
        <v>0.0</v>
      </c>
      <c r="E2396" s="3">
        <v>0.0</v>
      </c>
      <c r="F2396" s="3" t="s">
        <v>7088</v>
      </c>
      <c r="G2396" s="3">
        <v>1.0</v>
      </c>
      <c r="H2396" s="3">
        <v>0.0</v>
      </c>
      <c r="I2396" s="3" t="s">
        <v>13</v>
      </c>
      <c r="J2396" s="3" t="s">
        <v>7089</v>
      </c>
      <c r="K2396" s="3" t="s">
        <v>644</v>
      </c>
      <c r="L2396" s="3" t="str">
        <f>IFERROR(__xludf.DUMMYFUNCTION("GOOGLETRANSLATE(F2396,""id"",""en"")"),"Crazy World Cup Final")</f>
        <v>Crazy World Cup Final</v>
      </c>
    </row>
    <row r="2397" ht="15.75" customHeight="1">
      <c r="A2397" s="1">
        <v>2412.0</v>
      </c>
      <c r="B2397" s="3" t="s">
        <v>7090</v>
      </c>
      <c r="C2397" s="3">
        <v>0.0</v>
      </c>
      <c r="D2397" s="3">
        <v>0.0</v>
      </c>
      <c r="E2397" s="3">
        <v>0.0</v>
      </c>
      <c r="F2397" s="3" t="s">
        <v>7091</v>
      </c>
      <c r="G2397" s="3">
        <v>1.0</v>
      </c>
      <c r="H2397" s="3">
        <v>0.0</v>
      </c>
      <c r="I2397" s="3" t="s">
        <v>13</v>
      </c>
      <c r="J2397" s="3" t="s">
        <v>7092</v>
      </c>
      <c r="K2397" s="3" t="s">
        <v>54</v>
      </c>
      <c r="L2397" s="3" t="str">
        <f>IFERROR(__xludf.DUMMYFUNCTION("GOOGLETRANSLATE(F2397,""id"",""en"")"),"INYMI Final World Cup Most Crazyaaaaa")</f>
        <v>INYMI Final World Cup Most Crazyaaaaa</v>
      </c>
    </row>
    <row r="2398" ht="15.75" customHeight="1">
      <c r="A2398" s="1">
        <v>2413.0</v>
      </c>
      <c r="B2398" s="3" t="s">
        <v>7093</v>
      </c>
      <c r="C2398" s="3">
        <v>0.0</v>
      </c>
      <c r="D2398" s="3">
        <v>0.0</v>
      </c>
      <c r="E2398" s="3">
        <v>0.0</v>
      </c>
      <c r="F2398" s="3" t="s">
        <v>7094</v>
      </c>
      <c r="G2398" s="3">
        <v>1.0</v>
      </c>
      <c r="H2398" s="3">
        <v>0.0</v>
      </c>
      <c r="I2398" s="3" t="s">
        <v>13</v>
      </c>
      <c r="J2398" s="3" t="s">
        <v>7095</v>
      </c>
      <c r="K2398" s="3" t="s">
        <v>15</v>
      </c>
      <c r="L2398" s="3" t="str">
        <f>IFERROR(__xludf.DUMMYFUNCTION("GOOGLETRANSLATE(F2398,""id"",""en"")"),"Hattrick The World Cup Final is the better the little boss")</f>
        <v>Hattrick The World Cup Final is the better the little boss</v>
      </c>
    </row>
    <row r="2399" ht="15.75" customHeight="1">
      <c r="A2399" s="1">
        <v>2414.0</v>
      </c>
      <c r="B2399" s="3" t="s">
        <v>7096</v>
      </c>
      <c r="C2399" s="3">
        <v>0.0</v>
      </c>
      <c r="D2399" s="3">
        <v>0.0</v>
      </c>
      <c r="E2399" s="3">
        <v>0.0</v>
      </c>
      <c r="F2399" s="3" t="s">
        <v>7097</v>
      </c>
      <c r="G2399" s="3">
        <v>1.0</v>
      </c>
      <c r="H2399" s="3">
        <v>0.0</v>
      </c>
      <c r="I2399" s="3" t="s">
        <v>13</v>
      </c>
      <c r="J2399" s="3" t="s">
        <v>7098</v>
      </c>
      <c r="K2399" s="3" t="s">
        <v>15</v>
      </c>
      <c r="L2399" s="3" t="str">
        <f>IFERROR(__xludf.DUMMYFUNCTION("GOOGLETRANSLATE(F2399,""id"",""en"")"),"The Most Exciting World Cup Final Match ever watched")</f>
        <v>The Most Exciting World Cup Final Match ever watched</v>
      </c>
    </row>
    <row r="2400" ht="15.75" customHeight="1">
      <c r="A2400" s="1">
        <v>2415.0</v>
      </c>
      <c r="B2400" s="3" t="s">
        <v>7099</v>
      </c>
      <c r="C2400" s="3">
        <v>0.0</v>
      </c>
      <c r="D2400" s="3">
        <v>0.0</v>
      </c>
      <c r="E2400" s="3">
        <v>3.0</v>
      </c>
      <c r="F2400" s="3" t="s">
        <v>7100</v>
      </c>
      <c r="G2400" s="3">
        <v>1.0</v>
      </c>
      <c r="H2400" s="3">
        <v>0.0</v>
      </c>
      <c r="I2400" s="3" t="s">
        <v>13</v>
      </c>
      <c r="J2400" s="3" t="s">
        <v>7101</v>
      </c>
      <c r="K2400" s="3" t="s">
        <v>75</v>
      </c>
      <c r="L2400" s="3" t="str">
        <f>IFERROR(__xludf.DUMMYFUNCTION("GOOGLETRANSLATE(F2400,""id"",""en"")"),"This time the World Cup is really crazy from the group to the final.")</f>
        <v>This time the World Cup is really crazy from the group to the final.</v>
      </c>
    </row>
    <row r="2401" ht="15.75" customHeight="1">
      <c r="A2401" s="1">
        <v>2416.0</v>
      </c>
      <c r="B2401" s="3" t="s">
        <v>7102</v>
      </c>
      <c r="C2401" s="3">
        <v>0.0</v>
      </c>
      <c r="D2401" s="3">
        <v>0.0</v>
      </c>
      <c r="E2401" s="3">
        <v>0.0</v>
      </c>
      <c r="F2401" s="3" t="s">
        <v>7103</v>
      </c>
      <c r="G2401" s="3">
        <v>1.0</v>
      </c>
      <c r="H2401" s="3">
        <v>0.0</v>
      </c>
      <c r="I2401" s="3" t="s">
        <v>13</v>
      </c>
      <c r="J2401" s="3" t="s">
        <v>7104</v>
      </c>
      <c r="K2401" s="3" t="s">
        <v>71</v>
      </c>
      <c r="L2401" s="3" t="str">
        <f>IFERROR(__xludf.DUMMYFUNCTION("GOOGLETRANSLATE(F2401,""id"",""en"")"),"mbappe bnr, what have you been doing, the previous life until you can get the world of the World Cup Final Hattrick")</f>
        <v>mbappe bnr, what have you been doing, the previous life until you can get the world of the World Cup Final Hattrick</v>
      </c>
    </row>
    <row r="2402" ht="15.75" customHeight="1">
      <c r="A2402" s="1">
        <v>2417.0</v>
      </c>
      <c r="B2402" s="3" t="s">
        <v>7105</v>
      </c>
      <c r="C2402" s="3">
        <v>0.0</v>
      </c>
      <c r="D2402" s="3">
        <v>0.0</v>
      </c>
      <c r="E2402" s="3">
        <v>0.0</v>
      </c>
      <c r="F2402" s="3" t="s">
        <v>7106</v>
      </c>
      <c r="G2402" s="3">
        <v>1.0</v>
      </c>
      <c r="H2402" s="3">
        <v>0.0</v>
      </c>
      <c r="I2402" s="3" t="s">
        <v>13</v>
      </c>
      <c r="J2402" s="3" t="s">
        <v>7107</v>
      </c>
      <c r="K2402" s="3" t="s">
        <v>15</v>
      </c>
      <c r="L2402" s="3" t="str">
        <f>IFERROR(__xludf.DUMMYFUNCTION("GOOGLETRANSLATE(F2402,""id"",""en"")"),"Final World Cup Gokil Early Anyep End of Hot")</f>
        <v>Final World Cup Gokil Early Anyep End of Hot</v>
      </c>
    </row>
    <row r="2403" ht="15.75" customHeight="1">
      <c r="A2403" s="1">
        <v>2418.0</v>
      </c>
      <c r="B2403" s="3" t="s">
        <v>7108</v>
      </c>
      <c r="C2403" s="3">
        <v>0.0</v>
      </c>
      <c r="D2403" s="3">
        <v>0.0</v>
      </c>
      <c r="E2403" s="3">
        <v>0.0</v>
      </c>
      <c r="F2403" s="3" t="s">
        <v>7109</v>
      </c>
      <c r="G2403" s="3">
        <v>1.0</v>
      </c>
      <c r="H2403" s="3">
        <v>0.0</v>
      </c>
      <c r="I2403" s="3" t="s">
        <v>13</v>
      </c>
      <c r="J2403" s="3" t="s">
        <v>7110</v>
      </c>
      <c r="K2403" s="3" t="s">
        <v>127</v>
      </c>
      <c r="L2403" s="3" t="str">
        <f>IFERROR(__xludf.DUMMYFUNCTION("GOOGLETRANSLATE(F2403,""id"",""en"")"),"Astaghfirullah stress times watching the World Cup final left over the remaining minutes should win Argentina can be usually a dramatic mbappe penalty")</f>
        <v>Astaghfirullah stress times watching the World Cup final left over the remaining minutes should win Argentina can be usually a dramatic mbappe penalty</v>
      </c>
    </row>
    <row r="2404" ht="15.75" customHeight="1">
      <c r="A2404" s="1">
        <v>2419.0</v>
      </c>
      <c r="B2404" s="3" t="s">
        <v>7111</v>
      </c>
      <c r="C2404" s="3">
        <v>1.0</v>
      </c>
      <c r="D2404" s="3">
        <v>45.0</v>
      </c>
      <c r="E2404" s="3">
        <v>50.0</v>
      </c>
      <c r="F2404" s="3" t="s">
        <v>7112</v>
      </c>
      <c r="G2404" s="3">
        <v>1.0</v>
      </c>
      <c r="H2404" s="3">
        <v>0.0</v>
      </c>
      <c r="I2404" s="3" t="s">
        <v>13</v>
      </c>
      <c r="J2404" s="3" t="s">
        <v>7113</v>
      </c>
      <c r="K2404" s="3" t="s">
        <v>71</v>
      </c>
      <c r="L2404" s="3" t="str">
        <f>IFERROR(__xludf.DUMMYFUNCTION("GOOGLETRANSLATE(F2404,""id"",""en"")"),"Mbappe Jetrik First Hatrik World Cup Final Since Edition Disassembled by striker England At that time Geoffrey Hurst")</f>
        <v>Mbappe Jetrik First Hatrik World Cup Final Since Edition Disassembled by striker England At that time Geoffrey Hurst</v>
      </c>
    </row>
    <row r="2405" ht="15.75" customHeight="1">
      <c r="A2405" s="1">
        <v>2420.0</v>
      </c>
      <c r="B2405" s="3" t="s">
        <v>7114</v>
      </c>
      <c r="C2405" s="3">
        <v>0.0</v>
      </c>
      <c r="D2405" s="3">
        <v>1.0</v>
      </c>
      <c r="E2405" s="3">
        <v>0.0</v>
      </c>
      <c r="F2405" s="3" t="s">
        <v>7115</v>
      </c>
      <c r="G2405" s="3">
        <v>1.0</v>
      </c>
      <c r="H2405" s="3">
        <v>0.0</v>
      </c>
      <c r="I2405" s="3" t="s">
        <v>13</v>
      </c>
      <c r="J2405" s="3" t="s">
        <v>7116</v>
      </c>
      <c r="K2405" s="3" t="s">
        <v>82</v>
      </c>
      <c r="L2405" s="3" t="str">
        <f>IFERROR(__xludf.DUMMYFUNCTION("GOOGLETRANSLATE(F2405,""id"",""en"")"),"watching the World Cup but this is the final why tense bgt wkwkwk")</f>
        <v>watching the World Cup but this is the final why tense bgt wkwkwk</v>
      </c>
    </row>
    <row r="2406" ht="15.75" customHeight="1">
      <c r="A2406" s="1">
        <v>2421.0</v>
      </c>
      <c r="B2406" s="3" t="s">
        <v>7117</v>
      </c>
      <c r="C2406" s="3">
        <v>0.0</v>
      </c>
      <c r="D2406" s="3">
        <v>0.0</v>
      </c>
      <c r="E2406" s="3">
        <v>0.0</v>
      </c>
      <c r="F2406" s="3" t="s">
        <v>7118</v>
      </c>
      <c r="G2406" s="3">
        <v>1.0</v>
      </c>
      <c r="H2406" s="3">
        <v>0.0</v>
      </c>
      <c r="I2406" s="3" t="s">
        <v>13</v>
      </c>
      <c r="J2406" s="3" t="s">
        <v>7119</v>
      </c>
      <c r="K2406" s="3" t="s">
        <v>41</v>
      </c>
      <c r="L2406" s="3" t="str">
        <f>IFERROR(__xludf.DUMMYFUNCTION("GOOGLETRANSLATE(F2406,""id"",""en"")"),"As long as I watched the World Cup final only in the year Grazy")</f>
        <v>As long as I watched the World Cup final only in the year Grazy</v>
      </c>
    </row>
    <row r="2407" ht="15.75" customHeight="1">
      <c r="A2407" s="1">
        <v>2422.0</v>
      </c>
      <c r="B2407" s="3" t="s">
        <v>7120</v>
      </c>
      <c r="C2407" s="3">
        <v>0.0</v>
      </c>
      <c r="D2407" s="3">
        <v>0.0</v>
      </c>
      <c r="E2407" s="3">
        <v>0.0</v>
      </c>
      <c r="F2407" s="3" t="s">
        <v>7121</v>
      </c>
      <c r="G2407" s="3">
        <v>1.0</v>
      </c>
      <c r="H2407" s="3">
        <v>0.0</v>
      </c>
      <c r="I2407" s="3" t="s">
        <v>13</v>
      </c>
      <c r="J2407" s="3" t="s">
        <v>7122</v>
      </c>
      <c r="K2407" s="3" t="s">
        <v>644</v>
      </c>
      <c r="L2407" s="3" t="str">
        <f>IFERROR(__xludf.DUMMYFUNCTION("GOOGLETRANSLATE(F2407,""id"",""en"")"),"The World Cup Final for Bagging")</f>
        <v>The World Cup Final for Bagging</v>
      </c>
    </row>
    <row r="2408" ht="15.75" customHeight="1">
      <c r="A2408" s="1">
        <v>2423.0</v>
      </c>
      <c r="B2408" s="3" t="s">
        <v>7123</v>
      </c>
      <c r="C2408" s="3">
        <v>0.0</v>
      </c>
      <c r="D2408" s="3">
        <v>0.0</v>
      </c>
      <c r="E2408" s="3">
        <v>1.0</v>
      </c>
      <c r="F2408" s="3" t="s">
        <v>7124</v>
      </c>
      <c r="G2408" s="3">
        <v>1.0</v>
      </c>
      <c r="H2408" s="3">
        <v>0.0</v>
      </c>
      <c r="I2408" s="3" t="s">
        <v>13</v>
      </c>
      <c r="J2408" s="3" t="s">
        <v>7125</v>
      </c>
      <c r="K2408" s="3" t="s">
        <v>31</v>
      </c>
      <c r="L2408" s="3" t="str">
        <f>IFERROR(__xludf.DUMMYFUNCTION("GOOGLETRANSLATE(F2408,""id"",""en"")"),"World Cup Final with Pinal of Wkwkwk")</f>
        <v>World Cup Final with Pinal of Wkwkwk</v>
      </c>
    </row>
    <row r="2409" ht="15.75" customHeight="1">
      <c r="A2409" s="1">
        <v>2424.0</v>
      </c>
      <c r="B2409" s="3" t="s">
        <v>7126</v>
      </c>
      <c r="C2409" s="3">
        <v>0.0</v>
      </c>
      <c r="D2409" s="3">
        <v>1.0</v>
      </c>
      <c r="E2409" s="3">
        <v>6.0</v>
      </c>
      <c r="F2409" s="3" t="s">
        <v>7127</v>
      </c>
      <c r="G2409" s="3">
        <v>1.0</v>
      </c>
      <c r="H2409" s="3">
        <v>0.0</v>
      </c>
      <c r="I2409" s="3" t="s">
        <v>13</v>
      </c>
      <c r="J2409" s="3" t="s">
        <v>7128</v>
      </c>
      <c r="K2409" s="3" t="s">
        <v>75</v>
      </c>
      <c r="L2409" s="3" t="str">
        <f>IFERROR(__xludf.DUMMYFUNCTION("GOOGLETRANSLATE(F2409,""id"",""en"")"),"I will tell me my grandchildren's grandchildren of the best World Cup final match")</f>
        <v>I will tell me my grandchildren's grandchildren of the best World Cup final match</v>
      </c>
    </row>
    <row r="2410" ht="15.75" customHeight="1">
      <c r="A2410" s="1">
        <v>2425.0</v>
      </c>
      <c r="B2410" s="3" t="s">
        <v>7129</v>
      </c>
      <c r="C2410" s="3">
        <v>0.0</v>
      </c>
      <c r="D2410" s="3">
        <v>1.0</v>
      </c>
      <c r="E2410" s="3">
        <v>0.0</v>
      </c>
      <c r="F2410" s="3" t="s">
        <v>7130</v>
      </c>
      <c r="G2410" s="3">
        <v>1.0</v>
      </c>
      <c r="H2410" s="3">
        <v>0.0</v>
      </c>
      <c r="I2410" s="3" t="s">
        <v>13</v>
      </c>
      <c r="J2410" s="3" t="s">
        <v>7131</v>
      </c>
      <c r="K2410" s="3" t="s">
        <v>657</v>
      </c>
      <c r="L2410" s="3" t="str">
        <f>IFERROR(__xludf.DUMMYFUNCTION("GOOGLETRANSLATE(F2410,""id"",""en"")"),"Whoever the champion we all agreed this was one of the best soccer matches and was once excited to have the World Cup Final")</f>
        <v>Whoever the champion we all agreed this was one of the best soccer matches and was once excited to have the World Cup Final</v>
      </c>
    </row>
    <row r="2411" ht="15.75" customHeight="1">
      <c r="A2411" s="1">
        <v>2426.0</v>
      </c>
      <c r="B2411" s="3" t="s">
        <v>7132</v>
      </c>
      <c r="C2411" s="3">
        <v>0.0</v>
      </c>
      <c r="D2411" s="3">
        <v>1.0</v>
      </c>
      <c r="E2411" s="3">
        <v>1.0</v>
      </c>
      <c r="F2411" s="3" t="s">
        <v>7133</v>
      </c>
      <c r="G2411" s="3">
        <v>1.0</v>
      </c>
      <c r="H2411" s="3">
        <v>0.0</v>
      </c>
      <c r="I2411" s="3" t="s">
        <v>13</v>
      </c>
      <c r="J2411" s="3" t="s">
        <v>7134</v>
      </c>
      <c r="K2411" s="3" t="s">
        <v>15</v>
      </c>
      <c r="L2411" s="3" t="str">
        <f>IFERROR(__xludf.DUMMYFUNCTION("GOOGLETRANSLATE(F2411,""id"",""en"")"),"Year of the World Cup Final Hattrick on this age")</f>
        <v>Year of the World Cup Final Hattrick on this age</v>
      </c>
    </row>
    <row r="2412" ht="15.75" customHeight="1">
      <c r="A2412" s="1">
        <v>2427.0</v>
      </c>
      <c r="B2412" s="3" t="s">
        <v>7135</v>
      </c>
      <c r="C2412" s="3">
        <v>1.0</v>
      </c>
      <c r="D2412" s="3">
        <v>0.0</v>
      </c>
      <c r="E2412" s="3">
        <v>0.0</v>
      </c>
      <c r="F2412" s="3" t="s">
        <v>7136</v>
      </c>
      <c r="G2412" s="3">
        <v>1.0</v>
      </c>
      <c r="H2412" s="3">
        <v>0.0</v>
      </c>
      <c r="I2412" s="3" t="s">
        <v>13</v>
      </c>
      <c r="J2412" s="3" t="s">
        <v>7137</v>
      </c>
      <c r="K2412" s="3" t="s">
        <v>82</v>
      </c>
      <c r="L2412" s="3" t="str">
        <f>IFERROR(__xludf.DUMMYFUNCTION("GOOGLETRANSLATE(F2412,""id"",""en"")"),"Gokil brought home the world cup final football")</f>
        <v>Gokil brought home the world cup final football</v>
      </c>
    </row>
    <row r="2413" ht="15.75" customHeight="1">
      <c r="A2413" s="1">
        <v>2428.0</v>
      </c>
      <c r="B2413" s="3" t="s">
        <v>7138</v>
      </c>
      <c r="C2413" s="3">
        <v>0.0</v>
      </c>
      <c r="D2413" s="3">
        <v>0.0</v>
      </c>
      <c r="E2413" s="3">
        <v>0.0</v>
      </c>
      <c r="F2413" s="3" t="s">
        <v>7139</v>
      </c>
      <c r="G2413" s="3">
        <v>1.0</v>
      </c>
      <c r="H2413" s="3">
        <v>0.0</v>
      </c>
      <c r="I2413" s="3" t="s">
        <v>13</v>
      </c>
      <c r="J2413" s="3" t="s">
        <v>7140</v>
      </c>
      <c r="K2413" s="3" t="s">
        <v>41</v>
      </c>
      <c r="L2413" s="3" t="str">
        <f>IFERROR(__xludf.DUMMYFUNCTION("GOOGLETRANSLATE(F2413,""id"",""en"")"),"The most inconsequential world cup finals are just still conceding")</f>
        <v>The most inconsequential world cup finals are just still conceding</v>
      </c>
    </row>
    <row r="2414" ht="15.75" customHeight="1">
      <c r="A2414" s="1">
        <v>2429.0</v>
      </c>
      <c r="B2414" s="3" t="s">
        <v>7141</v>
      </c>
      <c r="C2414" s="3">
        <v>0.0</v>
      </c>
      <c r="D2414" s="3">
        <v>0.0</v>
      </c>
      <c r="E2414" s="3">
        <v>0.0</v>
      </c>
      <c r="F2414" s="3" t="s">
        <v>642</v>
      </c>
      <c r="G2414" s="3">
        <v>1.0</v>
      </c>
      <c r="H2414" s="3">
        <v>0.0</v>
      </c>
      <c r="I2414" s="3" t="s">
        <v>13</v>
      </c>
      <c r="J2414" s="3" t="s">
        <v>643</v>
      </c>
      <c r="K2414" s="3" t="s">
        <v>644</v>
      </c>
      <c r="L2414" s="3" t="str">
        <f>IFERROR(__xludf.DUMMYFUNCTION("GOOGLETRANSLATE(F2414,""id"",""en"")"),"The World Cup Final was shocked")</f>
        <v>The World Cup Final was shocked</v>
      </c>
    </row>
    <row r="2415" ht="15.75" customHeight="1">
      <c r="A2415" s="1">
        <v>2430.0</v>
      </c>
      <c r="B2415" s="3" t="s">
        <v>7142</v>
      </c>
      <c r="C2415" s="3">
        <v>5.0</v>
      </c>
      <c r="D2415" s="3">
        <v>37.0</v>
      </c>
      <c r="E2415" s="3">
        <v>42.0</v>
      </c>
      <c r="F2415" s="3" t="s">
        <v>7143</v>
      </c>
      <c r="G2415" s="3">
        <v>1.0</v>
      </c>
      <c r="H2415" s="3">
        <v>0.0</v>
      </c>
      <c r="I2415" s="3" t="s">
        <v>13</v>
      </c>
      <c r="J2415" s="3" t="s">
        <v>7144</v>
      </c>
      <c r="K2415" s="3" t="s">
        <v>1097</v>
      </c>
      <c r="L2415" s="3" t="str">
        <f>IFERROR(__xludf.DUMMYFUNCTION("GOOGLETRANSLATE(F2415,""id"",""en"")"),"Anjirrr degdegan watching the World Cup final like watching Drakor")</f>
        <v>Anjirrr degdegan watching the World Cup final like watching Drakor</v>
      </c>
    </row>
    <row r="2416" ht="15.75" customHeight="1">
      <c r="A2416" s="1">
        <v>2431.0</v>
      </c>
      <c r="B2416" s="3" t="s">
        <v>7145</v>
      </c>
      <c r="C2416" s="3">
        <v>0.0</v>
      </c>
      <c r="D2416" s="3">
        <v>0.0</v>
      </c>
      <c r="E2416" s="3">
        <v>1.0</v>
      </c>
      <c r="F2416" s="3" t="s">
        <v>7146</v>
      </c>
      <c r="G2416" s="3">
        <v>1.0</v>
      </c>
      <c r="H2416" s="3">
        <v>0.0</v>
      </c>
      <c r="I2416" s="3" t="s">
        <v>13</v>
      </c>
      <c r="J2416" s="3" t="s">
        <v>7147</v>
      </c>
      <c r="K2416" s="3" t="s">
        <v>31</v>
      </c>
      <c r="L2416" s="3" t="str">
        <f>IFERROR(__xludf.DUMMYFUNCTION("GOOGLETRANSLATE(F2416,""id"",""en"")"),"World Cup Final Most Edyan")</f>
        <v>World Cup Final Most Edyan</v>
      </c>
    </row>
    <row r="2417" ht="15.75" customHeight="1">
      <c r="A2417" s="1">
        <v>2432.0</v>
      </c>
      <c r="B2417" s="3" t="s">
        <v>7148</v>
      </c>
      <c r="C2417" s="3">
        <v>0.0</v>
      </c>
      <c r="D2417" s="3">
        <v>0.0</v>
      </c>
      <c r="E2417" s="3">
        <v>0.0</v>
      </c>
      <c r="F2417" s="3" t="s">
        <v>665</v>
      </c>
      <c r="G2417" s="3">
        <v>1.0</v>
      </c>
      <c r="H2417" s="3">
        <v>0.0</v>
      </c>
      <c r="I2417" s="3" t="s">
        <v>13</v>
      </c>
      <c r="J2417" s="3" t="s">
        <v>666</v>
      </c>
      <c r="K2417" s="3" t="s">
        <v>644</v>
      </c>
      <c r="L2417" s="3" t="str">
        <f>IFERROR(__xludf.DUMMYFUNCTION("GOOGLETRANSLATE(F2417,""id"",""en"")"),"the best world cup final")</f>
        <v>the best world cup final</v>
      </c>
    </row>
    <row r="2418" ht="15.75" customHeight="1">
      <c r="A2418" s="1">
        <v>2433.0</v>
      </c>
      <c r="B2418" s="3" t="s">
        <v>7149</v>
      </c>
      <c r="C2418" s="3">
        <v>0.0</v>
      </c>
      <c r="D2418" s="3">
        <v>0.0</v>
      </c>
      <c r="E2418" s="3">
        <v>0.0</v>
      </c>
      <c r="F2418" s="3" t="s">
        <v>7150</v>
      </c>
      <c r="G2418" s="3">
        <v>1.0</v>
      </c>
      <c r="H2418" s="3">
        <v>0.0</v>
      </c>
      <c r="I2418" s="3" t="s">
        <v>13</v>
      </c>
      <c r="J2418" s="3" t="s">
        <v>7151</v>
      </c>
      <c r="K2418" s="3" t="s">
        <v>58</v>
      </c>
      <c r="L2418" s="3" t="str">
        <f>IFERROR(__xludf.DUMMYFUNCTION("GOOGLETRANSLATE(F2418,""id"",""en"")"),"Really this world cup is the most bastard hahahahahahaha exciting bangeeeetttt at the beginning of the preliminary until the final")</f>
        <v>Really this world cup is the most bastard hahahahahahaha exciting bangeeeetttt at the beginning of the preliminary until the final</v>
      </c>
    </row>
    <row r="2419" ht="15.75" customHeight="1">
      <c r="A2419" s="1">
        <v>2434.0</v>
      </c>
      <c r="B2419" s="3" t="s">
        <v>7152</v>
      </c>
      <c r="C2419" s="3">
        <v>0.0</v>
      </c>
      <c r="D2419" s="3">
        <v>0.0</v>
      </c>
      <c r="E2419" s="3">
        <v>0.0</v>
      </c>
      <c r="F2419" s="3" t="s">
        <v>7153</v>
      </c>
      <c r="G2419" s="3">
        <v>1.0</v>
      </c>
      <c r="H2419" s="3">
        <v>0.0</v>
      </c>
      <c r="I2419" s="3" t="s">
        <v>13</v>
      </c>
      <c r="J2419" s="3" t="s">
        <v>7154</v>
      </c>
      <c r="K2419" s="3" t="s">
        <v>75</v>
      </c>
      <c r="L2419" s="3" t="str">
        <f>IFERROR(__xludf.DUMMYFUNCTION("GOOGLETRANSLATE(F2419,""id"",""en"")"),"The World Cup final is usually anti -climax or minimal goals are amazing")</f>
        <v>The World Cup final is usually anti -climax or minimal goals are amazing</v>
      </c>
    </row>
    <row r="2420" ht="15.75" customHeight="1">
      <c r="A2420" s="1">
        <v>2435.0</v>
      </c>
      <c r="B2420" s="3" t="s">
        <v>7155</v>
      </c>
      <c r="C2420" s="3">
        <v>0.0</v>
      </c>
      <c r="D2420" s="3">
        <v>0.0</v>
      </c>
      <c r="E2420" s="3">
        <v>0.0</v>
      </c>
      <c r="F2420" s="3" t="s">
        <v>7155</v>
      </c>
      <c r="G2420" s="3">
        <v>1.0</v>
      </c>
      <c r="H2420" s="3">
        <v>0.0</v>
      </c>
      <c r="I2420" s="3" t="s">
        <v>13</v>
      </c>
      <c r="J2420" s="3" t="s">
        <v>7156</v>
      </c>
      <c r="K2420" s="3" t="s">
        <v>644</v>
      </c>
      <c r="L2420" s="3" t="str">
        <f>IFERROR(__xludf.DUMMYFUNCTION("GOOGLETRANSLATE(F2420,""id"",""en"")"),"Gokilzz World Cup Final")</f>
        <v>Gokilzz World Cup Final</v>
      </c>
    </row>
    <row r="2421" ht="15.75" customHeight="1">
      <c r="A2421" s="1">
        <v>2436.0</v>
      </c>
      <c r="B2421" s="3" t="s">
        <v>7157</v>
      </c>
      <c r="C2421" s="3">
        <v>0.0</v>
      </c>
      <c r="D2421" s="3">
        <v>0.0</v>
      </c>
      <c r="E2421" s="3">
        <v>0.0</v>
      </c>
      <c r="F2421" s="3" t="s">
        <v>7158</v>
      </c>
      <c r="G2421" s="3">
        <v>1.0</v>
      </c>
      <c r="H2421" s="3">
        <v>0.0</v>
      </c>
      <c r="I2421" s="3" t="s">
        <v>13</v>
      </c>
      <c r="J2421" s="3" t="s">
        <v>7159</v>
      </c>
      <c r="K2421" s="3" t="s">
        <v>7160</v>
      </c>
      <c r="L2421" s="3" t="str">
        <f>IFERROR(__xludf.DUMMYFUNCTION("GOOGLETRANSLATE(F2421,""id"",""en"")"),"World Cup Final Final")</f>
        <v>World Cup Final Final</v>
      </c>
    </row>
    <row r="2422" ht="15.75" customHeight="1">
      <c r="A2422" s="1">
        <v>2437.0</v>
      </c>
      <c r="B2422" s="3" t="s">
        <v>7161</v>
      </c>
      <c r="C2422" s="3">
        <v>0.0</v>
      </c>
      <c r="D2422" s="3">
        <v>0.0</v>
      </c>
      <c r="E2422" s="3">
        <v>3.0</v>
      </c>
      <c r="F2422" s="3" t="s">
        <v>7162</v>
      </c>
      <c r="G2422" s="3">
        <v>0.4166666666666666</v>
      </c>
      <c r="H2422" s="3">
        <v>0.08333333333333333</v>
      </c>
      <c r="I2422" s="3" t="s">
        <v>48</v>
      </c>
      <c r="J2422" s="3" t="s">
        <v>7163</v>
      </c>
      <c r="K2422" s="3" t="s">
        <v>1942</v>
      </c>
      <c r="L2422" s="3" t="str">
        <f>IFERROR(__xludf.DUMMYFUNCTION("GOOGLETRANSLATE(F2422,""id"",""en"")"),"Really the most interesting Nobar seeing playing the world of the World Cup Final is very proud Kylian Mbappe even though playing without Pogba and Benzema Penalti sparrow and frustrate the most lively Argentine Festive French Argentina")</f>
        <v>Really the most interesting Nobar seeing playing the world of the World Cup Final is very proud Kylian Mbappe even though playing without Pogba and Benzema Penalti sparrow and frustrate the most lively Argentine Festive French Argentina</v>
      </c>
    </row>
    <row r="2423" ht="15.75" customHeight="1">
      <c r="A2423" s="1">
        <v>2438.0</v>
      </c>
      <c r="B2423" s="3" t="s">
        <v>7164</v>
      </c>
      <c r="C2423" s="3">
        <v>0.0</v>
      </c>
      <c r="D2423" s="3">
        <v>0.0</v>
      </c>
      <c r="E2423" s="3">
        <v>0.0</v>
      </c>
      <c r="F2423" s="3" t="s">
        <v>7165</v>
      </c>
      <c r="G2423" s="3">
        <v>1.0</v>
      </c>
      <c r="H2423" s="3">
        <v>0.0</v>
      </c>
      <c r="I2423" s="3" t="s">
        <v>13</v>
      </c>
      <c r="J2423" s="3" t="s">
        <v>7166</v>
      </c>
      <c r="K2423" s="3" t="s">
        <v>31</v>
      </c>
      <c r="L2423" s="3" t="str">
        <f>IFERROR(__xludf.DUMMYFUNCTION("GOOGLETRANSLATE(F2423,""id"",""en"")"),"World Cup Final Hatrick Year")</f>
        <v>World Cup Final Hatrick Year</v>
      </c>
    </row>
    <row r="2424" ht="15.75" customHeight="1">
      <c r="A2424" s="1">
        <v>2439.0</v>
      </c>
      <c r="B2424" s="3" t="s">
        <v>7167</v>
      </c>
      <c r="C2424" s="3">
        <v>0.0</v>
      </c>
      <c r="D2424" s="3">
        <v>0.0</v>
      </c>
      <c r="E2424" s="3">
        <v>0.0</v>
      </c>
      <c r="F2424" s="3" t="s">
        <v>7168</v>
      </c>
      <c r="G2424" s="3">
        <v>1.0</v>
      </c>
      <c r="H2424" s="3">
        <v>0.0</v>
      </c>
      <c r="I2424" s="3" t="s">
        <v>13</v>
      </c>
      <c r="J2424" s="3" t="s">
        <v>7169</v>
      </c>
      <c r="K2424" s="3" t="s">
        <v>54</v>
      </c>
      <c r="L2424" s="3" t="str">
        <f>IFERROR(__xludf.DUMMYFUNCTION("GOOGLETRANSLATE(F2424,""id"",""en"")"),"The most dramatic World Cup final ever")</f>
        <v>The most dramatic World Cup final ever</v>
      </c>
    </row>
    <row r="2425" ht="15.75" customHeight="1">
      <c r="A2425" s="1">
        <v>2440.0</v>
      </c>
      <c r="B2425" s="3" t="s">
        <v>7170</v>
      </c>
      <c r="C2425" s="3">
        <v>0.0</v>
      </c>
      <c r="D2425" s="3">
        <v>0.0</v>
      </c>
      <c r="E2425" s="3">
        <v>0.0</v>
      </c>
      <c r="F2425" s="3" t="s">
        <v>7171</v>
      </c>
      <c r="G2425" s="3">
        <v>1.0</v>
      </c>
      <c r="H2425" s="3">
        <v>0.0</v>
      </c>
      <c r="I2425" s="3" t="s">
        <v>13</v>
      </c>
      <c r="J2425" s="3" t="s">
        <v>7172</v>
      </c>
      <c r="K2425" s="3" t="s">
        <v>82</v>
      </c>
      <c r="L2425" s="3" t="str">
        <f>IFERROR(__xludf.DUMMYFUNCTION("GOOGLETRANSLATE(F2425,""id"",""en"")"),"Crazy Hattrick Pas Final World Cup Mbappe")</f>
        <v>Crazy Hattrick Pas Final World Cup Mbappe</v>
      </c>
    </row>
    <row r="2426" ht="15.75" customHeight="1">
      <c r="A2426" s="1">
        <v>2441.0</v>
      </c>
      <c r="B2426" s="3" t="s">
        <v>7173</v>
      </c>
      <c r="C2426" s="3">
        <v>0.0</v>
      </c>
      <c r="D2426" s="3">
        <v>0.0</v>
      </c>
      <c r="E2426" s="3">
        <v>3.0</v>
      </c>
      <c r="F2426" s="3" t="s">
        <v>7174</v>
      </c>
      <c r="G2426" s="3">
        <v>1.0</v>
      </c>
      <c r="H2426" s="3">
        <v>0.0</v>
      </c>
      <c r="I2426" s="3" t="s">
        <v>13</v>
      </c>
      <c r="J2426" s="3" t="s">
        <v>7175</v>
      </c>
      <c r="K2426" s="3" t="s">
        <v>82</v>
      </c>
      <c r="L2426" s="3" t="str">
        <f>IFERROR(__xludf.DUMMYFUNCTION("GOOGLETRANSLATE(F2426,""id"",""en"")"),"Whoever the winner is the most exciting world cup final")</f>
        <v>Whoever the winner is the most exciting world cup final</v>
      </c>
    </row>
    <row r="2427" ht="15.75" customHeight="1">
      <c r="A2427" s="1">
        <v>2442.0</v>
      </c>
      <c r="B2427" s="3" t="s">
        <v>7176</v>
      </c>
      <c r="C2427" s="3">
        <v>0.0</v>
      </c>
      <c r="D2427" s="3">
        <v>5.0</v>
      </c>
      <c r="E2427" s="3">
        <v>1.0</v>
      </c>
      <c r="F2427" s="3" t="s">
        <v>7177</v>
      </c>
      <c r="G2427" s="3">
        <v>1.0</v>
      </c>
      <c r="H2427" s="3">
        <v>0.0</v>
      </c>
      <c r="I2427" s="3" t="s">
        <v>13</v>
      </c>
      <c r="J2427" s="3" t="s">
        <v>7178</v>
      </c>
      <c r="K2427" s="3" t="s">
        <v>75</v>
      </c>
      <c r="L2427" s="3" t="str">
        <f>IFERROR(__xludf.DUMMYFUNCTION("GOOGLETRANSLATE(F2427,""id"",""en"")"),"thanks Allah is still given the opportunity to live to watch the World Cup final")</f>
        <v>thanks Allah is still given the opportunity to live to watch the World Cup final</v>
      </c>
    </row>
    <row r="2428" ht="15.75" customHeight="1">
      <c r="A2428" s="1">
        <v>2443.0</v>
      </c>
      <c r="B2428" s="3" t="s">
        <v>7179</v>
      </c>
      <c r="C2428" s="3">
        <v>0.0</v>
      </c>
      <c r="D2428" s="3">
        <v>0.0</v>
      </c>
      <c r="E2428" s="3">
        <v>0.0</v>
      </c>
      <c r="F2428" s="3" t="s">
        <v>7180</v>
      </c>
      <c r="G2428" s="3">
        <v>1.0</v>
      </c>
      <c r="H2428" s="3">
        <v>0.0</v>
      </c>
      <c r="I2428" s="3" t="s">
        <v>13</v>
      </c>
      <c r="J2428" s="3" t="s">
        <v>7181</v>
      </c>
      <c r="K2428" s="3" t="s">
        <v>31</v>
      </c>
      <c r="L2428" s="3" t="str">
        <f>IFERROR(__xludf.DUMMYFUNCTION("GOOGLETRANSLATE(F2428,""id"",""en"")"),"Crazy This is the World Cup Final, I was excited")</f>
        <v>Crazy This is the World Cup Final, I was excited</v>
      </c>
    </row>
    <row r="2429" ht="15.75" customHeight="1">
      <c r="A2429" s="1">
        <v>2444.0</v>
      </c>
      <c r="B2429" s="3" t="s">
        <v>7182</v>
      </c>
      <c r="C2429" s="3">
        <v>0.0</v>
      </c>
      <c r="D2429" s="3">
        <v>0.0</v>
      </c>
      <c r="E2429" s="3">
        <v>0.0</v>
      </c>
      <c r="F2429" s="3" t="s">
        <v>7183</v>
      </c>
      <c r="G2429" s="3">
        <v>1.0</v>
      </c>
      <c r="H2429" s="3">
        <v>0.0</v>
      </c>
      <c r="I2429" s="3" t="s">
        <v>13</v>
      </c>
      <c r="J2429" s="3" t="s">
        <v>7184</v>
      </c>
      <c r="K2429" s="3" t="s">
        <v>54</v>
      </c>
      <c r="L2429" s="3" t="str">
        <f>IFERROR(__xludf.DUMMYFUNCTION("GOOGLETRANSLATE(F2429,""id"",""en"")"),"the most exciting world cup final")</f>
        <v>the most exciting world cup final</v>
      </c>
    </row>
    <row r="2430" ht="15.75" customHeight="1">
      <c r="A2430" s="1">
        <v>2445.0</v>
      </c>
      <c r="B2430" s="3" t="s">
        <v>7185</v>
      </c>
      <c r="C2430" s="3">
        <v>0.0</v>
      </c>
      <c r="D2430" s="3">
        <v>0.0</v>
      </c>
      <c r="E2430" s="3">
        <v>0.0</v>
      </c>
      <c r="F2430" s="3" t="s">
        <v>7186</v>
      </c>
      <c r="G2430" s="3">
        <v>1.0</v>
      </c>
      <c r="H2430" s="3">
        <v>0.0</v>
      </c>
      <c r="I2430" s="3" t="s">
        <v>13</v>
      </c>
      <c r="J2430" s="3" t="s">
        <v>7187</v>
      </c>
      <c r="K2430" s="3" t="s">
        <v>644</v>
      </c>
      <c r="L2430" s="3" t="str">
        <f>IFERROR(__xludf.DUMMYFUNCTION("GOOGLETRANSLATE(F2430,""id"",""en"")"),"Final World Cup Sangar")</f>
        <v>Final World Cup Sangar</v>
      </c>
    </row>
    <row r="2431" ht="15.75" customHeight="1">
      <c r="A2431" s="1">
        <v>2446.0</v>
      </c>
      <c r="B2431" s="3" t="s">
        <v>7188</v>
      </c>
      <c r="C2431" s="3">
        <v>0.0</v>
      </c>
      <c r="D2431" s="3">
        <v>0.0</v>
      </c>
      <c r="E2431" s="3">
        <v>0.0</v>
      </c>
      <c r="F2431" s="3" t="s">
        <v>5601</v>
      </c>
      <c r="G2431" s="3">
        <v>1.0</v>
      </c>
      <c r="H2431" s="3">
        <v>0.0</v>
      </c>
      <c r="I2431" s="3" t="s">
        <v>13</v>
      </c>
      <c r="J2431" s="3" t="s">
        <v>5602</v>
      </c>
      <c r="K2431" s="3" t="s">
        <v>31</v>
      </c>
      <c r="L2431" s="3" t="str">
        <f>IFERROR(__xludf.DUMMYFUNCTION("GOOGLETRANSLATE(F2431,""id"",""en"")"),"The Best World Cup Final So far")</f>
        <v>The Best World Cup Final So far</v>
      </c>
    </row>
    <row r="2432" ht="15.75" customHeight="1">
      <c r="A2432" s="1">
        <v>2447.0</v>
      </c>
      <c r="B2432" s="3" t="s">
        <v>7189</v>
      </c>
      <c r="C2432" s="3">
        <v>0.0</v>
      </c>
      <c r="D2432" s="3">
        <v>0.0</v>
      </c>
      <c r="E2432" s="3">
        <v>0.0</v>
      </c>
      <c r="F2432" s="3" t="s">
        <v>7190</v>
      </c>
      <c r="G2432" s="3">
        <v>1.0</v>
      </c>
      <c r="H2432" s="3">
        <v>0.0</v>
      </c>
      <c r="I2432" s="3" t="s">
        <v>13</v>
      </c>
      <c r="J2432" s="3" t="s">
        <v>7191</v>
      </c>
      <c r="K2432" s="3" t="s">
        <v>82</v>
      </c>
      <c r="L2432" s="3" t="str">
        <f>IFERROR(__xludf.DUMMYFUNCTION("GOOGLETRANSLATE(F2432,""id"",""en"")"),"Very entertaining crazy World Cup Final")</f>
        <v>Very entertaining crazy World Cup Final</v>
      </c>
    </row>
    <row r="2433" ht="15.75" customHeight="1">
      <c r="A2433" s="1">
        <v>2448.0</v>
      </c>
      <c r="B2433" s="3" t="s">
        <v>7192</v>
      </c>
      <c r="C2433" s="3">
        <v>0.0</v>
      </c>
      <c r="D2433" s="3">
        <v>2.0</v>
      </c>
      <c r="E2433" s="3">
        <v>1.0</v>
      </c>
      <c r="F2433" s="3" t="s">
        <v>7193</v>
      </c>
      <c r="G2433" s="3">
        <v>1.0</v>
      </c>
      <c r="H2433" s="3">
        <v>0.0</v>
      </c>
      <c r="I2433" s="3" t="s">
        <v>13</v>
      </c>
      <c r="J2433" s="3" t="s">
        <v>7194</v>
      </c>
      <c r="K2433" s="3" t="s">
        <v>6674</v>
      </c>
      <c r="L2433" s="3" t="str">
        <f>IFERROR(__xludf.DUMMYFUNCTION("GOOGLETRANSLATE(F2433,""id"",""en"")"),"Mbappe Hattrick is not just any Hattrick Hattrick of the World Cup Final")</f>
        <v>Mbappe Hattrick is not just any Hattrick Hattrick of the World Cup Final</v>
      </c>
    </row>
    <row r="2434" ht="15.75" customHeight="1">
      <c r="A2434" s="1">
        <v>2449.0</v>
      </c>
      <c r="B2434" s="3" t="s">
        <v>7195</v>
      </c>
      <c r="C2434" s="3">
        <v>0.0</v>
      </c>
      <c r="D2434" s="3">
        <v>0.0</v>
      </c>
      <c r="E2434" s="3">
        <v>0.0</v>
      </c>
      <c r="F2434" s="3" t="s">
        <v>7196</v>
      </c>
      <c r="G2434" s="3">
        <v>1.0</v>
      </c>
      <c r="H2434" s="3">
        <v>0.0</v>
      </c>
      <c r="I2434" s="3" t="s">
        <v>13</v>
      </c>
      <c r="J2434" s="3" t="s">
        <v>7197</v>
      </c>
      <c r="K2434" s="3" t="s">
        <v>82</v>
      </c>
      <c r="L2434" s="3" t="str">
        <f>IFERROR(__xludf.DUMMYFUNCTION("GOOGLETRANSLATE(F2434,""id"",""en"")"),"Later we will tell the children and grandchildren about the Qatar World Cup Final")</f>
        <v>Later we will tell the children and grandchildren about the Qatar World Cup Final</v>
      </c>
    </row>
    <row r="2435" ht="15.75" customHeight="1">
      <c r="A2435" s="1">
        <v>2450.0</v>
      </c>
      <c r="B2435" s="3" t="s">
        <v>7198</v>
      </c>
      <c r="C2435" s="3">
        <v>0.0</v>
      </c>
      <c r="D2435" s="3">
        <v>0.0</v>
      </c>
      <c r="E2435" s="3">
        <v>0.0</v>
      </c>
      <c r="F2435" s="3" t="s">
        <v>7199</v>
      </c>
      <c r="G2435" s="3">
        <v>1.0</v>
      </c>
      <c r="H2435" s="3">
        <v>0.0</v>
      </c>
      <c r="I2435" s="3" t="s">
        <v>13</v>
      </c>
      <c r="J2435" s="3" t="s">
        <v>7200</v>
      </c>
      <c r="K2435" s="3" t="s">
        <v>31</v>
      </c>
      <c r="L2435" s="3" t="str">
        <f>IFERROR(__xludf.DUMMYFUNCTION("GOOGLETRANSLATE(F2435,""id"",""en"")"),"World Cup Final Hat Trick")</f>
        <v>World Cup Final Hat Trick</v>
      </c>
    </row>
    <row r="2436" ht="15.75" customHeight="1">
      <c r="A2436" s="1">
        <v>2451.0</v>
      </c>
      <c r="B2436" s="3" t="s">
        <v>7201</v>
      </c>
      <c r="C2436" s="3">
        <v>0.0</v>
      </c>
      <c r="D2436" s="3">
        <v>0.0</v>
      </c>
      <c r="E2436" s="3">
        <v>6.0</v>
      </c>
      <c r="F2436" s="3" t="s">
        <v>7202</v>
      </c>
      <c r="G2436" s="3">
        <v>1.0</v>
      </c>
      <c r="H2436" s="3">
        <v>0.0</v>
      </c>
      <c r="I2436" s="3" t="s">
        <v>13</v>
      </c>
      <c r="J2436" s="3" t="s">
        <v>7203</v>
      </c>
      <c r="K2436" s="3" t="s">
        <v>82</v>
      </c>
      <c r="L2436" s="3" t="str">
        <f>IFERROR(__xludf.DUMMYFUNCTION("GOOGLETRANSLATE(F2436,""id"",""en"")"),"Argentina French World Cup final minute position")</f>
        <v>Argentina French World Cup final minute position</v>
      </c>
    </row>
    <row r="2437" ht="15.75" customHeight="1">
      <c r="A2437" s="1">
        <v>2452.0</v>
      </c>
      <c r="B2437" s="3" t="s">
        <v>7204</v>
      </c>
      <c r="C2437" s="3">
        <v>0.0</v>
      </c>
      <c r="D2437" s="3">
        <v>1.0</v>
      </c>
      <c r="E2437" s="3">
        <v>1.0</v>
      </c>
      <c r="F2437" s="3" t="s">
        <v>7205</v>
      </c>
      <c r="G2437" s="3">
        <v>1.0</v>
      </c>
      <c r="H2437" s="3">
        <v>0.0</v>
      </c>
      <c r="I2437" s="3" t="s">
        <v>13</v>
      </c>
      <c r="J2437" s="3" t="s">
        <v>7206</v>
      </c>
      <c r="K2437" s="3" t="s">
        <v>54</v>
      </c>
      <c r="L2437" s="3" t="str">
        <f>IFERROR(__xludf.DUMMYFUNCTION("GOOGLETRANSLATE(F2437,""id"",""en"")"),"The Real Final World Cup Coook")</f>
        <v>The Real Final World Cup Coook</v>
      </c>
    </row>
    <row r="2438" ht="15.75" customHeight="1">
      <c r="A2438" s="1">
        <v>2453.0</v>
      </c>
      <c r="B2438" s="3" t="s">
        <v>7207</v>
      </c>
      <c r="C2438" s="3">
        <v>0.0</v>
      </c>
      <c r="D2438" s="3">
        <v>0.0</v>
      </c>
      <c r="E2438" s="3">
        <v>0.0</v>
      </c>
      <c r="F2438" s="3" t="s">
        <v>7208</v>
      </c>
      <c r="G2438" s="3">
        <v>1.0</v>
      </c>
      <c r="H2438" s="3">
        <v>0.0</v>
      </c>
      <c r="I2438" s="3" t="s">
        <v>13</v>
      </c>
      <c r="J2438" s="3" t="s">
        <v>7209</v>
      </c>
      <c r="K2438" s="3" t="s">
        <v>54</v>
      </c>
      <c r="L2438" s="3" t="str">
        <f>IFERROR(__xludf.DUMMYFUNCTION("GOOGLETRANSLATE(F2438,""id"",""en"")"),"Really tired of watching the World Cup Final")</f>
        <v>Really tired of watching the World Cup Final</v>
      </c>
    </row>
    <row r="2439" ht="15.75" customHeight="1">
      <c r="A2439" s="1">
        <v>2454.0</v>
      </c>
      <c r="B2439" s="3" t="s">
        <v>7210</v>
      </c>
      <c r="C2439" s="3">
        <v>0.0</v>
      </c>
      <c r="D2439" s="3">
        <v>0.0</v>
      </c>
      <c r="E2439" s="3">
        <v>0.0</v>
      </c>
      <c r="F2439" s="3" t="s">
        <v>7211</v>
      </c>
      <c r="G2439" s="3">
        <v>1.0</v>
      </c>
      <c r="H2439" s="3">
        <v>0.0</v>
      </c>
      <c r="I2439" s="3" t="s">
        <v>13</v>
      </c>
      <c r="J2439" s="3" t="s">
        <v>7212</v>
      </c>
      <c r="K2439" s="3" t="s">
        <v>644</v>
      </c>
      <c r="L2439" s="3" t="str">
        <f>IFERROR(__xludf.DUMMYFUNCTION("GOOGLETRANSLATE(F2439,""id"",""en"")"),"The World Cup Final")</f>
        <v>The World Cup Final</v>
      </c>
    </row>
    <row r="2440" ht="15.75" customHeight="1">
      <c r="A2440" s="1">
        <v>2455.0</v>
      </c>
      <c r="B2440" s="3" t="s">
        <v>7213</v>
      </c>
      <c r="C2440" s="3">
        <v>1.0</v>
      </c>
      <c r="D2440" s="3">
        <v>48.0</v>
      </c>
      <c r="E2440" s="3">
        <v>39.0</v>
      </c>
      <c r="F2440" s="3" t="s">
        <v>7214</v>
      </c>
      <c r="G2440" s="3">
        <v>1.0</v>
      </c>
      <c r="H2440" s="3">
        <v>0.0</v>
      </c>
      <c r="I2440" s="3" t="s">
        <v>13</v>
      </c>
      <c r="J2440" s="3" t="s">
        <v>7215</v>
      </c>
      <c r="K2440" s="3" t="s">
        <v>308</v>
      </c>
      <c r="L2440" s="3" t="str">
        <f>IFERROR(__xludf.DUMMYFUNCTION("GOOGLETRANSLATE(F2440,""id"",""en"")"),"I don't think anyone wins Argentina or France I consider this to be the most dramatic world cup final the most interesting surprises are watched and the most goals are crazyaaaaaaa")</f>
        <v>I don't think anyone wins Argentina or France I consider this to be the most dramatic world cup final the most interesting surprises are watched and the most goals are crazyaaaaaaa</v>
      </c>
    </row>
    <row r="2441" ht="15.75" customHeight="1">
      <c r="A2441" s="1">
        <v>2456.0</v>
      </c>
      <c r="B2441" s="3" t="s">
        <v>7216</v>
      </c>
      <c r="C2441" s="3">
        <v>1.0</v>
      </c>
      <c r="D2441" s="3">
        <v>0.0</v>
      </c>
      <c r="E2441" s="3">
        <v>0.0</v>
      </c>
      <c r="F2441" s="3" t="s">
        <v>7217</v>
      </c>
      <c r="G2441" s="3">
        <v>1.0</v>
      </c>
      <c r="H2441" s="3">
        <v>0.0</v>
      </c>
      <c r="I2441" s="3" t="s">
        <v>13</v>
      </c>
      <c r="J2441" s="3" t="s">
        <v>7218</v>
      </c>
      <c r="K2441" s="3" t="s">
        <v>41</v>
      </c>
      <c r="L2441" s="3" t="str">
        <f>IFERROR(__xludf.DUMMYFUNCTION("GOOGLETRANSLATE(F2441,""id"",""en"")"),"The most exciting world cup final I ever watched the original")</f>
        <v>The most exciting world cup final I ever watched the original</v>
      </c>
    </row>
    <row r="2442" ht="15.75" customHeight="1">
      <c r="A2442" s="1">
        <v>2457.0</v>
      </c>
      <c r="B2442" s="3" t="s">
        <v>7219</v>
      </c>
      <c r="C2442" s="3">
        <v>0.0</v>
      </c>
      <c r="D2442" s="3">
        <v>0.0</v>
      </c>
      <c r="E2442" s="3">
        <v>0.0</v>
      </c>
      <c r="F2442" s="3" t="s">
        <v>7220</v>
      </c>
      <c r="G2442" s="3">
        <v>1.0</v>
      </c>
      <c r="H2442" s="3">
        <v>0.0</v>
      </c>
      <c r="I2442" s="3" t="s">
        <v>13</v>
      </c>
      <c r="J2442" s="3" t="s">
        <v>7221</v>
      </c>
      <c r="K2442" s="3" t="s">
        <v>54</v>
      </c>
      <c r="L2442" s="3" t="str">
        <f>IFERROR(__xludf.DUMMYFUNCTION("GOOGLETRANSLATE(F2442,""id"",""en"")"),"This is the World Cup Final or Avatar Way Water")</f>
        <v>This is the World Cup Final or Avatar Way Water</v>
      </c>
    </row>
    <row r="2443" ht="15.75" customHeight="1">
      <c r="A2443" s="1">
        <v>2458.0</v>
      </c>
      <c r="B2443" s="3" t="s">
        <v>7222</v>
      </c>
      <c r="C2443" s="3">
        <v>0.0</v>
      </c>
      <c r="D2443" s="3">
        <v>0.0</v>
      </c>
      <c r="E2443" s="3">
        <v>3.0</v>
      </c>
      <c r="F2443" s="3" t="s">
        <v>7223</v>
      </c>
      <c r="G2443" s="3">
        <v>1.0</v>
      </c>
      <c r="H2443" s="3">
        <v>0.0</v>
      </c>
      <c r="I2443" s="3" t="s">
        <v>13</v>
      </c>
      <c r="J2443" s="3" t="s">
        <v>7224</v>
      </c>
      <c r="K2443" s="3" t="s">
        <v>90</v>
      </c>
      <c r="L2443" s="3" t="str">
        <f>IFERROR(__xludf.DUMMYFUNCTION("GOOGLETRANSLATE(F2443,""id"",""en"")"),"Lionel Messi drove Argentina to France for the final time of the World Cup Tango's final time to be closer to the championship trophy")</f>
        <v>Lionel Messi drove Argentina to France for the final time of the World Cup Tango's final time to be closer to the championship trophy</v>
      </c>
    </row>
    <row r="2444" ht="15.75" customHeight="1">
      <c r="A2444" s="1">
        <v>2459.0</v>
      </c>
      <c r="B2444" s="3" t="s">
        <v>7225</v>
      </c>
      <c r="C2444" s="3">
        <v>0.0</v>
      </c>
      <c r="D2444" s="3">
        <v>0.0</v>
      </c>
      <c r="E2444" s="3">
        <v>0.0</v>
      </c>
      <c r="F2444" s="3" t="s">
        <v>7226</v>
      </c>
      <c r="G2444" s="3">
        <v>1.0</v>
      </c>
      <c r="H2444" s="3">
        <v>0.0</v>
      </c>
      <c r="I2444" s="3" t="s">
        <v>13</v>
      </c>
      <c r="J2444" s="3" t="s">
        <v>7227</v>
      </c>
      <c r="K2444" s="3" t="s">
        <v>54</v>
      </c>
      <c r="L2444" s="3" t="str">
        <f>IFERROR(__xludf.DUMMYFUNCTION("GOOGLETRANSLATE(F2444,""id"",""en"")"),"really tense the world cup final")</f>
        <v>really tense the world cup final</v>
      </c>
    </row>
    <row r="2445" ht="15.75" customHeight="1">
      <c r="A2445" s="1">
        <v>2460.0</v>
      </c>
      <c r="B2445" s="3" t="s">
        <v>7228</v>
      </c>
      <c r="C2445" s="3">
        <v>0.0</v>
      </c>
      <c r="D2445" s="3">
        <v>0.0</v>
      </c>
      <c r="E2445" s="3">
        <v>0.0</v>
      </c>
      <c r="F2445" s="3" t="s">
        <v>7229</v>
      </c>
      <c r="G2445" s="3">
        <v>1.0</v>
      </c>
      <c r="H2445" s="3">
        <v>0.0</v>
      </c>
      <c r="I2445" s="3" t="s">
        <v>13</v>
      </c>
      <c r="J2445" s="3" t="s">
        <v>7230</v>
      </c>
      <c r="K2445" s="3" t="s">
        <v>510</v>
      </c>
      <c r="L2445" s="3" t="str">
        <f>IFERROR(__xludf.DUMMYFUNCTION("GOOGLETRANSLATE(F2445,""id"",""en"")"),"The first time I watched the World Cup and I think this is the most drama and eager to watch")</f>
        <v>The first time I watched the World Cup and I think this is the most drama and eager to watch</v>
      </c>
    </row>
    <row r="2446" ht="15.75" customHeight="1">
      <c r="A2446" s="1">
        <v>2461.0</v>
      </c>
      <c r="B2446" s="3" t="s">
        <v>7231</v>
      </c>
      <c r="C2446" s="3">
        <v>0.0</v>
      </c>
      <c r="D2446" s="3">
        <v>0.0</v>
      </c>
      <c r="E2446" s="3">
        <v>0.0</v>
      </c>
      <c r="F2446" s="3" t="s">
        <v>7232</v>
      </c>
      <c r="G2446" s="3">
        <v>1.0</v>
      </c>
      <c r="H2446" s="3">
        <v>0.0</v>
      </c>
      <c r="I2446" s="3" t="s">
        <v>13</v>
      </c>
      <c r="J2446" s="3" t="s">
        <v>7233</v>
      </c>
      <c r="K2446" s="3" t="s">
        <v>41</v>
      </c>
      <c r="L2446" s="3" t="str">
        <f>IFERROR(__xludf.DUMMYFUNCTION("GOOGLETRANSLATE(F2446,""id"",""en"")"),"it turns out that the sacred number is the most tough world cup final gaesss")</f>
        <v>it turns out that the sacred number is the most tough world cup final gaesss</v>
      </c>
    </row>
    <row r="2447" ht="15.75" customHeight="1">
      <c r="A2447" s="1">
        <v>2462.0</v>
      </c>
      <c r="B2447" s="3" t="s">
        <v>7234</v>
      </c>
      <c r="C2447" s="3">
        <v>0.0</v>
      </c>
      <c r="D2447" s="3">
        <v>0.0</v>
      </c>
      <c r="E2447" s="3">
        <v>0.0</v>
      </c>
      <c r="F2447" s="3" t="s">
        <v>7235</v>
      </c>
      <c r="G2447" s="3">
        <v>1.0</v>
      </c>
      <c r="H2447" s="3">
        <v>0.0</v>
      </c>
      <c r="I2447" s="3" t="s">
        <v>13</v>
      </c>
      <c r="J2447" s="3" t="s">
        <v>7236</v>
      </c>
      <c r="K2447" s="3" t="s">
        <v>75</v>
      </c>
      <c r="L2447" s="3" t="str">
        <f>IFERROR(__xludf.DUMMYFUNCTION("GOOGLETRANSLATE(F2447,""id"",""en"")"),"The World Cup Final The best shouted I have ever watched extraordinary")</f>
        <v>The World Cup Final The best shouted I have ever watched extraordinary</v>
      </c>
    </row>
    <row r="2448" ht="15.75" customHeight="1">
      <c r="A2448" s="1">
        <v>2463.0</v>
      </c>
      <c r="B2448" s="3" t="s">
        <v>7237</v>
      </c>
      <c r="C2448" s="3">
        <v>0.0</v>
      </c>
      <c r="D2448" s="3">
        <v>0.0</v>
      </c>
      <c r="E2448" s="3">
        <v>0.0</v>
      </c>
      <c r="F2448" s="3" t="s">
        <v>7238</v>
      </c>
      <c r="G2448" s="3">
        <v>1.0</v>
      </c>
      <c r="H2448" s="3">
        <v>0.0</v>
      </c>
      <c r="I2448" s="3" t="s">
        <v>13</v>
      </c>
      <c r="J2448" s="3" t="s">
        <v>7239</v>
      </c>
      <c r="K2448" s="3" t="s">
        <v>15</v>
      </c>
      <c r="L2448" s="3" t="str">
        <f>IFERROR(__xludf.DUMMYFUNCTION("GOOGLETRANSLATE(F2448,""id"",""en"")"),"The original will be the final exciting throughout the World Cup")</f>
        <v>The original will be the final exciting throughout the World Cup</v>
      </c>
    </row>
    <row r="2449" ht="15.75" customHeight="1">
      <c r="A2449" s="1">
        <v>2464.0</v>
      </c>
      <c r="B2449" s="3" t="s">
        <v>7240</v>
      </c>
      <c r="C2449" s="3">
        <v>0.0</v>
      </c>
      <c r="D2449" s="3">
        <v>0.0</v>
      </c>
      <c r="E2449" s="3">
        <v>1.0</v>
      </c>
      <c r="F2449" s="3" t="s">
        <v>7241</v>
      </c>
      <c r="G2449" s="3">
        <v>1.0</v>
      </c>
      <c r="H2449" s="3">
        <v>0.0</v>
      </c>
      <c r="I2449" s="3" t="s">
        <v>13</v>
      </c>
      <c r="J2449" s="3" t="s">
        <v>7242</v>
      </c>
      <c r="K2449" s="3" t="s">
        <v>31</v>
      </c>
      <c r="L2449" s="3" t="str">
        <f>IFERROR(__xludf.DUMMYFUNCTION("GOOGLETRANSLATE(F2449,""id"",""en"")"),"World Cup Final Hattrick")</f>
        <v>World Cup Final Hattrick</v>
      </c>
    </row>
    <row r="2450" ht="15.75" customHeight="1">
      <c r="A2450" s="1">
        <v>2465.0</v>
      </c>
      <c r="B2450" s="3" t="s">
        <v>7243</v>
      </c>
      <c r="C2450" s="3">
        <v>0.0</v>
      </c>
      <c r="D2450" s="3">
        <v>0.0</v>
      </c>
      <c r="E2450" s="3">
        <v>0.0</v>
      </c>
      <c r="F2450" s="3" t="s">
        <v>7244</v>
      </c>
      <c r="G2450" s="3">
        <v>1.0</v>
      </c>
      <c r="H2450" s="3">
        <v>0.0</v>
      </c>
      <c r="I2450" s="3" t="s">
        <v>13</v>
      </c>
      <c r="J2450" s="3" t="s">
        <v>7245</v>
      </c>
      <c r="K2450" s="3" t="s">
        <v>54</v>
      </c>
      <c r="L2450" s="3" t="str">
        <f>IFERROR(__xludf.DUMMYFUNCTION("GOOGLETRANSLATE(F2450,""id"",""en"")"),"Gilllaaa Hat Trick World Cup Final")</f>
        <v>Gilllaaa Hat Trick World Cup Final</v>
      </c>
    </row>
    <row r="2451" ht="15.75" customHeight="1">
      <c r="A2451" s="1">
        <v>2466.0</v>
      </c>
      <c r="B2451" s="3" t="s">
        <v>7246</v>
      </c>
      <c r="C2451" s="3">
        <v>0.0</v>
      </c>
      <c r="D2451" s="3">
        <v>0.0</v>
      </c>
      <c r="E2451" s="3">
        <v>0.0</v>
      </c>
      <c r="F2451" s="3" t="s">
        <v>7247</v>
      </c>
      <c r="G2451" s="3">
        <v>1.0</v>
      </c>
      <c r="H2451" s="3">
        <v>0.0</v>
      </c>
      <c r="I2451" s="3" t="s">
        <v>13</v>
      </c>
      <c r="J2451" s="3" t="s">
        <v>7248</v>
      </c>
      <c r="K2451" s="3" t="s">
        <v>54</v>
      </c>
      <c r="L2451" s="3" t="str">
        <f>IFERROR(__xludf.DUMMYFUNCTION("GOOGLETRANSLATE(F2451,""id"",""en"")"),"World Cup Final Lasts of All Time")</f>
        <v>World Cup Final Lasts of All Time</v>
      </c>
    </row>
    <row r="2452" ht="15.75" customHeight="1">
      <c r="A2452" s="1">
        <v>2467.0</v>
      </c>
      <c r="B2452" s="3" t="s">
        <v>7249</v>
      </c>
      <c r="C2452" s="3">
        <v>0.0</v>
      </c>
      <c r="D2452" s="3">
        <v>0.0</v>
      </c>
      <c r="E2452" s="3">
        <v>0.0</v>
      </c>
      <c r="F2452" s="3" t="s">
        <v>7250</v>
      </c>
      <c r="G2452" s="3">
        <v>1.0</v>
      </c>
      <c r="H2452" s="3">
        <v>0.0</v>
      </c>
      <c r="I2452" s="3" t="s">
        <v>13</v>
      </c>
      <c r="J2452" s="3" t="s">
        <v>7251</v>
      </c>
      <c r="K2452" s="3" t="s">
        <v>31</v>
      </c>
      <c r="L2452" s="3" t="str">
        <f>IFERROR(__xludf.DUMMYFUNCTION("GOOGLETRANSLATE(F2452,""id"",""en"")"),"The World Cup Final was excited in my opinion")</f>
        <v>The World Cup Final was excited in my opinion</v>
      </c>
    </row>
    <row r="2453" ht="15.75" customHeight="1">
      <c r="A2453" s="1">
        <v>2468.0</v>
      </c>
      <c r="B2453" s="3" t="s">
        <v>7252</v>
      </c>
      <c r="C2453" s="3">
        <v>0.0</v>
      </c>
      <c r="D2453" s="3">
        <v>1.0</v>
      </c>
      <c r="E2453" s="3">
        <v>1.0</v>
      </c>
      <c r="F2453" s="3" t="s">
        <v>7253</v>
      </c>
      <c r="G2453" s="3">
        <v>1.0</v>
      </c>
      <c r="H2453" s="3">
        <v>0.0</v>
      </c>
      <c r="I2453" s="3" t="s">
        <v>13</v>
      </c>
      <c r="J2453" s="3" t="s">
        <v>7254</v>
      </c>
      <c r="K2453" s="3" t="s">
        <v>15</v>
      </c>
      <c r="L2453" s="3" t="str">
        <f>IFERROR(__xludf.DUMMYFUNCTION("GOOGLETRANSLATE(F2453,""id"",""en"")"),"Raul Lemos Hattrick First in the History of the World Cup Final")</f>
        <v>Raul Lemos Hattrick First in the History of the World Cup Final</v>
      </c>
    </row>
    <row r="2454" ht="15.75" customHeight="1">
      <c r="A2454" s="1">
        <v>2469.0</v>
      </c>
      <c r="B2454" s="3" t="s">
        <v>7255</v>
      </c>
      <c r="C2454" s="3">
        <v>0.0</v>
      </c>
      <c r="D2454" s="3">
        <v>0.0</v>
      </c>
      <c r="E2454" s="3">
        <v>0.0</v>
      </c>
      <c r="F2454" s="3" t="s">
        <v>7256</v>
      </c>
      <c r="G2454" s="3">
        <v>1.0</v>
      </c>
      <c r="H2454" s="3">
        <v>0.0</v>
      </c>
      <c r="I2454" s="3" t="s">
        <v>13</v>
      </c>
      <c r="J2454" s="3" t="s">
        <v>7257</v>
      </c>
      <c r="K2454" s="3" t="s">
        <v>31</v>
      </c>
      <c r="L2454" s="3" t="str">
        <f>IFERROR(__xludf.DUMMYFUNCTION("GOOGLETRANSLATE(F2454,""id"",""en"")"),"Wow, this is the World Cup Final")</f>
        <v>Wow, this is the World Cup Final</v>
      </c>
    </row>
    <row r="2455" ht="15.75" customHeight="1">
      <c r="A2455" s="1">
        <v>2470.0</v>
      </c>
      <c r="B2455" s="3" t="s">
        <v>7258</v>
      </c>
      <c r="C2455" s="3">
        <v>0.0</v>
      </c>
      <c r="D2455" s="3">
        <v>0.0</v>
      </c>
      <c r="E2455" s="3">
        <v>0.0</v>
      </c>
      <c r="F2455" s="3" t="s">
        <v>7259</v>
      </c>
      <c r="G2455" s="3">
        <v>1.0</v>
      </c>
      <c r="H2455" s="3">
        <v>0.0</v>
      </c>
      <c r="I2455" s="3" t="s">
        <v>13</v>
      </c>
      <c r="J2455" s="3" t="s">
        <v>7260</v>
      </c>
      <c r="K2455" s="3" t="s">
        <v>54</v>
      </c>
      <c r="L2455" s="3" t="str">
        <f>IFERROR(__xludf.DUMMYFUNCTION("GOOGLETRANSLATE(F2455,""id"",""en"")"),"Mbappe Goat Hattrick Final World Cup")</f>
        <v>Mbappe Goat Hattrick Final World Cup</v>
      </c>
    </row>
    <row r="2456" ht="15.75" customHeight="1">
      <c r="A2456" s="1">
        <v>2471.0</v>
      </c>
      <c r="B2456" s="3" t="s">
        <v>7261</v>
      </c>
      <c r="C2456" s="3">
        <v>0.0</v>
      </c>
      <c r="D2456" s="3">
        <v>0.0</v>
      </c>
      <c r="E2456" s="3">
        <v>0.0</v>
      </c>
      <c r="F2456" s="3" t="s">
        <v>7262</v>
      </c>
      <c r="G2456" s="3">
        <v>1.0</v>
      </c>
      <c r="H2456" s="3">
        <v>0.0</v>
      </c>
      <c r="I2456" s="3" t="s">
        <v>13</v>
      </c>
      <c r="J2456" s="3" t="s">
        <v>7263</v>
      </c>
      <c r="K2456" s="3" t="s">
        <v>15</v>
      </c>
      <c r="L2456" s="3" t="str">
        <f>IFERROR(__xludf.DUMMYFUNCTION("GOOGLETRANSLATE(F2456,""id"",""en"")"),"Cookk Gendeng Watching the Final World Cup Exciting")</f>
        <v>Cookk Gendeng Watching the Final World Cup Exciting</v>
      </c>
    </row>
    <row r="2457" ht="15.75" customHeight="1">
      <c r="A2457" s="1">
        <v>2472.0</v>
      </c>
      <c r="B2457" s="3" t="s">
        <v>7264</v>
      </c>
      <c r="C2457" s="3">
        <v>1.0</v>
      </c>
      <c r="D2457" s="3">
        <v>0.0</v>
      </c>
      <c r="E2457" s="3">
        <v>1.0</v>
      </c>
      <c r="F2457" s="3" t="s">
        <v>7265</v>
      </c>
      <c r="G2457" s="3">
        <v>1.0</v>
      </c>
      <c r="H2457" s="3">
        <v>0.0</v>
      </c>
      <c r="I2457" s="3" t="s">
        <v>13</v>
      </c>
      <c r="J2457" s="3" t="s">
        <v>7266</v>
      </c>
      <c r="K2457" s="3" t="s">
        <v>41</v>
      </c>
      <c r="L2457" s="3" t="str">
        <f>IFERROR(__xludf.DUMMYFUNCTION("GOOGLETRANSLATE(F2457,""id"",""en"")"),"the most exciting world cup final in my opinion the tension is crazy pollll")</f>
        <v>the most exciting world cup final in my opinion the tension is crazy pollll</v>
      </c>
    </row>
    <row r="2458" ht="15.75" customHeight="1">
      <c r="A2458" s="1">
        <v>2473.0</v>
      </c>
      <c r="B2458" s="3" t="s">
        <v>7267</v>
      </c>
      <c r="C2458" s="3">
        <v>0.0</v>
      </c>
      <c r="D2458" s="3">
        <v>0.0</v>
      </c>
      <c r="E2458" s="3">
        <v>0.0</v>
      </c>
      <c r="F2458" s="3" t="s">
        <v>7268</v>
      </c>
      <c r="G2458" s="3">
        <v>1.0</v>
      </c>
      <c r="H2458" s="3">
        <v>0.0</v>
      </c>
      <c r="I2458" s="3" t="s">
        <v>13</v>
      </c>
      <c r="J2458" s="3" t="s">
        <v>7269</v>
      </c>
      <c r="K2458" s="3" t="s">
        <v>54</v>
      </c>
      <c r="L2458" s="3" t="str">
        <f>IFERROR(__xludf.DUMMYFUNCTION("GOOGLETRANSLATE(F2458,""id"",""en"")"),"Peeeeeeee Crazy World Cup Final Hattrick")</f>
        <v>Peeeeeeee Crazy World Cup Final Hattrick</v>
      </c>
    </row>
    <row r="2459" ht="15.75" customHeight="1">
      <c r="A2459" s="1">
        <v>2474.0</v>
      </c>
      <c r="B2459" s="3" t="s">
        <v>7270</v>
      </c>
      <c r="C2459" s="3">
        <v>0.0</v>
      </c>
      <c r="D2459" s="3">
        <v>0.0</v>
      </c>
      <c r="E2459" s="3">
        <v>1.0</v>
      </c>
      <c r="F2459" s="3" t="s">
        <v>7271</v>
      </c>
      <c r="G2459" s="3">
        <v>0.65</v>
      </c>
      <c r="H2459" s="3">
        <v>0.5</v>
      </c>
      <c r="I2459" s="3" t="s">
        <v>48</v>
      </c>
      <c r="J2459" s="3" t="s">
        <v>7272</v>
      </c>
      <c r="K2459" s="3" t="s">
        <v>50</v>
      </c>
      <c r="L2459" s="3" t="str">
        <f>IFERROR(__xludf.DUMMYFUNCTION("GOOGLETRANSLATE(F2459,""id"",""en"")"),"Mbappe Year Hattrick Final World Cup Best Player The World Cup")</f>
        <v>Mbappe Year Hattrick Final World Cup Best Player The World Cup</v>
      </c>
    </row>
    <row r="2460" ht="15.75" customHeight="1">
      <c r="A2460" s="1">
        <v>2475.0</v>
      </c>
      <c r="B2460" s="3" t="s">
        <v>7273</v>
      </c>
      <c r="C2460" s="3">
        <v>0.0</v>
      </c>
      <c r="D2460" s="3">
        <v>0.0</v>
      </c>
      <c r="E2460" s="3">
        <v>0.0</v>
      </c>
      <c r="F2460" s="3" t="s">
        <v>7273</v>
      </c>
      <c r="G2460" s="3">
        <v>1.0</v>
      </c>
      <c r="H2460" s="3">
        <v>0.0</v>
      </c>
      <c r="I2460" s="3" t="s">
        <v>13</v>
      </c>
      <c r="J2460" s="3" t="s">
        <v>7274</v>
      </c>
      <c r="K2460" s="3" t="s">
        <v>31</v>
      </c>
      <c r="L2460" s="3" t="str">
        <f>IFERROR(__xludf.DUMMYFUNCTION("GOOGLETRANSLATE(F2460,""id"",""en"")"),"Makjang World Cup Final")</f>
        <v>Makjang World Cup Final</v>
      </c>
    </row>
    <row r="2461" ht="15.75" customHeight="1">
      <c r="A2461" s="1">
        <v>2476.0</v>
      </c>
      <c r="B2461" s="3" t="s">
        <v>7275</v>
      </c>
      <c r="C2461" s="3">
        <v>0.0</v>
      </c>
      <c r="D2461" s="3">
        <v>0.0</v>
      </c>
      <c r="E2461" s="3">
        <v>0.0</v>
      </c>
      <c r="F2461" s="3" t="s">
        <v>7276</v>
      </c>
      <c r="G2461" s="3">
        <v>1.0</v>
      </c>
      <c r="H2461" s="3">
        <v>0.0</v>
      </c>
      <c r="I2461" s="3" t="s">
        <v>13</v>
      </c>
      <c r="J2461" s="3" t="s">
        <v>7277</v>
      </c>
      <c r="K2461" s="3" t="s">
        <v>54</v>
      </c>
      <c r="L2461" s="3" t="str">
        <f>IFERROR(__xludf.DUMMYFUNCTION("GOOGLETRANSLATE(F2461,""id"",""en"")"),"GIKA's Most Exciting World Cup Final")</f>
        <v>GIKA's Most Exciting World Cup Final</v>
      </c>
    </row>
    <row r="2462" ht="15.75" customHeight="1">
      <c r="A2462" s="1">
        <v>2477.0</v>
      </c>
      <c r="B2462" s="3" t="s">
        <v>7278</v>
      </c>
      <c r="C2462" s="3">
        <v>0.0</v>
      </c>
      <c r="D2462" s="3">
        <v>0.0</v>
      </c>
      <c r="E2462" s="3">
        <v>0.0</v>
      </c>
      <c r="F2462" s="3" t="s">
        <v>3234</v>
      </c>
      <c r="G2462" s="3">
        <v>1.0</v>
      </c>
      <c r="H2462" s="3">
        <v>0.0</v>
      </c>
      <c r="I2462" s="3" t="s">
        <v>13</v>
      </c>
      <c r="J2462" s="3" t="s">
        <v>3235</v>
      </c>
      <c r="K2462" s="3" t="s">
        <v>644</v>
      </c>
      <c r="L2462" s="3" t="str">
        <f>IFERROR(__xludf.DUMMYFUNCTION("GOOGLETRANSLATE(F2462,""id"",""en"")"),"World Cup Final Hattrick")</f>
        <v>World Cup Final Hattrick</v>
      </c>
    </row>
    <row r="2463" ht="15.75" customHeight="1">
      <c r="A2463" s="1">
        <v>2478.0</v>
      </c>
      <c r="B2463" s="3" t="s">
        <v>7279</v>
      </c>
      <c r="C2463" s="3">
        <v>0.0</v>
      </c>
      <c r="D2463" s="3">
        <v>0.0</v>
      </c>
      <c r="E2463" s="3">
        <v>0.0</v>
      </c>
      <c r="F2463" s="3" t="s">
        <v>7280</v>
      </c>
      <c r="G2463" s="3">
        <v>1.0</v>
      </c>
      <c r="H2463" s="3">
        <v>0.0</v>
      </c>
      <c r="I2463" s="3" t="s">
        <v>13</v>
      </c>
      <c r="J2463" s="3" t="s">
        <v>7281</v>
      </c>
      <c r="K2463" s="3" t="s">
        <v>54</v>
      </c>
      <c r="L2463" s="3" t="str">
        <f>IFERROR(__xludf.DUMMYFUNCTION("GOOGLETRANSLATE(F2463,""id"",""en"")"),"This kind of world cup final is Njir")</f>
        <v>This kind of world cup final is Njir</v>
      </c>
    </row>
    <row r="2464" ht="15.75" customHeight="1">
      <c r="A2464" s="1">
        <v>2479.0</v>
      </c>
      <c r="B2464" s="3" t="s">
        <v>7282</v>
      </c>
      <c r="C2464" s="3">
        <v>1.0</v>
      </c>
      <c r="D2464" s="3">
        <v>0.0</v>
      </c>
      <c r="E2464" s="3">
        <v>0.0</v>
      </c>
      <c r="F2464" s="3" t="s">
        <v>7283</v>
      </c>
      <c r="G2464" s="3">
        <v>1.0</v>
      </c>
      <c r="H2464" s="3">
        <v>0.0</v>
      </c>
      <c r="I2464" s="3" t="s">
        <v>13</v>
      </c>
      <c r="J2464" s="3" t="s">
        <v>7284</v>
      </c>
      <c r="K2464" s="3" t="s">
        <v>15</v>
      </c>
      <c r="L2464" s="3" t="str">
        <f>IFERROR(__xludf.DUMMYFUNCTION("GOOGLETRANSLATE(F2464,""id"",""en"")"),"I swear to watch the world cup final now")</f>
        <v>I swear to watch the world cup final now</v>
      </c>
    </row>
    <row r="2465" ht="15.75" customHeight="1">
      <c r="A2465" s="1">
        <v>2480.0</v>
      </c>
      <c r="B2465" s="3" t="s">
        <v>7285</v>
      </c>
      <c r="C2465" s="3">
        <v>0.0</v>
      </c>
      <c r="D2465" s="3">
        <v>0.0</v>
      </c>
      <c r="E2465" s="3">
        <v>0.0</v>
      </c>
      <c r="F2465" s="3" t="s">
        <v>7286</v>
      </c>
      <c r="G2465" s="3">
        <v>1.0</v>
      </c>
      <c r="H2465" s="3">
        <v>0.0</v>
      </c>
      <c r="I2465" s="3" t="s">
        <v>13</v>
      </c>
      <c r="J2465" s="3" t="s">
        <v>6682</v>
      </c>
      <c r="K2465" s="3" t="s">
        <v>31</v>
      </c>
      <c r="L2465" s="3" t="str">
        <f>IFERROR(__xludf.DUMMYFUNCTION("GOOGLETRANSLATE(F2465,""id"",""en"")"),"This craziest world cup final")</f>
        <v>This craziest world cup final</v>
      </c>
    </row>
    <row r="2466" ht="15.75" customHeight="1">
      <c r="A2466" s="1">
        <v>2481.0</v>
      </c>
      <c r="B2466" s="3" t="s">
        <v>7287</v>
      </c>
      <c r="C2466" s="3">
        <v>0.0</v>
      </c>
      <c r="D2466" s="3">
        <v>0.0</v>
      </c>
      <c r="E2466" s="3">
        <v>0.0</v>
      </c>
      <c r="F2466" s="3" t="s">
        <v>7288</v>
      </c>
      <c r="G2466" s="3">
        <v>1.0</v>
      </c>
      <c r="H2466" s="3">
        <v>0.0</v>
      </c>
      <c r="I2466" s="3" t="s">
        <v>13</v>
      </c>
      <c r="J2466" s="3" t="s">
        <v>7289</v>
      </c>
      <c r="K2466" s="3" t="s">
        <v>54</v>
      </c>
      <c r="L2466" s="3" t="str">
        <f>IFERROR(__xludf.DUMMYFUNCTION("GOOGLETRANSLATE(F2466,""id"",""en"")"),"Nobar Final World Cup via Twitter")</f>
        <v>Nobar Final World Cup via Twitter</v>
      </c>
    </row>
    <row r="2467" ht="15.75" customHeight="1">
      <c r="A2467" s="1">
        <v>2482.0</v>
      </c>
      <c r="B2467" s="3" t="s">
        <v>7290</v>
      </c>
      <c r="C2467" s="3">
        <v>0.0</v>
      </c>
      <c r="D2467" s="3">
        <v>0.0</v>
      </c>
      <c r="E2467" s="3">
        <v>0.0</v>
      </c>
      <c r="F2467" s="3" t="s">
        <v>7291</v>
      </c>
      <c r="G2467" s="3">
        <v>1.0</v>
      </c>
      <c r="H2467" s="3">
        <v>0.0</v>
      </c>
      <c r="I2467" s="3" t="s">
        <v>13</v>
      </c>
      <c r="J2467" s="3" t="s">
        <v>7292</v>
      </c>
      <c r="K2467" s="3" t="s">
        <v>3497</v>
      </c>
      <c r="L2467" s="3" t="str">
        <f>IFERROR(__xludf.DUMMYFUNCTION("GOOGLETRANSLATE(F2467,""id"",""en"")"),"the final of the world cup of Allah")</f>
        <v>the final of the world cup of Allah</v>
      </c>
    </row>
    <row r="2468" ht="15.75" customHeight="1">
      <c r="A2468" s="1">
        <v>2483.0</v>
      </c>
      <c r="B2468" s="3" t="s">
        <v>7293</v>
      </c>
      <c r="C2468" s="3">
        <v>1.0</v>
      </c>
      <c r="D2468" s="3">
        <v>0.0</v>
      </c>
      <c r="E2468" s="3">
        <v>0.0</v>
      </c>
      <c r="F2468" s="3" t="s">
        <v>7294</v>
      </c>
      <c r="G2468" s="3">
        <v>1.0</v>
      </c>
      <c r="H2468" s="3">
        <v>0.0</v>
      </c>
      <c r="I2468" s="3" t="s">
        <v>13</v>
      </c>
      <c r="J2468" s="3" t="s">
        <v>7295</v>
      </c>
      <c r="K2468" s="3" t="s">
        <v>75</v>
      </c>
      <c r="L2468" s="3" t="str">
        <f>IFERROR(__xludf.DUMMYFUNCTION("GOOGLETRANSLATE(F2468,""id"",""en"")"),"What the Fakkkk Mbappe Hattrick Argentina World Cup Final")</f>
        <v>What the Fakkkk Mbappe Hattrick Argentina World Cup Final</v>
      </c>
    </row>
    <row r="2469" ht="15.75" customHeight="1">
      <c r="A2469" s="1">
        <v>2484.0</v>
      </c>
      <c r="B2469" s="3" t="s">
        <v>7296</v>
      </c>
      <c r="C2469" s="3">
        <v>1.0</v>
      </c>
      <c r="D2469" s="3">
        <v>0.0</v>
      </c>
      <c r="E2469" s="3">
        <v>0.0</v>
      </c>
      <c r="F2469" s="3" t="s">
        <v>7297</v>
      </c>
      <c r="G2469" s="3">
        <v>1.0</v>
      </c>
      <c r="H2469" s="3">
        <v>0.0</v>
      </c>
      <c r="I2469" s="3" t="s">
        <v>13</v>
      </c>
      <c r="J2469" s="3" t="s">
        <v>7298</v>
      </c>
      <c r="K2469" s="3" t="s">
        <v>82</v>
      </c>
      <c r="L2469" s="3" t="str">
        <f>IFERROR(__xludf.DUMMYFUNCTION("GOOGLETRANSLATE(F2469,""id"",""en"")"),"Jacil Hattrick Final World Cup Gararelo Pisan")</f>
        <v>Jacil Hattrick Final World Cup Gararelo Pisan</v>
      </c>
    </row>
    <row r="2470" ht="15.75" customHeight="1">
      <c r="A2470" s="1">
        <v>2485.0</v>
      </c>
      <c r="B2470" s="3" t="s">
        <v>7299</v>
      </c>
      <c r="C2470" s="3">
        <v>0.0</v>
      </c>
      <c r="D2470" s="3">
        <v>0.0</v>
      </c>
      <c r="E2470" s="3">
        <v>0.0</v>
      </c>
      <c r="F2470" s="3" t="s">
        <v>7300</v>
      </c>
      <c r="G2470" s="3">
        <v>1.0</v>
      </c>
      <c r="H2470" s="3">
        <v>0.0</v>
      </c>
      <c r="I2470" s="3" t="s">
        <v>13</v>
      </c>
      <c r="J2470" s="3" t="s">
        <v>7301</v>
      </c>
      <c r="K2470" s="3" t="s">
        <v>82</v>
      </c>
      <c r="L2470" s="3" t="str">
        <f>IFERROR(__xludf.DUMMYFUNCTION("GOOGLETRANSLATE(F2470,""id"",""en"")"),"there is no one who has a previous world cup final trick")</f>
        <v>there is no one who has a previous world cup final trick</v>
      </c>
    </row>
    <row r="2471" ht="15.75" customHeight="1">
      <c r="A2471" s="1">
        <v>2486.0</v>
      </c>
      <c r="B2471" s="3" t="s">
        <v>7302</v>
      </c>
      <c r="C2471" s="3">
        <v>0.0</v>
      </c>
      <c r="D2471" s="3">
        <v>0.0</v>
      </c>
      <c r="E2471" s="3">
        <v>0.0</v>
      </c>
      <c r="F2471" s="3" t="s">
        <v>7303</v>
      </c>
      <c r="G2471" s="3">
        <v>1.0</v>
      </c>
      <c r="H2471" s="3">
        <v>0.0</v>
      </c>
      <c r="I2471" s="3" t="s">
        <v>13</v>
      </c>
      <c r="J2471" s="3" t="s">
        <v>7304</v>
      </c>
      <c r="K2471" s="3" t="s">
        <v>15</v>
      </c>
      <c r="L2471" s="3" t="str">
        <f>IFERROR(__xludf.DUMMYFUNCTION("GOOGLETRANSLATE(F2471,""id"",""en"")"),"Anjjjj Hattrick Final World Cup")</f>
        <v>Anjjjj Hattrick Final World Cup</v>
      </c>
    </row>
    <row r="2472" ht="15.75" customHeight="1">
      <c r="A2472" s="1">
        <v>2487.0</v>
      </c>
      <c r="B2472" s="3" t="s">
        <v>7305</v>
      </c>
      <c r="C2472" s="3">
        <v>0.0</v>
      </c>
      <c r="D2472" s="3">
        <v>0.0</v>
      </c>
      <c r="E2472" s="3">
        <v>0.0</v>
      </c>
      <c r="F2472" s="3" t="s">
        <v>7306</v>
      </c>
      <c r="G2472" s="3">
        <v>1.0</v>
      </c>
      <c r="H2472" s="3">
        <v>0.0</v>
      </c>
      <c r="I2472" s="3" t="s">
        <v>13</v>
      </c>
      <c r="J2472" s="3" t="s">
        <v>7307</v>
      </c>
      <c r="K2472" s="3" t="s">
        <v>71</v>
      </c>
      <c r="L2472" s="3" t="str">
        <f>IFERROR(__xludf.DUMMYFUNCTION("GOOGLETRANSLATE(F2472,""id"",""en"")"),"PSG skyrocketed and the final world cup final of the main player became a actor like this")</f>
        <v>PSG skyrocketed and the final world cup final of the main player became a actor like this</v>
      </c>
    </row>
    <row r="2473" ht="15.75" customHeight="1">
      <c r="A2473" s="1">
        <v>2488.0</v>
      </c>
      <c r="B2473" s="3" t="s">
        <v>7308</v>
      </c>
      <c r="C2473" s="3">
        <v>0.0</v>
      </c>
      <c r="D2473" s="3">
        <v>0.0</v>
      </c>
      <c r="E2473" s="3">
        <v>0.0</v>
      </c>
      <c r="F2473" s="3" t="s">
        <v>7308</v>
      </c>
      <c r="G2473" s="3">
        <v>1.0</v>
      </c>
      <c r="H2473" s="3">
        <v>0.0</v>
      </c>
      <c r="I2473" s="3" t="s">
        <v>13</v>
      </c>
      <c r="J2473" s="3" t="s">
        <v>7309</v>
      </c>
      <c r="K2473" s="3" t="s">
        <v>82</v>
      </c>
      <c r="L2473" s="3" t="str">
        <f>IFERROR(__xludf.DUMMYFUNCTION("GOOGLETRANSLATE(F2473,""id"",""en"")"),"This is the exciting world cup final I have ever watched")</f>
        <v>This is the exciting world cup final I have ever watched</v>
      </c>
    </row>
    <row r="2474" ht="15.75" customHeight="1">
      <c r="A2474" s="1">
        <v>2489.0</v>
      </c>
      <c r="B2474" s="3" t="s">
        <v>7310</v>
      </c>
      <c r="C2474" s="3">
        <v>0.0</v>
      </c>
      <c r="D2474" s="3">
        <v>0.0</v>
      </c>
      <c r="E2474" s="3">
        <v>0.0</v>
      </c>
      <c r="F2474" s="3" t="s">
        <v>7311</v>
      </c>
      <c r="G2474" s="3">
        <v>1.0</v>
      </c>
      <c r="H2474" s="3">
        <v>0.0</v>
      </c>
      <c r="I2474" s="3" t="s">
        <v>13</v>
      </c>
      <c r="J2474" s="3" t="s">
        <v>7312</v>
      </c>
      <c r="K2474" s="3" t="s">
        <v>1335</v>
      </c>
      <c r="L2474" s="3" t="str">
        <f>IFERROR(__xludf.DUMMYFUNCTION("GOOGLETRANSLATE(F2474,""id"",""en"")"),"Really Crazy World Cup Final this time")</f>
        <v>Really Crazy World Cup Final this time</v>
      </c>
    </row>
    <row r="2475" ht="15.75" customHeight="1">
      <c r="A2475" s="1">
        <v>2490.0</v>
      </c>
      <c r="B2475" s="3" t="s">
        <v>7313</v>
      </c>
      <c r="C2475" s="3">
        <v>3.0</v>
      </c>
      <c r="D2475" s="3">
        <v>5.0</v>
      </c>
      <c r="E2475" s="3">
        <v>15.0</v>
      </c>
      <c r="F2475" s="3" t="s">
        <v>7314</v>
      </c>
      <c r="G2475" s="3">
        <v>1.0</v>
      </c>
      <c r="H2475" s="3">
        <v>0.0</v>
      </c>
      <c r="I2475" s="3" t="s">
        <v>13</v>
      </c>
      <c r="J2475" s="3" t="s">
        <v>7315</v>
      </c>
      <c r="K2475" s="3" t="s">
        <v>657</v>
      </c>
      <c r="L2475" s="3" t="str">
        <f>IFERROR(__xludf.DUMMYFUNCTION("GOOGLETRANSLATE(F2475,""id"",""en"")"),"World Cup Final Hattrick Please forgive Mbappe which makes us for a moment forgot that tomorrow Monday and have to enter the morning")</f>
        <v>World Cup Final Hattrick Please forgive Mbappe which makes us for a moment forgot that tomorrow Monday and have to enter the morning</v>
      </c>
    </row>
    <row r="2476" ht="15.75" customHeight="1">
      <c r="A2476" s="1">
        <v>2491.0</v>
      </c>
      <c r="B2476" s="3" t="s">
        <v>7316</v>
      </c>
      <c r="C2476" s="3">
        <v>0.0</v>
      </c>
      <c r="D2476" s="3">
        <v>0.0</v>
      </c>
      <c r="E2476" s="3">
        <v>0.0</v>
      </c>
      <c r="F2476" s="3" t="s">
        <v>7317</v>
      </c>
      <c r="G2476" s="3">
        <v>1.0</v>
      </c>
      <c r="H2476" s="3">
        <v>0.0</v>
      </c>
      <c r="I2476" s="3" t="s">
        <v>13</v>
      </c>
      <c r="J2476" s="3" t="s">
        <v>7318</v>
      </c>
      <c r="K2476" s="3" t="s">
        <v>82</v>
      </c>
      <c r="L2476" s="3" t="str">
        <f>IFERROR(__xludf.DUMMYFUNCTION("GOOGLETRANSLATE(F2476,""id"",""en"")"),"Weh Mbappe World Cup Final Hat Trick")</f>
        <v>Weh Mbappe World Cup Final Hat Trick</v>
      </c>
    </row>
    <row r="2477" ht="15.75" customHeight="1">
      <c r="A2477" s="1">
        <v>2492.0</v>
      </c>
      <c r="B2477" s="3" t="s">
        <v>7319</v>
      </c>
      <c r="C2477" s="3">
        <v>0.0</v>
      </c>
      <c r="D2477" s="3">
        <v>0.0</v>
      </c>
      <c r="E2477" s="3">
        <v>0.0</v>
      </c>
      <c r="F2477" s="3" t="s">
        <v>7320</v>
      </c>
      <c r="G2477" s="3">
        <v>1.0</v>
      </c>
      <c r="H2477" s="3">
        <v>0.0</v>
      </c>
      <c r="I2477" s="3" t="s">
        <v>13</v>
      </c>
      <c r="J2477" s="3" t="s">
        <v>7321</v>
      </c>
      <c r="K2477" s="3" t="s">
        <v>477</v>
      </c>
      <c r="L2477" s="3" t="str">
        <f>IFERROR(__xludf.DUMMYFUNCTION("GOOGLETRANSLATE(F2477,""id"",""en"")"),"Gokil This World Cup Final Makes Deg Deg Maen Maen")</f>
        <v>Gokil This World Cup Final Makes Deg Deg Maen Maen</v>
      </c>
    </row>
    <row r="2478" ht="15.75" customHeight="1">
      <c r="A2478" s="1">
        <v>2493.0</v>
      </c>
      <c r="B2478" s="3" t="s">
        <v>7322</v>
      </c>
      <c r="C2478" s="3">
        <v>0.0</v>
      </c>
      <c r="D2478" s="3">
        <v>0.0</v>
      </c>
      <c r="E2478" s="3">
        <v>0.0</v>
      </c>
      <c r="F2478" s="3" t="s">
        <v>7323</v>
      </c>
      <c r="G2478" s="3">
        <v>1.0</v>
      </c>
      <c r="H2478" s="3">
        <v>-0.125</v>
      </c>
      <c r="I2478" s="3" t="s">
        <v>179</v>
      </c>
      <c r="J2478" s="3" t="s">
        <v>7324</v>
      </c>
      <c r="K2478" s="3" t="s">
        <v>82</v>
      </c>
      <c r="L2478" s="3" t="str">
        <f>IFERROR(__xludf.DUMMYFUNCTION("GOOGLETRANSLATE(F2478,""id"",""en"")"),"Unbelievable World's Golin Final Child")</f>
        <v>Unbelievable World's Golin Final Child</v>
      </c>
    </row>
    <row r="2479" ht="15.75" customHeight="1">
      <c r="A2479" s="1">
        <v>2494.0</v>
      </c>
      <c r="B2479" s="3" t="s">
        <v>7325</v>
      </c>
      <c r="C2479" s="3">
        <v>0.0</v>
      </c>
      <c r="D2479" s="3">
        <v>0.0</v>
      </c>
      <c r="E2479" s="3">
        <v>0.0</v>
      </c>
      <c r="F2479" s="3" t="s">
        <v>7326</v>
      </c>
      <c r="G2479" s="3">
        <v>1.0</v>
      </c>
      <c r="H2479" s="3">
        <v>0.0</v>
      </c>
      <c r="I2479" s="3" t="s">
        <v>13</v>
      </c>
      <c r="J2479" s="3" t="s">
        <v>7327</v>
      </c>
      <c r="K2479" s="3" t="s">
        <v>477</v>
      </c>
      <c r="L2479" s="3" t="str">
        <f>IFERROR(__xludf.DUMMYFUNCTION("GOOGLETRANSLATE(F2479,""id"",""en"")"),"The World Cup Final deliberately made people late for Gawe")</f>
        <v>The World Cup Final deliberately made people late for Gawe</v>
      </c>
    </row>
    <row r="2480" ht="15.75" customHeight="1">
      <c r="A2480" s="1">
        <v>2495.0</v>
      </c>
      <c r="B2480" s="3" t="s">
        <v>7328</v>
      </c>
      <c r="C2480" s="3">
        <v>0.0</v>
      </c>
      <c r="D2480" s="3">
        <v>0.0</v>
      </c>
      <c r="E2480" s="3">
        <v>0.0</v>
      </c>
      <c r="F2480" s="3" t="s">
        <v>7329</v>
      </c>
      <c r="G2480" s="3">
        <v>1.0</v>
      </c>
      <c r="H2480" s="3">
        <v>0.0</v>
      </c>
      <c r="I2480" s="3" t="s">
        <v>13</v>
      </c>
      <c r="J2480" s="3" t="s">
        <v>7330</v>
      </c>
      <c r="K2480" s="3" t="s">
        <v>15</v>
      </c>
      <c r="L2480" s="3" t="str">
        <f>IFERROR(__xludf.DUMMYFUNCTION("GOOGLETRANSLATE(F2480,""id"",""en"")"),"This World Cup Final Crazy Crazy Attacking Continues")</f>
        <v>This World Cup Final Crazy Crazy Attacking Continues</v>
      </c>
    </row>
    <row r="2481" ht="15.75" customHeight="1">
      <c r="A2481" s="1">
        <v>2496.0</v>
      </c>
      <c r="B2481" s="3" t="s">
        <v>7331</v>
      </c>
      <c r="C2481" s="3">
        <v>0.0</v>
      </c>
      <c r="D2481" s="3">
        <v>0.0</v>
      </c>
      <c r="E2481" s="3">
        <v>0.0</v>
      </c>
      <c r="F2481" s="3" t="s">
        <v>7332</v>
      </c>
      <c r="G2481" s="3">
        <v>1.0</v>
      </c>
      <c r="H2481" s="3">
        <v>0.0</v>
      </c>
      <c r="I2481" s="3" t="s">
        <v>13</v>
      </c>
      <c r="J2481" s="3" t="s">
        <v>7333</v>
      </c>
      <c r="K2481" s="3" t="s">
        <v>1097</v>
      </c>
      <c r="L2481" s="3" t="str">
        <f>IFERROR(__xludf.DUMMYFUNCTION("GOOGLETRANSLATE(F2481,""id"",""en"")"),"Allah really drains the emotions of the Woyy World Cup Final")</f>
        <v>Allah really drains the emotions of the Woyy World Cup Final</v>
      </c>
    </row>
    <row r="2482" ht="15.75" customHeight="1">
      <c r="A2482" s="1">
        <v>2497.0</v>
      </c>
      <c r="B2482" s="3" t="s">
        <v>7334</v>
      </c>
      <c r="C2482" s="3">
        <v>0.0</v>
      </c>
      <c r="D2482" s="3">
        <v>0.0</v>
      </c>
      <c r="E2482" s="3">
        <v>0.0</v>
      </c>
      <c r="F2482" s="3" t="s">
        <v>7058</v>
      </c>
      <c r="G2482" s="3">
        <v>1.0</v>
      </c>
      <c r="H2482" s="3">
        <v>0.0</v>
      </c>
      <c r="I2482" s="3" t="s">
        <v>13</v>
      </c>
      <c r="J2482" s="3" t="s">
        <v>6682</v>
      </c>
      <c r="K2482" s="3" t="s">
        <v>31</v>
      </c>
      <c r="L2482" s="3" t="str">
        <f>IFERROR(__xludf.DUMMYFUNCTION("GOOGLETRANSLATE(F2482,""id"",""en"")"),"World Crazy World Cup Final")</f>
        <v>World Crazy World Cup Final</v>
      </c>
    </row>
    <row r="2483" ht="15.75" customHeight="1">
      <c r="A2483" s="1">
        <v>2498.0</v>
      </c>
      <c r="B2483" s="3" t="s">
        <v>7335</v>
      </c>
      <c r="C2483" s="3">
        <v>0.0</v>
      </c>
      <c r="D2483" s="3">
        <v>0.0</v>
      </c>
      <c r="E2483" s="3">
        <v>0.0</v>
      </c>
      <c r="F2483" s="3" t="s">
        <v>7336</v>
      </c>
      <c r="G2483" s="3">
        <v>1.0</v>
      </c>
      <c r="H2483" s="3">
        <v>0.0</v>
      </c>
      <c r="I2483" s="3" t="s">
        <v>13</v>
      </c>
      <c r="J2483" s="3" t="s">
        <v>7337</v>
      </c>
      <c r="K2483" s="3" t="s">
        <v>54</v>
      </c>
      <c r="L2483" s="3" t="str">
        <f>IFERROR(__xludf.DUMMYFUNCTION("GOOGLETRANSLATE(F2483,""id"",""en"")"),"Indeed, this is really hot, the World Cup Final")</f>
        <v>Indeed, this is really hot, the World Cup Final</v>
      </c>
    </row>
    <row r="2484" ht="15.75" customHeight="1">
      <c r="A2484" s="1">
        <v>2499.0</v>
      </c>
      <c r="B2484" s="3" t="s">
        <v>7338</v>
      </c>
      <c r="C2484" s="3">
        <v>0.0</v>
      </c>
      <c r="D2484" s="3">
        <v>0.0</v>
      </c>
      <c r="E2484" s="3">
        <v>0.0</v>
      </c>
      <c r="F2484" s="3" t="s">
        <v>7339</v>
      </c>
      <c r="G2484" s="3">
        <v>1.0</v>
      </c>
      <c r="H2484" s="3">
        <v>0.0</v>
      </c>
      <c r="I2484" s="3" t="s">
        <v>13</v>
      </c>
      <c r="J2484" s="3" t="s">
        <v>7340</v>
      </c>
      <c r="K2484" s="3" t="s">
        <v>82</v>
      </c>
      <c r="L2484" s="3" t="str">
        <f>IFERROR(__xludf.DUMMYFUNCTION("GOOGLETRANSLATE(F2484,""id"",""en"")"),"Crazy Mbappe Hattrick Final World Cup Gokiiilllll")</f>
        <v>Crazy Mbappe Hattrick Final World Cup Gokiiilllll</v>
      </c>
    </row>
    <row r="2485" ht="15.75" customHeight="1">
      <c r="A2485" s="1">
        <v>2500.0</v>
      </c>
      <c r="B2485" s="3" t="s">
        <v>7341</v>
      </c>
      <c r="C2485" s="3">
        <v>0.0</v>
      </c>
      <c r="D2485" s="3">
        <v>0.0</v>
      </c>
      <c r="E2485" s="3">
        <v>0.0</v>
      </c>
      <c r="F2485" s="3" t="s">
        <v>7342</v>
      </c>
      <c r="G2485" s="3">
        <v>1.0</v>
      </c>
      <c r="H2485" s="3">
        <v>0.0</v>
      </c>
      <c r="I2485" s="3" t="s">
        <v>13</v>
      </c>
      <c r="J2485" s="3" t="s">
        <v>7343</v>
      </c>
      <c r="K2485" s="3" t="s">
        <v>31</v>
      </c>
      <c r="L2485" s="3" t="str">
        <f>IFERROR(__xludf.DUMMYFUNCTION("GOOGLETRANSLATE(F2485,""id"",""en"")"),"Ajegilee World Cup Final Hattrick")</f>
        <v>Ajegilee World Cup Final Hattrick</v>
      </c>
    </row>
    <row r="2486" ht="15.75" customHeight="1">
      <c r="A2486" s="1">
        <v>2501.0</v>
      </c>
      <c r="B2486" s="3" t="s">
        <v>7344</v>
      </c>
      <c r="C2486" s="3">
        <v>0.0</v>
      </c>
      <c r="D2486" s="3">
        <v>0.0</v>
      </c>
      <c r="E2486" s="3">
        <v>0.0</v>
      </c>
      <c r="F2486" s="3" t="s">
        <v>7345</v>
      </c>
      <c r="G2486" s="3">
        <v>1.0</v>
      </c>
      <c r="H2486" s="3">
        <v>0.0</v>
      </c>
      <c r="I2486" s="3" t="s">
        <v>13</v>
      </c>
      <c r="J2486" s="3" t="s">
        <v>7346</v>
      </c>
      <c r="K2486" s="3" t="s">
        <v>54</v>
      </c>
      <c r="L2486" s="3" t="str">
        <f>IFERROR(__xludf.DUMMYFUNCTION("GOOGLETRANSLATE(F2486,""id"",""en"")"),"The World Cup Final this time is really kelazzzz")</f>
        <v>The World Cup Final this time is really kelazzzz</v>
      </c>
    </row>
    <row r="2487" ht="15.75" customHeight="1">
      <c r="A2487" s="1">
        <v>2502.0</v>
      </c>
      <c r="B2487" s="3" t="s">
        <v>7347</v>
      </c>
      <c r="C2487" s="3">
        <v>0.0</v>
      </c>
      <c r="D2487" s="3">
        <v>0.0</v>
      </c>
      <c r="E2487" s="3">
        <v>0.0</v>
      </c>
      <c r="F2487" s="3" t="s">
        <v>7348</v>
      </c>
      <c r="G2487" s="3">
        <v>0.6</v>
      </c>
      <c r="H2487" s="3">
        <v>-0.05</v>
      </c>
      <c r="I2487" s="3" t="s">
        <v>179</v>
      </c>
      <c r="J2487" s="3" t="s">
        <v>7349</v>
      </c>
      <c r="K2487" s="3" t="s">
        <v>58</v>
      </c>
      <c r="L2487" s="3" t="str">
        <f>IFERROR(__xludf.DUMMYFUNCTION("GOOGLETRANSLATE(F2487,""id"",""en"")"),"Mbappe Hattrick Final World Cup at the age of a young mental age of steel matches that are exciting")</f>
        <v>Mbappe Hattrick Final World Cup at the age of a young mental age of steel matches that are exciting</v>
      </c>
    </row>
    <row r="2488" ht="15.75" customHeight="1">
      <c r="A2488" s="1">
        <v>2503.0</v>
      </c>
      <c r="B2488" s="3" t="s">
        <v>7350</v>
      </c>
      <c r="C2488" s="3">
        <v>1.0</v>
      </c>
      <c r="D2488" s="3">
        <v>0.0</v>
      </c>
      <c r="E2488" s="3">
        <v>0.0</v>
      </c>
      <c r="F2488" s="3" t="s">
        <v>7351</v>
      </c>
      <c r="G2488" s="3">
        <v>1.0</v>
      </c>
      <c r="H2488" s="3">
        <v>0.0</v>
      </c>
      <c r="I2488" s="3" t="s">
        <v>13</v>
      </c>
      <c r="J2488" s="3" t="s">
        <v>7352</v>
      </c>
      <c r="K2488" s="3" t="s">
        <v>82</v>
      </c>
      <c r="L2488" s="3" t="str">
        <f>IFERROR(__xludf.DUMMYFUNCTION("GOOGLETRANSLATE(F2488,""id"",""en"")"),"the age of the world cup final reservoir")</f>
        <v>the age of the world cup final reservoir</v>
      </c>
    </row>
    <row r="2489" ht="15.75" customHeight="1">
      <c r="A2489" s="1">
        <v>2504.0</v>
      </c>
      <c r="B2489" s="3" t="s">
        <v>7353</v>
      </c>
      <c r="C2489" s="3">
        <v>0.0</v>
      </c>
      <c r="D2489" s="3">
        <v>0.0</v>
      </c>
      <c r="E2489" s="3">
        <v>0.0</v>
      </c>
      <c r="F2489" s="3" t="s">
        <v>7354</v>
      </c>
      <c r="G2489" s="3">
        <v>1.0</v>
      </c>
      <c r="H2489" s="3">
        <v>0.0</v>
      </c>
      <c r="I2489" s="3" t="s">
        <v>13</v>
      </c>
      <c r="J2489" s="3" t="s">
        <v>7355</v>
      </c>
      <c r="K2489" s="3" t="s">
        <v>31</v>
      </c>
      <c r="L2489" s="3" t="str">
        <f>IFERROR(__xludf.DUMMYFUNCTION("GOOGLETRANSLATE(F2489,""id"",""en"")"),"Mbappe World Cup Final Hattrick")</f>
        <v>Mbappe World Cup Final Hattrick</v>
      </c>
    </row>
    <row r="2490" ht="15.75" customHeight="1">
      <c r="A2490" s="1">
        <v>2505.0</v>
      </c>
      <c r="B2490" s="3" t="s">
        <v>7356</v>
      </c>
      <c r="C2490" s="3">
        <v>0.0</v>
      </c>
      <c r="D2490" s="3">
        <v>0.0</v>
      </c>
      <c r="E2490" s="3">
        <v>0.0</v>
      </c>
      <c r="F2490" s="3" t="s">
        <v>7357</v>
      </c>
      <c r="G2490" s="3">
        <v>1.0</v>
      </c>
      <c r="H2490" s="3">
        <v>0.0</v>
      </c>
      <c r="I2490" s="3" t="s">
        <v>13</v>
      </c>
      <c r="J2490" s="3" t="s">
        <v>7358</v>
      </c>
      <c r="K2490" s="3" t="s">
        <v>54</v>
      </c>
      <c r="L2490" s="3" t="str">
        <f>IFERROR(__xludf.DUMMYFUNCTION("GOOGLETRANSLATE(F2490,""id"",""en"")"),"Hattrick Saddiiisss Final World Cup Exciting")</f>
        <v>Hattrick Saddiiisss Final World Cup Exciting</v>
      </c>
    </row>
    <row r="2491" ht="15.75" customHeight="1">
      <c r="A2491" s="1">
        <v>2506.0</v>
      </c>
      <c r="B2491" s="3" t="s">
        <v>7359</v>
      </c>
      <c r="C2491" s="3">
        <v>0.0</v>
      </c>
      <c r="D2491" s="3">
        <v>0.0</v>
      </c>
      <c r="E2491" s="3">
        <v>0.0</v>
      </c>
      <c r="F2491" s="3" t="s">
        <v>7360</v>
      </c>
      <c r="G2491" s="3">
        <v>1.0</v>
      </c>
      <c r="H2491" s="3">
        <v>0.0</v>
      </c>
      <c r="I2491" s="3" t="s">
        <v>13</v>
      </c>
      <c r="J2491" s="3" t="s">
        <v>7361</v>
      </c>
      <c r="K2491" s="3" t="s">
        <v>35</v>
      </c>
      <c r="L2491" s="3" t="str">
        <f>IFERROR(__xludf.DUMMYFUNCTION("GOOGLETRANSLATE(F2491,""id"",""en"")"),"What Match Mbappe Hattrick Final Final of the Best World Cup Final")</f>
        <v>What Match Mbappe Hattrick Final Final of the Best World Cup Final</v>
      </c>
    </row>
    <row r="2492" ht="15.75" customHeight="1">
      <c r="A2492" s="1">
        <v>2507.0</v>
      </c>
      <c r="B2492" s="3" t="s">
        <v>7362</v>
      </c>
      <c r="C2492" s="3">
        <v>0.0</v>
      </c>
      <c r="D2492" s="3">
        <v>0.0</v>
      </c>
      <c r="E2492" s="3">
        <v>0.0</v>
      </c>
      <c r="F2492" s="3" t="s">
        <v>7363</v>
      </c>
      <c r="G2492" s="3">
        <v>0.65</v>
      </c>
      <c r="H2492" s="3">
        <v>0.1</v>
      </c>
      <c r="I2492" s="3" t="s">
        <v>48</v>
      </c>
      <c r="J2492" s="3" t="s">
        <v>7364</v>
      </c>
      <c r="K2492" s="3" t="s">
        <v>82</v>
      </c>
      <c r="L2492" s="3" t="str">
        <f>IFERROR(__xludf.DUMMYFUNCTION("GOOGLETRANSLATE(F2492,""id"",""en"")"),"World Cup Final Hattrick The Real Goat")</f>
        <v>World Cup Final Hattrick The Real Goat</v>
      </c>
    </row>
    <row r="2493" ht="15.75" customHeight="1">
      <c r="A2493" s="1">
        <v>2508.0</v>
      </c>
      <c r="B2493" s="3" t="s">
        <v>7365</v>
      </c>
      <c r="C2493" s="3">
        <v>0.0</v>
      </c>
      <c r="D2493" s="3">
        <v>0.0</v>
      </c>
      <c r="E2493" s="3">
        <v>0.0</v>
      </c>
      <c r="F2493" s="3" t="s">
        <v>7366</v>
      </c>
      <c r="G2493" s="3">
        <v>1.0</v>
      </c>
      <c r="H2493" s="3">
        <v>0.0</v>
      </c>
      <c r="I2493" s="3" t="s">
        <v>13</v>
      </c>
      <c r="J2493" s="3" t="s">
        <v>7367</v>
      </c>
      <c r="K2493" s="3" t="s">
        <v>41</v>
      </c>
      <c r="L2493" s="3" t="str">
        <f>IFERROR(__xludf.DUMMYFUNCTION("GOOGLETRANSLATE(F2493,""id"",""en"")"),"Crazy if BLH BLG is crazy, the final of the world cup is the most Edyan")</f>
        <v>Crazy if BLH BLG is crazy, the final of the world cup is the most Edyan</v>
      </c>
    </row>
    <row r="2494" ht="15.75" customHeight="1">
      <c r="A2494" s="1">
        <v>2509.0</v>
      </c>
      <c r="B2494" s="3" t="s">
        <v>7368</v>
      </c>
      <c r="C2494" s="3">
        <v>0.0</v>
      </c>
      <c r="D2494" s="3">
        <v>0.0</v>
      </c>
      <c r="E2494" s="3">
        <v>0.0</v>
      </c>
      <c r="F2494" s="3" t="s">
        <v>2115</v>
      </c>
      <c r="G2494" s="3">
        <v>1.0</v>
      </c>
      <c r="H2494" s="3">
        <v>0.0</v>
      </c>
      <c r="I2494" s="3" t="s">
        <v>13</v>
      </c>
      <c r="J2494" s="3" t="s">
        <v>2116</v>
      </c>
      <c r="K2494" s="3" t="s">
        <v>2117</v>
      </c>
      <c r="L2494" s="3" t="str">
        <f>IFERROR(__xludf.DUMMYFUNCTION("GOOGLETRANSLATE(F2494,""id"",""en"")"),"World Cup Final")</f>
        <v>World Cup Final</v>
      </c>
    </row>
    <row r="2495" ht="15.75" customHeight="1">
      <c r="A2495" s="1">
        <v>2510.0</v>
      </c>
      <c r="B2495" s="3" t="s">
        <v>7369</v>
      </c>
      <c r="C2495" s="3">
        <v>0.0</v>
      </c>
      <c r="D2495" s="3">
        <v>0.0</v>
      </c>
      <c r="E2495" s="3">
        <v>0.0</v>
      </c>
      <c r="F2495" s="3" t="s">
        <v>6883</v>
      </c>
      <c r="G2495" s="3">
        <v>1.0</v>
      </c>
      <c r="H2495" s="3">
        <v>0.0</v>
      </c>
      <c r="I2495" s="3" t="s">
        <v>13</v>
      </c>
      <c r="J2495" s="3" t="s">
        <v>6884</v>
      </c>
      <c r="K2495" s="3" t="s">
        <v>322</v>
      </c>
      <c r="L2495" s="3" t="str">
        <f>IFERROR(__xludf.DUMMYFUNCTION("GOOGLETRANSLATE(F2495,""id"",""en"")"),"World Cup Final Final Most Crazy")</f>
        <v>World Cup Final Final Most Crazy</v>
      </c>
    </row>
    <row r="2496" ht="15.75" customHeight="1">
      <c r="A2496" s="1">
        <v>2511.0</v>
      </c>
      <c r="B2496" s="3" t="s">
        <v>7370</v>
      </c>
      <c r="C2496" s="3">
        <v>1.0</v>
      </c>
      <c r="D2496" s="3">
        <v>0.0</v>
      </c>
      <c r="E2496" s="3">
        <v>0.0</v>
      </c>
      <c r="F2496" s="3" t="s">
        <v>7371</v>
      </c>
      <c r="G2496" s="3">
        <v>1.0</v>
      </c>
      <c r="H2496" s="3">
        <v>0.0</v>
      </c>
      <c r="I2496" s="3" t="s">
        <v>13</v>
      </c>
      <c r="J2496" s="3" t="s">
        <v>7372</v>
      </c>
      <c r="K2496" s="3" t="s">
        <v>31</v>
      </c>
      <c r="L2496" s="3" t="str">
        <f>IFERROR(__xludf.DUMMYFUNCTION("GOOGLETRANSLATE(F2496,""id"",""en"")"),"Ampuun Dah This is the World Cup Final")</f>
        <v>Ampuun Dah This is the World Cup Final</v>
      </c>
    </row>
    <row r="2497" ht="15.75" customHeight="1">
      <c r="A2497" s="1">
        <v>2512.0</v>
      </c>
      <c r="B2497" s="3" t="s">
        <v>7373</v>
      </c>
      <c r="C2497" s="3">
        <v>0.0</v>
      </c>
      <c r="D2497" s="3">
        <v>0.0</v>
      </c>
      <c r="E2497" s="3">
        <v>3.0</v>
      </c>
      <c r="F2497" s="3" t="s">
        <v>7374</v>
      </c>
      <c r="G2497" s="3">
        <v>1.0</v>
      </c>
      <c r="H2497" s="3">
        <v>0.0</v>
      </c>
      <c r="I2497" s="3" t="s">
        <v>13</v>
      </c>
      <c r="J2497" s="3" t="s">
        <v>7375</v>
      </c>
      <c r="K2497" s="3" t="s">
        <v>240</v>
      </c>
      <c r="L2497" s="3" t="str">
        <f>IFERROR(__xludf.DUMMYFUNCTION("GOOGLETRANSLATE(F2497,""id"",""en"")"),"The World Cup Final must be fun like this, don't be like the first round that is like a friendly match of Arg Fra")</f>
        <v>The World Cup Final must be fun like this, don't be like the first round that is like a friendly match of Arg Fra</v>
      </c>
    </row>
    <row r="2498" ht="15.75" customHeight="1">
      <c r="A2498" s="1">
        <v>2513.0</v>
      </c>
      <c r="B2498" s="3" t="s">
        <v>7376</v>
      </c>
      <c r="C2498" s="3">
        <v>5.0</v>
      </c>
      <c r="D2498" s="3">
        <v>138.0</v>
      </c>
      <c r="E2498" s="3">
        <v>375.0</v>
      </c>
      <c r="F2498" s="3" t="s">
        <v>7377</v>
      </c>
      <c r="G2498" s="3">
        <v>1.0</v>
      </c>
      <c r="H2498" s="3">
        <v>0.0</v>
      </c>
      <c r="I2498" s="3" t="s">
        <v>13</v>
      </c>
      <c r="J2498" s="3" t="s">
        <v>7378</v>
      </c>
      <c r="K2498" s="3" t="s">
        <v>50</v>
      </c>
      <c r="L2498" s="3" t="str">
        <f>IFERROR(__xludf.DUMMYFUNCTION("GOOGLETRANSLATE(F2498,""id"",""en"")"),"The last time the player was a goal in the World Cup Final Ronaldo Mbappe Hatrik")</f>
        <v>The last time the player was a goal in the World Cup Final Ronaldo Mbappe Hatrik</v>
      </c>
    </row>
    <row r="2499" ht="15.75" customHeight="1">
      <c r="A2499" s="1">
        <v>2514.0</v>
      </c>
      <c r="B2499" s="3" t="s">
        <v>7379</v>
      </c>
      <c r="C2499" s="3">
        <v>0.0</v>
      </c>
      <c r="D2499" s="3">
        <v>0.0</v>
      </c>
      <c r="E2499" s="3">
        <v>0.0</v>
      </c>
      <c r="F2499" s="3" t="s">
        <v>7380</v>
      </c>
      <c r="G2499" s="3">
        <v>1.0</v>
      </c>
      <c r="H2499" s="3">
        <v>0.0</v>
      </c>
      <c r="I2499" s="3" t="s">
        <v>13</v>
      </c>
      <c r="J2499" s="3" t="s">
        <v>7381</v>
      </c>
      <c r="K2499" s="3" t="s">
        <v>54</v>
      </c>
      <c r="L2499" s="3" t="str">
        <f>IFERROR(__xludf.DUMMYFUNCTION("GOOGLETRANSLATE(F2499,""id"",""en"")"),"The Best World Cup Final Epicc")</f>
        <v>The Best World Cup Final Epicc</v>
      </c>
    </row>
    <row r="2500" ht="15.75" customHeight="1">
      <c r="A2500" s="1">
        <v>2515.0</v>
      </c>
      <c r="B2500" s="3" t="s">
        <v>7382</v>
      </c>
      <c r="C2500" s="3">
        <v>0.0</v>
      </c>
      <c r="D2500" s="3">
        <v>0.0</v>
      </c>
      <c r="E2500" s="3">
        <v>0.0</v>
      </c>
      <c r="F2500" s="3" t="s">
        <v>7383</v>
      </c>
      <c r="G2500" s="3">
        <v>1.0</v>
      </c>
      <c r="H2500" s="3">
        <v>0.0</v>
      </c>
      <c r="I2500" s="3" t="s">
        <v>13</v>
      </c>
      <c r="J2500" s="3" t="s">
        <v>7384</v>
      </c>
      <c r="K2500" s="3" t="s">
        <v>31</v>
      </c>
      <c r="L2500" s="3" t="str">
        <f>IFERROR(__xludf.DUMMYFUNCTION("GOOGLETRANSLATE(F2500,""id"",""en"")"),"The World Cup Final was shocked by COOOGGG")</f>
        <v>The World Cup Final was shocked by COOOGGG</v>
      </c>
    </row>
    <row r="2501" ht="15.75" customHeight="1">
      <c r="A2501" s="1">
        <v>2516.0</v>
      </c>
      <c r="B2501" s="3" t="s">
        <v>7385</v>
      </c>
      <c r="C2501" s="3">
        <v>0.0</v>
      </c>
      <c r="D2501" s="3">
        <v>0.0</v>
      </c>
      <c r="E2501" s="3">
        <v>0.0</v>
      </c>
      <c r="F2501" s="3" t="s">
        <v>7386</v>
      </c>
      <c r="G2501" s="3">
        <v>1.0</v>
      </c>
      <c r="H2501" s="3">
        <v>0.0</v>
      </c>
      <c r="I2501" s="3" t="s">
        <v>13</v>
      </c>
      <c r="J2501" s="3" t="s">
        <v>7387</v>
      </c>
      <c r="K2501" s="3" t="s">
        <v>54</v>
      </c>
      <c r="L2501" s="3" t="str">
        <f>IFERROR(__xludf.DUMMYFUNCTION("GOOGLETRANSLATE(F2501,""id"",""en"")"),"Edaaaannn Mbappe Hattrick World Cup Final")</f>
        <v>Edaaaannn Mbappe Hattrick World Cup Final</v>
      </c>
    </row>
    <row r="2502" ht="15.75" customHeight="1">
      <c r="A2502" s="1">
        <v>2517.0</v>
      </c>
      <c r="B2502" s="3" t="s">
        <v>7388</v>
      </c>
      <c r="C2502" s="3">
        <v>0.0</v>
      </c>
      <c r="D2502" s="3">
        <v>0.0</v>
      </c>
      <c r="E2502" s="3">
        <v>0.0</v>
      </c>
      <c r="F2502" s="3" t="s">
        <v>7199</v>
      </c>
      <c r="G2502" s="3">
        <v>1.0</v>
      </c>
      <c r="H2502" s="3">
        <v>0.0</v>
      </c>
      <c r="I2502" s="3" t="s">
        <v>13</v>
      </c>
      <c r="J2502" s="3" t="s">
        <v>7200</v>
      </c>
      <c r="K2502" s="3" t="s">
        <v>31</v>
      </c>
      <c r="L2502" s="3" t="str">
        <f>IFERROR(__xludf.DUMMYFUNCTION("GOOGLETRANSLATE(F2502,""id"",""en"")"),"World Cup Final Hat Trick")</f>
        <v>World Cup Final Hat Trick</v>
      </c>
    </row>
    <row r="2503" ht="15.75" customHeight="1">
      <c r="A2503" s="1">
        <v>2518.0</v>
      </c>
      <c r="B2503" s="3" t="s">
        <v>7389</v>
      </c>
      <c r="C2503" s="3">
        <v>0.0</v>
      </c>
      <c r="D2503" s="3">
        <v>0.0</v>
      </c>
      <c r="E2503" s="3">
        <v>0.0</v>
      </c>
      <c r="F2503" s="3" t="s">
        <v>7390</v>
      </c>
      <c r="G2503" s="3">
        <v>0.7</v>
      </c>
      <c r="H2503" s="3">
        <v>0.1</v>
      </c>
      <c r="I2503" s="3" t="s">
        <v>48</v>
      </c>
      <c r="J2503" s="3" t="s">
        <v>7391</v>
      </c>
      <c r="K2503" s="3" t="s">
        <v>82</v>
      </c>
      <c r="L2503" s="3" t="str">
        <f>IFERROR(__xludf.DUMMYFUNCTION("GOOGLETRANSLATE(F2503,""id"",""en"")"),"hahaha this drama is this exciting world cup final")</f>
        <v>hahaha this drama is this exciting world cup final</v>
      </c>
    </row>
    <row r="2504" ht="15.75" customHeight="1">
      <c r="A2504" s="1">
        <v>2519.0</v>
      </c>
      <c r="B2504" s="3" t="s">
        <v>7392</v>
      </c>
      <c r="C2504" s="3">
        <v>0.0</v>
      </c>
      <c r="D2504" s="3">
        <v>2.0</v>
      </c>
      <c r="E2504" s="3">
        <v>0.0</v>
      </c>
      <c r="F2504" s="3" t="s">
        <v>7393</v>
      </c>
      <c r="G2504" s="3">
        <v>1.0</v>
      </c>
      <c r="H2504" s="3">
        <v>0.0</v>
      </c>
      <c r="I2504" s="3" t="s">
        <v>13</v>
      </c>
      <c r="J2504" s="3" t="s">
        <v>7394</v>
      </c>
      <c r="K2504" s="3" t="s">
        <v>7395</v>
      </c>
      <c r="L2504" s="3" t="str">
        <f>IFERROR(__xludf.DUMMYFUNCTION("GOOGLETRANSLATE(F2504,""id"",""en"")"),"Fucking is a turtle of the World Cup World Cup Final Final Final")</f>
        <v>Fucking is a turtle of the World Cup World Cup Final Final Final</v>
      </c>
    </row>
    <row r="2505" ht="15.75" customHeight="1">
      <c r="A2505" s="1">
        <v>2520.0</v>
      </c>
      <c r="B2505" s="3" t="s">
        <v>7396</v>
      </c>
      <c r="C2505" s="3">
        <v>0.0</v>
      </c>
      <c r="D2505" s="3">
        <v>0.0</v>
      </c>
      <c r="E2505" s="3">
        <v>0.0</v>
      </c>
      <c r="F2505" s="3" t="s">
        <v>3376</v>
      </c>
      <c r="G2505" s="3">
        <v>0.7</v>
      </c>
      <c r="H2505" s="3">
        <v>0.05</v>
      </c>
      <c r="I2505" s="3" t="s">
        <v>48</v>
      </c>
      <c r="J2505" s="3" t="s">
        <v>3377</v>
      </c>
      <c r="K2505" s="3" t="s">
        <v>31</v>
      </c>
      <c r="L2505" s="3" t="str">
        <f>IFERROR(__xludf.DUMMYFUNCTION("GOOGLETRANSLATE(F2505,""id"",""en"")"),"World Cup Final Most Epic")</f>
        <v>World Cup Final Most Epic</v>
      </c>
    </row>
    <row r="2506" ht="15.75" customHeight="1">
      <c r="A2506" s="1">
        <v>2521.0</v>
      </c>
      <c r="B2506" s="3" t="s">
        <v>7397</v>
      </c>
      <c r="C2506" s="3">
        <v>0.0</v>
      </c>
      <c r="D2506" s="3">
        <v>0.0</v>
      </c>
      <c r="E2506" s="3">
        <v>0.0</v>
      </c>
      <c r="F2506" s="3" t="s">
        <v>7398</v>
      </c>
      <c r="G2506" s="3">
        <v>1.0</v>
      </c>
      <c r="H2506" s="3">
        <v>0.0</v>
      </c>
      <c r="I2506" s="3" t="s">
        <v>13</v>
      </c>
      <c r="J2506" s="3" t="s">
        <v>7399</v>
      </c>
      <c r="K2506" s="3" t="s">
        <v>54</v>
      </c>
      <c r="L2506" s="3" t="str">
        <f>IFERROR(__xludf.DUMMYFUNCTION("GOOGLETRANSLATE(F2506,""id"",""en"")"),"The original World Cup Final was excited")</f>
        <v>The original World Cup Final was excited</v>
      </c>
    </row>
    <row r="2507" ht="15.75" customHeight="1">
      <c r="A2507" s="1">
        <v>2522.0</v>
      </c>
      <c r="B2507" s="3" t="s">
        <v>7400</v>
      </c>
      <c r="C2507" s="3">
        <v>0.0</v>
      </c>
      <c r="D2507" s="3">
        <v>0.0</v>
      </c>
      <c r="E2507" s="3">
        <v>0.0</v>
      </c>
      <c r="F2507" s="3" t="s">
        <v>7401</v>
      </c>
      <c r="G2507" s="3">
        <v>1.0</v>
      </c>
      <c r="H2507" s="3">
        <v>0.0</v>
      </c>
      <c r="I2507" s="3" t="s">
        <v>13</v>
      </c>
      <c r="J2507" s="3" t="s">
        <v>7402</v>
      </c>
      <c r="K2507" s="3" t="s">
        <v>35</v>
      </c>
      <c r="L2507" s="3" t="str">
        <f>IFERROR(__xludf.DUMMYFUNCTION("GOOGLETRANSLATE(F2507,""id"",""en"")"),"My year's age is still a burden on the Mbappe family of the World Cup Final Hattrick")</f>
        <v>My year's age is still a burden on the Mbappe family of the World Cup Final Hattrick</v>
      </c>
    </row>
    <row r="2508" ht="15.75" customHeight="1">
      <c r="A2508" s="1">
        <v>2523.0</v>
      </c>
      <c r="B2508" s="3" t="s">
        <v>7403</v>
      </c>
      <c r="C2508" s="3">
        <v>0.0</v>
      </c>
      <c r="D2508" s="3">
        <v>0.0</v>
      </c>
      <c r="E2508" s="3">
        <v>0.0</v>
      </c>
      <c r="F2508" s="3" t="s">
        <v>7404</v>
      </c>
      <c r="G2508" s="3">
        <v>1.0</v>
      </c>
      <c r="H2508" s="3">
        <v>0.0</v>
      </c>
      <c r="I2508" s="3" t="s">
        <v>13</v>
      </c>
      <c r="J2508" s="3" t="s">
        <v>7405</v>
      </c>
      <c r="K2508" s="3" t="s">
        <v>54</v>
      </c>
      <c r="L2508" s="3" t="str">
        <f>IFERROR(__xludf.DUMMYFUNCTION("GOOGLETRANSLATE(F2508,""id"",""en"")"),"The World Cup Final was shouted by you ever seen this")</f>
        <v>The World Cup Final was shouted by you ever seen this</v>
      </c>
    </row>
    <row r="2509" ht="15.75" customHeight="1">
      <c r="A2509" s="1">
        <v>2524.0</v>
      </c>
      <c r="B2509" s="3" t="s">
        <v>7406</v>
      </c>
      <c r="C2509" s="3">
        <v>0.0</v>
      </c>
      <c r="D2509" s="3">
        <v>0.0</v>
      </c>
      <c r="E2509" s="3">
        <v>0.0</v>
      </c>
      <c r="F2509" s="3" t="s">
        <v>7407</v>
      </c>
      <c r="G2509" s="3">
        <v>1.0</v>
      </c>
      <c r="H2509" s="3">
        <v>0.0</v>
      </c>
      <c r="I2509" s="3" t="s">
        <v>13</v>
      </c>
      <c r="J2509" s="3" t="s">
        <v>7408</v>
      </c>
      <c r="K2509" s="3" t="s">
        <v>31</v>
      </c>
      <c r="L2509" s="3" t="str">
        <f>IFERROR(__xludf.DUMMYFUNCTION("GOOGLETRANSLATE(F2509,""id"",""en"")"),"The World Cup Final was shocked")</f>
        <v>The World Cup Final was shocked</v>
      </c>
    </row>
    <row r="2510" ht="15.75" customHeight="1">
      <c r="A2510" s="1">
        <v>2525.0</v>
      </c>
      <c r="B2510" s="3" t="s">
        <v>7409</v>
      </c>
      <c r="C2510" s="3">
        <v>0.0</v>
      </c>
      <c r="D2510" s="3">
        <v>0.0</v>
      </c>
      <c r="E2510" s="3">
        <v>0.0</v>
      </c>
      <c r="F2510" s="3" t="s">
        <v>7410</v>
      </c>
      <c r="G2510" s="3">
        <v>1.0</v>
      </c>
      <c r="H2510" s="3">
        <v>0.0</v>
      </c>
      <c r="I2510" s="3" t="s">
        <v>13</v>
      </c>
      <c r="J2510" s="3" t="s">
        <v>7411</v>
      </c>
      <c r="K2510" s="3" t="s">
        <v>54</v>
      </c>
      <c r="L2510" s="3" t="str">
        <f>IFERROR(__xludf.DUMMYFUNCTION("GOOGLETRANSLATE(F2510,""id"",""en"")"),"fortunately again the world cup final so it's still crowded")</f>
        <v>fortunately again the world cup final so it's still crowded</v>
      </c>
    </row>
    <row r="2511" ht="15.75" customHeight="1">
      <c r="A2511" s="1">
        <v>2526.0</v>
      </c>
      <c r="B2511" s="3" t="s">
        <v>7412</v>
      </c>
      <c r="C2511" s="3">
        <v>0.0</v>
      </c>
      <c r="D2511" s="3">
        <v>0.0</v>
      </c>
      <c r="E2511" s="3">
        <v>0.0</v>
      </c>
      <c r="F2511" s="3" t="s">
        <v>7413</v>
      </c>
      <c r="G2511" s="3">
        <v>1.0</v>
      </c>
      <c r="H2511" s="3">
        <v>0.0</v>
      </c>
      <c r="I2511" s="3" t="s">
        <v>13</v>
      </c>
      <c r="J2511" s="3" t="s">
        <v>7414</v>
      </c>
      <c r="K2511" s="3" t="s">
        <v>82</v>
      </c>
      <c r="L2511" s="3" t="str">
        <f>IFERROR(__xludf.DUMMYFUNCTION("GOOGLETRANSLATE(F2511,""id"",""en"")"),"Whoever champion is the best World Cup final match")</f>
        <v>Whoever champion is the best World Cup final match</v>
      </c>
    </row>
    <row r="2512" ht="15.75" customHeight="1">
      <c r="A2512" s="1">
        <v>2527.0</v>
      </c>
      <c r="B2512" s="3" t="s">
        <v>7415</v>
      </c>
      <c r="C2512" s="3">
        <v>0.0</v>
      </c>
      <c r="D2512" s="3">
        <v>0.0</v>
      </c>
      <c r="E2512" s="3">
        <v>0.0</v>
      </c>
      <c r="F2512" s="3" t="s">
        <v>7416</v>
      </c>
      <c r="G2512" s="3">
        <v>1.0</v>
      </c>
      <c r="H2512" s="3">
        <v>0.0</v>
      </c>
      <c r="I2512" s="3" t="s">
        <v>13</v>
      </c>
      <c r="J2512" s="3" t="s">
        <v>7417</v>
      </c>
      <c r="K2512" s="3" t="s">
        <v>82</v>
      </c>
      <c r="L2512" s="3" t="str">
        <f>IFERROR(__xludf.DUMMYFUNCTION("GOOGLETRANSLATE(F2512,""id"",""en"")"),"Kylian Mbappe World Cup Final Goal Hattrick")</f>
        <v>Kylian Mbappe World Cup Final Goal Hattrick</v>
      </c>
    </row>
    <row r="2513" ht="15.75" customHeight="1">
      <c r="A2513" s="1">
        <v>2528.0</v>
      </c>
      <c r="B2513" s="3" t="s">
        <v>7418</v>
      </c>
      <c r="C2513" s="3">
        <v>0.0</v>
      </c>
      <c r="D2513" s="3">
        <v>0.0</v>
      </c>
      <c r="E2513" s="3">
        <v>0.0</v>
      </c>
      <c r="F2513" s="3" t="s">
        <v>7419</v>
      </c>
      <c r="G2513" s="3">
        <v>1.0</v>
      </c>
      <c r="H2513" s="3">
        <v>0.0</v>
      </c>
      <c r="I2513" s="3" t="s">
        <v>13</v>
      </c>
      <c r="J2513" s="3" t="s">
        <v>7420</v>
      </c>
      <c r="K2513" s="3" t="s">
        <v>54</v>
      </c>
      <c r="L2513" s="3" t="str">
        <f>IFERROR(__xludf.DUMMYFUNCTION("GOOGLETRANSLATE(F2513,""id"",""en"")"),"World Player World Cup Final Hattrick")</f>
        <v>World Player World Cup Final Hattrick</v>
      </c>
    </row>
    <row r="2514" ht="15.75" customHeight="1">
      <c r="A2514" s="1">
        <v>2529.0</v>
      </c>
      <c r="B2514" s="3" t="s">
        <v>7421</v>
      </c>
      <c r="C2514" s="3">
        <v>0.0</v>
      </c>
      <c r="D2514" s="3">
        <v>0.0</v>
      </c>
      <c r="E2514" s="3">
        <v>0.0</v>
      </c>
      <c r="F2514" s="3" t="s">
        <v>7422</v>
      </c>
      <c r="G2514" s="3">
        <v>1.0</v>
      </c>
      <c r="H2514" s="3">
        <v>0.0</v>
      </c>
      <c r="I2514" s="3" t="s">
        <v>13</v>
      </c>
      <c r="J2514" s="3" t="s">
        <v>7423</v>
      </c>
      <c r="K2514" s="3" t="s">
        <v>54</v>
      </c>
      <c r="L2514" s="3" t="str">
        <f>IFERROR(__xludf.DUMMYFUNCTION("GOOGLETRANSLATE(F2514,""id"",""en"")"),"Goks Mbappe World Cup Final Hattrick")</f>
        <v>Goks Mbappe World Cup Final Hattrick</v>
      </c>
    </row>
    <row r="2515" ht="15.75" customHeight="1">
      <c r="A2515" s="1">
        <v>2530.0</v>
      </c>
      <c r="B2515" s="3" t="s">
        <v>7424</v>
      </c>
      <c r="C2515" s="3">
        <v>0.0</v>
      </c>
      <c r="D2515" s="3">
        <v>0.0</v>
      </c>
      <c r="E2515" s="3">
        <v>1.0</v>
      </c>
      <c r="F2515" s="3" t="s">
        <v>7425</v>
      </c>
      <c r="G2515" s="3">
        <v>1.0</v>
      </c>
      <c r="H2515" s="3">
        <v>0.0</v>
      </c>
      <c r="I2515" s="3" t="s">
        <v>13</v>
      </c>
      <c r="J2515" s="3" t="s">
        <v>3633</v>
      </c>
      <c r="K2515" s="3" t="s">
        <v>644</v>
      </c>
      <c r="L2515" s="3" t="str">
        <f>IFERROR(__xludf.DUMMYFUNCTION("GOOGLETRANSLATE(F2515,""id"",""en"")"),"The Coolest World Cup Final")</f>
        <v>The Coolest World Cup Final</v>
      </c>
    </row>
    <row r="2516" ht="15.75" customHeight="1">
      <c r="A2516" s="1">
        <v>2531.0</v>
      </c>
      <c r="B2516" s="3" t="s">
        <v>7426</v>
      </c>
      <c r="C2516" s="3">
        <v>0.0</v>
      </c>
      <c r="D2516" s="3">
        <v>0.0</v>
      </c>
      <c r="E2516" s="3">
        <v>0.0</v>
      </c>
      <c r="F2516" s="3" t="s">
        <v>7427</v>
      </c>
      <c r="G2516" s="3">
        <v>1.0</v>
      </c>
      <c r="H2516" s="3">
        <v>0.0</v>
      </c>
      <c r="I2516" s="3" t="s">
        <v>13</v>
      </c>
      <c r="J2516" s="3" t="s">
        <v>6682</v>
      </c>
      <c r="K2516" s="3" t="s">
        <v>31</v>
      </c>
      <c r="L2516" s="3" t="str">
        <f>IFERROR(__xludf.DUMMYFUNCTION("GOOGLETRANSLATE(F2516,""id"",""en"")"),"The Crazhemese World Cup Final")</f>
        <v>The Crazhemese World Cup Final</v>
      </c>
    </row>
    <row r="2517" ht="15.75" customHeight="1">
      <c r="A2517" s="1">
        <v>2532.0</v>
      </c>
      <c r="B2517" s="3" t="s">
        <v>7428</v>
      </c>
      <c r="C2517" s="3">
        <v>0.0</v>
      </c>
      <c r="D2517" s="3">
        <v>0.0</v>
      </c>
      <c r="E2517" s="3">
        <v>0.0</v>
      </c>
      <c r="F2517" s="3" t="s">
        <v>7429</v>
      </c>
      <c r="G2517" s="3">
        <v>1.0</v>
      </c>
      <c r="H2517" s="3">
        <v>0.0</v>
      </c>
      <c r="I2517" s="3" t="s">
        <v>13</v>
      </c>
      <c r="J2517" s="3" t="s">
        <v>7430</v>
      </c>
      <c r="K2517" s="3" t="s">
        <v>31</v>
      </c>
      <c r="L2517" s="3" t="str">
        <f>IFERROR(__xludf.DUMMYFUNCTION("GOOGLETRANSLATE(F2517,""id"",""en"")"),"World Crazy World Cup Final")</f>
        <v>World Crazy World Cup Final</v>
      </c>
    </row>
    <row r="2518" ht="15.75" customHeight="1">
      <c r="A2518" s="1">
        <v>2533.0</v>
      </c>
      <c r="B2518" s="3" t="s">
        <v>7431</v>
      </c>
      <c r="C2518" s="3">
        <v>0.0</v>
      </c>
      <c r="D2518" s="3">
        <v>0.0</v>
      </c>
      <c r="E2518" s="3">
        <v>0.0</v>
      </c>
      <c r="F2518" s="3" t="s">
        <v>7432</v>
      </c>
      <c r="G2518" s="3">
        <v>1.0</v>
      </c>
      <c r="H2518" s="3">
        <v>0.0</v>
      </c>
      <c r="I2518" s="3" t="s">
        <v>13</v>
      </c>
      <c r="J2518" s="3" t="s">
        <v>7433</v>
      </c>
      <c r="K2518" s="3" t="s">
        <v>15</v>
      </c>
      <c r="L2518" s="3" t="str">
        <f>IFERROR(__xludf.DUMMYFUNCTION("GOOGLETRANSLATE(F2518,""id"",""en"")"),"The First Hattrik of the World Cup Final Since Kylian Mbappe")</f>
        <v>The First Hattrik of the World Cup Final Since Kylian Mbappe</v>
      </c>
    </row>
    <row r="2519" ht="15.75" customHeight="1">
      <c r="A2519" s="1">
        <v>2534.0</v>
      </c>
      <c r="B2519" s="3" t="s">
        <v>7434</v>
      </c>
      <c r="C2519" s="3">
        <v>0.0</v>
      </c>
      <c r="D2519" s="3">
        <v>0.0</v>
      </c>
      <c r="E2519" s="3">
        <v>0.0</v>
      </c>
      <c r="F2519" s="3" t="s">
        <v>7435</v>
      </c>
      <c r="G2519" s="3">
        <v>1.0</v>
      </c>
      <c r="H2519" s="3">
        <v>0.0</v>
      </c>
      <c r="I2519" s="3" t="s">
        <v>13</v>
      </c>
      <c r="J2519" s="3" t="s">
        <v>7436</v>
      </c>
      <c r="K2519" s="3" t="s">
        <v>82</v>
      </c>
      <c r="L2519" s="3" t="str">
        <f>IFERROR(__xludf.DUMMYFUNCTION("GOOGLETRANSLATE(F2519,""id"",""en"")"),"Cocote Mbappe Hattrick World Cup Final Ngotak")</f>
        <v>Cocote Mbappe Hattrick World Cup Final Ngotak</v>
      </c>
    </row>
    <row r="2520" ht="15.75" customHeight="1">
      <c r="A2520" s="1">
        <v>2535.0</v>
      </c>
      <c r="B2520" s="3" t="s">
        <v>7437</v>
      </c>
      <c r="C2520" s="3">
        <v>0.0</v>
      </c>
      <c r="D2520" s="3">
        <v>0.0</v>
      </c>
      <c r="E2520" s="3">
        <v>0.0</v>
      </c>
      <c r="F2520" s="3" t="s">
        <v>7438</v>
      </c>
      <c r="G2520" s="3">
        <v>1.0</v>
      </c>
      <c r="H2520" s="3">
        <v>0.0</v>
      </c>
      <c r="I2520" s="3" t="s">
        <v>13</v>
      </c>
      <c r="J2520" s="3" t="s">
        <v>7439</v>
      </c>
      <c r="K2520" s="3" t="s">
        <v>54</v>
      </c>
      <c r="L2520" s="3" t="str">
        <f>IFERROR(__xludf.DUMMYFUNCTION("GOOGLETRANSLATE(F2520,""id"",""en"")"),"What does it feel like the World Cup Final Hattrick")</f>
        <v>What does it feel like the World Cup Final Hattrick</v>
      </c>
    </row>
    <row r="2521" ht="15.75" customHeight="1">
      <c r="A2521" s="1">
        <v>2536.0</v>
      </c>
      <c r="B2521" s="3" t="s">
        <v>7440</v>
      </c>
      <c r="C2521" s="3">
        <v>0.0</v>
      </c>
      <c r="D2521" s="3">
        <v>0.0</v>
      </c>
      <c r="E2521" s="3">
        <v>2.0</v>
      </c>
      <c r="F2521" s="3" t="s">
        <v>7441</v>
      </c>
      <c r="G2521" s="3">
        <v>1.0</v>
      </c>
      <c r="H2521" s="3">
        <v>0.0</v>
      </c>
      <c r="I2521" s="3" t="s">
        <v>13</v>
      </c>
      <c r="J2521" s="3" t="s">
        <v>7442</v>
      </c>
      <c r="K2521" s="3" t="s">
        <v>54</v>
      </c>
      <c r="L2521" s="3" t="str">
        <f>IFERROR(__xludf.DUMMYFUNCTION("GOOGLETRANSLATE(F2521,""id"",""en"")"),"For whatever sake this is the World Cup Final Most Ngeheeeeee")</f>
        <v>For whatever sake this is the World Cup Final Most Ngeheeeeee</v>
      </c>
    </row>
    <row r="2522" ht="15.75" customHeight="1">
      <c r="A2522" s="1">
        <v>2537.0</v>
      </c>
      <c r="B2522" s="3" t="s">
        <v>7443</v>
      </c>
      <c r="C2522" s="3">
        <v>1.0</v>
      </c>
      <c r="D2522" s="3">
        <v>1.0</v>
      </c>
      <c r="E2522" s="3">
        <v>5.0</v>
      </c>
      <c r="F2522" s="3" t="s">
        <v>7444</v>
      </c>
      <c r="G2522" s="3">
        <v>1.0</v>
      </c>
      <c r="H2522" s="3">
        <v>0.0</v>
      </c>
      <c r="I2522" s="3" t="s">
        <v>13</v>
      </c>
      <c r="J2522" s="3" t="s">
        <v>7445</v>
      </c>
      <c r="K2522" s="3" t="s">
        <v>15</v>
      </c>
      <c r="L2522" s="3" t="str">
        <f>IFERROR(__xludf.DUMMYFUNCTION("GOOGLETRANSLATE(F2522,""id"",""en"")"),"Raul Lemos Hattrick Final World Cup Mimi")</f>
        <v>Raul Lemos Hattrick Final World Cup Mimi</v>
      </c>
    </row>
    <row r="2523" ht="15.75" customHeight="1">
      <c r="A2523" s="1">
        <v>2538.0</v>
      </c>
      <c r="B2523" s="3" t="s">
        <v>7446</v>
      </c>
      <c r="C2523" s="3">
        <v>0.0</v>
      </c>
      <c r="D2523" s="3">
        <v>0.0</v>
      </c>
      <c r="E2523" s="3">
        <v>0.0</v>
      </c>
      <c r="F2523" s="3" t="s">
        <v>7446</v>
      </c>
      <c r="G2523" s="3">
        <v>1.0</v>
      </c>
      <c r="H2523" s="3">
        <v>0.0</v>
      </c>
      <c r="I2523" s="3" t="s">
        <v>13</v>
      </c>
      <c r="J2523" s="3" t="s">
        <v>7447</v>
      </c>
      <c r="K2523" s="3" t="s">
        <v>644</v>
      </c>
      <c r="L2523" s="3" t="str">
        <f>IFERROR(__xludf.DUMMYFUNCTION("GOOGLETRANSLATE(F2523,""id"",""en"")"),"Crazy This is the World Cup Final")</f>
        <v>Crazy This is the World Cup Final</v>
      </c>
    </row>
    <row r="2524" ht="15.75" customHeight="1">
      <c r="A2524" s="1">
        <v>2539.0</v>
      </c>
      <c r="B2524" s="3" t="s">
        <v>7448</v>
      </c>
      <c r="C2524" s="3">
        <v>0.0</v>
      </c>
      <c r="D2524" s="3">
        <v>0.0</v>
      </c>
      <c r="E2524" s="3">
        <v>0.0</v>
      </c>
      <c r="F2524" s="3" t="s">
        <v>7449</v>
      </c>
      <c r="G2524" s="3">
        <v>1.0</v>
      </c>
      <c r="H2524" s="3">
        <v>0.0</v>
      </c>
      <c r="I2524" s="3" t="s">
        <v>13</v>
      </c>
      <c r="J2524" s="3" t="s">
        <v>7450</v>
      </c>
      <c r="K2524" s="3" t="s">
        <v>58</v>
      </c>
      <c r="L2524" s="3" t="str">
        <f>IFERROR(__xludf.DUMMYFUNCTION("GOOGLETRANSLATE(F2524,""id"",""en"")"),"Kylian Penalty Gol Mbappe Hat Trick Argentina France Messi Mbappe World Cup Final")</f>
        <v>Kylian Penalty Gol Mbappe Hat Trick Argentina France Messi Mbappe World Cup Final</v>
      </c>
    </row>
    <row r="2525" ht="15.75" customHeight="1">
      <c r="A2525" s="1">
        <v>2540.0</v>
      </c>
      <c r="B2525" s="3" t="s">
        <v>7451</v>
      </c>
      <c r="C2525" s="3">
        <v>1.0</v>
      </c>
      <c r="D2525" s="3">
        <v>0.0</v>
      </c>
      <c r="E2525" s="3">
        <v>0.0</v>
      </c>
      <c r="F2525" s="3" t="s">
        <v>7452</v>
      </c>
      <c r="G2525" s="3">
        <v>1.0</v>
      </c>
      <c r="H2525" s="3">
        <v>0.0</v>
      </c>
      <c r="I2525" s="3" t="s">
        <v>13</v>
      </c>
      <c r="J2525" s="3" t="s">
        <v>7453</v>
      </c>
      <c r="K2525" s="3" t="s">
        <v>82</v>
      </c>
      <c r="L2525" s="3" t="str">
        <f>IFERROR(__xludf.DUMMYFUNCTION("GOOGLETRANSLATE(F2525,""id"",""en"")"),"The Most Exciting World Cup Final I've ever watched")</f>
        <v>The Most Exciting World Cup Final I've ever watched</v>
      </c>
    </row>
    <row r="2526" ht="15.75" customHeight="1">
      <c r="A2526" s="1">
        <v>2541.0</v>
      </c>
      <c r="B2526" s="3" t="s">
        <v>7454</v>
      </c>
      <c r="C2526" s="3">
        <v>0.0</v>
      </c>
      <c r="D2526" s="3">
        <v>0.0</v>
      </c>
      <c r="E2526" s="3">
        <v>0.0</v>
      </c>
      <c r="F2526" s="3" t="s">
        <v>7455</v>
      </c>
      <c r="G2526" s="3">
        <v>1.0</v>
      </c>
      <c r="H2526" s="3">
        <v>0.0</v>
      </c>
      <c r="I2526" s="3" t="s">
        <v>13</v>
      </c>
      <c r="J2526" s="3" t="s">
        <v>7456</v>
      </c>
      <c r="K2526" s="3" t="s">
        <v>82</v>
      </c>
      <c r="L2526" s="3" t="str">
        <f>IFERROR(__xludf.DUMMYFUNCTION("GOOGLETRANSLATE(F2526,""id"",""en"")"),"The best Indo Final during the World Cup Debate")</f>
        <v>The best Indo Final during the World Cup Debate</v>
      </c>
    </row>
    <row r="2527" ht="15.75" customHeight="1">
      <c r="A2527" s="1">
        <v>2542.0</v>
      </c>
      <c r="B2527" s="3" t="s">
        <v>7457</v>
      </c>
      <c r="C2527" s="3">
        <v>0.0</v>
      </c>
      <c r="D2527" s="3">
        <v>0.0</v>
      </c>
      <c r="E2527" s="3">
        <v>0.0</v>
      </c>
      <c r="F2527" s="3" t="s">
        <v>7457</v>
      </c>
      <c r="G2527" s="3">
        <v>1.0</v>
      </c>
      <c r="H2527" s="3">
        <v>0.0</v>
      </c>
      <c r="I2527" s="3" t="s">
        <v>13</v>
      </c>
      <c r="J2527" s="3" t="s">
        <v>7458</v>
      </c>
      <c r="K2527" s="3" t="s">
        <v>1335</v>
      </c>
      <c r="L2527" s="3" t="str">
        <f>IFERROR(__xludf.DUMMYFUNCTION("GOOGLETRANSLATE(F2527,""id"",""en"")"),"Cok Mbappe Hattrick Final Cup World Cup")</f>
        <v>Cok Mbappe Hattrick Final Cup World Cup</v>
      </c>
    </row>
    <row r="2528" ht="15.75" customHeight="1">
      <c r="A2528" s="1">
        <v>2543.0</v>
      </c>
      <c r="B2528" s="3" t="s">
        <v>7459</v>
      </c>
      <c r="C2528" s="3">
        <v>0.0</v>
      </c>
      <c r="D2528" s="3">
        <v>0.0</v>
      </c>
      <c r="E2528" s="3">
        <v>0.0</v>
      </c>
      <c r="F2528" s="3" t="s">
        <v>7460</v>
      </c>
      <c r="G2528" s="3">
        <v>1.0</v>
      </c>
      <c r="H2528" s="3">
        <v>0.0</v>
      </c>
      <c r="I2528" s="3" t="s">
        <v>13</v>
      </c>
      <c r="J2528" s="3" t="s">
        <v>7461</v>
      </c>
      <c r="K2528" s="3" t="s">
        <v>82</v>
      </c>
      <c r="L2528" s="3" t="str">
        <f>IFERROR(__xludf.DUMMYFUNCTION("GOOGLETRANSLATE(F2528,""id"",""en"")"),"Crazy Final Most Exciting During the World Cup")</f>
        <v>Crazy Final Most Exciting During the World Cup</v>
      </c>
    </row>
    <row r="2529" ht="15.75" customHeight="1">
      <c r="A2529" s="1">
        <v>2544.0</v>
      </c>
      <c r="B2529" s="3" t="s">
        <v>7462</v>
      </c>
      <c r="C2529" s="3">
        <v>0.0</v>
      </c>
      <c r="D2529" s="3">
        <v>0.0</v>
      </c>
      <c r="E2529" s="3">
        <v>0.0</v>
      </c>
      <c r="F2529" s="3" t="s">
        <v>7463</v>
      </c>
      <c r="G2529" s="3">
        <v>1.0</v>
      </c>
      <c r="H2529" s="3">
        <v>0.0</v>
      </c>
      <c r="I2529" s="3" t="s">
        <v>13</v>
      </c>
      <c r="J2529" s="3" t="s">
        <v>7464</v>
      </c>
      <c r="K2529" s="3" t="s">
        <v>82</v>
      </c>
      <c r="L2529" s="3" t="str">
        <f>IFERROR(__xludf.DUMMYFUNCTION("GOOGLETRANSLATE(F2529,""id"",""en"")"),"The final was shocked as far as watching the World Cup since")</f>
        <v>The final was shocked as far as watching the World Cup since</v>
      </c>
    </row>
    <row r="2530" ht="15.75" customHeight="1">
      <c r="A2530" s="1">
        <v>2545.0</v>
      </c>
      <c r="B2530" s="3" t="s">
        <v>7465</v>
      </c>
      <c r="C2530" s="3">
        <v>1.0</v>
      </c>
      <c r="D2530" s="3">
        <v>0.0</v>
      </c>
      <c r="E2530" s="3">
        <v>0.0</v>
      </c>
      <c r="F2530" s="3" t="s">
        <v>7466</v>
      </c>
      <c r="G2530" s="3">
        <v>1.0</v>
      </c>
      <c r="H2530" s="3">
        <v>0.0</v>
      </c>
      <c r="I2530" s="3" t="s">
        <v>13</v>
      </c>
      <c r="J2530" s="3" t="s">
        <v>7467</v>
      </c>
      <c r="K2530" s="3" t="s">
        <v>644</v>
      </c>
      <c r="L2530" s="3" t="str">
        <f>IFERROR(__xludf.DUMMYFUNCTION("GOOGLETRANSLATE(F2530,""id"",""en"")"),"There is the World Cup Rien Final")</f>
        <v>There is the World Cup Rien Final</v>
      </c>
    </row>
    <row r="2531" ht="15.75" customHeight="1">
      <c r="A2531" s="1">
        <v>2546.0</v>
      </c>
      <c r="B2531" s="3" t="s">
        <v>7468</v>
      </c>
      <c r="C2531" s="3">
        <v>0.0</v>
      </c>
      <c r="D2531" s="3">
        <v>0.0</v>
      </c>
      <c r="E2531" s="3">
        <v>0.0</v>
      </c>
      <c r="F2531" s="3" t="s">
        <v>7223</v>
      </c>
      <c r="G2531" s="3">
        <v>1.0</v>
      </c>
      <c r="H2531" s="3">
        <v>0.0</v>
      </c>
      <c r="I2531" s="3" t="s">
        <v>13</v>
      </c>
      <c r="J2531" s="3" t="s">
        <v>7224</v>
      </c>
      <c r="K2531" s="3" t="s">
        <v>90</v>
      </c>
      <c r="L2531" s="3" t="str">
        <f>IFERROR(__xludf.DUMMYFUNCTION("GOOGLETRANSLATE(F2531,""id"",""en"")"),"Lionel Messi drove Argentina to France for the final time of the World Cup Tango's final time to be closer to the championship trophy")</f>
        <v>Lionel Messi drove Argentina to France for the final time of the World Cup Tango's final time to be closer to the championship trophy</v>
      </c>
    </row>
    <row r="2532" ht="15.75" customHeight="1">
      <c r="A2532" s="1">
        <v>2547.0</v>
      </c>
      <c r="B2532" s="3" t="s">
        <v>7469</v>
      </c>
      <c r="C2532" s="3">
        <v>0.0</v>
      </c>
      <c r="D2532" s="3">
        <v>0.0</v>
      </c>
      <c r="E2532" s="3">
        <v>0.0</v>
      </c>
      <c r="F2532" s="3" t="s">
        <v>7470</v>
      </c>
      <c r="G2532" s="3">
        <v>1.0</v>
      </c>
      <c r="H2532" s="3">
        <v>0.0</v>
      </c>
      <c r="I2532" s="3" t="s">
        <v>13</v>
      </c>
      <c r="J2532" s="3" t="s">
        <v>7471</v>
      </c>
      <c r="K2532" s="3" t="s">
        <v>41</v>
      </c>
      <c r="L2532" s="3" t="str">
        <f>IFERROR(__xludf.DUMMYFUNCTION("GOOGLETRANSLATE(F2532,""id"",""en"")"),"The best world cup final is always made every minute")</f>
        <v>The best world cup final is always made every minute</v>
      </c>
    </row>
    <row r="2533" ht="15.75" customHeight="1">
      <c r="A2533" s="1">
        <v>2548.0</v>
      </c>
      <c r="B2533" s="3" t="s">
        <v>7472</v>
      </c>
      <c r="C2533" s="3">
        <v>0.0</v>
      </c>
      <c r="D2533" s="3">
        <v>0.0</v>
      </c>
      <c r="E2533" s="3">
        <v>0.0</v>
      </c>
      <c r="F2533" s="3" t="s">
        <v>7473</v>
      </c>
      <c r="G2533" s="3">
        <v>1.0</v>
      </c>
      <c r="H2533" s="3">
        <v>0.0</v>
      </c>
      <c r="I2533" s="3" t="s">
        <v>13</v>
      </c>
      <c r="J2533" s="3" t="s">
        <v>7474</v>
      </c>
      <c r="K2533" s="3" t="s">
        <v>35</v>
      </c>
      <c r="L2533" s="3" t="str">
        <f>IFERROR(__xludf.DUMMYFUNCTION("GOOGLETRANSLATE(F2533,""id"",""en"")"),"The most Nano Nano World Cup final I ever saw the French Argentine class")</f>
        <v>The most Nano Nano World Cup final I ever saw the French Argentine class</v>
      </c>
    </row>
    <row r="2534" ht="15.75" customHeight="1">
      <c r="A2534" s="1">
        <v>2549.0</v>
      </c>
      <c r="B2534" s="3" t="s">
        <v>7475</v>
      </c>
      <c r="C2534" s="3">
        <v>0.0</v>
      </c>
      <c r="D2534" s="3">
        <v>0.0</v>
      </c>
      <c r="E2534" s="3">
        <v>0.0</v>
      </c>
      <c r="F2534" s="3" t="s">
        <v>7476</v>
      </c>
      <c r="G2534" s="3">
        <v>1.0</v>
      </c>
      <c r="H2534" s="3">
        <v>0.0</v>
      </c>
      <c r="I2534" s="3" t="s">
        <v>13</v>
      </c>
      <c r="J2534" s="3" t="s">
        <v>7477</v>
      </c>
      <c r="K2534" s="3" t="s">
        <v>54</v>
      </c>
      <c r="L2534" s="3" t="str">
        <f>IFERROR(__xludf.DUMMYFUNCTION("GOOGLETRANSLATE(F2534,""id"",""en"")"),"wowowo noisy world cup final")</f>
        <v>wowowo noisy world cup final</v>
      </c>
    </row>
    <row r="2535" ht="15.75" customHeight="1">
      <c r="A2535" s="1">
        <v>2550.0</v>
      </c>
      <c r="B2535" s="3" t="s">
        <v>7478</v>
      </c>
      <c r="C2535" s="3">
        <v>0.0</v>
      </c>
      <c r="D2535" s="3">
        <v>0.0</v>
      </c>
      <c r="E2535" s="3">
        <v>0.0</v>
      </c>
      <c r="F2535" s="3" t="s">
        <v>7478</v>
      </c>
      <c r="G2535" s="3">
        <v>1.0</v>
      </c>
      <c r="H2535" s="3">
        <v>0.0</v>
      </c>
      <c r="I2535" s="3" t="s">
        <v>13</v>
      </c>
      <c r="J2535" s="3" t="s">
        <v>7479</v>
      </c>
      <c r="K2535" s="3" t="s">
        <v>82</v>
      </c>
      <c r="L2535" s="3" t="str">
        <f>IFERROR(__xludf.DUMMYFUNCTION("GOOGLETRANSLATE(F2535,""id"",""en"")"),"The Final Cup of the World Cup I have ever watched")</f>
        <v>The Final Cup of the World Cup I have ever watched</v>
      </c>
    </row>
    <row r="2536" ht="15.75" customHeight="1">
      <c r="A2536" s="1">
        <v>2551.0</v>
      </c>
      <c r="B2536" s="3" t="s">
        <v>7480</v>
      </c>
      <c r="C2536" s="3">
        <v>0.0</v>
      </c>
      <c r="D2536" s="3">
        <v>0.0</v>
      </c>
      <c r="E2536" s="3">
        <v>0.0</v>
      </c>
      <c r="F2536" s="3" t="s">
        <v>7481</v>
      </c>
      <c r="G2536" s="3">
        <v>1.0</v>
      </c>
      <c r="H2536" s="3">
        <v>0.0</v>
      </c>
      <c r="I2536" s="3" t="s">
        <v>13</v>
      </c>
      <c r="J2536" s="3" t="s">
        <v>7482</v>
      </c>
      <c r="K2536" s="3" t="s">
        <v>19</v>
      </c>
      <c r="L2536" s="3" t="str">
        <f>IFERROR(__xludf.DUMMYFUNCTION("GOOGLETRANSLATE(F2536,""id"",""en"")"),"I think the goat mbappe, but I don't know, this is a dizzy dog, this is the World Cup Final")</f>
        <v>I think the goat mbappe, but I don't know, this is a dizzy dog, this is the World Cup Final</v>
      </c>
    </row>
    <row r="2537" ht="15.75" customHeight="1">
      <c r="A2537" s="1">
        <v>2552.0</v>
      </c>
      <c r="B2537" s="3" t="s">
        <v>7483</v>
      </c>
      <c r="C2537" s="3">
        <v>0.0</v>
      </c>
      <c r="D2537" s="3">
        <v>0.0</v>
      </c>
      <c r="E2537" s="3">
        <v>0.0</v>
      </c>
      <c r="F2537" s="3" t="s">
        <v>7484</v>
      </c>
      <c r="G2537" s="3">
        <v>1.0</v>
      </c>
      <c r="H2537" s="3">
        <v>0.0</v>
      </c>
      <c r="I2537" s="3" t="s">
        <v>13</v>
      </c>
      <c r="J2537" s="3" t="s">
        <v>7485</v>
      </c>
      <c r="K2537" s="3" t="s">
        <v>31</v>
      </c>
      <c r="L2537" s="3" t="str">
        <f>IFERROR(__xludf.DUMMYFUNCTION("GOOGLETRANSLATE(F2537,""id"",""en"")"),"Cuk what World Cup Final")</f>
        <v>Cuk what World Cup Final</v>
      </c>
    </row>
    <row r="2538" ht="15.75" customHeight="1">
      <c r="A2538" s="1">
        <v>2553.0</v>
      </c>
      <c r="B2538" s="3" t="s">
        <v>7486</v>
      </c>
      <c r="C2538" s="3">
        <v>0.0</v>
      </c>
      <c r="D2538" s="3">
        <v>0.0</v>
      </c>
      <c r="E2538" s="3">
        <v>0.0</v>
      </c>
      <c r="F2538" s="3" t="s">
        <v>7487</v>
      </c>
      <c r="G2538" s="3">
        <v>1.0</v>
      </c>
      <c r="H2538" s="3">
        <v>0.0</v>
      </c>
      <c r="I2538" s="3" t="s">
        <v>13</v>
      </c>
      <c r="J2538" s="3" t="s">
        <v>7488</v>
      </c>
      <c r="K2538" s="3" t="s">
        <v>31</v>
      </c>
      <c r="L2538" s="3" t="str">
        <f>IFERROR(__xludf.DUMMYFUNCTION("GOOGLETRANSLATE(F2538,""id"",""en"")"),"IDN can be the World Cup Final Hattrick")</f>
        <v>IDN can be the World Cup Final Hattrick</v>
      </c>
    </row>
    <row r="2539" ht="15.75" customHeight="1">
      <c r="A2539" s="1">
        <v>2554.0</v>
      </c>
      <c r="B2539" s="3" t="s">
        <v>7489</v>
      </c>
      <c r="C2539" s="3">
        <v>0.0</v>
      </c>
      <c r="D2539" s="3">
        <v>0.0</v>
      </c>
      <c r="E2539" s="3">
        <v>0.0</v>
      </c>
      <c r="F2539" s="3" t="s">
        <v>7490</v>
      </c>
      <c r="G2539" s="3">
        <v>1.0</v>
      </c>
      <c r="H2539" s="3">
        <v>0.0</v>
      </c>
      <c r="I2539" s="3" t="s">
        <v>13</v>
      </c>
      <c r="J2539" s="3" t="s">
        <v>7491</v>
      </c>
      <c r="K2539" s="3" t="s">
        <v>644</v>
      </c>
      <c r="L2539" s="3" t="str">
        <f>IFERROR(__xludf.DUMMYFUNCTION("GOOGLETRANSLATE(F2539,""id"",""en"")"),"World Cup Final Hatrick")</f>
        <v>World Cup Final Hatrick</v>
      </c>
    </row>
    <row r="2540" ht="15.75" customHeight="1">
      <c r="A2540" s="1">
        <v>2555.0</v>
      </c>
      <c r="B2540" s="3" t="s">
        <v>7492</v>
      </c>
      <c r="C2540" s="3">
        <v>0.0</v>
      </c>
      <c r="D2540" s="3">
        <v>0.0</v>
      </c>
      <c r="E2540" s="3">
        <v>0.0</v>
      </c>
      <c r="F2540" s="3" t="s">
        <v>7493</v>
      </c>
      <c r="G2540" s="3">
        <v>1.0</v>
      </c>
      <c r="H2540" s="3">
        <v>0.0</v>
      </c>
      <c r="I2540" s="3" t="s">
        <v>13</v>
      </c>
      <c r="J2540" s="3" t="s">
        <v>7494</v>
      </c>
      <c r="K2540" s="3" t="s">
        <v>15</v>
      </c>
      <c r="L2540" s="3" t="str">
        <f>IFERROR(__xludf.DUMMYFUNCTION("GOOGLETRANSLATE(F2540,""id"",""en"")"),"Gelo Boy Year Hetrik Neng World Cup Final")</f>
        <v>Gelo Boy Year Hetrik Neng World Cup Final</v>
      </c>
    </row>
    <row r="2541" ht="15.75" customHeight="1">
      <c r="A2541" s="1">
        <v>2556.0</v>
      </c>
      <c r="B2541" s="3" t="s">
        <v>7495</v>
      </c>
      <c r="C2541" s="3">
        <v>0.0</v>
      </c>
      <c r="D2541" s="3">
        <v>0.0</v>
      </c>
      <c r="E2541" s="3">
        <v>0.0</v>
      </c>
      <c r="F2541" s="3" t="s">
        <v>7496</v>
      </c>
      <c r="G2541" s="3">
        <v>1.0</v>
      </c>
      <c r="H2541" s="3">
        <v>0.0</v>
      </c>
      <c r="I2541" s="3" t="s">
        <v>13</v>
      </c>
      <c r="J2541" s="3" t="s">
        <v>7497</v>
      </c>
      <c r="K2541" s="3" t="s">
        <v>603</v>
      </c>
      <c r="L2541" s="3" t="str">
        <f>IFERROR(__xludf.DUMMYFUNCTION("GOOGLETRANSLATE(F2541,""id"",""en"")"),"People watch the World Cup final on the Argentina team to win the French team to win just want to fight penalties until the kicker of Bjir wkwkwk")</f>
        <v>People watch the World Cup final on the Argentina team to win the French team to win just want to fight penalties until the kicker of Bjir wkwkwk</v>
      </c>
    </row>
    <row r="2542" ht="15.75" customHeight="1">
      <c r="A2542" s="1">
        <v>2557.0</v>
      </c>
      <c r="B2542" s="3" t="s">
        <v>7498</v>
      </c>
      <c r="C2542" s="3">
        <v>0.0</v>
      </c>
      <c r="D2542" s="3">
        <v>0.0</v>
      </c>
      <c r="E2542" s="3">
        <v>0.0</v>
      </c>
      <c r="F2542" s="3" t="s">
        <v>7499</v>
      </c>
      <c r="G2542" s="3">
        <v>0.7</v>
      </c>
      <c r="H2542" s="3">
        <v>-0.2</v>
      </c>
      <c r="I2542" s="3" t="s">
        <v>179</v>
      </c>
      <c r="J2542" s="3" t="s">
        <v>7500</v>
      </c>
      <c r="K2542" s="3" t="s">
        <v>15</v>
      </c>
      <c r="L2542" s="3" t="str">
        <f>IFERROR(__xludf.DUMMYFUNCTION("GOOGLETRANSLATE(F2542,""id"",""en"")"),"still the real game of this World Cup Final where Mbappe Hattrick again")</f>
        <v>still the real game of this World Cup Final where Mbappe Hattrick again</v>
      </c>
    </row>
    <row r="2543" ht="15.75" customHeight="1">
      <c r="A2543" s="1">
        <v>2558.0</v>
      </c>
      <c r="B2543" s="3" t="s">
        <v>7501</v>
      </c>
      <c r="C2543" s="3">
        <v>0.0</v>
      </c>
      <c r="D2543" s="3">
        <v>0.0</v>
      </c>
      <c r="E2543" s="3">
        <v>0.0</v>
      </c>
      <c r="F2543" s="3" t="s">
        <v>7502</v>
      </c>
      <c r="G2543" s="3">
        <v>0.75</v>
      </c>
      <c r="H2543" s="3">
        <v>0.06818181818181818</v>
      </c>
      <c r="I2543" s="3" t="s">
        <v>48</v>
      </c>
      <c r="J2543" s="3" t="s">
        <v>7503</v>
      </c>
      <c r="K2543" s="3" t="s">
        <v>437</v>
      </c>
      <c r="L2543" s="3" t="str">
        <f>IFERROR(__xludf.DUMMYFUNCTION("GOOGLETRANSLATE(F2543,""id"",""en"")"),"GOOHOLL GGOOL KYLIAN MBAPPE Argentina France Link Link Live Streaming Argentina France tonight WIB World Cup Final")</f>
        <v>GOOHOLL GGOOL KYLIAN MBAPPE Argentina France Link Link Live Streaming Argentina France tonight WIB World Cup Final</v>
      </c>
    </row>
    <row r="2544" ht="15.75" customHeight="1">
      <c r="A2544" s="1">
        <v>2559.0</v>
      </c>
      <c r="B2544" s="3" t="s">
        <v>7504</v>
      </c>
      <c r="C2544" s="3">
        <v>3.0</v>
      </c>
      <c r="D2544" s="3">
        <v>2.0</v>
      </c>
      <c r="E2544" s="3">
        <v>13.0</v>
      </c>
      <c r="F2544" s="3" t="s">
        <v>6509</v>
      </c>
      <c r="G2544" s="3">
        <v>1.0</v>
      </c>
      <c r="H2544" s="3">
        <v>0.0</v>
      </c>
      <c r="I2544" s="3" t="s">
        <v>13</v>
      </c>
      <c r="J2544" s="3" t="s">
        <v>6510</v>
      </c>
      <c r="K2544" s="3" t="s">
        <v>644</v>
      </c>
      <c r="L2544" s="3" t="str">
        <f>IFERROR(__xludf.DUMMYFUNCTION("GOOGLETRANSLATE(F2544,""id"",""en"")"),"This is only the World Cup final")</f>
        <v>This is only the World Cup final</v>
      </c>
    </row>
    <row r="2545" ht="15.75" customHeight="1">
      <c r="A2545" s="1">
        <v>2560.0</v>
      </c>
      <c r="B2545" s="3" t="s">
        <v>7505</v>
      </c>
      <c r="C2545" s="3">
        <v>0.0</v>
      </c>
      <c r="D2545" s="3">
        <v>0.0</v>
      </c>
      <c r="E2545" s="3">
        <v>1.0</v>
      </c>
      <c r="F2545" s="3" t="s">
        <v>7506</v>
      </c>
      <c r="G2545" s="3">
        <v>1.0</v>
      </c>
      <c r="H2545" s="3">
        <v>0.0</v>
      </c>
      <c r="I2545" s="3" t="s">
        <v>13</v>
      </c>
      <c r="J2545" s="3" t="s">
        <v>7507</v>
      </c>
      <c r="K2545" s="3" t="s">
        <v>15</v>
      </c>
      <c r="L2545" s="3" t="str">
        <f>IFERROR(__xludf.DUMMYFUNCTION("GOOGLETRANSLATE(F2545,""id"",""en"")"),"Njjir is one of the best World Cup finals in this history")</f>
        <v>Njjir is one of the best World Cup finals in this history</v>
      </c>
    </row>
    <row r="2546" ht="15.75" customHeight="1">
      <c r="A2546" s="1">
        <v>2561.0</v>
      </c>
      <c r="B2546" s="3" t="s">
        <v>7508</v>
      </c>
      <c r="C2546" s="3">
        <v>77.0</v>
      </c>
      <c r="D2546" s="3">
        <v>277.0</v>
      </c>
      <c r="E2546" s="3">
        <v>933.0</v>
      </c>
      <c r="F2546" s="3" t="s">
        <v>1721</v>
      </c>
      <c r="G2546" s="3">
        <v>1.0</v>
      </c>
      <c r="H2546" s="3">
        <v>0.0</v>
      </c>
      <c r="I2546" s="3" t="s">
        <v>13</v>
      </c>
      <c r="J2546" s="3" t="s">
        <v>1722</v>
      </c>
      <c r="K2546" s="3" t="s">
        <v>54</v>
      </c>
      <c r="L2546" s="3" t="str">
        <f>IFERROR(__xludf.DUMMYFUNCTION("GOOGLETRANSLATE(F2546,""id"",""en"")"),"the best world cup final of all time")</f>
        <v>the best world cup final of all time</v>
      </c>
    </row>
    <row r="2547" ht="15.75" customHeight="1">
      <c r="A2547" s="1">
        <v>2562.0</v>
      </c>
      <c r="B2547" s="3" t="s">
        <v>7509</v>
      </c>
      <c r="C2547" s="3">
        <v>0.0</v>
      </c>
      <c r="D2547" s="3">
        <v>0.0</v>
      </c>
      <c r="E2547" s="3">
        <v>0.0</v>
      </c>
      <c r="F2547" s="3" t="s">
        <v>7510</v>
      </c>
      <c r="G2547" s="3">
        <v>1.0</v>
      </c>
      <c r="H2547" s="3">
        <v>0.0</v>
      </c>
      <c r="I2547" s="3" t="s">
        <v>13</v>
      </c>
      <c r="J2547" s="3" t="s">
        <v>7511</v>
      </c>
      <c r="K2547" s="3" t="s">
        <v>82</v>
      </c>
      <c r="L2547" s="3" t="str">
        <f>IFERROR(__xludf.DUMMYFUNCTION("GOOGLETRANSLATE(F2547,""id"",""en"")"),"Fakkkk Final World Cup Crazhemening Iki")</f>
        <v>Fakkkk Final World Cup Crazhemening Iki</v>
      </c>
    </row>
    <row r="2548" ht="15.75" customHeight="1">
      <c r="A2548" s="1">
        <v>2563.0</v>
      </c>
      <c r="B2548" s="3" t="s">
        <v>7512</v>
      </c>
      <c r="C2548" s="3">
        <v>0.0</v>
      </c>
      <c r="D2548" s="3">
        <v>0.0</v>
      </c>
      <c r="E2548" s="3">
        <v>0.0</v>
      </c>
      <c r="F2548" s="3" t="s">
        <v>7513</v>
      </c>
      <c r="G2548" s="3">
        <v>0.65</v>
      </c>
      <c r="H2548" s="3">
        <v>0.1</v>
      </c>
      <c r="I2548" s="3" t="s">
        <v>48</v>
      </c>
      <c r="J2548" s="3" t="s">
        <v>7514</v>
      </c>
      <c r="K2548" s="3" t="s">
        <v>15</v>
      </c>
      <c r="L2548" s="3" t="str">
        <f>IFERROR(__xludf.DUMMYFUNCTION("GOOGLETRANSLATE(F2548,""id"",""en"")"),"Mbappe the Real Goat Hattrick World Cup Final")</f>
        <v>Mbappe the Real Goat Hattrick World Cup Final</v>
      </c>
    </row>
    <row r="2549" ht="15.75" customHeight="1">
      <c r="A2549" s="1">
        <v>2564.0</v>
      </c>
      <c r="B2549" s="3" t="s">
        <v>7515</v>
      </c>
      <c r="C2549" s="3">
        <v>0.0</v>
      </c>
      <c r="D2549" s="3">
        <v>0.0</v>
      </c>
      <c r="E2549" s="3">
        <v>0.0</v>
      </c>
      <c r="F2549" s="3" t="s">
        <v>7516</v>
      </c>
      <c r="G2549" s="3">
        <v>1.0</v>
      </c>
      <c r="H2549" s="3">
        <v>0.0</v>
      </c>
      <c r="I2549" s="3" t="s">
        <v>13</v>
      </c>
      <c r="J2549" s="3" t="s">
        <v>7517</v>
      </c>
      <c r="K2549" s="3" t="s">
        <v>31</v>
      </c>
      <c r="L2549" s="3" t="str">
        <f>IFERROR(__xludf.DUMMYFUNCTION("GOOGLETRANSLATE(F2549,""id"",""en"")"),"The World Cup Final Gilakkk was excited")</f>
        <v>The World Cup Final Gilakkk was excited</v>
      </c>
    </row>
    <row r="2550" ht="15.75" customHeight="1">
      <c r="A2550" s="1">
        <v>2565.0</v>
      </c>
      <c r="B2550" s="3" t="s">
        <v>7518</v>
      </c>
      <c r="C2550" s="3">
        <v>0.0</v>
      </c>
      <c r="D2550" s="3">
        <v>0.0</v>
      </c>
      <c r="E2550" s="3">
        <v>0.0</v>
      </c>
      <c r="F2550" s="3" t="s">
        <v>7518</v>
      </c>
      <c r="G2550" s="3">
        <v>1.0</v>
      </c>
      <c r="H2550" s="3">
        <v>0.0</v>
      </c>
      <c r="I2550" s="3" t="s">
        <v>13</v>
      </c>
      <c r="J2550" s="3" t="s">
        <v>7519</v>
      </c>
      <c r="K2550" s="3" t="s">
        <v>31</v>
      </c>
      <c r="L2550" s="3" t="str">
        <f>IFERROR(__xludf.DUMMYFUNCTION("GOOGLETRANSLATE(F2550,""id"",""en"")"),"World Cup Final Crazy Anjir")</f>
        <v>World Cup Final Crazy Anjir</v>
      </c>
    </row>
    <row r="2551" ht="15.75" customHeight="1">
      <c r="A2551" s="1">
        <v>2566.0</v>
      </c>
      <c r="B2551" s="3" t="s">
        <v>7520</v>
      </c>
      <c r="C2551" s="3">
        <v>0.0</v>
      </c>
      <c r="D2551" s="3">
        <v>0.0</v>
      </c>
      <c r="E2551" s="3">
        <v>0.0</v>
      </c>
      <c r="F2551" s="3" t="s">
        <v>7521</v>
      </c>
      <c r="G2551" s="3">
        <v>1.0</v>
      </c>
      <c r="H2551" s="3">
        <v>0.0</v>
      </c>
      <c r="I2551" s="3" t="s">
        <v>13</v>
      </c>
      <c r="J2551" s="3" t="s">
        <v>7522</v>
      </c>
      <c r="K2551" s="3" t="s">
        <v>54</v>
      </c>
      <c r="L2551" s="3" t="str">
        <f>IFERROR(__xludf.DUMMYFUNCTION("GOOGLETRANSLATE(F2551,""id"",""en"")"),"Exciting Really Anjirr World Cup Final")</f>
        <v>Exciting Really Anjirr World Cup Final</v>
      </c>
    </row>
    <row r="2552" ht="15.75" customHeight="1">
      <c r="A2552" s="1">
        <v>2567.0</v>
      </c>
      <c r="B2552" s="3" t="s">
        <v>7523</v>
      </c>
      <c r="C2552" s="3">
        <v>1.0</v>
      </c>
      <c r="D2552" s="3">
        <v>0.0</v>
      </c>
      <c r="E2552" s="3">
        <v>0.0</v>
      </c>
      <c r="F2552" s="3" t="s">
        <v>7524</v>
      </c>
      <c r="G2552" s="3">
        <v>1.0</v>
      </c>
      <c r="H2552" s="3">
        <v>0.0</v>
      </c>
      <c r="I2552" s="3" t="s">
        <v>13</v>
      </c>
      <c r="J2552" s="3" t="s">
        <v>7525</v>
      </c>
      <c r="K2552" s="3" t="s">
        <v>41</v>
      </c>
      <c r="L2552" s="3" t="str">
        <f>IFERROR(__xludf.DUMMYFUNCTION("GOOGLETRANSLATE(F2552,""id"",""en"")"),"This is the perfect film scenario of the Final World Cup Final Extended Time")</f>
        <v>This is the perfect film scenario of the Final World Cup Final Extended Time</v>
      </c>
    </row>
    <row r="2553" ht="15.75" customHeight="1">
      <c r="A2553" s="1">
        <v>2568.0</v>
      </c>
      <c r="B2553" s="3" t="s">
        <v>7526</v>
      </c>
      <c r="C2553" s="3">
        <v>0.0</v>
      </c>
      <c r="D2553" s="3">
        <v>0.0</v>
      </c>
      <c r="E2553" s="3">
        <v>0.0</v>
      </c>
      <c r="F2553" s="3" t="s">
        <v>7527</v>
      </c>
      <c r="G2553" s="3">
        <v>1.0</v>
      </c>
      <c r="H2553" s="3">
        <v>0.0</v>
      </c>
      <c r="I2553" s="3" t="s">
        <v>13</v>
      </c>
      <c r="J2553" s="3" t="s">
        <v>7528</v>
      </c>
      <c r="K2553" s="3" t="s">
        <v>31</v>
      </c>
      <c r="L2553" s="3" t="str">
        <f>IFERROR(__xludf.DUMMYFUNCTION("GOOGLETRANSLATE(F2553,""id"",""en"")"),"The World Cup Final Rich like this")</f>
        <v>The World Cup Final Rich like this</v>
      </c>
    </row>
    <row r="2554" ht="15.75" customHeight="1">
      <c r="A2554" s="1">
        <v>2569.0</v>
      </c>
      <c r="B2554" s="3" t="s">
        <v>7529</v>
      </c>
      <c r="C2554" s="3">
        <v>0.0</v>
      </c>
      <c r="D2554" s="3">
        <v>0.0</v>
      </c>
      <c r="E2554" s="3">
        <v>0.0</v>
      </c>
      <c r="F2554" s="3" t="s">
        <v>7530</v>
      </c>
      <c r="G2554" s="3">
        <v>1.0</v>
      </c>
      <c r="H2554" s="3">
        <v>0.0</v>
      </c>
      <c r="I2554" s="3" t="s">
        <v>13</v>
      </c>
      <c r="J2554" s="3" t="s">
        <v>7531</v>
      </c>
      <c r="K2554" s="3" t="s">
        <v>31</v>
      </c>
      <c r="L2554" s="3" t="str">
        <f>IFERROR(__xludf.DUMMYFUNCTION("GOOGLETRANSLATE(F2554,""id"",""en"")"),"World Cup Final The Most Anj")</f>
        <v>World Cup Final The Most Anj</v>
      </c>
    </row>
    <row r="2555" ht="15.75" customHeight="1">
      <c r="A2555" s="1">
        <v>2570.0</v>
      </c>
      <c r="B2555" s="3" t="s">
        <v>7532</v>
      </c>
      <c r="C2555" s="3">
        <v>0.0</v>
      </c>
      <c r="D2555" s="3">
        <v>0.0</v>
      </c>
      <c r="E2555" s="3">
        <v>0.0</v>
      </c>
      <c r="F2555" s="3" t="s">
        <v>7533</v>
      </c>
      <c r="G2555" s="3">
        <v>1.0</v>
      </c>
      <c r="H2555" s="3">
        <v>0.0</v>
      </c>
      <c r="I2555" s="3" t="s">
        <v>13</v>
      </c>
      <c r="J2555" s="3" t="s">
        <v>7534</v>
      </c>
      <c r="K2555" s="3" t="s">
        <v>31</v>
      </c>
      <c r="L2555" s="3" t="str">
        <f>IFERROR(__xludf.DUMMYFUNCTION("GOOGLETRANSLATE(F2555,""id"",""en"")"),"Gilakkkkkkkkkkkkkkkkkkkk world final hat trick")</f>
        <v>Gilakkkkkkkkkkkkkkkkkkkk world final hat trick</v>
      </c>
    </row>
    <row r="2556" ht="15.75" customHeight="1">
      <c r="A2556" s="1">
        <v>2571.0</v>
      </c>
      <c r="B2556" s="3" t="s">
        <v>7535</v>
      </c>
      <c r="C2556" s="3">
        <v>0.0</v>
      </c>
      <c r="D2556" s="3">
        <v>0.0</v>
      </c>
      <c r="E2556" s="3">
        <v>0.0</v>
      </c>
      <c r="F2556" s="3" t="s">
        <v>7536</v>
      </c>
      <c r="G2556" s="3">
        <v>1.0</v>
      </c>
      <c r="H2556" s="3">
        <v>0.0</v>
      </c>
      <c r="I2556" s="3" t="s">
        <v>13</v>
      </c>
      <c r="J2556" s="3" t="s">
        <v>7537</v>
      </c>
      <c r="K2556" s="3" t="s">
        <v>54</v>
      </c>
      <c r="L2556" s="3" t="str">
        <f>IFERROR(__xludf.DUMMYFUNCTION("GOOGLETRANSLATE(F2556,""id"",""en"")"),"AJG Haattrick Final World Cup Ngehe")</f>
        <v>AJG Haattrick Final World Cup Ngehe</v>
      </c>
    </row>
    <row r="2557" ht="15.75" customHeight="1">
      <c r="A2557" s="1">
        <v>2572.0</v>
      </c>
      <c r="B2557" s="3" t="s">
        <v>7538</v>
      </c>
      <c r="C2557" s="3">
        <v>0.0</v>
      </c>
      <c r="D2557" s="3">
        <v>0.0</v>
      </c>
      <c r="E2557" s="3">
        <v>0.0</v>
      </c>
      <c r="F2557" s="3" t="s">
        <v>7539</v>
      </c>
      <c r="G2557" s="3">
        <v>1.0</v>
      </c>
      <c r="H2557" s="3">
        <v>0.0</v>
      </c>
      <c r="I2557" s="3" t="s">
        <v>13</v>
      </c>
      <c r="J2557" s="3" t="s">
        <v>7540</v>
      </c>
      <c r="K2557" s="3" t="s">
        <v>35</v>
      </c>
      <c r="L2557" s="3" t="str">
        <f>IFERROR(__xludf.DUMMYFUNCTION("GOOGLETRANSLATE(F2557,""id"",""en"")"),"Hattrick Mbappe First Hattrick World Cup Final Since Geoff Hurst last year")</f>
        <v>Hattrick Mbappe First Hattrick World Cup Final Since Geoff Hurst last year</v>
      </c>
    </row>
    <row r="2558" ht="15.75" customHeight="1">
      <c r="A2558" s="1">
        <v>2573.0</v>
      </c>
      <c r="B2558" s="3" t="s">
        <v>7541</v>
      </c>
      <c r="C2558" s="3">
        <v>0.0</v>
      </c>
      <c r="D2558" s="3">
        <v>0.0</v>
      </c>
      <c r="E2558" s="3">
        <v>0.0</v>
      </c>
      <c r="F2558" s="3" t="s">
        <v>7542</v>
      </c>
      <c r="G2558" s="3">
        <v>1.0</v>
      </c>
      <c r="H2558" s="3">
        <v>0.0</v>
      </c>
      <c r="I2558" s="3" t="s">
        <v>13</v>
      </c>
      <c r="J2558" s="3" t="s">
        <v>7543</v>
      </c>
      <c r="K2558" s="3" t="s">
        <v>31</v>
      </c>
      <c r="L2558" s="3" t="str">
        <f>IFERROR(__xludf.DUMMYFUNCTION("GOOGLETRANSLATE(F2558,""id"",""en"")"),"World Cup Final Hatrik for Mbappe")</f>
        <v>World Cup Final Hatrik for Mbappe</v>
      </c>
    </row>
    <row r="2559" ht="15.75" customHeight="1">
      <c r="A2559" s="1">
        <v>2574.0</v>
      </c>
      <c r="B2559" s="3" t="s">
        <v>7544</v>
      </c>
      <c r="C2559" s="3">
        <v>0.0</v>
      </c>
      <c r="D2559" s="3">
        <v>0.0</v>
      </c>
      <c r="E2559" s="3">
        <v>0.0</v>
      </c>
      <c r="F2559" s="3" t="s">
        <v>7545</v>
      </c>
      <c r="G2559" s="3">
        <v>1.0</v>
      </c>
      <c r="H2559" s="3">
        <v>0.0</v>
      </c>
      <c r="I2559" s="3" t="s">
        <v>13</v>
      </c>
      <c r="J2559" s="3" t="s">
        <v>7546</v>
      </c>
      <c r="K2559" s="3" t="s">
        <v>31</v>
      </c>
      <c r="L2559" s="3" t="str">
        <f>IFERROR(__xludf.DUMMYFUNCTION("GOOGLETRANSLATE(F2559,""id"",""en"")"),"World's Strangest World Cup Final")</f>
        <v>World's Strangest World Cup Final</v>
      </c>
    </row>
    <row r="2560" ht="15.75" customHeight="1">
      <c r="A2560" s="1">
        <v>2575.0</v>
      </c>
      <c r="B2560" s="3" t="s">
        <v>7547</v>
      </c>
      <c r="C2560" s="3">
        <v>0.0</v>
      </c>
      <c r="D2560" s="3">
        <v>0.0</v>
      </c>
      <c r="E2560" s="3">
        <v>0.0</v>
      </c>
      <c r="F2560" s="3" t="s">
        <v>7547</v>
      </c>
      <c r="G2560" s="3">
        <v>1.0</v>
      </c>
      <c r="H2560" s="3">
        <v>0.0</v>
      </c>
      <c r="I2560" s="3" t="s">
        <v>13</v>
      </c>
      <c r="J2560" s="3" t="s">
        <v>7548</v>
      </c>
      <c r="K2560" s="3" t="s">
        <v>82</v>
      </c>
      <c r="L2560" s="3" t="str">
        <f>IFERROR(__xludf.DUMMYFUNCTION("GOOGLETRANSLATE(F2560,""id"",""en"")"),"Mbappe Hattrick Final World Cup Final")</f>
        <v>Mbappe Hattrick Final World Cup Final</v>
      </c>
    </row>
    <row r="2561" ht="15.75" customHeight="1">
      <c r="A2561" s="1">
        <v>2576.0</v>
      </c>
      <c r="B2561" s="3" t="s">
        <v>7549</v>
      </c>
      <c r="C2561" s="3">
        <v>1.0</v>
      </c>
      <c r="D2561" s="3">
        <v>0.0</v>
      </c>
      <c r="E2561" s="3">
        <v>0.0</v>
      </c>
      <c r="F2561" s="3" t="s">
        <v>7550</v>
      </c>
      <c r="G2561" s="3">
        <v>0.775</v>
      </c>
      <c r="H2561" s="3">
        <v>0.175</v>
      </c>
      <c r="I2561" s="3" t="s">
        <v>48</v>
      </c>
      <c r="J2561" s="3" t="s">
        <v>7551</v>
      </c>
      <c r="K2561" s="3" t="s">
        <v>82</v>
      </c>
      <c r="L2561" s="3" t="str">
        <f>IFERROR(__xludf.DUMMYFUNCTION("GOOGLETRANSLATE(F2561,""id"",""en"")"),"World Cup Final Really Full Plot Twist")</f>
        <v>World Cup Final Really Full Plot Twist</v>
      </c>
    </row>
    <row r="2562" ht="15.75" customHeight="1">
      <c r="A2562" s="1">
        <v>2577.0</v>
      </c>
      <c r="B2562" s="3" t="s">
        <v>7552</v>
      </c>
      <c r="C2562" s="3">
        <v>0.0</v>
      </c>
      <c r="D2562" s="3">
        <v>0.0</v>
      </c>
      <c r="E2562" s="3">
        <v>0.0</v>
      </c>
      <c r="F2562" s="3" t="s">
        <v>2246</v>
      </c>
      <c r="G2562" s="3">
        <v>1.0</v>
      </c>
      <c r="H2562" s="3">
        <v>0.0</v>
      </c>
      <c r="I2562" s="3" t="s">
        <v>13</v>
      </c>
      <c r="J2562" s="3" t="s">
        <v>2247</v>
      </c>
      <c r="K2562" s="3" t="s">
        <v>31</v>
      </c>
      <c r="L2562" s="3" t="str">
        <f>IFERROR(__xludf.DUMMYFUNCTION("GOOGLETRANSLATE(F2562,""id"",""en"")"),"World Cup Final Most Exciting")</f>
        <v>World Cup Final Most Exciting</v>
      </c>
    </row>
    <row r="2563" ht="15.75" customHeight="1">
      <c r="A2563" s="1">
        <v>2578.0</v>
      </c>
      <c r="B2563" s="3" t="s">
        <v>7553</v>
      </c>
      <c r="C2563" s="3">
        <v>0.0</v>
      </c>
      <c r="D2563" s="3">
        <v>0.0</v>
      </c>
      <c r="E2563" s="3">
        <v>0.0</v>
      </c>
      <c r="F2563" s="3" t="s">
        <v>7554</v>
      </c>
      <c r="G2563" s="3">
        <v>1.0</v>
      </c>
      <c r="H2563" s="3">
        <v>0.0</v>
      </c>
      <c r="I2563" s="3" t="s">
        <v>13</v>
      </c>
      <c r="J2563" s="3" t="s">
        <v>7555</v>
      </c>
      <c r="K2563" s="3" t="s">
        <v>82</v>
      </c>
      <c r="L2563" s="3" t="str">
        <f>IFERROR(__xludf.DUMMYFUNCTION("GOOGLETRANSLATE(F2563,""id"",""en"")"),"Alhamdulillah Iso Ndelok The Best World Cup Final")</f>
        <v>Alhamdulillah Iso Ndelok The Best World Cup Final</v>
      </c>
    </row>
    <row r="2564" ht="15.75" customHeight="1">
      <c r="A2564" s="1">
        <v>2579.0</v>
      </c>
      <c r="B2564" s="3" t="s">
        <v>7556</v>
      </c>
      <c r="C2564" s="3">
        <v>0.0</v>
      </c>
      <c r="D2564" s="3">
        <v>1.0</v>
      </c>
      <c r="E2564" s="3">
        <v>0.0</v>
      </c>
      <c r="F2564" s="3" t="s">
        <v>7557</v>
      </c>
      <c r="G2564" s="3">
        <v>1.0</v>
      </c>
      <c r="H2564" s="3">
        <v>0.0</v>
      </c>
      <c r="I2564" s="3" t="s">
        <v>13</v>
      </c>
      <c r="J2564" s="3" t="s">
        <v>7558</v>
      </c>
      <c r="K2564" s="3" t="s">
        <v>82</v>
      </c>
      <c r="L2564" s="3" t="str">
        <f>IFERROR(__xludf.DUMMYFUNCTION("GOOGLETRANSLATE(F2564,""id"",""en"")"),"The Crazy World Cup Final Mbappe Hatrick")</f>
        <v>The Crazy World Cup Final Mbappe Hatrick</v>
      </c>
    </row>
    <row r="2565" ht="15.75" customHeight="1">
      <c r="A2565" s="1">
        <v>2580.0</v>
      </c>
      <c r="B2565" s="3" t="s">
        <v>7559</v>
      </c>
      <c r="C2565" s="3">
        <v>0.0</v>
      </c>
      <c r="D2565" s="3">
        <v>0.0</v>
      </c>
      <c r="E2565" s="3">
        <v>0.0</v>
      </c>
      <c r="F2565" s="3" t="s">
        <v>7560</v>
      </c>
      <c r="G2565" s="3">
        <v>1.0</v>
      </c>
      <c r="H2565" s="3">
        <v>0.0</v>
      </c>
      <c r="I2565" s="3" t="s">
        <v>13</v>
      </c>
      <c r="J2565" s="3" t="s">
        <v>7561</v>
      </c>
      <c r="K2565" s="3" t="s">
        <v>54</v>
      </c>
      <c r="L2565" s="3" t="str">
        <f>IFERROR(__xludf.DUMMYFUNCTION("GOOGLETRANSLATE(F2565,""id"",""en"")"),"Mbappe Hattrick Final World Cup Edan")</f>
        <v>Mbappe Hattrick Final World Cup Edan</v>
      </c>
    </row>
    <row r="2566" ht="15.75" customHeight="1">
      <c r="A2566" s="1">
        <v>2581.0</v>
      </c>
      <c r="B2566" s="3" t="s">
        <v>7562</v>
      </c>
      <c r="C2566" s="3">
        <v>7.0</v>
      </c>
      <c r="D2566" s="3">
        <v>28.0</v>
      </c>
      <c r="E2566" s="3">
        <v>92.0</v>
      </c>
      <c r="F2566" s="3" t="s">
        <v>7563</v>
      </c>
      <c r="G2566" s="3">
        <v>1.0</v>
      </c>
      <c r="H2566" s="3">
        <v>0.0</v>
      </c>
      <c r="I2566" s="3" t="s">
        <v>13</v>
      </c>
      <c r="J2566" s="3" t="s">
        <v>7564</v>
      </c>
      <c r="K2566" s="3" t="s">
        <v>1265</v>
      </c>
      <c r="L2566" s="3" t="str">
        <f>IFERROR(__xludf.DUMMYFUNCTION("GOOGLETRANSLATE(F2566,""id"",""en"")"),"you know, heh, heh, heh, the most world cup finals")</f>
        <v>you know, heh, heh, heh, the most world cup finals</v>
      </c>
    </row>
    <row r="2567" ht="15.75" customHeight="1">
      <c r="A2567" s="1">
        <v>2582.0</v>
      </c>
      <c r="B2567" s="3" t="s">
        <v>7565</v>
      </c>
      <c r="C2567" s="3">
        <v>0.0</v>
      </c>
      <c r="D2567" s="3">
        <v>0.0</v>
      </c>
      <c r="E2567" s="3">
        <v>0.0</v>
      </c>
      <c r="F2567" s="3" t="s">
        <v>7566</v>
      </c>
      <c r="G2567" s="3">
        <v>1.0</v>
      </c>
      <c r="H2567" s="3">
        <v>0.0</v>
      </c>
      <c r="I2567" s="3" t="s">
        <v>13</v>
      </c>
      <c r="J2567" s="3" t="s">
        <v>7567</v>
      </c>
      <c r="K2567" s="3" t="s">
        <v>54</v>
      </c>
      <c r="L2567" s="3" t="str">
        <f>IFERROR(__xludf.DUMMYFUNCTION("GOOGLETRANSLATE(F2567,""id"",""en"")"),"World Cup Final Ter Drama Bangkee Wkwk")</f>
        <v>World Cup Final Ter Drama Bangkee Wkwk</v>
      </c>
    </row>
    <row r="2568" ht="15.75" customHeight="1">
      <c r="A2568" s="1">
        <v>2583.0</v>
      </c>
      <c r="B2568" s="3" t="s">
        <v>7568</v>
      </c>
      <c r="C2568" s="3">
        <v>0.0</v>
      </c>
      <c r="D2568" s="3">
        <v>0.0</v>
      </c>
      <c r="E2568" s="3">
        <v>0.0</v>
      </c>
      <c r="F2568" s="3" t="s">
        <v>3234</v>
      </c>
      <c r="G2568" s="3">
        <v>1.0</v>
      </c>
      <c r="H2568" s="3">
        <v>0.0</v>
      </c>
      <c r="I2568" s="3" t="s">
        <v>13</v>
      </c>
      <c r="J2568" s="3" t="s">
        <v>3235</v>
      </c>
      <c r="K2568" s="3" t="s">
        <v>644</v>
      </c>
      <c r="L2568" s="3" t="str">
        <f>IFERROR(__xludf.DUMMYFUNCTION("GOOGLETRANSLATE(F2568,""id"",""en"")"),"World Cup Final Hattrick")</f>
        <v>World Cup Final Hattrick</v>
      </c>
    </row>
    <row r="2569" ht="15.75" customHeight="1">
      <c r="A2569" s="1">
        <v>2584.0</v>
      </c>
      <c r="B2569" s="3" t="s">
        <v>7569</v>
      </c>
      <c r="C2569" s="3">
        <v>1.0</v>
      </c>
      <c r="D2569" s="3">
        <v>0.0</v>
      </c>
      <c r="E2569" s="3">
        <v>0.0</v>
      </c>
      <c r="F2569" s="3" t="s">
        <v>7570</v>
      </c>
      <c r="G2569" s="3">
        <v>1.0</v>
      </c>
      <c r="H2569" s="3">
        <v>0.0</v>
      </c>
      <c r="I2569" s="3" t="s">
        <v>13</v>
      </c>
      <c r="J2569" s="3" t="s">
        <v>7571</v>
      </c>
      <c r="K2569" s="3" t="s">
        <v>31</v>
      </c>
      <c r="L2569" s="3" t="str">
        <f>IFERROR(__xludf.DUMMYFUNCTION("GOOGLETRANSLATE(F2569,""id"",""en"")"),"The World Cup Final was shocked by Ajigggg")</f>
        <v>The World Cup Final was shocked by Ajigggg</v>
      </c>
    </row>
    <row r="2570" ht="15.75" customHeight="1">
      <c r="A2570" s="1">
        <v>2585.0</v>
      </c>
      <c r="B2570" s="3" t="s">
        <v>7572</v>
      </c>
      <c r="C2570" s="3">
        <v>0.0</v>
      </c>
      <c r="D2570" s="3">
        <v>0.0</v>
      </c>
      <c r="E2570" s="3">
        <v>0.0</v>
      </c>
      <c r="F2570" s="3" t="s">
        <v>7573</v>
      </c>
      <c r="G2570" s="3">
        <v>0.75</v>
      </c>
      <c r="H2570" s="3">
        <v>0.06818181818181818</v>
      </c>
      <c r="I2570" s="3" t="s">
        <v>48</v>
      </c>
      <c r="J2570" s="3" t="s">
        <v>7574</v>
      </c>
      <c r="K2570" s="3" t="s">
        <v>491</v>
      </c>
      <c r="L2570" s="3" t="str">
        <f>IFERROR(__xludf.DUMMYFUNCTION("GOOGLETRANSLATE(F2570,""id"",""en"")"),"goooollllll goooolllll kylian mbappe Argentina France Link LIVE LIVE STREAMING ARGENTINA France tonight WIB World Cup Final")</f>
        <v>goooollllll goooolllll kylian mbappe Argentina France Link LIVE LIVE STREAMING ARGENTINA France tonight WIB World Cup Final</v>
      </c>
    </row>
    <row r="2571" ht="15.75" customHeight="1">
      <c r="A2571" s="1">
        <v>2586.0</v>
      </c>
      <c r="B2571" s="3" t="s">
        <v>7575</v>
      </c>
      <c r="C2571" s="3">
        <v>0.0</v>
      </c>
      <c r="D2571" s="3">
        <v>0.0</v>
      </c>
      <c r="E2571" s="3">
        <v>0.0</v>
      </c>
      <c r="F2571" s="3" t="s">
        <v>7576</v>
      </c>
      <c r="G2571" s="3">
        <v>1.0</v>
      </c>
      <c r="H2571" s="3">
        <v>0.0</v>
      </c>
      <c r="I2571" s="3" t="s">
        <v>13</v>
      </c>
      <c r="J2571" s="3" t="s">
        <v>7577</v>
      </c>
      <c r="K2571" s="3" t="s">
        <v>82</v>
      </c>
      <c r="L2571" s="3" t="str">
        <f>IFERROR(__xludf.DUMMYFUNCTION("GOOGLETRANSLATE(F2571,""id"",""en"")"),"BGST's World Cup Final Hattrick Year")</f>
        <v>BGST's World Cup Final Hattrick Year</v>
      </c>
    </row>
    <row r="2572" ht="15.75" customHeight="1">
      <c r="A2572" s="1">
        <v>2587.0</v>
      </c>
      <c r="B2572" s="3" t="s">
        <v>7578</v>
      </c>
      <c r="C2572" s="3">
        <v>0.0</v>
      </c>
      <c r="D2572" s="3">
        <v>0.0</v>
      </c>
      <c r="E2572" s="3">
        <v>0.0</v>
      </c>
      <c r="F2572" s="3" t="s">
        <v>7579</v>
      </c>
      <c r="G2572" s="3">
        <v>1.0</v>
      </c>
      <c r="H2572" s="3">
        <v>0.0</v>
      </c>
      <c r="I2572" s="3" t="s">
        <v>13</v>
      </c>
      <c r="J2572" s="3" t="s">
        <v>7580</v>
      </c>
      <c r="K2572" s="3" t="s">
        <v>644</v>
      </c>
      <c r="L2572" s="3" t="str">
        <f>IFERROR(__xludf.DUMMYFUNCTION("GOOGLETRANSLATE(F2572,""id"",""en"")"),"The World Cup Final is State")</f>
        <v>The World Cup Final is State</v>
      </c>
    </row>
    <row r="2573" ht="15.75" customHeight="1">
      <c r="A2573" s="1">
        <v>2588.0</v>
      </c>
      <c r="B2573" s="3" t="s">
        <v>7581</v>
      </c>
      <c r="C2573" s="3">
        <v>0.0</v>
      </c>
      <c r="D2573" s="3">
        <v>0.0</v>
      </c>
      <c r="E2573" s="3">
        <v>0.0</v>
      </c>
      <c r="F2573" s="3" t="s">
        <v>7582</v>
      </c>
      <c r="G2573" s="3">
        <v>1.0</v>
      </c>
      <c r="H2573" s="3">
        <v>0.0</v>
      </c>
      <c r="I2573" s="3" t="s">
        <v>13</v>
      </c>
      <c r="J2573" s="3" t="s">
        <v>7583</v>
      </c>
      <c r="K2573" s="3" t="s">
        <v>54</v>
      </c>
      <c r="L2573" s="3" t="str">
        <f>IFERROR(__xludf.DUMMYFUNCTION("GOOGLETRANSLATE(F2573,""id"",""en"")"),"This is the World Cup Final or what the heck is it wkwkwk")</f>
        <v>This is the World Cup Final or what the heck is it wkwkwk</v>
      </c>
    </row>
    <row r="2574" ht="15.75" customHeight="1">
      <c r="A2574" s="1">
        <v>2589.0</v>
      </c>
      <c r="B2574" s="3" t="s">
        <v>7584</v>
      </c>
      <c r="C2574" s="3">
        <v>0.0</v>
      </c>
      <c r="D2574" s="3">
        <v>1.0</v>
      </c>
      <c r="E2574" s="3">
        <v>0.0</v>
      </c>
      <c r="F2574" s="3" t="s">
        <v>7585</v>
      </c>
      <c r="G2574" s="3">
        <v>1.0</v>
      </c>
      <c r="H2574" s="3">
        <v>0.0</v>
      </c>
      <c r="I2574" s="3" t="s">
        <v>13</v>
      </c>
      <c r="J2574" s="3" t="s">
        <v>7586</v>
      </c>
      <c r="K2574" s="3" t="s">
        <v>15</v>
      </c>
      <c r="L2574" s="3" t="str">
        <f>IFERROR(__xludf.DUMMYFUNCTION("GOOGLETRANSLATE(F2574,""id"",""en"")"),"The World Cup Final Hat Udeh Alig is a boy")</f>
        <v>The World Cup Final Hat Udeh Alig is a boy</v>
      </c>
    </row>
    <row r="2575" ht="15.75" customHeight="1">
      <c r="A2575" s="1">
        <v>2590.0</v>
      </c>
      <c r="B2575" s="3" t="s">
        <v>7587</v>
      </c>
      <c r="C2575" s="3">
        <v>0.0</v>
      </c>
      <c r="D2575" s="3">
        <v>0.0</v>
      </c>
      <c r="E2575" s="3">
        <v>1.0</v>
      </c>
      <c r="F2575" s="3" t="s">
        <v>7588</v>
      </c>
      <c r="G2575" s="3">
        <v>0.65</v>
      </c>
      <c r="H2575" s="3">
        <v>0.1</v>
      </c>
      <c r="I2575" s="3" t="s">
        <v>48</v>
      </c>
      <c r="J2575" s="3" t="s">
        <v>7589</v>
      </c>
      <c r="K2575" s="3" t="s">
        <v>15</v>
      </c>
      <c r="L2575" s="3" t="str">
        <f>IFERROR(__xludf.DUMMYFUNCTION("GOOGLETRANSLATE(F2575,""id"",""en"")"),"World Cup Final Hattrick Anjjjjjj The Real Goatttt")</f>
        <v>World Cup Final Hattrick Anjjjjjj The Real Goatttt</v>
      </c>
    </row>
    <row r="2576" ht="15.75" customHeight="1">
      <c r="A2576" s="1">
        <v>2591.0</v>
      </c>
      <c r="B2576" s="3" t="s">
        <v>7590</v>
      </c>
      <c r="C2576" s="3">
        <v>1.0</v>
      </c>
      <c r="D2576" s="3">
        <v>0.0</v>
      </c>
      <c r="E2576" s="3">
        <v>1.0</v>
      </c>
      <c r="F2576" s="3" t="s">
        <v>7591</v>
      </c>
      <c r="G2576" s="3">
        <v>1.0</v>
      </c>
      <c r="H2576" s="3">
        <v>0.0</v>
      </c>
      <c r="I2576" s="3" t="s">
        <v>13</v>
      </c>
      <c r="J2576" s="3" t="s">
        <v>7592</v>
      </c>
      <c r="K2576" s="3" t="s">
        <v>41</v>
      </c>
      <c r="L2576" s="3" t="str">
        <f>IFERROR(__xludf.DUMMYFUNCTION("GOOGLETRANSLATE(F2576,""id"",""en"")"),"Crazy World Cup this time is crazyaaaaaaaaaaaaa French final Argentina is crazyaaaaaaaa")</f>
        <v>Crazy World Cup this time is crazyaaaaaaaaaaaaa French final Argentina is crazyaaaaaaaa</v>
      </c>
    </row>
    <row r="2577" ht="15.75" customHeight="1">
      <c r="A2577" s="1">
        <v>2592.0</v>
      </c>
      <c r="B2577" s="3" t="s">
        <v>7593</v>
      </c>
      <c r="C2577" s="3">
        <v>0.0</v>
      </c>
      <c r="D2577" s="3">
        <v>0.0</v>
      </c>
      <c r="E2577" s="3">
        <v>0.0</v>
      </c>
      <c r="F2577" s="3" t="s">
        <v>7594</v>
      </c>
      <c r="G2577" s="3">
        <v>1.0</v>
      </c>
      <c r="H2577" s="3">
        <v>0.0</v>
      </c>
      <c r="I2577" s="3" t="s">
        <v>13</v>
      </c>
      <c r="J2577" s="3" t="s">
        <v>7595</v>
      </c>
      <c r="K2577" s="3" t="s">
        <v>54</v>
      </c>
      <c r="L2577" s="3" t="str">
        <f>IFERROR(__xludf.DUMMYFUNCTION("GOOGLETRANSLATE(F2577,""id"",""en"")"),"Gokil Hattrick Final World Cup Goat")</f>
        <v>Gokil Hattrick Final World Cup Goat</v>
      </c>
    </row>
    <row r="2578" ht="15.75" customHeight="1">
      <c r="A2578" s="1">
        <v>2593.0</v>
      </c>
      <c r="B2578" s="3" t="s">
        <v>7596</v>
      </c>
      <c r="C2578" s="3">
        <v>0.0</v>
      </c>
      <c r="D2578" s="3">
        <v>0.0</v>
      </c>
      <c r="E2578" s="3">
        <v>0.0</v>
      </c>
      <c r="F2578" s="3" t="s">
        <v>7597</v>
      </c>
      <c r="G2578" s="3">
        <v>1.0</v>
      </c>
      <c r="H2578" s="3">
        <v>0.0</v>
      </c>
      <c r="I2578" s="3" t="s">
        <v>13</v>
      </c>
      <c r="J2578" s="3" t="s">
        <v>7598</v>
      </c>
      <c r="K2578" s="3" t="s">
        <v>31</v>
      </c>
      <c r="L2578" s="3" t="str">
        <f>IFERROR(__xludf.DUMMYFUNCTION("GOOGLETRANSLATE(F2578,""id"",""en"")"),"Final World Cup Dramatic")</f>
        <v>Final World Cup Dramatic</v>
      </c>
    </row>
    <row r="2579" ht="15.75" customHeight="1">
      <c r="A2579" s="1">
        <v>2594.0</v>
      </c>
      <c r="B2579" s="3" t="s">
        <v>7599</v>
      </c>
      <c r="C2579" s="3">
        <v>0.0</v>
      </c>
      <c r="D2579" s="3">
        <v>0.0</v>
      </c>
      <c r="E2579" s="3">
        <v>0.0</v>
      </c>
      <c r="F2579" s="3" t="s">
        <v>7600</v>
      </c>
      <c r="G2579" s="3">
        <v>1.0</v>
      </c>
      <c r="H2579" s="3">
        <v>0.0</v>
      </c>
      <c r="I2579" s="3" t="s">
        <v>13</v>
      </c>
      <c r="J2579" s="3" t="s">
        <v>7601</v>
      </c>
      <c r="K2579" s="3" t="s">
        <v>477</v>
      </c>
      <c r="L2579" s="3" t="str">
        <f>IFERROR(__xludf.DUMMYFUNCTION("GOOGLETRANSLATE(F2579,""id"",""en"")"),"It's okay for the World Cup Final Hype if Hype Nakuk")</f>
        <v>It's okay for the World Cup Final Hype if Hype Nakuk</v>
      </c>
    </row>
    <row r="2580" ht="15.75" customHeight="1">
      <c r="A2580" s="1">
        <v>2595.0</v>
      </c>
      <c r="B2580" s="3" t="s">
        <v>7602</v>
      </c>
      <c r="C2580" s="3">
        <v>0.0</v>
      </c>
      <c r="D2580" s="3">
        <v>0.0</v>
      </c>
      <c r="E2580" s="3">
        <v>0.0</v>
      </c>
      <c r="F2580" s="3" t="s">
        <v>5538</v>
      </c>
      <c r="G2580" s="3">
        <v>1.0</v>
      </c>
      <c r="H2580" s="3">
        <v>0.0</v>
      </c>
      <c r="I2580" s="3" t="s">
        <v>13</v>
      </c>
      <c r="J2580" s="3" t="s">
        <v>5539</v>
      </c>
      <c r="K2580" s="3" t="s">
        <v>31</v>
      </c>
      <c r="L2580" s="3" t="str">
        <f>IFERROR(__xludf.DUMMYFUNCTION("GOOGLETRANSLATE(F2580,""id"",""en"")"),"The Most Epic World Cup Final")</f>
        <v>The Most Epic World Cup Final</v>
      </c>
    </row>
    <row r="2581" ht="15.75" customHeight="1">
      <c r="A2581" s="1">
        <v>2596.0</v>
      </c>
      <c r="B2581" s="3" t="s">
        <v>7603</v>
      </c>
      <c r="C2581" s="3">
        <v>0.0</v>
      </c>
      <c r="D2581" s="3">
        <v>0.0</v>
      </c>
      <c r="E2581" s="3">
        <v>0.0</v>
      </c>
      <c r="F2581" s="3" t="s">
        <v>7223</v>
      </c>
      <c r="G2581" s="3">
        <v>1.0</v>
      </c>
      <c r="H2581" s="3">
        <v>0.0</v>
      </c>
      <c r="I2581" s="3" t="s">
        <v>13</v>
      </c>
      <c r="J2581" s="3" t="s">
        <v>7224</v>
      </c>
      <c r="K2581" s="3" t="s">
        <v>90</v>
      </c>
      <c r="L2581" s="3" t="str">
        <f>IFERROR(__xludf.DUMMYFUNCTION("GOOGLETRANSLATE(F2581,""id"",""en"")"),"Lionel Messi drove Argentina to France for the final time of the World Cup Tango's final time to be closer to the championship trophy")</f>
        <v>Lionel Messi drove Argentina to France for the final time of the World Cup Tango's final time to be closer to the championship trophy</v>
      </c>
    </row>
    <row r="2582" ht="15.75" customHeight="1">
      <c r="A2582" s="1">
        <v>2597.0</v>
      </c>
      <c r="B2582" s="3" t="s">
        <v>7604</v>
      </c>
      <c r="C2582" s="3">
        <v>0.0</v>
      </c>
      <c r="D2582" s="3">
        <v>0.0</v>
      </c>
      <c r="E2582" s="3">
        <v>0.0</v>
      </c>
      <c r="F2582" s="3" t="s">
        <v>7605</v>
      </c>
      <c r="G2582" s="3">
        <v>1.0</v>
      </c>
      <c r="H2582" s="3">
        <v>0.0</v>
      </c>
      <c r="I2582" s="3" t="s">
        <v>13</v>
      </c>
      <c r="J2582" s="3" t="s">
        <v>7606</v>
      </c>
      <c r="K2582" s="3" t="s">
        <v>82</v>
      </c>
      <c r="L2582" s="3" t="str">
        <f>IFERROR(__xludf.DUMMYFUNCTION("GOOGLETRANSLATE(F2582,""id"",""en"")"),"The Boss Senggol World Cup Final Hattrick Dong")</f>
        <v>The Boss Senggol World Cup Final Hattrick Dong</v>
      </c>
    </row>
    <row r="2583" ht="15.75" customHeight="1">
      <c r="A2583" s="1">
        <v>2598.0</v>
      </c>
      <c r="B2583" s="3" t="s">
        <v>7607</v>
      </c>
      <c r="C2583" s="3">
        <v>6.0</v>
      </c>
      <c r="D2583" s="3">
        <v>0.0</v>
      </c>
      <c r="E2583" s="3">
        <v>28.0</v>
      </c>
      <c r="F2583" s="3" t="s">
        <v>7223</v>
      </c>
      <c r="G2583" s="3">
        <v>1.0</v>
      </c>
      <c r="H2583" s="3">
        <v>0.0</v>
      </c>
      <c r="I2583" s="3" t="s">
        <v>13</v>
      </c>
      <c r="J2583" s="3" t="s">
        <v>7224</v>
      </c>
      <c r="K2583" s="3" t="s">
        <v>90</v>
      </c>
      <c r="L2583" s="3" t="str">
        <f>IFERROR(__xludf.DUMMYFUNCTION("GOOGLETRANSLATE(F2583,""id"",""en"")"),"Lionel Messi drove Argentina to France for the final time of the World Cup Tango's final time to be closer to the championship trophy")</f>
        <v>Lionel Messi drove Argentina to France for the final time of the World Cup Tango's final time to be closer to the championship trophy</v>
      </c>
    </row>
    <row r="2584" ht="15.75" customHeight="1">
      <c r="A2584" s="1">
        <v>2599.0</v>
      </c>
      <c r="B2584" s="3" t="s">
        <v>7608</v>
      </c>
      <c r="C2584" s="3">
        <v>2.0</v>
      </c>
      <c r="D2584" s="3">
        <v>1.0</v>
      </c>
      <c r="E2584" s="3">
        <v>4.0</v>
      </c>
      <c r="F2584" s="3" t="s">
        <v>7223</v>
      </c>
      <c r="G2584" s="3">
        <v>1.0</v>
      </c>
      <c r="H2584" s="3">
        <v>0.0</v>
      </c>
      <c r="I2584" s="3" t="s">
        <v>13</v>
      </c>
      <c r="J2584" s="3" t="s">
        <v>7224</v>
      </c>
      <c r="K2584" s="3" t="s">
        <v>90</v>
      </c>
      <c r="L2584" s="3" t="str">
        <f>IFERROR(__xludf.DUMMYFUNCTION("GOOGLETRANSLATE(F2584,""id"",""en"")"),"Lionel Messi drove Argentina to France for the final time of the World Cup Tango's final time to be closer to the championship trophy")</f>
        <v>Lionel Messi drove Argentina to France for the final time of the World Cup Tango's final time to be closer to the championship trophy</v>
      </c>
    </row>
    <row r="2585" ht="15.75" customHeight="1">
      <c r="A2585" s="1">
        <v>2600.0</v>
      </c>
      <c r="B2585" s="3" t="s">
        <v>7609</v>
      </c>
      <c r="C2585" s="3">
        <v>0.0</v>
      </c>
      <c r="D2585" s="3">
        <v>0.0</v>
      </c>
      <c r="E2585" s="3">
        <v>0.0</v>
      </c>
      <c r="F2585" s="3" t="s">
        <v>665</v>
      </c>
      <c r="G2585" s="3">
        <v>1.0</v>
      </c>
      <c r="H2585" s="3">
        <v>0.0</v>
      </c>
      <c r="I2585" s="3" t="s">
        <v>13</v>
      </c>
      <c r="J2585" s="3" t="s">
        <v>666</v>
      </c>
      <c r="K2585" s="3" t="s">
        <v>644</v>
      </c>
      <c r="L2585" s="3" t="str">
        <f>IFERROR(__xludf.DUMMYFUNCTION("GOOGLETRANSLATE(F2585,""id"",""en"")"),"the best world cup final")</f>
        <v>the best world cup final</v>
      </c>
    </row>
    <row r="2586" ht="15.75" customHeight="1">
      <c r="A2586" s="1">
        <v>2601.0</v>
      </c>
      <c r="B2586" s="3" t="s">
        <v>7610</v>
      </c>
      <c r="C2586" s="3">
        <v>0.0</v>
      </c>
      <c r="D2586" s="3">
        <v>0.0</v>
      </c>
      <c r="E2586" s="3">
        <v>0.0</v>
      </c>
      <c r="F2586" s="3" t="s">
        <v>7611</v>
      </c>
      <c r="G2586" s="3">
        <v>1.0</v>
      </c>
      <c r="H2586" s="3">
        <v>0.0</v>
      </c>
      <c r="I2586" s="3" t="s">
        <v>13</v>
      </c>
      <c r="J2586" s="3" t="s">
        <v>7612</v>
      </c>
      <c r="K2586" s="3" t="s">
        <v>75</v>
      </c>
      <c r="L2586" s="3" t="str">
        <f>IFERROR(__xludf.DUMMYFUNCTION("GOOGLETRANSLATE(F2586,""id"",""en"")"),"The World Cup Messi brought Argentina to France in France in the final match")</f>
        <v>The World Cup Messi brought Argentina to France in France in the final match</v>
      </c>
    </row>
    <row r="2587" ht="15.75" customHeight="1">
      <c r="A2587" s="1">
        <v>2602.0</v>
      </c>
      <c r="B2587" s="3" t="s">
        <v>7613</v>
      </c>
      <c r="C2587" s="3">
        <v>0.0</v>
      </c>
      <c r="D2587" s="3">
        <v>0.0</v>
      </c>
      <c r="E2587" s="3">
        <v>0.0</v>
      </c>
      <c r="F2587" s="3" t="s">
        <v>7614</v>
      </c>
      <c r="G2587" s="3">
        <v>0.8</v>
      </c>
      <c r="H2587" s="3">
        <v>-0.2</v>
      </c>
      <c r="I2587" s="3" t="s">
        <v>179</v>
      </c>
      <c r="J2587" s="3" t="s">
        <v>7615</v>
      </c>
      <c r="K2587" s="3" t="s">
        <v>6674</v>
      </c>
      <c r="L2587" s="3" t="str">
        <f>IFERROR(__xludf.DUMMYFUNCTION("GOOGLETRANSLATE(F2587,""id"",""en"")"),"World Cup and Final of the Best World Cup I've ever watched Fuck")</f>
        <v>World Cup and Final of the Best World Cup I've ever watched Fuck</v>
      </c>
    </row>
    <row r="2588" ht="15.75" customHeight="1">
      <c r="A2588" s="1">
        <v>2603.0</v>
      </c>
      <c r="B2588" s="3" t="s">
        <v>7616</v>
      </c>
      <c r="C2588" s="3">
        <v>0.0</v>
      </c>
      <c r="D2588" s="3">
        <v>0.0</v>
      </c>
      <c r="E2588" s="3">
        <v>0.0</v>
      </c>
      <c r="F2588" s="3" t="s">
        <v>7617</v>
      </c>
      <c r="G2588" s="3">
        <v>1.0</v>
      </c>
      <c r="H2588" s="3">
        <v>0.0</v>
      </c>
      <c r="I2588" s="3" t="s">
        <v>13</v>
      </c>
      <c r="J2588" s="3" t="s">
        <v>7618</v>
      </c>
      <c r="K2588" s="3" t="s">
        <v>82</v>
      </c>
      <c r="L2588" s="3" t="str">
        <f>IFERROR(__xludf.DUMMYFUNCTION("GOOGLETRANSLATE(F2588,""id"",""en"")"),"Penalty for France Handsball World Cup Final")</f>
        <v>Penalty for France Handsball World Cup Final</v>
      </c>
    </row>
    <row r="2589" ht="15.75" customHeight="1">
      <c r="A2589" s="1">
        <v>2604.0</v>
      </c>
      <c r="B2589" s="3" t="s">
        <v>7619</v>
      </c>
      <c r="C2589" s="3">
        <v>0.0</v>
      </c>
      <c r="D2589" s="3">
        <v>0.0</v>
      </c>
      <c r="E2589" s="3">
        <v>0.0</v>
      </c>
      <c r="F2589" s="3" t="s">
        <v>7620</v>
      </c>
      <c r="G2589" s="3">
        <v>1.0</v>
      </c>
      <c r="H2589" s="3">
        <v>0.0</v>
      </c>
      <c r="I2589" s="3" t="s">
        <v>13</v>
      </c>
      <c r="J2589" s="3" t="s">
        <v>7621</v>
      </c>
      <c r="K2589" s="3" t="s">
        <v>54</v>
      </c>
      <c r="L2589" s="3" t="str">
        <f>IFERROR(__xludf.DUMMYFUNCTION("GOOGLETRANSLATE(F2589,""id"",""en"")"),"I have to admit this is the most exciting world cup final")</f>
        <v>I have to admit this is the most exciting world cup final</v>
      </c>
    </row>
    <row r="2590" ht="15.75" customHeight="1">
      <c r="A2590" s="1">
        <v>2605.0</v>
      </c>
      <c r="B2590" s="3" t="s">
        <v>7622</v>
      </c>
      <c r="C2590" s="3">
        <v>0.0</v>
      </c>
      <c r="D2590" s="3">
        <v>0.0</v>
      </c>
      <c r="E2590" s="3">
        <v>0.0</v>
      </c>
      <c r="F2590" s="3" t="s">
        <v>665</v>
      </c>
      <c r="G2590" s="3">
        <v>1.0</v>
      </c>
      <c r="H2590" s="3">
        <v>0.0</v>
      </c>
      <c r="I2590" s="3" t="s">
        <v>13</v>
      </c>
      <c r="J2590" s="3" t="s">
        <v>666</v>
      </c>
      <c r="K2590" s="3" t="s">
        <v>644</v>
      </c>
      <c r="L2590" s="3" t="str">
        <f>IFERROR(__xludf.DUMMYFUNCTION("GOOGLETRANSLATE(F2590,""id"",""en"")"),"the best world cup final")</f>
        <v>the best world cup final</v>
      </c>
    </row>
    <row r="2591" ht="15.75" customHeight="1">
      <c r="A2591" s="1">
        <v>2606.0</v>
      </c>
      <c r="B2591" s="3" t="s">
        <v>7623</v>
      </c>
      <c r="C2591" s="3">
        <v>0.0</v>
      </c>
      <c r="D2591" s="3">
        <v>0.0</v>
      </c>
      <c r="E2591" s="3">
        <v>0.0</v>
      </c>
      <c r="F2591" s="3" t="s">
        <v>7624</v>
      </c>
      <c r="G2591" s="3">
        <v>0.75</v>
      </c>
      <c r="H2591" s="3">
        <v>0.06818181818181818</v>
      </c>
      <c r="I2591" s="3" t="s">
        <v>48</v>
      </c>
      <c r="J2591" s="3" t="s">
        <v>7625</v>
      </c>
      <c r="K2591" s="3" t="s">
        <v>484</v>
      </c>
      <c r="L2591" s="3" t="str">
        <f>IFERROR(__xludf.DUMMYFUNCTION("GOOGLETRANSLATE(F2591,""id"",""en"")"),"French minutes Penalt again Argentina France Link Live Streaming Argentina France tonight WIB World Cup Final")</f>
        <v>French minutes Penalt again Argentina France Link Live Streaming Argentina France tonight WIB World Cup Final</v>
      </c>
    </row>
    <row r="2592" ht="15.75" customHeight="1">
      <c r="A2592" s="1">
        <v>2607.0</v>
      </c>
      <c r="B2592" s="3" t="s">
        <v>7626</v>
      </c>
      <c r="C2592" s="3">
        <v>0.0</v>
      </c>
      <c r="D2592" s="3">
        <v>0.0</v>
      </c>
      <c r="E2592" s="3">
        <v>0.0</v>
      </c>
      <c r="F2592" s="3" t="s">
        <v>7627</v>
      </c>
      <c r="G2592" s="3">
        <v>1.0</v>
      </c>
      <c r="H2592" s="3">
        <v>0.0</v>
      </c>
      <c r="I2592" s="3" t="s">
        <v>13</v>
      </c>
      <c r="J2592" s="3" t="s">
        <v>7628</v>
      </c>
      <c r="K2592" s="3" t="s">
        <v>41</v>
      </c>
      <c r="L2592" s="3" t="str">
        <f>IFERROR(__xludf.DUMMYFUNCTION("GOOGLETRANSLATE(F2592,""id"",""en"")"),"watching the final with the father of the next world cup continue with him")</f>
        <v>watching the final with the father of the next world cup continue with him</v>
      </c>
    </row>
    <row r="2593" ht="15.75" customHeight="1">
      <c r="A2593" s="1">
        <v>2608.0</v>
      </c>
      <c r="B2593" s="3" t="s">
        <v>7629</v>
      </c>
      <c r="C2593" s="3">
        <v>0.0</v>
      </c>
      <c r="D2593" s="3">
        <v>0.0</v>
      </c>
      <c r="E2593" s="3">
        <v>0.0</v>
      </c>
      <c r="F2593" s="3" t="s">
        <v>7630</v>
      </c>
      <c r="G2593" s="3">
        <v>1.0</v>
      </c>
      <c r="H2593" s="3">
        <v>0.0</v>
      </c>
      <c r="I2593" s="3" t="s">
        <v>13</v>
      </c>
      <c r="J2593" s="3" t="s">
        <v>7631</v>
      </c>
      <c r="K2593" s="3" t="s">
        <v>4609</v>
      </c>
      <c r="L2593" s="3" t="str">
        <f>IFERROR(__xludf.DUMMYFUNCTION("GOOGLETRANSLATE(F2593,""id"",""en"")"),"The Qatar World Cup final is the most Qatar goal from PSG and PSG players and PSG and PSG themselves who have Qatar")</f>
        <v>The Qatar World Cup final is the most Qatar goal from PSG and PSG players and PSG and PSG themselves who have Qatar</v>
      </c>
    </row>
    <row r="2594" ht="15.75" customHeight="1">
      <c r="A2594" s="1">
        <v>2609.0</v>
      </c>
      <c r="B2594" s="3" t="s">
        <v>7632</v>
      </c>
      <c r="C2594" s="3">
        <v>0.0</v>
      </c>
      <c r="D2594" s="3">
        <v>1.0</v>
      </c>
      <c r="E2594" s="3">
        <v>2.0</v>
      </c>
      <c r="F2594" s="3" t="s">
        <v>7633</v>
      </c>
      <c r="G2594" s="3">
        <v>1.0</v>
      </c>
      <c r="H2594" s="3">
        <v>0.0</v>
      </c>
      <c r="I2594" s="3" t="s">
        <v>13</v>
      </c>
      <c r="J2594" s="3" t="s">
        <v>7634</v>
      </c>
      <c r="K2594" s="3" t="s">
        <v>82</v>
      </c>
      <c r="L2594" s="3" t="str">
        <f>IFERROR(__xludf.DUMMYFUNCTION("GOOGLETRANSLATE(F2594,""id"",""en"")"),"I'm the one who is watching the World Cup final from the Twitter timeline")</f>
        <v>I'm the one who is watching the World Cup final from the Twitter timeline</v>
      </c>
    </row>
    <row r="2595" ht="15.75" customHeight="1">
      <c r="A2595" s="1">
        <v>2610.0</v>
      </c>
      <c r="B2595" s="3" t="s">
        <v>7635</v>
      </c>
      <c r="C2595" s="3">
        <v>0.0</v>
      </c>
      <c r="D2595" s="3">
        <v>0.0</v>
      </c>
      <c r="E2595" s="3">
        <v>0.0</v>
      </c>
      <c r="F2595" s="3" t="s">
        <v>2968</v>
      </c>
      <c r="G2595" s="3">
        <v>1.0</v>
      </c>
      <c r="H2595" s="3">
        <v>0.0</v>
      </c>
      <c r="I2595" s="3" t="s">
        <v>13</v>
      </c>
      <c r="J2595" s="3" t="s">
        <v>2969</v>
      </c>
      <c r="K2595" s="3" t="s">
        <v>510</v>
      </c>
      <c r="L2595" s="3" t="str">
        <f>IFERROR(__xludf.DUMMYFUNCTION("GOOGLETRANSLATE(F2595,""id"",""en"")"),"The Nobar Final title of the World Cup in the middle of the Secretary General of the DPP Youth Perindo proof we are popular")</f>
        <v>The Nobar Final title of the World Cup in the middle of the Secretary General of the DPP Youth Perindo proof we are popular</v>
      </c>
    </row>
    <row r="2596" ht="15.75" customHeight="1">
      <c r="A2596" s="1">
        <v>2611.0</v>
      </c>
      <c r="B2596" s="3" t="s">
        <v>7636</v>
      </c>
      <c r="C2596" s="3">
        <v>0.0</v>
      </c>
      <c r="D2596" s="3">
        <v>0.0</v>
      </c>
      <c r="E2596" s="3">
        <v>0.0</v>
      </c>
      <c r="F2596" s="3" t="s">
        <v>7637</v>
      </c>
      <c r="G2596" s="3">
        <v>1.0</v>
      </c>
      <c r="H2596" s="3">
        <v>0.0</v>
      </c>
      <c r="I2596" s="3" t="s">
        <v>13</v>
      </c>
      <c r="J2596" s="3" t="s">
        <v>7638</v>
      </c>
      <c r="K2596" s="3" t="s">
        <v>82</v>
      </c>
      <c r="L2596" s="3" t="str">
        <f>IFERROR(__xludf.DUMMYFUNCTION("GOOGLETRANSLATE(F2596,""id"",""en"")"),"exciting until the end of the most tense world cup final")</f>
        <v>exciting until the end of the most tense world cup final</v>
      </c>
    </row>
    <row r="2597" ht="15.75" customHeight="1">
      <c r="A2597" s="1">
        <v>2612.0</v>
      </c>
      <c r="B2597" s="3" t="s">
        <v>7639</v>
      </c>
      <c r="C2597" s="3">
        <v>0.0</v>
      </c>
      <c r="D2597" s="3">
        <v>0.0</v>
      </c>
      <c r="E2597" s="3">
        <v>0.0</v>
      </c>
      <c r="F2597" s="3" t="s">
        <v>2968</v>
      </c>
      <c r="G2597" s="3">
        <v>1.0</v>
      </c>
      <c r="H2597" s="3">
        <v>0.0</v>
      </c>
      <c r="I2597" s="3" t="s">
        <v>13</v>
      </c>
      <c r="J2597" s="3" t="s">
        <v>2969</v>
      </c>
      <c r="K2597" s="3" t="s">
        <v>510</v>
      </c>
      <c r="L2597" s="3" t="str">
        <f>IFERROR(__xludf.DUMMYFUNCTION("GOOGLETRANSLATE(F2597,""id"",""en"")"),"The Nobar Final title of the World Cup in the middle of the Secretary General of the DPP Youth Perindo proof we are popular")</f>
        <v>The Nobar Final title of the World Cup in the middle of the Secretary General of the DPP Youth Perindo proof we are popular</v>
      </c>
    </row>
    <row r="2598" ht="15.75" customHeight="1">
      <c r="A2598" s="1">
        <v>2613.0</v>
      </c>
      <c r="B2598" s="3" t="s">
        <v>7640</v>
      </c>
      <c r="C2598" s="3">
        <v>0.0</v>
      </c>
      <c r="D2598" s="3">
        <v>1.0</v>
      </c>
      <c r="E2598" s="3">
        <v>1.0</v>
      </c>
      <c r="F2598" s="3" t="s">
        <v>7641</v>
      </c>
      <c r="G2598" s="3">
        <v>1.0</v>
      </c>
      <c r="H2598" s="3">
        <v>0.0</v>
      </c>
      <c r="I2598" s="3" t="s">
        <v>13</v>
      </c>
      <c r="J2598" s="3" t="s">
        <v>7642</v>
      </c>
      <c r="K2598" s="3" t="s">
        <v>1628</v>
      </c>
      <c r="L2598" s="3" t="str">
        <f>IFERROR(__xludf.DUMMYFUNCTION("GOOGLETRANSLATE(F2598,""id"",""en"")"),"Argentina match against France in the final round of the Qatar World Cup already in front of Albiceleste will exert all its strength to beat France and win the World Cup title")</f>
        <v>Argentina match against France in the final round of the Qatar World Cup already in front of Albiceleste will exert all its strength to beat France and win the World Cup title</v>
      </c>
    </row>
    <row r="2599" ht="15.75" customHeight="1">
      <c r="A2599" s="1">
        <v>2614.0</v>
      </c>
      <c r="B2599" s="3" t="s">
        <v>7643</v>
      </c>
      <c r="C2599" s="3">
        <v>0.0</v>
      </c>
      <c r="D2599" s="3">
        <v>0.0</v>
      </c>
      <c r="E2599" s="3">
        <v>0.0</v>
      </c>
      <c r="F2599" s="3" t="s">
        <v>7644</v>
      </c>
      <c r="G2599" s="3">
        <v>1.0</v>
      </c>
      <c r="H2599" s="3">
        <v>0.0</v>
      </c>
      <c r="I2599" s="3" t="s">
        <v>13</v>
      </c>
      <c r="J2599" s="3" t="s">
        <v>7645</v>
      </c>
      <c r="K2599" s="3" t="s">
        <v>75</v>
      </c>
      <c r="L2599" s="3" t="str">
        <f>IFERROR(__xludf.DUMMYFUNCTION("GOOGLETRANSLATE(F2599,""id"",""en"")"),"Final Night World Cup Green Vocalist Leaves Puncau Basel Community")</f>
        <v>Final Night World Cup Green Vocalist Leaves Puncau Basel Community</v>
      </c>
    </row>
    <row r="2600" ht="15.75" customHeight="1">
      <c r="A2600" s="1">
        <v>2615.0</v>
      </c>
      <c r="B2600" s="3" t="s">
        <v>7646</v>
      </c>
      <c r="C2600" s="3">
        <v>0.0</v>
      </c>
      <c r="D2600" s="3">
        <v>0.0</v>
      </c>
      <c r="E2600" s="3">
        <v>1.0</v>
      </c>
      <c r="F2600" s="3" t="s">
        <v>1075</v>
      </c>
      <c r="G2600" s="3">
        <v>0.75</v>
      </c>
      <c r="H2600" s="3">
        <v>0.06818181818181818</v>
      </c>
      <c r="I2600" s="3" t="s">
        <v>48</v>
      </c>
      <c r="J2600" s="3" t="s">
        <v>1076</v>
      </c>
      <c r="K2600" s="3" t="s">
        <v>50</v>
      </c>
      <c r="L2600" s="3" t="str">
        <f>IFERROR(__xludf.DUMMYFUNCTION("GOOGLETRANSLATE(F2600,""id"",""en"")"),"LIVE LIVE LIVE STREAMING Alternative Final French World Cup")</f>
        <v>LIVE LIVE LIVE STREAMING Alternative Final French World Cup</v>
      </c>
    </row>
    <row r="2601" ht="15.75" customHeight="1">
      <c r="A2601" s="1">
        <v>2616.0</v>
      </c>
      <c r="B2601" s="3" t="s">
        <v>7647</v>
      </c>
      <c r="C2601" s="3">
        <v>0.0</v>
      </c>
      <c r="D2601" s="3">
        <v>0.0</v>
      </c>
      <c r="E2601" s="3">
        <v>0.0</v>
      </c>
      <c r="F2601" s="3" t="s">
        <v>7648</v>
      </c>
      <c r="G2601" s="3">
        <v>1.0</v>
      </c>
      <c r="H2601" s="3">
        <v>0.0</v>
      </c>
      <c r="I2601" s="3" t="s">
        <v>13</v>
      </c>
      <c r="J2601" s="3" t="s">
        <v>7649</v>
      </c>
      <c r="K2601" s="3" t="s">
        <v>308</v>
      </c>
      <c r="L2601" s="3" t="str">
        <f>IFERROR(__xludf.DUMMYFUNCTION("GOOGLETRANSLATE(F2601,""id"",""en"")"),"If this is indeed the fierce final in the history of the World Cup if the most fierce world Arsenal won the cup against Hull City first")</f>
        <v>If this is indeed the fierce final in the history of the World Cup if the most fierce world Arsenal won the cup against Hull City first</v>
      </c>
    </row>
    <row r="2602" ht="15.75" customHeight="1">
      <c r="A2602" s="1">
        <v>2617.0</v>
      </c>
      <c r="B2602" s="3" t="s">
        <v>7650</v>
      </c>
      <c r="C2602" s="3">
        <v>0.0</v>
      </c>
      <c r="D2602" s="3">
        <v>0.0</v>
      </c>
      <c r="E2602" s="3">
        <v>0.0</v>
      </c>
      <c r="F2602" s="3" t="s">
        <v>7651</v>
      </c>
      <c r="G2602" s="3">
        <v>1.0</v>
      </c>
      <c r="H2602" s="3">
        <v>0.0</v>
      </c>
      <c r="I2602" s="3" t="s">
        <v>13</v>
      </c>
      <c r="J2602" s="3" t="s">
        <v>7652</v>
      </c>
      <c r="K2602" s="3" t="s">
        <v>54</v>
      </c>
      <c r="L2602" s="3" t="str">
        <f>IFERROR(__xludf.DUMMYFUNCTION("GOOGLETRANSLATE(F2602,""id"",""en"")"),"Africa where Iyeu Final World Cup")</f>
        <v>Africa where Iyeu Final World Cup</v>
      </c>
    </row>
    <row r="2603" ht="15.75" customHeight="1">
      <c r="A2603" s="1">
        <v>2618.0</v>
      </c>
      <c r="B2603" s="3" t="s">
        <v>7653</v>
      </c>
      <c r="C2603" s="3">
        <v>0.0</v>
      </c>
      <c r="D2603" s="3">
        <v>0.0</v>
      </c>
      <c r="E2603" s="3">
        <v>0.0</v>
      </c>
      <c r="F2603" s="3" t="s">
        <v>7654</v>
      </c>
      <c r="G2603" s="3">
        <v>0.75</v>
      </c>
      <c r="H2603" s="3">
        <v>0.06818181818181818</v>
      </c>
      <c r="I2603" s="3" t="s">
        <v>48</v>
      </c>
      <c r="J2603" s="3" t="s">
        <v>7655</v>
      </c>
      <c r="K2603" s="3" t="s">
        <v>437</v>
      </c>
      <c r="L2603" s="3" t="str">
        <f>IFERROR(__xludf.DUMMYFUNCTION("GOOGLETRANSLATE(F2603,""id"",""en"")"),"minutes chance of Argentina French corner kick Link live streaming Argentina France tonight WIB World Cup Final")</f>
        <v>minutes chance of Argentina French corner kick Link live streaming Argentina France tonight WIB World Cup Final</v>
      </c>
    </row>
    <row r="2604" ht="15.75" customHeight="1">
      <c r="A2604" s="1">
        <v>2619.0</v>
      </c>
      <c r="B2604" s="3" t="s">
        <v>7656</v>
      </c>
      <c r="C2604" s="3">
        <v>1.0</v>
      </c>
      <c r="D2604" s="3">
        <v>0.0</v>
      </c>
      <c r="E2604" s="3">
        <v>0.0</v>
      </c>
      <c r="F2604" s="3" t="s">
        <v>7657</v>
      </c>
      <c r="G2604" s="3">
        <v>1.0</v>
      </c>
      <c r="H2604" s="3">
        <v>0.0</v>
      </c>
      <c r="I2604" s="3" t="s">
        <v>13</v>
      </c>
      <c r="J2604" s="3" t="s">
        <v>7658</v>
      </c>
      <c r="K2604" s="3" t="s">
        <v>54</v>
      </c>
      <c r="L2604" s="3" t="str">
        <f>IFERROR(__xludf.DUMMYFUNCTION("GOOGLETRANSLATE(F2604,""id"",""en"")"),"World Cup Final Taskam Tarkam")</f>
        <v>World Cup Final Taskam Tarkam</v>
      </c>
    </row>
    <row r="2605" ht="15.75" customHeight="1">
      <c r="A2605" s="1">
        <v>2620.0</v>
      </c>
      <c r="B2605" s="3" t="s">
        <v>7659</v>
      </c>
      <c r="C2605" s="3">
        <v>2.0</v>
      </c>
      <c r="D2605" s="3">
        <v>0.0</v>
      </c>
      <c r="E2605" s="3">
        <v>0.0</v>
      </c>
      <c r="F2605" s="3" t="s">
        <v>7660</v>
      </c>
      <c r="G2605" s="3">
        <v>1.0</v>
      </c>
      <c r="H2605" s="3">
        <v>0.0</v>
      </c>
      <c r="I2605" s="3" t="s">
        <v>13</v>
      </c>
      <c r="J2605" s="3" t="s">
        <v>7661</v>
      </c>
      <c r="K2605" s="3" t="s">
        <v>54</v>
      </c>
      <c r="L2605" s="3" t="str">
        <f>IFERROR(__xludf.DUMMYFUNCTION("GOOGLETRANSLATE(F2605,""id"",""en"")"),"Argentina France Final This World Cup Final")</f>
        <v>Argentina France Final This World Cup Final</v>
      </c>
    </row>
    <row r="2606" ht="15.75" customHeight="1">
      <c r="A2606" s="1">
        <v>2621.0</v>
      </c>
      <c r="B2606" s="3" t="s">
        <v>7662</v>
      </c>
      <c r="C2606" s="3">
        <v>0.0</v>
      </c>
      <c r="D2606" s="3">
        <v>0.0</v>
      </c>
      <c r="E2606" s="3">
        <v>1.0</v>
      </c>
      <c r="F2606" s="3" t="s">
        <v>7663</v>
      </c>
      <c r="G2606" s="3">
        <v>1.0</v>
      </c>
      <c r="H2606" s="3">
        <v>0.0</v>
      </c>
      <c r="I2606" s="3" t="s">
        <v>13</v>
      </c>
      <c r="J2606" s="3" t="s">
        <v>7664</v>
      </c>
      <c r="K2606" s="3" t="s">
        <v>54</v>
      </c>
      <c r="L2606" s="3" t="str">
        <f>IFERROR(__xludf.DUMMYFUNCTION("GOOGLETRANSLATE(F2606,""id"",""en"")"),"Tutorial Stress Watching the World Cup Final")</f>
        <v>Tutorial Stress Watching the World Cup Final</v>
      </c>
    </row>
    <row r="2607" ht="15.75" customHeight="1">
      <c r="A2607" s="1">
        <v>2622.0</v>
      </c>
      <c r="B2607" s="3" t="s">
        <v>7665</v>
      </c>
      <c r="C2607" s="3">
        <v>0.0</v>
      </c>
      <c r="D2607" s="3">
        <v>0.0</v>
      </c>
      <c r="E2607" s="3">
        <v>0.0</v>
      </c>
      <c r="F2607" s="3" t="s">
        <v>7666</v>
      </c>
      <c r="G2607" s="3">
        <v>0.55</v>
      </c>
      <c r="H2607" s="3">
        <v>0.0</v>
      </c>
      <c r="I2607" s="3" t="s">
        <v>13</v>
      </c>
      <c r="J2607" s="3" t="s">
        <v>7667</v>
      </c>
      <c r="K2607" s="3" t="s">
        <v>240</v>
      </c>
      <c r="L2607" s="3" t="str">
        <f>IFERROR(__xludf.DUMMYFUNCTION("GOOGLETRANSLATE(F2607,""id"",""en"")"),"It feels like watching the World Cup final while reading the technical report aduu focus focus hahahahahahaha just get how many pages only")</f>
        <v>It feels like watching the World Cup final while reading the technical report aduu focus focus hahahahahahaha just get how many pages only</v>
      </c>
    </row>
    <row r="2608" ht="15.75" customHeight="1">
      <c r="A2608" s="1">
        <v>2623.0</v>
      </c>
      <c r="B2608" s="3" t="s">
        <v>7668</v>
      </c>
      <c r="C2608" s="3">
        <v>0.0</v>
      </c>
      <c r="D2608" s="3">
        <v>0.0</v>
      </c>
      <c r="E2608" s="3">
        <v>0.0</v>
      </c>
      <c r="F2608" s="3" t="s">
        <v>7669</v>
      </c>
      <c r="G2608" s="3">
        <v>1.0</v>
      </c>
      <c r="H2608" s="3">
        <v>0.0</v>
      </c>
      <c r="I2608" s="3" t="s">
        <v>13</v>
      </c>
      <c r="J2608" s="3" t="s">
        <v>7670</v>
      </c>
      <c r="K2608" s="3" t="s">
        <v>31</v>
      </c>
      <c r="L2608" s="3" t="str">
        <f>IFERROR(__xludf.DUMMYFUNCTION("GOOGLETRANSLATE(F2608,""id"",""en"")"),"Iki New World Cup Final")</f>
        <v>Iki New World Cup Final</v>
      </c>
    </row>
    <row r="2609" ht="15.75" customHeight="1">
      <c r="A2609" s="1">
        <v>2624.0</v>
      </c>
      <c r="B2609" s="3" t="s">
        <v>7671</v>
      </c>
      <c r="C2609" s="3">
        <v>0.0</v>
      </c>
      <c r="D2609" s="3">
        <v>0.0</v>
      </c>
      <c r="E2609" s="3">
        <v>0.0</v>
      </c>
      <c r="F2609" s="3" t="s">
        <v>7672</v>
      </c>
      <c r="G2609" s="3">
        <v>0.55</v>
      </c>
      <c r="H2609" s="3">
        <v>0.0</v>
      </c>
      <c r="I2609" s="3" t="s">
        <v>13</v>
      </c>
      <c r="J2609" s="3" t="s">
        <v>7673</v>
      </c>
      <c r="K2609" s="3" t="s">
        <v>127</v>
      </c>
      <c r="L2609" s="3" t="str">
        <f>IFERROR(__xludf.DUMMYFUNCTION("GOOGLETRANSLATE(F2609,""id"",""en"")"),"Gilak Koyok Fairy Tale Messi scored a goalkeeper Argentina victory Extra Time World Cup Final Nak Sido won")</f>
        <v>Gilak Koyok Fairy Tale Messi scored a goalkeeper Argentina victory Extra Time World Cup Final Nak Sido won</v>
      </c>
    </row>
    <row r="2610" ht="15.75" customHeight="1">
      <c r="A2610" s="1">
        <v>2625.0</v>
      </c>
      <c r="B2610" s="3" t="s">
        <v>7674</v>
      </c>
      <c r="C2610" s="3">
        <v>0.0</v>
      </c>
      <c r="D2610" s="3">
        <v>0.0</v>
      </c>
      <c r="E2610" s="3">
        <v>1.0</v>
      </c>
      <c r="F2610" s="3" t="s">
        <v>7675</v>
      </c>
      <c r="G2610" s="3">
        <v>1.0</v>
      </c>
      <c r="H2610" s="3">
        <v>0.0</v>
      </c>
      <c r="I2610" s="3" t="s">
        <v>13</v>
      </c>
      <c r="J2610" s="3" t="s">
        <v>7676</v>
      </c>
      <c r="K2610" s="3" t="s">
        <v>236</v>
      </c>
      <c r="L2610" s="3" t="str">
        <f>IFERROR(__xludf.DUMMYFUNCTION("GOOGLETRANSLATE(F2610,""id"",""en"")"),"Serbi Serbi The excitement of the Aceh World Cup Final is indeed the Bar Bar")</f>
        <v>Serbi Serbi The excitement of the Aceh World Cup Final is indeed the Bar Bar</v>
      </c>
    </row>
    <row r="2611" ht="15.75" customHeight="1">
      <c r="A2611" s="1">
        <v>2626.0</v>
      </c>
      <c r="B2611" s="3" t="s">
        <v>7677</v>
      </c>
      <c r="C2611" s="3">
        <v>1.0</v>
      </c>
      <c r="D2611" s="3">
        <v>0.0</v>
      </c>
      <c r="E2611" s="3">
        <v>1.0</v>
      </c>
      <c r="F2611" s="3" t="s">
        <v>7678</v>
      </c>
      <c r="G2611" s="3">
        <v>1.0</v>
      </c>
      <c r="H2611" s="3">
        <v>0.0</v>
      </c>
      <c r="I2611" s="3" t="s">
        <v>13</v>
      </c>
      <c r="J2611" s="3" t="s">
        <v>7679</v>
      </c>
      <c r="K2611" s="3" t="s">
        <v>75</v>
      </c>
      <c r="L2611" s="3" t="str">
        <f>IFERROR(__xludf.DUMMYFUNCTION("GOOGLETRANSLATE(F2611,""id"",""en"")"),"I think this is the most exciting world cup final I watched crazy")</f>
        <v>I think this is the most exciting world cup final I watched crazy</v>
      </c>
    </row>
    <row r="2612" ht="15.75" customHeight="1">
      <c r="A2612" s="1">
        <v>2627.0</v>
      </c>
      <c r="B2612" s="3" t="s">
        <v>7680</v>
      </c>
      <c r="C2612" s="3">
        <v>0.0</v>
      </c>
      <c r="D2612" s="3">
        <v>0.0</v>
      </c>
      <c r="E2612" s="3">
        <v>0.0</v>
      </c>
      <c r="F2612" s="3" t="s">
        <v>7681</v>
      </c>
      <c r="G2612" s="3">
        <v>1.0</v>
      </c>
      <c r="H2612" s="3">
        <v>0.0</v>
      </c>
      <c r="I2612" s="3" t="s">
        <v>13</v>
      </c>
      <c r="J2612" s="3" t="s">
        <v>7682</v>
      </c>
      <c r="K2612" s="3" t="s">
        <v>54</v>
      </c>
      <c r="L2612" s="3" t="str">
        <f>IFERROR(__xludf.DUMMYFUNCTION("GOOGLETRANSLATE(F2612,""id"",""en"")"),"Puan Supports Argentina World Cup Final")</f>
        <v>Puan Supports Argentina World Cup Final</v>
      </c>
    </row>
    <row r="2613" ht="15.75" customHeight="1">
      <c r="A2613" s="1">
        <v>2628.0</v>
      </c>
      <c r="B2613" s="3" t="s">
        <v>7683</v>
      </c>
      <c r="C2613" s="3">
        <v>0.0</v>
      </c>
      <c r="D2613" s="3">
        <v>0.0</v>
      </c>
      <c r="E2613" s="3">
        <v>1.0</v>
      </c>
      <c r="F2613" s="3" t="s">
        <v>7684</v>
      </c>
      <c r="G2613" s="3">
        <v>0.55</v>
      </c>
      <c r="H2613" s="3">
        <v>0.0</v>
      </c>
      <c r="I2613" s="3" t="s">
        <v>13</v>
      </c>
      <c r="J2613" s="3" t="s">
        <v>7685</v>
      </c>
      <c r="K2613" s="3" t="s">
        <v>348</v>
      </c>
      <c r="L2613" s="3" t="str">
        <f>IFERROR(__xludf.DUMMYFUNCTION("GOOGLETRANSLATE(F2613,""id"",""en"")"),"Messi njrittt can go back again mbappe show your strength to complain about the emotions of the Nobar Final of the Argentina France World Cup will finally be extra time or penalty")</f>
        <v>Messi njrittt can go back again mbappe show your strength to complain about the emotions of the Nobar Final of the Argentina France World Cup will finally be extra time or penalty</v>
      </c>
    </row>
    <row r="2614" ht="15.75" customHeight="1">
      <c r="A2614" s="1">
        <v>2629.0</v>
      </c>
      <c r="B2614" s="3" t="s">
        <v>7686</v>
      </c>
      <c r="C2614" s="3">
        <v>0.0</v>
      </c>
      <c r="D2614" s="3">
        <v>0.0</v>
      </c>
      <c r="E2614" s="3">
        <v>0.0</v>
      </c>
      <c r="F2614" s="3" t="s">
        <v>7687</v>
      </c>
      <c r="G2614" s="3">
        <v>1.0</v>
      </c>
      <c r="H2614" s="3">
        <v>0.0</v>
      </c>
      <c r="I2614" s="3" t="s">
        <v>13</v>
      </c>
      <c r="J2614" s="3" t="s">
        <v>7688</v>
      </c>
      <c r="K2614" s="3" t="s">
        <v>41</v>
      </c>
      <c r="L2614" s="3" t="str">
        <f>IFERROR(__xludf.DUMMYFUNCTION("GOOGLETRANSLATE(F2614,""id"",""en"")"),"Dozens of residents of Nekang degree watching together with the World Cup Final")</f>
        <v>Dozens of residents of Nekang degree watching together with the World Cup Final</v>
      </c>
    </row>
    <row r="2615" ht="15.75" customHeight="1">
      <c r="A2615" s="1">
        <v>2630.0</v>
      </c>
      <c r="B2615" s="3" t="s">
        <v>7689</v>
      </c>
      <c r="C2615" s="3">
        <v>0.0</v>
      </c>
      <c r="D2615" s="3">
        <v>0.0</v>
      </c>
      <c r="E2615" s="3">
        <v>0.0</v>
      </c>
      <c r="F2615" s="3" t="s">
        <v>7690</v>
      </c>
      <c r="G2615" s="3">
        <v>1.0</v>
      </c>
      <c r="H2615" s="3">
        <v>0.0</v>
      </c>
      <c r="I2615" s="3" t="s">
        <v>13</v>
      </c>
      <c r="J2615" s="3" t="s">
        <v>7691</v>
      </c>
      <c r="K2615" s="3" t="s">
        <v>82</v>
      </c>
      <c r="L2615" s="3" t="str">
        <f>IFERROR(__xludf.DUMMYFUNCTION("GOOGLETRANSLATE(F2615,""id"",""en"")"),"The World Cup Final was shocked ever seen after last")</f>
        <v>The World Cup Final was shocked ever seen after last</v>
      </c>
    </row>
    <row r="2616" ht="15.75" customHeight="1">
      <c r="A2616" s="1">
        <v>2631.0</v>
      </c>
      <c r="B2616" s="3" t="s">
        <v>7692</v>
      </c>
      <c r="C2616" s="3">
        <v>0.0</v>
      </c>
      <c r="D2616" s="3">
        <v>0.0</v>
      </c>
      <c r="E2616" s="3">
        <v>0.0</v>
      </c>
      <c r="F2616" s="3" t="s">
        <v>7693</v>
      </c>
      <c r="G2616" s="3">
        <v>1.0</v>
      </c>
      <c r="H2616" s="3">
        <v>0.0</v>
      </c>
      <c r="I2616" s="3" t="s">
        <v>13</v>
      </c>
      <c r="J2616" s="3" t="s">
        <v>7694</v>
      </c>
      <c r="K2616" s="3" t="s">
        <v>456</v>
      </c>
      <c r="L2616" s="3" t="str">
        <f>IFERROR(__xludf.DUMMYFUNCTION("GOOGLETRANSLATE(F2616,""id"",""en"")"),"Bhabinkamtibmas Kel Kunciran Pinang Sector Police conducted an active community monitoring in the context of watching together with the Nobar World Cup Final Football match between Argentina French which was held")</f>
        <v>Bhabinkamtibmas Kel Kunciran Pinang Sector Police conducted an active community monitoring in the context of watching together with the Nobar World Cup Final Football match between Argentina French which was held</v>
      </c>
    </row>
    <row r="2617" ht="15.75" customHeight="1">
      <c r="A2617" s="1">
        <v>2632.0</v>
      </c>
      <c r="B2617" s="3" t="s">
        <v>7695</v>
      </c>
      <c r="C2617" s="3">
        <v>1.0</v>
      </c>
      <c r="D2617" s="3">
        <v>1.0</v>
      </c>
      <c r="E2617" s="3">
        <v>2.0</v>
      </c>
      <c r="F2617" s="3" t="s">
        <v>7696</v>
      </c>
      <c r="G2617" s="3">
        <v>1.0</v>
      </c>
      <c r="H2617" s="3">
        <v>0.0</v>
      </c>
      <c r="I2617" s="3" t="s">
        <v>13</v>
      </c>
      <c r="J2617" s="3" t="s">
        <v>7697</v>
      </c>
      <c r="K2617" s="3" t="s">
        <v>31</v>
      </c>
      <c r="L2617" s="3" t="str">
        <f>IFERROR(__xludf.DUMMYFUNCTION("GOOGLETRANSLATE(F2617,""id"",""en"")"),"The World Cup Final was shouted by Woooy")</f>
        <v>The World Cup Final was shouted by Woooy</v>
      </c>
    </row>
    <row r="2618" ht="15.75" customHeight="1">
      <c r="A2618" s="1">
        <v>2633.0</v>
      </c>
      <c r="B2618" s="3" t="s">
        <v>7698</v>
      </c>
      <c r="C2618" s="3">
        <v>0.0</v>
      </c>
      <c r="D2618" s="3">
        <v>0.0</v>
      </c>
      <c r="E2618" s="3">
        <v>0.0</v>
      </c>
      <c r="F2618" s="3" t="s">
        <v>7699</v>
      </c>
      <c r="G2618" s="3">
        <v>0.7</v>
      </c>
      <c r="H2618" s="3">
        <v>0.05</v>
      </c>
      <c r="I2618" s="3" t="s">
        <v>48</v>
      </c>
      <c r="J2618" s="3" t="s">
        <v>7700</v>
      </c>
      <c r="K2618" s="3" t="s">
        <v>322</v>
      </c>
      <c r="L2618" s="3" t="str">
        <f>IFERROR(__xludf.DUMMYFUNCTION("GOOGLETRANSLATE(F2618,""id"",""en"")"),"Crazy Crazy World Cup Final Epic")</f>
        <v>Crazy Crazy World Cup Final Epic</v>
      </c>
    </row>
    <row r="2619" ht="15.75" customHeight="1">
      <c r="A2619" s="1">
        <v>2634.0</v>
      </c>
      <c r="B2619" s="3" t="s">
        <v>7701</v>
      </c>
      <c r="C2619" s="3">
        <v>0.0</v>
      </c>
      <c r="D2619" s="3">
        <v>1.0</v>
      </c>
      <c r="E2619" s="3">
        <v>3.0</v>
      </c>
      <c r="F2619" s="3" t="s">
        <v>7702</v>
      </c>
      <c r="G2619" s="3">
        <v>1.0</v>
      </c>
      <c r="H2619" s="3">
        <v>0.0</v>
      </c>
      <c r="I2619" s="3" t="s">
        <v>13</v>
      </c>
      <c r="J2619" s="3" t="s">
        <v>7703</v>
      </c>
      <c r="K2619" s="3" t="s">
        <v>484</v>
      </c>
      <c r="L2619" s="3" t="str">
        <f>IFERROR(__xludf.DUMMYFUNCTION("GOOGLETRANSLATE(F2619,""id"",""en"")"),"Messi's goal changed Argentina's position a while over France, see the French Argentine World Cup final through")</f>
        <v>Messi's goal changed Argentina's position a while over France, see the French Argentine World Cup final through</v>
      </c>
    </row>
    <row r="2620" ht="15.75" customHeight="1">
      <c r="A2620" s="1">
        <v>2635.0</v>
      </c>
      <c r="B2620" s="3" t="s">
        <v>7704</v>
      </c>
      <c r="C2620" s="3">
        <v>0.0</v>
      </c>
      <c r="D2620" s="3">
        <v>0.0</v>
      </c>
      <c r="E2620" s="3">
        <v>0.0</v>
      </c>
      <c r="F2620" s="3" t="s">
        <v>7705</v>
      </c>
      <c r="G2620" s="3">
        <v>1.0</v>
      </c>
      <c r="H2620" s="3">
        <v>0.0</v>
      </c>
      <c r="I2620" s="3" t="s">
        <v>13</v>
      </c>
      <c r="J2620" s="3" t="s">
        <v>7706</v>
      </c>
      <c r="K2620" s="3" t="s">
        <v>54</v>
      </c>
      <c r="L2620" s="3" t="str">
        <f>IFERROR(__xludf.DUMMYFUNCTION("GOOGLETRANSLATE(F2620,""id"",""en"")"),"JIIRR Final of the Most Exciting World Cup")</f>
        <v>JIIRR Final of the Most Exciting World Cup</v>
      </c>
    </row>
    <row r="2621" ht="15.75" customHeight="1">
      <c r="A2621" s="1">
        <v>2636.0</v>
      </c>
      <c r="B2621" s="3" t="s">
        <v>7707</v>
      </c>
      <c r="C2621" s="3">
        <v>0.0</v>
      </c>
      <c r="D2621" s="3">
        <v>0.0</v>
      </c>
      <c r="E2621" s="3">
        <v>0.0</v>
      </c>
      <c r="F2621" s="3" t="s">
        <v>6191</v>
      </c>
      <c r="G2621" s="3">
        <v>1.0</v>
      </c>
      <c r="H2621" s="3">
        <v>0.0</v>
      </c>
      <c r="I2621" s="3" t="s">
        <v>13</v>
      </c>
      <c r="J2621" s="3" t="s">
        <v>6192</v>
      </c>
      <c r="K2621" s="3" t="s">
        <v>31</v>
      </c>
      <c r="L2621" s="3" t="str">
        <f>IFERROR(__xludf.DUMMYFUNCTION("GOOGLETRANSLATE(F2621,""id"",""en"")"),"The Real Final World Cup")</f>
        <v>The Real Final World Cup</v>
      </c>
    </row>
    <row r="2622" ht="15.75" customHeight="1">
      <c r="A2622" s="1">
        <v>2637.0</v>
      </c>
      <c r="B2622" s="3" t="s">
        <v>7708</v>
      </c>
      <c r="C2622" s="3">
        <v>2.0</v>
      </c>
      <c r="D2622" s="3">
        <v>1.0</v>
      </c>
      <c r="E2622" s="3">
        <v>1.0</v>
      </c>
      <c r="F2622" s="3" t="s">
        <v>7708</v>
      </c>
      <c r="G2622" s="3">
        <v>1.0</v>
      </c>
      <c r="H2622" s="3">
        <v>0.0</v>
      </c>
      <c r="I2622" s="3" t="s">
        <v>13</v>
      </c>
      <c r="J2622" s="3" t="s">
        <v>7709</v>
      </c>
      <c r="K2622" s="3" t="s">
        <v>2907</v>
      </c>
      <c r="L2622" s="3" t="str">
        <f>IFERROR(__xludf.DUMMYFUNCTION("GOOGLETRANSLATE(F2622,""id"",""en"")"),"The World Cup Final is the most entertaining while I watched the World Cup until now")</f>
        <v>The World Cup Final is the most entertaining while I watched the World Cup until now</v>
      </c>
    </row>
    <row r="2623" ht="15.75" customHeight="1">
      <c r="A2623" s="1">
        <v>2638.0</v>
      </c>
      <c r="B2623" s="3" t="s">
        <v>7710</v>
      </c>
      <c r="C2623" s="3">
        <v>0.0</v>
      </c>
      <c r="D2623" s="3">
        <v>0.0</v>
      </c>
      <c r="E2623" s="3">
        <v>0.0</v>
      </c>
      <c r="F2623" s="3" t="s">
        <v>7711</v>
      </c>
      <c r="G2623" s="3">
        <v>1.0</v>
      </c>
      <c r="H2623" s="3">
        <v>0.0</v>
      </c>
      <c r="I2623" s="3" t="s">
        <v>13</v>
      </c>
      <c r="J2623" s="3" t="s">
        <v>7712</v>
      </c>
      <c r="K2623" s="3" t="s">
        <v>50</v>
      </c>
      <c r="L2623" s="3" t="str">
        <f>IFERROR(__xludf.DUMMYFUNCTION("GOOGLETRANSLATE(F2623,""id"",""en"")"),"Argentine French World Cup final results Messi scored a dramatic goal via")</f>
        <v>Argentine French World Cup final results Messi scored a dramatic goal via</v>
      </c>
    </row>
    <row r="2624" ht="15.75" customHeight="1">
      <c r="A2624" s="1">
        <v>2639.0</v>
      </c>
      <c r="B2624" s="3" t="s">
        <v>7713</v>
      </c>
      <c r="C2624" s="3">
        <v>0.0</v>
      </c>
      <c r="D2624" s="3">
        <v>0.0</v>
      </c>
      <c r="E2624" s="3">
        <v>0.0</v>
      </c>
      <c r="F2624" s="3" t="s">
        <v>7714</v>
      </c>
      <c r="G2624" s="3">
        <v>1.0</v>
      </c>
      <c r="H2624" s="3">
        <v>0.0</v>
      </c>
      <c r="I2624" s="3" t="s">
        <v>13</v>
      </c>
      <c r="J2624" s="3" t="s">
        <v>7715</v>
      </c>
      <c r="K2624" s="3" t="s">
        <v>31</v>
      </c>
      <c r="L2624" s="3" t="str">
        <f>IFERROR(__xludf.DUMMYFUNCTION("GOOGLETRANSLATE(F2624,""id"",""en"")"),"World Cup Final Messi Mbappe")</f>
        <v>World Cup Final Messi Mbappe</v>
      </c>
    </row>
    <row r="2625" ht="15.75" customHeight="1">
      <c r="A2625" s="1">
        <v>2640.0</v>
      </c>
      <c r="B2625" s="3" t="s">
        <v>7716</v>
      </c>
      <c r="C2625" s="3">
        <v>1.0</v>
      </c>
      <c r="D2625" s="3">
        <v>0.0</v>
      </c>
      <c r="E2625" s="3">
        <v>0.0</v>
      </c>
      <c r="F2625" s="3" t="s">
        <v>7717</v>
      </c>
      <c r="G2625" s="3">
        <v>1.0</v>
      </c>
      <c r="H2625" s="3">
        <v>0.0</v>
      </c>
      <c r="I2625" s="3" t="s">
        <v>13</v>
      </c>
      <c r="J2625" s="3" t="s">
        <v>7718</v>
      </c>
      <c r="K2625" s="3" t="s">
        <v>31</v>
      </c>
      <c r="L2625" s="3" t="str">
        <f>IFERROR(__xludf.DUMMYFUNCTION("GOOGLETRANSLATE(F2625,""id"",""en"")"),"Nabila Final World Cup Wen")</f>
        <v>Nabila Final World Cup Wen</v>
      </c>
    </row>
    <row r="2626" ht="15.75" customHeight="1">
      <c r="A2626" s="1">
        <v>2641.0</v>
      </c>
      <c r="B2626" s="3" t="s">
        <v>7719</v>
      </c>
      <c r="C2626" s="3">
        <v>0.0</v>
      </c>
      <c r="D2626" s="3">
        <v>0.0</v>
      </c>
      <c r="E2626" s="3">
        <v>0.0</v>
      </c>
      <c r="F2626" s="3" t="s">
        <v>7720</v>
      </c>
      <c r="G2626" s="3">
        <v>1.0</v>
      </c>
      <c r="H2626" s="3">
        <v>0.05</v>
      </c>
      <c r="I2626" s="3" t="s">
        <v>48</v>
      </c>
      <c r="J2626" s="3" t="s">
        <v>7721</v>
      </c>
      <c r="K2626" s="3" t="s">
        <v>15</v>
      </c>
      <c r="L2626" s="3" t="str">
        <f>IFERROR(__xludf.DUMMYFUNCTION("GOOGLETRANSLATE(F2626,""id"",""en"")"),"Wow Var is very important in this World Cup Final")</f>
        <v>Wow Var is very important in this World Cup Final</v>
      </c>
    </row>
    <row r="2627" ht="15.75" customHeight="1">
      <c r="A2627" s="1">
        <v>2642.0</v>
      </c>
      <c r="B2627" s="3" t="s">
        <v>7722</v>
      </c>
      <c r="C2627" s="3">
        <v>0.0</v>
      </c>
      <c r="D2627" s="3">
        <v>0.0</v>
      </c>
      <c r="E2627" s="3">
        <v>0.0</v>
      </c>
      <c r="F2627" s="3" t="s">
        <v>5854</v>
      </c>
      <c r="G2627" s="3">
        <v>1.0</v>
      </c>
      <c r="H2627" s="3">
        <v>0.0</v>
      </c>
      <c r="I2627" s="3" t="s">
        <v>13</v>
      </c>
      <c r="J2627" s="3" t="s">
        <v>916</v>
      </c>
      <c r="K2627" s="3" t="s">
        <v>54</v>
      </c>
      <c r="L2627" s="3" t="str">
        <f>IFERROR(__xludf.DUMMYFUNCTION("GOOGLETRANSLATE(F2627,""id"",""en"")"),"The Best World Cup Final ever watched")</f>
        <v>The Best World Cup Final ever watched</v>
      </c>
    </row>
    <row r="2628" ht="15.75" customHeight="1">
      <c r="A2628" s="1">
        <v>2643.0</v>
      </c>
      <c r="B2628" s="3" t="s">
        <v>7723</v>
      </c>
      <c r="C2628" s="3">
        <v>0.0</v>
      </c>
      <c r="D2628" s="3">
        <v>0.0</v>
      </c>
      <c r="E2628" s="3">
        <v>0.0</v>
      </c>
      <c r="F2628" s="3" t="s">
        <v>7724</v>
      </c>
      <c r="G2628" s="3">
        <v>0.65</v>
      </c>
      <c r="H2628" s="3">
        <v>0.5</v>
      </c>
      <c r="I2628" s="3" t="s">
        <v>48</v>
      </c>
      <c r="J2628" s="3" t="s">
        <v>7725</v>
      </c>
      <c r="K2628" s="3" t="s">
        <v>75</v>
      </c>
      <c r="L2628" s="3" t="str">
        <f>IFERROR(__xludf.DUMMYFUNCTION("GOOGLETRANSLATE(F2628,""id"",""en"")"),"This is so crazy, this is the best world cup final, the best teams")</f>
        <v>This is so crazy, this is the best world cup final, the best teams</v>
      </c>
    </row>
    <row r="2629" ht="15.75" customHeight="1">
      <c r="A2629" s="1">
        <v>2644.0</v>
      </c>
      <c r="B2629" s="3" t="s">
        <v>7726</v>
      </c>
      <c r="C2629" s="3">
        <v>0.0</v>
      </c>
      <c r="D2629" s="3">
        <v>0.0</v>
      </c>
      <c r="E2629" s="3">
        <v>0.0</v>
      </c>
      <c r="F2629" s="3" t="s">
        <v>7727</v>
      </c>
      <c r="G2629" s="3">
        <v>1.0</v>
      </c>
      <c r="H2629" s="3">
        <v>0.0</v>
      </c>
      <c r="I2629" s="3" t="s">
        <v>13</v>
      </c>
      <c r="J2629" s="3" t="s">
        <v>7728</v>
      </c>
      <c r="K2629" s="3" t="s">
        <v>75</v>
      </c>
      <c r="L2629" s="3" t="str">
        <f>IFERROR(__xludf.DUMMYFUNCTION("GOOGLETRANSLATE(F2629,""id"",""en"")"),"see the World Cup Final Rasane Koyok Ndelok Former proposed by ABRI")</f>
        <v>see the World Cup Final Rasane Koyok Ndelok Former proposed by ABRI</v>
      </c>
    </row>
    <row r="2630" ht="15.75" customHeight="1">
      <c r="A2630" s="1">
        <v>2645.0</v>
      </c>
      <c r="B2630" s="3" t="s">
        <v>7729</v>
      </c>
      <c r="C2630" s="3">
        <v>0.0</v>
      </c>
      <c r="D2630" s="3">
        <v>0.0</v>
      </c>
      <c r="E2630" s="3">
        <v>0.0</v>
      </c>
      <c r="F2630" s="3" t="s">
        <v>7730</v>
      </c>
      <c r="G2630" s="3">
        <v>1.0</v>
      </c>
      <c r="H2630" s="3">
        <v>0.0</v>
      </c>
      <c r="I2630" s="3" t="s">
        <v>13</v>
      </c>
      <c r="J2630" s="3" t="s">
        <v>7731</v>
      </c>
      <c r="K2630" s="3" t="s">
        <v>31</v>
      </c>
      <c r="L2630" s="3" t="str">
        <f>IFERROR(__xludf.DUMMYFUNCTION("GOOGLETRANSLATE(F2630,""id"",""en"")"),"Var is not useful for the World Cup Final")</f>
        <v>Var is not useful for the World Cup Final</v>
      </c>
    </row>
    <row r="2631" ht="15.75" customHeight="1">
      <c r="A2631" s="1">
        <v>2646.0</v>
      </c>
      <c r="B2631" s="3" t="s">
        <v>7732</v>
      </c>
      <c r="C2631" s="3">
        <v>0.0</v>
      </c>
      <c r="D2631" s="3">
        <v>0.0</v>
      </c>
      <c r="E2631" s="3">
        <v>0.0</v>
      </c>
      <c r="F2631" s="3" t="s">
        <v>7733</v>
      </c>
      <c r="G2631" s="3">
        <v>1.0</v>
      </c>
      <c r="H2631" s="3">
        <v>0.0</v>
      </c>
      <c r="I2631" s="3" t="s">
        <v>13</v>
      </c>
      <c r="J2631" s="3" t="s">
        <v>7734</v>
      </c>
      <c r="K2631" s="3" t="s">
        <v>15</v>
      </c>
      <c r="L2631" s="3" t="str">
        <f>IFERROR(__xludf.DUMMYFUNCTION("GOOGLETRANSLATE(F2631,""id"",""en"")"),"During watching the final of the World Cup my soul was really shaken")</f>
        <v>During watching the final of the World Cup my soul was really shaken</v>
      </c>
    </row>
    <row r="2632" ht="15.75" customHeight="1">
      <c r="A2632" s="1">
        <v>2647.0</v>
      </c>
      <c r="B2632" s="3" t="s">
        <v>7735</v>
      </c>
      <c r="C2632" s="3">
        <v>1.0</v>
      </c>
      <c r="D2632" s="3">
        <v>0.0</v>
      </c>
      <c r="E2632" s="3">
        <v>0.0</v>
      </c>
      <c r="F2632" s="3" t="s">
        <v>7736</v>
      </c>
      <c r="G2632" s="3">
        <v>1.0</v>
      </c>
      <c r="H2632" s="3">
        <v>0.0</v>
      </c>
      <c r="I2632" s="3" t="s">
        <v>13</v>
      </c>
      <c r="J2632" s="3" t="s">
        <v>7737</v>
      </c>
      <c r="K2632" s="3" t="s">
        <v>644</v>
      </c>
      <c r="L2632" s="3" t="str">
        <f>IFERROR(__xludf.DUMMYFUNCTION("GOOGLETRANSLATE(F2632,""id"",""en"")"),"Terrame World Cup Final")</f>
        <v>Terrame World Cup Final</v>
      </c>
    </row>
    <row r="2633" ht="15.75" customHeight="1">
      <c r="A2633" s="1">
        <v>2648.0</v>
      </c>
      <c r="B2633" s="3" t="s">
        <v>7738</v>
      </c>
      <c r="C2633" s="3">
        <v>0.0</v>
      </c>
      <c r="D2633" s="3">
        <v>0.0</v>
      </c>
      <c r="E2633" s="3">
        <v>0.0</v>
      </c>
      <c r="F2633" s="3" t="s">
        <v>7739</v>
      </c>
      <c r="G2633" s="3">
        <v>1.0</v>
      </c>
      <c r="H2633" s="3">
        <v>0.0</v>
      </c>
      <c r="I2633" s="3" t="s">
        <v>13</v>
      </c>
      <c r="J2633" s="3" t="s">
        <v>7740</v>
      </c>
      <c r="K2633" s="3" t="s">
        <v>82</v>
      </c>
      <c r="L2633" s="3" t="str">
        <f>IFERROR(__xludf.DUMMYFUNCTION("GOOGLETRANSLATE(F2633,""id"",""en"")"),"Njir Heart Gymnastics Watch World Cup Final")</f>
        <v>Njir Heart Gymnastics Watch World Cup Final</v>
      </c>
    </row>
    <row r="2634" ht="15.75" customHeight="1">
      <c r="A2634" s="1">
        <v>2649.0</v>
      </c>
      <c r="B2634" s="3" t="s">
        <v>7741</v>
      </c>
      <c r="C2634" s="3">
        <v>0.0</v>
      </c>
      <c r="D2634" s="3">
        <v>0.0</v>
      </c>
      <c r="E2634" s="3">
        <v>0.0</v>
      </c>
      <c r="F2634" s="3" t="s">
        <v>7742</v>
      </c>
      <c r="G2634" s="3">
        <v>1.0</v>
      </c>
      <c r="H2634" s="3">
        <v>0.0</v>
      </c>
      <c r="I2634" s="3" t="s">
        <v>13</v>
      </c>
      <c r="J2634" s="3" t="s">
        <v>7743</v>
      </c>
      <c r="K2634" s="3" t="s">
        <v>58</v>
      </c>
      <c r="L2634" s="3" t="str">
        <f>IFERROR(__xludf.DUMMYFUNCTION("GOOGLETRANSLATE(F2634,""id"",""en"")"),"This is really the final of the World Cup SIK Kacoooooooo, really given up to the end of the bloodst blood")</f>
        <v>This is really the final of the World Cup SIK Kacoooooooo, really given up to the end of the bloodst blood</v>
      </c>
    </row>
    <row r="2635" ht="15.75" customHeight="1">
      <c r="A2635" s="1">
        <v>2650.0</v>
      </c>
      <c r="B2635" s="3" t="s">
        <v>7744</v>
      </c>
      <c r="C2635" s="3">
        <v>0.0</v>
      </c>
      <c r="D2635" s="3">
        <v>0.0</v>
      </c>
      <c r="E2635" s="3">
        <v>0.0</v>
      </c>
      <c r="F2635" s="3" t="s">
        <v>7745</v>
      </c>
      <c r="G2635" s="3">
        <v>1.0</v>
      </c>
      <c r="H2635" s="3">
        <v>0.0</v>
      </c>
      <c r="I2635" s="3" t="s">
        <v>13</v>
      </c>
      <c r="J2635" s="3" t="s">
        <v>7746</v>
      </c>
      <c r="K2635" s="3" t="s">
        <v>75</v>
      </c>
      <c r="L2635" s="3" t="str">
        <f>IFERROR(__xludf.DUMMYFUNCTION("GOOGLETRANSLATE(F2635,""id"",""en"")"),"This is the first time watching the World Cup final is the most exciting setting")</f>
        <v>This is the first time watching the World Cup final is the most exciting setting</v>
      </c>
    </row>
    <row r="2636" ht="15.75" customHeight="1">
      <c r="A2636" s="1">
        <v>2651.0</v>
      </c>
      <c r="B2636" s="3" t="s">
        <v>7747</v>
      </c>
      <c r="C2636" s="3">
        <v>0.0</v>
      </c>
      <c r="D2636" s="3">
        <v>0.0</v>
      </c>
      <c r="E2636" s="3">
        <v>0.0</v>
      </c>
      <c r="F2636" s="3" t="s">
        <v>7748</v>
      </c>
      <c r="G2636" s="3">
        <v>1.0</v>
      </c>
      <c r="H2636" s="3">
        <v>0.0</v>
      </c>
      <c r="I2636" s="3" t="s">
        <v>13</v>
      </c>
      <c r="J2636" s="3" t="s">
        <v>7749</v>
      </c>
      <c r="K2636" s="3" t="s">
        <v>41</v>
      </c>
      <c r="L2636" s="3" t="str">
        <f>IFERROR(__xludf.DUMMYFUNCTION("GOOGLETRANSLATE(F2636,""id"",""en"")"),"Goal Argentina France Link Streaming Final World Cup Final")</f>
        <v>Goal Argentina France Link Streaming Final World Cup Final</v>
      </c>
    </row>
    <row r="2637" ht="15.75" customHeight="1">
      <c r="A2637" s="1">
        <v>2652.0</v>
      </c>
      <c r="B2637" s="3" t="s">
        <v>7750</v>
      </c>
      <c r="C2637" s="3">
        <v>0.0</v>
      </c>
      <c r="D2637" s="3">
        <v>0.0</v>
      </c>
      <c r="E2637" s="3">
        <v>0.0</v>
      </c>
      <c r="F2637" s="3" t="s">
        <v>7751</v>
      </c>
      <c r="G2637" s="3">
        <v>1.0</v>
      </c>
      <c r="H2637" s="3">
        <v>0.0</v>
      </c>
      <c r="I2637" s="3" t="s">
        <v>13</v>
      </c>
      <c r="J2637" s="3" t="s">
        <v>7752</v>
      </c>
      <c r="K2637" s="3" t="s">
        <v>31</v>
      </c>
      <c r="L2637" s="3" t="str">
        <f>IFERROR(__xludf.DUMMYFUNCTION("GOOGLETRANSLATE(F2637,""id"",""en"")"),"Njirrrr World Cup Final Suringed")</f>
        <v>Njirrrr World Cup Final Suringed</v>
      </c>
    </row>
    <row r="2638" ht="15.75" customHeight="1">
      <c r="A2638" s="1">
        <v>2653.0</v>
      </c>
      <c r="B2638" s="3" t="s">
        <v>7753</v>
      </c>
      <c r="C2638" s="3">
        <v>0.0</v>
      </c>
      <c r="D2638" s="3">
        <v>0.0</v>
      </c>
      <c r="E2638" s="3">
        <v>0.0</v>
      </c>
      <c r="F2638" s="3" t="s">
        <v>7754</v>
      </c>
      <c r="G2638" s="3">
        <v>1.0</v>
      </c>
      <c r="H2638" s="3">
        <v>0.0</v>
      </c>
      <c r="I2638" s="3" t="s">
        <v>13</v>
      </c>
      <c r="J2638" s="3" t="s">
        <v>7755</v>
      </c>
      <c r="K2638" s="3" t="s">
        <v>1293</v>
      </c>
      <c r="L2638" s="3" t="str">
        <f>IFERROR(__xludf.DUMMYFUNCTION("GOOGLETRANSLATE(F2638,""id"",""en"")"),"So I want my sodara about UTS doi told to catetin the World Cup Score was told to predict who would qualify for the final")</f>
        <v>So I want my sodara about UTS doi told to catetin the World Cup Score was told to predict who would qualify for the final</v>
      </c>
    </row>
    <row r="2639" ht="15.75" customHeight="1">
      <c r="A2639" s="1">
        <v>2654.0</v>
      </c>
      <c r="B2639" s="3" t="s">
        <v>7756</v>
      </c>
      <c r="C2639" s="3">
        <v>0.0</v>
      </c>
      <c r="D2639" s="3">
        <v>0.0</v>
      </c>
      <c r="E2639" s="3">
        <v>1.0</v>
      </c>
      <c r="F2639" s="3" t="s">
        <v>7757</v>
      </c>
      <c r="G2639" s="3">
        <v>1.0</v>
      </c>
      <c r="H2639" s="3">
        <v>0.0</v>
      </c>
      <c r="I2639" s="3" t="s">
        <v>13</v>
      </c>
      <c r="J2639" s="3" t="s">
        <v>7758</v>
      </c>
      <c r="K2639" s="3" t="s">
        <v>1824</v>
      </c>
      <c r="L2639" s="3" t="str">
        <f>IFERROR(__xludf.DUMMYFUNCTION("GOOGLETRANSLATE(F2639,""id"",""en"")"),"Ipda Rifto Kristiono Kanit Pinang Sector Police conducted an active community monitoring in the context of watching together with the Nobar World Cup Final Football match between Argentina French which was held")</f>
        <v>Ipda Rifto Kristiono Kanit Pinang Sector Police conducted an active community monitoring in the context of watching together with the Nobar World Cup Final Football match between Argentina French which was held</v>
      </c>
    </row>
    <row r="2640" ht="15.75" customHeight="1">
      <c r="A2640" s="1">
        <v>2655.0</v>
      </c>
      <c r="B2640" s="3" t="s">
        <v>7759</v>
      </c>
      <c r="C2640" s="3">
        <v>0.0</v>
      </c>
      <c r="D2640" s="3">
        <v>0.0</v>
      </c>
      <c r="E2640" s="3">
        <v>0.0</v>
      </c>
      <c r="F2640" s="3" t="s">
        <v>7760</v>
      </c>
      <c r="G2640" s="3">
        <v>1.0</v>
      </c>
      <c r="H2640" s="3">
        <v>0.0</v>
      </c>
      <c r="I2640" s="3" t="s">
        <v>13</v>
      </c>
      <c r="J2640" s="3" t="s">
        <v>7761</v>
      </c>
      <c r="K2640" s="3" t="s">
        <v>54</v>
      </c>
      <c r="L2640" s="3" t="str">
        <f>IFERROR(__xludf.DUMMYFUNCTION("GOOGLETRANSLATE(F2640,""id"",""en"")"),"Argentina French goal of the World Cup Final")</f>
        <v>Argentina French goal of the World Cup Final</v>
      </c>
    </row>
    <row r="2641" ht="15.75" customHeight="1">
      <c r="A2641" s="1">
        <v>2656.0</v>
      </c>
      <c r="B2641" s="3" t="s">
        <v>7762</v>
      </c>
      <c r="C2641" s="3">
        <v>0.0</v>
      </c>
      <c r="D2641" s="3">
        <v>0.0</v>
      </c>
      <c r="E2641" s="3">
        <v>0.0</v>
      </c>
      <c r="F2641" s="3" t="s">
        <v>7763</v>
      </c>
      <c r="G2641" s="3">
        <v>1.0</v>
      </c>
      <c r="H2641" s="3">
        <v>0.0</v>
      </c>
      <c r="I2641" s="3" t="s">
        <v>13</v>
      </c>
      <c r="J2641" s="3" t="s">
        <v>7764</v>
      </c>
      <c r="K2641" s="3" t="s">
        <v>54</v>
      </c>
      <c r="L2641" s="3" t="str">
        <f>IFERROR(__xludf.DUMMYFUNCTION("GOOGLETRANSLATE(F2641,""id"",""en"")"),"hahhh this world cup final stresssss")</f>
        <v>hahhh this world cup final stresssss</v>
      </c>
    </row>
    <row r="2642" ht="15.75" customHeight="1">
      <c r="A2642" s="1">
        <v>2657.0</v>
      </c>
      <c r="B2642" s="3" t="s">
        <v>7765</v>
      </c>
      <c r="C2642" s="3">
        <v>0.0</v>
      </c>
      <c r="D2642" s="3">
        <v>0.0</v>
      </c>
      <c r="E2642" s="3">
        <v>0.0</v>
      </c>
      <c r="F2642" s="3" t="s">
        <v>7766</v>
      </c>
      <c r="G2642" s="3">
        <v>1.0</v>
      </c>
      <c r="H2642" s="3">
        <v>0.0</v>
      </c>
      <c r="I2642" s="3" t="s">
        <v>13</v>
      </c>
      <c r="J2642" s="3" t="s">
        <v>7767</v>
      </c>
      <c r="K2642" s="3" t="s">
        <v>41</v>
      </c>
      <c r="L2642" s="3" t="str">
        <f>IFERROR(__xludf.DUMMYFUNCTION("GOOGLETRANSLATE(F2642,""id"",""en"")"),"French President Watch Qatar World Cup Final Victory News")</f>
        <v>French President Watch Qatar World Cup Final Victory News</v>
      </c>
    </row>
    <row r="2643" ht="15.75" customHeight="1">
      <c r="A2643" s="1">
        <v>2658.0</v>
      </c>
      <c r="B2643" s="3" t="s">
        <v>7768</v>
      </c>
      <c r="C2643" s="3">
        <v>0.0</v>
      </c>
      <c r="D2643" s="3">
        <v>0.0</v>
      </c>
      <c r="E2643" s="3">
        <v>0.0</v>
      </c>
      <c r="F2643" s="3" t="s">
        <v>7769</v>
      </c>
      <c r="G2643" s="3">
        <v>0.75</v>
      </c>
      <c r="H2643" s="3">
        <v>0.06818181818181818</v>
      </c>
      <c r="I2643" s="3" t="s">
        <v>48</v>
      </c>
      <c r="J2643" s="3" t="s">
        <v>7770</v>
      </c>
      <c r="K2643" s="3" t="s">
        <v>437</v>
      </c>
      <c r="L2643" s="3" t="str">
        <f>IFERROR(__xludf.DUMMYFUNCTION("GOOGLETRANSLATE(F2643,""id"",""en"")"),"GOOHOLL GGOOL Lionel Messi Argentina France Link Link Live Streaming Argentina France tonight WIB World Cup Final")</f>
        <v>GOOHOLL GGOOL Lionel Messi Argentina France Link Link Live Streaming Argentina France tonight WIB World Cup Final</v>
      </c>
    </row>
    <row r="2644" ht="15.75" customHeight="1">
      <c r="A2644" s="1">
        <v>2660.0</v>
      </c>
      <c r="B2644" s="3" t="s">
        <v>7771</v>
      </c>
      <c r="C2644" s="3">
        <v>0.0</v>
      </c>
      <c r="D2644" s="3">
        <v>0.0</v>
      </c>
      <c r="E2644" s="3">
        <v>0.0</v>
      </c>
      <c r="F2644" s="3" t="s">
        <v>7772</v>
      </c>
      <c r="G2644" s="3">
        <v>0.75</v>
      </c>
      <c r="H2644" s="3">
        <v>0.06818181818181818</v>
      </c>
      <c r="I2644" s="3" t="s">
        <v>48</v>
      </c>
      <c r="J2644" s="3" t="s">
        <v>7773</v>
      </c>
      <c r="K2644" s="3" t="s">
        <v>491</v>
      </c>
      <c r="L2644" s="3" t="str">
        <f>IFERROR(__xludf.DUMMYFUNCTION("GOOGLETRANSLATE(F2644,""id"",""en"")"),"goooollllll goooollllll lionel messi argentina french link live streaming of Argentina French tonight WIB World Cup Final")</f>
        <v>goooollllll goooollllll lionel messi argentina french link live streaming of Argentina French tonight WIB World Cup Final</v>
      </c>
    </row>
    <row r="2645" ht="15.75" customHeight="1">
      <c r="A2645" s="1">
        <v>2661.0</v>
      </c>
      <c r="B2645" s="3" t="s">
        <v>7774</v>
      </c>
      <c r="C2645" s="3">
        <v>0.0</v>
      </c>
      <c r="D2645" s="3">
        <v>0.0</v>
      </c>
      <c r="E2645" s="3">
        <v>1.0</v>
      </c>
      <c r="F2645" s="3" t="s">
        <v>7775</v>
      </c>
      <c r="G2645" s="3">
        <v>1.0</v>
      </c>
      <c r="H2645" s="3">
        <v>0.0</v>
      </c>
      <c r="I2645" s="3" t="s">
        <v>13</v>
      </c>
      <c r="J2645" s="3" t="s">
        <v>7776</v>
      </c>
      <c r="K2645" s="3" t="s">
        <v>1479</v>
      </c>
      <c r="L2645" s="3" t="str">
        <f>IFERROR(__xludf.DUMMYFUNCTION("GOOGLETRANSLATE(F2645,""id"",""en"")"),"French World Cup Messi Argentina Ramein Dong the World Cup Final Don't Miss Just Miss Ramein")</f>
        <v>French World Cup Messi Argentina Ramein Dong the World Cup Final Don't Miss Just Miss Ramein</v>
      </c>
    </row>
    <row r="2646" ht="15.75" customHeight="1">
      <c r="A2646" s="1">
        <v>2662.0</v>
      </c>
      <c r="B2646" s="3" t="s">
        <v>7777</v>
      </c>
      <c r="C2646" s="3">
        <v>0.0</v>
      </c>
      <c r="D2646" s="3">
        <v>0.0</v>
      </c>
      <c r="E2646" s="3">
        <v>0.0</v>
      </c>
      <c r="F2646" s="3" t="s">
        <v>7778</v>
      </c>
      <c r="G2646" s="3">
        <v>1.0</v>
      </c>
      <c r="H2646" s="3">
        <v>0.0</v>
      </c>
      <c r="I2646" s="3" t="s">
        <v>13</v>
      </c>
      <c r="J2646" s="3" t="s">
        <v>7779</v>
      </c>
      <c r="K2646" s="3" t="s">
        <v>75</v>
      </c>
      <c r="L2646" s="3" t="str">
        <f>IFERROR(__xludf.DUMMYFUNCTION("GOOGLETRANSLATE(F2646,""id"",""en"")"),"Come on tomorrow the permission of the reason because after staying up late watching the World Cup final")</f>
        <v>Come on tomorrow the permission of the reason because after staying up late watching the World Cup final</v>
      </c>
    </row>
    <row r="2647" ht="15.75" customHeight="1">
      <c r="A2647" s="1">
        <v>2663.0</v>
      </c>
      <c r="B2647" s="3" t="s">
        <v>7780</v>
      </c>
      <c r="C2647" s="3">
        <v>0.0</v>
      </c>
      <c r="D2647" s="3">
        <v>0.0</v>
      </c>
      <c r="E2647" s="3">
        <v>8.0</v>
      </c>
      <c r="F2647" s="3" t="s">
        <v>7781</v>
      </c>
      <c r="G2647" s="3">
        <v>1.0</v>
      </c>
      <c r="H2647" s="3">
        <v>0.0</v>
      </c>
      <c r="I2647" s="3" t="s">
        <v>13</v>
      </c>
      <c r="J2647" s="3" t="s">
        <v>7782</v>
      </c>
      <c r="K2647" s="3" t="s">
        <v>75</v>
      </c>
      <c r="L2647" s="3" t="str">
        <f>IFERROR(__xludf.DUMMYFUNCTION("GOOGLETRANSLATE(F2647,""id"",""en"")"),"The World Cup Final audience bursts Qatar Closing the Main Station Jam")</f>
        <v>The World Cup Final audience bursts Qatar Closing the Main Station Jam</v>
      </c>
    </row>
    <row r="2648" ht="15.75" customHeight="1">
      <c r="A2648" s="1">
        <v>2664.0</v>
      </c>
      <c r="B2648" s="3" t="s">
        <v>7783</v>
      </c>
      <c r="C2648" s="3">
        <v>0.0</v>
      </c>
      <c r="D2648" s="3">
        <v>0.0</v>
      </c>
      <c r="E2648" s="3">
        <v>0.0</v>
      </c>
      <c r="F2648" s="3" t="s">
        <v>7784</v>
      </c>
      <c r="G2648" s="3">
        <v>1.0</v>
      </c>
      <c r="H2648" s="3">
        <v>0.0</v>
      </c>
      <c r="I2648" s="3" t="s">
        <v>13</v>
      </c>
      <c r="J2648" s="3" t="s">
        <v>7785</v>
      </c>
      <c r="K2648" s="3" t="s">
        <v>41</v>
      </c>
      <c r="L2648" s="3" t="str">
        <f>IFERROR(__xludf.DUMMYFUNCTION("GOOGLETRANSLATE(F2648,""id"",""en"")"),"Nobar Final World Cup Nasir Djamil Share Door Prize")</f>
        <v>Nobar Final World Cup Nasir Djamil Share Door Prize</v>
      </c>
    </row>
    <row r="2649" ht="15.75" customHeight="1">
      <c r="A2649" s="1">
        <v>2665.0</v>
      </c>
      <c r="B2649" s="3" t="s">
        <v>7786</v>
      </c>
      <c r="C2649" s="3">
        <v>0.0</v>
      </c>
      <c r="D2649" s="3">
        <v>0.0</v>
      </c>
      <c r="E2649" s="3">
        <v>0.0</v>
      </c>
      <c r="F2649" s="3" t="s">
        <v>7787</v>
      </c>
      <c r="G2649" s="3">
        <v>1.0</v>
      </c>
      <c r="H2649" s="3">
        <v>0.0</v>
      </c>
      <c r="I2649" s="3" t="s">
        <v>13</v>
      </c>
      <c r="J2649" s="3" t="s">
        <v>7788</v>
      </c>
      <c r="K2649" s="3" t="s">
        <v>2215</v>
      </c>
      <c r="L2649" s="3" t="str">
        <f>IFERROR(__xludf.DUMMYFUNCTION("GOOGLETRANSLATE(F2649,""id"",""en"")"),"Nobar Final World Cup three with father and sister exciting father's emotional team calm down when")</f>
        <v>Nobar Final World Cup three with father and sister exciting father's emotional team calm down when</v>
      </c>
    </row>
    <row r="2650" ht="15.75" customHeight="1">
      <c r="A2650" s="1">
        <v>2666.0</v>
      </c>
      <c r="B2650" s="3" t="s">
        <v>7789</v>
      </c>
      <c r="C2650" s="3">
        <v>0.0</v>
      </c>
      <c r="D2650" s="3">
        <v>0.0</v>
      </c>
      <c r="E2650" s="3">
        <v>0.0</v>
      </c>
      <c r="F2650" s="3" t="s">
        <v>7790</v>
      </c>
      <c r="G2650" s="3">
        <v>0.5333333333333333</v>
      </c>
      <c r="H2650" s="3">
        <v>0.04545454545454545</v>
      </c>
      <c r="I2650" s="3" t="s">
        <v>48</v>
      </c>
      <c r="J2650" s="3" t="s">
        <v>7791</v>
      </c>
      <c r="K2650" s="3" t="s">
        <v>510</v>
      </c>
      <c r="L2650" s="3" t="str">
        <f>IFERROR(__xludf.DUMMYFUNCTION("GOOGLETRANSLATE(F2650,""id"",""en"")"),"Extra Time Live Streaming of the French French World Cup Final Kylian Mbappe Equal Score")</f>
        <v>Extra Time Live Streaming of the French French World Cup Final Kylian Mbappe Equal Score</v>
      </c>
    </row>
    <row r="2651" ht="15.75" customHeight="1">
      <c r="A2651" s="1">
        <v>2667.0</v>
      </c>
      <c r="B2651" s="3" t="s">
        <v>7792</v>
      </c>
      <c r="C2651" s="3">
        <v>0.0</v>
      </c>
      <c r="D2651" s="3">
        <v>0.0</v>
      </c>
      <c r="E2651" s="3">
        <v>0.0</v>
      </c>
      <c r="F2651" s="3" t="s">
        <v>7793</v>
      </c>
      <c r="G2651" s="3">
        <v>1.0</v>
      </c>
      <c r="H2651" s="3">
        <v>0.0</v>
      </c>
      <c r="I2651" s="3" t="s">
        <v>13</v>
      </c>
      <c r="J2651" s="3" t="s">
        <v>7794</v>
      </c>
      <c r="K2651" s="3" t="s">
        <v>75</v>
      </c>
      <c r="L2651" s="3" t="str">
        <f>IFERROR(__xludf.DUMMYFUNCTION("GOOGLETRANSLATE(F2651,""id"",""en"")"),"according to the child born Argentina France is the best world cup final Ediso")</f>
        <v>according to the child born Argentina France is the best world cup final Ediso</v>
      </c>
    </row>
    <row r="2652" ht="15.75" customHeight="1">
      <c r="A2652" s="1">
        <v>2668.0</v>
      </c>
      <c r="B2652" s="3" t="s">
        <v>7795</v>
      </c>
      <c r="C2652" s="3">
        <v>0.0</v>
      </c>
      <c r="D2652" s="3">
        <v>0.0</v>
      </c>
      <c r="E2652" s="3">
        <v>0.0</v>
      </c>
      <c r="F2652" s="3" t="s">
        <v>7796</v>
      </c>
      <c r="G2652" s="3">
        <v>1.0</v>
      </c>
      <c r="H2652" s="3">
        <v>0.0</v>
      </c>
      <c r="I2652" s="3" t="s">
        <v>13</v>
      </c>
      <c r="J2652" s="3" t="s">
        <v>7797</v>
      </c>
      <c r="K2652" s="3" t="s">
        <v>510</v>
      </c>
      <c r="L2652" s="3" t="str">
        <f>IFERROR(__xludf.DUMMYFUNCTION("GOOGLETRANSLATE(F2652,""id"",""en"")"),"The fierce of the Argentina French World Cup final was enough to make the audience tense")</f>
        <v>The fierce of the Argentina French World Cup final was enough to make the audience tense</v>
      </c>
    </row>
    <row r="2653" ht="15.75" customHeight="1">
      <c r="A2653" s="1">
        <v>2669.0</v>
      </c>
      <c r="B2653" s="3" t="s">
        <v>7798</v>
      </c>
      <c r="C2653" s="3">
        <v>1.0</v>
      </c>
      <c r="D2653" s="3">
        <v>0.0</v>
      </c>
      <c r="E2653" s="3">
        <v>0.0</v>
      </c>
      <c r="F2653" s="3" t="s">
        <v>7799</v>
      </c>
      <c r="G2653" s="3">
        <v>1.0</v>
      </c>
      <c r="H2653" s="3">
        <v>0.0</v>
      </c>
      <c r="I2653" s="3" t="s">
        <v>13</v>
      </c>
      <c r="J2653" s="3" t="s">
        <v>7800</v>
      </c>
      <c r="K2653" s="3" t="s">
        <v>50</v>
      </c>
      <c r="L2653" s="3" t="str">
        <f>IFERROR(__xludf.DUMMYFUNCTION("GOOGLETRANSLATE(F2653,""id"",""en"")"),"Here tomorrow, cooperation with college schools will definitely help because after watching the World Cup final")</f>
        <v>Here tomorrow, cooperation with college schools will definitely help because after watching the World Cup final</v>
      </c>
    </row>
    <row r="2654" ht="15.75" customHeight="1">
      <c r="A2654" s="1">
        <v>2670.0</v>
      </c>
      <c r="B2654" s="3" t="s">
        <v>7801</v>
      </c>
      <c r="C2654" s="3">
        <v>0.0</v>
      </c>
      <c r="D2654" s="3">
        <v>0.0</v>
      </c>
      <c r="E2654" s="3">
        <v>0.0</v>
      </c>
      <c r="F2654" s="3" t="s">
        <v>7802</v>
      </c>
      <c r="G2654" s="3">
        <v>1.0</v>
      </c>
      <c r="H2654" s="3">
        <v>0.0</v>
      </c>
      <c r="I2654" s="3" t="s">
        <v>13</v>
      </c>
      <c r="J2654" s="3" t="s">
        <v>7803</v>
      </c>
      <c r="K2654" s="3" t="s">
        <v>75</v>
      </c>
      <c r="L2654" s="3" t="str">
        <f>IFERROR(__xludf.DUMMYFUNCTION("GOOGLETRANSLATE(F2654,""id"",""en"")"),"Who is the Champion of the French French French French free streaming link streaming")</f>
        <v>Who is the Champion of the French French French French free streaming link streaming</v>
      </c>
    </row>
    <row r="2655" ht="15.75" customHeight="1">
      <c r="A2655" s="1">
        <v>2671.0</v>
      </c>
      <c r="B2655" s="3" t="s">
        <v>7804</v>
      </c>
      <c r="C2655" s="3">
        <v>0.0</v>
      </c>
      <c r="D2655" s="3">
        <v>0.0</v>
      </c>
      <c r="E2655" s="3">
        <v>0.0</v>
      </c>
      <c r="F2655" s="3" t="s">
        <v>7805</v>
      </c>
      <c r="G2655" s="3">
        <v>0.625</v>
      </c>
      <c r="H2655" s="3">
        <v>0.1022727272727273</v>
      </c>
      <c r="I2655" s="3" t="s">
        <v>48</v>
      </c>
      <c r="J2655" s="3" t="s">
        <v>7806</v>
      </c>
      <c r="K2655" s="3" t="s">
        <v>358</v>
      </c>
      <c r="L2655" s="3" t="str">
        <f>IFERROR(__xludf.DUMMYFUNCTION("GOOGLETRANSLATE(F2655,""id"",""en"")"),"Live Stream Argentina France France France FIFA World Cup Final Watching Live Streaming World Cup Live Score Mbappe Round")</f>
        <v>Live Stream Argentina France France France FIFA World Cup Final Watching Live Streaming World Cup Live Score Mbappe Round</v>
      </c>
    </row>
    <row r="2656" ht="15.75" customHeight="1">
      <c r="A2656" s="1">
        <v>2672.0</v>
      </c>
      <c r="B2656" s="3" t="s">
        <v>7807</v>
      </c>
      <c r="C2656" s="3">
        <v>0.0</v>
      </c>
      <c r="D2656" s="3">
        <v>0.0</v>
      </c>
      <c r="E2656" s="3">
        <v>0.0</v>
      </c>
      <c r="F2656" s="3" t="s">
        <v>7808</v>
      </c>
      <c r="G2656" s="3">
        <v>1.0</v>
      </c>
      <c r="H2656" s="3">
        <v>0.0</v>
      </c>
      <c r="I2656" s="3" t="s">
        <v>13</v>
      </c>
      <c r="J2656" s="3" t="s">
        <v>7809</v>
      </c>
      <c r="K2656" s="3" t="s">
        <v>41</v>
      </c>
      <c r="L2656" s="3" t="str">
        <f>IFERROR(__xludf.DUMMYFUNCTION("GOOGLETRANSLATE(F2656,""id"",""en"")"),"Direct Link Play French Final Final Final Cup")</f>
        <v>Direct Link Play French Final Final Final Cup</v>
      </c>
    </row>
    <row r="2657" ht="15.75" customHeight="1">
      <c r="A2657" s="1">
        <v>2673.0</v>
      </c>
      <c r="B2657" s="3" t="s">
        <v>7810</v>
      </c>
      <c r="C2657" s="3">
        <v>0.0</v>
      </c>
      <c r="D2657" s="3">
        <v>0.0</v>
      </c>
      <c r="E2657" s="3">
        <v>0.0</v>
      </c>
      <c r="F2657" s="3" t="s">
        <v>7811</v>
      </c>
      <c r="G2657" s="3">
        <v>1.0</v>
      </c>
      <c r="H2657" s="3">
        <v>0.0</v>
      </c>
      <c r="I2657" s="3" t="s">
        <v>13</v>
      </c>
      <c r="J2657" s="3" t="s">
        <v>7812</v>
      </c>
      <c r="K2657" s="3" t="s">
        <v>644</v>
      </c>
      <c r="L2657" s="3" t="str">
        <f>IFERROR(__xludf.DUMMYFUNCTION("GOOGLETRANSLATE(F2657,""id"",""en"")"),"The World Cup Final was excited")</f>
        <v>The World Cup Final was excited</v>
      </c>
    </row>
    <row r="2658" ht="15.75" customHeight="1">
      <c r="A2658" s="1">
        <v>2674.0</v>
      </c>
      <c r="B2658" s="3" t="s">
        <v>7813</v>
      </c>
      <c r="C2658" s="3">
        <v>1.0</v>
      </c>
      <c r="D2658" s="3">
        <v>0.0</v>
      </c>
      <c r="E2658" s="3">
        <v>0.0</v>
      </c>
      <c r="F2658" s="3" t="s">
        <v>7814</v>
      </c>
      <c r="G2658" s="3">
        <v>1.0</v>
      </c>
      <c r="H2658" s="3">
        <v>0.0</v>
      </c>
      <c r="I2658" s="3" t="s">
        <v>13</v>
      </c>
      <c r="J2658" s="3" t="s">
        <v>7815</v>
      </c>
      <c r="K2658" s="3" t="s">
        <v>1552</v>
      </c>
      <c r="L2658" s="3" t="str">
        <f>IFERROR(__xludf.DUMMYFUNCTION("GOOGLETRANSLATE(F2658,""id"",""en"")"),"Min, how do I watch this World Cup final, Min, Min, Min")</f>
        <v>Min, how do I watch this World Cup final, Min, Min, Min</v>
      </c>
    </row>
    <row r="2659" ht="15.75" customHeight="1">
      <c r="A2659" s="1">
        <v>2675.0</v>
      </c>
      <c r="B2659" s="3" t="s">
        <v>7816</v>
      </c>
      <c r="C2659" s="3">
        <v>0.0</v>
      </c>
      <c r="D2659" s="3">
        <v>0.0</v>
      </c>
      <c r="E2659" s="3">
        <v>0.0</v>
      </c>
      <c r="F2659" s="3" t="s">
        <v>7817</v>
      </c>
      <c r="G2659" s="3">
        <v>1.0</v>
      </c>
      <c r="H2659" s="3">
        <v>0.0</v>
      </c>
      <c r="I2659" s="3" t="s">
        <v>13</v>
      </c>
      <c r="J2659" s="3" t="s">
        <v>7818</v>
      </c>
      <c r="K2659" s="3" t="s">
        <v>19</v>
      </c>
      <c r="L2659" s="3" t="str">
        <f>IFERROR(__xludf.DUMMYFUNCTION("GOOGLETRANSLATE(F2659,""id"",""en"")"),"so there is a romantic session from the World Cup final, how will anyone win Messi Mbappe Exchange Jersey")</f>
        <v>so there is a romantic session from the World Cup final, how will anyone win Messi Mbappe Exchange Jersey</v>
      </c>
    </row>
    <row r="2660" ht="15.75" customHeight="1">
      <c r="A2660" s="1">
        <v>2676.0</v>
      </c>
      <c r="B2660" s="3" t="s">
        <v>7819</v>
      </c>
      <c r="C2660" s="3">
        <v>7.0</v>
      </c>
      <c r="D2660" s="3">
        <v>5.0</v>
      </c>
      <c r="E2660" s="3">
        <v>53.0</v>
      </c>
      <c r="F2660" s="3" t="s">
        <v>7820</v>
      </c>
      <c r="G2660" s="3">
        <v>1.0</v>
      </c>
      <c r="H2660" s="3">
        <v>0.0</v>
      </c>
      <c r="I2660" s="3" t="s">
        <v>13</v>
      </c>
      <c r="J2660" s="3" t="s">
        <v>7821</v>
      </c>
      <c r="K2660" s="3" t="s">
        <v>374</v>
      </c>
      <c r="L2660" s="3" t="str">
        <f>IFERROR(__xludf.DUMMYFUNCTION("GOOGLETRANSLATE(F2660,""id"",""en"")"),"wkwkwkw Messi Goal Penalty and Mbappe minutes Goal Messi believes times Mbappe can make France Nyamain Argentina scores like lightning all fun fun so screaming until crying nnton world cup final")</f>
        <v>wkwkwkw Messi Goal Penalty and Mbappe minutes Goal Messi believes times Mbappe can make France Nyamain Argentina scores like lightning all fun fun so screaming until crying nnton world cup final</v>
      </c>
    </row>
    <row r="2661" ht="15.75" customHeight="1">
      <c r="A2661" s="1">
        <v>2677.0</v>
      </c>
      <c r="B2661" s="3" t="s">
        <v>7822</v>
      </c>
      <c r="C2661" s="3">
        <v>0.0</v>
      </c>
      <c r="D2661" s="3">
        <v>0.0</v>
      </c>
      <c r="E2661" s="3">
        <v>0.0</v>
      </c>
      <c r="F2661" s="3" t="s">
        <v>7823</v>
      </c>
      <c r="G2661" s="3">
        <v>0.55</v>
      </c>
      <c r="H2661" s="3">
        <v>0.0</v>
      </c>
      <c r="I2661" s="3" t="s">
        <v>13</v>
      </c>
      <c r="J2661" s="3" t="s">
        <v>7824</v>
      </c>
      <c r="K2661" s="3" t="s">
        <v>54</v>
      </c>
      <c r="L2661" s="3" t="str">
        <f>IFERROR(__xludf.DUMMYFUNCTION("GOOGLETRANSLATE(F2661,""id"",""en"")"),"World Cup Final Extra Time Round")</f>
        <v>World Cup Final Extra Time Round</v>
      </c>
    </row>
    <row r="2662" ht="15.75" customHeight="1">
      <c r="A2662" s="1">
        <v>2678.0</v>
      </c>
      <c r="B2662" s="3" t="s">
        <v>7825</v>
      </c>
      <c r="C2662" s="3">
        <v>0.0</v>
      </c>
      <c r="D2662" s="3">
        <v>0.0</v>
      </c>
      <c r="E2662" s="3">
        <v>0.0</v>
      </c>
      <c r="F2662" s="3" t="s">
        <v>7826</v>
      </c>
      <c r="G2662" s="3">
        <v>0.75</v>
      </c>
      <c r="H2662" s="3">
        <v>0.06818181818181818</v>
      </c>
      <c r="I2662" s="3" t="s">
        <v>48</v>
      </c>
      <c r="J2662" s="3" t="s">
        <v>7827</v>
      </c>
      <c r="K2662" s="3" t="s">
        <v>1293</v>
      </c>
      <c r="L2662" s="3" t="str">
        <f>IFERROR(__xludf.DUMMYFUNCTION("GOOGLETRANSLATE(F2662,""id"",""en"")"),"Kick Off Extratime of French Argentina French Link Link Live Streaming Argentina France tonight WIB World Cup Final")</f>
        <v>Kick Off Extratime of French Argentina French Link Link Live Streaming Argentina France tonight WIB World Cup Final</v>
      </c>
    </row>
    <row r="2663" ht="15.75" customHeight="1">
      <c r="A2663" s="1">
        <v>2679.0</v>
      </c>
      <c r="B2663" s="3" t="s">
        <v>7828</v>
      </c>
      <c r="C2663" s="3">
        <v>0.0</v>
      </c>
      <c r="D2663" s="3">
        <v>0.0</v>
      </c>
      <c r="E2663" s="3">
        <v>0.0</v>
      </c>
      <c r="F2663" s="3" t="s">
        <v>7829</v>
      </c>
      <c r="G2663" s="3">
        <v>0.95</v>
      </c>
      <c r="H2663" s="3">
        <v>-0.4</v>
      </c>
      <c r="I2663" s="3" t="s">
        <v>179</v>
      </c>
      <c r="J2663" s="3" t="s">
        <v>7830</v>
      </c>
      <c r="K2663" s="3" t="s">
        <v>82</v>
      </c>
      <c r="L2663" s="3" t="str">
        <f>IFERROR(__xludf.DUMMYFUNCTION("GOOGLETRANSLATE(F2663,""id"",""en"")"),"What Cape Hate Listen to the World Cup Final")</f>
        <v>What Cape Hate Listen to the World Cup Final</v>
      </c>
    </row>
    <row r="2664" ht="15.75" customHeight="1">
      <c r="A2664" s="1">
        <v>2680.0</v>
      </c>
      <c r="B2664" s="3" t="s">
        <v>7831</v>
      </c>
      <c r="C2664" s="3">
        <v>0.0</v>
      </c>
      <c r="D2664" s="3">
        <v>0.0</v>
      </c>
      <c r="E2664" s="3">
        <v>0.0</v>
      </c>
      <c r="F2664" s="3" t="s">
        <v>7832</v>
      </c>
      <c r="G2664" s="3">
        <v>1.0</v>
      </c>
      <c r="H2664" s="3">
        <v>0.0</v>
      </c>
      <c r="I2664" s="3" t="s">
        <v>13</v>
      </c>
      <c r="J2664" s="3" t="s">
        <v>7833</v>
      </c>
      <c r="K2664" s="3" t="s">
        <v>695</v>
      </c>
      <c r="L2664" s="3" t="str">
        <f>IFERROR(__xludf.DUMMYFUNCTION("GOOGLETRANSLATE(F2664,""id"",""en"")"),"Very resentful of yourself can fall asleep from the afternoon just wake up in the morning skip dinner and watch the world cup final")</f>
        <v>Very resentful of yourself can fall asleep from the afternoon just wake up in the morning skip dinner and watch the world cup final</v>
      </c>
    </row>
    <row r="2665" ht="15.75" customHeight="1">
      <c r="A2665" s="1">
        <v>2681.0</v>
      </c>
      <c r="B2665" s="3" t="s">
        <v>7834</v>
      </c>
      <c r="C2665" s="3">
        <v>1.0</v>
      </c>
      <c r="D2665" s="3">
        <v>0.0</v>
      </c>
      <c r="E2665" s="3">
        <v>1.0</v>
      </c>
      <c r="F2665" s="3" t="s">
        <v>7835</v>
      </c>
      <c r="G2665" s="3">
        <v>1.0</v>
      </c>
      <c r="H2665" s="3">
        <v>0.0</v>
      </c>
      <c r="I2665" s="3" t="s">
        <v>13</v>
      </c>
      <c r="J2665" s="3" t="s">
        <v>7836</v>
      </c>
      <c r="K2665" s="3" t="s">
        <v>71</v>
      </c>
      <c r="L2665" s="3" t="str">
        <f>IFERROR(__xludf.DUMMYFUNCTION("GOOGLETRANSLATE(F2665,""id"",""en"")"),"Mbappe made a score of a French series while balanced Argentina Qatar World Cup Final Lombok Insider")</f>
        <v>Mbappe made a score of a French series while balanced Argentina Qatar World Cup Final Lombok Insider</v>
      </c>
    </row>
    <row r="2666" ht="15.75" customHeight="1">
      <c r="A2666" s="1">
        <v>2682.0</v>
      </c>
      <c r="B2666" s="3" t="s">
        <v>7837</v>
      </c>
      <c r="C2666" s="3">
        <v>0.0</v>
      </c>
      <c r="D2666" s="3">
        <v>0.0</v>
      </c>
      <c r="E2666" s="3">
        <v>0.0</v>
      </c>
      <c r="F2666" s="3" t="s">
        <v>7826</v>
      </c>
      <c r="G2666" s="3">
        <v>0.75</v>
      </c>
      <c r="H2666" s="3">
        <v>0.06818181818181818</v>
      </c>
      <c r="I2666" s="3" t="s">
        <v>48</v>
      </c>
      <c r="J2666" s="3" t="s">
        <v>7827</v>
      </c>
      <c r="K2666" s="3" t="s">
        <v>1293</v>
      </c>
      <c r="L2666" s="3" t="str">
        <f>IFERROR(__xludf.DUMMYFUNCTION("GOOGLETRANSLATE(F2666,""id"",""en"")"),"Kick Off Extratime of French Argentina French Link Link Live Streaming Argentina France tonight WIB World Cup Final")</f>
        <v>Kick Off Extratime of French Argentina French Link Link Live Streaming Argentina France tonight WIB World Cup Final</v>
      </c>
    </row>
    <row r="2667" ht="15.75" customHeight="1">
      <c r="A2667" s="1">
        <v>2683.0</v>
      </c>
      <c r="B2667" s="3" t="s">
        <v>7838</v>
      </c>
      <c r="C2667" s="3">
        <v>0.0</v>
      </c>
      <c r="D2667" s="3">
        <v>153.0</v>
      </c>
      <c r="E2667" s="3">
        <v>665.0</v>
      </c>
      <c r="F2667" s="3" t="s">
        <v>7839</v>
      </c>
      <c r="G2667" s="3">
        <v>1.0</v>
      </c>
      <c r="H2667" s="3">
        <v>0.0</v>
      </c>
      <c r="I2667" s="3" t="s">
        <v>13</v>
      </c>
      <c r="J2667" s="3" t="s">
        <v>7840</v>
      </c>
      <c r="K2667" s="3" t="s">
        <v>15</v>
      </c>
      <c r="L2667" s="3" t="str">
        <f>IFERROR(__xludf.DUMMYFUNCTION("GOOGLETRANSLATE(F2667,""id"",""en"")"),"Yang said that he watched the World Cup final with Renjun")</f>
        <v>Yang said that he watched the World Cup final with Renjun</v>
      </c>
    </row>
    <row r="2668" ht="15.75" customHeight="1">
      <c r="A2668" s="1">
        <v>2684.0</v>
      </c>
      <c r="B2668" s="3" t="s">
        <v>7841</v>
      </c>
      <c r="C2668" s="3">
        <v>0.0</v>
      </c>
      <c r="D2668" s="3">
        <v>0.0</v>
      </c>
      <c r="E2668" s="3">
        <v>0.0</v>
      </c>
      <c r="F2668" s="3" t="s">
        <v>7842</v>
      </c>
      <c r="G2668" s="3">
        <v>1.0</v>
      </c>
      <c r="H2668" s="3">
        <v>0.0</v>
      </c>
      <c r="I2668" s="3" t="s">
        <v>13</v>
      </c>
      <c r="J2668" s="3" t="s">
        <v>2247</v>
      </c>
      <c r="K2668" s="3" t="s">
        <v>31</v>
      </c>
      <c r="L2668" s="3" t="str">
        <f>IFERROR(__xludf.DUMMYFUNCTION("GOOGLETRANSLATE(F2668,""id"",""en"")"),"The World Cup Final is the most exciting")</f>
        <v>The World Cup Final is the most exciting</v>
      </c>
    </row>
    <row r="2669" ht="15.75" customHeight="1">
      <c r="A2669" s="1">
        <v>2685.0</v>
      </c>
      <c r="B2669" s="3" t="s">
        <v>7843</v>
      </c>
      <c r="C2669" s="3">
        <v>0.0</v>
      </c>
      <c r="D2669" s="3">
        <v>0.0</v>
      </c>
      <c r="E2669" s="3">
        <v>0.0</v>
      </c>
      <c r="F2669" s="3" t="s">
        <v>7844</v>
      </c>
      <c r="G2669" s="3">
        <v>1.0</v>
      </c>
      <c r="H2669" s="3">
        <v>0.0</v>
      </c>
      <c r="I2669" s="3" t="s">
        <v>13</v>
      </c>
      <c r="J2669" s="3" t="s">
        <v>7845</v>
      </c>
      <c r="K2669" s="3" t="s">
        <v>31</v>
      </c>
      <c r="L2669" s="3" t="str">
        <f>IFERROR(__xludf.DUMMYFUNCTION("GOOGLETRANSLATE(F2669,""id"",""en"")"),"World Cup Final Most Tense")</f>
        <v>World Cup Final Most Tense</v>
      </c>
    </row>
    <row r="2670" ht="15.75" customHeight="1">
      <c r="A2670" s="1">
        <v>2686.0</v>
      </c>
      <c r="B2670" s="3" t="s">
        <v>7846</v>
      </c>
      <c r="C2670" s="3">
        <v>0.0</v>
      </c>
      <c r="D2670" s="3">
        <v>0.0</v>
      </c>
      <c r="E2670" s="3">
        <v>2.0</v>
      </c>
      <c r="F2670" s="3" t="s">
        <v>7847</v>
      </c>
      <c r="G2670" s="3">
        <v>1.0</v>
      </c>
      <c r="H2670" s="3">
        <v>0.0</v>
      </c>
      <c r="I2670" s="3" t="s">
        <v>13</v>
      </c>
      <c r="J2670" s="3" t="s">
        <v>7848</v>
      </c>
      <c r="K2670" s="3" t="s">
        <v>54</v>
      </c>
      <c r="L2670" s="3" t="str">
        <f>IFERROR(__xludf.DUMMYFUNCTION("GOOGLETRANSLATE(F2670,""id"",""en"")"),"already strong, see the world cup final")</f>
        <v>already strong, see the world cup final</v>
      </c>
    </row>
    <row r="2671" ht="15.75" customHeight="1">
      <c r="A2671" s="1">
        <v>2687.0</v>
      </c>
      <c r="B2671" s="3" t="s">
        <v>7849</v>
      </c>
      <c r="C2671" s="3">
        <v>0.0</v>
      </c>
      <c r="D2671" s="3">
        <v>1.0</v>
      </c>
      <c r="E2671" s="3">
        <v>0.0</v>
      </c>
      <c r="F2671" s="3" t="s">
        <v>2115</v>
      </c>
      <c r="G2671" s="3">
        <v>1.0</v>
      </c>
      <c r="H2671" s="3">
        <v>0.0</v>
      </c>
      <c r="I2671" s="3" t="s">
        <v>13</v>
      </c>
      <c r="J2671" s="3" t="s">
        <v>2116</v>
      </c>
      <c r="K2671" s="3" t="s">
        <v>2117</v>
      </c>
      <c r="L2671" s="3" t="str">
        <f>IFERROR(__xludf.DUMMYFUNCTION("GOOGLETRANSLATE(F2671,""id"",""en"")"),"World Cup Final")</f>
        <v>World Cup Final</v>
      </c>
    </row>
    <row r="2672" ht="15.75" customHeight="1">
      <c r="A2672" s="1">
        <v>2688.0</v>
      </c>
      <c r="B2672" s="3" t="s">
        <v>7850</v>
      </c>
      <c r="C2672" s="3">
        <v>0.0</v>
      </c>
      <c r="D2672" s="3">
        <v>0.0</v>
      </c>
      <c r="E2672" s="3">
        <v>0.0</v>
      </c>
      <c r="F2672" s="3" t="s">
        <v>7851</v>
      </c>
      <c r="G2672" s="3">
        <v>1.0</v>
      </c>
      <c r="H2672" s="3">
        <v>0.0</v>
      </c>
      <c r="I2672" s="3" t="s">
        <v>13</v>
      </c>
      <c r="J2672" s="3" t="s">
        <v>7852</v>
      </c>
      <c r="K2672" s="3" t="s">
        <v>348</v>
      </c>
      <c r="L2672" s="3" t="str">
        <f>IFERROR(__xludf.DUMMYFUNCTION("GOOGLETRANSLATE(F2672,""id"",""en"")"),"Patrol Warkop Korima where the Nobar Final of the World Cup of Besuki Village is very enthusiastic watching a football match and takes place safely and orderly")</f>
        <v>Patrol Warkop Korima where the Nobar Final of the World Cup of Besuki Village is very enthusiastic watching a football match and takes place safely and orderly</v>
      </c>
    </row>
    <row r="2673" ht="15.75" customHeight="1">
      <c r="A2673" s="1">
        <v>2689.0</v>
      </c>
      <c r="B2673" s="3" t="s">
        <v>7853</v>
      </c>
      <c r="C2673" s="3">
        <v>2.0</v>
      </c>
      <c r="D2673" s="3">
        <v>0.0</v>
      </c>
      <c r="E2673" s="3">
        <v>0.0</v>
      </c>
      <c r="F2673" s="3" t="s">
        <v>7854</v>
      </c>
      <c r="G2673" s="3">
        <v>1.0</v>
      </c>
      <c r="H2673" s="3">
        <v>0.0</v>
      </c>
      <c r="I2673" s="3" t="s">
        <v>13</v>
      </c>
      <c r="J2673" s="3" t="s">
        <v>7855</v>
      </c>
      <c r="K2673" s="3" t="s">
        <v>15</v>
      </c>
      <c r="L2673" s="3" t="str">
        <f>IFERROR(__xludf.DUMMYFUNCTION("GOOGLETRANSLATE(F2673,""id"",""en"")"),"Goals Accepted Nobar World Cup Final with Ayang")</f>
        <v>Goals Accepted Nobar World Cup Final with Ayang</v>
      </c>
    </row>
    <row r="2674" ht="15.75" customHeight="1">
      <c r="A2674" s="1">
        <v>2690.0</v>
      </c>
      <c r="B2674" s="3" t="s">
        <v>7856</v>
      </c>
      <c r="C2674" s="3">
        <v>1.0</v>
      </c>
      <c r="D2674" s="3">
        <v>1.0</v>
      </c>
      <c r="E2674" s="3">
        <v>2.0</v>
      </c>
      <c r="F2674" s="3" t="s">
        <v>7857</v>
      </c>
      <c r="G2674" s="3">
        <v>1.0</v>
      </c>
      <c r="H2674" s="3">
        <v>0.0</v>
      </c>
      <c r="I2674" s="3" t="s">
        <v>13</v>
      </c>
      <c r="J2674" s="3" t="s">
        <v>7858</v>
      </c>
      <c r="K2674" s="3" t="s">
        <v>3156</v>
      </c>
      <c r="L2674" s="3" t="str">
        <f>IFERROR(__xludf.DUMMYFUNCTION("GOOGLETRANSLATE(F2674,""id"",""en"")"),"Bayern Munich Inter Milan in the World Cup Streak Bayern Munich and Inter Milan always contributed to the final match players")</f>
        <v>Bayern Munich Inter Milan in the World Cup Streak Bayern Munich and Inter Milan always contributed to the final match players</v>
      </c>
    </row>
    <row r="2675" ht="15.75" customHeight="1">
      <c r="A2675" s="1">
        <v>2691.0</v>
      </c>
      <c r="B2675" s="3" t="s">
        <v>7859</v>
      </c>
      <c r="C2675" s="3">
        <v>1.0</v>
      </c>
      <c r="D2675" s="3">
        <v>0.0</v>
      </c>
      <c r="E2675" s="3">
        <v>2.0</v>
      </c>
      <c r="F2675" s="3" t="s">
        <v>7860</v>
      </c>
      <c r="G2675" s="3">
        <v>1.0</v>
      </c>
      <c r="H2675" s="3">
        <v>0.0</v>
      </c>
      <c r="I2675" s="3" t="s">
        <v>13</v>
      </c>
      <c r="J2675" s="3" t="s">
        <v>7861</v>
      </c>
      <c r="K2675" s="3" t="s">
        <v>19</v>
      </c>
      <c r="L2675" s="3" t="str">
        <f>IFERROR(__xludf.DUMMYFUNCTION("GOOGLETRANSLATE(F2675,""id"",""en"")"),"Congratulations on the final of the World Cup who is your hero, don't forget to wake up tomorrow Monday")</f>
        <v>Congratulations on the final of the World Cup who is your hero, don't forget to wake up tomorrow Monday</v>
      </c>
    </row>
    <row r="2676" ht="15.75" customHeight="1">
      <c r="A2676" s="1">
        <v>2692.0</v>
      </c>
      <c r="B2676" s="3" t="s">
        <v>7862</v>
      </c>
      <c r="C2676" s="3">
        <v>0.0</v>
      </c>
      <c r="D2676" s="3">
        <v>1.0</v>
      </c>
      <c r="E2676" s="3">
        <v>0.0</v>
      </c>
      <c r="F2676" s="3" t="s">
        <v>7863</v>
      </c>
      <c r="G2676" s="3">
        <v>1.0</v>
      </c>
      <c r="H2676" s="3">
        <v>0.0</v>
      </c>
      <c r="I2676" s="3" t="s">
        <v>13</v>
      </c>
      <c r="J2676" s="3" t="s">
        <v>7864</v>
      </c>
      <c r="K2676" s="3" t="s">
        <v>510</v>
      </c>
      <c r="L2676" s="3" t="str">
        <f>IFERROR(__xludf.DUMMYFUNCTION("GOOGLETRANSLATE(F2676,""id"",""en"")"),"There are those who are busy discussing the Central Presidential Election of the World Cup Final Akbar Faizal how much you suffer your life, friend")</f>
        <v>There are those who are busy discussing the Central Presidential Election of the World Cup Final Akbar Faizal how much you suffer your life, friend</v>
      </c>
    </row>
    <row r="2677" ht="15.75" customHeight="1">
      <c r="A2677" s="1">
        <v>2693.0</v>
      </c>
      <c r="B2677" s="3" t="s">
        <v>7865</v>
      </c>
      <c r="C2677" s="3">
        <v>1.0</v>
      </c>
      <c r="D2677" s="3">
        <v>5.0</v>
      </c>
      <c r="E2677" s="3">
        <v>25.0</v>
      </c>
      <c r="F2677" s="3" t="s">
        <v>7866</v>
      </c>
      <c r="G2677" s="3">
        <v>0.875</v>
      </c>
      <c r="H2677" s="3">
        <v>0.1875</v>
      </c>
      <c r="I2677" s="3" t="s">
        <v>48</v>
      </c>
      <c r="J2677" s="3" t="s">
        <v>7867</v>
      </c>
      <c r="K2677" s="3" t="s">
        <v>765</v>
      </c>
      <c r="L2677" s="3" t="str">
        <f>IFERROR(__xludf.DUMMYFUNCTION("GOOGLETRANSLATE(F2677,""id"",""en"")"),"The reaction of French President Emmanuel Macron after Kylian Mbappe equalized France over Argentina at the Qatar World Cup final if France won the plane Discount Pak Original Uploaders")</f>
        <v>The reaction of French President Emmanuel Macron after Kylian Mbappe equalized France over Argentina at the Qatar World Cup final if France won the plane Discount Pak Original Uploaders</v>
      </c>
    </row>
    <row r="2678" ht="15.75" customHeight="1">
      <c r="A2678" s="1">
        <v>2694.0</v>
      </c>
      <c r="B2678" s="3" t="s">
        <v>7868</v>
      </c>
      <c r="C2678" s="3">
        <v>0.0</v>
      </c>
      <c r="D2678" s="3">
        <v>0.0</v>
      </c>
      <c r="E2678" s="3">
        <v>0.0</v>
      </c>
      <c r="F2678" s="3" t="s">
        <v>7869</v>
      </c>
      <c r="G2678" s="3">
        <v>1.0</v>
      </c>
      <c r="H2678" s="3">
        <v>0.0</v>
      </c>
      <c r="I2678" s="3" t="s">
        <v>13</v>
      </c>
      <c r="J2678" s="3" t="s">
        <v>7870</v>
      </c>
      <c r="K2678" s="3" t="s">
        <v>41</v>
      </c>
      <c r="L2678" s="3" t="str">
        <f>IFERROR(__xludf.DUMMYFUNCTION("GOOGLETRANSLATE(F2678,""id"",""en"")"),"recently the name of the Final World Cup is very exciting, Argentina France")</f>
        <v>recently the name of the Final World Cup is very exciting, Argentina France</v>
      </c>
    </row>
    <row r="2679" ht="15.75" customHeight="1">
      <c r="A2679" s="1">
        <v>2695.0</v>
      </c>
      <c r="B2679" s="3" t="s">
        <v>7871</v>
      </c>
      <c r="C2679" s="3">
        <v>0.0</v>
      </c>
      <c r="D2679" s="3">
        <v>0.0</v>
      </c>
      <c r="E2679" s="3">
        <v>0.0</v>
      </c>
      <c r="F2679" s="3" t="s">
        <v>7872</v>
      </c>
      <c r="G2679" s="3">
        <v>1.0</v>
      </c>
      <c r="H2679" s="3">
        <v>0.0</v>
      </c>
      <c r="I2679" s="3" t="s">
        <v>13</v>
      </c>
      <c r="J2679" s="3" t="s">
        <v>6510</v>
      </c>
      <c r="K2679" s="3" t="s">
        <v>644</v>
      </c>
      <c r="L2679" s="3" t="str">
        <f>IFERROR(__xludf.DUMMYFUNCTION("GOOGLETRANSLATE(F2679,""id"",""en"")"),"This is the only World Cuy World Cup final")</f>
        <v>This is the only World Cuy World Cup final</v>
      </c>
    </row>
    <row r="2680" ht="15.75" customHeight="1">
      <c r="A2680" s="1">
        <v>2696.0</v>
      </c>
      <c r="B2680" s="3" t="s">
        <v>7873</v>
      </c>
      <c r="C2680" s="3">
        <v>0.0</v>
      </c>
      <c r="D2680" s="3">
        <v>0.0</v>
      </c>
      <c r="E2680" s="3">
        <v>0.0</v>
      </c>
      <c r="F2680" s="3" t="s">
        <v>7874</v>
      </c>
      <c r="G2680" s="3">
        <v>0.75</v>
      </c>
      <c r="H2680" s="3">
        <v>0.06818181818181818</v>
      </c>
      <c r="I2680" s="3" t="s">
        <v>48</v>
      </c>
      <c r="J2680" s="3" t="s">
        <v>7875</v>
      </c>
      <c r="K2680" s="3" t="s">
        <v>437</v>
      </c>
      <c r="L2680" s="3" t="str">
        <f>IFERROR(__xludf.DUMMYFUNCTION("GOOGLETRANSLATE(F2680,""id"",""en"")"),"Martinez's chances of Martinez still failed Argentina France Link Live Streaming Argentina France tonight WIB World Cup Final")</f>
        <v>Martinez's chances of Martinez still failed Argentina France Link Live Streaming Argentina France tonight WIB World Cup Final</v>
      </c>
    </row>
    <row r="2681" ht="15.75" customHeight="1">
      <c r="A2681" s="1">
        <v>2697.0</v>
      </c>
      <c r="B2681" s="3" t="s">
        <v>7876</v>
      </c>
      <c r="C2681" s="3">
        <v>1.0</v>
      </c>
      <c r="D2681" s="3">
        <v>0.0</v>
      </c>
      <c r="E2681" s="3">
        <v>0.0</v>
      </c>
      <c r="F2681" s="3" t="s">
        <v>7877</v>
      </c>
      <c r="G2681" s="3">
        <v>1.0</v>
      </c>
      <c r="H2681" s="3">
        <v>0.0</v>
      </c>
      <c r="I2681" s="3" t="s">
        <v>13</v>
      </c>
      <c r="J2681" s="3" t="s">
        <v>7878</v>
      </c>
      <c r="K2681" s="3" t="s">
        <v>644</v>
      </c>
      <c r="L2681" s="3" t="str">
        <f>IFERROR(__xludf.DUMMYFUNCTION("GOOGLETRANSLATE(F2681,""id"",""en"")"),"Maybe because of the World Cup Final")</f>
        <v>Maybe because of the World Cup Final</v>
      </c>
    </row>
    <row r="2682" ht="15.75" customHeight="1">
      <c r="A2682" s="1">
        <v>2698.0</v>
      </c>
      <c r="B2682" s="3" t="s">
        <v>7879</v>
      </c>
      <c r="C2682" s="3">
        <v>0.0</v>
      </c>
      <c r="D2682" s="3">
        <v>0.0</v>
      </c>
      <c r="E2682" s="3">
        <v>0.0</v>
      </c>
      <c r="F2682" s="3" t="s">
        <v>7880</v>
      </c>
      <c r="G2682" s="3">
        <v>1.0</v>
      </c>
      <c r="H2682" s="3">
        <v>0.0</v>
      </c>
      <c r="I2682" s="3" t="s">
        <v>13</v>
      </c>
      <c r="J2682" s="3" t="s">
        <v>7881</v>
      </c>
      <c r="K2682" s="3" t="s">
        <v>19</v>
      </c>
      <c r="L2682" s="3" t="str">
        <f>IFERROR(__xludf.DUMMYFUNCTION("GOOGLETRANSLATE(F2682,""id"",""en"")"),"Argentina returned to a tiring final and might be dramatic like Gotze's goal last year")</f>
        <v>Argentina returned to a tiring final and might be dramatic like Gotze's goal last year</v>
      </c>
    </row>
    <row r="2683" ht="15.75" customHeight="1">
      <c r="A2683" s="1">
        <v>2699.0</v>
      </c>
      <c r="B2683" s="3" t="s">
        <v>7882</v>
      </c>
      <c r="C2683" s="3">
        <v>0.0</v>
      </c>
      <c r="D2683" s="3">
        <v>0.0</v>
      </c>
      <c r="E2683" s="3">
        <v>0.0</v>
      </c>
      <c r="F2683" s="3" t="s">
        <v>7883</v>
      </c>
      <c r="G2683" s="3">
        <v>1.0</v>
      </c>
      <c r="H2683" s="3">
        <v>0.0</v>
      </c>
      <c r="I2683" s="3" t="s">
        <v>13</v>
      </c>
      <c r="J2683" s="3" t="s">
        <v>7884</v>
      </c>
      <c r="K2683" s="3" t="s">
        <v>657</v>
      </c>
      <c r="L2683" s="3" t="str">
        <f>IFERROR(__xludf.DUMMYFUNCTION("GOOGLETRANSLATE(F2683,""id"",""en"")"),"Link Yalla Shoot Final Argentina French Illegal World Cup Watching SCTV and the following predictions Bogor issue")</f>
        <v>Link Yalla Shoot Final Argentina French Illegal World Cup Watching SCTV and the following predictions Bogor issue</v>
      </c>
    </row>
    <row r="2684" ht="15.75" customHeight="1">
      <c r="A2684" s="1">
        <v>2700.0</v>
      </c>
      <c r="B2684" s="3" t="s">
        <v>7885</v>
      </c>
      <c r="C2684" s="3">
        <v>0.0</v>
      </c>
      <c r="D2684" s="3">
        <v>0.0</v>
      </c>
      <c r="E2684" s="3">
        <v>0.0</v>
      </c>
      <c r="F2684" s="3" t="s">
        <v>7886</v>
      </c>
      <c r="G2684" s="3">
        <v>1.0</v>
      </c>
      <c r="H2684" s="3">
        <v>0.0</v>
      </c>
      <c r="I2684" s="3" t="s">
        <v>13</v>
      </c>
      <c r="J2684" s="3" t="s">
        <v>7887</v>
      </c>
      <c r="K2684" s="3" t="s">
        <v>15</v>
      </c>
      <c r="L2684" s="3" t="str">
        <f>IFERROR(__xludf.DUMMYFUNCTION("GOOGLETRANSLATE(F2684,""id"",""en"")"),"Mbappe Forced the World Cup Final Continuing round")</f>
        <v>Mbappe Forced the World Cup Final Continuing round</v>
      </c>
    </row>
    <row r="2685" ht="15.75" customHeight="1">
      <c r="A2685" s="1">
        <v>2701.0</v>
      </c>
      <c r="B2685" s="3" t="s">
        <v>7888</v>
      </c>
      <c r="C2685" s="3">
        <v>0.0</v>
      </c>
      <c r="D2685" s="3">
        <v>0.0</v>
      </c>
      <c r="E2685" s="3">
        <v>0.0</v>
      </c>
      <c r="F2685" s="3" t="s">
        <v>7889</v>
      </c>
      <c r="G2685" s="3">
        <v>1.0</v>
      </c>
      <c r="H2685" s="3">
        <v>0.0</v>
      </c>
      <c r="I2685" s="3" t="s">
        <v>13</v>
      </c>
      <c r="J2685" s="3" t="s">
        <v>7890</v>
      </c>
      <c r="K2685" s="3" t="s">
        <v>510</v>
      </c>
      <c r="L2685" s="3" t="str">
        <f>IFERROR(__xludf.DUMMYFUNCTION("GOOGLETRANSLATE(F2685,""id"",""en"")"),"If Monday is late in the office, it's clear what the reason is watching the World Cup final")</f>
        <v>If Monday is late in the office, it's clear what the reason is watching the World Cup final</v>
      </c>
    </row>
    <row r="2686" ht="15.75" customHeight="1">
      <c r="A2686" s="1">
        <v>2702.0</v>
      </c>
      <c r="B2686" s="3" t="s">
        <v>7891</v>
      </c>
      <c r="C2686" s="3">
        <v>0.0</v>
      </c>
      <c r="D2686" s="3">
        <v>1.0</v>
      </c>
      <c r="E2686" s="3">
        <v>6.0</v>
      </c>
      <c r="F2686" s="3" t="s">
        <v>7892</v>
      </c>
      <c r="G2686" s="3">
        <v>1.0</v>
      </c>
      <c r="H2686" s="3">
        <v>0.0</v>
      </c>
      <c r="I2686" s="3" t="s">
        <v>13</v>
      </c>
      <c r="J2686" s="3" t="s">
        <v>7893</v>
      </c>
      <c r="K2686" s="3" t="s">
        <v>240</v>
      </c>
      <c r="L2686" s="3" t="str">
        <f>IFERROR(__xludf.DUMMYFUNCTION("GOOGLETRANSLATE(F2686,""id"",""en"")"),"France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687" ht="15.75" customHeight="1">
      <c r="A2687" s="1">
        <v>2703.0</v>
      </c>
      <c r="B2687" s="3" t="s">
        <v>7894</v>
      </c>
      <c r="C2687" s="3">
        <v>1.0</v>
      </c>
      <c r="D2687" s="3">
        <v>4.0</v>
      </c>
      <c r="E2687" s="3">
        <v>26.0</v>
      </c>
      <c r="F2687" s="3" t="s">
        <v>7892</v>
      </c>
      <c r="G2687" s="3">
        <v>1.0</v>
      </c>
      <c r="H2687" s="3">
        <v>0.0</v>
      </c>
      <c r="I2687" s="3" t="s">
        <v>13</v>
      </c>
      <c r="J2687" s="3" t="s">
        <v>7893</v>
      </c>
      <c r="K2687" s="3" t="s">
        <v>240</v>
      </c>
      <c r="L2687" s="3" t="str">
        <f>IFERROR(__xludf.DUMMYFUNCTION("GOOGLETRANSLATE(F2687,""id"",""en"")"),"France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688" ht="15.75" customHeight="1">
      <c r="A2688" s="1">
        <v>2704.0</v>
      </c>
      <c r="B2688" s="3" t="s">
        <v>7895</v>
      </c>
      <c r="C2688" s="3">
        <v>0.0</v>
      </c>
      <c r="D2688" s="3">
        <v>0.0</v>
      </c>
      <c r="E2688" s="3">
        <v>1.0</v>
      </c>
      <c r="F2688" s="3" t="s">
        <v>7896</v>
      </c>
      <c r="G2688" s="3">
        <v>1.0</v>
      </c>
      <c r="H2688" s="3">
        <v>0.0</v>
      </c>
      <c r="I2688" s="3" t="s">
        <v>13</v>
      </c>
      <c r="J2688" s="3" t="s">
        <v>7897</v>
      </c>
      <c r="K2688" s="3" t="s">
        <v>19</v>
      </c>
      <c r="L2688" s="3" t="str">
        <f>IFERROR(__xludf.DUMMYFUNCTION("GOOGLETRANSLATE(F2688,""id"",""en"")"),"Want to Sempro, we are not nervous about the additional minute of the World Cup Final Heart feeling out of Dara")</f>
        <v>Want to Sempro, we are not nervous about the additional minute of the World Cup Final Heart feeling out of Dara</v>
      </c>
    </row>
    <row r="2689" ht="15.75" customHeight="1">
      <c r="A2689" s="1">
        <v>2705.0</v>
      </c>
      <c r="B2689" s="3" t="s">
        <v>7898</v>
      </c>
      <c r="C2689" s="3">
        <v>0.0</v>
      </c>
      <c r="D2689" s="3">
        <v>0.0</v>
      </c>
      <c r="E2689" s="3">
        <v>0.0</v>
      </c>
      <c r="F2689" s="3" t="s">
        <v>7899</v>
      </c>
      <c r="G2689" s="3">
        <v>0.75</v>
      </c>
      <c r="H2689" s="3">
        <v>0.06818181818181818</v>
      </c>
      <c r="I2689" s="3" t="s">
        <v>48</v>
      </c>
      <c r="J2689" s="3" t="s">
        <v>7900</v>
      </c>
      <c r="K2689" s="3" t="s">
        <v>484</v>
      </c>
      <c r="L2689" s="3" t="str">
        <f>IFERROR(__xludf.DUMMYFUNCTION("GOOGLETRANSLATE(F2689,""id"",""en"")"),"minutes of the opportunity from Argentina Argentina France Link Live Streaming Argentina France tonight WIB World Cup Final")</f>
        <v>minutes of the opportunity from Argentina Argentina France Link Live Streaming Argentina France tonight WIB World Cup Final</v>
      </c>
    </row>
    <row r="2690" ht="15.75" customHeight="1">
      <c r="A2690" s="1">
        <v>2706.0</v>
      </c>
      <c r="B2690" s="3" t="s">
        <v>7901</v>
      </c>
      <c r="C2690" s="3">
        <v>0.0</v>
      </c>
      <c r="D2690" s="3">
        <v>0.0</v>
      </c>
      <c r="E2690" s="3">
        <v>0.0</v>
      </c>
      <c r="F2690" s="3" t="s">
        <v>7902</v>
      </c>
      <c r="G2690" s="3">
        <v>1.0</v>
      </c>
      <c r="H2690" s="3">
        <v>0.0</v>
      </c>
      <c r="I2690" s="3" t="s">
        <v>13</v>
      </c>
      <c r="J2690" s="3" t="s">
        <v>7903</v>
      </c>
      <c r="K2690" s="3" t="s">
        <v>75</v>
      </c>
      <c r="L2690" s="3" t="str">
        <f>IFERROR(__xludf.DUMMYFUNCTION("GOOGLETRANSLATE(F2690,""id"",""en"")"),"Mortal because the World Cup Final is too far")</f>
        <v>Mortal because the World Cup Final is too far</v>
      </c>
    </row>
    <row r="2691" ht="15.75" customHeight="1">
      <c r="A2691" s="1">
        <v>2707.0</v>
      </c>
      <c r="B2691" s="3" t="s">
        <v>7904</v>
      </c>
      <c r="C2691" s="3">
        <v>1.0</v>
      </c>
      <c r="D2691" s="3">
        <v>0.0</v>
      </c>
      <c r="E2691" s="3">
        <v>5.0</v>
      </c>
      <c r="F2691" s="3" t="s">
        <v>7905</v>
      </c>
      <c r="G2691" s="3">
        <v>0.6</v>
      </c>
      <c r="H2691" s="3">
        <v>0.03666666666666667</v>
      </c>
      <c r="I2691" s="3" t="s">
        <v>48</v>
      </c>
      <c r="J2691" s="3" t="s">
        <v>7906</v>
      </c>
      <c r="K2691" s="3" t="s">
        <v>7907</v>
      </c>
      <c r="L2691" s="3" t="str">
        <f>IFERROR(__xludf.DUMMYFUNCTION("GOOGLETRANSLATE(F2691,""id"",""en"")"),"The World Cup Final this time Surreal I just finished watching the cinema and then toilet see people while peeing to watch the final out of the toilet someone says wah wins Argentina I continue to stop by the cashier gas station tell me to fill in my seri"&amp;"es hah bang series")</f>
        <v>The World Cup Final this time Surreal I just finished watching the cinema and then toilet see people while peeing to watch the final out of the toilet someone says wah wins Argentina I continue to stop by the cashier gas station tell me to fill in my series hah bang series</v>
      </c>
    </row>
    <row r="2692" ht="15.75" customHeight="1">
      <c r="A2692" s="1">
        <v>2708.0</v>
      </c>
      <c r="B2692" s="3" t="s">
        <v>7908</v>
      </c>
      <c r="C2692" s="3">
        <v>0.0</v>
      </c>
      <c r="D2692" s="3">
        <v>0.0</v>
      </c>
      <c r="E2692" s="3">
        <v>0.0</v>
      </c>
      <c r="F2692" s="3" t="s">
        <v>7909</v>
      </c>
      <c r="G2692" s="3">
        <v>1.0</v>
      </c>
      <c r="H2692" s="3">
        <v>0.0</v>
      </c>
      <c r="I2692" s="3" t="s">
        <v>13</v>
      </c>
      <c r="J2692" s="3" t="s">
        <v>7910</v>
      </c>
      <c r="K2692" s="3" t="s">
        <v>499</v>
      </c>
      <c r="L2692" s="3" t="str">
        <f>IFERROR(__xludf.DUMMYFUNCTION("GOOGLETRANSLATE(F2692,""id"",""en"")"),"Report this pack has harmed many people who have paid a package for the World Cup while the final is even error without any clarity at all is very irresponsible to follow up")</f>
        <v>Report this pack has harmed many people who have paid a package for the World Cup while the final is even error without any clarity at all is very irresponsible to follow up</v>
      </c>
    </row>
    <row r="2693" ht="15.75" customHeight="1">
      <c r="A2693" s="1">
        <v>2709.0</v>
      </c>
      <c r="B2693" s="3" t="s">
        <v>7911</v>
      </c>
      <c r="C2693" s="3">
        <v>0.0</v>
      </c>
      <c r="D2693" s="3">
        <v>0.0</v>
      </c>
      <c r="E2693" s="3">
        <v>1.0</v>
      </c>
      <c r="F2693" s="3" t="s">
        <v>7912</v>
      </c>
      <c r="G2693" s="3">
        <v>1.0</v>
      </c>
      <c r="H2693" s="3">
        <v>0.0</v>
      </c>
      <c r="I2693" s="3" t="s">
        <v>13</v>
      </c>
      <c r="J2693" s="3" t="s">
        <v>7913</v>
      </c>
      <c r="K2693" s="3" t="s">
        <v>82</v>
      </c>
      <c r="L2693" s="3" t="str">
        <f>IFERROR(__xludf.DUMMYFUNCTION("GOOGLETRANSLATE(F2693,""id"",""en"")"),"excitement to watch the final of the world cup of Palu City")</f>
        <v>excitement to watch the final of the world cup of Palu City</v>
      </c>
    </row>
    <row r="2694" ht="15.75" customHeight="1">
      <c r="A2694" s="1">
        <v>2710.0</v>
      </c>
      <c r="B2694" s="3" t="s">
        <v>7914</v>
      </c>
      <c r="C2694" s="3">
        <v>0.0</v>
      </c>
      <c r="D2694" s="3">
        <v>0.0</v>
      </c>
      <c r="E2694" s="3">
        <v>0.0</v>
      </c>
      <c r="F2694" s="3" t="s">
        <v>7915</v>
      </c>
      <c r="G2694" s="3">
        <v>0.75</v>
      </c>
      <c r="H2694" s="3">
        <v>0.06818181818181818</v>
      </c>
      <c r="I2694" s="3" t="s">
        <v>48</v>
      </c>
      <c r="J2694" s="3" t="s">
        <v>7916</v>
      </c>
      <c r="K2694" s="3" t="s">
        <v>50</v>
      </c>
      <c r="L2694" s="3" t="str">
        <f>IFERROR(__xludf.DUMMYFUNCTION("GOOGLETRANSLATE(F2694,""id"",""en"")"),"Argentina French Live Streaming Live Broadcast Final World Cup Final")</f>
        <v>Argentina French Live Streaming Live Broadcast Final World Cup Final</v>
      </c>
    </row>
    <row r="2695" ht="15.75" customHeight="1">
      <c r="A2695" s="1">
        <v>2711.0</v>
      </c>
      <c r="B2695" s="3" t="s">
        <v>7917</v>
      </c>
      <c r="C2695" s="3">
        <v>0.0</v>
      </c>
      <c r="D2695" s="3">
        <v>0.0</v>
      </c>
      <c r="E2695" s="3">
        <v>0.0</v>
      </c>
      <c r="F2695" s="3" t="s">
        <v>7917</v>
      </c>
      <c r="G2695" s="3">
        <v>1.0</v>
      </c>
      <c r="H2695" s="3">
        <v>0.0</v>
      </c>
      <c r="I2695" s="3" t="s">
        <v>13</v>
      </c>
      <c r="J2695" s="3" t="s">
        <v>7918</v>
      </c>
      <c r="K2695" s="3" t="s">
        <v>54</v>
      </c>
      <c r="L2695" s="3" t="str">
        <f>IFERROR(__xludf.DUMMYFUNCTION("GOOGLETRANSLATE(F2695,""id"",""en"")"),"World Cup Final Class Meeting")</f>
        <v>World Cup Final Class Meeting</v>
      </c>
    </row>
    <row r="2696" ht="15.75" customHeight="1">
      <c r="A2696" s="1">
        <v>2712.0</v>
      </c>
      <c r="B2696" s="3" t="s">
        <v>7919</v>
      </c>
      <c r="C2696" s="3">
        <v>1.0</v>
      </c>
      <c r="D2696" s="3">
        <v>0.0</v>
      </c>
      <c r="E2696" s="3">
        <v>0.0</v>
      </c>
      <c r="F2696" s="3" t="s">
        <v>7920</v>
      </c>
      <c r="G2696" s="3">
        <v>0.6666666666666666</v>
      </c>
      <c r="H2696" s="3">
        <v>0.08333333333333333</v>
      </c>
      <c r="I2696" s="3" t="s">
        <v>48</v>
      </c>
      <c r="J2696" s="3" t="s">
        <v>7921</v>
      </c>
      <c r="K2696" s="3" t="s">
        <v>82</v>
      </c>
      <c r="L2696" s="3" t="str">
        <f>IFERROR(__xludf.DUMMYFUNCTION("GOOGLETRANSLATE(F2696,""id"",""en"")"),"Mantab proud Pardedes playing the World Cup Final")</f>
        <v>Mantab proud Pardedes playing the World Cup Final</v>
      </c>
    </row>
    <row r="2697" ht="15.75" customHeight="1">
      <c r="A2697" s="1">
        <v>2713.0</v>
      </c>
      <c r="B2697" s="3" t="s">
        <v>7922</v>
      </c>
      <c r="C2697" s="3">
        <v>0.0</v>
      </c>
      <c r="D2697" s="3">
        <v>0.0</v>
      </c>
      <c r="E2697" s="3">
        <v>0.0</v>
      </c>
      <c r="F2697" s="3" t="s">
        <v>7923</v>
      </c>
      <c r="G2697" s="3">
        <v>1.0</v>
      </c>
      <c r="H2697" s="3">
        <v>0.0</v>
      </c>
      <c r="I2697" s="3" t="s">
        <v>13</v>
      </c>
      <c r="J2697" s="3" t="s">
        <v>7924</v>
      </c>
      <c r="K2697" s="3" t="s">
        <v>82</v>
      </c>
      <c r="L2697" s="3" t="str">
        <f>IFERROR(__xludf.DUMMYFUNCTION("GOOGLETRANSLATE(F2697,""id"",""en"")"),"Deg with the world of the World Cup Final Coi")</f>
        <v>Deg with the world of the World Cup Final Coi</v>
      </c>
    </row>
    <row r="2698" ht="15.75" customHeight="1">
      <c r="A2698" s="1">
        <v>2714.0</v>
      </c>
      <c r="B2698" s="3" t="s">
        <v>7925</v>
      </c>
      <c r="C2698" s="3">
        <v>0.0</v>
      </c>
      <c r="D2698" s="3">
        <v>0.0</v>
      </c>
      <c r="E2698" s="3">
        <v>0.0</v>
      </c>
      <c r="F2698" s="3" t="s">
        <v>7926</v>
      </c>
      <c r="G2698" s="3">
        <v>1.0</v>
      </c>
      <c r="H2698" s="3">
        <v>0.0</v>
      </c>
      <c r="I2698" s="3" t="s">
        <v>13</v>
      </c>
      <c r="J2698" s="3" t="s">
        <v>7927</v>
      </c>
      <c r="K2698" s="3" t="s">
        <v>50</v>
      </c>
      <c r="L2698" s="3" t="str">
        <f>IFERROR(__xludf.DUMMYFUNCTION("GOOGLETRANSLATE(F2698,""id"",""en"")"),"What's important World Cup final is finally I introduce my parents' girlfriends")</f>
        <v>What's important World Cup final is finally I introduce my parents' girlfriends</v>
      </c>
    </row>
    <row r="2699" ht="15.75" customHeight="1">
      <c r="A2699" s="1">
        <v>2715.0</v>
      </c>
      <c r="B2699" s="3" t="s">
        <v>7928</v>
      </c>
      <c r="C2699" s="3">
        <v>0.0</v>
      </c>
      <c r="D2699" s="3">
        <v>0.0</v>
      </c>
      <c r="E2699" s="3">
        <v>0.0</v>
      </c>
      <c r="F2699" s="3" t="s">
        <v>7929</v>
      </c>
      <c r="G2699" s="3">
        <v>1.0</v>
      </c>
      <c r="H2699" s="3">
        <v>0.0</v>
      </c>
      <c r="I2699" s="3" t="s">
        <v>13</v>
      </c>
      <c r="J2699" s="3" t="s">
        <v>7930</v>
      </c>
      <c r="K2699" s="3" t="s">
        <v>725</v>
      </c>
      <c r="L2699" s="3" t="str">
        <f>IFERROR(__xludf.DUMMYFUNCTION("GOOGLETRANSLATE(F2699,""id"",""en"")"),"I don't mean the ball but the World Cup final watching doong time isn't to defeat Babeh's expectations I choose France Mbappe you can definitely even though it was hopeless because of attacking but at the last minute of the comeback")</f>
        <v>I don't mean the ball but the World Cup final watching doong time isn't to defeat Babeh's expectations I choose France Mbappe you can definitely even though it was hopeless because of attacking but at the last minute of the comeback</v>
      </c>
    </row>
    <row r="2700" ht="15.75" customHeight="1">
      <c r="A2700" s="1">
        <v>2716.0</v>
      </c>
      <c r="B2700" s="3" t="s">
        <v>7931</v>
      </c>
      <c r="C2700" s="3">
        <v>0.0</v>
      </c>
      <c r="D2700" s="3">
        <v>0.0</v>
      </c>
      <c r="E2700" s="3">
        <v>0.0</v>
      </c>
      <c r="F2700" s="3" t="s">
        <v>7932</v>
      </c>
      <c r="G2700" s="3">
        <v>1.0</v>
      </c>
      <c r="H2700" s="3">
        <v>0.0</v>
      </c>
      <c r="I2700" s="3" t="s">
        <v>13</v>
      </c>
      <c r="J2700" s="3" t="s">
        <v>7933</v>
      </c>
      <c r="K2700" s="3" t="s">
        <v>15</v>
      </c>
      <c r="L2700" s="3" t="str">
        <f>IFERROR(__xludf.DUMMYFUNCTION("GOOGLETRANSLATE(F2700,""id"",""en"")"),"It turns out that Haechan watched the World Cup final too, yeah")</f>
        <v>It turns out that Haechan watched the World Cup final too, yeah</v>
      </c>
    </row>
    <row r="2701" ht="15.75" customHeight="1">
      <c r="A2701" s="1">
        <v>2717.0</v>
      </c>
      <c r="B2701" s="3" t="s">
        <v>7934</v>
      </c>
      <c r="C2701" s="3">
        <v>0.0</v>
      </c>
      <c r="D2701" s="3">
        <v>0.0</v>
      </c>
      <c r="E2701" s="3">
        <v>1.0</v>
      </c>
      <c r="F2701" s="3" t="s">
        <v>7935</v>
      </c>
      <c r="G2701" s="3">
        <v>1.0</v>
      </c>
      <c r="H2701" s="3">
        <v>0.0</v>
      </c>
      <c r="I2701" s="3" t="s">
        <v>13</v>
      </c>
      <c r="J2701" s="3" t="s">
        <v>7936</v>
      </c>
      <c r="K2701" s="3" t="s">
        <v>90</v>
      </c>
      <c r="L2701" s="3" t="str">
        <f>IFERROR(__xludf.DUMMYFUNCTION("GOOGLETRANSLATE(F2701,""id"",""en"")"),"French French Goals Scorer World Cup Answer Zinedine Zidane Emmanuel Petit Let's Join Bestie Iend Jauhari Don't Forget to Follow")</f>
        <v>French French Goals Scorer World Cup Answer Zinedine Zidane Emmanuel Petit Let's Join Bestie Iend Jauhari Don't Forget to Follow</v>
      </c>
    </row>
    <row r="2702" ht="15.75" customHeight="1">
      <c r="A2702" s="1">
        <v>2718.0</v>
      </c>
      <c r="B2702" s="3" t="s">
        <v>7937</v>
      </c>
      <c r="C2702" s="3">
        <v>2.0</v>
      </c>
      <c r="D2702" s="3">
        <v>15.0</v>
      </c>
      <c r="E2702" s="3">
        <v>89.0</v>
      </c>
      <c r="F2702" s="3" t="s">
        <v>7938</v>
      </c>
      <c r="G2702" s="3">
        <v>1.0</v>
      </c>
      <c r="H2702" s="3">
        <v>0.0</v>
      </c>
      <c r="I2702" s="3" t="s">
        <v>13</v>
      </c>
      <c r="J2702" s="3" t="s">
        <v>7939</v>
      </c>
      <c r="K2702" s="3" t="s">
        <v>584</v>
      </c>
      <c r="L2702" s="3" t="str">
        <f>IFERROR(__xludf.DUMMYFUNCTION("GOOGLETRANSLATE(F2702,""id"",""en"")"),"This player is specially idolizing Cristiano Ronaldo but at the age of the idol far in the international achievement of one World Cup and runs to two topskor with goals plus the final top scorer of all time special")</f>
        <v>This player is specially idolizing Cristiano Ronaldo but at the age of the idol far in the international achievement of one World Cup and runs to two topskor with goals plus the final top scorer of all time special</v>
      </c>
    </row>
    <row r="2703" ht="15.75" customHeight="1">
      <c r="A2703" s="1">
        <v>2719.0</v>
      </c>
      <c r="B2703" s="3" t="s">
        <v>7940</v>
      </c>
      <c r="C2703" s="3">
        <v>0.0</v>
      </c>
      <c r="D2703" s="3">
        <v>0.0</v>
      </c>
      <c r="E2703" s="3">
        <v>0.0</v>
      </c>
      <c r="F2703" s="3" t="s">
        <v>7941</v>
      </c>
      <c r="G2703" s="3">
        <v>0.6666666666666666</v>
      </c>
      <c r="H2703" s="3">
        <v>0.08333333333333333</v>
      </c>
      <c r="I2703" s="3" t="s">
        <v>48</v>
      </c>
      <c r="J2703" s="3" t="s">
        <v>7942</v>
      </c>
      <c r="K2703" s="3" t="s">
        <v>50</v>
      </c>
      <c r="L2703" s="3" t="str">
        <f>IFERROR(__xludf.DUMMYFUNCTION("GOOGLETRANSLATE(F2703,""id"",""en"")"),"French goal comeback forced Argentina to play the additional round of the World Cup final")</f>
        <v>French goal comeback forced Argentina to play the additional round of the World Cup final</v>
      </c>
    </row>
    <row r="2704" ht="15.75" customHeight="1">
      <c r="A2704" s="1">
        <v>2720.0</v>
      </c>
      <c r="B2704" s="3" t="s">
        <v>7943</v>
      </c>
      <c r="C2704" s="3">
        <v>3.0</v>
      </c>
      <c r="D2704" s="3">
        <v>3.0</v>
      </c>
      <c r="E2704" s="3">
        <v>133.0</v>
      </c>
      <c r="F2704" s="3" t="s">
        <v>7944</v>
      </c>
      <c r="G2704" s="3">
        <v>1.0</v>
      </c>
      <c r="H2704" s="3">
        <v>0.0</v>
      </c>
      <c r="I2704" s="3" t="s">
        <v>13</v>
      </c>
      <c r="J2704" s="3" t="s">
        <v>7945</v>
      </c>
      <c r="K2704" s="3" t="s">
        <v>50</v>
      </c>
      <c r="L2704" s="3" t="str">
        <f>IFERROR(__xludf.DUMMYFUNCTION("GOOGLETRANSLATE(F2704,""id"",""en"")"),"how come there is watching the world cup final already confident even though it's only the first half")</f>
        <v>how come there is watching the world cup final already confident even though it's only the first half</v>
      </c>
    </row>
    <row r="2705" ht="15.75" customHeight="1">
      <c r="A2705" s="1">
        <v>2721.0</v>
      </c>
      <c r="B2705" s="3" t="s">
        <v>7946</v>
      </c>
      <c r="C2705" s="3">
        <v>0.0</v>
      </c>
      <c r="D2705" s="3">
        <v>0.0</v>
      </c>
      <c r="E2705" s="3">
        <v>0.0</v>
      </c>
      <c r="F2705" s="3" t="s">
        <v>7947</v>
      </c>
      <c r="G2705" s="3">
        <v>1.0</v>
      </c>
      <c r="H2705" s="3">
        <v>0.0</v>
      </c>
      <c r="I2705" s="3" t="s">
        <v>13</v>
      </c>
      <c r="J2705" s="3" t="s">
        <v>7948</v>
      </c>
      <c r="K2705" s="3" t="s">
        <v>71</v>
      </c>
      <c r="L2705" s="3" t="str">
        <f>IFERROR(__xludf.DUMMYFUNCTION("GOOGLETRANSLATE(F2705,""id"",""en"")"),"This time the World Cup is really exciting, many star players will retire and the final French Argentina")</f>
        <v>This time the World Cup is really exciting, many star players will retire and the final French Argentina</v>
      </c>
    </row>
    <row r="2706" ht="15.75" customHeight="1">
      <c r="A2706" s="1">
        <v>2722.0</v>
      </c>
      <c r="B2706" s="3" t="s">
        <v>7949</v>
      </c>
      <c r="C2706" s="3">
        <v>1.0</v>
      </c>
      <c r="D2706" s="3">
        <v>0.0</v>
      </c>
      <c r="E2706" s="3">
        <v>1.0</v>
      </c>
      <c r="F2706" s="3" t="s">
        <v>7950</v>
      </c>
      <c r="G2706" s="3">
        <v>1.0</v>
      </c>
      <c r="H2706" s="3">
        <v>0.0</v>
      </c>
      <c r="I2706" s="3" t="s">
        <v>13</v>
      </c>
      <c r="J2706" s="3" t="s">
        <v>7951</v>
      </c>
      <c r="K2706" s="3" t="s">
        <v>244</v>
      </c>
      <c r="L2706" s="3" t="str">
        <f>IFERROR(__xludf.DUMMYFUNCTION("GOOGLETRANSLATE(F2706,""id"",""en"")"),"Come on, let's feel the sensation of buying a Tokoyomski shirt while the World Cup final wkwkwkwkk")</f>
        <v>Come on, let's feel the sensation of buying a Tokoyomski shirt while the World Cup final wkwkwkwkk</v>
      </c>
    </row>
    <row r="2707" ht="15.75" customHeight="1">
      <c r="A2707" s="1">
        <v>2723.0</v>
      </c>
      <c r="B2707" s="3" t="s">
        <v>7952</v>
      </c>
      <c r="C2707" s="3">
        <v>0.0</v>
      </c>
      <c r="D2707" s="3">
        <v>0.0</v>
      </c>
      <c r="E2707" s="3">
        <v>0.0</v>
      </c>
      <c r="F2707" s="3" t="s">
        <v>2968</v>
      </c>
      <c r="G2707" s="3">
        <v>1.0</v>
      </c>
      <c r="H2707" s="3">
        <v>0.0</v>
      </c>
      <c r="I2707" s="3" t="s">
        <v>13</v>
      </c>
      <c r="J2707" s="3" t="s">
        <v>2969</v>
      </c>
      <c r="K2707" s="3" t="s">
        <v>510</v>
      </c>
      <c r="L2707" s="3" t="str">
        <f>IFERROR(__xludf.DUMMYFUNCTION("GOOGLETRANSLATE(F2707,""id"",""en"")"),"The Nobar Final title of the World Cup in the middle of the Secretary General of the DPP Youth Perindo proof we are popular")</f>
        <v>The Nobar Final title of the World Cup in the middle of the Secretary General of the DPP Youth Perindo proof we are popular</v>
      </c>
    </row>
    <row r="2708" ht="15.75" customHeight="1">
      <c r="A2708" s="1">
        <v>2724.0</v>
      </c>
      <c r="B2708" s="3" t="s">
        <v>7953</v>
      </c>
      <c r="C2708" s="3">
        <v>0.0</v>
      </c>
      <c r="D2708" s="3">
        <v>0.0</v>
      </c>
      <c r="E2708" s="3">
        <v>0.0</v>
      </c>
      <c r="F2708" s="3" t="s">
        <v>7954</v>
      </c>
      <c r="G2708" s="3">
        <v>1.0</v>
      </c>
      <c r="H2708" s="3">
        <v>0.0</v>
      </c>
      <c r="I2708" s="3" t="s">
        <v>13</v>
      </c>
      <c r="J2708" s="3" t="s">
        <v>7955</v>
      </c>
      <c r="K2708" s="3" t="s">
        <v>94</v>
      </c>
      <c r="L2708" s="3" t="str">
        <f>IFERROR(__xludf.DUMMYFUNCTION("GOOGLETRANSLATE(F2708,""id"",""en"")"),"A LEAVE CLOSING CEREMONY KICK OF THE EARLY OF THE WORLD CUP FINAL FINALLY DIRECTLY Both teams are the same as ambitions to become world champions this year especially Argentina where Lionel Messi wants to end his football career with a sweet note")</f>
        <v>A LEAVE CLOSING CEREMONY KICK OF THE EARLY OF THE WORLD CUP FINAL FINALLY DIRECTLY Both teams are the same as ambitions to become world champions this year especially Argentina where Lionel Messi wants to end his football career with a sweet note</v>
      </c>
    </row>
    <row r="2709" ht="15.75" customHeight="1">
      <c r="A2709" s="1">
        <v>2725.0</v>
      </c>
      <c r="B2709" s="3" t="s">
        <v>7956</v>
      </c>
      <c r="C2709" s="3">
        <v>0.0</v>
      </c>
      <c r="D2709" s="3">
        <v>0.0</v>
      </c>
      <c r="E2709" s="3">
        <v>0.0</v>
      </c>
      <c r="F2709" s="3" t="s">
        <v>7957</v>
      </c>
      <c r="G2709" s="3">
        <v>1.0</v>
      </c>
      <c r="H2709" s="3">
        <v>0.0</v>
      </c>
      <c r="I2709" s="3" t="s">
        <v>13</v>
      </c>
      <c r="J2709" s="3" t="s">
        <v>7958</v>
      </c>
      <c r="K2709" s="3" t="s">
        <v>1293</v>
      </c>
      <c r="L2709" s="3" t="str">
        <f>IFERROR(__xludf.DUMMYFUNCTION("GOOGLETRANSLATE(F2709,""id"",""en"")"),"The World Cup Final began at WIB where before the match took place a closing ceremony with the appearance of a leading artist artist")</f>
        <v>The World Cup Final began at WIB where before the match took place a closing ceremony with the appearance of a leading artist artist</v>
      </c>
    </row>
    <row r="2710" ht="15.75" customHeight="1">
      <c r="A2710" s="1">
        <v>2726.0</v>
      </c>
      <c r="B2710" s="3" t="s">
        <v>7959</v>
      </c>
      <c r="C2710" s="3">
        <v>0.0</v>
      </c>
      <c r="D2710" s="3">
        <v>0.0</v>
      </c>
      <c r="E2710" s="3">
        <v>0.0</v>
      </c>
      <c r="F2710" s="3" t="s">
        <v>7960</v>
      </c>
      <c r="G2710" s="3">
        <v>1.0</v>
      </c>
      <c r="H2710" s="3">
        <v>0.0</v>
      </c>
      <c r="I2710" s="3" t="s">
        <v>13</v>
      </c>
      <c r="J2710" s="3" t="s">
        <v>7961</v>
      </c>
      <c r="K2710" s="3" t="s">
        <v>510</v>
      </c>
      <c r="L2710" s="3" t="str">
        <f>IFERROR(__xludf.DUMMYFUNCTION("GOOGLETRANSLATE(F2710,""id"",""en"")"),"Final Final French French Argentina Equal position through Kylian Mbappe with a fast goal")</f>
        <v>Final Final French French Argentina Equal position through Kylian Mbappe with a fast goal</v>
      </c>
    </row>
    <row r="2711" ht="15.75" customHeight="1">
      <c r="A2711" s="1">
        <v>2727.0</v>
      </c>
      <c r="B2711" s="3" t="s">
        <v>7962</v>
      </c>
      <c r="C2711" s="3">
        <v>0.0</v>
      </c>
      <c r="D2711" s="3">
        <v>0.0</v>
      </c>
      <c r="E2711" s="3">
        <v>0.0</v>
      </c>
      <c r="F2711" s="3" t="s">
        <v>7963</v>
      </c>
      <c r="G2711" s="3">
        <v>1.0</v>
      </c>
      <c r="H2711" s="3">
        <v>0.0</v>
      </c>
      <c r="I2711" s="3" t="s">
        <v>13</v>
      </c>
      <c r="J2711" s="3" t="s">
        <v>7964</v>
      </c>
      <c r="K2711" s="3" t="s">
        <v>15</v>
      </c>
      <c r="L2711" s="3" t="str">
        <f>IFERROR(__xludf.DUMMYFUNCTION("GOOGLETRANSLATE(F2711,""id"",""en"")"),"If the final of the world cup against Argentina is Eibar, surely Messi Hattrick")</f>
        <v>If the final of the world cup against Argentina is Eibar, surely Messi Hattrick</v>
      </c>
    </row>
    <row r="2712" ht="15.75" customHeight="1">
      <c r="A2712" s="1">
        <v>2728.0</v>
      </c>
      <c r="B2712" s="3" t="s">
        <v>7965</v>
      </c>
      <c r="C2712" s="3">
        <v>0.0</v>
      </c>
      <c r="D2712" s="3">
        <v>0.0</v>
      </c>
      <c r="E2712" s="3">
        <v>0.0</v>
      </c>
      <c r="F2712" s="3" t="s">
        <v>7966</v>
      </c>
      <c r="G2712" s="3">
        <v>1.0</v>
      </c>
      <c r="H2712" s="3">
        <v>0.0</v>
      </c>
      <c r="I2712" s="3" t="s">
        <v>13</v>
      </c>
      <c r="J2712" s="3" t="s">
        <v>7967</v>
      </c>
      <c r="K2712" s="3" t="s">
        <v>19</v>
      </c>
      <c r="L2712" s="3" t="str">
        <f>IFERROR(__xludf.DUMMYFUNCTION("GOOGLETRANSLATE(F2712,""id"",""en"")"),"Qatar World Cup Final Mbappe Goals Buy Argentina The match continues")</f>
        <v>Qatar World Cup Final Mbappe Goals Buy Argentina The match continues</v>
      </c>
    </row>
    <row r="2713" ht="15.75" customHeight="1">
      <c r="A2713" s="1">
        <v>2729.0</v>
      </c>
      <c r="B2713" s="3" t="s">
        <v>7968</v>
      </c>
      <c r="C2713" s="3">
        <v>0.0</v>
      </c>
      <c r="D2713" s="3">
        <v>0.0</v>
      </c>
      <c r="E2713" s="3">
        <v>0.0</v>
      </c>
      <c r="F2713" s="3" t="s">
        <v>7969</v>
      </c>
      <c r="G2713" s="3">
        <v>1.0</v>
      </c>
      <c r="H2713" s="3">
        <v>0.0</v>
      </c>
      <c r="I2713" s="3" t="s">
        <v>13</v>
      </c>
      <c r="J2713" s="3" t="s">
        <v>7970</v>
      </c>
      <c r="K2713" s="3" t="s">
        <v>135</v>
      </c>
      <c r="L2713" s="3" t="str">
        <f>IFERROR(__xludf.DUMMYFUNCTION("GOOGLETRANSLATE(F2713,""id"",""en"")"),"France's fierce mbappe resistant to Argentina Kylian Mbappe to be the actor of the rise of France the second half of his two goals brought France to equalize to become during the World Cup final match")</f>
        <v>France's fierce mbappe resistant to Argentina Kylian Mbappe to be the actor of the rise of France the second half of his two goals brought France to equalize to become during the World Cup final match</v>
      </c>
    </row>
    <row r="2714" ht="15.75" customHeight="1">
      <c r="A2714" s="1">
        <v>2730.0</v>
      </c>
      <c r="B2714" s="3" t="s">
        <v>7971</v>
      </c>
      <c r="C2714" s="3">
        <v>0.0</v>
      </c>
      <c r="D2714" s="3">
        <v>0.0</v>
      </c>
      <c r="E2714" s="3">
        <v>0.0</v>
      </c>
      <c r="F2714" s="3" t="s">
        <v>7972</v>
      </c>
      <c r="G2714" s="3">
        <v>1.0</v>
      </c>
      <c r="H2714" s="3">
        <v>0.0</v>
      </c>
      <c r="I2714" s="3" t="s">
        <v>13</v>
      </c>
      <c r="J2714" s="3" t="s">
        <v>7973</v>
      </c>
      <c r="K2714" s="3" t="s">
        <v>71</v>
      </c>
      <c r="L2714" s="3" t="str">
        <f>IFERROR(__xludf.DUMMYFUNCTION("GOOGLETRANSLATE(F2714,""id"",""en"")"),"France rose to catch up against Argentina in the World Cup final match by equating the second half score")</f>
        <v>France rose to catch up against Argentina in the World Cup final match by equating the second half score</v>
      </c>
    </row>
    <row r="2715" ht="15.75" customHeight="1">
      <c r="A2715" s="1">
        <v>2731.0</v>
      </c>
      <c r="B2715" s="3" t="s">
        <v>7974</v>
      </c>
      <c r="C2715" s="3">
        <v>0.0</v>
      </c>
      <c r="D2715" s="3">
        <v>0.0</v>
      </c>
      <c r="E2715" s="3">
        <v>0.0</v>
      </c>
      <c r="F2715" s="3" t="s">
        <v>7975</v>
      </c>
      <c r="G2715" s="3">
        <v>1.0</v>
      </c>
      <c r="H2715" s="3">
        <v>0.0</v>
      </c>
      <c r="I2715" s="3" t="s">
        <v>13</v>
      </c>
      <c r="J2715" s="3" t="s">
        <v>7976</v>
      </c>
      <c r="K2715" s="3" t="s">
        <v>15</v>
      </c>
      <c r="L2715" s="3" t="str">
        <f>IFERROR(__xludf.DUMMYFUNCTION("GOOGLETRANSLATE(F2715,""id"",""en"")"),"The French Argentine World Cup Final continues to extension")</f>
        <v>The French Argentine World Cup Final continues to extension</v>
      </c>
    </row>
    <row r="2716" ht="15.75" customHeight="1">
      <c r="A2716" s="1">
        <v>2732.0</v>
      </c>
      <c r="B2716" s="3" t="s">
        <v>7977</v>
      </c>
      <c r="C2716" s="3">
        <v>0.0</v>
      </c>
      <c r="D2716" s="3">
        <v>0.0</v>
      </c>
      <c r="E2716" s="3">
        <v>0.0</v>
      </c>
      <c r="F2716" s="3" t="s">
        <v>7978</v>
      </c>
      <c r="G2716" s="3">
        <v>1.0</v>
      </c>
      <c r="H2716" s="3">
        <v>0.0</v>
      </c>
      <c r="I2716" s="3" t="s">
        <v>13</v>
      </c>
      <c r="J2716" s="3" t="s">
        <v>7979</v>
      </c>
      <c r="K2716" s="3" t="s">
        <v>50</v>
      </c>
      <c r="L2716" s="3" t="str">
        <f>IFERROR(__xludf.DUMMYFUNCTION("GOOGLETRANSLATE(F2716,""id"",""en"")"),"Mbappe World Cup Final Scored Two Score So Continuing Additional Round")</f>
        <v>Mbappe World Cup Final Scored Two Score So Continuing Additional Round</v>
      </c>
    </row>
    <row r="2717" ht="15.75" customHeight="1">
      <c r="A2717" s="1">
        <v>2733.0</v>
      </c>
      <c r="B2717" s="3" t="s">
        <v>7980</v>
      </c>
      <c r="C2717" s="3">
        <v>0.0</v>
      </c>
      <c r="D2717" s="3">
        <v>0.0</v>
      </c>
      <c r="E2717" s="3">
        <v>0.0</v>
      </c>
      <c r="F2717" s="3" t="s">
        <v>7981</v>
      </c>
      <c r="G2717" s="3">
        <v>1.0</v>
      </c>
      <c r="H2717" s="3">
        <v>0.0</v>
      </c>
      <c r="I2717" s="3" t="s">
        <v>13</v>
      </c>
      <c r="J2717" s="3" t="s">
        <v>7982</v>
      </c>
      <c r="K2717" s="3" t="s">
        <v>433</v>
      </c>
      <c r="L2717" s="3" t="str">
        <f>IFERROR(__xludf.DUMMYFUNCTION("GOOGLETRANSLATE(F2717,""id"",""en"")"),"Once watching the World Cup when the final and the match like this it feels in vain for my time to stay up late")</f>
        <v>Once watching the World Cup when the final and the match like this it feels in vain for my time to stay up late</v>
      </c>
    </row>
    <row r="2718" ht="15.75" customHeight="1">
      <c r="A2718" s="1">
        <v>2734.0</v>
      </c>
      <c r="B2718" s="3" t="s">
        <v>7983</v>
      </c>
      <c r="C2718" s="3">
        <v>0.0</v>
      </c>
      <c r="D2718" s="3">
        <v>0.0</v>
      </c>
      <c r="E2718" s="3">
        <v>0.0</v>
      </c>
      <c r="F2718" s="3" t="s">
        <v>7984</v>
      </c>
      <c r="G2718" s="3">
        <v>1.0</v>
      </c>
      <c r="H2718" s="3">
        <v>0.0</v>
      </c>
      <c r="I2718" s="3" t="s">
        <v>13</v>
      </c>
      <c r="J2718" s="3" t="s">
        <v>7985</v>
      </c>
      <c r="K2718" s="3" t="s">
        <v>610</v>
      </c>
      <c r="L2718" s="3" t="str">
        <f>IFERROR(__xludf.DUMMYFUNCTION("GOOGLETRANSLATE(F2718,""id"",""en"")"),"from before the World Cup later watching the opening, starting the World Cup, later watching the final, it's already the final of the World Cup, still not interested in watching the ball, just wait for the final result, just")</f>
        <v>from before the World Cup later watching the opening, starting the World Cup, later watching the final, it's already the final of the World Cup, still not interested in watching the ball, just wait for the final result, just</v>
      </c>
    </row>
    <row r="2719" ht="15.75" customHeight="1">
      <c r="A2719" s="1">
        <v>2735.0</v>
      </c>
      <c r="B2719" s="3" t="s">
        <v>7986</v>
      </c>
      <c r="C2719" s="3">
        <v>0.0</v>
      </c>
      <c r="D2719" s="3">
        <v>0.0</v>
      </c>
      <c r="E2719" s="3">
        <v>0.0</v>
      </c>
      <c r="F2719" s="3" t="s">
        <v>7987</v>
      </c>
      <c r="G2719" s="3">
        <v>1.0</v>
      </c>
      <c r="H2719" s="3">
        <v>0.0</v>
      </c>
      <c r="I2719" s="3" t="s">
        <v>13</v>
      </c>
      <c r="J2719" s="3" t="s">
        <v>7988</v>
      </c>
      <c r="K2719" s="3" t="s">
        <v>82</v>
      </c>
      <c r="L2719" s="3" t="str">
        <f>IFERROR(__xludf.DUMMYFUNCTION("GOOGLETRANSLATE(F2719,""id"",""en"")"),"His kek is so tense if the World Cup Final betting")</f>
        <v>His kek is so tense if the World Cup Final betting</v>
      </c>
    </row>
    <row r="2720" ht="15.75" customHeight="1">
      <c r="A2720" s="1">
        <v>2736.0</v>
      </c>
      <c r="B2720" s="3" t="s">
        <v>7989</v>
      </c>
      <c r="C2720" s="3">
        <v>0.0</v>
      </c>
      <c r="D2720" s="3">
        <v>0.0</v>
      </c>
      <c r="E2720" s="3">
        <v>0.0</v>
      </c>
      <c r="F2720" s="3" t="s">
        <v>7990</v>
      </c>
      <c r="G2720" s="3">
        <v>1.0</v>
      </c>
      <c r="H2720" s="3">
        <v>0.0</v>
      </c>
      <c r="I2720" s="3" t="s">
        <v>13</v>
      </c>
      <c r="J2720" s="3" t="s">
        <v>7991</v>
      </c>
      <c r="K2720" s="3" t="s">
        <v>31</v>
      </c>
      <c r="L2720" s="3" t="str">
        <f>IFERROR(__xludf.DUMMYFUNCTION("GOOGLETRANSLATE(F2720,""id"",""en"")"),"I feel like the final world cup")</f>
        <v>I feel like the final world cup</v>
      </c>
    </row>
    <row r="2721" ht="15.75" customHeight="1">
      <c r="A2721" s="1">
        <v>2737.0</v>
      </c>
      <c r="B2721" s="3" t="s">
        <v>7992</v>
      </c>
      <c r="C2721" s="3">
        <v>0.0</v>
      </c>
      <c r="D2721" s="3">
        <v>0.0</v>
      </c>
      <c r="E2721" s="3">
        <v>0.0</v>
      </c>
      <c r="F2721" s="3" t="s">
        <v>1547</v>
      </c>
      <c r="G2721" s="3">
        <v>1.0</v>
      </c>
      <c r="H2721" s="3">
        <v>0.0</v>
      </c>
      <c r="I2721" s="3" t="s">
        <v>13</v>
      </c>
      <c r="J2721" s="3" t="s">
        <v>1548</v>
      </c>
      <c r="K2721" s="3" t="s">
        <v>644</v>
      </c>
      <c r="L2721" s="3" t="str">
        <f>IFERROR(__xludf.DUMMYFUNCTION("GOOGLETRANSLATE(F2721,""id"",""en"")"),"World Cup Final Nobar")</f>
        <v>World Cup Final Nobar</v>
      </c>
    </row>
    <row r="2722" ht="15.75" customHeight="1">
      <c r="A2722" s="1">
        <v>2738.0</v>
      </c>
      <c r="B2722" s="3" t="s">
        <v>7993</v>
      </c>
      <c r="C2722" s="3">
        <v>0.0</v>
      </c>
      <c r="D2722" s="3">
        <v>0.0</v>
      </c>
      <c r="E2722" s="3">
        <v>0.0</v>
      </c>
      <c r="F2722" s="3" t="s">
        <v>7994</v>
      </c>
      <c r="G2722" s="3">
        <v>1.0</v>
      </c>
      <c r="H2722" s="3">
        <v>0.0</v>
      </c>
      <c r="I2722" s="3" t="s">
        <v>13</v>
      </c>
      <c r="J2722" s="3" t="s">
        <v>7995</v>
      </c>
      <c r="K2722" s="3" t="s">
        <v>510</v>
      </c>
      <c r="L2722" s="3" t="str">
        <f>IFERROR(__xludf.DUMMYFUNCTION("GOOGLETRANSLATE(F2722,""id"",""en"")"),"The excitement of the Nobar Final of the World Cup Fifteen Celsius Sky Lounge is cool and makes it nervous")</f>
        <v>The excitement of the Nobar Final of the World Cup Fifteen Celsius Sky Lounge is cool and makes it nervous</v>
      </c>
    </row>
    <row r="2723" ht="15.75" customHeight="1">
      <c r="A2723" s="1">
        <v>2739.0</v>
      </c>
      <c r="B2723" s="3" t="s">
        <v>7996</v>
      </c>
      <c r="C2723" s="3">
        <v>0.0</v>
      </c>
      <c r="D2723" s="3">
        <v>0.0</v>
      </c>
      <c r="E2723" s="3">
        <v>0.0</v>
      </c>
      <c r="F2723" s="3" t="s">
        <v>7997</v>
      </c>
      <c r="G2723" s="3">
        <v>1.0</v>
      </c>
      <c r="H2723" s="3">
        <v>0.0</v>
      </c>
      <c r="I2723" s="3" t="s">
        <v>13</v>
      </c>
      <c r="J2723" s="3" t="s">
        <v>7998</v>
      </c>
      <c r="K2723" s="3" t="s">
        <v>240</v>
      </c>
      <c r="L2723" s="3" t="str">
        <f>IFERROR(__xludf.DUMMYFUNCTION("GOOGLETRANSLATE(F2723,""id"",""en"")"),"Journalists have prepared materials in the title using the title Mbappe Losing the Magical World Cup Final Now Revised Again")</f>
        <v>Journalists have prepared materials in the title using the title Mbappe Losing the Magical World Cup Final Now Revised Again</v>
      </c>
    </row>
    <row r="2724" ht="15.75" customHeight="1">
      <c r="A2724" s="1">
        <v>2740.0</v>
      </c>
      <c r="B2724" s="3" t="s">
        <v>7999</v>
      </c>
      <c r="C2724" s="3">
        <v>0.0</v>
      </c>
      <c r="D2724" s="3">
        <v>0.0</v>
      </c>
      <c r="E2724" s="3">
        <v>1.0</v>
      </c>
      <c r="F2724" s="3" t="s">
        <v>8000</v>
      </c>
      <c r="G2724" s="3">
        <v>1.0</v>
      </c>
      <c r="H2724" s="3">
        <v>0.0</v>
      </c>
      <c r="I2724" s="3" t="s">
        <v>13</v>
      </c>
      <c r="J2724" s="3" t="s">
        <v>8001</v>
      </c>
      <c r="K2724" s="3" t="s">
        <v>15</v>
      </c>
      <c r="L2724" s="3" t="str">
        <f>IFERROR(__xludf.DUMMYFUNCTION("GOOGLETRANSLATE(F2724,""id"",""en"")"),"He said he wanted to watch the World Cup final, knowing that there was a snoring sound")</f>
        <v>He said he wanted to watch the World Cup final, knowing that there was a snoring sound</v>
      </c>
    </row>
    <row r="2725" ht="15.75" customHeight="1">
      <c r="A2725" s="1">
        <v>2741.0</v>
      </c>
      <c r="B2725" s="3" t="s">
        <v>8002</v>
      </c>
      <c r="C2725" s="3">
        <v>0.0</v>
      </c>
      <c r="D2725" s="3">
        <v>1.0</v>
      </c>
      <c r="E2725" s="3">
        <v>0.0</v>
      </c>
      <c r="F2725" s="3" t="s">
        <v>8003</v>
      </c>
      <c r="G2725" s="3">
        <v>1.0</v>
      </c>
      <c r="H2725" s="3">
        <v>0.0</v>
      </c>
      <c r="I2725" s="3" t="s">
        <v>13</v>
      </c>
      <c r="J2725" s="3" t="s">
        <v>8004</v>
      </c>
      <c r="K2725" s="3" t="s">
        <v>54</v>
      </c>
      <c r="L2725" s="3" t="str">
        <f>IFERROR(__xludf.DUMMYFUNCTION("GOOGLETRANSLATE(F2725,""id"",""en"")"),"as a neutral spectator of the final world cup exciting")</f>
        <v>as a neutral spectator of the final world cup exciting</v>
      </c>
    </row>
    <row r="2726" ht="15.75" customHeight="1">
      <c r="A2726" s="1">
        <v>2742.0</v>
      </c>
      <c r="B2726" s="3" t="s">
        <v>8005</v>
      </c>
      <c r="C2726" s="3">
        <v>0.0</v>
      </c>
      <c r="D2726" s="3">
        <v>0.0</v>
      </c>
      <c r="E2726" s="3">
        <v>0.0</v>
      </c>
      <c r="F2726" s="3" t="s">
        <v>8006</v>
      </c>
      <c r="G2726" s="3">
        <v>1.0</v>
      </c>
      <c r="H2726" s="3">
        <v>0.0</v>
      </c>
      <c r="I2726" s="3" t="s">
        <v>13</v>
      </c>
      <c r="J2726" s="3" t="s">
        <v>8007</v>
      </c>
      <c r="K2726" s="3" t="s">
        <v>75</v>
      </c>
      <c r="L2726" s="3" t="str">
        <f>IFERROR(__xludf.DUMMYFUNCTION("GOOGLETRANSLATE(F2726,""id"",""en"")"),"The excitement of supporters of the French national team ahead of the Qatar World Cup Final Party")</f>
        <v>The excitement of supporters of the French national team ahead of the Qatar World Cup Final Party</v>
      </c>
    </row>
    <row r="2727" ht="15.75" customHeight="1">
      <c r="A2727" s="1">
        <v>2743.0</v>
      </c>
      <c r="B2727" s="3" t="s">
        <v>8008</v>
      </c>
      <c r="C2727" s="3">
        <v>0.0</v>
      </c>
      <c r="D2727" s="3">
        <v>2.0</v>
      </c>
      <c r="E2727" s="3">
        <v>4.0</v>
      </c>
      <c r="F2727" s="3" t="s">
        <v>8009</v>
      </c>
      <c r="G2727" s="3">
        <v>1.0</v>
      </c>
      <c r="H2727" s="3">
        <v>0.0</v>
      </c>
      <c r="I2727" s="3" t="s">
        <v>13</v>
      </c>
      <c r="J2727" s="3" t="s">
        <v>8010</v>
      </c>
      <c r="K2727" s="3" t="s">
        <v>75</v>
      </c>
      <c r="L2727" s="3" t="str">
        <f>IFERROR(__xludf.DUMMYFUNCTION("GOOGLETRANSLATE(F2727,""id"",""en"")"),"Mbappe World Cup Final Forced Duel Continued Time")</f>
        <v>Mbappe World Cup Final Forced Duel Continued Time</v>
      </c>
    </row>
    <row r="2728" ht="15.75" customHeight="1">
      <c r="A2728" s="1">
        <v>2744.0</v>
      </c>
      <c r="B2728" s="3" t="s">
        <v>8011</v>
      </c>
      <c r="C2728" s="3">
        <v>1.0</v>
      </c>
      <c r="D2728" s="3">
        <v>0.0</v>
      </c>
      <c r="E2728" s="3">
        <v>0.0</v>
      </c>
      <c r="F2728" s="3" t="s">
        <v>8012</v>
      </c>
      <c r="G2728" s="3">
        <v>1.0</v>
      </c>
      <c r="H2728" s="3">
        <v>0.0</v>
      </c>
      <c r="I2728" s="3" t="s">
        <v>13</v>
      </c>
      <c r="J2728" s="3" t="s">
        <v>8013</v>
      </c>
      <c r="K2728" s="3" t="s">
        <v>41</v>
      </c>
      <c r="L2728" s="3" t="str">
        <f>IFERROR(__xludf.DUMMYFUNCTION("GOOGLETRANSLATE(F2728,""id"",""en"")"),"Nobar Final World Cup is already like this")</f>
        <v>Nobar Final World Cup is already like this</v>
      </c>
    </row>
    <row r="2729" ht="15.75" customHeight="1">
      <c r="A2729" s="1">
        <v>2745.0</v>
      </c>
      <c r="B2729" s="3" t="s">
        <v>8014</v>
      </c>
      <c r="C2729" s="3">
        <v>0.0</v>
      </c>
      <c r="D2729" s="3">
        <v>0.0</v>
      </c>
      <c r="E2729" s="3">
        <v>0.0</v>
      </c>
      <c r="F2729" s="3" t="s">
        <v>8015</v>
      </c>
      <c r="G2729" s="3">
        <v>1.0</v>
      </c>
      <c r="H2729" s="3">
        <v>0.0</v>
      </c>
      <c r="I2729" s="3" t="s">
        <v>13</v>
      </c>
      <c r="J2729" s="3" t="s">
        <v>8016</v>
      </c>
      <c r="K2729" s="3" t="s">
        <v>35</v>
      </c>
      <c r="L2729" s="3" t="str">
        <f>IFERROR(__xludf.DUMMYFUNCTION("GOOGLETRANSLATE(F2729,""id"",""en"")"),"World Cup Final France Brazil Brazil goal scorer Zinedine Zidane Emmanuel Petit")</f>
        <v>World Cup Final France Brazil Brazil goal scorer Zinedine Zidane Emmanuel Petit</v>
      </c>
    </row>
    <row r="2730" ht="15.75" customHeight="1">
      <c r="A2730" s="1">
        <v>2746.0</v>
      </c>
      <c r="B2730" s="3" t="s">
        <v>8017</v>
      </c>
      <c r="C2730" s="3">
        <v>0.0</v>
      </c>
      <c r="D2730" s="3">
        <v>0.0</v>
      </c>
      <c r="E2730" s="3">
        <v>0.0</v>
      </c>
      <c r="F2730" s="3" t="s">
        <v>8018</v>
      </c>
      <c r="G2730" s="3">
        <v>1.0</v>
      </c>
      <c r="H2730" s="3">
        <v>0.0</v>
      </c>
      <c r="I2730" s="3" t="s">
        <v>13</v>
      </c>
      <c r="J2730" s="3" t="s">
        <v>8019</v>
      </c>
      <c r="K2730" s="3" t="s">
        <v>82</v>
      </c>
      <c r="L2730" s="3" t="str">
        <f>IFERROR(__xludf.DUMMYFUNCTION("GOOGLETRANSLATE(F2730,""id"",""en"")"),"Leave the event of the World Cup Final Sempena tomorrow")</f>
        <v>Leave the event of the World Cup Final Sempena tomorrow</v>
      </c>
    </row>
    <row r="2731" ht="15.75" customHeight="1">
      <c r="A2731" s="1">
        <v>2747.0</v>
      </c>
      <c r="B2731" s="3" t="s">
        <v>8020</v>
      </c>
      <c r="C2731" s="3">
        <v>0.0</v>
      </c>
      <c r="D2731" s="3">
        <v>0.0</v>
      </c>
      <c r="E2731" s="3">
        <v>0.0</v>
      </c>
      <c r="F2731" s="3" t="s">
        <v>8021</v>
      </c>
      <c r="G2731" s="3">
        <v>1.0</v>
      </c>
      <c r="H2731" s="3">
        <v>0.0</v>
      </c>
      <c r="I2731" s="3" t="s">
        <v>13</v>
      </c>
      <c r="J2731" s="3" t="s">
        <v>8022</v>
      </c>
      <c r="K2731" s="3" t="s">
        <v>75</v>
      </c>
      <c r="L2731" s="3" t="str">
        <f>IFERROR(__xludf.DUMMYFUNCTION("GOOGLETRANSLATE(F2731,""id"",""en"")"),"Kylian Mbappe Final's two goals have failed Argentina Champion of the Qatar World Cup")</f>
        <v>Kylian Mbappe Final's two goals have failed Argentina Champion of the Qatar World Cup</v>
      </c>
    </row>
    <row r="2732" ht="15.75" customHeight="1">
      <c r="A2732" s="1">
        <v>2748.0</v>
      </c>
      <c r="B2732" s="3" t="s">
        <v>8023</v>
      </c>
      <c r="C2732" s="3">
        <v>0.0</v>
      </c>
      <c r="D2732" s="3">
        <v>0.0</v>
      </c>
      <c r="E2732" s="3">
        <v>0.0</v>
      </c>
      <c r="F2732" s="3" t="s">
        <v>8024</v>
      </c>
      <c r="G2732" s="3">
        <v>1.0</v>
      </c>
      <c r="H2732" s="3">
        <v>0.0</v>
      </c>
      <c r="I2732" s="3" t="s">
        <v>13</v>
      </c>
      <c r="J2732" s="3" t="s">
        <v>8025</v>
      </c>
      <c r="K2732" s="3" t="s">
        <v>82</v>
      </c>
      <c r="L2732" s="3" t="str">
        <f>IFERROR(__xludf.DUMMYFUNCTION("GOOGLETRANSLATE(F2732,""id"",""en"")"),"Prediction of the French World Cup Final match Argentina")</f>
        <v>Prediction of the French World Cup Final match Argentina</v>
      </c>
    </row>
    <row r="2733" ht="15.75" customHeight="1">
      <c r="A2733" s="1">
        <v>2749.0</v>
      </c>
      <c r="B2733" s="3" t="s">
        <v>8026</v>
      </c>
      <c r="C2733" s="3">
        <v>0.0</v>
      </c>
      <c r="D2733" s="3">
        <v>0.0</v>
      </c>
      <c r="E2733" s="3">
        <v>1.0</v>
      </c>
      <c r="F2733" s="3" t="s">
        <v>8027</v>
      </c>
      <c r="G2733" s="3">
        <v>0.75</v>
      </c>
      <c r="H2733" s="3">
        <v>0.06818181818181818</v>
      </c>
      <c r="I2733" s="3" t="s">
        <v>48</v>
      </c>
      <c r="J2733" s="3" t="s">
        <v>8028</v>
      </c>
      <c r="K2733" s="3" t="s">
        <v>240</v>
      </c>
      <c r="L2733" s="3" t="str">
        <f>IFERROR(__xludf.DUMMYFUNCTION("GOOGLETRANSLATE(F2733,""id"",""en"")"),"live broadcast of the Argentina French World Cup final SCTV Access Live Streaming Links Click here Notif Indonesia")</f>
        <v>live broadcast of the Argentina French World Cup final SCTV Access Live Streaming Links Click here Notif Indonesia</v>
      </c>
    </row>
    <row r="2734" ht="15.75" customHeight="1">
      <c r="A2734" s="1">
        <v>2750.0</v>
      </c>
      <c r="B2734" s="3" t="s">
        <v>8029</v>
      </c>
      <c r="C2734" s="3">
        <v>0.0</v>
      </c>
      <c r="D2734" s="3">
        <v>0.0</v>
      </c>
      <c r="E2734" s="3">
        <v>0.0</v>
      </c>
      <c r="F2734" s="3" t="s">
        <v>8030</v>
      </c>
      <c r="G2734" s="3">
        <v>0.75</v>
      </c>
      <c r="H2734" s="3">
        <v>0.06818181818181818</v>
      </c>
      <c r="I2734" s="3" t="s">
        <v>48</v>
      </c>
      <c r="J2734" s="3" t="s">
        <v>8031</v>
      </c>
      <c r="K2734" s="3" t="s">
        <v>50</v>
      </c>
      <c r="L2734" s="3" t="str">
        <f>IFERROR(__xludf.DUMMYFUNCTION("GOOGLETRANSLATE(F2734,""id"",""en"")"),"Live Score while Argentina French Final World Cup Qatar Mbappe Mbappe Position")</f>
        <v>Live Score while Argentina French Final World Cup Qatar Mbappe Mbappe Position</v>
      </c>
    </row>
    <row r="2735" ht="15.75" customHeight="1">
      <c r="A2735" s="1">
        <v>2751.0</v>
      </c>
      <c r="B2735" s="3" t="s">
        <v>8032</v>
      </c>
      <c r="C2735" s="3">
        <v>0.0</v>
      </c>
      <c r="D2735" s="3">
        <v>0.0</v>
      </c>
      <c r="E2735" s="3">
        <v>0.0</v>
      </c>
      <c r="F2735" s="3" t="s">
        <v>8033</v>
      </c>
      <c r="G2735" s="3">
        <v>1.0</v>
      </c>
      <c r="H2735" s="3">
        <v>0.0</v>
      </c>
      <c r="I2735" s="3" t="s">
        <v>13</v>
      </c>
      <c r="J2735" s="3" t="s">
        <v>8034</v>
      </c>
      <c r="K2735" s="3" t="s">
        <v>50</v>
      </c>
      <c r="L2735" s="3" t="str">
        <f>IFERROR(__xludf.DUMMYFUNCTION("GOOGLETRANSLATE(F2735,""id"",""en"")"),"Imagine if Mbappe Hattrick Final Champion before the year already had a horror world cup")</f>
        <v>Imagine if Mbappe Hattrick Final Champion before the year already had a horror world cup</v>
      </c>
    </row>
    <row r="2736" ht="15.75" customHeight="1">
      <c r="A2736" s="1">
        <v>2752.0</v>
      </c>
      <c r="B2736" s="3" t="s">
        <v>8035</v>
      </c>
      <c r="C2736" s="3">
        <v>0.0</v>
      </c>
      <c r="D2736" s="3">
        <v>0.0</v>
      </c>
      <c r="E2736" s="3">
        <v>0.0</v>
      </c>
      <c r="F2736" s="3" t="s">
        <v>8036</v>
      </c>
      <c r="G2736" s="3">
        <v>1.0</v>
      </c>
      <c r="H2736" s="3">
        <v>0.0</v>
      </c>
      <c r="I2736" s="3" t="s">
        <v>13</v>
      </c>
      <c r="J2736" s="3" t="s">
        <v>8037</v>
      </c>
      <c r="K2736" s="3" t="s">
        <v>50</v>
      </c>
      <c r="L2736" s="3" t="str">
        <f>IFERROR(__xludf.DUMMYFUNCTION("GOOGLETRANSLATE(F2736,""id"",""en"")"),"The referee's world cup final patent does not check var well played")</f>
        <v>The referee's world cup final patent does not check var well played</v>
      </c>
    </row>
    <row r="2737" ht="15.75" customHeight="1">
      <c r="A2737" s="1">
        <v>2753.0</v>
      </c>
      <c r="B2737" s="3" t="s">
        <v>8038</v>
      </c>
      <c r="C2737" s="3">
        <v>0.0</v>
      </c>
      <c r="D2737" s="3">
        <v>0.0</v>
      </c>
      <c r="E2737" s="3">
        <v>1.0</v>
      </c>
      <c r="F2737" s="3" t="s">
        <v>8039</v>
      </c>
      <c r="G2737" s="3">
        <v>1.0</v>
      </c>
      <c r="H2737" s="3">
        <v>0.0</v>
      </c>
      <c r="I2737" s="3" t="s">
        <v>13</v>
      </c>
      <c r="J2737" s="3" t="s">
        <v>8040</v>
      </c>
      <c r="K2737" s="3" t="s">
        <v>41</v>
      </c>
      <c r="L2737" s="3" t="str">
        <f>IFERROR(__xludf.DUMMYFUNCTION("GOOGLETRANSLATE(F2737,""id"",""en"")"),"My two heroes fought fiercely the World Cup Final WHOOOAH")</f>
        <v>My two heroes fought fiercely the World Cup Final WHOOOAH</v>
      </c>
    </row>
    <row r="2738" ht="15.75" customHeight="1">
      <c r="A2738" s="1">
        <v>2754.0</v>
      </c>
      <c r="B2738" s="3" t="s">
        <v>8041</v>
      </c>
      <c r="C2738" s="3">
        <v>0.0</v>
      </c>
      <c r="D2738" s="3">
        <v>0.0</v>
      </c>
      <c r="E2738" s="3">
        <v>0.0</v>
      </c>
      <c r="F2738" s="3" t="s">
        <v>8042</v>
      </c>
      <c r="G2738" s="3">
        <v>1.0</v>
      </c>
      <c r="H2738" s="3">
        <v>0.0</v>
      </c>
      <c r="I2738" s="3" t="s">
        <v>13</v>
      </c>
      <c r="J2738" s="3" t="s">
        <v>8043</v>
      </c>
      <c r="K2738" s="3" t="s">
        <v>644</v>
      </c>
      <c r="L2738" s="3" t="str">
        <f>IFERROR(__xludf.DUMMYFUNCTION("GOOGLETRANSLATE(F2738,""id"",""en"")"),"Argentina World Cup Final Sure")</f>
        <v>Argentina World Cup Final Sure</v>
      </c>
    </row>
    <row r="2739" ht="15.75" customHeight="1">
      <c r="A2739" s="1">
        <v>2755.0</v>
      </c>
      <c r="B2739" s="3" t="s">
        <v>8044</v>
      </c>
      <c r="C2739" s="3">
        <v>1.0</v>
      </c>
      <c r="D2739" s="3">
        <v>0.0</v>
      </c>
      <c r="E2739" s="3">
        <v>1.0</v>
      </c>
      <c r="F2739" s="3" t="s">
        <v>8045</v>
      </c>
      <c r="G2739" s="3">
        <v>1.0</v>
      </c>
      <c r="H2739" s="3">
        <v>0.0</v>
      </c>
      <c r="I2739" s="3" t="s">
        <v>13</v>
      </c>
      <c r="J2739" s="3" t="s">
        <v>8046</v>
      </c>
      <c r="K2739" s="3" t="s">
        <v>82</v>
      </c>
      <c r="L2739" s="3" t="str">
        <f>IFERROR(__xludf.DUMMYFUNCTION("GOOGLETRANSLATE(F2739,""id"",""en"")"),"Nobar Warkop is busy with the World Cup final edition")</f>
        <v>Nobar Warkop is busy with the World Cup final edition</v>
      </c>
    </row>
    <row r="2740" ht="15.75" customHeight="1">
      <c r="A2740" s="1">
        <v>2756.0</v>
      </c>
      <c r="B2740" s="3" t="s">
        <v>8047</v>
      </c>
      <c r="C2740" s="3">
        <v>0.0</v>
      </c>
      <c r="D2740" s="3">
        <v>0.0</v>
      </c>
      <c r="E2740" s="3">
        <v>0.0</v>
      </c>
      <c r="F2740" s="3" t="s">
        <v>8048</v>
      </c>
      <c r="G2740" s="3">
        <v>1.0</v>
      </c>
      <c r="H2740" s="3">
        <v>0.0</v>
      </c>
      <c r="I2740" s="3" t="s">
        <v>13</v>
      </c>
      <c r="J2740" s="3" t="s">
        <v>8049</v>
      </c>
      <c r="K2740" s="3" t="s">
        <v>19</v>
      </c>
      <c r="L2740" s="3" t="str">
        <f>IFERROR(__xludf.DUMMYFUNCTION("GOOGLETRANSLATE(F2740,""id"",""en"")"),"what cmn with the world cup final instead of not watching and just want to know the final result wkwk")</f>
        <v>what cmn with the world cup final instead of not watching and just want to know the final result wkwk</v>
      </c>
    </row>
    <row r="2741" ht="15.75" customHeight="1">
      <c r="A2741" s="1">
        <v>2757.0</v>
      </c>
      <c r="B2741" s="3" t="s">
        <v>8050</v>
      </c>
      <c r="C2741" s="3">
        <v>0.0</v>
      </c>
      <c r="D2741" s="3">
        <v>1.0</v>
      </c>
      <c r="E2741" s="3">
        <v>0.0</v>
      </c>
      <c r="F2741" s="3" t="s">
        <v>8051</v>
      </c>
      <c r="G2741" s="3">
        <v>0.75</v>
      </c>
      <c r="H2741" s="3">
        <v>0.06818181818181818</v>
      </c>
      <c r="I2741" s="3" t="s">
        <v>48</v>
      </c>
      <c r="J2741" s="3" t="s">
        <v>8052</v>
      </c>
      <c r="K2741" s="3" t="s">
        <v>1293</v>
      </c>
      <c r="L2741" s="3" t="str">
        <f>IFERROR(__xludf.DUMMYFUNCTION("GOOGLETRANSLATE(F2741,""id"",""en"")"),"Minutes Rabiot out Fofana Entering Argentina France Link Live Streaming Argentina France tonight WIB World Cup Final")</f>
        <v>Minutes Rabiot out Fofana Entering Argentina France Link Live Streaming Argentina France tonight WIB World Cup Final</v>
      </c>
    </row>
    <row r="2742" ht="15.75" customHeight="1">
      <c r="A2742" s="1">
        <v>2758.0</v>
      </c>
      <c r="B2742" s="3" t="s">
        <v>8053</v>
      </c>
      <c r="C2742" s="3">
        <v>2.0</v>
      </c>
      <c r="D2742" s="3">
        <v>1.0</v>
      </c>
      <c r="E2742" s="3">
        <v>7.0</v>
      </c>
      <c r="F2742" s="3" t="s">
        <v>8054</v>
      </c>
      <c r="G2742" s="3">
        <v>1.0</v>
      </c>
      <c r="H2742" s="3">
        <v>0.0</v>
      </c>
      <c r="I2742" s="3" t="s">
        <v>13</v>
      </c>
      <c r="J2742" s="3" t="s">
        <v>8055</v>
      </c>
      <c r="K2742" s="3" t="s">
        <v>41</v>
      </c>
      <c r="L2742" s="3" t="str">
        <f>IFERROR(__xludf.DUMMYFUNCTION("GOOGLETRANSLATE(F2742,""id"",""en"")"),"Erdogan's video arrived Doha to watch the World Cup final live")</f>
        <v>Erdogan's video arrived Doha to watch the World Cup final live</v>
      </c>
    </row>
    <row r="2743" ht="15.75" customHeight="1">
      <c r="A2743" s="1">
        <v>2759.0</v>
      </c>
      <c r="B2743" s="3" t="s">
        <v>8056</v>
      </c>
      <c r="C2743" s="3">
        <v>0.0</v>
      </c>
      <c r="D2743" s="3">
        <v>0.0</v>
      </c>
      <c r="E2743" s="3">
        <v>0.0</v>
      </c>
      <c r="F2743" s="3" t="s">
        <v>7972</v>
      </c>
      <c r="G2743" s="3">
        <v>1.0</v>
      </c>
      <c r="H2743" s="3">
        <v>0.0</v>
      </c>
      <c r="I2743" s="3" t="s">
        <v>13</v>
      </c>
      <c r="J2743" s="3" t="s">
        <v>7973</v>
      </c>
      <c r="K2743" s="3" t="s">
        <v>71</v>
      </c>
      <c r="L2743" s="3" t="str">
        <f>IFERROR(__xludf.DUMMYFUNCTION("GOOGLETRANSLATE(F2743,""id"",""en"")"),"France rose to catch up against Argentina in the World Cup final match by equating the second half score")</f>
        <v>France rose to catch up against Argentina in the World Cup final match by equating the second half score</v>
      </c>
    </row>
    <row r="2744" ht="15.75" customHeight="1">
      <c r="A2744" s="1">
        <v>2760.0</v>
      </c>
      <c r="B2744" s="3" t="s">
        <v>8057</v>
      </c>
      <c r="C2744" s="3">
        <v>0.0</v>
      </c>
      <c r="D2744" s="3">
        <v>0.0</v>
      </c>
      <c r="E2744" s="3">
        <v>0.0</v>
      </c>
      <c r="F2744" s="3" t="s">
        <v>8058</v>
      </c>
      <c r="G2744" s="3">
        <v>1.0</v>
      </c>
      <c r="H2744" s="3">
        <v>0.0</v>
      </c>
      <c r="I2744" s="3" t="s">
        <v>13</v>
      </c>
      <c r="J2744" s="3" t="s">
        <v>8059</v>
      </c>
      <c r="K2744" s="3" t="s">
        <v>82</v>
      </c>
      <c r="L2744" s="3" t="str">
        <f>IFERROR(__xludf.DUMMYFUNCTION("GOOGLETRANSLATE(F2744,""id"",""en"")"),"Nonstinine Final World Cup Exciting BGT WOIIIII")</f>
        <v>Nonstinine Final World Cup Exciting BGT WOIIIII</v>
      </c>
    </row>
    <row r="2745" ht="15.75" customHeight="1">
      <c r="A2745" s="1">
        <v>2761.0</v>
      </c>
      <c r="B2745" s="3" t="s">
        <v>8060</v>
      </c>
      <c r="C2745" s="3">
        <v>0.0</v>
      </c>
      <c r="D2745" s="3">
        <v>0.0</v>
      </c>
      <c r="E2745" s="3">
        <v>0.0</v>
      </c>
      <c r="F2745" s="3" t="s">
        <v>8061</v>
      </c>
      <c r="G2745" s="3">
        <v>1.0</v>
      </c>
      <c r="H2745" s="3">
        <v>0.0</v>
      </c>
      <c r="I2745" s="3" t="s">
        <v>13</v>
      </c>
      <c r="J2745" s="3" t="s">
        <v>8062</v>
      </c>
      <c r="K2745" s="3" t="s">
        <v>71</v>
      </c>
      <c r="L2745" s="3" t="str">
        <f>IFERROR(__xludf.DUMMYFUNCTION("GOOGLETRANSLATE(F2745,""id"",""en"")"),"replaced don't forget to soon be the Argentine World Cup Final soon to watch the video via IndiHome for sure")</f>
        <v>replaced don't forget to soon be the Argentine World Cup Final soon to watch the video via IndiHome for sure</v>
      </c>
    </row>
    <row r="2746" ht="15.75" customHeight="1">
      <c r="A2746" s="1">
        <v>2762.0</v>
      </c>
      <c r="B2746" s="3" t="s">
        <v>8063</v>
      </c>
      <c r="C2746" s="3">
        <v>0.0</v>
      </c>
      <c r="D2746" s="3">
        <v>0.0</v>
      </c>
      <c r="E2746" s="3">
        <v>0.0</v>
      </c>
      <c r="F2746" s="3" t="s">
        <v>8064</v>
      </c>
      <c r="G2746" s="3">
        <v>1.0</v>
      </c>
      <c r="H2746" s="3">
        <v>0.0</v>
      </c>
      <c r="I2746" s="3" t="s">
        <v>13</v>
      </c>
      <c r="J2746" s="3" t="s">
        <v>8065</v>
      </c>
      <c r="K2746" s="3" t="s">
        <v>644</v>
      </c>
      <c r="L2746" s="3" t="str">
        <f>IFERROR(__xludf.DUMMYFUNCTION("GOOGLETRANSLATE(F2746,""id"",""en"")"),"The equivalent world cup final")</f>
        <v>The equivalent world cup final</v>
      </c>
    </row>
    <row r="2747" ht="15.75" customHeight="1">
      <c r="A2747" s="1">
        <v>2763.0</v>
      </c>
      <c r="B2747" s="3" t="s">
        <v>8066</v>
      </c>
      <c r="C2747" s="3">
        <v>0.0</v>
      </c>
      <c r="D2747" s="3">
        <v>0.0</v>
      </c>
      <c r="E2747" s="3">
        <v>0.0</v>
      </c>
      <c r="F2747" s="3" t="s">
        <v>7960</v>
      </c>
      <c r="G2747" s="3">
        <v>1.0</v>
      </c>
      <c r="H2747" s="3">
        <v>0.0</v>
      </c>
      <c r="I2747" s="3" t="s">
        <v>13</v>
      </c>
      <c r="J2747" s="3" t="s">
        <v>7961</v>
      </c>
      <c r="K2747" s="3" t="s">
        <v>510</v>
      </c>
      <c r="L2747" s="3" t="str">
        <f>IFERROR(__xludf.DUMMYFUNCTION("GOOGLETRANSLATE(F2747,""id"",""en"")"),"Final Final French French Argentina Equal position through Kylian Mbappe with a fast goal")</f>
        <v>Final Final French French Argentina Equal position through Kylian Mbappe with a fast goal</v>
      </c>
    </row>
    <row r="2748" ht="15.75" customHeight="1">
      <c r="A2748" s="1">
        <v>2764.0</v>
      </c>
      <c r="B2748" s="3" t="s">
        <v>8067</v>
      </c>
      <c r="C2748" s="3">
        <v>0.0</v>
      </c>
      <c r="D2748" s="3">
        <v>5.0</v>
      </c>
      <c r="E2748" s="3">
        <v>5.0</v>
      </c>
      <c r="F2748" s="3" t="s">
        <v>8068</v>
      </c>
      <c r="G2748" s="3">
        <v>0.7666666666666666</v>
      </c>
      <c r="H2748" s="3">
        <v>0.1787878787878788</v>
      </c>
      <c r="I2748" s="3" t="s">
        <v>48</v>
      </c>
      <c r="J2748" s="3" t="s">
        <v>8069</v>
      </c>
      <c r="K2748" s="3" t="s">
        <v>574</v>
      </c>
      <c r="L2748" s="3" t="str">
        <f>IFERROR(__xludf.DUMMYFUNCTION("GOOGLETRANSLATE(F2748,""id"",""en"")"),"France Link Vidio SCTV Argentina France Final World Cup Live Streaming FIFA World Cup Qatar Match Streams Online for Free Argentina France Messi Mbappe")</f>
        <v>France Link Vidio SCTV Argentina France Final World Cup Live Streaming FIFA World Cup Qatar Match Streams Online for Free Argentina France Messi Mbappe</v>
      </c>
    </row>
    <row r="2749" ht="15.75" customHeight="1">
      <c r="A2749" s="1">
        <v>2765.0</v>
      </c>
      <c r="B2749" s="3" t="s">
        <v>8070</v>
      </c>
      <c r="C2749" s="3">
        <v>0.0</v>
      </c>
      <c r="D2749" s="3">
        <v>0.0</v>
      </c>
      <c r="E2749" s="3">
        <v>2.0</v>
      </c>
      <c r="F2749" s="3" t="s">
        <v>8071</v>
      </c>
      <c r="G2749" s="3">
        <v>1.0</v>
      </c>
      <c r="H2749" s="3">
        <v>0.0</v>
      </c>
      <c r="I2749" s="3" t="s">
        <v>13</v>
      </c>
      <c r="J2749" s="3" t="s">
        <v>8072</v>
      </c>
      <c r="K2749" s="3" t="s">
        <v>184</v>
      </c>
      <c r="L2749" s="3" t="str">
        <f>IFERROR(__xludf.DUMMYFUNCTION("GOOGLETRANSLATE(F2749,""id"",""en"")"),"Following are the final results of the Argentina French World Cup final match, the score is still in the two goals of Kylian Mbappe with an additional round match")</f>
        <v>Following are the final results of the Argentina French World Cup final match, the score is still in the two goals of Kylian Mbappe with an additional round match</v>
      </c>
    </row>
    <row r="2750" ht="15.75" customHeight="1">
      <c r="A2750" s="1">
        <v>2766.0</v>
      </c>
      <c r="B2750" s="3" t="s">
        <v>8073</v>
      </c>
      <c r="C2750" s="3">
        <v>0.0</v>
      </c>
      <c r="D2750" s="3">
        <v>0.0</v>
      </c>
      <c r="E2750" s="3">
        <v>0.0</v>
      </c>
      <c r="F2750" s="3" t="s">
        <v>7975</v>
      </c>
      <c r="G2750" s="3">
        <v>1.0</v>
      </c>
      <c r="H2750" s="3">
        <v>0.0</v>
      </c>
      <c r="I2750" s="3" t="s">
        <v>13</v>
      </c>
      <c r="J2750" s="3" t="s">
        <v>7976</v>
      </c>
      <c r="K2750" s="3" t="s">
        <v>15</v>
      </c>
      <c r="L2750" s="3" t="str">
        <f>IFERROR(__xludf.DUMMYFUNCTION("GOOGLETRANSLATE(F2750,""id"",""en"")"),"The French Argentine World Cup Final continues to extension")</f>
        <v>The French Argentine World Cup Final continues to extension</v>
      </c>
    </row>
    <row r="2751" ht="15.75" customHeight="1">
      <c r="A2751" s="1">
        <v>2767.0</v>
      </c>
      <c r="B2751" s="3" t="s">
        <v>8074</v>
      </c>
      <c r="C2751" s="3">
        <v>1.0</v>
      </c>
      <c r="D2751" s="3">
        <v>0.0</v>
      </c>
      <c r="E2751" s="3">
        <v>0.0</v>
      </c>
      <c r="F2751" s="3" t="s">
        <v>8075</v>
      </c>
      <c r="G2751" s="3">
        <v>1.0</v>
      </c>
      <c r="H2751" s="3">
        <v>0.0</v>
      </c>
      <c r="I2751" s="3" t="s">
        <v>13</v>
      </c>
      <c r="J2751" s="3" t="s">
        <v>8076</v>
      </c>
      <c r="K2751" s="3" t="s">
        <v>358</v>
      </c>
      <c r="L2751" s="3" t="str">
        <f>IFERROR(__xludf.DUMMYFUNCTION("GOOGLETRANSLATE(F2751,""id"",""en"")"),"Very different Vibes watching the World Cup Final and the Chaos Badminton Final and the excitement is really more ball but exciting")</f>
        <v>Very different Vibes watching the World Cup Final and the Chaos Badminton Final and the excitement is really more ball but exciting</v>
      </c>
    </row>
    <row r="2752" ht="15.75" customHeight="1">
      <c r="A2752" s="1">
        <v>2768.0</v>
      </c>
      <c r="B2752" s="3" t="s">
        <v>8077</v>
      </c>
      <c r="C2752" s="3">
        <v>1.0</v>
      </c>
      <c r="D2752" s="3">
        <v>0.0</v>
      </c>
      <c r="E2752" s="3">
        <v>1.0</v>
      </c>
      <c r="F2752" s="3" t="s">
        <v>8078</v>
      </c>
      <c r="G2752" s="3">
        <v>1.0</v>
      </c>
      <c r="H2752" s="3">
        <v>0.0</v>
      </c>
      <c r="I2752" s="3" t="s">
        <v>13</v>
      </c>
      <c r="J2752" s="3" t="s">
        <v>8079</v>
      </c>
      <c r="K2752" s="3" t="s">
        <v>50</v>
      </c>
      <c r="L2752" s="3" t="str">
        <f>IFERROR(__xludf.DUMMYFUNCTION("GOOGLETRANSLATE(F2752,""id"",""en"")"),"A young pair of youths monitored to fight because of the difference in the World Cup Final Team")</f>
        <v>A young pair of youths monitored to fight because of the difference in the World Cup Final Team</v>
      </c>
    </row>
    <row r="2753" ht="15.75" customHeight="1">
      <c r="A2753" s="1">
        <v>2769.0</v>
      </c>
      <c r="B2753" s="3" t="s">
        <v>8080</v>
      </c>
      <c r="C2753" s="3">
        <v>0.0</v>
      </c>
      <c r="D2753" s="3">
        <v>0.0</v>
      </c>
      <c r="E2753" s="3">
        <v>0.0</v>
      </c>
      <c r="F2753" s="3" t="s">
        <v>8081</v>
      </c>
      <c r="G2753" s="3">
        <v>0.6</v>
      </c>
      <c r="H2753" s="3">
        <v>-0.025</v>
      </c>
      <c r="I2753" s="3" t="s">
        <v>179</v>
      </c>
      <c r="J2753" s="3" t="s">
        <v>8082</v>
      </c>
      <c r="K2753" s="3" t="s">
        <v>633</v>
      </c>
      <c r="L2753" s="3" t="str">
        <f>IFERROR(__xludf.DUMMYFUNCTION("GOOGLETRANSLATE(F2753,""id"",""en"")"),"The world class of the World Cup there was a penalty goal very disappointing in the Collina era where there was a penalty of the touch of Minor Maria and Kolo Muani earlier")</f>
        <v>The world class of the World Cup there was a penalty goal very disappointing in the Collina era where there was a penalty of the touch of Minor Maria and Kolo Muani earlier</v>
      </c>
    </row>
    <row r="2754" ht="15.75" customHeight="1">
      <c r="A2754" s="1">
        <v>2770.0</v>
      </c>
      <c r="B2754" s="3" t="s">
        <v>8083</v>
      </c>
      <c r="C2754" s="3">
        <v>0.0</v>
      </c>
      <c r="D2754" s="3">
        <v>0.0</v>
      </c>
      <c r="E2754" s="3">
        <v>0.0</v>
      </c>
      <c r="F2754" s="3" t="s">
        <v>8084</v>
      </c>
      <c r="G2754" s="3">
        <v>1.0</v>
      </c>
      <c r="H2754" s="3">
        <v>0.0</v>
      </c>
      <c r="I2754" s="3" t="s">
        <v>13</v>
      </c>
      <c r="J2754" s="3" t="s">
        <v>8085</v>
      </c>
      <c r="K2754" s="3" t="s">
        <v>2215</v>
      </c>
      <c r="L2754" s="3" t="str">
        <f>IFERROR(__xludf.DUMMYFUNCTION("GOOGLETRANSLATE(F2754,""id"",""en"")"),"Enjoy the World Cup final now the final when office hours just pray for the red date")</f>
        <v>Enjoy the World Cup final now the final when office hours just pray for the red date</v>
      </c>
    </row>
    <row r="2755" ht="15.75" customHeight="1">
      <c r="A2755" s="1">
        <v>2771.0</v>
      </c>
      <c r="B2755" s="3" t="s">
        <v>8086</v>
      </c>
      <c r="C2755" s="3">
        <v>0.0</v>
      </c>
      <c r="D2755" s="3">
        <v>0.0</v>
      </c>
      <c r="E2755" s="3">
        <v>0.0</v>
      </c>
      <c r="F2755" s="3" t="s">
        <v>8087</v>
      </c>
      <c r="G2755" s="3">
        <v>1.0</v>
      </c>
      <c r="H2755" s="3">
        <v>0.0</v>
      </c>
      <c r="I2755" s="3" t="s">
        <v>13</v>
      </c>
      <c r="J2755" s="3" t="s">
        <v>8088</v>
      </c>
      <c r="K2755" s="3" t="s">
        <v>15</v>
      </c>
      <c r="L2755" s="3" t="str">
        <f>IFERROR(__xludf.DUMMYFUNCTION("GOOGLETRANSLATE(F2755,""id"",""en"")"),"monitor the Timeline World Cup final because there is no home to understand the ball")</f>
        <v>monitor the Timeline World Cup final because there is no home to understand the ball</v>
      </c>
    </row>
    <row r="2756" ht="15.75" customHeight="1">
      <c r="A2756" s="1">
        <v>2772.0</v>
      </c>
      <c r="B2756" s="3" t="s">
        <v>8089</v>
      </c>
      <c r="C2756" s="3">
        <v>0.0</v>
      </c>
      <c r="D2756" s="3">
        <v>0.0</v>
      </c>
      <c r="E2756" s="3">
        <v>0.0</v>
      </c>
      <c r="F2756" s="3" t="s">
        <v>8090</v>
      </c>
      <c r="G2756" s="3">
        <v>1.0</v>
      </c>
      <c r="H2756" s="3">
        <v>0.0</v>
      </c>
      <c r="I2756" s="3" t="s">
        <v>13</v>
      </c>
      <c r="J2756" s="3" t="s">
        <v>8091</v>
      </c>
      <c r="K2756" s="3" t="s">
        <v>71</v>
      </c>
      <c r="L2756" s="3" t="str">
        <f>IFERROR(__xludf.DUMMYFUNCTION("GOOGLETRANSLATE(F2756,""id"",""en"")"),"The Qatar World Cup this time is very special because it brings together all Central Java Sragentina versus France")</f>
        <v>The Qatar World Cup this time is very special because it brings together all Central Java Sragentina versus France</v>
      </c>
    </row>
    <row r="2757" ht="15.75" customHeight="1">
      <c r="A2757" s="1">
        <v>2773.0</v>
      </c>
      <c r="B2757" s="3" t="s">
        <v>8092</v>
      </c>
      <c r="C2757" s="3">
        <v>0.0</v>
      </c>
      <c r="D2757" s="3">
        <v>0.0</v>
      </c>
      <c r="E2757" s="3">
        <v>0.0</v>
      </c>
      <c r="F2757" s="3" t="s">
        <v>8093</v>
      </c>
      <c r="G2757" s="3">
        <v>0.6666666666666666</v>
      </c>
      <c r="H2757" s="3">
        <v>0.08333333333333333</v>
      </c>
      <c r="I2757" s="3" t="s">
        <v>48</v>
      </c>
      <c r="J2757" s="3" t="s">
        <v>8094</v>
      </c>
      <c r="K2757" s="3" t="s">
        <v>149</v>
      </c>
      <c r="L2757" s="3" t="str">
        <f>IFERROR(__xludf.DUMMYFUNCTION("GOOGLETRANSLATE(F2757,""id"",""en"")"),"I am a bayern fan of Bayern players who play the World Cup final this time all defend the French national team but strangely how come I am more supportive of Argentina")</f>
        <v>I am a bayern fan of Bayern players who play the World Cup final this time all defend the French national team but strangely how come I am more supportive of Argentina</v>
      </c>
    </row>
    <row r="2758" ht="15.75" customHeight="1">
      <c r="A2758" s="1">
        <v>2774.0</v>
      </c>
      <c r="B2758" s="3" t="s">
        <v>8095</v>
      </c>
      <c r="C2758" s="3">
        <v>0.0</v>
      </c>
      <c r="D2758" s="3">
        <v>0.0</v>
      </c>
      <c r="E2758" s="3">
        <v>1.0</v>
      </c>
      <c r="F2758" s="3" t="s">
        <v>8096</v>
      </c>
      <c r="G2758" s="3">
        <v>1.0</v>
      </c>
      <c r="H2758" s="3">
        <v>0.0</v>
      </c>
      <c r="I2758" s="3" t="s">
        <v>13</v>
      </c>
      <c r="J2758" s="3" t="s">
        <v>8097</v>
      </c>
      <c r="K2758" s="3" t="s">
        <v>50</v>
      </c>
      <c r="L2758" s="3" t="str">
        <f>IFERROR(__xludf.DUMMYFUNCTION("GOOGLETRANSLATE(F2758,""id"",""en"")"),"Why do you just understand the World Cup not every year there is a final this is also natural if Nobar will be happy")</f>
        <v>Why do you just understand the World Cup not every year there is a final this is also natural if Nobar will be happy</v>
      </c>
    </row>
    <row r="2759" ht="15.75" customHeight="1">
      <c r="A2759" s="1">
        <v>2775.0</v>
      </c>
      <c r="B2759" s="3" t="s">
        <v>8098</v>
      </c>
      <c r="C2759" s="3">
        <v>0.0</v>
      </c>
      <c r="D2759" s="3">
        <v>0.0</v>
      </c>
      <c r="E2759" s="3">
        <v>1.0</v>
      </c>
      <c r="F2759" s="3" t="s">
        <v>8099</v>
      </c>
      <c r="G2759" s="3">
        <v>1.0</v>
      </c>
      <c r="H2759" s="3">
        <v>0.0</v>
      </c>
      <c r="I2759" s="3" t="s">
        <v>13</v>
      </c>
      <c r="J2759" s="3" t="s">
        <v>8100</v>
      </c>
      <c r="K2759" s="3" t="s">
        <v>75</v>
      </c>
      <c r="L2759" s="3" t="str">
        <f>IFERROR(__xludf.DUMMYFUNCTION("GOOGLETRANSLATE(F2759,""id"",""en"")"),"Eating Ceplok Sambel Egg Rice Accompanied by the Tension of the World Cup Final")</f>
        <v>Eating Ceplok Sambel Egg Rice Accompanied by the Tension of the World Cup Final</v>
      </c>
    </row>
    <row r="2760" ht="15.75" customHeight="1">
      <c r="A2760" s="1">
        <v>2776.0</v>
      </c>
      <c r="B2760" s="3" t="s">
        <v>8101</v>
      </c>
      <c r="C2760" s="3">
        <v>0.0</v>
      </c>
      <c r="D2760" s="3">
        <v>0.0</v>
      </c>
      <c r="E2760" s="3">
        <v>0.0</v>
      </c>
      <c r="F2760" s="3" t="s">
        <v>8102</v>
      </c>
      <c r="G2760" s="3">
        <v>0.75</v>
      </c>
      <c r="H2760" s="3">
        <v>0.06818181818181818</v>
      </c>
      <c r="I2760" s="3" t="s">
        <v>48</v>
      </c>
      <c r="J2760" s="3" t="s">
        <v>8103</v>
      </c>
      <c r="K2760" s="3" t="s">
        <v>1293</v>
      </c>
      <c r="L2760" s="3" t="str">
        <f>IFERROR(__xludf.DUMMYFUNCTION("GOOGLETRANSLATE(F2760,""id"",""en"")"),"Minutes Messi panicked cursing Argentina French Link Link Streaming Argentina French tonight WIB World Cup Final")</f>
        <v>Minutes Messi panicked cursing Argentina French Link Link Streaming Argentina French tonight WIB World Cup Final</v>
      </c>
    </row>
    <row r="2761" ht="15.75" customHeight="1">
      <c r="A2761" s="1">
        <v>2777.0</v>
      </c>
      <c r="B2761" s="3" t="s">
        <v>8104</v>
      </c>
      <c r="C2761" s="3">
        <v>0.0</v>
      </c>
      <c r="D2761" s="3">
        <v>0.0</v>
      </c>
      <c r="E2761" s="3">
        <v>0.0</v>
      </c>
      <c r="F2761" s="3" t="s">
        <v>8105</v>
      </c>
      <c r="G2761" s="3">
        <v>1.0</v>
      </c>
      <c r="H2761" s="3">
        <v>0.0</v>
      </c>
      <c r="I2761" s="3" t="s">
        <v>13</v>
      </c>
      <c r="J2761" s="3" t="s">
        <v>8106</v>
      </c>
      <c r="K2761" s="3" t="s">
        <v>510</v>
      </c>
      <c r="L2761" s="3" t="str">
        <f>IFERROR(__xludf.DUMMYFUNCTION("GOOGLETRANSLATE(F2761,""id"",""en"")"),"LINK LINK LIGHT CLOSING CEREMONY AND FINAL OF Argentina French World Cup today")</f>
        <v>LINK LINK LIGHT CLOSING CEREMONY AND FINAL OF Argentina French World Cup today</v>
      </c>
    </row>
    <row r="2762" ht="15.75" customHeight="1">
      <c r="A2762" s="1">
        <v>2778.0</v>
      </c>
      <c r="B2762" s="3" t="s">
        <v>8107</v>
      </c>
      <c r="C2762" s="3">
        <v>0.0</v>
      </c>
      <c r="D2762" s="3">
        <v>0.0</v>
      </c>
      <c r="E2762" s="3">
        <v>0.0</v>
      </c>
      <c r="F2762" s="3" t="s">
        <v>8108</v>
      </c>
      <c r="G2762" s="3">
        <v>1.0</v>
      </c>
      <c r="H2762" s="3">
        <v>0.0</v>
      </c>
      <c r="I2762" s="3" t="s">
        <v>13</v>
      </c>
      <c r="J2762" s="3" t="s">
        <v>8109</v>
      </c>
      <c r="K2762" s="3" t="s">
        <v>41</v>
      </c>
      <c r="L2762" s="3" t="str">
        <f>IFERROR(__xludf.DUMMYFUNCTION("GOOGLETRANSLATE(F2762,""id"",""en"")"),"Lionel Messi for the French French Argentine Record of the World Cup")</f>
        <v>Lionel Messi for the French French Argentine Record of the World Cup</v>
      </c>
    </row>
    <row r="2763" ht="15.75" customHeight="1">
      <c r="A2763" s="1">
        <v>2779.0</v>
      </c>
      <c r="B2763" s="3" t="s">
        <v>8110</v>
      </c>
      <c r="C2763" s="3">
        <v>30.0</v>
      </c>
      <c r="D2763" s="3">
        <v>13.0</v>
      </c>
      <c r="E2763" s="3">
        <v>81.0</v>
      </c>
      <c r="F2763" s="3" t="s">
        <v>8111</v>
      </c>
      <c r="G2763" s="3">
        <v>1.0</v>
      </c>
      <c r="H2763" s="3">
        <v>0.0</v>
      </c>
      <c r="I2763" s="3" t="s">
        <v>13</v>
      </c>
      <c r="J2763" s="3" t="s">
        <v>8112</v>
      </c>
      <c r="K2763" s="3" t="s">
        <v>240</v>
      </c>
      <c r="L2763" s="3" t="str">
        <f>IFERROR(__xludf.DUMMYFUNCTION("GOOGLETRANSLATE(F2763,""id"",""en"")"),"Some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764" ht="15.75" customHeight="1">
      <c r="A2764" s="1">
        <v>2780.0</v>
      </c>
      <c r="B2764" s="3" t="s">
        <v>8113</v>
      </c>
      <c r="C2764" s="3">
        <v>0.0</v>
      </c>
      <c r="D2764" s="3">
        <v>0.0</v>
      </c>
      <c r="E2764" s="3">
        <v>1.0</v>
      </c>
      <c r="F2764" s="3" t="s">
        <v>8114</v>
      </c>
      <c r="G2764" s="3">
        <v>1.0</v>
      </c>
      <c r="H2764" s="3">
        <v>0.0</v>
      </c>
      <c r="I2764" s="3" t="s">
        <v>13</v>
      </c>
      <c r="J2764" s="3" t="s">
        <v>8115</v>
      </c>
      <c r="K2764" s="3" t="s">
        <v>127</v>
      </c>
      <c r="L2764" s="3" t="str">
        <f>IFERROR(__xludf.DUMMYFUNCTION("GOOGLETRANSLATE(F2764,""id"",""en"")"),"Had been left behind by two goals from Argentina defending champions France successfully equalized to force the holding of the additional round of the World Cup Final")</f>
        <v>Had been left behind by two goals from Argentina defending champions France successfully equalized to force the holding of the additional round of the World Cup Final</v>
      </c>
    </row>
    <row r="2765" ht="15.75" customHeight="1">
      <c r="A2765" s="1">
        <v>2781.0</v>
      </c>
      <c r="B2765" s="3" t="s">
        <v>8116</v>
      </c>
      <c r="C2765" s="3">
        <v>0.0</v>
      </c>
      <c r="D2765" s="3">
        <v>10.0</v>
      </c>
      <c r="E2765" s="3">
        <v>13.0</v>
      </c>
      <c r="F2765" s="3" t="s">
        <v>8117</v>
      </c>
      <c r="G2765" s="3">
        <v>0.825</v>
      </c>
      <c r="H2765" s="3">
        <v>0.1340909090909091</v>
      </c>
      <c r="I2765" s="3" t="s">
        <v>48</v>
      </c>
      <c r="J2765" s="3" t="s">
        <v>8118</v>
      </c>
      <c r="K2765" s="3" t="s">
        <v>603</v>
      </c>
      <c r="L2765" s="3" t="str">
        <f>IFERROR(__xludf.DUMMYFUNCTION("GOOGLETRANSLATE(F2765,""id"",""en"")"),"Final World Cup Live Streaming Free Link Argentina French FIFA World Cup Qatar Argentina Argentina Francia Final Del Mundial")</f>
        <v>Final World Cup Live Streaming Free Link Argentina French FIFA World Cup Qatar Argentina Argentina Francia Final Del Mundial</v>
      </c>
    </row>
    <row r="2766" ht="15.75" customHeight="1">
      <c r="A2766" s="1">
        <v>2782.0</v>
      </c>
      <c r="B2766" s="3" t="s">
        <v>8119</v>
      </c>
      <c r="C2766" s="3">
        <v>1.0</v>
      </c>
      <c r="D2766" s="3">
        <v>0.0</v>
      </c>
      <c r="E2766" s="3">
        <v>1.0</v>
      </c>
      <c r="F2766" s="3" t="s">
        <v>8120</v>
      </c>
      <c r="G2766" s="3">
        <v>1.0</v>
      </c>
      <c r="H2766" s="3">
        <v>0.0</v>
      </c>
      <c r="I2766" s="3" t="s">
        <v>13</v>
      </c>
      <c r="J2766" s="3" t="s">
        <v>8121</v>
      </c>
      <c r="K2766" s="3" t="s">
        <v>1265</v>
      </c>
      <c r="L2766" s="3" t="str">
        <f>IFERROR(__xludf.DUMMYFUNCTION("GOOGLETRANSLATE(F2766,""id"",""en"")"),"Mbappe when I was as long as you were watching you the World Cup Final")</f>
        <v>Mbappe when I was as long as you were watching you the World Cup Final</v>
      </c>
    </row>
    <row r="2767" ht="15.75" customHeight="1">
      <c r="A2767" s="1">
        <v>2783.0</v>
      </c>
      <c r="B2767" s="3" t="s">
        <v>8122</v>
      </c>
      <c r="C2767" s="3">
        <v>0.0</v>
      </c>
      <c r="D2767" s="3">
        <v>0.0</v>
      </c>
      <c r="E2767" s="3">
        <v>0.0</v>
      </c>
      <c r="F2767" s="3" t="s">
        <v>8123</v>
      </c>
      <c r="G2767" s="3">
        <v>0.75</v>
      </c>
      <c r="H2767" s="3">
        <v>0.06818181818181818</v>
      </c>
      <c r="I2767" s="3" t="s">
        <v>48</v>
      </c>
      <c r="J2767" s="3" t="s">
        <v>8124</v>
      </c>
      <c r="K2767" s="3" t="s">
        <v>244</v>
      </c>
      <c r="L2767" s="3" t="str">
        <f>IFERROR(__xludf.DUMMYFUNCTION("GOOGLETRANSLATE(F2767,""id"",""en"")"),"Okay, I live report reaction to the World Cup final this minute wkwkwkwkwkwkwkwk")</f>
        <v>Okay, I live report reaction to the World Cup final this minute wkwkwkwkwkwkwkwk</v>
      </c>
    </row>
    <row r="2768" ht="15.75" customHeight="1">
      <c r="A2768" s="1">
        <v>2784.0</v>
      </c>
      <c r="B2768" s="3" t="s">
        <v>8125</v>
      </c>
      <c r="C2768" s="3">
        <v>1.0</v>
      </c>
      <c r="D2768" s="3">
        <v>0.0</v>
      </c>
      <c r="E2768" s="3">
        <v>1.0</v>
      </c>
      <c r="F2768" s="3" t="s">
        <v>8126</v>
      </c>
      <c r="G2768" s="3">
        <v>1.0</v>
      </c>
      <c r="H2768" s="3">
        <v>0.0</v>
      </c>
      <c r="I2768" s="3" t="s">
        <v>13</v>
      </c>
      <c r="J2768" s="3" t="s">
        <v>8127</v>
      </c>
      <c r="K2768" s="3" t="s">
        <v>31</v>
      </c>
      <c r="L2768" s="3" t="str">
        <f>IFERROR(__xludf.DUMMYFUNCTION("GOOGLETRANSLATE(F2768,""id"",""en"")"),"World Cup Final Tomorrow Monday")</f>
        <v>World Cup Final Tomorrow Monday</v>
      </c>
    </row>
    <row r="2769" ht="15.75" customHeight="1">
      <c r="A2769" s="1">
        <v>2785.0</v>
      </c>
      <c r="B2769" s="3" t="s">
        <v>8128</v>
      </c>
      <c r="C2769" s="3">
        <v>0.0</v>
      </c>
      <c r="D2769" s="3">
        <v>0.0</v>
      </c>
      <c r="E2769" s="3">
        <v>1.0</v>
      </c>
      <c r="F2769" s="3" t="s">
        <v>6953</v>
      </c>
      <c r="G2769" s="3">
        <v>0.5833333333333334</v>
      </c>
      <c r="H2769" s="3">
        <v>0.05</v>
      </c>
      <c r="I2769" s="3" t="s">
        <v>48</v>
      </c>
      <c r="J2769" s="3" t="s">
        <v>6954</v>
      </c>
      <c r="K2769" s="3" t="s">
        <v>240</v>
      </c>
      <c r="L2769" s="3" t="str">
        <f>IFERROR(__xludf.DUMMYFUNCTION("GOOGLETRANSLATE(F2769,""id"",""en"")"),"The World Cup Final Entering the Extra Time Round Two Minutes Kylian Mbappe Making a Normal Time Final Score")</f>
        <v>The World Cup Final Entering the Extra Time Round Two Minutes Kylian Mbappe Making a Normal Time Final Score</v>
      </c>
    </row>
    <row r="2770" ht="15.75" customHeight="1">
      <c r="A2770" s="1">
        <v>2786.0</v>
      </c>
      <c r="B2770" s="3" t="s">
        <v>8129</v>
      </c>
      <c r="C2770" s="3">
        <v>0.0</v>
      </c>
      <c r="D2770" s="3">
        <v>0.0</v>
      </c>
      <c r="E2770" s="3">
        <v>0.0</v>
      </c>
      <c r="F2770" s="3" t="s">
        <v>8129</v>
      </c>
      <c r="G2770" s="3">
        <v>1.0</v>
      </c>
      <c r="H2770" s="3">
        <v>0.0</v>
      </c>
      <c r="I2770" s="3" t="s">
        <v>13</v>
      </c>
      <c r="J2770" s="3" t="s">
        <v>8130</v>
      </c>
      <c r="K2770" s="3" t="s">
        <v>54</v>
      </c>
      <c r="L2770" s="3" t="str">
        <f>IFERROR(__xludf.DUMMYFUNCTION("GOOGLETRANSLATE(F2770,""id"",""en"")"),"can't sleep the world cup final grgr")</f>
        <v>can't sleep the world cup final grgr</v>
      </c>
    </row>
    <row r="2771" ht="15.75" customHeight="1">
      <c r="A2771" s="1">
        <v>2787.0</v>
      </c>
      <c r="B2771" s="3" t="s">
        <v>8131</v>
      </c>
      <c r="C2771" s="3">
        <v>0.0</v>
      </c>
      <c r="D2771" s="3">
        <v>0.0</v>
      </c>
      <c r="E2771" s="3">
        <v>0.0</v>
      </c>
      <c r="F2771" s="3" t="s">
        <v>8132</v>
      </c>
      <c r="G2771" s="3">
        <v>1.0</v>
      </c>
      <c r="H2771" s="3">
        <v>0.0</v>
      </c>
      <c r="I2771" s="3" t="s">
        <v>13</v>
      </c>
      <c r="J2771" s="3" t="s">
        <v>8133</v>
      </c>
      <c r="K2771" s="3" t="s">
        <v>31</v>
      </c>
      <c r="L2771" s="3" t="str">
        <f>IFERROR(__xludf.DUMMYFUNCTION("GOOGLETRANSLATE(F2771,""id"",""en"")"),"Qatar World Cup Final")</f>
        <v>Qatar World Cup Final</v>
      </c>
    </row>
    <row r="2772" ht="15.75" customHeight="1">
      <c r="A2772" s="1">
        <v>2788.0</v>
      </c>
      <c r="B2772" s="3" t="s">
        <v>8134</v>
      </c>
      <c r="C2772" s="3">
        <v>0.0</v>
      </c>
      <c r="D2772" s="3">
        <v>0.0</v>
      </c>
      <c r="E2772" s="3">
        <v>0.0</v>
      </c>
      <c r="F2772" s="3" t="s">
        <v>8135</v>
      </c>
      <c r="G2772" s="3">
        <v>1.0</v>
      </c>
      <c r="H2772" s="3">
        <v>0.0</v>
      </c>
      <c r="I2772" s="3" t="s">
        <v>13</v>
      </c>
      <c r="J2772" s="3" t="s">
        <v>8136</v>
      </c>
      <c r="K2772" s="3" t="s">
        <v>240</v>
      </c>
      <c r="L2772" s="3" t="str">
        <f>IFERROR(__xludf.DUMMYFUNCTION("GOOGLETRANSLATE(F2772,""id"",""en"")"),"Now this is the name of the World Cup Final Kudu for an extension of time and if necessary until Tos Tosan becomes exciting and fulfilling the drama")</f>
        <v>Now this is the name of the World Cup Final Kudu for an extension of time and if necessary until Tos Tosan becomes exciting and fulfilling the drama</v>
      </c>
    </row>
    <row r="2773" ht="15.75" customHeight="1">
      <c r="A2773" s="1">
        <v>2789.0</v>
      </c>
      <c r="B2773" s="3" t="s">
        <v>8137</v>
      </c>
      <c r="C2773" s="3">
        <v>0.0</v>
      </c>
      <c r="D2773" s="3">
        <v>2.0</v>
      </c>
      <c r="E2773" s="3">
        <v>2.0</v>
      </c>
      <c r="F2773" s="3" t="s">
        <v>3002</v>
      </c>
      <c r="G2773" s="3">
        <v>1.0</v>
      </c>
      <c r="H2773" s="3">
        <v>0.0</v>
      </c>
      <c r="I2773" s="3" t="s">
        <v>13</v>
      </c>
      <c r="J2773" s="3" t="s">
        <v>3003</v>
      </c>
      <c r="K2773" s="3" t="s">
        <v>71</v>
      </c>
      <c r="L2773" s="3" t="str">
        <f>IFERROR(__xludf.DUMMYFUNCTION("GOOGLETRANSLATE(F2773,""id"",""en"")"),"Kylian World Cup Final Results Mbappe Gol France forced Argentina to title extra time")</f>
        <v>Kylian World Cup Final Results Mbappe Gol France forced Argentina to title extra time</v>
      </c>
    </row>
    <row r="2774" ht="15.75" customHeight="1">
      <c r="A2774" s="1">
        <v>2790.0</v>
      </c>
      <c r="B2774" s="3" t="s">
        <v>8138</v>
      </c>
      <c r="C2774" s="3">
        <v>1.0</v>
      </c>
      <c r="D2774" s="3">
        <v>0.0</v>
      </c>
      <c r="E2774" s="3">
        <v>2.0</v>
      </c>
      <c r="F2774" s="3" t="s">
        <v>8139</v>
      </c>
      <c r="G2774" s="3">
        <v>1.0</v>
      </c>
      <c r="H2774" s="3">
        <v>0.0</v>
      </c>
      <c r="I2774" s="3" t="s">
        <v>13</v>
      </c>
      <c r="J2774" s="3" t="s">
        <v>8140</v>
      </c>
      <c r="K2774" s="3" t="s">
        <v>50</v>
      </c>
      <c r="L2774" s="3" t="str">
        <f>IFERROR(__xludf.DUMMYFUNCTION("GOOGLETRANSLATE(F2774,""id"",""en"")"),"The additional round of the Argentina French World Cup final lur is pounding")</f>
        <v>The additional round of the Argentina French World Cup final lur is pounding</v>
      </c>
    </row>
    <row r="2775" ht="15.75" customHeight="1">
      <c r="A2775" s="1">
        <v>2791.0</v>
      </c>
      <c r="B2775" s="3" t="s">
        <v>8141</v>
      </c>
      <c r="C2775" s="3">
        <v>0.0</v>
      </c>
      <c r="D2775" s="3">
        <v>0.0</v>
      </c>
      <c r="E2775" s="3">
        <v>0.0</v>
      </c>
      <c r="F2775" s="3" t="s">
        <v>8142</v>
      </c>
      <c r="G2775" s="3">
        <v>1.0</v>
      </c>
      <c r="H2775" s="3">
        <v>0.0</v>
      </c>
      <c r="I2775" s="3" t="s">
        <v>13</v>
      </c>
      <c r="J2775" s="3" t="s">
        <v>8143</v>
      </c>
      <c r="K2775" s="3" t="s">
        <v>75</v>
      </c>
      <c r="L2775" s="3" t="str">
        <f>IFERROR(__xludf.DUMMYFUNCTION("GOOGLETRANSLATE(F2775,""id"",""en"")"),"The second half of the World Cup Final of two goals from Mbappe Holds Argentina draw")</f>
        <v>The second half of the World Cup Final of two goals from Mbappe Holds Argentina draw</v>
      </c>
    </row>
    <row r="2776" ht="15.75" customHeight="1">
      <c r="A2776" s="1">
        <v>2792.0</v>
      </c>
      <c r="B2776" s="3" t="s">
        <v>8144</v>
      </c>
      <c r="C2776" s="3">
        <v>0.0</v>
      </c>
      <c r="D2776" s="3">
        <v>0.0</v>
      </c>
      <c r="E2776" s="3">
        <v>8.0</v>
      </c>
      <c r="F2776" s="3" t="s">
        <v>6953</v>
      </c>
      <c r="G2776" s="3">
        <v>0.5833333333333334</v>
      </c>
      <c r="H2776" s="3">
        <v>0.05</v>
      </c>
      <c r="I2776" s="3" t="s">
        <v>48</v>
      </c>
      <c r="J2776" s="3" t="s">
        <v>6954</v>
      </c>
      <c r="K2776" s="3" t="s">
        <v>240</v>
      </c>
      <c r="L2776" s="3" t="str">
        <f>IFERROR(__xludf.DUMMYFUNCTION("GOOGLETRANSLATE(F2776,""id"",""en"")"),"The World Cup Final Entering the Extra Time Round Two Minutes Kylian Mbappe Making a Normal Time Final Score")</f>
        <v>The World Cup Final Entering the Extra Time Round Two Minutes Kylian Mbappe Making a Normal Time Final Score</v>
      </c>
    </row>
    <row r="2777" ht="15.75" customHeight="1">
      <c r="A2777" s="1">
        <v>2793.0</v>
      </c>
      <c r="B2777" s="3" t="s">
        <v>8145</v>
      </c>
      <c r="C2777" s="3">
        <v>0.0</v>
      </c>
      <c r="D2777" s="3">
        <v>0.0</v>
      </c>
      <c r="E2777" s="3">
        <v>0.0</v>
      </c>
      <c r="F2777" s="3" t="s">
        <v>8146</v>
      </c>
      <c r="G2777" s="3">
        <v>1.0</v>
      </c>
      <c r="H2777" s="3">
        <v>0.0</v>
      </c>
      <c r="I2777" s="3" t="s">
        <v>13</v>
      </c>
      <c r="J2777" s="3" t="s">
        <v>8147</v>
      </c>
      <c r="K2777" s="3" t="s">
        <v>50</v>
      </c>
      <c r="L2777" s="3" t="str">
        <f>IFERROR(__xludf.DUMMYFUNCTION("GOOGLETRANSLATE(F2777,""id"",""en"")"),"Stop watching the World Cup final for the sake of anjir tense soul")</f>
        <v>Stop watching the World Cup final for the sake of anjir tense soul</v>
      </c>
    </row>
    <row r="2778" ht="15.75" customHeight="1">
      <c r="A2778" s="1">
        <v>2794.0</v>
      </c>
      <c r="B2778" s="3" t="s">
        <v>8148</v>
      </c>
      <c r="C2778" s="3">
        <v>0.0</v>
      </c>
      <c r="D2778" s="3">
        <v>0.0</v>
      </c>
      <c r="E2778" s="3">
        <v>0.0</v>
      </c>
      <c r="F2778" s="3" t="s">
        <v>8149</v>
      </c>
      <c r="G2778" s="3">
        <v>1.0</v>
      </c>
      <c r="H2778" s="3">
        <v>0.0</v>
      </c>
      <c r="I2778" s="3" t="s">
        <v>13</v>
      </c>
      <c r="J2778" s="3" t="s">
        <v>8150</v>
      </c>
      <c r="K2778" s="3" t="s">
        <v>75</v>
      </c>
      <c r="L2778" s="3" t="str">
        <f>IFERROR(__xludf.DUMMYFUNCTION("GOOGLETRANSLATE(F2778,""id"",""en"")"),"Mbappe Messi Link Streaming Final Final French French World Cup")</f>
        <v>Mbappe Messi Link Streaming Final Final French French World Cup</v>
      </c>
    </row>
    <row r="2779" ht="15.75" customHeight="1">
      <c r="A2779" s="1">
        <v>2795.0</v>
      </c>
      <c r="B2779" s="3" t="s">
        <v>8151</v>
      </c>
      <c r="C2779" s="3">
        <v>0.0</v>
      </c>
      <c r="D2779" s="3">
        <v>0.0</v>
      </c>
      <c r="E2779" s="3">
        <v>0.0</v>
      </c>
      <c r="F2779" s="3" t="s">
        <v>8152</v>
      </c>
      <c r="G2779" s="3">
        <v>1.0</v>
      </c>
      <c r="H2779" s="3">
        <v>0.0</v>
      </c>
      <c r="I2779" s="3" t="s">
        <v>13</v>
      </c>
      <c r="J2779" s="3" t="s">
        <v>8153</v>
      </c>
      <c r="K2779" s="3" t="s">
        <v>50</v>
      </c>
      <c r="L2779" s="3" t="str">
        <f>IFERROR(__xludf.DUMMYFUNCTION("GOOGLETRANSLATE(F2779,""id"",""en"")"),"seen Elon Musk attending the World Cup final using the skull head buckle")</f>
        <v>seen Elon Musk attending the World Cup final using the skull head buckle</v>
      </c>
    </row>
    <row r="2780" ht="15.75" customHeight="1">
      <c r="A2780" s="1">
        <v>2796.0</v>
      </c>
      <c r="B2780" s="3" t="s">
        <v>8154</v>
      </c>
      <c r="C2780" s="3">
        <v>0.0</v>
      </c>
      <c r="D2780" s="3">
        <v>0.0</v>
      </c>
      <c r="E2780" s="3">
        <v>0.0</v>
      </c>
      <c r="F2780" s="3" t="s">
        <v>8155</v>
      </c>
      <c r="G2780" s="3">
        <v>1.0</v>
      </c>
      <c r="H2780" s="3">
        <v>0.0</v>
      </c>
      <c r="I2780" s="3" t="s">
        <v>13</v>
      </c>
      <c r="J2780" s="3" t="s">
        <v>8156</v>
      </c>
      <c r="K2780" s="3" t="s">
        <v>54</v>
      </c>
      <c r="L2780" s="3" t="str">
        <f>IFERROR(__xludf.DUMMYFUNCTION("GOOGLETRANSLATE(F2780,""id"",""en"")"),"This World Cup Final is very fierce")</f>
        <v>This World Cup Final is very fierce</v>
      </c>
    </row>
    <row r="2781" ht="15.75" customHeight="1">
      <c r="A2781" s="1">
        <v>2797.0</v>
      </c>
      <c r="B2781" s="3" t="s">
        <v>8157</v>
      </c>
      <c r="C2781" s="3">
        <v>0.0</v>
      </c>
      <c r="D2781" s="3">
        <v>0.0</v>
      </c>
      <c r="E2781" s="3">
        <v>1.0</v>
      </c>
      <c r="F2781" s="3" t="s">
        <v>8158</v>
      </c>
      <c r="G2781" s="3">
        <v>1.0</v>
      </c>
      <c r="H2781" s="3">
        <v>0.0</v>
      </c>
      <c r="I2781" s="3" t="s">
        <v>13</v>
      </c>
      <c r="J2781" s="3" t="s">
        <v>8159</v>
      </c>
      <c r="K2781" s="3" t="s">
        <v>8160</v>
      </c>
      <c r="L2781" s="3" t="str">
        <f>IFERROR(__xludf.DUMMYFUNCTION("GOOGLETRANSLATE(F2781,""id"",""en"")"),"Argentina national team duel French Final World Cup continues the additional round because the two teams played strongly after competing during the minutes of the Lusail Stadium Sunday night WIB")</f>
        <v>Argentina national team duel French Final World Cup continues the additional round because the two teams played strongly after competing during the minutes of the Lusail Stadium Sunday night WIB</v>
      </c>
    </row>
    <row r="2782" ht="15.75" customHeight="1">
      <c r="A2782" s="1">
        <v>2798.0</v>
      </c>
      <c r="B2782" s="3" t="s">
        <v>8161</v>
      </c>
      <c r="C2782" s="3">
        <v>0.0</v>
      </c>
      <c r="D2782" s="3">
        <v>0.0</v>
      </c>
      <c r="E2782" s="3">
        <v>0.0</v>
      </c>
      <c r="F2782" s="3" t="s">
        <v>8162</v>
      </c>
      <c r="G2782" s="3">
        <v>1.0</v>
      </c>
      <c r="H2782" s="3">
        <v>0.0</v>
      </c>
      <c r="I2782" s="3" t="s">
        <v>13</v>
      </c>
      <c r="J2782" s="3" t="s">
        <v>8163</v>
      </c>
      <c r="K2782" s="3" t="s">
        <v>54</v>
      </c>
      <c r="L2782" s="3" t="str">
        <f>IFERROR(__xludf.DUMMYFUNCTION("GOOGLETRANSLATE(F2782,""id"",""en"")"),"Shanijkt Watching the World Cup Final")</f>
        <v>Shanijkt Watching the World Cup Final</v>
      </c>
    </row>
    <row r="2783" ht="15.75" customHeight="1">
      <c r="A2783" s="1">
        <v>2799.0</v>
      </c>
      <c r="B2783" s="3" t="s">
        <v>8164</v>
      </c>
      <c r="C2783" s="3">
        <v>0.0</v>
      </c>
      <c r="D2783" s="3">
        <v>0.0</v>
      </c>
      <c r="E2783" s="3">
        <v>0.0</v>
      </c>
      <c r="F2783" s="3" t="s">
        <v>5845</v>
      </c>
      <c r="G2783" s="3">
        <v>0.75</v>
      </c>
      <c r="H2783" s="3">
        <v>0.06818181818181818</v>
      </c>
      <c r="I2783" s="3" t="s">
        <v>48</v>
      </c>
      <c r="J2783" s="3" t="s">
        <v>5846</v>
      </c>
      <c r="K2783" s="3" t="s">
        <v>75</v>
      </c>
      <c r="L2783" s="3" t="str">
        <f>IFERROR(__xludf.DUMMYFUNCTION("GOOGLETRANSLATE(F2783,""id"",""en"")"),"Update Live Score while Argentina French Final match of the Qatar World Cup")</f>
        <v>Update Live Score while Argentina French Final match of the Qatar World Cup</v>
      </c>
    </row>
    <row r="2784" ht="15.75" customHeight="1">
      <c r="A2784" s="1">
        <v>2800.0</v>
      </c>
      <c r="B2784" s="3" t="s">
        <v>8165</v>
      </c>
      <c r="C2784" s="3">
        <v>0.0</v>
      </c>
      <c r="D2784" s="3">
        <v>0.0</v>
      </c>
      <c r="E2784" s="3">
        <v>0.0</v>
      </c>
      <c r="F2784" s="3" t="s">
        <v>8166</v>
      </c>
      <c r="G2784" s="3">
        <v>0.825</v>
      </c>
      <c r="H2784" s="3">
        <v>0.075</v>
      </c>
      <c r="I2784" s="3" t="s">
        <v>48</v>
      </c>
      <c r="J2784" s="3" t="s">
        <v>8167</v>
      </c>
      <c r="K2784" s="3" t="s">
        <v>437</v>
      </c>
      <c r="L2784" s="3" t="str">
        <f>IFERROR(__xludf.DUMMYFUNCTION("GOOGLETRANSLATE(F2784,""id"",""en"")"),"The French Argentine match of the World Cup Final continued to take extra time after the two teams played in normal time")</f>
        <v>The French Argentine match of the World Cup Final continued to take extra time after the two teams played in normal time</v>
      </c>
    </row>
    <row r="2785" ht="15.75" customHeight="1">
      <c r="A2785" s="1">
        <v>2801.0</v>
      </c>
      <c r="B2785" s="3" t="s">
        <v>8168</v>
      </c>
      <c r="C2785" s="3">
        <v>1.0</v>
      </c>
      <c r="D2785" s="3">
        <v>0.0</v>
      </c>
      <c r="E2785" s="3">
        <v>2.0</v>
      </c>
      <c r="F2785" s="3" t="s">
        <v>8169</v>
      </c>
      <c r="G2785" s="3">
        <v>0.5833333333333334</v>
      </c>
      <c r="H2785" s="3">
        <v>0.05</v>
      </c>
      <c r="I2785" s="3" t="s">
        <v>48</v>
      </c>
      <c r="J2785" s="3" t="s">
        <v>8170</v>
      </c>
      <c r="K2785" s="3" t="s">
        <v>574</v>
      </c>
      <c r="L2785" s="3" t="str">
        <f>IFERROR(__xludf.DUMMYFUNCTION("GOOGLETRANSLATE(F2785,""id"",""en"")"),"The World Cup final match between Argentina France must continue until the extra time round after a draw until the normal time ends who will win the Talk observer as Sepal Bola Wildan Streaming")</f>
        <v>The World Cup final match between Argentina France must continue until the extra time round after a draw until the normal time ends who will win the Talk observer as Sepal Bola Wildan Streaming</v>
      </c>
    </row>
    <row r="2786" ht="15.75" customHeight="1">
      <c r="A2786" s="1">
        <v>2802.0</v>
      </c>
      <c r="B2786" s="3" t="s">
        <v>8171</v>
      </c>
      <c r="C2786" s="3">
        <v>0.0</v>
      </c>
      <c r="D2786" s="3">
        <v>0.0</v>
      </c>
      <c r="E2786" s="3">
        <v>0.0</v>
      </c>
      <c r="F2786" s="3" t="s">
        <v>8172</v>
      </c>
      <c r="G2786" s="3">
        <v>1.0</v>
      </c>
      <c r="H2786" s="3">
        <v>0.0</v>
      </c>
      <c r="I2786" s="3" t="s">
        <v>13</v>
      </c>
      <c r="J2786" s="3" t="s">
        <v>8173</v>
      </c>
      <c r="K2786" s="3" t="s">
        <v>58</v>
      </c>
      <c r="L2786" s="3" t="str">
        <f>IFERROR(__xludf.DUMMYFUNCTION("GOOGLETRANSLATE(F2786,""id"",""en"")"),"the first time watching the world cup final because of the husband, even though I understand it")</f>
        <v>the first time watching the world cup final because of the husband, even though I understand it</v>
      </c>
    </row>
    <row r="2787" ht="15.75" customHeight="1">
      <c r="A2787" s="1">
        <v>2803.0</v>
      </c>
      <c r="B2787" s="3" t="s">
        <v>8174</v>
      </c>
      <c r="C2787" s="3">
        <v>0.0</v>
      </c>
      <c r="D2787" s="3">
        <v>0.0</v>
      </c>
      <c r="E2787" s="3">
        <v>0.0</v>
      </c>
      <c r="F2787" s="3" t="s">
        <v>8175</v>
      </c>
      <c r="G2787" s="3">
        <v>1.0</v>
      </c>
      <c r="H2787" s="3">
        <v>0.0</v>
      </c>
      <c r="I2787" s="3" t="s">
        <v>13</v>
      </c>
      <c r="J2787" s="3" t="s">
        <v>8176</v>
      </c>
      <c r="K2787" s="3" t="s">
        <v>35</v>
      </c>
      <c r="L2787" s="3" t="str">
        <f>IFERROR(__xludf.DUMMYFUNCTION("GOOGLETRANSLATE(F2787,""id"",""en"")"),"The final that makes blood clogged so smoothly deadlocked brain.")</f>
        <v>The final that makes blood clogged so smoothly deadlocked brain.</v>
      </c>
    </row>
    <row r="2788" ht="15.75" customHeight="1">
      <c r="A2788" s="1">
        <v>2804.0</v>
      </c>
      <c r="B2788" s="3" t="s">
        <v>8177</v>
      </c>
      <c r="C2788" s="3">
        <v>1.0</v>
      </c>
      <c r="D2788" s="3">
        <v>14.0</v>
      </c>
      <c r="E2788" s="3">
        <v>18.0</v>
      </c>
      <c r="F2788" s="3" t="s">
        <v>8178</v>
      </c>
      <c r="G2788" s="3">
        <v>1.0</v>
      </c>
      <c r="H2788" s="3">
        <v>0.0</v>
      </c>
      <c r="I2788" s="3" t="s">
        <v>13</v>
      </c>
      <c r="J2788" s="3" t="s">
        <v>8179</v>
      </c>
      <c r="K2788" s="3" t="s">
        <v>1045</v>
      </c>
      <c r="L2788" s="3" t="str">
        <f>IFERROR(__xludf.DUMMYFUNCTION("GOOGLETRANSLATE(F2788,""id"",""en"")"),"We can say anything about the World Cup but this is the best World Cup final I have ever watched on all the surprises and controversy before and during this Qatar event we deserve to get the final spectacle like this")</f>
        <v>We can say anything about the World Cup but this is the best World Cup final I have ever watched on all the surprises and controversy before and during this Qatar event we deserve to get the final spectacle like this</v>
      </c>
    </row>
    <row r="2789" ht="15.75" customHeight="1">
      <c r="A2789" s="1">
        <v>2805.0</v>
      </c>
      <c r="B2789" s="3" t="s">
        <v>8180</v>
      </c>
      <c r="C2789" s="3">
        <v>0.0</v>
      </c>
      <c r="D2789" s="3">
        <v>0.0</v>
      </c>
      <c r="E2789" s="3">
        <v>0.0</v>
      </c>
      <c r="F2789" s="3" t="s">
        <v>8181</v>
      </c>
      <c r="G2789" s="3">
        <v>0.55</v>
      </c>
      <c r="H2789" s="3">
        <v>0.0</v>
      </c>
      <c r="I2789" s="3" t="s">
        <v>13</v>
      </c>
      <c r="J2789" s="3" t="s">
        <v>8182</v>
      </c>
      <c r="K2789" s="3" t="s">
        <v>23</v>
      </c>
      <c r="L2789" s="3" t="str">
        <f>IFERROR(__xludf.DUMMYFUNCTION("GOOGLETRANSLATE(F2789,""id"",""en"")"),"Wes was sleepy, but Extra time, but the final of the World Cup during the time")</f>
        <v>Wes was sleepy, but Extra time, but the final of the World Cup during the time</v>
      </c>
    </row>
    <row r="2790" ht="15.75" customHeight="1">
      <c r="A2790" s="1">
        <v>2806.0</v>
      </c>
      <c r="B2790" s="3" t="s">
        <v>8183</v>
      </c>
      <c r="C2790" s="3">
        <v>0.0</v>
      </c>
      <c r="D2790" s="3">
        <v>0.0</v>
      </c>
      <c r="E2790" s="3">
        <v>0.0</v>
      </c>
      <c r="F2790" s="3" t="s">
        <v>8184</v>
      </c>
      <c r="G2790" s="3">
        <v>1.0</v>
      </c>
      <c r="H2790" s="3">
        <v>0.0</v>
      </c>
      <c r="I2790" s="3" t="s">
        <v>13</v>
      </c>
      <c r="J2790" s="3" t="s">
        <v>8185</v>
      </c>
      <c r="K2790" s="3" t="s">
        <v>15</v>
      </c>
      <c r="L2790" s="3" t="str">
        <f>IFERROR(__xludf.DUMMYFUNCTION("GOOGLETRANSLATE(F2790,""id"",""en"")"),"Really, the world cup is full of surprises, there are still until the final too")</f>
        <v>Really, the world cup is full of surprises, there are still until the final too</v>
      </c>
    </row>
    <row r="2791" ht="15.75" customHeight="1">
      <c r="A2791" s="1">
        <v>2807.0</v>
      </c>
      <c r="B2791" s="3" t="s">
        <v>8186</v>
      </c>
      <c r="C2791" s="3">
        <v>0.0</v>
      </c>
      <c r="D2791" s="3">
        <v>0.0</v>
      </c>
      <c r="E2791" s="3">
        <v>0.0</v>
      </c>
      <c r="F2791" s="3" t="s">
        <v>8187</v>
      </c>
      <c r="G2791" s="3">
        <v>1.0</v>
      </c>
      <c r="H2791" s="3">
        <v>0.0</v>
      </c>
      <c r="I2791" s="3" t="s">
        <v>13</v>
      </c>
      <c r="J2791" s="3" t="s">
        <v>8188</v>
      </c>
      <c r="K2791" s="3" t="s">
        <v>15</v>
      </c>
      <c r="L2791" s="3" t="str">
        <f>IFERROR(__xludf.DUMMYFUNCTION("GOOGLETRANSLATE(F2791,""id"",""en"")"),"In fact, this Taiiii passing practice is the final world cup if you forget")</f>
        <v>In fact, this Taiiii passing practice is the final world cup if you forget</v>
      </c>
    </row>
    <row r="2792" ht="15.75" customHeight="1">
      <c r="A2792" s="1">
        <v>2808.0</v>
      </c>
      <c r="B2792" s="3" t="s">
        <v>8189</v>
      </c>
      <c r="C2792" s="3">
        <v>2.0</v>
      </c>
      <c r="D2792" s="3">
        <v>1.0</v>
      </c>
      <c r="E2792" s="3">
        <v>4.0</v>
      </c>
      <c r="F2792" s="3" t="s">
        <v>8190</v>
      </c>
      <c r="G2792" s="3">
        <v>1.0</v>
      </c>
      <c r="H2792" s="3">
        <v>0.0</v>
      </c>
      <c r="I2792" s="3" t="s">
        <v>13</v>
      </c>
      <c r="J2792" s="3" t="s">
        <v>8191</v>
      </c>
      <c r="K2792" s="3" t="s">
        <v>358</v>
      </c>
      <c r="L2792" s="3" t="str">
        <f>IFERROR(__xludf.DUMMYFUNCTION("GOOGLETRANSLATE(F2792,""id"",""en"")"),"already ending the new game can feel the final of the first world cup min first feeling mcm league cup mukim kuale jerr")</f>
        <v>already ending the new game can feel the final of the first world cup min first feeling mcm league cup mukim kuale jerr</v>
      </c>
    </row>
    <row r="2793" ht="15.75" customHeight="1">
      <c r="A2793" s="1">
        <v>2809.0</v>
      </c>
      <c r="B2793" s="3" t="s">
        <v>8192</v>
      </c>
      <c r="C2793" s="3">
        <v>0.0</v>
      </c>
      <c r="D2793" s="3">
        <v>1.0</v>
      </c>
      <c r="E2793" s="3">
        <v>1.0</v>
      </c>
      <c r="F2793" s="3" t="s">
        <v>6953</v>
      </c>
      <c r="G2793" s="3">
        <v>0.5833333333333334</v>
      </c>
      <c r="H2793" s="3">
        <v>0.05</v>
      </c>
      <c r="I2793" s="3" t="s">
        <v>48</v>
      </c>
      <c r="J2793" s="3" t="s">
        <v>6954</v>
      </c>
      <c r="K2793" s="3" t="s">
        <v>240</v>
      </c>
      <c r="L2793" s="3" t="str">
        <f>IFERROR(__xludf.DUMMYFUNCTION("GOOGLETRANSLATE(F2793,""id"",""en"")"),"The World Cup Final Entering the Extra Time Round Two Minutes Kylian Mbappe Making a Normal Time Final Score")</f>
        <v>The World Cup Final Entering the Extra Time Round Two Minutes Kylian Mbappe Making a Normal Time Final Score</v>
      </c>
    </row>
    <row r="2794" ht="15.75" customHeight="1">
      <c r="A2794" s="1">
        <v>2810.0</v>
      </c>
      <c r="B2794" s="3" t="s">
        <v>8193</v>
      </c>
      <c r="C2794" s="3">
        <v>0.0</v>
      </c>
      <c r="D2794" s="3">
        <v>0.0</v>
      </c>
      <c r="E2794" s="3">
        <v>1.0</v>
      </c>
      <c r="F2794" s="3" t="s">
        <v>8166</v>
      </c>
      <c r="G2794" s="3">
        <v>0.825</v>
      </c>
      <c r="H2794" s="3">
        <v>0.075</v>
      </c>
      <c r="I2794" s="3" t="s">
        <v>48</v>
      </c>
      <c r="J2794" s="3" t="s">
        <v>8167</v>
      </c>
      <c r="K2794" s="3" t="s">
        <v>437</v>
      </c>
      <c r="L2794" s="3" t="str">
        <f>IFERROR(__xludf.DUMMYFUNCTION("GOOGLETRANSLATE(F2794,""id"",""en"")"),"The French Argentine match of the World Cup Final continued to take extra time after the two teams played in normal time")</f>
        <v>The French Argentine match of the World Cup Final continued to take extra time after the two teams played in normal time</v>
      </c>
    </row>
    <row r="2795" ht="15.75" customHeight="1">
      <c r="A2795" s="1">
        <v>2811.0</v>
      </c>
      <c r="B2795" s="3" t="s">
        <v>8194</v>
      </c>
      <c r="C2795" s="3">
        <v>0.0</v>
      </c>
      <c r="D2795" s="3">
        <v>0.0</v>
      </c>
      <c r="E2795" s="3">
        <v>0.0</v>
      </c>
      <c r="F2795" s="3" t="s">
        <v>8195</v>
      </c>
      <c r="G2795" s="3">
        <v>1.0</v>
      </c>
      <c r="H2795" s="3">
        <v>0.0</v>
      </c>
      <c r="I2795" s="3" t="s">
        <v>13</v>
      </c>
      <c r="J2795" s="3" t="s">
        <v>8196</v>
      </c>
      <c r="K2795" s="3" t="s">
        <v>510</v>
      </c>
      <c r="L2795" s="3" t="str">
        <f>IFERROR(__xludf.DUMMYFUNCTION("GOOGLETRANSLATE(F2795,""id"",""en"")"),"Prediction of the French Argentine national team Final World Cup Proof of Lionel Messi or Kylian Mbappe via")</f>
        <v>Prediction of the French Argentine national team Final World Cup Proof of Lionel Messi or Kylian Mbappe via</v>
      </c>
    </row>
    <row r="2796" ht="15.75" customHeight="1">
      <c r="A2796" s="1">
        <v>2812.0</v>
      </c>
      <c r="B2796" s="3" t="s">
        <v>8197</v>
      </c>
      <c r="C2796" s="3">
        <v>1.0</v>
      </c>
      <c r="D2796" s="3">
        <v>0.0</v>
      </c>
      <c r="E2796" s="3">
        <v>0.0</v>
      </c>
      <c r="F2796" s="3" t="s">
        <v>8197</v>
      </c>
      <c r="G2796" s="3">
        <v>1.0</v>
      </c>
      <c r="H2796" s="3">
        <v>0.0</v>
      </c>
      <c r="I2796" s="3" t="s">
        <v>13</v>
      </c>
      <c r="J2796" s="3" t="s">
        <v>8198</v>
      </c>
      <c r="K2796" s="3" t="s">
        <v>54</v>
      </c>
      <c r="L2796" s="3" t="str">
        <f>IFERROR(__xludf.DUMMYFUNCTION("GOOGLETRANSLATE(F2796,""id"",""en"")"),"exclaimed too watching the World Cup final")</f>
        <v>exclaimed too watching the World Cup final</v>
      </c>
    </row>
    <row r="2797" ht="15.75" customHeight="1">
      <c r="A2797" s="1">
        <v>2813.0</v>
      </c>
      <c r="B2797" s="3" t="s">
        <v>8199</v>
      </c>
      <c r="C2797" s="3">
        <v>1.0</v>
      </c>
      <c r="D2797" s="3">
        <v>0.0</v>
      </c>
      <c r="E2797" s="3">
        <v>0.0</v>
      </c>
      <c r="F2797" s="3" t="s">
        <v>8200</v>
      </c>
      <c r="G2797" s="3">
        <v>1.0</v>
      </c>
      <c r="H2797" s="3">
        <v>0.0</v>
      </c>
      <c r="I2797" s="3" t="s">
        <v>13</v>
      </c>
      <c r="J2797" s="3" t="s">
        <v>8201</v>
      </c>
      <c r="K2797" s="3" t="s">
        <v>75</v>
      </c>
      <c r="L2797" s="3" t="str">
        <f>IFERROR(__xludf.DUMMYFUNCTION("GOOGLETRANSLATE(F2797,""id"",""en"")"),"how good it is to watch the world cup final without a burden like now because of whose jagoin")</f>
        <v>how good it is to watch the world cup final without a burden like now because of whose jagoin</v>
      </c>
    </row>
    <row r="2798" ht="15.75" customHeight="1">
      <c r="A2798" s="1">
        <v>2814.0</v>
      </c>
      <c r="B2798" s="3" t="s">
        <v>8202</v>
      </c>
      <c r="C2798" s="3">
        <v>0.0</v>
      </c>
      <c r="D2798" s="3">
        <v>0.0</v>
      </c>
      <c r="E2798" s="3">
        <v>0.0</v>
      </c>
      <c r="F2798" s="3" t="s">
        <v>8203</v>
      </c>
      <c r="G2798" s="3">
        <v>1.0</v>
      </c>
      <c r="H2798" s="3">
        <v>0.0</v>
      </c>
      <c r="I2798" s="3" t="s">
        <v>13</v>
      </c>
      <c r="J2798" s="3" t="s">
        <v>8204</v>
      </c>
      <c r="K2798" s="3" t="s">
        <v>477</v>
      </c>
      <c r="L2798" s="3" t="str">
        <f>IFERROR(__xludf.DUMMYFUNCTION("GOOGLETRANSLATE(F2798,""id"",""en"")"),"staying up late watching the World Cup final staying up late")</f>
        <v>staying up late watching the World Cup final staying up late</v>
      </c>
    </row>
    <row r="2799" ht="15.75" customHeight="1">
      <c r="A2799" s="1">
        <v>2815.0</v>
      </c>
      <c r="B2799" s="3" t="s">
        <v>8205</v>
      </c>
      <c r="C2799" s="3">
        <v>1.0</v>
      </c>
      <c r="D2799" s="3">
        <v>0.0</v>
      </c>
      <c r="E2799" s="3">
        <v>0.0</v>
      </c>
      <c r="F2799" s="3" t="s">
        <v>8206</v>
      </c>
      <c r="G2799" s="3">
        <v>1.0</v>
      </c>
      <c r="H2799" s="3">
        <v>0.0</v>
      </c>
      <c r="I2799" s="3" t="s">
        <v>13</v>
      </c>
      <c r="J2799" s="3" t="s">
        <v>8207</v>
      </c>
      <c r="K2799" s="3" t="s">
        <v>8208</v>
      </c>
      <c r="L2799" s="3" t="str">
        <f>IFERROR(__xludf.DUMMYFUNCTION("GOOGLETRANSLATE(F2799,""id"",""en"")"),"Mbappe Year Age Year Ngegolin Croatian World Cup Final")</f>
        <v>Mbappe Year Age Year Ngegolin Croatian World Cup Final</v>
      </c>
    </row>
    <row r="2800" ht="15.75" customHeight="1">
      <c r="A2800" s="1">
        <v>2816.0</v>
      </c>
      <c r="B2800" s="3" t="s">
        <v>8209</v>
      </c>
      <c r="C2800" s="3">
        <v>1.0</v>
      </c>
      <c r="D2800" s="3">
        <v>0.0</v>
      </c>
      <c r="E2800" s="3">
        <v>0.0</v>
      </c>
      <c r="F2800" s="3" t="s">
        <v>8210</v>
      </c>
      <c r="G2800" s="3">
        <v>0.6</v>
      </c>
      <c r="H2800" s="3">
        <v>0.15</v>
      </c>
      <c r="I2800" s="3" t="s">
        <v>48</v>
      </c>
      <c r="J2800" s="3" t="s">
        <v>8211</v>
      </c>
      <c r="K2800" s="3" t="s">
        <v>50</v>
      </c>
      <c r="L2800" s="3" t="str">
        <f>IFERROR(__xludf.DUMMYFUNCTION("GOOGLETRANSLATE(F2800,""id"",""en"")"),"Watching Final World Cup Fun When You Don Pick Any Sides")</f>
        <v>Watching Final World Cup Fun When You Don Pick Any Sides</v>
      </c>
    </row>
    <row r="2801" ht="15.75" customHeight="1">
      <c r="A2801" s="1">
        <v>2817.0</v>
      </c>
      <c r="B2801" s="3" t="s">
        <v>8212</v>
      </c>
      <c r="C2801" s="3">
        <v>0.0</v>
      </c>
      <c r="D2801" s="3">
        <v>1.0</v>
      </c>
      <c r="E2801" s="3">
        <v>0.0</v>
      </c>
      <c r="F2801" s="3" t="s">
        <v>8213</v>
      </c>
      <c r="G2801" s="3">
        <v>1.0</v>
      </c>
      <c r="H2801" s="3">
        <v>0.0</v>
      </c>
      <c r="I2801" s="3" t="s">
        <v>13</v>
      </c>
      <c r="J2801" s="3" t="s">
        <v>8214</v>
      </c>
      <c r="K2801" s="3" t="s">
        <v>75</v>
      </c>
      <c r="L2801" s="3" t="str">
        <f>IFERROR(__xludf.DUMMYFUNCTION("GOOGLETRANSLATE(F2801,""id"",""en"")"),"receive pawning and sell brngs to lose the Gambling World Cup Final Interest")</f>
        <v>receive pawning and sell brngs to lose the Gambling World Cup Final Interest</v>
      </c>
    </row>
    <row r="2802" ht="15.75" customHeight="1">
      <c r="A2802" s="1">
        <v>2818.0</v>
      </c>
      <c r="B2802" s="3" t="s">
        <v>8215</v>
      </c>
      <c r="C2802" s="3">
        <v>1.0</v>
      </c>
      <c r="D2802" s="3">
        <v>0.0</v>
      </c>
      <c r="E2802" s="3">
        <v>0.0</v>
      </c>
      <c r="F2802" s="3" t="s">
        <v>8216</v>
      </c>
      <c r="G2802" s="3">
        <v>1.0</v>
      </c>
      <c r="H2802" s="3">
        <v>0.0</v>
      </c>
      <c r="I2802" s="3" t="s">
        <v>13</v>
      </c>
      <c r="J2802" s="3" t="s">
        <v>8217</v>
      </c>
      <c r="K2802" s="3" t="s">
        <v>236</v>
      </c>
      <c r="L2802" s="3" t="str">
        <f>IFERROR(__xludf.DUMMYFUNCTION("GOOGLETRANSLATE(F2802,""id"",""en"")"),"jom we continue with half of the first period of additional period of the World Cup Final")</f>
        <v>jom we continue with half of the first period of additional period of the World Cup Final</v>
      </c>
    </row>
    <row r="2803" ht="15.75" customHeight="1">
      <c r="A2803" s="1">
        <v>2819.0</v>
      </c>
      <c r="B2803" s="3" t="s">
        <v>8218</v>
      </c>
      <c r="C2803" s="3">
        <v>0.0</v>
      </c>
      <c r="D2803" s="3">
        <v>0.0</v>
      </c>
      <c r="E2803" s="3">
        <v>1.0</v>
      </c>
      <c r="F2803" s="3" t="s">
        <v>8219</v>
      </c>
      <c r="G2803" s="3">
        <v>1.0</v>
      </c>
      <c r="H2803" s="3">
        <v>0.0</v>
      </c>
      <c r="I2803" s="3" t="s">
        <v>13</v>
      </c>
      <c r="J2803" s="3" t="s">
        <v>8220</v>
      </c>
      <c r="K2803" s="3" t="s">
        <v>54</v>
      </c>
      <c r="L2803" s="3" t="str">
        <f>IFERROR(__xludf.DUMMYFUNCTION("GOOGLETRANSLATE(F2803,""id"",""en"")"),"This is Duren, this is the World Cup Final Real")</f>
        <v>This is Duren, this is the World Cup Final Real</v>
      </c>
    </row>
    <row r="2804" ht="15.75" customHeight="1">
      <c r="A2804" s="1">
        <v>2820.0</v>
      </c>
      <c r="B2804" s="3" t="s">
        <v>8221</v>
      </c>
      <c r="C2804" s="3">
        <v>0.0</v>
      </c>
      <c r="D2804" s="3">
        <v>0.0</v>
      </c>
      <c r="E2804" s="3">
        <v>0.0</v>
      </c>
      <c r="F2804" s="3" t="s">
        <v>8222</v>
      </c>
      <c r="G2804" s="3">
        <v>1.0</v>
      </c>
      <c r="H2804" s="3">
        <v>0.0</v>
      </c>
      <c r="I2804" s="3" t="s">
        <v>13</v>
      </c>
      <c r="J2804" s="3" t="s">
        <v>8223</v>
      </c>
      <c r="K2804" s="3" t="s">
        <v>50</v>
      </c>
      <c r="L2804" s="3" t="str">
        <f>IFERROR(__xludf.DUMMYFUNCTION("GOOGLETRANSLATE(F2804,""id"",""en"")"),"The old World Cup final is a pis so that tomorrow people will go online at noon")</f>
        <v>The old World Cup final is a pis so that tomorrow people will go online at noon</v>
      </c>
    </row>
    <row r="2805" ht="15.75" customHeight="1">
      <c r="A2805" s="1">
        <v>2821.0</v>
      </c>
      <c r="B2805" s="3" t="s">
        <v>8224</v>
      </c>
      <c r="C2805" s="3">
        <v>1.0</v>
      </c>
      <c r="D2805" s="3">
        <v>0.0</v>
      </c>
      <c r="E2805" s="3">
        <v>0.0</v>
      </c>
      <c r="F2805" s="3" t="s">
        <v>8225</v>
      </c>
      <c r="G2805" s="3">
        <v>1.0</v>
      </c>
      <c r="H2805" s="3">
        <v>0.0</v>
      </c>
      <c r="I2805" s="3" t="s">
        <v>13</v>
      </c>
      <c r="J2805" s="3" t="s">
        <v>8226</v>
      </c>
      <c r="K2805" s="3" t="s">
        <v>90</v>
      </c>
      <c r="L2805" s="3" t="str">
        <f>IFERROR(__xludf.DUMMYFUNCTION("GOOGLETRANSLATE(F2805,""id"",""en"")"),"Sragentina thought the World Cup Final match would be that easy it turned out that incumbent was only slow, the credit for the second half of the second half")</f>
        <v>Sragentina thought the World Cup Final match would be that easy it turned out that incumbent was only slow, the credit for the second half of the second half</v>
      </c>
    </row>
    <row r="2806" ht="15.75" customHeight="1">
      <c r="A2806" s="1">
        <v>2822.0</v>
      </c>
      <c r="B2806" s="3" t="s">
        <v>8227</v>
      </c>
      <c r="C2806" s="3">
        <v>0.0</v>
      </c>
      <c r="D2806" s="3">
        <v>0.0</v>
      </c>
      <c r="E2806" s="3">
        <v>0.0</v>
      </c>
      <c r="F2806" s="3" t="s">
        <v>8228</v>
      </c>
      <c r="G2806" s="3">
        <v>1.0</v>
      </c>
      <c r="H2806" s="3">
        <v>0.0</v>
      </c>
      <c r="I2806" s="3" t="s">
        <v>13</v>
      </c>
      <c r="J2806" s="3" t="s">
        <v>8229</v>
      </c>
      <c r="K2806" s="3" t="s">
        <v>35</v>
      </c>
      <c r="L2806" s="3" t="str">
        <f>IFERROR(__xludf.DUMMYFUNCTION("GOOGLETRANSLATE(F2806,""id"",""en"")"),"The oldest world cup final kickoff is additional time until the day of Senen")</f>
        <v>The oldest world cup final kickoff is additional time until the day of Senen</v>
      </c>
    </row>
    <row r="2807" ht="15.75" customHeight="1">
      <c r="A2807" s="1">
        <v>2823.0</v>
      </c>
      <c r="B2807" s="3" t="s">
        <v>8230</v>
      </c>
      <c r="C2807" s="3">
        <v>0.0</v>
      </c>
      <c r="D2807" s="3">
        <v>0.0</v>
      </c>
      <c r="E2807" s="3">
        <v>0.0</v>
      </c>
      <c r="F2807" s="3" t="s">
        <v>8231</v>
      </c>
      <c r="G2807" s="3">
        <v>1.0</v>
      </c>
      <c r="H2807" s="3">
        <v>0.0</v>
      </c>
      <c r="I2807" s="3" t="s">
        <v>13</v>
      </c>
      <c r="J2807" s="3" t="s">
        <v>8232</v>
      </c>
      <c r="K2807" s="3" t="s">
        <v>19</v>
      </c>
      <c r="L2807" s="3" t="str">
        <f>IFERROR(__xludf.DUMMYFUNCTION("GOOGLETRANSLATE(F2807,""id"",""en"")"),"The French Argentine World Cup Final continues the extra time after the score was created")</f>
        <v>The French Argentine World Cup Final continues the extra time after the score was created</v>
      </c>
    </row>
    <row r="2808" ht="15.75" customHeight="1">
      <c r="A2808" s="1">
        <v>2824.0</v>
      </c>
      <c r="B2808" s="3" t="s">
        <v>8233</v>
      </c>
      <c r="C2808" s="3">
        <v>0.0</v>
      </c>
      <c r="D2808" s="3">
        <v>1.0</v>
      </c>
      <c r="E2808" s="3">
        <v>1.0</v>
      </c>
      <c r="F2808" s="3" t="s">
        <v>8234</v>
      </c>
      <c r="G2808" s="3">
        <v>1.0</v>
      </c>
      <c r="H2808" s="3">
        <v>0.0</v>
      </c>
      <c r="I2808" s="3" t="s">
        <v>13</v>
      </c>
      <c r="J2808" s="3" t="s">
        <v>8235</v>
      </c>
      <c r="K2808" s="3" t="s">
        <v>19</v>
      </c>
      <c r="L2808" s="3" t="str">
        <f>IFERROR(__xludf.DUMMYFUNCTION("GOOGLETRANSLATE(F2808,""id"",""en"")"),"The second half of the Argentine French World Cup final Kylian Mbappe Bangkit and Borong Gol")</f>
        <v>The second half of the Argentine French World Cup final Kylian Mbappe Bangkit and Borong Gol</v>
      </c>
    </row>
    <row r="2809" ht="15.75" customHeight="1">
      <c r="A2809" s="1">
        <v>2825.0</v>
      </c>
      <c r="B2809" s="3" t="s">
        <v>8236</v>
      </c>
      <c r="C2809" s="3">
        <v>0.0</v>
      </c>
      <c r="D2809" s="3">
        <v>0.0</v>
      </c>
      <c r="E2809" s="3">
        <v>0.0</v>
      </c>
      <c r="F2809" s="3" t="s">
        <v>8237</v>
      </c>
      <c r="G2809" s="3">
        <v>1.0</v>
      </c>
      <c r="H2809" s="3">
        <v>0.0</v>
      </c>
      <c r="I2809" s="3" t="s">
        <v>13</v>
      </c>
      <c r="J2809" s="3" t="s">
        <v>8238</v>
      </c>
      <c r="K2809" s="3" t="s">
        <v>54</v>
      </c>
      <c r="L2809" s="3" t="str">
        <f>IFERROR(__xludf.DUMMYFUNCTION("GOOGLETRANSLATE(F2809,""id"",""en"")"),"Messi Trauma with the World Cup Final")</f>
        <v>Messi Trauma with the World Cup Final</v>
      </c>
    </row>
    <row r="2810" ht="15.75" customHeight="1">
      <c r="A2810" s="1">
        <v>2826.0</v>
      </c>
      <c r="B2810" s="3" t="s">
        <v>8239</v>
      </c>
      <c r="C2810" s="3">
        <v>0.0</v>
      </c>
      <c r="D2810" s="3">
        <v>0.0</v>
      </c>
      <c r="E2810" s="3">
        <v>0.0</v>
      </c>
      <c r="F2810" s="3" t="s">
        <v>8240</v>
      </c>
      <c r="G2810" s="3">
        <v>0.55</v>
      </c>
      <c r="H2810" s="3">
        <v>0.0</v>
      </c>
      <c r="I2810" s="3" t="s">
        <v>13</v>
      </c>
      <c r="J2810" s="3" t="s">
        <v>8241</v>
      </c>
      <c r="K2810" s="3" t="s">
        <v>58</v>
      </c>
      <c r="L2810" s="3" t="str">
        <f>IFERROR(__xludf.DUMMYFUNCTION("GOOGLETRANSLATE(F2810,""id"",""en"")"),"I should have lifted this trophy Messi before the Extra Time Final of the World Cup")</f>
        <v>I should have lifted this trophy Messi before the Extra Time Final of the World Cup</v>
      </c>
    </row>
    <row r="2811" ht="15.75" customHeight="1">
      <c r="A2811" s="1">
        <v>2827.0</v>
      </c>
      <c r="B2811" s="3" t="s">
        <v>8242</v>
      </c>
      <c r="C2811" s="3">
        <v>0.0</v>
      </c>
      <c r="D2811" s="3">
        <v>0.0</v>
      </c>
      <c r="E2811" s="3">
        <v>0.0</v>
      </c>
      <c r="F2811" s="3" t="s">
        <v>8243</v>
      </c>
      <c r="G2811" s="3">
        <v>1.0</v>
      </c>
      <c r="H2811" s="3">
        <v>0.0</v>
      </c>
      <c r="I2811" s="3" t="s">
        <v>13</v>
      </c>
      <c r="J2811" s="3" t="s">
        <v>8244</v>
      </c>
      <c r="K2811" s="3" t="s">
        <v>82</v>
      </c>
      <c r="L2811" s="3" t="str">
        <f>IFERROR(__xludf.DUMMYFUNCTION("GOOGLETRANSLATE(F2811,""id"",""en"")"),"Argentina national team results French Final World Cup")</f>
        <v>Argentina national team results French Final World Cup</v>
      </c>
    </row>
    <row r="2812" ht="15.75" customHeight="1">
      <c r="A2812" s="1">
        <v>2828.0</v>
      </c>
      <c r="B2812" s="3" t="s">
        <v>8245</v>
      </c>
      <c r="C2812" s="3">
        <v>0.0</v>
      </c>
      <c r="D2812" s="3">
        <v>0.0</v>
      </c>
      <c r="E2812" s="3">
        <v>0.0</v>
      </c>
      <c r="F2812" s="3" t="s">
        <v>8246</v>
      </c>
      <c r="G2812" s="3">
        <v>0.75</v>
      </c>
      <c r="H2812" s="3">
        <v>0.1875</v>
      </c>
      <c r="I2812" s="3" t="s">
        <v>48</v>
      </c>
      <c r="J2812" s="3" t="s">
        <v>8247</v>
      </c>
      <c r="K2812" s="3" t="s">
        <v>54</v>
      </c>
      <c r="L2812" s="3" t="str">
        <f>IFERROR(__xludf.DUMMYFUNCTION("GOOGLETRANSLATE(F2812,""id"",""en"")"),"Minute Friendly Match World Cup Final")</f>
        <v>Minute Friendly Match World Cup Final</v>
      </c>
    </row>
    <row r="2813" ht="15.75" customHeight="1">
      <c r="A2813" s="1">
        <v>2829.0</v>
      </c>
      <c r="B2813" s="3" t="s">
        <v>8248</v>
      </c>
      <c r="C2813" s="3">
        <v>0.0</v>
      </c>
      <c r="D2813" s="3">
        <v>0.0</v>
      </c>
      <c r="E2813" s="3">
        <v>0.0</v>
      </c>
      <c r="F2813" s="3" t="s">
        <v>8249</v>
      </c>
      <c r="G2813" s="3">
        <v>1.0</v>
      </c>
      <c r="H2813" s="3">
        <v>0.0</v>
      </c>
      <c r="I2813" s="3" t="s">
        <v>13</v>
      </c>
      <c r="J2813" s="3" t="s">
        <v>8250</v>
      </c>
      <c r="K2813" s="3" t="s">
        <v>75</v>
      </c>
      <c r="L2813" s="3" t="str">
        <f>IFERROR(__xludf.DUMMYFUNCTION("GOOGLETRANSLATE(F2813,""id"",""en"")"),"Referee Szymon Marciniak led the World Cup final match between Argentina France")</f>
        <v>Referee Szymon Marciniak led the World Cup final match between Argentina France</v>
      </c>
    </row>
    <row r="2814" ht="15.75" customHeight="1">
      <c r="A2814" s="1">
        <v>2830.0</v>
      </c>
      <c r="B2814" s="3" t="s">
        <v>8251</v>
      </c>
      <c r="C2814" s="3">
        <v>1.0</v>
      </c>
      <c r="D2814" s="3">
        <v>0.0</v>
      </c>
      <c r="E2814" s="3">
        <v>0.0</v>
      </c>
      <c r="F2814" s="3" t="s">
        <v>8252</v>
      </c>
      <c r="G2814" s="3">
        <v>1.0</v>
      </c>
      <c r="H2814" s="3">
        <v>0.0</v>
      </c>
      <c r="I2814" s="3" t="s">
        <v>13</v>
      </c>
      <c r="J2814" s="3" t="s">
        <v>8253</v>
      </c>
      <c r="K2814" s="3" t="s">
        <v>15</v>
      </c>
      <c r="L2814" s="3" t="str">
        <f>IFERROR(__xludf.DUMMYFUNCTION("GOOGLETRANSLATE(F2814,""id"",""en"")"),"times watching the world cup final must be admitted this is the most exciting")</f>
        <v>times watching the world cup final must be admitted this is the most exciting</v>
      </c>
    </row>
    <row r="2815" ht="15.75" customHeight="1">
      <c r="A2815" s="1">
        <v>2831.0</v>
      </c>
      <c r="B2815" s="3" t="s">
        <v>8254</v>
      </c>
      <c r="C2815" s="3">
        <v>0.0</v>
      </c>
      <c r="D2815" s="3">
        <v>0.0</v>
      </c>
      <c r="E2815" s="3">
        <v>0.0</v>
      </c>
      <c r="F2815" s="3" t="s">
        <v>8255</v>
      </c>
      <c r="G2815" s="3">
        <v>0.75</v>
      </c>
      <c r="H2815" s="3">
        <v>0.06818181818181818</v>
      </c>
      <c r="I2815" s="3" t="s">
        <v>48</v>
      </c>
      <c r="J2815" s="3" t="s">
        <v>8256</v>
      </c>
      <c r="K2815" s="3" t="s">
        <v>437</v>
      </c>
      <c r="L2815" s="3" t="str">
        <f>IFERROR(__xludf.DUMMYFUNCTION("GOOGLETRANSLATE(F2815,""id"",""en"")"),"kick off the additional round of Argentina France Link live streaming of Argentina France tonight WIB World Cup Final")</f>
        <v>kick off the additional round of Argentina France Link live streaming of Argentina France tonight WIB World Cup Final</v>
      </c>
    </row>
    <row r="2816" ht="15.75" customHeight="1">
      <c r="A2816" s="1">
        <v>2832.0</v>
      </c>
      <c r="B2816" s="3" t="s">
        <v>8257</v>
      </c>
      <c r="C2816" s="3">
        <v>1.0</v>
      </c>
      <c r="D2816" s="3">
        <v>0.0</v>
      </c>
      <c r="E2816" s="3">
        <v>0.0</v>
      </c>
      <c r="F2816" s="3" t="s">
        <v>8258</v>
      </c>
      <c r="G2816" s="3">
        <v>0.55</v>
      </c>
      <c r="H2816" s="3">
        <v>0.0</v>
      </c>
      <c r="I2816" s="3" t="s">
        <v>13</v>
      </c>
      <c r="J2816" s="3" t="s">
        <v>8259</v>
      </c>
      <c r="K2816" s="3" t="s">
        <v>82</v>
      </c>
      <c r="L2816" s="3" t="str">
        <f>IFERROR(__xludf.DUMMYFUNCTION("GOOGLETRANSLATE(F2816,""id"",""en"")"),"The World Cup Final Without Extra Time Is Not Exciting")</f>
        <v>The World Cup Final Without Extra Time Is Not Exciting</v>
      </c>
    </row>
    <row r="2817" ht="15.75" customHeight="1">
      <c r="A2817" s="1">
        <v>2833.0</v>
      </c>
      <c r="B2817" s="3" t="s">
        <v>8260</v>
      </c>
      <c r="C2817" s="3">
        <v>0.0</v>
      </c>
      <c r="D2817" s="3">
        <v>0.0</v>
      </c>
      <c r="E2817" s="3">
        <v>0.0</v>
      </c>
      <c r="F2817" s="3" t="s">
        <v>8261</v>
      </c>
      <c r="G2817" s="3">
        <v>1.0</v>
      </c>
      <c r="H2817" s="3">
        <v>0.0</v>
      </c>
      <c r="I2817" s="3" t="s">
        <v>13</v>
      </c>
      <c r="J2817" s="3" t="s">
        <v>8262</v>
      </c>
      <c r="K2817" s="3" t="s">
        <v>41</v>
      </c>
      <c r="L2817" s="3" t="str">
        <f>IFERROR(__xludf.DUMMYFUNCTION("GOOGLETRANSLATE(F2817,""id"",""en"")"),"The Argentine World Cup final score update is superior to France")</f>
        <v>The Argentine World Cup final score update is superior to France</v>
      </c>
    </row>
    <row r="2818" ht="15.75" customHeight="1">
      <c r="A2818" s="1">
        <v>2834.0</v>
      </c>
      <c r="B2818" s="3" t="s">
        <v>8263</v>
      </c>
      <c r="C2818" s="3">
        <v>0.0</v>
      </c>
      <c r="D2818" s="3">
        <v>0.0</v>
      </c>
      <c r="E2818" s="3">
        <v>0.0</v>
      </c>
      <c r="F2818" s="3" t="s">
        <v>8264</v>
      </c>
      <c r="G2818" s="3">
        <v>1.0</v>
      </c>
      <c r="H2818" s="3">
        <v>0.0</v>
      </c>
      <c r="I2818" s="3" t="s">
        <v>13</v>
      </c>
      <c r="J2818" s="3" t="s">
        <v>8265</v>
      </c>
      <c r="K2818" s="3" t="s">
        <v>50</v>
      </c>
      <c r="L2818" s="3" t="str">
        <f>IFERROR(__xludf.DUMMYFUNCTION("GOOGLETRANSLATE(F2818,""id"",""en"")"),"Argentina French French World Cup Final Final Match Panic Panic")</f>
        <v>Argentina French French World Cup Final Final Match Panic Panic</v>
      </c>
    </row>
    <row r="2819" ht="15.75" customHeight="1">
      <c r="A2819" s="1">
        <v>2835.0</v>
      </c>
      <c r="B2819" s="3" t="s">
        <v>8266</v>
      </c>
      <c r="C2819" s="3">
        <v>0.0</v>
      </c>
      <c r="D2819" s="3">
        <v>0.0</v>
      </c>
      <c r="E2819" s="3">
        <v>0.0</v>
      </c>
      <c r="F2819" s="3" t="s">
        <v>8267</v>
      </c>
      <c r="G2819" s="3">
        <v>0.75</v>
      </c>
      <c r="H2819" s="3">
        <v>0.06818181818181818</v>
      </c>
      <c r="I2819" s="3" t="s">
        <v>48</v>
      </c>
      <c r="J2819" s="3" t="s">
        <v>8268</v>
      </c>
      <c r="K2819" s="3" t="s">
        <v>19</v>
      </c>
      <c r="L2819" s="3" t="str">
        <f>IFERROR(__xludf.DUMMYFUNCTION("GOOGLETRANSLATE(F2819,""id"",""en"")"),"live broadcast of the Argentine French World Cup final match Link live streaming alternative")</f>
        <v>live broadcast of the Argentine French World Cup final match Link live streaming alternative</v>
      </c>
    </row>
    <row r="2820" ht="15.75" customHeight="1">
      <c r="A2820" s="1">
        <v>2836.0</v>
      </c>
      <c r="B2820" s="3" t="s">
        <v>8269</v>
      </c>
      <c r="C2820" s="3">
        <v>0.0</v>
      </c>
      <c r="D2820" s="3">
        <v>0.0</v>
      </c>
      <c r="E2820" s="3">
        <v>0.0</v>
      </c>
      <c r="F2820" s="3" t="s">
        <v>8270</v>
      </c>
      <c r="G2820" s="3">
        <v>1.0</v>
      </c>
      <c r="H2820" s="3">
        <v>0.0</v>
      </c>
      <c r="I2820" s="3" t="s">
        <v>13</v>
      </c>
      <c r="J2820" s="3" t="s">
        <v>643</v>
      </c>
      <c r="K2820" s="3" t="s">
        <v>644</v>
      </c>
      <c r="L2820" s="3" t="str">
        <f>IFERROR(__xludf.DUMMYFUNCTION("GOOGLETRANSLATE(F2820,""id"",""en"")"),"The World Cup Final was excited")</f>
        <v>The World Cup Final was excited</v>
      </c>
    </row>
    <row r="2821" ht="15.75" customHeight="1">
      <c r="A2821" s="1">
        <v>2837.0</v>
      </c>
      <c r="B2821" s="3" t="s">
        <v>8271</v>
      </c>
      <c r="C2821" s="3">
        <v>0.0</v>
      </c>
      <c r="D2821" s="3">
        <v>0.0</v>
      </c>
      <c r="E2821" s="3">
        <v>0.0</v>
      </c>
      <c r="F2821" s="3" t="s">
        <v>8272</v>
      </c>
      <c r="G2821" s="3">
        <v>0.75</v>
      </c>
      <c r="H2821" s="3">
        <v>0.06818181818181818</v>
      </c>
      <c r="I2821" s="3" t="s">
        <v>48</v>
      </c>
      <c r="J2821" s="3" t="s">
        <v>8273</v>
      </c>
      <c r="K2821" s="3" t="s">
        <v>50</v>
      </c>
      <c r="L2821" s="3" t="str">
        <f>IFERROR(__xludf.DUMMYFUNCTION("GOOGLETRANSLATE(F2821,""id"",""en"")"),"Argentine Live Streaming Link French French match of the World Cup Final")</f>
        <v>Argentine Live Streaming Link French French match of the World Cup Final</v>
      </c>
    </row>
    <row r="2822" ht="15.75" customHeight="1">
      <c r="A2822" s="1">
        <v>2838.0</v>
      </c>
      <c r="B2822" s="3" t="s">
        <v>8274</v>
      </c>
      <c r="C2822" s="3">
        <v>0.0</v>
      </c>
      <c r="D2822" s="3">
        <v>0.0</v>
      </c>
      <c r="E2822" s="3">
        <v>0.0</v>
      </c>
      <c r="F2822" s="3" t="s">
        <v>8275</v>
      </c>
      <c r="G2822" s="3">
        <v>1.0</v>
      </c>
      <c r="H2822" s="3">
        <v>0.0</v>
      </c>
      <c r="I2822" s="3" t="s">
        <v>13</v>
      </c>
      <c r="J2822" s="3" t="s">
        <v>8276</v>
      </c>
      <c r="K2822" s="3" t="s">
        <v>240</v>
      </c>
      <c r="L2822" s="3" t="str">
        <f>IFERROR(__xludf.DUMMYFUNCTION("GOOGLETRANSLATE(F2822,""id"",""en"")"),"Not a supporter of the two countries but at least for the World Cup final match last minute is quite hot and presents the game of attacking each other")</f>
        <v>Not a supporter of the two countries but at least for the World Cup final match last minute is quite hot and presents the game of attacking each other</v>
      </c>
    </row>
    <row r="2823" ht="15.75" customHeight="1">
      <c r="A2823" s="1">
        <v>2839.0</v>
      </c>
      <c r="B2823" s="3" t="s">
        <v>8277</v>
      </c>
      <c r="C2823" s="3">
        <v>0.0</v>
      </c>
      <c r="D2823" s="3">
        <v>0.0</v>
      </c>
      <c r="E2823" s="3">
        <v>0.0</v>
      </c>
      <c r="F2823" s="3" t="s">
        <v>8278</v>
      </c>
      <c r="G2823" s="3">
        <v>1.0</v>
      </c>
      <c r="H2823" s="3">
        <v>0.0</v>
      </c>
      <c r="I2823" s="3" t="s">
        <v>13</v>
      </c>
      <c r="J2823" s="3" t="s">
        <v>8279</v>
      </c>
      <c r="K2823" s="3" t="s">
        <v>510</v>
      </c>
      <c r="L2823" s="3" t="str">
        <f>IFERROR(__xludf.DUMMYFUNCTION("GOOGLETRANSLATE(F2823,""id"",""en"")"),"Click the latest news ball on the expression of French supporters watching the World Cup final so far")</f>
        <v>Click the latest news ball on the expression of French supporters watching the World Cup final so far</v>
      </c>
    </row>
    <row r="2824" ht="15.75" customHeight="1">
      <c r="A2824" s="1">
        <v>2840.0</v>
      </c>
      <c r="B2824" s="3" t="s">
        <v>8280</v>
      </c>
      <c r="C2824" s="3">
        <v>0.0</v>
      </c>
      <c r="D2824" s="3">
        <v>0.0</v>
      </c>
      <c r="E2824" s="3">
        <v>0.0</v>
      </c>
      <c r="F2824" s="3" t="s">
        <v>8281</v>
      </c>
      <c r="G2824" s="3">
        <v>1.0</v>
      </c>
      <c r="H2824" s="3">
        <v>0.0</v>
      </c>
      <c r="I2824" s="3" t="s">
        <v>13</v>
      </c>
      <c r="J2824" s="3" t="s">
        <v>8282</v>
      </c>
      <c r="K2824" s="3" t="s">
        <v>58</v>
      </c>
      <c r="L2824" s="3" t="str">
        <f>IFERROR(__xludf.DUMMYFUNCTION("GOOGLETRANSLATE(F2824,""id"",""en"")"),"Finally Nobar near the house better watching with Asep cigarettes rather than watching the World Cup final")</f>
        <v>Finally Nobar near the house better watching with Asep cigarettes rather than watching the World Cup final</v>
      </c>
    </row>
    <row r="2825" ht="15.75" customHeight="1">
      <c r="A2825" s="1">
        <v>2841.0</v>
      </c>
      <c r="B2825" s="3" t="s">
        <v>8283</v>
      </c>
      <c r="C2825" s="3">
        <v>0.0</v>
      </c>
      <c r="D2825" s="3">
        <v>0.0</v>
      </c>
      <c r="E2825" s="3">
        <v>0.0</v>
      </c>
      <c r="F2825" s="3" t="s">
        <v>8284</v>
      </c>
      <c r="G2825" s="3">
        <v>1.0</v>
      </c>
      <c r="H2825" s="3">
        <v>0.0</v>
      </c>
      <c r="I2825" s="3" t="s">
        <v>13</v>
      </c>
      <c r="J2825" s="3" t="s">
        <v>8285</v>
      </c>
      <c r="K2825" s="3" t="s">
        <v>82</v>
      </c>
      <c r="L2825" s="3" t="str">
        <f>IFERROR(__xludf.DUMMYFUNCTION("GOOGLETRANSLATE(F2825,""id"",""en"")"),"Aligg is only the final of the Gaskeun World Cup Francesss")</f>
        <v>Aligg is only the final of the Gaskeun World Cup Francesss</v>
      </c>
    </row>
    <row r="2826" ht="15.75" customHeight="1">
      <c r="A2826" s="1">
        <v>2842.0</v>
      </c>
      <c r="B2826" s="3" t="s">
        <v>8286</v>
      </c>
      <c r="C2826" s="3">
        <v>0.0</v>
      </c>
      <c r="D2826" s="3">
        <v>0.0</v>
      </c>
      <c r="E2826" s="3">
        <v>0.0</v>
      </c>
      <c r="F2826" s="3" t="s">
        <v>8287</v>
      </c>
      <c r="G2826" s="3">
        <v>1.0</v>
      </c>
      <c r="H2826" s="3">
        <v>0.0</v>
      </c>
      <c r="I2826" s="3" t="s">
        <v>13</v>
      </c>
      <c r="J2826" s="3" t="s">
        <v>8288</v>
      </c>
      <c r="K2826" s="3" t="s">
        <v>510</v>
      </c>
      <c r="L2826" s="3" t="str">
        <f>IFERROR(__xludf.DUMMYFUNCTION("GOOGLETRANSLATE(F2826,""id"",""en"")"),"Argentina French World Cup final results in a draw until the second half ended via")</f>
        <v>Argentina French World Cup final results in a draw until the second half ended via</v>
      </c>
    </row>
    <row r="2827" ht="15.75" customHeight="1">
      <c r="A2827" s="1">
        <v>2843.0</v>
      </c>
      <c r="B2827" s="3" t="s">
        <v>8289</v>
      </c>
      <c r="C2827" s="3">
        <v>1.0</v>
      </c>
      <c r="D2827" s="3">
        <v>0.0</v>
      </c>
      <c r="E2827" s="3">
        <v>4.0</v>
      </c>
      <c r="F2827" s="3" t="s">
        <v>8290</v>
      </c>
      <c r="G2827" s="3">
        <v>1.0</v>
      </c>
      <c r="H2827" s="3">
        <v>0.0</v>
      </c>
      <c r="I2827" s="3" t="s">
        <v>13</v>
      </c>
      <c r="J2827" s="3" t="s">
        <v>8291</v>
      </c>
      <c r="K2827" s="3" t="s">
        <v>510</v>
      </c>
      <c r="L2827" s="3" t="str">
        <f>IFERROR(__xludf.DUMMYFUNCTION("GOOGLETRANSLATE(F2827,""id"",""en"")"),"The Highlight of the FIFA Word Cup Qatar World Cup French Kiridit Video")</f>
        <v>The Highlight of the FIFA Word Cup Qatar World Cup French Kiridit Video</v>
      </c>
    </row>
    <row r="2828" ht="15.75" customHeight="1">
      <c r="A2828" s="1">
        <v>2844.0</v>
      </c>
      <c r="B2828" s="3" t="s">
        <v>8292</v>
      </c>
      <c r="C2828" s="3">
        <v>0.0</v>
      </c>
      <c r="D2828" s="3">
        <v>0.0</v>
      </c>
      <c r="E2828" s="3">
        <v>17.0</v>
      </c>
      <c r="F2828" s="3" t="s">
        <v>8293</v>
      </c>
      <c r="G2828" s="3">
        <v>1.0</v>
      </c>
      <c r="H2828" s="3">
        <v>0.0</v>
      </c>
      <c r="I2828" s="3" t="s">
        <v>13</v>
      </c>
      <c r="J2828" s="3" t="s">
        <v>8294</v>
      </c>
      <c r="K2828" s="3" t="s">
        <v>41</v>
      </c>
      <c r="L2828" s="3" t="str">
        <f>IFERROR(__xludf.DUMMYFUNCTION("GOOGLETRANSLATE(F2828,""id"",""en"")"),"equally strong after playing the final minute of the World Cup Leo Messi")</f>
        <v>equally strong after playing the final minute of the World Cup Leo Messi</v>
      </c>
    </row>
    <row r="2829" ht="15.75" customHeight="1">
      <c r="A2829" s="1">
        <v>2845.0</v>
      </c>
      <c r="B2829" s="3" t="s">
        <v>8295</v>
      </c>
      <c r="C2829" s="3">
        <v>0.0</v>
      </c>
      <c r="D2829" s="3">
        <v>0.0</v>
      </c>
      <c r="E2829" s="3">
        <v>0.0</v>
      </c>
      <c r="F2829" s="3" t="s">
        <v>8296</v>
      </c>
      <c r="G2829" s="3">
        <v>1.0</v>
      </c>
      <c r="H2829" s="3">
        <v>0.0</v>
      </c>
      <c r="I2829" s="3" t="s">
        <v>13</v>
      </c>
      <c r="J2829" s="3" t="s">
        <v>8297</v>
      </c>
      <c r="K2829" s="3" t="s">
        <v>510</v>
      </c>
      <c r="L2829" s="3" t="str">
        <f>IFERROR(__xludf.DUMMYFUNCTION("GOOGLETRANSLATE(F2829,""id"",""en"")"),"Sengga likes me to the ball if the world cup final is watching too, which is exciting for an extension of time")</f>
        <v>Sengga likes me to the ball if the world cup final is watching too, which is exciting for an extension of time</v>
      </c>
    </row>
    <row r="2830" ht="15.75" customHeight="1">
      <c r="A2830" s="1">
        <v>2846.0</v>
      </c>
      <c r="B2830" s="3" t="s">
        <v>8298</v>
      </c>
      <c r="C2830" s="3">
        <v>0.0</v>
      </c>
      <c r="D2830" s="3">
        <v>0.0</v>
      </c>
      <c r="E2830" s="3">
        <v>0.0</v>
      </c>
      <c r="F2830" s="3" t="s">
        <v>8299</v>
      </c>
      <c r="G2830" s="3">
        <v>1.0</v>
      </c>
      <c r="H2830" s="3">
        <v>0.0</v>
      </c>
      <c r="I2830" s="3" t="s">
        <v>13</v>
      </c>
      <c r="J2830" s="3" t="s">
        <v>8300</v>
      </c>
      <c r="K2830" s="3" t="s">
        <v>273</v>
      </c>
      <c r="L2830" s="3" t="str">
        <f>IFERROR(__xludf.DUMMYFUNCTION("GOOGLETRANSLATE(F2830,""id"",""en"")"),"Since the World Cup, I have never supported Argentina and France, supported Croatia from the beginning, I was jagged by the suffix")</f>
        <v>Since the World Cup, I have never supported Argentina and France, supported Croatia from the beginning, I was jagged by the suffix</v>
      </c>
    </row>
    <row r="2831" ht="15.75" customHeight="1">
      <c r="A2831" s="1">
        <v>2847.0</v>
      </c>
      <c r="B2831" s="3" t="s">
        <v>8301</v>
      </c>
      <c r="C2831" s="3">
        <v>0.0</v>
      </c>
      <c r="D2831" s="3">
        <v>0.0</v>
      </c>
      <c r="E2831" s="3">
        <v>0.0</v>
      </c>
      <c r="F2831" s="3" t="s">
        <v>8302</v>
      </c>
      <c r="G2831" s="3">
        <v>1.0</v>
      </c>
      <c r="H2831" s="3">
        <v>0.0</v>
      </c>
      <c r="I2831" s="3" t="s">
        <v>13</v>
      </c>
      <c r="J2831" s="3" t="s">
        <v>8303</v>
      </c>
      <c r="K2831" s="3" t="s">
        <v>31</v>
      </c>
      <c r="L2831" s="3" t="str">
        <f>IFERROR(__xludf.DUMMYFUNCTION("GOOGLETRANSLATE(F2831,""id"",""en"")"),"World Cup Final Most Damn")</f>
        <v>World Cup Final Most Damn</v>
      </c>
    </row>
    <row r="2832" ht="15.75" customHeight="1">
      <c r="A2832" s="1">
        <v>2848.0</v>
      </c>
      <c r="B2832" s="3" t="s">
        <v>8304</v>
      </c>
      <c r="C2832" s="3">
        <v>1.0</v>
      </c>
      <c r="D2832" s="3">
        <v>0.0</v>
      </c>
      <c r="E2832" s="3">
        <v>0.0</v>
      </c>
      <c r="F2832" s="3" t="s">
        <v>8305</v>
      </c>
      <c r="G2832" s="3">
        <v>1.0</v>
      </c>
      <c r="H2832" s="3">
        <v>0.0</v>
      </c>
      <c r="I2832" s="3" t="s">
        <v>13</v>
      </c>
      <c r="J2832" s="3" t="s">
        <v>8306</v>
      </c>
      <c r="K2832" s="3" t="s">
        <v>41</v>
      </c>
      <c r="L2832" s="3" t="str">
        <f>IFERROR(__xludf.DUMMYFUNCTION("GOOGLETRANSLATE(F2832,""id"",""en"")"),"This is just the World Cup Final up and down like a roller coaster")</f>
        <v>This is just the World Cup Final up and down like a roller coaster</v>
      </c>
    </row>
    <row r="2833" ht="15.75" customHeight="1">
      <c r="A2833" s="1">
        <v>2849.0</v>
      </c>
      <c r="B2833" s="3" t="s">
        <v>8307</v>
      </c>
      <c r="C2833" s="3">
        <v>0.0</v>
      </c>
      <c r="D2833" s="3">
        <v>0.0</v>
      </c>
      <c r="E2833" s="3">
        <v>0.0</v>
      </c>
      <c r="F2833" s="3" t="s">
        <v>8308</v>
      </c>
      <c r="G2833" s="3">
        <v>0.55</v>
      </c>
      <c r="H2833" s="3">
        <v>0.0</v>
      </c>
      <c r="I2833" s="3" t="s">
        <v>13</v>
      </c>
      <c r="J2833" s="3" t="s">
        <v>8309</v>
      </c>
      <c r="K2833" s="3" t="s">
        <v>510</v>
      </c>
      <c r="L2833" s="3" t="str">
        <f>IFERROR(__xludf.DUMMYFUNCTION("GOOGLETRANSLATE(F2833,""id"",""en"")"),"The second half of the French World Cup final resistant to Argentina with an Extra Time Further Score")</f>
        <v>The second half of the French World Cup final resistant to Argentina with an Extra Time Further Score</v>
      </c>
    </row>
    <row r="2834" ht="15.75" customHeight="1">
      <c r="A2834" s="1">
        <v>2850.0</v>
      </c>
      <c r="B2834" s="3" t="s">
        <v>8310</v>
      </c>
      <c r="C2834" s="3">
        <v>0.0</v>
      </c>
      <c r="D2834" s="3">
        <v>0.0</v>
      </c>
      <c r="E2834" s="3">
        <v>0.0</v>
      </c>
      <c r="F2834" s="3" t="s">
        <v>8311</v>
      </c>
      <c r="G2834" s="3">
        <v>1.0</v>
      </c>
      <c r="H2834" s="3">
        <v>0.0</v>
      </c>
      <c r="I2834" s="3" t="s">
        <v>13</v>
      </c>
      <c r="J2834" s="3" t="s">
        <v>8312</v>
      </c>
      <c r="K2834" s="3" t="s">
        <v>54</v>
      </c>
      <c r="L2834" s="3" t="str">
        <f>IFERROR(__xludf.DUMMYFUNCTION("GOOGLETRANSLATE(F2834,""id"",""en"")"),"Iki Seng Jenenge World Cup Final")</f>
        <v>Iki Seng Jenenge World Cup Final</v>
      </c>
    </row>
    <row r="2835" ht="15.75" customHeight="1">
      <c r="A2835" s="1">
        <v>2851.0</v>
      </c>
      <c r="B2835" s="3" t="s">
        <v>8313</v>
      </c>
      <c r="C2835" s="3">
        <v>0.0</v>
      </c>
      <c r="D2835" s="3">
        <v>0.0</v>
      </c>
      <c r="E2835" s="3">
        <v>0.0</v>
      </c>
      <c r="F2835" s="3" t="s">
        <v>8314</v>
      </c>
      <c r="G2835" s="3">
        <v>1.0</v>
      </c>
      <c r="H2835" s="3">
        <v>0.0</v>
      </c>
      <c r="I2835" s="3" t="s">
        <v>13</v>
      </c>
      <c r="J2835" s="3" t="s">
        <v>8315</v>
      </c>
      <c r="K2835" s="3" t="s">
        <v>23</v>
      </c>
      <c r="L2835" s="3" t="str">
        <f>IFERROR(__xludf.DUMMYFUNCTION("GOOGLETRANSLATE(F2835,""id"",""en"")"),"wkwkwk I left the room to leave the world cup Grgr Anying room so exciting, I swear to be final like this, making people stressed hahahahahahahah")</f>
        <v>wkwkwk I left the room to leave the world cup Grgr Anying room so exciting, I swear to be final like this, making people stressed hahahahahahahah</v>
      </c>
    </row>
    <row r="2836" ht="15.75" customHeight="1">
      <c r="A2836" s="1">
        <v>2852.0</v>
      </c>
      <c r="B2836" s="3" t="s">
        <v>8316</v>
      </c>
      <c r="C2836" s="3">
        <v>0.0</v>
      </c>
      <c r="D2836" s="3">
        <v>0.0</v>
      </c>
      <c r="E2836" s="3">
        <v>0.0</v>
      </c>
      <c r="F2836" s="3" t="s">
        <v>8317</v>
      </c>
      <c r="G2836" s="3">
        <v>1.0</v>
      </c>
      <c r="H2836" s="3">
        <v>0.0</v>
      </c>
      <c r="I2836" s="3" t="s">
        <v>13</v>
      </c>
      <c r="J2836" s="3" t="s">
        <v>8318</v>
      </c>
      <c r="K2836" s="3" t="s">
        <v>15</v>
      </c>
      <c r="L2836" s="3" t="str">
        <f>IFERROR(__xludf.DUMMYFUNCTION("GOOGLETRANSLATE(F2836,""id"",""en"")"),"The final was excited, sir, I had watched it since the World Cup")</f>
        <v>The final was excited, sir, I had watched it since the World Cup</v>
      </c>
    </row>
    <row r="2837" ht="15.75" customHeight="1">
      <c r="A2837" s="1">
        <v>2853.0</v>
      </c>
      <c r="B2837" s="3" t="s">
        <v>8319</v>
      </c>
      <c r="C2837" s="3">
        <v>0.0</v>
      </c>
      <c r="D2837" s="3">
        <v>0.0</v>
      </c>
      <c r="E2837" s="3">
        <v>0.0</v>
      </c>
      <c r="F2837" s="3" t="s">
        <v>8320</v>
      </c>
      <c r="G2837" s="3">
        <v>1.0</v>
      </c>
      <c r="H2837" s="3">
        <v>0.0</v>
      </c>
      <c r="I2837" s="3" t="s">
        <v>13</v>
      </c>
      <c r="J2837" s="3" t="s">
        <v>8321</v>
      </c>
      <c r="K2837" s="3" t="s">
        <v>644</v>
      </c>
      <c r="L2837" s="3" t="str">
        <f>IFERROR(__xludf.DUMMYFUNCTION("GOOGLETRANSLATE(F2837,""id"",""en"")"),"World Cup Final Goal")</f>
        <v>World Cup Final Goal</v>
      </c>
    </row>
    <row r="2838" ht="15.75" customHeight="1">
      <c r="A2838" s="1">
        <v>2854.0</v>
      </c>
      <c r="B2838" s="3" t="s">
        <v>8322</v>
      </c>
      <c r="C2838" s="3">
        <v>0.0</v>
      </c>
      <c r="D2838" s="3">
        <v>0.0</v>
      </c>
      <c r="E2838" s="3">
        <v>1.0</v>
      </c>
      <c r="F2838" s="3" t="s">
        <v>8323</v>
      </c>
      <c r="G2838" s="3">
        <v>1.0</v>
      </c>
      <c r="H2838" s="3">
        <v>0.0</v>
      </c>
      <c r="I2838" s="3" t="s">
        <v>13</v>
      </c>
      <c r="J2838" s="3" t="s">
        <v>8324</v>
      </c>
      <c r="K2838" s="3" t="s">
        <v>240</v>
      </c>
      <c r="L2838" s="3" t="str">
        <f>IFERROR(__xludf.DUMMYFUNCTION("GOOGLETRANSLATE(F2838,""id"",""en"")"),"Even though before, if you win, I want to say that the World Cup Final is bored like a world cup, it turns out to be chasing")</f>
        <v>Even though before, if you win, I want to say that the World Cup Final is bored like a world cup, it turns out to be chasing</v>
      </c>
    </row>
    <row r="2839" ht="15.75" customHeight="1">
      <c r="A2839" s="1">
        <v>2855.0</v>
      </c>
      <c r="B2839" s="3" t="s">
        <v>8325</v>
      </c>
      <c r="C2839" s="3">
        <v>0.0</v>
      </c>
      <c r="D2839" s="3">
        <v>0.0</v>
      </c>
      <c r="E2839" s="3">
        <v>0.0</v>
      </c>
      <c r="F2839" s="3" t="s">
        <v>8326</v>
      </c>
      <c r="G2839" s="3">
        <v>1.0</v>
      </c>
      <c r="H2839" s="3">
        <v>0.0</v>
      </c>
      <c r="I2839" s="3" t="s">
        <v>13</v>
      </c>
      <c r="J2839" s="3" t="s">
        <v>8327</v>
      </c>
      <c r="K2839" s="3" t="s">
        <v>82</v>
      </c>
      <c r="L2839" s="3" t="str">
        <f>IFERROR(__xludf.DUMMYFUNCTION("GOOGLETRANSLATE(F2839,""id"",""en"")"),"GPP cried instead of having entered the World Cup final")</f>
        <v>GPP cried instead of having entered the World Cup final</v>
      </c>
    </row>
    <row r="2840" ht="15.75" customHeight="1">
      <c r="A2840" s="1">
        <v>2856.0</v>
      </c>
      <c r="B2840" s="3" t="s">
        <v>8328</v>
      </c>
      <c r="C2840" s="3">
        <v>0.0</v>
      </c>
      <c r="D2840" s="3">
        <v>0.0</v>
      </c>
      <c r="E2840" s="3">
        <v>0.0</v>
      </c>
      <c r="F2840" s="3" t="s">
        <v>8329</v>
      </c>
      <c r="G2840" s="3">
        <v>1.0</v>
      </c>
      <c r="H2840" s="3">
        <v>0.0</v>
      </c>
      <c r="I2840" s="3" t="s">
        <v>13</v>
      </c>
      <c r="J2840" s="3" t="s">
        <v>8330</v>
      </c>
      <c r="K2840" s="3" t="s">
        <v>1552</v>
      </c>
      <c r="L2840" s="3" t="str">
        <f>IFERROR(__xludf.DUMMYFUNCTION("GOOGLETRANSLATE(F2840,""id"",""en"")"),"The World Cup Final This Year Edition is more exciting than the year edition")</f>
        <v>The World Cup Final This Year Edition is more exciting than the year edition</v>
      </c>
    </row>
    <row r="2841" ht="15.75" customHeight="1">
      <c r="A2841" s="1">
        <v>2857.0</v>
      </c>
      <c r="B2841" s="3" t="s">
        <v>8331</v>
      </c>
      <c r="C2841" s="3">
        <v>0.0</v>
      </c>
      <c r="D2841" s="3">
        <v>0.0</v>
      </c>
      <c r="E2841" s="3">
        <v>1.0</v>
      </c>
      <c r="F2841" s="3" t="s">
        <v>8332</v>
      </c>
      <c r="G2841" s="3">
        <v>1.0</v>
      </c>
      <c r="H2841" s="3">
        <v>0.0</v>
      </c>
      <c r="I2841" s="3" t="s">
        <v>13</v>
      </c>
      <c r="J2841" s="3" t="s">
        <v>8333</v>
      </c>
      <c r="K2841" s="3" t="s">
        <v>31</v>
      </c>
      <c r="L2841" s="3" t="str">
        <f>IFERROR(__xludf.DUMMYFUNCTION("GOOGLETRANSLATE(F2841,""id"",""en"")"),"only the exciting world cup final")</f>
        <v>only the exciting world cup final</v>
      </c>
    </row>
    <row r="2842" ht="15.75" customHeight="1">
      <c r="A2842" s="1">
        <v>2858.0</v>
      </c>
      <c r="B2842" s="3" t="s">
        <v>8334</v>
      </c>
      <c r="C2842" s="3">
        <v>0.0</v>
      </c>
      <c r="D2842" s="3">
        <v>0.0</v>
      </c>
      <c r="E2842" s="3">
        <v>0.0</v>
      </c>
      <c r="F2842" s="3" t="s">
        <v>8335</v>
      </c>
      <c r="G2842" s="3">
        <v>0.55</v>
      </c>
      <c r="H2842" s="3">
        <v>0.05</v>
      </c>
      <c r="I2842" s="3" t="s">
        <v>48</v>
      </c>
      <c r="J2842" s="3" t="s">
        <v>8336</v>
      </c>
      <c r="K2842" s="3" t="s">
        <v>699</v>
      </c>
      <c r="L2842" s="3" t="str">
        <f>IFERROR(__xludf.DUMMYFUNCTION("GOOGLETRANSLATE(F2842,""id"",""en"")"),"Buy the World Cup Package on DES Date, I can already watch the heart's intention to watch the final professional")</f>
        <v>Buy the World Cup Package on DES Date, I can already watch the heart's intention to watch the final professional</v>
      </c>
    </row>
    <row r="2843" ht="15.75" customHeight="1">
      <c r="A2843" s="1">
        <v>2859.0</v>
      </c>
      <c r="B2843" s="3" t="s">
        <v>8337</v>
      </c>
      <c r="C2843" s="3">
        <v>0.0</v>
      </c>
      <c r="D2843" s="3">
        <v>0.0</v>
      </c>
      <c r="E2843" s="3">
        <v>0.0</v>
      </c>
      <c r="F2843" s="3" t="s">
        <v>8338</v>
      </c>
      <c r="G2843" s="3">
        <v>1.0</v>
      </c>
      <c r="H2843" s="3">
        <v>0.0</v>
      </c>
      <c r="I2843" s="3" t="s">
        <v>13</v>
      </c>
      <c r="J2843" s="3" t="s">
        <v>8339</v>
      </c>
      <c r="K2843" s="3" t="s">
        <v>15</v>
      </c>
      <c r="L2843" s="3" t="str">
        <f>IFERROR(__xludf.DUMMYFUNCTION("GOOGLETRANSLATE(F2843,""id"",""en"")"),"Argentina French World Cup Final Mbappe Equal positions")</f>
        <v>Argentina French World Cup Final Mbappe Equal positions</v>
      </c>
    </row>
    <row r="2844" ht="15.75" customHeight="1">
      <c r="A2844" s="1">
        <v>2860.0</v>
      </c>
      <c r="B2844" s="3" t="s">
        <v>8340</v>
      </c>
      <c r="C2844" s="3">
        <v>0.0</v>
      </c>
      <c r="D2844" s="3">
        <v>0.0</v>
      </c>
      <c r="E2844" s="3">
        <v>0.0</v>
      </c>
      <c r="F2844" s="3" t="s">
        <v>8341</v>
      </c>
      <c r="G2844" s="3">
        <v>1.0</v>
      </c>
      <c r="H2844" s="3">
        <v>0.0</v>
      </c>
      <c r="I2844" s="3" t="s">
        <v>13</v>
      </c>
      <c r="J2844" s="3" t="s">
        <v>8342</v>
      </c>
      <c r="K2844" s="3" t="s">
        <v>75</v>
      </c>
      <c r="L2844" s="3" t="str">
        <f>IFERROR(__xludf.DUMMYFUNCTION("GOOGLETRANSLATE(F2844,""id"",""en"")"),"World Cup Final Match Continued Time Additional Score of French Argentina")</f>
        <v>World Cup Final Match Continued Time Additional Score of French Argentina</v>
      </c>
    </row>
    <row r="2845" ht="15.75" customHeight="1">
      <c r="A2845" s="1">
        <v>2861.0</v>
      </c>
      <c r="B2845" s="3" t="s">
        <v>8343</v>
      </c>
      <c r="C2845" s="3">
        <v>1.0</v>
      </c>
      <c r="D2845" s="3">
        <v>0.0</v>
      </c>
      <c r="E2845" s="3">
        <v>0.0</v>
      </c>
      <c r="F2845" s="3" t="s">
        <v>8344</v>
      </c>
      <c r="G2845" s="3">
        <v>1.0</v>
      </c>
      <c r="H2845" s="3">
        <v>0.0</v>
      </c>
      <c r="I2845" s="3" t="s">
        <v>13</v>
      </c>
      <c r="J2845" s="3" t="s">
        <v>8345</v>
      </c>
      <c r="K2845" s="3" t="s">
        <v>19</v>
      </c>
      <c r="L2845" s="3" t="str">
        <f>IFERROR(__xludf.DUMMYFUNCTION("GOOGLETRANSLATE(F2845,""id"",""en"")"),"Climax penalties from the Sportainment World Cup final drama FIFA remains the champion")</f>
        <v>Climax penalties from the Sportainment World Cup final drama FIFA remains the champion</v>
      </c>
    </row>
    <row r="2846" ht="15.75" customHeight="1">
      <c r="A2846" s="1">
        <v>2862.0</v>
      </c>
      <c r="B2846" s="3" t="s">
        <v>8346</v>
      </c>
      <c r="C2846" s="3">
        <v>0.0</v>
      </c>
      <c r="D2846" s="3">
        <v>0.0</v>
      </c>
      <c r="E2846" s="3">
        <v>0.0</v>
      </c>
      <c r="F2846" s="3" t="s">
        <v>8347</v>
      </c>
      <c r="G2846" s="3">
        <v>1.0</v>
      </c>
      <c r="H2846" s="3">
        <v>0.0</v>
      </c>
      <c r="I2846" s="3" t="s">
        <v>13</v>
      </c>
      <c r="J2846" s="3" t="s">
        <v>8348</v>
      </c>
      <c r="K2846" s="3" t="s">
        <v>54</v>
      </c>
      <c r="L2846" s="3" t="str">
        <f>IFERROR(__xludf.DUMMYFUNCTION("GOOGLETRANSLATE(F2846,""id"",""en"")"),"Gayeng World Cup Final Bgt Ikih")</f>
        <v>Gayeng World Cup Final Bgt Ikih</v>
      </c>
    </row>
    <row r="2847" ht="15.75" customHeight="1">
      <c r="A2847" s="1">
        <v>2863.0</v>
      </c>
      <c r="B2847" s="3" t="s">
        <v>8349</v>
      </c>
      <c r="C2847" s="3">
        <v>0.0</v>
      </c>
      <c r="D2847" s="3">
        <v>0.0</v>
      </c>
      <c r="E2847" s="3">
        <v>0.0</v>
      </c>
      <c r="F2847" s="3" t="s">
        <v>8350</v>
      </c>
      <c r="G2847" s="3">
        <v>1.0</v>
      </c>
      <c r="H2847" s="3">
        <v>0.0</v>
      </c>
      <c r="I2847" s="3" t="s">
        <v>13</v>
      </c>
      <c r="J2847" s="3" t="s">
        <v>8351</v>
      </c>
      <c r="K2847" s="3" t="s">
        <v>75</v>
      </c>
      <c r="L2847" s="3" t="str">
        <f>IFERROR(__xludf.DUMMYFUNCTION("GOOGLETRANSLATE(F2847,""id"",""en"")"),"The World Cup Final has always been difficult to guess the flow of Gokill")</f>
        <v>The World Cup Final has always been difficult to guess the flow of Gokill</v>
      </c>
    </row>
    <row r="2848" ht="15.75" customHeight="1">
      <c r="A2848" s="1">
        <v>2864.0</v>
      </c>
      <c r="B2848" s="3" t="s">
        <v>8352</v>
      </c>
      <c r="C2848" s="3">
        <v>0.0</v>
      </c>
      <c r="D2848" s="3">
        <v>0.0</v>
      </c>
      <c r="E2848" s="3">
        <v>0.0</v>
      </c>
      <c r="F2848" s="3" t="s">
        <v>8352</v>
      </c>
      <c r="G2848" s="3">
        <v>1.0</v>
      </c>
      <c r="H2848" s="3">
        <v>0.0</v>
      </c>
      <c r="I2848" s="3" t="s">
        <v>13</v>
      </c>
      <c r="J2848" s="3" t="s">
        <v>8353</v>
      </c>
      <c r="K2848" s="3" t="s">
        <v>236</v>
      </c>
      <c r="L2848" s="3" t="str">
        <f>IFERROR(__xludf.DUMMYFUNCTION("GOOGLETRANSLATE(F2848,""id"",""en"")"),"Still shouted at the sore throat again because of the World Cup Final")</f>
        <v>Still shouted at the sore throat again because of the World Cup Final</v>
      </c>
    </row>
    <row r="2849" ht="15.75" customHeight="1">
      <c r="A2849" s="1">
        <v>2865.0</v>
      </c>
      <c r="B2849" s="3" t="s">
        <v>8354</v>
      </c>
      <c r="C2849" s="3">
        <v>0.0</v>
      </c>
      <c r="D2849" s="3">
        <v>0.0</v>
      </c>
      <c r="E2849" s="3">
        <v>0.0</v>
      </c>
      <c r="F2849" s="3" t="s">
        <v>642</v>
      </c>
      <c r="G2849" s="3">
        <v>1.0</v>
      </c>
      <c r="H2849" s="3">
        <v>0.0</v>
      </c>
      <c r="I2849" s="3" t="s">
        <v>13</v>
      </c>
      <c r="J2849" s="3" t="s">
        <v>643</v>
      </c>
      <c r="K2849" s="3" t="s">
        <v>644</v>
      </c>
      <c r="L2849" s="3" t="str">
        <f>IFERROR(__xludf.DUMMYFUNCTION("GOOGLETRANSLATE(F2849,""id"",""en"")"),"The World Cup Final was shocked")</f>
        <v>The World Cup Final was shocked</v>
      </c>
    </row>
    <row r="2850" ht="15.75" customHeight="1">
      <c r="A2850" s="1">
        <v>2866.0</v>
      </c>
      <c r="B2850" s="3" t="s">
        <v>8355</v>
      </c>
      <c r="C2850" s="3">
        <v>0.0</v>
      </c>
      <c r="D2850" s="3">
        <v>0.0</v>
      </c>
      <c r="E2850" s="3">
        <v>0.0</v>
      </c>
      <c r="F2850" s="3" t="s">
        <v>8356</v>
      </c>
      <c r="G2850" s="3">
        <v>1.0</v>
      </c>
      <c r="H2850" s="3">
        <v>0.0</v>
      </c>
      <c r="I2850" s="3" t="s">
        <v>13</v>
      </c>
      <c r="J2850" s="3" t="s">
        <v>8357</v>
      </c>
      <c r="K2850" s="3" t="s">
        <v>41</v>
      </c>
      <c r="L2850" s="3" t="str">
        <f>IFERROR(__xludf.DUMMYFUNCTION("GOOGLETRANSLATE(F2850,""id"",""en"")"),"Watch the World Cup Final Sesek Breath Deg Asking Forgiveness")</f>
        <v>Watch the World Cup Final Sesek Breath Deg Asking Forgiveness</v>
      </c>
    </row>
    <row r="2851" ht="15.75" customHeight="1">
      <c r="A2851" s="1">
        <v>2867.0</v>
      </c>
      <c r="B2851" s="3" t="s">
        <v>8358</v>
      </c>
      <c r="C2851" s="3">
        <v>0.0</v>
      </c>
      <c r="D2851" s="3">
        <v>0.0</v>
      </c>
      <c r="E2851" s="3">
        <v>0.0</v>
      </c>
      <c r="F2851" s="3" t="s">
        <v>8359</v>
      </c>
      <c r="G2851" s="3">
        <v>1.0</v>
      </c>
      <c r="H2851" s="3">
        <v>0.0</v>
      </c>
      <c r="I2851" s="3" t="s">
        <v>13</v>
      </c>
      <c r="J2851" s="3" t="s">
        <v>8360</v>
      </c>
      <c r="K2851" s="3" t="s">
        <v>31</v>
      </c>
      <c r="L2851" s="3" t="str">
        <f>IFERROR(__xludf.DUMMYFUNCTION("GOOGLETRANSLATE(F2851,""id"",""en"")"),"Ieu Markek World Cup Final")</f>
        <v>Ieu Markek World Cup Final</v>
      </c>
    </row>
    <row r="2852" ht="15.75" customHeight="1">
      <c r="A2852" s="1">
        <v>2868.0</v>
      </c>
      <c r="B2852" s="3" t="s">
        <v>8361</v>
      </c>
      <c r="C2852" s="3">
        <v>0.0</v>
      </c>
      <c r="D2852" s="3">
        <v>0.0</v>
      </c>
      <c r="E2852" s="3">
        <v>0.0</v>
      </c>
      <c r="F2852" s="3" t="s">
        <v>8362</v>
      </c>
      <c r="G2852" s="3">
        <v>1.0</v>
      </c>
      <c r="H2852" s="3">
        <v>0.0</v>
      </c>
      <c r="I2852" s="3" t="s">
        <v>13</v>
      </c>
      <c r="J2852" s="3" t="s">
        <v>8363</v>
      </c>
      <c r="K2852" s="3" t="s">
        <v>54</v>
      </c>
      <c r="L2852" s="3" t="str">
        <f>IFERROR(__xludf.DUMMYFUNCTION("GOOGLETRANSLATE(F2852,""id"",""en"")"),"This is the only exciting world cup final woee")</f>
        <v>This is the only exciting world cup final woee</v>
      </c>
    </row>
    <row r="2853" ht="15.75" customHeight="1">
      <c r="A2853" s="1">
        <v>2869.0</v>
      </c>
      <c r="B2853" s="3" t="s">
        <v>8364</v>
      </c>
      <c r="C2853" s="3">
        <v>0.0</v>
      </c>
      <c r="D2853" s="3">
        <v>0.0</v>
      </c>
      <c r="E2853" s="3">
        <v>0.0</v>
      </c>
      <c r="F2853" s="3" t="s">
        <v>8365</v>
      </c>
      <c r="G2853" s="3">
        <v>1.0</v>
      </c>
      <c r="H2853" s="3">
        <v>0.0</v>
      </c>
      <c r="I2853" s="3" t="s">
        <v>13</v>
      </c>
      <c r="J2853" s="3" t="s">
        <v>8366</v>
      </c>
      <c r="K2853" s="3" t="s">
        <v>50</v>
      </c>
      <c r="L2853" s="3" t="str">
        <f>IFERROR(__xludf.DUMMYFUNCTION("GOOGLETRANSLATE(F2853,""id"",""en"")"),"for life for life watching this World Cup the most exciting the emotions of the drama quality")</f>
        <v>for life for life watching this World Cup the most exciting the emotions of the drama quality</v>
      </c>
    </row>
    <row r="2854" ht="15.75" customHeight="1">
      <c r="A2854" s="1">
        <v>2870.0</v>
      </c>
      <c r="B2854" s="3" t="s">
        <v>8367</v>
      </c>
      <c r="C2854" s="3">
        <v>1.0</v>
      </c>
      <c r="D2854" s="3">
        <v>0.0</v>
      </c>
      <c r="E2854" s="3">
        <v>1.0</v>
      </c>
      <c r="F2854" s="3" t="s">
        <v>6509</v>
      </c>
      <c r="G2854" s="3">
        <v>1.0</v>
      </c>
      <c r="H2854" s="3">
        <v>0.0</v>
      </c>
      <c r="I2854" s="3" t="s">
        <v>13</v>
      </c>
      <c r="J2854" s="3" t="s">
        <v>6510</v>
      </c>
      <c r="K2854" s="3" t="s">
        <v>644</v>
      </c>
      <c r="L2854" s="3" t="str">
        <f>IFERROR(__xludf.DUMMYFUNCTION("GOOGLETRANSLATE(F2854,""id"",""en"")"),"This is only the World Cup final")</f>
        <v>This is only the World Cup final</v>
      </c>
    </row>
    <row r="2855" ht="15.75" customHeight="1">
      <c r="A2855" s="1">
        <v>2871.0</v>
      </c>
      <c r="B2855" s="3" t="s">
        <v>8368</v>
      </c>
      <c r="C2855" s="3">
        <v>0.0</v>
      </c>
      <c r="D2855" s="3">
        <v>0.0</v>
      </c>
      <c r="E2855" s="3">
        <v>1.0</v>
      </c>
      <c r="F2855" s="3" t="s">
        <v>8369</v>
      </c>
      <c r="G2855" s="3">
        <v>1.0</v>
      </c>
      <c r="H2855" s="3">
        <v>0.0</v>
      </c>
      <c r="I2855" s="3" t="s">
        <v>13</v>
      </c>
      <c r="J2855" s="3" t="s">
        <v>8370</v>
      </c>
      <c r="K2855" s="3" t="s">
        <v>54</v>
      </c>
      <c r="L2855" s="3" t="str">
        <f>IFERROR(__xludf.DUMMYFUNCTION("GOOGLETRANSLATE(F2855,""id"",""en"")"),"wow the world's most exciting final")</f>
        <v>wow the world's most exciting final</v>
      </c>
    </row>
    <row r="2856" ht="15.75" customHeight="1">
      <c r="A2856" s="1">
        <v>2872.0</v>
      </c>
      <c r="B2856" s="3" t="s">
        <v>8371</v>
      </c>
      <c r="C2856" s="3">
        <v>1.0</v>
      </c>
      <c r="D2856" s="3">
        <v>0.0</v>
      </c>
      <c r="E2856" s="3">
        <v>3.0</v>
      </c>
      <c r="F2856" s="3" t="s">
        <v>8372</v>
      </c>
      <c r="G2856" s="3">
        <v>1.0</v>
      </c>
      <c r="H2856" s="3">
        <v>0.0</v>
      </c>
      <c r="I2856" s="3" t="s">
        <v>13</v>
      </c>
      <c r="J2856" s="3" t="s">
        <v>8373</v>
      </c>
      <c r="K2856" s="3" t="s">
        <v>3164</v>
      </c>
      <c r="L2856" s="3" t="str">
        <f>IFERROR(__xludf.DUMMYFUNCTION("GOOGLETRANSLATE(F2856,""id"",""en"")"),"The Qatar World Cup final made two Qatar club players plus one former Qatar club player")</f>
        <v>The Qatar World Cup final made two Qatar club players plus one former Qatar club player</v>
      </c>
    </row>
    <row r="2857" ht="15.75" customHeight="1">
      <c r="A2857" s="1">
        <v>2873.0</v>
      </c>
      <c r="B2857" s="3" t="s">
        <v>8374</v>
      </c>
      <c r="C2857" s="3">
        <v>0.0</v>
      </c>
      <c r="D2857" s="3">
        <v>0.0</v>
      </c>
      <c r="E2857" s="3">
        <v>0.0</v>
      </c>
      <c r="F2857" s="3" t="s">
        <v>8375</v>
      </c>
      <c r="G2857" s="3">
        <v>1.0</v>
      </c>
      <c r="H2857" s="3">
        <v>0.0</v>
      </c>
      <c r="I2857" s="3" t="s">
        <v>13</v>
      </c>
      <c r="J2857" s="3" t="s">
        <v>8376</v>
      </c>
      <c r="K2857" s="3" t="s">
        <v>82</v>
      </c>
      <c r="L2857" s="3" t="str">
        <f>IFERROR(__xludf.DUMMYFUNCTION("GOOGLETRANSLATE(F2857,""id"",""en"")"),"OMG Final World Cup Final Penalty Fighting")</f>
        <v>OMG Final World Cup Final Penalty Fighting</v>
      </c>
    </row>
    <row r="2858" ht="15.75" customHeight="1">
      <c r="A2858" s="1">
        <v>2874.0</v>
      </c>
      <c r="B2858" s="3" t="s">
        <v>8377</v>
      </c>
      <c r="C2858" s="3">
        <v>1.0</v>
      </c>
      <c r="D2858" s="3">
        <v>0.0</v>
      </c>
      <c r="E2858" s="3">
        <v>0.0</v>
      </c>
      <c r="F2858" s="3" t="s">
        <v>8378</v>
      </c>
      <c r="G2858" s="3">
        <v>1.0</v>
      </c>
      <c r="H2858" s="3">
        <v>0.0</v>
      </c>
      <c r="I2858" s="3" t="s">
        <v>13</v>
      </c>
      <c r="J2858" s="3" t="s">
        <v>8379</v>
      </c>
      <c r="K2858" s="3" t="s">
        <v>41</v>
      </c>
      <c r="L2858" s="3" t="str">
        <f>IFERROR(__xludf.DUMMYFUNCTION("GOOGLETRANSLATE(F2858,""id"",""en"")"),"wkwkw what is Monday Prioritizing the World Cup Final is not finished in two rounds")</f>
        <v>wkwkw what is Monday Prioritizing the World Cup Final is not finished in two rounds</v>
      </c>
    </row>
    <row r="2859" ht="15.75" customHeight="1">
      <c r="A2859" s="1">
        <v>2875.0</v>
      </c>
      <c r="B2859" s="3" t="s">
        <v>8380</v>
      </c>
      <c r="C2859" s="3">
        <v>0.0</v>
      </c>
      <c r="D2859" s="3">
        <v>1.0</v>
      </c>
      <c r="E2859" s="3">
        <v>0.0</v>
      </c>
      <c r="F2859" s="3" t="s">
        <v>8381</v>
      </c>
      <c r="G2859" s="3">
        <v>1.0</v>
      </c>
      <c r="H2859" s="3">
        <v>0.0</v>
      </c>
      <c r="I2859" s="3" t="s">
        <v>13</v>
      </c>
      <c r="J2859" s="3" t="s">
        <v>8382</v>
      </c>
      <c r="K2859" s="3" t="s">
        <v>1265</v>
      </c>
      <c r="L2859" s="3" t="str">
        <f>IFERROR(__xludf.DUMMYFUNCTION("GOOGLETRANSLATE(F2859,""id"",""en"")"),"until the minute feels like not the world cup final after the real new minute")</f>
        <v>until the minute feels like not the world cup final after the real new minute</v>
      </c>
    </row>
    <row r="2860" ht="15.75" customHeight="1">
      <c r="A2860" s="1">
        <v>2876.0</v>
      </c>
      <c r="B2860" s="3" t="s">
        <v>8383</v>
      </c>
      <c r="C2860" s="3">
        <v>2.0</v>
      </c>
      <c r="D2860" s="3">
        <v>0.0</v>
      </c>
      <c r="E2860" s="3">
        <v>1.0</v>
      </c>
      <c r="F2860" s="3" t="s">
        <v>8384</v>
      </c>
      <c r="G2860" s="3">
        <v>1.0</v>
      </c>
      <c r="H2860" s="3">
        <v>0.0</v>
      </c>
      <c r="I2860" s="3" t="s">
        <v>13</v>
      </c>
      <c r="J2860" s="3" t="s">
        <v>8385</v>
      </c>
      <c r="K2860" s="3" t="s">
        <v>41</v>
      </c>
      <c r="L2860" s="3" t="str">
        <f>IFERROR(__xludf.DUMMYFUNCTION("GOOGLETRANSLATE(F2860,""id"",""en"")"),"Very exciting the World Cup World Cup this time France is keknya")</f>
        <v>Very exciting the World Cup World Cup this time France is keknya</v>
      </c>
    </row>
    <row r="2861" ht="15.75" customHeight="1">
      <c r="A2861" s="1">
        <v>2877.0</v>
      </c>
      <c r="B2861" s="3" t="s">
        <v>8386</v>
      </c>
      <c r="C2861" s="3">
        <v>1.0</v>
      </c>
      <c r="D2861" s="3">
        <v>0.0</v>
      </c>
      <c r="E2861" s="3">
        <v>0.0</v>
      </c>
      <c r="F2861" s="3" t="s">
        <v>8387</v>
      </c>
      <c r="G2861" s="3">
        <v>1.0</v>
      </c>
      <c r="H2861" s="3">
        <v>0.0</v>
      </c>
      <c r="I2861" s="3" t="s">
        <v>13</v>
      </c>
      <c r="J2861" s="3" t="s">
        <v>8388</v>
      </c>
      <c r="K2861" s="3" t="s">
        <v>244</v>
      </c>
      <c r="L2861" s="3" t="str">
        <f>IFERROR(__xludf.DUMMYFUNCTION("GOOGLETRANSLATE(F2861,""id"",""en"")"),"I think this is a child NCT PSDA watching the World Cup final, if yes, it will still be literate")</f>
        <v>I think this is a child NCT PSDA watching the World Cup final, if yes, it will still be literate</v>
      </c>
    </row>
    <row r="2862" ht="15.75" customHeight="1">
      <c r="A2862" s="1">
        <v>2878.0</v>
      </c>
      <c r="B2862" s="3" t="s">
        <v>8389</v>
      </c>
      <c r="C2862" s="3">
        <v>0.0</v>
      </c>
      <c r="D2862" s="3">
        <v>0.0</v>
      </c>
      <c r="E2862" s="3">
        <v>0.0</v>
      </c>
      <c r="F2862" s="3" t="s">
        <v>8390</v>
      </c>
      <c r="G2862" s="3">
        <v>1.0</v>
      </c>
      <c r="H2862" s="3">
        <v>0.0</v>
      </c>
      <c r="I2862" s="3" t="s">
        <v>13</v>
      </c>
      <c r="J2862" s="3" t="s">
        <v>8391</v>
      </c>
      <c r="K2862" s="3" t="s">
        <v>71</v>
      </c>
      <c r="L2862" s="3" t="str">
        <f>IFERROR(__xludf.DUMMYFUNCTION("GOOGLETRANSLATE(F2862,""id"",""en"")"),"The French Argentine World Cup Final Kylian Mbappe Equal Score for Les Bleus followed by Extra Time")</f>
        <v>The French Argentine World Cup Final Kylian Mbappe Equal Score for Les Bleus followed by Extra Time</v>
      </c>
    </row>
    <row r="2863" ht="15.75" customHeight="1">
      <c r="A2863" s="1">
        <v>2879.0</v>
      </c>
      <c r="B2863" s="3" t="s">
        <v>8392</v>
      </c>
      <c r="C2863" s="3">
        <v>0.0</v>
      </c>
      <c r="D2863" s="3">
        <v>0.0</v>
      </c>
      <c r="E2863" s="3">
        <v>0.0</v>
      </c>
      <c r="F2863" s="3" t="s">
        <v>8393</v>
      </c>
      <c r="G2863" s="3">
        <v>0.75</v>
      </c>
      <c r="H2863" s="3">
        <v>0.06818181818181818</v>
      </c>
      <c r="I2863" s="3" t="s">
        <v>48</v>
      </c>
      <c r="J2863" s="3" t="s">
        <v>8394</v>
      </c>
      <c r="K2863" s="3" t="s">
        <v>437</v>
      </c>
      <c r="L2863" s="3" t="str">
        <f>IFERROR(__xludf.DUMMYFUNCTION("GOOGLETRANSLATE(F2863,""id"",""en"")"),"End of the second half of the French Argentine extratime Link Link Live Streaming Argentina France tonight WIB World Cup Final")</f>
        <v>End of the second half of the French Argentine extratime Link Link Live Streaming Argentina France tonight WIB World Cup Final</v>
      </c>
    </row>
    <row r="2864" ht="15.75" customHeight="1">
      <c r="A2864" s="1">
        <v>2880.0</v>
      </c>
      <c r="B2864" s="3" t="s">
        <v>8395</v>
      </c>
      <c r="C2864" s="3">
        <v>0.0</v>
      </c>
      <c r="D2864" s="3">
        <v>0.0</v>
      </c>
      <c r="E2864" s="3">
        <v>0.0</v>
      </c>
      <c r="F2864" s="3" t="s">
        <v>8396</v>
      </c>
      <c r="G2864" s="3">
        <v>1.0</v>
      </c>
      <c r="H2864" s="3">
        <v>0.0</v>
      </c>
      <c r="I2864" s="3" t="s">
        <v>13</v>
      </c>
      <c r="J2864" s="3" t="s">
        <v>8397</v>
      </c>
      <c r="K2864" s="3" t="s">
        <v>41</v>
      </c>
      <c r="L2864" s="3" t="str">
        <f>IFERROR(__xludf.DUMMYFUNCTION("GOOGLETRANSLATE(F2864,""id"",""en"")"),"quite the final of the World Cup that made the point of need to participate")</f>
        <v>quite the final of the World Cup that made the point of need to participate</v>
      </c>
    </row>
    <row r="2865" ht="15.75" customHeight="1">
      <c r="A2865" s="1">
        <v>2881.0</v>
      </c>
      <c r="B2865" s="3" t="s">
        <v>8398</v>
      </c>
      <c r="C2865" s="3">
        <v>1.0</v>
      </c>
      <c r="D2865" s="3">
        <v>0.0</v>
      </c>
      <c r="E2865" s="3">
        <v>0.0</v>
      </c>
      <c r="F2865" s="3" t="s">
        <v>8399</v>
      </c>
      <c r="G2865" s="3">
        <v>1.0</v>
      </c>
      <c r="H2865" s="3">
        <v>0.0</v>
      </c>
      <c r="I2865" s="3" t="s">
        <v>13</v>
      </c>
      <c r="J2865" s="3" t="s">
        <v>8400</v>
      </c>
      <c r="K2865" s="3" t="s">
        <v>510</v>
      </c>
      <c r="L2865" s="3" t="str">
        <f>IFERROR(__xludf.DUMMYFUNCTION("GOOGLETRANSLATE(F2865,""id"",""en"")"),"Building Grgr screams Mr. Mother Muda Mudi Kosan Complex in the World Cup Final Nobar")</f>
        <v>Building Grgr screams Mr. Mother Muda Mudi Kosan Complex in the World Cup Final Nobar</v>
      </c>
    </row>
    <row r="2866" ht="15.75" customHeight="1">
      <c r="A2866" s="1">
        <v>2882.0</v>
      </c>
      <c r="B2866" s="3" t="s">
        <v>8401</v>
      </c>
      <c r="C2866" s="3">
        <v>0.0</v>
      </c>
      <c r="D2866" s="3">
        <v>0.0</v>
      </c>
      <c r="E2866" s="3">
        <v>0.0</v>
      </c>
      <c r="F2866" s="3" t="s">
        <v>8402</v>
      </c>
      <c r="G2866" s="3">
        <v>1.0</v>
      </c>
      <c r="H2866" s="3">
        <v>0.0</v>
      </c>
      <c r="I2866" s="3" t="s">
        <v>13</v>
      </c>
      <c r="J2866" s="3" t="s">
        <v>8403</v>
      </c>
      <c r="K2866" s="3" t="s">
        <v>82</v>
      </c>
      <c r="L2866" s="3" t="str">
        <f>IFERROR(__xludf.DUMMYFUNCTION("GOOGLETRANSLATE(F2866,""id"",""en"")"),"The World Cup is caught until the final is full of surprises")</f>
        <v>The World Cup is caught until the final is full of surprises</v>
      </c>
    </row>
    <row r="2867" ht="15.75" customHeight="1">
      <c r="A2867" s="1">
        <v>2883.0</v>
      </c>
      <c r="B2867" s="3" t="s">
        <v>8404</v>
      </c>
      <c r="C2867" s="3">
        <v>0.0</v>
      </c>
      <c r="D2867" s="3">
        <v>0.0</v>
      </c>
      <c r="E2867" s="3">
        <v>0.0</v>
      </c>
      <c r="F2867" s="3" t="s">
        <v>8405</v>
      </c>
      <c r="G2867" s="3">
        <v>1.0</v>
      </c>
      <c r="H2867" s="3">
        <v>0.0</v>
      </c>
      <c r="I2867" s="3" t="s">
        <v>13</v>
      </c>
      <c r="J2867" s="3" t="s">
        <v>8406</v>
      </c>
      <c r="K2867" s="3" t="s">
        <v>510</v>
      </c>
      <c r="L2867" s="3" t="str">
        <f>IFERROR(__xludf.DUMMYFUNCTION("GOOGLETRANSLATE(F2867,""id"",""en"")"),"Listening to the World Cup final via twitger because they want to watch the living room but Bayik's children are still in an align")</f>
        <v>Listening to the World Cup final via twitger because they want to watch the living room but Bayik's children are still in an align</v>
      </c>
    </row>
    <row r="2868" ht="15.75" customHeight="1">
      <c r="A2868" s="1">
        <v>2884.0</v>
      </c>
      <c r="B2868" s="3" t="s">
        <v>8407</v>
      </c>
      <c r="C2868" s="3">
        <v>7.0</v>
      </c>
      <c r="D2868" s="3">
        <v>85.0</v>
      </c>
      <c r="E2868" s="3">
        <v>226.0</v>
      </c>
      <c r="F2868" s="3" t="s">
        <v>8408</v>
      </c>
      <c r="G2868" s="3">
        <v>1.0</v>
      </c>
      <c r="H2868" s="3">
        <v>0.0</v>
      </c>
      <c r="I2868" s="3" t="s">
        <v>13</v>
      </c>
      <c r="J2868" s="3" t="s">
        <v>8409</v>
      </c>
      <c r="K2868" s="3" t="s">
        <v>19</v>
      </c>
      <c r="L2868" s="3" t="str">
        <f>IFERROR(__xludf.DUMMYFUNCTION("GOOGLETRANSLATE(F2868,""id"",""en"")"),"We are the additional period of French Argentina Final World Cup FIFA Qatar Drinking Water First")</f>
        <v>We are the additional period of French Argentina Final World Cup FIFA Qatar Drinking Water First</v>
      </c>
    </row>
    <row r="2869" ht="15.75" customHeight="1">
      <c r="A2869" s="1">
        <v>2885.0</v>
      </c>
      <c r="B2869" s="3" t="s">
        <v>8410</v>
      </c>
      <c r="C2869" s="3">
        <v>0.0</v>
      </c>
      <c r="D2869" s="3">
        <v>0.0</v>
      </c>
      <c r="E2869" s="3">
        <v>0.0</v>
      </c>
      <c r="F2869" s="3" t="s">
        <v>8411</v>
      </c>
      <c r="G2869" s="3">
        <v>0.8</v>
      </c>
      <c r="H2869" s="3">
        <v>-0.05</v>
      </c>
      <c r="I2869" s="3" t="s">
        <v>179</v>
      </c>
      <c r="J2869" s="3" t="s">
        <v>8412</v>
      </c>
      <c r="K2869" s="3" t="s">
        <v>50</v>
      </c>
      <c r="L2869" s="3" t="str">
        <f>IFERROR(__xludf.DUMMYFUNCTION("GOOGLETRANSLATE(F2869,""id"",""en"")"),"Mbok Wes Hop Sek Aleman at least specifically for the Tenan World Cup Final")</f>
        <v>Mbok Wes Hop Sek Aleman at least specifically for the Tenan World Cup Final</v>
      </c>
    </row>
    <row r="2870" ht="15.75" customHeight="1">
      <c r="A2870" s="1">
        <v>2886.0</v>
      </c>
      <c r="B2870" s="3" t="s">
        <v>8413</v>
      </c>
      <c r="C2870" s="3">
        <v>0.0</v>
      </c>
      <c r="D2870" s="3">
        <v>0.0</v>
      </c>
      <c r="E2870" s="3">
        <v>0.0</v>
      </c>
      <c r="F2870" s="3" t="s">
        <v>8414</v>
      </c>
      <c r="G2870" s="3">
        <v>1.0</v>
      </c>
      <c r="H2870" s="3">
        <v>0.0</v>
      </c>
      <c r="I2870" s="3" t="s">
        <v>13</v>
      </c>
      <c r="J2870" s="3" t="s">
        <v>8415</v>
      </c>
      <c r="K2870" s="3" t="s">
        <v>15</v>
      </c>
      <c r="L2870" s="3" t="str">
        <f>IFERROR(__xludf.DUMMYFUNCTION("GOOGLETRANSLATE(F2870,""id"",""en"")"),"This dramatic world cup final is very njiiir kek there is a plot tweet")</f>
        <v>This dramatic world cup final is very njiiir kek there is a plot tweet</v>
      </c>
    </row>
    <row r="2871" ht="15.75" customHeight="1">
      <c r="A2871" s="1">
        <v>2887.0</v>
      </c>
      <c r="B2871" s="3" t="s">
        <v>8416</v>
      </c>
      <c r="C2871" s="3">
        <v>0.0</v>
      </c>
      <c r="D2871" s="3">
        <v>0.0</v>
      </c>
      <c r="E2871" s="3">
        <v>0.0</v>
      </c>
      <c r="F2871" s="3" t="s">
        <v>8417</v>
      </c>
      <c r="G2871" s="3">
        <v>1.0</v>
      </c>
      <c r="H2871" s="3">
        <v>0.0</v>
      </c>
      <c r="I2871" s="3" t="s">
        <v>13</v>
      </c>
      <c r="J2871" s="3" t="s">
        <v>8418</v>
      </c>
      <c r="K2871" s="3" t="s">
        <v>41</v>
      </c>
      <c r="L2871" s="3" t="str">
        <f>IFERROR(__xludf.DUMMYFUNCTION("GOOGLETRANSLATE(F2871,""id"",""en"")"),"The hope of Ronaldo's fans towards the Qatar World Cup final match")</f>
        <v>The hope of Ronaldo's fans towards the Qatar World Cup final match</v>
      </c>
    </row>
    <row r="2872" ht="15.75" customHeight="1">
      <c r="A2872" s="1">
        <v>2888.0</v>
      </c>
      <c r="B2872" s="3" t="s">
        <v>8419</v>
      </c>
      <c r="C2872" s="3">
        <v>3.0</v>
      </c>
      <c r="D2872" s="3">
        <v>0.0</v>
      </c>
      <c r="E2872" s="3">
        <v>0.0</v>
      </c>
      <c r="F2872" s="3" t="s">
        <v>8420</v>
      </c>
      <c r="G2872" s="3">
        <v>1.0</v>
      </c>
      <c r="H2872" s="3">
        <v>0.0</v>
      </c>
      <c r="I2872" s="3" t="s">
        <v>13</v>
      </c>
      <c r="J2872" s="3" t="s">
        <v>8421</v>
      </c>
      <c r="K2872" s="3" t="s">
        <v>15</v>
      </c>
      <c r="L2872" s="3" t="str">
        <f>IFERROR(__xludf.DUMMYFUNCTION("GOOGLETRANSLATE(F2872,""id"",""en"")"),"Who watched the World Cup final in Indonesian comments")</f>
        <v>Who watched the World Cup final in Indonesian comments</v>
      </c>
    </row>
    <row r="2873" ht="15.75" customHeight="1">
      <c r="A2873" s="1">
        <v>2889.0</v>
      </c>
      <c r="B2873" s="3" t="s">
        <v>8422</v>
      </c>
      <c r="C2873" s="3">
        <v>0.0</v>
      </c>
      <c r="D2873" s="3">
        <v>0.0</v>
      </c>
      <c r="E2873" s="3">
        <v>0.0</v>
      </c>
      <c r="F2873" s="3" t="s">
        <v>8423</v>
      </c>
      <c r="G2873" s="3">
        <v>1.0</v>
      </c>
      <c r="H2873" s="3">
        <v>0.0</v>
      </c>
      <c r="I2873" s="3" t="s">
        <v>13</v>
      </c>
      <c r="J2873" s="3" t="s">
        <v>8424</v>
      </c>
      <c r="K2873" s="3" t="s">
        <v>15</v>
      </c>
      <c r="L2873" s="3" t="str">
        <f>IFERROR(__xludf.DUMMYFUNCTION("GOOGLETRANSLATE(F2873,""id"",""en"")"),"The latest score of the Argentine World Cup final appeared aggressive")</f>
        <v>The latest score of the Argentine World Cup final appeared aggressive</v>
      </c>
    </row>
    <row r="2874" ht="15.75" customHeight="1">
      <c r="A2874" s="1">
        <v>2890.0</v>
      </c>
      <c r="B2874" s="3" t="s">
        <v>8425</v>
      </c>
      <c r="C2874" s="3">
        <v>0.0</v>
      </c>
      <c r="D2874" s="3">
        <v>3.0</v>
      </c>
      <c r="E2874" s="3">
        <v>3.0</v>
      </c>
      <c r="F2874" s="3" t="s">
        <v>8426</v>
      </c>
      <c r="G2874" s="3">
        <v>1.0</v>
      </c>
      <c r="H2874" s="3">
        <v>0.0</v>
      </c>
      <c r="I2874" s="3" t="s">
        <v>13</v>
      </c>
      <c r="J2874" s="3" t="s">
        <v>8427</v>
      </c>
      <c r="K2874" s="3" t="s">
        <v>1421</v>
      </c>
      <c r="L2874" s="3" t="str">
        <f>IFERROR(__xludf.DUMMYFUNCTION("GOOGLETRANSLATE(F2874,""id"",""en"")"),"Competitive Competitive Malaysia Cup Final The World Cup Final")</f>
        <v>Competitive Competitive Malaysia Cup Final The World Cup Final</v>
      </c>
    </row>
    <row r="2875" ht="15.75" customHeight="1">
      <c r="A2875" s="1">
        <v>2891.0</v>
      </c>
      <c r="B2875" s="3" t="s">
        <v>8428</v>
      </c>
      <c r="C2875" s="3">
        <v>0.0</v>
      </c>
      <c r="D2875" s="3">
        <v>0.0</v>
      </c>
      <c r="E2875" s="3">
        <v>0.0</v>
      </c>
      <c r="F2875" s="3" t="s">
        <v>8429</v>
      </c>
      <c r="G2875" s="3">
        <v>1.0</v>
      </c>
      <c r="H2875" s="3">
        <v>0.0</v>
      </c>
      <c r="I2875" s="3" t="s">
        <v>13</v>
      </c>
      <c r="J2875" s="3" t="s">
        <v>8430</v>
      </c>
      <c r="K2875" s="3" t="s">
        <v>1335</v>
      </c>
      <c r="L2875" s="3" t="str">
        <f>IFERROR(__xludf.DUMMYFUNCTION("GOOGLETRANSLATE(F2875,""id"",""en"")"),"World Cup Final Charity match round")</f>
        <v>World Cup Final Charity match round</v>
      </c>
    </row>
    <row r="2876" ht="15.75" customHeight="1">
      <c r="A2876" s="1">
        <v>2892.0</v>
      </c>
      <c r="B2876" s="3" t="s">
        <v>8431</v>
      </c>
      <c r="C2876" s="3">
        <v>2.0</v>
      </c>
      <c r="D2876" s="3">
        <v>1.0</v>
      </c>
      <c r="E2876" s="3">
        <v>74.0</v>
      </c>
      <c r="F2876" s="3" t="s">
        <v>8432</v>
      </c>
      <c r="G2876" s="3">
        <v>0.65</v>
      </c>
      <c r="H2876" s="3">
        <v>0.1</v>
      </c>
      <c r="I2876" s="3" t="s">
        <v>48</v>
      </c>
      <c r="J2876" s="3" t="s">
        <v>8433</v>
      </c>
      <c r="K2876" s="3" t="s">
        <v>15</v>
      </c>
      <c r="L2876" s="3" t="str">
        <f>IFERROR(__xludf.DUMMYFUNCTION("GOOGLETRANSLATE(F2876,""id"",""en"")"),"The Real Goat Goal World Cup Final Match")</f>
        <v>The Real Goat Goal World Cup Final Match</v>
      </c>
    </row>
    <row r="2877" ht="15.75" customHeight="1">
      <c r="A2877" s="1">
        <v>2893.0</v>
      </c>
      <c r="B2877" s="3" t="s">
        <v>8434</v>
      </c>
      <c r="C2877" s="3">
        <v>0.0</v>
      </c>
      <c r="D2877" s="3">
        <v>0.0</v>
      </c>
      <c r="E2877" s="3">
        <v>0.0</v>
      </c>
      <c r="F2877" s="3" t="s">
        <v>8435</v>
      </c>
      <c r="G2877" s="3">
        <v>1.0</v>
      </c>
      <c r="H2877" s="3">
        <v>0.0</v>
      </c>
      <c r="I2877" s="3" t="s">
        <v>13</v>
      </c>
      <c r="J2877" s="3" t="s">
        <v>8436</v>
      </c>
      <c r="K2877" s="3" t="s">
        <v>82</v>
      </c>
      <c r="L2877" s="3" t="str">
        <f>IFERROR(__xludf.DUMMYFUNCTION("GOOGLETRANSLATE(F2877,""id"",""en"")"),"what is the final of the world cup fighting penalty wkwkwkwk")</f>
        <v>what is the final of the world cup fighting penalty wkwkwkwk</v>
      </c>
    </row>
    <row r="2878" ht="15.75" customHeight="1">
      <c r="A2878" s="1">
        <v>2894.0</v>
      </c>
      <c r="B2878" s="3" t="s">
        <v>8437</v>
      </c>
      <c r="C2878" s="3">
        <v>0.0</v>
      </c>
      <c r="D2878" s="3">
        <v>0.0</v>
      </c>
      <c r="E2878" s="3">
        <v>0.0</v>
      </c>
      <c r="F2878" s="3" t="s">
        <v>8438</v>
      </c>
      <c r="G2878" s="3">
        <v>1.0</v>
      </c>
      <c r="H2878" s="3">
        <v>0.0</v>
      </c>
      <c r="I2878" s="3" t="s">
        <v>13</v>
      </c>
      <c r="J2878" s="3" t="s">
        <v>8439</v>
      </c>
      <c r="K2878" s="3" t="s">
        <v>75</v>
      </c>
      <c r="L2878" s="3" t="str">
        <f>IFERROR(__xludf.DUMMYFUNCTION("GOOGLETRANSLATE(F2878,""id"",""en"")"),"Link watching the free world cup final of the French Argentina additional round")</f>
        <v>Link watching the free world cup final of the French Argentina additional round</v>
      </c>
    </row>
    <row r="2879" ht="15.75" customHeight="1">
      <c r="A2879" s="1">
        <v>2895.0</v>
      </c>
      <c r="B2879" s="3" t="s">
        <v>8440</v>
      </c>
      <c r="C2879" s="3">
        <v>0.0</v>
      </c>
      <c r="D2879" s="3">
        <v>0.0</v>
      </c>
      <c r="E2879" s="3">
        <v>0.0</v>
      </c>
      <c r="F2879" s="3" t="s">
        <v>8441</v>
      </c>
      <c r="G2879" s="3">
        <v>0.75</v>
      </c>
      <c r="H2879" s="3">
        <v>0.06818181818181818</v>
      </c>
      <c r="I2879" s="3" t="s">
        <v>48</v>
      </c>
      <c r="J2879" s="3" t="s">
        <v>8442</v>
      </c>
      <c r="K2879" s="3" t="s">
        <v>123</v>
      </c>
      <c r="L2879" s="3" t="str">
        <f>IFERROR(__xludf.DUMMYFUNCTION("GOOGLETRANSLATE(F2879,""id"",""en"")"),"The end of the second half of Argentina France Link live streaming Argentina France tonight WIB World Cup Final")</f>
        <v>The end of the second half of Argentina France Link live streaming Argentina France tonight WIB World Cup Final</v>
      </c>
    </row>
    <row r="2880" ht="15.75" customHeight="1">
      <c r="A2880" s="1">
        <v>2896.0</v>
      </c>
      <c r="B2880" s="3" t="s">
        <v>8443</v>
      </c>
      <c r="C2880" s="3">
        <v>0.0</v>
      </c>
      <c r="D2880" s="3">
        <v>0.0</v>
      </c>
      <c r="E2880" s="3">
        <v>0.0</v>
      </c>
      <c r="F2880" s="3" t="s">
        <v>8444</v>
      </c>
      <c r="G2880" s="3">
        <v>0.55</v>
      </c>
      <c r="H2880" s="3">
        <v>0.0</v>
      </c>
      <c r="I2880" s="3" t="s">
        <v>13</v>
      </c>
      <c r="J2880" s="3" t="s">
        <v>8445</v>
      </c>
      <c r="K2880" s="3" t="s">
        <v>75</v>
      </c>
      <c r="L2880" s="3" t="str">
        <f>IFERROR(__xludf.DUMMYFUNCTION("GOOGLETRANSLATE(F2880,""id"",""en"")"),"and must be added to the extraordinary Extra Time Time of the French Argentina French Argentina")</f>
        <v>and must be added to the extraordinary Extra Time Time of the French Argentina French Argentina</v>
      </c>
    </row>
    <row r="2881" ht="15.75" customHeight="1">
      <c r="A2881" s="1">
        <v>2897.0</v>
      </c>
      <c r="B2881" s="3" t="s">
        <v>8446</v>
      </c>
      <c r="C2881" s="3">
        <v>0.0</v>
      </c>
      <c r="D2881" s="3">
        <v>0.0</v>
      </c>
      <c r="E2881" s="3">
        <v>0.0</v>
      </c>
      <c r="F2881" s="3" t="s">
        <v>8447</v>
      </c>
      <c r="G2881" s="3">
        <v>0.5333333333333333</v>
      </c>
      <c r="H2881" s="3">
        <v>0.04545454545454545</v>
      </c>
      <c r="I2881" s="3" t="s">
        <v>48</v>
      </c>
      <c r="J2881" s="3" t="s">
        <v>8448</v>
      </c>
      <c r="K2881" s="3" t="s">
        <v>765</v>
      </c>
      <c r="L2881" s="3" t="str">
        <f>IFERROR(__xludf.DUMMYFUNCTION("GOOGLETRANSLATE(F2881,""id"",""en"")"),"Argentina and Messi Alvarez France World Cup of Argentina French World Cup Mbappe Giroud Link Link Live Streaming Closing Cereminal Extra Time Dramatic French Equate Position")</f>
        <v>Argentina and Messi Alvarez France World Cup of Argentina French World Cup Mbappe Giroud Link Link Live Streaming Closing Cereminal Extra Time Dramatic French Equate Position</v>
      </c>
    </row>
    <row r="2882" ht="15.75" customHeight="1">
      <c r="A2882" s="1">
        <v>2898.0</v>
      </c>
      <c r="B2882" s="3" t="s">
        <v>8449</v>
      </c>
      <c r="C2882" s="3">
        <v>0.0</v>
      </c>
      <c r="D2882" s="3">
        <v>0.0</v>
      </c>
      <c r="E2882" s="3">
        <v>0.0</v>
      </c>
      <c r="F2882" s="3" t="s">
        <v>8450</v>
      </c>
      <c r="G2882" s="3">
        <v>1.0</v>
      </c>
      <c r="H2882" s="3">
        <v>0.0</v>
      </c>
      <c r="I2882" s="3" t="s">
        <v>13</v>
      </c>
      <c r="J2882" s="3" t="s">
        <v>8451</v>
      </c>
      <c r="K2882" s="3" t="s">
        <v>657</v>
      </c>
      <c r="L2882" s="3" t="str">
        <f>IFERROR(__xludf.DUMMYFUNCTION("GOOGLETRANSLATE(F2882,""id"",""en"")"),"Messi's profile and other unique facts that are rarely known to many people after the Qatar World Cup final match")</f>
        <v>Messi's profile and other unique facts that are rarely known to many people after the Qatar World Cup final match</v>
      </c>
    </row>
    <row r="2883" ht="15.75" customHeight="1">
      <c r="A2883" s="1">
        <v>2899.0</v>
      </c>
      <c r="B2883" s="3" t="s">
        <v>8452</v>
      </c>
      <c r="C2883" s="3">
        <v>0.0</v>
      </c>
      <c r="D2883" s="3">
        <v>0.0</v>
      </c>
      <c r="E2883" s="3">
        <v>0.0</v>
      </c>
      <c r="F2883" s="3" t="s">
        <v>8453</v>
      </c>
      <c r="G2883" s="3">
        <v>1.0</v>
      </c>
      <c r="H2883" s="3">
        <v>0.0</v>
      </c>
      <c r="I2883" s="3" t="s">
        <v>13</v>
      </c>
      <c r="J2883" s="3" t="s">
        <v>8454</v>
      </c>
      <c r="K2883" s="3" t="s">
        <v>19</v>
      </c>
      <c r="L2883" s="3" t="str">
        <f>IFERROR(__xludf.DUMMYFUNCTION("GOOGLETRANSLATE(F2883,""id"",""en"")"),"This kek is the most exciting final of the history of watching the World Cup since")</f>
        <v>This kek is the most exciting final of the history of watching the World Cup since</v>
      </c>
    </row>
    <row r="2884" ht="15.75" customHeight="1">
      <c r="A2884" s="1">
        <v>2900.0</v>
      </c>
      <c r="B2884" s="3" t="s">
        <v>8455</v>
      </c>
      <c r="C2884" s="3">
        <v>0.0</v>
      </c>
      <c r="D2884" s="3">
        <v>1.0</v>
      </c>
      <c r="E2884" s="3">
        <v>9.0</v>
      </c>
      <c r="F2884" s="3" t="s">
        <v>8456</v>
      </c>
      <c r="G2884" s="3">
        <v>1.0</v>
      </c>
      <c r="H2884" s="3">
        <v>0.0</v>
      </c>
      <c r="I2884" s="3" t="s">
        <v>13</v>
      </c>
      <c r="J2884" s="3" t="s">
        <v>8457</v>
      </c>
      <c r="K2884" s="3" t="s">
        <v>82</v>
      </c>
      <c r="L2884" s="3" t="str">
        <f>IFERROR(__xludf.DUMMYFUNCTION("GOOGLETRANSLATE(F2884,""id"",""en"")"),"This means we watch Messi Ronaldo World Cup Final")</f>
        <v>This means we watch Messi Ronaldo World Cup Final</v>
      </c>
    </row>
    <row r="2885" ht="15.75" customHeight="1">
      <c r="A2885" s="1">
        <v>2901.0</v>
      </c>
      <c r="B2885" s="3" t="s">
        <v>8458</v>
      </c>
      <c r="C2885" s="3">
        <v>0.0</v>
      </c>
      <c r="D2885" s="3">
        <v>0.0</v>
      </c>
      <c r="E2885" s="3">
        <v>0.0</v>
      </c>
      <c r="F2885" s="3" t="s">
        <v>8459</v>
      </c>
      <c r="G2885" s="3">
        <v>1.0</v>
      </c>
      <c r="H2885" s="3">
        <v>0.0</v>
      </c>
      <c r="I2885" s="3" t="s">
        <v>13</v>
      </c>
      <c r="J2885" s="3" t="s">
        <v>8460</v>
      </c>
      <c r="K2885" s="3" t="s">
        <v>15</v>
      </c>
      <c r="L2885" s="3" t="str">
        <f>IFERROR(__xludf.DUMMYFUNCTION("GOOGLETRANSLATE(F2885,""id"",""en"")"),"Link watching Argentina France Free World Cup Final")</f>
        <v>Link watching Argentina France Free World Cup Final</v>
      </c>
    </row>
    <row r="2886" ht="15.75" customHeight="1">
      <c r="A2886" s="1">
        <v>2902.0</v>
      </c>
      <c r="B2886" s="3" t="s">
        <v>8461</v>
      </c>
      <c r="C2886" s="3">
        <v>0.0</v>
      </c>
      <c r="D2886" s="3">
        <v>0.0</v>
      </c>
      <c r="E2886" s="3">
        <v>0.0</v>
      </c>
      <c r="F2886" s="3" t="s">
        <v>7805</v>
      </c>
      <c r="G2886" s="3">
        <v>0.625</v>
      </c>
      <c r="H2886" s="3">
        <v>0.1022727272727273</v>
      </c>
      <c r="I2886" s="3" t="s">
        <v>48</v>
      </c>
      <c r="J2886" s="3" t="s">
        <v>7806</v>
      </c>
      <c r="K2886" s="3" t="s">
        <v>358</v>
      </c>
      <c r="L2886" s="3" t="str">
        <f>IFERROR(__xludf.DUMMYFUNCTION("GOOGLETRANSLATE(F2886,""id"",""en"")"),"Live Stream Argentina France France France FIFA World Cup Final Watching Live Streaming World Cup Live Score Mbappe Round")</f>
        <v>Live Stream Argentina France France France FIFA World Cup Final Watching Live Streaming World Cup Live Score Mbappe Round</v>
      </c>
    </row>
    <row r="2887" ht="15.75" customHeight="1">
      <c r="A2887" s="1">
        <v>2903.0</v>
      </c>
      <c r="B2887" s="3" t="s">
        <v>8462</v>
      </c>
      <c r="C2887" s="3">
        <v>0.0</v>
      </c>
      <c r="D2887" s="3">
        <v>0.0</v>
      </c>
      <c r="E2887" s="3">
        <v>3.0</v>
      </c>
      <c r="F2887" s="3" t="s">
        <v>8463</v>
      </c>
      <c r="G2887" s="3">
        <v>0.75</v>
      </c>
      <c r="H2887" s="3">
        <v>0.06818181818181818</v>
      </c>
      <c r="I2887" s="3" t="s">
        <v>48</v>
      </c>
      <c r="J2887" s="3" t="s">
        <v>8464</v>
      </c>
      <c r="K2887" s="3" t="s">
        <v>1293</v>
      </c>
      <c r="L2887" s="3" t="str">
        <f>IFERROR(__xludf.DUMMYFUNCTION("GOOGLETRANSLATE(F2887,""id"",""en"")"),"minutes Lionel Messi's kick can still be pushed over by Argentina France Link Link Live Streaming Argentina France tonight WIB World Cup Final")</f>
        <v>minutes Lionel Messi's kick can still be pushed over by Argentina France Link Link Live Streaming Argentina France tonight WIB World Cup Final</v>
      </c>
    </row>
    <row r="2888" ht="15.75" customHeight="1">
      <c r="A2888" s="1">
        <v>2904.0</v>
      </c>
      <c r="B2888" s="3" t="s">
        <v>8465</v>
      </c>
      <c r="C2888" s="3">
        <v>0.0</v>
      </c>
      <c r="D2888" s="3">
        <v>0.0</v>
      </c>
      <c r="E2888" s="3">
        <v>0.0</v>
      </c>
      <c r="F2888" s="3" t="s">
        <v>8466</v>
      </c>
      <c r="G2888" s="3">
        <v>1.0</v>
      </c>
      <c r="H2888" s="3">
        <v>0.0</v>
      </c>
      <c r="I2888" s="3" t="s">
        <v>13</v>
      </c>
      <c r="J2888" s="3" t="s">
        <v>8467</v>
      </c>
      <c r="K2888" s="3" t="s">
        <v>19</v>
      </c>
      <c r="L2888" s="3" t="str">
        <f>IFERROR(__xludf.DUMMYFUNCTION("GOOGLETRANSLATE(F2888,""id"",""en"")"),"The results of the Argentina French Final World Cup Mbappe Semenit Brace Print")</f>
        <v>The results of the Argentina French Final World Cup Mbappe Semenit Brace Print</v>
      </c>
    </row>
    <row r="2889" ht="15.75" customHeight="1">
      <c r="A2889" s="1">
        <v>2905.0</v>
      </c>
      <c r="B2889" s="3" t="s">
        <v>8468</v>
      </c>
      <c r="C2889" s="3">
        <v>0.0</v>
      </c>
      <c r="D2889" s="3">
        <v>0.0</v>
      </c>
      <c r="E2889" s="3">
        <v>0.0</v>
      </c>
      <c r="F2889" s="3" t="s">
        <v>8469</v>
      </c>
      <c r="G2889" s="3">
        <v>1.0</v>
      </c>
      <c r="H2889" s="3">
        <v>0.0</v>
      </c>
      <c r="I2889" s="3" t="s">
        <v>13</v>
      </c>
      <c r="J2889" s="3" t="s">
        <v>8470</v>
      </c>
      <c r="K2889" s="3" t="s">
        <v>58</v>
      </c>
      <c r="L2889" s="3" t="str">
        <f>IFERROR(__xludf.DUMMYFUNCTION("GOOGLETRANSLATE(F2889,""id"",""en"")"),"Come watching the final of the neighboring world cup next to watch so you know if the goal is because it is screaming")</f>
        <v>Come watching the final of the neighboring world cup next to watch so you know if the goal is because it is screaming</v>
      </c>
    </row>
    <row r="2890" ht="15.75" customHeight="1">
      <c r="A2890" s="1">
        <v>2906.0</v>
      </c>
      <c r="B2890" s="3" t="s">
        <v>8471</v>
      </c>
      <c r="C2890" s="3">
        <v>0.0</v>
      </c>
      <c r="D2890" s="3">
        <v>0.0</v>
      </c>
      <c r="E2890" s="3">
        <v>0.0</v>
      </c>
      <c r="F2890" s="3" t="s">
        <v>8472</v>
      </c>
      <c r="G2890" s="3">
        <v>1.0</v>
      </c>
      <c r="H2890" s="3">
        <v>0.0</v>
      </c>
      <c r="I2890" s="3" t="s">
        <v>13</v>
      </c>
      <c r="J2890" s="3" t="s">
        <v>8473</v>
      </c>
      <c r="K2890" s="3" t="s">
        <v>54</v>
      </c>
      <c r="L2890" s="3" t="str">
        <f>IFERROR(__xludf.DUMMYFUNCTION("GOOGLETRANSLATE(F2890,""id"",""en"")"),"like this, the name is the World Cup Final")</f>
        <v>like this, the name is the World Cup Final</v>
      </c>
    </row>
    <row r="2891" ht="15.75" customHeight="1">
      <c r="A2891" s="1">
        <v>2907.0</v>
      </c>
      <c r="B2891" s="3" t="s">
        <v>8474</v>
      </c>
      <c r="C2891" s="3">
        <v>0.0</v>
      </c>
      <c r="D2891" s="3">
        <v>0.0</v>
      </c>
      <c r="E2891" s="3">
        <v>0.0</v>
      </c>
      <c r="F2891" s="3" t="s">
        <v>8475</v>
      </c>
      <c r="G2891" s="3">
        <v>0.825</v>
      </c>
      <c r="H2891" s="3">
        <v>0.075</v>
      </c>
      <c r="I2891" s="3" t="s">
        <v>48</v>
      </c>
      <c r="J2891" s="3" t="s">
        <v>8476</v>
      </c>
      <c r="K2891" s="3" t="s">
        <v>1518</v>
      </c>
      <c r="L2891" s="3" t="str">
        <f>IFERROR(__xludf.DUMMYFUNCTION("GOOGLETRANSLATE(F2891,""id"",""en"")"),"You think with the exit and click the problem finished, it can return to normal, it can't be watched by some fans, unable to witness the excitement of the French French duel, the World Cup Final smoothly following the Lay error")</f>
        <v>You think with the exit and click the problem finished, it can return to normal, it can't be watched by some fans, unable to witness the excitement of the French French duel, the World Cup Final smoothly following the Lay error</v>
      </c>
    </row>
    <row r="2892" ht="15.75" customHeight="1">
      <c r="A2892" s="1">
        <v>2908.0</v>
      </c>
      <c r="B2892" s="3" t="s">
        <v>8477</v>
      </c>
      <c r="C2892" s="3">
        <v>1.0</v>
      </c>
      <c r="D2892" s="3">
        <v>0.0</v>
      </c>
      <c r="E2892" s="3">
        <v>15.0</v>
      </c>
      <c r="F2892" s="3" t="s">
        <v>8478</v>
      </c>
      <c r="G2892" s="3">
        <v>1.0</v>
      </c>
      <c r="H2892" s="3">
        <v>0.0</v>
      </c>
      <c r="I2892" s="3" t="s">
        <v>13</v>
      </c>
      <c r="J2892" s="3" t="s">
        <v>8479</v>
      </c>
      <c r="K2892" s="3" t="s">
        <v>520</v>
      </c>
      <c r="L2892" s="3" t="str">
        <f>IFERROR(__xludf.DUMMYFUNCTION("GOOGLETRANSLATE(F2892,""id"",""en"")"),"Today is in vain, today what day I want to watch this World Cup final, Messi's last pildun so he wishes him to win")</f>
        <v>Today is in vain, today what day I want to watch this World Cup final, Messi's last pildun so he wishes him to win</v>
      </c>
    </row>
    <row r="2893" ht="15.75" customHeight="1">
      <c r="A2893" s="1">
        <v>2909.0</v>
      </c>
      <c r="B2893" s="3" t="s">
        <v>8480</v>
      </c>
      <c r="C2893" s="3">
        <v>0.0</v>
      </c>
      <c r="D2893" s="3">
        <v>0.0</v>
      </c>
      <c r="E2893" s="3">
        <v>1.0</v>
      </c>
      <c r="F2893" s="3" t="s">
        <v>8481</v>
      </c>
      <c r="G2893" s="3">
        <v>1.0</v>
      </c>
      <c r="H2893" s="3">
        <v>0.0</v>
      </c>
      <c r="I2893" s="3" t="s">
        <v>13</v>
      </c>
      <c r="J2893" s="3" t="s">
        <v>8482</v>
      </c>
      <c r="K2893" s="3" t="s">
        <v>510</v>
      </c>
      <c r="L2893" s="3" t="str">
        <f>IFERROR(__xludf.DUMMYFUNCTION("GOOGLETRANSLATE(F2893,""id"",""en"")"),"Later, the French Argentine World Cup will contact me, please contact me ready to accommodate and receive a car motorcycle cellphone etc.")</f>
        <v>Later, the French Argentine World Cup will contact me, please contact me ready to accommodate and receive a car motorcycle cellphone etc.</v>
      </c>
    </row>
    <row r="2894" ht="15.75" customHeight="1">
      <c r="A2894" s="1">
        <v>2910.0</v>
      </c>
      <c r="B2894" s="3" t="s">
        <v>8483</v>
      </c>
      <c r="C2894" s="3">
        <v>0.0</v>
      </c>
      <c r="D2894" s="3">
        <v>1.0</v>
      </c>
      <c r="E2894" s="3">
        <v>3.0</v>
      </c>
      <c r="F2894" s="3" t="s">
        <v>8484</v>
      </c>
      <c r="G2894" s="3">
        <v>1.0</v>
      </c>
      <c r="H2894" s="3">
        <v>0.0</v>
      </c>
      <c r="I2894" s="3" t="s">
        <v>13</v>
      </c>
      <c r="J2894" s="3" t="s">
        <v>8485</v>
      </c>
      <c r="K2894" s="3" t="s">
        <v>15</v>
      </c>
      <c r="L2894" s="3" t="str">
        <f>IFERROR(__xludf.DUMMYFUNCTION("GOOGLETRANSLATE(F2894,""id"",""en"")"),"The World Cup Final is not healthy for the heart")</f>
        <v>The World Cup Final is not healthy for the heart</v>
      </c>
    </row>
    <row r="2895" ht="15.75" customHeight="1">
      <c r="A2895" s="1">
        <v>2911.0</v>
      </c>
      <c r="B2895" s="3" t="s">
        <v>8486</v>
      </c>
      <c r="C2895" s="3">
        <v>0.0</v>
      </c>
      <c r="D2895" s="3">
        <v>0.0</v>
      </c>
      <c r="E2895" s="3">
        <v>0.0</v>
      </c>
      <c r="F2895" s="3" t="s">
        <v>8487</v>
      </c>
      <c r="G2895" s="3">
        <v>1.0</v>
      </c>
      <c r="H2895" s="3">
        <v>0.0</v>
      </c>
      <c r="I2895" s="3" t="s">
        <v>13</v>
      </c>
      <c r="J2895" s="3" t="s">
        <v>8488</v>
      </c>
      <c r="K2895" s="3" t="s">
        <v>15</v>
      </c>
      <c r="L2895" s="3" t="str">
        <f>IFERROR(__xludf.DUMMYFUNCTION("GOOGLETRANSLATE(F2895,""id"",""en"")"),"Link watching the French free world cup final")</f>
        <v>Link watching the French free world cup final</v>
      </c>
    </row>
    <row r="2896" ht="15.75" customHeight="1">
      <c r="A2896" s="1">
        <v>2912.0</v>
      </c>
      <c r="B2896" s="3" t="s">
        <v>8489</v>
      </c>
      <c r="C2896" s="3">
        <v>0.0</v>
      </c>
      <c r="D2896" s="3">
        <v>6.0</v>
      </c>
      <c r="E2896" s="3">
        <v>4.0</v>
      </c>
      <c r="F2896" s="3" t="s">
        <v>8490</v>
      </c>
      <c r="G2896" s="3">
        <v>1.0</v>
      </c>
      <c r="H2896" s="3">
        <v>0.0</v>
      </c>
      <c r="I2896" s="3" t="s">
        <v>13</v>
      </c>
      <c r="J2896" s="3" t="s">
        <v>8491</v>
      </c>
      <c r="K2896" s="3" t="s">
        <v>657</v>
      </c>
      <c r="L2896" s="3" t="str">
        <f>IFERROR(__xludf.DUMMYFUNCTION("GOOGLETRANSLATE(F2896,""id"",""en"")"),"Biggest Comeback World Cup Final was when West Germany won the final party after first left behind Hungarian")</f>
        <v>Biggest Comeback World Cup Final was when West Germany won the final party after first left behind Hungarian</v>
      </c>
    </row>
    <row r="2897" ht="15.75" customHeight="1">
      <c r="A2897" s="1">
        <v>2913.0</v>
      </c>
      <c r="B2897" s="3" t="s">
        <v>8492</v>
      </c>
      <c r="C2897" s="3">
        <v>0.0</v>
      </c>
      <c r="D2897" s="3">
        <v>0.0</v>
      </c>
      <c r="E2897" s="3">
        <v>0.0</v>
      </c>
      <c r="F2897" s="3" t="s">
        <v>8493</v>
      </c>
      <c r="G2897" s="3">
        <v>1.0</v>
      </c>
      <c r="H2897" s="3">
        <v>0.0</v>
      </c>
      <c r="I2897" s="3" t="s">
        <v>13</v>
      </c>
      <c r="J2897" s="3" t="s">
        <v>8494</v>
      </c>
      <c r="K2897" s="3" t="s">
        <v>31</v>
      </c>
      <c r="L2897" s="3" t="str">
        <f>IFERROR(__xludf.DUMMYFUNCTION("GOOGLETRANSLATE(F2897,""id"",""en"")"),"But this is not about the World Cup Final")</f>
        <v>But this is not about the World Cup Final</v>
      </c>
    </row>
    <row r="2898" ht="15.75" customHeight="1">
      <c r="A2898" s="1">
        <v>2914.0</v>
      </c>
      <c r="B2898" s="3" t="s">
        <v>8495</v>
      </c>
      <c r="C2898" s="3">
        <v>0.0</v>
      </c>
      <c r="D2898" s="3">
        <v>0.0</v>
      </c>
      <c r="E2898" s="3">
        <v>0.0</v>
      </c>
      <c r="F2898" s="3" t="s">
        <v>8496</v>
      </c>
      <c r="G2898" s="3">
        <v>1.0</v>
      </c>
      <c r="H2898" s="3">
        <v>0.0</v>
      </c>
      <c r="I2898" s="3" t="s">
        <v>13</v>
      </c>
      <c r="J2898" s="3" t="s">
        <v>8497</v>
      </c>
      <c r="K2898" s="3" t="s">
        <v>1978</v>
      </c>
      <c r="L2898" s="3" t="str">
        <f>IFERROR(__xludf.DUMMYFUNCTION("GOOGLETRANSLATE(F2898,""id"",""en"")"),"The Underrated World Cup even though it could be one of the best World Cups and even the best World Cup final in my opinion")</f>
        <v>The Underrated World Cup even though it could be one of the best World Cups and even the best World Cup final in my opinion</v>
      </c>
    </row>
    <row r="2899" ht="15.75" customHeight="1">
      <c r="A2899" s="1">
        <v>2915.0</v>
      </c>
      <c r="B2899" s="3" t="s">
        <v>8498</v>
      </c>
      <c r="C2899" s="3">
        <v>0.0</v>
      </c>
      <c r="D2899" s="3">
        <v>0.0</v>
      </c>
      <c r="E2899" s="3">
        <v>0.0</v>
      </c>
      <c r="F2899" s="3" t="s">
        <v>8499</v>
      </c>
      <c r="G2899" s="3">
        <v>1.0</v>
      </c>
      <c r="H2899" s="3">
        <v>0.0</v>
      </c>
      <c r="I2899" s="3" t="s">
        <v>13</v>
      </c>
      <c r="J2899" s="3" t="s">
        <v>8500</v>
      </c>
      <c r="K2899" s="3" t="s">
        <v>31</v>
      </c>
      <c r="L2899" s="3" t="str">
        <f>IFERROR(__xludf.DUMMYFUNCTION("GOOGLETRANSLATE(F2899,""id"",""en"")"),"This is called the Final World Cup exciting")</f>
        <v>This is called the Final World Cup exciting</v>
      </c>
    </row>
    <row r="2900" ht="15.75" customHeight="1">
      <c r="A2900" s="1">
        <v>2916.0</v>
      </c>
      <c r="B2900" s="3" t="s">
        <v>8501</v>
      </c>
      <c r="C2900" s="3">
        <v>0.0</v>
      </c>
      <c r="D2900" s="3">
        <v>0.0</v>
      </c>
      <c r="E2900" s="3">
        <v>0.0</v>
      </c>
      <c r="F2900" s="3" t="s">
        <v>8502</v>
      </c>
      <c r="G2900" s="3">
        <v>0.7666666666666666</v>
      </c>
      <c r="H2900" s="3">
        <v>0.1787878787878788</v>
      </c>
      <c r="I2900" s="3" t="s">
        <v>48</v>
      </c>
      <c r="J2900" s="3" t="s">
        <v>8503</v>
      </c>
      <c r="K2900" s="3" t="s">
        <v>266</v>
      </c>
      <c r="L2900" s="3" t="str">
        <f>IFERROR(__xludf.DUMMYFUNCTION("GOOGLETRANSLATE(F2900,""id"",""en"")"),"Argentina France Final World Cup Live Streaming FIFA QATAR FIFA FIFA CUP QATAR ARGENTINA FRANCH FRANCE Link Vidio Match Streams Online for Free Argentina France Messi Mbappe Klhkjhk")</f>
        <v>Argentina France Final World Cup Live Streaming FIFA QATAR FIFA FIFA CUP QATAR ARGENTINA FRANCH FRANCE Link Vidio Match Streams Online for Free Argentina France Messi Mbappe Klhkjhk</v>
      </c>
    </row>
    <row r="2901" ht="15.75" customHeight="1">
      <c r="A2901" s="1">
        <v>2917.0</v>
      </c>
      <c r="B2901" s="3" t="s">
        <v>8504</v>
      </c>
      <c r="C2901" s="3">
        <v>0.0</v>
      </c>
      <c r="D2901" s="3">
        <v>0.0</v>
      </c>
      <c r="E2901" s="3">
        <v>0.0</v>
      </c>
      <c r="F2901" s="3" t="s">
        <v>8505</v>
      </c>
      <c r="G2901" s="3">
        <v>0.75</v>
      </c>
      <c r="H2901" s="3">
        <v>0.1</v>
      </c>
      <c r="I2901" s="3" t="s">
        <v>48</v>
      </c>
      <c r="J2901" s="3" t="s">
        <v>8506</v>
      </c>
      <c r="K2901" s="3" t="s">
        <v>50</v>
      </c>
      <c r="L2901" s="3" t="str">
        <f>IFERROR(__xludf.DUMMYFUNCTION("GOOGLETRANSLATE(F2901,""id"",""en"")"),"Nahhh exclaimed, the new World Cup Final Mother was shouted hahahaha")</f>
        <v>Nahhh exclaimed, the new World Cup Final Mother was shouted hahahaha</v>
      </c>
    </row>
    <row r="2902" ht="15.75" customHeight="1">
      <c r="A2902" s="1">
        <v>2918.0</v>
      </c>
      <c r="B2902" s="3" t="s">
        <v>8507</v>
      </c>
      <c r="C2902" s="3">
        <v>0.0</v>
      </c>
      <c r="D2902" s="3">
        <v>0.0</v>
      </c>
      <c r="E2902" s="3">
        <v>2.0</v>
      </c>
      <c r="F2902" s="3" t="s">
        <v>8508</v>
      </c>
      <c r="G2902" s="3">
        <v>1.0</v>
      </c>
      <c r="H2902" s="3">
        <v>0.0</v>
      </c>
      <c r="I2902" s="3" t="s">
        <v>13</v>
      </c>
      <c r="J2902" s="3" t="s">
        <v>8509</v>
      </c>
      <c r="K2902" s="3" t="s">
        <v>127</v>
      </c>
      <c r="L2902" s="3" t="str">
        <f>IFERROR(__xludf.DUMMYFUNCTION("GOOGLETRANSLATE(F2902,""id"",""en"")"),"Some fans cannot witness the excitement of the French French Duel of the World Cup smoothly following the error of streaming service video kisauuuuu")</f>
        <v>Some fans cannot witness the excitement of the French French Duel of the World Cup smoothly following the error of streaming service video kisauuuuu</v>
      </c>
    </row>
    <row r="2903" ht="15.75" customHeight="1">
      <c r="A2903" s="1">
        <v>2919.0</v>
      </c>
      <c r="B2903" s="3" t="s">
        <v>8510</v>
      </c>
      <c r="C2903" s="3">
        <v>0.0</v>
      </c>
      <c r="D2903" s="3">
        <v>0.0</v>
      </c>
      <c r="E2903" s="3">
        <v>0.0</v>
      </c>
      <c r="F2903" s="3" t="s">
        <v>8511</v>
      </c>
      <c r="G2903" s="3">
        <v>1.0</v>
      </c>
      <c r="H2903" s="3">
        <v>0.0</v>
      </c>
      <c r="I2903" s="3" t="s">
        <v>13</v>
      </c>
      <c r="J2903" s="3" t="s">
        <v>8512</v>
      </c>
      <c r="K2903" s="3" t="s">
        <v>510</v>
      </c>
      <c r="L2903" s="3" t="str">
        <f>IFERROR(__xludf.DUMMYFUNCTION("GOOGLETRANSLATE(F2903,""id"",""en"")"),"Kylian Mbappe World Cup final scoring French goal Argentina is as strong")</f>
        <v>Kylian Mbappe World Cup final scoring French goal Argentina is as strong</v>
      </c>
    </row>
    <row r="2904" ht="15.75" customHeight="1">
      <c r="A2904" s="1">
        <v>2920.0</v>
      </c>
      <c r="B2904" s="3" t="s">
        <v>8513</v>
      </c>
      <c r="C2904" s="3">
        <v>0.0</v>
      </c>
      <c r="D2904" s="3">
        <v>1.0</v>
      </c>
      <c r="E2904" s="3">
        <v>1.0</v>
      </c>
      <c r="F2904" s="3" t="s">
        <v>8514</v>
      </c>
      <c r="G2904" s="3">
        <v>1.0</v>
      </c>
      <c r="H2904" s="3">
        <v>0.0</v>
      </c>
      <c r="I2904" s="3" t="s">
        <v>13</v>
      </c>
      <c r="J2904" s="3" t="s">
        <v>8515</v>
      </c>
      <c r="K2904" s="3" t="s">
        <v>437</v>
      </c>
      <c r="L2904" s="3" t="str">
        <f>IFERROR(__xludf.DUMMYFUNCTION("GOOGLETRANSLATE(F2904,""id"",""en"")"),"Following are the final results of the French Argentine World Cup which temporarily took place with a brace Kylian Mbappe draw score with France chasing")</f>
        <v>Following are the final results of the French Argentine World Cup which temporarily took place with a brace Kylian Mbappe draw score with France chasing</v>
      </c>
    </row>
    <row r="2905" ht="15.75" customHeight="1">
      <c r="A2905" s="1">
        <v>2921.0</v>
      </c>
      <c r="B2905" s="3" t="s">
        <v>8516</v>
      </c>
      <c r="C2905" s="3">
        <v>0.0</v>
      </c>
      <c r="D2905" s="3">
        <v>0.0</v>
      </c>
      <c r="E2905" s="3">
        <v>0.0</v>
      </c>
      <c r="F2905" s="3" t="s">
        <v>8517</v>
      </c>
      <c r="G2905" s="3">
        <v>1.0</v>
      </c>
      <c r="H2905" s="3">
        <v>0.0</v>
      </c>
      <c r="I2905" s="3" t="s">
        <v>13</v>
      </c>
      <c r="J2905" s="3" t="s">
        <v>8518</v>
      </c>
      <c r="K2905" s="3" t="s">
        <v>71</v>
      </c>
      <c r="L2905" s="3" t="str">
        <f>IFERROR(__xludf.DUMMYFUNCTION("GOOGLETRANSLATE(F2905,""id"",""en"")"),"The World Cup Final Really Woy Mbappe Messi Let's Ending the Penalty Kick so that it is more crowded")</f>
        <v>The World Cup Final Really Woy Mbappe Messi Let's Ending the Penalty Kick so that it is more crowded</v>
      </c>
    </row>
    <row r="2906" ht="15.75" customHeight="1">
      <c r="A2906" s="1">
        <v>2922.0</v>
      </c>
      <c r="B2906" s="3" t="s">
        <v>8519</v>
      </c>
      <c r="C2906" s="3">
        <v>1.0</v>
      </c>
      <c r="D2906" s="3">
        <v>0.0</v>
      </c>
      <c r="E2906" s="3">
        <v>0.0</v>
      </c>
      <c r="F2906" s="3" t="s">
        <v>8520</v>
      </c>
      <c r="G2906" s="3">
        <v>1.0</v>
      </c>
      <c r="H2906" s="3">
        <v>0.0</v>
      </c>
      <c r="I2906" s="3" t="s">
        <v>13</v>
      </c>
      <c r="J2906" s="3" t="s">
        <v>8521</v>
      </c>
      <c r="K2906" s="3" t="s">
        <v>348</v>
      </c>
      <c r="L2906" s="3" t="str">
        <f>IFERROR(__xludf.DUMMYFUNCTION("GOOGLETRANSLATE(F2906,""id"",""en"")"),"Starting the Sultan Yeaaah Pecel Foundation Finally Exams Further Celebrating Fiyan Tilapan Ends the World Cup Final Pic Fadil Mbah Parni")</f>
        <v>Starting the Sultan Yeaaah Pecel Foundation Finally Exams Further Celebrating Fiyan Tilapan Ends the World Cup Final Pic Fadil Mbah Parni</v>
      </c>
    </row>
    <row r="2907" ht="15.75" customHeight="1">
      <c r="A2907" s="1">
        <v>2923.0</v>
      </c>
      <c r="B2907" s="3" t="s">
        <v>8522</v>
      </c>
      <c r="C2907" s="3">
        <v>0.0</v>
      </c>
      <c r="D2907" s="3">
        <v>1.0</v>
      </c>
      <c r="E2907" s="3">
        <v>1.0</v>
      </c>
      <c r="F2907" s="3" t="s">
        <v>8523</v>
      </c>
      <c r="G2907" s="3">
        <v>1.0</v>
      </c>
      <c r="H2907" s="3">
        <v>0.0</v>
      </c>
      <c r="I2907" s="3" t="s">
        <v>13</v>
      </c>
      <c r="J2907" s="3" t="s">
        <v>8524</v>
      </c>
      <c r="K2907" s="3" t="s">
        <v>495</v>
      </c>
      <c r="L2907" s="3" t="str">
        <f>IFERROR(__xludf.DUMMYFUNCTION("GOOGLETRANSLATE(F2907,""id"",""en"")"),"Wowww is right if France skipped Argentina's goal goal for the second time the World Cup Sinar Sinar Viewing Party")</f>
        <v>Wowww is right if France skipped Argentina's goal goal for the second time the World Cup Sinar Sinar Viewing Party</v>
      </c>
    </row>
    <row r="2908" ht="15.75" customHeight="1">
      <c r="A2908" s="1">
        <v>2924.0</v>
      </c>
      <c r="B2908" s="3" t="s">
        <v>8525</v>
      </c>
      <c r="C2908" s="3">
        <v>0.0</v>
      </c>
      <c r="D2908" s="3">
        <v>0.0</v>
      </c>
      <c r="E2908" s="3">
        <v>0.0</v>
      </c>
      <c r="F2908" s="3" t="s">
        <v>8526</v>
      </c>
      <c r="G2908" s="3">
        <v>1.0</v>
      </c>
      <c r="H2908" s="3">
        <v>0.0</v>
      </c>
      <c r="I2908" s="3" t="s">
        <v>13</v>
      </c>
      <c r="J2908" s="3" t="s">
        <v>8527</v>
      </c>
      <c r="K2908" s="3" t="s">
        <v>54</v>
      </c>
      <c r="L2908" s="3" t="str">
        <f>IFERROR(__xludf.DUMMYFUNCTION("GOOGLETRANSLATE(F2908,""id"",""en"")"),"watching the world cup final soccer sis")</f>
        <v>watching the world cup final soccer sis</v>
      </c>
    </row>
    <row r="2909" ht="15.75" customHeight="1">
      <c r="A2909" s="1">
        <v>2925.0</v>
      </c>
      <c r="B2909" s="3" t="s">
        <v>8528</v>
      </c>
      <c r="C2909" s="3">
        <v>0.0</v>
      </c>
      <c r="D2909" s="3">
        <v>0.0</v>
      </c>
      <c r="E2909" s="3">
        <v>0.0</v>
      </c>
      <c r="F2909" s="3" t="s">
        <v>8529</v>
      </c>
      <c r="G2909" s="3">
        <v>1.0</v>
      </c>
      <c r="H2909" s="3">
        <v>0.0</v>
      </c>
      <c r="I2909" s="3" t="s">
        <v>13</v>
      </c>
      <c r="J2909" s="3" t="s">
        <v>8530</v>
      </c>
      <c r="K2909" s="3" t="s">
        <v>75</v>
      </c>
      <c r="L2909" s="3" t="str">
        <f>IFERROR(__xludf.DUMMYFUNCTION("GOOGLETRANSLATE(F2909,""id"",""en"")"),"Watching Together with the Final World Cup Own France French Be Ready")</f>
        <v>Watching Together with the Final World Cup Own France French Be Ready</v>
      </c>
    </row>
    <row r="2910" ht="15.75" customHeight="1">
      <c r="A2910" s="1">
        <v>2926.0</v>
      </c>
      <c r="B2910" s="3" t="s">
        <v>8531</v>
      </c>
      <c r="C2910" s="3">
        <v>0.0</v>
      </c>
      <c r="D2910" s="3">
        <v>0.0</v>
      </c>
      <c r="E2910" s="3">
        <v>0.0</v>
      </c>
      <c r="F2910" s="3" t="s">
        <v>8532</v>
      </c>
      <c r="G2910" s="3">
        <v>1.0</v>
      </c>
      <c r="H2910" s="3">
        <v>0.0</v>
      </c>
      <c r="I2910" s="3" t="s">
        <v>13</v>
      </c>
      <c r="J2910" s="3" t="s">
        <v>8533</v>
      </c>
      <c r="K2910" s="3" t="s">
        <v>15</v>
      </c>
      <c r="L2910" s="3" t="str">
        <f>IFERROR(__xludf.DUMMYFUNCTION("GOOGLETRANSLATE(F2910,""id"",""en"")"),"Thanks to the World Cup Final Two Task Tonight was completed well")</f>
        <v>Thanks to the World Cup Final Two Task Tonight was completed well</v>
      </c>
    </row>
    <row r="2911" ht="15.75" customHeight="1">
      <c r="A2911" s="1">
        <v>2927.0</v>
      </c>
      <c r="B2911" s="3" t="s">
        <v>8534</v>
      </c>
      <c r="C2911" s="3">
        <v>0.0</v>
      </c>
      <c r="D2911" s="3">
        <v>0.0</v>
      </c>
      <c r="E2911" s="3">
        <v>0.0</v>
      </c>
      <c r="F2911" s="3" t="s">
        <v>8535</v>
      </c>
      <c r="G2911" s="3">
        <v>1.0</v>
      </c>
      <c r="H2911" s="3">
        <v>0.0</v>
      </c>
      <c r="I2911" s="3" t="s">
        <v>13</v>
      </c>
      <c r="J2911" s="3" t="s">
        <v>8536</v>
      </c>
      <c r="K2911" s="3" t="s">
        <v>82</v>
      </c>
      <c r="L2911" s="3" t="str">
        <f>IFERROR(__xludf.DUMMYFUNCTION("GOOGLETRANSLATE(F2911,""id"",""en"")"),"World Cup Final Drama Eventually Begins Yaayyy")</f>
        <v>World Cup Final Drama Eventually Begins Yaayyy</v>
      </c>
    </row>
    <row r="2912" ht="15.75" customHeight="1">
      <c r="A2912" s="1">
        <v>2928.0</v>
      </c>
      <c r="B2912" s="3" t="s">
        <v>8537</v>
      </c>
      <c r="C2912" s="3">
        <v>0.0</v>
      </c>
      <c r="D2912" s="3">
        <v>0.0</v>
      </c>
      <c r="E2912" s="3">
        <v>0.0</v>
      </c>
      <c r="F2912" s="3" t="s">
        <v>8538</v>
      </c>
      <c r="G2912" s="3">
        <v>1.0</v>
      </c>
      <c r="H2912" s="3">
        <v>0.0</v>
      </c>
      <c r="I2912" s="3" t="s">
        <v>13</v>
      </c>
      <c r="J2912" s="3" t="s">
        <v>8539</v>
      </c>
      <c r="K2912" s="3" t="s">
        <v>942</v>
      </c>
      <c r="L2912" s="3" t="str">
        <f>IFERROR(__xludf.DUMMYFUNCTION("GOOGLETRANSLATE(F2912,""id"",""en"")"),"Together with the South Tangerang Police Chief of the Pagedangan Police Chief Nobar Final of the World Cup with Pagedangan residents")</f>
        <v>Together with the South Tangerang Police Chief of the Pagedangan Police Chief Nobar Final of the World Cup with Pagedangan residents</v>
      </c>
    </row>
    <row r="2913" ht="15.75" customHeight="1">
      <c r="A2913" s="1">
        <v>2929.0</v>
      </c>
      <c r="B2913" s="3" t="s">
        <v>8540</v>
      </c>
      <c r="C2913" s="3">
        <v>0.0</v>
      </c>
      <c r="D2913" s="3">
        <v>1.0</v>
      </c>
      <c r="E2913" s="3">
        <v>1.0</v>
      </c>
      <c r="F2913" s="3" t="s">
        <v>8541</v>
      </c>
      <c r="G2913" s="3">
        <v>1.0</v>
      </c>
      <c r="H2913" s="3">
        <v>0.0</v>
      </c>
      <c r="I2913" s="3" t="s">
        <v>13</v>
      </c>
      <c r="J2913" s="3" t="s">
        <v>8542</v>
      </c>
      <c r="K2913" s="3" t="s">
        <v>433</v>
      </c>
      <c r="L2913" s="3" t="str">
        <f>IFERROR(__xludf.DUMMYFUNCTION("GOOGLETRANSLATE(F2913,""id"",""en"")"),"Not happy to sit each if the penalty for France Viewing Party Sinar World Cup Final")</f>
        <v>Not happy to sit each if the penalty for France Viewing Party Sinar World Cup Final</v>
      </c>
    </row>
    <row r="2914" ht="15.75" customHeight="1">
      <c r="A2914" s="1">
        <v>2930.0</v>
      </c>
      <c r="B2914" s="3" t="s">
        <v>8543</v>
      </c>
      <c r="C2914" s="3">
        <v>0.0</v>
      </c>
      <c r="D2914" s="3">
        <v>0.0</v>
      </c>
      <c r="E2914" s="3">
        <v>0.0</v>
      </c>
      <c r="F2914" s="3" t="s">
        <v>8544</v>
      </c>
      <c r="G2914" s="3">
        <v>1.0</v>
      </c>
      <c r="H2914" s="3">
        <v>0.0</v>
      </c>
      <c r="I2914" s="3" t="s">
        <v>13</v>
      </c>
      <c r="J2914" s="3" t="s">
        <v>8545</v>
      </c>
      <c r="K2914" s="3" t="s">
        <v>657</v>
      </c>
      <c r="L2914" s="3" t="str">
        <f>IFERROR(__xludf.DUMMYFUNCTION("GOOGLETRANSLATE(F2914,""id"",""en"")"),"I think there will be an extra round, this link streaming the French French French FRANCE FINAL Final")</f>
        <v>I think there will be an extra round, this link streaming the French French French FRANCE FINAL Final</v>
      </c>
    </row>
    <row r="2915" ht="15.75" customHeight="1">
      <c r="A2915" s="1">
        <v>2931.0</v>
      </c>
      <c r="B2915" s="3" t="s">
        <v>8546</v>
      </c>
      <c r="C2915" s="3">
        <v>0.0</v>
      </c>
      <c r="D2915" s="3">
        <v>0.0</v>
      </c>
      <c r="E2915" s="3">
        <v>0.0</v>
      </c>
      <c r="F2915" s="3" t="s">
        <v>8547</v>
      </c>
      <c r="G2915" s="3">
        <v>1.0</v>
      </c>
      <c r="H2915" s="3">
        <v>0.0</v>
      </c>
      <c r="I2915" s="3" t="s">
        <v>13</v>
      </c>
      <c r="J2915" s="3" t="s">
        <v>8548</v>
      </c>
      <c r="K2915" s="3" t="s">
        <v>35</v>
      </c>
      <c r="L2915" s="3" t="str">
        <f>IFERROR(__xludf.DUMMYFUNCTION("GOOGLETRANSLATE(F2915,""id"",""en"")"),"This is the World Cup final why the error is because the broadcast error is too goal")</f>
        <v>This is the World Cup final why the error is because the broadcast error is too goal</v>
      </c>
    </row>
    <row r="2916" ht="15.75" customHeight="1">
      <c r="A2916" s="1">
        <v>2932.0</v>
      </c>
      <c r="B2916" s="3" t="s">
        <v>8549</v>
      </c>
      <c r="C2916" s="3">
        <v>0.0</v>
      </c>
      <c r="D2916" s="3">
        <v>0.0</v>
      </c>
      <c r="E2916" s="3">
        <v>0.0</v>
      </c>
      <c r="F2916" s="3" t="s">
        <v>8550</v>
      </c>
      <c r="G2916" s="3">
        <v>1.0</v>
      </c>
      <c r="H2916" s="3">
        <v>0.0</v>
      </c>
      <c r="I2916" s="3" t="s">
        <v>13</v>
      </c>
      <c r="J2916" s="3" t="s">
        <v>8551</v>
      </c>
      <c r="K2916" s="3" t="s">
        <v>82</v>
      </c>
      <c r="L2916" s="3" t="str">
        <f>IFERROR(__xludf.DUMMYFUNCTION("GOOGLETRANSLATE(F2916,""id"",""en"")"),"Angel Maria showed the World Cup Final")</f>
        <v>Angel Maria showed the World Cup Final</v>
      </c>
    </row>
    <row r="2917" ht="15.75" customHeight="1">
      <c r="A2917" s="1">
        <v>2933.0</v>
      </c>
      <c r="B2917" s="3" t="s">
        <v>8552</v>
      </c>
      <c r="C2917" s="3">
        <v>1.0</v>
      </c>
      <c r="D2917" s="3">
        <v>0.0</v>
      </c>
      <c r="E2917" s="3">
        <v>6.0</v>
      </c>
      <c r="F2917" s="3" t="s">
        <v>8553</v>
      </c>
      <c r="G2917" s="3">
        <v>1.0</v>
      </c>
      <c r="H2917" s="3">
        <v>0.0</v>
      </c>
      <c r="I2917" s="3" t="s">
        <v>13</v>
      </c>
      <c r="J2917" s="3" t="s">
        <v>8554</v>
      </c>
      <c r="K2917" s="3" t="s">
        <v>50</v>
      </c>
      <c r="L2917" s="3" t="str">
        <f>IFERROR(__xludf.DUMMYFUNCTION("GOOGLETRANSLATE(F2917,""id"",""en"")"),"Mbappe scored France's goal to be the same position from the Argentina World Cup Final")</f>
        <v>Mbappe scored France's goal to be the same position from the Argentina World Cup Final</v>
      </c>
    </row>
    <row r="2918" ht="15.75" customHeight="1">
      <c r="A2918" s="1">
        <v>2934.0</v>
      </c>
      <c r="B2918" s="3" t="s">
        <v>8555</v>
      </c>
      <c r="C2918" s="3">
        <v>0.0</v>
      </c>
      <c r="D2918" s="3">
        <v>0.0</v>
      </c>
      <c r="E2918" s="3">
        <v>0.0</v>
      </c>
      <c r="F2918" s="3" t="s">
        <v>5895</v>
      </c>
      <c r="G2918" s="3">
        <v>1.0</v>
      </c>
      <c r="H2918" s="3">
        <v>0.0</v>
      </c>
      <c r="I2918" s="3" t="s">
        <v>13</v>
      </c>
      <c r="J2918" s="3" t="s">
        <v>5896</v>
      </c>
      <c r="K2918" s="3" t="s">
        <v>41</v>
      </c>
      <c r="L2918" s="3" t="str">
        <f>IFERROR(__xludf.DUMMYFUNCTION("GOOGLETRANSLATE(F2918,""id"",""en"")"),"The results of the first round of the French Argentine World Cup final score")</f>
        <v>The results of the first round of the French Argentine World Cup final score</v>
      </c>
    </row>
    <row r="2919" ht="15.75" customHeight="1">
      <c r="A2919" s="1">
        <v>2935.0</v>
      </c>
      <c r="B2919" s="3" t="s">
        <v>8556</v>
      </c>
      <c r="C2919" s="3">
        <v>0.0</v>
      </c>
      <c r="D2919" s="3">
        <v>0.0</v>
      </c>
      <c r="E2919" s="3">
        <v>0.0</v>
      </c>
      <c r="F2919" s="3" t="s">
        <v>8111</v>
      </c>
      <c r="G2919" s="3">
        <v>1.0</v>
      </c>
      <c r="H2919" s="3">
        <v>0.0</v>
      </c>
      <c r="I2919" s="3" t="s">
        <v>13</v>
      </c>
      <c r="J2919" s="3" t="s">
        <v>8112</v>
      </c>
      <c r="K2919" s="3" t="s">
        <v>240</v>
      </c>
      <c r="L2919" s="3" t="str">
        <f>IFERROR(__xludf.DUMMYFUNCTION("GOOGLETRANSLATE(F2919,""id"",""en"")"),"Some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920" ht="15.75" customHeight="1">
      <c r="A2920" s="1">
        <v>2936.0</v>
      </c>
      <c r="B2920" s="3" t="s">
        <v>8557</v>
      </c>
      <c r="C2920" s="3">
        <v>0.0</v>
      </c>
      <c r="D2920" s="3">
        <v>0.0</v>
      </c>
      <c r="E2920" s="3">
        <v>0.0</v>
      </c>
      <c r="F2920" s="3" t="s">
        <v>8558</v>
      </c>
      <c r="G2920" s="3">
        <v>1.0</v>
      </c>
      <c r="H2920" s="3">
        <v>0.0</v>
      </c>
      <c r="I2920" s="3" t="s">
        <v>13</v>
      </c>
      <c r="J2920" s="3" t="s">
        <v>8559</v>
      </c>
      <c r="K2920" s="3" t="s">
        <v>54</v>
      </c>
      <c r="L2920" s="3" t="str">
        <f>IFERROR(__xludf.DUMMYFUNCTION("GOOGLETRANSLATE(F2920,""id"",""en"")"),"exclaimed, this is the final world cup like this")</f>
        <v>exclaimed, this is the final world cup like this</v>
      </c>
    </row>
    <row r="2921" ht="15.75" customHeight="1">
      <c r="A2921" s="1">
        <v>2937.0</v>
      </c>
      <c r="B2921" s="3" t="s">
        <v>8560</v>
      </c>
      <c r="C2921" s="3">
        <v>0.0</v>
      </c>
      <c r="D2921" s="3">
        <v>0.0</v>
      </c>
      <c r="E2921" s="3">
        <v>1.0</v>
      </c>
      <c r="F2921" s="3" t="s">
        <v>8561</v>
      </c>
      <c r="G2921" s="3">
        <v>1.0</v>
      </c>
      <c r="H2921" s="3">
        <v>0.0</v>
      </c>
      <c r="I2921" s="3" t="s">
        <v>13</v>
      </c>
      <c r="J2921" s="3" t="s">
        <v>8562</v>
      </c>
      <c r="K2921" s="3" t="s">
        <v>495</v>
      </c>
      <c r="L2921" s="3" t="str">
        <f>IFERROR(__xludf.DUMMYFUNCTION("GOOGLETRANSLATE(F2921,""id"",""en"")"),"French French Goals Scorer World Cup Answer Zinedine Zidane Emmanuel Petit Let's Join Bestie Farah Don't Forget to Follow")</f>
        <v>French French Goals Scorer World Cup Answer Zinedine Zidane Emmanuel Petit Let's Join Bestie Farah Don't Forget to Follow</v>
      </c>
    </row>
    <row r="2922" ht="15.75" customHeight="1">
      <c r="A2922" s="1">
        <v>2938.0</v>
      </c>
      <c r="B2922" s="3" t="s">
        <v>8563</v>
      </c>
      <c r="C2922" s="3">
        <v>0.0</v>
      </c>
      <c r="D2922" s="3">
        <v>10.0</v>
      </c>
      <c r="E2922" s="3">
        <v>11.0</v>
      </c>
      <c r="F2922" s="3" t="s">
        <v>8117</v>
      </c>
      <c r="G2922" s="3">
        <v>0.825</v>
      </c>
      <c r="H2922" s="3">
        <v>0.1340909090909091</v>
      </c>
      <c r="I2922" s="3" t="s">
        <v>48</v>
      </c>
      <c r="J2922" s="3" t="s">
        <v>8118</v>
      </c>
      <c r="K2922" s="3" t="s">
        <v>603</v>
      </c>
      <c r="L2922" s="3" t="str">
        <f>IFERROR(__xludf.DUMMYFUNCTION("GOOGLETRANSLATE(F2922,""id"",""en"")"),"Final World Cup Live Streaming Free Link Argentina French FIFA World Cup Qatar Argentina Argentina Francia Final Del Mundial")</f>
        <v>Final World Cup Live Streaming Free Link Argentina French FIFA World Cup Qatar Argentina Argentina Francia Final Del Mundial</v>
      </c>
    </row>
    <row r="2923" ht="15.75" customHeight="1">
      <c r="A2923" s="1">
        <v>2939.0</v>
      </c>
      <c r="B2923" s="3" t="s">
        <v>8564</v>
      </c>
      <c r="C2923" s="3">
        <v>0.0</v>
      </c>
      <c r="D2923" s="3">
        <v>0.0</v>
      </c>
      <c r="E2923" s="3">
        <v>0.0</v>
      </c>
      <c r="F2923" s="3" t="s">
        <v>8565</v>
      </c>
      <c r="G2923" s="3">
        <v>0.55</v>
      </c>
      <c r="H2923" s="3">
        <v>0.0</v>
      </c>
      <c r="I2923" s="3" t="s">
        <v>13</v>
      </c>
      <c r="J2923" s="3" t="s">
        <v>8566</v>
      </c>
      <c r="K2923" s="3" t="s">
        <v>82</v>
      </c>
      <c r="L2923" s="3" t="str">
        <f>IFERROR(__xludf.DUMMYFUNCTION("GOOGLETRANSLATE(F2923,""id"",""en"")"),"The World Cup Final if there is an extra time, it's not exciting")</f>
        <v>The World Cup Final if there is an extra time, it's not exciting</v>
      </c>
    </row>
    <row r="2924" ht="15.75" customHeight="1">
      <c r="A2924" s="1">
        <v>2940.0</v>
      </c>
      <c r="B2924" s="3" t="s">
        <v>8567</v>
      </c>
      <c r="C2924" s="3">
        <v>0.0</v>
      </c>
      <c r="D2924" s="3">
        <v>27.0</v>
      </c>
      <c r="E2924" s="3">
        <v>17.0</v>
      </c>
      <c r="F2924" s="3" t="s">
        <v>8568</v>
      </c>
      <c r="G2924" s="3">
        <v>1.0</v>
      </c>
      <c r="H2924" s="3">
        <v>0.5</v>
      </c>
      <c r="I2924" s="3" t="s">
        <v>48</v>
      </c>
      <c r="J2924" s="3" t="s">
        <v>8569</v>
      </c>
      <c r="K2924" s="3" t="s">
        <v>15</v>
      </c>
      <c r="L2924" s="3" t="str">
        <f>IFERROR(__xludf.DUMMYFUNCTION("GOOGLETRANSLATE(F2924,""id"",""en"")"),"failed to refrain from impressed with the World Cup final resistance")</f>
        <v>failed to refrain from impressed with the World Cup final resistance</v>
      </c>
    </row>
    <row r="2925" ht="15.75" customHeight="1">
      <c r="A2925" s="1">
        <v>2941.0</v>
      </c>
      <c r="B2925" s="3" t="s">
        <v>8570</v>
      </c>
      <c r="C2925" s="3">
        <v>0.0</v>
      </c>
      <c r="D2925" s="3">
        <v>0.0</v>
      </c>
      <c r="E2925" s="3">
        <v>0.0</v>
      </c>
      <c r="F2925" s="3" t="s">
        <v>8571</v>
      </c>
      <c r="G2925" s="3">
        <v>1.0</v>
      </c>
      <c r="H2925" s="3">
        <v>0.0</v>
      </c>
      <c r="I2925" s="3" t="s">
        <v>13</v>
      </c>
      <c r="J2925" s="3" t="s">
        <v>8572</v>
      </c>
      <c r="K2925" s="3" t="s">
        <v>54</v>
      </c>
      <c r="L2925" s="3" t="str">
        <f>IFERROR(__xludf.DUMMYFUNCTION("GOOGLETRANSLATE(F2925,""id"",""en"")"),"Cool World Cup Final Watch this time")</f>
        <v>Cool World Cup Final Watch this time</v>
      </c>
    </row>
    <row r="2926" ht="15.75" customHeight="1">
      <c r="A2926" s="1">
        <v>2942.0</v>
      </c>
      <c r="B2926" s="3" t="s">
        <v>8573</v>
      </c>
      <c r="C2926" s="3">
        <v>0.0</v>
      </c>
      <c r="D2926" s="3">
        <v>0.0</v>
      </c>
      <c r="E2926" s="3">
        <v>0.0</v>
      </c>
      <c r="F2926" s="3" t="s">
        <v>8574</v>
      </c>
      <c r="G2926" s="3">
        <v>1.0</v>
      </c>
      <c r="H2926" s="3">
        <v>0.0</v>
      </c>
      <c r="I2926" s="3" t="s">
        <v>13</v>
      </c>
      <c r="J2926" s="3" t="s">
        <v>8575</v>
      </c>
      <c r="K2926" s="3" t="s">
        <v>41</v>
      </c>
      <c r="L2926" s="3" t="str">
        <f>IFERROR(__xludf.DUMMYFUNCTION("GOOGLETRANSLATE(F2926,""id"",""en"")"),"Until the penalty shoots, so I can watch the World Cup final for a long time")</f>
        <v>Until the penalty shoots, so I can watch the World Cup final for a long time</v>
      </c>
    </row>
    <row r="2927" ht="15.75" customHeight="1">
      <c r="A2927" s="1">
        <v>2943.0</v>
      </c>
      <c r="B2927" s="3" t="s">
        <v>8576</v>
      </c>
      <c r="C2927" s="3">
        <v>0.0</v>
      </c>
      <c r="D2927" s="3">
        <v>0.0</v>
      </c>
      <c r="E2927" s="3">
        <v>0.0</v>
      </c>
      <c r="F2927" s="3" t="s">
        <v>8577</v>
      </c>
      <c r="G2927" s="3">
        <v>0.775</v>
      </c>
      <c r="H2927" s="3">
        <v>0.175</v>
      </c>
      <c r="I2927" s="3" t="s">
        <v>48</v>
      </c>
      <c r="J2927" s="3" t="s">
        <v>8578</v>
      </c>
      <c r="K2927" s="3" t="s">
        <v>19</v>
      </c>
      <c r="L2927" s="3" t="str">
        <f>IFERROR(__xludf.DUMMYFUNCTION("GOOGLETRANSLATE(F2927,""id"",""en"")"),"Still the day the quota has run out, he said the full cup package until our final refund funds woeeeee")</f>
        <v>Still the day the quota has run out, he said the full cup package until our final refund funds woeeeee</v>
      </c>
    </row>
    <row r="2928" ht="15.75" customHeight="1">
      <c r="A2928" s="1">
        <v>2944.0</v>
      </c>
      <c r="B2928" s="3" t="s">
        <v>8579</v>
      </c>
      <c r="C2928" s="3">
        <v>0.0</v>
      </c>
      <c r="D2928" s="3">
        <v>0.0</v>
      </c>
      <c r="E2928" s="3">
        <v>0.0</v>
      </c>
      <c r="F2928" s="3" t="s">
        <v>2115</v>
      </c>
      <c r="G2928" s="3">
        <v>1.0</v>
      </c>
      <c r="H2928" s="3">
        <v>0.0</v>
      </c>
      <c r="I2928" s="3" t="s">
        <v>13</v>
      </c>
      <c r="J2928" s="3" t="s">
        <v>2116</v>
      </c>
      <c r="K2928" s="3" t="s">
        <v>2117</v>
      </c>
      <c r="L2928" s="3" t="str">
        <f>IFERROR(__xludf.DUMMYFUNCTION("GOOGLETRANSLATE(F2928,""id"",""en"")"),"World Cup Final")</f>
        <v>World Cup Final</v>
      </c>
    </row>
    <row r="2929" ht="15.75" customHeight="1">
      <c r="A2929" s="1">
        <v>2945.0</v>
      </c>
      <c r="B2929" s="3" t="s">
        <v>8580</v>
      </c>
      <c r="C2929" s="3">
        <v>0.0</v>
      </c>
      <c r="D2929" s="3">
        <v>0.0</v>
      </c>
      <c r="E2929" s="3">
        <v>1.0</v>
      </c>
      <c r="F2929" s="3" t="s">
        <v>8581</v>
      </c>
      <c r="G2929" s="3">
        <v>1.0</v>
      </c>
      <c r="H2929" s="3">
        <v>0.0</v>
      </c>
      <c r="I2929" s="3" t="s">
        <v>13</v>
      </c>
      <c r="J2929" s="3" t="s">
        <v>8582</v>
      </c>
      <c r="K2929" s="3" t="s">
        <v>41</v>
      </c>
      <c r="L2929" s="3" t="str">
        <f>IFERROR(__xludf.DUMMYFUNCTION("GOOGLETRANSLATE(F2929,""id"",""en"")"),"If the Konoha Gakure country could enter the Qatar World Cup final")</f>
        <v>If the Konoha Gakure country could enter the Qatar World Cup final</v>
      </c>
    </row>
    <row r="2930" ht="15.75" customHeight="1">
      <c r="A2930" s="1">
        <v>2946.0</v>
      </c>
      <c r="B2930" s="3" t="s">
        <v>8583</v>
      </c>
      <c r="C2930" s="3">
        <v>0.0</v>
      </c>
      <c r="D2930" s="3">
        <v>0.0</v>
      </c>
      <c r="E2930" s="3">
        <v>0.0</v>
      </c>
      <c r="F2930" s="3" t="s">
        <v>8584</v>
      </c>
      <c r="G2930" s="3">
        <v>1.0</v>
      </c>
      <c r="H2930" s="3">
        <v>0.0</v>
      </c>
      <c r="I2930" s="3" t="s">
        <v>13</v>
      </c>
      <c r="J2930" s="3" t="s">
        <v>8585</v>
      </c>
      <c r="K2930" s="3" t="s">
        <v>41</v>
      </c>
      <c r="L2930" s="3" t="str">
        <f>IFERROR(__xludf.DUMMYFUNCTION("GOOGLETRANSLATE(F2930,""id"",""en"")"),"Exciting Link Streaming World Cup Free Argentina French Final")</f>
        <v>Exciting Link Streaming World Cup Free Argentina French Final</v>
      </c>
    </row>
    <row r="2931" ht="15.75" customHeight="1">
      <c r="A2931" s="1">
        <v>2947.0</v>
      </c>
      <c r="B2931" s="3" t="s">
        <v>8586</v>
      </c>
      <c r="C2931" s="3">
        <v>0.0</v>
      </c>
      <c r="D2931" s="3">
        <v>0.0</v>
      </c>
      <c r="E2931" s="3">
        <v>0.0</v>
      </c>
      <c r="F2931" s="3" t="s">
        <v>8587</v>
      </c>
      <c r="G2931" s="3">
        <v>1.0</v>
      </c>
      <c r="H2931" s="3">
        <v>0.0</v>
      </c>
      <c r="I2931" s="3" t="s">
        <v>13</v>
      </c>
      <c r="J2931" s="3" t="s">
        <v>8588</v>
      </c>
      <c r="K2931" s="3" t="s">
        <v>495</v>
      </c>
      <c r="L2931" s="3" t="str">
        <f>IFERROR(__xludf.DUMMYFUNCTION("GOOGLETRANSLATE(F2931,""id"",""en"")"),"Yesss is a round friend of Ahahahaha, hearing neighbors on the line of watching the World Cup Final Suddenly Kampung Being a French Argentine Citizen")</f>
        <v>Yesss is a round friend of Ahahahaha, hearing neighbors on the line of watching the World Cup Final Suddenly Kampung Being a French Argentine Citizen</v>
      </c>
    </row>
    <row r="2932" ht="15.75" customHeight="1">
      <c r="A2932" s="1">
        <v>2948.0</v>
      </c>
      <c r="B2932" s="3" t="s">
        <v>8589</v>
      </c>
      <c r="C2932" s="3">
        <v>0.0</v>
      </c>
      <c r="D2932" s="3">
        <v>0.0</v>
      </c>
      <c r="E2932" s="3">
        <v>0.0</v>
      </c>
      <c r="F2932" s="3" t="s">
        <v>8590</v>
      </c>
      <c r="G2932" s="3">
        <v>1.0</v>
      </c>
      <c r="H2932" s="3">
        <v>0.0</v>
      </c>
      <c r="I2932" s="3" t="s">
        <v>13</v>
      </c>
      <c r="J2932" s="3" t="s">
        <v>8591</v>
      </c>
      <c r="K2932" s="3" t="s">
        <v>510</v>
      </c>
      <c r="L2932" s="3" t="str">
        <f>IFERROR(__xludf.DUMMYFUNCTION("GOOGLETRANSLATE(F2932,""id"",""en"")"),"The tense match of the World Cup final between France and Argentina until the end of enjoying this match with video from Indihome")</f>
        <v>The tense match of the World Cup final between France and Argentina until the end of enjoying this match with video from Indihome</v>
      </c>
    </row>
    <row r="2933" ht="15.75" customHeight="1">
      <c r="A2933" s="1">
        <v>2949.0</v>
      </c>
      <c r="B2933" s="3" t="s">
        <v>8592</v>
      </c>
      <c r="C2933" s="3">
        <v>0.0</v>
      </c>
      <c r="D2933" s="3">
        <v>1.0</v>
      </c>
      <c r="E2933" s="3">
        <v>1.0</v>
      </c>
      <c r="F2933" s="3" t="s">
        <v>8593</v>
      </c>
      <c r="G2933" s="3">
        <v>1.0</v>
      </c>
      <c r="H2933" s="3">
        <v>0.0</v>
      </c>
      <c r="I2933" s="3" t="s">
        <v>13</v>
      </c>
      <c r="J2933" s="3" t="s">
        <v>8594</v>
      </c>
      <c r="K2933" s="3" t="s">
        <v>75</v>
      </c>
      <c r="L2933" s="3" t="str">
        <f>IFERROR(__xludf.DUMMYFUNCTION("GOOGLETRANSLATE(F2933,""id"",""en"")"),"The French World Cup final is the same as the score of Mbappe scored in minutes")</f>
        <v>The French World Cup final is the same as the score of Mbappe scored in minutes</v>
      </c>
    </row>
    <row r="2934" ht="15.75" customHeight="1">
      <c r="A2934" s="1">
        <v>2950.0</v>
      </c>
      <c r="B2934" s="3" t="s">
        <v>8595</v>
      </c>
      <c r="C2934" s="3">
        <v>0.0</v>
      </c>
      <c r="D2934" s="3">
        <v>0.0</v>
      </c>
      <c r="E2934" s="3">
        <v>0.0</v>
      </c>
      <c r="F2934" s="3" t="s">
        <v>7892</v>
      </c>
      <c r="G2934" s="3">
        <v>1.0</v>
      </c>
      <c r="H2934" s="3">
        <v>0.0</v>
      </c>
      <c r="I2934" s="3" t="s">
        <v>13</v>
      </c>
      <c r="J2934" s="3" t="s">
        <v>7893</v>
      </c>
      <c r="K2934" s="3" t="s">
        <v>240</v>
      </c>
      <c r="L2934" s="3" t="str">
        <f>IFERROR(__xludf.DUMMYFUNCTION("GOOGLETRANSLATE(F2934,""id"",""en"")"),"France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35" ht="15.75" customHeight="1">
      <c r="A2935" s="1">
        <v>2951.0</v>
      </c>
      <c r="B2935" s="3" t="s">
        <v>8596</v>
      </c>
      <c r="C2935" s="3">
        <v>0.0</v>
      </c>
      <c r="D2935" s="3">
        <v>2.0</v>
      </c>
      <c r="E2935" s="3">
        <v>2.0</v>
      </c>
      <c r="F2935" s="3" t="s">
        <v>8597</v>
      </c>
      <c r="G2935" s="3">
        <v>1.0</v>
      </c>
      <c r="H2935" s="3">
        <v>0.0</v>
      </c>
      <c r="I2935" s="3" t="s">
        <v>13</v>
      </c>
      <c r="J2935" s="3" t="s">
        <v>8598</v>
      </c>
      <c r="K2935" s="3" t="s">
        <v>31</v>
      </c>
      <c r="L2935" s="3" t="str">
        <f>IFERROR(__xludf.DUMMYFUNCTION("GOOGLETRANSLATE(F2935,""id"",""en"")"),"Final of Indosiar's Pesenan World Cup")</f>
        <v>Final of Indosiar's Pesenan World Cup</v>
      </c>
    </row>
    <row r="2936" ht="15.75" customHeight="1">
      <c r="A2936" s="1">
        <v>2952.0</v>
      </c>
      <c r="B2936" s="3" t="s">
        <v>8599</v>
      </c>
      <c r="C2936" s="3">
        <v>7.0</v>
      </c>
      <c r="D2936" s="3">
        <v>4.0</v>
      </c>
      <c r="E2936" s="3">
        <v>9.0</v>
      </c>
      <c r="F2936" s="3" t="s">
        <v>8111</v>
      </c>
      <c r="G2936" s="3">
        <v>1.0</v>
      </c>
      <c r="H2936" s="3">
        <v>0.0</v>
      </c>
      <c r="I2936" s="3" t="s">
        <v>13</v>
      </c>
      <c r="J2936" s="3" t="s">
        <v>8112</v>
      </c>
      <c r="K2936" s="3" t="s">
        <v>240</v>
      </c>
      <c r="L2936" s="3" t="str">
        <f>IFERROR(__xludf.DUMMYFUNCTION("GOOGLETRANSLATE(F2936,""id"",""en"")"),"Some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937" ht="15.75" customHeight="1">
      <c r="A2937" s="1">
        <v>2953.0</v>
      </c>
      <c r="B2937" s="3" t="s">
        <v>8600</v>
      </c>
      <c r="C2937" s="3">
        <v>0.0</v>
      </c>
      <c r="D2937" s="3">
        <v>2.0</v>
      </c>
      <c r="E2937" s="3">
        <v>3.0</v>
      </c>
      <c r="F2937" s="3" t="s">
        <v>7892</v>
      </c>
      <c r="G2937" s="3">
        <v>1.0</v>
      </c>
      <c r="H2937" s="3">
        <v>0.0</v>
      </c>
      <c r="I2937" s="3" t="s">
        <v>13</v>
      </c>
      <c r="J2937" s="3" t="s">
        <v>7893</v>
      </c>
      <c r="K2937" s="3" t="s">
        <v>240</v>
      </c>
      <c r="L2937" s="3" t="str">
        <f>IFERROR(__xludf.DUMMYFUNCTION("GOOGLETRANSLATE(F2937,""id"",""en"")"),"France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38" ht="15.75" customHeight="1">
      <c r="A2938" s="1">
        <v>2954.0</v>
      </c>
      <c r="B2938" s="3" t="s">
        <v>8601</v>
      </c>
      <c r="C2938" s="3">
        <v>4.0</v>
      </c>
      <c r="D2938" s="3">
        <v>7.0</v>
      </c>
      <c r="E2938" s="3">
        <v>52.0</v>
      </c>
      <c r="F2938" s="3" t="s">
        <v>7892</v>
      </c>
      <c r="G2938" s="3">
        <v>1.0</v>
      </c>
      <c r="H2938" s="3">
        <v>0.0</v>
      </c>
      <c r="I2938" s="3" t="s">
        <v>13</v>
      </c>
      <c r="J2938" s="3" t="s">
        <v>7893</v>
      </c>
      <c r="K2938" s="3" t="s">
        <v>240</v>
      </c>
      <c r="L2938" s="3" t="str">
        <f>IFERROR(__xludf.DUMMYFUNCTION("GOOGLETRANSLATE(F2938,""id"",""en"")"),"France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39" ht="15.75" customHeight="1">
      <c r="A2939" s="1">
        <v>2955.0</v>
      </c>
      <c r="B2939" s="3" t="s">
        <v>8602</v>
      </c>
      <c r="C2939" s="3">
        <v>0.0</v>
      </c>
      <c r="D2939" s="3">
        <v>2.0</v>
      </c>
      <c r="E2939" s="3">
        <v>7.0</v>
      </c>
      <c r="F2939" s="3" t="s">
        <v>8603</v>
      </c>
      <c r="G2939" s="3">
        <v>1.0</v>
      </c>
      <c r="H2939" s="3">
        <v>0.0</v>
      </c>
      <c r="I2939" s="3" t="s">
        <v>13</v>
      </c>
      <c r="J2939" s="3" t="s">
        <v>8604</v>
      </c>
      <c r="K2939" s="3" t="s">
        <v>1359</v>
      </c>
      <c r="L2939" s="3" t="str">
        <f>IFERROR(__xludf.DUMMYFUNCTION("GOOGLETRANSLATE(F2939,""id"",""en"")"),"World Cup goal in the second edition of the World Cup Final goal and is still Unreal's year")</f>
        <v>World Cup goal in the second edition of the World Cup Final goal and is still Unreal's year</v>
      </c>
    </row>
    <row r="2940" ht="15.75" customHeight="1">
      <c r="A2940" s="1">
        <v>2956.0</v>
      </c>
      <c r="B2940" s="3" t="s">
        <v>8605</v>
      </c>
      <c r="C2940" s="3">
        <v>0.0</v>
      </c>
      <c r="D2940" s="3">
        <v>0.0</v>
      </c>
      <c r="E2940" s="3">
        <v>1.0</v>
      </c>
      <c r="F2940" s="3" t="s">
        <v>8606</v>
      </c>
      <c r="G2940" s="3">
        <v>1.0</v>
      </c>
      <c r="H2940" s="3">
        <v>0.0</v>
      </c>
      <c r="I2940" s="3" t="s">
        <v>13</v>
      </c>
      <c r="J2940" s="3" t="s">
        <v>8607</v>
      </c>
      <c r="K2940" s="3" t="s">
        <v>3671</v>
      </c>
      <c r="L2940" s="3" t="str">
        <f>IFERROR(__xludf.DUMMYFUNCTION("GOOGLETRANSLATE(F2940,""id"",""en"")"),"Don't let the Fajr Final Cup World Cup Final Do not let the World Cup final betting betting in idah may God be upon us from the immoral acts of Baarakaalhu Fiikum")</f>
        <v>Don't let the Fajr Final Cup World Cup Final Do not let the World Cup final betting betting in idah may God be upon us from the immoral acts of Baarakaalhu Fiikum</v>
      </c>
    </row>
    <row r="2941" ht="15.75" customHeight="1">
      <c r="A2941" s="1">
        <v>2957.0</v>
      </c>
      <c r="B2941" s="3" t="s">
        <v>8608</v>
      </c>
      <c r="C2941" s="3">
        <v>0.0</v>
      </c>
      <c r="D2941" s="3">
        <v>0.0</v>
      </c>
      <c r="E2941" s="3">
        <v>1.0</v>
      </c>
      <c r="F2941" s="3" t="s">
        <v>8609</v>
      </c>
      <c r="G2941" s="3">
        <v>1.0</v>
      </c>
      <c r="H2941" s="3">
        <v>0.0</v>
      </c>
      <c r="I2941" s="3" t="s">
        <v>13</v>
      </c>
      <c r="J2941" s="3" t="s">
        <v>8610</v>
      </c>
      <c r="K2941" s="3" t="s">
        <v>82</v>
      </c>
      <c r="L2941" s="3" t="str">
        <f>IFERROR(__xludf.DUMMYFUNCTION("GOOGLETRANSLATE(F2941,""id"",""en"")"),"goosebumps watching matches like this the final world cup too")</f>
        <v>goosebumps watching matches like this the final world cup too</v>
      </c>
    </row>
    <row r="2942" ht="15.75" customHeight="1">
      <c r="A2942" s="1">
        <v>2958.0</v>
      </c>
      <c r="B2942" s="3" t="s">
        <v>8611</v>
      </c>
      <c r="C2942" s="3">
        <v>0.0</v>
      </c>
      <c r="D2942" s="3">
        <v>0.0</v>
      </c>
      <c r="E2942" s="3">
        <v>0.0</v>
      </c>
      <c r="F2942" s="3" t="s">
        <v>8612</v>
      </c>
      <c r="G2942" s="3">
        <v>1.0</v>
      </c>
      <c r="H2942" s="3">
        <v>0.0</v>
      </c>
      <c r="I2942" s="3" t="s">
        <v>13</v>
      </c>
      <c r="J2942" s="3" t="s">
        <v>8613</v>
      </c>
      <c r="K2942" s="3" t="s">
        <v>31</v>
      </c>
      <c r="L2942" s="3" t="str">
        <f>IFERROR(__xludf.DUMMYFUNCTION("GOOGLETRANSLATE(F2942,""id"",""en"")"),"Rame Ieu World Cup Final")</f>
        <v>Rame Ieu World Cup Final</v>
      </c>
    </row>
    <row r="2943" ht="15.75" customHeight="1">
      <c r="A2943" s="1">
        <v>2959.0</v>
      </c>
      <c r="B2943" s="3" t="s">
        <v>8614</v>
      </c>
      <c r="C2943" s="3">
        <v>0.0</v>
      </c>
      <c r="D2943" s="3">
        <v>0.0</v>
      </c>
      <c r="E2943" s="3">
        <v>0.0</v>
      </c>
      <c r="F2943" s="3" t="s">
        <v>8615</v>
      </c>
      <c r="G2943" s="3">
        <v>0.75</v>
      </c>
      <c r="H2943" s="3">
        <v>0.06818181818181818</v>
      </c>
      <c r="I2943" s="3" t="s">
        <v>48</v>
      </c>
      <c r="J2943" s="3" t="s">
        <v>8616</v>
      </c>
      <c r="K2943" s="3" t="s">
        <v>123</v>
      </c>
      <c r="L2943" s="3" t="str">
        <f>IFERROR(__xludf.DUMMYFUNCTION("GOOGLETRANSLATE(F2943,""id"",""en"")"),"Argentina French Minute Minutes Link Link Streaming Argentina French Tonight WIB World Cup Final")</f>
        <v>Argentina French Minute Minutes Link Link Streaming Argentina French Tonight WIB World Cup Final</v>
      </c>
    </row>
    <row r="2944" ht="15.75" customHeight="1">
      <c r="A2944" s="1">
        <v>2960.0</v>
      </c>
      <c r="B2944" s="3" t="s">
        <v>8617</v>
      </c>
      <c r="C2944" s="3">
        <v>0.0</v>
      </c>
      <c r="D2944" s="3">
        <v>0.0</v>
      </c>
      <c r="E2944" s="3">
        <v>0.0</v>
      </c>
      <c r="F2944" s="3" t="s">
        <v>8618</v>
      </c>
      <c r="G2944" s="3">
        <v>1.0</v>
      </c>
      <c r="H2944" s="3">
        <v>0.0</v>
      </c>
      <c r="I2944" s="3" t="s">
        <v>13</v>
      </c>
      <c r="J2944" s="3" t="s">
        <v>8619</v>
      </c>
      <c r="K2944" s="3" t="s">
        <v>82</v>
      </c>
      <c r="L2944" s="3" t="str">
        <f>IFERROR(__xludf.DUMMYFUNCTION("GOOGLETRANSLATE(F2944,""id"",""en"")"),"Mbappe Year Ngegolin World Cup Final")</f>
        <v>Mbappe Year Ngegolin World Cup Final</v>
      </c>
    </row>
    <row r="2945" ht="15.75" customHeight="1">
      <c r="A2945" s="1">
        <v>2961.0</v>
      </c>
      <c r="B2945" s="3" t="s">
        <v>8620</v>
      </c>
      <c r="C2945" s="3">
        <v>0.0</v>
      </c>
      <c r="D2945" s="3">
        <v>0.0</v>
      </c>
      <c r="E2945" s="3">
        <v>0.0</v>
      </c>
      <c r="F2945" s="3" t="s">
        <v>8621</v>
      </c>
      <c r="G2945" s="3">
        <v>1.0</v>
      </c>
      <c r="H2945" s="3">
        <v>0.0</v>
      </c>
      <c r="I2945" s="3" t="s">
        <v>13</v>
      </c>
      <c r="J2945" s="3" t="s">
        <v>8622</v>
      </c>
      <c r="K2945" s="3" t="s">
        <v>50</v>
      </c>
      <c r="L2945" s="3" t="str">
        <f>IFERROR(__xludf.DUMMYFUNCTION("GOOGLETRANSLATE(F2945,""id"",""en"")"),"when the furious final world of the World Cup waking up the child was having trouble sleeping because of the illness")</f>
        <v>when the furious final world of the World Cup waking up the child was having trouble sleeping because of the illness</v>
      </c>
    </row>
    <row r="2946" ht="15.75" customHeight="1">
      <c r="A2946" s="1">
        <v>2962.0</v>
      </c>
      <c r="B2946" s="3" t="s">
        <v>8623</v>
      </c>
      <c r="C2946" s="3">
        <v>0.0</v>
      </c>
      <c r="D2946" s="3">
        <v>0.0</v>
      </c>
      <c r="E2946" s="3">
        <v>1.0</v>
      </c>
      <c r="F2946" s="3" t="s">
        <v>8624</v>
      </c>
      <c r="G2946" s="3">
        <v>1.0</v>
      </c>
      <c r="H2946" s="3">
        <v>0.0</v>
      </c>
      <c r="I2946" s="3" t="s">
        <v>13</v>
      </c>
      <c r="J2946" s="3" t="s">
        <v>8625</v>
      </c>
      <c r="K2946" s="3" t="s">
        <v>31</v>
      </c>
      <c r="L2946" s="3" t="str">
        <f>IFERROR(__xludf.DUMMYFUNCTION("GOOGLETRANSLATE(F2946,""id"",""en"")"),"This worse is the World Cup final")</f>
        <v>This worse is the World Cup final</v>
      </c>
    </row>
    <row r="2947" ht="15.75" customHeight="1">
      <c r="A2947" s="1">
        <v>2963.0</v>
      </c>
      <c r="B2947" s="3" t="s">
        <v>8626</v>
      </c>
      <c r="C2947" s="3">
        <v>0.0</v>
      </c>
      <c r="D2947" s="3">
        <v>1.0</v>
      </c>
      <c r="E2947" s="3">
        <v>20.0</v>
      </c>
      <c r="F2947" s="3" t="s">
        <v>8627</v>
      </c>
      <c r="G2947" s="3">
        <v>0.65</v>
      </c>
      <c r="H2947" s="3">
        <v>0.1</v>
      </c>
      <c r="I2947" s="3" t="s">
        <v>48</v>
      </c>
      <c r="J2947" s="3" t="s">
        <v>8628</v>
      </c>
      <c r="K2947" s="3" t="s">
        <v>82</v>
      </c>
      <c r="L2947" s="3" t="str">
        <f>IFERROR(__xludf.DUMMYFUNCTION("GOOGLETRANSLATE(F2947,""id"",""en"")"),"The Real Goat Goal Final World Cup")</f>
        <v>The Real Goat Goal Final World Cup</v>
      </c>
    </row>
    <row r="2948" ht="15.75" customHeight="1">
      <c r="A2948" s="1">
        <v>2964.0</v>
      </c>
      <c r="B2948" s="3" t="s">
        <v>8629</v>
      </c>
      <c r="C2948" s="3">
        <v>1.0</v>
      </c>
      <c r="D2948" s="3">
        <v>0.0</v>
      </c>
      <c r="E2948" s="3">
        <v>0.0</v>
      </c>
      <c r="F2948" s="3" t="s">
        <v>8630</v>
      </c>
      <c r="G2948" s="3">
        <v>1.0</v>
      </c>
      <c r="H2948" s="3">
        <v>0.0</v>
      </c>
      <c r="I2948" s="3" t="s">
        <v>13</v>
      </c>
      <c r="J2948" s="3" t="s">
        <v>8631</v>
      </c>
      <c r="K2948" s="3" t="s">
        <v>437</v>
      </c>
      <c r="L2948" s="3" t="str">
        <f>IFERROR(__xludf.DUMMYFUNCTION("GOOGLETRANSLATE(F2948,""id"",""en"")"),"Bangsaat is just a speed only the World Cup final match using the Lapis Jersey Kwkwkwkkw Portuguese French Jersey Argentina")</f>
        <v>Bangsaat is just a speed only the World Cup final match using the Lapis Jersey Kwkwkwkkw Portuguese French Jersey Argentina</v>
      </c>
    </row>
    <row r="2949" ht="15.75" customHeight="1">
      <c r="A2949" s="1">
        <v>2965.0</v>
      </c>
      <c r="B2949" s="3" t="s">
        <v>8632</v>
      </c>
      <c r="C2949" s="3">
        <v>0.0</v>
      </c>
      <c r="D2949" s="3">
        <v>0.0</v>
      </c>
      <c r="E2949" s="3">
        <v>0.0</v>
      </c>
      <c r="F2949" s="3" t="s">
        <v>8633</v>
      </c>
      <c r="G2949" s="3">
        <v>1.0</v>
      </c>
      <c r="H2949" s="3">
        <v>0.0</v>
      </c>
      <c r="I2949" s="3" t="s">
        <v>13</v>
      </c>
      <c r="J2949" s="3" t="s">
        <v>8634</v>
      </c>
      <c r="K2949" s="3" t="s">
        <v>41</v>
      </c>
      <c r="L2949" s="3" t="str">
        <f>IFERROR(__xludf.DUMMYFUNCTION("GOOGLETRANSLATE(F2949,""id"",""en"")"),"Free streaming links to watch the French Argentine World Cup final")</f>
        <v>Free streaming links to watch the French Argentine World Cup final</v>
      </c>
    </row>
    <row r="2950" ht="15.75" customHeight="1">
      <c r="A2950" s="1">
        <v>2966.0</v>
      </c>
      <c r="B2950" s="3" t="s">
        <v>8635</v>
      </c>
      <c r="C2950" s="3">
        <v>0.0</v>
      </c>
      <c r="D2950" s="3">
        <v>0.0</v>
      </c>
      <c r="E2950" s="3">
        <v>0.0</v>
      </c>
      <c r="F2950" s="3" t="s">
        <v>8636</v>
      </c>
      <c r="G2950" s="3">
        <v>1.0</v>
      </c>
      <c r="H2950" s="3">
        <v>0.0</v>
      </c>
      <c r="I2950" s="3" t="s">
        <v>13</v>
      </c>
      <c r="J2950" s="3" t="s">
        <v>8637</v>
      </c>
      <c r="K2950" s="3" t="s">
        <v>3156</v>
      </c>
      <c r="L2950" s="3" t="str">
        <f>IFERROR(__xludf.DUMMYFUNCTION("GOOGLETRANSLATE(F2950,""id"",""en"")"),"Mama is very enthusiastic about watching the World Cup Final Mama supports France who won while Abang supports Argentina who won")</f>
        <v>Mama is very enthusiastic about watching the World Cup Final Mama supports France who won while Abang supports Argentina who won</v>
      </c>
    </row>
    <row r="2951" ht="15.75" customHeight="1">
      <c r="A2951" s="1">
        <v>2967.0</v>
      </c>
      <c r="B2951" s="3" t="s">
        <v>8638</v>
      </c>
      <c r="C2951" s="3">
        <v>0.0</v>
      </c>
      <c r="D2951" s="3">
        <v>1.0</v>
      </c>
      <c r="E2951" s="3">
        <v>2.0</v>
      </c>
      <c r="F2951" s="3" t="s">
        <v>8639</v>
      </c>
      <c r="G2951" s="3">
        <v>1.0</v>
      </c>
      <c r="H2951" s="3">
        <v>0.0</v>
      </c>
      <c r="I2951" s="3" t="s">
        <v>13</v>
      </c>
      <c r="J2951" s="3" t="s">
        <v>8640</v>
      </c>
      <c r="K2951" s="3" t="s">
        <v>75</v>
      </c>
      <c r="L2951" s="3" t="str">
        <f>IFERROR(__xludf.DUMMYFUNCTION("GOOGLETRANSLATE(F2951,""id"",""en"")"),"Argentina French World Cup final minute Mbappe Borong Gol Borne Score")</f>
        <v>Argentina French World Cup final minute Mbappe Borong Gol Borne Score</v>
      </c>
    </row>
    <row r="2952" ht="15.75" customHeight="1">
      <c r="A2952" s="1">
        <v>2968.0</v>
      </c>
      <c r="B2952" s="3" t="s">
        <v>8641</v>
      </c>
      <c r="C2952" s="3">
        <v>0.0</v>
      </c>
      <c r="D2952" s="3">
        <v>0.0</v>
      </c>
      <c r="E2952" s="3">
        <v>0.0</v>
      </c>
      <c r="F2952" s="3" t="s">
        <v>8111</v>
      </c>
      <c r="G2952" s="3">
        <v>1.0</v>
      </c>
      <c r="H2952" s="3">
        <v>0.0</v>
      </c>
      <c r="I2952" s="3" t="s">
        <v>13</v>
      </c>
      <c r="J2952" s="3" t="s">
        <v>8112</v>
      </c>
      <c r="K2952" s="3" t="s">
        <v>240</v>
      </c>
      <c r="L2952" s="3" t="str">
        <f>IFERROR(__xludf.DUMMYFUNCTION("GOOGLETRANSLATE(F2952,""id"",""en"")"),"Some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953" ht="15.75" customHeight="1">
      <c r="A2953" s="1">
        <v>2969.0</v>
      </c>
      <c r="B2953" s="3" t="s">
        <v>8642</v>
      </c>
      <c r="C2953" s="3">
        <v>0.0</v>
      </c>
      <c r="D2953" s="3">
        <v>0.0</v>
      </c>
      <c r="E2953" s="3">
        <v>0.0</v>
      </c>
      <c r="F2953" s="3" t="s">
        <v>7892</v>
      </c>
      <c r="G2953" s="3">
        <v>1.0</v>
      </c>
      <c r="H2953" s="3">
        <v>0.0</v>
      </c>
      <c r="I2953" s="3" t="s">
        <v>13</v>
      </c>
      <c r="J2953" s="3" t="s">
        <v>7893</v>
      </c>
      <c r="K2953" s="3" t="s">
        <v>240</v>
      </c>
      <c r="L2953" s="3" t="str">
        <f>IFERROR(__xludf.DUMMYFUNCTION("GOOGLETRANSLATE(F2953,""id"",""en"")"),"France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54" ht="15.75" customHeight="1">
      <c r="A2954" s="1">
        <v>2970.0</v>
      </c>
      <c r="B2954" s="3" t="s">
        <v>8643</v>
      </c>
      <c r="C2954" s="3">
        <v>1.0</v>
      </c>
      <c r="D2954" s="3">
        <v>0.0</v>
      </c>
      <c r="E2954" s="3">
        <v>1.0</v>
      </c>
      <c r="F2954" s="3" t="s">
        <v>8644</v>
      </c>
      <c r="G2954" s="3">
        <v>1.0</v>
      </c>
      <c r="H2954" s="3">
        <v>0.0</v>
      </c>
      <c r="I2954" s="3" t="s">
        <v>13</v>
      </c>
      <c r="J2954" s="3" t="s">
        <v>8645</v>
      </c>
      <c r="K2954" s="3" t="s">
        <v>31</v>
      </c>
      <c r="L2954" s="3" t="str">
        <f>IFERROR(__xludf.DUMMYFUNCTION("GOOGLETRANSLATE(F2954,""id"",""en"")"),"This is why you shouldn't blink during the World Cup final")</f>
        <v>This is why you shouldn't blink during the World Cup final</v>
      </c>
    </row>
    <row r="2955" ht="15.75" customHeight="1">
      <c r="A2955" s="1">
        <v>2971.0</v>
      </c>
      <c r="B2955" s="3" t="s">
        <v>8646</v>
      </c>
      <c r="C2955" s="3">
        <v>0.0</v>
      </c>
      <c r="D2955" s="3">
        <v>0.0</v>
      </c>
      <c r="E2955" s="3">
        <v>0.0</v>
      </c>
      <c r="F2955" s="3" t="s">
        <v>8647</v>
      </c>
      <c r="G2955" s="3">
        <v>1.0</v>
      </c>
      <c r="H2955" s="3">
        <v>0.0</v>
      </c>
      <c r="I2955" s="3" t="s">
        <v>13</v>
      </c>
      <c r="J2955" s="3" t="s">
        <v>8648</v>
      </c>
      <c r="K2955" s="3" t="s">
        <v>1293</v>
      </c>
      <c r="L2955" s="3" t="str">
        <f>IFERROR(__xludf.DUMMYFUNCTION("GOOGLETRANSLATE(F2955,""id"",""en"")"),"anyone can explain to me why politicians when there is a final match such as the AFF Cup World Cup suddenly posting watching I doubt that they are watching not from the group phase")</f>
        <v>anyone can explain to me why politicians when there is a final match such as the AFF Cup World Cup suddenly posting watching I doubt that they are watching not from the group phase</v>
      </c>
    </row>
    <row r="2956" ht="15.75" customHeight="1">
      <c r="A2956" s="1">
        <v>2972.0</v>
      </c>
      <c r="B2956" s="3" t="s">
        <v>8649</v>
      </c>
      <c r="C2956" s="3">
        <v>1.0</v>
      </c>
      <c r="D2956" s="3">
        <v>0.0</v>
      </c>
      <c r="E2956" s="3">
        <v>0.0</v>
      </c>
      <c r="F2956" s="3" t="s">
        <v>8650</v>
      </c>
      <c r="G2956" s="3">
        <v>1.0</v>
      </c>
      <c r="H2956" s="3">
        <v>0.0</v>
      </c>
      <c r="I2956" s="3" t="s">
        <v>13</v>
      </c>
      <c r="J2956" s="3" t="s">
        <v>8651</v>
      </c>
      <c r="K2956" s="3" t="s">
        <v>54</v>
      </c>
      <c r="L2956" s="3" t="str">
        <f>IFERROR(__xludf.DUMMYFUNCTION("GOOGLETRANSLATE(F2956,""id"",""en"")"),"the most hilarious world cup final tweet")</f>
        <v>the most hilarious world cup final tweet</v>
      </c>
    </row>
    <row r="2957" ht="15.75" customHeight="1">
      <c r="A2957" s="1">
        <v>2973.0</v>
      </c>
      <c r="B2957" s="3" t="s">
        <v>8652</v>
      </c>
      <c r="C2957" s="3">
        <v>0.0</v>
      </c>
      <c r="D2957" s="3">
        <v>0.0</v>
      </c>
      <c r="E2957" s="3">
        <v>0.0</v>
      </c>
      <c r="F2957" s="3" t="s">
        <v>8653</v>
      </c>
      <c r="G2957" s="3">
        <v>1.0</v>
      </c>
      <c r="H2957" s="3">
        <v>0.0</v>
      </c>
      <c r="I2957" s="3" t="s">
        <v>13</v>
      </c>
      <c r="J2957" s="3" t="s">
        <v>8654</v>
      </c>
      <c r="K2957" s="3" t="s">
        <v>19</v>
      </c>
      <c r="L2957" s="3" t="str">
        <f>IFERROR(__xludf.DUMMYFUNCTION("GOOGLETRANSLATE(F2957,""id"",""en"")"),"Profile of Hugo Lloris French goalkeeper who was lying a few minutes of the World Cup final")</f>
        <v>Profile of Hugo Lloris French goalkeeper who was lying a few minutes of the World Cup final</v>
      </c>
    </row>
    <row r="2958" ht="15.75" customHeight="1">
      <c r="A2958" s="1">
        <v>2974.0</v>
      </c>
      <c r="B2958" s="3" t="s">
        <v>8655</v>
      </c>
      <c r="C2958" s="3">
        <v>1.0</v>
      </c>
      <c r="D2958" s="3">
        <v>0.0</v>
      </c>
      <c r="E2958" s="3">
        <v>0.0</v>
      </c>
      <c r="F2958" s="3" t="s">
        <v>8656</v>
      </c>
      <c r="G2958" s="3">
        <v>0.75</v>
      </c>
      <c r="H2958" s="3">
        <v>0.1875</v>
      </c>
      <c r="I2958" s="3" t="s">
        <v>48</v>
      </c>
      <c r="J2958" s="3" t="s">
        <v>8657</v>
      </c>
      <c r="K2958" s="3" t="s">
        <v>433</v>
      </c>
      <c r="L2958" s="3" t="str">
        <f>IFERROR(__xludf.DUMMYFUNCTION("GOOGLETRANSLATE(F2958,""id"",""en"")"),"Gosh, the name is familiar with her son Lilian Thuram, my astaga is watching the two final generations of the World Cup")</f>
        <v>Gosh, the name is familiar with her son Lilian Thuram, my astaga is watching the two final generations of the World Cup</v>
      </c>
    </row>
    <row r="2959" ht="15.75" customHeight="1">
      <c r="A2959" s="1">
        <v>2975.0</v>
      </c>
      <c r="B2959" s="3" t="s">
        <v>8658</v>
      </c>
      <c r="C2959" s="3">
        <v>1.0</v>
      </c>
      <c r="D2959" s="3">
        <v>0.0</v>
      </c>
      <c r="E2959" s="3">
        <v>0.0</v>
      </c>
      <c r="F2959" s="3" t="s">
        <v>8659</v>
      </c>
      <c r="G2959" s="3">
        <v>1.0</v>
      </c>
      <c r="H2959" s="3">
        <v>0.0</v>
      </c>
      <c r="I2959" s="3" t="s">
        <v>13</v>
      </c>
      <c r="J2959" s="3" t="s">
        <v>8660</v>
      </c>
      <c r="K2959" s="3" t="s">
        <v>41</v>
      </c>
      <c r="L2959" s="3" t="str">
        <f>IFERROR(__xludf.DUMMYFUNCTION("GOOGLETRANSLATE(F2959,""id"",""en"")"),"This plislaaah I subscribe to be able to watch the World Cup when the final error")</f>
        <v>This plislaaah I subscribe to be able to watch the World Cup when the final error</v>
      </c>
    </row>
    <row r="2960" ht="15.75" customHeight="1">
      <c r="A2960" s="1">
        <v>2976.0</v>
      </c>
      <c r="B2960" s="3" t="s">
        <v>8661</v>
      </c>
      <c r="C2960" s="3">
        <v>0.0</v>
      </c>
      <c r="D2960" s="3">
        <v>0.0</v>
      </c>
      <c r="E2960" s="3">
        <v>0.0</v>
      </c>
      <c r="F2960" s="3" t="s">
        <v>8662</v>
      </c>
      <c r="G2960" s="3">
        <v>1.0</v>
      </c>
      <c r="H2960" s="3">
        <v>0.0</v>
      </c>
      <c r="I2960" s="3" t="s">
        <v>13</v>
      </c>
      <c r="J2960" s="3" t="s">
        <v>8663</v>
      </c>
      <c r="K2960" s="3" t="s">
        <v>228</v>
      </c>
      <c r="L2960" s="3" t="str">
        <f>IFERROR(__xludf.DUMMYFUNCTION("GOOGLETRANSLATE(F2960,""id"",""en"")"),"Use your cellphone to see the Final of the World Cup Father, you watch you up there, exciting with Benny with Papa and you too, I'm the same kids laughing in my father's room")</f>
        <v>Use your cellphone to see the Final of the World Cup Father, you watch you up there, exciting with Benny with Papa and you too, I'm the same kids laughing in my father's room</v>
      </c>
    </row>
    <row r="2961" ht="15.75" customHeight="1">
      <c r="A2961" s="1">
        <v>2977.0</v>
      </c>
      <c r="B2961" s="3" t="s">
        <v>8664</v>
      </c>
      <c r="C2961" s="3">
        <v>0.0</v>
      </c>
      <c r="D2961" s="3">
        <v>0.0</v>
      </c>
      <c r="E2961" s="3">
        <v>0.0</v>
      </c>
      <c r="F2961" s="3" t="s">
        <v>8665</v>
      </c>
      <c r="G2961" s="3">
        <v>1.0</v>
      </c>
      <c r="H2961" s="3">
        <v>0.0</v>
      </c>
      <c r="I2961" s="3" t="s">
        <v>13</v>
      </c>
      <c r="J2961" s="3" t="s">
        <v>8666</v>
      </c>
      <c r="K2961" s="3" t="s">
        <v>657</v>
      </c>
      <c r="L2961" s="3" t="str">
        <f>IFERROR(__xludf.DUMMYFUNCTION("GOOGLETRANSLATE(F2961,""id"",""en"")"),"Thuram dragged his feet and then fell to get a diving penalty clearly Argentina French World Cup Final")</f>
        <v>Thuram dragged his feet and then fell to get a diving penalty clearly Argentina French World Cup Final</v>
      </c>
    </row>
    <row r="2962" ht="15.75" customHeight="1">
      <c r="A2962" s="1">
        <v>2978.0</v>
      </c>
      <c r="B2962" s="3" t="s">
        <v>8667</v>
      </c>
      <c r="C2962" s="3">
        <v>0.0</v>
      </c>
      <c r="D2962" s="3">
        <v>0.0</v>
      </c>
      <c r="E2962" s="3">
        <v>1.0</v>
      </c>
      <c r="F2962" s="3" t="s">
        <v>8668</v>
      </c>
      <c r="G2962" s="3">
        <v>1.0</v>
      </c>
      <c r="H2962" s="3">
        <v>0.0</v>
      </c>
      <c r="I2962" s="3" t="s">
        <v>13</v>
      </c>
      <c r="J2962" s="3" t="s">
        <v>8669</v>
      </c>
      <c r="K2962" s="3" t="s">
        <v>15</v>
      </c>
      <c r="L2962" s="3" t="str">
        <f>IFERROR(__xludf.DUMMYFUNCTION("GOOGLETRANSLATE(F2962,""id"",""en"")"),"France Argentina feels the final of the TAD World Cup final")</f>
        <v>France Argentina feels the final of the TAD World Cup final</v>
      </c>
    </row>
    <row r="2963" ht="15.75" customHeight="1">
      <c r="A2963" s="1">
        <v>2979.0</v>
      </c>
      <c r="B2963" s="3" t="s">
        <v>8670</v>
      </c>
      <c r="C2963" s="3">
        <v>0.0</v>
      </c>
      <c r="D2963" s="3">
        <v>0.0</v>
      </c>
      <c r="E2963" s="3">
        <v>0.0</v>
      </c>
      <c r="F2963" s="3" t="s">
        <v>8671</v>
      </c>
      <c r="G2963" s="3">
        <v>1.0</v>
      </c>
      <c r="H2963" s="3">
        <v>0.0</v>
      </c>
      <c r="I2963" s="3" t="s">
        <v>13</v>
      </c>
      <c r="J2963" s="3" t="s">
        <v>8672</v>
      </c>
      <c r="K2963" s="3" t="s">
        <v>19</v>
      </c>
      <c r="L2963" s="3" t="str">
        <f>IFERROR(__xludf.DUMMYFUNCTION("GOOGLETRANSLATE(F2963,""id"",""en"")"),"not to hold the world cup license again tomorrow this time watching the final instead of an error")</f>
        <v>not to hold the world cup license again tomorrow this time watching the final instead of an error</v>
      </c>
    </row>
    <row r="2964" ht="15.75" customHeight="1">
      <c r="A2964" s="1">
        <v>2980.0</v>
      </c>
      <c r="B2964" s="3" t="s">
        <v>8673</v>
      </c>
      <c r="C2964" s="3">
        <v>0.0</v>
      </c>
      <c r="D2964" s="3">
        <v>0.0</v>
      </c>
      <c r="E2964" s="3">
        <v>2.0</v>
      </c>
      <c r="F2964" s="3" t="s">
        <v>8674</v>
      </c>
      <c r="G2964" s="3">
        <v>1.0</v>
      </c>
      <c r="H2964" s="3">
        <v>0.0</v>
      </c>
      <c r="I2964" s="3" t="s">
        <v>13</v>
      </c>
      <c r="J2964" s="3" t="s">
        <v>8675</v>
      </c>
      <c r="K2964" s="3" t="s">
        <v>19</v>
      </c>
      <c r="L2964" s="3" t="str">
        <f>IFERROR(__xludf.DUMMYFUNCTION("GOOGLETRANSLATE(F2964,""id"",""en"")"),"Kylian Mbappe World Cup Final Score French goal Argentina is equally strong")</f>
        <v>Kylian Mbappe World Cup Final Score French goal Argentina is equally strong</v>
      </c>
    </row>
    <row r="2965" ht="15.75" customHeight="1">
      <c r="A2965" s="1">
        <v>2981.0</v>
      </c>
      <c r="B2965" s="3" t="s">
        <v>8676</v>
      </c>
      <c r="C2965" s="3">
        <v>0.0</v>
      </c>
      <c r="D2965" s="3">
        <v>0.0</v>
      </c>
      <c r="E2965" s="3">
        <v>1.0</v>
      </c>
      <c r="F2965" s="3" t="s">
        <v>8677</v>
      </c>
      <c r="G2965" s="3">
        <v>1.0</v>
      </c>
      <c r="H2965" s="3">
        <v>0.0</v>
      </c>
      <c r="I2965" s="3" t="s">
        <v>13</v>
      </c>
      <c r="J2965" s="3" t="s">
        <v>8678</v>
      </c>
      <c r="K2965" s="3" t="s">
        <v>41</v>
      </c>
      <c r="L2965" s="3" t="str">
        <f>IFERROR(__xludf.DUMMYFUNCTION("GOOGLETRANSLATE(F2965,""id"",""en"")"),"One Tweet Jordi Kiara Nobar Edition of the World Cup Final")</f>
        <v>One Tweet Jordi Kiara Nobar Edition of the World Cup Final</v>
      </c>
    </row>
    <row r="2966" ht="15.75" customHeight="1">
      <c r="A2966" s="1">
        <v>2982.0</v>
      </c>
      <c r="B2966" s="3" t="s">
        <v>8679</v>
      </c>
      <c r="C2966" s="3">
        <v>4.0</v>
      </c>
      <c r="D2966" s="3">
        <v>0.0</v>
      </c>
      <c r="E2966" s="3">
        <v>1.0</v>
      </c>
      <c r="F2966" s="3" t="s">
        <v>8680</v>
      </c>
      <c r="G2966" s="3">
        <v>1.0</v>
      </c>
      <c r="H2966" s="3">
        <v>0.0</v>
      </c>
      <c r="I2966" s="3" t="s">
        <v>13</v>
      </c>
      <c r="J2966" s="3" t="s">
        <v>8681</v>
      </c>
      <c r="K2966" s="3" t="s">
        <v>644</v>
      </c>
      <c r="L2966" s="3" t="str">
        <f>IFERROR(__xludf.DUMMYFUNCTION("GOOGLETRANSLATE(F2966,""id"",""en"")"),"Exciting World Cup Final")</f>
        <v>Exciting World Cup Final</v>
      </c>
    </row>
    <row r="2967" ht="15.75" customHeight="1">
      <c r="A2967" s="1">
        <v>2983.0</v>
      </c>
      <c r="B2967" s="3" t="s">
        <v>8682</v>
      </c>
      <c r="C2967" s="3">
        <v>0.0</v>
      </c>
      <c r="D2967" s="3">
        <v>0.0</v>
      </c>
      <c r="E2967" s="3">
        <v>0.0</v>
      </c>
      <c r="F2967" s="3" t="s">
        <v>8683</v>
      </c>
      <c r="G2967" s="3">
        <v>0.6666666666666666</v>
      </c>
      <c r="H2967" s="3">
        <v>0.08333333333333333</v>
      </c>
      <c r="I2967" s="3" t="s">
        <v>48</v>
      </c>
      <c r="J2967" s="3" t="s">
        <v>8684</v>
      </c>
      <c r="K2967" s="3" t="s">
        <v>15</v>
      </c>
      <c r="L2967" s="3" t="str">
        <f>IFERROR(__xludf.DUMMYFUNCTION("GOOGLETRANSLATE(F2967,""id"",""en"")"),"Camavinga Born Already Playing the Risppek World Cup Final")</f>
        <v>Camavinga Born Already Playing the Risppek World Cup Final</v>
      </c>
    </row>
    <row r="2968" ht="15.75" customHeight="1">
      <c r="A2968" s="1">
        <v>2984.0</v>
      </c>
      <c r="B2968" s="3" t="s">
        <v>8685</v>
      </c>
      <c r="C2968" s="3">
        <v>0.0</v>
      </c>
      <c r="D2968" s="3">
        <v>0.0</v>
      </c>
      <c r="E2968" s="3">
        <v>0.0</v>
      </c>
      <c r="F2968" s="3" t="s">
        <v>8686</v>
      </c>
      <c r="G2968" s="3">
        <v>0.55</v>
      </c>
      <c r="H2968" s="3">
        <v>0.0</v>
      </c>
      <c r="I2968" s="3" t="s">
        <v>13</v>
      </c>
      <c r="J2968" s="3" t="s">
        <v>8687</v>
      </c>
      <c r="K2968" s="3" t="s">
        <v>184</v>
      </c>
      <c r="L2968" s="3" t="str">
        <f>IFERROR(__xludf.DUMMYFUNCTION("GOOGLETRANSLATE(F2968,""id"",""en"")"),"When the World Cup really, I aired the original final I was reading Blue Lock, it was more comfortable reading the Isekai version")</f>
        <v>When the World Cup really, I aired the original final I was reading Blue Lock, it was more comfortable reading the Isekai version</v>
      </c>
    </row>
    <row r="2969" ht="15.75" customHeight="1">
      <c r="A2969" s="1">
        <v>2985.0</v>
      </c>
      <c r="B2969" s="3" t="s">
        <v>8688</v>
      </c>
      <c r="C2969" s="3">
        <v>0.0</v>
      </c>
      <c r="D2969" s="3">
        <v>0.0</v>
      </c>
      <c r="E2969" s="3">
        <v>0.0</v>
      </c>
      <c r="F2969" s="3" t="s">
        <v>8689</v>
      </c>
      <c r="G2969" s="3">
        <v>0.75</v>
      </c>
      <c r="H2969" s="3">
        <v>0.06818181818181818</v>
      </c>
      <c r="I2969" s="3" t="s">
        <v>48</v>
      </c>
      <c r="J2969" s="3" t="s">
        <v>8690</v>
      </c>
      <c r="K2969" s="3" t="s">
        <v>437</v>
      </c>
      <c r="L2969" s="3" t="str">
        <f>IFERROR(__xludf.DUMMYFUNCTION("GOOGLETRANSLATE(F2969,""id"",""en"")"),"Minutes of his referee severe penalty that Argentina France link live streaming Argentina France tonight WIB World Cup Final")</f>
        <v>Minutes of his referee severe penalty that Argentina France link live streaming Argentina France tonight WIB World Cup Final</v>
      </c>
    </row>
    <row r="2970" ht="15.75" customHeight="1">
      <c r="A2970" s="1">
        <v>2986.0</v>
      </c>
      <c r="B2970" s="3" t="s">
        <v>8691</v>
      </c>
      <c r="C2970" s="3">
        <v>0.0</v>
      </c>
      <c r="D2970" s="3">
        <v>0.0</v>
      </c>
      <c r="E2970" s="3">
        <v>0.0</v>
      </c>
      <c r="F2970" s="3" t="s">
        <v>8692</v>
      </c>
      <c r="G2970" s="3">
        <v>1.0</v>
      </c>
      <c r="H2970" s="3">
        <v>0.0</v>
      </c>
      <c r="I2970" s="3" t="s">
        <v>13</v>
      </c>
      <c r="J2970" s="3" t="s">
        <v>8693</v>
      </c>
      <c r="K2970" s="3" t="s">
        <v>19</v>
      </c>
      <c r="L2970" s="3" t="str">
        <f>IFERROR(__xludf.DUMMYFUNCTION("GOOGLETRANSLATE(F2970,""id"",""en"")"),"Thank you for the video I can't watch the World Cup final and my money is wasted for your trash apk subscription")</f>
        <v>Thank you for the video I can't watch the World Cup final and my money is wasted for your trash apk subscription</v>
      </c>
    </row>
    <row r="2971" ht="15.75" customHeight="1">
      <c r="A2971" s="1">
        <v>2987.0</v>
      </c>
      <c r="B2971" s="3" t="s">
        <v>8694</v>
      </c>
      <c r="C2971" s="3">
        <v>0.0</v>
      </c>
      <c r="D2971" s="3">
        <v>0.0</v>
      </c>
      <c r="E2971" s="3">
        <v>0.0</v>
      </c>
      <c r="F2971" s="3" t="s">
        <v>8695</v>
      </c>
      <c r="G2971" s="3">
        <v>1.0</v>
      </c>
      <c r="H2971" s="3">
        <v>0.0</v>
      </c>
      <c r="I2971" s="3" t="s">
        <v>13</v>
      </c>
      <c r="J2971" s="3" t="s">
        <v>8696</v>
      </c>
      <c r="K2971" s="3" t="s">
        <v>31</v>
      </c>
      <c r="L2971" s="3" t="str">
        <f>IFERROR(__xludf.DUMMYFUNCTION("GOOGLETRANSLATE(F2971,""id"",""en"")"),"This is the only exciting world cup final")</f>
        <v>This is the only exciting world cup final</v>
      </c>
    </row>
    <row r="2972" ht="15.75" customHeight="1">
      <c r="A2972" s="1">
        <v>2988.0</v>
      </c>
      <c r="B2972" s="3" t="s">
        <v>8697</v>
      </c>
      <c r="C2972" s="3">
        <v>0.0</v>
      </c>
      <c r="D2972" s="3">
        <v>0.0</v>
      </c>
      <c r="E2972" s="3">
        <v>0.0</v>
      </c>
      <c r="F2972" s="3" t="s">
        <v>8698</v>
      </c>
      <c r="G2972" s="3">
        <v>1.0</v>
      </c>
      <c r="H2972" s="3">
        <v>0.0</v>
      </c>
      <c r="I2972" s="3" t="s">
        <v>13</v>
      </c>
      <c r="J2972" s="3" t="s">
        <v>8699</v>
      </c>
      <c r="K2972" s="3" t="s">
        <v>82</v>
      </c>
      <c r="L2972" s="3" t="str">
        <f>IFERROR(__xludf.DUMMYFUNCTION("GOOGLETRANSLATE(F2972,""id"",""en"")"),"Final World Cup Mbappe Brace Argentina France")</f>
        <v>Final World Cup Mbappe Brace Argentina France</v>
      </c>
    </row>
    <row r="2973" ht="15.75" customHeight="1">
      <c r="A2973" s="1">
        <v>2989.0</v>
      </c>
      <c r="B2973" s="3" t="s">
        <v>8700</v>
      </c>
      <c r="C2973" s="3">
        <v>0.0</v>
      </c>
      <c r="D2973" s="3">
        <v>0.0</v>
      </c>
      <c r="E2973" s="3">
        <v>0.0</v>
      </c>
      <c r="F2973" s="3" t="s">
        <v>8701</v>
      </c>
      <c r="G2973" s="3">
        <v>1.0</v>
      </c>
      <c r="H2973" s="3">
        <v>0.0</v>
      </c>
      <c r="I2973" s="3" t="s">
        <v>13</v>
      </c>
      <c r="J2973" s="3" t="s">
        <v>8702</v>
      </c>
      <c r="K2973" s="3" t="s">
        <v>228</v>
      </c>
      <c r="L2973" s="3" t="str">
        <f>IFERROR(__xludf.DUMMYFUNCTION("GOOGLETRANSLATE(F2973,""id"",""en"")"),"Ngomomgin Pildun I am a sports kid and then my friend's friend asked the World Cup Final who was the same as who I was, I don't know.")</f>
        <v>Ngomomgin Pildun I am a sports kid and then my friend's friend asked the World Cup Final who was the same as who I was, I don't know.</v>
      </c>
    </row>
    <row r="2974" ht="15.75" customHeight="1">
      <c r="A2974" s="1">
        <v>2990.0</v>
      </c>
      <c r="B2974" s="3" t="s">
        <v>8703</v>
      </c>
      <c r="C2974" s="3">
        <v>0.0</v>
      </c>
      <c r="D2974" s="3">
        <v>0.0</v>
      </c>
      <c r="E2974" s="3">
        <v>0.0</v>
      </c>
      <c r="F2974" s="3" t="s">
        <v>8698</v>
      </c>
      <c r="G2974" s="3">
        <v>1.0</v>
      </c>
      <c r="H2974" s="3">
        <v>0.0</v>
      </c>
      <c r="I2974" s="3" t="s">
        <v>13</v>
      </c>
      <c r="J2974" s="3" t="s">
        <v>8699</v>
      </c>
      <c r="K2974" s="3" t="s">
        <v>82</v>
      </c>
      <c r="L2974" s="3" t="str">
        <f>IFERROR(__xludf.DUMMYFUNCTION("GOOGLETRANSLATE(F2974,""id"",""en"")"),"Final World Cup Mbappe Brace Argentina France")</f>
        <v>Final World Cup Mbappe Brace Argentina France</v>
      </c>
    </row>
    <row r="2975" ht="15.75" customHeight="1">
      <c r="A2975" s="1">
        <v>2991.0</v>
      </c>
      <c r="B2975" s="3" t="s">
        <v>8704</v>
      </c>
      <c r="C2975" s="3">
        <v>0.0</v>
      </c>
      <c r="D2975" s="3">
        <v>0.0</v>
      </c>
      <c r="E2975" s="3">
        <v>0.0</v>
      </c>
      <c r="F2975" s="3" t="s">
        <v>8705</v>
      </c>
      <c r="G2975" s="3">
        <v>1.0</v>
      </c>
      <c r="H2975" s="3">
        <v>0.0</v>
      </c>
      <c r="I2975" s="3" t="s">
        <v>13</v>
      </c>
      <c r="J2975" s="3" t="s">
        <v>8706</v>
      </c>
      <c r="K2975" s="3" t="s">
        <v>54</v>
      </c>
      <c r="L2975" s="3" t="str">
        <f>IFERROR(__xludf.DUMMYFUNCTION("GOOGLETRANSLATE(F2975,""id"",""en"")"),"Wow, this Qatar World Cup final is crazy")</f>
        <v>Wow, this Qatar World Cup final is crazy</v>
      </c>
    </row>
    <row r="2976" ht="15.75" customHeight="1">
      <c r="A2976" s="1">
        <v>2992.0</v>
      </c>
      <c r="B2976" s="3" t="s">
        <v>8707</v>
      </c>
      <c r="C2976" s="3">
        <v>1.0</v>
      </c>
      <c r="D2976" s="3">
        <v>1.0</v>
      </c>
      <c r="E2976" s="3">
        <v>0.0</v>
      </c>
      <c r="F2976" s="3" t="s">
        <v>8708</v>
      </c>
      <c r="G2976" s="3">
        <v>0.6666666666666666</v>
      </c>
      <c r="H2976" s="3">
        <v>0.1666666666666667</v>
      </c>
      <c r="I2976" s="3" t="s">
        <v>48</v>
      </c>
      <c r="J2976" s="3" t="s">
        <v>8709</v>
      </c>
      <c r="K2976" s="3" t="s">
        <v>205</v>
      </c>
      <c r="L2976" s="3" t="str">
        <f>IFERROR(__xludf.DUMMYFUNCTION("GOOGLETRANSLATE(F2976,""id"",""en"")"),"proof that there is no need to play a super large club if you want to score a four -goal world cup final goal that scored all the PSG players thank you Qatar")</f>
        <v>proof that there is no need to play a super large club if you want to score a four -goal world cup final goal that scored all the PSG players thank you Qatar</v>
      </c>
    </row>
    <row r="2977" ht="15.75" customHeight="1">
      <c r="A2977" s="1">
        <v>2993.0</v>
      </c>
      <c r="B2977" s="3" t="s">
        <v>8710</v>
      </c>
      <c r="C2977" s="3">
        <v>0.0</v>
      </c>
      <c r="D2977" s="3">
        <v>0.0</v>
      </c>
      <c r="E2977" s="3">
        <v>0.0</v>
      </c>
      <c r="F2977" s="3" t="s">
        <v>8711</v>
      </c>
      <c r="G2977" s="3">
        <v>1.0</v>
      </c>
      <c r="H2977" s="3">
        <v>0.0</v>
      </c>
      <c r="I2977" s="3" t="s">
        <v>13</v>
      </c>
      <c r="J2977" s="3" t="s">
        <v>8712</v>
      </c>
      <c r="K2977" s="3" t="s">
        <v>135</v>
      </c>
      <c r="L2977" s="3" t="str">
        <f>IFERROR(__xludf.DUMMYFUNCTION("GOOGLETRANSLATE(F2977,""id"",""en"")"),"watching there is a moment of character predictions that South Korea will penetrate the semi -final pildun just know it turns out that South Korea has ever penetrated the semi -finals of the World Cup so you know the blessings")</f>
        <v>watching there is a moment of character predictions that South Korea will penetrate the semi -final pildun just know it turns out that South Korea has ever penetrated the semi -finals of the World Cup so you know the blessings</v>
      </c>
    </row>
    <row r="2978" ht="15.75" customHeight="1">
      <c r="A2978" s="1">
        <v>2994.0</v>
      </c>
      <c r="B2978" s="3" t="s">
        <v>8713</v>
      </c>
      <c r="C2978" s="3">
        <v>0.0</v>
      </c>
      <c r="D2978" s="3">
        <v>0.0</v>
      </c>
      <c r="E2978" s="3">
        <v>0.0</v>
      </c>
      <c r="F2978" s="3" t="s">
        <v>8714</v>
      </c>
      <c r="G2978" s="3">
        <v>1.0</v>
      </c>
      <c r="H2978" s="3">
        <v>0.0</v>
      </c>
      <c r="I2978" s="3" t="s">
        <v>13</v>
      </c>
      <c r="J2978" s="3" t="s">
        <v>8715</v>
      </c>
      <c r="K2978" s="3" t="s">
        <v>15</v>
      </c>
      <c r="L2978" s="3" t="str">
        <f>IFERROR(__xludf.DUMMYFUNCTION("GOOGLETRANSLATE(F2978,""id"",""en"")"),"The World Cup Final, how come the minutes will be finished.")</f>
        <v>The World Cup Final, how come the minutes will be finished.</v>
      </c>
    </row>
    <row r="2979" ht="15.75" customHeight="1">
      <c r="A2979" s="1">
        <v>2995.0</v>
      </c>
      <c r="B2979" s="3" t="s">
        <v>8716</v>
      </c>
      <c r="C2979" s="3">
        <v>0.0</v>
      </c>
      <c r="D2979" s="3">
        <v>0.0</v>
      </c>
      <c r="E2979" s="3">
        <v>0.0</v>
      </c>
      <c r="F2979" s="3" t="s">
        <v>8717</v>
      </c>
      <c r="G2979" s="3">
        <v>1.0</v>
      </c>
      <c r="H2979" s="3">
        <v>0.0</v>
      </c>
      <c r="I2979" s="3" t="s">
        <v>13</v>
      </c>
      <c r="J2979" s="3" t="s">
        <v>8718</v>
      </c>
      <c r="K2979" s="3" t="s">
        <v>31</v>
      </c>
      <c r="L2979" s="3" t="str">
        <f>IFERROR(__xludf.DUMMYFUNCTION("GOOGLETRANSLATE(F2979,""id"",""en"")"),"Final Gokil Original World Cup")</f>
        <v>Final Gokil Original World Cup</v>
      </c>
    </row>
    <row r="2980" ht="15.75" customHeight="1">
      <c r="A2980" s="1">
        <v>2996.0</v>
      </c>
      <c r="B2980" s="3" t="s">
        <v>8719</v>
      </c>
      <c r="C2980" s="3">
        <v>0.0</v>
      </c>
      <c r="D2980" s="3">
        <v>0.0</v>
      </c>
      <c r="E2980" s="3">
        <v>0.0</v>
      </c>
      <c r="F2980" s="3" t="s">
        <v>8720</v>
      </c>
      <c r="G2980" s="3">
        <v>1.0</v>
      </c>
      <c r="H2980" s="3">
        <v>0.0</v>
      </c>
      <c r="I2980" s="3" t="s">
        <v>13</v>
      </c>
      <c r="J2980" s="3" t="s">
        <v>8721</v>
      </c>
      <c r="K2980" s="3" t="s">
        <v>2215</v>
      </c>
      <c r="L2980" s="3" t="str">
        <f>IFERROR(__xludf.DUMMYFUNCTION("GOOGLETRANSLATE(F2980,""id"",""en"")"),"The picture of the World Cup Final Round in the early minutes of lying on the rolling bolster at the final minute panic")</f>
        <v>The picture of the World Cup Final Round in the early minutes of lying on the rolling bolster at the final minute panic</v>
      </c>
    </row>
    <row r="2981" ht="15.75" customHeight="1">
      <c r="A2981" s="1">
        <v>2997.0</v>
      </c>
      <c r="B2981" s="3" t="s">
        <v>8722</v>
      </c>
      <c r="C2981" s="3">
        <v>0.0</v>
      </c>
      <c r="D2981" s="3">
        <v>0.0</v>
      </c>
      <c r="E2981" s="3">
        <v>0.0</v>
      </c>
      <c r="F2981" s="3" t="s">
        <v>6509</v>
      </c>
      <c r="G2981" s="3">
        <v>1.0</v>
      </c>
      <c r="H2981" s="3">
        <v>0.0</v>
      </c>
      <c r="I2981" s="3" t="s">
        <v>13</v>
      </c>
      <c r="J2981" s="3" t="s">
        <v>6510</v>
      </c>
      <c r="K2981" s="3" t="s">
        <v>644</v>
      </c>
      <c r="L2981" s="3" t="str">
        <f>IFERROR(__xludf.DUMMYFUNCTION("GOOGLETRANSLATE(F2981,""id"",""en"")"),"This is only the World Cup final")</f>
        <v>This is only the World Cup final</v>
      </c>
    </row>
    <row r="2982" ht="15.75" customHeight="1">
      <c r="A2982" s="1">
        <v>2998.0</v>
      </c>
      <c r="B2982" s="3" t="s">
        <v>8723</v>
      </c>
      <c r="C2982" s="3">
        <v>0.0</v>
      </c>
      <c r="D2982" s="3">
        <v>0.0</v>
      </c>
      <c r="E2982" s="3">
        <v>0.0</v>
      </c>
      <c r="F2982" s="3" t="s">
        <v>8724</v>
      </c>
      <c r="G2982" s="3">
        <v>1.0</v>
      </c>
      <c r="H2982" s="3">
        <v>0.0</v>
      </c>
      <c r="I2982" s="3" t="s">
        <v>13</v>
      </c>
      <c r="J2982" s="3" t="s">
        <v>8725</v>
      </c>
      <c r="K2982" s="3" t="s">
        <v>54</v>
      </c>
      <c r="L2982" s="3" t="str">
        <f>IFERROR(__xludf.DUMMYFUNCTION("GOOGLETRANSLATE(F2982,""id"",""en"")"),"Lah ngene again the world cup final is crowded")</f>
        <v>Lah ngene again the world cup final is crowded</v>
      </c>
    </row>
    <row r="2983" ht="15.75" customHeight="1">
      <c r="A2983" s="1">
        <v>2999.0</v>
      </c>
      <c r="B2983" s="3" t="s">
        <v>8726</v>
      </c>
      <c r="C2983" s="3">
        <v>1.0</v>
      </c>
      <c r="D2983" s="3">
        <v>0.0</v>
      </c>
      <c r="E2983" s="3">
        <v>0.0</v>
      </c>
      <c r="F2983" s="3" t="s">
        <v>8727</v>
      </c>
      <c r="G2983" s="3">
        <v>1.0</v>
      </c>
      <c r="H2983" s="3">
        <v>0.0</v>
      </c>
      <c r="I2983" s="3" t="s">
        <v>13</v>
      </c>
      <c r="J2983" s="3" t="s">
        <v>8728</v>
      </c>
      <c r="K2983" s="3" t="s">
        <v>31</v>
      </c>
      <c r="L2983" s="3" t="str">
        <f>IFERROR(__xludf.DUMMYFUNCTION("GOOGLETRANSLATE(F2983,""id"",""en"")"),"Currently in the French Argentine World Cup final")</f>
        <v>Currently in the French Argentine World Cup final</v>
      </c>
    </row>
    <row r="2984" ht="15.75" customHeight="1">
      <c r="A2984" s="1">
        <v>3000.0</v>
      </c>
      <c r="B2984" s="3" t="s">
        <v>8729</v>
      </c>
      <c r="C2984" s="3">
        <v>0.0</v>
      </c>
      <c r="D2984" s="3">
        <v>0.0</v>
      </c>
      <c r="E2984" s="3">
        <v>0.0</v>
      </c>
      <c r="F2984" s="3" t="s">
        <v>8730</v>
      </c>
      <c r="G2984" s="3">
        <v>1.0</v>
      </c>
      <c r="H2984" s="3">
        <v>0.0</v>
      </c>
      <c r="I2984" s="3" t="s">
        <v>13</v>
      </c>
      <c r="J2984" s="3" t="s">
        <v>8731</v>
      </c>
      <c r="K2984" s="3" t="s">
        <v>8732</v>
      </c>
      <c r="L2984" s="3" t="str">
        <f>IFERROR(__xludf.DUMMYFUNCTION("GOOGLETRANSLATE(F2984,""id"",""en"")"),"The year when he was still a student watching the World Cup Final of the Outdoor City Balikpapan, the year had worked to watch the World Cup final again in Balikpapan but it was not an outdoor roadside")</f>
        <v>The year when he was still a student watching the World Cup Final of the Outdoor City Balikpapan, the year had worked to watch the World Cup final again in Balikpapan but it was not an outdoor roadside</v>
      </c>
    </row>
    <row r="2985" ht="15.75" customHeight="1">
      <c r="A2985" s="1">
        <v>3001.0</v>
      </c>
      <c r="B2985" s="3" t="s">
        <v>8733</v>
      </c>
      <c r="C2985" s="3">
        <v>0.0</v>
      </c>
      <c r="D2985" s="3">
        <v>0.0</v>
      </c>
      <c r="E2985" s="3">
        <v>0.0</v>
      </c>
      <c r="F2985" s="3" t="s">
        <v>6509</v>
      </c>
      <c r="G2985" s="3">
        <v>1.0</v>
      </c>
      <c r="H2985" s="3">
        <v>0.0</v>
      </c>
      <c r="I2985" s="3" t="s">
        <v>13</v>
      </c>
      <c r="J2985" s="3" t="s">
        <v>6510</v>
      </c>
      <c r="K2985" s="3" t="s">
        <v>644</v>
      </c>
      <c r="L2985" s="3" t="str">
        <f>IFERROR(__xludf.DUMMYFUNCTION("GOOGLETRANSLATE(F2985,""id"",""en"")"),"This is only the World Cup final")</f>
        <v>This is only the World Cup final</v>
      </c>
    </row>
    <row r="2986" ht="15.75" customHeight="1">
      <c r="A2986" s="1">
        <v>3002.0</v>
      </c>
      <c r="B2986" s="3" t="s">
        <v>8734</v>
      </c>
      <c r="C2986" s="3">
        <v>0.0</v>
      </c>
      <c r="D2986" s="3">
        <v>0.0</v>
      </c>
      <c r="E2986" s="3">
        <v>0.0</v>
      </c>
      <c r="F2986" s="3" t="s">
        <v>8735</v>
      </c>
      <c r="G2986" s="3">
        <v>1.0</v>
      </c>
      <c r="H2986" s="3">
        <v>0.0</v>
      </c>
      <c r="I2986" s="3" t="s">
        <v>13</v>
      </c>
      <c r="J2986" s="3" t="s">
        <v>8736</v>
      </c>
      <c r="K2986" s="3" t="s">
        <v>58</v>
      </c>
      <c r="L2986" s="3" t="str">
        <f>IFERROR(__xludf.DUMMYFUNCTION("GOOGLETRANSLATE(F2986,""id"",""en"")"),"ADOH KASIANG SKLI KANG DIFFICULTY SKLI SKLI WEEFING THE WORLD CUP FINAL VIDIO")</f>
        <v>ADOH KASIANG SKLI KANG DIFFICULTY SKLI SKLI WEEFING THE WORLD CUP FINAL VIDIO</v>
      </c>
    </row>
    <row r="2987" ht="15.75" customHeight="1">
      <c r="A2987" s="1">
        <v>3003.0</v>
      </c>
      <c r="B2987" s="3" t="s">
        <v>8737</v>
      </c>
      <c r="C2987" s="3">
        <v>0.0</v>
      </c>
      <c r="D2987" s="3">
        <v>0.0</v>
      </c>
      <c r="E2987" s="3">
        <v>1.0</v>
      </c>
      <c r="F2987" s="3" t="s">
        <v>8738</v>
      </c>
      <c r="G2987" s="3">
        <v>1.0</v>
      </c>
      <c r="H2987" s="3">
        <v>0.0</v>
      </c>
      <c r="I2987" s="3" t="s">
        <v>13</v>
      </c>
      <c r="J2987" s="3" t="s">
        <v>8739</v>
      </c>
      <c r="K2987" s="3" t="s">
        <v>54</v>
      </c>
      <c r="L2987" s="3" t="str">
        <f>IFERROR(__xludf.DUMMYFUNCTION("GOOGLETRANSLATE(F2987,""id"",""en"")"),"exciting this world cup final position now")</f>
        <v>exciting this world cup final position now</v>
      </c>
    </row>
    <row r="2988" ht="15.75" customHeight="1">
      <c r="A2988" s="1">
        <v>3004.0</v>
      </c>
      <c r="B2988" s="3" t="s">
        <v>8740</v>
      </c>
      <c r="C2988" s="3">
        <v>0.0</v>
      </c>
      <c r="D2988" s="3">
        <v>0.0</v>
      </c>
      <c r="E2988" s="3">
        <v>1.0</v>
      </c>
      <c r="F2988" s="3" t="s">
        <v>8741</v>
      </c>
      <c r="G2988" s="3">
        <v>1.0</v>
      </c>
      <c r="H2988" s="3">
        <v>0.0</v>
      </c>
      <c r="I2988" s="3" t="s">
        <v>13</v>
      </c>
      <c r="J2988" s="3" t="s">
        <v>8742</v>
      </c>
      <c r="K2988" s="3" t="s">
        <v>15</v>
      </c>
      <c r="L2988" s="3" t="str">
        <f>IFERROR(__xludf.DUMMYFUNCTION("GOOGLETRANSLATE(F2988,""id"",""en"")"),"Watching the World Cup Final with the French Argentine Family")</f>
        <v>Watching the World Cup Final with the French Argentine Family</v>
      </c>
    </row>
    <row r="2989" ht="15.75" customHeight="1">
      <c r="A2989" s="1">
        <v>3005.0</v>
      </c>
      <c r="B2989" s="3" t="s">
        <v>8743</v>
      </c>
      <c r="C2989" s="3">
        <v>0.0</v>
      </c>
      <c r="D2989" s="3">
        <v>0.0</v>
      </c>
      <c r="E2989" s="3">
        <v>0.0</v>
      </c>
      <c r="F2989" s="3" t="s">
        <v>8744</v>
      </c>
      <c r="G2989" s="3">
        <v>1.0</v>
      </c>
      <c r="H2989" s="3">
        <v>0.0</v>
      </c>
      <c r="I2989" s="3" t="s">
        <v>13</v>
      </c>
      <c r="J2989" s="3" t="s">
        <v>8745</v>
      </c>
      <c r="K2989" s="3" t="s">
        <v>952</v>
      </c>
      <c r="L2989" s="3" t="str">
        <f>IFERROR(__xludf.DUMMYFUNCTION("GOOGLETRANSLATE(F2989,""id"",""en"")"),"still the final of the Argentina French World Cup, Argentina will be the World Cup championship")</f>
        <v>still the final of the Argentina French World Cup, Argentina will be the World Cup championship</v>
      </c>
    </row>
    <row r="2990" ht="15.75" customHeight="1">
      <c r="A2990" s="1">
        <v>3006.0</v>
      </c>
      <c r="B2990" s="3" t="s">
        <v>8746</v>
      </c>
      <c r="C2990" s="3">
        <v>0.0</v>
      </c>
      <c r="D2990" s="3">
        <v>0.0</v>
      </c>
      <c r="E2990" s="3">
        <v>2.0</v>
      </c>
      <c r="F2990" s="3" t="s">
        <v>8747</v>
      </c>
      <c r="G2990" s="3">
        <v>0.5555555555555555</v>
      </c>
      <c r="H2990" s="3">
        <v>0.1111111111111111</v>
      </c>
      <c r="I2990" s="3" t="s">
        <v>48</v>
      </c>
      <c r="J2990" s="3" t="s">
        <v>8748</v>
      </c>
      <c r="K2990" s="3" t="s">
        <v>149</v>
      </c>
      <c r="L2990" s="3" t="str">
        <f>IFERROR(__xludf.DUMMYFUNCTION("GOOGLETRANSLATE(F2990,""id"",""en"")"),"Nobar saw the world of the World Cup Final Final Very Proud Kylian Mbappe despite playing without Pogba and Benzema his penalty sparked and frustrated the Argentina Festive Party")</f>
        <v>Nobar saw the world of the World Cup Final Final Very Proud Kylian Mbappe despite playing without Pogba and Benzema his penalty sparked and frustrated the Argentina Festive Party</v>
      </c>
    </row>
    <row r="2991" ht="15.75" customHeight="1">
      <c r="A2991" s="1">
        <v>3007.0</v>
      </c>
      <c r="B2991" s="3" t="s">
        <v>8749</v>
      </c>
      <c r="C2991" s="3">
        <v>0.0</v>
      </c>
      <c r="D2991" s="3">
        <v>0.0</v>
      </c>
      <c r="E2991" s="3">
        <v>0.0</v>
      </c>
      <c r="F2991" s="3" t="s">
        <v>2115</v>
      </c>
      <c r="G2991" s="3">
        <v>1.0</v>
      </c>
      <c r="H2991" s="3">
        <v>0.0</v>
      </c>
      <c r="I2991" s="3" t="s">
        <v>13</v>
      </c>
      <c r="J2991" s="3" t="s">
        <v>2116</v>
      </c>
      <c r="K2991" s="3" t="s">
        <v>2117</v>
      </c>
      <c r="L2991" s="3" t="str">
        <f>IFERROR(__xludf.DUMMYFUNCTION("GOOGLETRANSLATE(F2991,""id"",""en"")"),"World Cup Final")</f>
        <v>World Cup Final</v>
      </c>
    </row>
    <row r="2992" ht="15.75" customHeight="1">
      <c r="A2992" s="1">
        <v>3008.0</v>
      </c>
      <c r="B2992" s="3" t="s">
        <v>8750</v>
      </c>
      <c r="C2992" s="3">
        <v>0.0</v>
      </c>
      <c r="D2992" s="3">
        <v>0.0</v>
      </c>
      <c r="E2992" s="3">
        <v>0.0</v>
      </c>
      <c r="F2992" s="3" t="s">
        <v>8751</v>
      </c>
      <c r="G2992" s="3">
        <v>1.0</v>
      </c>
      <c r="H2992" s="3">
        <v>0.0</v>
      </c>
      <c r="I2992" s="3" t="s">
        <v>13</v>
      </c>
      <c r="J2992" s="3" t="s">
        <v>8752</v>
      </c>
      <c r="K2992" s="3" t="s">
        <v>31</v>
      </c>
      <c r="L2992" s="3" t="str">
        <f>IFERROR(__xludf.DUMMYFUNCTION("GOOGLETRANSLATE(F2992,""id"",""en"")"),"indeed the world cup final must be like this")</f>
        <v>indeed the world cup final must be like this</v>
      </c>
    </row>
    <row r="2993" ht="15.75" customHeight="1">
      <c r="A2993" s="1">
        <v>3009.0</v>
      </c>
      <c r="B2993" s="3" t="s">
        <v>8753</v>
      </c>
      <c r="C2993" s="3">
        <v>0.0</v>
      </c>
      <c r="D2993" s="3">
        <v>0.0</v>
      </c>
      <c r="E2993" s="3">
        <v>0.0</v>
      </c>
      <c r="F2993" s="3" t="s">
        <v>8754</v>
      </c>
      <c r="G2993" s="3">
        <v>1.0</v>
      </c>
      <c r="H2993" s="3">
        <v>0.0</v>
      </c>
      <c r="I2993" s="3" t="s">
        <v>13</v>
      </c>
      <c r="J2993" s="3" t="s">
        <v>8755</v>
      </c>
      <c r="K2993" s="3" t="s">
        <v>54</v>
      </c>
      <c r="L2993" s="3" t="str">
        <f>IFERROR(__xludf.DUMMYFUNCTION("GOOGLETRANSLATE(F2993,""id"",""en"")"),"Lieur Ajig Aing World Cup Final")</f>
        <v>Lieur Ajig Aing World Cup Final</v>
      </c>
    </row>
    <row r="2994" ht="15.75" customHeight="1">
      <c r="A2994" s="1">
        <v>3010.0</v>
      </c>
      <c r="B2994" s="3" t="s">
        <v>8756</v>
      </c>
      <c r="C2994" s="3">
        <v>0.0</v>
      </c>
      <c r="D2994" s="3">
        <v>0.0</v>
      </c>
      <c r="E2994" s="3">
        <v>2.0</v>
      </c>
      <c r="F2994" s="3" t="s">
        <v>8757</v>
      </c>
      <c r="G2994" s="3">
        <v>1.0</v>
      </c>
      <c r="H2994" s="3">
        <v>0.0</v>
      </c>
      <c r="I2994" s="3" t="s">
        <v>13</v>
      </c>
      <c r="J2994" s="3" t="s">
        <v>8758</v>
      </c>
      <c r="K2994" s="3" t="s">
        <v>54</v>
      </c>
      <c r="L2994" s="3" t="str">
        <f>IFERROR(__xludf.DUMMYFUNCTION("GOOGLETRANSLATE(F2994,""id"",""en"")"),"just called the World Cup Final")</f>
        <v>just called the World Cup Final</v>
      </c>
    </row>
    <row r="2995" ht="15.75" customHeight="1">
      <c r="A2995" s="1">
        <v>3011.0</v>
      </c>
      <c r="B2995" s="3" t="s">
        <v>8759</v>
      </c>
      <c r="C2995" s="3">
        <v>0.0</v>
      </c>
      <c r="D2995" s="3">
        <v>0.0</v>
      </c>
      <c r="E2995" s="3">
        <v>0.0</v>
      </c>
      <c r="F2995" s="3" t="s">
        <v>8760</v>
      </c>
      <c r="G2995" s="3">
        <v>1.0</v>
      </c>
      <c r="H2995" s="3">
        <v>0.0</v>
      </c>
      <c r="I2995" s="3" t="s">
        <v>13</v>
      </c>
      <c r="J2995" s="3" t="s">
        <v>8761</v>
      </c>
      <c r="K2995" s="3" t="s">
        <v>31</v>
      </c>
      <c r="L2995" s="3" t="str">
        <f>IFERROR(__xludf.DUMMYFUNCTION("GOOGLETRANSLATE(F2995,""id"",""en"")"),"Kleee Seruuuuu World Cup Final")</f>
        <v>Kleee Seruuuuu World Cup Final</v>
      </c>
    </row>
    <row r="2996" ht="15.75" customHeight="1">
      <c r="A2996" s="1">
        <v>3012.0</v>
      </c>
      <c r="B2996" s="3" t="s">
        <v>8762</v>
      </c>
      <c r="C2996" s="3">
        <v>0.0</v>
      </c>
      <c r="D2996" s="3">
        <v>0.0</v>
      </c>
      <c r="E2996" s="3">
        <v>0.0</v>
      </c>
      <c r="F2996" s="3" t="s">
        <v>8763</v>
      </c>
      <c r="G2996" s="3">
        <v>1.0</v>
      </c>
      <c r="H2996" s="3">
        <v>0.0</v>
      </c>
      <c r="I2996" s="3" t="s">
        <v>13</v>
      </c>
      <c r="J2996" s="3" t="s">
        <v>8764</v>
      </c>
      <c r="K2996" s="3" t="s">
        <v>15</v>
      </c>
      <c r="L2996" s="3" t="str">
        <f>IFERROR(__xludf.DUMMYFUNCTION("GOOGLETRANSLATE(F2996,""id"",""en"")"),"Free Streaming Links of the French French World Cup Final")</f>
        <v>Free Streaming Links of the French French World Cup Final</v>
      </c>
    </row>
    <row r="2997" ht="15.75" customHeight="1">
      <c r="A2997" s="1">
        <v>3013.0</v>
      </c>
      <c r="B2997" s="3" t="s">
        <v>8765</v>
      </c>
      <c r="C2997" s="3">
        <v>0.0</v>
      </c>
      <c r="D2997" s="3">
        <v>0.0</v>
      </c>
      <c r="E2997" s="3">
        <v>0.0</v>
      </c>
      <c r="F2997" s="3" t="s">
        <v>8766</v>
      </c>
      <c r="G2997" s="3">
        <v>1.0</v>
      </c>
      <c r="H2997" s="3">
        <v>0.0</v>
      </c>
      <c r="I2997" s="3" t="s">
        <v>13</v>
      </c>
      <c r="J2997" s="3" t="s">
        <v>8767</v>
      </c>
      <c r="K2997" s="3" t="s">
        <v>1097</v>
      </c>
      <c r="L2997" s="3" t="str">
        <f>IFERROR(__xludf.DUMMYFUNCTION("GOOGLETRANSLATE(F2997,""id"",""en"")"),"Argentine French French World Cup final")</f>
        <v>Argentine French French World Cup final</v>
      </c>
    </row>
    <row r="2998" ht="15.75" customHeight="1">
      <c r="A2998" s="1">
        <v>3014.0</v>
      </c>
      <c r="B2998" s="3" t="s">
        <v>8768</v>
      </c>
      <c r="C2998" s="3">
        <v>0.0</v>
      </c>
      <c r="D2998" s="3">
        <v>0.0</v>
      </c>
      <c r="E2998" s="3">
        <v>0.0</v>
      </c>
      <c r="F2998" s="3" t="s">
        <v>8769</v>
      </c>
      <c r="G2998" s="3">
        <v>1.0</v>
      </c>
      <c r="H2998" s="3">
        <v>0.0</v>
      </c>
      <c r="I2998" s="3" t="s">
        <v>13</v>
      </c>
      <c r="J2998" s="3" t="s">
        <v>8770</v>
      </c>
      <c r="K2998" s="3" t="s">
        <v>41</v>
      </c>
      <c r="L2998" s="3" t="str">
        <f>IFERROR(__xludf.DUMMYFUNCTION("GOOGLETRANSLATE(F2998,""id"",""en"")"),"Anyone who wins this final of the best Fix World Cup of all time")</f>
        <v>Anyone who wins this final of the best Fix World Cup of all time</v>
      </c>
    </row>
    <row r="2999" ht="15.75" customHeight="1">
      <c r="A2999" s="1">
        <v>3015.0</v>
      </c>
      <c r="B2999" s="3" t="s">
        <v>8771</v>
      </c>
      <c r="C2999" s="3">
        <v>0.0</v>
      </c>
      <c r="D2999" s="3">
        <v>0.0</v>
      </c>
      <c r="E2999" s="3">
        <v>0.0</v>
      </c>
      <c r="F2999" s="3" t="s">
        <v>8772</v>
      </c>
      <c r="G2999" s="3">
        <v>0.75</v>
      </c>
      <c r="H2999" s="3">
        <v>0.06818181818181818</v>
      </c>
      <c r="I2999" s="3" t="s">
        <v>48</v>
      </c>
      <c r="J2999" s="3" t="s">
        <v>8773</v>
      </c>
      <c r="K2999" s="3" t="s">
        <v>82</v>
      </c>
      <c r="L2999" s="3" t="str">
        <f>IFERROR(__xludf.DUMMYFUNCTION("GOOGLETRANSLATE(F2999,""id"",""en"")"),"live score while the French Argentine World Cup final")</f>
        <v>live score while the French Argentine World Cup final</v>
      </c>
    </row>
    <row r="3000" ht="15.75" customHeight="1">
      <c r="A3000" s="1">
        <v>3016.0</v>
      </c>
      <c r="B3000" s="3" t="s">
        <v>8774</v>
      </c>
      <c r="C3000" s="3">
        <v>0.0</v>
      </c>
      <c r="D3000" s="3">
        <v>0.0</v>
      </c>
      <c r="E3000" s="3">
        <v>0.0</v>
      </c>
      <c r="F3000" s="3" t="s">
        <v>8775</v>
      </c>
      <c r="G3000" s="3">
        <v>1.0</v>
      </c>
      <c r="H3000" s="3">
        <v>0.0</v>
      </c>
      <c r="I3000" s="3" t="s">
        <v>13</v>
      </c>
      <c r="J3000" s="3" t="s">
        <v>8776</v>
      </c>
      <c r="K3000" s="3" t="s">
        <v>15</v>
      </c>
      <c r="L3000" s="3" t="str">
        <f>IFERROR(__xludf.DUMMYFUNCTION("GOOGLETRANSLATE(F3000,""id"",""en"")"),"Anyone who says the World Cup Final Settingan is stupid heretical")</f>
        <v>Anyone who says the World Cup Final Settingan is stupid heretical</v>
      </c>
    </row>
    <row r="3001" ht="15.75" customHeight="1">
      <c r="A3001" s="1">
        <v>3017.0</v>
      </c>
      <c r="B3001" s="3" t="s">
        <v>8777</v>
      </c>
      <c r="C3001" s="3">
        <v>0.0</v>
      </c>
      <c r="D3001" s="3">
        <v>0.0</v>
      </c>
      <c r="E3001" s="3">
        <v>0.0</v>
      </c>
      <c r="F3001" s="3" t="s">
        <v>8778</v>
      </c>
      <c r="G3001" s="3">
        <v>1.0</v>
      </c>
      <c r="H3001" s="3">
        <v>0.0</v>
      </c>
      <c r="I3001" s="3" t="s">
        <v>13</v>
      </c>
      <c r="J3001" s="3" t="s">
        <v>8779</v>
      </c>
      <c r="K3001" s="3" t="s">
        <v>54</v>
      </c>
      <c r="L3001" s="3" t="str">
        <f>IFERROR(__xludf.DUMMYFUNCTION("GOOGLETRANSLATE(F3001,""id"",""en"")"),"well, this is the exciting world cup final")</f>
        <v>well, this is the exciting world cup final</v>
      </c>
    </row>
    <row r="3002" ht="15.75" customHeight="1">
      <c r="A3002" s="1">
        <v>3018.0</v>
      </c>
      <c r="B3002" s="3" t="s">
        <v>8780</v>
      </c>
      <c r="C3002" s="3">
        <v>0.0</v>
      </c>
      <c r="D3002" s="3">
        <v>1.0</v>
      </c>
      <c r="E3002" s="3">
        <v>0.0</v>
      </c>
      <c r="F3002" s="3" t="s">
        <v>7805</v>
      </c>
      <c r="G3002" s="3">
        <v>0.625</v>
      </c>
      <c r="H3002" s="3">
        <v>0.1022727272727273</v>
      </c>
      <c r="I3002" s="3" t="s">
        <v>48</v>
      </c>
      <c r="J3002" s="3" t="s">
        <v>7806</v>
      </c>
      <c r="K3002" s="3" t="s">
        <v>358</v>
      </c>
      <c r="L3002" s="3" t="str">
        <f>IFERROR(__xludf.DUMMYFUNCTION("GOOGLETRANSLATE(F3002,""id"",""en"")"),"Live Stream Argentina France France France FIFA World Cup Final Watching Live Streaming World Cup Live Score Mbappe Round")</f>
        <v>Live Stream Argentina France France France FIFA World Cup Final Watching Live Streaming World Cup Live Score Mbappe Round</v>
      </c>
    </row>
    <row r="3003" ht="15.75" customHeight="1">
      <c r="A3003" s="1">
        <v>3019.0</v>
      </c>
      <c r="B3003" s="3" t="s">
        <v>8781</v>
      </c>
      <c r="C3003" s="3">
        <v>0.0</v>
      </c>
      <c r="D3003" s="3">
        <v>1.0</v>
      </c>
      <c r="E3003" s="3">
        <v>0.0</v>
      </c>
      <c r="F3003" s="3" t="s">
        <v>8782</v>
      </c>
      <c r="G3003" s="3">
        <v>1.0</v>
      </c>
      <c r="H3003" s="3">
        <v>0.0</v>
      </c>
      <c r="I3003" s="3" t="s">
        <v>13</v>
      </c>
      <c r="J3003" s="3" t="s">
        <v>8783</v>
      </c>
      <c r="K3003" s="3" t="s">
        <v>35</v>
      </c>
      <c r="L3003" s="3" t="str">
        <f>IFERROR(__xludf.DUMMYFUNCTION("GOOGLETRANSLATE(F3003,""id"",""en"")"),"The World Cup Final is very exciting, the image of the item has letters with the bullet")</f>
        <v>The World Cup Final is very exciting, the image of the item has letters with the bullet</v>
      </c>
    </row>
    <row r="3004" ht="15.75" customHeight="1">
      <c r="A3004" s="1">
        <v>3020.0</v>
      </c>
      <c r="B3004" s="3" t="s">
        <v>8784</v>
      </c>
      <c r="C3004" s="3">
        <v>0.0</v>
      </c>
      <c r="D3004" s="3">
        <v>0.0</v>
      </c>
      <c r="E3004" s="3">
        <v>0.0</v>
      </c>
      <c r="F3004" s="3" t="s">
        <v>8698</v>
      </c>
      <c r="G3004" s="3">
        <v>1.0</v>
      </c>
      <c r="H3004" s="3">
        <v>0.0</v>
      </c>
      <c r="I3004" s="3" t="s">
        <v>13</v>
      </c>
      <c r="J3004" s="3" t="s">
        <v>8699</v>
      </c>
      <c r="K3004" s="3" t="s">
        <v>82</v>
      </c>
      <c r="L3004" s="3" t="str">
        <f>IFERROR(__xludf.DUMMYFUNCTION("GOOGLETRANSLATE(F3004,""id"",""en"")"),"Final World Cup Mbappe Brace Argentina France")</f>
        <v>Final World Cup Mbappe Brace Argentina France</v>
      </c>
    </row>
    <row r="3005" ht="15.75" customHeight="1">
      <c r="A3005" s="1">
        <v>3021.0</v>
      </c>
      <c r="B3005" s="3" t="s">
        <v>8785</v>
      </c>
      <c r="C3005" s="3">
        <v>2.0</v>
      </c>
      <c r="D3005" s="3">
        <v>0.0</v>
      </c>
      <c r="E3005" s="3">
        <v>3.0</v>
      </c>
      <c r="F3005" s="3" t="s">
        <v>8786</v>
      </c>
      <c r="G3005" s="3">
        <v>1.0</v>
      </c>
      <c r="H3005" s="3">
        <v>0.0</v>
      </c>
      <c r="I3005" s="3" t="s">
        <v>13</v>
      </c>
      <c r="J3005" s="3" t="s">
        <v>8787</v>
      </c>
      <c r="K3005" s="3" t="s">
        <v>50</v>
      </c>
      <c r="L3005" s="3" t="str">
        <f>IFERROR(__xludf.DUMMYFUNCTION("GOOGLETRANSLATE(F3005,""id"",""en"")"),"Mbappe equalized the score while seeing the French Argentine World Cup final through")</f>
        <v>Mbappe equalized the score while seeing the French Argentine World Cup final through</v>
      </c>
    </row>
    <row r="3006" ht="15.75" customHeight="1">
      <c r="A3006" s="1">
        <v>3022.0</v>
      </c>
      <c r="B3006" s="3" t="s">
        <v>8788</v>
      </c>
      <c r="C3006" s="3">
        <v>0.0</v>
      </c>
      <c r="D3006" s="3">
        <v>0.0</v>
      </c>
      <c r="E3006" s="3">
        <v>0.0</v>
      </c>
      <c r="F3006" s="3" t="s">
        <v>8789</v>
      </c>
      <c r="G3006" s="3">
        <v>1.0</v>
      </c>
      <c r="H3006" s="3">
        <v>0.0</v>
      </c>
      <c r="I3006" s="3" t="s">
        <v>13</v>
      </c>
      <c r="J3006" s="3" t="s">
        <v>8790</v>
      </c>
      <c r="K3006" s="3" t="s">
        <v>58</v>
      </c>
      <c r="L3006" s="3" t="str">
        <f>IFERROR(__xludf.DUMMYFUNCTION("GOOGLETRANSLATE(F3006,""id"",""en"")"),"There must be compensation from the party due to service disturbances for the package that I bought the World Cup final more than minutes")</f>
        <v>There must be compensation from the party due to service disturbances for the package that I bought the World Cup final more than minutes</v>
      </c>
    </row>
    <row r="3007" ht="15.75" customHeight="1">
      <c r="A3007" s="1">
        <v>3023.0</v>
      </c>
      <c r="B3007" s="3" t="s">
        <v>8791</v>
      </c>
      <c r="C3007" s="3">
        <v>0.0</v>
      </c>
      <c r="D3007" s="3">
        <v>0.0</v>
      </c>
      <c r="E3007" s="3">
        <v>0.0</v>
      </c>
      <c r="F3007" s="3" t="s">
        <v>8792</v>
      </c>
      <c r="G3007" s="3">
        <v>1.0</v>
      </c>
      <c r="H3007" s="3">
        <v>0.0</v>
      </c>
      <c r="I3007" s="3" t="s">
        <v>13</v>
      </c>
      <c r="J3007" s="3" t="s">
        <v>8793</v>
      </c>
      <c r="K3007" s="3" t="s">
        <v>54</v>
      </c>
      <c r="L3007" s="3" t="str">
        <f>IFERROR(__xludf.DUMMYFUNCTION("GOOGLETRANSLATE(F3007,""id"",""en"")"),"France lost the Final Food Cup Final")</f>
        <v>France lost the Final Food Cup Final</v>
      </c>
    </row>
    <row r="3008" ht="15.75" customHeight="1">
      <c r="A3008" s="1">
        <v>3024.0</v>
      </c>
      <c r="B3008" s="3" t="s">
        <v>8794</v>
      </c>
      <c r="C3008" s="3">
        <v>2.0</v>
      </c>
      <c r="D3008" s="3">
        <v>0.0</v>
      </c>
      <c r="E3008" s="3">
        <v>0.0</v>
      </c>
      <c r="F3008" s="3" t="s">
        <v>8795</v>
      </c>
      <c r="G3008" s="3">
        <v>1.0</v>
      </c>
      <c r="H3008" s="3">
        <v>0.0</v>
      </c>
      <c r="I3008" s="3" t="s">
        <v>13</v>
      </c>
      <c r="J3008" s="3" t="s">
        <v>8796</v>
      </c>
      <c r="K3008" s="3" t="s">
        <v>1628</v>
      </c>
      <c r="L3008" s="3" t="str">
        <f>IFERROR(__xludf.DUMMYFUNCTION("GOOGLETRANSLATE(F3008,""id"",""en"")"),"The reviewer screamed and I pound screaming once this was the Mbappe World Cup Final was preceding Messi in the Golden Kasut Competition with a goal if Mbappe Gol again Hatrik")</f>
        <v>The reviewer screamed and I pound screaming once this was the Mbappe World Cup Final was preceding Messi in the Golden Kasut Competition with a goal if Mbappe Gol again Hatrik</v>
      </c>
    </row>
    <row r="3009" ht="15.75" customHeight="1">
      <c r="A3009" s="1">
        <v>3025.0</v>
      </c>
      <c r="B3009" s="3" t="s">
        <v>8797</v>
      </c>
      <c r="C3009" s="3">
        <v>0.0</v>
      </c>
      <c r="D3009" s="3">
        <v>0.0</v>
      </c>
      <c r="E3009" s="3">
        <v>0.0</v>
      </c>
      <c r="F3009" s="3" t="s">
        <v>8798</v>
      </c>
      <c r="G3009" s="3">
        <v>0.7</v>
      </c>
      <c r="H3009" s="3">
        <v>0.1</v>
      </c>
      <c r="I3009" s="3" t="s">
        <v>48</v>
      </c>
      <c r="J3009" s="3" t="s">
        <v>8799</v>
      </c>
      <c r="K3009" s="3" t="s">
        <v>75</v>
      </c>
      <c r="L3009" s="3" t="str">
        <f>IFERROR(__xludf.DUMMYFUNCTION("GOOGLETRANSLATE(F3009,""id"",""en"")"),"Wow, this World Cup final class show hahaha really plot twist")</f>
        <v>Wow, this World Cup final class show hahaha really plot twist</v>
      </c>
    </row>
    <row r="3010" ht="15.75" customHeight="1">
      <c r="A3010" s="1">
        <v>3026.0</v>
      </c>
      <c r="B3010" s="3" t="s">
        <v>8800</v>
      </c>
      <c r="C3010" s="3">
        <v>0.0</v>
      </c>
      <c r="D3010" s="3">
        <v>1.0</v>
      </c>
      <c r="E3010" s="3">
        <v>0.0</v>
      </c>
      <c r="F3010" s="3" t="s">
        <v>8801</v>
      </c>
      <c r="G3010" s="3">
        <v>1.0</v>
      </c>
      <c r="H3010" s="3">
        <v>0.0</v>
      </c>
      <c r="I3010" s="3" t="s">
        <v>13</v>
      </c>
      <c r="J3010" s="3" t="s">
        <v>8802</v>
      </c>
      <c r="K3010" s="3" t="s">
        <v>19</v>
      </c>
      <c r="L3010" s="3" t="str">
        <f>IFERROR(__xludf.DUMMYFUNCTION("GOOGLETRANSLATE(F3010,""id"",""en"")"),"crazy gapake think long long volley volleyball that world cup final understands again")</f>
        <v>crazy gapake think long long volley volleyball that world cup final understands again</v>
      </c>
    </row>
    <row r="3011" ht="15.75" customHeight="1">
      <c r="A3011" s="1">
        <v>3027.0</v>
      </c>
      <c r="B3011" s="3" t="s">
        <v>8803</v>
      </c>
      <c r="C3011" s="3">
        <v>0.0</v>
      </c>
      <c r="D3011" s="3">
        <v>0.0</v>
      </c>
      <c r="E3011" s="3">
        <v>0.0</v>
      </c>
      <c r="F3011" s="3" t="s">
        <v>8804</v>
      </c>
      <c r="G3011" s="3">
        <v>1.0</v>
      </c>
      <c r="H3011" s="3">
        <v>0.0</v>
      </c>
      <c r="I3011" s="3" t="s">
        <v>13</v>
      </c>
      <c r="J3011" s="3" t="s">
        <v>8805</v>
      </c>
      <c r="K3011" s="3" t="s">
        <v>31</v>
      </c>
      <c r="L3011" s="3" t="str">
        <f>IFERROR(__xludf.DUMMYFUNCTION("GOOGLETRANSLATE(F3011,""id"",""en"")"),"This is only the final of the Anjingggg World Cup")</f>
        <v>This is only the final of the Anjingggg World Cup</v>
      </c>
    </row>
    <row r="3012" ht="15.75" customHeight="1">
      <c r="A3012" s="1">
        <v>3028.0</v>
      </c>
      <c r="B3012" s="3" t="s">
        <v>8806</v>
      </c>
      <c r="C3012" s="3">
        <v>0.0</v>
      </c>
      <c r="D3012" s="3">
        <v>0.0</v>
      </c>
      <c r="E3012" s="3">
        <v>0.0</v>
      </c>
      <c r="F3012" s="3" t="s">
        <v>8807</v>
      </c>
      <c r="G3012" s="3">
        <v>1.0</v>
      </c>
      <c r="H3012" s="3">
        <v>0.0</v>
      </c>
      <c r="I3012" s="3" t="s">
        <v>13</v>
      </c>
      <c r="J3012" s="3" t="s">
        <v>8808</v>
      </c>
      <c r="K3012" s="3" t="s">
        <v>82</v>
      </c>
      <c r="L3012" s="3" t="str">
        <f>IFERROR(__xludf.DUMMYFUNCTION("GOOGLETRANSLATE(F3012,""id"",""en"")"),"So this is the new world cup's final")</f>
        <v>So this is the new world cup's final</v>
      </c>
    </row>
    <row r="3013" ht="15.75" customHeight="1">
      <c r="A3013" s="1">
        <v>3029.0</v>
      </c>
      <c r="B3013" s="3" t="s">
        <v>8809</v>
      </c>
      <c r="C3013" s="3">
        <v>0.0</v>
      </c>
      <c r="D3013" s="3">
        <v>0.0</v>
      </c>
      <c r="E3013" s="3">
        <v>0.0</v>
      </c>
      <c r="F3013" s="3" t="s">
        <v>8810</v>
      </c>
      <c r="G3013" s="3">
        <v>1.0</v>
      </c>
      <c r="H3013" s="3">
        <v>0.0</v>
      </c>
      <c r="I3013" s="3" t="s">
        <v>13</v>
      </c>
      <c r="J3013" s="3" t="s">
        <v>8811</v>
      </c>
      <c r="K3013" s="3" t="s">
        <v>50</v>
      </c>
      <c r="L3013" s="3" t="str">
        <f>IFERROR(__xludf.DUMMYFUNCTION("GOOGLETRANSLATE(F3013,""id"",""en"")"),"Perindo Party Holds Nobar Final World Cup Citizens Many benefits can stay in touch")</f>
        <v>Perindo Party Holds Nobar Final World Cup Citizens Many benefits can stay in touch</v>
      </c>
    </row>
    <row r="3014" ht="15.75" customHeight="1">
      <c r="A3014" s="1">
        <v>3030.0</v>
      </c>
      <c r="B3014" s="3" t="s">
        <v>8812</v>
      </c>
      <c r="C3014" s="3">
        <v>0.0</v>
      </c>
      <c r="D3014" s="3">
        <v>0.0</v>
      </c>
      <c r="E3014" s="3">
        <v>0.0</v>
      </c>
      <c r="F3014" s="3" t="s">
        <v>8813</v>
      </c>
      <c r="G3014" s="3">
        <v>0.5666666666666667</v>
      </c>
      <c r="H3014" s="3">
        <v>0.01212121212121212</v>
      </c>
      <c r="I3014" s="3" t="s">
        <v>48</v>
      </c>
      <c r="J3014" s="3" t="s">
        <v>8814</v>
      </c>
      <c r="K3014" s="3" t="s">
        <v>358</v>
      </c>
      <c r="L3014" s="3" t="str">
        <f>IFERROR(__xludf.DUMMYFUNCTION("GOOGLETRANSLATE(F3014,""id"",""en"")"),"Argentina minutes hit by mental Mbappe Rise Argentina France link LIVE LIVE STREAMING ARGENTINA France tonight WIB World Cup Final")</f>
        <v>Argentina minutes hit by mental Mbappe Rise Argentina France link LIVE LIVE STREAMING ARGENTINA France tonight WIB World Cup Final</v>
      </c>
    </row>
    <row r="3015" ht="15.75" customHeight="1">
      <c r="A3015" s="1">
        <v>3031.0</v>
      </c>
      <c r="B3015" s="3" t="s">
        <v>8815</v>
      </c>
      <c r="C3015" s="3">
        <v>0.0</v>
      </c>
      <c r="D3015" s="3">
        <v>0.0</v>
      </c>
      <c r="E3015" s="3">
        <v>1.0</v>
      </c>
      <c r="F3015" s="3" t="s">
        <v>8816</v>
      </c>
      <c r="G3015" s="3">
        <v>1.0</v>
      </c>
      <c r="H3015" s="3">
        <v>0.0</v>
      </c>
      <c r="I3015" s="3" t="s">
        <v>13</v>
      </c>
      <c r="J3015" s="3" t="s">
        <v>8817</v>
      </c>
      <c r="K3015" s="3" t="s">
        <v>82</v>
      </c>
      <c r="L3015" s="3" t="str">
        <f>IFERROR(__xludf.DUMMYFUNCTION("GOOGLETRANSLATE(F3015,""id"",""en"")"),"Internet Bapuk Gini Pas the Final World Cup")</f>
        <v>Internet Bapuk Gini Pas the Final World Cup</v>
      </c>
    </row>
    <row r="3016" ht="15.75" customHeight="1">
      <c r="A3016" s="1">
        <v>3032.0</v>
      </c>
      <c r="B3016" s="3" t="s">
        <v>8818</v>
      </c>
      <c r="C3016" s="3">
        <v>0.0</v>
      </c>
      <c r="D3016" s="3">
        <v>0.0</v>
      </c>
      <c r="E3016" s="3">
        <v>0.0</v>
      </c>
      <c r="F3016" s="3" t="s">
        <v>8819</v>
      </c>
      <c r="G3016" s="3">
        <v>0.7</v>
      </c>
      <c r="H3016" s="3">
        <v>-0.2</v>
      </c>
      <c r="I3016" s="3" t="s">
        <v>179</v>
      </c>
      <c r="J3016" s="3" t="s">
        <v>8820</v>
      </c>
      <c r="K3016" s="3" t="s">
        <v>75</v>
      </c>
      <c r="L3016" s="3" t="str">
        <f>IFERROR(__xludf.DUMMYFUNCTION("GOOGLETRANSLATE(F3016,""id"",""en"")"),"Fast goal from France MBAPE World Cup Final Drama Game Begins")</f>
        <v>Fast goal from France MBAPE World Cup Final Drama Game Begins</v>
      </c>
    </row>
    <row r="3017" ht="15.75" customHeight="1">
      <c r="A3017" s="1">
        <v>3033.0</v>
      </c>
      <c r="B3017" s="3" t="s">
        <v>8821</v>
      </c>
      <c r="C3017" s="3">
        <v>0.0</v>
      </c>
      <c r="D3017" s="3">
        <v>0.0</v>
      </c>
      <c r="E3017" s="3">
        <v>0.0</v>
      </c>
      <c r="F3017" s="3" t="s">
        <v>8822</v>
      </c>
      <c r="G3017" s="3">
        <v>1.0</v>
      </c>
      <c r="H3017" s="3">
        <v>0.0</v>
      </c>
      <c r="I3017" s="3" t="s">
        <v>13</v>
      </c>
      <c r="J3017" s="3" t="s">
        <v>8823</v>
      </c>
      <c r="K3017" s="3" t="s">
        <v>15</v>
      </c>
      <c r="L3017" s="3" t="str">
        <f>IFERROR(__xludf.DUMMYFUNCTION("GOOGLETRANSLATE(F3017,""id"",""en"")"),"Argentine World Cup Final Round for France")</f>
        <v>Argentine World Cup Final Round for France</v>
      </c>
    </row>
    <row r="3018" ht="15.75" customHeight="1">
      <c r="A3018" s="1">
        <v>3034.0</v>
      </c>
      <c r="B3018" s="3" t="s">
        <v>8824</v>
      </c>
      <c r="C3018" s="3">
        <v>0.0</v>
      </c>
      <c r="D3018" s="3">
        <v>0.0</v>
      </c>
      <c r="E3018" s="3">
        <v>0.0</v>
      </c>
      <c r="F3018" s="3" t="s">
        <v>8825</v>
      </c>
      <c r="G3018" s="3">
        <v>1.0</v>
      </c>
      <c r="H3018" s="3">
        <v>0.0</v>
      </c>
      <c r="I3018" s="3" t="s">
        <v>13</v>
      </c>
      <c r="J3018" s="3" t="s">
        <v>8826</v>
      </c>
      <c r="K3018" s="3" t="s">
        <v>15</v>
      </c>
      <c r="L3018" s="3" t="str">
        <f>IFERROR(__xludf.DUMMYFUNCTION("GOOGLETRANSLATE(F3018,""id"",""en"")"),"Tomorrow should be leave together in the framework of the World Cup Final")</f>
        <v>Tomorrow should be leave together in the framework of the World Cup Final</v>
      </c>
    </row>
    <row r="3019" ht="15.75" customHeight="1">
      <c r="A3019" s="1">
        <v>3035.0</v>
      </c>
      <c r="B3019" s="3" t="s">
        <v>8827</v>
      </c>
      <c r="C3019" s="3">
        <v>0.0</v>
      </c>
      <c r="D3019" s="3">
        <v>0.0</v>
      </c>
      <c r="E3019" s="3">
        <v>0.0</v>
      </c>
      <c r="F3019" s="3" t="s">
        <v>8828</v>
      </c>
      <c r="G3019" s="3">
        <v>0.85</v>
      </c>
      <c r="H3019" s="3">
        <v>0.4</v>
      </c>
      <c r="I3019" s="3" t="s">
        <v>48</v>
      </c>
      <c r="J3019" s="3" t="s">
        <v>8829</v>
      </c>
      <c r="K3019" s="3" t="s">
        <v>71</v>
      </c>
      <c r="L3019" s="3" t="str">
        <f>IFERROR(__xludf.DUMMYFUNCTION("GOOGLETRANSLATE(F3019,""id"",""en"")"),"This is just the final of the tough world cup like that, so it's so fresh watching it lol")</f>
        <v>This is just the final of the tough world cup like that, so it's so fresh watching it lol</v>
      </c>
    </row>
    <row r="3020" ht="15.75" customHeight="1">
      <c r="A3020" s="1">
        <v>3036.0</v>
      </c>
      <c r="B3020" s="3" t="s">
        <v>8830</v>
      </c>
      <c r="C3020" s="3">
        <v>0.0</v>
      </c>
      <c r="D3020" s="3">
        <v>0.0</v>
      </c>
      <c r="E3020" s="3">
        <v>0.0</v>
      </c>
      <c r="F3020" s="3" t="s">
        <v>8831</v>
      </c>
      <c r="G3020" s="3">
        <v>1.0</v>
      </c>
      <c r="H3020" s="3">
        <v>0.0</v>
      </c>
      <c r="I3020" s="3" t="s">
        <v>13</v>
      </c>
      <c r="J3020" s="3" t="s">
        <v>8832</v>
      </c>
      <c r="K3020" s="3" t="s">
        <v>82</v>
      </c>
      <c r="L3020" s="3" t="str">
        <f>IFERROR(__xludf.DUMMYFUNCTION("GOOGLETRANSLATE(F3020,""id"",""en"")"),"Gilakkkk World Cup Final Drama More Degdegan")</f>
        <v>Gilakkkk World Cup Final Drama More Degdegan</v>
      </c>
    </row>
    <row r="3021" ht="15.75" customHeight="1">
      <c r="A3021" s="1">
        <v>3037.0</v>
      </c>
      <c r="B3021" s="3" t="s">
        <v>8833</v>
      </c>
      <c r="C3021" s="3">
        <v>1.0</v>
      </c>
      <c r="D3021" s="3">
        <v>0.0</v>
      </c>
      <c r="E3021" s="3">
        <v>0.0</v>
      </c>
      <c r="F3021" s="3" t="s">
        <v>8834</v>
      </c>
      <c r="G3021" s="3">
        <v>0.75</v>
      </c>
      <c r="H3021" s="3">
        <v>0.1</v>
      </c>
      <c r="I3021" s="3" t="s">
        <v>48</v>
      </c>
      <c r="J3021" s="3" t="s">
        <v>8835</v>
      </c>
      <c r="K3021" s="3" t="s">
        <v>50</v>
      </c>
      <c r="L3021" s="3" t="str">
        <f>IFERROR(__xludf.DUMMYFUNCTION("GOOGLETRANSLATE(F3021,""id"",""en"")"),"Heeh Rame Kieu Euy Ayaan Sensation of the World Cup Final HAHAHAHA")</f>
        <v>Heeh Rame Kieu Euy Ayaan Sensation of the World Cup Final HAHAHAHA</v>
      </c>
    </row>
    <row r="3022" ht="15.75" customHeight="1">
      <c r="A3022" s="1">
        <v>3038.0</v>
      </c>
      <c r="B3022" s="3" t="s">
        <v>8836</v>
      </c>
      <c r="C3022" s="3">
        <v>0.0</v>
      </c>
      <c r="D3022" s="3">
        <v>0.0</v>
      </c>
      <c r="E3022" s="3">
        <v>0.0</v>
      </c>
      <c r="F3022" s="3" t="s">
        <v>8837</v>
      </c>
      <c r="G3022" s="3">
        <v>0.7</v>
      </c>
      <c r="H3022" s="3">
        <v>0.1</v>
      </c>
      <c r="I3022" s="3" t="s">
        <v>48</v>
      </c>
      <c r="J3022" s="3" t="s">
        <v>8838</v>
      </c>
      <c r="K3022" s="3" t="s">
        <v>15</v>
      </c>
      <c r="L3022" s="3" t="str">
        <f>IFERROR(__xludf.DUMMYFUNCTION("GOOGLETRANSLATE(F3022,""id"",""en"")"),"nan like that, the final of the world cup must be hahaha")</f>
        <v>nan like that, the final of the world cup must be hahaha</v>
      </c>
    </row>
    <row r="3023" ht="15.75" customHeight="1">
      <c r="A3023" s="1">
        <v>3039.0</v>
      </c>
      <c r="B3023" s="3" t="s">
        <v>8839</v>
      </c>
      <c r="C3023" s="3">
        <v>0.0</v>
      </c>
      <c r="D3023" s="3">
        <v>0.0</v>
      </c>
      <c r="E3023" s="3">
        <v>0.0</v>
      </c>
      <c r="F3023" s="3" t="s">
        <v>8840</v>
      </c>
      <c r="G3023" s="3">
        <v>1.0</v>
      </c>
      <c r="H3023" s="3">
        <v>0.0</v>
      </c>
      <c r="I3023" s="3" t="s">
        <v>13</v>
      </c>
      <c r="J3023" s="3" t="s">
        <v>8841</v>
      </c>
      <c r="K3023" s="3" t="s">
        <v>41</v>
      </c>
      <c r="L3023" s="3" t="str">
        <f>IFERROR(__xludf.DUMMYFUNCTION("GOOGLETRANSLATE(F3023,""id"",""en"")"),"for the first time in my life I'm not interested in watching the World Cup final")</f>
        <v>for the first time in my life I'm not interested in watching the World Cup final</v>
      </c>
    </row>
    <row r="3024" ht="15.75" customHeight="1">
      <c r="A3024" s="1">
        <v>3040.0</v>
      </c>
      <c r="B3024" s="3" t="s">
        <v>8842</v>
      </c>
      <c r="C3024" s="3">
        <v>0.0</v>
      </c>
      <c r="D3024" s="3">
        <v>0.0</v>
      </c>
      <c r="E3024" s="3">
        <v>0.0</v>
      </c>
      <c r="F3024" s="3" t="s">
        <v>3253</v>
      </c>
      <c r="G3024" s="3">
        <v>1.0</v>
      </c>
      <c r="H3024" s="3">
        <v>0.0</v>
      </c>
      <c r="I3024" s="3" t="s">
        <v>13</v>
      </c>
      <c r="J3024" s="3" t="s">
        <v>3254</v>
      </c>
      <c r="K3024" s="3" t="s">
        <v>31</v>
      </c>
      <c r="L3024" s="3" t="str">
        <f>IFERROR(__xludf.DUMMYFUNCTION("GOOGLETRANSLATE(F3024,""id"",""en"")"),"This is just the name of the World Cup Final")</f>
        <v>This is just the name of the World Cup Final</v>
      </c>
    </row>
    <row r="3025" ht="15.75" customHeight="1">
      <c r="A3025" s="1">
        <v>3041.0</v>
      </c>
      <c r="B3025" s="3" t="s">
        <v>8843</v>
      </c>
      <c r="C3025" s="3">
        <v>0.0</v>
      </c>
      <c r="D3025" s="3">
        <v>0.0</v>
      </c>
      <c r="E3025" s="3">
        <v>0.0</v>
      </c>
      <c r="F3025" s="3" t="s">
        <v>8844</v>
      </c>
      <c r="G3025" s="3">
        <v>1.0</v>
      </c>
      <c r="H3025" s="3">
        <v>0.0</v>
      </c>
      <c r="I3025" s="3" t="s">
        <v>13</v>
      </c>
      <c r="J3025" s="3" t="s">
        <v>8845</v>
      </c>
      <c r="K3025" s="3" t="s">
        <v>54</v>
      </c>
      <c r="L3025" s="3" t="str">
        <f>IFERROR(__xludf.DUMMYFUNCTION("GOOGLETRANSLATE(F3025,""id"",""en"")"),"Anjirrrr very exciting world cup final")</f>
        <v>Anjirrrr very exciting world cup final</v>
      </c>
    </row>
    <row r="3026" ht="15.75" customHeight="1">
      <c r="A3026" s="1">
        <v>3042.0</v>
      </c>
      <c r="B3026" s="3" t="s">
        <v>8846</v>
      </c>
      <c r="C3026" s="3">
        <v>0.0</v>
      </c>
      <c r="D3026" s="3">
        <v>0.0</v>
      </c>
      <c r="E3026" s="3">
        <v>0.0</v>
      </c>
      <c r="F3026" s="3" t="s">
        <v>8847</v>
      </c>
      <c r="G3026" s="3">
        <v>1.0</v>
      </c>
      <c r="H3026" s="3">
        <v>0.0</v>
      </c>
      <c r="I3026" s="3" t="s">
        <v>13</v>
      </c>
      <c r="J3026" s="3" t="s">
        <v>8848</v>
      </c>
      <c r="K3026" s="3" t="s">
        <v>1097</v>
      </c>
      <c r="L3026" s="3" t="str">
        <f>IFERROR(__xludf.DUMMYFUNCTION("GOOGLETRANSLATE(F3026,""id"",""en"")"),"The final results of the French French French Argentine World Cup")</f>
        <v>The final results of the French French French Argentine World Cup</v>
      </c>
    </row>
    <row r="3027" ht="15.75" customHeight="1">
      <c r="A3027" s="1">
        <v>3043.0</v>
      </c>
      <c r="B3027" s="3" t="s">
        <v>8849</v>
      </c>
      <c r="C3027" s="3">
        <v>0.0</v>
      </c>
      <c r="D3027" s="3">
        <v>0.0</v>
      </c>
      <c r="E3027" s="3">
        <v>0.0</v>
      </c>
      <c r="F3027" s="3" t="s">
        <v>8850</v>
      </c>
      <c r="G3027" s="3">
        <v>1.0</v>
      </c>
      <c r="H3027" s="3">
        <v>0.0</v>
      </c>
      <c r="I3027" s="3" t="s">
        <v>13</v>
      </c>
      <c r="J3027" s="3" t="s">
        <v>7447</v>
      </c>
      <c r="K3027" s="3" t="s">
        <v>644</v>
      </c>
      <c r="L3027" s="3" t="str">
        <f>IFERROR(__xludf.DUMMYFUNCTION("GOOGLETRANSLATE(F3027,""id"",""en"")"),"Crazy World Cup Final")</f>
        <v>Crazy World Cup Final</v>
      </c>
    </row>
    <row r="3028" ht="15.75" customHeight="1">
      <c r="A3028" s="1">
        <v>3044.0</v>
      </c>
      <c r="B3028" s="3" t="s">
        <v>8851</v>
      </c>
      <c r="C3028" s="3">
        <v>1.0</v>
      </c>
      <c r="D3028" s="3">
        <v>0.0</v>
      </c>
      <c r="E3028" s="3">
        <v>0.0</v>
      </c>
      <c r="F3028" s="3" t="s">
        <v>8852</v>
      </c>
      <c r="G3028" s="3">
        <v>1.0</v>
      </c>
      <c r="H3028" s="3">
        <v>0.0</v>
      </c>
      <c r="I3028" s="3" t="s">
        <v>13</v>
      </c>
      <c r="J3028" s="3" t="s">
        <v>3254</v>
      </c>
      <c r="K3028" s="3" t="s">
        <v>31</v>
      </c>
      <c r="L3028" s="3" t="str">
        <f>IFERROR(__xludf.DUMMYFUNCTION("GOOGLETRANSLATE(F3028,""id"",""en"")"),"This is just the name of the World Cup Final")</f>
        <v>This is just the name of the World Cup Final</v>
      </c>
    </row>
    <row r="3029" ht="15.75" customHeight="1">
      <c r="A3029" s="1">
        <v>3045.0</v>
      </c>
      <c r="B3029" s="3" t="s">
        <v>8853</v>
      </c>
      <c r="C3029" s="3">
        <v>0.0</v>
      </c>
      <c r="D3029" s="3">
        <v>0.0</v>
      </c>
      <c r="E3029" s="3">
        <v>0.0</v>
      </c>
      <c r="F3029" s="3" t="s">
        <v>8854</v>
      </c>
      <c r="G3029" s="3">
        <v>1.0</v>
      </c>
      <c r="H3029" s="3">
        <v>0.0</v>
      </c>
      <c r="I3029" s="3" t="s">
        <v>13</v>
      </c>
      <c r="J3029" s="3" t="s">
        <v>8855</v>
      </c>
      <c r="K3029" s="3" t="s">
        <v>35</v>
      </c>
      <c r="L3029" s="3" t="str">
        <f>IFERROR(__xludf.DUMMYFUNCTION("GOOGLETRANSLATE(F3029,""id"",""en"")"),"If you make an application, you need to make it all again to watch the World Cup Final, instead it is really nicknamed")</f>
        <v>If you make an application, you need to make it all again to watch the World Cup Final, instead it is really nicknamed</v>
      </c>
    </row>
    <row r="3030" ht="15.75" customHeight="1">
      <c r="A3030" s="1">
        <v>3046.0</v>
      </c>
      <c r="B3030" s="3" t="s">
        <v>8856</v>
      </c>
      <c r="C3030" s="3">
        <v>0.0</v>
      </c>
      <c r="D3030" s="3">
        <v>0.0</v>
      </c>
      <c r="E3030" s="3">
        <v>0.0</v>
      </c>
      <c r="F3030" s="3" t="s">
        <v>8857</v>
      </c>
      <c r="G3030" s="3">
        <v>0.6</v>
      </c>
      <c r="H3030" s="3">
        <v>-0.05</v>
      </c>
      <c r="I3030" s="3" t="s">
        <v>179</v>
      </c>
      <c r="J3030" s="3" t="s">
        <v>8858</v>
      </c>
      <c r="K3030" s="3" t="s">
        <v>75</v>
      </c>
      <c r="L3030" s="3" t="str">
        <f>IFERROR(__xludf.DUMMYFUNCTION("GOOGLETRANSLATE(F3030,""id"",""en"")"),"Final Plg exciting during watching all the Mental World Cup champions")</f>
        <v>Final Plg exciting during watching all the Mental World Cup champions</v>
      </c>
    </row>
    <row r="3031" ht="15.75" customHeight="1">
      <c r="A3031" s="1">
        <v>3047.0</v>
      </c>
      <c r="B3031" s="3" t="s">
        <v>8859</v>
      </c>
      <c r="C3031" s="3">
        <v>0.0</v>
      </c>
      <c r="D3031" s="3">
        <v>0.0</v>
      </c>
      <c r="E3031" s="3">
        <v>0.0</v>
      </c>
      <c r="F3031" s="3" t="s">
        <v>8860</v>
      </c>
      <c r="G3031" s="3">
        <v>1.0</v>
      </c>
      <c r="H3031" s="3">
        <v>0.0</v>
      </c>
      <c r="I3031" s="3" t="s">
        <v>13</v>
      </c>
      <c r="J3031" s="3" t="s">
        <v>8861</v>
      </c>
      <c r="K3031" s="3" t="s">
        <v>71</v>
      </c>
      <c r="L3031" s="3" t="str">
        <f>IFERROR(__xludf.DUMMYFUNCTION("GOOGLETRANSLATE(F3031,""id"",""en"")"),"can be able to watch again wkwkwk it's okay your champion is extraordinary France for the World Cup Final this year")</f>
        <v>can be able to watch again wkwkwk it's okay your champion is extraordinary France for the World Cup Final this year</v>
      </c>
    </row>
    <row r="3032" ht="15.75" customHeight="1">
      <c r="A3032" s="1">
        <v>3048.0</v>
      </c>
      <c r="B3032" s="3" t="s">
        <v>8862</v>
      </c>
      <c r="C3032" s="3">
        <v>0.0</v>
      </c>
      <c r="D3032" s="3">
        <v>0.0</v>
      </c>
      <c r="E3032" s="3">
        <v>0.0</v>
      </c>
      <c r="F3032" s="3" t="s">
        <v>8863</v>
      </c>
      <c r="G3032" s="3">
        <v>1.0</v>
      </c>
      <c r="H3032" s="3">
        <v>0.0</v>
      </c>
      <c r="I3032" s="3" t="s">
        <v>13</v>
      </c>
      <c r="J3032" s="3" t="s">
        <v>8864</v>
      </c>
      <c r="K3032" s="3" t="s">
        <v>54</v>
      </c>
      <c r="L3032" s="3" t="str">
        <f>IFERROR(__xludf.DUMMYFUNCTION("GOOGLETRANSLATE(F3032,""id"",""en"")"),"The Most Crazy World Cup Final Mbapeeeee")</f>
        <v>The Most Crazy World Cup Final Mbapeeeee</v>
      </c>
    </row>
    <row r="3033" ht="15.75" customHeight="1">
      <c r="A3033" s="1">
        <v>3049.0</v>
      </c>
      <c r="B3033" s="3" t="s">
        <v>8865</v>
      </c>
      <c r="C3033" s="3">
        <v>1.0</v>
      </c>
      <c r="D3033" s="3">
        <v>0.0</v>
      </c>
      <c r="E3033" s="3">
        <v>0.0</v>
      </c>
      <c r="F3033" s="3" t="s">
        <v>8866</v>
      </c>
      <c r="G3033" s="3">
        <v>1.0</v>
      </c>
      <c r="H3033" s="3">
        <v>0.0</v>
      </c>
      <c r="I3033" s="3" t="s">
        <v>13</v>
      </c>
      <c r="J3033" s="3" t="s">
        <v>8867</v>
      </c>
      <c r="K3033" s="3" t="s">
        <v>433</v>
      </c>
      <c r="L3033" s="3" t="str">
        <f>IFERROR(__xludf.DUMMYFUNCTION("GOOGLETRANSLATE(F3033,""id"",""en"")"),"The World Cup is now the final, what are the people of the people watching in front of the alley of my house so crowded")</f>
        <v>The World Cup is now the final, what are the people of the people watching in front of the alley of my house so crowded</v>
      </c>
    </row>
    <row r="3034" ht="15.75" customHeight="1">
      <c r="A3034" s="1">
        <v>3050.0</v>
      </c>
      <c r="B3034" s="3" t="s">
        <v>8868</v>
      </c>
      <c r="C3034" s="3">
        <v>0.0</v>
      </c>
      <c r="D3034" s="3">
        <v>0.0</v>
      </c>
      <c r="E3034" s="3">
        <v>0.0</v>
      </c>
      <c r="F3034" s="3" t="s">
        <v>8869</v>
      </c>
      <c r="G3034" s="3">
        <v>0.7</v>
      </c>
      <c r="H3034" s="3">
        <v>-0.2</v>
      </c>
      <c r="I3034" s="3" t="s">
        <v>179</v>
      </c>
      <c r="J3034" s="3" t="s">
        <v>8870</v>
      </c>
      <c r="K3034" s="3" t="s">
        <v>15</v>
      </c>
      <c r="L3034" s="3" t="str">
        <f>IFERROR(__xludf.DUMMYFUNCTION("GOOGLETRANSLATE(F3034,""id"",""en"")"),"Mbappe again goals again in the French French Argentine game of the World Cup")</f>
        <v>Mbappe again goals again in the French French Argentine game of the World Cup</v>
      </c>
    </row>
    <row r="3035" ht="15.75" customHeight="1">
      <c r="A3035" s="1">
        <v>3051.0</v>
      </c>
      <c r="B3035" s="3" t="s">
        <v>8871</v>
      </c>
      <c r="C3035" s="3">
        <v>0.0</v>
      </c>
      <c r="D3035" s="3">
        <v>0.0</v>
      </c>
      <c r="E3035" s="3">
        <v>0.0</v>
      </c>
      <c r="F3035" s="3" t="s">
        <v>8872</v>
      </c>
      <c r="G3035" s="3">
        <v>1.0</v>
      </c>
      <c r="H3035" s="3">
        <v>0.0</v>
      </c>
      <c r="I3035" s="3" t="s">
        <v>13</v>
      </c>
      <c r="J3035" s="3" t="s">
        <v>8873</v>
      </c>
      <c r="K3035" s="3" t="s">
        <v>31</v>
      </c>
      <c r="L3035" s="3" t="str">
        <f>IFERROR(__xludf.DUMMYFUNCTION("GOOGLETRANSLATE(F3035,""id"",""en"")"),"Now this is the only World Cup final")</f>
        <v>Now this is the only World Cup final</v>
      </c>
    </row>
    <row r="3036" ht="15.75" customHeight="1">
      <c r="A3036" s="1">
        <v>3052.0</v>
      </c>
      <c r="B3036" s="3" t="s">
        <v>8874</v>
      </c>
      <c r="C3036" s="3">
        <v>0.0</v>
      </c>
      <c r="D3036" s="3">
        <v>0.0</v>
      </c>
      <c r="E3036" s="3">
        <v>0.0</v>
      </c>
      <c r="F3036" s="3" t="s">
        <v>8875</v>
      </c>
      <c r="G3036" s="3">
        <v>0.75</v>
      </c>
      <c r="H3036" s="3">
        <v>0.06818181818181818</v>
      </c>
      <c r="I3036" s="3" t="s">
        <v>48</v>
      </c>
      <c r="J3036" s="3" t="s">
        <v>7503</v>
      </c>
      <c r="K3036" s="3" t="s">
        <v>437</v>
      </c>
      <c r="L3036" s="3" t="str">
        <f>IFERROR(__xludf.DUMMYFUNCTION("GOOGLETRANSLATE(F3036,""id"",""en"")"),"GOOHOLL GGOOL AGAIN KYLIAN MBAPPE Argentina France Link Link Live Streaming Argentina France tonight WIB World Cup Final")</f>
        <v>GOOHOLL GGOOL AGAIN KYLIAN MBAPPE Argentina France Link Link Live Streaming Argentina France tonight WIB World Cup Final</v>
      </c>
    </row>
    <row r="3037" ht="15.75" customHeight="1">
      <c r="A3037" s="1">
        <v>3053.0</v>
      </c>
      <c r="B3037" s="3" t="s">
        <v>8876</v>
      </c>
      <c r="C3037" s="3">
        <v>1.0</v>
      </c>
      <c r="D3037" s="3">
        <v>0.0</v>
      </c>
      <c r="E3037" s="3">
        <v>0.0</v>
      </c>
      <c r="F3037" s="3" t="s">
        <v>8877</v>
      </c>
      <c r="G3037" s="3">
        <v>1.0</v>
      </c>
      <c r="H3037" s="3">
        <v>0.0</v>
      </c>
      <c r="I3037" s="3" t="s">
        <v>13</v>
      </c>
      <c r="J3037" s="3" t="s">
        <v>8878</v>
      </c>
      <c r="K3037" s="3" t="s">
        <v>15</v>
      </c>
      <c r="L3037" s="3" t="str">
        <f>IFERROR(__xludf.DUMMYFUNCTION("GOOGLETRANSLATE(F3037,""id"",""en"")"),"Cukkk this world cup until the final wkwkw")</f>
        <v>Cukkk this world cup until the final wkwkw</v>
      </c>
    </row>
    <row r="3038" ht="15.75" customHeight="1">
      <c r="A3038" s="1">
        <v>3054.0</v>
      </c>
      <c r="B3038" s="3" t="s">
        <v>8879</v>
      </c>
      <c r="C3038" s="3">
        <v>0.0</v>
      </c>
      <c r="D3038" s="3">
        <v>0.0</v>
      </c>
      <c r="E3038" s="3">
        <v>0.0</v>
      </c>
      <c r="F3038" s="3" t="s">
        <v>8880</v>
      </c>
      <c r="G3038" s="3">
        <v>1.0</v>
      </c>
      <c r="H3038" s="3">
        <v>0.0</v>
      </c>
      <c r="I3038" s="3" t="s">
        <v>13</v>
      </c>
      <c r="J3038" s="3" t="s">
        <v>8881</v>
      </c>
      <c r="K3038" s="3" t="s">
        <v>41</v>
      </c>
      <c r="L3038" s="3" t="str">
        <f>IFERROR(__xludf.DUMMYFUNCTION("GOOGLETRANSLATE(F3038,""id"",""en"")"),"every five years serving the World Cup Final Ball")</f>
        <v>every five years serving the World Cup Final Ball</v>
      </c>
    </row>
    <row r="3039" ht="15.75" customHeight="1">
      <c r="A3039" s="1">
        <v>3055.0</v>
      </c>
      <c r="B3039" s="3" t="s">
        <v>8882</v>
      </c>
      <c r="C3039" s="3">
        <v>0.0</v>
      </c>
      <c r="D3039" s="3">
        <v>0.0</v>
      </c>
      <c r="E3039" s="3">
        <v>0.0</v>
      </c>
      <c r="F3039" s="3" t="s">
        <v>8883</v>
      </c>
      <c r="G3039" s="3">
        <v>0.7</v>
      </c>
      <c r="H3039" s="3">
        <v>-0.2</v>
      </c>
      <c r="I3039" s="3" t="s">
        <v>179</v>
      </c>
      <c r="J3039" s="3" t="s">
        <v>8884</v>
      </c>
      <c r="K3039" s="3" t="s">
        <v>31</v>
      </c>
      <c r="L3039" s="3" t="str">
        <f>IFERROR(__xludf.DUMMYFUNCTION("GOOGLETRANSLATE(F3039,""id"",""en"")"),"World Cup Final Game")</f>
        <v>World Cup Final Game</v>
      </c>
    </row>
    <row r="3040" ht="15.75" customHeight="1">
      <c r="A3040" s="1">
        <v>3056.0</v>
      </c>
      <c r="B3040" s="3" t="s">
        <v>8885</v>
      </c>
      <c r="C3040" s="3">
        <v>1.0</v>
      </c>
      <c r="D3040" s="3">
        <v>0.0</v>
      </c>
      <c r="E3040" s="3">
        <v>0.0</v>
      </c>
      <c r="F3040" s="3" t="s">
        <v>8886</v>
      </c>
      <c r="G3040" s="3">
        <v>1.0</v>
      </c>
      <c r="H3040" s="3">
        <v>0.0</v>
      </c>
      <c r="I3040" s="3" t="s">
        <v>13</v>
      </c>
      <c r="J3040" s="3" t="s">
        <v>8887</v>
      </c>
      <c r="K3040" s="3" t="s">
        <v>657</v>
      </c>
      <c r="L3040" s="3" t="str">
        <f>IFERROR(__xludf.DUMMYFUNCTION("GOOGLETRANSLATE(F3040,""id"",""en"")"),"Argentina Champion World Cup Locking Angel Maria France Goals Need the Miracle of the Final World Cup Passing")</f>
        <v>Argentina Champion World Cup Locking Angel Maria France Goals Need the Miracle of the Final World Cup Passing</v>
      </c>
    </row>
    <row r="3041" ht="15.75" customHeight="1">
      <c r="A3041" s="1">
        <v>3057.0</v>
      </c>
      <c r="B3041" s="3" t="s">
        <v>8888</v>
      </c>
      <c r="C3041" s="3">
        <v>0.0</v>
      </c>
      <c r="D3041" s="3">
        <v>0.0</v>
      </c>
      <c r="E3041" s="3">
        <v>0.0</v>
      </c>
      <c r="F3041" s="3" t="s">
        <v>8889</v>
      </c>
      <c r="G3041" s="3">
        <v>1.0</v>
      </c>
      <c r="H3041" s="3">
        <v>0.0</v>
      </c>
      <c r="I3041" s="3" t="s">
        <v>13</v>
      </c>
      <c r="J3041" s="3" t="s">
        <v>8890</v>
      </c>
      <c r="K3041" s="3" t="s">
        <v>15</v>
      </c>
      <c r="L3041" s="3" t="str">
        <f>IFERROR(__xludf.DUMMYFUNCTION("GOOGLETRANSLATE(F3041,""id"",""en"")"),"Argentina leads to French French Final of the Qatar World Cup")</f>
        <v>Argentina leads to French French Final of the Qatar World Cup</v>
      </c>
    </row>
    <row r="3042" ht="15.75" customHeight="1">
      <c r="A3042" s="1">
        <v>3058.0</v>
      </c>
      <c r="B3042" s="3" t="s">
        <v>8891</v>
      </c>
      <c r="C3042" s="3">
        <v>0.0</v>
      </c>
      <c r="D3042" s="3">
        <v>0.0</v>
      </c>
      <c r="E3042" s="3">
        <v>0.0</v>
      </c>
      <c r="F3042" s="3" t="s">
        <v>8892</v>
      </c>
      <c r="G3042" s="3">
        <v>0.5555555555555555</v>
      </c>
      <c r="H3042" s="3">
        <v>0.1111111111111111</v>
      </c>
      <c r="I3042" s="3" t="s">
        <v>48</v>
      </c>
      <c r="J3042" s="3" t="s">
        <v>8893</v>
      </c>
      <c r="K3042" s="3" t="s">
        <v>1097</v>
      </c>
      <c r="L3042" s="3" t="str">
        <f>IFERROR(__xludf.DUMMYFUNCTION("GOOGLETRANSLATE(F3042,""id"",""en"")"),"The World Cup Final He didn't play because of the injury as possible if at that time he played his story it would be different")</f>
        <v>The World Cup Final He didn't play because of the injury as possible if at that time he played his story it would be different</v>
      </c>
    </row>
    <row r="3043" ht="15.75" customHeight="1">
      <c r="A3043" s="1">
        <v>3059.0</v>
      </c>
      <c r="B3043" s="3" t="s">
        <v>8894</v>
      </c>
      <c r="C3043" s="3">
        <v>0.0</v>
      </c>
      <c r="D3043" s="3">
        <v>0.0</v>
      </c>
      <c r="E3043" s="3">
        <v>0.0</v>
      </c>
      <c r="F3043" s="3" t="s">
        <v>8895</v>
      </c>
      <c r="G3043" s="3">
        <v>1.0</v>
      </c>
      <c r="H3043" s="3">
        <v>0.0</v>
      </c>
      <c r="I3043" s="3" t="s">
        <v>13</v>
      </c>
      <c r="J3043" s="3" t="s">
        <v>8896</v>
      </c>
      <c r="K3043" s="3" t="s">
        <v>31</v>
      </c>
      <c r="L3043" s="3" t="str">
        <f>IFERROR(__xludf.DUMMYFUNCTION("GOOGLETRANSLATE(F3043,""id"",""en"")"),"the last minute of the World Cup final")</f>
        <v>the last minute of the World Cup final</v>
      </c>
    </row>
    <row r="3044" ht="15.75" customHeight="1">
      <c r="A3044" s="1">
        <v>3060.0</v>
      </c>
      <c r="B3044" s="3" t="s">
        <v>8897</v>
      </c>
      <c r="C3044" s="3">
        <v>0.0</v>
      </c>
      <c r="D3044" s="3">
        <v>0.0</v>
      </c>
      <c r="E3044" s="3">
        <v>0.0</v>
      </c>
      <c r="F3044" s="3" t="s">
        <v>8898</v>
      </c>
      <c r="G3044" s="3">
        <v>1.0</v>
      </c>
      <c r="H3044" s="3">
        <v>0.0</v>
      </c>
      <c r="I3044" s="3" t="s">
        <v>13</v>
      </c>
      <c r="J3044" s="3" t="s">
        <v>8899</v>
      </c>
      <c r="K3044" s="3" t="s">
        <v>695</v>
      </c>
      <c r="L3044" s="3" t="str">
        <f>IFERROR(__xludf.DUMMYFUNCTION("GOOGLETRANSLATE(F3044,""id"",""en"")"),"The house who was excited to watch the World Cup final was not a guy but Mamake while understanding the rule of soccer which was important if the ball was near the goal")</f>
        <v>The house who was excited to watch the World Cup final was not a guy but Mamake while understanding the rule of soccer which was important if the ball was near the goal</v>
      </c>
    </row>
    <row r="3045" ht="15.75" customHeight="1">
      <c r="A3045" s="1">
        <v>3061.0</v>
      </c>
      <c r="B3045" s="3" t="s">
        <v>8900</v>
      </c>
      <c r="C3045" s="3">
        <v>0.0</v>
      </c>
      <c r="D3045" s="3">
        <v>0.0</v>
      </c>
      <c r="E3045" s="3">
        <v>0.0</v>
      </c>
      <c r="F3045" s="3" t="s">
        <v>8901</v>
      </c>
      <c r="G3045" s="3">
        <v>1.0</v>
      </c>
      <c r="H3045" s="3">
        <v>0.0</v>
      </c>
      <c r="I3045" s="3" t="s">
        <v>13</v>
      </c>
      <c r="J3045" s="3" t="s">
        <v>8902</v>
      </c>
      <c r="K3045" s="3" t="s">
        <v>510</v>
      </c>
      <c r="L3045" s="3" t="str">
        <f>IFERROR(__xludf.DUMMYFUNCTION("GOOGLETRANSLATE(F3045,""id"",""en"")"),"Penalty for France Otamendi violating Kylian Mbappe Argentina French World Cup Final")</f>
        <v>Penalty for France Otamendi violating Kylian Mbappe Argentina French World Cup Final</v>
      </c>
    </row>
    <row r="3046" ht="15.75" customHeight="1">
      <c r="A3046" s="1">
        <v>3062.0</v>
      </c>
      <c r="B3046" s="3" t="s">
        <v>8903</v>
      </c>
      <c r="C3046" s="3">
        <v>0.0</v>
      </c>
      <c r="D3046" s="3">
        <v>1.0</v>
      </c>
      <c r="E3046" s="3">
        <v>13.0</v>
      </c>
      <c r="F3046" s="3" t="s">
        <v>957</v>
      </c>
      <c r="G3046" s="3">
        <v>1.0</v>
      </c>
      <c r="H3046" s="3">
        <v>0.0</v>
      </c>
      <c r="I3046" s="3" t="s">
        <v>13</v>
      </c>
      <c r="J3046" s="3" t="s">
        <v>958</v>
      </c>
      <c r="K3046" s="3" t="s">
        <v>75</v>
      </c>
      <c r="L3046" s="3" t="str">
        <f>IFERROR(__xludf.DUMMYFUNCTION("GOOGLETRANSLATE(F3046,""id"",""en"")"),"Menpora and Erick Thohir met FIFA President ahead of the World Cup final")</f>
        <v>Menpora and Erick Thohir met FIFA President ahead of the World Cup final</v>
      </c>
    </row>
    <row r="3047" ht="15.75" customHeight="1">
      <c r="A3047" s="1">
        <v>3063.0</v>
      </c>
      <c r="B3047" s="3" t="s">
        <v>8904</v>
      </c>
      <c r="C3047" s="3">
        <v>0.0</v>
      </c>
      <c r="D3047" s="3">
        <v>1.0</v>
      </c>
      <c r="E3047" s="3">
        <v>2.0</v>
      </c>
      <c r="F3047" s="3" t="s">
        <v>8905</v>
      </c>
      <c r="G3047" s="3">
        <v>0.75</v>
      </c>
      <c r="H3047" s="3">
        <v>0.25</v>
      </c>
      <c r="I3047" s="3" t="s">
        <v>48</v>
      </c>
      <c r="J3047" s="3" t="s">
        <v>8906</v>
      </c>
      <c r="K3047" s="3" t="s">
        <v>127</v>
      </c>
      <c r="L3047" s="3" t="str">
        <f>IFERROR(__xludf.DUMMYFUNCTION("GOOGLETRANSLATE(F3047,""id"",""en"")"),"Argentina performed in the Lusail World Cup Final Iconic Stadium, the Tango Team was superior to the defending champions of France")</f>
        <v>Argentina performed in the Lusail World Cup Final Iconic Stadium, the Tango Team was superior to the defending champions of France</v>
      </c>
    </row>
    <row r="3048" ht="15.75" customHeight="1">
      <c r="A3048" s="1">
        <v>3064.0</v>
      </c>
      <c r="B3048" s="3" t="s">
        <v>8907</v>
      </c>
      <c r="C3048" s="3">
        <v>0.0</v>
      </c>
      <c r="D3048" s="3">
        <v>0.0</v>
      </c>
      <c r="E3048" s="3">
        <v>0.0</v>
      </c>
      <c r="F3048" s="3" t="s">
        <v>8908</v>
      </c>
      <c r="G3048" s="3">
        <v>1.0</v>
      </c>
      <c r="H3048" s="3">
        <v>0.0</v>
      </c>
      <c r="I3048" s="3" t="s">
        <v>13</v>
      </c>
      <c r="J3048" s="3" t="s">
        <v>8909</v>
      </c>
      <c r="K3048" s="3" t="s">
        <v>41</v>
      </c>
      <c r="L3048" s="3" t="str">
        <f>IFERROR(__xludf.DUMMYFUNCTION("GOOGLETRANSLATE(F3048,""id"",""en"")"),"Exciting also watching the World Cup what because of the final euphoria")</f>
        <v>Exciting also watching the World Cup what because of the final euphoria</v>
      </c>
    </row>
    <row r="3049" ht="15.75" customHeight="1">
      <c r="A3049" s="1">
        <v>3065.0</v>
      </c>
      <c r="B3049" s="3" t="s">
        <v>8910</v>
      </c>
      <c r="C3049" s="3">
        <v>0.0</v>
      </c>
      <c r="D3049" s="3">
        <v>0.0</v>
      </c>
      <c r="E3049" s="3">
        <v>1.0</v>
      </c>
      <c r="F3049" s="3" t="s">
        <v>7573</v>
      </c>
      <c r="G3049" s="3">
        <v>0.75</v>
      </c>
      <c r="H3049" s="3">
        <v>0.06818181818181818</v>
      </c>
      <c r="I3049" s="3" t="s">
        <v>48</v>
      </c>
      <c r="J3049" s="3" t="s">
        <v>7574</v>
      </c>
      <c r="K3049" s="3" t="s">
        <v>491</v>
      </c>
      <c r="L3049" s="3" t="str">
        <f>IFERROR(__xludf.DUMMYFUNCTION("GOOGLETRANSLATE(F3049,""id"",""en"")"),"goooollllll goooolllll kylian mbappe Argentina France Link LIVE LIVE STREAMING ARGENTINA France tonight WIB World Cup Final")</f>
        <v>goooollllll goooolllll kylian mbappe Argentina France Link LIVE LIVE STREAMING ARGENTINA France tonight WIB World Cup Final</v>
      </c>
    </row>
    <row r="3050" ht="15.75" customHeight="1">
      <c r="A3050" s="1">
        <v>3066.0</v>
      </c>
      <c r="B3050" s="3" t="s">
        <v>8911</v>
      </c>
      <c r="C3050" s="3">
        <v>0.0</v>
      </c>
      <c r="D3050" s="3">
        <v>0.0</v>
      </c>
      <c r="E3050" s="3">
        <v>0.0</v>
      </c>
      <c r="F3050" s="3" t="s">
        <v>8912</v>
      </c>
      <c r="G3050" s="3">
        <v>1.0</v>
      </c>
      <c r="H3050" s="3">
        <v>0.0</v>
      </c>
      <c r="I3050" s="3" t="s">
        <v>13</v>
      </c>
      <c r="J3050" s="3" t="s">
        <v>8913</v>
      </c>
      <c r="K3050" s="3" t="s">
        <v>15</v>
      </c>
      <c r="L3050" s="3" t="str">
        <f>IFERROR(__xludf.DUMMYFUNCTION("GOOGLETRANSLATE(F3050,""id"",""en"")"),"Amazing video of Allah how is this watching the World Cup Final")</f>
        <v>Amazing video of Allah how is this watching the World Cup Final</v>
      </c>
    </row>
    <row r="3051" ht="15.75" customHeight="1">
      <c r="A3051" s="1">
        <v>3067.0</v>
      </c>
      <c r="B3051" s="3" t="s">
        <v>8914</v>
      </c>
      <c r="C3051" s="3">
        <v>0.0</v>
      </c>
      <c r="D3051" s="3">
        <v>0.0</v>
      </c>
      <c r="E3051" s="3">
        <v>0.0</v>
      </c>
      <c r="F3051" s="3" t="s">
        <v>8915</v>
      </c>
      <c r="G3051" s="3">
        <v>1.0</v>
      </c>
      <c r="H3051" s="3">
        <v>0.0</v>
      </c>
      <c r="I3051" s="3" t="s">
        <v>13</v>
      </c>
      <c r="J3051" s="3" t="s">
        <v>8916</v>
      </c>
      <c r="K3051" s="3" t="s">
        <v>75</v>
      </c>
      <c r="L3051" s="3" t="str">
        <f>IFERROR(__xludf.DUMMYFUNCTION("GOOGLETRANSLATE(F3051,""id"",""en"")"),"This France seems to be the target of entering the final instead of winning the World Cup there")</f>
        <v>This France seems to be the target of entering the final instead of winning the World Cup there</v>
      </c>
    </row>
    <row r="3052" ht="15.75" customHeight="1">
      <c r="A3052" s="1">
        <v>3068.0</v>
      </c>
      <c r="B3052" s="3" t="s">
        <v>8917</v>
      </c>
      <c r="C3052" s="3">
        <v>1.0</v>
      </c>
      <c r="D3052" s="3">
        <v>0.0</v>
      </c>
      <c r="E3052" s="3">
        <v>0.0</v>
      </c>
      <c r="F3052" s="3" t="s">
        <v>8918</v>
      </c>
      <c r="G3052" s="3">
        <v>1.0</v>
      </c>
      <c r="H3052" s="3">
        <v>0.0</v>
      </c>
      <c r="I3052" s="3" t="s">
        <v>13</v>
      </c>
      <c r="J3052" s="3" t="s">
        <v>8919</v>
      </c>
      <c r="K3052" s="3" t="s">
        <v>2869</v>
      </c>
      <c r="L3052" s="3" t="str">
        <f>IFERROR(__xludf.DUMMYFUNCTION("GOOGLETRANSLATE(F3052,""id"",""en"")"),"Maria Final match for Argentina Olympic Gol Champion Copa America Copa America Gol Champion Finalists Gol World Cup Champion Assist Gol")</f>
        <v>Maria Final match for Argentina Olympic Gol Champion Copa America Copa America Gol Champion Finalists Gol World Cup Champion Assist Gol</v>
      </c>
    </row>
    <row r="3053" ht="15.75" customHeight="1">
      <c r="A3053" s="1">
        <v>3069.0</v>
      </c>
      <c r="B3053" s="3" t="s">
        <v>8920</v>
      </c>
      <c r="C3053" s="3">
        <v>0.0</v>
      </c>
      <c r="D3053" s="3">
        <v>0.0</v>
      </c>
      <c r="E3053" s="3">
        <v>0.0</v>
      </c>
      <c r="F3053" s="3" t="s">
        <v>8921</v>
      </c>
      <c r="G3053" s="3">
        <v>0.75</v>
      </c>
      <c r="H3053" s="3">
        <v>0.06818181818181818</v>
      </c>
      <c r="I3053" s="3" t="s">
        <v>48</v>
      </c>
      <c r="J3053" s="3" t="s">
        <v>7625</v>
      </c>
      <c r="K3053" s="3" t="s">
        <v>484</v>
      </c>
      <c r="L3053" s="3" t="str">
        <f>IFERROR(__xludf.DUMMYFUNCTION("GOOGLETRANSLATE(F3053,""id"",""en"")"),"Argentine French Minutes French Link Link Live Streaming Argentina France tonight WIB World Cup Final")</f>
        <v>Argentine French Minutes French Link Link Live Streaming Argentina France tonight WIB World Cup Final</v>
      </c>
    </row>
    <row r="3054" ht="15.75" customHeight="1">
      <c r="A3054" s="1">
        <v>3070.0</v>
      </c>
      <c r="B3054" s="3" t="s">
        <v>8922</v>
      </c>
      <c r="C3054" s="3">
        <v>0.0</v>
      </c>
      <c r="D3054" s="3">
        <v>0.0</v>
      </c>
      <c r="E3054" s="3">
        <v>0.0</v>
      </c>
      <c r="F3054" s="3" t="s">
        <v>8923</v>
      </c>
      <c r="G3054" s="3">
        <v>1.0</v>
      </c>
      <c r="H3054" s="3">
        <v>0.0</v>
      </c>
      <c r="I3054" s="3" t="s">
        <v>13</v>
      </c>
      <c r="J3054" s="3" t="s">
        <v>8924</v>
      </c>
      <c r="K3054" s="3" t="s">
        <v>31</v>
      </c>
      <c r="L3054" s="3" t="str">
        <f>IFERROR(__xludf.DUMMYFUNCTION("GOOGLETRANSLATE(F3054,""id"",""en"")"),"Final Worst Cup Settings")</f>
        <v>Final Worst Cup Settings</v>
      </c>
    </row>
    <row r="3055" ht="15.75" customHeight="1">
      <c r="A3055" s="1">
        <v>3071.0</v>
      </c>
      <c r="B3055" s="3" t="s">
        <v>8925</v>
      </c>
      <c r="C3055" s="3">
        <v>0.0</v>
      </c>
      <c r="D3055" s="3">
        <v>0.0</v>
      </c>
      <c r="E3055" s="3">
        <v>0.0</v>
      </c>
      <c r="F3055" s="3" t="s">
        <v>8926</v>
      </c>
      <c r="G3055" s="3">
        <v>1.0</v>
      </c>
      <c r="H3055" s="3">
        <v>0.0</v>
      </c>
      <c r="I3055" s="3" t="s">
        <v>13</v>
      </c>
      <c r="J3055" s="3" t="s">
        <v>8927</v>
      </c>
      <c r="K3055" s="3" t="s">
        <v>75</v>
      </c>
      <c r="L3055" s="3" t="str">
        <f>IFERROR(__xludf.DUMMYFUNCTION("GOOGLETRANSLATE(F3055,""id"",""en"")"),"Want to be helped what Lyy Btw Lyly Watching the World Cup Final")</f>
        <v>Want to be helped what Lyy Btw Lyly Watching the World Cup Final</v>
      </c>
    </row>
    <row r="3056" ht="15.75" customHeight="1">
      <c r="A3056" s="1">
        <v>3072.0</v>
      </c>
      <c r="B3056" s="3" t="s">
        <v>8928</v>
      </c>
      <c r="C3056" s="3">
        <v>0.0</v>
      </c>
      <c r="D3056" s="3">
        <v>0.0</v>
      </c>
      <c r="E3056" s="3">
        <v>0.0</v>
      </c>
      <c r="F3056" s="3" t="s">
        <v>8929</v>
      </c>
      <c r="G3056" s="3">
        <v>0.75</v>
      </c>
      <c r="H3056" s="3">
        <v>0.06818181818181818</v>
      </c>
      <c r="I3056" s="3" t="s">
        <v>48</v>
      </c>
      <c r="J3056" s="3" t="s">
        <v>8930</v>
      </c>
      <c r="K3056" s="3" t="s">
        <v>491</v>
      </c>
      <c r="L3056" s="3" t="str">
        <f>IFERROR(__xludf.DUMMYFUNCTION("GOOGLETRANSLATE(F3056,""id"",""en"")"),"Minutes France Stage Argentina French French Link Link Streaming Argentina France tonight WIB World Cup Final")</f>
        <v>Minutes France Stage Argentina French French Link Link Streaming Argentina France tonight WIB World Cup Final</v>
      </c>
    </row>
    <row r="3057" ht="15.75" customHeight="1">
      <c r="A3057" s="1">
        <v>3073.0</v>
      </c>
      <c r="B3057" s="3" t="s">
        <v>8931</v>
      </c>
      <c r="C3057" s="3">
        <v>0.0</v>
      </c>
      <c r="D3057" s="3">
        <v>0.0</v>
      </c>
      <c r="E3057" s="3">
        <v>0.0</v>
      </c>
      <c r="F3057" s="3" t="s">
        <v>8932</v>
      </c>
      <c r="G3057" s="3">
        <v>1.0</v>
      </c>
      <c r="H3057" s="3">
        <v>0.0</v>
      </c>
      <c r="I3057" s="3" t="s">
        <v>13</v>
      </c>
      <c r="J3057" s="3" t="s">
        <v>8933</v>
      </c>
      <c r="K3057" s="3" t="s">
        <v>58</v>
      </c>
      <c r="L3057" s="3" t="str">
        <f>IFERROR(__xludf.DUMMYFUNCTION("GOOGLETRANSLATE(F3057,""id"",""en"")"),"Be a world witness by watching the World Cup Final Vidio through IndiHome, let's go now")</f>
        <v>Be a world witness by watching the World Cup Final Vidio through IndiHome, let's go now</v>
      </c>
    </row>
    <row r="3058" ht="15.75" customHeight="1">
      <c r="A3058" s="1">
        <v>3074.0</v>
      </c>
      <c r="B3058" s="3" t="s">
        <v>8934</v>
      </c>
      <c r="C3058" s="3">
        <v>0.0</v>
      </c>
      <c r="D3058" s="3">
        <v>0.0</v>
      </c>
      <c r="E3058" s="3">
        <v>2.0</v>
      </c>
      <c r="F3058" s="3" t="s">
        <v>8935</v>
      </c>
      <c r="G3058" s="3">
        <v>1.0</v>
      </c>
      <c r="H3058" s="3">
        <v>0.0</v>
      </c>
      <c r="I3058" s="3" t="s">
        <v>13</v>
      </c>
      <c r="J3058" s="3" t="s">
        <v>8936</v>
      </c>
      <c r="K3058" s="3" t="s">
        <v>54</v>
      </c>
      <c r="L3058" s="3" t="str">
        <f>IFERROR(__xludf.DUMMYFUNCTION("GOOGLETRANSLATE(F3058,""id"",""en"")"),"The worst World Cup Final of all time")</f>
        <v>The worst World Cup Final of all time</v>
      </c>
    </row>
    <row r="3059" ht="15.75" customHeight="1">
      <c r="A3059" s="1">
        <v>3075.0</v>
      </c>
      <c r="B3059" s="3" t="s">
        <v>8937</v>
      </c>
      <c r="C3059" s="3">
        <v>1.0</v>
      </c>
      <c r="D3059" s="3">
        <v>0.0</v>
      </c>
      <c r="E3059" s="3">
        <v>0.0</v>
      </c>
      <c r="F3059" s="3" t="s">
        <v>8938</v>
      </c>
      <c r="G3059" s="3">
        <v>1.0</v>
      </c>
      <c r="H3059" s="3">
        <v>0.0</v>
      </c>
      <c r="I3059" s="3" t="s">
        <v>13</v>
      </c>
      <c r="J3059" s="3" t="s">
        <v>8939</v>
      </c>
      <c r="K3059" s="3" t="s">
        <v>8940</v>
      </c>
      <c r="L3059" s="3" t="str">
        <f>IFERROR(__xludf.DUMMYFUNCTION("GOOGLETRANSLATE(F3059,""id"",""en"")"),"France player number who plays in Paris Saint Germain scored Final France goal champion World Cup player number who played at Paris Saint Germain scored Argentina's final goal champions World Cup champions")</f>
        <v>France player number who plays in Paris Saint Germain scored Final France goal champion World Cup player number who played at Paris Saint Germain scored Argentina's final goal champions World Cup champions</v>
      </c>
    </row>
    <row r="3060" ht="15.75" customHeight="1">
      <c r="A3060" s="1">
        <v>3076.0</v>
      </c>
      <c r="B3060" s="3" t="s">
        <v>8941</v>
      </c>
      <c r="C3060" s="3">
        <v>0.0</v>
      </c>
      <c r="D3060" s="3">
        <v>0.0</v>
      </c>
      <c r="E3060" s="3">
        <v>0.0</v>
      </c>
      <c r="F3060" s="3" t="s">
        <v>8942</v>
      </c>
      <c r="G3060" s="3">
        <v>1.0</v>
      </c>
      <c r="H3060" s="3">
        <v>0.0</v>
      </c>
      <c r="I3060" s="3" t="s">
        <v>13</v>
      </c>
      <c r="J3060" s="3" t="s">
        <v>8943</v>
      </c>
      <c r="K3060" s="3" t="s">
        <v>71</v>
      </c>
      <c r="L3060" s="3" t="str">
        <f>IFERROR(__xludf.DUMMYFUNCTION("GOOGLETRANSLATE(F3060,""id"",""en"")"),"This is the profile of Adrien Rabiot in the yellow card after labang Paul French World Cup Final match Argentina")</f>
        <v>This is the profile of Adrien Rabiot in the yellow card after labang Paul French World Cup Final match Argentina</v>
      </c>
    </row>
    <row r="3061" ht="15.75" customHeight="1">
      <c r="A3061" s="1">
        <v>3077.0</v>
      </c>
      <c r="B3061" s="3" t="s">
        <v>8944</v>
      </c>
      <c r="C3061" s="3">
        <v>0.0</v>
      </c>
      <c r="D3061" s="3">
        <v>0.0</v>
      </c>
      <c r="E3061" s="3">
        <v>0.0</v>
      </c>
      <c r="F3061" s="3" t="s">
        <v>8945</v>
      </c>
      <c r="G3061" s="3">
        <v>1.0</v>
      </c>
      <c r="H3061" s="3">
        <v>0.0</v>
      </c>
      <c r="I3061" s="3" t="s">
        <v>13</v>
      </c>
      <c r="J3061" s="3" t="s">
        <v>8946</v>
      </c>
      <c r="K3061" s="3" t="s">
        <v>54</v>
      </c>
      <c r="L3061" s="3" t="str">
        <f>IFERROR(__xludf.DUMMYFUNCTION("GOOGLETRANSLATE(F3061,""id"",""en"")"),"Watch the World Cup Final with Papa")</f>
        <v>Watch the World Cup Final with Papa</v>
      </c>
    </row>
    <row r="3062" ht="15.75" customHeight="1">
      <c r="A3062" s="1">
        <v>3078.0</v>
      </c>
      <c r="B3062" s="3" t="s">
        <v>8947</v>
      </c>
      <c r="C3062" s="3">
        <v>0.0</v>
      </c>
      <c r="D3062" s="3">
        <v>0.0</v>
      </c>
      <c r="E3062" s="3">
        <v>0.0</v>
      </c>
      <c r="F3062" s="3" t="s">
        <v>8948</v>
      </c>
      <c r="G3062" s="3">
        <v>1.0</v>
      </c>
      <c r="H3062" s="3">
        <v>0.0</v>
      </c>
      <c r="I3062" s="3" t="s">
        <v>13</v>
      </c>
      <c r="J3062" s="3" t="s">
        <v>8949</v>
      </c>
      <c r="K3062" s="3" t="s">
        <v>50</v>
      </c>
      <c r="L3062" s="3" t="str">
        <f>IFERROR(__xludf.DUMMYFUNCTION("GOOGLETRANSLATE(F3062,""id"",""en"")"),"Expensive Fucking Video Apps Streaming World Cup Streaming Pas Final Error")</f>
        <v>Expensive Fucking Video Apps Streaming World Cup Streaming Pas Final Error</v>
      </c>
    </row>
    <row r="3063" ht="15.75" customHeight="1">
      <c r="A3063" s="1">
        <v>3079.0</v>
      </c>
      <c r="B3063" s="3" t="s">
        <v>8950</v>
      </c>
      <c r="C3063" s="3">
        <v>0.0</v>
      </c>
      <c r="D3063" s="3">
        <v>0.0</v>
      </c>
      <c r="E3063" s="3">
        <v>0.0</v>
      </c>
      <c r="F3063" s="3" t="s">
        <v>8951</v>
      </c>
      <c r="G3063" s="3">
        <v>1.0</v>
      </c>
      <c r="H3063" s="3">
        <v>0.0</v>
      </c>
      <c r="I3063" s="3" t="s">
        <v>13</v>
      </c>
      <c r="J3063" s="3" t="s">
        <v>8952</v>
      </c>
      <c r="K3063" s="3" t="s">
        <v>1157</v>
      </c>
      <c r="L3063" s="3" t="str">
        <f>IFERROR(__xludf.DUMMYFUNCTION("GOOGLETRANSLATE(F3063,""id"",""en"")"),"Acting Regent of Pemalang Hidayat joined the World Cup Final with the Pemalang Regency community, which is located in Pemalang GCC, it looks like Hidayat really enjoyed the game from the two Kira Hidayat teams supporting Argentina France, friend")</f>
        <v>Acting Regent of Pemalang Hidayat joined the World Cup Final with the Pemalang Regency community, which is located in Pemalang GCC, it looks like Hidayat really enjoyed the game from the two Kira Hidayat teams supporting Argentina France, friend</v>
      </c>
    </row>
    <row r="3064" ht="15.75" customHeight="1">
      <c r="A3064" s="1">
        <v>3080.0</v>
      </c>
      <c r="B3064" s="3" t="s">
        <v>8953</v>
      </c>
      <c r="C3064" s="3">
        <v>0.0</v>
      </c>
      <c r="D3064" s="3">
        <v>0.0</v>
      </c>
      <c r="E3064" s="3">
        <v>1.0</v>
      </c>
      <c r="F3064" s="3" t="s">
        <v>8954</v>
      </c>
      <c r="G3064" s="3">
        <v>1.0</v>
      </c>
      <c r="H3064" s="3">
        <v>0.0</v>
      </c>
      <c r="I3064" s="3" t="s">
        <v>13</v>
      </c>
      <c r="J3064" s="3" t="s">
        <v>8955</v>
      </c>
      <c r="K3064" s="3" t="s">
        <v>19</v>
      </c>
      <c r="L3064" s="3" t="str">
        <f>IFERROR(__xludf.DUMMYFUNCTION("GOOGLETRANSLATE(F3064,""id"",""en"")"),"This final is my France but I want to see Messi, how to lift the World Cup")</f>
        <v>This final is my France but I want to see Messi, how to lift the World Cup</v>
      </c>
    </row>
    <row r="3065" ht="15.75" customHeight="1">
      <c r="A3065" s="1">
        <v>3081.0</v>
      </c>
      <c r="B3065" s="3" t="s">
        <v>8956</v>
      </c>
      <c r="C3065" s="3">
        <v>0.0</v>
      </c>
      <c r="D3065" s="3">
        <v>0.0</v>
      </c>
      <c r="E3065" s="3">
        <v>0.0</v>
      </c>
      <c r="F3065" s="3" t="s">
        <v>8957</v>
      </c>
      <c r="G3065" s="3">
        <v>1.0</v>
      </c>
      <c r="H3065" s="3">
        <v>0.0</v>
      </c>
      <c r="I3065" s="3" t="s">
        <v>13</v>
      </c>
      <c r="J3065" s="3" t="s">
        <v>8958</v>
      </c>
      <c r="K3065" s="3" t="s">
        <v>31</v>
      </c>
      <c r="L3065" s="3" t="str">
        <f>IFERROR(__xludf.DUMMYFUNCTION("GOOGLETRANSLATE(F3065,""id"",""en"")"),"World Cup Final Rasa Training")</f>
        <v>World Cup Final Rasa Training</v>
      </c>
    </row>
    <row r="3066" ht="15.75" customHeight="1">
      <c r="A3066" s="1">
        <v>3082.0</v>
      </c>
      <c r="B3066" s="3" t="s">
        <v>8959</v>
      </c>
      <c r="C3066" s="3">
        <v>0.0</v>
      </c>
      <c r="D3066" s="3">
        <v>0.0</v>
      </c>
      <c r="E3066" s="3">
        <v>0.0</v>
      </c>
      <c r="F3066" s="3" t="s">
        <v>8960</v>
      </c>
      <c r="G3066" s="3">
        <v>1.0</v>
      </c>
      <c r="H3066" s="3">
        <v>0.0</v>
      </c>
      <c r="I3066" s="3" t="s">
        <v>13</v>
      </c>
      <c r="J3066" s="3" t="s">
        <v>8961</v>
      </c>
      <c r="K3066" s="3" t="s">
        <v>236</v>
      </c>
      <c r="L3066" s="3" t="str">
        <f>IFERROR(__xludf.DUMMYFUNCTION("GOOGLETRANSLATE(F3066,""id"",""en"")"),"The World Cup Arranges to the final Argentina can be unclear FIFA ASU Penalty")</f>
        <v>The World Cup Arranges to the final Argentina can be unclear FIFA ASU Penalty</v>
      </c>
    </row>
    <row r="3067" ht="15.75" customHeight="1">
      <c r="A3067" s="1">
        <v>3083.0</v>
      </c>
      <c r="B3067" s="3" t="s">
        <v>8962</v>
      </c>
      <c r="C3067" s="3">
        <v>1.0</v>
      </c>
      <c r="D3067" s="3">
        <v>0.0</v>
      </c>
      <c r="E3067" s="3">
        <v>0.0</v>
      </c>
      <c r="F3067" s="3" t="s">
        <v>8963</v>
      </c>
      <c r="G3067" s="3">
        <v>1.0</v>
      </c>
      <c r="H3067" s="3">
        <v>0.0</v>
      </c>
      <c r="I3067" s="3" t="s">
        <v>13</v>
      </c>
      <c r="J3067" s="3" t="s">
        <v>8964</v>
      </c>
      <c r="K3067" s="3" t="s">
        <v>82</v>
      </c>
      <c r="L3067" s="3" t="str">
        <f>IFERROR(__xludf.DUMMYFUNCTION("GOOGLETRANSLATE(F3067,""id"",""en"")"),"The World Cup Final was the most boring to watch")</f>
        <v>The World Cup Final was the most boring to watch</v>
      </c>
    </row>
    <row r="3068" ht="15.75" customHeight="1">
      <c r="A3068" s="1">
        <v>3084.0</v>
      </c>
      <c r="B3068" s="3" t="s">
        <v>8965</v>
      </c>
      <c r="C3068" s="3">
        <v>0.0</v>
      </c>
      <c r="D3068" s="3">
        <v>0.0</v>
      </c>
      <c r="E3068" s="3">
        <v>1.0</v>
      </c>
      <c r="F3068" s="3" t="s">
        <v>8966</v>
      </c>
      <c r="G3068" s="3">
        <v>1.0</v>
      </c>
      <c r="H3068" s="3">
        <v>0.0</v>
      </c>
      <c r="I3068" s="3" t="s">
        <v>13</v>
      </c>
      <c r="J3068" s="3" t="s">
        <v>8967</v>
      </c>
      <c r="K3068" s="3" t="s">
        <v>45</v>
      </c>
      <c r="L3068" s="3" t="str">
        <f>IFERROR(__xludf.DUMMYFUNCTION("GOOGLETRANSLATE(F3068,""id"",""en"")"),"Bhabin Kel Pamulang Barat Aiptu Asep Ruhyana representing Mr. Kapolsek Pamulang carried out the active Nobar Final Football World Cup with residents of the Pamulang Permai Complex Field Blok Kel Pamulang Barat")</f>
        <v>Bhabin Kel Pamulang Barat Aiptu Asep Ruhyana representing Mr. Kapolsek Pamulang carried out the active Nobar Final Football World Cup with residents of the Pamulang Permai Complex Field Blok Kel Pamulang Barat</v>
      </c>
    </row>
    <row r="3069" ht="15.75" customHeight="1">
      <c r="A3069" s="1">
        <v>3085.0</v>
      </c>
      <c r="B3069" s="3" t="s">
        <v>8968</v>
      </c>
      <c r="C3069" s="3">
        <v>0.0</v>
      </c>
      <c r="D3069" s="3">
        <v>0.0</v>
      </c>
      <c r="E3069" s="3">
        <v>0.0</v>
      </c>
      <c r="F3069" s="3" t="s">
        <v>8969</v>
      </c>
      <c r="G3069" s="3">
        <v>1.0</v>
      </c>
      <c r="H3069" s="3">
        <v>0.0</v>
      </c>
      <c r="I3069" s="3" t="s">
        <v>13</v>
      </c>
      <c r="J3069" s="3" t="s">
        <v>8970</v>
      </c>
      <c r="K3069" s="3" t="s">
        <v>41</v>
      </c>
      <c r="L3069" s="3" t="str">
        <f>IFERROR(__xludf.DUMMYFUNCTION("GOOGLETRANSLATE(F3069,""id"",""en"")"),"agree not to win and win the World Cup Final match this year")</f>
        <v>agree not to win and win the World Cup Final match this year</v>
      </c>
    </row>
    <row r="3070" ht="15.75" customHeight="1">
      <c r="A3070" s="1">
        <v>3086.0</v>
      </c>
      <c r="B3070" s="3" t="s">
        <v>8971</v>
      </c>
      <c r="C3070" s="3">
        <v>0.0</v>
      </c>
      <c r="D3070" s="3">
        <v>0.0</v>
      </c>
      <c r="E3070" s="3">
        <v>1.0</v>
      </c>
      <c r="F3070" s="3" t="s">
        <v>8972</v>
      </c>
      <c r="G3070" s="3">
        <v>1.0</v>
      </c>
      <c r="H3070" s="3">
        <v>0.0</v>
      </c>
      <c r="I3070" s="3" t="s">
        <v>13</v>
      </c>
      <c r="J3070" s="3" t="s">
        <v>8973</v>
      </c>
      <c r="K3070" s="3" t="s">
        <v>50</v>
      </c>
      <c r="L3070" s="3" t="str">
        <f>IFERROR(__xludf.DUMMYFUNCTION("GOOGLETRANSLATE(F3070,""id"",""en"")"),"The World Cup Final When Woi From Earlier I Just See Argentina Practice But Display")</f>
        <v>The World Cup Final When Woi From Earlier I Just See Argentina Practice But Display</v>
      </c>
    </row>
    <row r="3071" ht="15.75" customHeight="1">
      <c r="A3071" s="1">
        <v>3087.0</v>
      </c>
      <c r="B3071" s="3" t="s">
        <v>8974</v>
      </c>
      <c r="C3071" s="3">
        <v>1.0</v>
      </c>
      <c r="D3071" s="3">
        <v>0.0</v>
      </c>
      <c r="E3071" s="3">
        <v>0.0</v>
      </c>
      <c r="F3071" s="3" t="s">
        <v>8975</v>
      </c>
      <c r="G3071" s="3">
        <v>1.0</v>
      </c>
      <c r="H3071" s="3">
        <v>0.0</v>
      </c>
      <c r="I3071" s="3" t="s">
        <v>13</v>
      </c>
      <c r="J3071" s="3" t="s">
        <v>8976</v>
      </c>
      <c r="K3071" s="3" t="s">
        <v>240</v>
      </c>
      <c r="L3071" s="3" t="str">
        <f>IFERROR(__xludf.DUMMYFUNCTION("GOOGLETRANSLATE(F3071,""id"",""en"")"),"The first half of Argentina was ahead")</f>
        <v>The first half of Argentina was ahead</v>
      </c>
    </row>
    <row r="3072" ht="15.75" customHeight="1">
      <c r="A3072" s="1">
        <v>3088.0</v>
      </c>
      <c r="B3072" s="3" t="s">
        <v>8977</v>
      </c>
      <c r="C3072" s="3">
        <v>0.0</v>
      </c>
      <c r="D3072" s="3">
        <v>0.0</v>
      </c>
      <c r="E3072" s="3">
        <v>0.0</v>
      </c>
      <c r="F3072" s="3" t="s">
        <v>8978</v>
      </c>
      <c r="G3072" s="3">
        <v>1.0</v>
      </c>
      <c r="H3072" s="3">
        <v>0.0</v>
      </c>
      <c r="I3072" s="3" t="s">
        <v>13</v>
      </c>
      <c r="J3072" s="3" t="s">
        <v>8979</v>
      </c>
      <c r="K3072" s="3" t="s">
        <v>240</v>
      </c>
      <c r="L3072" s="3" t="str">
        <f>IFERROR(__xludf.DUMMYFUNCTION("GOOGLETRANSLATE(F3072,""id"",""en"")"),"just on the minute then this is the most comedy of the Watching World Cup Final Application throughout my life")</f>
        <v>just on the minute then this is the most comedy of the Watching World Cup Final Application throughout my life</v>
      </c>
    </row>
    <row r="3073" ht="15.75" customHeight="1">
      <c r="A3073" s="1">
        <v>3089.0</v>
      </c>
      <c r="B3073" s="3" t="s">
        <v>8980</v>
      </c>
      <c r="C3073" s="3">
        <v>0.0</v>
      </c>
      <c r="D3073" s="3">
        <v>0.0</v>
      </c>
      <c r="E3073" s="3">
        <v>0.0</v>
      </c>
      <c r="F3073" s="3" t="s">
        <v>8981</v>
      </c>
      <c r="G3073" s="3">
        <v>1.0</v>
      </c>
      <c r="H3073" s="3">
        <v>0.0</v>
      </c>
      <c r="I3073" s="3" t="s">
        <v>13</v>
      </c>
      <c r="J3073" s="3" t="s">
        <v>8982</v>
      </c>
      <c r="K3073" s="3" t="s">
        <v>90</v>
      </c>
      <c r="L3073" s="3" t="str">
        <f>IFERROR(__xludf.DUMMYFUNCTION("GOOGLETRANSLATE(F3073,""id"",""en"")"),"Nobar Final World Cup Kel Bangka Police Chief Mampang Prapatan along with three pillars invites residents to work together to create a conducive Kamtibmas situation")</f>
        <v>Nobar Final World Cup Kel Bangka Police Chief Mampang Prapatan along with three pillars invites residents to work together to create a conducive Kamtibmas situation</v>
      </c>
    </row>
    <row r="3074" ht="15.75" customHeight="1">
      <c r="A3074" s="1">
        <v>3090.0</v>
      </c>
      <c r="B3074" s="3" t="s">
        <v>8983</v>
      </c>
      <c r="C3074" s="3">
        <v>0.0</v>
      </c>
      <c r="D3074" s="3">
        <v>0.0</v>
      </c>
      <c r="E3074" s="3">
        <v>3.0</v>
      </c>
      <c r="F3074" s="3" t="s">
        <v>8984</v>
      </c>
      <c r="G3074" s="3">
        <v>1.0</v>
      </c>
      <c r="H3074" s="3">
        <v>0.0</v>
      </c>
      <c r="I3074" s="3" t="s">
        <v>13</v>
      </c>
      <c r="J3074" s="3" t="s">
        <v>8985</v>
      </c>
      <c r="K3074" s="3" t="s">
        <v>699</v>
      </c>
      <c r="L3074" s="3" t="str">
        <f>IFERROR(__xludf.DUMMYFUNCTION("GOOGLETRANSLATE(F3074,""id"",""en"")"),"The Argentine national team faces the French national team in the World Cup final held by Lusail Stadium on Sunday for a while Argentina leads the first round")</f>
        <v>The Argentine national team faces the French national team in the World Cup final held by Lusail Stadium on Sunday for a while Argentina leads the first round</v>
      </c>
    </row>
    <row r="3075" ht="15.75" customHeight="1">
      <c r="A3075" s="1">
        <v>3091.0</v>
      </c>
      <c r="B3075" s="3" t="s">
        <v>8986</v>
      </c>
      <c r="C3075" s="3">
        <v>0.0</v>
      </c>
      <c r="D3075" s="3">
        <v>0.0</v>
      </c>
      <c r="E3075" s="3">
        <v>0.0</v>
      </c>
      <c r="F3075" s="3" t="s">
        <v>8987</v>
      </c>
      <c r="G3075" s="3">
        <v>1.0</v>
      </c>
      <c r="H3075" s="3">
        <v>0.0</v>
      </c>
      <c r="I3075" s="3" t="s">
        <v>13</v>
      </c>
      <c r="J3075" s="3" t="s">
        <v>8988</v>
      </c>
      <c r="K3075" s="3" t="s">
        <v>75</v>
      </c>
      <c r="L3075" s="3" t="str">
        <f>IFERROR(__xludf.DUMMYFUNCTION("GOOGLETRANSLATE(F3075,""id"",""en"")"),"The Final Qatar World Cup Final French is Classmeet High School IPS IPA")</f>
        <v>The Final Qatar World Cup Final French is Classmeet High School IPS IPA</v>
      </c>
    </row>
    <row r="3076" ht="15.75" customHeight="1">
      <c r="A3076" s="1">
        <v>3092.0</v>
      </c>
      <c r="B3076" s="3" t="s">
        <v>8989</v>
      </c>
      <c r="C3076" s="3">
        <v>0.0</v>
      </c>
      <c r="D3076" s="3">
        <v>0.0</v>
      </c>
      <c r="E3076" s="3">
        <v>0.0</v>
      </c>
      <c r="F3076" s="3" t="s">
        <v>8990</v>
      </c>
      <c r="G3076" s="3">
        <v>1.0</v>
      </c>
      <c r="H3076" s="3">
        <v>0.0</v>
      </c>
      <c r="I3076" s="3" t="s">
        <v>13</v>
      </c>
      <c r="J3076" s="3" t="s">
        <v>8991</v>
      </c>
      <c r="K3076" s="3" t="s">
        <v>1335</v>
      </c>
      <c r="L3076" s="3" t="str">
        <f>IFERROR(__xludf.DUMMYFUNCTION("GOOGLETRANSLATE(F3076,""id"",""en"")"),"Another watching the World Cup final watching Barbie Fairytophia")</f>
        <v>Another watching the World Cup final watching Barbie Fairytophia</v>
      </c>
    </row>
    <row r="3077" ht="15.75" customHeight="1">
      <c r="A3077" s="1">
        <v>3093.0</v>
      </c>
      <c r="B3077" s="3" t="s">
        <v>8992</v>
      </c>
      <c r="C3077" s="3">
        <v>0.0</v>
      </c>
      <c r="D3077" s="3">
        <v>0.0</v>
      </c>
      <c r="E3077" s="3">
        <v>0.0</v>
      </c>
      <c r="F3077" s="3" t="s">
        <v>8993</v>
      </c>
      <c r="G3077" s="3">
        <v>1.0</v>
      </c>
      <c r="H3077" s="3">
        <v>0.0</v>
      </c>
      <c r="I3077" s="3" t="s">
        <v>13</v>
      </c>
      <c r="J3077" s="3" t="s">
        <v>8994</v>
      </c>
      <c r="K3077" s="3" t="s">
        <v>123</v>
      </c>
      <c r="L3077" s="3" t="str">
        <f>IFERROR(__xludf.DUMMYFUNCTION("GOOGLETRANSLATE(F3077,""id"",""en"")"),"Prediction of French Argentina Score Final World Cup Stage Lionel Messi or Kylian Mbappe who triumphed world football")</f>
        <v>Prediction of French Argentina Score Final World Cup Stage Lionel Messi or Kylian Mbappe who triumphed world football</v>
      </c>
    </row>
    <row r="3078" ht="15.75" customHeight="1">
      <c r="A3078" s="1">
        <v>3094.0</v>
      </c>
      <c r="B3078" s="3" t="s">
        <v>8995</v>
      </c>
      <c r="C3078" s="3">
        <v>0.0</v>
      </c>
      <c r="D3078" s="3">
        <v>0.0</v>
      </c>
      <c r="E3078" s="3">
        <v>1.0</v>
      </c>
      <c r="F3078" s="3" t="s">
        <v>8996</v>
      </c>
      <c r="G3078" s="3">
        <v>1.0</v>
      </c>
      <c r="H3078" s="3">
        <v>0.0</v>
      </c>
      <c r="I3078" s="3" t="s">
        <v>13</v>
      </c>
      <c r="J3078" s="3" t="s">
        <v>8997</v>
      </c>
      <c r="K3078" s="3" t="s">
        <v>82</v>
      </c>
      <c r="L3078" s="3" t="str">
        <f>IFERROR(__xludf.DUMMYFUNCTION("GOOGLETRANSLATE(F3078,""id"",""en"")"),"This is Argentina's best performance since the World Cup final")</f>
        <v>This is Argentina's best performance since the World Cup final</v>
      </c>
    </row>
    <row r="3079" ht="15.75" customHeight="1">
      <c r="A3079" s="1">
        <v>3095.0</v>
      </c>
      <c r="B3079" s="3" t="s">
        <v>8998</v>
      </c>
      <c r="C3079" s="3">
        <v>0.0</v>
      </c>
      <c r="D3079" s="3">
        <v>0.0</v>
      </c>
      <c r="E3079" s="3">
        <v>0.0</v>
      </c>
      <c r="F3079" s="3" t="s">
        <v>8999</v>
      </c>
      <c r="G3079" s="3">
        <v>1.0</v>
      </c>
      <c r="H3079" s="3">
        <v>0.0</v>
      </c>
      <c r="I3079" s="3" t="s">
        <v>13</v>
      </c>
      <c r="J3079" s="3" t="s">
        <v>9000</v>
      </c>
      <c r="K3079" s="3" t="s">
        <v>374</v>
      </c>
      <c r="L3079" s="3" t="str">
        <f>IFERROR(__xludf.DUMMYFUNCTION("GOOGLETRANSLATE(F3079,""id"",""en"")"),"Acting Tanjung Priok Port Police Chief Commissioner Yunita Natallia Rungkat joined the Vicon Night Appreciation of the Cup Kapolda and Watch Together with the Nobar Nobar World Cup Final Pelni Passenger Terminal with Passengers of the Ship and Tanjung Pri"&amp;"ok Port Workers")</f>
        <v>Acting Tanjung Priok Port Police Chief Commissioner Yunita Natallia Rungkat joined the Vicon Night Appreciation of the Cup Kapolda and Watch Together with the Nobar Nobar World Cup Final Pelni Passenger Terminal with Passengers of the Ship and Tanjung Priok Port Workers</v>
      </c>
    </row>
    <row r="3080" ht="15.75" customHeight="1">
      <c r="A3080" s="1">
        <v>3096.0</v>
      </c>
      <c r="B3080" s="3" t="s">
        <v>9001</v>
      </c>
      <c r="C3080" s="3">
        <v>0.0</v>
      </c>
      <c r="D3080" s="3">
        <v>0.0</v>
      </c>
      <c r="E3080" s="3">
        <v>0.0</v>
      </c>
      <c r="F3080" s="3" t="s">
        <v>9002</v>
      </c>
      <c r="G3080" s="3">
        <v>1.0</v>
      </c>
      <c r="H3080" s="3">
        <v>0.0</v>
      </c>
      <c r="I3080" s="3" t="s">
        <v>13</v>
      </c>
      <c r="J3080" s="3" t="s">
        <v>9003</v>
      </c>
      <c r="K3080" s="3" t="s">
        <v>50</v>
      </c>
      <c r="L3080" s="3" t="str">
        <f>IFERROR(__xludf.DUMMYFUNCTION("GOOGLETRANSLATE(F3080,""id"",""en"")"),"Those who watch the World Cup Final, please be patient tomorrow morning, how come you can again")</f>
        <v>Those who watch the World Cup Final, please be patient tomorrow morning, how come you can again</v>
      </c>
    </row>
    <row r="3081" ht="15.75" customHeight="1">
      <c r="A3081" s="1">
        <v>3097.0</v>
      </c>
      <c r="B3081" s="3" t="s">
        <v>9004</v>
      </c>
      <c r="C3081" s="3">
        <v>0.0</v>
      </c>
      <c r="D3081" s="3">
        <v>2.0</v>
      </c>
      <c r="E3081" s="3">
        <v>2.0</v>
      </c>
      <c r="F3081" s="3" t="s">
        <v>9005</v>
      </c>
      <c r="G3081" s="3">
        <v>1.0</v>
      </c>
      <c r="H3081" s="3">
        <v>0.0</v>
      </c>
      <c r="I3081" s="3" t="s">
        <v>13</v>
      </c>
      <c r="J3081" s="3" t="s">
        <v>9006</v>
      </c>
      <c r="K3081" s="3" t="s">
        <v>41</v>
      </c>
      <c r="L3081" s="3" t="str">
        <f>IFERROR(__xludf.DUMMYFUNCTION("GOOGLETRANSLATE(F3081,""id"",""en"")"),"The first round of the World Cup final managed to lead Argentina with a temporary score")</f>
        <v>The first round of the World Cup final managed to lead Argentina with a temporary score</v>
      </c>
    </row>
    <row r="3082" ht="15.75" customHeight="1">
      <c r="A3082" s="1">
        <v>3098.0</v>
      </c>
      <c r="B3082" s="3" t="s">
        <v>9007</v>
      </c>
      <c r="C3082" s="3">
        <v>0.0</v>
      </c>
      <c r="D3082" s="3">
        <v>0.0</v>
      </c>
      <c r="E3082" s="3">
        <v>0.0</v>
      </c>
      <c r="F3082" s="3" t="s">
        <v>9007</v>
      </c>
      <c r="G3082" s="3">
        <v>1.0</v>
      </c>
      <c r="H3082" s="3">
        <v>0.0</v>
      </c>
      <c r="I3082" s="3" t="s">
        <v>13</v>
      </c>
      <c r="J3082" s="3" t="s">
        <v>9008</v>
      </c>
      <c r="K3082" s="3" t="s">
        <v>31</v>
      </c>
      <c r="L3082" s="3" t="str">
        <f>IFERROR(__xludf.DUMMYFUNCTION("GOOGLETRANSLATE(F3082,""id"",""en"")"),"This is the World Cup final but the AEE plate")</f>
        <v>This is the World Cup final but the AEE plate</v>
      </c>
    </row>
    <row r="3083" ht="15.75" customHeight="1">
      <c r="A3083" s="1">
        <v>3099.0</v>
      </c>
      <c r="B3083" s="3" t="s">
        <v>9009</v>
      </c>
      <c r="C3083" s="3">
        <v>0.0</v>
      </c>
      <c r="D3083" s="3">
        <v>0.0</v>
      </c>
      <c r="E3083" s="3">
        <v>0.0</v>
      </c>
      <c r="F3083" s="3" t="s">
        <v>9010</v>
      </c>
      <c r="G3083" s="3">
        <v>0.75</v>
      </c>
      <c r="H3083" s="3">
        <v>0.06818181818181818</v>
      </c>
      <c r="I3083" s="3" t="s">
        <v>48</v>
      </c>
      <c r="J3083" s="3" t="s">
        <v>9011</v>
      </c>
      <c r="K3083" s="3" t="s">
        <v>1293</v>
      </c>
      <c r="L3083" s="3" t="str">
        <f>IFERROR(__xludf.DUMMYFUNCTION("GOOGLETRANSLATE(F3083,""id"",""en"")"),"Minutes Griezmann Comes Camavinga Entering Argentina France Link Live Streaming Argentina France tonight WIB World Cup Final")</f>
        <v>Minutes Griezmann Comes Camavinga Entering Argentina France Link Live Streaming Argentina France tonight WIB World Cup Final</v>
      </c>
    </row>
    <row r="3084" ht="15.75" customHeight="1">
      <c r="A3084" s="1">
        <v>3100.0</v>
      </c>
      <c r="B3084" s="3" t="s">
        <v>9012</v>
      </c>
      <c r="C3084" s="3">
        <v>0.0</v>
      </c>
      <c r="D3084" s="3">
        <v>0.0</v>
      </c>
      <c r="E3084" s="3">
        <v>2.0</v>
      </c>
      <c r="F3084" s="3" t="s">
        <v>9013</v>
      </c>
      <c r="G3084" s="3">
        <v>1.0</v>
      </c>
      <c r="H3084" s="3">
        <v>0.0</v>
      </c>
      <c r="I3084" s="3" t="s">
        <v>13</v>
      </c>
      <c r="J3084" s="3" t="s">
        <v>9014</v>
      </c>
      <c r="K3084" s="3" t="s">
        <v>75</v>
      </c>
      <c r="L3084" s="3" t="str">
        <f>IFERROR(__xludf.DUMMYFUNCTION("GOOGLETRANSLATE(F3084,""id"",""en"")"),"Expensive Video Fucking Streaming World Cup Streaming Final Error")</f>
        <v>Expensive Video Fucking Streaming World Cup Streaming Final Error</v>
      </c>
    </row>
    <row r="3085" ht="15.75" customHeight="1">
      <c r="A3085" s="1">
        <v>3101.0</v>
      </c>
      <c r="B3085" s="3" t="s">
        <v>9015</v>
      </c>
      <c r="C3085" s="3">
        <v>0.0</v>
      </c>
      <c r="D3085" s="3">
        <v>0.0</v>
      </c>
      <c r="E3085" s="3">
        <v>6.0</v>
      </c>
      <c r="F3085" s="3" t="s">
        <v>9016</v>
      </c>
      <c r="G3085" s="3">
        <v>1.0</v>
      </c>
      <c r="H3085" s="3">
        <v>0.0</v>
      </c>
      <c r="I3085" s="3" t="s">
        <v>13</v>
      </c>
      <c r="J3085" s="3" t="s">
        <v>9017</v>
      </c>
      <c r="K3085" s="3" t="s">
        <v>75</v>
      </c>
      <c r="L3085" s="3" t="str">
        <f>IFERROR(__xludf.DUMMYFUNCTION("GOOGLETRANSLATE(F3085,""id"",""en"")"),"The enthusiasm of the World Cup Final Puan Maharani and Emil Dardak Jagokan Argentina")</f>
        <v>The enthusiasm of the World Cup Final Puan Maharani and Emil Dardak Jagokan Argentina</v>
      </c>
    </row>
    <row r="3086" ht="15.75" customHeight="1">
      <c r="A3086" s="1">
        <v>3102.0</v>
      </c>
      <c r="B3086" s="3" t="s">
        <v>9018</v>
      </c>
      <c r="C3086" s="3">
        <v>0.0</v>
      </c>
      <c r="D3086" s="3">
        <v>0.0</v>
      </c>
      <c r="E3086" s="3">
        <v>0.0</v>
      </c>
      <c r="F3086" s="3" t="s">
        <v>9019</v>
      </c>
      <c r="G3086" s="3">
        <v>1.0</v>
      </c>
      <c r="H3086" s="3">
        <v>0.0</v>
      </c>
      <c r="I3086" s="3" t="s">
        <v>13</v>
      </c>
      <c r="J3086" s="3" t="s">
        <v>9020</v>
      </c>
      <c r="K3086" s="3" t="s">
        <v>54</v>
      </c>
      <c r="L3086" s="3" t="str">
        <f>IFERROR(__xludf.DUMMYFUNCTION("GOOGLETRANSLATE(F3086,""id"",""en"")"),"The intention of Arriving the World Cup Final")</f>
        <v>The intention of Arriving the World Cup Final</v>
      </c>
    </row>
    <row r="3087" ht="15.75" customHeight="1">
      <c r="A3087" s="1">
        <v>3103.0</v>
      </c>
      <c r="B3087" s="3" t="s">
        <v>9021</v>
      </c>
      <c r="C3087" s="3">
        <v>0.0</v>
      </c>
      <c r="D3087" s="3">
        <v>0.0</v>
      </c>
      <c r="E3087" s="3">
        <v>0.0</v>
      </c>
      <c r="F3087" s="3" t="s">
        <v>9022</v>
      </c>
      <c r="G3087" s="3">
        <v>0.6</v>
      </c>
      <c r="H3087" s="3">
        <v>-0.1333333333333333</v>
      </c>
      <c r="I3087" s="3" t="s">
        <v>179</v>
      </c>
      <c r="J3087" s="3" t="s">
        <v>9023</v>
      </c>
      <c r="K3087" s="3" t="s">
        <v>1699</v>
      </c>
      <c r="L3087" s="3" t="str">
        <f>IFERROR(__xludf.DUMMYFUNCTION("GOOGLETRANSLATE(F3087,""id"",""en"")"),"Don't have a favorite team to listen, not watching this world cup final, just made mentality, how do you have a champion team, how about the bet on Gustiii.")</f>
        <v>Don't have a favorite team to listen, not watching this world cup final, just made mentality, how do you have a champion team, how about the bet on Gustiii.</v>
      </c>
    </row>
    <row r="3088" ht="15.75" customHeight="1">
      <c r="A3088" s="1">
        <v>3104.0</v>
      </c>
      <c r="B3088" s="3" t="s">
        <v>9024</v>
      </c>
      <c r="C3088" s="3">
        <v>0.0</v>
      </c>
      <c r="D3088" s="3">
        <v>0.0</v>
      </c>
      <c r="E3088" s="3">
        <v>0.0</v>
      </c>
      <c r="F3088" s="3" t="s">
        <v>9025</v>
      </c>
      <c r="G3088" s="3">
        <v>0.75</v>
      </c>
      <c r="H3088" s="3">
        <v>0.06818181818181818</v>
      </c>
      <c r="I3088" s="3" t="s">
        <v>48</v>
      </c>
      <c r="J3088" s="3" t="s">
        <v>9026</v>
      </c>
      <c r="K3088" s="3" t="s">
        <v>437</v>
      </c>
      <c r="L3088" s="3" t="str">
        <f>IFERROR(__xludf.DUMMYFUNCTION("GOOGLETRANSLATE(F3088,""id"",""en"")"),"Mbappe Kicks Still Starting Argentina France Link Link Live Streaming Argentina France tonight WIB World Cup Final")</f>
        <v>Mbappe Kicks Still Starting Argentina France Link Link Live Streaming Argentina France tonight WIB World Cup Final</v>
      </c>
    </row>
    <row r="3089" ht="15.75" customHeight="1">
      <c r="A3089" s="1">
        <v>3105.0</v>
      </c>
      <c r="B3089" s="3" t="s">
        <v>9027</v>
      </c>
      <c r="C3089" s="3">
        <v>0.0</v>
      </c>
      <c r="D3089" s="3">
        <v>0.0</v>
      </c>
      <c r="E3089" s="3">
        <v>0.0</v>
      </c>
      <c r="F3089" s="3" t="s">
        <v>8261</v>
      </c>
      <c r="G3089" s="3">
        <v>1.0</v>
      </c>
      <c r="H3089" s="3">
        <v>0.0</v>
      </c>
      <c r="I3089" s="3" t="s">
        <v>13</v>
      </c>
      <c r="J3089" s="3" t="s">
        <v>8262</v>
      </c>
      <c r="K3089" s="3" t="s">
        <v>41</v>
      </c>
      <c r="L3089" s="3" t="str">
        <f>IFERROR(__xludf.DUMMYFUNCTION("GOOGLETRANSLATE(F3089,""id"",""en"")"),"The Argentine World Cup final score update is superior to France")</f>
        <v>The Argentine World Cup final score update is superior to France</v>
      </c>
    </row>
    <row r="3090" ht="15.75" customHeight="1">
      <c r="A3090" s="1">
        <v>3106.0</v>
      </c>
      <c r="B3090" s="3" t="s">
        <v>9028</v>
      </c>
      <c r="C3090" s="3">
        <v>0.0</v>
      </c>
      <c r="D3090" s="3">
        <v>0.0</v>
      </c>
      <c r="E3090" s="3">
        <v>0.0</v>
      </c>
      <c r="F3090" s="3" t="s">
        <v>9029</v>
      </c>
      <c r="G3090" s="3">
        <v>1.0</v>
      </c>
      <c r="H3090" s="3">
        <v>0.0</v>
      </c>
      <c r="I3090" s="3" t="s">
        <v>13</v>
      </c>
      <c r="J3090" s="3" t="s">
        <v>9030</v>
      </c>
      <c r="K3090" s="3" t="s">
        <v>71</v>
      </c>
      <c r="L3090" s="3" t="str">
        <f>IFERROR(__xludf.DUMMYFUNCTION("GOOGLETRANSLATE(F3090,""id"",""en"")"),"Prediction Score Argentina French Final World Cup Stage Lionel Messi or Kylian Mbappe who triumphed via")</f>
        <v>Prediction Score Argentina French Final World Cup Stage Lionel Messi or Kylian Mbappe who triumphed via</v>
      </c>
    </row>
    <row r="3091" ht="15.75" customHeight="1">
      <c r="A3091" s="1">
        <v>3107.0</v>
      </c>
      <c r="B3091" s="3" t="s">
        <v>9031</v>
      </c>
      <c r="C3091" s="3">
        <v>1.0</v>
      </c>
      <c r="D3091" s="3">
        <v>0.0</v>
      </c>
      <c r="E3091" s="3">
        <v>0.0</v>
      </c>
      <c r="F3091" s="3" t="s">
        <v>9032</v>
      </c>
      <c r="G3091" s="3">
        <v>0.5222222222222223</v>
      </c>
      <c r="H3091" s="3">
        <v>0.07777777777777779</v>
      </c>
      <c r="I3091" s="3" t="s">
        <v>48</v>
      </c>
      <c r="J3091" s="3" t="s">
        <v>9033</v>
      </c>
      <c r="K3091" s="3" t="s">
        <v>657</v>
      </c>
      <c r="L3091" s="3" t="str">
        <f>IFERROR(__xludf.DUMMYFUNCTION("GOOGLETRANSLATE(F3091,""id"",""en"")"),"If Half Fit Ronaldo, what can I do, what is the final of the World Cup the Hell Deschamps Hope from Rabiot")</f>
        <v>If Half Fit Ronaldo, what can I do, what is the final of the World Cup the Hell Deschamps Hope from Rabiot</v>
      </c>
    </row>
    <row r="3092" ht="15.75" customHeight="1">
      <c r="A3092" s="1">
        <v>3108.0</v>
      </c>
      <c r="B3092" s="3" t="s">
        <v>9034</v>
      </c>
      <c r="C3092" s="3">
        <v>0.0</v>
      </c>
      <c r="D3092" s="3">
        <v>0.0</v>
      </c>
      <c r="E3092" s="3">
        <v>0.0</v>
      </c>
      <c r="F3092" s="3" t="s">
        <v>9035</v>
      </c>
      <c r="G3092" s="3">
        <v>1.0</v>
      </c>
      <c r="H3092" s="3">
        <v>0.0</v>
      </c>
      <c r="I3092" s="3" t="s">
        <v>13</v>
      </c>
      <c r="J3092" s="3" t="s">
        <v>9036</v>
      </c>
      <c r="K3092" s="3" t="s">
        <v>31</v>
      </c>
      <c r="L3092" s="3" t="str">
        <f>IFERROR(__xludf.DUMMYFUNCTION("GOOGLETRANSLATE(F3092,""id"",""en"")"),"the world cup is final")</f>
        <v>the world cup is final</v>
      </c>
    </row>
    <row r="3093" ht="15.75" customHeight="1">
      <c r="A3093" s="1">
        <v>3109.0</v>
      </c>
      <c r="B3093" s="3" t="s">
        <v>9037</v>
      </c>
      <c r="C3093" s="3">
        <v>0.0</v>
      </c>
      <c r="D3093" s="3">
        <v>0.0</v>
      </c>
      <c r="E3093" s="3">
        <v>1.0</v>
      </c>
      <c r="F3093" s="3" t="s">
        <v>9038</v>
      </c>
      <c r="G3093" s="3">
        <v>1.0</v>
      </c>
      <c r="H3093" s="3">
        <v>0.0</v>
      </c>
      <c r="I3093" s="3" t="s">
        <v>13</v>
      </c>
      <c r="J3093" s="3" t="s">
        <v>9039</v>
      </c>
      <c r="K3093" s="3" t="s">
        <v>15</v>
      </c>
      <c r="L3093" s="3" t="str">
        <f>IFERROR(__xludf.DUMMYFUNCTION("GOOGLETRANSLATE(F3093,""id"",""en"")"),"Nobar World Cup Final with Pangdam III SLW")</f>
        <v>Nobar World Cup Final with Pangdam III SLW</v>
      </c>
    </row>
    <row r="3094" ht="15.75" customHeight="1">
      <c r="A3094" s="1">
        <v>3110.0</v>
      </c>
      <c r="B3094" s="3" t="s">
        <v>9040</v>
      </c>
      <c r="C3094" s="3">
        <v>1.0</v>
      </c>
      <c r="D3094" s="3">
        <v>0.0</v>
      </c>
      <c r="E3094" s="3">
        <v>0.0</v>
      </c>
      <c r="F3094" s="3" t="s">
        <v>9041</v>
      </c>
      <c r="G3094" s="3">
        <v>1.0</v>
      </c>
      <c r="H3094" s="3">
        <v>0.0</v>
      </c>
      <c r="I3094" s="3" t="s">
        <v>13</v>
      </c>
      <c r="J3094" s="3" t="s">
        <v>9042</v>
      </c>
      <c r="K3094" s="3" t="s">
        <v>1552</v>
      </c>
      <c r="L3094" s="3" t="str">
        <f>IFERROR(__xludf.DUMMYFUNCTION("GOOGLETRANSLATE(F3094,""id"",""en"")"),"The others are busy with the final of the world cup I am busy with my thoughts.")</f>
        <v>The others are busy with the final of the world cup I am busy with my thoughts.</v>
      </c>
    </row>
    <row r="3095" ht="15.75" customHeight="1">
      <c r="A3095" s="1">
        <v>3111.0</v>
      </c>
      <c r="B3095" s="3" t="s">
        <v>9043</v>
      </c>
      <c r="C3095" s="3">
        <v>0.0</v>
      </c>
      <c r="D3095" s="3">
        <v>0.0</v>
      </c>
      <c r="E3095" s="3">
        <v>0.0</v>
      </c>
      <c r="F3095" s="3" t="s">
        <v>8810</v>
      </c>
      <c r="G3095" s="3">
        <v>1.0</v>
      </c>
      <c r="H3095" s="3">
        <v>0.0</v>
      </c>
      <c r="I3095" s="3" t="s">
        <v>13</v>
      </c>
      <c r="J3095" s="3" t="s">
        <v>8811</v>
      </c>
      <c r="K3095" s="3" t="s">
        <v>50</v>
      </c>
      <c r="L3095" s="3" t="str">
        <f>IFERROR(__xludf.DUMMYFUNCTION("GOOGLETRANSLATE(F3095,""id"",""en"")"),"Perindo Party Holds Nobar Final World Cup Citizens Many benefits can stay in touch")</f>
        <v>Perindo Party Holds Nobar Final World Cup Citizens Many benefits can stay in touch</v>
      </c>
    </row>
    <row r="3096" ht="15.75" customHeight="1">
      <c r="A3096" s="1">
        <v>3112.0</v>
      </c>
      <c r="B3096" s="3" t="s">
        <v>9044</v>
      </c>
      <c r="C3096" s="3">
        <v>0.0</v>
      </c>
      <c r="D3096" s="3">
        <v>0.0</v>
      </c>
      <c r="E3096" s="3">
        <v>0.0</v>
      </c>
      <c r="F3096" s="3" t="s">
        <v>9045</v>
      </c>
      <c r="G3096" s="3">
        <v>0.6</v>
      </c>
      <c r="H3096" s="3">
        <v>-0.05</v>
      </c>
      <c r="I3096" s="3" t="s">
        <v>179</v>
      </c>
      <c r="J3096" s="3" t="s">
        <v>9046</v>
      </c>
      <c r="K3096" s="3" t="s">
        <v>657</v>
      </c>
      <c r="L3096" s="3" t="str">
        <f>IFERROR(__xludf.DUMMYFUNCTION("GOOGLETRANSLATE(F3096,""id"",""en"")"),"The French government should ask the National Commission for Child Protection to protect the mental deck of MBAPE after the Qatar World Cup final")</f>
        <v>The French government should ask the National Commission for Child Protection to protect the mental deck of MBAPE after the Qatar World Cup final</v>
      </c>
    </row>
    <row r="3097" ht="15.75" customHeight="1">
      <c r="A3097" s="1">
        <v>3113.0</v>
      </c>
      <c r="B3097" s="3" t="s">
        <v>9047</v>
      </c>
      <c r="C3097" s="3">
        <v>0.0</v>
      </c>
      <c r="D3097" s="3">
        <v>0.0</v>
      </c>
      <c r="E3097" s="3">
        <v>0.0</v>
      </c>
      <c r="F3097" s="3" t="s">
        <v>9048</v>
      </c>
      <c r="G3097" s="3">
        <v>1.0</v>
      </c>
      <c r="H3097" s="3">
        <v>0.0</v>
      </c>
      <c r="I3097" s="3" t="s">
        <v>13</v>
      </c>
      <c r="J3097" s="3" t="s">
        <v>9049</v>
      </c>
      <c r="K3097" s="3" t="s">
        <v>50</v>
      </c>
      <c r="L3097" s="3" t="str">
        <f>IFERROR(__xludf.DUMMYFUNCTION("GOOGLETRANSLATE(F3097,""id"",""en"")"),"In the past, Argentina was hit by Malaysia, now in the World Cup final")</f>
        <v>In the past, Argentina was hit by Malaysia, now in the World Cup final</v>
      </c>
    </row>
    <row r="3098" ht="15.75" customHeight="1">
      <c r="A3098" s="1">
        <v>3114.0</v>
      </c>
      <c r="B3098" s="3" t="s">
        <v>9050</v>
      </c>
      <c r="C3098" s="3">
        <v>0.0</v>
      </c>
      <c r="D3098" s="3">
        <v>0.0</v>
      </c>
      <c r="E3098" s="3">
        <v>0.0</v>
      </c>
      <c r="F3098" s="3" t="s">
        <v>9051</v>
      </c>
      <c r="G3098" s="3">
        <v>1.0</v>
      </c>
      <c r="H3098" s="3">
        <v>0.0</v>
      </c>
      <c r="I3098" s="3" t="s">
        <v>13</v>
      </c>
      <c r="J3098" s="3" t="s">
        <v>9052</v>
      </c>
      <c r="K3098" s="3" t="s">
        <v>41</v>
      </c>
      <c r="L3098" s="3" t="str">
        <f>IFERROR(__xludf.DUMMYFUNCTION("GOOGLETRANSLATE(F3098,""id"",""en"")"),"watching the World Cup final while creating the father of the country Actorhaein he updated or not")</f>
        <v>watching the World Cup final while creating the father of the country Actorhaein he updated or not</v>
      </c>
    </row>
    <row r="3099" ht="15.75" customHeight="1">
      <c r="A3099" s="1">
        <v>3115.0</v>
      </c>
      <c r="B3099" s="3" t="s">
        <v>9053</v>
      </c>
      <c r="C3099" s="3">
        <v>0.0</v>
      </c>
      <c r="D3099" s="3">
        <v>0.0</v>
      </c>
      <c r="E3099" s="3">
        <v>1.0</v>
      </c>
      <c r="F3099" s="3" t="s">
        <v>9054</v>
      </c>
      <c r="G3099" s="3">
        <v>0.75</v>
      </c>
      <c r="H3099" s="3">
        <v>0.06818181818181818</v>
      </c>
      <c r="I3099" s="3" t="s">
        <v>48</v>
      </c>
      <c r="J3099" s="3" t="s">
        <v>9055</v>
      </c>
      <c r="K3099" s="3" t="s">
        <v>510</v>
      </c>
      <c r="L3099" s="3" t="str">
        <f>IFERROR(__xludf.DUMMYFUNCTION("GOOGLETRANSLATE(F3099,""id"",""en"")"),"Live Streaming of the French Argentine World Cup Final is ongoing Checking the Final Results Score")</f>
        <v>Live Streaming of the French Argentine World Cup Final is ongoing Checking the Final Results Score</v>
      </c>
    </row>
    <row r="3100" ht="15.75" customHeight="1">
      <c r="A3100" s="1">
        <v>3116.0</v>
      </c>
      <c r="B3100" s="3" t="s">
        <v>9056</v>
      </c>
      <c r="C3100" s="3">
        <v>0.0</v>
      </c>
      <c r="D3100" s="3">
        <v>0.0</v>
      </c>
      <c r="E3100" s="3">
        <v>1.0</v>
      </c>
      <c r="F3100" s="3" t="s">
        <v>9057</v>
      </c>
      <c r="G3100" s="3">
        <v>0.75</v>
      </c>
      <c r="H3100" s="3">
        <v>0.06818181818181818</v>
      </c>
      <c r="I3100" s="3" t="s">
        <v>48</v>
      </c>
      <c r="J3100" s="3" t="s">
        <v>9058</v>
      </c>
      <c r="K3100" s="3" t="s">
        <v>71</v>
      </c>
      <c r="L3100" s="3" t="str">
        <f>IFERROR(__xludf.DUMMYFUNCTION("GOOGLETRANSLATE(F3100,""id"",""en"")"),"The live streaming round of the Argentine French World Cup final is ongoing a check score of the final result")</f>
        <v>The live streaming round of the Argentine French World Cup final is ongoing a check score of the final result</v>
      </c>
    </row>
    <row r="3101" ht="15.75" customHeight="1">
      <c r="A3101" s="1">
        <v>3117.0</v>
      </c>
      <c r="B3101" s="3" t="s">
        <v>9059</v>
      </c>
      <c r="C3101" s="3">
        <v>0.0</v>
      </c>
      <c r="D3101" s="3">
        <v>0.0</v>
      </c>
      <c r="E3101" s="3">
        <v>0.0</v>
      </c>
      <c r="F3101" s="3" t="s">
        <v>9060</v>
      </c>
      <c r="G3101" s="3">
        <v>1.0</v>
      </c>
      <c r="H3101" s="3">
        <v>0.0</v>
      </c>
      <c r="I3101" s="3" t="s">
        <v>13</v>
      </c>
      <c r="J3101" s="3" t="s">
        <v>9061</v>
      </c>
      <c r="K3101" s="3" t="s">
        <v>82</v>
      </c>
      <c r="L3101" s="3" t="str">
        <f>IFERROR(__xludf.DUMMYFUNCTION("GOOGLETRANSLATE(F3101,""id"",""en"")"),"Argentine World Cup Final Temporarily Excellent over France")</f>
        <v>Argentine World Cup Final Temporarily Excellent over France</v>
      </c>
    </row>
    <row r="3102" ht="15.75" customHeight="1">
      <c r="A3102" s="1">
        <v>3118.0</v>
      </c>
      <c r="B3102" s="3" t="s">
        <v>9062</v>
      </c>
      <c r="C3102" s="3">
        <v>0.0</v>
      </c>
      <c r="D3102" s="3">
        <v>0.0</v>
      </c>
      <c r="E3102" s="3">
        <v>1.0</v>
      </c>
      <c r="F3102" s="3" t="s">
        <v>9057</v>
      </c>
      <c r="G3102" s="3">
        <v>0.75</v>
      </c>
      <c r="H3102" s="3">
        <v>0.06818181818181818</v>
      </c>
      <c r="I3102" s="3" t="s">
        <v>48</v>
      </c>
      <c r="J3102" s="3" t="s">
        <v>9058</v>
      </c>
      <c r="K3102" s="3" t="s">
        <v>71</v>
      </c>
      <c r="L3102" s="3" t="str">
        <f>IFERROR(__xludf.DUMMYFUNCTION("GOOGLETRANSLATE(F3102,""id"",""en"")"),"The live streaming round of the Argentine French World Cup final is ongoing a check score of the final result")</f>
        <v>The live streaming round of the Argentine French World Cup final is ongoing a check score of the final result</v>
      </c>
    </row>
    <row r="3103" ht="15.75" customHeight="1">
      <c r="A3103" s="1">
        <v>3119.0</v>
      </c>
      <c r="B3103" s="3" t="s">
        <v>9063</v>
      </c>
      <c r="C3103" s="3">
        <v>0.0</v>
      </c>
      <c r="D3103" s="3">
        <v>0.0</v>
      </c>
      <c r="E3103" s="3">
        <v>0.0</v>
      </c>
      <c r="F3103" s="3" t="s">
        <v>9064</v>
      </c>
      <c r="G3103" s="3">
        <v>1.0</v>
      </c>
      <c r="H3103" s="3">
        <v>0.0</v>
      </c>
      <c r="I3103" s="3" t="s">
        <v>13</v>
      </c>
      <c r="J3103" s="3" t="s">
        <v>9065</v>
      </c>
      <c r="K3103" s="3" t="s">
        <v>823</v>
      </c>
      <c r="L3103" s="3" t="str">
        <f>IFERROR(__xludf.DUMMYFUNCTION("GOOGLETRANSLATE(F3103,""id"",""en"")"),"Our boss server video employee is only able to serve millions of customers currently there are million customers who want to watch the World Cup Final Boss Vidio Easy Log Out automatically every minute of turns to watch it to be fair")</f>
        <v>Our boss server video employee is only able to serve millions of customers currently there are million customers who want to watch the World Cup Final Boss Vidio Easy Log Out automatically every minute of turns to watch it to be fair</v>
      </c>
    </row>
    <row r="3104" ht="15.75" customHeight="1">
      <c r="A3104" s="1">
        <v>3120.0</v>
      </c>
      <c r="B3104" s="3" t="s">
        <v>9066</v>
      </c>
      <c r="C3104" s="3">
        <v>0.0</v>
      </c>
      <c r="D3104" s="3">
        <v>0.0</v>
      </c>
      <c r="E3104" s="3">
        <v>0.0</v>
      </c>
      <c r="F3104" s="3" t="s">
        <v>9067</v>
      </c>
      <c r="G3104" s="3">
        <v>1.0</v>
      </c>
      <c r="H3104" s="3">
        <v>0.0</v>
      </c>
      <c r="I3104" s="3" t="s">
        <v>13</v>
      </c>
      <c r="J3104" s="3" t="s">
        <v>9068</v>
      </c>
      <c r="K3104" s="3" t="s">
        <v>90</v>
      </c>
      <c r="L3104" s="3" t="str">
        <f>IFERROR(__xludf.DUMMYFUNCTION("GOOGLETRANSLATE(F3104,""id"",""en"")"),"The videos should know how enthusiastic the world cup is only this year")</f>
        <v>The videos should know how enthusiastic the world cup is only this year</v>
      </c>
    </row>
    <row r="3105" ht="15.75" customHeight="1">
      <c r="A3105" s="1">
        <v>3121.0</v>
      </c>
      <c r="B3105" s="3" t="s">
        <v>9069</v>
      </c>
      <c r="C3105" s="3">
        <v>0.0</v>
      </c>
      <c r="D3105" s="3">
        <v>0.0</v>
      </c>
      <c r="E3105" s="3">
        <v>0.0</v>
      </c>
      <c r="F3105" s="3" t="s">
        <v>9070</v>
      </c>
      <c r="G3105" s="3">
        <v>0.75</v>
      </c>
      <c r="H3105" s="3">
        <v>0.06818181818181818</v>
      </c>
      <c r="I3105" s="3" t="s">
        <v>48</v>
      </c>
      <c r="J3105" s="3" t="s">
        <v>9071</v>
      </c>
      <c r="K3105" s="3" t="s">
        <v>358</v>
      </c>
      <c r="L3105" s="3" t="str">
        <f>IFERROR(__xludf.DUMMYFUNCTION("GOOGLETRANSLATE(F3105,""id"",""en"")"),"Minutes Maria came out of Argentina attacks with French Argentina Link Link Live Streaming Argentina France tonight WIB World Cup Final")</f>
        <v>Minutes Maria came out of Argentina attacks with French Argentina Link Link Live Streaming Argentina France tonight WIB World Cup Final</v>
      </c>
    </row>
    <row r="3106" ht="15.75" customHeight="1">
      <c r="A3106" s="1">
        <v>3122.0</v>
      </c>
      <c r="B3106" s="3" t="s">
        <v>9072</v>
      </c>
      <c r="C3106" s="3">
        <v>0.0</v>
      </c>
      <c r="D3106" s="3">
        <v>0.0</v>
      </c>
      <c r="E3106" s="3">
        <v>2.0</v>
      </c>
      <c r="F3106" s="3" t="s">
        <v>9073</v>
      </c>
      <c r="G3106" s="3">
        <v>1.0</v>
      </c>
      <c r="H3106" s="3">
        <v>0.0</v>
      </c>
      <c r="I3106" s="3" t="s">
        <v>13</v>
      </c>
      <c r="J3106" s="3" t="s">
        <v>9074</v>
      </c>
      <c r="K3106" s="3" t="s">
        <v>71</v>
      </c>
      <c r="L3106" s="3" t="str">
        <f>IFERROR(__xludf.DUMMYFUNCTION("GOOGLETRANSLATE(F3106,""id"",""en"")"),"Argentina and France will meet the World Cup final in addition to the expertise of the ball there are some players who stole attention because of their good looks")</f>
        <v>Argentina and France will meet the World Cup final in addition to the expertise of the ball there are some players who stole attention because of their good looks</v>
      </c>
    </row>
    <row r="3107" ht="15.75" customHeight="1">
      <c r="A3107" s="1">
        <v>3123.0</v>
      </c>
      <c r="B3107" s="3" t="s">
        <v>9075</v>
      </c>
      <c r="C3107" s="3">
        <v>0.0</v>
      </c>
      <c r="D3107" s="3">
        <v>0.0</v>
      </c>
      <c r="E3107" s="3">
        <v>0.0</v>
      </c>
      <c r="F3107" s="3" t="s">
        <v>9076</v>
      </c>
      <c r="G3107" s="3">
        <v>1.0</v>
      </c>
      <c r="H3107" s="3">
        <v>0.0</v>
      </c>
      <c r="I3107" s="3" t="s">
        <v>13</v>
      </c>
      <c r="J3107" s="3" t="s">
        <v>9077</v>
      </c>
      <c r="K3107" s="3" t="s">
        <v>50</v>
      </c>
      <c r="L3107" s="3" t="str">
        <f>IFERROR(__xludf.DUMMYFUNCTION("GOOGLETRANSLATE(F3107,""id"",""en"")"),"Mba Nana Is the World Cup Final There is a French score setting why is it playing with wadadaww")</f>
        <v>Mba Nana Is the World Cup Final There is a French score setting why is it playing with wadadaww</v>
      </c>
    </row>
    <row r="3108" ht="15.75" customHeight="1">
      <c r="A3108" s="1">
        <v>3124.0</v>
      </c>
      <c r="B3108" s="3" t="s">
        <v>9078</v>
      </c>
      <c r="C3108" s="3">
        <v>0.0</v>
      </c>
      <c r="D3108" s="3">
        <v>0.0</v>
      </c>
      <c r="E3108" s="3">
        <v>0.0</v>
      </c>
      <c r="F3108" s="3" t="s">
        <v>9079</v>
      </c>
      <c r="G3108" s="3">
        <v>1.0</v>
      </c>
      <c r="H3108" s="3">
        <v>0.0</v>
      </c>
      <c r="I3108" s="3" t="s">
        <v>13</v>
      </c>
      <c r="J3108" s="3" t="s">
        <v>9080</v>
      </c>
      <c r="K3108" s="3" t="s">
        <v>71</v>
      </c>
      <c r="L3108" s="3" t="str">
        <f>IFERROR(__xludf.DUMMYFUNCTION("GOOGLETRANSLATE(F3108,""id"",""en"")"),"Argentina temporarily ahead")</f>
        <v>Argentina temporarily ahead</v>
      </c>
    </row>
    <row r="3109" ht="15.75" customHeight="1">
      <c r="A3109" s="1">
        <v>3125.0</v>
      </c>
      <c r="B3109" s="3" t="s">
        <v>9081</v>
      </c>
      <c r="C3109" s="3">
        <v>0.0</v>
      </c>
      <c r="D3109" s="3">
        <v>8.0</v>
      </c>
      <c r="E3109" s="3">
        <v>10.0</v>
      </c>
      <c r="F3109" s="3" t="s">
        <v>8117</v>
      </c>
      <c r="G3109" s="3">
        <v>0.825</v>
      </c>
      <c r="H3109" s="3">
        <v>0.1340909090909091</v>
      </c>
      <c r="I3109" s="3" t="s">
        <v>48</v>
      </c>
      <c r="J3109" s="3" t="s">
        <v>8118</v>
      </c>
      <c r="K3109" s="3" t="s">
        <v>603</v>
      </c>
      <c r="L3109" s="3" t="str">
        <f>IFERROR(__xludf.DUMMYFUNCTION("GOOGLETRANSLATE(F3109,""id"",""en"")"),"Final World Cup Live Streaming Free Link Argentina French FIFA World Cup Qatar Argentina Argentina Francia Final Del Mundial")</f>
        <v>Final World Cup Live Streaming Free Link Argentina French FIFA World Cup Qatar Argentina Argentina Francia Final Del Mundial</v>
      </c>
    </row>
    <row r="3110" ht="15.75" customHeight="1">
      <c r="A3110" s="1">
        <v>3126.0</v>
      </c>
      <c r="B3110" s="3" t="s">
        <v>9082</v>
      </c>
      <c r="C3110" s="3">
        <v>0.0</v>
      </c>
      <c r="D3110" s="3">
        <v>0.0</v>
      </c>
      <c r="E3110" s="3">
        <v>0.0</v>
      </c>
      <c r="F3110" s="3" t="s">
        <v>9083</v>
      </c>
      <c r="G3110" s="3">
        <v>1.0</v>
      </c>
      <c r="H3110" s="3">
        <v>0.0</v>
      </c>
      <c r="I3110" s="3" t="s">
        <v>13</v>
      </c>
      <c r="J3110" s="3" t="s">
        <v>9084</v>
      </c>
      <c r="K3110" s="3" t="s">
        <v>942</v>
      </c>
      <c r="L3110" s="3" t="str">
        <f>IFERROR(__xludf.DUMMYFUNCTION("GOOGLETRANSLATE(F3110,""id"",""en"")"),"Uing wants the World Cup final until the penalty shootout until the goalkeeper kicks the penalty")</f>
        <v>Uing wants the World Cup final until the penalty shootout until the goalkeeper kicks the penalty</v>
      </c>
    </row>
    <row r="3111" ht="15.75" customHeight="1">
      <c r="A3111" s="1">
        <v>3127.0</v>
      </c>
      <c r="B3111" s="3" t="s">
        <v>9085</v>
      </c>
      <c r="C3111" s="3">
        <v>0.0</v>
      </c>
      <c r="D3111" s="3">
        <v>0.0</v>
      </c>
      <c r="E3111" s="3">
        <v>0.0</v>
      </c>
      <c r="F3111" s="3" t="s">
        <v>9086</v>
      </c>
      <c r="G3111" s="3">
        <v>1.0</v>
      </c>
      <c r="H3111" s="3">
        <v>0.0</v>
      </c>
      <c r="I3111" s="3" t="s">
        <v>13</v>
      </c>
      <c r="J3111" s="3" t="s">
        <v>9087</v>
      </c>
      <c r="K3111" s="3" t="s">
        <v>123</v>
      </c>
      <c r="L3111" s="3" t="str">
        <f>IFERROR(__xludf.DUMMYFUNCTION("GOOGLETRANSLATE(F3111,""id"",""en"")"),"From the beginning the World Cup has supported France when I entered the final, how come you play cis cis")</f>
        <v>From the beginning the World Cup has supported France when I entered the final, how come you play cis cis</v>
      </c>
    </row>
    <row r="3112" ht="15.75" customHeight="1">
      <c r="A3112" s="1">
        <v>3128.0</v>
      </c>
      <c r="B3112" s="3" t="s">
        <v>9088</v>
      </c>
      <c r="C3112" s="3">
        <v>0.0</v>
      </c>
      <c r="D3112" s="3">
        <v>0.0</v>
      </c>
      <c r="E3112" s="3">
        <v>0.0</v>
      </c>
      <c r="F3112" s="3" t="s">
        <v>9089</v>
      </c>
      <c r="G3112" s="3">
        <v>1.0</v>
      </c>
      <c r="H3112" s="3">
        <v>0.0</v>
      </c>
      <c r="I3112" s="3" t="s">
        <v>13</v>
      </c>
      <c r="J3112" s="3" t="s">
        <v>9090</v>
      </c>
      <c r="K3112" s="3" t="s">
        <v>82</v>
      </c>
      <c r="L3112" s="3" t="str">
        <f>IFERROR(__xludf.DUMMYFUNCTION("GOOGLETRANSLATE(F3112,""id"",""en"")"),"The luck is the World Cup final on Sunday wwkwkwkwk")</f>
        <v>The luck is the World Cup final on Sunday wwkwkwkwk</v>
      </c>
    </row>
    <row r="3113" ht="15.75" customHeight="1">
      <c r="A3113" s="1">
        <v>3129.0</v>
      </c>
      <c r="B3113" s="3" t="s">
        <v>9091</v>
      </c>
      <c r="C3113" s="3">
        <v>0.0</v>
      </c>
      <c r="D3113" s="3">
        <v>0.0</v>
      </c>
      <c r="E3113" s="3">
        <v>0.0</v>
      </c>
      <c r="F3113" s="3" t="s">
        <v>9092</v>
      </c>
      <c r="G3113" s="3">
        <v>1.0</v>
      </c>
      <c r="H3113" s="3">
        <v>0.0</v>
      </c>
      <c r="I3113" s="3" t="s">
        <v>13</v>
      </c>
      <c r="J3113" s="3" t="s">
        <v>9093</v>
      </c>
      <c r="K3113" s="3" t="s">
        <v>19</v>
      </c>
      <c r="L3113" s="3" t="str">
        <f>IFERROR(__xludf.DUMMYFUNCTION("GOOGLETRANSLATE(F3113,""id"",""en"")"),"Kelaaass miiinn waiting once years to watch the world cup final instead like this")</f>
        <v>Kelaaass miiinn waiting once years to watch the world cup final instead like this</v>
      </c>
    </row>
    <row r="3114" ht="15.75" customHeight="1">
      <c r="A3114" s="1">
        <v>3130.0</v>
      </c>
      <c r="B3114" s="3" t="s">
        <v>9094</v>
      </c>
      <c r="C3114" s="3">
        <v>1.0</v>
      </c>
      <c r="D3114" s="3">
        <v>0.0</v>
      </c>
      <c r="E3114" s="3">
        <v>9.0</v>
      </c>
      <c r="F3114" s="3" t="s">
        <v>9095</v>
      </c>
      <c r="G3114" s="3">
        <v>1.0</v>
      </c>
      <c r="H3114" s="3">
        <v>0.0</v>
      </c>
      <c r="I3114" s="3" t="s">
        <v>13</v>
      </c>
      <c r="J3114" s="3" t="s">
        <v>9096</v>
      </c>
      <c r="K3114" s="3" t="s">
        <v>510</v>
      </c>
      <c r="L3114" s="3" t="str">
        <f>IFERROR(__xludf.DUMMYFUNCTION("GOOGLETRANSLATE(F3114,""id"",""en"")"),"It is said that after France lost the final of the World Cup Griezman to turn a professional seeker")</f>
        <v>It is said that after France lost the final of the World Cup Griezman to turn a professional seeker</v>
      </c>
    </row>
    <row r="3115" ht="15.75" customHeight="1">
      <c r="A3115" s="1">
        <v>3131.0</v>
      </c>
      <c r="B3115" s="3" t="s">
        <v>9097</v>
      </c>
      <c r="C3115" s="3">
        <v>0.0</v>
      </c>
      <c r="D3115" s="3">
        <v>1.0</v>
      </c>
      <c r="E3115" s="3">
        <v>0.0</v>
      </c>
      <c r="F3115" s="3" t="s">
        <v>9098</v>
      </c>
      <c r="G3115" s="3">
        <v>1.0</v>
      </c>
      <c r="H3115" s="3">
        <v>0.0</v>
      </c>
      <c r="I3115" s="3" t="s">
        <v>13</v>
      </c>
      <c r="J3115" s="3" t="s">
        <v>9099</v>
      </c>
      <c r="K3115" s="3" t="s">
        <v>510</v>
      </c>
      <c r="L3115" s="3" t="str">
        <f>IFERROR(__xludf.DUMMYFUNCTION("GOOGLETRANSLATE(F3115,""id"",""en"")"),"Tips for guessing the winner of the Qatar World Cup final seeing the guesses of choosing their opponents, hopefully lucky")</f>
        <v>Tips for guessing the winner of the Qatar World Cup final seeing the guesses of choosing their opponents, hopefully lucky</v>
      </c>
    </row>
    <row r="3116" ht="15.75" customHeight="1">
      <c r="A3116" s="1">
        <v>3132.0</v>
      </c>
      <c r="B3116" s="3" t="s">
        <v>9100</v>
      </c>
      <c r="C3116" s="3">
        <v>0.0</v>
      </c>
      <c r="D3116" s="3">
        <v>1.0</v>
      </c>
      <c r="E3116" s="3">
        <v>0.0</v>
      </c>
      <c r="F3116" s="3" t="s">
        <v>9101</v>
      </c>
      <c r="G3116" s="3">
        <v>1.0</v>
      </c>
      <c r="H3116" s="3">
        <v>0.0</v>
      </c>
      <c r="I3116" s="3" t="s">
        <v>13</v>
      </c>
      <c r="J3116" s="3" t="s">
        <v>9102</v>
      </c>
      <c r="K3116" s="3" t="s">
        <v>358</v>
      </c>
      <c r="L3116" s="3" t="str">
        <f>IFERROR(__xludf.DUMMYFUNCTION("GOOGLETRANSLATE(F3116,""id"",""en"")"),"Argentina French Final World Cup's eyes The hands of Argentine Stars Lionel Messi reminded me of the Eye Providence of the French Human Rights Declaration")</f>
        <v>Argentina French Final World Cup's eyes The hands of Argentine Stars Lionel Messi reminded me of the Eye Providence of the French Human Rights Declaration</v>
      </c>
    </row>
    <row r="3117" ht="15.75" customHeight="1">
      <c r="A3117" s="1">
        <v>3133.0</v>
      </c>
      <c r="B3117" s="3" t="s">
        <v>9103</v>
      </c>
      <c r="C3117" s="3">
        <v>0.0</v>
      </c>
      <c r="D3117" s="3">
        <v>0.0</v>
      </c>
      <c r="E3117" s="3">
        <v>0.0</v>
      </c>
      <c r="F3117" s="3" t="s">
        <v>9104</v>
      </c>
      <c r="G3117" s="3">
        <v>1.0</v>
      </c>
      <c r="H3117" s="3">
        <v>0.0</v>
      </c>
      <c r="I3117" s="3" t="s">
        <v>13</v>
      </c>
      <c r="J3117" s="3" t="s">
        <v>9105</v>
      </c>
      <c r="K3117" s="3" t="s">
        <v>50</v>
      </c>
      <c r="L3117" s="3" t="str">
        <f>IFERROR(__xludf.DUMMYFUNCTION("GOOGLETRANSLATE(F3117,""id"",""en"")"),"acting when I want to watch the world cup final I immediately delete the apk")</f>
        <v>acting when I want to watch the world cup final I immediately delete the apk</v>
      </c>
    </row>
    <row r="3118" ht="15.75" customHeight="1">
      <c r="A3118" s="1">
        <v>3134.0</v>
      </c>
      <c r="B3118" s="3" t="s">
        <v>9106</v>
      </c>
      <c r="C3118" s="3">
        <v>1.0</v>
      </c>
      <c r="D3118" s="3">
        <v>0.0</v>
      </c>
      <c r="E3118" s="3">
        <v>0.0</v>
      </c>
      <c r="F3118" s="3" t="s">
        <v>9107</v>
      </c>
      <c r="G3118" s="3">
        <v>1.0</v>
      </c>
      <c r="H3118" s="3">
        <v>0.0</v>
      </c>
      <c r="I3118" s="3" t="s">
        <v>13</v>
      </c>
      <c r="J3118" s="3" t="s">
        <v>9108</v>
      </c>
      <c r="K3118" s="3" t="s">
        <v>41</v>
      </c>
      <c r="L3118" s="3" t="str">
        <f>IFERROR(__xludf.DUMMYFUNCTION("GOOGLETRANSLATE(F3118,""id"",""en"")"),"The World Cup Final is still watching Liverpool defender, don't keep it.")</f>
        <v>The World Cup Final is still watching Liverpool defender, don't keep it.</v>
      </c>
    </row>
    <row r="3119" ht="15.75" customHeight="1">
      <c r="A3119" s="1">
        <v>3135.0</v>
      </c>
      <c r="B3119" s="3" t="s">
        <v>9109</v>
      </c>
      <c r="C3119" s="3">
        <v>0.0</v>
      </c>
      <c r="D3119" s="3">
        <v>0.0</v>
      </c>
      <c r="E3119" s="3">
        <v>0.0</v>
      </c>
      <c r="F3119" s="3" t="s">
        <v>9110</v>
      </c>
      <c r="G3119" s="3">
        <v>1.0</v>
      </c>
      <c r="H3119" s="3">
        <v>0.0</v>
      </c>
      <c r="I3119" s="3" t="s">
        <v>13</v>
      </c>
      <c r="J3119" s="3" t="s">
        <v>9111</v>
      </c>
      <c r="K3119" s="3" t="s">
        <v>50</v>
      </c>
      <c r="L3119" s="3" t="str">
        <f>IFERROR(__xludf.DUMMYFUNCTION("GOOGLETRANSLATE(F3119,""id"",""en"")"),"I want to watch the final world cup lazy so much down")</f>
        <v>I want to watch the final world cup lazy so much down</v>
      </c>
    </row>
    <row r="3120" ht="15.75" customHeight="1">
      <c r="A3120" s="1">
        <v>3136.0</v>
      </c>
      <c r="B3120" s="3" t="s">
        <v>9112</v>
      </c>
      <c r="C3120" s="3">
        <v>0.0</v>
      </c>
      <c r="D3120" s="3">
        <v>0.0</v>
      </c>
      <c r="E3120" s="3">
        <v>0.0</v>
      </c>
      <c r="F3120" s="3" t="s">
        <v>9113</v>
      </c>
      <c r="G3120" s="3">
        <v>1.0</v>
      </c>
      <c r="H3120" s="3">
        <v>0.0</v>
      </c>
      <c r="I3120" s="3" t="s">
        <v>13</v>
      </c>
      <c r="J3120" s="3" t="s">
        <v>9114</v>
      </c>
      <c r="K3120" s="3" t="s">
        <v>50</v>
      </c>
      <c r="L3120" s="3" t="str">
        <f>IFERROR(__xludf.DUMMYFUNCTION("GOOGLETRANSLATE(F3120,""id"",""en"")"),"Link watching the French French French French French Cup")</f>
        <v>Link watching the French French French French French Cup</v>
      </c>
    </row>
    <row r="3121" ht="15.75" customHeight="1">
      <c r="A3121" s="1">
        <v>3137.0</v>
      </c>
      <c r="B3121" s="3" t="s">
        <v>9115</v>
      </c>
      <c r="C3121" s="3">
        <v>1.0</v>
      </c>
      <c r="D3121" s="3">
        <v>3.0</v>
      </c>
      <c r="E3121" s="3">
        <v>9.0</v>
      </c>
      <c r="F3121" s="3" t="s">
        <v>9116</v>
      </c>
      <c r="G3121" s="3">
        <v>1.0</v>
      </c>
      <c r="H3121" s="3">
        <v>0.0</v>
      </c>
      <c r="I3121" s="3" t="s">
        <v>13</v>
      </c>
      <c r="J3121" s="3" t="s">
        <v>9117</v>
      </c>
      <c r="K3121" s="3" t="s">
        <v>1061</v>
      </c>
      <c r="L3121" s="3" t="str">
        <f>IFERROR(__xludf.DUMMYFUNCTION("GOOGLETRANSLATE(F3121,""id"",""en"")"),"The second nan's beautiful goal from Angel Maria's feet completes Argentina to the French Final World Cup Mbappe Benzema Penalty Giroud Konate Maradona Jang Dembele Pogba Mbappe")</f>
        <v>The second nan's beautiful goal from Angel Maria's feet completes Argentina to the French Final World Cup Mbappe Benzema Penalty Giroud Konate Maradona Jang Dembele Pogba Mbappe</v>
      </c>
    </row>
    <row r="3122" ht="15.75" customHeight="1">
      <c r="A3122" s="1">
        <v>3138.0</v>
      </c>
      <c r="B3122" s="3" t="s">
        <v>9118</v>
      </c>
      <c r="C3122" s="3">
        <v>0.0</v>
      </c>
      <c r="D3122" s="3">
        <v>2.0</v>
      </c>
      <c r="E3122" s="3">
        <v>0.0</v>
      </c>
      <c r="F3122" s="3" t="s">
        <v>9119</v>
      </c>
      <c r="G3122" s="3">
        <v>1.0</v>
      </c>
      <c r="H3122" s="3">
        <v>0.0</v>
      </c>
      <c r="I3122" s="3" t="s">
        <v>13</v>
      </c>
      <c r="J3122" s="3" t="s">
        <v>9120</v>
      </c>
      <c r="K3122" s="3" t="s">
        <v>15</v>
      </c>
      <c r="L3122" s="3" t="str">
        <f>IFERROR(__xludf.DUMMYFUNCTION("GOOGLETRANSLATE(F3122,""id"",""en"")"),"The World Cup Final match lost or won hundreds of billions")</f>
        <v>The World Cup Final match lost or won hundreds of billions</v>
      </c>
    </row>
    <row r="3123" ht="15.75" customHeight="1">
      <c r="A3123" s="1">
        <v>3139.0</v>
      </c>
      <c r="B3123" s="3" t="s">
        <v>9121</v>
      </c>
      <c r="C3123" s="3">
        <v>0.0</v>
      </c>
      <c r="D3123" s="3">
        <v>0.0</v>
      </c>
      <c r="E3123" s="3">
        <v>0.0</v>
      </c>
      <c r="F3123" s="3" t="s">
        <v>9122</v>
      </c>
      <c r="G3123" s="3">
        <v>1.0</v>
      </c>
      <c r="H3123" s="3">
        <v>0.0</v>
      </c>
      <c r="I3123" s="3" t="s">
        <v>13</v>
      </c>
      <c r="J3123" s="3" t="s">
        <v>9123</v>
      </c>
      <c r="K3123" s="3" t="s">
        <v>510</v>
      </c>
      <c r="L3123" s="3" t="str">
        <f>IFERROR(__xludf.DUMMYFUNCTION("GOOGLETRANSLATE(F3123,""id"",""en"")"),"Final World Cup Final French French ended Lionel Messi successfully scored")</f>
        <v>Final World Cup Final French French ended Lionel Messi successfully scored</v>
      </c>
    </row>
    <row r="3124" ht="15.75" customHeight="1">
      <c r="A3124" s="1">
        <v>3140.0</v>
      </c>
      <c r="B3124" s="3" t="s">
        <v>9124</v>
      </c>
      <c r="C3124" s="3">
        <v>0.0</v>
      </c>
      <c r="D3124" s="3">
        <v>9.0</v>
      </c>
      <c r="E3124" s="3">
        <v>10.0</v>
      </c>
      <c r="F3124" s="3" t="s">
        <v>9125</v>
      </c>
      <c r="G3124" s="3">
        <v>0.825</v>
      </c>
      <c r="H3124" s="3">
        <v>0.1340909090909091</v>
      </c>
      <c r="I3124" s="3" t="s">
        <v>48</v>
      </c>
      <c r="J3124" s="3" t="s">
        <v>9126</v>
      </c>
      <c r="K3124" s="3" t="s">
        <v>6117</v>
      </c>
      <c r="L3124" s="3" t="str">
        <f>IFERROR(__xludf.DUMMYFUNCTION("GOOGLETRANSLATE(F3124,""id"",""en"")"),"Final World Cup Live Streaming FIFA Qatar Argentina France FIFA FIFA CUP QATAR Link Vidio Argentina France Match Streams Online for Free Argentina Francia Final Del Mundial")</f>
        <v>Final World Cup Live Streaming FIFA Qatar Argentina France FIFA FIFA CUP QATAR Link Vidio Argentina France Match Streams Online for Free Argentina Francia Final Del Mundial</v>
      </c>
    </row>
    <row r="3125" ht="15.75" customHeight="1">
      <c r="A3125" s="1">
        <v>3141.0</v>
      </c>
      <c r="B3125" s="3" t="s">
        <v>9127</v>
      </c>
      <c r="C3125" s="3">
        <v>0.0</v>
      </c>
      <c r="D3125" s="3">
        <v>0.0</v>
      </c>
      <c r="E3125" s="3">
        <v>1.0</v>
      </c>
      <c r="F3125" s="3" t="s">
        <v>9128</v>
      </c>
      <c r="G3125" s="3">
        <v>0.75</v>
      </c>
      <c r="H3125" s="3">
        <v>0.06818181818181818</v>
      </c>
      <c r="I3125" s="3" t="s">
        <v>48</v>
      </c>
      <c r="J3125" s="3" t="s">
        <v>9129</v>
      </c>
      <c r="K3125" s="3" t="s">
        <v>433</v>
      </c>
      <c r="L3125" s="3" t="str">
        <f>IFERROR(__xludf.DUMMYFUNCTION("GOOGLETRANSLATE(F3125,""id"",""en"")"),"Maria was replaced by Argentina France Link Live Streaming Argentina France tonight WIB World Cup Final")</f>
        <v>Maria was replaced by Argentina France Link Live Streaming Argentina France tonight WIB World Cup Final</v>
      </c>
    </row>
    <row r="3126" ht="15.75" customHeight="1">
      <c r="A3126" s="1">
        <v>3142.0</v>
      </c>
      <c r="B3126" s="3" t="s">
        <v>9130</v>
      </c>
      <c r="C3126" s="3">
        <v>84.0</v>
      </c>
      <c r="D3126" s="3">
        <v>71.0</v>
      </c>
      <c r="E3126" s="3">
        <v>636.0</v>
      </c>
      <c r="F3126" s="3" t="s">
        <v>9131</v>
      </c>
      <c r="G3126" s="3">
        <v>1.0</v>
      </c>
      <c r="H3126" s="3">
        <v>0.0</v>
      </c>
      <c r="I3126" s="3" t="s">
        <v>13</v>
      </c>
      <c r="J3126" s="3" t="s">
        <v>9132</v>
      </c>
      <c r="K3126" s="3" t="s">
        <v>236</v>
      </c>
      <c r="L3126" s="3" t="str">
        <f>IFERROR(__xludf.DUMMYFUNCTION("GOOGLETRANSLATE(F3126,""id"",""en"")"),"The World Cup Final Argentima squad insisted all the Genjur Genjur sluggish")</f>
        <v>The World Cup Final Argentima squad insisted all the Genjur Genjur sluggish</v>
      </c>
    </row>
    <row r="3127" ht="15.75" customHeight="1">
      <c r="A3127" s="1">
        <v>3143.0</v>
      </c>
      <c r="B3127" s="3" t="s">
        <v>9133</v>
      </c>
      <c r="C3127" s="3">
        <v>0.0</v>
      </c>
      <c r="D3127" s="3">
        <v>0.0</v>
      </c>
      <c r="E3127" s="3">
        <v>0.0</v>
      </c>
      <c r="F3127" s="3" t="s">
        <v>9134</v>
      </c>
      <c r="G3127" s="3">
        <v>0.65</v>
      </c>
      <c r="H3127" s="3">
        <v>0.1</v>
      </c>
      <c r="I3127" s="3" t="s">
        <v>48</v>
      </c>
      <c r="J3127" s="3" t="s">
        <v>9135</v>
      </c>
      <c r="K3127" s="3" t="s">
        <v>1699</v>
      </c>
      <c r="L3127" s="3" t="str">
        <f>IFERROR(__xludf.DUMMYFUNCTION("GOOGLETRANSLATE(F3127,""id"",""en"")"),"Now the World Cup is only watching when the final part is a bit regretful to follow from the start because many say the best World Cup just watching and just know the extension of the time can be anjirrr haha")</f>
        <v>Now the World Cup is only watching when the final part is a bit regretful to follow from the start because many say the best World Cup just watching and just know the extension of the time can be anjirrr haha</v>
      </c>
    </row>
    <row r="3128" ht="15.75" customHeight="1">
      <c r="A3128" s="1">
        <v>3144.0</v>
      </c>
      <c r="B3128" s="3" t="s">
        <v>9136</v>
      </c>
      <c r="C3128" s="3">
        <v>0.0</v>
      </c>
      <c r="D3128" s="3">
        <v>0.0</v>
      </c>
      <c r="E3128" s="3">
        <v>0.0</v>
      </c>
      <c r="F3128" s="3" t="s">
        <v>9137</v>
      </c>
      <c r="G3128" s="3">
        <v>0.75</v>
      </c>
      <c r="H3128" s="3">
        <v>0.06818181818181818</v>
      </c>
      <c r="I3128" s="3" t="s">
        <v>48</v>
      </c>
      <c r="J3128" s="3" t="s">
        <v>9138</v>
      </c>
      <c r="K3128" s="3" t="s">
        <v>437</v>
      </c>
      <c r="L3128" s="3" t="str">
        <f>IFERROR(__xludf.DUMMYFUNCTION("GOOGLETRANSLATE(F3128,""id"",""en"")"),"Mary's minute pulled out of Argentina France Link Live Streaming Argentina France tonight WIB World Cup Final")</f>
        <v>Mary's minute pulled out of Argentina France Link Live Streaming Argentina France tonight WIB World Cup Final</v>
      </c>
    </row>
    <row r="3129" ht="15.75" customHeight="1">
      <c r="A3129" s="1">
        <v>3145.0</v>
      </c>
      <c r="B3129" s="3" t="s">
        <v>9139</v>
      </c>
      <c r="C3129" s="3">
        <v>0.0</v>
      </c>
      <c r="D3129" s="3">
        <v>0.0</v>
      </c>
      <c r="E3129" s="3">
        <v>0.0</v>
      </c>
      <c r="F3129" s="3" t="s">
        <v>9140</v>
      </c>
      <c r="G3129" s="3">
        <v>1.0</v>
      </c>
      <c r="H3129" s="3">
        <v>0.0</v>
      </c>
      <c r="I3129" s="3" t="s">
        <v>13</v>
      </c>
      <c r="J3129" s="3" t="s">
        <v>9141</v>
      </c>
      <c r="K3129" s="3" t="s">
        <v>75</v>
      </c>
      <c r="L3129" s="3" t="str">
        <f>IFERROR(__xludf.DUMMYFUNCTION("GOOGLETRANSLATE(F3129,""id"",""en"")"),"Remember the French World Cup defeating Arganetina in the final whether revenge is avenged")</f>
        <v>Remember the French World Cup defeating Arganetina in the final whether revenge is avenged</v>
      </c>
    </row>
    <row r="3130" ht="15.75" customHeight="1">
      <c r="A3130" s="1">
        <v>3146.0</v>
      </c>
      <c r="B3130" s="3" t="s">
        <v>9142</v>
      </c>
      <c r="C3130" s="3">
        <v>0.0</v>
      </c>
      <c r="D3130" s="3">
        <v>0.0</v>
      </c>
      <c r="E3130" s="3">
        <v>0.0</v>
      </c>
      <c r="F3130" s="3" t="s">
        <v>9143</v>
      </c>
      <c r="G3130" s="3">
        <v>1.0</v>
      </c>
      <c r="H3130" s="3">
        <v>0.0</v>
      </c>
      <c r="I3130" s="3" t="s">
        <v>13</v>
      </c>
      <c r="J3130" s="3" t="s">
        <v>9144</v>
      </c>
      <c r="K3130" s="3" t="s">
        <v>41</v>
      </c>
      <c r="L3130" s="3" t="str">
        <f>IFERROR(__xludf.DUMMYFUNCTION("GOOGLETRANSLATE(F3130,""id"",""en"")"),"This is how the final of the world cup is delicious to watch it even error")</f>
        <v>This is how the final of the world cup is delicious to watch it even error</v>
      </c>
    </row>
    <row r="3131" ht="15.75" customHeight="1">
      <c r="A3131" s="1">
        <v>3147.0</v>
      </c>
      <c r="B3131" s="3" t="s">
        <v>9145</v>
      </c>
      <c r="C3131" s="3">
        <v>11.0</v>
      </c>
      <c r="D3131" s="3">
        <v>25.0</v>
      </c>
      <c r="E3131" s="3">
        <v>63.0</v>
      </c>
      <c r="F3131" s="3" t="s">
        <v>9146</v>
      </c>
      <c r="G3131" s="3">
        <v>1.0</v>
      </c>
      <c r="H3131" s="3">
        <v>0.0</v>
      </c>
      <c r="I3131" s="3" t="s">
        <v>13</v>
      </c>
      <c r="J3131" s="3" t="s">
        <v>9147</v>
      </c>
      <c r="K3131" s="3" t="s">
        <v>15</v>
      </c>
      <c r="L3131" s="3" t="str">
        <f>IFERROR(__xludf.DUMMYFUNCTION("GOOGLETRANSLATE(F3131,""id"",""en"")"),"The expression of French supporters watched the World Cup final so far")</f>
        <v>The expression of French supporters watched the World Cup final so far</v>
      </c>
    </row>
    <row r="3132" ht="15.75" customHeight="1">
      <c r="A3132" s="1">
        <v>3148.0</v>
      </c>
      <c r="B3132" s="3" t="s">
        <v>9148</v>
      </c>
      <c r="C3132" s="3">
        <v>1.0</v>
      </c>
      <c r="D3132" s="3">
        <v>0.0</v>
      </c>
      <c r="E3132" s="3">
        <v>0.0</v>
      </c>
      <c r="F3132" s="3" t="s">
        <v>9149</v>
      </c>
      <c r="G3132" s="3">
        <v>1.0</v>
      </c>
      <c r="H3132" s="3">
        <v>0.0</v>
      </c>
      <c r="I3132" s="3" t="s">
        <v>13</v>
      </c>
      <c r="J3132" s="3" t="s">
        <v>9150</v>
      </c>
      <c r="K3132" s="3" t="s">
        <v>184</v>
      </c>
      <c r="L3132" s="3" t="str">
        <f>IFERROR(__xludf.DUMMYFUNCTION("GOOGLETRANSLATE(F3132,""id"",""en"")"),"Already paid expensive, the video can actually be used to watch the final of this world cup infected with the disease, Mola seems to be able to control solid traffic")</f>
        <v>Already paid expensive, the video can actually be used to watch the final of this world cup infected with the disease, Mola seems to be able to control solid traffic</v>
      </c>
    </row>
    <row r="3133" ht="15.75" customHeight="1">
      <c r="A3133" s="1">
        <v>3149.0</v>
      </c>
      <c r="B3133" s="3" t="s">
        <v>9151</v>
      </c>
      <c r="C3133" s="3">
        <v>0.0</v>
      </c>
      <c r="D3133" s="3">
        <v>1.0</v>
      </c>
      <c r="E3133" s="3">
        <v>0.0</v>
      </c>
      <c r="F3133" s="3" t="s">
        <v>9152</v>
      </c>
      <c r="G3133" s="3">
        <v>1.0</v>
      </c>
      <c r="H3133" s="3">
        <v>0.0</v>
      </c>
      <c r="I3133" s="3" t="s">
        <v>13</v>
      </c>
      <c r="J3133" s="3" t="s">
        <v>9153</v>
      </c>
      <c r="K3133" s="3" t="s">
        <v>75</v>
      </c>
      <c r="L3133" s="3" t="str">
        <f>IFERROR(__xludf.DUMMYFUNCTION("GOOGLETRANSLATE(F3133,""id"",""en"")"),"The World Cup Final Results Entering the Argentine minutes is still ahead of France")</f>
        <v>The World Cup Final Results Entering the Argentine minutes is still ahead of France</v>
      </c>
    </row>
    <row r="3134" ht="15.75" customHeight="1">
      <c r="A3134" s="1">
        <v>3150.0</v>
      </c>
      <c r="B3134" s="3" t="s">
        <v>9154</v>
      </c>
      <c r="C3134" s="3">
        <v>0.0</v>
      </c>
      <c r="D3134" s="3">
        <v>0.0</v>
      </c>
      <c r="E3134" s="3">
        <v>1.0</v>
      </c>
      <c r="F3134" s="3" t="s">
        <v>9155</v>
      </c>
      <c r="G3134" s="3">
        <v>0.6666666666666666</v>
      </c>
      <c r="H3134" s="3">
        <v>0.08333333333333333</v>
      </c>
      <c r="I3134" s="3" t="s">
        <v>48</v>
      </c>
      <c r="J3134" s="3" t="s">
        <v>9156</v>
      </c>
      <c r="K3134" s="3" t="s">
        <v>19</v>
      </c>
      <c r="L3134" s="3" t="str">
        <f>IFERROR(__xludf.DUMMYFUNCTION("GOOGLETRANSLATE(F3134,""id"",""en"")"),"The French is like playing similar to Brazilian, the final of the World Cup final")</f>
        <v>The French is like playing similar to Brazilian, the final of the World Cup final</v>
      </c>
    </row>
    <row r="3135" ht="15.75" customHeight="1">
      <c r="A3135" s="1">
        <v>3151.0</v>
      </c>
      <c r="B3135" s="3" t="s">
        <v>9157</v>
      </c>
      <c r="C3135" s="3">
        <v>0.0</v>
      </c>
      <c r="D3135" s="3">
        <v>0.0</v>
      </c>
      <c r="E3135" s="3">
        <v>0.0</v>
      </c>
      <c r="F3135" s="3" t="s">
        <v>9158</v>
      </c>
      <c r="G3135" s="3">
        <v>1.0</v>
      </c>
      <c r="H3135" s="3">
        <v>0.0</v>
      </c>
      <c r="I3135" s="3" t="s">
        <v>13</v>
      </c>
      <c r="J3135" s="3" t="s">
        <v>9159</v>
      </c>
      <c r="K3135" s="3" t="s">
        <v>41</v>
      </c>
      <c r="L3135" s="3" t="str">
        <f>IFERROR(__xludf.DUMMYFUNCTION("GOOGLETRANSLATE(F3135,""id"",""en"")"),"Very rotten broken when the middle of the final regret brand bapuk")</f>
        <v>Very rotten broken when the middle of the final regret brand bapuk</v>
      </c>
    </row>
    <row r="3136" ht="15.75" customHeight="1">
      <c r="A3136" s="1">
        <v>3152.0</v>
      </c>
      <c r="B3136" s="3" t="s">
        <v>9160</v>
      </c>
      <c r="C3136" s="3">
        <v>35.0</v>
      </c>
      <c r="D3136" s="3">
        <v>34.0</v>
      </c>
      <c r="E3136" s="3">
        <v>414.0</v>
      </c>
      <c r="F3136" s="3" t="s">
        <v>9161</v>
      </c>
      <c r="G3136" s="3">
        <v>1.0</v>
      </c>
      <c r="H3136" s="3">
        <v>0.0</v>
      </c>
      <c r="I3136" s="3" t="s">
        <v>13</v>
      </c>
      <c r="J3136" s="3" t="s">
        <v>9162</v>
      </c>
      <c r="K3136" s="3" t="s">
        <v>31</v>
      </c>
      <c r="L3136" s="3" t="str">
        <f>IFERROR(__xludf.DUMMYFUNCTION("GOOGLETRANSLATE(F3136,""id"",""en"")"),"Nobar Argentina World Cup Final")</f>
        <v>Nobar Argentina World Cup Final</v>
      </c>
    </row>
    <row r="3137" ht="15.75" customHeight="1">
      <c r="A3137" s="1">
        <v>3153.0</v>
      </c>
      <c r="B3137" s="3" t="s">
        <v>9163</v>
      </c>
      <c r="C3137" s="3">
        <v>0.0</v>
      </c>
      <c r="D3137" s="3">
        <v>0.0</v>
      </c>
      <c r="E3137" s="3">
        <v>0.0</v>
      </c>
      <c r="F3137" s="3" t="s">
        <v>9164</v>
      </c>
      <c r="G3137" s="3">
        <v>0.6444444444444445</v>
      </c>
      <c r="H3137" s="3">
        <v>-0.07777777777777779</v>
      </c>
      <c r="I3137" s="3" t="s">
        <v>179</v>
      </c>
      <c r="J3137" s="3" t="s">
        <v>9165</v>
      </c>
      <c r="K3137" s="3" t="s">
        <v>15</v>
      </c>
      <c r="L3137" s="3" t="str">
        <f>IFERROR(__xludf.DUMMYFUNCTION("GOOGLETRANSLATE(F3137,""id"",""en"")"),"Refund Dong the World Cup Final Down amateur package")</f>
        <v>Refund Dong the World Cup Final Down amateur package</v>
      </c>
    </row>
    <row r="3138" ht="15.75" customHeight="1">
      <c r="A3138" s="1">
        <v>3154.0</v>
      </c>
      <c r="B3138" s="3" t="s">
        <v>9166</v>
      </c>
      <c r="C3138" s="3">
        <v>0.0</v>
      </c>
      <c r="D3138" s="3">
        <v>0.0</v>
      </c>
      <c r="E3138" s="3">
        <v>0.0</v>
      </c>
      <c r="F3138" s="3" t="s">
        <v>9167</v>
      </c>
      <c r="G3138" s="3">
        <v>1.0</v>
      </c>
      <c r="H3138" s="3">
        <v>0.0</v>
      </c>
      <c r="I3138" s="3" t="s">
        <v>13</v>
      </c>
      <c r="J3138" s="3" t="s">
        <v>9168</v>
      </c>
      <c r="K3138" s="3" t="s">
        <v>82</v>
      </c>
      <c r="L3138" s="3" t="str">
        <f>IFERROR(__xludf.DUMMYFUNCTION("GOOGLETRANSLATE(F3138,""id"",""en"")"),"It's useless to subscribe to the World Cup Final Gabisa open")</f>
        <v>It's useless to subscribe to the World Cup Final Gabisa open</v>
      </c>
    </row>
    <row r="3139" ht="15.75" customHeight="1">
      <c r="A3139" s="1">
        <v>3155.0</v>
      </c>
      <c r="B3139" s="3" t="s">
        <v>9169</v>
      </c>
      <c r="C3139" s="3">
        <v>0.0</v>
      </c>
      <c r="D3139" s="3">
        <v>0.0</v>
      </c>
      <c r="E3139" s="3">
        <v>0.0</v>
      </c>
      <c r="F3139" s="3" t="s">
        <v>9170</v>
      </c>
      <c r="G3139" s="3">
        <v>0.75</v>
      </c>
      <c r="H3139" s="3">
        <v>0.06818181818181818</v>
      </c>
      <c r="I3139" s="3" t="s">
        <v>48</v>
      </c>
      <c r="J3139" s="3" t="s">
        <v>9171</v>
      </c>
      <c r="K3139" s="3" t="s">
        <v>244</v>
      </c>
      <c r="L3139" s="3" t="str">
        <f>IFERROR(__xludf.DUMMYFUNCTION("GOOGLETRANSLATE(F3139,""id"",""en"")"),"LIVE LIVE STREAMING FINAL CUP ARGENTINA FRANCE FIDI VIDIO WORLD")</f>
        <v>LIVE LIVE STREAMING FINAL CUP ARGENTINA FRANCE FIDI VIDIO WORLD</v>
      </c>
    </row>
    <row r="3140" ht="15.75" customHeight="1">
      <c r="A3140" s="1">
        <v>3156.0</v>
      </c>
      <c r="B3140" s="3" t="s">
        <v>9172</v>
      </c>
      <c r="C3140" s="3">
        <v>0.0</v>
      </c>
      <c r="D3140" s="3">
        <v>0.0</v>
      </c>
      <c r="E3140" s="3">
        <v>0.0</v>
      </c>
      <c r="F3140" s="3" t="s">
        <v>9173</v>
      </c>
      <c r="G3140" s="3">
        <v>1.0</v>
      </c>
      <c r="H3140" s="3">
        <v>0.0</v>
      </c>
      <c r="I3140" s="3" t="s">
        <v>13</v>
      </c>
      <c r="J3140" s="3" t="s">
        <v>9174</v>
      </c>
      <c r="K3140" s="3" t="s">
        <v>123</v>
      </c>
      <c r="L3140" s="3" t="str">
        <f>IFERROR(__xludf.DUMMYFUNCTION("GOOGLETRANSLATE(F3140,""id"",""en"")"),"The cold weather of France and the hot weather of Argentina did not obstruct the enthusiasm of the fans to watch the World Cup Final")</f>
        <v>The cold weather of France and the hot weather of Argentina did not obstruct the enthusiasm of the fans to watch the World Cup Final</v>
      </c>
    </row>
    <row r="3141" ht="15.75" customHeight="1">
      <c r="A3141" s="1">
        <v>3157.0</v>
      </c>
      <c r="B3141" s="3" t="s">
        <v>9175</v>
      </c>
      <c r="C3141" s="3">
        <v>0.0</v>
      </c>
      <c r="D3141" s="3">
        <v>0.0</v>
      </c>
      <c r="E3141" s="3">
        <v>1.0</v>
      </c>
      <c r="F3141" s="3" t="s">
        <v>9176</v>
      </c>
      <c r="G3141" s="3">
        <v>1.0</v>
      </c>
      <c r="H3141" s="3">
        <v>0.0</v>
      </c>
      <c r="I3141" s="3" t="s">
        <v>13</v>
      </c>
      <c r="J3141" s="3" t="s">
        <v>9177</v>
      </c>
      <c r="K3141" s="3" t="s">
        <v>82</v>
      </c>
      <c r="L3141" s="3" t="str">
        <f>IFERROR(__xludf.DUMMYFUNCTION("GOOGLETRANSLATE(F3141,""id"",""en"")"),"Nobar Final of the Qatar World Cup Argentina France")</f>
        <v>Nobar Final of the Qatar World Cup Argentina France</v>
      </c>
    </row>
    <row r="3142" ht="15.75" customHeight="1">
      <c r="A3142" s="1">
        <v>3158.0</v>
      </c>
      <c r="B3142" s="3" t="s">
        <v>9178</v>
      </c>
      <c r="C3142" s="3">
        <v>0.0</v>
      </c>
      <c r="D3142" s="3">
        <v>0.0</v>
      </c>
      <c r="E3142" s="3">
        <v>0.0</v>
      </c>
      <c r="F3142" s="3" t="s">
        <v>9179</v>
      </c>
      <c r="G3142" s="3">
        <v>1.0</v>
      </c>
      <c r="H3142" s="3">
        <v>0.0</v>
      </c>
      <c r="I3142" s="3" t="s">
        <v>13</v>
      </c>
      <c r="J3142" s="3" t="s">
        <v>9180</v>
      </c>
      <c r="K3142" s="3" t="s">
        <v>1469</v>
      </c>
      <c r="L3142" s="3" t="str">
        <f>IFERROR(__xludf.DUMMYFUNCTION("GOOGLETRANSLATE(F3142,""id"",""en"")"),"The sobbing world cup finals")</f>
        <v>The sobbing world cup finals</v>
      </c>
    </row>
    <row r="3143" ht="15.75" customHeight="1">
      <c r="A3143" s="1">
        <v>3159.0</v>
      </c>
      <c r="B3143" s="3" t="s">
        <v>9181</v>
      </c>
      <c r="C3143" s="3">
        <v>0.0</v>
      </c>
      <c r="D3143" s="3">
        <v>0.0</v>
      </c>
      <c r="E3143" s="3">
        <v>0.0</v>
      </c>
      <c r="F3143" s="3" t="s">
        <v>9182</v>
      </c>
      <c r="G3143" s="3">
        <v>0.7000000000000001</v>
      </c>
      <c r="H3143" s="3">
        <v>0.0</v>
      </c>
      <c r="I3143" s="3" t="s">
        <v>13</v>
      </c>
      <c r="J3143" s="3" t="s">
        <v>9183</v>
      </c>
      <c r="K3143" s="3" t="s">
        <v>433</v>
      </c>
      <c r="L3143" s="3" t="str">
        <f>IFERROR(__xludf.DUMMYFUNCTION("GOOGLETRANSLATE(F3143,""id"",""en"")"),"The final even the server Bapuk loves compensation can also replace whether it can be seen directly the World Cup Final Big")</f>
        <v>The final even the server Bapuk loves compensation can also replace whether it can be seen directly the World Cup Final Big</v>
      </c>
    </row>
    <row r="3144" ht="15.75" customHeight="1">
      <c r="A3144" s="1">
        <v>3160.0</v>
      </c>
      <c r="B3144" s="3" t="s">
        <v>9184</v>
      </c>
      <c r="C3144" s="3">
        <v>0.0</v>
      </c>
      <c r="D3144" s="3">
        <v>0.0</v>
      </c>
      <c r="E3144" s="3">
        <v>0.0</v>
      </c>
      <c r="F3144" s="3" t="s">
        <v>9185</v>
      </c>
      <c r="G3144" s="3">
        <v>1.0</v>
      </c>
      <c r="H3144" s="3">
        <v>0.0</v>
      </c>
      <c r="I3144" s="3" t="s">
        <v>13</v>
      </c>
      <c r="J3144" s="3" t="s">
        <v>9186</v>
      </c>
      <c r="K3144" s="3" t="s">
        <v>860</v>
      </c>
      <c r="L3144" s="3" t="str">
        <f>IFERROR(__xludf.DUMMYFUNCTION("GOOGLETRANSLATE(F3144,""id"",""en"")"),"Maybe maybe it could be the Karma of the World Cup Final Ronaldo Brazil Seizures the day before the final continued Brazil, he played strange")</f>
        <v>Maybe maybe it could be the Karma of the World Cup Final Ronaldo Brazil Seizures the day before the final continued Brazil, he played strange</v>
      </c>
    </row>
    <row r="3145" ht="15.75" customHeight="1">
      <c r="A3145" s="1">
        <v>3161.0</v>
      </c>
      <c r="B3145" s="3" t="s">
        <v>9187</v>
      </c>
      <c r="C3145" s="3">
        <v>1.0</v>
      </c>
      <c r="D3145" s="3">
        <v>0.0</v>
      </c>
      <c r="E3145" s="3">
        <v>2.0</v>
      </c>
      <c r="F3145" s="3" t="s">
        <v>9188</v>
      </c>
      <c r="G3145" s="3">
        <v>1.0</v>
      </c>
      <c r="H3145" s="3">
        <v>0.0</v>
      </c>
      <c r="I3145" s="3" t="s">
        <v>13</v>
      </c>
      <c r="J3145" s="3" t="s">
        <v>9189</v>
      </c>
      <c r="K3145" s="3" t="s">
        <v>1887</v>
      </c>
      <c r="L3145" s="3" t="str">
        <f>IFERROR(__xludf.DUMMYFUNCTION("GOOGLETRANSLATE(F3145,""id"",""en"")"),"The pounding is increasingly felt who will be the champion of the festivities of the final resistance of the Qatar World Cup Lepak Final Final Match FIFA World Cup recommended and located in the Tasik Taman Taman Insight in the Bandar Puchong Center")</f>
        <v>The pounding is increasingly felt who will be the champion of the festivities of the final resistance of the Qatar World Cup Lepak Final Final Match FIFA World Cup recommended and located in the Tasik Taman Taman Insight in the Bandar Puchong Center</v>
      </c>
    </row>
    <row r="3146" ht="15.75" customHeight="1">
      <c r="A3146" s="1">
        <v>3162.0</v>
      </c>
      <c r="B3146" s="3" t="s">
        <v>9190</v>
      </c>
      <c r="C3146" s="3">
        <v>0.0</v>
      </c>
      <c r="D3146" s="3">
        <v>0.0</v>
      </c>
      <c r="E3146" s="3">
        <v>0.0</v>
      </c>
      <c r="F3146" s="3" t="s">
        <v>9191</v>
      </c>
      <c r="G3146" s="3">
        <v>1.0</v>
      </c>
      <c r="H3146" s="3">
        <v>0.0</v>
      </c>
      <c r="I3146" s="3" t="s">
        <v>13</v>
      </c>
      <c r="J3146" s="3" t="s">
        <v>9192</v>
      </c>
      <c r="K3146" s="3" t="s">
        <v>657</v>
      </c>
      <c r="L3146" s="3" t="str">
        <f>IFERROR(__xludf.DUMMYFUNCTION("GOOGLETRANSLATE(F3146,""id"",""en"")"),"Caring for this year's World Cup many say the settings for Messi, the important thing, the idol champion, has entered the final hehe")</f>
        <v>Caring for this year's World Cup many say the settings for Messi, the important thing, the idol champion, has entered the final hehe</v>
      </c>
    </row>
    <row r="3147" ht="15.75" customHeight="1">
      <c r="A3147" s="1">
        <v>3163.0</v>
      </c>
      <c r="B3147" s="3" t="s">
        <v>9193</v>
      </c>
      <c r="C3147" s="3">
        <v>1.0</v>
      </c>
      <c r="D3147" s="3">
        <v>0.0</v>
      </c>
      <c r="E3147" s="3">
        <v>2.0</v>
      </c>
      <c r="F3147" s="3" t="s">
        <v>9194</v>
      </c>
      <c r="G3147" s="3">
        <v>1.0</v>
      </c>
      <c r="H3147" s="3">
        <v>0.0</v>
      </c>
      <c r="I3147" s="3" t="s">
        <v>13</v>
      </c>
      <c r="J3147" s="3" t="s">
        <v>9195</v>
      </c>
      <c r="K3147" s="3" t="s">
        <v>633</v>
      </c>
      <c r="L3147" s="3" t="str">
        <f>IFERROR(__xludf.DUMMYFUNCTION("GOOGLETRANSLATE(F3147,""id"",""en"")"),"Remember the French little boy was left behind by his father of the train now an adult and managed to score a goal for Argentina when the French Final World Cup")</f>
        <v>Remember the French little boy was left behind by his father of the train now an adult and managed to score a goal for Argentina when the French Final World Cup</v>
      </c>
    </row>
    <row r="3148" ht="15.75" customHeight="1">
      <c r="A3148" s="1">
        <v>3164.0</v>
      </c>
      <c r="B3148" s="3" t="s">
        <v>9196</v>
      </c>
      <c r="C3148" s="3">
        <v>0.0</v>
      </c>
      <c r="D3148" s="3">
        <v>0.0</v>
      </c>
      <c r="E3148" s="3">
        <v>0.0</v>
      </c>
      <c r="F3148" s="3" t="s">
        <v>9197</v>
      </c>
      <c r="G3148" s="3">
        <v>1.0</v>
      </c>
      <c r="H3148" s="3">
        <v>0.0</v>
      </c>
      <c r="I3148" s="3" t="s">
        <v>13</v>
      </c>
      <c r="J3148" s="3" t="s">
        <v>9198</v>
      </c>
      <c r="K3148" s="3" t="s">
        <v>82</v>
      </c>
      <c r="L3148" s="3" t="str">
        <f>IFERROR(__xludf.DUMMYFUNCTION("GOOGLETRANSLATE(F3148,""id"",""en"")"),"exciting the final of the world cup very well")</f>
        <v>exciting the final of the world cup very well</v>
      </c>
    </row>
    <row r="3149" ht="15.75" customHeight="1">
      <c r="A3149" s="1">
        <v>3165.0</v>
      </c>
      <c r="B3149" s="3" t="s">
        <v>9199</v>
      </c>
      <c r="C3149" s="3">
        <v>0.0</v>
      </c>
      <c r="D3149" s="3">
        <v>0.0</v>
      </c>
      <c r="E3149" s="3">
        <v>0.0</v>
      </c>
      <c r="F3149" s="3" t="s">
        <v>9200</v>
      </c>
      <c r="G3149" s="3">
        <v>1.0</v>
      </c>
      <c r="H3149" s="3">
        <v>0.0</v>
      </c>
      <c r="I3149" s="3" t="s">
        <v>13</v>
      </c>
      <c r="J3149" s="3" t="s">
        <v>9201</v>
      </c>
      <c r="K3149" s="3" t="s">
        <v>699</v>
      </c>
      <c r="L3149" s="3" t="str">
        <f>IFERROR(__xludf.DUMMYFUNCTION("GOOGLETRANSLATE(F3149,""id"",""en"")"),"I was touched to see Messi followed from Pildun continued like Barca until I saw Messi moved PSG and now the World Cup final")</f>
        <v>I was touched to see Messi followed from Pildun continued like Barca until I saw Messi moved PSG and now the World Cup final</v>
      </c>
    </row>
    <row r="3150" ht="15.75" customHeight="1">
      <c r="A3150" s="1">
        <v>3166.0</v>
      </c>
      <c r="B3150" s="3" t="s">
        <v>9202</v>
      </c>
      <c r="C3150" s="3">
        <v>0.0</v>
      </c>
      <c r="D3150" s="3">
        <v>0.0</v>
      </c>
      <c r="E3150" s="3">
        <v>0.0</v>
      </c>
      <c r="F3150" s="3" t="s">
        <v>9203</v>
      </c>
      <c r="G3150" s="3">
        <v>1.0</v>
      </c>
      <c r="H3150" s="3">
        <v>0.0</v>
      </c>
      <c r="I3150" s="3" t="s">
        <v>13</v>
      </c>
      <c r="J3150" s="3" t="s">
        <v>9204</v>
      </c>
      <c r="K3150" s="3" t="s">
        <v>41</v>
      </c>
      <c r="L3150" s="3" t="str">
        <f>IFERROR(__xludf.DUMMYFUNCTION("GOOGLETRANSLATE(F3150,""id"",""en"")"),"There is no team to win the World Cup final after the first half of the goal")</f>
        <v>There is no team to win the World Cup final after the first half of the goal</v>
      </c>
    </row>
    <row r="3151" ht="15.75" customHeight="1">
      <c r="A3151" s="1">
        <v>3167.0</v>
      </c>
      <c r="B3151" s="3" t="s">
        <v>9205</v>
      </c>
      <c r="C3151" s="3">
        <v>0.0</v>
      </c>
      <c r="D3151" s="3">
        <v>0.0</v>
      </c>
      <c r="E3151" s="3">
        <v>0.0</v>
      </c>
      <c r="F3151" s="3" t="s">
        <v>9206</v>
      </c>
      <c r="G3151" s="3">
        <v>1.0</v>
      </c>
      <c r="H3151" s="3">
        <v>0.0</v>
      </c>
      <c r="I3151" s="3" t="s">
        <v>13</v>
      </c>
      <c r="J3151" s="3" t="s">
        <v>9207</v>
      </c>
      <c r="K3151" s="3" t="s">
        <v>437</v>
      </c>
      <c r="L3151" s="3" t="str">
        <f>IFERROR(__xludf.DUMMYFUNCTION("GOOGLETRANSLATE(F3151,""id"",""en"")"),"woy min returns our money already bought a world cup package but can watch the final thinking of woy your money is haram")</f>
        <v>woy min returns our money already bought a world cup package but can watch the final thinking of woy your money is haram</v>
      </c>
    </row>
    <row r="3152" ht="15.75" customHeight="1">
      <c r="A3152" s="1">
        <v>3168.0</v>
      </c>
      <c r="B3152" s="3" t="s">
        <v>9208</v>
      </c>
      <c r="C3152" s="3">
        <v>0.0</v>
      </c>
      <c r="D3152" s="3">
        <v>0.0</v>
      </c>
      <c r="E3152" s="3">
        <v>1.0</v>
      </c>
      <c r="F3152" s="3" t="s">
        <v>9209</v>
      </c>
      <c r="G3152" s="3">
        <v>0.5666666666666667</v>
      </c>
      <c r="H3152" s="3">
        <v>0.1121212121212121</v>
      </c>
      <c r="I3152" s="3" t="s">
        <v>48</v>
      </c>
      <c r="J3152" s="3" t="s">
        <v>9210</v>
      </c>
      <c r="K3152" s="3" t="s">
        <v>71</v>
      </c>
      <c r="L3152" s="3" t="str">
        <f>IFERROR(__xludf.DUMMYFUNCTION("GOOGLETRANSLATE(F3152,""id"",""en"")"),"Argentine Live Streaming Link French French World Cup Qatar Let's Watch Legal")</f>
        <v>Argentine Live Streaming Link French French World Cup Qatar Let's Watch Legal</v>
      </c>
    </row>
    <row r="3153" ht="15.75" customHeight="1">
      <c r="A3153" s="1">
        <v>3169.0</v>
      </c>
      <c r="B3153" s="3" t="s">
        <v>9211</v>
      </c>
      <c r="C3153" s="3">
        <v>0.0</v>
      </c>
      <c r="D3153" s="3">
        <v>0.0</v>
      </c>
      <c r="E3153" s="3">
        <v>0.0</v>
      </c>
      <c r="F3153" s="3" t="s">
        <v>9212</v>
      </c>
      <c r="G3153" s="3">
        <v>1.0</v>
      </c>
      <c r="H3153" s="3">
        <v>0.0</v>
      </c>
      <c r="I3153" s="3" t="s">
        <v>13</v>
      </c>
      <c r="J3153" s="3" t="s">
        <v>9213</v>
      </c>
      <c r="K3153" s="3" t="s">
        <v>71</v>
      </c>
      <c r="L3153" s="3" t="str">
        <f>IFERROR(__xludf.DUMMYFUNCTION("GOOGLETRANSLATE(F3153,""id"",""en"")"),"French striker Kylian Mbappe minimal action when playing in the first round against Argentina World Cup Final")</f>
        <v>French striker Kylian Mbappe minimal action when playing in the first round against Argentina World Cup Final</v>
      </c>
    </row>
    <row r="3154" ht="15.75" customHeight="1">
      <c r="A3154" s="1">
        <v>3170.0</v>
      </c>
      <c r="B3154" s="3" t="s">
        <v>9214</v>
      </c>
      <c r="C3154" s="3">
        <v>1.0</v>
      </c>
      <c r="D3154" s="3">
        <v>1.0</v>
      </c>
      <c r="E3154" s="3">
        <v>7.0</v>
      </c>
      <c r="F3154" s="3" t="s">
        <v>9215</v>
      </c>
      <c r="G3154" s="3">
        <v>1.0</v>
      </c>
      <c r="H3154" s="3">
        <v>0.0</v>
      </c>
      <c r="I3154" s="3" t="s">
        <v>13</v>
      </c>
      <c r="J3154" s="3" t="s">
        <v>9216</v>
      </c>
      <c r="K3154" s="3" t="s">
        <v>1304</v>
      </c>
      <c r="L3154" s="3" t="str">
        <f>IFERROR(__xludf.DUMMYFUNCTION("GOOGLETRANSLATE(F3154,""id"",""en"")"),"Photos of Kompas Daily Photo Daily Photo Photos Photos during the first half of the French Argentina final see the French Argentine World Cup final through")</f>
        <v>Photos of Kompas Daily Photo Daily Photo Photos Photos during the first half of the French Argentina final see the French Argentine World Cup final through</v>
      </c>
    </row>
    <row r="3155" ht="15.75" customHeight="1">
      <c r="A3155" s="1">
        <v>3171.0</v>
      </c>
      <c r="B3155" s="3" t="s">
        <v>9217</v>
      </c>
      <c r="C3155" s="3">
        <v>3.0</v>
      </c>
      <c r="D3155" s="3">
        <v>184.0</v>
      </c>
      <c r="E3155" s="3">
        <v>817.0</v>
      </c>
      <c r="F3155" s="3" t="s">
        <v>9218</v>
      </c>
      <c r="G3155" s="3">
        <v>0.775</v>
      </c>
      <c r="H3155" s="3">
        <v>0.175</v>
      </c>
      <c r="I3155" s="3" t="s">
        <v>48</v>
      </c>
      <c r="J3155" s="3" t="s">
        <v>9219</v>
      </c>
      <c r="K3155" s="3" t="s">
        <v>348</v>
      </c>
      <c r="L3155" s="3" t="str">
        <f>IFERROR(__xludf.DUMMYFUNCTION("GOOGLETRANSLATE(F3155,""id"",""en"")"),"Social Media Full Smiles All Argentina is already ahead")</f>
        <v>Social Media Full Smiles All Argentina is already ahead</v>
      </c>
    </row>
    <row r="3156" ht="15.75" customHeight="1">
      <c r="A3156" s="1">
        <v>3172.0</v>
      </c>
      <c r="B3156" s="3" t="s">
        <v>9220</v>
      </c>
      <c r="C3156" s="3">
        <v>0.0</v>
      </c>
      <c r="D3156" s="3">
        <v>1.0</v>
      </c>
      <c r="E3156" s="3">
        <v>0.0</v>
      </c>
      <c r="F3156" s="3" t="s">
        <v>9221</v>
      </c>
      <c r="G3156" s="3">
        <v>1.0</v>
      </c>
      <c r="H3156" s="3">
        <v>0.0</v>
      </c>
      <c r="I3156" s="3" t="s">
        <v>13</v>
      </c>
      <c r="J3156" s="3" t="s">
        <v>9222</v>
      </c>
      <c r="K3156" s="3" t="s">
        <v>657</v>
      </c>
      <c r="L3156" s="3" t="str">
        <f>IFERROR(__xludf.DUMMYFUNCTION("GOOGLETRANSLATE(F3156,""id"",""en"")"),"Please investigate and demand because it is detrimental to customers with poor services, especially during the World Cup final, please check the complaints of Twitter netizens")</f>
        <v>Please investigate and demand because it is detrimental to customers with poor services, especially during the World Cup final, please check the complaints of Twitter netizens</v>
      </c>
    </row>
    <row r="3157" ht="15.75" customHeight="1">
      <c r="A3157" s="1">
        <v>3173.0</v>
      </c>
      <c r="B3157" s="3" t="s">
        <v>9223</v>
      </c>
      <c r="C3157" s="3">
        <v>1.0</v>
      </c>
      <c r="D3157" s="3">
        <v>0.0</v>
      </c>
      <c r="E3157" s="3">
        <v>0.0</v>
      </c>
      <c r="F3157" s="3" t="s">
        <v>9224</v>
      </c>
      <c r="G3157" s="3">
        <v>1.0</v>
      </c>
      <c r="H3157" s="3">
        <v>0.0</v>
      </c>
      <c r="I3157" s="3" t="s">
        <v>13</v>
      </c>
      <c r="J3157" s="3" t="s">
        <v>9225</v>
      </c>
      <c r="K3157" s="3" t="s">
        <v>19</v>
      </c>
      <c r="L3157" s="3" t="str">
        <f>IFERROR(__xludf.DUMMYFUNCTION("GOOGLETRANSLATE(F3157,""id"",""en"")"),"Vidio when the World Cup final instead of my money disorder drifted up already subscribed")</f>
        <v>Vidio when the World Cup final instead of my money disorder drifted up already subscribed</v>
      </c>
    </row>
    <row r="3158" ht="15.75" customHeight="1">
      <c r="A3158" s="1">
        <v>3174.0</v>
      </c>
      <c r="B3158" s="3" t="s">
        <v>9226</v>
      </c>
      <c r="C3158" s="3">
        <v>0.0</v>
      </c>
      <c r="D3158" s="3">
        <v>0.0</v>
      </c>
      <c r="E3158" s="3">
        <v>0.0</v>
      </c>
      <c r="F3158" s="3" t="s">
        <v>9226</v>
      </c>
      <c r="G3158" s="3">
        <v>1.0</v>
      </c>
      <c r="H3158" s="3">
        <v>0.0</v>
      </c>
      <c r="I3158" s="3" t="s">
        <v>13</v>
      </c>
      <c r="J3158" s="3" t="s">
        <v>9227</v>
      </c>
      <c r="K3158" s="3" t="s">
        <v>15</v>
      </c>
      <c r="L3158" s="3" t="str">
        <f>IFERROR(__xludf.DUMMYFUNCTION("GOOGLETRANSLATE(F3158,""id"",""en"")"),"This is the first time watching the World Cup final taste")</f>
        <v>This is the first time watching the World Cup final taste</v>
      </c>
    </row>
    <row r="3159" ht="15.75" customHeight="1">
      <c r="A3159" s="1">
        <v>3175.0</v>
      </c>
      <c r="B3159" s="3" t="s">
        <v>9228</v>
      </c>
      <c r="C3159" s="3">
        <v>0.0</v>
      </c>
      <c r="D3159" s="3">
        <v>0.0</v>
      </c>
      <c r="E3159" s="3">
        <v>0.0</v>
      </c>
      <c r="F3159" s="3" t="s">
        <v>9229</v>
      </c>
      <c r="G3159" s="3">
        <v>1.0</v>
      </c>
      <c r="H3159" s="3">
        <v>0.0</v>
      </c>
      <c r="I3159" s="3" t="s">
        <v>13</v>
      </c>
      <c r="J3159" s="3" t="s">
        <v>9230</v>
      </c>
      <c r="K3159" s="3" t="s">
        <v>3346</v>
      </c>
      <c r="L3159" s="3" t="str">
        <f>IFERROR(__xludf.DUMMYFUNCTION("GOOGLETRANSLATE(F3159,""id"",""en"")"),"Because Japan and Indonesia are the same as the red and white flag and the same are not included in the World Cup final")</f>
        <v>Because Japan and Indonesia are the same as the red and white flag and the same are not included in the World Cup final</v>
      </c>
    </row>
    <row r="3160" ht="15.75" customHeight="1">
      <c r="A3160" s="1">
        <v>3176.0</v>
      </c>
      <c r="B3160" s="3" t="s">
        <v>9231</v>
      </c>
      <c r="C3160" s="3">
        <v>0.0</v>
      </c>
      <c r="D3160" s="3">
        <v>0.0</v>
      </c>
      <c r="E3160" s="3">
        <v>0.0</v>
      </c>
      <c r="F3160" s="3" t="s">
        <v>9232</v>
      </c>
      <c r="G3160" s="3">
        <v>1.0</v>
      </c>
      <c r="H3160" s="3">
        <v>0.0</v>
      </c>
      <c r="I3160" s="3" t="s">
        <v>13</v>
      </c>
      <c r="J3160" s="3" t="s">
        <v>9233</v>
      </c>
      <c r="K3160" s="3" t="s">
        <v>75</v>
      </c>
      <c r="L3160" s="3" t="str">
        <f>IFERROR(__xludf.DUMMYFUNCTION("GOOGLETRANSLATE(F3160,""id"",""en"")"),"This video was not anticipated by an error like this during the World Cup final very much detrimental")</f>
        <v>This video was not anticipated by an error like this during the World Cup final very much detrimental</v>
      </c>
    </row>
    <row r="3161" ht="15.75" customHeight="1">
      <c r="A3161" s="1">
        <v>3177.0</v>
      </c>
      <c r="B3161" s="3" t="s">
        <v>9234</v>
      </c>
      <c r="C3161" s="3">
        <v>0.0</v>
      </c>
      <c r="D3161" s="3">
        <v>0.0</v>
      </c>
      <c r="E3161" s="3">
        <v>0.0</v>
      </c>
      <c r="F3161" s="3" t="s">
        <v>9235</v>
      </c>
      <c r="G3161" s="3">
        <v>1.0</v>
      </c>
      <c r="H3161" s="3">
        <v>0.0</v>
      </c>
      <c r="I3161" s="3" t="s">
        <v>13</v>
      </c>
      <c r="J3161" s="3" t="s">
        <v>9236</v>
      </c>
      <c r="K3161" s="3" t="s">
        <v>1293</v>
      </c>
      <c r="L3161" s="3" t="str">
        <f>IFERROR(__xludf.DUMMYFUNCTION("GOOGLETRANSLATE(F3161,""id"",""en"")"),"Paid streaming dick video loses neatly Karo Arabic Striming Twitter asu ASU Final World Cup why is")</f>
        <v>Paid streaming dick video loses neatly Karo Arabic Striming Twitter asu ASU Final World Cup why is</v>
      </c>
    </row>
    <row r="3162" ht="15.75" customHeight="1">
      <c r="A3162" s="1">
        <v>3178.0</v>
      </c>
      <c r="B3162" s="3" t="s">
        <v>9237</v>
      </c>
      <c r="C3162" s="3">
        <v>0.0</v>
      </c>
      <c r="D3162" s="3">
        <v>0.0</v>
      </c>
      <c r="E3162" s="3">
        <v>0.0</v>
      </c>
      <c r="F3162" s="3" t="s">
        <v>9238</v>
      </c>
      <c r="G3162" s="3">
        <v>0.6666666666666666</v>
      </c>
      <c r="H3162" s="3">
        <v>0.08333333333333333</v>
      </c>
      <c r="I3162" s="3" t="s">
        <v>48</v>
      </c>
      <c r="J3162" s="3" t="s">
        <v>9239</v>
      </c>
      <c r="K3162" s="3" t="s">
        <v>19</v>
      </c>
      <c r="L3162" s="3" t="str">
        <f>IFERROR(__xludf.DUMMYFUNCTION("GOOGLETRANSLATE(F3162,""id"",""en"")"),"This is again PLN is really stupid playing to turn off electricity again the world cup final like this")</f>
        <v>This is again PLN is really stupid playing to turn off electricity again the world cup final like this</v>
      </c>
    </row>
    <row r="3163" ht="15.75" customHeight="1">
      <c r="A3163" s="1">
        <v>3179.0</v>
      </c>
      <c r="B3163" s="3" t="s">
        <v>9240</v>
      </c>
      <c r="C3163" s="3">
        <v>0.0</v>
      </c>
      <c r="D3163" s="3">
        <v>0.0</v>
      </c>
      <c r="E3163" s="3">
        <v>0.0</v>
      </c>
      <c r="F3163" s="3" t="s">
        <v>9212</v>
      </c>
      <c r="G3163" s="3">
        <v>1.0</v>
      </c>
      <c r="H3163" s="3">
        <v>0.0</v>
      </c>
      <c r="I3163" s="3" t="s">
        <v>13</v>
      </c>
      <c r="J3163" s="3" t="s">
        <v>9213</v>
      </c>
      <c r="K3163" s="3" t="s">
        <v>71</v>
      </c>
      <c r="L3163" s="3" t="str">
        <f>IFERROR(__xludf.DUMMYFUNCTION("GOOGLETRANSLATE(F3163,""id"",""en"")"),"French striker Kylian Mbappe minimal action when playing in the first round against Argentina World Cup Final")</f>
        <v>French striker Kylian Mbappe minimal action when playing in the first round against Argentina World Cup Final</v>
      </c>
    </row>
    <row r="3164" ht="15.75" customHeight="1">
      <c r="A3164" s="1">
        <v>3180.0</v>
      </c>
      <c r="B3164" s="3" t="s">
        <v>9241</v>
      </c>
      <c r="C3164" s="3">
        <v>0.0</v>
      </c>
      <c r="D3164" s="3">
        <v>0.0</v>
      </c>
      <c r="E3164" s="3">
        <v>1.0</v>
      </c>
      <c r="F3164" s="3" t="s">
        <v>9242</v>
      </c>
      <c r="G3164" s="3">
        <v>1.0</v>
      </c>
      <c r="H3164" s="3">
        <v>0.0</v>
      </c>
      <c r="I3164" s="3" t="s">
        <v>13</v>
      </c>
      <c r="J3164" s="3" t="s">
        <v>9243</v>
      </c>
      <c r="K3164" s="3" t="s">
        <v>510</v>
      </c>
      <c r="L3164" s="3" t="str">
        <f>IFERROR(__xludf.DUMMYFUNCTION("GOOGLETRANSLATE(F3164,""id"",""en"")"),"The French Argentine World Cup final Theo Hernandez is not afraid to hear the name Messi via")</f>
        <v>The French Argentine World Cup final Theo Hernandez is not afraid to hear the name Messi via</v>
      </c>
    </row>
    <row r="3165" ht="15.75" customHeight="1">
      <c r="A3165" s="1">
        <v>3181.0</v>
      </c>
      <c r="B3165" s="3" t="s">
        <v>9244</v>
      </c>
      <c r="C3165" s="3">
        <v>0.0</v>
      </c>
      <c r="D3165" s="3">
        <v>0.0</v>
      </c>
      <c r="E3165" s="3">
        <v>0.0</v>
      </c>
      <c r="F3165" s="3" t="s">
        <v>9245</v>
      </c>
      <c r="G3165" s="3">
        <v>1.0</v>
      </c>
      <c r="H3165" s="3">
        <v>0.0</v>
      </c>
      <c r="I3165" s="3" t="s">
        <v>13</v>
      </c>
      <c r="J3165" s="3" t="s">
        <v>9246</v>
      </c>
      <c r="K3165" s="3" t="s">
        <v>2907</v>
      </c>
      <c r="L3165" s="3" t="str">
        <f>IFERROR(__xludf.DUMMYFUNCTION("GOOGLETRANSLATE(F3165,""id"",""en"")"),"goal scorer for France Final World Cup is Zinedine Zidane Emmanuel Petit Zidane Petit Follow")</f>
        <v>goal scorer for France Final World Cup is Zinedine Zidane Emmanuel Petit Zidane Petit Follow</v>
      </c>
    </row>
    <row r="3166" ht="15.75" customHeight="1">
      <c r="A3166" s="1">
        <v>3182.0</v>
      </c>
      <c r="B3166" s="3" t="s">
        <v>9247</v>
      </c>
      <c r="C3166" s="3">
        <v>0.0</v>
      </c>
      <c r="D3166" s="3">
        <v>0.0</v>
      </c>
      <c r="E3166" s="3">
        <v>0.0</v>
      </c>
      <c r="F3166" s="3" t="s">
        <v>9248</v>
      </c>
      <c r="G3166" s="3">
        <v>1.0</v>
      </c>
      <c r="H3166" s="3">
        <v>0.0</v>
      </c>
      <c r="I3166" s="3" t="s">
        <v>13</v>
      </c>
      <c r="J3166" s="3" t="s">
        <v>9249</v>
      </c>
      <c r="K3166" s="3" t="s">
        <v>82</v>
      </c>
      <c r="L3166" s="3" t="str">
        <f>IFERROR(__xludf.DUMMYFUNCTION("GOOGLETRANSLATE(F3166,""id"",""en"")"),"Nobar Final of the Most Expensive World Cup in Life Until Now")</f>
        <v>Nobar Final of the Most Expensive World Cup in Life Until Now</v>
      </c>
    </row>
    <row r="3167" ht="15.75" customHeight="1">
      <c r="A3167" s="1">
        <v>3183.0</v>
      </c>
      <c r="B3167" s="3" t="s">
        <v>9250</v>
      </c>
      <c r="C3167" s="3">
        <v>0.0</v>
      </c>
      <c r="D3167" s="3">
        <v>0.0</v>
      </c>
      <c r="E3167" s="3">
        <v>0.0</v>
      </c>
      <c r="F3167" s="3" t="s">
        <v>9251</v>
      </c>
      <c r="G3167" s="3">
        <v>0.75</v>
      </c>
      <c r="H3167" s="3">
        <v>0.06818181818181818</v>
      </c>
      <c r="I3167" s="3" t="s">
        <v>48</v>
      </c>
      <c r="J3167" s="3" t="s">
        <v>9252</v>
      </c>
      <c r="K3167" s="3" t="s">
        <v>437</v>
      </c>
      <c r="L3167" s="3" t="str">
        <f>IFERROR(__xludf.DUMMYFUNCTION("GOOGLETRANSLATE(F3167,""id"",""en"")"),"MARIA WINDS SKOKING AGERTINA French Link Link Live Streaming Argentina France tonight WIB World Cup Final")</f>
        <v>MARIA WINDS SKOKING AGERTINA French Link Link Live Streaming Argentina France tonight WIB World Cup Final</v>
      </c>
    </row>
    <row r="3168" ht="15.75" customHeight="1">
      <c r="A3168" s="1">
        <v>3184.0</v>
      </c>
      <c r="B3168" s="3" t="s">
        <v>9253</v>
      </c>
      <c r="C3168" s="3">
        <v>0.0</v>
      </c>
      <c r="D3168" s="3">
        <v>0.0</v>
      </c>
      <c r="E3168" s="3">
        <v>0.0</v>
      </c>
      <c r="F3168" s="3" t="s">
        <v>9253</v>
      </c>
      <c r="G3168" s="3">
        <v>1.0</v>
      </c>
      <c r="H3168" s="3">
        <v>0.0</v>
      </c>
      <c r="I3168" s="3" t="s">
        <v>13</v>
      </c>
      <c r="J3168" s="3" t="s">
        <v>9254</v>
      </c>
      <c r="K3168" s="3" t="s">
        <v>82</v>
      </c>
      <c r="L3168" s="3" t="str">
        <f>IFERROR(__xludf.DUMMYFUNCTION("GOOGLETRANSLATE(F3168,""id"",""en"")"),"watching the World Cup final like not working the next day")</f>
        <v>watching the World Cup final like not working the next day</v>
      </c>
    </row>
    <row r="3169" ht="15.75" customHeight="1">
      <c r="A3169" s="1">
        <v>3185.0</v>
      </c>
      <c r="B3169" s="3" t="s">
        <v>9255</v>
      </c>
      <c r="C3169" s="3">
        <v>0.0</v>
      </c>
      <c r="D3169" s="3">
        <v>0.0</v>
      </c>
      <c r="E3169" s="3">
        <v>0.0</v>
      </c>
      <c r="F3169" s="3" t="s">
        <v>9256</v>
      </c>
      <c r="G3169" s="3">
        <v>1.0</v>
      </c>
      <c r="H3169" s="3">
        <v>0.0</v>
      </c>
      <c r="I3169" s="3" t="s">
        <v>13</v>
      </c>
      <c r="J3169" s="3" t="s">
        <v>9257</v>
      </c>
      <c r="K3169" s="3" t="s">
        <v>236</v>
      </c>
      <c r="L3169" s="3" t="str">
        <f>IFERROR(__xludf.DUMMYFUNCTION("GOOGLETRANSLATE(F3169,""id"",""en"")"),"The world cup subscription is only until the semi -finals when the final can be watched wkwkwk")</f>
        <v>The world cup subscription is only until the semi -finals when the final can be watched wkwkwk</v>
      </c>
    </row>
    <row r="3170" ht="15.75" customHeight="1">
      <c r="A3170" s="1">
        <v>3186.0</v>
      </c>
      <c r="B3170" s="3" t="s">
        <v>9258</v>
      </c>
      <c r="C3170" s="3">
        <v>0.0</v>
      </c>
      <c r="D3170" s="3">
        <v>0.0</v>
      </c>
      <c r="E3170" s="3">
        <v>0.0</v>
      </c>
      <c r="F3170" s="3" t="s">
        <v>9259</v>
      </c>
      <c r="G3170" s="3">
        <v>1.0</v>
      </c>
      <c r="H3170" s="3">
        <v>0.0</v>
      </c>
      <c r="I3170" s="3" t="s">
        <v>13</v>
      </c>
      <c r="J3170" s="3" t="s">
        <v>9260</v>
      </c>
      <c r="K3170" s="3" t="s">
        <v>41</v>
      </c>
      <c r="L3170" s="3" t="str">
        <f>IFERROR(__xludf.DUMMYFUNCTION("GOOGLETRANSLATE(F3170,""id"",""en"")"),"Shanijkt watching the tense World Cup final hehe continues to be the spirit of Oshi")</f>
        <v>Shanijkt watching the tense World Cup final hehe continues to be the spirit of Oshi</v>
      </c>
    </row>
    <row r="3171" ht="15.75" customHeight="1">
      <c r="A3171" s="1">
        <v>3187.0</v>
      </c>
      <c r="B3171" s="3" t="s">
        <v>9261</v>
      </c>
      <c r="C3171" s="3">
        <v>0.0</v>
      </c>
      <c r="D3171" s="3">
        <v>0.0</v>
      </c>
      <c r="E3171" s="3">
        <v>0.0</v>
      </c>
      <c r="F3171" s="3" t="s">
        <v>9262</v>
      </c>
      <c r="G3171" s="3">
        <v>0.7777777777777778</v>
      </c>
      <c r="H3171" s="3">
        <v>0.05555555555555555</v>
      </c>
      <c r="I3171" s="3" t="s">
        <v>48</v>
      </c>
      <c r="J3171" s="3" t="s">
        <v>9263</v>
      </c>
      <c r="K3171" s="3" t="s">
        <v>1925</v>
      </c>
      <c r="L3171" s="3" t="str">
        <f>IFERROR(__xludf.DUMMYFUNCTION("GOOGLETRANSLATE(F3171,""id"",""en"")"),"This is the World Cup Final Kayk Final Futsal Class Meeting, the classmates against the class, the class are not allowed to attack rather than finishing playing beaten")</f>
        <v>This is the World Cup Final Kayk Final Futsal Class Meeting, the classmates against the class, the class are not allowed to attack rather than finishing playing beaten</v>
      </c>
    </row>
    <row r="3172" ht="15.75" customHeight="1">
      <c r="A3172" s="1">
        <v>3188.0</v>
      </c>
      <c r="B3172" s="3" t="s">
        <v>9264</v>
      </c>
      <c r="C3172" s="3">
        <v>1.0</v>
      </c>
      <c r="D3172" s="3">
        <v>0.0</v>
      </c>
      <c r="E3172" s="3">
        <v>0.0</v>
      </c>
      <c r="F3172" s="3" t="s">
        <v>9265</v>
      </c>
      <c r="G3172" s="3">
        <v>1.0</v>
      </c>
      <c r="H3172" s="3">
        <v>0.0</v>
      </c>
      <c r="I3172" s="3" t="s">
        <v>13</v>
      </c>
      <c r="J3172" s="3" t="s">
        <v>9266</v>
      </c>
      <c r="K3172" s="3" t="s">
        <v>149</v>
      </c>
      <c r="L3172" s="3" t="str">
        <f>IFERROR(__xludf.DUMMYFUNCTION("GOOGLETRANSLATE(F3172,""id"",""en"")"),"great this season has not finished Bayern will be filled with players who were eliminated by the group phase and lost to the final of the World Cup alias Happy Leipzig Bundesliga champions")</f>
        <v>great this season has not finished Bayern will be filled with players who were eliminated by the group phase and lost to the final of the World Cup alias Happy Leipzig Bundesliga champions</v>
      </c>
    </row>
    <row r="3173" ht="15.75" customHeight="1">
      <c r="A3173" s="1">
        <v>3189.0</v>
      </c>
      <c r="B3173" s="3" t="s">
        <v>9267</v>
      </c>
      <c r="C3173" s="3">
        <v>0.0</v>
      </c>
      <c r="D3173" s="3">
        <v>0.0</v>
      </c>
      <c r="E3173" s="3">
        <v>0.0</v>
      </c>
      <c r="F3173" s="3" t="s">
        <v>9268</v>
      </c>
      <c r="G3173" s="3">
        <v>0.75</v>
      </c>
      <c r="H3173" s="3">
        <v>0.06818181818181818</v>
      </c>
      <c r="I3173" s="3" t="s">
        <v>48</v>
      </c>
      <c r="J3173" s="3" t="s">
        <v>9269</v>
      </c>
      <c r="K3173" s="3" t="s">
        <v>495</v>
      </c>
      <c r="L3173" s="3" t="str">
        <f>IFERROR(__xludf.DUMMYFUNCTION("GOOGLETRANSLATE(F3173,""id"",""en"")"),"LIVE LIVE STREAMING Argentina French watching live broadcasts of the World Cup final waiting for the brilliant actions of Lionel Messi and Kylian Mbappe")</f>
        <v>LIVE LIVE STREAMING Argentina French watching live broadcasts of the World Cup final waiting for the brilliant actions of Lionel Messi and Kylian Mbappe</v>
      </c>
    </row>
    <row r="3174" ht="15.75" customHeight="1">
      <c r="A3174" s="1">
        <v>3190.0</v>
      </c>
      <c r="B3174" s="3" t="s">
        <v>9270</v>
      </c>
      <c r="C3174" s="3">
        <v>1.0</v>
      </c>
      <c r="D3174" s="3">
        <v>0.0</v>
      </c>
      <c r="E3174" s="3">
        <v>1.0</v>
      </c>
      <c r="F3174" s="3" t="s">
        <v>9271</v>
      </c>
      <c r="G3174" s="3">
        <v>1.0</v>
      </c>
      <c r="H3174" s="3">
        <v>0.0</v>
      </c>
      <c r="I3174" s="3" t="s">
        <v>13</v>
      </c>
      <c r="J3174" s="3" t="s">
        <v>9272</v>
      </c>
      <c r="K3174" s="3" t="s">
        <v>484</v>
      </c>
      <c r="L3174" s="3" t="str">
        <f>IFERROR(__xludf.DUMMYFUNCTION("GOOGLETRANSLATE(F3174,""id"",""en"")"),"France is like not France with its organized game similar to the Brazilian National Team of the World Cup Final Flirty Planga Plongo")</f>
        <v>France is like not France with its organized game similar to the Brazilian National Team of the World Cup Final Flirty Planga Plongo</v>
      </c>
    </row>
    <row r="3175" ht="15.75" customHeight="1">
      <c r="A3175" s="1">
        <v>3191.0</v>
      </c>
      <c r="B3175" s="3" t="s">
        <v>9273</v>
      </c>
      <c r="C3175" s="3">
        <v>45.0</v>
      </c>
      <c r="D3175" s="3">
        <v>42.0</v>
      </c>
      <c r="E3175" s="3">
        <v>218.0</v>
      </c>
      <c r="F3175" s="3" t="s">
        <v>9274</v>
      </c>
      <c r="G3175" s="3">
        <v>1.0</v>
      </c>
      <c r="H3175" s="3">
        <v>0.0</v>
      </c>
      <c r="I3175" s="3" t="s">
        <v>13</v>
      </c>
      <c r="J3175" s="3" t="s">
        <v>9275</v>
      </c>
      <c r="K3175" s="3" t="s">
        <v>41</v>
      </c>
      <c r="L3175" s="3" t="str">
        <f>IFERROR(__xludf.DUMMYFUNCTION("GOOGLETRANSLATE(F3175,""id"",""en"")"),"This is the World Cup final bro")</f>
        <v>This is the World Cup final bro</v>
      </c>
    </row>
    <row r="3176" ht="15.75" customHeight="1">
      <c r="A3176" s="1">
        <v>3192.0</v>
      </c>
      <c r="B3176" s="3" t="s">
        <v>9276</v>
      </c>
      <c r="C3176" s="3">
        <v>3.0</v>
      </c>
      <c r="D3176" s="3">
        <v>1.0</v>
      </c>
      <c r="E3176" s="3">
        <v>12.0</v>
      </c>
      <c r="F3176" s="3" t="s">
        <v>9277</v>
      </c>
      <c r="G3176" s="3">
        <v>1.0</v>
      </c>
      <c r="H3176" s="3">
        <v>0.0</v>
      </c>
      <c r="I3176" s="3" t="s">
        <v>13</v>
      </c>
      <c r="J3176" s="3" t="s">
        <v>9278</v>
      </c>
      <c r="K3176" s="3" t="s">
        <v>903</v>
      </c>
      <c r="L3176" s="3" t="str">
        <f>IFERROR(__xludf.DUMMYFUNCTION("GOOGLETRANSLATE(F3176,""id"",""en"")"),"The France midfield cannot do much until the distance between players is too far away from other effects of France easily loses the ball so that Kylian Mbappe does not play much in the World Cup final")</f>
        <v>The France midfield cannot do much until the distance between players is too far away from other effects of France easily loses the ball so that Kylian Mbappe does not play much in the World Cup final</v>
      </c>
    </row>
    <row r="3177" ht="15.75" customHeight="1">
      <c r="A3177" s="1">
        <v>3193.0</v>
      </c>
      <c r="B3177" s="3" t="s">
        <v>9279</v>
      </c>
      <c r="C3177" s="3">
        <v>0.0</v>
      </c>
      <c r="D3177" s="3">
        <v>0.0</v>
      </c>
      <c r="E3177" s="3">
        <v>0.0</v>
      </c>
      <c r="F3177" s="3" t="s">
        <v>9280</v>
      </c>
      <c r="G3177" s="3">
        <v>1.0</v>
      </c>
      <c r="H3177" s="3">
        <v>0.0</v>
      </c>
      <c r="I3177" s="3" t="s">
        <v>13</v>
      </c>
      <c r="J3177" s="3" t="s">
        <v>9281</v>
      </c>
      <c r="K3177" s="3" t="s">
        <v>1293</v>
      </c>
      <c r="L3177" s="3" t="str">
        <f>IFERROR(__xludf.DUMMYFUNCTION("GOOGLETRANSLATE(F3177,""id"",""en"")"),"Jane watched the Final Pildun Delicious Channel SCTV Comments Outside the World Cup Vibes I was hit than Indosiar Vibes BRI League")</f>
        <v>Jane watched the Final Pildun Delicious Channel SCTV Comments Outside the World Cup Vibes I was hit than Indosiar Vibes BRI League</v>
      </c>
    </row>
    <row r="3178" ht="15.75" customHeight="1">
      <c r="A3178" s="1">
        <v>3194.0</v>
      </c>
      <c r="B3178" s="3" t="s">
        <v>9282</v>
      </c>
      <c r="C3178" s="3">
        <v>2.0</v>
      </c>
      <c r="D3178" s="3">
        <v>1.0</v>
      </c>
      <c r="E3178" s="3">
        <v>17.0</v>
      </c>
      <c r="F3178" s="3" t="s">
        <v>9283</v>
      </c>
      <c r="G3178" s="3">
        <v>1.0</v>
      </c>
      <c r="H3178" s="3">
        <v>0.0</v>
      </c>
      <c r="I3178" s="3" t="s">
        <v>13</v>
      </c>
      <c r="J3178" s="3" t="s">
        <v>9284</v>
      </c>
      <c r="K3178" s="3" t="s">
        <v>131</v>
      </c>
      <c r="L3178" s="3" t="str">
        <f>IFERROR(__xludf.DUMMYFUNCTION("GOOGLETRANSLATE(F3178,""id"",""en"")"),"The Kingdom of the People's Representative Trun Pdang Pdang People's Representatives of Kelantan Ner Watch the World Cup Final Cian Geng Kelantan HAHAHHA")</f>
        <v>The Kingdom of the People's Representative Trun Pdang Pdang People's Representatives of Kelantan Ner Watch the World Cup Final Cian Geng Kelantan HAHAHHA</v>
      </c>
    </row>
    <row r="3179" ht="15.75" customHeight="1">
      <c r="A3179" s="1">
        <v>3195.0</v>
      </c>
      <c r="B3179" s="3" t="s">
        <v>9285</v>
      </c>
      <c r="C3179" s="3">
        <v>0.0</v>
      </c>
      <c r="D3179" s="3">
        <v>0.0</v>
      </c>
      <c r="E3179" s="3">
        <v>0.0</v>
      </c>
      <c r="F3179" s="3" t="s">
        <v>9286</v>
      </c>
      <c r="G3179" s="3">
        <v>1.0</v>
      </c>
      <c r="H3179" s="3">
        <v>0.0</v>
      </c>
      <c r="I3179" s="3" t="s">
        <v>13</v>
      </c>
      <c r="J3179" s="3" t="s">
        <v>9287</v>
      </c>
      <c r="K3179" s="3" t="s">
        <v>31</v>
      </c>
      <c r="L3179" s="3" t="str">
        <f>IFERROR(__xludf.DUMMYFUNCTION("GOOGLETRANSLATE(F3179,""id"",""en"")"),"Only when the World Cup final")</f>
        <v>Only when the World Cup final</v>
      </c>
    </row>
    <row r="3180" ht="15.75" customHeight="1">
      <c r="A3180" s="1">
        <v>3196.0</v>
      </c>
      <c r="B3180" s="3" t="s">
        <v>9288</v>
      </c>
      <c r="C3180" s="3">
        <v>0.0</v>
      </c>
      <c r="D3180" s="3">
        <v>1.0</v>
      </c>
      <c r="E3180" s="3">
        <v>2.0</v>
      </c>
      <c r="F3180" s="3" t="s">
        <v>9289</v>
      </c>
      <c r="G3180" s="3">
        <v>1.0</v>
      </c>
      <c r="H3180" s="3">
        <v>0.0</v>
      </c>
      <c r="I3180" s="3" t="s">
        <v>13</v>
      </c>
      <c r="J3180" s="3" t="s">
        <v>9290</v>
      </c>
      <c r="K3180" s="3" t="s">
        <v>437</v>
      </c>
      <c r="L3180" s="3" t="str">
        <f>IFERROR(__xludf.DUMMYFUNCTION("GOOGLETRANSLATE(F3180,""id"",""en"")"),"Argentina national team shirt with Messi's jersey number mentioned sold out worldwide ahead of the World Cup final")</f>
        <v>Argentina national team shirt with Messi's jersey number mentioned sold out worldwide ahead of the World Cup final</v>
      </c>
    </row>
    <row r="3181" ht="15.75" customHeight="1">
      <c r="A3181" s="1">
        <v>3197.0</v>
      </c>
      <c r="B3181" s="3" t="s">
        <v>9291</v>
      </c>
      <c r="C3181" s="3">
        <v>1.0</v>
      </c>
      <c r="D3181" s="3">
        <v>0.0</v>
      </c>
      <c r="E3181" s="3">
        <v>0.0</v>
      </c>
      <c r="F3181" s="3" t="s">
        <v>9292</v>
      </c>
      <c r="G3181" s="3">
        <v>1.0</v>
      </c>
      <c r="H3181" s="3">
        <v>0.0</v>
      </c>
      <c r="I3181" s="3" t="s">
        <v>13</v>
      </c>
      <c r="J3181" s="3" t="s">
        <v>9293</v>
      </c>
      <c r="K3181" s="3" t="s">
        <v>31</v>
      </c>
      <c r="L3181" s="3" t="str">
        <f>IFERROR(__xludf.DUMMYFUNCTION("GOOGLETRANSLATE(F3181,""id"",""en"")"),"There are people watching the World Cup final")</f>
        <v>There are people watching the World Cup final</v>
      </c>
    </row>
    <row r="3182" ht="15.75" customHeight="1">
      <c r="A3182" s="1">
        <v>3198.0</v>
      </c>
      <c r="B3182" s="3" t="s">
        <v>9294</v>
      </c>
      <c r="C3182" s="3">
        <v>0.0</v>
      </c>
      <c r="D3182" s="3">
        <v>0.0</v>
      </c>
      <c r="E3182" s="3">
        <v>2.0</v>
      </c>
      <c r="F3182" s="3" t="s">
        <v>9295</v>
      </c>
      <c r="G3182" s="3">
        <v>1.0</v>
      </c>
      <c r="H3182" s="3">
        <v>0.0</v>
      </c>
      <c r="I3182" s="3" t="s">
        <v>13</v>
      </c>
      <c r="J3182" s="3" t="s">
        <v>9296</v>
      </c>
      <c r="K3182" s="3" t="s">
        <v>1293</v>
      </c>
      <c r="L3182" s="3" t="str">
        <f>IFERROR(__xludf.DUMMYFUNCTION("GOOGLETRANSLATE(F3182,""id"",""en"")"),"Following are the results of the first round of the World Cup Final Party between Argentina France's temporary score for Argentina thanks to goals from Lionel Messi and Maria")</f>
        <v>Following are the results of the first round of the World Cup Final Party between Argentina France's temporary score for Argentina thanks to goals from Lionel Messi and Maria</v>
      </c>
    </row>
    <row r="3183" ht="15.75" customHeight="1">
      <c r="A3183" s="1">
        <v>3199.0</v>
      </c>
      <c r="B3183" s="3" t="s">
        <v>9297</v>
      </c>
      <c r="C3183" s="3">
        <v>0.0</v>
      </c>
      <c r="D3183" s="3">
        <v>0.0</v>
      </c>
      <c r="E3183" s="3">
        <v>0.0</v>
      </c>
      <c r="F3183" s="3" t="s">
        <v>9298</v>
      </c>
      <c r="G3183" s="3">
        <v>1.0</v>
      </c>
      <c r="H3183" s="3">
        <v>0.0</v>
      </c>
      <c r="I3183" s="3" t="s">
        <v>13</v>
      </c>
      <c r="J3183" s="3" t="s">
        <v>9299</v>
      </c>
      <c r="K3183" s="3" t="s">
        <v>31</v>
      </c>
      <c r="L3183" s="3" t="str">
        <f>IFERROR(__xludf.DUMMYFUNCTION("GOOGLETRANSLATE(F3183,""id"",""en"")"),"The World Cup is final, it turns out")</f>
        <v>The World Cup is final, it turns out</v>
      </c>
    </row>
    <row r="3184" ht="15.75" customHeight="1">
      <c r="A3184" s="1">
        <v>3200.0</v>
      </c>
      <c r="B3184" s="3" t="s">
        <v>9300</v>
      </c>
      <c r="C3184" s="3">
        <v>1.0</v>
      </c>
      <c r="D3184" s="3">
        <v>0.0</v>
      </c>
      <c r="E3184" s="3">
        <v>0.0</v>
      </c>
      <c r="F3184" s="3" t="s">
        <v>9301</v>
      </c>
      <c r="G3184" s="3">
        <v>1.0</v>
      </c>
      <c r="H3184" s="3">
        <v>0.0</v>
      </c>
      <c r="I3184" s="3" t="s">
        <v>13</v>
      </c>
      <c r="J3184" s="3" t="s">
        <v>9302</v>
      </c>
      <c r="K3184" s="3" t="s">
        <v>50</v>
      </c>
      <c r="L3184" s="3" t="str">
        <f>IFERROR(__xludf.DUMMYFUNCTION("GOOGLETRANSLATE(F3184,""id"",""en"")"),"As an observer of football, my response to the World Cup final is the referee paid by FIFA")</f>
        <v>As an observer of football, my response to the World Cup final is the referee paid by FIFA</v>
      </c>
    </row>
    <row r="3185" ht="15.75" customHeight="1">
      <c r="A3185" s="1">
        <v>3201.0</v>
      </c>
      <c r="B3185" s="3" t="s">
        <v>9303</v>
      </c>
      <c r="C3185" s="3">
        <v>0.0</v>
      </c>
      <c r="D3185" s="3">
        <v>0.0</v>
      </c>
      <c r="E3185" s="3">
        <v>0.0</v>
      </c>
      <c r="F3185" s="3" t="s">
        <v>9304</v>
      </c>
      <c r="G3185" s="3">
        <v>1.0</v>
      </c>
      <c r="H3185" s="3">
        <v>0.0</v>
      </c>
      <c r="I3185" s="3" t="s">
        <v>13</v>
      </c>
      <c r="J3185" s="3" t="s">
        <v>9305</v>
      </c>
      <c r="K3185" s="3" t="s">
        <v>41</v>
      </c>
      <c r="L3185" s="3" t="str">
        <f>IFERROR(__xludf.DUMMYFUNCTION("GOOGLETRANSLATE(F3185,""id"",""en"")"),"portrait of paid subscription livestreaming user who watched the World Cup final")</f>
        <v>portrait of paid subscription livestreaming user who watched the World Cup final</v>
      </c>
    </row>
    <row r="3186" ht="15.75" customHeight="1">
      <c r="A3186" s="1">
        <v>3202.0</v>
      </c>
      <c r="B3186" s="3" t="s">
        <v>9306</v>
      </c>
      <c r="C3186" s="3">
        <v>0.0</v>
      </c>
      <c r="D3186" s="3">
        <v>2.0</v>
      </c>
      <c r="E3186" s="3">
        <v>0.0</v>
      </c>
      <c r="F3186" s="3" t="s">
        <v>9307</v>
      </c>
      <c r="G3186" s="3">
        <v>1.0</v>
      </c>
      <c r="H3186" s="3">
        <v>0.0</v>
      </c>
      <c r="I3186" s="3" t="s">
        <v>13</v>
      </c>
      <c r="J3186" s="3" t="s">
        <v>9308</v>
      </c>
      <c r="K3186" s="3" t="s">
        <v>495</v>
      </c>
      <c r="L3186" s="3" t="str">
        <f>IFERROR(__xludf.DUMMYFUNCTION("GOOGLETRANSLATE(F3186,""id"",""en"")"),"Hebaaat can usually error in the second half of the World Cup final which is only once in four years directly trending Twitter, how about being blasphemed by Indonesia")</f>
        <v>Hebaaat can usually error in the second half of the World Cup final which is only once in four years directly trending Twitter, how about being blasphemed by Indonesia</v>
      </c>
    </row>
    <row r="3187" ht="15.75" customHeight="1">
      <c r="A3187" s="1">
        <v>3203.0</v>
      </c>
      <c r="B3187" s="3" t="s">
        <v>9309</v>
      </c>
      <c r="C3187" s="3">
        <v>0.0</v>
      </c>
      <c r="D3187" s="3">
        <v>0.0</v>
      </c>
      <c r="E3187" s="3">
        <v>0.0</v>
      </c>
      <c r="F3187" s="3" t="s">
        <v>9310</v>
      </c>
      <c r="G3187" s="3">
        <v>1.0</v>
      </c>
      <c r="H3187" s="3">
        <v>0.0</v>
      </c>
      <c r="I3187" s="3" t="s">
        <v>13</v>
      </c>
      <c r="J3187" s="3" t="s">
        <v>9311</v>
      </c>
      <c r="K3187" s="3" t="s">
        <v>433</v>
      </c>
      <c r="L3187" s="3" t="str">
        <f>IFERROR(__xludf.DUMMYFUNCTION("GOOGLETRANSLATE(F3187,""id"",""en"")"),"But if you think about it, why is Deshamp still sitting sitting while his team was treated to the World Cup Final goal")</f>
        <v>But if you think about it, why is Deshamp still sitting sitting while his team was treated to the World Cup Final goal</v>
      </c>
    </row>
    <row r="3188" ht="15.75" customHeight="1">
      <c r="A3188" s="1">
        <v>3204.0</v>
      </c>
      <c r="B3188" s="3" t="s">
        <v>9312</v>
      </c>
      <c r="C3188" s="3">
        <v>89.0</v>
      </c>
      <c r="D3188" s="3">
        <v>39.0</v>
      </c>
      <c r="E3188" s="3">
        <v>299.0</v>
      </c>
      <c r="F3188" s="3" t="s">
        <v>9313</v>
      </c>
      <c r="G3188" s="3">
        <v>1.0</v>
      </c>
      <c r="H3188" s="3">
        <v>0.0</v>
      </c>
      <c r="I3188" s="3" t="s">
        <v>13</v>
      </c>
      <c r="J3188" s="3" t="s">
        <v>9314</v>
      </c>
      <c r="K3188" s="3" t="s">
        <v>82</v>
      </c>
      <c r="L3188" s="3" t="str">
        <f>IFERROR(__xludf.DUMMYFUNCTION("GOOGLETRANSLATE(F3188,""id"",""en"")"),"Video overwhelmed by the World Cup Final Traffic")</f>
        <v>Video overwhelmed by the World Cup Final Traffic</v>
      </c>
    </row>
    <row r="3189" ht="15.75" customHeight="1">
      <c r="A3189" s="1">
        <v>3205.0</v>
      </c>
      <c r="B3189" s="3" t="s">
        <v>9315</v>
      </c>
      <c r="C3189" s="3">
        <v>0.0</v>
      </c>
      <c r="D3189" s="3">
        <v>0.0</v>
      </c>
      <c r="E3189" s="3">
        <v>0.0</v>
      </c>
      <c r="F3189" s="3" t="s">
        <v>9316</v>
      </c>
      <c r="G3189" s="3">
        <v>0.6666666666666666</v>
      </c>
      <c r="H3189" s="3">
        <v>0.08333333333333333</v>
      </c>
      <c r="I3189" s="3" t="s">
        <v>48</v>
      </c>
      <c r="J3189" s="3" t="s">
        <v>9317</v>
      </c>
      <c r="K3189" s="3" t="s">
        <v>9318</v>
      </c>
      <c r="L3189" s="3" t="str">
        <f>IFERROR(__xludf.DUMMYFUNCTION("GOOGLETRANSLATE(F3189,""id"",""en"")"),"The World Cup is just like so when fasting is more exciting now I watch the final, I have been hurried to forget who is playing even though I always follow until the soccer player with the skill is because my father is most clearly one one one one")</f>
        <v>The World Cup is just like so when fasting is more exciting now I watch the final, I have been hurried to forget who is playing even though I always follow until the soccer player with the skill is because my father is most clearly one one one one</v>
      </c>
    </row>
    <row r="3190" ht="15.75" customHeight="1">
      <c r="A3190" s="1">
        <v>3206.0</v>
      </c>
      <c r="B3190" s="3" t="s">
        <v>9319</v>
      </c>
      <c r="C3190" s="3">
        <v>1.0</v>
      </c>
      <c r="D3190" s="3">
        <v>0.0</v>
      </c>
      <c r="E3190" s="3">
        <v>4.0</v>
      </c>
      <c r="F3190" s="3" t="s">
        <v>9320</v>
      </c>
      <c r="G3190" s="3">
        <v>1.0</v>
      </c>
      <c r="H3190" s="3">
        <v>0.0</v>
      </c>
      <c r="I3190" s="3" t="s">
        <v>13</v>
      </c>
      <c r="J3190" s="3" t="s">
        <v>9321</v>
      </c>
      <c r="K3190" s="3" t="s">
        <v>82</v>
      </c>
      <c r="L3190" s="3" t="str">
        <f>IFERROR(__xludf.DUMMYFUNCTION("GOOGLETRANSLATE(F3190,""id"",""en"")"),"The Argentine World Cup Final was superior to the half of the match")</f>
        <v>The Argentine World Cup Final was superior to the half of the match</v>
      </c>
    </row>
    <row r="3191" ht="15.75" customHeight="1">
      <c r="A3191" s="1">
        <v>3207.0</v>
      </c>
      <c r="B3191" s="3" t="s">
        <v>9322</v>
      </c>
      <c r="C3191" s="3">
        <v>2.0</v>
      </c>
      <c r="D3191" s="3">
        <v>0.0</v>
      </c>
      <c r="E3191" s="3">
        <v>0.0</v>
      </c>
      <c r="F3191" s="3" t="s">
        <v>9323</v>
      </c>
      <c r="G3191" s="3">
        <v>1.0</v>
      </c>
      <c r="H3191" s="3">
        <v>0.0</v>
      </c>
      <c r="I3191" s="3" t="s">
        <v>13</v>
      </c>
      <c r="J3191" s="3" t="s">
        <v>9324</v>
      </c>
      <c r="K3191" s="3" t="s">
        <v>82</v>
      </c>
      <c r="L3191" s="3" t="str">
        <f>IFERROR(__xludf.DUMMYFUNCTION("GOOGLETRANSLATE(F3191,""id"",""en"")"),"The World Cup final you are good at who guys")</f>
        <v>The World Cup final you are good at who guys</v>
      </c>
    </row>
    <row r="3192" ht="15.75" customHeight="1">
      <c r="A3192" s="1">
        <v>3208.0</v>
      </c>
      <c r="B3192" s="3" t="s">
        <v>9325</v>
      </c>
      <c r="C3192" s="3">
        <v>0.0</v>
      </c>
      <c r="D3192" s="3">
        <v>0.0</v>
      </c>
      <c r="E3192" s="3">
        <v>0.0</v>
      </c>
      <c r="F3192" s="3" t="s">
        <v>9326</v>
      </c>
      <c r="G3192" s="3">
        <v>1.0</v>
      </c>
      <c r="H3192" s="3">
        <v>0.0</v>
      </c>
      <c r="I3192" s="3" t="s">
        <v>13</v>
      </c>
      <c r="J3192" s="3" t="s">
        <v>9327</v>
      </c>
      <c r="K3192" s="3" t="s">
        <v>240</v>
      </c>
      <c r="L3192" s="3" t="str">
        <f>IFERROR(__xludf.DUMMYFUNCTION("GOOGLETRANSLATE(F3192,""id"",""en"")"),"Debt apologize for all Cok customers can error throughout the World Cup final match")</f>
        <v>Debt apologize for all Cok customers can error throughout the World Cup final match</v>
      </c>
    </row>
    <row r="3193" ht="15.75" customHeight="1">
      <c r="A3193" s="1">
        <v>3209.0</v>
      </c>
      <c r="B3193" s="3" t="s">
        <v>9328</v>
      </c>
      <c r="C3193" s="3">
        <v>0.0</v>
      </c>
      <c r="D3193" s="3">
        <v>0.0</v>
      </c>
      <c r="E3193" s="3">
        <v>1.0</v>
      </c>
      <c r="F3193" s="3" t="s">
        <v>9329</v>
      </c>
      <c r="G3193" s="3">
        <v>1.0</v>
      </c>
      <c r="H3193" s="3">
        <v>0.0</v>
      </c>
      <c r="I3193" s="3" t="s">
        <v>13</v>
      </c>
      <c r="J3193" s="3" t="s">
        <v>9330</v>
      </c>
      <c r="K3193" s="3" t="s">
        <v>1552</v>
      </c>
      <c r="L3193" s="3" t="str">
        <f>IFERROR(__xludf.DUMMYFUNCTION("GOOGLETRANSLATE(F3193,""id"",""en"")"),"Rodrigo Paul made the World Cup final the worst World Cup")</f>
        <v>Rodrigo Paul made the World Cup final the worst World Cup</v>
      </c>
    </row>
    <row r="3194" ht="15.75" customHeight="1">
      <c r="A3194" s="1">
        <v>3210.0</v>
      </c>
      <c r="B3194" s="3" t="s">
        <v>9331</v>
      </c>
      <c r="C3194" s="3">
        <v>0.0</v>
      </c>
      <c r="D3194" s="3">
        <v>0.0</v>
      </c>
      <c r="E3194" s="3">
        <v>0.0</v>
      </c>
      <c r="F3194" s="3" t="s">
        <v>9332</v>
      </c>
      <c r="G3194" s="3">
        <v>1.0</v>
      </c>
      <c r="H3194" s="3">
        <v>0.0</v>
      </c>
      <c r="I3194" s="3" t="s">
        <v>13</v>
      </c>
      <c r="J3194" s="3" t="s">
        <v>9333</v>
      </c>
      <c r="K3194" s="3" t="s">
        <v>54</v>
      </c>
      <c r="L3194" s="3" t="str">
        <f>IFERROR(__xludf.DUMMYFUNCTION("GOOGLETRANSLATE(F3194,""id"",""en"")"),"want to watch the world cup final but not on")</f>
        <v>want to watch the world cup final but not on</v>
      </c>
    </row>
    <row r="3195" ht="15.75" customHeight="1">
      <c r="A3195" s="1">
        <v>3211.0</v>
      </c>
      <c r="B3195" s="3" t="s">
        <v>9334</v>
      </c>
      <c r="C3195" s="3">
        <v>0.0</v>
      </c>
      <c r="D3195" s="3">
        <v>0.0</v>
      </c>
      <c r="E3195" s="3">
        <v>0.0</v>
      </c>
      <c r="F3195" s="3" t="s">
        <v>9335</v>
      </c>
      <c r="G3195" s="3">
        <v>0.75</v>
      </c>
      <c r="H3195" s="3">
        <v>0.1875</v>
      </c>
      <c r="I3195" s="3" t="s">
        <v>48</v>
      </c>
      <c r="J3195" s="3" t="s">
        <v>9336</v>
      </c>
      <c r="K3195" s="3" t="s">
        <v>54</v>
      </c>
      <c r="L3195" s="3" t="str">
        <f>IFERROR(__xludf.DUMMYFUNCTION("GOOGLETRANSLATE(F3195,""id"",""en"")"),"This friendly match is not the World Cup Final")</f>
        <v>This friendly match is not the World Cup Final</v>
      </c>
    </row>
    <row r="3196" ht="15.75" customHeight="1">
      <c r="A3196" s="1">
        <v>3212.0</v>
      </c>
      <c r="B3196" s="3" t="s">
        <v>9337</v>
      </c>
      <c r="C3196" s="3">
        <v>0.0</v>
      </c>
      <c r="D3196" s="3">
        <v>0.0</v>
      </c>
      <c r="E3196" s="3">
        <v>0.0</v>
      </c>
      <c r="F3196" s="3" t="s">
        <v>9338</v>
      </c>
      <c r="G3196" s="3">
        <v>1.0</v>
      </c>
      <c r="H3196" s="3">
        <v>0.0</v>
      </c>
      <c r="I3196" s="3" t="s">
        <v>13</v>
      </c>
      <c r="J3196" s="3" t="s">
        <v>9339</v>
      </c>
      <c r="K3196" s="3" t="s">
        <v>54</v>
      </c>
      <c r="L3196" s="3" t="str">
        <f>IFERROR(__xludf.DUMMYFUNCTION("GOOGLETRANSLATE(F3196,""id"",""en"")"),"The World Cup Final does not adjust the lecture schedule")</f>
        <v>The World Cup Final does not adjust the lecture schedule</v>
      </c>
    </row>
    <row r="3197" ht="15.75" customHeight="1">
      <c r="A3197" s="1">
        <v>3213.0</v>
      </c>
      <c r="B3197" s="3" t="s">
        <v>9340</v>
      </c>
      <c r="C3197" s="3">
        <v>0.0</v>
      </c>
      <c r="D3197" s="3">
        <v>0.0</v>
      </c>
      <c r="E3197" s="3">
        <v>2.0</v>
      </c>
      <c r="F3197" s="3" t="s">
        <v>9341</v>
      </c>
      <c r="G3197" s="3">
        <v>1.0</v>
      </c>
      <c r="H3197" s="3">
        <v>0.0</v>
      </c>
      <c r="I3197" s="3" t="s">
        <v>13</v>
      </c>
      <c r="J3197" s="3" t="s">
        <v>9342</v>
      </c>
      <c r="K3197" s="3" t="s">
        <v>71</v>
      </c>
      <c r="L3197" s="3" t="str">
        <f>IFERROR(__xludf.DUMMYFUNCTION("GOOGLETRANSLATE(F3197,""id"",""en"")"),"World Cup Final Referee Szymon Marciniak gave Argentine penalty without seeing the var netizens angry")</f>
        <v>World Cup Final Referee Szymon Marciniak gave Argentine penalty without seeing the var netizens angry</v>
      </c>
    </row>
    <row r="3198" ht="15.75" customHeight="1">
      <c r="A3198" s="1">
        <v>3214.0</v>
      </c>
      <c r="B3198" s="3" t="s">
        <v>9343</v>
      </c>
      <c r="C3198" s="3">
        <v>1.0</v>
      </c>
      <c r="D3198" s="3">
        <v>0.0</v>
      </c>
      <c r="E3198" s="3">
        <v>0.0</v>
      </c>
      <c r="F3198" s="3" t="s">
        <v>9344</v>
      </c>
      <c r="G3198" s="3">
        <v>1.0</v>
      </c>
      <c r="H3198" s="3">
        <v>0.0</v>
      </c>
      <c r="I3198" s="3" t="s">
        <v>13</v>
      </c>
      <c r="J3198" s="3" t="s">
        <v>3957</v>
      </c>
      <c r="K3198" s="3" t="s">
        <v>31</v>
      </c>
      <c r="L3198" s="3" t="str">
        <f>IFERROR(__xludf.DUMMYFUNCTION("GOOGLETRANSLATE(F3198,""id"",""en"")"),"French Argentine World Cup Final")</f>
        <v>French Argentine World Cup Final</v>
      </c>
    </row>
    <row r="3199" ht="15.75" customHeight="1">
      <c r="A3199" s="1">
        <v>3215.0</v>
      </c>
      <c r="B3199" s="3" t="s">
        <v>9345</v>
      </c>
      <c r="C3199" s="3">
        <v>0.0</v>
      </c>
      <c r="D3199" s="3">
        <v>0.0</v>
      </c>
      <c r="E3199" s="3">
        <v>0.0</v>
      </c>
      <c r="F3199" s="3" t="s">
        <v>9346</v>
      </c>
      <c r="G3199" s="3">
        <v>1.0</v>
      </c>
      <c r="H3199" s="3">
        <v>0.0</v>
      </c>
      <c r="I3199" s="3" t="s">
        <v>13</v>
      </c>
      <c r="J3199" s="3" t="s">
        <v>9347</v>
      </c>
      <c r="K3199" s="3" t="s">
        <v>50</v>
      </c>
      <c r="L3199" s="3" t="str">
        <f>IFERROR(__xludf.DUMMYFUNCTION("GOOGLETRANSLATE(F3199,""id"",""en"")"),"It's hard to stay up late watching the World Cup Final, instead checkout shopee")</f>
        <v>It's hard to stay up late watching the World Cup Final, instead checkout shopee</v>
      </c>
    </row>
    <row r="3200" ht="15.75" customHeight="1">
      <c r="A3200" s="1">
        <v>3216.0</v>
      </c>
      <c r="B3200" s="3" t="s">
        <v>9348</v>
      </c>
      <c r="C3200" s="3">
        <v>0.0</v>
      </c>
      <c r="D3200" s="3">
        <v>0.0</v>
      </c>
      <c r="E3200" s="3">
        <v>0.0</v>
      </c>
      <c r="F3200" s="3" t="s">
        <v>8264</v>
      </c>
      <c r="G3200" s="3">
        <v>1.0</v>
      </c>
      <c r="H3200" s="3">
        <v>0.0</v>
      </c>
      <c r="I3200" s="3" t="s">
        <v>13</v>
      </c>
      <c r="J3200" s="3" t="s">
        <v>8265</v>
      </c>
      <c r="K3200" s="3" t="s">
        <v>50</v>
      </c>
      <c r="L3200" s="3" t="str">
        <f>IFERROR(__xludf.DUMMYFUNCTION("GOOGLETRANSLATE(F3200,""id"",""en"")"),"Argentina French French World Cup Final Final Match Panic Panic")</f>
        <v>Argentina French French World Cup Final Final Match Panic Panic</v>
      </c>
    </row>
    <row r="3201" ht="15.75" customHeight="1">
      <c r="A3201" s="1">
        <v>3217.0</v>
      </c>
      <c r="B3201" s="3" t="s">
        <v>9349</v>
      </c>
      <c r="C3201" s="3">
        <v>3.0</v>
      </c>
      <c r="D3201" s="3">
        <v>3.0</v>
      </c>
      <c r="E3201" s="3">
        <v>6.0</v>
      </c>
      <c r="F3201" s="3" t="s">
        <v>9350</v>
      </c>
      <c r="G3201" s="3">
        <v>1.0</v>
      </c>
      <c r="H3201" s="3">
        <v>0.0</v>
      </c>
      <c r="I3201" s="3" t="s">
        <v>13</v>
      </c>
      <c r="J3201" s="3" t="s">
        <v>9351</v>
      </c>
      <c r="K3201" s="3" t="s">
        <v>15</v>
      </c>
      <c r="L3201" s="3" t="str">
        <f>IFERROR(__xludf.DUMMYFUNCTION("GOOGLETRANSLATE(F3201,""id"",""en"")"),"Macron World Cup Final and Argentine President TWIT WAR")</f>
        <v>Macron World Cup Final and Argentine President TWIT WAR</v>
      </c>
    </row>
    <row r="3202" ht="15.75" customHeight="1">
      <c r="A3202" s="1">
        <v>3218.0</v>
      </c>
      <c r="B3202" s="3" t="s">
        <v>9352</v>
      </c>
      <c r="C3202" s="3">
        <v>0.0</v>
      </c>
      <c r="D3202" s="3">
        <v>0.0</v>
      </c>
      <c r="E3202" s="3">
        <v>0.0</v>
      </c>
      <c r="F3202" s="3" t="s">
        <v>9353</v>
      </c>
      <c r="G3202" s="3">
        <v>1.0</v>
      </c>
      <c r="H3202" s="3">
        <v>0.0</v>
      </c>
      <c r="I3202" s="3" t="s">
        <v>13</v>
      </c>
      <c r="J3202" s="3" t="s">
        <v>9354</v>
      </c>
      <c r="K3202" s="3" t="s">
        <v>127</v>
      </c>
      <c r="L3202" s="3" t="str">
        <f>IFERROR(__xludf.DUMMYFUNCTION("GOOGLETRANSLATE(F3202,""id"",""en"")"),"The World Cup Final match between Argentina France went exciting Lionel Messi took over the dominance of the game with the ball possession of percent")</f>
        <v>The World Cup Final match between Argentina France went exciting Lionel Messi took over the dominance of the game with the ball possession of percent</v>
      </c>
    </row>
    <row r="3203" ht="15.75" customHeight="1">
      <c r="A3203" s="1">
        <v>3219.0</v>
      </c>
      <c r="B3203" s="3" t="s">
        <v>9355</v>
      </c>
      <c r="C3203" s="3">
        <v>0.0</v>
      </c>
      <c r="D3203" s="3">
        <v>0.0</v>
      </c>
      <c r="E3203" s="3">
        <v>0.0</v>
      </c>
      <c r="F3203" s="3" t="s">
        <v>9356</v>
      </c>
      <c r="G3203" s="3">
        <v>1.0</v>
      </c>
      <c r="H3203" s="3">
        <v>0.0</v>
      </c>
      <c r="I3203" s="3" t="s">
        <v>13</v>
      </c>
      <c r="J3203" s="3" t="s">
        <v>9357</v>
      </c>
      <c r="K3203" s="3" t="s">
        <v>236</v>
      </c>
      <c r="L3203" s="3" t="str">
        <f>IFERROR(__xludf.DUMMYFUNCTION("GOOGLETRANSLATE(F3203,""id"",""en"")"),"The results of the Argentina French Final Argentina championship champion")</f>
        <v>The results of the Argentina French Final Argentina championship champion</v>
      </c>
    </row>
    <row r="3204" ht="15.75" customHeight="1">
      <c r="A3204" s="1">
        <v>3220.0</v>
      </c>
      <c r="B3204" s="3" t="s">
        <v>9358</v>
      </c>
      <c r="C3204" s="3">
        <v>0.0</v>
      </c>
      <c r="D3204" s="3">
        <v>0.0</v>
      </c>
      <c r="E3204" s="3">
        <v>1.0</v>
      </c>
      <c r="F3204" s="3" t="s">
        <v>9359</v>
      </c>
      <c r="G3204" s="3">
        <v>1.0</v>
      </c>
      <c r="H3204" s="3">
        <v>0.0</v>
      </c>
      <c r="I3204" s="3" t="s">
        <v>13</v>
      </c>
      <c r="J3204" s="3" t="s">
        <v>9360</v>
      </c>
      <c r="K3204" s="3" t="s">
        <v>54</v>
      </c>
      <c r="L3204" s="3" t="str">
        <f>IFERROR(__xludf.DUMMYFUNCTION("GOOGLETRANSLATE(F3204,""id"",""en"")"),"World Cup Final Menadan Soccer")</f>
        <v>World Cup Final Menadan Soccer</v>
      </c>
    </row>
    <row r="3205" ht="15.75" customHeight="1">
      <c r="A3205" s="1">
        <v>3221.0</v>
      </c>
      <c r="B3205" s="3" t="s">
        <v>9361</v>
      </c>
      <c r="C3205" s="3">
        <v>0.0</v>
      </c>
      <c r="D3205" s="3">
        <v>0.0</v>
      </c>
      <c r="E3205" s="3">
        <v>1.0</v>
      </c>
      <c r="F3205" s="3" t="s">
        <v>9362</v>
      </c>
      <c r="G3205" s="3">
        <v>1.0</v>
      </c>
      <c r="H3205" s="3">
        <v>0.0</v>
      </c>
      <c r="I3205" s="3" t="s">
        <v>13</v>
      </c>
      <c r="J3205" s="3" t="s">
        <v>9363</v>
      </c>
      <c r="K3205" s="3" t="s">
        <v>1970</v>
      </c>
      <c r="L3205" s="3" t="str">
        <f>IFERROR(__xludf.DUMMYFUNCTION("GOOGLETRANSLATE(F3205,""id"",""en"")"),"Gianyar Regional Police Station Blahbatuh by deploying the picket of the Blahbatuh Police Station Function secures the course of watching together with the final of the Bali United Cafe World Cup Sunday")</f>
        <v>Gianyar Regional Police Station Blahbatuh by deploying the picket of the Blahbatuh Police Station Function secures the course of watching together with the final of the Bali United Cafe World Cup Sunday</v>
      </c>
    </row>
    <row r="3206" ht="15.75" customHeight="1">
      <c r="A3206" s="1">
        <v>3222.0</v>
      </c>
      <c r="B3206" s="3" t="s">
        <v>9364</v>
      </c>
      <c r="C3206" s="3">
        <v>0.0</v>
      </c>
      <c r="D3206" s="3">
        <v>0.0</v>
      </c>
      <c r="E3206" s="3">
        <v>0.0</v>
      </c>
      <c r="F3206" s="3" t="s">
        <v>9365</v>
      </c>
      <c r="G3206" s="3">
        <v>1.0</v>
      </c>
      <c r="H3206" s="3">
        <v>0.0</v>
      </c>
      <c r="I3206" s="3" t="s">
        <v>13</v>
      </c>
      <c r="J3206" s="3" t="s">
        <v>9366</v>
      </c>
      <c r="K3206" s="3" t="s">
        <v>15</v>
      </c>
      <c r="L3206" s="3" t="str">
        <f>IFERROR(__xludf.DUMMYFUNCTION("GOOGLETRANSLATE(F3206,""id"",""en"")"),"The reason Messi will cry disappointed after the World Cup final")</f>
        <v>The reason Messi will cry disappointed after the World Cup final</v>
      </c>
    </row>
    <row r="3207" ht="15.75" customHeight="1">
      <c r="A3207" s="1">
        <v>3223.0</v>
      </c>
      <c r="B3207" s="3" t="s">
        <v>9367</v>
      </c>
      <c r="C3207" s="3">
        <v>0.0</v>
      </c>
      <c r="D3207" s="3">
        <v>0.0</v>
      </c>
      <c r="E3207" s="3">
        <v>0.0</v>
      </c>
      <c r="F3207" s="3" t="s">
        <v>9368</v>
      </c>
      <c r="G3207" s="3">
        <v>1.0</v>
      </c>
      <c r="H3207" s="3">
        <v>0.0</v>
      </c>
      <c r="I3207" s="3" t="s">
        <v>13</v>
      </c>
      <c r="J3207" s="3" t="s">
        <v>9369</v>
      </c>
      <c r="K3207" s="3" t="s">
        <v>15</v>
      </c>
      <c r="L3207" s="3" t="str">
        <f>IFERROR(__xludf.DUMMYFUNCTION("GOOGLETRANSLATE(F3207,""id"",""en"")"),"World Cup Final Once Year Project Every Month")</f>
        <v>World Cup Final Once Year Project Every Month</v>
      </c>
    </row>
    <row r="3208" ht="15.75" customHeight="1">
      <c r="A3208" s="1">
        <v>3224.0</v>
      </c>
      <c r="B3208" s="3" t="s">
        <v>9370</v>
      </c>
      <c r="C3208" s="3">
        <v>3.0</v>
      </c>
      <c r="D3208" s="3">
        <v>0.0</v>
      </c>
      <c r="E3208" s="3">
        <v>2.0</v>
      </c>
      <c r="F3208" s="3" t="s">
        <v>9371</v>
      </c>
      <c r="G3208" s="3">
        <v>1.0</v>
      </c>
      <c r="H3208" s="3">
        <v>-0.25</v>
      </c>
      <c r="I3208" s="3" t="s">
        <v>179</v>
      </c>
      <c r="J3208" s="3" t="s">
        <v>9372</v>
      </c>
      <c r="K3208" s="3" t="s">
        <v>135</v>
      </c>
      <c r="L3208" s="3" t="str">
        <f>IFERROR(__xludf.DUMMYFUNCTION("GOOGLETRANSLATE(F3208,""id"",""en"")"),"I stopped watching the Argentina French World Cup final after Argentina got an absurd penalty that there was a true word Fernandes World Cup this time was clearly setting to smooth Argentina as a champion")</f>
        <v>I stopped watching the Argentina French World Cup final after Argentina got an absurd penalty that there was a true word Fernandes World Cup this time was clearly setting to smooth Argentina as a champion</v>
      </c>
    </row>
    <row r="3209" ht="15.75" customHeight="1">
      <c r="A3209" s="1">
        <v>3225.0</v>
      </c>
      <c r="B3209" s="3" t="s">
        <v>9373</v>
      </c>
      <c r="C3209" s="3">
        <v>0.0</v>
      </c>
      <c r="D3209" s="3">
        <v>0.0</v>
      </c>
      <c r="E3209" s="3">
        <v>0.0</v>
      </c>
      <c r="F3209" s="3" t="s">
        <v>9374</v>
      </c>
      <c r="G3209" s="3">
        <v>0.75</v>
      </c>
      <c r="H3209" s="3">
        <v>0.06818181818181818</v>
      </c>
      <c r="I3209" s="3" t="s">
        <v>48</v>
      </c>
      <c r="J3209" s="3" t="s">
        <v>9375</v>
      </c>
      <c r="K3209" s="3" t="s">
        <v>19</v>
      </c>
      <c r="L3209" s="3" t="str">
        <f>IFERROR(__xludf.DUMMYFUNCTION("GOOGLETRANSLATE(F3209,""id"",""en"")"),"Live Argentine World Cup Final Round Score Angel Maria is keen to attack France")</f>
        <v>Live Argentine World Cup Final Round Score Angel Maria is keen to attack France</v>
      </c>
    </row>
    <row r="3210" ht="15.75" customHeight="1">
      <c r="A3210" s="1">
        <v>3226.0</v>
      </c>
      <c r="B3210" s="3" t="s">
        <v>9376</v>
      </c>
      <c r="C3210" s="3">
        <v>1.0</v>
      </c>
      <c r="D3210" s="3">
        <v>1.0</v>
      </c>
      <c r="E3210" s="3">
        <v>0.0</v>
      </c>
      <c r="F3210" s="3" t="s">
        <v>9377</v>
      </c>
      <c r="G3210" s="3">
        <v>1.0</v>
      </c>
      <c r="H3210" s="3">
        <v>0.0</v>
      </c>
      <c r="I3210" s="3" t="s">
        <v>13</v>
      </c>
      <c r="J3210" s="3" t="s">
        <v>9378</v>
      </c>
      <c r="K3210" s="3" t="s">
        <v>644</v>
      </c>
      <c r="L3210" s="3" t="str">
        <f>IFERROR(__xludf.DUMMYFUNCTION("GOOGLETRANSLATE(F3210,""id"",""en"")"),"World Cup Final Link")</f>
        <v>World Cup Final Link</v>
      </c>
    </row>
    <row r="3211" ht="15.75" customHeight="1">
      <c r="A3211" s="1">
        <v>3227.0</v>
      </c>
      <c r="B3211" s="3" t="s">
        <v>9379</v>
      </c>
      <c r="C3211" s="3">
        <v>0.0</v>
      </c>
      <c r="D3211" s="3">
        <v>0.0</v>
      </c>
      <c r="E3211" s="3">
        <v>2.0</v>
      </c>
      <c r="F3211" s="3" t="s">
        <v>9380</v>
      </c>
      <c r="G3211" s="3">
        <v>1.0</v>
      </c>
      <c r="H3211" s="3">
        <v>0.0</v>
      </c>
      <c r="I3211" s="3" t="s">
        <v>13</v>
      </c>
      <c r="J3211" s="3" t="s">
        <v>9381</v>
      </c>
      <c r="K3211" s="3" t="s">
        <v>31</v>
      </c>
      <c r="L3211" s="3" t="str">
        <f>IFERROR(__xludf.DUMMYFUNCTION("GOOGLETRANSLATE(F3211,""id"",""en"")"),"France knows that this is the World Cup Final")</f>
        <v>France knows that this is the World Cup Final</v>
      </c>
    </row>
    <row r="3212" ht="15.75" customHeight="1">
      <c r="A3212" s="1">
        <v>3228.0</v>
      </c>
      <c r="B3212" s="3" t="s">
        <v>9382</v>
      </c>
      <c r="C3212" s="3">
        <v>1.0</v>
      </c>
      <c r="D3212" s="3">
        <v>0.0</v>
      </c>
      <c r="E3212" s="3">
        <v>0.0</v>
      </c>
      <c r="F3212" s="3" t="s">
        <v>9383</v>
      </c>
      <c r="G3212" s="3">
        <v>1.0</v>
      </c>
      <c r="H3212" s="3">
        <v>0.0</v>
      </c>
      <c r="I3212" s="3" t="s">
        <v>13</v>
      </c>
      <c r="J3212" s="3" t="s">
        <v>9384</v>
      </c>
      <c r="K3212" s="3" t="s">
        <v>71</v>
      </c>
      <c r="L3212" s="3" t="str">
        <f>IFERROR(__xludf.DUMMYFUNCTION("GOOGLETRANSLATE(F3212,""id"",""en"")"),"The admin is really good to be able to watch the World Cup final smoothly and comfortably while I subscribe to be given a ginian watch")</f>
        <v>The admin is really good to be able to watch the World Cup final smoothly and comfortably while I subscribe to be given a ginian watch</v>
      </c>
    </row>
    <row r="3213" ht="15.75" customHeight="1">
      <c r="A3213" s="1">
        <v>3229.0</v>
      </c>
      <c r="B3213" s="3" t="s">
        <v>9385</v>
      </c>
      <c r="C3213" s="3">
        <v>0.0</v>
      </c>
      <c r="D3213" s="3">
        <v>0.0</v>
      </c>
      <c r="E3213" s="3">
        <v>0.0</v>
      </c>
      <c r="F3213" s="3" t="s">
        <v>9386</v>
      </c>
      <c r="G3213" s="3">
        <v>1.0</v>
      </c>
      <c r="H3213" s="3">
        <v>0.0</v>
      </c>
      <c r="I3213" s="3" t="s">
        <v>13</v>
      </c>
      <c r="J3213" s="3" t="s">
        <v>9387</v>
      </c>
      <c r="K3213" s="3" t="s">
        <v>75</v>
      </c>
      <c r="L3213" s="3" t="str">
        <f>IFERROR(__xludf.DUMMYFUNCTION("GOOGLETRANSLATE(F3213,""id"",""en"")"),"Argentina national team is ahead of the French Final of the Qatar World Cup Lombok Insider")</f>
        <v>Argentina national team is ahead of the French Final of the Qatar World Cup Lombok Insider</v>
      </c>
    </row>
    <row r="3214" ht="15.75" customHeight="1">
      <c r="A3214" s="1">
        <v>3230.0</v>
      </c>
      <c r="B3214" s="3" t="s">
        <v>9388</v>
      </c>
      <c r="C3214" s="3">
        <v>0.0</v>
      </c>
      <c r="D3214" s="3">
        <v>0.0</v>
      </c>
      <c r="E3214" s="3">
        <v>0.0</v>
      </c>
      <c r="F3214" s="3" t="s">
        <v>9389</v>
      </c>
      <c r="G3214" s="3">
        <v>1.0</v>
      </c>
      <c r="H3214" s="3">
        <v>0.25</v>
      </c>
      <c r="I3214" s="3" t="s">
        <v>48</v>
      </c>
      <c r="J3214" s="3" t="s">
        <v>9390</v>
      </c>
      <c r="K3214" s="3" t="s">
        <v>374</v>
      </c>
      <c r="L3214" s="3" t="str">
        <f>IFERROR(__xludf.DUMMYFUNCTION("GOOGLETRANSLATE(F3214,""id"",""en"")"),"The World Cup Final Conversation with Dwima Who is the opponent who is Argentina against France who is Argentina Ads Messi's favorite player, you know that he is not the sports racer, mah Rossi elaaaaah is difficult to stir -fried water spinach")</f>
        <v>The World Cup Final Conversation with Dwima Who is the opponent who is Argentina against France who is Argentina Ads Messi's favorite player, you know that he is not the sports racer, mah Rossi elaaaaah is difficult to stir -fried water spinach</v>
      </c>
    </row>
    <row r="3215" ht="15.75" customHeight="1">
      <c r="A3215" s="1">
        <v>3231.0</v>
      </c>
      <c r="B3215" s="3" t="s">
        <v>9391</v>
      </c>
      <c r="C3215" s="3">
        <v>0.0</v>
      </c>
      <c r="D3215" s="3">
        <v>0.0</v>
      </c>
      <c r="E3215" s="3">
        <v>0.0</v>
      </c>
      <c r="F3215" s="3" t="s">
        <v>9392</v>
      </c>
      <c r="G3215" s="3">
        <v>0.75</v>
      </c>
      <c r="H3215" s="3">
        <v>0.06818181818181818</v>
      </c>
      <c r="I3215" s="3" t="s">
        <v>48</v>
      </c>
      <c r="J3215" s="3" t="s">
        <v>9393</v>
      </c>
      <c r="K3215" s="3" t="s">
        <v>437</v>
      </c>
      <c r="L3215" s="3" t="str">
        <f>IFERROR(__xludf.DUMMYFUNCTION("GOOGLETRANSLATE(F3215,""id"",""en"")"),"minutes Paul still gets the treatment of Argentina France Link live streaming of Argentina France tonight WIB World Cup Final")</f>
        <v>minutes Paul still gets the treatment of Argentina France Link live streaming of Argentina France tonight WIB World Cup Final</v>
      </c>
    </row>
    <row r="3216" ht="15.75" customHeight="1">
      <c r="A3216" s="1">
        <v>3232.0</v>
      </c>
      <c r="B3216" s="3" t="s">
        <v>9394</v>
      </c>
      <c r="C3216" s="3">
        <v>0.0</v>
      </c>
      <c r="D3216" s="3">
        <v>0.0</v>
      </c>
      <c r="E3216" s="3">
        <v>2.0</v>
      </c>
      <c r="F3216" s="3" t="s">
        <v>9395</v>
      </c>
      <c r="G3216" s="3">
        <v>1.0</v>
      </c>
      <c r="H3216" s="3">
        <v>0.0</v>
      </c>
      <c r="I3216" s="3" t="s">
        <v>13</v>
      </c>
      <c r="J3216" s="3" t="s">
        <v>9396</v>
      </c>
      <c r="K3216" s="3" t="s">
        <v>477</v>
      </c>
      <c r="L3216" s="3" t="str">
        <f>IFERROR(__xludf.DUMMYFUNCTION("GOOGLETRANSLATE(F3216,""id"",""en"")"),"It's hard to find a driver because of the World Cup final")</f>
        <v>It's hard to find a driver because of the World Cup final</v>
      </c>
    </row>
    <row r="3217" ht="15.75" customHeight="1">
      <c r="A3217" s="1">
        <v>3233.0</v>
      </c>
      <c r="B3217" s="3" t="s">
        <v>9397</v>
      </c>
      <c r="C3217" s="3">
        <v>0.0</v>
      </c>
      <c r="D3217" s="3">
        <v>0.0</v>
      </c>
      <c r="E3217" s="3">
        <v>0.0</v>
      </c>
      <c r="F3217" s="3" t="s">
        <v>9398</v>
      </c>
      <c r="G3217" s="3">
        <v>1.0</v>
      </c>
      <c r="H3217" s="3">
        <v>0.0</v>
      </c>
      <c r="I3217" s="3" t="s">
        <v>13</v>
      </c>
      <c r="J3217" s="3" t="s">
        <v>9399</v>
      </c>
      <c r="K3217" s="3" t="s">
        <v>41</v>
      </c>
      <c r="L3217" s="3" t="str">
        <f>IFERROR(__xludf.DUMMYFUNCTION("GOOGLETRANSLATE(F3217,""id"",""en"")"),"Argentina French Final World Cup Score Line and Match")</f>
        <v>Argentina French Final World Cup Score Line and Match</v>
      </c>
    </row>
    <row r="3218" ht="15.75" customHeight="1">
      <c r="A3218" s="1">
        <v>3234.0</v>
      </c>
      <c r="B3218" s="3" t="s">
        <v>9400</v>
      </c>
      <c r="C3218" s="3">
        <v>1.0</v>
      </c>
      <c r="D3218" s="3">
        <v>0.0</v>
      </c>
      <c r="E3218" s="3">
        <v>0.0</v>
      </c>
      <c r="F3218" s="3" t="s">
        <v>9401</v>
      </c>
      <c r="G3218" s="3">
        <v>1.0</v>
      </c>
      <c r="H3218" s="3">
        <v>0.0</v>
      </c>
      <c r="I3218" s="3" t="s">
        <v>13</v>
      </c>
      <c r="J3218" s="3" t="s">
        <v>9402</v>
      </c>
      <c r="K3218" s="3" t="s">
        <v>31</v>
      </c>
      <c r="L3218" s="3" t="str">
        <f>IFERROR(__xludf.DUMMYFUNCTION("GOOGLETRANSLATE(F3218,""id"",""en"")"),"Better to Watch the World Cup Final")</f>
        <v>Better to Watch the World Cup Final</v>
      </c>
    </row>
    <row r="3219" ht="15.75" customHeight="1">
      <c r="A3219" s="1">
        <v>3235.0</v>
      </c>
      <c r="B3219" s="3" t="s">
        <v>9403</v>
      </c>
      <c r="C3219" s="3">
        <v>0.0</v>
      </c>
      <c r="D3219" s="3">
        <v>0.0</v>
      </c>
      <c r="E3219" s="3">
        <v>0.0</v>
      </c>
      <c r="F3219" s="3" t="s">
        <v>9404</v>
      </c>
      <c r="G3219" s="3">
        <v>1.0</v>
      </c>
      <c r="H3219" s="3">
        <v>0.0</v>
      </c>
      <c r="I3219" s="3" t="s">
        <v>13</v>
      </c>
      <c r="J3219" s="3" t="s">
        <v>9405</v>
      </c>
      <c r="K3219" s="3" t="s">
        <v>15</v>
      </c>
      <c r="L3219" s="3" t="str">
        <f>IFERROR(__xludf.DUMMYFUNCTION("GOOGLETRANSLATE(F3219,""id"",""en"")"),"again watching the world cup final arrives so what can access this")</f>
        <v>again watching the world cup final arrives so what can access this</v>
      </c>
    </row>
    <row r="3220" ht="15.75" customHeight="1">
      <c r="A3220" s="1">
        <v>3236.0</v>
      </c>
      <c r="B3220" s="3" t="s">
        <v>9406</v>
      </c>
      <c r="C3220" s="3">
        <v>0.0</v>
      </c>
      <c r="D3220" s="3">
        <v>0.0</v>
      </c>
      <c r="E3220" s="3">
        <v>0.0</v>
      </c>
      <c r="F3220" s="3" t="s">
        <v>9407</v>
      </c>
      <c r="G3220" s="3">
        <v>1.0</v>
      </c>
      <c r="H3220" s="3">
        <v>0.0</v>
      </c>
      <c r="I3220" s="3" t="s">
        <v>13</v>
      </c>
      <c r="J3220" s="3" t="s">
        <v>9408</v>
      </c>
      <c r="K3220" s="3" t="s">
        <v>15</v>
      </c>
      <c r="L3220" s="3" t="str">
        <f>IFERROR(__xludf.DUMMYFUNCTION("GOOGLETRANSLATE(F3220,""id"",""en"")"),"still sitting when his team left the World Cup final")</f>
        <v>still sitting when his team left the World Cup final</v>
      </c>
    </row>
    <row r="3221" ht="15.75" customHeight="1">
      <c r="A3221" s="1">
        <v>3237.0</v>
      </c>
      <c r="B3221" s="3" t="s">
        <v>9409</v>
      </c>
      <c r="C3221" s="3">
        <v>0.0</v>
      </c>
      <c r="D3221" s="3">
        <v>0.0</v>
      </c>
      <c r="E3221" s="3">
        <v>1.0</v>
      </c>
      <c r="F3221" s="3" t="s">
        <v>9410</v>
      </c>
      <c r="G3221" s="3">
        <v>1.0</v>
      </c>
      <c r="H3221" s="3">
        <v>0.0</v>
      </c>
      <c r="I3221" s="3" t="s">
        <v>13</v>
      </c>
      <c r="J3221" s="3" t="s">
        <v>9411</v>
      </c>
      <c r="K3221" s="3" t="s">
        <v>15</v>
      </c>
      <c r="L3221" s="3" t="str">
        <f>IFERROR(__xludf.DUMMYFUNCTION("GOOGLETRANSLATE(F3221,""id"",""en"")"),"The Argentine World Cup Final excelled France first half")</f>
        <v>The Argentine World Cup Final excelled France first half</v>
      </c>
    </row>
    <row r="3222" ht="15.75" customHeight="1">
      <c r="A3222" s="1">
        <v>3238.0</v>
      </c>
      <c r="B3222" s="3" t="s">
        <v>9412</v>
      </c>
      <c r="C3222" s="3">
        <v>0.0</v>
      </c>
      <c r="D3222" s="3">
        <v>0.0</v>
      </c>
      <c r="E3222" s="3">
        <v>0.0</v>
      </c>
      <c r="F3222" s="3" t="s">
        <v>9413</v>
      </c>
      <c r="G3222" s="3">
        <v>1.0</v>
      </c>
      <c r="H3222" s="3">
        <v>0.0</v>
      </c>
      <c r="I3222" s="3" t="s">
        <v>13</v>
      </c>
      <c r="J3222" s="3" t="s">
        <v>9414</v>
      </c>
      <c r="K3222" s="3" t="s">
        <v>510</v>
      </c>
      <c r="L3222" s="3" t="str">
        <f>IFERROR(__xludf.DUMMYFUNCTION("GOOGLETRANSLATE(F3222,""id"",""en"")"),"Portrait of the excitement of Morowali citizens Nobar Final Argentina French Warkop Promise Soul")</f>
        <v>Portrait of the excitement of Morowali citizens Nobar Final Argentina French Warkop Promise Soul</v>
      </c>
    </row>
    <row r="3223" ht="15.75" customHeight="1">
      <c r="A3223" s="1">
        <v>3239.0</v>
      </c>
      <c r="B3223" s="3" t="s">
        <v>9415</v>
      </c>
      <c r="C3223" s="3">
        <v>2.0</v>
      </c>
      <c r="D3223" s="3">
        <v>0.0</v>
      </c>
      <c r="E3223" s="3">
        <v>0.0</v>
      </c>
      <c r="F3223" s="3" t="s">
        <v>9416</v>
      </c>
      <c r="G3223" s="3">
        <v>1.0</v>
      </c>
      <c r="H3223" s="3">
        <v>0.0</v>
      </c>
      <c r="I3223" s="3" t="s">
        <v>13</v>
      </c>
      <c r="J3223" s="3" t="s">
        <v>9417</v>
      </c>
      <c r="K3223" s="3" t="s">
        <v>82</v>
      </c>
      <c r="L3223" s="3" t="str">
        <f>IFERROR(__xludf.DUMMYFUNCTION("GOOGLETRANSLATE(F3223,""id"",""en"")"),"Hello, the severe network of this World Cup final match")</f>
        <v>Hello, the severe network of this World Cup final match</v>
      </c>
    </row>
    <row r="3224" ht="15.75" customHeight="1">
      <c r="A3224" s="1">
        <v>3240.0</v>
      </c>
      <c r="B3224" s="3" t="s">
        <v>9418</v>
      </c>
      <c r="C3224" s="3">
        <v>0.0</v>
      </c>
      <c r="D3224" s="3">
        <v>0.0</v>
      </c>
      <c r="E3224" s="3">
        <v>3.0</v>
      </c>
      <c r="F3224" s="3" t="s">
        <v>9419</v>
      </c>
      <c r="G3224" s="3">
        <v>0.875</v>
      </c>
      <c r="H3224" s="3">
        <v>0.1875</v>
      </c>
      <c r="I3224" s="3" t="s">
        <v>48</v>
      </c>
      <c r="J3224" s="3" t="s">
        <v>9420</v>
      </c>
      <c r="K3224" s="3" t="s">
        <v>35</v>
      </c>
      <c r="L3224" s="3" t="str">
        <f>IFERROR(__xludf.DUMMYFUNCTION("GOOGLETRANSLATE(F3224,""id"",""en"")"),"still survive watching Reborn Rich Episode in the middle of the onslaught in watching the World Cup final")</f>
        <v>still survive watching Reborn Rich Episode in the middle of the onslaught in watching the World Cup final</v>
      </c>
    </row>
    <row r="3225" ht="15.75" customHeight="1">
      <c r="A3225" s="1">
        <v>3241.0</v>
      </c>
      <c r="B3225" s="3" t="s">
        <v>9421</v>
      </c>
      <c r="C3225" s="3">
        <v>0.0</v>
      </c>
      <c r="D3225" s="3">
        <v>0.0</v>
      </c>
      <c r="E3225" s="3">
        <v>0.0</v>
      </c>
      <c r="F3225" s="3" t="s">
        <v>9422</v>
      </c>
      <c r="G3225" s="3">
        <v>0.7166666666666667</v>
      </c>
      <c r="H3225" s="3">
        <v>0.1621212121212121</v>
      </c>
      <c r="I3225" s="3" t="s">
        <v>48</v>
      </c>
      <c r="J3225" s="3" t="s">
        <v>9423</v>
      </c>
      <c r="K3225" s="3" t="s">
        <v>657</v>
      </c>
      <c r="L3225" s="3" t="str">
        <f>IFERROR(__xludf.DUMMYFUNCTION("GOOGLETRANSLATE(F3225,""id"",""en"")"),"Spam Live Final World Cup first guys tomorrow Ertong Bigwin come true with Argentina")</f>
        <v>Spam Live Final World Cup first guys tomorrow Ertong Bigwin come true with Argentina</v>
      </c>
    </row>
    <row r="3226" ht="15.75" customHeight="1">
      <c r="A3226" s="1">
        <v>3242.0</v>
      </c>
      <c r="B3226" s="3" t="s">
        <v>9424</v>
      </c>
      <c r="C3226" s="3">
        <v>0.0</v>
      </c>
      <c r="D3226" s="3">
        <v>0.0</v>
      </c>
      <c r="E3226" s="3">
        <v>0.0</v>
      </c>
      <c r="F3226" s="3" t="s">
        <v>9425</v>
      </c>
      <c r="G3226" s="3">
        <v>0.75</v>
      </c>
      <c r="H3226" s="3">
        <v>0.06818181818181818</v>
      </c>
      <c r="I3226" s="3" t="s">
        <v>48</v>
      </c>
      <c r="J3226" s="3" t="s">
        <v>9426</v>
      </c>
      <c r="K3226" s="3" t="s">
        <v>437</v>
      </c>
      <c r="L3226" s="3" t="str">
        <f>IFERROR(__xludf.DUMMYFUNCTION("GOOGLETRANSLATE(F3226,""id"",""en"")"),"Minutes of Rabiot Argentina French Yellow Card Link LIVE STREAMING Argentina France tonight WIB World Cup Final")</f>
        <v>Minutes of Rabiot Argentina French Yellow Card Link LIVE STREAMING Argentina France tonight WIB World Cup Final</v>
      </c>
    </row>
    <row r="3227" ht="15.75" customHeight="1">
      <c r="A3227" s="1">
        <v>3243.0</v>
      </c>
      <c r="B3227" s="3" t="s">
        <v>9427</v>
      </c>
      <c r="C3227" s="3">
        <v>0.0</v>
      </c>
      <c r="D3227" s="3">
        <v>0.0</v>
      </c>
      <c r="E3227" s="3">
        <v>0.0</v>
      </c>
      <c r="F3227" s="3" t="s">
        <v>9428</v>
      </c>
      <c r="G3227" s="3">
        <v>1.0</v>
      </c>
      <c r="H3227" s="3">
        <v>0.0</v>
      </c>
      <c r="I3227" s="3" t="s">
        <v>13</v>
      </c>
      <c r="J3227" s="3" t="s">
        <v>9429</v>
      </c>
      <c r="K3227" s="3" t="s">
        <v>3721</v>
      </c>
      <c r="L3227" s="3" t="str">
        <f>IFERROR(__xludf.DUMMYFUNCTION("GOOGLETRANSLATE(F3227,""id"",""en"")"),"Please be tired of just one of the foreheads from the beginning of the World Cup, it starts with a lot of time to correct the final gari because you know that it will be crowded, instead it is like this, I'm really tired")</f>
        <v>Please be tired of just one of the foreheads from the beginning of the World Cup, it starts with a lot of time to correct the final gari because you know that it will be crowded, instead it is like this, I'm really tired</v>
      </c>
    </row>
    <row r="3228" ht="15.75" customHeight="1">
      <c r="A3228" s="1">
        <v>3244.0</v>
      </c>
      <c r="B3228" s="3" t="s">
        <v>9430</v>
      </c>
      <c r="C3228" s="3">
        <v>1.0</v>
      </c>
      <c r="D3228" s="3">
        <v>0.0</v>
      </c>
      <c r="E3228" s="3">
        <v>0.0</v>
      </c>
      <c r="F3228" s="3" t="s">
        <v>9431</v>
      </c>
      <c r="G3228" s="3">
        <v>1.0</v>
      </c>
      <c r="H3228" s="3">
        <v>0.0</v>
      </c>
      <c r="I3228" s="3" t="s">
        <v>13</v>
      </c>
      <c r="J3228" s="3" t="s">
        <v>9432</v>
      </c>
      <c r="K3228" s="3" t="s">
        <v>15</v>
      </c>
      <c r="L3228" s="3" t="str">
        <f>IFERROR(__xludf.DUMMYFUNCTION("GOOGLETRANSLATE(F3228,""id"",""en"")"),"YouTube Gar Channel Sportmax This World Cup Final.")</f>
        <v>YouTube Gar Channel Sportmax This World Cup Final.</v>
      </c>
    </row>
    <row r="3229" ht="15.75" customHeight="1">
      <c r="A3229" s="1">
        <v>3245.0</v>
      </c>
      <c r="B3229" s="3" t="s">
        <v>9433</v>
      </c>
      <c r="C3229" s="3">
        <v>0.0</v>
      </c>
      <c r="D3229" s="3">
        <v>0.0</v>
      </c>
      <c r="E3229" s="3">
        <v>0.0</v>
      </c>
      <c r="F3229" s="3" t="s">
        <v>9434</v>
      </c>
      <c r="G3229" s="3">
        <v>1.0</v>
      </c>
      <c r="H3229" s="3">
        <v>0.0</v>
      </c>
      <c r="I3229" s="3" t="s">
        <v>13</v>
      </c>
      <c r="J3229" s="3" t="s">
        <v>9435</v>
      </c>
      <c r="K3229" s="3" t="s">
        <v>644</v>
      </c>
      <c r="L3229" s="3" t="str">
        <f>IFERROR(__xludf.DUMMYFUNCTION("GOOGLETRANSLATE(F3229,""id"",""en"")"),"again the world cup final error wkwk")</f>
        <v>again the world cup final error wkwk</v>
      </c>
    </row>
    <row r="3230" ht="15.75" customHeight="1">
      <c r="A3230" s="1">
        <v>3246.0</v>
      </c>
      <c r="B3230" s="3" t="s">
        <v>9436</v>
      </c>
      <c r="C3230" s="3">
        <v>0.0</v>
      </c>
      <c r="D3230" s="3">
        <v>0.0</v>
      </c>
      <c r="E3230" s="3">
        <v>1.0</v>
      </c>
      <c r="F3230" s="3" t="s">
        <v>9437</v>
      </c>
      <c r="G3230" s="3">
        <v>1.0</v>
      </c>
      <c r="H3230" s="3">
        <v>0.0</v>
      </c>
      <c r="I3230" s="3" t="s">
        <v>13</v>
      </c>
      <c r="J3230" s="3" t="s">
        <v>9438</v>
      </c>
      <c r="K3230" s="3" t="s">
        <v>1887</v>
      </c>
      <c r="L3230" s="3" t="str">
        <f>IFERROR(__xludf.DUMMYFUNCTION("GOOGLETRANSLATE(F3230,""id"",""en"")"),"Goat is already true this is Diving Argentina Indosiar Vidio Nobar Penalty Settings Messi Maria World Cup Peter Drury Pogba Mbappe Dembele Giroud who wants to watch this link free streaming FINA FIFA Word Cup Final")</f>
        <v>Goat is already true this is Diving Argentina Indosiar Vidio Nobar Penalty Settings Messi Maria World Cup Peter Drury Pogba Mbappe Dembele Giroud who wants to watch this link free streaming FINA FIFA Word Cup Final</v>
      </c>
    </row>
    <row r="3231" ht="15.75" customHeight="1">
      <c r="A3231" s="1">
        <v>3247.0</v>
      </c>
      <c r="B3231" s="3" t="s">
        <v>9439</v>
      </c>
      <c r="C3231" s="3">
        <v>0.0</v>
      </c>
      <c r="D3231" s="3">
        <v>0.0</v>
      </c>
      <c r="E3231" s="3">
        <v>0.0</v>
      </c>
      <c r="F3231" s="3" t="s">
        <v>9353</v>
      </c>
      <c r="G3231" s="3">
        <v>1.0</v>
      </c>
      <c r="H3231" s="3">
        <v>0.0</v>
      </c>
      <c r="I3231" s="3" t="s">
        <v>13</v>
      </c>
      <c r="J3231" s="3" t="s">
        <v>9354</v>
      </c>
      <c r="K3231" s="3" t="s">
        <v>127</v>
      </c>
      <c r="L3231" s="3" t="str">
        <f>IFERROR(__xludf.DUMMYFUNCTION("GOOGLETRANSLATE(F3231,""id"",""en"")"),"The World Cup Final match between Argentina France went exciting Lionel Messi took over the dominance of the game with the ball possession of percent")</f>
        <v>The World Cup Final match between Argentina France went exciting Lionel Messi took over the dominance of the game with the ball possession of percent</v>
      </c>
    </row>
    <row r="3232" ht="15.75" customHeight="1">
      <c r="A3232" s="1">
        <v>3248.0</v>
      </c>
      <c r="B3232" s="3" t="s">
        <v>9440</v>
      </c>
      <c r="C3232" s="3">
        <v>2.0</v>
      </c>
      <c r="D3232" s="3">
        <v>0.0</v>
      </c>
      <c r="E3232" s="3">
        <v>6.0</v>
      </c>
      <c r="F3232" s="3" t="s">
        <v>9441</v>
      </c>
      <c r="G3232" s="3">
        <v>1.0</v>
      </c>
      <c r="H3232" s="3">
        <v>0.0</v>
      </c>
      <c r="I3232" s="3" t="s">
        <v>13</v>
      </c>
      <c r="J3232" s="3" t="s">
        <v>9442</v>
      </c>
      <c r="K3232" s="3" t="s">
        <v>205</v>
      </c>
      <c r="L3232" s="3" t="str">
        <f>IFERROR(__xludf.DUMMYFUNCTION("GOOGLETRANSLATE(F3232,""id"",""en"")"),"Your Messi deck is a special SLL and you are the first player to score a large quarter of the quarter -finals of the semi -finals and the World Cup final")</f>
        <v>Your Messi deck is a special SLL and you are the first player to score a large quarter of the quarter -finals of the semi -finals and the World Cup final</v>
      </c>
    </row>
    <row r="3233" ht="15.75" customHeight="1">
      <c r="A3233" s="1">
        <v>3249.0</v>
      </c>
      <c r="B3233" s="3" t="s">
        <v>9443</v>
      </c>
      <c r="C3233" s="3">
        <v>0.0</v>
      </c>
      <c r="D3233" s="3">
        <v>0.0</v>
      </c>
      <c r="E3233" s="3">
        <v>0.0</v>
      </c>
      <c r="F3233" s="3" t="s">
        <v>9444</v>
      </c>
      <c r="G3233" s="3">
        <v>1.0</v>
      </c>
      <c r="H3233" s="3">
        <v>0.0</v>
      </c>
      <c r="I3233" s="3" t="s">
        <v>13</v>
      </c>
      <c r="J3233" s="3" t="s">
        <v>9445</v>
      </c>
      <c r="K3233" s="3" t="s">
        <v>1293</v>
      </c>
      <c r="L3233" s="3" t="str">
        <f>IFERROR(__xludf.DUMMYFUNCTION("GOOGLETRANSLATE(F3233,""id"",""en"")"),"The child's hours are sleeping, take the confusing tool to sit quietly while watching the brother of Messi and the World Cup Final")</f>
        <v>The child's hours are sleeping, take the confusing tool to sit quietly while watching the brother of Messi and the World Cup Final</v>
      </c>
    </row>
    <row r="3234" ht="15.75" customHeight="1">
      <c r="A3234" s="1">
        <v>3250.0</v>
      </c>
      <c r="B3234" s="3" t="s">
        <v>9446</v>
      </c>
      <c r="C3234" s="3">
        <v>0.0</v>
      </c>
      <c r="D3234" s="3">
        <v>0.0</v>
      </c>
      <c r="E3234" s="3">
        <v>0.0</v>
      </c>
      <c r="F3234" s="3" t="s">
        <v>9447</v>
      </c>
      <c r="G3234" s="3">
        <v>1.0</v>
      </c>
      <c r="H3234" s="3">
        <v>0.0</v>
      </c>
      <c r="I3234" s="3" t="s">
        <v>13</v>
      </c>
      <c r="J3234" s="3" t="s">
        <v>9448</v>
      </c>
      <c r="K3234" s="3" t="s">
        <v>8160</v>
      </c>
      <c r="L3234" s="3" t="str">
        <f>IFERROR(__xludf.DUMMYFUNCTION("GOOGLETRANSLATE(F3234,""id"",""en"")"),"Goat is already true this is Diving Argentina Indosiar Vidio Nobar Penalty Settings Messi Maria World Cup Peter Drury who wants to watch this free streaming link Final FIFA Word Cup")</f>
        <v>Goat is already true this is Diving Argentina Indosiar Vidio Nobar Penalty Settings Messi Maria World Cup Peter Drury who wants to watch this free streaming link Final FIFA Word Cup</v>
      </c>
    </row>
    <row r="3235" ht="15.75" customHeight="1">
      <c r="A3235" s="1">
        <v>3251.0</v>
      </c>
      <c r="B3235" s="3" t="s">
        <v>9449</v>
      </c>
      <c r="C3235" s="3">
        <v>0.0</v>
      </c>
      <c r="D3235" s="3">
        <v>0.0</v>
      </c>
      <c r="E3235" s="3">
        <v>0.0</v>
      </c>
      <c r="F3235" s="3" t="s">
        <v>9450</v>
      </c>
      <c r="G3235" s="3">
        <v>1.0</v>
      </c>
      <c r="H3235" s="3">
        <v>0.0</v>
      </c>
      <c r="I3235" s="3" t="s">
        <v>13</v>
      </c>
      <c r="J3235" s="3" t="s">
        <v>9451</v>
      </c>
      <c r="K3235" s="3" t="s">
        <v>50</v>
      </c>
      <c r="L3235" s="3" t="str">
        <f>IFERROR(__xludf.DUMMYFUNCTION("GOOGLETRANSLATE(F3235,""id"",""en"")"),"The results of the first round of the Argentine World Cup final managed to have a temporary scoring of France")</f>
        <v>The results of the first round of the Argentine World Cup final managed to have a temporary scoring of France</v>
      </c>
    </row>
    <row r="3236" ht="15.75" customHeight="1">
      <c r="A3236" s="1">
        <v>3252.0</v>
      </c>
      <c r="B3236" s="3" t="s">
        <v>9452</v>
      </c>
      <c r="C3236" s="3">
        <v>0.0</v>
      </c>
      <c r="D3236" s="3">
        <v>0.0</v>
      </c>
      <c r="E3236" s="3">
        <v>3.0</v>
      </c>
      <c r="F3236" s="3" t="s">
        <v>9453</v>
      </c>
      <c r="G3236" s="3">
        <v>1.0</v>
      </c>
      <c r="H3236" s="3">
        <v>0.0</v>
      </c>
      <c r="I3236" s="3" t="s">
        <v>13</v>
      </c>
      <c r="J3236" s="3" t="s">
        <v>9454</v>
      </c>
      <c r="K3236" s="3" t="s">
        <v>510</v>
      </c>
      <c r="L3236" s="3" t="str">
        <f>IFERROR(__xludf.DUMMYFUNCTION("GOOGLETRANSLATE(F3236,""id"",""en"")"),"Elon Musk Watching the World Cup Final Praise Lionel Messi's penalty for Argentina Via")</f>
        <v>Elon Musk Watching the World Cup Final Praise Lionel Messi's penalty for Argentina Via</v>
      </c>
    </row>
    <row r="3237" ht="15.75" customHeight="1">
      <c r="A3237" s="1">
        <v>3253.0</v>
      </c>
      <c r="B3237" s="3" t="s">
        <v>9455</v>
      </c>
      <c r="C3237" s="3">
        <v>0.0</v>
      </c>
      <c r="D3237" s="3">
        <v>0.0</v>
      </c>
      <c r="E3237" s="3">
        <v>0.0</v>
      </c>
      <c r="F3237" s="3" t="s">
        <v>9456</v>
      </c>
      <c r="G3237" s="3">
        <v>0.75</v>
      </c>
      <c r="H3237" s="3">
        <v>0.06818181818181818</v>
      </c>
      <c r="I3237" s="3" t="s">
        <v>48</v>
      </c>
      <c r="J3237" s="3" t="s">
        <v>9457</v>
      </c>
      <c r="K3237" s="3" t="s">
        <v>510</v>
      </c>
      <c r="L3237" s="3" t="str">
        <f>IFERROR(__xludf.DUMMYFUNCTION("GOOGLETRANSLATE(F3237,""id"",""en"")"),"LIVE LIVE LIVE STREAMING FREE Argentine French World Cup Final Percent Successful Lombok Insider")</f>
        <v>LIVE LIVE LIVE STREAMING FREE Argentine French World Cup Final Percent Successful Lombok Insider</v>
      </c>
    </row>
    <row r="3238" ht="15.75" customHeight="1">
      <c r="A3238" s="1">
        <v>3254.0</v>
      </c>
      <c r="B3238" s="3" t="s">
        <v>9458</v>
      </c>
      <c r="C3238" s="3">
        <v>0.0</v>
      </c>
      <c r="D3238" s="3">
        <v>0.0</v>
      </c>
      <c r="E3238" s="3">
        <v>0.0</v>
      </c>
      <c r="F3238" s="3" t="s">
        <v>9459</v>
      </c>
      <c r="G3238" s="3">
        <v>1.0</v>
      </c>
      <c r="H3238" s="3">
        <v>0.0</v>
      </c>
      <c r="I3238" s="3" t="s">
        <v>13</v>
      </c>
      <c r="J3238" s="3" t="s">
        <v>9460</v>
      </c>
      <c r="K3238" s="3" t="s">
        <v>90</v>
      </c>
      <c r="L3238" s="3" t="str">
        <f>IFERROR(__xludf.DUMMYFUNCTION("GOOGLETRANSLATE(F3238,""id"",""en"")"),"Although I really understand the ball also followed from the beginning of the World Cup starting if the final match I was obliged to nobar to feel the uforia hehe hehe")</f>
        <v>Although I really understand the ball also followed from the beginning of the World Cup starting if the final match I was obliged to nobar to feel the uforia hehe hehe</v>
      </c>
    </row>
    <row r="3239" ht="15.75" customHeight="1">
      <c r="A3239" s="1">
        <v>3255.0</v>
      </c>
      <c r="B3239" s="3" t="s">
        <v>9461</v>
      </c>
      <c r="C3239" s="3">
        <v>1.0</v>
      </c>
      <c r="D3239" s="3">
        <v>0.0</v>
      </c>
      <c r="E3239" s="3">
        <v>0.0</v>
      </c>
      <c r="F3239" s="3" t="s">
        <v>9462</v>
      </c>
      <c r="G3239" s="3">
        <v>1.0</v>
      </c>
      <c r="H3239" s="3">
        <v>0.0</v>
      </c>
      <c r="I3239" s="3" t="s">
        <v>13</v>
      </c>
      <c r="J3239" s="3" t="s">
        <v>9463</v>
      </c>
      <c r="K3239" s="3" t="s">
        <v>75</v>
      </c>
      <c r="L3239" s="3" t="str">
        <f>IFERROR(__xludf.DUMMYFUNCTION("GOOGLETRANSLATE(F3239,""id"",""en"")"),"The second half of the final has begun, let's fans of Argentina and our France closer again")</f>
        <v>The second half of the final has begun, let's fans of Argentina and our France closer again</v>
      </c>
    </row>
    <row r="3240" ht="15.75" customHeight="1">
      <c r="A3240" s="1">
        <v>3256.0</v>
      </c>
      <c r="B3240" s="3" t="s">
        <v>9464</v>
      </c>
      <c r="C3240" s="3">
        <v>0.0</v>
      </c>
      <c r="D3240" s="3">
        <v>0.0</v>
      </c>
      <c r="E3240" s="3">
        <v>0.0</v>
      </c>
      <c r="F3240" s="3" t="s">
        <v>5895</v>
      </c>
      <c r="G3240" s="3">
        <v>1.0</v>
      </c>
      <c r="H3240" s="3">
        <v>0.0</v>
      </c>
      <c r="I3240" s="3" t="s">
        <v>13</v>
      </c>
      <c r="J3240" s="3" t="s">
        <v>5896</v>
      </c>
      <c r="K3240" s="3" t="s">
        <v>41</v>
      </c>
      <c r="L3240" s="3" t="str">
        <f>IFERROR(__xludf.DUMMYFUNCTION("GOOGLETRANSLATE(F3240,""id"",""en"")"),"The results of the first round of the French Argentine World Cup final score")</f>
        <v>The results of the first round of the French Argentine World Cup final score</v>
      </c>
    </row>
    <row r="3241" ht="15.75" customHeight="1">
      <c r="A3241" s="1">
        <v>3257.0</v>
      </c>
      <c r="B3241" s="3" t="s">
        <v>9465</v>
      </c>
      <c r="C3241" s="3">
        <v>0.0</v>
      </c>
      <c r="D3241" s="3">
        <v>0.0</v>
      </c>
      <c r="E3241" s="3">
        <v>0.0</v>
      </c>
      <c r="F3241" s="3" t="s">
        <v>9466</v>
      </c>
      <c r="G3241" s="3">
        <v>1.0</v>
      </c>
      <c r="H3241" s="3">
        <v>0.0</v>
      </c>
      <c r="I3241" s="3" t="s">
        <v>13</v>
      </c>
      <c r="J3241" s="3" t="s">
        <v>9467</v>
      </c>
      <c r="K3241" s="3" t="s">
        <v>71</v>
      </c>
      <c r="L3241" s="3" t="str">
        <f>IFERROR(__xludf.DUMMYFUNCTION("GOOGLETRANSLATE(F3241,""id"",""en"")"),"WOIIIII Returns that our money is pretentious fraud, Sokan wants to be a world cup broadcast, we can even watch the final")</f>
        <v>WOIIIII Returns that our money is pretentious fraud, Sokan wants to be a world cup broadcast, we can even watch the final</v>
      </c>
    </row>
    <row r="3242" ht="15.75" customHeight="1">
      <c r="A3242" s="1">
        <v>3258.0</v>
      </c>
      <c r="B3242" s="3" t="s">
        <v>9468</v>
      </c>
      <c r="C3242" s="3">
        <v>0.0</v>
      </c>
      <c r="D3242" s="3">
        <v>0.0</v>
      </c>
      <c r="E3242" s="3">
        <v>0.0</v>
      </c>
      <c r="F3242" s="3" t="s">
        <v>9469</v>
      </c>
      <c r="G3242" s="3">
        <v>1.0</v>
      </c>
      <c r="H3242" s="3">
        <v>0.0</v>
      </c>
      <c r="I3242" s="3" t="s">
        <v>13</v>
      </c>
      <c r="J3242" s="3" t="s">
        <v>9470</v>
      </c>
      <c r="K3242" s="3" t="s">
        <v>15</v>
      </c>
      <c r="L3242" s="3" t="str">
        <f>IFERROR(__xludf.DUMMYFUNCTION("GOOGLETRANSLATE(F3242,""id"",""en"")"),"Lionel World Cup Final Messi Kylian Mbappe for the best")</f>
        <v>Lionel World Cup Final Messi Kylian Mbappe for the best</v>
      </c>
    </row>
    <row r="3243" ht="15.75" customHeight="1">
      <c r="A3243" s="1">
        <v>3259.0</v>
      </c>
      <c r="B3243" s="3" t="s">
        <v>9471</v>
      </c>
      <c r="C3243" s="3">
        <v>0.0</v>
      </c>
      <c r="D3243" s="3">
        <v>0.0</v>
      </c>
      <c r="E3243" s="3">
        <v>0.0</v>
      </c>
      <c r="F3243" s="3" t="s">
        <v>9472</v>
      </c>
      <c r="G3243" s="3">
        <v>1.0</v>
      </c>
      <c r="H3243" s="3">
        <v>0.0</v>
      </c>
      <c r="I3243" s="3" t="s">
        <v>13</v>
      </c>
      <c r="J3243" s="3" t="s">
        <v>9473</v>
      </c>
      <c r="K3243" s="3" t="s">
        <v>54</v>
      </c>
      <c r="L3243" s="3" t="str">
        <f>IFERROR(__xludf.DUMMYFUNCTION("GOOGLETRANSLATE(F3243,""id"",""en"")"),"From earlier, I was able to enter the World Cup Final Vidio")</f>
        <v>From earlier, I was able to enter the World Cup Final Vidio</v>
      </c>
    </row>
    <row r="3244" ht="15.75" customHeight="1">
      <c r="A3244" s="1">
        <v>3260.0</v>
      </c>
      <c r="B3244" s="3" t="s">
        <v>9474</v>
      </c>
      <c r="C3244" s="3">
        <v>0.0</v>
      </c>
      <c r="D3244" s="3">
        <v>3.0</v>
      </c>
      <c r="E3244" s="3">
        <v>15.0</v>
      </c>
      <c r="F3244" s="3" t="s">
        <v>9475</v>
      </c>
      <c r="G3244" s="3">
        <v>1.0</v>
      </c>
      <c r="H3244" s="3">
        <v>0.0</v>
      </c>
      <c r="I3244" s="3" t="s">
        <v>13</v>
      </c>
      <c r="J3244" s="3" t="s">
        <v>9476</v>
      </c>
      <c r="K3244" s="3" t="s">
        <v>71</v>
      </c>
      <c r="L3244" s="3" t="str">
        <f>IFERROR(__xludf.DUMMYFUNCTION("GOOGLETRANSLATE(F3244,""id"",""en"")"),"Residents of Abu City on the east of the Palestinian Quds Watch together with the World Cup Final match")</f>
        <v>Residents of Abu City on the east of the Palestinian Quds Watch together with the World Cup Final match</v>
      </c>
    </row>
    <row r="3245" ht="15.75" customHeight="1">
      <c r="A3245" s="1">
        <v>3261.0</v>
      </c>
      <c r="B3245" s="3" t="s">
        <v>9477</v>
      </c>
      <c r="C3245" s="3">
        <v>0.0</v>
      </c>
      <c r="D3245" s="3">
        <v>0.0</v>
      </c>
      <c r="E3245" s="3">
        <v>0.0</v>
      </c>
      <c r="F3245" s="3" t="s">
        <v>9478</v>
      </c>
      <c r="G3245" s="3">
        <v>1.0</v>
      </c>
      <c r="H3245" s="3">
        <v>0.0</v>
      </c>
      <c r="I3245" s="3" t="s">
        <v>13</v>
      </c>
      <c r="J3245" s="3" t="s">
        <v>9479</v>
      </c>
      <c r="K3245" s="3" t="s">
        <v>236</v>
      </c>
      <c r="L3245" s="3" t="str">
        <f>IFERROR(__xludf.DUMMYFUNCTION("GOOGLETRANSLATE(F3245,""id"",""en"")"),"From the beginning to the final now watching the World Cup only final")</f>
        <v>From the beginning to the final now watching the World Cup only final</v>
      </c>
    </row>
    <row r="3246" ht="15.75" customHeight="1">
      <c r="A3246" s="1">
        <v>3262.0</v>
      </c>
      <c r="B3246" s="3" t="s">
        <v>9480</v>
      </c>
      <c r="C3246" s="3">
        <v>1.0</v>
      </c>
      <c r="D3246" s="3">
        <v>0.0</v>
      </c>
      <c r="E3246" s="3">
        <v>0.0</v>
      </c>
      <c r="F3246" s="3" t="s">
        <v>9481</v>
      </c>
      <c r="G3246" s="3">
        <v>1.0</v>
      </c>
      <c r="H3246" s="3">
        <v>0.0</v>
      </c>
      <c r="I3246" s="3" t="s">
        <v>13</v>
      </c>
      <c r="J3246" s="3" t="s">
        <v>9482</v>
      </c>
      <c r="K3246" s="3" t="s">
        <v>50</v>
      </c>
      <c r="L3246" s="3" t="str">
        <f>IFERROR(__xludf.DUMMYFUNCTION("GOOGLETRANSLATE(F3246,""id"",""en"")"),"POV Watch Final Lusail Stadium Qatar IDN Times Ridwan Aji Pitoko")</f>
        <v>POV Watch Final Lusail Stadium Qatar IDN Times Ridwan Aji Pitoko</v>
      </c>
    </row>
    <row r="3247" ht="15.75" customHeight="1">
      <c r="A3247" s="1">
        <v>3263.0</v>
      </c>
      <c r="B3247" s="3" t="s">
        <v>9483</v>
      </c>
      <c r="C3247" s="3">
        <v>0.0</v>
      </c>
      <c r="D3247" s="3">
        <v>0.0</v>
      </c>
      <c r="E3247" s="3">
        <v>1.0</v>
      </c>
      <c r="F3247" s="3" t="s">
        <v>9484</v>
      </c>
      <c r="G3247" s="3">
        <v>1.0</v>
      </c>
      <c r="H3247" s="3">
        <v>0.0</v>
      </c>
      <c r="I3247" s="3" t="s">
        <v>13</v>
      </c>
      <c r="J3247" s="3" t="s">
        <v>9485</v>
      </c>
      <c r="K3247" s="3" t="s">
        <v>149</v>
      </c>
      <c r="L3247" s="3" t="str">
        <f>IFERROR(__xludf.DUMMYFUNCTION("GOOGLETRANSLATE(F3247,""id"",""en"")"),"When Malaysia, I will join the Croatia World Cup, smaller than Sabah with a population of less million, has also participated in the World Cup.")</f>
        <v>When Malaysia, I will join the Croatia World Cup, smaller than Sabah with a population of less million, has also participated in the World Cup.</v>
      </c>
    </row>
    <row r="3248" ht="15.75" customHeight="1">
      <c r="A3248" s="1">
        <v>3264.0</v>
      </c>
      <c r="B3248" s="3" t="s">
        <v>9486</v>
      </c>
      <c r="C3248" s="3">
        <v>3.0</v>
      </c>
      <c r="D3248" s="3">
        <v>0.0</v>
      </c>
      <c r="E3248" s="3">
        <v>2.0</v>
      </c>
      <c r="F3248" s="3" t="s">
        <v>9487</v>
      </c>
      <c r="G3248" s="3">
        <v>0.75</v>
      </c>
      <c r="H3248" s="3">
        <v>0.06818181818181818</v>
      </c>
      <c r="I3248" s="3" t="s">
        <v>48</v>
      </c>
      <c r="J3248" s="3" t="s">
        <v>9488</v>
      </c>
      <c r="K3248" s="3" t="s">
        <v>633</v>
      </c>
      <c r="L3248" s="3" t="str">
        <f>IFERROR(__xludf.DUMMYFUNCTION("GOOGLETRANSLATE(F3248,""id"",""en"")"),"Hi Friends, someone watched the Live Final of the Qatar French Qatar World Cup first in the first minute Argentina was superior guys whether your video application was still difficult to access")</f>
        <v>Hi Friends, someone watched the Live Final of the Qatar French Qatar World Cup first in the first minute Argentina was superior guys whether your video application was still difficult to access</v>
      </c>
    </row>
    <row r="3249" ht="15.75" customHeight="1">
      <c r="A3249" s="1">
        <v>3265.0</v>
      </c>
      <c r="B3249" s="3" t="s">
        <v>9489</v>
      </c>
      <c r="C3249" s="3">
        <v>1.0</v>
      </c>
      <c r="D3249" s="3">
        <v>0.0</v>
      </c>
      <c r="E3249" s="3">
        <v>0.0</v>
      </c>
      <c r="F3249" s="3" t="s">
        <v>9490</v>
      </c>
      <c r="G3249" s="3">
        <v>1.0</v>
      </c>
      <c r="H3249" s="3">
        <v>0.0</v>
      </c>
      <c r="I3249" s="3" t="s">
        <v>13</v>
      </c>
      <c r="J3249" s="3" t="s">
        <v>9491</v>
      </c>
      <c r="K3249" s="3" t="s">
        <v>19</v>
      </c>
      <c r="L3249" s="3" t="str">
        <f>IFERROR(__xludf.DUMMYFUNCTION("GOOGLETRANSLATE(F3249,""id"",""en"")"),"arrived at the final at that time Brazil was made nervous for the first world cup title")</f>
        <v>arrived at the final at that time Brazil was made nervous for the first world cup title</v>
      </c>
    </row>
    <row r="3250" ht="15.75" customHeight="1">
      <c r="A3250" s="1">
        <v>3266.0</v>
      </c>
      <c r="B3250" s="3" t="s">
        <v>9492</v>
      </c>
      <c r="C3250" s="3">
        <v>0.0</v>
      </c>
      <c r="D3250" s="3">
        <v>0.0</v>
      </c>
      <c r="E3250" s="3">
        <v>0.0</v>
      </c>
      <c r="F3250" s="3" t="s">
        <v>9493</v>
      </c>
      <c r="G3250" s="3">
        <v>1.0</v>
      </c>
      <c r="H3250" s="3">
        <v>0.0</v>
      </c>
      <c r="I3250" s="3" t="s">
        <v>13</v>
      </c>
      <c r="J3250" s="3" t="s">
        <v>9494</v>
      </c>
      <c r="K3250" s="3" t="s">
        <v>244</v>
      </c>
      <c r="L3250" s="3" t="str">
        <f>IFERROR(__xludf.DUMMYFUNCTION("GOOGLETRANSLATE(F3250,""id"",""en"")"),"Wait this French final playing like the intention not to feel the final of the World Cup wkwk")</f>
        <v>Wait this French final playing like the intention not to feel the final of the World Cup wkwk</v>
      </c>
    </row>
    <row r="3251" ht="15.75" customHeight="1">
      <c r="A3251" s="1">
        <v>3267.0</v>
      </c>
      <c r="B3251" s="3" t="s">
        <v>9495</v>
      </c>
      <c r="C3251" s="3">
        <v>1.0</v>
      </c>
      <c r="D3251" s="3">
        <v>0.0</v>
      </c>
      <c r="E3251" s="3">
        <v>0.0</v>
      </c>
      <c r="F3251" s="3" t="s">
        <v>9496</v>
      </c>
      <c r="G3251" s="3">
        <v>0.75</v>
      </c>
      <c r="H3251" s="3">
        <v>0.25</v>
      </c>
      <c r="I3251" s="3" t="s">
        <v>48</v>
      </c>
      <c r="J3251" s="3" t="s">
        <v>9497</v>
      </c>
      <c r="K3251" s="3" t="s">
        <v>495</v>
      </c>
      <c r="L3251" s="3" t="str">
        <f>IFERROR(__xludf.DUMMYFUNCTION("GOOGLETRANSLATE(F3251,""id"",""en"")"),"Lionel Messi's first half of the World Cup final led him to the new record of the Argentine captain was also a step into the top scorer")</f>
        <v>Lionel Messi's first half of the World Cup final led him to the new record of the Argentine captain was also a step into the top scorer</v>
      </c>
    </row>
    <row r="3252" ht="15.75" customHeight="1">
      <c r="A3252" s="1">
        <v>3268.0</v>
      </c>
      <c r="B3252" s="3" t="s">
        <v>9498</v>
      </c>
      <c r="C3252" s="3">
        <v>0.0</v>
      </c>
      <c r="D3252" s="3">
        <v>0.0</v>
      </c>
      <c r="E3252" s="3">
        <v>0.0</v>
      </c>
      <c r="F3252" s="3" t="s">
        <v>9499</v>
      </c>
      <c r="G3252" s="3">
        <v>0.0</v>
      </c>
      <c r="H3252" s="3">
        <v>0.0</v>
      </c>
      <c r="I3252" s="3" t="s">
        <v>13</v>
      </c>
      <c r="J3252" s="3" t="s">
        <v>9500</v>
      </c>
      <c r="K3252" s="3" t="s">
        <v>75</v>
      </c>
      <c r="L3252" s="3" t="str">
        <f>IFERROR(__xludf.DUMMYFUNCTION("GOOGLETRANSLATE(F3252,""id"",""en"")"),"The first round of the World Cup Messi and Maria brought ahead of visit")</f>
        <v>The first round of the World Cup Messi and Maria brought ahead of visit</v>
      </c>
    </row>
    <row r="3253" ht="15.75" customHeight="1">
      <c r="A3253" s="1">
        <v>3269.0</v>
      </c>
      <c r="B3253" s="3" t="s">
        <v>9501</v>
      </c>
      <c r="C3253" s="3">
        <v>2.0</v>
      </c>
      <c r="D3253" s="3">
        <v>0.0</v>
      </c>
      <c r="E3253" s="3">
        <v>1.0</v>
      </c>
      <c r="F3253" s="3" t="s">
        <v>9502</v>
      </c>
      <c r="G3253" s="3">
        <v>1.0</v>
      </c>
      <c r="H3253" s="3">
        <v>0.0</v>
      </c>
      <c r="I3253" s="3" t="s">
        <v>13</v>
      </c>
      <c r="J3253" s="3" t="s">
        <v>9503</v>
      </c>
      <c r="K3253" s="3" t="s">
        <v>71</v>
      </c>
      <c r="L3253" s="3" t="str">
        <f>IFERROR(__xludf.DUMMYFUNCTION("GOOGLETRANSLATE(F3253,""id"",""en"")"),"That was the final of the World Cup final if the first round of the audience was out of snacks or rice aking pakaga")</f>
        <v>That was the final of the World Cup final if the first round of the audience was out of snacks or rice aking pakaga</v>
      </c>
    </row>
    <row r="3254" ht="15.75" customHeight="1">
      <c r="A3254" s="1">
        <v>3270.0</v>
      </c>
      <c r="B3254" s="3" t="s">
        <v>9504</v>
      </c>
      <c r="C3254" s="3">
        <v>0.0</v>
      </c>
      <c r="D3254" s="3">
        <v>0.0</v>
      </c>
      <c r="E3254" s="3">
        <v>0.0</v>
      </c>
      <c r="F3254" s="3" t="s">
        <v>9505</v>
      </c>
      <c r="G3254" s="3">
        <v>0.775</v>
      </c>
      <c r="H3254" s="3">
        <v>0.175</v>
      </c>
      <c r="I3254" s="3" t="s">
        <v>48</v>
      </c>
      <c r="J3254" s="3" t="s">
        <v>9506</v>
      </c>
      <c r="K3254" s="3" t="s">
        <v>1157</v>
      </c>
      <c r="L3254" s="3" t="str">
        <f>IFERROR(__xludf.DUMMYFUNCTION("GOOGLETRANSLATE(F3254,""id"",""en"")"),"like this since the year still leaked until the year of college I was always full match watching the World Cup final match but for the year after the minutes I just turned off I said not as a Ronaldo fan but as a football lover")</f>
        <v>like this since the year still leaked until the year of college I was always full match watching the World Cup final match but for the year after the minutes I just turned off I said not as a Ronaldo fan but as a football lover</v>
      </c>
    </row>
    <row r="3255" ht="15.75" customHeight="1">
      <c r="A3255" s="1">
        <v>3271.0</v>
      </c>
      <c r="B3255" s="3" t="s">
        <v>9507</v>
      </c>
      <c r="C3255" s="3">
        <v>0.0</v>
      </c>
      <c r="D3255" s="3">
        <v>1.0</v>
      </c>
      <c r="E3255" s="3">
        <v>1.0</v>
      </c>
      <c r="F3255" s="3" t="s">
        <v>9508</v>
      </c>
      <c r="G3255" s="3">
        <v>1.0</v>
      </c>
      <c r="H3255" s="3">
        <v>0.0</v>
      </c>
      <c r="I3255" s="3" t="s">
        <v>13</v>
      </c>
      <c r="J3255" s="3" t="s">
        <v>9509</v>
      </c>
      <c r="K3255" s="3" t="s">
        <v>1628</v>
      </c>
      <c r="L3255" s="3" t="str">
        <f>IFERROR(__xludf.DUMMYFUNCTION("GOOGLETRANSLATE(F3255,""id"",""en"")"),"The French Qatar World Cup final Argentina like the Indonesian election before the referee kick off already knew the end result such as the behavior of the Indonesian KPU so it was Argentina that PDI Election yesterday")</f>
        <v>The French Qatar World Cup final Argentina like the Indonesian election before the referee kick off already knew the end result such as the behavior of the Indonesian KPU so it was Argentina that PDI Election yesterday</v>
      </c>
    </row>
    <row r="3256" ht="15.75" customHeight="1">
      <c r="A3256" s="1">
        <v>3272.0</v>
      </c>
      <c r="B3256" s="3" t="s">
        <v>9510</v>
      </c>
      <c r="C3256" s="3">
        <v>0.0</v>
      </c>
      <c r="D3256" s="3">
        <v>0.0</v>
      </c>
      <c r="E3256" s="3">
        <v>1.0</v>
      </c>
      <c r="F3256" s="3" t="s">
        <v>9511</v>
      </c>
      <c r="G3256" s="3">
        <v>0.75</v>
      </c>
      <c r="H3256" s="3">
        <v>0.06818181818181818</v>
      </c>
      <c r="I3256" s="3" t="s">
        <v>48</v>
      </c>
      <c r="J3256" s="3" t="s">
        <v>9512</v>
      </c>
      <c r="K3256" s="3" t="s">
        <v>437</v>
      </c>
      <c r="L3256" s="3" t="str">
        <f>IFERROR(__xludf.DUMMYFUNCTION("GOOGLETRANSLATE(F3256,""id"",""en"")"),"nit the opportunity Paul can still be captured by Argentina France Link live streaming Argentina France tonight WIB World Cup Final")</f>
        <v>nit the opportunity Paul can still be captured by Argentina France Link live streaming Argentina France tonight WIB World Cup Final</v>
      </c>
    </row>
    <row r="3257" ht="15.75" customHeight="1">
      <c r="A3257" s="1">
        <v>3273.0</v>
      </c>
      <c r="B3257" s="3" t="s">
        <v>9513</v>
      </c>
      <c r="C3257" s="3">
        <v>0.0</v>
      </c>
      <c r="D3257" s="3">
        <v>0.0</v>
      </c>
      <c r="E3257" s="3">
        <v>0.0</v>
      </c>
      <c r="F3257" s="3" t="s">
        <v>9514</v>
      </c>
      <c r="G3257" s="3">
        <v>1.0</v>
      </c>
      <c r="H3257" s="3">
        <v>0.0</v>
      </c>
      <c r="I3257" s="3" t="s">
        <v>13</v>
      </c>
      <c r="J3257" s="3" t="s">
        <v>9515</v>
      </c>
      <c r="K3257" s="3" t="s">
        <v>657</v>
      </c>
      <c r="L3257" s="3" t="str">
        <f>IFERROR(__xludf.DUMMYFUNCTION("GOOGLETRANSLATE(F3257,""id"",""en"")"),"GOJEK DRIVERS AGAIN Watching the World Cup Final What I Ordered Food No one received this stomach worm begins to rebel, bro")</f>
        <v>GOJEK DRIVERS AGAIN Watching the World Cup Final What I Ordered Food No one received this stomach worm begins to rebel, bro</v>
      </c>
    </row>
    <row r="3258" ht="15.75" customHeight="1">
      <c r="A3258" s="1">
        <v>3274.0</v>
      </c>
      <c r="B3258" s="3" t="s">
        <v>9516</v>
      </c>
      <c r="C3258" s="3">
        <v>0.0</v>
      </c>
      <c r="D3258" s="3">
        <v>1.0</v>
      </c>
      <c r="E3258" s="3">
        <v>1.0</v>
      </c>
      <c r="F3258" s="3" t="s">
        <v>9517</v>
      </c>
      <c r="G3258" s="3">
        <v>1.0</v>
      </c>
      <c r="H3258" s="3">
        <v>0.0</v>
      </c>
      <c r="I3258" s="3" t="s">
        <v>13</v>
      </c>
      <c r="J3258" s="3" t="s">
        <v>9518</v>
      </c>
      <c r="K3258" s="3" t="s">
        <v>41</v>
      </c>
      <c r="L3258" s="3" t="str">
        <f>IFERROR(__xludf.DUMMYFUNCTION("GOOGLETRANSLATE(F3258,""id"",""en"")"),"Final World Cup Final continues to be depressed by France behind goals")</f>
        <v>Final World Cup Final continues to be depressed by France behind goals</v>
      </c>
    </row>
    <row r="3259" ht="15.75" customHeight="1">
      <c r="A3259" s="1">
        <v>3275.0</v>
      </c>
      <c r="B3259" s="3" t="s">
        <v>9519</v>
      </c>
      <c r="C3259" s="3">
        <v>0.0</v>
      </c>
      <c r="D3259" s="3">
        <v>0.0</v>
      </c>
      <c r="E3259" s="3">
        <v>0.0</v>
      </c>
      <c r="F3259" s="3" t="s">
        <v>9520</v>
      </c>
      <c r="G3259" s="3">
        <v>0.75</v>
      </c>
      <c r="H3259" s="3">
        <v>0.25</v>
      </c>
      <c r="I3259" s="3" t="s">
        <v>48</v>
      </c>
      <c r="J3259" s="3" t="s">
        <v>9521</v>
      </c>
      <c r="K3259" s="3" t="s">
        <v>19</v>
      </c>
      <c r="L3259" s="3" t="str">
        <f>IFERROR(__xludf.DUMMYFUNCTION("GOOGLETRANSLATE(F3259,""id"",""en"")"),"Argentina French World Cup Final Results Messi became top scorer")</f>
        <v>Argentina French World Cup Final Results Messi became top scorer</v>
      </c>
    </row>
    <row r="3260" ht="15.75" customHeight="1">
      <c r="A3260" s="1">
        <v>3276.0</v>
      </c>
      <c r="B3260" s="3" t="s">
        <v>9522</v>
      </c>
      <c r="C3260" s="3">
        <v>0.0</v>
      </c>
      <c r="D3260" s="3">
        <v>0.0</v>
      </c>
      <c r="E3260" s="3">
        <v>2.0</v>
      </c>
      <c r="F3260" s="3" t="s">
        <v>9523</v>
      </c>
      <c r="G3260" s="3">
        <v>1.0</v>
      </c>
      <c r="H3260" s="3">
        <v>0.0</v>
      </c>
      <c r="I3260" s="3" t="s">
        <v>13</v>
      </c>
      <c r="J3260" s="3" t="s">
        <v>9524</v>
      </c>
      <c r="K3260" s="3" t="s">
        <v>54</v>
      </c>
      <c r="L3260" s="3" t="str">
        <f>IFERROR(__xludf.DUMMYFUNCTION("GOOGLETRANSLATE(F3260,""id"",""en"")"),"Rows of World Cup Final Vip Guests")</f>
        <v>Rows of World Cup Final Vip Guests</v>
      </c>
    </row>
    <row r="3261" ht="15.75" customHeight="1">
      <c r="A3261" s="1">
        <v>3277.0</v>
      </c>
      <c r="B3261" s="3" t="s">
        <v>9525</v>
      </c>
      <c r="C3261" s="3">
        <v>1.0</v>
      </c>
      <c r="D3261" s="3">
        <v>0.0</v>
      </c>
      <c r="E3261" s="3">
        <v>0.0</v>
      </c>
      <c r="F3261" s="3" t="s">
        <v>9496</v>
      </c>
      <c r="G3261" s="3">
        <v>0.75</v>
      </c>
      <c r="H3261" s="3">
        <v>0.25</v>
      </c>
      <c r="I3261" s="3" t="s">
        <v>48</v>
      </c>
      <c r="J3261" s="3" t="s">
        <v>9497</v>
      </c>
      <c r="K3261" s="3" t="s">
        <v>495</v>
      </c>
      <c r="L3261" s="3" t="str">
        <f>IFERROR(__xludf.DUMMYFUNCTION("GOOGLETRANSLATE(F3261,""id"",""en"")"),"Lionel Messi's first half of the World Cup final led him to the new record of the Argentine captain was also a step into the top scorer")</f>
        <v>Lionel Messi's first half of the World Cup final led him to the new record of the Argentine captain was also a step into the top scorer</v>
      </c>
    </row>
    <row r="3262" ht="15.75" customHeight="1">
      <c r="A3262" s="1">
        <v>3278.0</v>
      </c>
      <c r="B3262" s="3" t="s">
        <v>9526</v>
      </c>
      <c r="C3262" s="3">
        <v>5.0</v>
      </c>
      <c r="D3262" s="3">
        <v>2.0</v>
      </c>
      <c r="E3262" s="3">
        <v>13.0</v>
      </c>
      <c r="F3262" s="3" t="s">
        <v>9527</v>
      </c>
      <c r="G3262" s="3">
        <v>1.0</v>
      </c>
      <c r="H3262" s="3">
        <v>0.0</v>
      </c>
      <c r="I3262" s="3" t="s">
        <v>13</v>
      </c>
      <c r="J3262" s="3" t="s">
        <v>9528</v>
      </c>
      <c r="K3262" s="3" t="s">
        <v>1854</v>
      </c>
      <c r="L3262" s="3" t="str">
        <f>IFERROR(__xludf.DUMMYFUNCTION("GOOGLETRANSLATE(F3262,""id"",""en"")"),"Proof of the greatness of the World Cup Messi can just set the setting no longer necessary to shake with Cristiano Ronaldo who does not enter the Final Fixs Messi is far more powerful than Ronaldo Settings Mbappe Dembele Giroud Diving Penalty already Pogb"&amp;"a")</f>
        <v>Proof of the greatness of the World Cup Messi can just set the setting no longer necessary to shake with Cristiano Ronaldo who does not enter the Final Fixs Messi is far more powerful than Ronaldo Settings Mbappe Dembele Giroud Diving Penalty already Pogba</v>
      </c>
    </row>
    <row r="3263" ht="15.75" customHeight="1">
      <c r="A3263" s="1">
        <v>3279.0</v>
      </c>
      <c r="B3263" s="3" t="s">
        <v>9529</v>
      </c>
      <c r="C3263" s="3">
        <v>0.0</v>
      </c>
      <c r="D3263" s="3">
        <v>0.0</v>
      </c>
      <c r="E3263" s="3">
        <v>0.0</v>
      </c>
      <c r="F3263" s="3" t="s">
        <v>9530</v>
      </c>
      <c r="G3263" s="3">
        <v>1.0</v>
      </c>
      <c r="H3263" s="3">
        <v>0.0</v>
      </c>
      <c r="I3263" s="3" t="s">
        <v>13</v>
      </c>
      <c r="J3263" s="3" t="s">
        <v>9531</v>
      </c>
      <c r="K3263" s="3" t="s">
        <v>15</v>
      </c>
      <c r="L3263" s="3" t="str">
        <f>IFERROR(__xludf.DUMMYFUNCTION("GOOGLETRANSLATE(F3263,""id"",""en"")"),"World Cup Final of Lecture and Pukis Cake of course")</f>
        <v>World Cup Final of Lecture and Pukis Cake of course</v>
      </c>
    </row>
    <row r="3264" ht="15.75" customHeight="1">
      <c r="A3264" s="1">
        <v>3280.0</v>
      </c>
      <c r="B3264" s="3" t="s">
        <v>9532</v>
      </c>
      <c r="C3264" s="3">
        <v>0.0</v>
      </c>
      <c r="D3264" s="3">
        <v>0.0</v>
      </c>
      <c r="E3264" s="3">
        <v>1.0</v>
      </c>
      <c r="F3264" s="3" t="s">
        <v>9533</v>
      </c>
      <c r="G3264" s="3">
        <v>1.0</v>
      </c>
      <c r="H3264" s="3">
        <v>0.0</v>
      </c>
      <c r="I3264" s="3" t="s">
        <v>13</v>
      </c>
      <c r="J3264" s="3" t="s">
        <v>9534</v>
      </c>
      <c r="K3264" s="3" t="s">
        <v>50</v>
      </c>
      <c r="L3264" s="3" t="str">
        <f>IFERROR(__xludf.DUMMYFUNCTION("GOOGLETRANSLATE(F3264,""id"",""en"")"),"The combination of deadly biznet duet and videos makes watching the most annoying world cup final")</f>
        <v>The combination of deadly biznet duet and videos makes watching the most annoying world cup final</v>
      </c>
    </row>
    <row r="3265" ht="15.75" customHeight="1">
      <c r="A3265" s="1">
        <v>3281.0</v>
      </c>
      <c r="B3265" s="3" t="s">
        <v>9535</v>
      </c>
      <c r="C3265" s="3">
        <v>0.0</v>
      </c>
      <c r="D3265" s="3">
        <v>0.0</v>
      </c>
      <c r="E3265" s="3">
        <v>6.0</v>
      </c>
      <c r="F3265" s="3" t="s">
        <v>9496</v>
      </c>
      <c r="G3265" s="3">
        <v>0.75</v>
      </c>
      <c r="H3265" s="3">
        <v>0.25</v>
      </c>
      <c r="I3265" s="3" t="s">
        <v>48</v>
      </c>
      <c r="J3265" s="3" t="s">
        <v>9497</v>
      </c>
      <c r="K3265" s="3" t="s">
        <v>495</v>
      </c>
      <c r="L3265" s="3" t="str">
        <f>IFERROR(__xludf.DUMMYFUNCTION("GOOGLETRANSLATE(F3265,""id"",""en"")"),"Lionel Messi's first half of the World Cup final led him to the new record of the Argentine captain was also a step into the top scorer")</f>
        <v>Lionel Messi's first half of the World Cup final led him to the new record of the Argentine captain was also a step into the top scorer</v>
      </c>
    </row>
    <row r="3266" ht="15.75" customHeight="1">
      <c r="A3266" s="1">
        <v>3282.0</v>
      </c>
      <c r="B3266" s="3" t="s">
        <v>9536</v>
      </c>
      <c r="C3266" s="3">
        <v>0.0</v>
      </c>
      <c r="D3266" s="3">
        <v>2.0</v>
      </c>
      <c r="E3266" s="3">
        <v>14.0</v>
      </c>
      <c r="F3266" s="3" t="s">
        <v>9496</v>
      </c>
      <c r="G3266" s="3">
        <v>0.75</v>
      </c>
      <c r="H3266" s="3">
        <v>0.25</v>
      </c>
      <c r="I3266" s="3" t="s">
        <v>48</v>
      </c>
      <c r="J3266" s="3" t="s">
        <v>9497</v>
      </c>
      <c r="K3266" s="3" t="s">
        <v>495</v>
      </c>
      <c r="L3266" s="3" t="str">
        <f>IFERROR(__xludf.DUMMYFUNCTION("GOOGLETRANSLATE(F3266,""id"",""en"")"),"Lionel Messi's first half of the World Cup final led him to the new record of the Argentine captain was also a step into the top scorer")</f>
        <v>Lionel Messi's first half of the World Cup final led him to the new record of the Argentine captain was also a step into the top scorer</v>
      </c>
    </row>
    <row r="3267" ht="15.75" customHeight="1">
      <c r="A3267" s="1">
        <v>3283.0</v>
      </c>
      <c r="B3267" s="3" t="s">
        <v>9537</v>
      </c>
      <c r="C3267" s="3">
        <v>0.0</v>
      </c>
      <c r="D3267" s="3">
        <v>0.0</v>
      </c>
      <c r="E3267" s="3">
        <v>0.0</v>
      </c>
      <c r="F3267" s="3" t="s">
        <v>2519</v>
      </c>
      <c r="G3267" s="3">
        <v>1.0</v>
      </c>
      <c r="H3267" s="3">
        <v>0.0</v>
      </c>
      <c r="I3267" s="3" t="s">
        <v>13</v>
      </c>
      <c r="J3267" s="3" t="s">
        <v>2520</v>
      </c>
      <c r="K3267" s="3" t="s">
        <v>75</v>
      </c>
      <c r="L3267" s="3" t="str">
        <f>IFERROR(__xludf.DUMMYFUNCTION("GOOGLETRANSLATE(F3267,""id"",""en"")"),"Youth Perindo Jakarta Holds Nobar Final World Cup Society Enthusiastic")</f>
        <v>Youth Perindo Jakarta Holds Nobar Final World Cup Society Enthusiastic</v>
      </c>
    </row>
    <row r="3268" ht="15.75" customHeight="1">
      <c r="A3268" s="1">
        <v>3284.0</v>
      </c>
      <c r="B3268" s="3" t="s">
        <v>9538</v>
      </c>
      <c r="C3268" s="3">
        <v>1.0</v>
      </c>
      <c r="D3268" s="3">
        <v>0.0</v>
      </c>
      <c r="E3268" s="3">
        <v>1.0</v>
      </c>
      <c r="F3268" s="3" t="s">
        <v>9539</v>
      </c>
      <c r="G3268" s="3">
        <v>1.0</v>
      </c>
      <c r="H3268" s="3">
        <v>0.0</v>
      </c>
      <c r="I3268" s="3" t="s">
        <v>13</v>
      </c>
      <c r="J3268" s="3" t="s">
        <v>9540</v>
      </c>
      <c r="K3268" s="3" t="s">
        <v>725</v>
      </c>
      <c r="L3268" s="3" t="str">
        <f>IFERROR(__xludf.DUMMYFUNCTION("GOOGLETRANSLATE(F3268,""id"",""en"")"),"Around the excitement of the final resistance of the Qatar World Cup Lepak Final Match FIFA World Cup Program Advised and Located Tasik Taman Insight in Bandar Puchong YBHG Dato Johary Bin Anuar")</f>
        <v>Around the excitement of the final resistance of the Qatar World Cup Lepak Final Match FIFA World Cup Program Advised and Located Tasik Taman Insight in Bandar Puchong YBHG Dato Johary Bin Anuar</v>
      </c>
    </row>
    <row r="3269" ht="15.75" customHeight="1">
      <c r="A3269" s="1">
        <v>3285.0</v>
      </c>
      <c r="B3269" s="3" t="s">
        <v>9541</v>
      </c>
      <c r="C3269" s="3">
        <v>0.0</v>
      </c>
      <c r="D3269" s="3">
        <v>0.0</v>
      </c>
      <c r="E3269" s="3">
        <v>0.0</v>
      </c>
      <c r="F3269" s="3" t="s">
        <v>9542</v>
      </c>
      <c r="G3269" s="3">
        <v>1.0</v>
      </c>
      <c r="H3269" s="3">
        <v>0.0</v>
      </c>
      <c r="I3269" s="3" t="s">
        <v>13</v>
      </c>
      <c r="J3269" s="3" t="s">
        <v>9543</v>
      </c>
      <c r="K3269" s="3" t="s">
        <v>644</v>
      </c>
      <c r="L3269" s="3" t="str">
        <f>IFERROR(__xludf.DUMMYFUNCTION("GOOGLETRANSLATE(F3269,""id"",""en"")"),"World Cup Final Ritual")</f>
        <v>World Cup Final Ritual</v>
      </c>
    </row>
    <row r="3270" ht="15.75" customHeight="1">
      <c r="A3270" s="1">
        <v>3286.0</v>
      </c>
      <c r="B3270" s="3" t="s">
        <v>9544</v>
      </c>
      <c r="C3270" s="3">
        <v>1.0</v>
      </c>
      <c r="D3270" s="3">
        <v>0.0</v>
      </c>
      <c r="E3270" s="3">
        <v>0.0</v>
      </c>
      <c r="F3270" s="3" t="s">
        <v>9545</v>
      </c>
      <c r="G3270" s="3">
        <v>1.0</v>
      </c>
      <c r="H3270" s="3">
        <v>0.0</v>
      </c>
      <c r="I3270" s="3" t="s">
        <v>13</v>
      </c>
      <c r="J3270" s="3" t="s">
        <v>9546</v>
      </c>
      <c r="K3270" s="3" t="s">
        <v>184</v>
      </c>
      <c r="L3270" s="3" t="str">
        <f>IFERROR(__xludf.DUMMYFUNCTION("GOOGLETRANSLATE(F3270,""id"",""en"")"),"And of course the netijen has worked on the theory of the Final World Cup Final Conspiracy as long as you know France accused the conspiracy of Korean players silently given doping during the pilduun")</f>
        <v>And of course the netijen has worked on the theory of the Final World Cup Final Conspiracy as long as you know France accused the conspiracy of Korean players silently given doping during the pilduun</v>
      </c>
    </row>
    <row r="3271" ht="15.75" customHeight="1">
      <c r="A3271" s="1">
        <v>3287.0</v>
      </c>
      <c r="B3271" s="3" t="s">
        <v>9547</v>
      </c>
      <c r="C3271" s="3">
        <v>0.0</v>
      </c>
      <c r="D3271" s="3">
        <v>0.0</v>
      </c>
      <c r="E3271" s="3">
        <v>0.0</v>
      </c>
      <c r="F3271" s="3" t="s">
        <v>9548</v>
      </c>
      <c r="G3271" s="3">
        <v>1.0</v>
      </c>
      <c r="H3271" s="3">
        <v>0.0</v>
      </c>
      <c r="I3271" s="3" t="s">
        <v>13</v>
      </c>
      <c r="J3271" s="3" t="s">
        <v>9549</v>
      </c>
      <c r="K3271" s="3" t="s">
        <v>75</v>
      </c>
      <c r="L3271" s="3" t="str">
        <f>IFERROR(__xludf.DUMMYFUNCTION("GOOGLETRANSLATE(F3271,""id"",""en"")"),"The French Argentine World Cup Final first half Tango Team is superior")</f>
        <v>The French Argentine World Cup Final first half Tango Team is superior</v>
      </c>
    </row>
    <row r="3272" ht="15.75" customHeight="1">
      <c r="A3272" s="1">
        <v>3288.0</v>
      </c>
      <c r="B3272" s="3" t="s">
        <v>9550</v>
      </c>
      <c r="C3272" s="3">
        <v>0.0</v>
      </c>
      <c r="D3272" s="3">
        <v>0.0</v>
      </c>
      <c r="E3272" s="3">
        <v>0.0</v>
      </c>
      <c r="F3272" s="3" t="s">
        <v>9551</v>
      </c>
      <c r="G3272" s="3">
        <v>0.75</v>
      </c>
      <c r="H3272" s="3">
        <v>0.06818181818181818</v>
      </c>
      <c r="I3272" s="3" t="s">
        <v>48</v>
      </c>
      <c r="J3272" s="3" t="s">
        <v>9552</v>
      </c>
      <c r="K3272" s="3" t="s">
        <v>358</v>
      </c>
      <c r="L3272" s="3" t="str">
        <f>IFERROR(__xludf.DUMMYFUNCTION("GOOGLETRANSLATE(F3272,""id"",""en"")"),"The beginning of the second half of France tried to dominate Argentina France Link Live Streaming Argentina France tonight WIB World Cup Final")</f>
        <v>The beginning of the second half of France tried to dominate Argentina France Link Live Streaming Argentina France tonight WIB World Cup Final</v>
      </c>
    </row>
    <row r="3273" ht="15.75" customHeight="1">
      <c r="A3273" s="1">
        <v>3289.0</v>
      </c>
      <c r="B3273" s="3" t="s">
        <v>9553</v>
      </c>
      <c r="C3273" s="3">
        <v>0.0</v>
      </c>
      <c r="D3273" s="3">
        <v>0.0</v>
      </c>
      <c r="E3273" s="3">
        <v>0.0</v>
      </c>
      <c r="F3273" s="3" t="s">
        <v>9554</v>
      </c>
      <c r="G3273" s="3">
        <v>1.0</v>
      </c>
      <c r="H3273" s="3">
        <v>0.0</v>
      </c>
      <c r="I3273" s="3" t="s">
        <v>13</v>
      </c>
      <c r="J3273" s="3" t="s">
        <v>9555</v>
      </c>
      <c r="K3273" s="3" t="s">
        <v>71</v>
      </c>
      <c r="L3273" s="3" t="str">
        <f>IFERROR(__xludf.DUMMYFUNCTION("GOOGLETRANSLATE(F3273,""id"",""en"")"),"Taufan Pawe and Regent Andi Utta Nobar Final World Cup Central Market Bulukumba Read News")</f>
        <v>Taufan Pawe and Regent Andi Utta Nobar Final World Cup Central Market Bulukumba Read News</v>
      </c>
    </row>
    <row r="3274" ht="15.75" customHeight="1">
      <c r="A3274" s="1">
        <v>3290.0</v>
      </c>
      <c r="B3274" s="3" t="s">
        <v>9556</v>
      </c>
      <c r="C3274" s="3">
        <v>0.0</v>
      </c>
      <c r="D3274" s="3">
        <v>0.0</v>
      </c>
      <c r="E3274" s="3">
        <v>0.0</v>
      </c>
      <c r="F3274" s="3" t="s">
        <v>9557</v>
      </c>
      <c r="G3274" s="3">
        <v>1.0</v>
      </c>
      <c r="H3274" s="3">
        <v>0.0</v>
      </c>
      <c r="I3274" s="3" t="s">
        <v>13</v>
      </c>
      <c r="J3274" s="3" t="s">
        <v>9558</v>
      </c>
      <c r="K3274" s="3" t="s">
        <v>82</v>
      </c>
      <c r="L3274" s="3" t="str">
        <f>IFERROR(__xludf.DUMMYFUNCTION("GOOGLETRANSLATE(F3274,""id"",""en"")"),"This is once a problem, why should it be fitting the World Cup Final")</f>
        <v>This is once a problem, why should it be fitting the World Cup Final</v>
      </c>
    </row>
    <row r="3275" ht="15.75" customHeight="1">
      <c r="A3275" s="1">
        <v>3291.0</v>
      </c>
      <c r="B3275" s="3" t="s">
        <v>9559</v>
      </c>
      <c r="C3275" s="3">
        <v>0.0</v>
      </c>
      <c r="D3275" s="3">
        <v>0.0</v>
      </c>
      <c r="E3275" s="3">
        <v>0.0</v>
      </c>
      <c r="F3275" s="3" t="s">
        <v>9560</v>
      </c>
      <c r="G3275" s="3">
        <v>1.0</v>
      </c>
      <c r="H3275" s="3">
        <v>0.0</v>
      </c>
      <c r="I3275" s="3" t="s">
        <v>13</v>
      </c>
      <c r="J3275" s="3" t="s">
        <v>9561</v>
      </c>
      <c r="K3275" s="3" t="s">
        <v>699</v>
      </c>
      <c r="L3275" s="3" t="str">
        <f>IFERROR(__xludf.DUMMYFUNCTION("GOOGLETRANSLATE(F3275,""id"",""en"")"),"waiting for the thief update tonight while dazed, don't be dazed, you watched the world cup final, I otw updated yaaa")</f>
        <v>waiting for the thief update tonight while dazed, don't be dazed, you watched the world cup final, I otw updated yaaa</v>
      </c>
    </row>
    <row r="3276" ht="15.75" customHeight="1">
      <c r="A3276" s="1">
        <v>3292.0</v>
      </c>
      <c r="B3276" s="3" t="s">
        <v>9562</v>
      </c>
      <c r="C3276" s="3">
        <v>0.0</v>
      </c>
      <c r="D3276" s="3">
        <v>0.0</v>
      </c>
      <c r="E3276" s="3">
        <v>0.0</v>
      </c>
      <c r="F3276" s="3" t="s">
        <v>9563</v>
      </c>
      <c r="G3276" s="3">
        <v>1.0</v>
      </c>
      <c r="H3276" s="3">
        <v>0.0</v>
      </c>
      <c r="I3276" s="3" t="s">
        <v>13</v>
      </c>
      <c r="J3276" s="3" t="s">
        <v>9564</v>
      </c>
      <c r="K3276" s="3" t="s">
        <v>75</v>
      </c>
      <c r="L3276" s="3" t="str">
        <f>IFERROR(__xludf.DUMMYFUNCTION("GOOGLETRANSLATE(F3276,""id"",""en"")"),"The first half of the Qatar World Cup final Argentina was superior to France")</f>
        <v>The first half of the Qatar World Cup final Argentina was superior to France</v>
      </c>
    </row>
    <row r="3277" ht="15.75" customHeight="1">
      <c r="A3277" s="1">
        <v>3293.0</v>
      </c>
      <c r="B3277" s="3" t="s">
        <v>9565</v>
      </c>
      <c r="C3277" s="3">
        <v>1.0</v>
      </c>
      <c r="D3277" s="3">
        <v>1.0</v>
      </c>
      <c r="E3277" s="3">
        <v>4.0</v>
      </c>
      <c r="F3277" s="3" t="s">
        <v>9566</v>
      </c>
      <c r="G3277" s="3">
        <v>1.0</v>
      </c>
      <c r="H3277" s="3">
        <v>0.0</v>
      </c>
      <c r="I3277" s="3" t="s">
        <v>13</v>
      </c>
      <c r="J3277" s="3" t="s">
        <v>9567</v>
      </c>
      <c r="K3277" s="3" t="s">
        <v>50</v>
      </c>
      <c r="L3277" s="3" t="str">
        <f>IFERROR(__xludf.DUMMYFUNCTION("GOOGLETRANSLATE(F3277,""id"",""en"")"),"if this mlm is quiet, besides the World Cup final holiday, the men will focus on seeing the ball")</f>
        <v>if this mlm is quiet, besides the World Cup final holiday, the men will focus on seeing the ball</v>
      </c>
    </row>
    <row r="3278" ht="15.75" customHeight="1">
      <c r="A3278" s="1">
        <v>3294.0</v>
      </c>
      <c r="B3278" s="3" t="s">
        <v>9568</v>
      </c>
      <c r="C3278" s="3">
        <v>1.0</v>
      </c>
      <c r="D3278" s="3">
        <v>0.0</v>
      </c>
      <c r="E3278" s="3">
        <v>1.0</v>
      </c>
      <c r="F3278" s="3" t="s">
        <v>9569</v>
      </c>
      <c r="G3278" s="3">
        <v>1.0</v>
      </c>
      <c r="H3278" s="3">
        <v>0.0</v>
      </c>
      <c r="I3278" s="3" t="s">
        <v>13</v>
      </c>
      <c r="J3278" s="3" t="s">
        <v>9570</v>
      </c>
      <c r="K3278" s="3" t="s">
        <v>348</v>
      </c>
      <c r="L3278" s="3" t="str">
        <f>IFERROR(__xludf.DUMMYFUNCTION("GOOGLETRANSLATE(F3278,""id"",""en"")"),"Argentina is ahead")</f>
        <v>Argentina is ahead</v>
      </c>
    </row>
    <row r="3279" ht="15.75" customHeight="1">
      <c r="A3279" s="1">
        <v>3295.0</v>
      </c>
      <c r="B3279" s="3" t="s">
        <v>9571</v>
      </c>
      <c r="C3279" s="3">
        <v>1.0</v>
      </c>
      <c r="D3279" s="3">
        <v>0.0</v>
      </c>
      <c r="E3279" s="3">
        <v>14.0</v>
      </c>
      <c r="F3279" s="3" t="s">
        <v>9569</v>
      </c>
      <c r="G3279" s="3">
        <v>1.0</v>
      </c>
      <c r="H3279" s="3">
        <v>0.0</v>
      </c>
      <c r="I3279" s="3" t="s">
        <v>13</v>
      </c>
      <c r="J3279" s="3" t="s">
        <v>9570</v>
      </c>
      <c r="K3279" s="3" t="s">
        <v>348</v>
      </c>
      <c r="L3279" s="3" t="str">
        <f>IFERROR(__xludf.DUMMYFUNCTION("GOOGLETRANSLATE(F3279,""id"",""en"")"),"Argentina is ahead")</f>
        <v>Argentina is ahead</v>
      </c>
    </row>
    <row r="3280" ht="15.75" customHeight="1">
      <c r="A3280" s="1">
        <v>3296.0</v>
      </c>
      <c r="B3280" s="3" t="s">
        <v>9572</v>
      </c>
      <c r="C3280" s="3">
        <v>0.0</v>
      </c>
      <c r="D3280" s="3">
        <v>0.0</v>
      </c>
      <c r="E3280" s="3">
        <v>0.0</v>
      </c>
      <c r="F3280" s="3" t="s">
        <v>9573</v>
      </c>
      <c r="G3280" s="3">
        <v>0.6</v>
      </c>
      <c r="H3280" s="3">
        <v>-0.05</v>
      </c>
      <c r="I3280" s="3" t="s">
        <v>179</v>
      </c>
      <c r="J3280" s="3" t="s">
        <v>9574</v>
      </c>
      <c r="K3280" s="3" t="s">
        <v>82</v>
      </c>
      <c r="L3280" s="3" t="str">
        <f>IFERROR(__xludf.DUMMYFUNCTION("GOOGLETRANSLATE(F3280,""id"",""en"")"),"Only losers say the World Cup final is a mental setting of tempeeeee")</f>
        <v>Only losers say the World Cup final is a mental setting of tempeeeee</v>
      </c>
    </row>
    <row r="3281" ht="15.75" customHeight="1">
      <c r="A3281" s="1">
        <v>3297.0</v>
      </c>
      <c r="B3281" s="3" t="s">
        <v>9575</v>
      </c>
      <c r="C3281" s="3">
        <v>0.0</v>
      </c>
      <c r="D3281" s="3">
        <v>0.0</v>
      </c>
      <c r="E3281" s="3">
        <v>0.0</v>
      </c>
      <c r="F3281" s="3" t="s">
        <v>9576</v>
      </c>
      <c r="G3281" s="3">
        <v>0.75</v>
      </c>
      <c r="H3281" s="3">
        <v>0.06818181818181818</v>
      </c>
      <c r="I3281" s="3" t="s">
        <v>48</v>
      </c>
      <c r="J3281" s="3" t="s">
        <v>9577</v>
      </c>
      <c r="K3281" s="3" t="s">
        <v>50</v>
      </c>
      <c r="L3281" s="3" t="str">
        <f>IFERROR(__xludf.DUMMYFUNCTION("GOOGLETRANSLATE(F3281,""id"",""en"")"),"The Argentina World Cup Live Live Final is taking place for France")</f>
        <v>The Argentina World Cup Live Live Final is taking place for France</v>
      </c>
    </row>
    <row r="3282" ht="15.75" customHeight="1">
      <c r="A3282" s="1">
        <v>3298.0</v>
      </c>
      <c r="B3282" s="3" t="s">
        <v>9578</v>
      </c>
      <c r="C3282" s="3">
        <v>0.0</v>
      </c>
      <c r="D3282" s="3">
        <v>0.0</v>
      </c>
      <c r="E3282" s="3">
        <v>0.0</v>
      </c>
      <c r="F3282" s="3" t="s">
        <v>9579</v>
      </c>
      <c r="G3282" s="3">
        <v>1.0</v>
      </c>
      <c r="H3282" s="3">
        <v>0.0</v>
      </c>
      <c r="I3282" s="3" t="s">
        <v>13</v>
      </c>
      <c r="J3282" s="3" t="s">
        <v>9580</v>
      </c>
      <c r="K3282" s="3" t="s">
        <v>71</v>
      </c>
      <c r="L3282" s="3" t="str">
        <f>IFERROR(__xludf.DUMMYFUNCTION("GOOGLETRANSLATE(F3282,""id"",""en"")"),"Argentina to Semantara ahead of France Final World Cup Lionel Messi Mastering the First First Path")</f>
        <v>Argentina to Semantara ahead of France Final World Cup Lionel Messi Mastering the First First Path</v>
      </c>
    </row>
    <row r="3283" ht="15.75" customHeight="1">
      <c r="A3283" s="1">
        <v>3299.0</v>
      </c>
      <c r="B3283" s="3" t="s">
        <v>9581</v>
      </c>
      <c r="C3283" s="3">
        <v>0.0</v>
      </c>
      <c r="D3283" s="3">
        <v>0.0</v>
      </c>
      <c r="E3283" s="3">
        <v>0.0</v>
      </c>
      <c r="F3283" s="3" t="s">
        <v>9582</v>
      </c>
      <c r="G3283" s="3">
        <v>1.0</v>
      </c>
      <c r="H3283" s="3">
        <v>0.0</v>
      </c>
      <c r="I3283" s="3" t="s">
        <v>13</v>
      </c>
      <c r="J3283" s="3" t="s">
        <v>9583</v>
      </c>
      <c r="K3283" s="3" t="s">
        <v>35</v>
      </c>
      <c r="L3283" s="3" t="str">
        <f>IFERROR(__xludf.DUMMYFUNCTION("GOOGLETRANSLATE(F3283,""id"",""en"")"),"Dick comedy and buy a World Cup package, even told to buy again, I can't see the final")</f>
        <v>Dick comedy and buy a World Cup package, even told to buy again, I can't see the final</v>
      </c>
    </row>
    <row r="3284" ht="15.75" customHeight="1">
      <c r="A3284" s="1">
        <v>3300.0</v>
      </c>
      <c r="B3284" s="3" t="s">
        <v>9584</v>
      </c>
      <c r="C3284" s="3">
        <v>0.0</v>
      </c>
      <c r="D3284" s="3">
        <v>0.0</v>
      </c>
      <c r="E3284" s="3">
        <v>0.0</v>
      </c>
      <c r="F3284" s="3" t="s">
        <v>9585</v>
      </c>
      <c r="G3284" s="3">
        <v>0.75</v>
      </c>
      <c r="H3284" s="3">
        <v>0.06818181818181818</v>
      </c>
      <c r="I3284" s="3" t="s">
        <v>48</v>
      </c>
      <c r="J3284" s="3" t="s">
        <v>9586</v>
      </c>
      <c r="K3284" s="3" t="s">
        <v>19</v>
      </c>
      <c r="L3284" s="3" t="str">
        <f>IFERROR(__xludf.DUMMYFUNCTION("GOOGLETRANSLATE(F3284,""id"",""en"")"),"LIVE LIVE STREAMING Argentina French Final World Cup Round there will be a return resistance")</f>
        <v>LIVE LIVE STREAMING Argentina French Final World Cup Round there will be a return resistance</v>
      </c>
    </row>
    <row r="3285" ht="15.75" customHeight="1">
      <c r="A3285" s="1">
        <v>3301.0</v>
      </c>
      <c r="B3285" s="3" t="s">
        <v>9587</v>
      </c>
      <c r="C3285" s="3">
        <v>0.0</v>
      </c>
      <c r="D3285" s="3">
        <v>0.0</v>
      </c>
      <c r="E3285" s="3">
        <v>0.0</v>
      </c>
      <c r="F3285" s="3" t="s">
        <v>9060</v>
      </c>
      <c r="G3285" s="3">
        <v>1.0</v>
      </c>
      <c r="H3285" s="3">
        <v>0.0</v>
      </c>
      <c r="I3285" s="3" t="s">
        <v>13</v>
      </c>
      <c r="J3285" s="3" t="s">
        <v>9061</v>
      </c>
      <c r="K3285" s="3" t="s">
        <v>82</v>
      </c>
      <c r="L3285" s="3" t="str">
        <f>IFERROR(__xludf.DUMMYFUNCTION("GOOGLETRANSLATE(F3285,""id"",""en"")"),"Argentine World Cup Final Temporarily Excellent over France")</f>
        <v>Argentine World Cup Final Temporarily Excellent over France</v>
      </c>
    </row>
    <row r="3286" ht="15.75" customHeight="1">
      <c r="A3286" s="1">
        <v>3302.0</v>
      </c>
      <c r="B3286" s="3" t="s">
        <v>9588</v>
      </c>
      <c r="C3286" s="3">
        <v>0.0</v>
      </c>
      <c r="D3286" s="3">
        <v>0.0</v>
      </c>
      <c r="E3286" s="3">
        <v>0.0</v>
      </c>
      <c r="F3286" s="3" t="s">
        <v>9344</v>
      </c>
      <c r="G3286" s="3">
        <v>1.0</v>
      </c>
      <c r="H3286" s="3">
        <v>0.0</v>
      </c>
      <c r="I3286" s="3" t="s">
        <v>13</v>
      </c>
      <c r="J3286" s="3" t="s">
        <v>3957</v>
      </c>
      <c r="K3286" s="3" t="s">
        <v>31</v>
      </c>
      <c r="L3286" s="3" t="str">
        <f>IFERROR(__xludf.DUMMYFUNCTION("GOOGLETRANSLATE(F3286,""id"",""en"")"),"French Argentine World Cup Final")</f>
        <v>French Argentine World Cup Final</v>
      </c>
    </row>
    <row r="3287" ht="15.75" customHeight="1">
      <c r="A3287" s="1">
        <v>3303.0</v>
      </c>
      <c r="B3287" s="3" t="s">
        <v>9589</v>
      </c>
      <c r="C3287" s="3">
        <v>0.0</v>
      </c>
      <c r="D3287" s="3">
        <v>0.0</v>
      </c>
      <c r="E3287" s="3">
        <v>0.0</v>
      </c>
      <c r="F3287" s="3" t="s">
        <v>9590</v>
      </c>
      <c r="G3287" s="3">
        <v>1.0</v>
      </c>
      <c r="H3287" s="3">
        <v>0.0</v>
      </c>
      <c r="I3287" s="3" t="s">
        <v>13</v>
      </c>
      <c r="J3287" s="3" t="s">
        <v>9591</v>
      </c>
      <c r="K3287" s="3" t="s">
        <v>82</v>
      </c>
      <c r="L3287" s="3" t="str">
        <f>IFERROR(__xludf.DUMMYFUNCTION("GOOGLETRANSLATE(F3287,""id"",""en"")"),"Yosin Application Watching Final World Cup Free")</f>
        <v>Yosin Application Watching Final World Cup Free</v>
      </c>
    </row>
    <row r="3288" ht="15.75" customHeight="1">
      <c r="A3288" s="1">
        <v>3304.0</v>
      </c>
      <c r="B3288" s="3" t="s">
        <v>9592</v>
      </c>
      <c r="C3288" s="3">
        <v>0.0</v>
      </c>
      <c r="D3288" s="3">
        <v>0.0</v>
      </c>
      <c r="E3288" s="3">
        <v>1.0</v>
      </c>
      <c r="F3288" s="3" t="s">
        <v>3005</v>
      </c>
      <c r="G3288" s="3">
        <v>1.0</v>
      </c>
      <c r="H3288" s="3">
        <v>0.0</v>
      </c>
      <c r="I3288" s="3" t="s">
        <v>13</v>
      </c>
      <c r="J3288" s="3" t="s">
        <v>3006</v>
      </c>
      <c r="K3288" s="3" t="s">
        <v>510</v>
      </c>
      <c r="L3288" s="3" t="str">
        <f>IFERROR(__xludf.DUMMYFUNCTION("GOOGLETRANSLATE(F3288,""id"",""en"")"),"The results of the French Argentine World Cup final round Messi scored the Tango Team superior goal")</f>
        <v>The results of the French Argentine World Cup final round Messi scored the Tango Team superior goal</v>
      </c>
    </row>
    <row r="3289" ht="15.75" customHeight="1">
      <c r="A3289" s="1">
        <v>3305.0</v>
      </c>
      <c r="B3289" s="3" t="s">
        <v>9593</v>
      </c>
      <c r="C3289" s="3">
        <v>0.0</v>
      </c>
      <c r="D3289" s="3">
        <v>0.0</v>
      </c>
      <c r="E3289" s="3">
        <v>0.0</v>
      </c>
      <c r="F3289" s="3" t="s">
        <v>9594</v>
      </c>
      <c r="G3289" s="3">
        <v>1.0</v>
      </c>
      <c r="H3289" s="3">
        <v>0.0</v>
      </c>
      <c r="I3289" s="3" t="s">
        <v>13</v>
      </c>
      <c r="J3289" s="3" t="s">
        <v>9595</v>
      </c>
      <c r="K3289" s="3" t="s">
        <v>31</v>
      </c>
      <c r="L3289" s="3" t="str">
        <f>IFERROR(__xludf.DUMMYFUNCTION("GOOGLETRANSLATE(F3289,""id"",""en"")"),"Wait for the World Cup Final Info")</f>
        <v>Wait for the World Cup Final Info</v>
      </c>
    </row>
    <row r="3290" ht="15.75" customHeight="1">
      <c r="A3290" s="1">
        <v>3306.0</v>
      </c>
      <c r="B3290" s="3" t="s">
        <v>9596</v>
      </c>
      <c r="C3290" s="3">
        <v>1.0</v>
      </c>
      <c r="D3290" s="3">
        <v>0.0</v>
      </c>
      <c r="E3290" s="3">
        <v>0.0</v>
      </c>
      <c r="F3290" s="3" t="s">
        <v>9597</v>
      </c>
      <c r="G3290" s="3">
        <v>1.0</v>
      </c>
      <c r="H3290" s="3">
        <v>0.0</v>
      </c>
      <c r="I3290" s="3" t="s">
        <v>13</v>
      </c>
      <c r="J3290" s="3" t="s">
        <v>9598</v>
      </c>
      <c r="K3290" s="3" t="s">
        <v>484</v>
      </c>
      <c r="L3290" s="3" t="str">
        <f>IFERROR(__xludf.DUMMYFUNCTION("GOOGLETRANSLATE(F3290,""id"",""en"")"),"even though back in the afternoon dises, continue to watch the world cup final even though tomorrow is in the morning dines")</f>
        <v>even though back in the afternoon dises, continue to watch the world cup final even though tomorrow is in the morning dines</v>
      </c>
    </row>
    <row r="3291" ht="15.75" customHeight="1">
      <c r="A3291" s="1">
        <v>3307.0</v>
      </c>
      <c r="B3291" s="3" t="s">
        <v>9599</v>
      </c>
      <c r="C3291" s="3">
        <v>0.0</v>
      </c>
      <c r="D3291" s="3">
        <v>0.0</v>
      </c>
      <c r="E3291" s="3">
        <v>0.0</v>
      </c>
      <c r="F3291" s="3" t="s">
        <v>9600</v>
      </c>
      <c r="G3291" s="3">
        <v>1.0</v>
      </c>
      <c r="H3291" s="3">
        <v>0.0</v>
      </c>
      <c r="I3291" s="3" t="s">
        <v>13</v>
      </c>
      <c r="J3291" s="3" t="s">
        <v>9601</v>
      </c>
      <c r="K3291" s="3" t="s">
        <v>41</v>
      </c>
      <c r="L3291" s="3" t="str">
        <f>IFERROR(__xludf.DUMMYFUNCTION("GOOGLETRANSLATE(F3291,""id"",""en"")"),"Already prepared a lot of snacks not very exciting this is the world cup final")</f>
        <v>Already prepared a lot of snacks not very exciting this is the world cup final</v>
      </c>
    </row>
    <row r="3292" ht="15.75" customHeight="1">
      <c r="A3292" s="1">
        <v>3308.0</v>
      </c>
      <c r="B3292" s="3" t="s">
        <v>9602</v>
      </c>
      <c r="C3292" s="3">
        <v>0.0</v>
      </c>
      <c r="D3292" s="3">
        <v>0.0</v>
      </c>
      <c r="E3292" s="3">
        <v>0.0</v>
      </c>
      <c r="F3292" s="3" t="s">
        <v>9603</v>
      </c>
      <c r="G3292" s="3">
        <v>1.0</v>
      </c>
      <c r="H3292" s="3">
        <v>0.0</v>
      </c>
      <c r="I3292" s="3" t="s">
        <v>13</v>
      </c>
      <c r="J3292" s="3" t="s">
        <v>9604</v>
      </c>
      <c r="K3292" s="3" t="s">
        <v>510</v>
      </c>
      <c r="L3292" s="3" t="str">
        <f>IFERROR(__xludf.DUMMYFUNCTION("GOOGLETRANSLATE(F3292,""id"",""en"")"),"floating to watch the World Cup final instead Jonk better to buy the milk of Paraiaah children")</f>
        <v>floating to watch the World Cup final instead Jonk better to buy the milk of Paraiaah children</v>
      </c>
    </row>
    <row r="3293" ht="15.75" customHeight="1">
      <c r="A3293" s="1">
        <v>3309.0</v>
      </c>
      <c r="B3293" s="3" t="s">
        <v>9605</v>
      </c>
      <c r="C3293" s="3">
        <v>0.0</v>
      </c>
      <c r="D3293" s="3">
        <v>0.0</v>
      </c>
      <c r="E3293" s="3">
        <v>0.0</v>
      </c>
      <c r="F3293" s="3" t="s">
        <v>9606</v>
      </c>
      <c r="G3293" s="3">
        <v>0.75</v>
      </c>
      <c r="H3293" s="3">
        <v>0.06818181818181818</v>
      </c>
      <c r="I3293" s="3" t="s">
        <v>48</v>
      </c>
      <c r="J3293" s="3" t="s">
        <v>9607</v>
      </c>
      <c r="K3293" s="3" t="s">
        <v>437</v>
      </c>
      <c r="L3293" s="3" t="str">
        <f>IFERROR(__xludf.DUMMYFUNCTION("GOOGLETRANSLATE(F3293,""id"",""en"")"),"Kick off second half of Argentina France Link LIVE LIVE STREAMING Argentina France tonight WIB World Cup Final")</f>
        <v>Kick off second half of Argentina France Link LIVE LIVE STREAMING Argentina France tonight WIB World Cup Final</v>
      </c>
    </row>
    <row r="3294" ht="15.75" customHeight="1">
      <c r="A3294" s="1">
        <v>3310.0</v>
      </c>
      <c r="B3294" s="3" t="s">
        <v>9608</v>
      </c>
      <c r="C3294" s="3">
        <v>0.0</v>
      </c>
      <c r="D3294" s="3">
        <v>0.0</v>
      </c>
      <c r="E3294" s="3">
        <v>0.0</v>
      </c>
      <c r="F3294" s="3" t="s">
        <v>9609</v>
      </c>
      <c r="G3294" s="3">
        <v>1.0</v>
      </c>
      <c r="H3294" s="3">
        <v>0.0</v>
      </c>
      <c r="I3294" s="3" t="s">
        <v>13</v>
      </c>
      <c r="J3294" s="3" t="s">
        <v>9610</v>
      </c>
      <c r="K3294" s="3" t="s">
        <v>15</v>
      </c>
      <c r="L3294" s="3" t="str">
        <f>IFERROR(__xludf.DUMMYFUNCTION("GOOGLETRANSLATE(F3294,""id"",""en"")"),"The first half of the Argentine World Cup final uploaded France")</f>
        <v>The first half of the Argentine World Cup final uploaded France</v>
      </c>
    </row>
    <row r="3295" ht="15.75" customHeight="1">
      <c r="A3295" s="1">
        <v>3311.0</v>
      </c>
      <c r="B3295" s="3" t="s">
        <v>9611</v>
      </c>
      <c r="C3295" s="3">
        <v>0.0</v>
      </c>
      <c r="D3295" s="3">
        <v>0.0</v>
      </c>
      <c r="E3295" s="3">
        <v>0.0</v>
      </c>
      <c r="F3295" s="3" t="s">
        <v>9579</v>
      </c>
      <c r="G3295" s="3">
        <v>1.0</v>
      </c>
      <c r="H3295" s="3">
        <v>0.0</v>
      </c>
      <c r="I3295" s="3" t="s">
        <v>13</v>
      </c>
      <c r="J3295" s="3" t="s">
        <v>9580</v>
      </c>
      <c r="K3295" s="3" t="s">
        <v>71</v>
      </c>
      <c r="L3295" s="3" t="str">
        <f>IFERROR(__xludf.DUMMYFUNCTION("GOOGLETRANSLATE(F3295,""id"",""en"")"),"Argentina to Semantara ahead of France Final World Cup Lionel Messi Mastering the First First Path")</f>
        <v>Argentina to Semantara ahead of France Final World Cup Lionel Messi Mastering the First First Path</v>
      </c>
    </row>
    <row r="3296" ht="15.75" customHeight="1">
      <c r="A3296" s="1">
        <v>3312.0</v>
      </c>
      <c r="B3296" s="3" t="s">
        <v>9612</v>
      </c>
      <c r="C3296" s="3">
        <v>0.0</v>
      </c>
      <c r="D3296" s="3">
        <v>0.0</v>
      </c>
      <c r="E3296" s="3">
        <v>0.0</v>
      </c>
      <c r="F3296" s="3" t="s">
        <v>9613</v>
      </c>
      <c r="G3296" s="3">
        <v>1.0</v>
      </c>
      <c r="H3296" s="3">
        <v>0.0</v>
      </c>
      <c r="I3296" s="3" t="s">
        <v>13</v>
      </c>
      <c r="J3296" s="3" t="s">
        <v>9614</v>
      </c>
      <c r="K3296" s="3" t="s">
        <v>15</v>
      </c>
      <c r="L3296" s="3" t="str">
        <f>IFERROR(__xludf.DUMMYFUNCTION("GOOGLETRANSLATE(F3296,""id"",""en"")"),"This is my nobar Final of the French Qatar World Cup")</f>
        <v>This is my nobar Final of the French Qatar World Cup</v>
      </c>
    </row>
    <row r="3297" ht="15.75" customHeight="1">
      <c r="A3297" s="1">
        <v>3313.0</v>
      </c>
      <c r="B3297" s="3" t="s">
        <v>9615</v>
      </c>
      <c r="C3297" s="3">
        <v>0.0</v>
      </c>
      <c r="D3297" s="3">
        <v>0.0</v>
      </c>
      <c r="E3297" s="3">
        <v>0.0</v>
      </c>
      <c r="F3297" s="3" t="s">
        <v>9606</v>
      </c>
      <c r="G3297" s="3">
        <v>0.75</v>
      </c>
      <c r="H3297" s="3">
        <v>0.06818181818181818</v>
      </c>
      <c r="I3297" s="3" t="s">
        <v>48</v>
      </c>
      <c r="J3297" s="3" t="s">
        <v>9607</v>
      </c>
      <c r="K3297" s="3" t="s">
        <v>437</v>
      </c>
      <c r="L3297" s="3" t="str">
        <f>IFERROR(__xludf.DUMMYFUNCTION("GOOGLETRANSLATE(F3297,""id"",""en"")"),"Kick off second half of Argentina France Link LIVE LIVE STREAMING Argentina France tonight WIB World Cup Final")</f>
        <v>Kick off second half of Argentina France Link LIVE LIVE STREAMING Argentina France tonight WIB World Cup Final</v>
      </c>
    </row>
    <row r="3298" ht="15.75" customHeight="1">
      <c r="A3298" s="1">
        <v>3314.0</v>
      </c>
      <c r="B3298" s="3" t="s">
        <v>9616</v>
      </c>
      <c r="C3298" s="3">
        <v>1.0</v>
      </c>
      <c r="D3298" s="3">
        <v>0.0</v>
      </c>
      <c r="E3298" s="3">
        <v>1.0</v>
      </c>
      <c r="F3298" s="3" t="s">
        <v>9617</v>
      </c>
      <c r="G3298" s="3">
        <v>1.0</v>
      </c>
      <c r="H3298" s="3">
        <v>0.0</v>
      </c>
      <c r="I3298" s="3" t="s">
        <v>13</v>
      </c>
      <c r="J3298" s="3" t="s">
        <v>9618</v>
      </c>
      <c r="K3298" s="3" t="s">
        <v>19</v>
      </c>
      <c r="L3298" s="3" t="str">
        <f>IFERROR(__xludf.DUMMYFUNCTION("GOOGLETRANSLATE(F3298,""id"",""en"")"),"Streaming the World Cup Final whose commentator uses Arabic so that when the goal follows takbirrrrr")</f>
        <v>Streaming the World Cup Final whose commentator uses Arabic so that when the goal follows takbirrrrr</v>
      </c>
    </row>
    <row r="3299" ht="15.75" customHeight="1">
      <c r="A3299" s="1">
        <v>3315.0</v>
      </c>
      <c r="B3299" s="3" t="s">
        <v>9619</v>
      </c>
      <c r="C3299" s="3">
        <v>1.0</v>
      </c>
      <c r="D3299" s="3">
        <v>0.0</v>
      </c>
      <c r="E3299" s="3">
        <v>0.0</v>
      </c>
      <c r="F3299" s="3" t="s">
        <v>9620</v>
      </c>
      <c r="G3299" s="3">
        <v>1.0</v>
      </c>
      <c r="H3299" s="3">
        <v>0.0</v>
      </c>
      <c r="I3299" s="3" t="s">
        <v>13</v>
      </c>
      <c r="J3299" s="3" t="s">
        <v>9621</v>
      </c>
      <c r="K3299" s="3" t="s">
        <v>433</v>
      </c>
      <c r="L3299" s="3" t="str">
        <f>IFERROR(__xludf.DUMMYFUNCTION("GOOGLETRANSLATE(F3299,""id"",""en"")"),"Even for the final class of the World Cup Final more exciting the Kelurahan Ball Final Match than France Argentina")</f>
        <v>Even for the final class of the World Cup Final more exciting the Kelurahan Ball Final Match than France Argentina</v>
      </c>
    </row>
    <row r="3300" ht="15.75" customHeight="1">
      <c r="A3300" s="1">
        <v>3316.0</v>
      </c>
      <c r="B3300" s="3" t="s">
        <v>9622</v>
      </c>
      <c r="C3300" s="3">
        <v>1.0</v>
      </c>
      <c r="D3300" s="3">
        <v>0.0</v>
      </c>
      <c r="E3300" s="3">
        <v>0.0</v>
      </c>
      <c r="F3300" s="3" t="s">
        <v>9623</v>
      </c>
      <c r="G3300" s="3">
        <v>1.0</v>
      </c>
      <c r="H3300" s="3">
        <v>0.0</v>
      </c>
      <c r="I3300" s="3" t="s">
        <v>13</v>
      </c>
      <c r="J3300" s="3" t="s">
        <v>9624</v>
      </c>
      <c r="K3300" s="3" t="s">
        <v>675</v>
      </c>
      <c r="L3300" s="3" t="str">
        <f>IFERROR(__xludf.DUMMYFUNCTION("GOOGLETRANSLATE(F3300,""id"",""en"")"),"Don't forget the other Argentine star Angel Maria, a classmate of Messi, brought Argentina to the Copa America champion and the World Cup and even Maria appeared as a hero by scoring the winning goal in the final two")</f>
        <v>Don't forget the other Argentine star Angel Maria, a classmate of Messi, brought Argentina to the Copa America champion and the World Cup and even Maria appeared as a hero by scoring the winning goal in the final two</v>
      </c>
    </row>
    <row r="3301" ht="15.75" customHeight="1">
      <c r="A3301" s="1">
        <v>3317.0</v>
      </c>
      <c r="B3301" s="3" t="s">
        <v>9625</v>
      </c>
      <c r="C3301" s="3">
        <v>2.0</v>
      </c>
      <c r="D3301" s="3">
        <v>0.0</v>
      </c>
      <c r="E3301" s="3">
        <v>1.0</v>
      </c>
      <c r="F3301" s="3" t="s">
        <v>9626</v>
      </c>
      <c r="G3301" s="3">
        <v>1.0</v>
      </c>
      <c r="H3301" s="3">
        <v>0.0</v>
      </c>
      <c r="I3301" s="3" t="s">
        <v>13</v>
      </c>
      <c r="J3301" s="3" t="s">
        <v>9627</v>
      </c>
      <c r="K3301" s="3" t="s">
        <v>82</v>
      </c>
      <c r="L3301" s="3" t="str">
        <f>IFERROR(__xludf.DUMMYFUNCTION("GOOGLETRANSLATE(F3301,""id"",""en"")"),"disappointing because the world cup finals should not be this picture")</f>
        <v>disappointing because the world cup finals should not be this picture</v>
      </c>
    </row>
    <row r="3302" ht="15.75" customHeight="1">
      <c r="A3302" s="1">
        <v>3318.0</v>
      </c>
      <c r="B3302" s="3" t="s">
        <v>9628</v>
      </c>
      <c r="C3302" s="3">
        <v>0.0</v>
      </c>
      <c r="D3302" s="3">
        <v>0.0</v>
      </c>
      <c r="E3302" s="3">
        <v>0.0</v>
      </c>
      <c r="F3302" s="3" t="s">
        <v>9629</v>
      </c>
      <c r="G3302" s="3">
        <v>1.0</v>
      </c>
      <c r="H3302" s="3">
        <v>0.0</v>
      </c>
      <c r="I3302" s="3" t="s">
        <v>13</v>
      </c>
      <c r="J3302" s="3" t="s">
        <v>9630</v>
      </c>
      <c r="K3302" s="3" t="s">
        <v>41</v>
      </c>
      <c r="L3302" s="3" t="str">
        <f>IFERROR(__xludf.DUMMYFUNCTION("GOOGLETRANSLATE(F3302,""id"",""en"")"),"share the excitement of the world cup's excitement")</f>
        <v>share the excitement of the world cup's excitement</v>
      </c>
    </row>
    <row r="3303" ht="15.75" customHeight="1">
      <c r="A3303" s="1">
        <v>3319.0</v>
      </c>
      <c r="B3303" s="3" t="s">
        <v>9631</v>
      </c>
      <c r="C3303" s="3">
        <v>0.0</v>
      </c>
      <c r="D3303" s="3">
        <v>0.0</v>
      </c>
      <c r="E3303" s="3">
        <v>0.0</v>
      </c>
      <c r="F3303" s="3" t="s">
        <v>9632</v>
      </c>
      <c r="G3303" s="3">
        <v>1.0</v>
      </c>
      <c r="H3303" s="3">
        <v>0.0</v>
      </c>
      <c r="I3303" s="3" t="s">
        <v>13</v>
      </c>
      <c r="J3303" s="3" t="s">
        <v>9633</v>
      </c>
      <c r="K3303" s="3" t="s">
        <v>15</v>
      </c>
      <c r="L3303" s="3" t="str">
        <f>IFERROR(__xludf.DUMMYFUNCTION("GOOGLETRANSLATE(F3303,""id"",""en"")"),"The last two World Cup finals have Juventus players who score goals")</f>
        <v>The last two World Cup finals have Juventus players who score goals</v>
      </c>
    </row>
    <row r="3304" ht="15.75" customHeight="1">
      <c r="A3304" s="1">
        <v>3320.0</v>
      </c>
      <c r="B3304" s="3" t="s">
        <v>9634</v>
      </c>
      <c r="C3304" s="3">
        <v>0.0</v>
      </c>
      <c r="D3304" s="3">
        <v>0.0</v>
      </c>
      <c r="E3304" s="3">
        <v>0.0</v>
      </c>
      <c r="F3304" s="3" t="s">
        <v>9635</v>
      </c>
      <c r="G3304" s="3">
        <v>0.75</v>
      </c>
      <c r="H3304" s="3">
        <v>0.06818181818181818</v>
      </c>
      <c r="I3304" s="3" t="s">
        <v>48</v>
      </c>
      <c r="J3304" s="3" t="s">
        <v>9636</v>
      </c>
      <c r="K3304" s="3" t="s">
        <v>123</v>
      </c>
      <c r="L3304" s="3" t="str">
        <f>IFERROR(__xludf.DUMMYFUNCTION("GOOGLETRANSLATE(F3304,""id"",""en"")"),"If you are looking for a link watching the French Argentine World Cup Live Final then you can find here")</f>
        <v>If you are looking for a link watching the French Argentine World Cup Live Final then you can find here</v>
      </c>
    </row>
    <row r="3305" ht="15.75" customHeight="1">
      <c r="A3305" s="1">
        <v>3321.0</v>
      </c>
      <c r="B3305" s="3" t="s">
        <v>9637</v>
      </c>
      <c r="C3305" s="3">
        <v>0.0</v>
      </c>
      <c r="D3305" s="3">
        <v>0.0</v>
      </c>
      <c r="E3305" s="3">
        <v>0.0</v>
      </c>
      <c r="F3305" s="3" t="s">
        <v>9638</v>
      </c>
      <c r="G3305" s="3">
        <v>1.0</v>
      </c>
      <c r="H3305" s="3">
        <v>0.0</v>
      </c>
      <c r="I3305" s="3" t="s">
        <v>13</v>
      </c>
      <c r="J3305" s="3" t="s">
        <v>9639</v>
      </c>
      <c r="K3305" s="3" t="s">
        <v>19</v>
      </c>
      <c r="L3305" s="3" t="str">
        <f>IFERROR(__xludf.DUMMYFUNCTION("GOOGLETRANSLATE(F3305,""id"",""en"")"),"Menfess Hedeh World Cup Final intention while reading the fact that the fact is even looking at the screen")</f>
        <v>Menfess Hedeh World Cup Final intention while reading the fact that the fact is even looking at the screen</v>
      </c>
    </row>
    <row r="3306" ht="15.75" customHeight="1">
      <c r="A3306" s="1">
        <v>3322.0</v>
      </c>
      <c r="B3306" s="3" t="s">
        <v>9640</v>
      </c>
      <c r="C3306" s="3">
        <v>1.0</v>
      </c>
      <c r="D3306" s="3">
        <v>0.0</v>
      </c>
      <c r="E3306" s="3">
        <v>0.0</v>
      </c>
      <c r="F3306" s="3" t="s">
        <v>9641</v>
      </c>
      <c r="G3306" s="3">
        <v>1.0</v>
      </c>
      <c r="H3306" s="3">
        <v>0.0</v>
      </c>
      <c r="I3306" s="3" t="s">
        <v>13</v>
      </c>
      <c r="J3306" s="3" t="s">
        <v>9642</v>
      </c>
      <c r="K3306" s="3" t="s">
        <v>15</v>
      </c>
      <c r="L3306" s="3" t="str">
        <f>IFERROR(__xludf.DUMMYFUNCTION("GOOGLETRANSLATE(F3306,""id"",""en"")"),"At what minute did the World Cup Final goal printed last night")</f>
        <v>At what minute did the World Cup Final goal printed last night</v>
      </c>
    </row>
    <row r="3307" ht="15.75" customHeight="1">
      <c r="A3307" s="1">
        <v>3323.0</v>
      </c>
      <c r="B3307" s="3" t="s">
        <v>9643</v>
      </c>
      <c r="C3307" s="3">
        <v>0.0</v>
      </c>
      <c r="D3307" s="3">
        <v>0.0</v>
      </c>
      <c r="E3307" s="3">
        <v>0.0</v>
      </c>
      <c r="F3307" s="3" t="s">
        <v>9644</v>
      </c>
      <c r="G3307" s="3">
        <v>0.75</v>
      </c>
      <c r="H3307" s="3">
        <v>0.06818181818181818</v>
      </c>
      <c r="I3307" s="3" t="s">
        <v>48</v>
      </c>
      <c r="J3307" s="3" t="s">
        <v>9645</v>
      </c>
      <c r="K3307" s="3" t="s">
        <v>15</v>
      </c>
      <c r="L3307" s="3" t="str">
        <f>IFERROR(__xludf.DUMMYFUNCTION("GOOGLETRANSLATE(F3307,""id"",""en"")"),"Live Final World Cup between Argentina France is ongoing")</f>
        <v>Live Final World Cup between Argentina France is ongoing</v>
      </c>
    </row>
    <row r="3308" ht="15.75" customHeight="1">
      <c r="A3308" s="1">
        <v>3324.0</v>
      </c>
      <c r="B3308" s="3" t="s">
        <v>9646</v>
      </c>
      <c r="C3308" s="3">
        <v>1.0</v>
      </c>
      <c r="D3308" s="3">
        <v>0.0</v>
      </c>
      <c r="E3308" s="3">
        <v>0.0</v>
      </c>
      <c r="F3308" s="3" t="s">
        <v>9647</v>
      </c>
      <c r="G3308" s="3">
        <v>0.6666666666666666</v>
      </c>
      <c r="H3308" s="3">
        <v>0.08333333333333333</v>
      </c>
      <c r="I3308" s="3" t="s">
        <v>48</v>
      </c>
      <c r="J3308" s="3" t="s">
        <v>9648</v>
      </c>
      <c r="K3308" s="3" t="s">
        <v>974</v>
      </c>
      <c r="L3308" s="3" t="str">
        <f>IFERROR(__xludf.DUMMYFUNCTION("GOOGLETRANSLATE(F3308,""id"",""en"")"),"Giroud has won Theo the first time playing the World Cup and advanced the final opponent who faces also Messi Theo of the future is still long tomorrow lifting the Cup with Maignan and Kalulu for now the time is to complete the last piece")</f>
        <v>Giroud has won Theo the first time playing the World Cup and advanced the final opponent who faces also Messi Theo of the future is still long tomorrow lifting the Cup with Maignan and Kalulu for now the time is to complete the last piece</v>
      </c>
    </row>
    <row r="3309" ht="15.75" customHeight="1">
      <c r="A3309" s="1">
        <v>3325.0</v>
      </c>
      <c r="B3309" s="3" t="s">
        <v>9649</v>
      </c>
      <c r="C3309" s="3">
        <v>0.0</v>
      </c>
      <c r="D3309" s="3">
        <v>0.0</v>
      </c>
      <c r="E3309" s="3">
        <v>0.0</v>
      </c>
      <c r="F3309" s="3" t="s">
        <v>9576</v>
      </c>
      <c r="G3309" s="3">
        <v>0.75</v>
      </c>
      <c r="H3309" s="3">
        <v>0.06818181818181818</v>
      </c>
      <c r="I3309" s="3" t="s">
        <v>48</v>
      </c>
      <c r="J3309" s="3" t="s">
        <v>9577</v>
      </c>
      <c r="K3309" s="3" t="s">
        <v>50</v>
      </c>
      <c r="L3309" s="3" t="str">
        <f>IFERROR(__xludf.DUMMYFUNCTION("GOOGLETRANSLATE(F3309,""id"",""en"")"),"The Argentina World Cup Live Live Final is taking place for France")</f>
        <v>The Argentina World Cup Live Live Final is taking place for France</v>
      </c>
    </row>
    <row r="3310" ht="15.75" customHeight="1">
      <c r="A3310" s="1">
        <v>3326.0</v>
      </c>
      <c r="B3310" s="3" t="s">
        <v>9650</v>
      </c>
      <c r="C3310" s="3">
        <v>0.0</v>
      </c>
      <c r="D3310" s="3">
        <v>0.0</v>
      </c>
      <c r="E3310" s="3">
        <v>0.0</v>
      </c>
      <c r="F3310" s="3" t="s">
        <v>9651</v>
      </c>
      <c r="G3310" s="3">
        <v>0.8333333333333334</v>
      </c>
      <c r="H3310" s="3">
        <v>0.1666666666666667</v>
      </c>
      <c r="I3310" s="3" t="s">
        <v>48</v>
      </c>
      <c r="J3310" s="3" t="s">
        <v>9652</v>
      </c>
      <c r="K3310" s="3" t="s">
        <v>426</v>
      </c>
      <c r="L3310" s="3" t="str">
        <f>IFERROR(__xludf.DUMMYFUNCTION("GOOGLETRANSLATE(F3310,""id"",""en"")"),"Click Messinevitable Messine's Latest News Goal Balls now lead the World Cup top scorer with six goals, he is also the first player to score a large quarter -finals of the semifinal and final quarter -finals")</f>
        <v>Click Messinevitable Messine's Latest News Goal Balls now lead the World Cup top scorer with six goals, he is also the first player to score a large quarter -finals of the semifinal and final quarter -finals</v>
      </c>
    </row>
    <row r="3311" ht="15.75" customHeight="1">
      <c r="A3311" s="1">
        <v>3327.0</v>
      </c>
      <c r="B3311" s="3" t="s">
        <v>9653</v>
      </c>
      <c r="C3311" s="3">
        <v>0.0</v>
      </c>
      <c r="D3311" s="3">
        <v>0.0</v>
      </c>
      <c r="E3311" s="3">
        <v>0.0</v>
      </c>
      <c r="F3311" s="3" t="s">
        <v>9654</v>
      </c>
      <c r="G3311" s="3">
        <v>1.0</v>
      </c>
      <c r="H3311" s="3">
        <v>0.0</v>
      </c>
      <c r="I3311" s="3" t="s">
        <v>13</v>
      </c>
      <c r="J3311" s="3" t="s">
        <v>9655</v>
      </c>
      <c r="K3311" s="3" t="s">
        <v>244</v>
      </c>
      <c r="L3311" s="3" t="str">
        <f>IFERROR(__xludf.DUMMYFUNCTION("GOOGLETRANSLATE(F3311,""id"",""en"")"),"All big European teams contributed their players to the World Cup final except the Chelsea team")</f>
        <v>All big European teams contributed their players to the World Cup final except the Chelsea team</v>
      </c>
    </row>
    <row r="3312" ht="15.75" customHeight="1">
      <c r="A3312" s="1">
        <v>3328.0</v>
      </c>
      <c r="B3312" s="3" t="s">
        <v>9656</v>
      </c>
      <c r="C3312" s="3">
        <v>0.0</v>
      </c>
      <c r="D3312" s="3">
        <v>1.0</v>
      </c>
      <c r="E3312" s="3">
        <v>14.0</v>
      </c>
      <c r="F3312" s="3" t="s">
        <v>9657</v>
      </c>
      <c r="G3312" s="3">
        <v>1.0</v>
      </c>
      <c r="H3312" s="3">
        <v>0.0</v>
      </c>
      <c r="I3312" s="3" t="s">
        <v>13</v>
      </c>
      <c r="J3312" s="3" t="s">
        <v>9658</v>
      </c>
      <c r="K3312" s="3" t="s">
        <v>240</v>
      </c>
      <c r="L3312" s="3" t="str">
        <f>IFERROR(__xludf.DUMMYFUNCTION("GOOGLETRANSLATE(F3312,""id"",""en"")"),"Although he had felt the title of the World Cup to Kylian Mbappe remained sad to fail the edition he stressed that he would return to the final match")</f>
        <v>Although he had felt the title of the World Cup to Kylian Mbappe remained sad to fail the edition he stressed that he would return to the final match</v>
      </c>
    </row>
    <row r="3313" ht="15.75" customHeight="1">
      <c r="A3313" s="1">
        <v>3329.0</v>
      </c>
      <c r="B3313" s="3" t="s">
        <v>9659</v>
      </c>
      <c r="C3313" s="3">
        <v>0.0</v>
      </c>
      <c r="D3313" s="3">
        <v>0.0</v>
      </c>
      <c r="E3313" s="3">
        <v>2.0</v>
      </c>
      <c r="F3313" s="3" t="s">
        <v>9660</v>
      </c>
      <c r="G3313" s="3">
        <v>1.0</v>
      </c>
      <c r="H3313" s="3">
        <v>0.0</v>
      </c>
      <c r="I3313" s="3" t="s">
        <v>13</v>
      </c>
      <c r="J3313" s="3" t="s">
        <v>9661</v>
      </c>
      <c r="K3313" s="3" t="s">
        <v>19</v>
      </c>
      <c r="L3313" s="3" t="str">
        <f>IFERROR(__xludf.DUMMYFUNCTION("GOOGLETRANSLATE(F3313,""id"",""en"")"),"Kingsley Coman became a victim of racism after the Bayern World Cup final gave support")</f>
        <v>Kingsley Coman became a victim of racism after the Bayern World Cup final gave support</v>
      </c>
    </row>
    <row r="3314" ht="15.75" customHeight="1">
      <c r="A3314" s="1">
        <v>3330.0</v>
      </c>
      <c r="B3314" s="3" t="s">
        <v>9662</v>
      </c>
      <c r="C3314" s="3">
        <v>0.0</v>
      </c>
      <c r="D3314" s="3">
        <v>0.0</v>
      </c>
      <c r="E3314" s="3">
        <v>0.0</v>
      </c>
      <c r="F3314" s="3" t="s">
        <v>9663</v>
      </c>
      <c r="G3314" s="3">
        <v>1.0</v>
      </c>
      <c r="H3314" s="3">
        <v>0.0</v>
      </c>
      <c r="I3314" s="3" t="s">
        <v>13</v>
      </c>
      <c r="J3314" s="3" t="s">
        <v>9664</v>
      </c>
      <c r="K3314" s="3" t="s">
        <v>127</v>
      </c>
      <c r="L3314" s="3" t="str">
        <f>IFERROR(__xludf.DUMMYFUNCTION("GOOGLETRANSLATE(F3314,""id"",""en"")"),"Bayern Munich gave support to French national team winger Kingsley Coman who was a victim of racism after the World Cup final match")</f>
        <v>Bayern Munich gave support to French national team winger Kingsley Coman who was a victim of racism after the World Cup final match</v>
      </c>
    </row>
    <row r="3315" ht="15.75" customHeight="1">
      <c r="A3315" s="1">
        <v>3331.0</v>
      </c>
      <c r="B3315" s="3" t="s">
        <v>9665</v>
      </c>
      <c r="C3315" s="3">
        <v>0.0</v>
      </c>
      <c r="D3315" s="3">
        <v>0.0</v>
      </c>
      <c r="E3315" s="3">
        <v>0.0</v>
      </c>
      <c r="F3315" s="3" t="s">
        <v>9666</v>
      </c>
      <c r="G3315" s="3">
        <v>1.0</v>
      </c>
      <c r="H3315" s="3">
        <v>0.0</v>
      </c>
      <c r="I3315" s="3" t="s">
        <v>13</v>
      </c>
      <c r="J3315" s="3" t="s">
        <v>9667</v>
      </c>
      <c r="K3315" s="3" t="s">
        <v>50</v>
      </c>
      <c r="L3315" s="3" t="str">
        <f>IFERROR(__xludf.DUMMYFUNCTION("GOOGLETRANSLATE(F3315,""id"",""en"")"),"Magical Messi Search for Google Achieve the Highest Traffic During the World Cup Final")</f>
        <v>Magical Messi Search for Google Achieve the Highest Traffic During the World Cup Final</v>
      </c>
    </row>
    <row r="3316" ht="15.75" customHeight="1">
      <c r="A3316" s="1">
        <v>3332.0</v>
      </c>
      <c r="B3316" s="3" t="s">
        <v>9668</v>
      </c>
      <c r="C3316" s="3">
        <v>0.0</v>
      </c>
      <c r="D3316" s="3">
        <v>0.0</v>
      </c>
      <c r="E3316" s="3">
        <v>0.0</v>
      </c>
      <c r="F3316" s="3" t="s">
        <v>9663</v>
      </c>
      <c r="G3316" s="3">
        <v>1.0</v>
      </c>
      <c r="H3316" s="3">
        <v>0.0</v>
      </c>
      <c r="I3316" s="3" t="s">
        <v>13</v>
      </c>
      <c r="J3316" s="3" t="s">
        <v>9664</v>
      </c>
      <c r="K3316" s="3" t="s">
        <v>127</v>
      </c>
      <c r="L3316" s="3" t="str">
        <f>IFERROR(__xludf.DUMMYFUNCTION("GOOGLETRANSLATE(F3316,""id"",""en"")"),"Bayern Munich gave support to French national team winger Kingsley Coman who was a victim of racism after the World Cup final match")</f>
        <v>Bayern Munich gave support to French national team winger Kingsley Coman who was a victim of racism after the World Cup final match</v>
      </c>
    </row>
    <row r="3317" ht="15.75" customHeight="1">
      <c r="A3317" s="1">
        <v>3333.0</v>
      </c>
      <c r="B3317" s="3" t="s">
        <v>9669</v>
      </c>
      <c r="C3317" s="3">
        <v>0.0</v>
      </c>
      <c r="D3317" s="3">
        <v>2.0</v>
      </c>
      <c r="E3317" s="3">
        <v>16.0</v>
      </c>
      <c r="F3317" s="3" t="s">
        <v>9666</v>
      </c>
      <c r="G3317" s="3">
        <v>1.0</v>
      </c>
      <c r="H3317" s="3">
        <v>0.0</v>
      </c>
      <c r="I3317" s="3" t="s">
        <v>13</v>
      </c>
      <c r="J3317" s="3" t="s">
        <v>9667</v>
      </c>
      <c r="K3317" s="3" t="s">
        <v>50</v>
      </c>
      <c r="L3317" s="3" t="str">
        <f>IFERROR(__xludf.DUMMYFUNCTION("GOOGLETRANSLATE(F3317,""id"",""en"")"),"Magical Messi Search for Google Achieve the Highest Traffic During the World Cup Final")</f>
        <v>Magical Messi Search for Google Achieve the Highest Traffic During the World Cup Final</v>
      </c>
    </row>
    <row r="3318" ht="15.75" customHeight="1">
      <c r="A3318" s="1">
        <v>3334.0</v>
      </c>
      <c r="B3318" s="3" t="s">
        <v>9670</v>
      </c>
      <c r="C3318" s="3">
        <v>0.0</v>
      </c>
      <c r="D3318" s="3">
        <v>0.0</v>
      </c>
      <c r="E3318" s="3">
        <v>0.0</v>
      </c>
      <c r="F3318" s="3" t="s">
        <v>9671</v>
      </c>
      <c r="G3318" s="3">
        <v>1.0</v>
      </c>
      <c r="H3318" s="3">
        <v>0.0</v>
      </c>
      <c r="I3318" s="3" t="s">
        <v>13</v>
      </c>
      <c r="J3318" s="3" t="s">
        <v>9672</v>
      </c>
      <c r="K3318" s="3" t="s">
        <v>495</v>
      </c>
      <c r="L3318" s="3" t="str">
        <f>IFERROR(__xludf.DUMMYFUNCTION("GOOGLETRANSLATE(F3318,""id"",""en"")"),"Thanks to motivation through the video call at the same time the day before the final match with Iwan Bule Messi finally champions of the World Cup")</f>
        <v>Thanks to motivation through the video call at the same time the day before the final match with Iwan Bule Messi finally champions of the World Cup</v>
      </c>
    </row>
    <row r="3319" ht="15.75" customHeight="1">
      <c r="A3319" s="1">
        <v>3335.0</v>
      </c>
      <c r="B3319" s="3" t="s">
        <v>9673</v>
      </c>
      <c r="C3319" s="3">
        <v>0.0</v>
      </c>
      <c r="D3319" s="3">
        <v>0.0</v>
      </c>
      <c r="E3319" s="3">
        <v>1.0</v>
      </c>
      <c r="F3319" s="3" t="s">
        <v>9674</v>
      </c>
      <c r="G3319" s="3">
        <v>1.0</v>
      </c>
      <c r="H3319" s="3">
        <v>0.0</v>
      </c>
      <c r="I3319" s="3" t="s">
        <v>13</v>
      </c>
      <c r="J3319" s="3" t="s">
        <v>9675</v>
      </c>
      <c r="K3319" s="3" t="s">
        <v>322</v>
      </c>
      <c r="L3319" s="3" t="str">
        <f>IFERROR(__xludf.DUMMYFUNCTION("GOOGLETRANSLATE(F3319,""id"",""en"")"),"the remaining world cup final nobar")</f>
        <v>the remaining world cup final nobar</v>
      </c>
    </row>
    <row r="3320" ht="15.75" customHeight="1">
      <c r="A3320" s="1">
        <v>3336.0</v>
      </c>
      <c r="B3320" s="3" t="s">
        <v>9676</v>
      </c>
      <c r="C3320" s="3">
        <v>0.0</v>
      </c>
      <c r="D3320" s="3">
        <v>0.0</v>
      </c>
      <c r="E3320" s="3">
        <v>0.0</v>
      </c>
      <c r="F3320" s="3" t="s">
        <v>9677</v>
      </c>
      <c r="G3320" s="3">
        <v>1.0</v>
      </c>
      <c r="H3320" s="3">
        <v>0.0</v>
      </c>
      <c r="I3320" s="3" t="s">
        <v>13</v>
      </c>
      <c r="J3320" s="3" t="s">
        <v>9678</v>
      </c>
      <c r="K3320" s="3" t="s">
        <v>50</v>
      </c>
      <c r="L3320" s="3" t="str">
        <f>IFERROR(__xludf.DUMMYFUNCTION("GOOGLETRANSLATE(F3320,""id"",""en"")"),"Cristiano Ronaldo's comment about scoring the World Cup Final Hattrick and defeating Messi reappeared")</f>
        <v>Cristiano Ronaldo's comment about scoring the World Cup Final Hattrick and defeating Messi reappeared</v>
      </c>
    </row>
    <row r="3321" ht="15.75" customHeight="1">
      <c r="A3321" s="1">
        <v>3337.0</v>
      </c>
      <c r="B3321" s="3" t="s">
        <v>9679</v>
      </c>
      <c r="C3321" s="3">
        <v>0.0</v>
      </c>
      <c r="D3321" s="3">
        <v>0.0</v>
      </c>
      <c r="E3321" s="3">
        <v>1.0</v>
      </c>
      <c r="F3321" s="3" t="s">
        <v>9680</v>
      </c>
      <c r="G3321" s="3">
        <v>0.65</v>
      </c>
      <c r="H3321" s="3">
        <v>0.1</v>
      </c>
      <c r="I3321" s="3" t="s">
        <v>48</v>
      </c>
      <c r="J3321" s="3" t="s">
        <v>9681</v>
      </c>
      <c r="K3321" s="3" t="s">
        <v>75</v>
      </c>
      <c r="L3321" s="3" t="str">
        <f>IFERROR(__xludf.DUMMYFUNCTION("GOOGLETRANSLATE(F3321,""id"",""en"")"),"Appearing brilliant Final World Cup Real Madrid is still opening the door for mbappe")</f>
        <v>Appearing brilliant Final World Cup Real Madrid is still opening the door for mbappe</v>
      </c>
    </row>
    <row r="3322" ht="15.75" customHeight="1">
      <c r="A3322" s="1">
        <v>3338.0</v>
      </c>
      <c r="B3322" s="3" t="s">
        <v>9682</v>
      </c>
      <c r="C3322" s="3">
        <v>0.0</v>
      </c>
      <c r="D3322" s="3">
        <v>0.0</v>
      </c>
      <c r="E3322" s="3">
        <v>0.0</v>
      </c>
      <c r="F3322" s="3" t="s">
        <v>9683</v>
      </c>
      <c r="G3322" s="3">
        <v>1.0</v>
      </c>
      <c r="H3322" s="3">
        <v>0.0</v>
      </c>
      <c r="I3322" s="3" t="s">
        <v>13</v>
      </c>
      <c r="J3322" s="3" t="s">
        <v>9684</v>
      </c>
      <c r="K3322" s="3" t="s">
        <v>75</v>
      </c>
      <c r="L3322" s="3" t="str">
        <f>IFERROR(__xludf.DUMMYFUNCTION("GOOGLETRANSLATE(F3322,""id"",""en"")"),"The story of Putin watching the World Cup Final Ngebetan's telephone Argentina")</f>
        <v>The story of Putin watching the World Cup Final Ngebetan's telephone Argentina</v>
      </c>
    </row>
    <row r="3323" ht="15.75" customHeight="1">
      <c r="A3323" s="1">
        <v>3339.0</v>
      </c>
      <c r="B3323" s="3" t="s">
        <v>9685</v>
      </c>
      <c r="C3323" s="3">
        <v>1.0</v>
      </c>
      <c r="D3323" s="3">
        <v>1.0</v>
      </c>
      <c r="E3323" s="3">
        <v>21.0</v>
      </c>
      <c r="F3323" s="3" t="s">
        <v>9657</v>
      </c>
      <c r="G3323" s="3">
        <v>1.0</v>
      </c>
      <c r="H3323" s="3">
        <v>0.0</v>
      </c>
      <c r="I3323" s="3" t="s">
        <v>13</v>
      </c>
      <c r="J3323" s="3" t="s">
        <v>9658</v>
      </c>
      <c r="K3323" s="3" t="s">
        <v>240</v>
      </c>
      <c r="L3323" s="3" t="str">
        <f>IFERROR(__xludf.DUMMYFUNCTION("GOOGLETRANSLATE(F3323,""id"",""en"")"),"Although he had felt the title of the World Cup to Kylian Mbappe remained sad to fail the edition he stressed that he would return to the final match")</f>
        <v>Although he had felt the title of the World Cup to Kylian Mbappe remained sad to fail the edition he stressed that he would return to the final match</v>
      </c>
    </row>
    <row r="3324" ht="15.75" customHeight="1">
      <c r="A3324" s="1">
        <v>3340.0</v>
      </c>
      <c r="B3324" s="3" t="s">
        <v>9686</v>
      </c>
      <c r="C3324" s="3">
        <v>0.0</v>
      </c>
      <c r="D3324" s="3">
        <v>1.0</v>
      </c>
      <c r="E3324" s="3">
        <v>14.0</v>
      </c>
      <c r="F3324" s="3" t="s">
        <v>9687</v>
      </c>
      <c r="G3324" s="3">
        <v>1.0</v>
      </c>
      <c r="H3324" s="3">
        <v>0.0</v>
      </c>
      <c r="I3324" s="3" t="s">
        <v>13</v>
      </c>
      <c r="J3324" s="3" t="s">
        <v>9688</v>
      </c>
      <c r="K3324" s="3" t="s">
        <v>3819</v>
      </c>
      <c r="L3324" s="3" t="str">
        <f>IFERROR(__xludf.DUMMYFUNCTION("GOOGLETRANSLATE(F3324,""id"",""en"")"),"Redsindo Best Rescue of All Time The highest level of the World Cup Final Final Score Situation Appreciates for France but this is the best rescue of all time there will be more moments of this model")</f>
        <v>Redsindo Best Rescue of All Time The highest level of the World Cup Final Final Score Situation Appreciates for France but this is the best rescue of all time there will be more moments of this model</v>
      </c>
    </row>
    <row r="3325" ht="15.75" customHeight="1">
      <c r="A3325" s="1">
        <v>3341.0</v>
      </c>
      <c r="B3325" s="3" t="s">
        <v>9689</v>
      </c>
      <c r="C3325" s="3">
        <v>0.0</v>
      </c>
      <c r="D3325" s="3">
        <v>0.0</v>
      </c>
      <c r="E3325" s="3">
        <v>0.0</v>
      </c>
      <c r="F3325" s="3" t="s">
        <v>9657</v>
      </c>
      <c r="G3325" s="3">
        <v>1.0</v>
      </c>
      <c r="H3325" s="3">
        <v>0.0</v>
      </c>
      <c r="I3325" s="3" t="s">
        <v>13</v>
      </c>
      <c r="J3325" s="3" t="s">
        <v>9658</v>
      </c>
      <c r="K3325" s="3" t="s">
        <v>240</v>
      </c>
      <c r="L3325" s="3" t="str">
        <f>IFERROR(__xludf.DUMMYFUNCTION("GOOGLETRANSLATE(F3325,""id"",""en"")"),"Although he had felt the title of the World Cup to Kylian Mbappe remained sad to fail the edition he stressed that he would return to the final match")</f>
        <v>Although he had felt the title of the World Cup to Kylian Mbappe remained sad to fail the edition he stressed that he would return to the final match</v>
      </c>
    </row>
    <row r="3326" ht="15.75" customHeight="1">
      <c r="A3326" s="1">
        <v>3342.0</v>
      </c>
      <c r="B3326" s="3" t="s">
        <v>9690</v>
      </c>
      <c r="C3326" s="3">
        <v>21.0</v>
      </c>
      <c r="D3326" s="3">
        <v>3.0</v>
      </c>
      <c r="E3326" s="3">
        <v>85.0</v>
      </c>
      <c r="F3326" s="3" t="s">
        <v>9691</v>
      </c>
      <c r="G3326" s="3">
        <v>1.0</v>
      </c>
      <c r="H3326" s="3">
        <v>0.0</v>
      </c>
      <c r="I3326" s="3" t="s">
        <v>13</v>
      </c>
      <c r="J3326" s="3" t="s">
        <v>9692</v>
      </c>
      <c r="K3326" s="3" t="s">
        <v>188</v>
      </c>
      <c r="L3326" s="3" t="str">
        <f>IFERROR(__xludf.DUMMYFUNCTION("GOOGLETRANSLATE(F3326,""id"",""en"")"),"Qatar Transit Doha DES World Cup Final DES still feels that the hype world cup still sees a lot of Argentina and French fans of this airport Bismillah Umrah towards Saudi Arabia Madinah Makkah Moga friends all can also leave for Umrah")</f>
        <v>Qatar Transit Doha DES World Cup Final DES still feels that the hype world cup still sees a lot of Argentina and French fans of this airport Bismillah Umrah towards Saudi Arabia Madinah Makkah Moga friends all can also leave for Umrah</v>
      </c>
    </row>
    <row r="3327" ht="15.75" customHeight="1">
      <c r="A3327" s="1">
        <v>3343.0</v>
      </c>
      <c r="B3327" s="3" t="s">
        <v>9693</v>
      </c>
      <c r="C3327" s="3">
        <v>0.0</v>
      </c>
      <c r="D3327" s="3">
        <v>0.0</v>
      </c>
      <c r="E3327" s="3">
        <v>5.0</v>
      </c>
      <c r="F3327" s="3" t="s">
        <v>9694</v>
      </c>
      <c r="G3327" s="3">
        <v>1.0</v>
      </c>
      <c r="H3327" s="3">
        <v>0.0</v>
      </c>
      <c r="I3327" s="3" t="s">
        <v>13</v>
      </c>
      <c r="J3327" s="3" t="s">
        <v>9695</v>
      </c>
      <c r="K3327" s="3" t="s">
        <v>54</v>
      </c>
      <c r="L3327" s="3" t="str">
        <f>IFERROR(__xludf.DUMMYFUNCTION("GOOGLETRANSLATE(F3327,""id"",""en"")"),"This is the reaction of the legends about the World Cup Final")</f>
        <v>This is the reaction of the legends about the World Cup Final</v>
      </c>
    </row>
    <row r="3328" ht="15.75" customHeight="1">
      <c r="A3328" s="1">
        <v>3344.0</v>
      </c>
      <c r="B3328" s="3" t="s">
        <v>9696</v>
      </c>
      <c r="C3328" s="3">
        <v>0.0</v>
      </c>
      <c r="D3328" s="3">
        <v>4.0</v>
      </c>
      <c r="E3328" s="3">
        <v>0.0</v>
      </c>
      <c r="F3328" s="3" t="s">
        <v>9697</v>
      </c>
      <c r="G3328" s="3">
        <v>1.0</v>
      </c>
      <c r="H3328" s="3">
        <v>0.0</v>
      </c>
      <c r="I3328" s="3" t="s">
        <v>13</v>
      </c>
      <c r="J3328" s="3" t="s">
        <v>9698</v>
      </c>
      <c r="K3328" s="3" t="s">
        <v>54</v>
      </c>
      <c r="L3328" s="3" t="str">
        <f>IFERROR(__xludf.DUMMYFUNCTION("GOOGLETRANSLATE(F3328,""id"",""en"")"),"Nobar Final World Cup Liputan Bandung")</f>
        <v>Nobar Final World Cup Liputan Bandung</v>
      </c>
    </row>
    <row r="3329" ht="15.75" customHeight="1">
      <c r="A3329" s="1">
        <v>3345.0</v>
      </c>
      <c r="B3329" s="3" t="s">
        <v>9699</v>
      </c>
      <c r="C3329" s="3">
        <v>0.0</v>
      </c>
      <c r="D3329" s="3">
        <v>0.0</v>
      </c>
      <c r="E3329" s="3">
        <v>1.0</v>
      </c>
      <c r="F3329" s="3" t="s">
        <v>9700</v>
      </c>
      <c r="G3329" s="3">
        <v>1.0</v>
      </c>
      <c r="H3329" s="3">
        <v>0.0</v>
      </c>
      <c r="I3329" s="3" t="s">
        <v>13</v>
      </c>
      <c r="J3329" s="3" t="s">
        <v>9701</v>
      </c>
      <c r="K3329" s="3" t="s">
        <v>41</v>
      </c>
      <c r="L3329" s="3" t="str">
        <f>IFERROR(__xludf.DUMMYFUNCTION("GOOGLETRANSLATE(F3329,""id"",""en"")"),"Messi Before the Penalty Determination of the World Cup Final Ayo Diego from Heaven")</f>
        <v>Messi Before the Penalty Determination of the World Cup Final Ayo Diego from Heaven</v>
      </c>
    </row>
    <row r="3330" ht="15.75" customHeight="1">
      <c r="A3330" s="1">
        <v>3346.0</v>
      </c>
      <c r="B3330" s="3" t="s">
        <v>9702</v>
      </c>
      <c r="C3330" s="3">
        <v>0.0</v>
      </c>
      <c r="D3330" s="3">
        <v>1.0</v>
      </c>
      <c r="E3330" s="3">
        <v>6.0</v>
      </c>
      <c r="F3330" s="3" t="s">
        <v>9703</v>
      </c>
      <c r="G3330" s="3">
        <v>1.0</v>
      </c>
      <c r="H3330" s="3">
        <v>0.0</v>
      </c>
      <c r="I3330" s="3" t="s">
        <v>13</v>
      </c>
      <c r="J3330" s="3" t="s">
        <v>9704</v>
      </c>
      <c r="K3330" s="3" t="s">
        <v>240</v>
      </c>
      <c r="L3330" s="3" t="str">
        <f>IFERROR(__xludf.DUMMYFUNCTION("GOOGLETRANSLATE(F3330,""id"",""en"")"),"Lionel Messi had mentioned the name Diego Maradona before Gonzalo Montil advanced as the fourth kicker of Argentina World Cup Final")</f>
        <v>Lionel Messi had mentioned the name Diego Maradona before Gonzalo Montil advanced as the fourth kicker of Argentina World Cup Final</v>
      </c>
    </row>
    <row r="3331" ht="15.75" customHeight="1">
      <c r="A3331" s="1">
        <v>3347.0</v>
      </c>
      <c r="B3331" s="3" t="s">
        <v>9705</v>
      </c>
      <c r="C3331" s="3">
        <v>0.0</v>
      </c>
      <c r="D3331" s="3">
        <v>0.0</v>
      </c>
      <c r="E3331" s="3">
        <v>0.0</v>
      </c>
      <c r="F3331" s="3" t="s">
        <v>9703</v>
      </c>
      <c r="G3331" s="3">
        <v>1.0</v>
      </c>
      <c r="H3331" s="3">
        <v>0.0</v>
      </c>
      <c r="I3331" s="3" t="s">
        <v>13</v>
      </c>
      <c r="J3331" s="3" t="s">
        <v>9704</v>
      </c>
      <c r="K3331" s="3" t="s">
        <v>240</v>
      </c>
      <c r="L3331" s="3" t="str">
        <f>IFERROR(__xludf.DUMMYFUNCTION("GOOGLETRANSLATE(F3331,""id"",""en"")"),"Lionel Messi had mentioned the name Diego Maradona before Gonzalo Montil advanced as the fourth kicker of Argentina World Cup Final")</f>
        <v>Lionel Messi had mentioned the name Diego Maradona before Gonzalo Montil advanced as the fourth kicker of Argentina World Cup Final</v>
      </c>
    </row>
    <row r="3332" ht="15.75" customHeight="1">
      <c r="A3332" s="1">
        <v>3348.0</v>
      </c>
      <c r="B3332" s="3" t="s">
        <v>9706</v>
      </c>
      <c r="C3332" s="3">
        <v>0.0</v>
      </c>
      <c r="D3332" s="3">
        <v>0.0</v>
      </c>
      <c r="E3332" s="3">
        <v>0.0</v>
      </c>
      <c r="F3332" s="3" t="s">
        <v>9707</v>
      </c>
      <c r="G3332" s="3">
        <v>1.0</v>
      </c>
      <c r="H3332" s="3">
        <v>0.0</v>
      </c>
      <c r="I3332" s="3" t="s">
        <v>13</v>
      </c>
      <c r="J3332" s="3" t="s">
        <v>9708</v>
      </c>
      <c r="K3332" s="3" t="s">
        <v>2454</v>
      </c>
      <c r="L3332" s="3" t="str">
        <f>IFERROR(__xludf.DUMMYFUNCTION("GOOGLETRANSLATE(F3332,""id"",""en"")"),"Experience is one of the best teachers of the nobar bal bal bald World Cup Ndek Ndek Pondok Wepie we will not say dirty Urak Misuh and watch peacefully occasionally shouted Golll Peeeh waaah wushhh and random kalir")</f>
        <v>Experience is one of the best teachers of the nobar bal bal bald World Cup Ndek Ndek Pondok Wepie we will not say dirty Urak Misuh and watch peacefully occasionally shouted Golll Peeeh waaah wushhh and random kalir</v>
      </c>
    </row>
    <row r="3333" ht="15.75" customHeight="1">
      <c r="A3333" s="1">
        <v>3349.0</v>
      </c>
      <c r="B3333" s="3" t="s">
        <v>9709</v>
      </c>
      <c r="C3333" s="3">
        <v>0.0</v>
      </c>
      <c r="D3333" s="3">
        <v>0.0</v>
      </c>
      <c r="E3333" s="3">
        <v>0.0</v>
      </c>
      <c r="F3333" s="3" t="s">
        <v>9710</v>
      </c>
      <c r="G3333" s="3">
        <v>1.0</v>
      </c>
      <c r="H3333" s="3">
        <v>0.0</v>
      </c>
      <c r="I3333" s="3" t="s">
        <v>13</v>
      </c>
      <c r="J3333" s="3" t="s">
        <v>9711</v>
      </c>
      <c r="K3333" s="3" t="s">
        <v>75</v>
      </c>
      <c r="L3333" s="3" t="str">
        <f>IFERROR(__xludf.DUMMYFUNCTION("GOOGLETRANSLATE(F3333,""id"",""en"")"),"Paris's broken riots after the World Cup Police Cup Catching People")</f>
        <v>Paris's broken riots after the World Cup Police Cup Catching People</v>
      </c>
    </row>
    <row r="3334" ht="15.75" customHeight="1">
      <c r="A3334" s="1">
        <v>3350.0</v>
      </c>
      <c r="B3334" s="3" t="s">
        <v>9712</v>
      </c>
      <c r="C3334" s="3">
        <v>0.0</v>
      </c>
      <c r="D3334" s="3">
        <v>0.0</v>
      </c>
      <c r="E3334" s="3">
        <v>0.0</v>
      </c>
      <c r="F3334" s="3" t="s">
        <v>9713</v>
      </c>
      <c r="G3334" s="3">
        <v>1.0</v>
      </c>
      <c r="H3334" s="3">
        <v>0.0</v>
      </c>
      <c r="I3334" s="3" t="s">
        <v>13</v>
      </c>
      <c r="J3334" s="3" t="s">
        <v>9714</v>
      </c>
      <c r="K3334" s="3" t="s">
        <v>19</v>
      </c>
      <c r="L3334" s="3" t="str">
        <f>IFERROR(__xludf.DUMMYFUNCTION("GOOGLETRANSLATE(F3334,""id"",""en"")"),"former formula racer Nikita Mazepin confide in her unrest after watching the World Cup final")</f>
        <v>former formula racer Nikita Mazepin confide in her unrest after watching the World Cup final</v>
      </c>
    </row>
    <row r="3335" ht="15.75" customHeight="1">
      <c r="A3335" s="1">
        <v>3351.0</v>
      </c>
      <c r="B3335" s="3" t="s">
        <v>9715</v>
      </c>
      <c r="C3335" s="3">
        <v>0.0</v>
      </c>
      <c r="D3335" s="3">
        <v>0.0</v>
      </c>
      <c r="E3335" s="3">
        <v>0.0</v>
      </c>
      <c r="F3335" s="3" t="s">
        <v>9716</v>
      </c>
      <c r="G3335" s="3">
        <v>1.0</v>
      </c>
      <c r="H3335" s="3">
        <v>0.0</v>
      </c>
      <c r="I3335" s="3" t="s">
        <v>13</v>
      </c>
      <c r="J3335" s="3" t="s">
        <v>9717</v>
      </c>
      <c r="K3335" s="3" t="s">
        <v>1970</v>
      </c>
      <c r="L3335" s="3" t="str">
        <f>IFERROR(__xludf.DUMMYFUNCTION("GOOGLETRANSLATE(F3335,""id"",""en"")"),"You are Nenye French French goalkeeper World Cup let me tell you a goal from Zinedine Zidane aka Zizou and a goal from Emmanuel Manu Laurent Petit let's join in")</f>
        <v>You are Nenye French French goalkeeper World Cup let me tell you a goal from Zinedine Zidane aka Zizou and a goal from Emmanuel Manu Laurent Petit let's join in</v>
      </c>
    </row>
    <row r="3336" ht="15.75" customHeight="1">
      <c r="A3336" s="1">
        <v>3352.0</v>
      </c>
      <c r="B3336" s="3" t="s">
        <v>9718</v>
      </c>
      <c r="C3336" s="3">
        <v>0.0</v>
      </c>
      <c r="D3336" s="3">
        <v>0.0</v>
      </c>
      <c r="E3336" s="3">
        <v>0.0</v>
      </c>
      <c r="F3336" s="3" t="s">
        <v>9719</v>
      </c>
      <c r="G3336" s="3">
        <v>0.4000000000000001</v>
      </c>
      <c r="H3336" s="3">
        <v>-0.06666666666666667</v>
      </c>
      <c r="I3336" s="3" t="s">
        <v>179</v>
      </c>
      <c r="J3336" s="3" t="s">
        <v>9720</v>
      </c>
      <c r="K3336" s="3" t="s">
        <v>308</v>
      </c>
      <c r="L3336" s="3" t="str">
        <f>IFERROR(__xludf.DUMMYFUNCTION("GOOGLETRANSLATE(F3336,""id"",""en"")"),"Watching Together with the World Cup Final Ganjar Millennial Center Bulukumba GMC Bulukumba Sunday December Halo Millennials Ganjar Millennial Center Spirit Serves to Develop the Country")</f>
        <v>Watching Together with the World Cup Final Ganjar Millennial Center Bulukumba GMC Bulukumba Sunday December Halo Millennials Ganjar Millennial Center Spirit Serves to Develop the Country</v>
      </c>
    </row>
    <row r="3337" ht="15.75" customHeight="1">
      <c r="A3337" s="1">
        <v>3353.0</v>
      </c>
      <c r="B3337" s="3" t="s">
        <v>9721</v>
      </c>
      <c r="C3337" s="3">
        <v>0.0</v>
      </c>
      <c r="D3337" s="3">
        <v>0.0</v>
      </c>
      <c r="E3337" s="3">
        <v>0.0</v>
      </c>
      <c r="F3337" s="3" t="s">
        <v>9722</v>
      </c>
      <c r="G3337" s="3">
        <v>1.0</v>
      </c>
      <c r="H3337" s="3">
        <v>0.0</v>
      </c>
      <c r="I3337" s="3" t="s">
        <v>13</v>
      </c>
      <c r="J3337" s="3" t="s">
        <v>9723</v>
      </c>
      <c r="K3337" s="3" t="s">
        <v>3882</v>
      </c>
      <c r="L3337" s="3" t="str">
        <f>IFERROR(__xludf.DUMMYFUNCTION("GOOGLETRANSLATE(F3337,""id"",""en"")"),"Arsenal failed to finish big at the end of last season Arsenal top the Premier League standings before the Argentine World Cup lost the opening match of the World Cup against Saudi Arabia Morocco performed neatly until the semi -final round of the World C"&amp;"up")</f>
        <v>Arsenal failed to finish big at the end of last season Arsenal top the Premier League standings before the Argentine World Cup lost the opening match of the World Cup against Saudi Arabia Morocco performed neatly until the semi -final round of the World Cup</v>
      </c>
    </row>
    <row r="3338" ht="15.75" customHeight="1">
      <c r="A3338" s="1">
        <v>3354.0</v>
      </c>
      <c r="B3338" s="3" t="s">
        <v>9724</v>
      </c>
      <c r="C3338" s="3">
        <v>0.0</v>
      </c>
      <c r="D3338" s="3">
        <v>0.0</v>
      </c>
      <c r="E3338" s="3">
        <v>1.0</v>
      </c>
      <c r="F3338" s="3" t="s">
        <v>9725</v>
      </c>
      <c r="G3338" s="3">
        <v>1.0</v>
      </c>
      <c r="H3338" s="3">
        <v>0.0</v>
      </c>
      <c r="I3338" s="3" t="s">
        <v>13</v>
      </c>
      <c r="J3338" s="3" t="s">
        <v>9726</v>
      </c>
      <c r="K3338" s="3" t="s">
        <v>15</v>
      </c>
      <c r="L3338" s="3" t="str">
        <f>IFERROR(__xludf.DUMMYFUNCTION("GOOGLETRANSLATE(F3338,""id"",""en"")"),"The referee admitted a mistake that was made during the World Cup final")</f>
        <v>The referee admitted a mistake that was made during the World Cup final</v>
      </c>
    </row>
    <row r="3339" ht="15.75" customHeight="1">
      <c r="A3339" s="1">
        <v>3355.0</v>
      </c>
      <c r="B3339" s="3" t="s">
        <v>9727</v>
      </c>
      <c r="C3339" s="3">
        <v>0.0</v>
      </c>
      <c r="D3339" s="3">
        <v>0.0</v>
      </c>
      <c r="E3339" s="3">
        <v>0.0</v>
      </c>
      <c r="F3339" s="3" t="s">
        <v>9728</v>
      </c>
      <c r="G3339" s="3">
        <v>1.0</v>
      </c>
      <c r="H3339" s="3">
        <v>0.0</v>
      </c>
      <c r="I3339" s="3" t="s">
        <v>13</v>
      </c>
      <c r="J3339" s="3" t="s">
        <v>9729</v>
      </c>
      <c r="K3339" s="3" t="s">
        <v>41</v>
      </c>
      <c r="L3339" s="3" t="str">
        <f>IFERROR(__xludf.DUMMYFUNCTION("GOOGLETRANSLATE(F3339,""id"",""en"")"),"World Cup Final Referee Admits Making a Mistake of Les Blues Disadvantaged")</f>
        <v>World Cup Final Referee Admits Making a Mistake of Les Blues Disadvantaged</v>
      </c>
    </row>
    <row r="3340" ht="15.75" customHeight="1">
      <c r="A3340" s="1">
        <v>3356.0</v>
      </c>
      <c r="B3340" s="3" t="s">
        <v>9730</v>
      </c>
      <c r="C3340" s="3">
        <v>0.0</v>
      </c>
      <c r="D3340" s="3">
        <v>0.0</v>
      </c>
      <c r="E3340" s="3">
        <v>1.0</v>
      </c>
      <c r="F3340" s="3" t="s">
        <v>9731</v>
      </c>
      <c r="G3340" s="3">
        <v>1.0</v>
      </c>
      <c r="H3340" s="3">
        <v>0.0</v>
      </c>
      <c r="I3340" s="3" t="s">
        <v>13</v>
      </c>
      <c r="J3340" s="3" t="s">
        <v>9732</v>
      </c>
      <c r="K3340" s="3" t="s">
        <v>9733</v>
      </c>
      <c r="L3340" s="3" t="str">
        <f>IFERROR(__xludf.DUMMYFUNCTION("GOOGLETRANSLATE(F3340,""id"",""en"")"),"The World Cup final yesterday was the menu of chicken noodles because the sweet soy sauce stock was running out of the color less brown if the taste seemed to be similar to the sister noodles.")</f>
        <v>The World Cup final yesterday was the menu of chicken noodles because the sweet soy sauce stock was running out of the color less brown if the taste seemed to be similar to the sister noodles.</v>
      </c>
    </row>
    <row r="3341" ht="15.75" customHeight="1">
      <c r="A3341" s="1">
        <v>3357.0</v>
      </c>
      <c r="B3341" s="3" t="s">
        <v>9734</v>
      </c>
      <c r="C3341" s="3">
        <v>6.0</v>
      </c>
      <c r="D3341" s="3">
        <v>2.0</v>
      </c>
      <c r="E3341" s="3">
        <v>23.0</v>
      </c>
      <c r="F3341" s="3" t="s">
        <v>9735</v>
      </c>
      <c r="G3341" s="3">
        <v>1.0</v>
      </c>
      <c r="H3341" s="3">
        <v>0.0</v>
      </c>
      <c r="I3341" s="3" t="s">
        <v>13</v>
      </c>
      <c r="J3341" s="3" t="s">
        <v>9736</v>
      </c>
      <c r="K3341" s="3" t="s">
        <v>510</v>
      </c>
      <c r="L3341" s="3" t="str">
        <f>IFERROR(__xludf.DUMMYFUNCTION("GOOGLETRANSLATE(F3341,""id"",""en"")"),"World Cup Final Referee Szymon Marciniak finally admitted one of his mistakes what was that match")</f>
        <v>World Cup Final Referee Szymon Marciniak finally admitted one of his mistakes what was that match</v>
      </c>
    </row>
    <row r="3342" ht="15.75" customHeight="1">
      <c r="A3342" s="1">
        <v>3358.0</v>
      </c>
      <c r="B3342" s="3" t="s">
        <v>9737</v>
      </c>
      <c r="C3342" s="3">
        <v>0.0</v>
      </c>
      <c r="D3342" s="3">
        <v>0.0</v>
      </c>
      <c r="E3342" s="3">
        <v>0.0</v>
      </c>
      <c r="F3342" s="3" t="s">
        <v>9735</v>
      </c>
      <c r="G3342" s="3">
        <v>1.0</v>
      </c>
      <c r="H3342" s="3">
        <v>0.0</v>
      </c>
      <c r="I3342" s="3" t="s">
        <v>13</v>
      </c>
      <c r="J3342" s="3" t="s">
        <v>9736</v>
      </c>
      <c r="K3342" s="3" t="s">
        <v>510</v>
      </c>
      <c r="L3342" s="3" t="str">
        <f>IFERROR(__xludf.DUMMYFUNCTION("GOOGLETRANSLATE(F3342,""id"",""en"")"),"World Cup Final Referee Szymon Marciniak finally admitted one of his mistakes what was that match")</f>
        <v>World Cup Final Referee Szymon Marciniak finally admitted one of his mistakes what was that match</v>
      </c>
    </row>
    <row r="3343" ht="15.75" customHeight="1">
      <c r="A3343" s="1">
        <v>3359.0</v>
      </c>
      <c r="B3343" s="3" t="s">
        <v>9738</v>
      </c>
      <c r="C3343" s="3">
        <v>0.0</v>
      </c>
      <c r="D3343" s="3">
        <v>0.0</v>
      </c>
      <c r="E3343" s="3">
        <v>0.0</v>
      </c>
      <c r="F3343" s="3" t="s">
        <v>9735</v>
      </c>
      <c r="G3343" s="3">
        <v>1.0</v>
      </c>
      <c r="H3343" s="3">
        <v>0.0</v>
      </c>
      <c r="I3343" s="3" t="s">
        <v>13</v>
      </c>
      <c r="J3343" s="3" t="s">
        <v>9736</v>
      </c>
      <c r="K3343" s="3" t="s">
        <v>510</v>
      </c>
      <c r="L3343" s="3" t="str">
        <f>IFERROR(__xludf.DUMMYFUNCTION("GOOGLETRANSLATE(F3343,""id"",""en"")"),"World Cup Final Referee Szymon Marciniak finally admitted one of his mistakes what was that match")</f>
        <v>World Cup Final Referee Szymon Marciniak finally admitted one of his mistakes what was that match</v>
      </c>
    </row>
    <row r="3344" ht="15.75" customHeight="1">
      <c r="A3344" s="1">
        <v>3360.0</v>
      </c>
      <c r="B3344" s="3" t="s">
        <v>9739</v>
      </c>
      <c r="C3344" s="3">
        <v>0.0</v>
      </c>
      <c r="D3344" s="3">
        <v>0.0</v>
      </c>
      <c r="E3344" s="3">
        <v>0.0</v>
      </c>
      <c r="F3344" s="3" t="s">
        <v>9740</v>
      </c>
      <c r="G3344" s="3">
        <v>1.0</v>
      </c>
      <c r="H3344" s="3">
        <v>0.0</v>
      </c>
      <c r="I3344" s="3" t="s">
        <v>13</v>
      </c>
      <c r="J3344" s="3" t="s">
        <v>9741</v>
      </c>
      <c r="K3344" s="3" t="s">
        <v>82</v>
      </c>
      <c r="L3344" s="3" t="str">
        <f>IFERROR(__xludf.DUMMYFUNCTION("GOOGLETRANSLATE(F3344,""id"",""en"")"),"This oath is a leaked video after the World Cup final")</f>
        <v>This oath is a leaked video after the World Cup final</v>
      </c>
    </row>
    <row r="3345" ht="15.75" customHeight="1">
      <c r="A3345" s="1">
        <v>3361.0</v>
      </c>
      <c r="B3345" s="3" t="s">
        <v>9742</v>
      </c>
      <c r="C3345" s="3">
        <v>0.0</v>
      </c>
      <c r="D3345" s="3">
        <v>3.0</v>
      </c>
      <c r="E3345" s="3">
        <v>1.0</v>
      </c>
      <c r="F3345" s="3" t="s">
        <v>9743</v>
      </c>
      <c r="G3345" s="3">
        <v>1.0</v>
      </c>
      <c r="H3345" s="3">
        <v>0.0</v>
      </c>
      <c r="I3345" s="3" t="s">
        <v>13</v>
      </c>
      <c r="J3345" s="3" t="s">
        <v>9744</v>
      </c>
      <c r="K3345" s="3" t="s">
        <v>484</v>
      </c>
      <c r="L3345" s="3" t="str">
        <f>IFERROR(__xludf.DUMMYFUNCTION("GOOGLETRANSLATE(F3345,""id"",""en"")"),"I didn't feel like last week the World Cup final now feels weird, I can't MUV from the Qatar World Cup")</f>
        <v>I didn't feel like last week the World Cup final now feels weird, I can't MUV from the Qatar World Cup</v>
      </c>
    </row>
    <row r="3346" ht="15.75" customHeight="1">
      <c r="A3346" s="1">
        <v>3362.0</v>
      </c>
      <c r="B3346" s="3" t="s">
        <v>9745</v>
      </c>
      <c r="C3346" s="3">
        <v>0.0</v>
      </c>
      <c r="D3346" s="3">
        <v>0.0</v>
      </c>
      <c r="E3346" s="3">
        <v>0.0</v>
      </c>
      <c r="F3346" s="3" t="s">
        <v>9746</v>
      </c>
      <c r="G3346" s="3">
        <v>1.0</v>
      </c>
      <c r="H3346" s="3">
        <v>0.0</v>
      </c>
      <c r="I3346" s="3" t="s">
        <v>13</v>
      </c>
      <c r="J3346" s="3" t="s">
        <v>9747</v>
      </c>
      <c r="K3346" s="3" t="s">
        <v>23</v>
      </c>
      <c r="L3346" s="3" t="str">
        <f>IFERROR(__xludf.DUMMYFUNCTION("GOOGLETRANSLATE(F3346,""id"",""en"")"),"Min, the date of Tweet Anies should have also been edited by the Argentina victory of the World Cup Final on DES DIAWEET DATE DATE ALREADY PHOTOS")</f>
        <v>Min, the date of Tweet Anies should have also been edited by the Argentina victory of the World Cup Final on DES DIAWEET DATE DATE ALREADY PHOTOS</v>
      </c>
    </row>
    <row r="3347" ht="15.75" customHeight="1">
      <c r="A3347" s="1">
        <v>3363.0</v>
      </c>
      <c r="B3347" s="3" t="s">
        <v>9748</v>
      </c>
      <c r="C3347" s="3">
        <v>0.0</v>
      </c>
      <c r="D3347" s="3">
        <v>0.0</v>
      </c>
      <c r="E3347" s="3">
        <v>0.0</v>
      </c>
      <c r="F3347" s="3" t="s">
        <v>9749</v>
      </c>
      <c r="G3347" s="3">
        <v>1.0</v>
      </c>
      <c r="H3347" s="3">
        <v>0.0</v>
      </c>
      <c r="I3347" s="3" t="s">
        <v>13</v>
      </c>
      <c r="J3347" s="3" t="s">
        <v>9750</v>
      </c>
      <c r="K3347" s="3" t="s">
        <v>19</v>
      </c>
      <c r="L3347" s="3" t="str">
        <f>IFERROR(__xludf.DUMMYFUNCTION("GOOGLETRANSLATE(F3347,""id"",""en"")"),"Puan Maharani supports the Argentine soccer team against France in the World Cup final")</f>
        <v>Puan Maharani supports the Argentine soccer team against France in the World Cup final</v>
      </c>
    </row>
    <row r="3348" ht="15.75" customHeight="1">
      <c r="A3348" s="1">
        <v>3364.0</v>
      </c>
      <c r="B3348" s="3" t="s">
        <v>9751</v>
      </c>
      <c r="C3348" s="3">
        <v>56.0</v>
      </c>
      <c r="D3348" s="3">
        <v>51.0</v>
      </c>
      <c r="E3348" s="3">
        <v>494.0</v>
      </c>
      <c r="F3348" s="3" t="s">
        <v>9752</v>
      </c>
      <c r="G3348" s="3">
        <v>1.0</v>
      </c>
      <c r="H3348" s="3">
        <v>0.0</v>
      </c>
      <c r="I3348" s="3" t="s">
        <v>13</v>
      </c>
      <c r="J3348" s="3" t="s">
        <v>9753</v>
      </c>
      <c r="K3348" s="3" t="s">
        <v>433</v>
      </c>
      <c r="L3348" s="3" t="str">
        <f>IFERROR(__xludf.DUMMYFUNCTION("GOOGLETRANSLATE(F3348,""id"",""en"")"),"The final referee of Szymon Marciniak admitted one mistake that made when leading the Qatar match for the full error")</f>
        <v>The final referee of Szymon Marciniak admitted one mistake that made when leading the Qatar match for the full error</v>
      </c>
    </row>
    <row r="3349" ht="15.75" customHeight="1">
      <c r="A3349" s="1">
        <v>3365.0</v>
      </c>
      <c r="B3349" s="3" t="s">
        <v>9754</v>
      </c>
      <c r="C3349" s="3">
        <v>0.0</v>
      </c>
      <c r="D3349" s="3">
        <v>0.0</v>
      </c>
      <c r="E3349" s="3">
        <v>0.0</v>
      </c>
      <c r="F3349" s="3" t="s">
        <v>9755</v>
      </c>
      <c r="G3349" s="3">
        <v>1.0</v>
      </c>
      <c r="H3349" s="3">
        <v>0.0</v>
      </c>
      <c r="I3349" s="3" t="s">
        <v>13</v>
      </c>
      <c r="J3349" s="3" t="s">
        <v>9756</v>
      </c>
      <c r="K3349" s="3" t="s">
        <v>54</v>
      </c>
      <c r="L3349" s="3" t="str">
        <f>IFERROR(__xludf.DUMMYFUNCTION("GOOGLETRANSLATE(F3349,""id"",""en"")"),"The World Cup Final was a week ago")</f>
        <v>The World Cup Final was a week ago</v>
      </c>
    </row>
    <row r="3350" ht="15.75" customHeight="1">
      <c r="A3350" s="1">
        <v>3366.0</v>
      </c>
      <c r="B3350" s="3" t="s">
        <v>9757</v>
      </c>
      <c r="C3350" s="3">
        <v>3.0</v>
      </c>
      <c r="D3350" s="3">
        <v>7.0</v>
      </c>
      <c r="E3350" s="3">
        <v>185.0</v>
      </c>
      <c r="F3350" s="3" t="s">
        <v>9758</v>
      </c>
      <c r="G3350" s="3">
        <v>1.0</v>
      </c>
      <c r="H3350" s="3">
        <v>0.0</v>
      </c>
      <c r="I3350" s="3" t="s">
        <v>13</v>
      </c>
      <c r="J3350" s="3" t="s">
        <v>9759</v>
      </c>
      <c r="K3350" s="3" t="s">
        <v>149</v>
      </c>
      <c r="L3350" s="3" t="str">
        <f>IFERROR(__xludf.DUMMYFUNCTION("GOOGLETRANSLATE(F3350,""id"",""en"")"),"Kali Failed Final Retire but then Rise Winning to Winning Copa America Finalissima and World Cup Really Amazing Story What Story What Man")</f>
        <v>Kali Failed Final Retire but then Rise Winning to Winning Copa America Finalissima and World Cup Really Amazing Story What Story What Man</v>
      </c>
    </row>
    <row r="3351" ht="15.75" customHeight="1">
      <c r="A3351" s="1">
        <v>3367.0</v>
      </c>
      <c r="B3351" s="3" t="s">
        <v>9760</v>
      </c>
      <c r="C3351" s="3">
        <v>1.0</v>
      </c>
      <c r="D3351" s="3">
        <v>0.0</v>
      </c>
      <c r="E3351" s="3">
        <v>0.0</v>
      </c>
      <c r="F3351" s="3" t="s">
        <v>9761</v>
      </c>
      <c r="G3351" s="3">
        <v>0.75</v>
      </c>
      <c r="H3351" s="3">
        <v>0.04545454545454545</v>
      </c>
      <c r="I3351" s="3" t="s">
        <v>48</v>
      </c>
      <c r="J3351" s="3" t="s">
        <v>9762</v>
      </c>
      <c r="K3351" s="3" t="s">
        <v>584</v>
      </c>
      <c r="L3351" s="3" t="str">
        <f>IFERROR(__xludf.DUMMYFUNCTION("GOOGLETRANSLATE(F3351,""id"",""en"")"),"Like the PlayStation Tournament Soccer Football Table Jugling Quiz Competition with a total prize of millions of rupiah and ends with watching together with the World Cup final between French Argentina The visitors are also entertained with live music per"&amp;"formance")</f>
        <v>Like the PlayStation Tournament Soccer Football Table Jugling Quiz Competition with a total prize of millions of rupiah and ends with watching together with the World Cup final between French Argentina The visitors are also entertained with live music performance</v>
      </c>
    </row>
    <row r="3352" ht="15.75" customHeight="1">
      <c r="A3352" s="1">
        <v>3368.0</v>
      </c>
      <c r="B3352" s="3" t="s">
        <v>9763</v>
      </c>
      <c r="C3352" s="3">
        <v>0.0</v>
      </c>
      <c r="D3352" s="3">
        <v>0.0</v>
      </c>
      <c r="E3352" s="3">
        <v>0.0</v>
      </c>
      <c r="F3352" s="3" t="s">
        <v>9764</v>
      </c>
      <c r="G3352" s="3">
        <v>1.0</v>
      </c>
      <c r="H3352" s="3">
        <v>0.0</v>
      </c>
      <c r="I3352" s="3" t="s">
        <v>13</v>
      </c>
      <c r="J3352" s="3" t="s">
        <v>9765</v>
      </c>
      <c r="K3352" s="3" t="s">
        <v>41</v>
      </c>
      <c r="L3352" s="3" t="str">
        <f>IFERROR(__xludf.DUMMYFUNCTION("GOOGLETRANSLATE(F3352,""id"",""en"")"),"Elon Musk Boss Investment Qatar Nobar World Cup Final")</f>
        <v>Elon Musk Boss Investment Qatar Nobar World Cup Final</v>
      </c>
    </row>
    <row r="3353" ht="15.75" customHeight="1">
      <c r="A3353" s="1">
        <v>3369.0</v>
      </c>
      <c r="B3353" s="3" t="s">
        <v>9766</v>
      </c>
      <c r="C3353" s="3">
        <v>0.0</v>
      </c>
      <c r="D3353" s="3">
        <v>0.0</v>
      </c>
      <c r="E3353" s="3">
        <v>0.0</v>
      </c>
      <c r="F3353" s="3" t="s">
        <v>9767</v>
      </c>
      <c r="G3353" s="3">
        <v>1.0</v>
      </c>
      <c r="H3353" s="3">
        <v>0.0</v>
      </c>
      <c r="I3353" s="3" t="s">
        <v>13</v>
      </c>
      <c r="J3353" s="3" t="s">
        <v>9768</v>
      </c>
      <c r="K3353" s="3" t="s">
        <v>50</v>
      </c>
      <c r="L3353" s="3" t="str">
        <f>IFERROR(__xludf.DUMMYFUNCTION("GOOGLETRANSLATE(F3353,""id"",""en"")"),"Mbappe can bring France twice in the final consecutive World Cup even though the two loses")</f>
        <v>Mbappe can bring France twice in the final consecutive World Cup even though the two loses</v>
      </c>
    </row>
    <row r="3354" ht="15.75" customHeight="1">
      <c r="A3354" s="1">
        <v>3370.0</v>
      </c>
      <c r="B3354" s="3" t="s">
        <v>9769</v>
      </c>
      <c r="C3354" s="3">
        <v>2.0</v>
      </c>
      <c r="D3354" s="3">
        <v>4.0</v>
      </c>
      <c r="E3354" s="3">
        <v>2.0</v>
      </c>
      <c r="F3354" s="3" t="s">
        <v>9770</v>
      </c>
      <c r="G3354" s="3">
        <v>1.0</v>
      </c>
      <c r="H3354" s="3">
        <v>0.0</v>
      </c>
      <c r="I3354" s="3" t="s">
        <v>13</v>
      </c>
      <c r="J3354" s="3" t="s">
        <v>9771</v>
      </c>
      <c r="K3354" s="3" t="s">
        <v>27</v>
      </c>
      <c r="L3354" s="3" t="str">
        <f>IFERROR(__xludf.DUMMYFUNCTION("GOOGLETRANSLATE(F3354,""id"",""en"")"),"There are just more than the account per night that have signed the petition in French to ask for the World Cup final match repeatedly the signing that is clearly still sick calling for the match to be repeated based on technical issues")</f>
        <v>There are just more than the account per night that have signed the petition in French to ask for the World Cup final match repeatedly the signing that is clearly still sick calling for the match to be repeated based on technical issues</v>
      </c>
    </row>
    <row r="3355" ht="15.75" customHeight="1">
      <c r="A3355" s="1">
        <v>3371.0</v>
      </c>
      <c r="B3355" s="3" t="s">
        <v>9772</v>
      </c>
      <c r="C3355" s="3">
        <v>0.0</v>
      </c>
      <c r="D3355" s="3">
        <v>0.0</v>
      </c>
      <c r="E3355" s="3">
        <v>0.0</v>
      </c>
      <c r="F3355" s="3" t="s">
        <v>9773</v>
      </c>
      <c r="G3355" s="3">
        <v>1.0</v>
      </c>
      <c r="H3355" s="3">
        <v>0.0</v>
      </c>
      <c r="I3355" s="3" t="s">
        <v>13</v>
      </c>
      <c r="J3355" s="3" t="s">
        <v>9774</v>
      </c>
      <c r="K3355" s="3" t="s">
        <v>75</v>
      </c>
      <c r="L3355" s="3" t="str">
        <f>IFERROR(__xludf.DUMMYFUNCTION("GOOGLETRANSLATE(F3355,""id"",""en"")"),"Stay Cruise MSc World Europa during the World Cup Final")</f>
        <v>Stay Cruise MSc World Europa during the World Cup Final</v>
      </c>
    </row>
    <row r="3356" ht="15.75" customHeight="1">
      <c r="A3356" s="1">
        <v>3372.0</v>
      </c>
      <c r="B3356" s="3" t="s">
        <v>9775</v>
      </c>
      <c r="C3356" s="3">
        <v>0.0</v>
      </c>
      <c r="D3356" s="3">
        <v>0.0</v>
      </c>
      <c r="E3356" s="3">
        <v>0.0</v>
      </c>
      <c r="F3356" s="3" t="s">
        <v>9776</v>
      </c>
      <c r="G3356" s="3">
        <v>1.0</v>
      </c>
      <c r="H3356" s="3">
        <v>0.0</v>
      </c>
      <c r="I3356" s="3" t="s">
        <v>13</v>
      </c>
      <c r="J3356" s="3" t="s">
        <v>9777</v>
      </c>
      <c r="K3356" s="3" t="s">
        <v>574</v>
      </c>
      <c r="L3356" s="3" t="str">
        <f>IFERROR(__xludf.DUMMYFUNCTION("GOOGLETRANSLATE(F3356,""id"",""en"")"),"Angel Maria was able to double the position when competing with France could be the captain Lionel Messi was the main actor for Argentina while competing the World Cup final against France Sunday")</f>
        <v>Angel Maria was able to double the position when competing with France could be the captain Lionel Messi was the main actor for Argentina while competing the World Cup final against France Sunday</v>
      </c>
    </row>
    <row r="3357" ht="15.75" customHeight="1">
      <c r="A3357" s="1">
        <v>3373.0</v>
      </c>
      <c r="B3357" s="3" t="s">
        <v>9778</v>
      </c>
      <c r="C3357" s="3">
        <v>2.0</v>
      </c>
      <c r="D3357" s="3">
        <v>0.0</v>
      </c>
      <c r="E3357" s="3">
        <v>0.0</v>
      </c>
      <c r="F3357" s="3" t="s">
        <v>9779</v>
      </c>
      <c r="G3357" s="3">
        <v>1.0</v>
      </c>
      <c r="H3357" s="3">
        <v>0.0</v>
      </c>
      <c r="I3357" s="3" t="s">
        <v>13</v>
      </c>
      <c r="J3357" s="3" t="s">
        <v>9780</v>
      </c>
      <c r="K3357" s="3" t="s">
        <v>15</v>
      </c>
      <c r="L3357" s="3" t="str">
        <f>IFERROR(__xludf.DUMMYFUNCTION("GOOGLETRANSLATE(F3357,""id"",""en"")"),"hear someone asking for the final pildun alias the World Cup repeated")</f>
        <v>hear someone asking for the final pildun alias the World Cup repeated</v>
      </c>
    </row>
    <row r="3358" ht="15.75" customHeight="1">
      <c r="A3358" s="1">
        <v>3374.0</v>
      </c>
      <c r="B3358" s="3" t="s">
        <v>9781</v>
      </c>
      <c r="C3358" s="3">
        <v>0.0</v>
      </c>
      <c r="D3358" s="3">
        <v>0.0</v>
      </c>
      <c r="E3358" s="3">
        <v>0.0</v>
      </c>
      <c r="F3358" s="3" t="s">
        <v>9782</v>
      </c>
      <c r="G3358" s="3">
        <v>1.0</v>
      </c>
      <c r="H3358" s="3">
        <v>0.0</v>
      </c>
      <c r="I3358" s="3" t="s">
        <v>13</v>
      </c>
      <c r="J3358" s="3" t="s">
        <v>9783</v>
      </c>
      <c r="K3358" s="3" t="s">
        <v>1912</v>
      </c>
      <c r="L3358" s="3" t="str">
        <f>IFERROR(__xludf.DUMMYFUNCTION("GOOGLETRANSLATE(F3358,""id"",""en"")"),"Indonesia likes drama like the World Cup Final yesterday, may Allah protect me even though it is unfair to me, even if God will not give me strength in the end of Budiman Sudjatmiko, who will determine the end result, not me")</f>
        <v>Indonesia likes drama like the World Cup Final yesterday, may Allah protect me even though it is unfair to me, even if God will not give me strength in the end of Budiman Sudjatmiko, who will determine the end result, not me</v>
      </c>
    </row>
    <row r="3359" ht="15.75" customHeight="1">
      <c r="A3359" s="1">
        <v>3375.0</v>
      </c>
      <c r="B3359" s="3" t="s">
        <v>9784</v>
      </c>
      <c r="C3359" s="3">
        <v>0.0</v>
      </c>
      <c r="D3359" s="3">
        <v>0.0</v>
      </c>
      <c r="E3359" s="3">
        <v>0.0</v>
      </c>
      <c r="F3359" s="3" t="s">
        <v>9785</v>
      </c>
      <c r="G3359" s="3">
        <v>1.0</v>
      </c>
      <c r="H3359" s="3">
        <v>0.0</v>
      </c>
      <c r="I3359" s="3" t="s">
        <v>13</v>
      </c>
      <c r="J3359" s="3" t="s">
        <v>9786</v>
      </c>
      <c r="K3359" s="3" t="s">
        <v>19</v>
      </c>
      <c r="L3359" s="3" t="str">
        <f>IFERROR(__xludf.DUMMYFUNCTION("GOOGLETRANSLATE(F3359,""id"",""en"")"),"Aya Wae Petition Asks for the World Cup Final Repeated to reach thousands of signatures")</f>
        <v>Aya Wae Petition Asks for the World Cup Final Repeated to reach thousands of signatures</v>
      </c>
    </row>
    <row r="3360" ht="15.75" customHeight="1">
      <c r="A3360" s="1">
        <v>3376.0</v>
      </c>
      <c r="B3360" s="3" t="s">
        <v>9787</v>
      </c>
      <c r="C3360" s="3">
        <v>0.0</v>
      </c>
      <c r="D3360" s="3">
        <v>0.0</v>
      </c>
      <c r="E3360" s="3">
        <v>0.0</v>
      </c>
      <c r="F3360" s="3" t="s">
        <v>9788</v>
      </c>
      <c r="G3360" s="3">
        <v>1.0</v>
      </c>
      <c r="H3360" s="3">
        <v>0.0</v>
      </c>
      <c r="I3360" s="3" t="s">
        <v>13</v>
      </c>
      <c r="J3360" s="3" t="s">
        <v>9789</v>
      </c>
      <c r="K3360" s="3" t="s">
        <v>1293</v>
      </c>
      <c r="L3360" s="3" t="str">
        <f>IFERROR(__xludf.DUMMYFUNCTION("GOOGLETRANSLATE(F3360,""id"",""en"")"),"Min, this is true that the jungle turns out to see the tweets of the DES DES World Cup Final date, DES DES Nyaburkah if it's Argentina stupid")</f>
        <v>Min, this is true that the jungle turns out to see the tweets of the DES DES World Cup Final date, DES DES Nyaburkah if it's Argentina stupid</v>
      </c>
    </row>
    <row r="3361" ht="15.75" customHeight="1">
      <c r="A3361" s="1">
        <v>3377.0</v>
      </c>
      <c r="B3361" s="3" t="s">
        <v>9790</v>
      </c>
      <c r="C3361" s="3">
        <v>0.0</v>
      </c>
      <c r="D3361" s="3">
        <v>0.0</v>
      </c>
      <c r="E3361" s="3">
        <v>1.0</v>
      </c>
      <c r="F3361" s="3" t="s">
        <v>9791</v>
      </c>
      <c r="G3361" s="3">
        <v>1.0</v>
      </c>
      <c r="H3361" s="3">
        <v>0.0</v>
      </c>
      <c r="I3361" s="3" t="s">
        <v>13</v>
      </c>
      <c r="J3361" s="3" t="s">
        <v>9792</v>
      </c>
      <c r="K3361" s="3" t="s">
        <v>41</v>
      </c>
      <c r="L3361" s="3" t="str">
        <f>IFERROR(__xludf.DUMMYFUNCTION("GOOGLETRANSLATE(F3361,""id"",""en"")"),"opponents Brentford Tottenham rests the player who appeared in the World Cup final")</f>
        <v>opponents Brentford Tottenham rests the player who appeared in the World Cup final</v>
      </c>
    </row>
    <row r="3362" ht="15.75" customHeight="1">
      <c r="A3362" s="1">
        <v>3378.0</v>
      </c>
      <c r="B3362" s="3" t="s">
        <v>9793</v>
      </c>
      <c r="C3362" s="3">
        <v>0.0</v>
      </c>
      <c r="D3362" s="3">
        <v>0.0</v>
      </c>
      <c r="E3362" s="3">
        <v>1.0</v>
      </c>
      <c r="F3362" s="3" t="s">
        <v>9794</v>
      </c>
      <c r="G3362" s="3">
        <v>1.0</v>
      </c>
      <c r="H3362" s="3">
        <v>0.0</v>
      </c>
      <c r="I3362" s="3" t="s">
        <v>13</v>
      </c>
      <c r="J3362" s="3" t="s">
        <v>9795</v>
      </c>
      <c r="K3362" s="3" t="s">
        <v>657</v>
      </c>
      <c r="L3362" s="3" t="str">
        <f>IFERROR(__xludf.DUMMYFUNCTION("GOOGLETRANSLATE(F3362,""id"",""en"")"),"The Malaysian coach called the Southeast Asian country who most likely to enter the World Cup finals was Vietnam")</f>
        <v>The Malaysian coach called the Southeast Asian country who most likely to enter the World Cup finals was Vietnam</v>
      </c>
    </row>
    <row r="3363" ht="15.75" customHeight="1">
      <c r="A3363" s="1">
        <v>3379.0</v>
      </c>
      <c r="B3363" s="3" t="s">
        <v>9796</v>
      </c>
      <c r="C3363" s="3">
        <v>0.0</v>
      </c>
      <c r="D3363" s="3">
        <v>0.0</v>
      </c>
      <c r="E3363" s="3">
        <v>0.0</v>
      </c>
      <c r="F3363" s="3" t="s">
        <v>9797</v>
      </c>
      <c r="G3363" s="3">
        <v>1.0</v>
      </c>
      <c r="H3363" s="3">
        <v>0.0</v>
      </c>
      <c r="I3363" s="3" t="s">
        <v>13</v>
      </c>
      <c r="J3363" s="3" t="s">
        <v>9798</v>
      </c>
      <c r="K3363" s="3" t="s">
        <v>1854</v>
      </c>
      <c r="L3363" s="3" t="str">
        <f>IFERROR(__xludf.DUMMYFUNCTION("GOOGLETRANSLATE(F3363,""id"",""en"")"),"it is called the achievement of the achievements of the Messi, the many trophies can be uploaded the world cup goals, the final Hattrick Final is worthy")</f>
        <v>it is called the achievement of the achievements of the Messi, the many trophies can be uploaded the world cup goals, the final Hattrick Final is worthy</v>
      </c>
    </row>
    <row r="3364" ht="15.75" customHeight="1">
      <c r="A3364" s="1">
        <v>3380.0</v>
      </c>
      <c r="B3364" s="3" t="s">
        <v>9799</v>
      </c>
      <c r="C3364" s="3">
        <v>0.0</v>
      </c>
      <c r="D3364" s="3">
        <v>0.0</v>
      </c>
      <c r="E3364" s="3">
        <v>0.0</v>
      </c>
      <c r="F3364" s="3" t="s">
        <v>9800</v>
      </c>
      <c r="G3364" s="3">
        <v>1.0</v>
      </c>
      <c r="H3364" s="3">
        <v>0.0</v>
      </c>
      <c r="I3364" s="3" t="s">
        <v>13</v>
      </c>
      <c r="J3364" s="3" t="s">
        <v>9801</v>
      </c>
      <c r="K3364" s="3" t="s">
        <v>9802</v>
      </c>
      <c r="L3364" s="3" t="str">
        <f>IFERROR(__xludf.DUMMYFUNCTION("GOOGLETRANSLATE(F3364,""id"",""en"")"),"Tottenham World Cup victims lost Richarlison Sunday absent against Arsenal and Man City Richarlison suffered a hamstring injury when appearing against Croatia quarter -finals of the Tottenham World Cup certainly lost Richarlison")</f>
        <v>Tottenham World Cup victims lost Richarlison Sunday absent against Arsenal and Man City Richarlison suffered a hamstring injury when appearing against Croatia quarter -finals of the Tottenham World Cup certainly lost Richarlison</v>
      </c>
    </row>
    <row r="3365" ht="15.75" customHeight="1">
      <c r="A3365" s="1">
        <v>3381.0</v>
      </c>
      <c r="B3365" s="3" t="s">
        <v>9803</v>
      </c>
      <c r="C3365" s="3">
        <v>0.0</v>
      </c>
      <c r="D3365" s="3">
        <v>0.0</v>
      </c>
      <c r="E3365" s="3">
        <v>0.0</v>
      </c>
      <c r="F3365" s="3" t="s">
        <v>9804</v>
      </c>
      <c r="G3365" s="3">
        <v>1.0</v>
      </c>
      <c r="H3365" s="3">
        <v>0.0</v>
      </c>
      <c r="I3365" s="3" t="s">
        <v>13</v>
      </c>
      <c r="J3365" s="3" t="s">
        <v>9805</v>
      </c>
      <c r="K3365" s="3" t="s">
        <v>82</v>
      </c>
      <c r="L3365" s="3" t="str">
        <f>IFERROR(__xludf.DUMMYFUNCTION("GOOGLETRANSLATE(F3365,""id"",""en"")"),"The emergence of the World Cup Final Petition between France Argentina")</f>
        <v>The emergence of the World Cup Final Petition between France Argentina</v>
      </c>
    </row>
    <row r="3366" ht="15.75" customHeight="1">
      <c r="A3366" s="1">
        <v>3382.0</v>
      </c>
      <c r="B3366" s="3" t="s">
        <v>9806</v>
      </c>
      <c r="C3366" s="3">
        <v>0.0</v>
      </c>
      <c r="D3366" s="3">
        <v>0.0</v>
      </c>
      <c r="E3366" s="3">
        <v>0.0</v>
      </c>
      <c r="F3366" s="3" t="s">
        <v>9807</v>
      </c>
      <c r="G3366" s="3">
        <v>1.0</v>
      </c>
      <c r="H3366" s="3">
        <v>0.0</v>
      </c>
      <c r="I3366" s="3" t="s">
        <v>13</v>
      </c>
      <c r="J3366" s="3" t="s">
        <v>9808</v>
      </c>
      <c r="K3366" s="3" t="s">
        <v>477</v>
      </c>
      <c r="L3366" s="3" t="str">
        <f>IFERROR(__xludf.DUMMYFUNCTION("GOOGLETRANSLATE(F3366,""id"",""en"")"),"Even though the World Cup final week is still angry with Pakdek")</f>
        <v>Even though the World Cup final week is still angry with Pakdek</v>
      </c>
    </row>
    <row r="3367" ht="15.75" customHeight="1">
      <c r="A3367" s="1">
        <v>3383.0</v>
      </c>
      <c r="B3367" s="3" t="s">
        <v>9809</v>
      </c>
      <c r="C3367" s="3">
        <v>0.0</v>
      </c>
      <c r="D3367" s="3">
        <v>0.0</v>
      </c>
      <c r="E3367" s="3">
        <v>0.0</v>
      </c>
      <c r="F3367" s="3" t="s">
        <v>9810</v>
      </c>
      <c r="G3367" s="3">
        <v>1.0</v>
      </c>
      <c r="H3367" s="3">
        <v>0.0</v>
      </c>
      <c r="I3367" s="3" t="s">
        <v>13</v>
      </c>
      <c r="J3367" s="3" t="s">
        <v>9811</v>
      </c>
      <c r="K3367" s="3" t="s">
        <v>15</v>
      </c>
      <c r="L3367" s="3" t="str">
        <f>IFERROR(__xludf.DUMMYFUNCTION("GOOGLETRANSLATE(F3367,""id"",""en"")"),"World Cup Final Referee Admits to make a fault that is harmful to France")</f>
        <v>World Cup Final Referee Admits to make a fault that is harmful to France</v>
      </c>
    </row>
    <row r="3368" ht="15.75" customHeight="1">
      <c r="A3368" s="1">
        <v>3384.0</v>
      </c>
      <c r="B3368" s="3" t="s">
        <v>9812</v>
      </c>
      <c r="C3368" s="3">
        <v>0.0</v>
      </c>
      <c r="D3368" s="3">
        <v>0.0</v>
      </c>
      <c r="E3368" s="3">
        <v>0.0</v>
      </c>
      <c r="F3368" s="3" t="s">
        <v>9813</v>
      </c>
      <c r="G3368" s="3">
        <v>1.0</v>
      </c>
      <c r="H3368" s="3">
        <v>0.0</v>
      </c>
      <c r="I3368" s="3" t="s">
        <v>13</v>
      </c>
      <c r="J3368" s="3" t="s">
        <v>9814</v>
      </c>
      <c r="K3368" s="3" t="s">
        <v>71</v>
      </c>
      <c r="L3368" s="3" t="str">
        <f>IFERROR(__xludf.DUMMYFUNCTION("GOOGLETRANSLATE(F3368,""id"",""en"")"),"Referee Var in the World Cup Final Tomasz Kwiatkowski opened his voice related to a flood of criticism aimed at his staff")</f>
        <v>Referee Var in the World Cup Final Tomasz Kwiatkowski opened his voice related to a flood of criticism aimed at his staff</v>
      </c>
    </row>
    <row r="3369" ht="15.75" customHeight="1">
      <c r="A3369" s="1">
        <v>3385.0</v>
      </c>
      <c r="B3369" s="3" t="s">
        <v>9815</v>
      </c>
      <c r="C3369" s="3">
        <v>0.0</v>
      </c>
      <c r="D3369" s="3">
        <v>0.0</v>
      </c>
      <c r="E3369" s="3">
        <v>0.0</v>
      </c>
      <c r="F3369" s="3" t="s">
        <v>9816</v>
      </c>
      <c r="G3369" s="3">
        <v>1.0</v>
      </c>
      <c r="H3369" s="3">
        <v>0.0</v>
      </c>
      <c r="I3369" s="3" t="s">
        <v>13</v>
      </c>
      <c r="J3369" s="3" t="s">
        <v>9817</v>
      </c>
      <c r="K3369" s="3" t="s">
        <v>123</v>
      </c>
      <c r="L3369" s="3" t="str">
        <f>IFERROR(__xludf.DUMMYFUNCTION("GOOGLETRANSLATE(F3369,""id"",""en"")"),"Min, see the date of the World Cup Final Goblookk on the date of the post of the head of the coconut shell")</f>
        <v>Min, see the date of the World Cup Final Goblookk on the date of the post of the head of the coconut shell</v>
      </c>
    </row>
    <row r="3370" ht="15.75" customHeight="1">
      <c r="A3370" s="1">
        <v>3386.0</v>
      </c>
      <c r="B3370" s="3" t="s">
        <v>9818</v>
      </c>
      <c r="C3370" s="3">
        <v>0.0</v>
      </c>
      <c r="D3370" s="3">
        <v>0.0</v>
      </c>
      <c r="E3370" s="3">
        <v>1.0</v>
      </c>
      <c r="F3370" s="3" t="s">
        <v>9810</v>
      </c>
      <c r="G3370" s="3">
        <v>1.0</v>
      </c>
      <c r="H3370" s="3">
        <v>0.0</v>
      </c>
      <c r="I3370" s="3" t="s">
        <v>13</v>
      </c>
      <c r="J3370" s="3" t="s">
        <v>9811</v>
      </c>
      <c r="K3370" s="3" t="s">
        <v>15</v>
      </c>
      <c r="L3370" s="3" t="str">
        <f>IFERROR(__xludf.DUMMYFUNCTION("GOOGLETRANSLATE(F3370,""id"",""en"")"),"World Cup Final Referee Admits to make a fault that is harmful to France")</f>
        <v>World Cup Final Referee Admits to make a fault that is harmful to France</v>
      </c>
    </row>
    <row r="3371" ht="15.75" customHeight="1">
      <c r="A3371" s="1">
        <v>3387.0</v>
      </c>
      <c r="B3371" s="3" t="s">
        <v>9819</v>
      </c>
      <c r="C3371" s="3">
        <v>0.0</v>
      </c>
      <c r="D3371" s="3">
        <v>0.0</v>
      </c>
      <c r="E3371" s="3">
        <v>0.0</v>
      </c>
      <c r="F3371" s="3" t="s">
        <v>9820</v>
      </c>
      <c r="G3371" s="3">
        <v>1.0</v>
      </c>
      <c r="H3371" s="3">
        <v>0.0</v>
      </c>
      <c r="I3371" s="3" t="s">
        <v>13</v>
      </c>
      <c r="J3371" s="3" t="s">
        <v>9821</v>
      </c>
      <c r="K3371" s="3" t="s">
        <v>192</v>
      </c>
      <c r="L3371" s="3" t="str">
        <f>IFERROR(__xludf.DUMMYFUNCTION("GOOGLETRANSLATE(F3371,""id"",""en"")"),"The petition appeared asking for the French Argetina World Cup final match to be repeated by the petition signed by more than thousands of reasons for the request to repeat the Argentine French match because of the decision of referee Szymon Marciniak who"&amp;" was considered controversial")</f>
        <v>The petition appeared asking for the French Argetina World Cup final match to be repeated by the petition signed by more than thousands of reasons for the request to repeat the Argentine French match because of the decision of referee Szymon Marciniak who was considered controversial</v>
      </c>
    </row>
    <row r="3372" ht="15.75" customHeight="1">
      <c r="A3372" s="1">
        <v>3388.0</v>
      </c>
      <c r="B3372" s="3" t="s">
        <v>9822</v>
      </c>
      <c r="C3372" s="3">
        <v>0.0</v>
      </c>
      <c r="D3372" s="3">
        <v>0.0</v>
      </c>
      <c r="E3372" s="3">
        <v>1.0</v>
      </c>
      <c r="F3372" s="3" t="s">
        <v>9823</v>
      </c>
      <c r="G3372" s="3">
        <v>1.0</v>
      </c>
      <c r="H3372" s="3">
        <v>0.0</v>
      </c>
      <c r="I3372" s="3" t="s">
        <v>13</v>
      </c>
      <c r="J3372" s="3" t="s">
        <v>9824</v>
      </c>
      <c r="K3372" s="3" t="s">
        <v>71</v>
      </c>
      <c r="L3372" s="3" t="str">
        <f>IFERROR(__xludf.DUMMYFUNCTION("GOOGLETRANSLATE(F3372,""id"",""en"")"),"Repeat the Qatar World Cup from Jungkook Perform Dreamers until Argentina won the final and miss")</f>
        <v>Repeat the Qatar World Cup from Jungkook Perform Dreamers until Argentina won the final and miss</v>
      </c>
    </row>
    <row r="3373" ht="15.75" customHeight="1">
      <c r="A3373" s="1">
        <v>3389.0</v>
      </c>
      <c r="B3373" s="3" t="s">
        <v>9825</v>
      </c>
      <c r="C3373" s="3">
        <v>0.0</v>
      </c>
      <c r="D3373" s="3">
        <v>0.0</v>
      </c>
      <c r="E3373" s="3">
        <v>0.0</v>
      </c>
      <c r="F3373" s="3" t="s">
        <v>2115</v>
      </c>
      <c r="G3373" s="3">
        <v>1.0</v>
      </c>
      <c r="H3373" s="3">
        <v>0.0</v>
      </c>
      <c r="I3373" s="3" t="s">
        <v>13</v>
      </c>
      <c r="J3373" s="3" t="s">
        <v>2116</v>
      </c>
      <c r="K3373" s="3" t="s">
        <v>2117</v>
      </c>
      <c r="L3373" s="3" t="str">
        <f>IFERROR(__xludf.DUMMYFUNCTION("GOOGLETRANSLATE(F3373,""id"",""en"")"),"World Cup Final")</f>
        <v>World Cup Final</v>
      </c>
    </row>
    <row r="3374" ht="15.75" customHeight="1">
      <c r="A3374" s="1">
        <v>3390.0</v>
      </c>
      <c r="B3374" s="3" t="s">
        <v>9826</v>
      </c>
      <c r="C3374" s="3">
        <v>0.0</v>
      </c>
      <c r="D3374" s="3">
        <v>0.0</v>
      </c>
      <c r="E3374" s="3">
        <v>0.0</v>
      </c>
      <c r="F3374" s="3" t="s">
        <v>9827</v>
      </c>
      <c r="G3374" s="3">
        <v>1.0</v>
      </c>
      <c r="H3374" s="3">
        <v>0.0</v>
      </c>
      <c r="I3374" s="3" t="s">
        <v>13</v>
      </c>
      <c r="J3374" s="3" t="s">
        <v>9828</v>
      </c>
      <c r="K3374" s="3" t="s">
        <v>1293</v>
      </c>
      <c r="L3374" s="3" t="str">
        <f>IFERROR(__xludf.DUMMYFUNCTION("GOOGLETRANSLATE(F3374,""id"",""en"")"),"South Korea is the Asian country the most often passed the World Cup final lecture they passed the river and of them in a row")</f>
        <v>South Korea is the Asian country the most often passed the World Cup final lecture they passed the river and of them in a row</v>
      </c>
    </row>
    <row r="3375" ht="15.75" customHeight="1">
      <c r="A3375" s="1">
        <v>3391.0</v>
      </c>
      <c r="B3375" s="3" t="s">
        <v>9829</v>
      </c>
      <c r="C3375" s="3">
        <v>0.0</v>
      </c>
      <c r="D3375" s="3">
        <v>0.0</v>
      </c>
      <c r="E3375" s="3">
        <v>0.0</v>
      </c>
      <c r="F3375" s="3" t="s">
        <v>9830</v>
      </c>
      <c r="G3375" s="3">
        <v>1.0</v>
      </c>
      <c r="H3375" s="3">
        <v>0.0</v>
      </c>
      <c r="I3375" s="3" t="s">
        <v>13</v>
      </c>
      <c r="J3375" s="3" t="s">
        <v>9831</v>
      </c>
      <c r="K3375" s="3" t="s">
        <v>75</v>
      </c>
      <c r="L3375" s="3" t="str">
        <f>IFERROR(__xludf.DUMMYFUNCTION("GOOGLETRANSLATE(F3375,""id"",""en"")"),"The World Cup Final Referee explained why Messi's goal that was protested remained valid")</f>
        <v>The World Cup Final Referee explained why Messi's goal that was protested remained valid</v>
      </c>
    </row>
    <row r="3376" ht="15.75" customHeight="1">
      <c r="A3376" s="1">
        <v>3392.0</v>
      </c>
      <c r="B3376" s="3" t="s">
        <v>9832</v>
      </c>
      <c r="C3376" s="3">
        <v>0.0</v>
      </c>
      <c r="D3376" s="3">
        <v>0.0</v>
      </c>
      <c r="E3376" s="3">
        <v>0.0</v>
      </c>
      <c r="F3376" s="3" t="s">
        <v>9833</v>
      </c>
      <c r="G3376" s="3">
        <v>1.0</v>
      </c>
      <c r="H3376" s="3">
        <v>0.0</v>
      </c>
      <c r="I3376" s="3" t="s">
        <v>13</v>
      </c>
      <c r="J3376" s="3" t="s">
        <v>9834</v>
      </c>
      <c r="K3376" s="3" t="s">
        <v>50</v>
      </c>
      <c r="L3376" s="3" t="str">
        <f>IFERROR(__xludf.DUMMYFUNCTION("GOOGLETRANSLATE(F3376,""id"",""en"")"),"Argentina Champion French Supporters Ask for the World Cup Final Match Repeated Entryurl")</f>
        <v>Argentina Champion French Supporters Ask for the World Cup Final Match Repeated Entryurl</v>
      </c>
    </row>
    <row r="3377" ht="15.75" customHeight="1">
      <c r="A3377" s="1">
        <v>3393.0</v>
      </c>
      <c r="B3377" s="3" t="s">
        <v>9835</v>
      </c>
      <c r="C3377" s="3">
        <v>0.0</v>
      </c>
      <c r="D3377" s="3">
        <v>0.0</v>
      </c>
      <c r="E3377" s="3">
        <v>0.0</v>
      </c>
      <c r="F3377" s="3" t="s">
        <v>9836</v>
      </c>
      <c r="G3377" s="3">
        <v>0.9</v>
      </c>
      <c r="H3377" s="3">
        <v>-0.4</v>
      </c>
      <c r="I3377" s="3" t="s">
        <v>179</v>
      </c>
      <c r="J3377" s="3" t="s">
        <v>9837</v>
      </c>
      <c r="K3377" s="3" t="s">
        <v>240</v>
      </c>
      <c r="L3377" s="3" t="str">
        <f>IFERROR(__xludf.DUMMYFUNCTION("GOOGLETRANSLATE(F3377,""id"",""en"")"),"Min Woyyyy Idiot World Cup Final on December How is the story celebrating Argentina Champion Champion for your supporters sir")</f>
        <v>Min Woyyyy Idiot World Cup Final on December How is the story celebrating Argentina Champion Champion for your supporters sir</v>
      </c>
    </row>
    <row r="3378" ht="15.75" customHeight="1">
      <c r="A3378" s="1">
        <v>3394.0</v>
      </c>
      <c r="B3378" s="3" t="s">
        <v>9838</v>
      </c>
      <c r="C3378" s="3">
        <v>0.0</v>
      </c>
      <c r="D3378" s="3">
        <v>0.0</v>
      </c>
      <c r="E3378" s="3">
        <v>1.0</v>
      </c>
      <c r="F3378" s="3" t="s">
        <v>9839</v>
      </c>
      <c r="G3378" s="3">
        <v>1.0</v>
      </c>
      <c r="H3378" s="3">
        <v>0.0</v>
      </c>
      <c r="I3378" s="3" t="s">
        <v>13</v>
      </c>
      <c r="J3378" s="3" t="s">
        <v>9840</v>
      </c>
      <c r="K3378" s="3" t="s">
        <v>82</v>
      </c>
      <c r="L3378" s="3" t="str">
        <f>IFERROR(__xludf.DUMMYFUNCTION("GOOGLETRANSLATE(F3378,""id"",""en"")"),"this is really fun to beat the World Cup Final")</f>
        <v>this is really fun to beat the World Cup Final</v>
      </c>
    </row>
    <row r="3379" ht="15.75" customHeight="1">
      <c r="A3379" s="1">
        <v>3395.0</v>
      </c>
      <c r="B3379" s="3" t="s">
        <v>9841</v>
      </c>
      <c r="C3379" s="3">
        <v>1.0</v>
      </c>
      <c r="D3379" s="3">
        <v>1.0</v>
      </c>
      <c r="E3379" s="3">
        <v>5.0</v>
      </c>
      <c r="F3379" s="3" t="s">
        <v>9842</v>
      </c>
      <c r="G3379" s="3">
        <v>1.0</v>
      </c>
      <c r="H3379" s="3">
        <v>0.0</v>
      </c>
      <c r="I3379" s="3" t="s">
        <v>13</v>
      </c>
      <c r="J3379" s="3" t="s">
        <v>9843</v>
      </c>
      <c r="K3379" s="3" t="s">
        <v>240</v>
      </c>
      <c r="L3379" s="3" t="str">
        <f>IFERROR(__xludf.DUMMYFUNCTION("GOOGLETRANSLATE(F3379,""id"",""en"")"),"Liverpool legend Graeme Souness condemned the attitude of Emiliano Martinez World Cup Final Argentine goalkeeper was considered to have embarrassed his country")</f>
        <v>Liverpool legend Graeme Souness condemned the attitude of Emiliano Martinez World Cup Final Argentine goalkeeper was considered to have embarrassed his country</v>
      </c>
    </row>
    <row r="3380" ht="15.75" customHeight="1">
      <c r="A3380" s="1">
        <v>3396.0</v>
      </c>
      <c r="B3380" s="3" t="s">
        <v>9844</v>
      </c>
      <c r="C3380" s="3">
        <v>0.0</v>
      </c>
      <c r="D3380" s="3">
        <v>0.0</v>
      </c>
      <c r="E3380" s="3">
        <v>0.0</v>
      </c>
      <c r="F3380" s="3" t="s">
        <v>9845</v>
      </c>
      <c r="G3380" s="3">
        <v>1.0</v>
      </c>
      <c r="H3380" s="3">
        <v>0.0</v>
      </c>
      <c r="I3380" s="3" t="s">
        <v>13</v>
      </c>
      <c r="J3380" s="3" t="s">
        <v>9846</v>
      </c>
      <c r="K3380" s="3" t="s">
        <v>75</v>
      </c>
      <c r="L3380" s="3" t="str">
        <f>IFERROR(__xludf.DUMMYFUNCTION("GOOGLETRANSLATE(F3380,""id"",""en"")"),"Argentina Champion French Supporters Ask for the World Cup Final Match Repeated")</f>
        <v>Argentina Champion French Supporters Ask for the World Cup Final Match Repeated</v>
      </c>
    </row>
    <row r="3381" ht="15.75" customHeight="1">
      <c r="A3381" s="1">
        <v>3397.0</v>
      </c>
      <c r="B3381" s="3" t="s">
        <v>9847</v>
      </c>
      <c r="C3381" s="3">
        <v>0.0</v>
      </c>
      <c r="D3381" s="3">
        <v>0.0</v>
      </c>
      <c r="E3381" s="3">
        <v>0.0</v>
      </c>
      <c r="F3381" s="3" t="s">
        <v>9848</v>
      </c>
      <c r="G3381" s="3">
        <v>1.0</v>
      </c>
      <c r="H3381" s="3">
        <v>0.0</v>
      </c>
      <c r="I3381" s="3" t="s">
        <v>13</v>
      </c>
      <c r="J3381" s="3" t="s">
        <v>9849</v>
      </c>
      <c r="K3381" s="3" t="s">
        <v>15</v>
      </c>
      <c r="L3381" s="3" t="str">
        <f>IFERROR(__xludf.DUMMYFUNCTION("GOOGLETRANSLATE(F3381,""id"",""en"")"),"World Cup Final Referee Serang Behind the French Media")</f>
        <v>World Cup Final Referee Serang Behind the French Media</v>
      </c>
    </row>
    <row r="3382" ht="15.75" customHeight="1">
      <c r="A3382" s="1">
        <v>3398.0</v>
      </c>
      <c r="B3382" s="3" t="s">
        <v>9850</v>
      </c>
      <c r="C3382" s="3">
        <v>0.0</v>
      </c>
      <c r="D3382" s="3">
        <v>0.0</v>
      </c>
      <c r="E3382" s="3">
        <v>0.0</v>
      </c>
      <c r="F3382" s="3" t="s">
        <v>9851</v>
      </c>
      <c r="G3382" s="3">
        <v>1.0</v>
      </c>
      <c r="H3382" s="3">
        <v>0.0</v>
      </c>
      <c r="I3382" s="3" t="s">
        <v>13</v>
      </c>
      <c r="J3382" s="3" t="s">
        <v>9852</v>
      </c>
      <c r="K3382" s="3" t="s">
        <v>510</v>
      </c>
      <c r="L3382" s="3" t="str">
        <f>IFERROR(__xludf.DUMMYFUNCTION("GOOGLETRANSLATE(F3382,""id"",""en"")"),"recognition of the sins of the world cup final referee makes blunder disadvantaged France viva google sports news")</f>
        <v>recognition of the sins of the world cup final referee makes blunder disadvantaged France viva google sports news</v>
      </c>
    </row>
    <row r="3383" ht="15.75" customHeight="1">
      <c r="A3383" s="1">
        <v>3399.0</v>
      </c>
      <c r="B3383" s="3" t="s">
        <v>9853</v>
      </c>
      <c r="C3383" s="3">
        <v>6.0</v>
      </c>
      <c r="D3383" s="3">
        <v>1.0</v>
      </c>
      <c r="E3383" s="3">
        <v>1.0</v>
      </c>
      <c r="F3383" s="3" t="s">
        <v>9854</v>
      </c>
      <c r="G3383" s="3">
        <v>1.0</v>
      </c>
      <c r="H3383" s="3">
        <v>0.0</v>
      </c>
      <c r="I3383" s="3" t="s">
        <v>13</v>
      </c>
      <c r="J3383" s="3" t="s">
        <v>9855</v>
      </c>
      <c r="K3383" s="3" t="s">
        <v>50</v>
      </c>
      <c r="L3383" s="3" t="str">
        <f>IFERROR(__xludf.DUMMYFUNCTION("GOOGLETRANSLATE(F3383,""id"",""en"")"),"France was defeated by Argentina in the final match of the Lusail Stadium World Cup last week")</f>
        <v>France was defeated by Argentina in the final match of the Lusail Stadium World Cup last week</v>
      </c>
    </row>
    <row r="3384" ht="15.75" customHeight="1">
      <c r="A3384" s="1">
        <v>3400.0</v>
      </c>
      <c r="B3384" s="3" t="s">
        <v>9856</v>
      </c>
      <c r="C3384" s="3">
        <v>0.0</v>
      </c>
      <c r="D3384" s="3">
        <v>0.0</v>
      </c>
      <c r="E3384" s="3">
        <v>0.0</v>
      </c>
      <c r="F3384" s="3" t="s">
        <v>9851</v>
      </c>
      <c r="G3384" s="3">
        <v>1.0</v>
      </c>
      <c r="H3384" s="3">
        <v>0.0</v>
      </c>
      <c r="I3384" s="3" t="s">
        <v>13</v>
      </c>
      <c r="J3384" s="3" t="s">
        <v>9852</v>
      </c>
      <c r="K3384" s="3" t="s">
        <v>510</v>
      </c>
      <c r="L3384" s="3" t="str">
        <f>IFERROR(__xludf.DUMMYFUNCTION("GOOGLETRANSLATE(F3384,""id"",""en"")"),"recognition of the sins of the world cup final referee makes blunder disadvantaged France viva google sports news")</f>
        <v>recognition of the sins of the world cup final referee makes blunder disadvantaged France viva google sports news</v>
      </c>
    </row>
    <row r="3385" ht="15.75" customHeight="1">
      <c r="A3385" s="1">
        <v>3401.0</v>
      </c>
      <c r="B3385" s="3" t="s">
        <v>9857</v>
      </c>
      <c r="C3385" s="3">
        <v>0.0</v>
      </c>
      <c r="D3385" s="3">
        <v>0.0</v>
      </c>
      <c r="E3385" s="3">
        <v>33.0</v>
      </c>
      <c r="F3385" s="3" t="s">
        <v>9858</v>
      </c>
      <c r="G3385" s="3">
        <v>0.8333333333333333</v>
      </c>
      <c r="H3385" s="3">
        <v>0.1666666666666667</v>
      </c>
      <c r="I3385" s="3" t="s">
        <v>48</v>
      </c>
      <c r="J3385" s="3" t="s">
        <v>9859</v>
      </c>
      <c r="K3385" s="3" t="s">
        <v>1699</v>
      </c>
      <c r="L3385" s="3" t="str">
        <f>IFERROR(__xludf.DUMMYFUNCTION("GOOGLETRANSLATE(F3385,""id"",""en"")"),"Do you want to play the Spanish Super Cup Lewandowski because this will be my first match after the World Cup and it will be very exciting for the first time to focus on playing well the semifinals and then can play final")</f>
        <v>Do you want to play the Spanish Super Cup Lewandowski because this will be my first match after the World Cup and it will be very exciting for the first time to focus on playing well the semifinals and then can play final</v>
      </c>
    </row>
    <row r="3386" ht="15.75" customHeight="1">
      <c r="A3386" s="1">
        <v>3402.0</v>
      </c>
      <c r="B3386" s="3" t="s">
        <v>9860</v>
      </c>
      <c r="C3386" s="3">
        <v>0.0</v>
      </c>
      <c r="D3386" s="3">
        <v>0.0</v>
      </c>
      <c r="E3386" s="3">
        <v>0.0</v>
      </c>
      <c r="F3386" s="3" t="s">
        <v>9861</v>
      </c>
      <c r="G3386" s="3">
        <v>1.0</v>
      </c>
      <c r="H3386" s="3">
        <v>0.0</v>
      </c>
      <c r="I3386" s="3" t="s">
        <v>13</v>
      </c>
      <c r="J3386" s="3" t="s">
        <v>9862</v>
      </c>
      <c r="K3386" s="3" t="s">
        <v>1265</v>
      </c>
      <c r="L3386" s="3" t="str">
        <f>IFERROR(__xludf.DUMMYFUNCTION("GOOGLETRANSLATE(F3386,""id"",""en"")"),"Duel Argentina French World Cup is considered the best final in the history of the World Cup")</f>
        <v>Duel Argentina French World Cup is considered the best final in the history of the World Cup</v>
      </c>
    </row>
    <row r="3387" ht="15.75" customHeight="1">
      <c r="A3387" s="1">
        <v>3403.0</v>
      </c>
      <c r="B3387" s="3" t="s">
        <v>9863</v>
      </c>
      <c r="C3387" s="3">
        <v>0.0</v>
      </c>
      <c r="D3387" s="3">
        <v>0.0</v>
      </c>
      <c r="E3387" s="3">
        <v>0.0</v>
      </c>
      <c r="F3387" s="3" t="s">
        <v>9864</v>
      </c>
      <c r="G3387" s="3">
        <v>1.0</v>
      </c>
      <c r="H3387" s="3">
        <v>0.0</v>
      </c>
      <c r="I3387" s="3" t="s">
        <v>13</v>
      </c>
      <c r="J3387" s="3" t="s">
        <v>9865</v>
      </c>
      <c r="K3387" s="3" t="s">
        <v>58</v>
      </c>
      <c r="L3387" s="3" t="str">
        <f>IFERROR(__xludf.DUMMYFUNCTION("GOOGLETRANSLATE(F3387,""id"",""en"")"),"the humps must be very disappointed sadly similar to losing the world cup final penalties")</f>
        <v>the humps must be very disappointed sadly similar to losing the world cup final penalties</v>
      </c>
    </row>
    <row r="3388" ht="15.75" customHeight="1">
      <c r="A3388" s="1">
        <v>3404.0</v>
      </c>
      <c r="B3388" s="3" t="s">
        <v>9866</v>
      </c>
      <c r="C3388" s="3">
        <v>22.0</v>
      </c>
      <c r="D3388" s="3">
        <v>44.0</v>
      </c>
      <c r="E3388" s="3">
        <v>46.0</v>
      </c>
      <c r="F3388" s="3" t="s">
        <v>9867</v>
      </c>
      <c r="G3388" s="3">
        <v>1.0</v>
      </c>
      <c r="H3388" s="3">
        <v>0.0</v>
      </c>
      <c r="I3388" s="3" t="s">
        <v>13</v>
      </c>
      <c r="J3388" s="3" t="s">
        <v>9868</v>
      </c>
      <c r="K3388" s="3" t="s">
        <v>8160</v>
      </c>
      <c r="L3388" s="3" t="str">
        <f>IFERROR(__xludf.DUMMYFUNCTION("GOOGLETRANSLATE(F3388,""id"",""en"")"),"Petitions appear containing the World Cup final request must be repeated the reason because Maria deliberately fell so that it made a penalty even though her contact with Dembele is very thin, the signature that all France is all")</f>
        <v>Petitions appear containing the World Cup final request must be repeated the reason because Maria deliberately fell so that it made a penalty even though her contact with Dembele is very thin, the signature that all France is all</v>
      </c>
    </row>
    <row r="3389" ht="15.75" customHeight="1">
      <c r="A3389" s="1">
        <v>3405.0</v>
      </c>
      <c r="B3389" s="3" t="s">
        <v>9869</v>
      </c>
      <c r="C3389" s="3">
        <v>0.0</v>
      </c>
      <c r="D3389" s="3">
        <v>0.0</v>
      </c>
      <c r="E3389" s="3">
        <v>0.0</v>
      </c>
      <c r="F3389" s="3" t="s">
        <v>9870</v>
      </c>
      <c r="G3389" s="3">
        <v>1.0</v>
      </c>
      <c r="H3389" s="3">
        <v>0.0</v>
      </c>
      <c r="I3389" s="3" t="s">
        <v>13</v>
      </c>
      <c r="J3389" s="3" t="s">
        <v>9871</v>
      </c>
      <c r="K3389" s="3" t="s">
        <v>1366</v>
      </c>
      <c r="L3389" s="3" t="str">
        <f>IFERROR(__xludf.DUMMYFUNCTION("GOOGLETRANSLATE(F3389,""id"",""en"")"),"When the Copa America champion there was a final, it was said that the burden on the team now, the World Cup champion, fought the goal, the final was even more like that, it was said")</f>
        <v>When the Copa America champion there was a final, it was said that the burden on the team now, the World Cup champion, fought the goal, the final was even more like that, it was said</v>
      </c>
    </row>
    <row r="3390" ht="15.75" customHeight="1">
      <c r="A3390" s="1">
        <v>3406.0</v>
      </c>
      <c r="B3390" s="3" t="s">
        <v>9872</v>
      </c>
      <c r="C3390" s="3">
        <v>0.0</v>
      </c>
      <c r="D3390" s="3">
        <v>0.0</v>
      </c>
      <c r="E3390" s="3">
        <v>0.0</v>
      </c>
      <c r="F3390" s="3" t="s">
        <v>9873</v>
      </c>
      <c r="G3390" s="3">
        <v>1.0</v>
      </c>
      <c r="H3390" s="3">
        <v>0.0</v>
      </c>
      <c r="I3390" s="3" t="s">
        <v>13</v>
      </c>
      <c r="J3390" s="3" t="s">
        <v>9874</v>
      </c>
      <c r="K3390" s="3" t="s">
        <v>19</v>
      </c>
      <c r="L3390" s="3" t="str">
        <f>IFERROR(__xludf.DUMMYFUNCTION("GOOGLETRANSLATE(F3390,""id"",""en"")"),"Mario Kempes's goal in the Argentina World Cup final triggered a paper storm throughout the stadium")</f>
        <v>Mario Kempes's goal in the Argentina World Cup final triggered a paper storm throughout the stadium</v>
      </c>
    </row>
    <row r="3391" ht="15.75" customHeight="1">
      <c r="A3391" s="1">
        <v>3407.0</v>
      </c>
      <c r="B3391" s="3" t="s">
        <v>9875</v>
      </c>
      <c r="C3391" s="3">
        <v>0.0</v>
      </c>
      <c r="D3391" s="3">
        <v>3.0</v>
      </c>
      <c r="E3391" s="3">
        <v>9.0</v>
      </c>
      <c r="F3391" s="3" t="s">
        <v>9842</v>
      </c>
      <c r="G3391" s="3">
        <v>1.0</v>
      </c>
      <c r="H3391" s="3">
        <v>0.0</v>
      </c>
      <c r="I3391" s="3" t="s">
        <v>13</v>
      </c>
      <c r="J3391" s="3" t="s">
        <v>9843</v>
      </c>
      <c r="K3391" s="3" t="s">
        <v>240</v>
      </c>
      <c r="L3391" s="3" t="str">
        <f>IFERROR(__xludf.DUMMYFUNCTION("GOOGLETRANSLATE(F3391,""id"",""en"")"),"Liverpool legend Graeme Souness condemned the attitude of Emiliano Martinez World Cup Final Argentine goalkeeper was considered to have embarrassed his country")</f>
        <v>Liverpool legend Graeme Souness condemned the attitude of Emiliano Martinez World Cup Final Argentine goalkeeper was considered to have embarrassed his country</v>
      </c>
    </row>
    <row r="3392" ht="15.75" customHeight="1">
      <c r="A3392" s="1">
        <v>3408.0</v>
      </c>
      <c r="B3392" s="3" t="s">
        <v>9876</v>
      </c>
      <c r="C3392" s="3">
        <v>3.0</v>
      </c>
      <c r="D3392" s="3">
        <v>7.0</v>
      </c>
      <c r="E3392" s="3">
        <v>41.0</v>
      </c>
      <c r="F3392" s="3" t="s">
        <v>9877</v>
      </c>
      <c r="G3392" s="3">
        <v>1.0</v>
      </c>
      <c r="H3392" s="3">
        <v>0.0</v>
      </c>
      <c r="I3392" s="3" t="s">
        <v>13</v>
      </c>
      <c r="J3392" s="3" t="s">
        <v>9878</v>
      </c>
      <c r="K3392" s="3" t="s">
        <v>1870</v>
      </c>
      <c r="L3392" s="3" t="str">
        <f>IFERROR(__xludf.DUMMYFUNCTION("GOOGLETRANSLATE(F3392,""id"",""en"")"),"France is unable to protect its citizens to celebrate the semi -final victory of the World Cup raising the French flag of the house of Sdiri, which was disturbed")</f>
        <v>France is unable to protect its citizens to celebrate the semi -final victory of the World Cup raising the French flag of the house of Sdiri, which was disturbed</v>
      </c>
    </row>
    <row r="3393" ht="15.75" customHeight="1">
      <c r="A3393" s="1">
        <v>3409.0</v>
      </c>
      <c r="B3393" s="3" t="s">
        <v>9879</v>
      </c>
      <c r="C3393" s="3">
        <v>0.0</v>
      </c>
      <c r="D3393" s="3">
        <v>0.0</v>
      </c>
      <c r="E3393" s="3">
        <v>0.0</v>
      </c>
      <c r="F3393" s="3" t="s">
        <v>9880</v>
      </c>
      <c r="G3393" s="3">
        <v>1.0</v>
      </c>
      <c r="H3393" s="3">
        <v>0.0</v>
      </c>
      <c r="I3393" s="3" t="s">
        <v>13</v>
      </c>
      <c r="J3393" s="3" t="s">
        <v>9881</v>
      </c>
      <c r="K3393" s="3" t="s">
        <v>510</v>
      </c>
      <c r="L3393" s="3" t="str">
        <f>IFERROR(__xludf.DUMMYFUNCTION("GOOGLETRANSLATE(F3393,""id"",""en"")"),"National businessman Boy Thohir witnessed the final of the Lusail Qatar World Cup in December")</f>
        <v>National businessman Boy Thohir witnessed the final of the Lusail Qatar World Cup in December</v>
      </c>
    </row>
    <row r="3394" ht="15.75" customHeight="1">
      <c r="A3394" s="1">
        <v>3410.0</v>
      </c>
      <c r="B3394" s="3" t="s">
        <v>9882</v>
      </c>
      <c r="C3394" s="3">
        <v>0.0</v>
      </c>
      <c r="D3394" s="3">
        <v>0.0</v>
      </c>
      <c r="E3394" s="3">
        <v>0.0</v>
      </c>
      <c r="F3394" s="3" t="s">
        <v>9883</v>
      </c>
      <c r="G3394" s="3">
        <v>1.0</v>
      </c>
      <c r="H3394" s="3">
        <v>0.0</v>
      </c>
      <c r="I3394" s="3" t="s">
        <v>13</v>
      </c>
      <c r="J3394" s="3" t="s">
        <v>9884</v>
      </c>
      <c r="K3394" s="3" t="s">
        <v>75</v>
      </c>
      <c r="L3394" s="3" t="str">
        <f>IFERROR(__xludf.DUMMYFUNCTION("GOOGLETRANSLATE(F3394,""id"",""en"")"),"World Cup Final Referee Admits to make a fault that is harmful to France Click to read")</f>
        <v>World Cup Final Referee Admits to make a fault that is harmful to France Click to read</v>
      </c>
    </row>
    <row r="3395" ht="15.75" customHeight="1">
      <c r="A3395" s="1">
        <v>3411.0</v>
      </c>
      <c r="B3395" s="3" t="s">
        <v>9885</v>
      </c>
      <c r="C3395" s="3">
        <v>1.0</v>
      </c>
      <c r="D3395" s="3">
        <v>0.0</v>
      </c>
      <c r="E3395" s="3">
        <v>0.0</v>
      </c>
      <c r="F3395" s="3" t="s">
        <v>9886</v>
      </c>
      <c r="G3395" s="3">
        <v>1.0</v>
      </c>
      <c r="H3395" s="3">
        <v>0.0</v>
      </c>
      <c r="I3395" s="3" t="s">
        <v>13</v>
      </c>
      <c r="J3395" s="3" t="s">
        <v>9887</v>
      </c>
      <c r="K3395" s="3" t="s">
        <v>205</v>
      </c>
      <c r="L3395" s="3" t="str">
        <f>IFERROR(__xludf.DUMMYFUNCTION("GOOGLETRANSLATE(F3395,""id"",""en"")"),"The Netherlands was held on July because of July there was the final Wimbledon Final match of the Spanish World Cup second group phase and the commemoration of the United States Anniversary")</f>
        <v>The Netherlands was held on July because of July there was the final Wimbledon Final match of the Spanish World Cup second group phase and the commemoration of the United States Anniversary</v>
      </c>
    </row>
    <row r="3396" ht="15.75" customHeight="1">
      <c r="A3396" s="1">
        <v>3412.0</v>
      </c>
      <c r="B3396" s="3" t="s">
        <v>9888</v>
      </c>
      <c r="C3396" s="3">
        <v>0.0</v>
      </c>
      <c r="D3396" s="3">
        <v>0.0</v>
      </c>
      <c r="E3396" s="3">
        <v>1.0</v>
      </c>
      <c r="F3396" s="3" t="s">
        <v>9889</v>
      </c>
      <c r="G3396" s="3">
        <v>1.0</v>
      </c>
      <c r="H3396" s="3">
        <v>0.0</v>
      </c>
      <c r="I3396" s="3" t="s">
        <v>13</v>
      </c>
      <c r="J3396" s="3" t="s">
        <v>9890</v>
      </c>
      <c r="K3396" s="3" t="s">
        <v>19</v>
      </c>
      <c r="L3396" s="3" t="str">
        <f>IFERROR(__xludf.DUMMYFUNCTION("GOOGLETRANSLATE(F3396,""id"",""en"")"),"befien just neatly continue to the world cup final in December for entertainment")</f>
        <v>befien just neatly continue to the world cup final in December for entertainment</v>
      </c>
    </row>
    <row r="3397" ht="15.75" customHeight="1">
      <c r="A3397" s="1">
        <v>3413.0</v>
      </c>
      <c r="B3397" s="3" t="s">
        <v>9891</v>
      </c>
      <c r="C3397" s="3">
        <v>0.0</v>
      </c>
      <c r="D3397" s="3">
        <v>0.0</v>
      </c>
      <c r="E3397" s="3">
        <v>0.0</v>
      </c>
      <c r="F3397" s="3" t="s">
        <v>9892</v>
      </c>
      <c r="G3397" s="3">
        <v>1.0</v>
      </c>
      <c r="H3397" s="3">
        <v>0.0</v>
      </c>
      <c r="I3397" s="3" t="s">
        <v>13</v>
      </c>
      <c r="J3397" s="3" t="s">
        <v>9893</v>
      </c>
      <c r="K3397" s="3" t="s">
        <v>15</v>
      </c>
      <c r="L3397" s="3" t="str">
        <f>IFERROR(__xludf.DUMMYFUNCTION("GOOGLETRANSLATE(F3397,""id"",""en"")"),"MARK ZUCKERBERG MILLY MESSAGE WHATSAPP During the World Cup Final")</f>
        <v>MARK ZUCKERBERG MILLY MESSAGE WHATSAPP During the World Cup Final</v>
      </c>
    </row>
    <row r="3398" ht="15.75" customHeight="1">
      <c r="A3398" s="1">
        <v>3414.0</v>
      </c>
      <c r="B3398" s="3" t="s">
        <v>9894</v>
      </c>
      <c r="C3398" s="3">
        <v>0.0</v>
      </c>
      <c r="D3398" s="3">
        <v>0.0</v>
      </c>
      <c r="E3398" s="3">
        <v>1.0</v>
      </c>
      <c r="F3398" s="3" t="s">
        <v>9895</v>
      </c>
      <c r="G3398" s="3">
        <v>1.0</v>
      </c>
      <c r="H3398" s="3">
        <v>0.0</v>
      </c>
      <c r="I3398" s="3" t="s">
        <v>13</v>
      </c>
      <c r="J3398" s="3" t="s">
        <v>9896</v>
      </c>
      <c r="K3398" s="3" t="s">
        <v>1978</v>
      </c>
      <c r="L3398" s="3" t="str">
        <f>IFERROR(__xludf.DUMMYFUNCTION("GOOGLETRANSLATE(F3398,""id"",""en"")"),"Ronaldo if the euro is better than the euro champion euro not to enter the World Cup final, why is the Euro champion not entering the pildun")</f>
        <v>Ronaldo if the euro is better than the euro champion euro not to enter the World Cup final, why is the Euro champion not entering the pildun</v>
      </c>
    </row>
    <row r="3399" ht="15.75" customHeight="1">
      <c r="A3399" s="1">
        <v>3415.0</v>
      </c>
      <c r="B3399" s="3" t="s">
        <v>9897</v>
      </c>
      <c r="C3399" s="3">
        <v>0.0</v>
      </c>
      <c r="D3399" s="3">
        <v>0.0</v>
      </c>
      <c r="E3399" s="3">
        <v>0.0</v>
      </c>
      <c r="F3399" s="3" t="s">
        <v>9898</v>
      </c>
      <c r="G3399" s="3">
        <v>1.0</v>
      </c>
      <c r="H3399" s="3">
        <v>0.0</v>
      </c>
      <c r="I3399" s="3" t="s">
        <v>13</v>
      </c>
      <c r="J3399" s="3" t="s">
        <v>9899</v>
      </c>
      <c r="K3399" s="3" t="s">
        <v>50</v>
      </c>
      <c r="L3399" s="3" t="str">
        <f>IFERROR(__xludf.DUMMYFUNCTION("GOOGLETRANSLATE(F3399,""id"",""en"")"),"Final World Cup Chairperson of Siak Regency PWRI Holds Watching Together with Nkripost")</f>
        <v>Final World Cup Chairperson of Siak Regency PWRI Holds Watching Together with Nkripost</v>
      </c>
    </row>
    <row r="3400" ht="15.75" customHeight="1">
      <c r="A3400" s="1">
        <v>3416.0</v>
      </c>
      <c r="B3400" s="3" t="s">
        <v>9900</v>
      </c>
      <c r="C3400" s="3">
        <v>0.0</v>
      </c>
      <c r="D3400" s="3">
        <v>0.0</v>
      </c>
      <c r="E3400" s="3">
        <v>2.0</v>
      </c>
      <c r="F3400" s="3" t="s">
        <v>9901</v>
      </c>
      <c r="G3400" s="3">
        <v>1.0</v>
      </c>
      <c r="H3400" s="3">
        <v>0.0</v>
      </c>
      <c r="I3400" s="3" t="s">
        <v>13</v>
      </c>
      <c r="J3400" s="3" t="s">
        <v>9902</v>
      </c>
      <c r="K3400" s="3" t="s">
        <v>19</v>
      </c>
      <c r="L3400" s="3" t="str">
        <f>IFERROR(__xludf.DUMMYFUNCTION("GOOGLETRANSLATE(F3400,""id"",""en"")"),"More signature of the Petisyen Mahu Final of the World Cup Repeated Disadvantages of Pengadil unfair")</f>
        <v>More signature of the Petisyen Mahu Final of the World Cup Repeated Disadvantages of Pengadil unfair</v>
      </c>
    </row>
    <row r="3401" ht="15.75" customHeight="1">
      <c r="A3401" s="1">
        <v>3417.0</v>
      </c>
      <c r="B3401" s="3" t="s">
        <v>9903</v>
      </c>
      <c r="C3401" s="3">
        <v>1.0</v>
      </c>
      <c r="D3401" s="3">
        <v>0.0</v>
      </c>
      <c r="E3401" s="3">
        <v>0.0</v>
      </c>
      <c r="F3401" s="3" t="s">
        <v>9904</v>
      </c>
      <c r="G3401" s="3">
        <v>1.0</v>
      </c>
      <c r="H3401" s="3">
        <v>0.0</v>
      </c>
      <c r="I3401" s="3" t="s">
        <v>13</v>
      </c>
      <c r="J3401" s="3" t="s">
        <v>9905</v>
      </c>
      <c r="K3401" s="3" t="s">
        <v>1489</v>
      </c>
      <c r="L3401" s="3" t="str">
        <f>IFERROR(__xludf.DUMMYFUNCTION("GOOGLETRANSLATE(F3401,""id"",""en"")"),"Ronaldo Euro Denmark World Cup and Greece can win the Euro World Cup Different Stories even once the semifinal World Cup final needs Portuguese Golden Generation Figo Nuno")</f>
        <v>Ronaldo Euro Denmark World Cup and Greece can win the Euro World Cup Different Stories even once the semifinal World Cup final needs Portuguese Golden Generation Figo Nuno</v>
      </c>
    </row>
    <row r="3402" ht="15.75" customHeight="1">
      <c r="A3402" s="1">
        <v>3418.0</v>
      </c>
      <c r="B3402" s="3" t="s">
        <v>9906</v>
      </c>
      <c r="C3402" s="3">
        <v>1.0</v>
      </c>
      <c r="D3402" s="3">
        <v>0.0</v>
      </c>
      <c r="E3402" s="3">
        <v>1.0</v>
      </c>
      <c r="F3402" s="3" t="s">
        <v>9907</v>
      </c>
      <c r="G3402" s="3">
        <v>1.0</v>
      </c>
      <c r="H3402" s="3">
        <v>0.0</v>
      </c>
      <c r="I3402" s="3" t="s">
        <v>13</v>
      </c>
      <c r="J3402" s="3" t="s">
        <v>9908</v>
      </c>
      <c r="K3402" s="3" t="s">
        <v>910</v>
      </c>
      <c r="L3402" s="3" t="str">
        <f>IFERROR(__xludf.DUMMYFUNCTION("GOOGLETRANSLATE(F3402,""id"",""en"")"),"After the victory of Argentina World Cup many soccer fans who were disappointed with these results as many as hundreds of thousands of people have signed the petition for the World Cup Final Re -Win")</f>
        <v>After the victory of Argentina World Cup many soccer fans who were disappointed with these results as many as hundreds of thousands of people have signed the petition for the World Cup Final Re -Win</v>
      </c>
    </row>
    <row r="3403" ht="15.75" customHeight="1">
      <c r="A3403" s="1">
        <v>3419.0</v>
      </c>
      <c r="B3403" s="3" t="s">
        <v>9909</v>
      </c>
      <c r="C3403" s="3">
        <v>0.0</v>
      </c>
      <c r="D3403" s="3">
        <v>0.0</v>
      </c>
      <c r="E3403" s="3">
        <v>0.0</v>
      </c>
      <c r="F3403" s="3" t="s">
        <v>9910</v>
      </c>
      <c r="G3403" s="3">
        <v>1.0</v>
      </c>
      <c r="H3403" s="3">
        <v>0.0</v>
      </c>
      <c r="I3403" s="3" t="s">
        <v>13</v>
      </c>
      <c r="J3403" s="3" t="s">
        <v>9911</v>
      </c>
      <c r="K3403" s="3" t="s">
        <v>2375</v>
      </c>
      <c r="L3403" s="3" t="str">
        <f>IFERROR(__xludf.DUMMYFUNCTION("GOOGLETRANSLATE(F3403,""id"",""en"")"),"But the World Cup Final Dodo Golin Golin Final of the World Cup semifinal can not be the semifinals of the knockouts, it's not too")</f>
        <v>But the World Cup Final Dodo Golin Golin Final of the World Cup semifinal can not be the semifinals of the knockouts, it's not too</v>
      </c>
    </row>
    <row r="3404" ht="15.75" customHeight="1">
      <c r="A3404" s="1">
        <v>3420.0</v>
      </c>
      <c r="B3404" s="3" t="s">
        <v>9912</v>
      </c>
      <c r="C3404" s="3">
        <v>0.0</v>
      </c>
      <c r="D3404" s="3">
        <v>0.0</v>
      </c>
      <c r="E3404" s="3">
        <v>0.0</v>
      </c>
      <c r="F3404" s="3" t="s">
        <v>9913</v>
      </c>
      <c r="G3404" s="3">
        <v>1.0</v>
      </c>
      <c r="H3404" s="3">
        <v>0.0</v>
      </c>
      <c r="I3404" s="3" t="s">
        <v>13</v>
      </c>
      <c r="J3404" s="3" t="s">
        <v>9914</v>
      </c>
      <c r="K3404" s="3" t="s">
        <v>54</v>
      </c>
      <c r="L3404" s="3" t="str">
        <f>IFERROR(__xludf.DUMMYFUNCTION("GOOGLETRANSLATE(F3404,""id"",""en"")"),"Story Back Podium World Cup Final")</f>
        <v>Story Back Podium World Cup Final</v>
      </c>
    </row>
    <row r="3405" ht="15.75" customHeight="1">
      <c r="A3405" s="1">
        <v>3421.0</v>
      </c>
      <c r="B3405" s="3" t="s">
        <v>9915</v>
      </c>
      <c r="C3405" s="3">
        <v>0.0</v>
      </c>
      <c r="D3405" s="3">
        <v>0.0</v>
      </c>
      <c r="E3405" s="3">
        <v>0.0</v>
      </c>
      <c r="F3405" s="3" t="s">
        <v>9916</v>
      </c>
      <c r="G3405" s="3">
        <v>1.0</v>
      </c>
      <c r="H3405" s="3">
        <v>0.0</v>
      </c>
      <c r="I3405" s="3" t="s">
        <v>13</v>
      </c>
      <c r="J3405" s="3" t="s">
        <v>9917</v>
      </c>
      <c r="K3405" s="3" t="s">
        <v>75</v>
      </c>
      <c r="L3405" s="3" t="str">
        <f>IFERROR(__xludf.DUMMYFUNCTION("GOOGLETRANSLATE(F3405,""id"",""en"")"),"Sintire supporter of France Referee Var Final World Cup spoke up")</f>
        <v>Sintire supporter of France Referee Var Final World Cup spoke up</v>
      </c>
    </row>
    <row r="3406" ht="15.75" customHeight="1">
      <c r="A3406" s="1">
        <v>3422.0</v>
      </c>
      <c r="B3406" s="3" t="s">
        <v>9918</v>
      </c>
      <c r="C3406" s="3">
        <v>0.0</v>
      </c>
      <c r="D3406" s="3">
        <v>1.0</v>
      </c>
      <c r="E3406" s="3">
        <v>5.0</v>
      </c>
      <c r="F3406" s="3" t="s">
        <v>9919</v>
      </c>
      <c r="G3406" s="3">
        <v>0.5</v>
      </c>
      <c r="H3406" s="3">
        <v>0.0</v>
      </c>
      <c r="I3406" s="3" t="s">
        <v>13</v>
      </c>
      <c r="J3406" s="3" t="s">
        <v>9920</v>
      </c>
      <c r="K3406" s="3" t="s">
        <v>974</v>
      </c>
      <c r="L3406" s="3" t="str">
        <f>IFERROR(__xludf.DUMMYFUNCTION("GOOGLETRANSLATE(F3406,""id"",""en"")"),"The era of Pak Jokowi Italia did not pass the World Cup through German play off the group phase defeated by Asia Spanish failed big through French penalties back back the Brazilian final founded out of the quarter -finals")</f>
        <v>The era of Pak Jokowi Italia did not pass the World Cup through German play off the group phase defeated by Asia Spanish failed big through French penalties back back the Brazilian final founded out of the quarter -finals</v>
      </c>
    </row>
    <row r="3407" ht="15.75" customHeight="1">
      <c r="A3407" s="1">
        <v>3423.0</v>
      </c>
      <c r="B3407" s="3" t="s">
        <v>9921</v>
      </c>
      <c r="C3407" s="3">
        <v>0.0</v>
      </c>
      <c r="D3407" s="3">
        <v>0.0</v>
      </c>
      <c r="E3407" s="3">
        <v>0.0</v>
      </c>
      <c r="F3407" s="3" t="s">
        <v>9922</v>
      </c>
      <c r="G3407" s="3">
        <v>1.0</v>
      </c>
      <c r="H3407" s="3">
        <v>0.0</v>
      </c>
      <c r="I3407" s="3" t="s">
        <v>13</v>
      </c>
      <c r="J3407" s="3" t="s">
        <v>9923</v>
      </c>
      <c r="K3407" s="3" t="s">
        <v>657</v>
      </c>
      <c r="L3407" s="3" t="str">
        <f>IFERROR(__xludf.DUMMYFUNCTION("GOOGLETRANSLATE(F3407,""id"",""en"")"),"The night before the World Cup final no one from the Italian national team members who could sleep except the captain Fabio Cannavaro")</f>
        <v>The night before the World Cup final no one from the Italian national team members who could sleep except the captain Fabio Cannavaro</v>
      </c>
    </row>
    <row r="3408" ht="15.75" customHeight="1">
      <c r="A3408" s="1">
        <v>3424.0</v>
      </c>
      <c r="B3408" s="3" t="s">
        <v>9924</v>
      </c>
      <c r="C3408" s="3">
        <v>0.0</v>
      </c>
      <c r="D3408" s="3">
        <v>0.0</v>
      </c>
      <c r="E3408" s="3">
        <v>0.0</v>
      </c>
      <c r="F3408" s="3" t="s">
        <v>9925</v>
      </c>
      <c r="G3408" s="3">
        <v>1.0</v>
      </c>
      <c r="H3408" s="3">
        <v>0.0</v>
      </c>
      <c r="I3408" s="3" t="s">
        <v>13</v>
      </c>
      <c r="J3408" s="3" t="s">
        <v>9926</v>
      </c>
      <c r="K3408" s="3" t="s">
        <v>31</v>
      </c>
      <c r="L3408" s="3" t="str">
        <f>IFERROR(__xludf.DUMMYFUNCTION("GOOGLETRANSLATE(F3408,""id"",""en"")"),"Please hold the World Cup Final every week")</f>
        <v>Please hold the World Cup Final every week</v>
      </c>
    </row>
    <row r="3409" ht="15.75" customHeight="1">
      <c r="A3409" s="1">
        <v>3425.0</v>
      </c>
      <c r="B3409" s="3" t="s">
        <v>9927</v>
      </c>
      <c r="C3409" s="3">
        <v>0.0</v>
      </c>
      <c r="D3409" s="3">
        <v>0.0</v>
      </c>
      <c r="E3409" s="3">
        <v>5.0</v>
      </c>
      <c r="F3409" s="3" t="s">
        <v>9928</v>
      </c>
      <c r="G3409" s="3">
        <v>1.0</v>
      </c>
      <c r="H3409" s="3">
        <v>0.0</v>
      </c>
      <c r="I3409" s="3" t="s">
        <v>13</v>
      </c>
      <c r="J3409" s="3" t="s">
        <v>9929</v>
      </c>
      <c r="K3409" s="3" t="s">
        <v>23</v>
      </c>
      <c r="L3409" s="3" t="str">
        <f>IFERROR(__xludf.DUMMYFUNCTION("GOOGLETRANSLATE(F3409,""id"",""en"")"),"Every surprise must be able to give hope for the presence of various choices for the meaning of various surprises that occur until the World Cup final teaches us to build a better civilization")</f>
        <v>Every surprise must be able to give hope for the presence of various choices for the meaning of various surprises that occur until the World Cup final teaches us to build a better civilization</v>
      </c>
    </row>
    <row r="3410" ht="15.75" customHeight="1">
      <c r="A3410" s="1">
        <v>3426.0</v>
      </c>
      <c r="B3410" s="3" t="s">
        <v>9930</v>
      </c>
      <c r="C3410" s="3">
        <v>0.0</v>
      </c>
      <c r="D3410" s="3">
        <v>4.0</v>
      </c>
      <c r="E3410" s="3">
        <v>0.0</v>
      </c>
      <c r="F3410" s="3" t="s">
        <v>9931</v>
      </c>
      <c r="G3410" s="3">
        <v>0.75</v>
      </c>
      <c r="H3410" s="3">
        <v>0.25</v>
      </c>
      <c r="I3410" s="3" t="s">
        <v>48</v>
      </c>
      <c r="J3410" s="3" t="s">
        <v>9932</v>
      </c>
      <c r="K3410" s="3" t="s">
        <v>75</v>
      </c>
      <c r="L3410" s="3" t="str">
        <f>IFERROR(__xludf.DUMMYFUNCTION("GOOGLETRANSLATE(F3410,""id"",""en"")"),"Top Football News Reply Striking the World Cup Final Referee for France")</f>
        <v>Top Football News Reply Striking the World Cup Final Referee for France</v>
      </c>
    </row>
    <row r="3411" ht="15.75" customHeight="1">
      <c r="A3411" s="1">
        <v>3427.0</v>
      </c>
      <c r="B3411" s="3" t="s">
        <v>9933</v>
      </c>
      <c r="C3411" s="3">
        <v>0.0</v>
      </c>
      <c r="D3411" s="3">
        <v>0.0</v>
      </c>
      <c r="E3411" s="3">
        <v>2.0</v>
      </c>
      <c r="F3411" s="3" t="s">
        <v>9934</v>
      </c>
      <c r="G3411" s="3">
        <v>1.0</v>
      </c>
      <c r="H3411" s="3">
        <v>0.0</v>
      </c>
      <c r="I3411" s="3" t="s">
        <v>13</v>
      </c>
      <c r="J3411" s="3" t="s">
        <v>9935</v>
      </c>
      <c r="K3411" s="3" t="s">
        <v>510</v>
      </c>
      <c r="L3411" s="3" t="str">
        <f>IFERROR(__xludf.DUMMYFUNCTION("GOOGLETRANSLATE(F3411,""id"",""en"")"),"Petition War After the Argentine World Cup, France asked France to stop crying over the final results")</f>
        <v>Petition War After the Argentine World Cup, France asked France to stop crying over the final results</v>
      </c>
    </row>
    <row r="3412" ht="15.75" customHeight="1">
      <c r="A3412" s="1">
        <v>3428.0</v>
      </c>
      <c r="B3412" s="3" t="s">
        <v>9936</v>
      </c>
      <c r="C3412" s="3">
        <v>0.0</v>
      </c>
      <c r="D3412" s="3">
        <v>0.0</v>
      </c>
      <c r="E3412" s="3">
        <v>0.0</v>
      </c>
      <c r="F3412" s="3" t="s">
        <v>9928</v>
      </c>
      <c r="G3412" s="3">
        <v>1.0</v>
      </c>
      <c r="H3412" s="3">
        <v>0.0</v>
      </c>
      <c r="I3412" s="3" t="s">
        <v>13</v>
      </c>
      <c r="J3412" s="3" t="s">
        <v>9929</v>
      </c>
      <c r="K3412" s="3" t="s">
        <v>23</v>
      </c>
      <c r="L3412" s="3" t="str">
        <f>IFERROR(__xludf.DUMMYFUNCTION("GOOGLETRANSLATE(F3412,""id"",""en"")"),"Every surprise must be able to give hope for the presence of various choices for the meaning of various surprises that occur until the World Cup final teaches us to build a better civilization")</f>
        <v>Every surprise must be able to give hope for the presence of various choices for the meaning of various surprises that occur until the World Cup final teaches us to build a better civilization</v>
      </c>
    </row>
    <row r="3413" ht="15.75" customHeight="1">
      <c r="A3413" s="1">
        <v>3429.0</v>
      </c>
      <c r="B3413" s="3" t="s">
        <v>9937</v>
      </c>
      <c r="C3413" s="3">
        <v>0.0</v>
      </c>
      <c r="D3413" s="3">
        <v>0.0</v>
      </c>
      <c r="E3413" s="3">
        <v>0.0</v>
      </c>
      <c r="F3413" s="3" t="s">
        <v>9931</v>
      </c>
      <c r="G3413" s="3">
        <v>0.75</v>
      </c>
      <c r="H3413" s="3">
        <v>0.25</v>
      </c>
      <c r="I3413" s="3" t="s">
        <v>48</v>
      </c>
      <c r="J3413" s="3" t="s">
        <v>9932</v>
      </c>
      <c r="K3413" s="3" t="s">
        <v>75</v>
      </c>
      <c r="L3413" s="3" t="str">
        <f>IFERROR(__xludf.DUMMYFUNCTION("GOOGLETRANSLATE(F3413,""id"",""en"")"),"Top Football News Reply Striking the World Cup Final Referee for France")</f>
        <v>Top Football News Reply Striking the World Cup Final Referee for France</v>
      </c>
    </row>
    <row r="3414" ht="15.75" customHeight="1">
      <c r="A3414" s="1">
        <v>3430.0</v>
      </c>
      <c r="B3414" s="3" t="s">
        <v>9938</v>
      </c>
      <c r="C3414" s="3">
        <v>0.0</v>
      </c>
      <c r="D3414" s="3">
        <v>2.0</v>
      </c>
      <c r="E3414" s="3">
        <v>6.0</v>
      </c>
      <c r="F3414" s="3" t="s">
        <v>9939</v>
      </c>
      <c r="G3414" s="3">
        <v>1.0</v>
      </c>
      <c r="H3414" s="3">
        <v>0.0</v>
      </c>
      <c r="I3414" s="3" t="s">
        <v>13</v>
      </c>
      <c r="J3414" s="3" t="s">
        <v>9940</v>
      </c>
      <c r="K3414" s="3" t="s">
        <v>41</v>
      </c>
      <c r="L3414" s="3" t="str">
        <f>IFERROR(__xludf.DUMMYFUNCTION("GOOGLETRANSLATE(F3414,""id"",""en"")"),"recognition of the sins of the world cup final referee made the blunder disadvantaged France")</f>
        <v>recognition of the sins of the world cup final referee made the blunder disadvantaged France</v>
      </c>
    </row>
    <row r="3415" ht="15.75" customHeight="1">
      <c r="A3415" s="1">
        <v>3431.0</v>
      </c>
      <c r="B3415" s="3" t="s">
        <v>9941</v>
      </c>
      <c r="C3415" s="3">
        <v>0.0</v>
      </c>
      <c r="D3415" s="3">
        <v>0.0</v>
      </c>
      <c r="E3415" s="3">
        <v>0.0</v>
      </c>
      <c r="F3415" s="3" t="s">
        <v>9928</v>
      </c>
      <c r="G3415" s="3">
        <v>1.0</v>
      </c>
      <c r="H3415" s="3">
        <v>0.0</v>
      </c>
      <c r="I3415" s="3" t="s">
        <v>13</v>
      </c>
      <c r="J3415" s="3" t="s">
        <v>9929</v>
      </c>
      <c r="K3415" s="3" t="s">
        <v>23</v>
      </c>
      <c r="L3415" s="3" t="str">
        <f>IFERROR(__xludf.DUMMYFUNCTION("GOOGLETRANSLATE(F3415,""id"",""en"")"),"Every surprise must be able to give hope for the presence of various choices for the meaning of various surprises that occur until the World Cup final teaches us to build a better civilization")</f>
        <v>Every surprise must be able to give hope for the presence of various choices for the meaning of various surprises that occur until the World Cup final teaches us to build a better civilization</v>
      </c>
    </row>
    <row r="3416" ht="15.75" customHeight="1">
      <c r="A3416" s="1">
        <v>3432.0</v>
      </c>
      <c r="B3416" s="3" t="s">
        <v>9942</v>
      </c>
      <c r="C3416" s="3">
        <v>0.0</v>
      </c>
      <c r="D3416" s="3">
        <v>0.0</v>
      </c>
      <c r="E3416" s="3">
        <v>0.0</v>
      </c>
      <c r="F3416" s="3" t="s">
        <v>9943</v>
      </c>
      <c r="G3416" s="3">
        <v>1.0</v>
      </c>
      <c r="H3416" s="3">
        <v>0.0</v>
      </c>
      <c r="I3416" s="3" t="s">
        <v>13</v>
      </c>
      <c r="J3416" s="3" t="s">
        <v>9944</v>
      </c>
      <c r="K3416" s="3" t="s">
        <v>127</v>
      </c>
      <c r="L3416" s="3" t="str">
        <f>IFERROR(__xludf.DUMMYFUNCTION("GOOGLETRANSLATE(F3416,""id"",""en"")"),"Get to know Celia Maria Cuccitini Lionel Messi's mother who entered the field after the child scored the World Cup Final goal")</f>
        <v>Get to know Celia Maria Cuccitini Lionel Messi's mother who entered the field after the child scored the World Cup Final goal</v>
      </c>
    </row>
    <row r="3417" ht="15.75" customHeight="1">
      <c r="A3417" s="1">
        <v>3433.0</v>
      </c>
      <c r="B3417" s="3" t="s">
        <v>9945</v>
      </c>
      <c r="C3417" s="3">
        <v>0.0</v>
      </c>
      <c r="D3417" s="3">
        <v>0.0</v>
      </c>
      <c r="E3417" s="3">
        <v>0.0</v>
      </c>
      <c r="F3417" s="3" t="s">
        <v>9946</v>
      </c>
      <c r="G3417" s="3">
        <v>1.0</v>
      </c>
      <c r="H3417" s="3">
        <v>0.0</v>
      </c>
      <c r="I3417" s="3" t="s">
        <v>13</v>
      </c>
      <c r="J3417" s="3" t="s">
        <v>9947</v>
      </c>
      <c r="K3417" s="3" t="s">
        <v>910</v>
      </c>
      <c r="L3417" s="3" t="str">
        <f>IFERROR(__xludf.DUMMYFUNCTION("GOOGLETRANSLATE(F3417,""id"",""en"")"),"Desi is still crowded, the final atmosphere of the Qatar World Cup football is truly magical western, the more sane, the words of the infidel watching the soccer turns out that without alcohol it is fun to be more comfortable to be more comfortable exciti"&amp;"ng")</f>
        <v>Desi is still crowded, the final atmosphere of the Qatar World Cup football is truly magical western, the more sane, the words of the infidel watching the soccer turns out that without alcohol it is fun to be more comfortable to be more comfortable exciting</v>
      </c>
    </row>
    <row r="3418" ht="15.75" customHeight="1">
      <c r="A3418" s="1">
        <v>3434.0</v>
      </c>
      <c r="B3418" s="3" t="s">
        <v>9948</v>
      </c>
      <c r="C3418" s="3">
        <v>0.0</v>
      </c>
      <c r="D3418" s="3">
        <v>0.0</v>
      </c>
      <c r="E3418" s="3">
        <v>9.0</v>
      </c>
      <c r="F3418" s="3" t="s">
        <v>9842</v>
      </c>
      <c r="G3418" s="3">
        <v>1.0</v>
      </c>
      <c r="H3418" s="3">
        <v>0.0</v>
      </c>
      <c r="I3418" s="3" t="s">
        <v>13</v>
      </c>
      <c r="J3418" s="3" t="s">
        <v>9843</v>
      </c>
      <c r="K3418" s="3" t="s">
        <v>240</v>
      </c>
      <c r="L3418" s="3" t="str">
        <f>IFERROR(__xludf.DUMMYFUNCTION("GOOGLETRANSLATE(F3418,""id"",""en"")"),"Liverpool legend Graeme Souness condemned the attitude of Emiliano Martinez World Cup Final Argentine goalkeeper was considered to have embarrassed his country")</f>
        <v>Liverpool legend Graeme Souness condemned the attitude of Emiliano Martinez World Cup Final Argentine goalkeeper was considered to have embarrassed his country</v>
      </c>
    </row>
    <row r="3419" ht="15.75" customHeight="1">
      <c r="A3419" s="1">
        <v>3435.0</v>
      </c>
      <c r="B3419" s="3" t="s">
        <v>9949</v>
      </c>
      <c r="C3419" s="3">
        <v>0.0</v>
      </c>
      <c r="D3419" s="3">
        <v>0.0</v>
      </c>
      <c r="E3419" s="3">
        <v>0.0</v>
      </c>
      <c r="F3419" s="3" t="s">
        <v>9950</v>
      </c>
      <c r="G3419" s="3">
        <v>1.0</v>
      </c>
      <c r="H3419" s="3">
        <v>0.0</v>
      </c>
      <c r="I3419" s="3" t="s">
        <v>13</v>
      </c>
      <c r="J3419" s="3" t="s">
        <v>9951</v>
      </c>
      <c r="K3419" s="3" t="s">
        <v>50</v>
      </c>
      <c r="L3419" s="3" t="str">
        <f>IFERROR(__xludf.DUMMYFUNCTION("GOOGLETRANSLATE(F3419,""id"",""en"")"),"The referee of the World Cup final match claimed to make a mistake that harmed France what it was")</f>
        <v>The referee of the World Cup final match claimed to make a mistake that harmed France what it was</v>
      </c>
    </row>
    <row r="3420" ht="15.75" customHeight="1">
      <c r="A3420" s="1">
        <v>3436.0</v>
      </c>
      <c r="B3420" s="3" t="s">
        <v>9952</v>
      </c>
      <c r="C3420" s="3">
        <v>0.0</v>
      </c>
      <c r="D3420" s="3">
        <v>14.0</v>
      </c>
      <c r="E3420" s="3">
        <v>88.0</v>
      </c>
      <c r="F3420" s="3" t="s">
        <v>9953</v>
      </c>
      <c r="G3420" s="3">
        <v>1.0</v>
      </c>
      <c r="H3420" s="3">
        <v>0.0</v>
      </c>
      <c r="I3420" s="3" t="s">
        <v>13</v>
      </c>
      <c r="J3420" s="3" t="s">
        <v>9954</v>
      </c>
      <c r="K3420" s="3" t="s">
        <v>240</v>
      </c>
      <c r="L3420" s="3" t="str">
        <f>IFERROR(__xludf.DUMMYFUNCTION("GOOGLETRANSLATE(F3420,""id"",""en"")"),"It doesn't feel like seven days have passed since we watched the SuperDramatic World Cup final watching the excitement in the following lens shots")</f>
        <v>It doesn't feel like seven days have passed since we watched the SuperDramatic World Cup final watching the excitement in the following lens shots</v>
      </c>
    </row>
    <row r="3421" ht="15.75" customHeight="1">
      <c r="A3421" s="1">
        <v>3437.0</v>
      </c>
      <c r="B3421" s="3" t="s">
        <v>9955</v>
      </c>
      <c r="C3421" s="3">
        <v>0.0</v>
      </c>
      <c r="D3421" s="3">
        <v>0.0</v>
      </c>
      <c r="E3421" s="3">
        <v>0.0</v>
      </c>
      <c r="F3421" s="3" t="s">
        <v>9956</v>
      </c>
      <c r="G3421" s="3">
        <v>1.0</v>
      </c>
      <c r="H3421" s="3">
        <v>0.0</v>
      </c>
      <c r="I3421" s="3" t="s">
        <v>13</v>
      </c>
      <c r="J3421" s="3" t="s">
        <v>9957</v>
      </c>
      <c r="K3421" s="3" t="s">
        <v>75</v>
      </c>
      <c r="L3421" s="3" t="str">
        <f>IFERROR(__xludf.DUMMYFUNCTION("GOOGLETRANSLATE(F3421,""id"",""en"")"),"once again about the final of the white anti -racist soccer cup")</f>
        <v>once again about the final of the white anti -racist soccer cup</v>
      </c>
    </row>
    <row r="3422" ht="15.75" customHeight="1">
      <c r="A3422" s="1">
        <v>3438.0</v>
      </c>
      <c r="B3422" s="3" t="s">
        <v>9958</v>
      </c>
      <c r="C3422" s="3">
        <v>0.0</v>
      </c>
      <c r="D3422" s="3">
        <v>0.0</v>
      </c>
      <c r="E3422" s="3">
        <v>0.0</v>
      </c>
      <c r="F3422" s="3" t="s">
        <v>9959</v>
      </c>
      <c r="G3422" s="3">
        <v>1.0</v>
      </c>
      <c r="H3422" s="3">
        <v>0.0</v>
      </c>
      <c r="I3422" s="3" t="s">
        <v>13</v>
      </c>
      <c r="J3422" s="3" t="s">
        <v>9960</v>
      </c>
      <c r="K3422" s="3" t="s">
        <v>699</v>
      </c>
      <c r="L3422" s="3" t="str">
        <f>IFERROR(__xludf.DUMMYFUNCTION("GOOGLETRANSLATE(F3422,""id"",""en"")"),"Head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423" ht="15.75" customHeight="1">
      <c r="A3423" s="1">
        <v>3439.0</v>
      </c>
      <c r="B3423" s="3" t="s">
        <v>9961</v>
      </c>
      <c r="C3423" s="3">
        <v>0.0</v>
      </c>
      <c r="D3423" s="3">
        <v>1.0</v>
      </c>
      <c r="E3423" s="3">
        <v>4.0</v>
      </c>
      <c r="F3423" s="3" t="s">
        <v>9962</v>
      </c>
      <c r="G3423" s="3">
        <v>1.0</v>
      </c>
      <c r="H3423" s="3">
        <v>0.0</v>
      </c>
      <c r="I3423" s="3" t="s">
        <v>13</v>
      </c>
      <c r="J3423" s="3" t="s">
        <v>9963</v>
      </c>
      <c r="K3423" s="3" t="s">
        <v>15</v>
      </c>
      <c r="L3423" s="3" t="str">
        <f>IFERROR(__xludf.DUMMYFUNCTION("GOOGLETRANSLATE(F3423,""id"",""en"")"),"World Cup Final Referee Admits to make a fault that is harmful to France")</f>
        <v>World Cup Final Referee Admits to make a fault that is harmful to France</v>
      </c>
    </row>
    <row r="3424" ht="15.75" customHeight="1">
      <c r="A3424" s="1">
        <v>3440.0</v>
      </c>
      <c r="B3424" s="3" t="s">
        <v>9964</v>
      </c>
      <c r="C3424" s="3">
        <v>0.0</v>
      </c>
      <c r="D3424" s="3">
        <v>0.0</v>
      </c>
      <c r="E3424" s="3">
        <v>0.0</v>
      </c>
      <c r="F3424" s="3" t="s">
        <v>9965</v>
      </c>
      <c r="G3424" s="3">
        <v>1.0</v>
      </c>
      <c r="H3424" s="3">
        <v>0.0</v>
      </c>
      <c r="I3424" s="3" t="s">
        <v>13</v>
      </c>
      <c r="J3424" s="3" t="s">
        <v>9966</v>
      </c>
      <c r="K3424" s="3" t="s">
        <v>71</v>
      </c>
      <c r="L3424" s="3" t="str">
        <f>IFERROR(__xludf.DUMMYFUNCTION("GOOGLETRANSLATE(F3424,""id"",""en"")"),"Referee Szymon Marciniak admits one mistake when leading the French Argentine World Cup final match")</f>
        <v>Referee Szymon Marciniak admits one mistake when leading the French Argentine World Cup final match</v>
      </c>
    </row>
    <row r="3425" ht="15.75" customHeight="1">
      <c r="A3425" s="1">
        <v>3441.0</v>
      </c>
      <c r="B3425" s="3" t="s">
        <v>9967</v>
      </c>
      <c r="C3425" s="3">
        <v>0.0</v>
      </c>
      <c r="D3425" s="3">
        <v>0.0</v>
      </c>
      <c r="E3425" s="3">
        <v>0.0</v>
      </c>
      <c r="F3425" s="3" t="s">
        <v>9968</v>
      </c>
      <c r="G3425" s="3">
        <v>1.0</v>
      </c>
      <c r="H3425" s="3">
        <v>0.0</v>
      </c>
      <c r="I3425" s="3" t="s">
        <v>13</v>
      </c>
      <c r="J3425" s="3" t="s">
        <v>9969</v>
      </c>
      <c r="K3425" s="3" t="s">
        <v>510</v>
      </c>
      <c r="L3425" s="3" t="str">
        <f>IFERROR(__xludf.DUMMYFUNCTION("GOOGLETRANSLATE(F3425,""id"",""en"")"),"legitimate or not referee Szymon Marciniak back criticism about Lionel Messi World Cup Final goal")</f>
        <v>legitimate or not referee Szymon Marciniak back criticism about Lionel Messi World Cup Final goal</v>
      </c>
    </row>
    <row r="3426" ht="15.75" customHeight="1">
      <c r="A3426" s="1">
        <v>3442.0</v>
      </c>
      <c r="B3426" s="3" t="s">
        <v>9970</v>
      </c>
      <c r="C3426" s="3">
        <v>0.0</v>
      </c>
      <c r="D3426" s="3">
        <v>0.0</v>
      </c>
      <c r="E3426" s="3">
        <v>0.0</v>
      </c>
      <c r="F3426" s="3" t="s">
        <v>9971</v>
      </c>
      <c r="G3426" s="3">
        <v>1.0</v>
      </c>
      <c r="H3426" s="3">
        <v>0.0</v>
      </c>
      <c r="I3426" s="3" t="s">
        <v>13</v>
      </c>
      <c r="J3426" s="3" t="s">
        <v>9972</v>
      </c>
      <c r="K3426" s="3" t="s">
        <v>50</v>
      </c>
      <c r="L3426" s="3" t="str">
        <f>IFERROR(__xludf.DUMMYFUNCTION("GOOGLETRANSLATE(F3426,""id"",""en"")"),"French national team fans signed the World Cup Final Petition Repeated")</f>
        <v>French national team fans signed the World Cup Final Petition Repeated</v>
      </c>
    </row>
    <row r="3427" ht="15.75" customHeight="1">
      <c r="A3427" s="1">
        <v>3443.0</v>
      </c>
      <c r="B3427" s="3" t="s">
        <v>9973</v>
      </c>
      <c r="C3427" s="3">
        <v>0.0</v>
      </c>
      <c r="D3427" s="3">
        <v>0.0</v>
      </c>
      <c r="E3427" s="3">
        <v>1.0</v>
      </c>
      <c r="F3427" s="3" t="s">
        <v>9974</v>
      </c>
      <c r="G3427" s="3">
        <v>1.0</v>
      </c>
      <c r="H3427" s="3">
        <v>0.0</v>
      </c>
      <c r="I3427" s="3" t="s">
        <v>13</v>
      </c>
      <c r="J3427" s="3" t="s">
        <v>9975</v>
      </c>
      <c r="K3427" s="3" t="s">
        <v>426</v>
      </c>
      <c r="L3427" s="3" t="str">
        <f>IFERROR(__xludf.DUMMYFUNCTION("GOOGLETRANSLATE(F3427,""id"",""en"")"),"Honestly, if Ronaldo will come to watch the final, show your greatness by entering the field to give you a happy Messi for his world champion even if you can turn on the committee to give up the trophy to show you about humility")</f>
        <v>Honestly, if Ronaldo will come to watch the final, show your greatness by entering the field to give you a happy Messi for his world champion even if you can turn on the committee to give up the trophy to show you about humility</v>
      </c>
    </row>
    <row r="3428" ht="15.75" customHeight="1">
      <c r="A3428" s="1">
        <v>3444.0</v>
      </c>
      <c r="B3428" s="3" t="s">
        <v>9976</v>
      </c>
      <c r="C3428" s="3">
        <v>0.0</v>
      </c>
      <c r="D3428" s="3">
        <v>0.0</v>
      </c>
      <c r="E3428" s="3">
        <v>0.0</v>
      </c>
      <c r="F3428" s="3" t="s">
        <v>9977</v>
      </c>
      <c r="G3428" s="3">
        <v>1.0</v>
      </c>
      <c r="H3428" s="3">
        <v>0.0</v>
      </c>
      <c r="I3428" s="3" t="s">
        <v>13</v>
      </c>
      <c r="J3428" s="3" t="s">
        <v>9978</v>
      </c>
      <c r="K3428" s="3" t="s">
        <v>50</v>
      </c>
      <c r="L3428" s="3" t="str">
        <f>IFERROR(__xludf.DUMMYFUNCTION("GOOGLETRANSLATE(F3428,""id"",""en"")"),"Lionel Messi's goal was protested by the referee var of the World Cup Final Give an explanation")</f>
        <v>Lionel Messi's goal was protested by the referee var of the World Cup Final Give an explanation</v>
      </c>
    </row>
    <row r="3429" ht="15.75" customHeight="1">
      <c r="A3429" s="1">
        <v>3445.0</v>
      </c>
      <c r="B3429" s="3" t="s">
        <v>9979</v>
      </c>
      <c r="C3429" s="3">
        <v>2.0</v>
      </c>
      <c r="D3429" s="3">
        <v>0.0</v>
      </c>
      <c r="E3429" s="3">
        <v>0.0</v>
      </c>
      <c r="F3429" s="3" t="s">
        <v>9980</v>
      </c>
      <c r="G3429" s="3">
        <v>1.0</v>
      </c>
      <c r="H3429" s="3">
        <v>0.0</v>
      </c>
      <c r="I3429" s="3" t="s">
        <v>13</v>
      </c>
      <c r="J3429" s="3" t="s">
        <v>9981</v>
      </c>
      <c r="K3429" s="3" t="s">
        <v>9982</v>
      </c>
      <c r="L3429" s="3" t="str">
        <f>IFERROR(__xludf.DUMMYFUNCTION("GOOGLETRANSLATE(F3429,""id"",""en"")"),"Myr anw dumdum wkwkekek wis no dugo the most iki yen arep gawe gawe Sing diligently forms news Learning Diskik Twiitt Digawe Tgl Dec World Cup Final DES automatically celebration of the bars on des mosok durung ono")</f>
        <v>Myr anw dumdum wkwkekek wis no dugo the most iki yen arep gawe gawe Sing diligently forms news Learning Diskik Twiitt Digawe Tgl Dec World Cup Final DES automatically celebration of the bars on des mosok durung ono</v>
      </c>
    </row>
    <row r="3430" ht="15.75" customHeight="1">
      <c r="A3430" s="1">
        <v>3446.0</v>
      </c>
      <c r="B3430" s="3" t="s">
        <v>9983</v>
      </c>
      <c r="C3430" s="3">
        <v>0.0</v>
      </c>
      <c r="D3430" s="3">
        <v>0.0</v>
      </c>
      <c r="E3430" s="3">
        <v>0.0</v>
      </c>
      <c r="F3430" s="3" t="s">
        <v>9984</v>
      </c>
      <c r="G3430" s="3">
        <v>1.0</v>
      </c>
      <c r="H3430" s="3">
        <v>0.0</v>
      </c>
      <c r="I3430" s="3" t="s">
        <v>13</v>
      </c>
      <c r="J3430" s="3" t="s">
        <v>9985</v>
      </c>
      <c r="K3430" s="3" t="s">
        <v>15</v>
      </c>
      <c r="L3430" s="3" t="str">
        <f>IFERROR(__xludf.DUMMYFUNCTION("GOOGLETRANSLATE(F3430,""id"",""en"")"),"agree to watch the World Cup final again in the same year")</f>
        <v>agree to watch the World Cup final again in the same year</v>
      </c>
    </row>
    <row r="3431" ht="15.75" customHeight="1">
      <c r="A3431" s="1">
        <v>3447.0</v>
      </c>
      <c r="B3431" s="3" t="s">
        <v>9986</v>
      </c>
      <c r="C3431" s="3">
        <v>0.0</v>
      </c>
      <c r="D3431" s="3">
        <v>0.0</v>
      </c>
      <c r="E3431" s="3">
        <v>0.0</v>
      </c>
      <c r="F3431" s="3" t="s">
        <v>9987</v>
      </c>
      <c r="G3431" s="3">
        <v>1.0</v>
      </c>
      <c r="H3431" s="3">
        <v>0.0</v>
      </c>
      <c r="I3431" s="3" t="s">
        <v>13</v>
      </c>
      <c r="J3431" s="3" t="s">
        <v>9988</v>
      </c>
      <c r="K3431" s="3" t="s">
        <v>75</v>
      </c>
      <c r="L3431" s="3" t="str">
        <f>IFERROR(__xludf.DUMMYFUNCTION("GOOGLETRANSLATE(F3431,""id"",""en"")"),"The referee of the French Argentine World Cup final match admitted what mistakes what it was")</f>
        <v>The referee of the French Argentine World Cup final match admitted what mistakes what it was</v>
      </c>
    </row>
    <row r="3432" ht="15.75" customHeight="1">
      <c r="A3432" s="1">
        <v>3448.0</v>
      </c>
      <c r="B3432" s="3" t="s">
        <v>9989</v>
      </c>
      <c r="C3432" s="3">
        <v>0.0</v>
      </c>
      <c r="D3432" s="3">
        <v>0.0</v>
      </c>
      <c r="E3432" s="3">
        <v>0.0</v>
      </c>
      <c r="F3432" s="3" t="s">
        <v>9990</v>
      </c>
      <c r="G3432" s="3">
        <v>1.0</v>
      </c>
      <c r="H3432" s="3">
        <v>0.0</v>
      </c>
      <c r="I3432" s="3" t="s">
        <v>13</v>
      </c>
      <c r="J3432" s="3" t="s">
        <v>9991</v>
      </c>
      <c r="K3432" s="3" t="s">
        <v>75</v>
      </c>
      <c r="L3432" s="3" t="str">
        <f>IFERROR(__xludf.DUMMYFUNCTION("GOOGLETRANSLATE(F3432,""id"",""en"")"),"World Cup Final Referee Confess Blunder Makes a Decision Through Com")</f>
        <v>World Cup Final Referee Confess Blunder Makes a Decision Through Com</v>
      </c>
    </row>
    <row r="3433" ht="15.75" customHeight="1">
      <c r="A3433" s="1">
        <v>3449.0</v>
      </c>
      <c r="B3433" s="3" t="s">
        <v>9992</v>
      </c>
      <c r="C3433" s="3">
        <v>0.0</v>
      </c>
      <c r="D3433" s="3">
        <v>0.0</v>
      </c>
      <c r="E3433" s="3">
        <v>0.0</v>
      </c>
      <c r="F3433" s="3" t="s">
        <v>9993</v>
      </c>
      <c r="G3433" s="3">
        <v>1.0</v>
      </c>
      <c r="H3433" s="3">
        <v>0.0</v>
      </c>
      <c r="I3433" s="3" t="s">
        <v>13</v>
      </c>
      <c r="J3433" s="3" t="s">
        <v>9994</v>
      </c>
      <c r="K3433" s="3" t="s">
        <v>75</v>
      </c>
      <c r="L3433" s="3" t="str">
        <f>IFERROR(__xludf.DUMMYFUNCTION("GOOGLETRANSLATE(F3433,""id"",""en"")"),"The soccer star entered the quarter -finals of the World Cup who was the richest")</f>
        <v>The soccer star entered the quarter -finals of the World Cup who was the richest</v>
      </c>
    </row>
    <row r="3434" ht="15.75" customHeight="1">
      <c r="A3434" s="1">
        <v>3450.0</v>
      </c>
      <c r="B3434" s="3" t="s">
        <v>9995</v>
      </c>
      <c r="C3434" s="3">
        <v>0.0</v>
      </c>
      <c r="D3434" s="3">
        <v>0.0</v>
      </c>
      <c r="E3434" s="3">
        <v>0.0</v>
      </c>
      <c r="F3434" s="3" t="s">
        <v>9996</v>
      </c>
      <c r="G3434" s="3">
        <v>1.0</v>
      </c>
      <c r="H3434" s="3">
        <v>0.0</v>
      </c>
      <c r="I3434" s="3" t="s">
        <v>13</v>
      </c>
      <c r="J3434" s="3" t="s">
        <v>9997</v>
      </c>
      <c r="K3434" s="3" t="s">
        <v>75</v>
      </c>
      <c r="L3434" s="3" t="str">
        <f>IFERROR(__xludf.DUMMYFUNCTION("GOOGLETRANSLATE(F3434,""id"",""en"")"),"Argentina's referee and supporter responded to the petition requesting the World Cup Final")</f>
        <v>Argentina's referee and supporter responded to the petition requesting the World Cup Final</v>
      </c>
    </row>
    <row r="3435" ht="15.75" customHeight="1">
      <c r="A3435" s="1">
        <v>3451.0</v>
      </c>
      <c r="B3435" s="3" t="s">
        <v>9998</v>
      </c>
      <c r="C3435" s="3">
        <v>0.0</v>
      </c>
      <c r="D3435" s="3">
        <v>0.0</v>
      </c>
      <c r="E3435" s="3">
        <v>0.0</v>
      </c>
      <c r="F3435" s="3" t="s">
        <v>9999</v>
      </c>
      <c r="G3435" s="3">
        <v>1.0</v>
      </c>
      <c r="H3435" s="3">
        <v>0.0</v>
      </c>
      <c r="I3435" s="3" t="s">
        <v>13</v>
      </c>
      <c r="J3435" s="3" t="s">
        <v>10000</v>
      </c>
      <c r="K3435" s="3" t="s">
        <v>41</v>
      </c>
      <c r="L3435" s="3" t="str">
        <f>IFERROR(__xludf.DUMMYFUNCTION("GOOGLETRANSLATE(F3435,""id"",""en"")"),"French fan made a petition asking for the World Cup final match to be repeated")</f>
        <v>French fan made a petition asking for the World Cup final match to be repeated</v>
      </c>
    </row>
    <row r="3436" ht="15.75" customHeight="1">
      <c r="A3436" s="1">
        <v>3452.0</v>
      </c>
      <c r="B3436" s="3" t="s">
        <v>10001</v>
      </c>
      <c r="C3436" s="3">
        <v>0.0</v>
      </c>
      <c r="D3436" s="3">
        <v>0.0</v>
      </c>
      <c r="E3436" s="3">
        <v>0.0</v>
      </c>
      <c r="F3436" s="3" t="s">
        <v>10002</v>
      </c>
      <c r="G3436" s="3">
        <v>1.0</v>
      </c>
      <c r="H3436" s="3">
        <v>0.0</v>
      </c>
      <c r="I3436" s="3" t="s">
        <v>13</v>
      </c>
      <c r="J3436" s="3" t="s">
        <v>10003</v>
      </c>
      <c r="K3436" s="3" t="s">
        <v>82</v>
      </c>
      <c r="L3436" s="3" t="str">
        <f>IFERROR(__xludf.DUMMYFUNCTION("GOOGLETRANSLATE(F3436,""id"",""en"")"),"The European team has reached the final every World Cup except in the year and")</f>
        <v>The European team has reached the final every World Cup except in the year and</v>
      </c>
    </row>
    <row r="3437" ht="15.75" customHeight="1">
      <c r="A3437" s="1">
        <v>3453.0</v>
      </c>
      <c r="B3437" s="3" t="s">
        <v>10004</v>
      </c>
      <c r="C3437" s="3">
        <v>0.0</v>
      </c>
      <c r="D3437" s="3">
        <v>0.0</v>
      </c>
      <c r="E3437" s="3">
        <v>1.0</v>
      </c>
      <c r="F3437" s="3" t="s">
        <v>10005</v>
      </c>
      <c r="G3437" s="3">
        <v>1.0</v>
      </c>
      <c r="H3437" s="3">
        <v>0.0</v>
      </c>
      <c r="I3437" s="3" t="s">
        <v>13</v>
      </c>
      <c r="J3437" s="3" t="s">
        <v>10006</v>
      </c>
      <c r="K3437" s="3" t="s">
        <v>510</v>
      </c>
      <c r="L3437" s="3" t="str">
        <f>IFERROR(__xludf.DUMMYFUNCTION("GOOGLETRANSLATE(F3437,""id"",""en"")"),"Not accepting the defeat of French fans to submit a petition asking to repeat the World Cup Final match")</f>
        <v>Not accepting the defeat of French fans to submit a petition asking to repeat the World Cup Final match</v>
      </c>
    </row>
    <row r="3438" ht="15.75" customHeight="1">
      <c r="A3438" s="1">
        <v>3454.0</v>
      </c>
      <c r="B3438" s="3" t="s">
        <v>10007</v>
      </c>
      <c r="C3438" s="3">
        <v>0.0</v>
      </c>
      <c r="D3438" s="3">
        <v>0.0</v>
      </c>
      <c r="E3438" s="3">
        <v>0.0</v>
      </c>
      <c r="F3438" s="3" t="s">
        <v>10008</v>
      </c>
      <c r="G3438" s="3">
        <v>1.0</v>
      </c>
      <c r="H3438" s="3">
        <v>0.0</v>
      </c>
      <c r="I3438" s="3" t="s">
        <v>13</v>
      </c>
      <c r="J3438" s="3" t="s">
        <v>10009</v>
      </c>
      <c r="K3438" s="3" t="s">
        <v>54</v>
      </c>
      <c r="L3438" s="3" t="str">
        <f>IFERROR(__xludf.DUMMYFUNCTION("GOOGLETRANSLATE(F3438,""id"",""en"")"),"The World Cup Final was a week ago")</f>
        <v>The World Cup Final was a week ago</v>
      </c>
    </row>
    <row r="3439" ht="15.75" customHeight="1">
      <c r="A3439" s="1">
        <v>3455.0</v>
      </c>
      <c r="B3439" s="3" t="s">
        <v>10010</v>
      </c>
      <c r="C3439" s="3">
        <v>1.0</v>
      </c>
      <c r="D3439" s="3">
        <v>0.0</v>
      </c>
      <c r="E3439" s="3">
        <v>1.0</v>
      </c>
      <c r="F3439" s="3" t="s">
        <v>10011</v>
      </c>
      <c r="G3439" s="3">
        <v>0.7777777777777777</v>
      </c>
      <c r="H3439" s="3">
        <v>0.05555555555555555</v>
      </c>
      <c r="I3439" s="3" t="s">
        <v>48</v>
      </c>
      <c r="J3439" s="3" t="s">
        <v>10012</v>
      </c>
      <c r="K3439" s="3" t="s">
        <v>94</v>
      </c>
      <c r="L3439" s="3" t="str">
        <f>IFERROR(__xludf.DUMMYFUNCTION("GOOGLETRANSLATE(F3439,""id"",""en"")"),"Albiceleste after that Argentina is always backward from the golden generation of Brazil Coppa America was quoted by the final match I always lost I first used to play the World Cup to win the final against Nigeria in the level of the senior national team"&amp;" purely not")</f>
        <v>Albiceleste after that Argentina is always backward from the golden generation of Brazil Coppa America was quoted by the final match I always lost I first used to play the World Cup to win the final against Nigeria in the level of the senior national team purely not</v>
      </c>
    </row>
    <row r="3440" ht="15.75" customHeight="1">
      <c r="A3440" s="1">
        <v>3456.0</v>
      </c>
      <c r="B3440" s="3" t="s">
        <v>10013</v>
      </c>
      <c r="C3440" s="3">
        <v>0.0</v>
      </c>
      <c r="D3440" s="3">
        <v>0.0</v>
      </c>
      <c r="E3440" s="3">
        <v>0.0</v>
      </c>
      <c r="F3440" s="3" t="s">
        <v>10014</v>
      </c>
      <c r="G3440" s="3">
        <v>0.8</v>
      </c>
      <c r="H3440" s="3">
        <v>-0.1</v>
      </c>
      <c r="I3440" s="3" t="s">
        <v>179</v>
      </c>
      <c r="J3440" s="3" t="s">
        <v>10015</v>
      </c>
      <c r="K3440" s="3" t="s">
        <v>240</v>
      </c>
      <c r="L3440" s="3" t="str">
        <f>IFERROR(__xludf.DUMMYFUNCTION("GOOGLETRANSLATE(F3440,""id"",""en"")"),"The petition called France Stop Crying appeared was a reply from Argentina for France who asked for the World Cup final match to be repeated")</f>
        <v>The petition called France Stop Crying appeared was a reply from Argentina for France who asked for the World Cup final match to be repeated</v>
      </c>
    </row>
    <row r="3441" ht="15.75" customHeight="1">
      <c r="A3441" s="1">
        <v>3457.0</v>
      </c>
      <c r="B3441" s="3" t="s">
        <v>10016</v>
      </c>
      <c r="C3441" s="3">
        <v>0.0</v>
      </c>
      <c r="D3441" s="3">
        <v>0.0</v>
      </c>
      <c r="E3441" s="3">
        <v>0.0</v>
      </c>
      <c r="F3441" s="3" t="s">
        <v>10017</v>
      </c>
      <c r="G3441" s="3">
        <v>1.0</v>
      </c>
      <c r="H3441" s="3">
        <v>0.0</v>
      </c>
      <c r="I3441" s="3" t="s">
        <v>13</v>
      </c>
      <c r="J3441" s="3" t="s">
        <v>10018</v>
      </c>
      <c r="K3441" s="3" t="s">
        <v>71</v>
      </c>
      <c r="L3441" s="3" t="str">
        <f>IFERROR(__xludf.DUMMYFUNCTION("GOOGLETRANSLATE(F3441,""id"",""en"")"),"Lionel Messi's goal is crowded in the world's referee VAR Final Cup. Give an explanation")</f>
        <v>Lionel Messi's goal is crowded in the world's referee VAR Final Cup. Give an explanation</v>
      </c>
    </row>
    <row r="3442" ht="15.75" customHeight="1">
      <c r="A3442" s="1">
        <v>3458.0</v>
      </c>
      <c r="B3442" s="3" t="s">
        <v>10019</v>
      </c>
      <c r="C3442" s="3">
        <v>3.0</v>
      </c>
      <c r="D3442" s="3">
        <v>0.0</v>
      </c>
      <c r="E3442" s="3">
        <v>9.0</v>
      </c>
      <c r="F3442" s="3" t="s">
        <v>10020</v>
      </c>
      <c r="G3442" s="3">
        <v>1.0</v>
      </c>
      <c r="H3442" s="3">
        <v>0.0</v>
      </c>
      <c r="I3442" s="3" t="s">
        <v>13</v>
      </c>
      <c r="J3442" s="3" t="s">
        <v>10021</v>
      </c>
      <c r="K3442" s="3" t="s">
        <v>41</v>
      </c>
      <c r="L3442" s="3" t="str">
        <f>IFERROR(__xludf.DUMMYFUNCTION("GOOGLETRANSLATE(F3442,""id"",""en"")"),"The World Cup Final Referee claimed to make a fault with a disadvantage of France")</f>
        <v>The World Cup Final Referee claimed to make a fault with a disadvantage of France</v>
      </c>
    </row>
    <row r="3443" ht="15.75" customHeight="1">
      <c r="A3443" s="1">
        <v>3459.0</v>
      </c>
      <c r="B3443" s="3" t="s">
        <v>10022</v>
      </c>
      <c r="C3443" s="3">
        <v>0.0</v>
      </c>
      <c r="D3443" s="3">
        <v>0.0</v>
      </c>
      <c r="E3443" s="3">
        <v>0.0</v>
      </c>
      <c r="F3443" s="3" t="s">
        <v>10023</v>
      </c>
      <c r="G3443" s="3">
        <v>1.0</v>
      </c>
      <c r="H3443" s="3">
        <v>0.0</v>
      </c>
      <c r="I3443" s="3" t="s">
        <v>13</v>
      </c>
      <c r="J3443" s="3" t="s">
        <v>10024</v>
      </c>
      <c r="K3443" s="3" t="s">
        <v>15</v>
      </c>
      <c r="L3443" s="3" t="str">
        <f>IFERROR(__xludf.DUMMYFUNCTION("GOOGLETRANSLATE(F3443,""id"",""en"")"),"It looks like the World Cup final yesterday was not completed after the Pinalty shootout")</f>
        <v>It looks like the World Cup final yesterday was not completed after the Pinalty shootout</v>
      </c>
    </row>
    <row r="3444" ht="15.75" customHeight="1">
      <c r="A3444" s="1">
        <v>3460.0</v>
      </c>
      <c r="B3444" s="3" t="s">
        <v>10025</v>
      </c>
      <c r="C3444" s="3">
        <v>0.0</v>
      </c>
      <c r="D3444" s="3">
        <v>0.0</v>
      </c>
      <c r="E3444" s="3">
        <v>0.0</v>
      </c>
      <c r="F3444" s="3" t="s">
        <v>10026</v>
      </c>
      <c r="G3444" s="3">
        <v>1.0</v>
      </c>
      <c r="H3444" s="3">
        <v>0.0</v>
      </c>
      <c r="I3444" s="3" t="s">
        <v>13</v>
      </c>
      <c r="J3444" s="3" t="s">
        <v>10027</v>
      </c>
      <c r="K3444" s="3" t="s">
        <v>883</v>
      </c>
      <c r="L3444" s="3" t="str">
        <f>IFERROR(__xludf.DUMMYFUNCTION("GOOGLETRANSLATE(F3444,""id"",""en"")"),"Yesterday when watching the World Cup final until half morning, I woke up at noon")</f>
        <v>Yesterday when watching the World Cup final until half morning, I woke up at noon</v>
      </c>
    </row>
    <row r="3445" ht="15.75" customHeight="1">
      <c r="A3445" s="1">
        <v>3461.0</v>
      </c>
      <c r="B3445" s="3" t="s">
        <v>10028</v>
      </c>
      <c r="C3445" s="3">
        <v>0.0</v>
      </c>
      <c r="D3445" s="3">
        <v>0.0</v>
      </c>
      <c r="E3445" s="3">
        <v>0.0</v>
      </c>
      <c r="F3445" s="3" t="s">
        <v>10029</v>
      </c>
      <c r="G3445" s="3">
        <v>1.0</v>
      </c>
      <c r="H3445" s="3">
        <v>0.0</v>
      </c>
      <c r="I3445" s="3" t="s">
        <v>13</v>
      </c>
      <c r="J3445" s="3" t="s">
        <v>10030</v>
      </c>
      <c r="K3445" s="3" t="s">
        <v>657</v>
      </c>
      <c r="L3445" s="3" t="str">
        <f>IFERROR(__xludf.DUMMYFUNCTION("GOOGLETRANSLATE(F3445,""id"",""en"")"),"We are a family who is a supporter of the Argentina team said that he did not agree")</f>
        <v>We are a family who is a supporter of the Argentina team said that he did not agree</v>
      </c>
    </row>
    <row r="3446" ht="15.75" customHeight="1">
      <c r="A3446" s="1">
        <v>3462.0</v>
      </c>
      <c r="B3446" s="3" t="s">
        <v>10031</v>
      </c>
      <c r="C3446" s="3">
        <v>0.0</v>
      </c>
      <c r="D3446" s="3">
        <v>0.0</v>
      </c>
      <c r="E3446" s="3">
        <v>0.0</v>
      </c>
      <c r="F3446" s="3" t="s">
        <v>10032</v>
      </c>
      <c r="G3446" s="3">
        <v>1.0</v>
      </c>
      <c r="H3446" s="3">
        <v>0.0</v>
      </c>
      <c r="I3446" s="3" t="s">
        <v>13</v>
      </c>
      <c r="J3446" s="3" t="s">
        <v>10033</v>
      </c>
      <c r="K3446" s="3" t="s">
        <v>27</v>
      </c>
      <c r="L3446" s="3" t="str">
        <f>IFERROR(__xludf.DUMMYFUNCTION("GOOGLETRANSLATE(F3446,""id"",""en"")"),"Even though Pas Goll Mbappe there were also French players entering the field of hundreds of thousands of fans signing the Petitions Urges FIFA Repeat the French French World Cup Final Party")</f>
        <v>Even though Pas Goll Mbappe there were also French players entering the field of hundreds of thousands of fans signing the Petitions Urges FIFA Repeat the French French World Cup Final Party</v>
      </c>
    </row>
    <row r="3447" ht="15.75" customHeight="1">
      <c r="A3447" s="1">
        <v>3463.0</v>
      </c>
      <c r="B3447" s="3" t="s">
        <v>10034</v>
      </c>
      <c r="C3447" s="3">
        <v>0.0</v>
      </c>
      <c r="D3447" s="3">
        <v>0.0</v>
      </c>
      <c r="E3447" s="3">
        <v>6.0</v>
      </c>
      <c r="F3447" s="3" t="s">
        <v>10035</v>
      </c>
      <c r="G3447" s="3">
        <v>0.6666666666666666</v>
      </c>
      <c r="H3447" s="3">
        <v>0.08333333333333333</v>
      </c>
      <c r="I3447" s="3" t="s">
        <v>48</v>
      </c>
      <c r="J3447" s="3" t="s">
        <v>10036</v>
      </c>
      <c r="K3447" s="3" t="s">
        <v>15</v>
      </c>
      <c r="L3447" s="3" t="str">
        <f>IFERROR(__xludf.DUMMYFUNCTION("GOOGLETRANSLATE(F3447,""id"",""en"")"),"Liverpool who play the most World Cups are playing final")</f>
        <v>Liverpool who play the most World Cups are playing final</v>
      </c>
    </row>
    <row r="3448" ht="15.75" customHeight="1">
      <c r="A3448" s="1">
        <v>3464.0</v>
      </c>
      <c r="B3448" s="3" t="s">
        <v>10037</v>
      </c>
      <c r="C3448" s="3">
        <v>0.0</v>
      </c>
      <c r="D3448" s="3">
        <v>0.0</v>
      </c>
      <c r="E3448" s="3">
        <v>0.0</v>
      </c>
      <c r="F3448" s="3" t="s">
        <v>10038</v>
      </c>
      <c r="G3448" s="3">
        <v>1.0</v>
      </c>
      <c r="H3448" s="3">
        <v>0.0</v>
      </c>
      <c r="I3448" s="3" t="s">
        <v>13</v>
      </c>
      <c r="J3448" s="3" t="s">
        <v>10039</v>
      </c>
      <c r="K3448" s="3" t="s">
        <v>75</v>
      </c>
      <c r="L3448" s="3" t="str">
        <f>IFERROR(__xludf.DUMMYFUNCTION("GOOGLETRANSLATE(F3448,""id"",""en"")"),"Wow, it's really bad yesterday when I was the World Cup final, wkwkwkwk")</f>
        <v>Wow, it's really bad yesterday when I was the World Cup final, wkwkwkwk</v>
      </c>
    </row>
    <row r="3449" ht="15.75" customHeight="1">
      <c r="A3449" s="1">
        <v>3465.0</v>
      </c>
      <c r="B3449" s="3" t="s">
        <v>10040</v>
      </c>
      <c r="C3449" s="3">
        <v>0.0</v>
      </c>
      <c r="D3449" s="3">
        <v>0.0</v>
      </c>
      <c r="E3449" s="3">
        <v>0.0</v>
      </c>
      <c r="F3449" s="3" t="s">
        <v>10041</v>
      </c>
      <c r="G3449" s="3">
        <v>1.0</v>
      </c>
      <c r="H3449" s="3">
        <v>0.0</v>
      </c>
      <c r="I3449" s="3" t="s">
        <v>13</v>
      </c>
      <c r="J3449" s="3" t="s">
        <v>10042</v>
      </c>
      <c r="K3449" s="3" t="s">
        <v>510</v>
      </c>
      <c r="L3449" s="3" t="str">
        <f>IFERROR(__xludf.DUMMYFUNCTION("GOOGLETRANSLATE(F3449,""id"",""en"")"),"The enemy moment returned to being a friend after the CNN Indonesia World Cup Final Google News Sports News")</f>
        <v>The enemy moment returned to being a friend after the CNN Indonesia World Cup Final Google News Sports News</v>
      </c>
    </row>
    <row r="3450" ht="15.75" customHeight="1">
      <c r="A3450" s="1">
        <v>3466.0</v>
      </c>
      <c r="B3450" s="3" t="s">
        <v>10043</v>
      </c>
      <c r="C3450" s="3">
        <v>0.0</v>
      </c>
      <c r="D3450" s="3">
        <v>0.0</v>
      </c>
      <c r="E3450" s="3">
        <v>0.0</v>
      </c>
      <c r="F3450" s="3" t="s">
        <v>10041</v>
      </c>
      <c r="G3450" s="3">
        <v>1.0</v>
      </c>
      <c r="H3450" s="3">
        <v>0.0</v>
      </c>
      <c r="I3450" s="3" t="s">
        <v>13</v>
      </c>
      <c r="J3450" s="3" t="s">
        <v>10042</v>
      </c>
      <c r="K3450" s="3" t="s">
        <v>510</v>
      </c>
      <c r="L3450" s="3" t="str">
        <f>IFERROR(__xludf.DUMMYFUNCTION("GOOGLETRANSLATE(F3450,""id"",""en"")"),"The enemy moment returned to being a friend after the CNN Indonesia World Cup Final Google News Sports News")</f>
        <v>The enemy moment returned to being a friend after the CNN Indonesia World Cup Final Google News Sports News</v>
      </c>
    </row>
    <row r="3451" ht="15.75" customHeight="1">
      <c r="A3451" s="1">
        <v>3467.0</v>
      </c>
      <c r="B3451" s="3" t="s">
        <v>10044</v>
      </c>
      <c r="C3451" s="3">
        <v>0.0</v>
      </c>
      <c r="D3451" s="3">
        <v>0.0</v>
      </c>
      <c r="E3451" s="3">
        <v>1.0</v>
      </c>
      <c r="F3451" s="3" t="s">
        <v>10045</v>
      </c>
      <c r="G3451" s="3">
        <v>1.0</v>
      </c>
      <c r="H3451" s="3">
        <v>0.0</v>
      </c>
      <c r="I3451" s="3" t="s">
        <v>13</v>
      </c>
      <c r="J3451" s="3" t="s">
        <v>10046</v>
      </c>
      <c r="K3451" s="3" t="s">
        <v>657</v>
      </c>
      <c r="L3451" s="3" t="str">
        <f>IFERROR(__xludf.DUMMYFUNCTION("GOOGLETRANSLATE(F3451,""id"",""en"")"),"accused of cheating, ratified Lionel Messi's goal, the World Cup final referee gave an answer to the French camp")</f>
        <v>accused of cheating, ratified Lionel Messi's goal, the World Cup final referee gave an answer to the French camp</v>
      </c>
    </row>
    <row r="3452" ht="15.75" customHeight="1">
      <c r="A3452" s="1">
        <v>3468.0</v>
      </c>
      <c r="B3452" s="3" t="s">
        <v>10047</v>
      </c>
      <c r="C3452" s="3">
        <v>0.0</v>
      </c>
      <c r="D3452" s="3">
        <v>0.0</v>
      </c>
      <c r="E3452" s="3">
        <v>0.0</v>
      </c>
      <c r="F3452" s="3" t="s">
        <v>9959</v>
      </c>
      <c r="G3452" s="3">
        <v>1.0</v>
      </c>
      <c r="H3452" s="3">
        <v>0.0</v>
      </c>
      <c r="I3452" s="3" t="s">
        <v>13</v>
      </c>
      <c r="J3452" s="3" t="s">
        <v>9960</v>
      </c>
      <c r="K3452" s="3" t="s">
        <v>699</v>
      </c>
      <c r="L3452" s="3" t="str">
        <f>IFERROR(__xludf.DUMMYFUNCTION("GOOGLETRANSLATE(F3452,""id"",""en"")"),"Head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453" ht="15.75" customHeight="1">
      <c r="A3453" s="1">
        <v>3469.0</v>
      </c>
      <c r="B3453" s="3" t="s">
        <v>10048</v>
      </c>
      <c r="C3453" s="3">
        <v>0.0</v>
      </c>
      <c r="D3453" s="3">
        <v>0.0</v>
      </c>
      <c r="E3453" s="3">
        <v>0.0</v>
      </c>
      <c r="F3453" s="3" t="s">
        <v>10049</v>
      </c>
      <c r="G3453" s="3">
        <v>1.0</v>
      </c>
      <c r="H3453" s="3">
        <v>0.0</v>
      </c>
      <c r="I3453" s="3" t="s">
        <v>13</v>
      </c>
      <c r="J3453" s="3" t="s">
        <v>10050</v>
      </c>
      <c r="K3453" s="3" t="s">
        <v>75</v>
      </c>
      <c r="L3453" s="3" t="str">
        <f>IFERROR(__xludf.DUMMYFUNCTION("GOOGLETRANSLATE(F3453,""id"",""en"")"),"reply to the world cup final referee after being accused of Bela Argentina")</f>
        <v>reply to the world cup final referee after being accused of Bela Argentina</v>
      </c>
    </row>
    <row r="3454" ht="15.75" customHeight="1">
      <c r="A3454" s="1">
        <v>3470.0</v>
      </c>
      <c r="B3454" s="3" t="s">
        <v>10051</v>
      </c>
      <c r="C3454" s="3">
        <v>0.0</v>
      </c>
      <c r="D3454" s="3">
        <v>0.0</v>
      </c>
      <c r="E3454" s="3">
        <v>0.0</v>
      </c>
      <c r="F3454" s="3" t="s">
        <v>10052</v>
      </c>
      <c r="G3454" s="3">
        <v>1.0</v>
      </c>
      <c r="H3454" s="3">
        <v>0.0</v>
      </c>
      <c r="I3454" s="3" t="s">
        <v>13</v>
      </c>
      <c r="J3454" s="3" t="s">
        <v>10053</v>
      </c>
      <c r="K3454" s="3" t="s">
        <v>19</v>
      </c>
      <c r="L3454" s="3" t="str">
        <f>IFERROR(__xludf.DUMMYFUNCTION("GOOGLETRANSLATE(F3454,""id"",""en"")"),"considered unfair over the third goal of Argentina the World Cup Final Referee spoke up")</f>
        <v>considered unfair over the third goal of Argentina the World Cup Final Referee spoke up</v>
      </c>
    </row>
    <row r="3455" ht="15.75" customHeight="1">
      <c r="A3455" s="1">
        <v>3471.0</v>
      </c>
      <c r="B3455" s="3" t="s">
        <v>10054</v>
      </c>
      <c r="C3455" s="3">
        <v>0.0</v>
      </c>
      <c r="D3455" s="3">
        <v>0.0</v>
      </c>
      <c r="E3455" s="3">
        <v>0.0</v>
      </c>
      <c r="F3455" s="3" t="s">
        <v>9749</v>
      </c>
      <c r="G3455" s="3">
        <v>1.0</v>
      </c>
      <c r="H3455" s="3">
        <v>0.0</v>
      </c>
      <c r="I3455" s="3" t="s">
        <v>13</v>
      </c>
      <c r="J3455" s="3" t="s">
        <v>9750</v>
      </c>
      <c r="K3455" s="3" t="s">
        <v>19</v>
      </c>
      <c r="L3455" s="3" t="str">
        <f>IFERROR(__xludf.DUMMYFUNCTION("GOOGLETRANSLATE(F3455,""id"",""en"")"),"Puan Maharani supports the Argentine soccer team against France in the World Cup final")</f>
        <v>Puan Maharani supports the Argentine soccer team against France in the World Cup final</v>
      </c>
    </row>
    <row r="3456" ht="15.75" customHeight="1">
      <c r="A3456" s="1">
        <v>3472.0</v>
      </c>
      <c r="B3456" s="3" t="s">
        <v>10055</v>
      </c>
      <c r="C3456" s="3">
        <v>0.0</v>
      </c>
      <c r="D3456" s="3">
        <v>0.0</v>
      </c>
      <c r="E3456" s="3">
        <v>0.0</v>
      </c>
      <c r="F3456" s="3" t="s">
        <v>10056</v>
      </c>
      <c r="G3456" s="3">
        <v>1.0</v>
      </c>
      <c r="H3456" s="3">
        <v>0.0</v>
      </c>
      <c r="I3456" s="3" t="s">
        <v>13</v>
      </c>
      <c r="J3456" s="3" t="s">
        <v>10057</v>
      </c>
      <c r="K3456" s="3" t="s">
        <v>15</v>
      </c>
      <c r="L3456" s="3" t="str">
        <f>IFERROR(__xludf.DUMMYFUNCTION("GOOGLETRANSLATE(F3456,""id"",""en"")"),"The reaction of the hot cup final referee continues to be criticized")</f>
        <v>The reaction of the hot cup final referee continues to be criticized</v>
      </c>
    </row>
    <row r="3457" ht="15.75" customHeight="1">
      <c r="A3457" s="1">
        <v>3473.0</v>
      </c>
      <c r="B3457" s="3" t="s">
        <v>10058</v>
      </c>
      <c r="C3457" s="3">
        <v>0.0</v>
      </c>
      <c r="D3457" s="3">
        <v>0.0</v>
      </c>
      <c r="E3457" s="3">
        <v>2.0</v>
      </c>
      <c r="F3457" s="3" t="s">
        <v>10059</v>
      </c>
      <c r="G3457" s="3">
        <v>1.0</v>
      </c>
      <c r="H3457" s="3">
        <v>0.0</v>
      </c>
      <c r="I3457" s="3" t="s">
        <v>13</v>
      </c>
      <c r="J3457" s="3" t="s">
        <v>10060</v>
      </c>
      <c r="K3457" s="3" t="s">
        <v>75</v>
      </c>
      <c r="L3457" s="3" t="str">
        <f>IFERROR(__xludf.DUMMYFUNCTION("GOOGLETRANSLATE(F3457,""id"",""en"")"),"World Cup Final Referee Open Voice About Messi's goal controversy")</f>
        <v>World Cup Final Referee Open Voice About Messi's goal controversy</v>
      </c>
    </row>
    <row r="3458" ht="15.75" customHeight="1">
      <c r="A3458" s="1">
        <v>3474.0</v>
      </c>
      <c r="B3458" s="3" t="s">
        <v>10061</v>
      </c>
      <c r="C3458" s="3">
        <v>0.0</v>
      </c>
      <c r="D3458" s="3">
        <v>0.0</v>
      </c>
      <c r="E3458" s="3">
        <v>0.0</v>
      </c>
      <c r="F3458" s="3" t="s">
        <v>10049</v>
      </c>
      <c r="G3458" s="3">
        <v>1.0</v>
      </c>
      <c r="H3458" s="3">
        <v>0.0</v>
      </c>
      <c r="I3458" s="3" t="s">
        <v>13</v>
      </c>
      <c r="J3458" s="3" t="s">
        <v>10050</v>
      </c>
      <c r="K3458" s="3" t="s">
        <v>75</v>
      </c>
      <c r="L3458" s="3" t="str">
        <f>IFERROR(__xludf.DUMMYFUNCTION("GOOGLETRANSLATE(F3458,""id"",""en"")"),"reply to the world cup final referee after being accused of Bela Argentina")</f>
        <v>reply to the world cup final referee after being accused of Bela Argentina</v>
      </c>
    </row>
    <row r="3459" ht="15.75" customHeight="1">
      <c r="A3459" s="1">
        <v>3475.0</v>
      </c>
      <c r="B3459" s="3" t="s">
        <v>10062</v>
      </c>
      <c r="C3459" s="3">
        <v>0.0</v>
      </c>
      <c r="D3459" s="3">
        <v>0.0</v>
      </c>
      <c r="E3459" s="3">
        <v>0.0</v>
      </c>
      <c r="F3459" s="3" t="s">
        <v>10063</v>
      </c>
      <c r="G3459" s="3">
        <v>1.0</v>
      </c>
      <c r="H3459" s="3">
        <v>0.0</v>
      </c>
      <c r="I3459" s="3" t="s">
        <v>13</v>
      </c>
      <c r="J3459" s="3" t="s">
        <v>10064</v>
      </c>
      <c r="K3459" s="3" t="s">
        <v>75</v>
      </c>
      <c r="L3459" s="3" t="str">
        <f>IFERROR(__xludf.DUMMYFUNCTION("GOOGLETRANSLATE(F3459,""id"",""en"")"),"World Cup Final Referee Admits to make a mistake in the French Argentine match what is it")</f>
        <v>World Cup Final Referee Admits to make a mistake in the French Argentine match what is it</v>
      </c>
    </row>
    <row r="3460" ht="15.75" customHeight="1">
      <c r="A3460" s="1">
        <v>3476.0</v>
      </c>
      <c r="B3460" s="3" t="s">
        <v>10065</v>
      </c>
      <c r="C3460" s="3">
        <v>0.0</v>
      </c>
      <c r="D3460" s="3">
        <v>0.0</v>
      </c>
      <c r="E3460" s="3">
        <v>0.0</v>
      </c>
      <c r="F3460" s="3" t="s">
        <v>9749</v>
      </c>
      <c r="G3460" s="3">
        <v>1.0</v>
      </c>
      <c r="H3460" s="3">
        <v>0.0</v>
      </c>
      <c r="I3460" s="3" t="s">
        <v>13</v>
      </c>
      <c r="J3460" s="3" t="s">
        <v>9750</v>
      </c>
      <c r="K3460" s="3" t="s">
        <v>19</v>
      </c>
      <c r="L3460" s="3" t="str">
        <f>IFERROR(__xludf.DUMMYFUNCTION("GOOGLETRANSLATE(F3460,""id"",""en"")"),"Puan Maharani supports the Argentine soccer team against France in the World Cup final")</f>
        <v>Puan Maharani supports the Argentine soccer team against France in the World Cup final</v>
      </c>
    </row>
    <row r="3461" ht="15.75" customHeight="1">
      <c r="A3461" s="1">
        <v>3477.0</v>
      </c>
      <c r="B3461" s="3" t="s">
        <v>10066</v>
      </c>
      <c r="C3461" s="3">
        <v>0.0</v>
      </c>
      <c r="D3461" s="3">
        <v>0.0</v>
      </c>
      <c r="E3461" s="3">
        <v>0.0</v>
      </c>
      <c r="F3461" s="3" t="s">
        <v>10067</v>
      </c>
      <c r="G3461" s="3">
        <v>1.0</v>
      </c>
      <c r="H3461" s="3">
        <v>0.0</v>
      </c>
      <c r="I3461" s="3" t="s">
        <v>13</v>
      </c>
      <c r="J3461" s="3" t="s">
        <v>10068</v>
      </c>
      <c r="K3461" s="3" t="s">
        <v>50</v>
      </c>
      <c r="L3461" s="3" t="str">
        <f>IFERROR(__xludf.DUMMYFUNCTION("GOOGLETRANSLATE(F3461,""id"",""en"")"),"Protest Szymon World Cup Final Referee Marciniak Explain Argentina's third goal")</f>
        <v>Protest Szymon World Cup Final Referee Marciniak Explain Argentina's third goal</v>
      </c>
    </row>
    <row r="3462" ht="15.75" customHeight="1">
      <c r="A3462" s="1">
        <v>3478.0</v>
      </c>
      <c r="B3462" s="3" t="s">
        <v>10069</v>
      </c>
      <c r="C3462" s="3">
        <v>3.0</v>
      </c>
      <c r="D3462" s="3">
        <v>10.0</v>
      </c>
      <c r="E3462" s="3">
        <v>32.0</v>
      </c>
      <c r="F3462" s="3" t="s">
        <v>10070</v>
      </c>
      <c r="G3462" s="3">
        <v>1.0</v>
      </c>
      <c r="H3462" s="3">
        <v>0.0</v>
      </c>
      <c r="I3462" s="3" t="s">
        <v>13</v>
      </c>
      <c r="J3462" s="3" t="s">
        <v>10071</v>
      </c>
      <c r="K3462" s="3" t="s">
        <v>1414</v>
      </c>
      <c r="L3462" s="3" t="str">
        <f>IFERROR(__xludf.DUMMYFUNCTION("GOOGLETRANSLATE(F3462,""id"",""en"")"),"The situation is still hot after the World Cup won by Argentina French fans made an online petition asking for a final match between France and Argentina repeated one of the Albiceleste fans responded by making the French petition stop crying")</f>
        <v>The situation is still hot after the World Cup won by Argentina French fans made an online petition asking for a final match between France and Argentina repeated one of the Albiceleste fans responded by making the French petition stop crying</v>
      </c>
    </row>
    <row r="3463" ht="15.75" customHeight="1">
      <c r="A3463" s="1">
        <v>3479.0</v>
      </c>
      <c r="B3463" s="3" t="s">
        <v>10072</v>
      </c>
      <c r="C3463" s="3">
        <v>0.0</v>
      </c>
      <c r="D3463" s="3">
        <v>2.0</v>
      </c>
      <c r="E3463" s="3">
        <v>0.0</v>
      </c>
      <c r="F3463" s="3" t="s">
        <v>10073</v>
      </c>
      <c r="G3463" s="3">
        <v>1.0</v>
      </c>
      <c r="H3463" s="3">
        <v>0.0</v>
      </c>
      <c r="I3463" s="3" t="s">
        <v>13</v>
      </c>
      <c r="J3463" s="3" t="s">
        <v>10074</v>
      </c>
      <c r="K3463" s="3" t="s">
        <v>82</v>
      </c>
      <c r="L3463" s="3" t="str">
        <f>IFERROR(__xludf.DUMMYFUNCTION("GOOGLETRANSLATE(F3463,""id"",""en"")"),"When the enemy returned to being a friend after the World Cup final")</f>
        <v>When the enemy returned to being a friend after the World Cup final</v>
      </c>
    </row>
    <row r="3464" ht="15.75" customHeight="1">
      <c r="A3464" s="1">
        <v>3480.0</v>
      </c>
      <c r="B3464" s="3" t="s">
        <v>10075</v>
      </c>
      <c r="C3464" s="3">
        <v>0.0</v>
      </c>
      <c r="D3464" s="3">
        <v>0.0</v>
      </c>
      <c r="E3464" s="3">
        <v>0.0</v>
      </c>
      <c r="F3464" s="3" t="s">
        <v>9959</v>
      </c>
      <c r="G3464" s="3">
        <v>1.0</v>
      </c>
      <c r="H3464" s="3">
        <v>0.0</v>
      </c>
      <c r="I3464" s="3" t="s">
        <v>13</v>
      </c>
      <c r="J3464" s="3" t="s">
        <v>9960</v>
      </c>
      <c r="K3464" s="3" t="s">
        <v>699</v>
      </c>
      <c r="L3464" s="3" t="str">
        <f>IFERROR(__xludf.DUMMYFUNCTION("GOOGLETRANSLATE(F3464,""id"",""en"")"),"Head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465" ht="15.75" customHeight="1">
      <c r="A3465" s="1">
        <v>3481.0</v>
      </c>
      <c r="B3465" s="3" t="s">
        <v>10076</v>
      </c>
      <c r="C3465" s="3">
        <v>0.0</v>
      </c>
      <c r="D3465" s="3">
        <v>0.0</v>
      </c>
      <c r="E3465" s="3">
        <v>0.0</v>
      </c>
      <c r="F3465" s="3" t="s">
        <v>10077</v>
      </c>
      <c r="G3465" s="3">
        <v>1.0</v>
      </c>
      <c r="H3465" s="3">
        <v>0.0</v>
      </c>
      <c r="I3465" s="3" t="s">
        <v>13</v>
      </c>
      <c r="J3465" s="3" t="s">
        <v>10078</v>
      </c>
      <c r="K3465" s="3" t="s">
        <v>1493</v>
      </c>
      <c r="L3465" s="3" t="str">
        <f>IFERROR(__xludf.DUMMYFUNCTION("GOOGLETRANSLATE(F3465,""id"",""en"")"),"This is the best referee during the Premier League referee talking like that this is the best referee during the World Cup final because this referee is a former pro player he memorized BTL tricks, the tricks of the player, the one referee, Var Final, man"&amp;"y")</f>
        <v>This is the best referee during the Premier League referee talking like that this is the best referee during the World Cup final because this referee is a former pro player he memorized BTL tricks, the tricks of the player, the one referee, Var Final, many</v>
      </c>
    </row>
    <row r="3466" ht="15.75" customHeight="1">
      <c r="A3466" s="1">
        <v>3482.0</v>
      </c>
      <c r="B3466" s="3" t="s">
        <v>10079</v>
      </c>
      <c r="C3466" s="3">
        <v>0.0</v>
      </c>
      <c r="D3466" s="3">
        <v>0.0</v>
      </c>
      <c r="E3466" s="3">
        <v>0.0</v>
      </c>
      <c r="F3466" s="3" t="s">
        <v>10080</v>
      </c>
      <c r="G3466" s="3">
        <v>1.0</v>
      </c>
      <c r="H3466" s="3">
        <v>0.0</v>
      </c>
      <c r="I3466" s="3" t="s">
        <v>13</v>
      </c>
      <c r="J3466" s="3" t="s">
        <v>10081</v>
      </c>
      <c r="K3466" s="3" t="s">
        <v>15</v>
      </c>
      <c r="L3466" s="3" t="str">
        <f>IFERROR(__xludf.DUMMYFUNCTION("GOOGLETRANSLATE(F3466,""id"",""en"")"),"If you want to watch the World Cup final, you can see Yutub")</f>
        <v>If you want to watch the World Cup final, you can see Yutub</v>
      </c>
    </row>
    <row r="3467" ht="15.75" customHeight="1">
      <c r="A3467" s="1">
        <v>3483.0</v>
      </c>
      <c r="B3467" s="3" t="s">
        <v>10082</v>
      </c>
      <c r="C3467" s="3">
        <v>0.0</v>
      </c>
      <c r="D3467" s="3">
        <v>0.0</v>
      </c>
      <c r="E3467" s="3">
        <v>2.0</v>
      </c>
      <c r="F3467" s="3" t="s">
        <v>10083</v>
      </c>
      <c r="G3467" s="3">
        <v>1.0</v>
      </c>
      <c r="H3467" s="3">
        <v>0.0</v>
      </c>
      <c r="I3467" s="3" t="s">
        <v>13</v>
      </c>
      <c r="J3467" s="3" t="s">
        <v>10084</v>
      </c>
      <c r="K3467" s="3" t="s">
        <v>10085</v>
      </c>
      <c r="L3467" s="3" t="str">
        <f>IFERROR(__xludf.DUMMYFUNCTION("GOOGLETRANSLATE(F3467,""id"",""en"")"),"Min Argentina just won the World Cup on December Pak Anies already treated the crowd of Argentina won the world cup of the hero of Pak Anies even though France had just won the quarter -finals on the December December mah")</f>
        <v>Min Argentina just won the World Cup on December Pak Anies already treated the crowd of Argentina won the world cup of the hero of Pak Anies even though France had just won the quarter -finals on the December December mah</v>
      </c>
    </row>
    <row r="3468" ht="15.75" customHeight="1">
      <c r="A3468" s="1">
        <v>3484.0</v>
      </c>
      <c r="B3468" s="3" t="s">
        <v>10086</v>
      </c>
      <c r="C3468" s="3">
        <v>0.0</v>
      </c>
      <c r="D3468" s="3">
        <v>0.0</v>
      </c>
      <c r="E3468" s="3">
        <v>0.0</v>
      </c>
      <c r="F3468" s="3" t="s">
        <v>10087</v>
      </c>
      <c r="G3468" s="3">
        <v>1.0</v>
      </c>
      <c r="H3468" s="3">
        <v>0.0</v>
      </c>
      <c r="I3468" s="3" t="s">
        <v>13</v>
      </c>
      <c r="J3468" s="3" t="s">
        <v>10088</v>
      </c>
      <c r="K3468" s="3" t="s">
        <v>433</v>
      </c>
      <c r="L3468" s="3" t="str">
        <f>IFERROR(__xludf.DUMMYFUNCTION("GOOGLETRANSLATE(F3468,""id"",""en"")"),"Don't want to be fooled, just look carefully at Mr. Anies's post when the World Cup Final")</f>
        <v>Don't want to be fooled, just look carefully at Mr. Anies's post when the World Cup Final</v>
      </c>
    </row>
    <row r="3469" ht="15.75" customHeight="1">
      <c r="A3469" s="1">
        <v>3485.0</v>
      </c>
      <c r="B3469" s="3" t="s">
        <v>10089</v>
      </c>
      <c r="C3469" s="3">
        <v>0.0</v>
      </c>
      <c r="D3469" s="3">
        <v>2.0</v>
      </c>
      <c r="E3469" s="3">
        <v>6.0</v>
      </c>
      <c r="F3469" s="3" t="s">
        <v>10090</v>
      </c>
      <c r="G3469" s="3">
        <v>1.0</v>
      </c>
      <c r="H3469" s="3">
        <v>0.0</v>
      </c>
      <c r="I3469" s="3" t="s">
        <v>13</v>
      </c>
      <c r="J3469" s="3" t="s">
        <v>10091</v>
      </c>
      <c r="K3469" s="3" t="s">
        <v>15</v>
      </c>
      <c r="L3469" s="3" t="str">
        <f>IFERROR(__xludf.DUMMYFUNCTION("GOOGLETRANSLATE(F3469,""id"",""en"")"),"The moment of the enemy returned to being a friend after the World Cup Final")</f>
        <v>The moment of the enemy returned to being a friend after the World Cup Final</v>
      </c>
    </row>
    <row r="3470" ht="15.75" customHeight="1">
      <c r="A3470" s="1">
        <v>3486.0</v>
      </c>
      <c r="B3470" s="3" t="s">
        <v>10092</v>
      </c>
      <c r="C3470" s="3">
        <v>0.0</v>
      </c>
      <c r="D3470" s="3">
        <v>0.0</v>
      </c>
      <c r="E3470" s="3">
        <v>0.0</v>
      </c>
      <c r="F3470" s="3" t="s">
        <v>10093</v>
      </c>
      <c r="G3470" s="3">
        <v>1.0</v>
      </c>
      <c r="H3470" s="3">
        <v>0.0</v>
      </c>
      <c r="I3470" s="3" t="s">
        <v>13</v>
      </c>
      <c r="J3470" s="3" t="s">
        <v>10094</v>
      </c>
      <c r="K3470" s="3" t="s">
        <v>240</v>
      </c>
      <c r="L3470" s="3" t="str">
        <f>IFERROR(__xludf.DUMMYFUNCTION("GOOGLETRANSLATE(F3470,""id"",""en"")"),"Forgiveness of time passed very fast, it doesn't feel the final of the World Cup already a week ago and then soon the new year")</f>
        <v>Forgiveness of time passed very fast, it doesn't feel the final of the World Cup already a week ago and then soon the new year</v>
      </c>
    </row>
    <row r="3471" ht="15.75" customHeight="1">
      <c r="A3471" s="1">
        <v>3487.0</v>
      </c>
      <c r="B3471" s="3" t="s">
        <v>10095</v>
      </c>
      <c r="C3471" s="3">
        <v>2.0</v>
      </c>
      <c r="D3471" s="3">
        <v>1.0</v>
      </c>
      <c r="E3471" s="3">
        <v>79.0</v>
      </c>
      <c r="F3471" s="3" t="s">
        <v>10096</v>
      </c>
      <c r="G3471" s="3">
        <v>1.0</v>
      </c>
      <c r="H3471" s="3">
        <v>0.0</v>
      </c>
      <c r="I3471" s="3" t="s">
        <v>13</v>
      </c>
      <c r="J3471" s="3" t="s">
        <v>10097</v>
      </c>
      <c r="K3471" s="3" t="s">
        <v>437</v>
      </c>
      <c r="L3471" s="3" t="str">
        <f>IFERROR(__xludf.DUMMYFUNCTION("GOOGLETRANSLATE(F3471,""id"",""en"")"),"an Argentine fan launched a French online petition stop crying to reply to the petition that asked that the World Cup final be repeated")</f>
        <v>an Argentine fan launched a French online petition stop crying to reply to the petition that asked that the World Cup final be repeated</v>
      </c>
    </row>
    <row r="3472" ht="15.75" customHeight="1">
      <c r="A3472" s="1">
        <v>3488.0</v>
      </c>
      <c r="B3472" s="3" t="s">
        <v>10098</v>
      </c>
      <c r="C3472" s="3">
        <v>0.0</v>
      </c>
      <c r="D3472" s="3">
        <v>0.0</v>
      </c>
      <c r="E3472" s="3">
        <v>0.0</v>
      </c>
      <c r="F3472" s="3" t="s">
        <v>10099</v>
      </c>
      <c r="G3472" s="3">
        <v>1.0</v>
      </c>
      <c r="H3472" s="3">
        <v>0.45</v>
      </c>
      <c r="I3472" s="3" t="s">
        <v>48</v>
      </c>
      <c r="J3472" s="3" t="s">
        <v>10100</v>
      </c>
      <c r="K3472" s="3" t="s">
        <v>75</v>
      </c>
      <c r="L3472" s="3" t="str">
        <f>IFERROR(__xludf.DUMMYFUNCTION("GOOGLETRANSLATE(F3472,""id"",""en"")"),"Of all the most ideal French Argentine World Cup finals")</f>
        <v>Of all the most ideal French Argentine World Cup finals</v>
      </c>
    </row>
    <row r="3473" ht="15.75" customHeight="1">
      <c r="A3473" s="1">
        <v>3489.0</v>
      </c>
      <c r="B3473" s="3" t="s">
        <v>10101</v>
      </c>
      <c r="C3473" s="3">
        <v>0.0</v>
      </c>
      <c r="D3473" s="3">
        <v>0.0</v>
      </c>
      <c r="E3473" s="3">
        <v>0.0</v>
      </c>
      <c r="F3473" s="3" t="s">
        <v>10102</v>
      </c>
      <c r="G3473" s="3">
        <v>1.0</v>
      </c>
      <c r="H3473" s="3">
        <v>0.0</v>
      </c>
      <c r="I3473" s="3" t="s">
        <v>13</v>
      </c>
      <c r="J3473" s="3" t="s">
        <v>10103</v>
      </c>
      <c r="K3473" s="3" t="s">
        <v>71</v>
      </c>
      <c r="L3473" s="3" t="str">
        <f>IFERROR(__xludf.DUMMYFUNCTION("GOOGLETRANSLATE(F3473,""id"",""en"")"),"not sincere hundreds of thousands of French fans signature petitions asking for the World Cup final to be repeated iNews")</f>
        <v>not sincere hundreds of thousands of French fans signature petitions asking for the World Cup final to be repeated iNews</v>
      </c>
    </row>
    <row r="3474" ht="15.75" customHeight="1">
      <c r="A3474" s="1">
        <v>3490.0</v>
      </c>
      <c r="B3474" s="3" t="s">
        <v>10104</v>
      </c>
      <c r="C3474" s="3">
        <v>0.0</v>
      </c>
      <c r="D3474" s="3">
        <v>0.0</v>
      </c>
      <c r="E3474" s="3">
        <v>0.0</v>
      </c>
      <c r="F3474" s="3" t="s">
        <v>9959</v>
      </c>
      <c r="G3474" s="3">
        <v>1.0</v>
      </c>
      <c r="H3474" s="3">
        <v>0.0</v>
      </c>
      <c r="I3474" s="3" t="s">
        <v>13</v>
      </c>
      <c r="J3474" s="3" t="s">
        <v>9960</v>
      </c>
      <c r="K3474" s="3" t="s">
        <v>699</v>
      </c>
      <c r="L3474" s="3" t="str">
        <f>IFERROR(__xludf.DUMMYFUNCTION("GOOGLETRANSLATE(F3474,""id"",""en"")"),"Head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475" ht="15.75" customHeight="1">
      <c r="A3475" s="1">
        <v>3491.0</v>
      </c>
      <c r="B3475" s="3" t="s">
        <v>10105</v>
      </c>
      <c r="C3475" s="3">
        <v>0.0</v>
      </c>
      <c r="D3475" s="3">
        <v>0.0</v>
      </c>
      <c r="E3475" s="3">
        <v>0.0</v>
      </c>
      <c r="F3475" s="3" t="s">
        <v>10102</v>
      </c>
      <c r="G3475" s="3">
        <v>1.0</v>
      </c>
      <c r="H3475" s="3">
        <v>0.0</v>
      </c>
      <c r="I3475" s="3" t="s">
        <v>13</v>
      </c>
      <c r="J3475" s="3" t="s">
        <v>10103</v>
      </c>
      <c r="K3475" s="3" t="s">
        <v>71</v>
      </c>
      <c r="L3475" s="3" t="str">
        <f>IFERROR(__xludf.DUMMYFUNCTION("GOOGLETRANSLATE(F3475,""id"",""en"")"),"not sincere hundreds of thousands of French fans signature petitions asking for the World Cup final to be repeated iNews")</f>
        <v>not sincere hundreds of thousands of French fans signature petitions asking for the World Cup final to be repeated iNews</v>
      </c>
    </row>
    <row r="3476" ht="15.75" customHeight="1">
      <c r="A3476" s="1">
        <v>3492.0</v>
      </c>
      <c r="B3476" s="3" t="s">
        <v>10106</v>
      </c>
      <c r="C3476" s="3">
        <v>0.0</v>
      </c>
      <c r="D3476" s="3">
        <v>0.0</v>
      </c>
      <c r="E3476" s="3">
        <v>0.0</v>
      </c>
      <c r="F3476" s="3" t="s">
        <v>9959</v>
      </c>
      <c r="G3476" s="3">
        <v>1.0</v>
      </c>
      <c r="H3476" s="3">
        <v>0.0</v>
      </c>
      <c r="I3476" s="3" t="s">
        <v>13</v>
      </c>
      <c r="J3476" s="3" t="s">
        <v>9960</v>
      </c>
      <c r="K3476" s="3" t="s">
        <v>699</v>
      </c>
      <c r="L3476" s="3" t="str">
        <f>IFERROR(__xludf.DUMMYFUNCTION("GOOGLETRANSLATE(F3476,""id"",""en"")"),"Head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477" ht="15.75" customHeight="1">
      <c r="A3477" s="1">
        <v>3493.0</v>
      </c>
      <c r="B3477" s="3" t="s">
        <v>10107</v>
      </c>
      <c r="C3477" s="3">
        <v>0.0</v>
      </c>
      <c r="D3477" s="3">
        <v>0.0</v>
      </c>
      <c r="E3477" s="3">
        <v>0.0</v>
      </c>
      <c r="F3477" s="3" t="s">
        <v>10067</v>
      </c>
      <c r="G3477" s="3">
        <v>1.0</v>
      </c>
      <c r="H3477" s="3">
        <v>0.0</v>
      </c>
      <c r="I3477" s="3" t="s">
        <v>13</v>
      </c>
      <c r="J3477" s="3" t="s">
        <v>10068</v>
      </c>
      <c r="K3477" s="3" t="s">
        <v>50</v>
      </c>
      <c r="L3477" s="3" t="str">
        <f>IFERROR(__xludf.DUMMYFUNCTION("GOOGLETRANSLATE(F3477,""id"",""en"")"),"Protest Szymon World Cup Final Referee Marciniak Explain Argentina's third goal")</f>
        <v>Protest Szymon World Cup Final Referee Marciniak Explain Argentina's third goal</v>
      </c>
    </row>
    <row r="3478" ht="15.75" customHeight="1">
      <c r="A3478" s="1">
        <v>3494.0</v>
      </c>
      <c r="B3478" s="3" t="s">
        <v>10108</v>
      </c>
      <c r="C3478" s="3">
        <v>0.0</v>
      </c>
      <c r="D3478" s="3">
        <v>0.0</v>
      </c>
      <c r="E3478" s="3">
        <v>0.0</v>
      </c>
      <c r="F3478" s="3" t="s">
        <v>10109</v>
      </c>
      <c r="G3478" s="3">
        <v>1.0</v>
      </c>
      <c r="H3478" s="3">
        <v>0.0</v>
      </c>
      <c r="I3478" s="3" t="s">
        <v>13</v>
      </c>
      <c r="J3478" s="3" t="s">
        <v>10110</v>
      </c>
      <c r="K3478" s="3" t="s">
        <v>644</v>
      </c>
      <c r="L3478" s="3" t="str">
        <f>IFERROR(__xludf.DUMMYFUNCTION("GOOGLETRANSLATE(F3478,""id"",""en"")"),"Let's rewatch the World Cup Final")</f>
        <v>Let's rewatch the World Cup Final</v>
      </c>
    </row>
    <row r="3479" ht="15.75" customHeight="1">
      <c r="A3479" s="1">
        <v>3495.0</v>
      </c>
      <c r="B3479" s="3" t="s">
        <v>10111</v>
      </c>
      <c r="C3479" s="3">
        <v>0.0</v>
      </c>
      <c r="D3479" s="3">
        <v>0.0</v>
      </c>
      <c r="E3479" s="3">
        <v>0.0</v>
      </c>
      <c r="F3479" s="3" t="s">
        <v>10112</v>
      </c>
      <c r="G3479" s="3">
        <v>1.0</v>
      </c>
      <c r="H3479" s="3">
        <v>0.0</v>
      </c>
      <c r="I3479" s="3" t="s">
        <v>13</v>
      </c>
      <c r="J3479" s="3" t="s">
        <v>10113</v>
      </c>
      <c r="K3479" s="3" t="s">
        <v>520</v>
      </c>
      <c r="L3479" s="3" t="str">
        <f>IFERROR(__xludf.DUMMYFUNCTION("GOOGLETRANSLATE(F3479,""id"",""en"")"),"Apparently Didier Deschamps was not satisfied with Olivier Giroud's appearance in the Qatar World Cup final match yesterday I was not satisfied to call Didier Deschamps")</f>
        <v>Apparently Didier Deschamps was not satisfied with Olivier Giroud's appearance in the Qatar World Cup final match yesterday I was not satisfied to call Didier Deschamps</v>
      </c>
    </row>
    <row r="3480" ht="15.75" customHeight="1">
      <c r="A3480" s="1">
        <v>3496.0</v>
      </c>
      <c r="B3480" s="3" t="s">
        <v>10114</v>
      </c>
      <c r="C3480" s="3">
        <v>0.0</v>
      </c>
      <c r="D3480" s="3">
        <v>0.0</v>
      </c>
      <c r="E3480" s="3">
        <v>0.0</v>
      </c>
      <c r="F3480" s="3" t="s">
        <v>10115</v>
      </c>
      <c r="G3480" s="3">
        <v>1.0</v>
      </c>
      <c r="H3480" s="3">
        <v>0.0</v>
      </c>
      <c r="I3480" s="3" t="s">
        <v>13</v>
      </c>
      <c r="J3480" s="3" t="s">
        <v>10116</v>
      </c>
      <c r="K3480" s="3" t="s">
        <v>41</v>
      </c>
      <c r="L3480" s="3" t="str">
        <f>IFERROR(__xludf.DUMMYFUNCTION("GOOGLETRANSLATE(F3480,""id"",""en"")"),"Defeating French Morocco Founding World Cup Final Meeting Argentina")</f>
        <v>Defeating French Morocco Founding World Cup Final Meeting Argentina</v>
      </c>
    </row>
    <row r="3481" ht="15.75" customHeight="1">
      <c r="A3481" s="1">
        <v>3497.0</v>
      </c>
      <c r="B3481" s="3" t="s">
        <v>10117</v>
      </c>
      <c r="C3481" s="3">
        <v>0.0</v>
      </c>
      <c r="D3481" s="3">
        <v>0.0</v>
      </c>
      <c r="E3481" s="3">
        <v>0.0</v>
      </c>
      <c r="F3481" s="3" t="s">
        <v>10118</v>
      </c>
      <c r="G3481" s="3">
        <v>1.0</v>
      </c>
      <c r="H3481" s="3">
        <v>0.0</v>
      </c>
      <c r="I3481" s="3" t="s">
        <v>13</v>
      </c>
      <c r="J3481" s="3" t="s">
        <v>10119</v>
      </c>
      <c r="K3481" s="3" t="s">
        <v>19</v>
      </c>
      <c r="L3481" s="3" t="str">
        <f>IFERROR(__xludf.DUMMYFUNCTION("GOOGLETRANSLATE(F3481,""id"",""en"")"),"The Argentine title is invalid thousands of French fans asking for the World Cup Final to be repeated")</f>
        <v>The Argentine title is invalid thousands of French fans asking for the World Cup Final to be repeated</v>
      </c>
    </row>
    <row r="3482" ht="15.75" customHeight="1">
      <c r="A3482" s="1">
        <v>3498.0</v>
      </c>
      <c r="B3482" s="3" t="s">
        <v>10120</v>
      </c>
      <c r="C3482" s="3">
        <v>18.0</v>
      </c>
      <c r="D3482" s="3">
        <v>18.0</v>
      </c>
      <c r="E3482" s="3">
        <v>152.0</v>
      </c>
      <c r="F3482" s="3" t="s">
        <v>10121</v>
      </c>
      <c r="G3482" s="3">
        <v>1.0</v>
      </c>
      <c r="H3482" s="3">
        <v>0.0</v>
      </c>
      <c r="I3482" s="3" t="s">
        <v>13</v>
      </c>
      <c r="J3482" s="3" t="s">
        <v>10122</v>
      </c>
      <c r="K3482" s="3" t="s">
        <v>1349</v>
      </c>
      <c r="L3482" s="3" t="str">
        <f>IFERROR(__xludf.DUMMYFUNCTION("GOOGLETRANSLATE(F3482,""id"",""en"")"),"Dodo Lovers when participating in the final nobar settings this final settings mbappe bosses boss ready to retire again this is the more clear settings")</f>
        <v>Dodo Lovers when participating in the final nobar settings this final settings mbappe bosses boss ready to retire again this is the more clear settings</v>
      </c>
    </row>
    <row r="3483" ht="15.75" customHeight="1">
      <c r="A3483" s="1">
        <v>3499.0</v>
      </c>
      <c r="B3483" s="3" t="s">
        <v>10120</v>
      </c>
      <c r="C3483" s="3">
        <v>0.0</v>
      </c>
      <c r="D3483" s="3">
        <v>0.0</v>
      </c>
      <c r="E3483" s="3">
        <v>3.0</v>
      </c>
      <c r="F3483" s="3" t="s">
        <v>10121</v>
      </c>
      <c r="G3483" s="3">
        <v>1.0</v>
      </c>
      <c r="H3483" s="3">
        <v>0.0</v>
      </c>
      <c r="I3483" s="3" t="s">
        <v>13</v>
      </c>
      <c r="J3483" s="3" t="s">
        <v>10122</v>
      </c>
      <c r="K3483" s="3" t="s">
        <v>1349</v>
      </c>
      <c r="L3483" s="3" t="str">
        <f>IFERROR(__xludf.DUMMYFUNCTION("GOOGLETRANSLATE(F3483,""id"",""en"")"),"Dodo Lovers when participating in the final nobar settings this final settings mbappe bosses boss ready to retire again this is the more clear settings")</f>
        <v>Dodo Lovers when participating in the final nobar settings this final settings mbappe bosses boss ready to retire again this is the more clear settings</v>
      </c>
    </row>
    <row r="3484" ht="15.75" customHeight="1">
      <c r="A3484" s="1">
        <v>3500.0</v>
      </c>
      <c r="B3484" s="3" t="s">
        <v>10123</v>
      </c>
      <c r="C3484" s="3">
        <v>0.0</v>
      </c>
      <c r="D3484" s="3">
        <v>0.0</v>
      </c>
      <c r="E3484" s="3">
        <v>0.0</v>
      </c>
      <c r="F3484" s="3" t="s">
        <v>10124</v>
      </c>
      <c r="G3484" s="3">
        <v>1.0</v>
      </c>
      <c r="H3484" s="3">
        <v>0.0</v>
      </c>
      <c r="I3484" s="3" t="s">
        <v>13</v>
      </c>
      <c r="J3484" s="3" t="s">
        <v>10125</v>
      </c>
      <c r="K3484" s="3" t="s">
        <v>614</v>
      </c>
      <c r="L3484" s="3" t="str">
        <f>IFERROR(__xludf.DUMMYFUNCTION("GOOGLETRANSLATE(F3484,""id"",""en"")"),"Only broadcast by the Russian World Cup final run, many things happened during the current year the host was in war with his neighbors and tires from world football")</f>
        <v>Only broadcast by the Russian World Cup final run, many things happened during the current year the host was in war with his neighbors and tires from world football</v>
      </c>
    </row>
    <row r="3485" ht="15.75" customHeight="1">
      <c r="A3485" s="1">
        <v>3501.0</v>
      </c>
      <c r="B3485" s="3" t="s">
        <v>10126</v>
      </c>
      <c r="C3485" s="3">
        <v>0.0</v>
      </c>
      <c r="D3485" s="3">
        <v>0.0</v>
      </c>
      <c r="E3485" s="3">
        <v>0.0</v>
      </c>
      <c r="F3485" s="3" t="s">
        <v>10127</v>
      </c>
      <c r="G3485" s="3">
        <v>1.0</v>
      </c>
      <c r="H3485" s="3">
        <v>0.0</v>
      </c>
      <c r="I3485" s="3" t="s">
        <v>13</v>
      </c>
      <c r="J3485" s="3" t="s">
        <v>10128</v>
      </c>
      <c r="K3485" s="3" t="s">
        <v>41</v>
      </c>
      <c r="L3485" s="3" t="str">
        <f>IFERROR(__xludf.DUMMYFUNCTION("GOOGLETRANSLATE(F3485,""id"",""en"")"),"The French community asks for the World Cup Final Match This is the reason")</f>
        <v>The French community asks for the World Cup Final Match This is the reason</v>
      </c>
    </row>
    <row r="3486" ht="15.75" customHeight="1">
      <c r="A3486" s="1">
        <v>3502.0</v>
      </c>
      <c r="B3486" s="3" t="s">
        <v>10129</v>
      </c>
      <c r="C3486" s="3">
        <v>0.0</v>
      </c>
      <c r="D3486" s="3">
        <v>0.0</v>
      </c>
      <c r="E3486" s="3">
        <v>0.0</v>
      </c>
      <c r="F3486" s="3" t="s">
        <v>9959</v>
      </c>
      <c r="G3486" s="3">
        <v>1.0</v>
      </c>
      <c r="H3486" s="3">
        <v>0.0</v>
      </c>
      <c r="I3486" s="3" t="s">
        <v>13</v>
      </c>
      <c r="J3486" s="3" t="s">
        <v>9960</v>
      </c>
      <c r="K3486" s="3" t="s">
        <v>699</v>
      </c>
      <c r="L3486" s="3" t="str">
        <f>IFERROR(__xludf.DUMMYFUNCTION("GOOGLETRANSLATE(F3486,""id"",""en"")"),"Head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487" ht="15.75" customHeight="1">
      <c r="A3487" s="1">
        <v>3503.0</v>
      </c>
      <c r="B3487" s="3" t="s">
        <v>10120</v>
      </c>
      <c r="C3487" s="3">
        <v>34.0</v>
      </c>
      <c r="D3487" s="3">
        <v>226.0</v>
      </c>
      <c r="E3487" s="3">
        <v>1726.0</v>
      </c>
      <c r="F3487" s="3" t="s">
        <v>10121</v>
      </c>
      <c r="G3487" s="3">
        <v>1.0</v>
      </c>
      <c r="H3487" s="3">
        <v>0.0</v>
      </c>
      <c r="I3487" s="3" t="s">
        <v>13</v>
      </c>
      <c r="J3487" s="3" t="s">
        <v>10122</v>
      </c>
      <c r="K3487" s="3" t="s">
        <v>1349</v>
      </c>
      <c r="L3487" s="3" t="str">
        <f>IFERROR(__xludf.DUMMYFUNCTION("GOOGLETRANSLATE(F3487,""id"",""en"")"),"Dodo Lovers when participating in the final nobar settings this final settings mbappe bosses boss ready to retire again this is the more clear settings")</f>
        <v>Dodo Lovers when participating in the final nobar settings this final settings mbappe bosses boss ready to retire again this is the more clear settings</v>
      </c>
    </row>
    <row r="3488" ht="15.75" customHeight="1">
      <c r="A3488" s="1">
        <v>3504.0</v>
      </c>
      <c r="B3488" s="3" t="s">
        <v>10130</v>
      </c>
      <c r="C3488" s="3">
        <v>0.0</v>
      </c>
      <c r="D3488" s="3">
        <v>0.0</v>
      </c>
      <c r="E3488" s="3">
        <v>0.0</v>
      </c>
      <c r="F3488" s="3" t="s">
        <v>10131</v>
      </c>
      <c r="G3488" s="3">
        <v>1.0</v>
      </c>
      <c r="H3488" s="3">
        <v>0.0</v>
      </c>
      <c r="I3488" s="3" t="s">
        <v>13</v>
      </c>
      <c r="J3488" s="3" t="s">
        <v>10132</v>
      </c>
      <c r="K3488" s="3" t="s">
        <v>15</v>
      </c>
      <c r="L3488" s="3" t="str">
        <f>IFERROR(__xludf.DUMMYFUNCTION("GOOGLETRANSLATE(F3488,""id"",""en"")"),"rich talking about the final of the world cup of fifa indonesia malaysia")</f>
        <v>rich talking about the final of the world cup of fifa indonesia malaysia</v>
      </c>
    </row>
    <row r="3489" ht="15.75" customHeight="1">
      <c r="A3489" s="1">
        <v>3505.0</v>
      </c>
      <c r="B3489" s="3" t="s">
        <v>10133</v>
      </c>
      <c r="C3489" s="3">
        <v>0.0</v>
      </c>
      <c r="D3489" s="3">
        <v>0.0</v>
      </c>
      <c r="E3489" s="3">
        <v>1.0</v>
      </c>
      <c r="F3489" s="3" t="s">
        <v>10134</v>
      </c>
      <c r="G3489" s="3">
        <v>1.0</v>
      </c>
      <c r="H3489" s="3">
        <v>0.0</v>
      </c>
      <c r="I3489" s="3" t="s">
        <v>13</v>
      </c>
      <c r="J3489" s="3" t="s">
        <v>10135</v>
      </c>
      <c r="K3489" s="3" t="s">
        <v>75</v>
      </c>
      <c r="L3489" s="3" t="str">
        <f>IFERROR(__xludf.DUMMYFUNCTION("GOOGLETRANSLATE(F3489,""id"",""en"")"),"World Cup Victims But Nnton Final's Nnton Gasempet Died Due to Staying Frequency")</f>
        <v>World Cup Victims But Nnton Final's Nnton Gasempet Died Due to Staying Frequency</v>
      </c>
    </row>
    <row r="3490" ht="15.75" customHeight="1">
      <c r="A3490" s="1">
        <v>3506.0</v>
      </c>
      <c r="B3490" s="3" t="s">
        <v>10136</v>
      </c>
      <c r="C3490" s="3">
        <v>0.0</v>
      </c>
      <c r="D3490" s="3">
        <v>0.0</v>
      </c>
      <c r="E3490" s="3">
        <v>0.0</v>
      </c>
      <c r="F3490" s="3" t="s">
        <v>10137</v>
      </c>
      <c r="G3490" s="3">
        <v>1.0</v>
      </c>
      <c r="H3490" s="3">
        <v>0.0</v>
      </c>
      <c r="I3490" s="3" t="s">
        <v>13</v>
      </c>
      <c r="J3490" s="3" t="s">
        <v>10138</v>
      </c>
      <c r="K3490" s="3" t="s">
        <v>15</v>
      </c>
      <c r="L3490" s="3" t="str">
        <f>IFERROR(__xludf.DUMMYFUNCTION("GOOGLETRANSLATE(F3490,""id"",""en"")"),"French World Cup Final Referee counterattack")</f>
        <v>French World Cup Final Referee counterattack</v>
      </c>
    </row>
    <row r="3491" ht="15.75" customHeight="1">
      <c r="A3491" s="1">
        <v>3507.0</v>
      </c>
      <c r="B3491" s="3" t="s">
        <v>10139</v>
      </c>
      <c r="C3491" s="3">
        <v>0.0</v>
      </c>
      <c r="D3491" s="3">
        <v>0.0</v>
      </c>
      <c r="E3491" s="3">
        <v>0.0</v>
      </c>
      <c r="F3491" s="3" t="s">
        <v>10140</v>
      </c>
      <c r="G3491" s="3">
        <v>1.0</v>
      </c>
      <c r="H3491" s="3">
        <v>0.0</v>
      </c>
      <c r="I3491" s="3" t="s">
        <v>13</v>
      </c>
      <c r="J3491" s="3" t="s">
        <v>10141</v>
      </c>
      <c r="K3491" s="3" t="s">
        <v>35</v>
      </c>
      <c r="L3491" s="3" t="str">
        <f>IFERROR(__xludf.DUMMYFUNCTION("GOOGLETRANSLATE(F3491,""id"",""en"")"),"after watching the world cup final now watching the league kek yaallah why")</f>
        <v>after watching the world cup final now watching the league kek yaallah why</v>
      </c>
    </row>
    <row r="3492" ht="15.75" customHeight="1">
      <c r="A3492" s="1">
        <v>3508.0</v>
      </c>
      <c r="B3492" s="3" t="s">
        <v>10142</v>
      </c>
      <c r="C3492" s="3">
        <v>0.0</v>
      </c>
      <c r="D3492" s="3">
        <v>0.0</v>
      </c>
      <c r="E3492" s="3">
        <v>0.0</v>
      </c>
      <c r="F3492" s="3" t="s">
        <v>10143</v>
      </c>
      <c r="G3492" s="3">
        <v>1.0</v>
      </c>
      <c r="H3492" s="3">
        <v>0.0</v>
      </c>
      <c r="I3492" s="3" t="s">
        <v>13</v>
      </c>
      <c r="J3492" s="3" t="s">
        <v>10144</v>
      </c>
      <c r="K3492" s="3" t="s">
        <v>657</v>
      </c>
      <c r="L3492" s="3" t="str">
        <f>IFERROR(__xludf.DUMMYFUNCTION("GOOGLETRANSLATE(F3492,""id"",""en"")"),"The third goal of Lionel Messi World Cup Final was protested by many referee Szymon Marciniak.")</f>
        <v>The third goal of Lionel Messi World Cup Final was protested by many referee Szymon Marciniak.</v>
      </c>
    </row>
    <row r="3493" ht="15.75" customHeight="1">
      <c r="A3493" s="1">
        <v>3509.0</v>
      </c>
      <c r="B3493" s="3" t="s">
        <v>10145</v>
      </c>
      <c r="C3493" s="3">
        <v>0.0</v>
      </c>
      <c r="D3493" s="3">
        <v>0.0</v>
      </c>
      <c r="E3493" s="3">
        <v>0.0</v>
      </c>
      <c r="F3493" s="3" t="s">
        <v>10143</v>
      </c>
      <c r="G3493" s="3">
        <v>1.0</v>
      </c>
      <c r="H3493" s="3">
        <v>0.0</v>
      </c>
      <c r="I3493" s="3" t="s">
        <v>13</v>
      </c>
      <c r="J3493" s="3" t="s">
        <v>10144</v>
      </c>
      <c r="K3493" s="3" t="s">
        <v>657</v>
      </c>
      <c r="L3493" s="3" t="str">
        <f>IFERROR(__xludf.DUMMYFUNCTION("GOOGLETRANSLATE(F3493,""id"",""en"")"),"The third goal of Lionel Messi World Cup Final was protested by many referee Szymon Marciniak.")</f>
        <v>The third goal of Lionel Messi World Cup Final was protested by many referee Szymon Marciniak.</v>
      </c>
    </row>
    <row r="3494" ht="15.75" customHeight="1">
      <c r="A3494" s="1">
        <v>3510.0</v>
      </c>
      <c r="B3494" s="3" t="s">
        <v>10146</v>
      </c>
      <c r="C3494" s="3">
        <v>1.0</v>
      </c>
      <c r="D3494" s="3">
        <v>1.0</v>
      </c>
      <c r="E3494" s="3">
        <v>9.0</v>
      </c>
      <c r="F3494" s="3" t="s">
        <v>10143</v>
      </c>
      <c r="G3494" s="3">
        <v>1.0</v>
      </c>
      <c r="H3494" s="3">
        <v>0.0</v>
      </c>
      <c r="I3494" s="3" t="s">
        <v>13</v>
      </c>
      <c r="J3494" s="3" t="s">
        <v>10144</v>
      </c>
      <c r="K3494" s="3" t="s">
        <v>657</v>
      </c>
      <c r="L3494" s="3" t="str">
        <f>IFERROR(__xludf.DUMMYFUNCTION("GOOGLETRANSLATE(F3494,""id"",""en"")"),"The third goal of Lionel Messi World Cup Final was protested by many referee Szymon Marciniak.")</f>
        <v>The third goal of Lionel Messi World Cup Final was protested by many referee Szymon Marciniak.</v>
      </c>
    </row>
    <row r="3495" ht="15.75" customHeight="1">
      <c r="A3495" s="1">
        <v>3511.0</v>
      </c>
      <c r="B3495" s="3" t="s">
        <v>10147</v>
      </c>
      <c r="C3495" s="3">
        <v>1.0</v>
      </c>
      <c r="D3495" s="3">
        <v>0.0</v>
      </c>
      <c r="E3495" s="3">
        <v>7.0</v>
      </c>
      <c r="F3495" s="3" t="s">
        <v>10143</v>
      </c>
      <c r="G3495" s="3">
        <v>1.0</v>
      </c>
      <c r="H3495" s="3">
        <v>0.0</v>
      </c>
      <c r="I3495" s="3" t="s">
        <v>13</v>
      </c>
      <c r="J3495" s="3" t="s">
        <v>10144</v>
      </c>
      <c r="K3495" s="3" t="s">
        <v>657</v>
      </c>
      <c r="L3495" s="3" t="str">
        <f>IFERROR(__xludf.DUMMYFUNCTION("GOOGLETRANSLATE(F3495,""id"",""en"")"),"The third goal of Lionel Messi World Cup Final was protested by many referee Szymon Marciniak.")</f>
        <v>The third goal of Lionel Messi World Cup Final was protested by many referee Szymon Marciniak.</v>
      </c>
    </row>
    <row r="3496" ht="15.75" customHeight="1">
      <c r="A3496" s="1">
        <v>3512.0</v>
      </c>
      <c r="B3496" s="3" t="s">
        <v>10148</v>
      </c>
      <c r="C3496" s="3">
        <v>0.0</v>
      </c>
      <c r="D3496" s="3">
        <v>0.0</v>
      </c>
      <c r="E3496" s="3">
        <v>0.0</v>
      </c>
      <c r="F3496" s="3" t="s">
        <v>10149</v>
      </c>
      <c r="G3496" s="3">
        <v>1.0</v>
      </c>
      <c r="H3496" s="3">
        <v>0.0</v>
      </c>
      <c r="I3496" s="3" t="s">
        <v>13</v>
      </c>
      <c r="J3496" s="3" t="s">
        <v>10150</v>
      </c>
      <c r="K3496" s="3" t="s">
        <v>58</v>
      </c>
      <c r="L3496" s="3" t="str">
        <f>IFERROR(__xludf.DUMMYFUNCTION("GOOGLETRANSLATE(F3496,""id"",""en"")"),"Pele is the youngest player to appear the World Cup final when he is in her year and also scored in the final")</f>
        <v>Pele is the youngest player to appear the World Cup final when he is in her year and also scored in the final</v>
      </c>
    </row>
    <row r="3497" ht="15.75" customHeight="1">
      <c r="A3497" s="1">
        <v>3513.0</v>
      </c>
      <c r="B3497" s="3" t="s">
        <v>10151</v>
      </c>
      <c r="C3497" s="3">
        <v>0.0</v>
      </c>
      <c r="D3497" s="3">
        <v>1.0</v>
      </c>
      <c r="E3497" s="3">
        <v>1.0</v>
      </c>
      <c r="F3497" s="3" t="s">
        <v>10152</v>
      </c>
      <c r="G3497" s="3">
        <v>1.0</v>
      </c>
      <c r="H3497" s="3">
        <v>0.0</v>
      </c>
      <c r="I3497" s="3" t="s">
        <v>13</v>
      </c>
      <c r="J3497" s="3" t="s">
        <v>10153</v>
      </c>
      <c r="K3497" s="3" t="s">
        <v>695</v>
      </c>
      <c r="L3497" s="3" t="str">
        <f>IFERROR(__xludf.DUMMYFUNCTION("GOOGLETRANSLATE(F3497,""id"",""en"")"),"Hello happy reading for almost a week the most powerful World Cup final has ever been Argentina has proven football at this time they are the best in the world.")</f>
        <v>Hello happy reading for almost a week the most powerful World Cup final has ever been Argentina has proven football at this time they are the best in the world.</v>
      </c>
    </row>
    <row r="3498" ht="15.75" customHeight="1">
      <c r="A3498" s="1">
        <v>3514.0</v>
      </c>
      <c r="B3498" s="3" t="s">
        <v>10154</v>
      </c>
      <c r="C3498" s="3">
        <v>1.0</v>
      </c>
      <c r="D3498" s="3">
        <v>0.0</v>
      </c>
      <c r="E3498" s="3">
        <v>0.0</v>
      </c>
      <c r="F3498" s="3" t="s">
        <v>10155</v>
      </c>
      <c r="G3498" s="3">
        <v>0.5</v>
      </c>
      <c r="H3498" s="3">
        <v>0.0</v>
      </c>
      <c r="I3498" s="3" t="s">
        <v>13</v>
      </c>
      <c r="J3498" s="3" t="s">
        <v>10156</v>
      </c>
      <c r="K3498" s="3" t="s">
        <v>584</v>
      </c>
      <c r="L3498" s="3" t="str">
        <f>IFERROR(__xludf.DUMMYFUNCTION("GOOGLETRANSLATE(F3498,""id"",""en"")"),"Especially the left area where Enzo can do the opponent's dribble final like the match against Poland with his brilliant performance with Argentina at the World Cup event, making Enzo with the title of the best young player")</f>
        <v>Especially the left area where Enzo can do the opponent's dribble final like the match against Poland with his brilliant performance with Argentina at the World Cup event, making Enzo with the title of the best young player</v>
      </c>
    </row>
    <row r="3499" ht="15.75" customHeight="1">
      <c r="A3499" s="1">
        <v>3515.0</v>
      </c>
      <c r="B3499" s="3" t="s">
        <v>10157</v>
      </c>
      <c r="C3499" s="3">
        <v>1.0</v>
      </c>
      <c r="D3499" s="3">
        <v>0.0</v>
      </c>
      <c r="E3499" s="3">
        <v>0.0</v>
      </c>
      <c r="F3499" s="3" t="s">
        <v>10158</v>
      </c>
      <c r="G3499" s="3">
        <v>1.0</v>
      </c>
      <c r="H3499" s="3">
        <v>0.0</v>
      </c>
      <c r="I3499" s="3" t="s">
        <v>13</v>
      </c>
      <c r="J3499" s="3" t="s">
        <v>10159</v>
      </c>
      <c r="K3499" s="3" t="s">
        <v>510</v>
      </c>
      <c r="L3499" s="3" t="str">
        <f>IFERROR(__xludf.DUMMYFUNCTION("GOOGLETRANSLATE(F3499,""id"",""en"")"),"The World Cup Final is already through a tweet org hurt because losing a lot of gambling there are still many wkwkwke")</f>
        <v>The World Cup Final is already through a tweet org hurt because losing a lot of gambling there are still many wkwkwke</v>
      </c>
    </row>
    <row r="3500" ht="15.75" customHeight="1">
      <c r="A3500" s="1">
        <v>3516.0</v>
      </c>
      <c r="B3500" s="3" t="s">
        <v>10160</v>
      </c>
      <c r="C3500" s="3">
        <v>0.0</v>
      </c>
      <c r="D3500" s="3">
        <v>0.0</v>
      </c>
      <c r="E3500" s="3">
        <v>0.0</v>
      </c>
      <c r="F3500" s="3" t="s">
        <v>10161</v>
      </c>
      <c r="G3500" s="3">
        <v>0.7</v>
      </c>
      <c r="H3500" s="3">
        <v>0.05</v>
      </c>
      <c r="I3500" s="3" t="s">
        <v>48</v>
      </c>
      <c r="J3500" s="3" t="s">
        <v>10162</v>
      </c>
      <c r="K3500" s="3" t="s">
        <v>484</v>
      </c>
      <c r="L3500" s="3" t="str">
        <f>IFERROR(__xludf.DUMMYFUNCTION("GOOGLETRANSLATE(F3500,""id"",""en"")"),"oooiiiii bongg the event what date is the final of the world cup.")</f>
        <v>oooiiiii bongg the event what date is the final of the world cup.</v>
      </c>
    </row>
    <row r="3501" ht="15.75" customHeight="1">
      <c r="A3501" s="1">
        <v>3517.0</v>
      </c>
      <c r="B3501" s="3" t="s">
        <v>10163</v>
      </c>
      <c r="C3501" s="3">
        <v>0.0</v>
      </c>
      <c r="D3501" s="3">
        <v>0.0</v>
      </c>
      <c r="E3501" s="3">
        <v>1.0</v>
      </c>
      <c r="F3501" s="3" t="s">
        <v>10164</v>
      </c>
      <c r="G3501" s="3">
        <v>1.0</v>
      </c>
      <c r="H3501" s="3">
        <v>0.0</v>
      </c>
      <c r="I3501" s="3" t="s">
        <v>13</v>
      </c>
      <c r="J3501" s="3" t="s">
        <v>10165</v>
      </c>
      <c r="K3501" s="3" t="s">
        <v>71</v>
      </c>
      <c r="L3501" s="3" t="str">
        <f>IFERROR(__xludf.DUMMYFUNCTION("GOOGLETRANSLATE(F3501,""id"",""en"")"),"NOVA Indonesia's Latest Football News Click Special Talk to Celebration Emi Martinez World Cup Final")</f>
        <v>NOVA Indonesia's Latest Football News Click Special Talk to Celebration Emi Martinez World Cup Final</v>
      </c>
    </row>
    <row r="3502" ht="15.75" customHeight="1">
      <c r="A3502" s="1">
        <v>3518.0</v>
      </c>
      <c r="B3502" s="3" t="s">
        <v>10166</v>
      </c>
      <c r="C3502" s="3">
        <v>0.0</v>
      </c>
      <c r="D3502" s="3">
        <v>0.0</v>
      </c>
      <c r="E3502" s="3">
        <v>0.0</v>
      </c>
      <c r="F3502" s="3" t="s">
        <v>10167</v>
      </c>
      <c r="G3502" s="3">
        <v>0.50625</v>
      </c>
      <c r="H3502" s="3">
        <v>0.2</v>
      </c>
      <c r="I3502" s="3" t="s">
        <v>48</v>
      </c>
      <c r="J3502" s="3" t="s">
        <v>10168</v>
      </c>
      <c r="K3502" s="3" t="s">
        <v>1045</v>
      </c>
      <c r="L3502" s="3" t="str">
        <f>IFERROR(__xludf.DUMMYFUNCTION("GOOGLETRANSLATE(F3502,""id"",""en"")"),"Grateful that the World Cup has passed the World Cup final, he said, it was excited that the most beautiful was just watching it, but there was a VAR, but a simple basic thing was a lot of welcome back EPL Alhamdulillah")</f>
        <v>Grateful that the World Cup has passed the World Cup final, he said, it was excited that the most beautiful was just watching it, but there was a VAR, but a simple basic thing was a lot of welcome back EPL Alhamdulillah</v>
      </c>
    </row>
    <row r="3503" ht="15.75" customHeight="1">
      <c r="A3503" s="1">
        <v>3519.0</v>
      </c>
      <c r="B3503" s="3" t="s">
        <v>10169</v>
      </c>
      <c r="C3503" s="3">
        <v>0.0</v>
      </c>
      <c r="D3503" s="3">
        <v>0.0</v>
      </c>
      <c r="E3503" s="3">
        <v>0.0</v>
      </c>
      <c r="F3503" s="3" t="s">
        <v>9959</v>
      </c>
      <c r="G3503" s="3">
        <v>1.0</v>
      </c>
      <c r="H3503" s="3">
        <v>0.0</v>
      </c>
      <c r="I3503" s="3" t="s">
        <v>13</v>
      </c>
      <c r="J3503" s="3" t="s">
        <v>9960</v>
      </c>
      <c r="K3503" s="3" t="s">
        <v>699</v>
      </c>
      <c r="L3503" s="3" t="str">
        <f>IFERROR(__xludf.DUMMYFUNCTION("GOOGLETRANSLATE(F3503,""id"",""en"")"),"Head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04" ht="15.75" customHeight="1">
      <c r="A3504" s="1">
        <v>3520.0</v>
      </c>
      <c r="B3504" s="3" t="s">
        <v>10170</v>
      </c>
      <c r="C3504" s="3">
        <v>0.0</v>
      </c>
      <c r="D3504" s="3">
        <v>0.0</v>
      </c>
      <c r="E3504" s="3">
        <v>0.0</v>
      </c>
      <c r="F3504" s="3" t="s">
        <v>10171</v>
      </c>
      <c r="G3504" s="3">
        <v>1.0</v>
      </c>
      <c r="H3504" s="3">
        <v>0.0</v>
      </c>
      <c r="I3504" s="3" t="s">
        <v>13</v>
      </c>
      <c r="J3504" s="3" t="s">
        <v>10172</v>
      </c>
      <c r="K3504" s="3" t="s">
        <v>15</v>
      </c>
      <c r="L3504" s="3" t="str">
        <f>IFERROR(__xludf.DUMMYFUNCTION("GOOGLETRANSLATE(F3504,""id"",""en"")"),"special talks for celebrating EMI Martinez World Cup Final")</f>
        <v>special talks for celebrating EMI Martinez World Cup Final</v>
      </c>
    </row>
    <row r="3505" ht="15.75" customHeight="1">
      <c r="A3505" s="1">
        <v>3521.0</v>
      </c>
      <c r="B3505" s="3" t="s">
        <v>10173</v>
      </c>
      <c r="C3505" s="3">
        <v>2.0</v>
      </c>
      <c r="D3505" s="3">
        <v>0.0</v>
      </c>
      <c r="E3505" s="3">
        <v>2.0</v>
      </c>
      <c r="F3505" s="3" t="s">
        <v>10174</v>
      </c>
      <c r="G3505" s="3">
        <v>1.0</v>
      </c>
      <c r="H3505" s="3">
        <v>0.0</v>
      </c>
      <c r="I3505" s="3" t="s">
        <v>13</v>
      </c>
      <c r="J3505" s="3" t="s">
        <v>10175</v>
      </c>
      <c r="K3505" s="3" t="s">
        <v>19</v>
      </c>
      <c r="L3505" s="3" t="str">
        <f>IFERROR(__xludf.DUMMYFUNCTION("GOOGLETRANSLATE(F3505,""id"",""en"")"),"The controversy of the third goal of Argentina, the World Cup Final Referee finally opened the voice")</f>
        <v>The controversy of the third goal of Argentina, the World Cup Final Referee finally opened the voice</v>
      </c>
    </row>
    <row r="3506" ht="15.75" customHeight="1">
      <c r="A3506" s="1">
        <v>3522.0</v>
      </c>
      <c r="B3506" s="3" t="s">
        <v>10176</v>
      </c>
      <c r="C3506" s="3">
        <v>0.0</v>
      </c>
      <c r="D3506" s="3">
        <v>0.0</v>
      </c>
      <c r="E3506" s="3">
        <v>0.0</v>
      </c>
      <c r="F3506" s="3" t="s">
        <v>10177</v>
      </c>
      <c r="G3506" s="3">
        <v>1.0</v>
      </c>
      <c r="H3506" s="3">
        <v>0.0</v>
      </c>
      <c r="I3506" s="3" t="s">
        <v>13</v>
      </c>
      <c r="J3506" s="3" t="s">
        <v>10178</v>
      </c>
      <c r="K3506" s="3" t="s">
        <v>71</v>
      </c>
      <c r="L3506" s="3" t="str">
        <f>IFERROR(__xludf.DUMMYFUNCTION("GOOGLETRANSLATE(F3506,""id"",""en"")"),"Interesting Things The final results of the Qatar World Cup End of the Goat Debate to Mbappe are able to break the record")</f>
        <v>Interesting Things The final results of the Qatar World Cup End of the Goat Debate to Mbappe are able to break the record</v>
      </c>
    </row>
    <row r="3507" ht="15.75" customHeight="1">
      <c r="A3507" s="1">
        <v>3523.0</v>
      </c>
      <c r="B3507" s="3" t="s">
        <v>10179</v>
      </c>
      <c r="C3507" s="3">
        <v>0.0</v>
      </c>
      <c r="D3507" s="3">
        <v>0.0</v>
      </c>
      <c r="E3507" s="3">
        <v>0.0</v>
      </c>
      <c r="F3507" s="3" t="s">
        <v>10180</v>
      </c>
      <c r="G3507" s="3">
        <v>1.0</v>
      </c>
      <c r="H3507" s="3">
        <v>0.0</v>
      </c>
      <c r="I3507" s="3" t="s">
        <v>13</v>
      </c>
      <c r="J3507" s="3" t="s">
        <v>10181</v>
      </c>
      <c r="K3507" s="3" t="s">
        <v>19</v>
      </c>
      <c r="L3507" s="3" t="str">
        <f>IFERROR(__xludf.DUMMYFUNCTION("GOOGLETRANSLATE(F3507,""id"",""en"")"),"This is the answer to the World Cup Final Referee after being accused of cheating Messi's goal")</f>
        <v>This is the answer to the World Cup Final Referee after being accused of cheating Messi's goal</v>
      </c>
    </row>
    <row r="3508" ht="15.75" customHeight="1">
      <c r="A3508" s="1">
        <v>3525.0</v>
      </c>
      <c r="B3508" s="3" t="s">
        <v>10182</v>
      </c>
      <c r="C3508" s="3">
        <v>13.0</v>
      </c>
      <c r="D3508" s="3">
        <v>2.0</v>
      </c>
      <c r="E3508" s="3">
        <v>38.0</v>
      </c>
      <c r="F3508" s="3" t="s">
        <v>10183</v>
      </c>
      <c r="G3508" s="3">
        <v>1.0</v>
      </c>
      <c r="H3508" s="3">
        <v>0.0</v>
      </c>
      <c r="I3508" s="3" t="s">
        <v>13</v>
      </c>
      <c r="J3508" s="3" t="s">
        <v>10184</v>
      </c>
      <c r="K3508" s="3" t="s">
        <v>123</v>
      </c>
      <c r="L3508" s="3" t="str">
        <f>IFERROR(__xludf.DUMMYFUNCTION("GOOGLETRANSLATE(F3508,""id"",""en"")"),"said there were around thousands of people who approved the petition of the French French World Cup final")</f>
        <v>said there were around thousands of people who approved the petition of the French French World Cup final</v>
      </c>
    </row>
    <row r="3509" ht="15.75" customHeight="1">
      <c r="A3509" s="1">
        <v>3526.0</v>
      </c>
      <c r="B3509" s="3" t="s">
        <v>10185</v>
      </c>
      <c r="C3509" s="3">
        <v>0.0</v>
      </c>
      <c r="D3509" s="3">
        <v>1.0</v>
      </c>
      <c r="E3509" s="3">
        <v>11.0</v>
      </c>
      <c r="F3509" s="3" t="s">
        <v>10180</v>
      </c>
      <c r="G3509" s="3">
        <v>1.0</v>
      </c>
      <c r="H3509" s="3">
        <v>0.0</v>
      </c>
      <c r="I3509" s="3" t="s">
        <v>13</v>
      </c>
      <c r="J3509" s="3" t="s">
        <v>10181</v>
      </c>
      <c r="K3509" s="3" t="s">
        <v>19</v>
      </c>
      <c r="L3509" s="3" t="str">
        <f>IFERROR(__xludf.DUMMYFUNCTION("GOOGLETRANSLATE(F3509,""id"",""en"")"),"This is the answer to the World Cup Final Referee after being accused of cheating Messi's goal")</f>
        <v>This is the answer to the World Cup Final Referee after being accused of cheating Messi's goal</v>
      </c>
    </row>
    <row r="3510" ht="15.75" customHeight="1">
      <c r="A3510" s="1">
        <v>3527.0</v>
      </c>
      <c r="B3510" s="3" t="s">
        <v>10186</v>
      </c>
      <c r="C3510" s="3">
        <v>0.0</v>
      </c>
      <c r="D3510" s="3">
        <v>1.0</v>
      </c>
      <c r="E3510" s="3">
        <v>6.0</v>
      </c>
      <c r="F3510" s="3" t="s">
        <v>10187</v>
      </c>
      <c r="G3510" s="3">
        <v>1.0</v>
      </c>
      <c r="H3510" s="3">
        <v>0.0</v>
      </c>
      <c r="I3510" s="3" t="s">
        <v>13</v>
      </c>
      <c r="J3510" s="3" t="s">
        <v>10188</v>
      </c>
      <c r="K3510" s="3" t="s">
        <v>50</v>
      </c>
      <c r="L3510" s="3" t="str">
        <f>IFERROR(__xludf.DUMMYFUNCTION("GOOGLETRANSLATE(F3510,""id"",""en"")"),"The Qatari World Cup final between Argentina French is repeated you agree or not this friend")</f>
        <v>The Qatari World Cup final between Argentina French is repeated you agree or not this friend</v>
      </c>
    </row>
    <row r="3511" ht="15.75" customHeight="1">
      <c r="A3511" s="1">
        <v>3528.0</v>
      </c>
      <c r="B3511" s="3" t="s">
        <v>10189</v>
      </c>
      <c r="C3511" s="3">
        <v>0.0</v>
      </c>
      <c r="D3511" s="3">
        <v>0.0</v>
      </c>
      <c r="E3511" s="3">
        <v>1.0</v>
      </c>
      <c r="F3511" s="3" t="s">
        <v>10190</v>
      </c>
      <c r="G3511" s="3">
        <v>1.0</v>
      </c>
      <c r="H3511" s="3">
        <v>0.0</v>
      </c>
      <c r="I3511" s="3" t="s">
        <v>13</v>
      </c>
      <c r="J3511" s="3" t="s">
        <v>10191</v>
      </c>
      <c r="K3511" s="3" t="s">
        <v>584</v>
      </c>
      <c r="L3511" s="3" t="str">
        <f>IFERROR(__xludf.DUMMYFUNCTION("GOOGLETRANSLATE(F3511,""id"",""en"")"),"The best world cup final talk even though it's been a few days after this extraordinary match, it doesn't hurt if I want to invite you to chat about the slick final.")</f>
        <v>The best world cup final talk even though it's been a few days after this extraordinary match, it doesn't hurt if I want to invite you to chat about the slick final.</v>
      </c>
    </row>
    <row r="3512" ht="15.75" customHeight="1">
      <c r="A3512" s="1">
        <v>3529.0</v>
      </c>
      <c r="B3512" s="3" t="s">
        <v>10192</v>
      </c>
      <c r="C3512" s="3">
        <v>0.0</v>
      </c>
      <c r="D3512" s="3">
        <v>0.0</v>
      </c>
      <c r="E3512" s="3">
        <v>0.0</v>
      </c>
      <c r="F3512" s="3" t="s">
        <v>10193</v>
      </c>
      <c r="G3512" s="3">
        <v>1.0</v>
      </c>
      <c r="H3512" s="3">
        <v>0.0</v>
      </c>
      <c r="I3512" s="3" t="s">
        <v>13</v>
      </c>
      <c r="J3512" s="3" t="s">
        <v>10194</v>
      </c>
      <c r="K3512" s="3" t="s">
        <v>75</v>
      </c>
      <c r="L3512" s="3" t="str">
        <f>IFERROR(__xludf.DUMMYFUNCTION("GOOGLETRANSLATE(F3512,""id"",""en"")"),"The World Cup final referee finally responded to Messi's goal claim should be annulled")</f>
        <v>The World Cup final referee finally responded to Messi's goal claim should be annulled</v>
      </c>
    </row>
    <row r="3513" ht="15.75" customHeight="1">
      <c r="A3513" s="1">
        <v>3530.0</v>
      </c>
      <c r="B3513" s="3" t="s">
        <v>10195</v>
      </c>
      <c r="C3513" s="3">
        <v>0.0</v>
      </c>
      <c r="D3513" s="3">
        <v>0.0</v>
      </c>
      <c r="E3513" s="3">
        <v>0.0</v>
      </c>
      <c r="F3513" s="3" t="s">
        <v>10196</v>
      </c>
      <c r="G3513" s="3">
        <v>1.0</v>
      </c>
      <c r="H3513" s="3">
        <v>0.0</v>
      </c>
      <c r="I3513" s="3" t="s">
        <v>13</v>
      </c>
      <c r="J3513" s="3" t="s">
        <v>10197</v>
      </c>
      <c r="K3513" s="3" t="s">
        <v>1293</v>
      </c>
      <c r="L3513" s="3" t="str">
        <f>IFERROR(__xludf.DUMMYFUNCTION("GOOGLETRANSLATE(F3513,""id"",""en"")"),"Not only Messi Antonela Roccuzzo is also in the spotlight in the World Cup Final of the wife of Messi is not an arbitrary following the work that is done")</f>
        <v>Not only Messi Antonela Roccuzzo is also in the spotlight in the World Cup Final of the wife of Messi is not an arbitrary following the work that is done</v>
      </c>
    </row>
    <row r="3514" ht="15.75" customHeight="1">
      <c r="A3514" s="1">
        <v>3531.0</v>
      </c>
      <c r="B3514" s="3" t="s">
        <v>10198</v>
      </c>
      <c r="C3514" s="3">
        <v>0.0</v>
      </c>
      <c r="D3514" s="3">
        <v>0.0</v>
      </c>
      <c r="E3514" s="3">
        <v>0.0</v>
      </c>
      <c r="F3514" s="3" t="s">
        <v>10199</v>
      </c>
      <c r="G3514" s="3">
        <v>1.0</v>
      </c>
      <c r="H3514" s="3">
        <v>0.0</v>
      </c>
      <c r="I3514" s="3" t="s">
        <v>13</v>
      </c>
      <c r="J3514" s="3" t="s">
        <v>10200</v>
      </c>
      <c r="K3514" s="3" t="s">
        <v>15</v>
      </c>
      <c r="L3514" s="3" t="str">
        <f>IFERROR(__xludf.DUMMYFUNCTION("GOOGLETRANSLATE(F3514,""id"",""en"")"),"chaotic men's official World Cup final again repeated years")</f>
        <v>chaotic men's official World Cup final again repeated years</v>
      </c>
    </row>
    <row r="3515" ht="15.75" customHeight="1">
      <c r="A3515" s="1">
        <v>3532.0</v>
      </c>
      <c r="B3515" s="3" t="s">
        <v>10201</v>
      </c>
      <c r="C3515" s="3">
        <v>0.0</v>
      </c>
      <c r="D3515" s="3">
        <v>0.0</v>
      </c>
      <c r="E3515" s="3">
        <v>0.0</v>
      </c>
      <c r="F3515" s="3" t="s">
        <v>10202</v>
      </c>
      <c r="G3515" s="3">
        <v>1.0</v>
      </c>
      <c r="H3515" s="3">
        <v>0.0</v>
      </c>
      <c r="I3515" s="3" t="s">
        <v>13</v>
      </c>
      <c r="J3515" s="3" t="s">
        <v>10203</v>
      </c>
      <c r="K3515" s="3" t="s">
        <v>19</v>
      </c>
      <c r="L3515" s="3" t="str">
        <f>IFERROR(__xludf.DUMMYFUNCTION("GOOGLETRANSLATE(F3515,""id"",""en"")"),"The French Sports Minister strongly criticized the Argentine national team arrogance")</f>
        <v>The French Sports Minister strongly criticized the Argentine national team arrogance</v>
      </c>
    </row>
    <row r="3516" ht="15.75" customHeight="1">
      <c r="A3516" s="1">
        <v>3533.0</v>
      </c>
      <c r="B3516" s="3" t="s">
        <v>10204</v>
      </c>
      <c r="C3516" s="3">
        <v>0.0</v>
      </c>
      <c r="D3516" s="3">
        <v>0.0</v>
      </c>
      <c r="E3516" s="3">
        <v>0.0</v>
      </c>
      <c r="F3516" s="3" t="s">
        <v>10205</v>
      </c>
      <c r="G3516" s="3">
        <v>1.0</v>
      </c>
      <c r="H3516" s="3">
        <v>0.0</v>
      </c>
      <c r="I3516" s="3" t="s">
        <v>13</v>
      </c>
      <c r="J3516" s="3" t="s">
        <v>10206</v>
      </c>
      <c r="K3516" s="3" t="s">
        <v>205</v>
      </c>
      <c r="L3516" s="3" t="str">
        <f>IFERROR(__xludf.DUMMYFUNCTION("GOOGLETRANSLATE(F3516,""id"",""en"")"),"More than thousand people sign the petition so that the World Cup Final is repeated in Surabaya World Cup is over Argentina which cuts out of France on the penalty shootout via")</f>
        <v>More than thousand people sign the petition so that the World Cup Final is repeated in Surabaya World Cup is over Argentina which cuts out of France on the penalty shootout via</v>
      </c>
    </row>
    <row r="3517" ht="15.75" customHeight="1">
      <c r="A3517" s="1">
        <v>3534.0</v>
      </c>
      <c r="B3517" s="3" t="s">
        <v>10207</v>
      </c>
      <c r="C3517" s="3">
        <v>1.0</v>
      </c>
      <c r="D3517" s="3">
        <v>0.0</v>
      </c>
      <c r="E3517" s="3">
        <v>0.0</v>
      </c>
      <c r="F3517" s="3" t="s">
        <v>10208</v>
      </c>
      <c r="G3517" s="3">
        <v>1.0</v>
      </c>
      <c r="H3517" s="3">
        <v>0.0</v>
      </c>
      <c r="I3517" s="3" t="s">
        <v>13</v>
      </c>
      <c r="J3517" s="3" t="s">
        <v>10209</v>
      </c>
      <c r="K3517" s="3" t="s">
        <v>82</v>
      </c>
      <c r="L3517" s="3" t="str">
        <f>IFERROR(__xludf.DUMMYFUNCTION("GOOGLETRANSLATE(F3517,""id"",""en"")"),"Polding is a picture of the World Cup Final, December")</f>
        <v>Polding is a picture of the World Cup Final, December</v>
      </c>
    </row>
    <row r="3518" ht="15.75" customHeight="1">
      <c r="A3518" s="1">
        <v>3535.0</v>
      </c>
      <c r="B3518" s="3" t="s">
        <v>10210</v>
      </c>
      <c r="C3518" s="3">
        <v>0.0</v>
      </c>
      <c r="D3518" s="3">
        <v>0.0</v>
      </c>
      <c r="E3518" s="3">
        <v>0.0</v>
      </c>
      <c r="F3518" s="3" t="s">
        <v>10202</v>
      </c>
      <c r="G3518" s="3">
        <v>1.0</v>
      </c>
      <c r="H3518" s="3">
        <v>0.0</v>
      </c>
      <c r="I3518" s="3" t="s">
        <v>13</v>
      </c>
      <c r="J3518" s="3" t="s">
        <v>10203</v>
      </c>
      <c r="K3518" s="3" t="s">
        <v>19</v>
      </c>
      <c r="L3518" s="3" t="str">
        <f>IFERROR(__xludf.DUMMYFUNCTION("GOOGLETRANSLATE(F3518,""id"",""en"")"),"The French Sports Minister strongly criticized the Argentine national team arrogance")</f>
        <v>The French Sports Minister strongly criticized the Argentine national team arrogance</v>
      </c>
    </row>
    <row r="3519" ht="15.75" customHeight="1">
      <c r="A3519" s="1">
        <v>3536.0</v>
      </c>
      <c r="B3519" s="3" t="s">
        <v>10211</v>
      </c>
      <c r="C3519" s="3">
        <v>0.0</v>
      </c>
      <c r="D3519" s="3">
        <v>0.0</v>
      </c>
      <c r="E3519" s="3">
        <v>10.0</v>
      </c>
      <c r="F3519" s="3" t="s">
        <v>10196</v>
      </c>
      <c r="G3519" s="3">
        <v>1.0</v>
      </c>
      <c r="H3519" s="3">
        <v>0.0</v>
      </c>
      <c r="I3519" s="3" t="s">
        <v>13</v>
      </c>
      <c r="J3519" s="3" t="s">
        <v>10197</v>
      </c>
      <c r="K3519" s="3" t="s">
        <v>1293</v>
      </c>
      <c r="L3519" s="3" t="str">
        <f>IFERROR(__xludf.DUMMYFUNCTION("GOOGLETRANSLATE(F3519,""id"",""en"")"),"Not only Messi Antonela Roccuzzo is also in the spotlight in the World Cup Final of the wife of Messi is not an arbitrary following the work that is done")</f>
        <v>Not only Messi Antonela Roccuzzo is also in the spotlight in the World Cup Final of the wife of Messi is not an arbitrary following the work that is done</v>
      </c>
    </row>
    <row r="3520" ht="15.75" customHeight="1">
      <c r="A3520" s="1">
        <v>3537.0</v>
      </c>
      <c r="B3520" s="3" t="s">
        <v>10212</v>
      </c>
      <c r="C3520" s="3">
        <v>0.0</v>
      </c>
      <c r="D3520" s="3">
        <v>0.0</v>
      </c>
      <c r="E3520" s="3">
        <v>0.0</v>
      </c>
      <c r="F3520" s="3" t="s">
        <v>10045</v>
      </c>
      <c r="G3520" s="3">
        <v>1.0</v>
      </c>
      <c r="H3520" s="3">
        <v>0.0</v>
      </c>
      <c r="I3520" s="3" t="s">
        <v>13</v>
      </c>
      <c r="J3520" s="3" t="s">
        <v>10046</v>
      </c>
      <c r="K3520" s="3" t="s">
        <v>657</v>
      </c>
      <c r="L3520" s="3" t="str">
        <f>IFERROR(__xludf.DUMMYFUNCTION("GOOGLETRANSLATE(F3520,""id"",""en"")"),"accused of cheating, ratified Lionel Messi's goal, the World Cup final referee gave an answer to the French camp")</f>
        <v>accused of cheating, ratified Lionel Messi's goal, the World Cup final referee gave an answer to the French camp</v>
      </c>
    </row>
    <row r="3521" ht="15.75" customHeight="1">
      <c r="A3521" s="1">
        <v>3538.0</v>
      </c>
      <c r="B3521" s="3" t="s">
        <v>10213</v>
      </c>
      <c r="C3521" s="3">
        <v>2.0</v>
      </c>
      <c r="D3521" s="3">
        <v>0.0</v>
      </c>
      <c r="E3521" s="3">
        <v>2.0</v>
      </c>
      <c r="F3521" s="3" t="s">
        <v>10214</v>
      </c>
      <c r="G3521" s="3">
        <v>0.5</v>
      </c>
      <c r="H3521" s="3">
        <v>0.0</v>
      </c>
      <c r="I3521" s="3" t="s">
        <v>13</v>
      </c>
      <c r="J3521" s="3" t="s">
        <v>10215</v>
      </c>
      <c r="K3521" s="3" t="s">
        <v>657</v>
      </c>
      <c r="L3521" s="3" t="str">
        <f>IFERROR(__xludf.DUMMYFUNCTION("GOOGLETRANSLATE(F3521,""id"",""en"")"),"Mbappe makes the World Cup Final Hattrick of the year old")</f>
        <v>Mbappe makes the World Cup Final Hattrick of the year old</v>
      </c>
    </row>
    <row r="3522" ht="15.75" customHeight="1">
      <c r="A3522" s="1">
        <v>3539.0</v>
      </c>
      <c r="B3522" s="3" t="s">
        <v>10216</v>
      </c>
      <c r="C3522" s="3">
        <v>0.0</v>
      </c>
      <c r="D3522" s="3">
        <v>0.0</v>
      </c>
      <c r="E3522" s="3">
        <v>0.0</v>
      </c>
      <c r="F3522" s="3" t="s">
        <v>9959</v>
      </c>
      <c r="G3522" s="3">
        <v>1.0</v>
      </c>
      <c r="H3522" s="3">
        <v>0.0</v>
      </c>
      <c r="I3522" s="3" t="s">
        <v>13</v>
      </c>
      <c r="J3522" s="3" t="s">
        <v>9960</v>
      </c>
      <c r="K3522" s="3" t="s">
        <v>699</v>
      </c>
      <c r="L3522" s="3" t="str">
        <f>IFERROR(__xludf.DUMMYFUNCTION("GOOGLETRANSLATE(F3522,""id"",""en"")"),"Head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23" ht="15.75" customHeight="1">
      <c r="A3523" s="1">
        <v>3540.0</v>
      </c>
      <c r="B3523" s="3" t="s">
        <v>10217</v>
      </c>
      <c r="C3523" s="3">
        <v>0.0</v>
      </c>
      <c r="D3523" s="3">
        <v>0.0</v>
      </c>
      <c r="E3523" s="3">
        <v>0.0</v>
      </c>
      <c r="F3523" s="3" t="s">
        <v>10218</v>
      </c>
      <c r="G3523" s="3">
        <v>1.0</v>
      </c>
      <c r="H3523" s="3">
        <v>0.0</v>
      </c>
      <c r="I3523" s="3" t="s">
        <v>13</v>
      </c>
      <c r="J3523" s="3" t="s">
        <v>10219</v>
      </c>
      <c r="K3523" s="3" t="s">
        <v>510</v>
      </c>
      <c r="L3523" s="3" t="str">
        <f>IFERROR(__xludf.DUMMYFUNCTION("GOOGLETRANSLATE(F3523,""id"",""en"")"),"if you lose it, it continues to be attacked by France, the World Cup Final referee gives a reply")</f>
        <v>if you lose it, it continues to be attacked by France, the World Cup Final referee gives a reply</v>
      </c>
    </row>
    <row r="3524" ht="15.75" customHeight="1">
      <c r="A3524" s="1">
        <v>3541.0</v>
      </c>
      <c r="B3524" s="3" t="s">
        <v>10220</v>
      </c>
      <c r="C3524" s="3">
        <v>0.0</v>
      </c>
      <c r="D3524" s="3">
        <v>0.0</v>
      </c>
      <c r="E3524" s="3">
        <v>0.0</v>
      </c>
      <c r="F3524" s="3" t="s">
        <v>9959</v>
      </c>
      <c r="G3524" s="3">
        <v>1.0</v>
      </c>
      <c r="H3524" s="3">
        <v>0.0</v>
      </c>
      <c r="I3524" s="3" t="s">
        <v>13</v>
      </c>
      <c r="J3524" s="3" t="s">
        <v>9960</v>
      </c>
      <c r="K3524" s="3" t="s">
        <v>699</v>
      </c>
      <c r="L3524" s="3" t="str">
        <f>IFERROR(__xludf.DUMMYFUNCTION("GOOGLETRANSLATE(F3524,""id"",""en"")"),"Head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25" ht="15.75" customHeight="1">
      <c r="A3525" s="1">
        <v>3542.0</v>
      </c>
      <c r="B3525" s="3" t="s">
        <v>10221</v>
      </c>
      <c r="C3525" s="3">
        <v>0.0</v>
      </c>
      <c r="D3525" s="3">
        <v>0.0</v>
      </c>
      <c r="E3525" s="3">
        <v>1.0</v>
      </c>
      <c r="F3525" s="3" t="s">
        <v>10222</v>
      </c>
      <c r="G3525" s="3">
        <v>0.3</v>
      </c>
      <c r="H3525" s="3">
        <v>0.025</v>
      </c>
      <c r="I3525" s="3" t="s">
        <v>48</v>
      </c>
      <c r="J3525" s="3" t="s">
        <v>10223</v>
      </c>
      <c r="K3525" s="3" t="s">
        <v>1428</v>
      </c>
      <c r="L3525" s="3" t="str">
        <f>IFERROR(__xludf.DUMMYFUNCTION("GOOGLETRANSLATE(F3525,""id"",""en"")"),"Ten Hag asked Lisandro Martinez to immediately return to Old Trafford Ten Hag revealed that he was also happy that Raphael Varane also became the representative who appeared to be the World Cup final")</f>
        <v>Ten Hag asked Lisandro Martinez to immediately return to Old Trafford Ten Hag revealed that he was also happy that Raphael Varane also became the representative who appeared to be the World Cup final</v>
      </c>
    </row>
    <row r="3526" ht="15.75" customHeight="1">
      <c r="A3526" s="1">
        <v>3544.0</v>
      </c>
      <c r="B3526" s="3" t="s">
        <v>10224</v>
      </c>
      <c r="C3526" s="3">
        <v>0.0</v>
      </c>
      <c r="D3526" s="3">
        <v>0.0</v>
      </c>
      <c r="E3526" s="3">
        <v>1.0</v>
      </c>
      <c r="F3526" s="3" t="s">
        <v>10225</v>
      </c>
      <c r="G3526" s="3">
        <v>1.0</v>
      </c>
      <c r="H3526" s="3">
        <v>0.0</v>
      </c>
      <c r="I3526" s="3" t="s">
        <v>13</v>
      </c>
      <c r="J3526" s="3" t="s">
        <v>10226</v>
      </c>
      <c r="K3526" s="3" t="s">
        <v>50</v>
      </c>
      <c r="L3526" s="3" t="str">
        <f>IFERROR(__xludf.DUMMYFUNCTION("GOOGLETRANSLATE(F3526,""id"",""en"")"),"When Rafael Nadal cried see Messi scored the third goal of the World Cup final")</f>
        <v>When Rafael Nadal cried see Messi scored the third goal of the World Cup final</v>
      </c>
    </row>
    <row r="3527" ht="15.75" customHeight="1">
      <c r="A3527" s="1">
        <v>3545.0</v>
      </c>
      <c r="B3527" s="3" t="s">
        <v>10227</v>
      </c>
      <c r="C3527" s="3">
        <v>0.0</v>
      </c>
      <c r="D3527" s="3">
        <v>0.0</v>
      </c>
      <c r="E3527" s="3">
        <v>0.0</v>
      </c>
      <c r="F3527" s="3" t="s">
        <v>10228</v>
      </c>
      <c r="G3527" s="3">
        <v>1.0</v>
      </c>
      <c r="H3527" s="3">
        <v>0.0</v>
      </c>
      <c r="I3527" s="3" t="s">
        <v>13</v>
      </c>
      <c r="J3527" s="3" t="s">
        <v>10229</v>
      </c>
      <c r="K3527" s="3" t="s">
        <v>1265</v>
      </c>
      <c r="L3527" s="3" t="str">
        <f>IFERROR(__xludf.DUMMYFUNCTION("GOOGLETRANSLATE(F3527,""id"",""en"")"),"shame with your followers what date the world cup final date")</f>
        <v>shame with your followers what date the world cup final date</v>
      </c>
    </row>
    <row r="3528" ht="15.75" customHeight="1">
      <c r="A3528" s="1">
        <v>3546.0</v>
      </c>
      <c r="B3528" s="3" t="s">
        <v>10230</v>
      </c>
      <c r="C3528" s="3">
        <v>1.0</v>
      </c>
      <c r="D3528" s="3">
        <v>0.0</v>
      </c>
      <c r="E3528" s="3">
        <v>8.0</v>
      </c>
      <c r="F3528" s="3" t="s">
        <v>10231</v>
      </c>
      <c r="G3528" s="3">
        <v>1.0</v>
      </c>
      <c r="H3528" s="3">
        <v>0.0</v>
      </c>
      <c r="I3528" s="3" t="s">
        <v>13</v>
      </c>
      <c r="J3528" s="3" t="s">
        <v>10232</v>
      </c>
      <c r="K3528" s="3" t="s">
        <v>510</v>
      </c>
      <c r="L3528" s="3" t="str">
        <f>IFERROR(__xludf.DUMMYFUNCTION("GOOGLETRANSLATE(F3528,""id"",""en"")"),"The December Cup Final of Mas Anies Baswedan made a time to go to the time of vicious slander")</f>
        <v>The December Cup Final of Mas Anies Baswedan made a time to go to the time of vicious slander</v>
      </c>
    </row>
    <row r="3529" ht="15.75" customHeight="1">
      <c r="A3529" s="1">
        <v>3547.0</v>
      </c>
      <c r="B3529" s="3" t="s">
        <v>10233</v>
      </c>
      <c r="C3529" s="3">
        <v>0.0</v>
      </c>
      <c r="D3529" s="3">
        <v>0.0</v>
      </c>
      <c r="E3529" s="3">
        <v>0.0</v>
      </c>
      <c r="F3529" s="3" t="s">
        <v>10202</v>
      </c>
      <c r="G3529" s="3">
        <v>1.0</v>
      </c>
      <c r="H3529" s="3">
        <v>0.0</v>
      </c>
      <c r="I3529" s="3" t="s">
        <v>13</v>
      </c>
      <c r="J3529" s="3" t="s">
        <v>10203</v>
      </c>
      <c r="K3529" s="3" t="s">
        <v>19</v>
      </c>
      <c r="L3529" s="3" t="str">
        <f>IFERROR(__xludf.DUMMYFUNCTION("GOOGLETRANSLATE(F3529,""id"",""en"")"),"The French Sports Minister strongly criticized the Argentine national team arrogance")</f>
        <v>The French Sports Minister strongly criticized the Argentine national team arrogance</v>
      </c>
    </row>
    <row r="3530" ht="15.75" customHeight="1">
      <c r="A3530" s="1">
        <v>3548.0</v>
      </c>
      <c r="B3530" s="3" t="s">
        <v>10234</v>
      </c>
      <c r="C3530" s="3">
        <v>0.0</v>
      </c>
      <c r="D3530" s="3">
        <v>0.0</v>
      </c>
      <c r="E3530" s="3">
        <v>0.0</v>
      </c>
      <c r="F3530" s="3" t="s">
        <v>9749</v>
      </c>
      <c r="G3530" s="3">
        <v>1.0</v>
      </c>
      <c r="H3530" s="3">
        <v>0.0</v>
      </c>
      <c r="I3530" s="3" t="s">
        <v>13</v>
      </c>
      <c r="J3530" s="3" t="s">
        <v>9750</v>
      </c>
      <c r="K3530" s="3" t="s">
        <v>19</v>
      </c>
      <c r="L3530" s="3" t="str">
        <f>IFERROR(__xludf.DUMMYFUNCTION("GOOGLETRANSLATE(F3530,""id"",""en"")"),"Puan Maharani supports the Argentine soccer team against France in the World Cup final")</f>
        <v>Puan Maharani supports the Argentine soccer team against France in the World Cup final</v>
      </c>
    </row>
    <row r="3531" ht="15.75" customHeight="1">
      <c r="A3531" s="1">
        <v>3549.0</v>
      </c>
      <c r="B3531" s="3" t="s">
        <v>10235</v>
      </c>
      <c r="C3531" s="3">
        <v>0.0</v>
      </c>
      <c r="D3531" s="3">
        <v>0.0</v>
      </c>
      <c r="E3531" s="3">
        <v>0.0</v>
      </c>
      <c r="F3531" s="3" t="s">
        <v>9959</v>
      </c>
      <c r="G3531" s="3">
        <v>1.0</v>
      </c>
      <c r="H3531" s="3">
        <v>0.0</v>
      </c>
      <c r="I3531" s="3" t="s">
        <v>13</v>
      </c>
      <c r="J3531" s="3" t="s">
        <v>9960</v>
      </c>
      <c r="K3531" s="3" t="s">
        <v>699</v>
      </c>
      <c r="L3531" s="3" t="str">
        <f>IFERROR(__xludf.DUMMYFUNCTION("GOOGLETRANSLATE(F3531,""id"",""en"")"),"Head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32" ht="15.75" customHeight="1">
      <c r="A3532" s="1">
        <v>3550.0</v>
      </c>
      <c r="B3532" s="3" t="s">
        <v>10236</v>
      </c>
      <c r="C3532" s="3">
        <v>0.0</v>
      </c>
      <c r="D3532" s="3">
        <v>0.0</v>
      </c>
      <c r="E3532" s="3">
        <v>0.0</v>
      </c>
      <c r="F3532" s="3" t="s">
        <v>9959</v>
      </c>
      <c r="G3532" s="3">
        <v>1.0</v>
      </c>
      <c r="H3532" s="3">
        <v>0.0</v>
      </c>
      <c r="I3532" s="3" t="s">
        <v>13</v>
      </c>
      <c r="J3532" s="3" t="s">
        <v>9960</v>
      </c>
      <c r="K3532" s="3" t="s">
        <v>699</v>
      </c>
      <c r="L3532" s="3" t="str">
        <f>IFERROR(__xludf.DUMMYFUNCTION("GOOGLETRANSLATE(F3532,""id"",""en"")"),"Head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33" ht="15.75" customHeight="1">
      <c r="A3533" s="1">
        <v>3551.0</v>
      </c>
      <c r="B3533" s="3" t="s">
        <v>10237</v>
      </c>
      <c r="C3533" s="3">
        <v>0.0</v>
      </c>
      <c r="D3533" s="3">
        <v>0.0</v>
      </c>
      <c r="E3533" s="3">
        <v>0.0</v>
      </c>
      <c r="F3533" s="3" t="s">
        <v>10238</v>
      </c>
      <c r="G3533" s="3">
        <v>1.0</v>
      </c>
      <c r="H3533" s="3">
        <v>0.0</v>
      </c>
      <c r="I3533" s="3" t="s">
        <v>13</v>
      </c>
      <c r="J3533" s="3" t="s">
        <v>10239</v>
      </c>
      <c r="K3533" s="3" t="s">
        <v>510</v>
      </c>
      <c r="L3533" s="3" t="str">
        <f>IFERROR(__xludf.DUMMYFUNCTION("GOOGLETRANSLATE(F3533,""id"",""en"")"),"Skakmat Final Referee World Cup Answer French accusations about the validity of Argentina's third goal")</f>
        <v>Skakmat Final Referee World Cup Answer French accusations about the validity of Argentina's third goal</v>
      </c>
    </row>
    <row r="3534" ht="15.75" customHeight="1">
      <c r="A3534" s="1">
        <v>3552.0</v>
      </c>
      <c r="B3534" s="3" t="s">
        <v>10240</v>
      </c>
      <c r="C3534" s="3">
        <v>0.0</v>
      </c>
      <c r="D3534" s="3">
        <v>0.0</v>
      </c>
      <c r="E3534" s="3">
        <v>0.0</v>
      </c>
      <c r="F3534" s="3" t="s">
        <v>10241</v>
      </c>
      <c r="G3534" s="3">
        <v>1.0</v>
      </c>
      <c r="H3534" s="3">
        <v>0.0</v>
      </c>
      <c r="I3534" s="3" t="s">
        <v>13</v>
      </c>
      <c r="J3534" s="3" t="s">
        <v>10242</v>
      </c>
      <c r="K3534" s="3" t="s">
        <v>1293</v>
      </c>
      <c r="L3534" s="3" t="str">
        <f>IFERROR(__xludf.DUMMYFUNCTION("GOOGLETRANSLATE(F3534,""id"",""en"")"),"Ibra Cruyff and Maldini have experienced the World Cup final in the Euro champion Ibra really carry the Swedish national team alone")</f>
        <v>Ibra Cruyff and Maldini have experienced the World Cup final in the Euro champion Ibra really carry the Swedish national team alone</v>
      </c>
    </row>
    <row r="3535" ht="15.75" customHeight="1">
      <c r="A3535" s="1">
        <v>3553.0</v>
      </c>
      <c r="B3535" s="3" t="s">
        <v>10243</v>
      </c>
      <c r="C3535" s="3">
        <v>0.0</v>
      </c>
      <c r="D3535" s="3">
        <v>0.0</v>
      </c>
      <c r="E3535" s="3">
        <v>0.0</v>
      </c>
      <c r="F3535" s="3" t="s">
        <v>10244</v>
      </c>
      <c r="G3535" s="3">
        <v>1.0</v>
      </c>
      <c r="H3535" s="3">
        <v>0.0</v>
      </c>
      <c r="I3535" s="3" t="s">
        <v>13</v>
      </c>
      <c r="J3535" s="3" t="s">
        <v>10245</v>
      </c>
      <c r="K3535" s="3" t="s">
        <v>491</v>
      </c>
      <c r="L3535" s="3" t="str">
        <f>IFERROR(__xludf.DUMMYFUNCTION("GOOGLETRANSLATE(F3535,""id"",""en"")"),"Lose Taroan Brp Million, until I asked for Brazilian rematch, just poisoned when the World Cup final asked for a rematch")</f>
        <v>Lose Taroan Brp Million, until I asked for Brazilian rematch, just poisoned when the World Cup final asked for a rematch</v>
      </c>
    </row>
    <row r="3536" ht="15.75" customHeight="1">
      <c r="A3536" s="1">
        <v>3554.0</v>
      </c>
      <c r="B3536" s="3" t="s">
        <v>10246</v>
      </c>
      <c r="C3536" s="3">
        <v>1.0</v>
      </c>
      <c r="D3536" s="3">
        <v>0.0</v>
      </c>
      <c r="E3536" s="3">
        <v>0.0</v>
      </c>
      <c r="F3536" s="3" t="s">
        <v>10247</v>
      </c>
      <c r="G3536" s="3">
        <v>1.0</v>
      </c>
      <c r="H3536" s="3">
        <v>0.0</v>
      </c>
      <c r="I3536" s="3" t="s">
        <v>13</v>
      </c>
      <c r="J3536" s="3" t="s">
        <v>10248</v>
      </c>
      <c r="K3536" s="3" t="s">
        <v>19</v>
      </c>
      <c r="L3536" s="3" t="str">
        <f>IFERROR(__xludf.DUMMYFUNCTION("GOOGLETRANSLATE(F3536,""id"",""en"")"),"Not accepting Argentina French fan champions make petitions for FIFA so that the World Cup final can be repeated")</f>
        <v>Not accepting Argentina French fan champions make petitions for FIFA so that the World Cup final can be repeated</v>
      </c>
    </row>
    <row r="3537" ht="15.75" customHeight="1">
      <c r="A3537" s="1">
        <v>3555.0</v>
      </c>
      <c r="B3537" s="3" t="s">
        <v>10249</v>
      </c>
      <c r="C3537" s="3">
        <v>0.0</v>
      </c>
      <c r="D3537" s="3">
        <v>0.0</v>
      </c>
      <c r="E3537" s="3">
        <v>0.0</v>
      </c>
      <c r="F3537" s="3" t="s">
        <v>10250</v>
      </c>
      <c r="G3537" s="3">
        <v>1.0</v>
      </c>
      <c r="H3537" s="3">
        <v>0.0</v>
      </c>
      <c r="I3537" s="3" t="s">
        <v>13</v>
      </c>
      <c r="J3537" s="3" t="s">
        <v>10251</v>
      </c>
      <c r="K3537" s="3" t="s">
        <v>1518</v>
      </c>
      <c r="L3537" s="3" t="str">
        <f>IFERROR(__xludf.DUMMYFUNCTION("GOOGLETRANSLATE(F3537,""id"",""en"")"),"More than thousand people signed the petition asking for the French Argentine World Cup final match, the reason for the request to repeat the match was due to the decision of the referee who was considered controversial")</f>
        <v>More than thousand people signed the petition asking for the French Argentine World Cup final match, the reason for the request to repeat the match was due to the decision of the referee who was considered controversial</v>
      </c>
    </row>
    <row r="3538" ht="15.75" customHeight="1">
      <c r="A3538" s="1">
        <v>3556.0</v>
      </c>
      <c r="B3538" s="3" t="s">
        <v>10252</v>
      </c>
      <c r="C3538" s="3">
        <v>0.0</v>
      </c>
      <c r="D3538" s="3">
        <v>0.0</v>
      </c>
      <c r="E3538" s="3">
        <v>0.0</v>
      </c>
      <c r="F3538" s="3" t="s">
        <v>10253</v>
      </c>
      <c r="G3538" s="3">
        <v>1.0</v>
      </c>
      <c r="H3538" s="3">
        <v>0.0</v>
      </c>
      <c r="I3538" s="3" t="s">
        <v>13</v>
      </c>
      <c r="J3538" s="3" t="s">
        <v>10254</v>
      </c>
      <c r="K3538" s="3" t="s">
        <v>15</v>
      </c>
      <c r="L3538" s="3" t="str">
        <f>IFERROR(__xludf.DUMMYFUNCTION("GOOGLETRANSLATE(F3538,""id"",""en"")"),"French World Cup Final Argentina has a long tail guys")</f>
        <v>French World Cup Final Argentina has a long tail guys</v>
      </c>
    </row>
    <row r="3539" ht="15.75" customHeight="1">
      <c r="A3539" s="1">
        <v>3557.0</v>
      </c>
      <c r="B3539" s="3" t="s">
        <v>10255</v>
      </c>
      <c r="C3539" s="3">
        <v>0.0</v>
      </c>
      <c r="D3539" s="3">
        <v>0.0</v>
      </c>
      <c r="E3539" s="3">
        <v>1.0</v>
      </c>
      <c r="F3539" s="3" t="s">
        <v>10256</v>
      </c>
      <c r="G3539" s="3">
        <v>1.0</v>
      </c>
      <c r="H3539" s="3">
        <v>0.0</v>
      </c>
      <c r="I3539" s="3" t="s">
        <v>13</v>
      </c>
      <c r="J3539" s="3" t="s">
        <v>10257</v>
      </c>
      <c r="K3539" s="3" t="s">
        <v>205</v>
      </c>
      <c r="L3539" s="3" t="str">
        <f>IFERROR(__xludf.DUMMYFUNCTION("GOOGLETRANSLATE(F3539,""id"",""en"")"),"Pay attention to sir with the original post, imagine not reckoning tomorrow, how come it's a little intelligent, when the Sulawesi will be the World Cup final when it")</f>
        <v>Pay attention to sir with the original post, imagine not reckoning tomorrow, how come it's a little intelligent, when the Sulawesi will be the World Cup final when it</v>
      </c>
    </row>
    <row r="3540" ht="15.75" customHeight="1">
      <c r="A3540" s="1">
        <v>3558.0</v>
      </c>
      <c r="B3540" s="3" t="s">
        <v>10258</v>
      </c>
      <c r="C3540" s="3">
        <v>0.0</v>
      </c>
      <c r="D3540" s="3">
        <v>0.0</v>
      </c>
      <c r="E3540" s="3">
        <v>0.0</v>
      </c>
      <c r="F3540" s="3" t="s">
        <v>10259</v>
      </c>
      <c r="G3540" s="3">
        <v>1.0</v>
      </c>
      <c r="H3540" s="3">
        <v>0.0</v>
      </c>
      <c r="I3540" s="3" t="s">
        <v>13</v>
      </c>
      <c r="J3540" s="3" t="s">
        <v>10260</v>
      </c>
      <c r="K3540" s="3" t="s">
        <v>41</v>
      </c>
      <c r="L3540" s="3" t="str">
        <f>IFERROR(__xludf.DUMMYFUNCTION("GOOGLETRANSLATE(F3540,""id"",""en"")"),"blasphemed by French fans of the Serang World Cup Final Referee")</f>
        <v>blasphemed by French fans of the Serang World Cup Final Referee</v>
      </c>
    </row>
    <row r="3541" ht="15.75" customHeight="1">
      <c r="A3541" s="1">
        <v>3559.0</v>
      </c>
      <c r="B3541" s="3" t="s">
        <v>10261</v>
      </c>
      <c r="C3541" s="3">
        <v>0.0</v>
      </c>
      <c r="D3541" s="3">
        <v>0.0</v>
      </c>
      <c r="E3541" s="3">
        <v>0.0</v>
      </c>
      <c r="F3541" s="3" t="s">
        <v>10196</v>
      </c>
      <c r="G3541" s="3">
        <v>1.0</v>
      </c>
      <c r="H3541" s="3">
        <v>0.0</v>
      </c>
      <c r="I3541" s="3" t="s">
        <v>13</v>
      </c>
      <c r="J3541" s="3" t="s">
        <v>10197</v>
      </c>
      <c r="K3541" s="3" t="s">
        <v>1293</v>
      </c>
      <c r="L3541" s="3" t="str">
        <f>IFERROR(__xludf.DUMMYFUNCTION("GOOGLETRANSLATE(F3541,""id"",""en"")"),"Not only Messi Antonela Roccuzzo is also in the spotlight in the World Cup Final of the wife of Messi is not an arbitrary following the work that is done")</f>
        <v>Not only Messi Antonela Roccuzzo is also in the spotlight in the World Cup Final of the wife of Messi is not an arbitrary following the work that is done</v>
      </c>
    </row>
    <row r="3542" ht="15.75" customHeight="1">
      <c r="A3542" s="1">
        <v>3560.0</v>
      </c>
      <c r="B3542" s="3" t="s">
        <v>10262</v>
      </c>
      <c r="C3542" s="3">
        <v>0.0</v>
      </c>
      <c r="D3542" s="3">
        <v>0.0</v>
      </c>
      <c r="E3542" s="3">
        <v>0.0</v>
      </c>
      <c r="F3542" s="3" t="s">
        <v>10263</v>
      </c>
      <c r="G3542" s="3">
        <v>1.0</v>
      </c>
      <c r="H3542" s="3">
        <v>0.0</v>
      </c>
      <c r="I3542" s="3" t="s">
        <v>13</v>
      </c>
      <c r="J3542" s="3" t="s">
        <v>10264</v>
      </c>
      <c r="K3542" s="3" t="s">
        <v>27</v>
      </c>
      <c r="L3542" s="3" t="str">
        <f>IFERROR(__xludf.DUMMYFUNCTION("GOOGLETRANSLATE(F3542,""id"",""en"")"),"Jkt, maybe this purpose is the final of the French World Cup Croatia.")</f>
        <v>Jkt, maybe this purpose is the final of the French World Cup Croatia.</v>
      </c>
    </row>
    <row r="3543" ht="15.75" customHeight="1">
      <c r="A3543" s="1">
        <v>3561.0</v>
      </c>
      <c r="B3543" s="3" t="s">
        <v>10265</v>
      </c>
      <c r="C3543" s="3">
        <v>0.0</v>
      </c>
      <c r="D3543" s="3">
        <v>0.0</v>
      </c>
      <c r="E3543" s="3">
        <v>0.0</v>
      </c>
      <c r="F3543" s="3" t="s">
        <v>10049</v>
      </c>
      <c r="G3543" s="3">
        <v>1.0</v>
      </c>
      <c r="H3543" s="3">
        <v>0.0</v>
      </c>
      <c r="I3543" s="3" t="s">
        <v>13</v>
      </c>
      <c r="J3543" s="3" t="s">
        <v>10050</v>
      </c>
      <c r="K3543" s="3" t="s">
        <v>75</v>
      </c>
      <c r="L3543" s="3" t="str">
        <f>IFERROR(__xludf.DUMMYFUNCTION("GOOGLETRANSLATE(F3543,""id"",""en"")"),"reply to the world cup final referee after being accused of Bela Argentina")</f>
        <v>reply to the world cup final referee after being accused of Bela Argentina</v>
      </c>
    </row>
    <row r="3544" ht="15.75" customHeight="1">
      <c r="A3544" s="1">
        <v>3562.0</v>
      </c>
      <c r="B3544" s="3" t="s">
        <v>10266</v>
      </c>
      <c r="C3544" s="3">
        <v>0.0</v>
      </c>
      <c r="D3544" s="3">
        <v>0.0</v>
      </c>
      <c r="E3544" s="3">
        <v>0.0</v>
      </c>
      <c r="F3544" s="3" t="s">
        <v>10267</v>
      </c>
      <c r="G3544" s="3">
        <v>0.7333333333333334</v>
      </c>
      <c r="H3544" s="3">
        <v>-0.06666666666666667</v>
      </c>
      <c r="I3544" s="3" t="s">
        <v>179</v>
      </c>
      <c r="J3544" s="3" t="s">
        <v>10268</v>
      </c>
      <c r="K3544" s="3" t="s">
        <v>520</v>
      </c>
      <c r="L3544" s="3" t="str">
        <f>IFERROR(__xludf.DUMMYFUNCTION("GOOGLETRANSLATE(F3544,""id"",""en"")"),"The more optimistic we can enter the World Cup even though it is not a minimum champion to the semi -finals at least champions like Turkey or ranking like Morocco")</f>
        <v>The more optimistic we can enter the World Cup even though it is not a minimum champion to the semi -finals at least champions like Turkey or ranking like Morocco</v>
      </c>
    </row>
    <row r="3545" ht="15.75" customHeight="1">
      <c r="A3545" s="1">
        <v>3563.0</v>
      </c>
      <c r="B3545" s="3" t="s">
        <v>10269</v>
      </c>
      <c r="C3545" s="3">
        <v>1.0</v>
      </c>
      <c r="D3545" s="3">
        <v>0.0</v>
      </c>
      <c r="E3545" s="3">
        <v>0.0</v>
      </c>
      <c r="F3545" s="3" t="s">
        <v>10270</v>
      </c>
      <c r="G3545" s="3">
        <v>1.0</v>
      </c>
      <c r="H3545" s="3">
        <v>0.0</v>
      </c>
      <c r="I3545" s="3" t="s">
        <v>13</v>
      </c>
      <c r="J3545" s="3" t="s">
        <v>10271</v>
      </c>
      <c r="K3545" s="3" t="s">
        <v>520</v>
      </c>
      <c r="L3545" s="3" t="str">
        <f>IFERROR(__xludf.DUMMYFUNCTION("GOOGLETRANSLATE(F3545,""id"",""en"")"),"Anies Goblog Very Tweet Pak Anies Date Dec World Cup Final Date Dec Yes, there has been no incident and has a photo")</f>
        <v>Anies Goblog Very Tweet Pak Anies Date Dec World Cup Final Date Dec Yes, there has been no incident and has a photo</v>
      </c>
    </row>
    <row r="3546" ht="15.75" customHeight="1">
      <c r="A3546" s="1">
        <v>3564.0</v>
      </c>
      <c r="B3546" s="3" t="s">
        <v>10272</v>
      </c>
      <c r="C3546" s="3">
        <v>1.0</v>
      </c>
      <c r="D3546" s="3">
        <v>2.0</v>
      </c>
      <c r="E3546" s="3">
        <v>7.0</v>
      </c>
      <c r="F3546" s="3" t="s">
        <v>10273</v>
      </c>
      <c r="G3546" s="3">
        <v>1.0</v>
      </c>
      <c r="H3546" s="3">
        <v>0.0</v>
      </c>
      <c r="I3546" s="3" t="s">
        <v>13</v>
      </c>
      <c r="J3546" s="3" t="s">
        <v>10274</v>
      </c>
      <c r="K3546" s="3" t="s">
        <v>308</v>
      </c>
      <c r="L3546" s="3" t="str">
        <f>IFERROR(__xludf.DUMMYFUNCTION("GOOGLETRANSLATE(F3546,""id"",""en"")"),"Sunday on December the whole world is busy watching and talking about matches between Argentina and France Final of the World Cup. He is a collection of interesting data from the World Cup Thread")</f>
        <v>Sunday on December the whole world is busy watching and talking about matches between Argentina and France Final of the World Cup. He is a collection of interesting data from the World Cup Thread</v>
      </c>
    </row>
    <row r="3547" ht="15.75" customHeight="1">
      <c r="A3547" s="1">
        <v>3565.0</v>
      </c>
      <c r="B3547" s="3" t="s">
        <v>10275</v>
      </c>
      <c r="C3547" s="3">
        <v>0.0</v>
      </c>
      <c r="D3547" s="3">
        <v>0.0</v>
      </c>
      <c r="E3547" s="3">
        <v>0.0</v>
      </c>
      <c r="F3547" s="3" t="s">
        <v>10276</v>
      </c>
      <c r="G3547" s="3">
        <v>1.0</v>
      </c>
      <c r="H3547" s="3">
        <v>0.0</v>
      </c>
      <c r="I3547" s="3" t="s">
        <v>13</v>
      </c>
      <c r="J3547" s="3" t="s">
        <v>10277</v>
      </c>
      <c r="K3547" s="3" t="s">
        <v>574</v>
      </c>
      <c r="L3547" s="3" t="str">
        <f>IFERROR(__xludf.DUMMYFUNCTION("GOOGLETRANSLATE(F3547,""id"",""en"")"),"An online reality addressed to FIFA has just been made so that the World Cup final is repeated because it is considered the first goal of Argentina that is not valid at this time the fact has been signed by more than thousands of people")</f>
        <v>An online reality addressed to FIFA has just been made so that the World Cup final is repeated because it is considered the first goal of Argentina that is not valid at this time the fact has been signed by more than thousands of people</v>
      </c>
    </row>
    <row r="3548" ht="15.75" customHeight="1">
      <c r="A3548" s="1">
        <v>3566.0</v>
      </c>
      <c r="B3548" s="3" t="s">
        <v>10278</v>
      </c>
      <c r="C3548" s="3">
        <v>0.0</v>
      </c>
      <c r="D3548" s="3">
        <v>0.0</v>
      </c>
      <c r="E3548" s="3">
        <v>0.0</v>
      </c>
      <c r="F3548" s="3" t="s">
        <v>10279</v>
      </c>
      <c r="G3548" s="3">
        <v>0.65</v>
      </c>
      <c r="H3548" s="3">
        <v>0.1625</v>
      </c>
      <c r="I3548" s="3" t="s">
        <v>48</v>
      </c>
      <c r="J3548" s="3" t="s">
        <v>10280</v>
      </c>
      <c r="K3548" s="3" t="s">
        <v>3819</v>
      </c>
      <c r="L3548" s="3" t="str">
        <f>IFERROR(__xludf.DUMMYFUNCTION("GOOGLETRANSLATE(F3548,""id"",""en"")"),"never but if you want to compete, it is certainly not the right choice if only friendly matches want to be how long the big team is only friendly match at least the semifinal of the world cup or quarter -finals")</f>
        <v>never but if you want to compete, it is certainly not the right choice if only friendly matches want to be how long the big team is only friendly match at least the semifinal of the world cup or quarter -finals</v>
      </c>
    </row>
    <row r="3549" ht="15.75" customHeight="1">
      <c r="A3549" s="1">
        <v>3567.0</v>
      </c>
      <c r="B3549" s="3" t="s">
        <v>10281</v>
      </c>
      <c r="C3549" s="3">
        <v>0.0</v>
      </c>
      <c r="D3549" s="3">
        <v>0.0</v>
      </c>
      <c r="E3549" s="3">
        <v>0.0</v>
      </c>
      <c r="F3549" s="3" t="s">
        <v>10049</v>
      </c>
      <c r="G3549" s="3">
        <v>1.0</v>
      </c>
      <c r="H3549" s="3">
        <v>0.0</v>
      </c>
      <c r="I3549" s="3" t="s">
        <v>13</v>
      </c>
      <c r="J3549" s="3" t="s">
        <v>10050</v>
      </c>
      <c r="K3549" s="3" t="s">
        <v>75</v>
      </c>
      <c r="L3549" s="3" t="str">
        <f>IFERROR(__xludf.DUMMYFUNCTION("GOOGLETRANSLATE(F3549,""id"",""en"")"),"reply to the world cup final referee after being accused of Bela Argentina")</f>
        <v>reply to the world cup final referee after being accused of Bela Argentina</v>
      </c>
    </row>
    <row r="3550" ht="15.75" customHeight="1">
      <c r="A3550" s="1">
        <v>3568.0</v>
      </c>
      <c r="B3550" s="3" t="s">
        <v>10282</v>
      </c>
      <c r="C3550" s="3">
        <v>0.0</v>
      </c>
      <c r="D3550" s="3">
        <v>0.0</v>
      </c>
      <c r="E3550" s="3">
        <v>0.0</v>
      </c>
      <c r="F3550" s="3" t="s">
        <v>10283</v>
      </c>
      <c r="G3550" s="3">
        <v>1.0</v>
      </c>
      <c r="H3550" s="3">
        <v>0.0</v>
      </c>
      <c r="I3550" s="3" t="s">
        <v>13</v>
      </c>
      <c r="J3550" s="3" t="s">
        <v>10284</v>
      </c>
      <c r="K3550" s="3" t="s">
        <v>19</v>
      </c>
      <c r="L3550" s="3" t="str">
        <f>IFERROR(__xludf.DUMMYFUNCTION("GOOGLETRANSLATE(F3550,""id"",""en"")"),"I'm more sure Bruno Mars Padang people than the World Cup final will be repeated wkwk")</f>
        <v>I'm more sure Bruno Mars Padang people than the World Cup final will be repeated wkwk</v>
      </c>
    </row>
    <row r="3551" ht="15.75" customHeight="1">
      <c r="A3551" s="1">
        <v>3569.0</v>
      </c>
      <c r="B3551" s="3" t="s">
        <v>10285</v>
      </c>
      <c r="C3551" s="3">
        <v>1.0</v>
      </c>
      <c r="D3551" s="3">
        <v>0.0</v>
      </c>
      <c r="E3551" s="3">
        <v>9.0</v>
      </c>
      <c r="F3551" s="3" t="s">
        <v>10049</v>
      </c>
      <c r="G3551" s="3">
        <v>1.0</v>
      </c>
      <c r="H3551" s="3">
        <v>0.0</v>
      </c>
      <c r="I3551" s="3" t="s">
        <v>13</v>
      </c>
      <c r="J3551" s="3" t="s">
        <v>10050</v>
      </c>
      <c r="K3551" s="3" t="s">
        <v>75</v>
      </c>
      <c r="L3551" s="3" t="str">
        <f>IFERROR(__xludf.DUMMYFUNCTION("GOOGLETRANSLATE(F3551,""id"",""en"")"),"reply to the world cup final referee after being accused of Bela Argentina")</f>
        <v>reply to the world cup final referee after being accused of Bela Argentina</v>
      </c>
    </row>
    <row r="3552" ht="15.75" customHeight="1">
      <c r="A3552" s="1">
        <v>3570.0</v>
      </c>
      <c r="B3552" s="3" t="s">
        <v>10286</v>
      </c>
      <c r="C3552" s="3">
        <v>4.0</v>
      </c>
      <c r="D3552" s="3">
        <v>3.0</v>
      </c>
      <c r="E3552" s="3">
        <v>9.0</v>
      </c>
      <c r="F3552" s="3" t="s">
        <v>10287</v>
      </c>
      <c r="G3552" s="3">
        <v>1.0</v>
      </c>
      <c r="H3552" s="3">
        <v>0.0</v>
      </c>
      <c r="I3552" s="3" t="s">
        <v>13</v>
      </c>
      <c r="J3552" s="3" t="s">
        <v>10288</v>
      </c>
      <c r="K3552" s="3" t="s">
        <v>1061</v>
      </c>
      <c r="L3552" s="3" t="str">
        <f>IFERROR(__xludf.DUMMYFUNCTION("GOOGLETRANSLATE(F3552,""id"",""en"")"),"Until I tweet this hoax post has been seen by a number of thousands of people imagine not reckoning tomorrow, how come it's a little intelligent, when the Sulawesi will be the World Cup Final when I am ashamed")</f>
        <v>Until I tweet this hoax post has been seen by a number of thousands of people imagine not reckoning tomorrow, how come it's a little intelligent, when the Sulawesi will be the World Cup Final when I am ashamed</v>
      </c>
    </row>
    <row r="3553" ht="15.75" customHeight="1">
      <c r="A3553" s="1">
        <v>3571.0</v>
      </c>
      <c r="B3553" s="3" t="s">
        <v>10289</v>
      </c>
      <c r="C3553" s="3">
        <v>1.0</v>
      </c>
      <c r="D3553" s="3">
        <v>1.0</v>
      </c>
      <c r="E3553" s="3">
        <v>6.0</v>
      </c>
      <c r="F3553" s="3" t="s">
        <v>10290</v>
      </c>
      <c r="G3553" s="3">
        <v>1.0</v>
      </c>
      <c r="H3553" s="3">
        <v>0.0</v>
      </c>
      <c r="I3553" s="3" t="s">
        <v>13</v>
      </c>
      <c r="J3553" s="3" t="s">
        <v>10291</v>
      </c>
      <c r="K3553" s="3" t="s">
        <v>123</v>
      </c>
      <c r="L3553" s="3" t="str">
        <f>IFERROR(__xludf.DUMMYFUNCTION("GOOGLETRANSLATE(F3553,""id"",""en"")"),"World Cup final referee Szymon Marciniak continued to be attacked")</f>
        <v>World Cup final referee Szymon Marciniak continued to be attacked</v>
      </c>
    </row>
    <row r="3554" ht="15.75" customHeight="1">
      <c r="A3554" s="1">
        <v>3572.0</v>
      </c>
      <c r="B3554" s="3" t="s">
        <v>10292</v>
      </c>
      <c r="C3554" s="3">
        <v>0.0</v>
      </c>
      <c r="D3554" s="3">
        <v>0.0</v>
      </c>
      <c r="E3554" s="3">
        <v>0.0</v>
      </c>
      <c r="F3554" s="3" t="s">
        <v>10293</v>
      </c>
      <c r="G3554" s="3">
        <v>1.0</v>
      </c>
      <c r="H3554" s="3">
        <v>0.0</v>
      </c>
      <c r="I3554" s="3" t="s">
        <v>13</v>
      </c>
      <c r="J3554" s="3" t="s">
        <v>10294</v>
      </c>
      <c r="K3554" s="3" t="s">
        <v>715</v>
      </c>
      <c r="L3554" s="3" t="str">
        <f>IFERROR(__xludf.DUMMYFUNCTION("GOOGLETRANSLATE(F3554,""id"",""en"")"),"Pierluigi Collina is one of the referees who once aware of the Fnal Final Final of the Champions League Final of the UEFA Cup Final Final")</f>
        <v>Pierluigi Collina is one of the referees who once aware of the Fnal Final Final of the Champions League Final of the UEFA Cup Final Final</v>
      </c>
    </row>
    <row r="3555" ht="15.75" customHeight="1">
      <c r="A3555" s="1">
        <v>3573.0</v>
      </c>
      <c r="B3555" s="3" t="s">
        <v>10295</v>
      </c>
      <c r="C3555" s="3">
        <v>1.0</v>
      </c>
      <c r="D3555" s="3">
        <v>0.0</v>
      </c>
      <c r="E3555" s="3">
        <v>1.0</v>
      </c>
      <c r="F3555" s="3" t="s">
        <v>10296</v>
      </c>
      <c r="G3555" s="3">
        <v>1.0</v>
      </c>
      <c r="H3555" s="3">
        <v>0.0</v>
      </c>
      <c r="I3555" s="3" t="s">
        <v>13</v>
      </c>
      <c r="J3555" s="3" t="s">
        <v>10297</v>
      </c>
      <c r="K3555" s="3" t="s">
        <v>71</v>
      </c>
      <c r="L3555" s="3" t="str">
        <f>IFERROR(__xludf.DUMMYFUNCTION("GOOGLETRANSLATE(F3555,""id"",""en"")"),"Accused of cheating Lionel Messi goal referee World Cup Final Sindir Returning French fans")</f>
        <v>Accused of cheating Lionel Messi goal referee World Cup Final Sindir Returning French fans</v>
      </c>
    </row>
    <row r="3556" ht="15.75" customHeight="1">
      <c r="A3556" s="1">
        <v>3575.0</v>
      </c>
      <c r="B3556" s="3" t="s">
        <v>10298</v>
      </c>
      <c r="C3556" s="3">
        <v>0.0</v>
      </c>
      <c r="D3556" s="3">
        <v>0.0</v>
      </c>
      <c r="E3556" s="3">
        <v>2.0</v>
      </c>
      <c r="F3556" s="3" t="s">
        <v>9971</v>
      </c>
      <c r="G3556" s="3">
        <v>1.0</v>
      </c>
      <c r="H3556" s="3">
        <v>0.0</v>
      </c>
      <c r="I3556" s="3" t="s">
        <v>13</v>
      </c>
      <c r="J3556" s="3" t="s">
        <v>9972</v>
      </c>
      <c r="K3556" s="3" t="s">
        <v>50</v>
      </c>
      <c r="L3556" s="3" t="str">
        <f>IFERROR(__xludf.DUMMYFUNCTION("GOOGLETRANSLATE(F3556,""id"",""en"")"),"French national team fans signed the World Cup Final Petition Repeated")</f>
        <v>French national team fans signed the World Cup Final Petition Repeated</v>
      </c>
    </row>
    <row r="3557" ht="15.75" customHeight="1">
      <c r="A3557" s="1">
        <v>3576.0</v>
      </c>
      <c r="B3557" s="3" t="s">
        <v>10299</v>
      </c>
      <c r="C3557" s="3">
        <v>17.0</v>
      </c>
      <c r="D3557" s="3">
        <v>1.0</v>
      </c>
      <c r="E3557" s="3">
        <v>5.0</v>
      </c>
      <c r="F3557" s="3" t="s">
        <v>10300</v>
      </c>
      <c r="G3557" s="3">
        <v>1.0</v>
      </c>
      <c r="H3557" s="3">
        <v>0.0</v>
      </c>
      <c r="I3557" s="3" t="s">
        <v>13</v>
      </c>
      <c r="J3557" s="3" t="s">
        <v>10301</v>
      </c>
      <c r="K3557" s="3" t="s">
        <v>50</v>
      </c>
      <c r="L3557" s="3" t="str">
        <f>IFERROR(__xludf.DUMMYFUNCTION("GOOGLETRANSLATE(F3557,""id"",""en"")"),"French fans ask for the World Cup final to be repeated supported by thousands of signatures")</f>
        <v>French fans ask for the World Cup final to be repeated supported by thousands of signatures</v>
      </c>
    </row>
    <row r="3558" ht="15.75" customHeight="1">
      <c r="A3558" s="1">
        <v>3577.0</v>
      </c>
      <c r="B3558" s="3" t="s">
        <v>10302</v>
      </c>
      <c r="C3558" s="3">
        <v>0.0</v>
      </c>
      <c r="D3558" s="3">
        <v>0.0</v>
      </c>
      <c r="E3558" s="3">
        <v>1.0</v>
      </c>
      <c r="F3558" s="3" t="s">
        <v>10303</v>
      </c>
      <c r="G3558" s="3">
        <v>1.0</v>
      </c>
      <c r="H3558" s="3">
        <v>0.0</v>
      </c>
      <c r="I3558" s="3" t="s">
        <v>13</v>
      </c>
      <c r="J3558" s="3" t="s">
        <v>10304</v>
      </c>
      <c r="K3558" s="3" t="s">
        <v>184</v>
      </c>
      <c r="L3558" s="3" t="str">
        <f>IFERROR(__xludf.DUMMYFUNCTION("GOOGLETRANSLATE(F3558,""id"",""en"")"),"A petition that requested that the World Cup final between Argentina versus France be repeated the petition was made by one of the members of the Mesopinions platform")</f>
        <v>A petition that requested that the World Cup final between Argentina versus France be repeated the petition was made by one of the members of the Mesopinions platform</v>
      </c>
    </row>
    <row r="3559" ht="15.75" customHeight="1">
      <c r="A3559" s="1">
        <v>3578.0</v>
      </c>
      <c r="B3559" s="3" t="s">
        <v>10305</v>
      </c>
      <c r="C3559" s="3">
        <v>0.0</v>
      </c>
      <c r="D3559" s="3">
        <v>0.0</v>
      </c>
      <c r="E3559" s="3">
        <v>0.0</v>
      </c>
      <c r="F3559" s="3" t="s">
        <v>10306</v>
      </c>
      <c r="G3559" s="3">
        <v>1.0</v>
      </c>
      <c r="H3559" s="3">
        <v>0.0</v>
      </c>
      <c r="I3559" s="3" t="s">
        <v>13</v>
      </c>
      <c r="J3559" s="3" t="s">
        <v>10307</v>
      </c>
      <c r="K3559" s="3" t="s">
        <v>657</v>
      </c>
      <c r="L3559" s="3" t="str">
        <f>IFERROR(__xludf.DUMMYFUNCTION("GOOGLETRANSLATE(F3559,""id"",""en"")"),"crazy more than thousand people sign the petition asking the French Argentine World Cup final to be repeated via")</f>
        <v>crazy more than thousand people sign the petition asking the French Argentine World Cup final to be repeated via</v>
      </c>
    </row>
    <row r="3560" ht="15.75" customHeight="1">
      <c r="A3560" s="1">
        <v>3579.0</v>
      </c>
      <c r="B3560" s="3" t="s">
        <v>10308</v>
      </c>
      <c r="C3560" s="3">
        <v>0.0</v>
      </c>
      <c r="D3560" s="3">
        <v>0.0</v>
      </c>
      <c r="E3560" s="3">
        <v>0.0</v>
      </c>
      <c r="F3560" s="3" t="s">
        <v>10309</v>
      </c>
      <c r="G3560" s="3">
        <v>1.0</v>
      </c>
      <c r="H3560" s="3">
        <v>0.0</v>
      </c>
      <c r="I3560" s="3" t="s">
        <v>13</v>
      </c>
      <c r="J3560" s="3" t="s">
        <v>10310</v>
      </c>
      <c r="K3560" s="3" t="s">
        <v>510</v>
      </c>
      <c r="L3560" s="3" t="str">
        <f>IFERROR(__xludf.DUMMYFUNCTION("GOOGLETRANSLATE(F3560,""id"",""en"")"),"Still heating France Call the goal of Messi the World Cup Final Unauthorized Referee for the Voice Referee")</f>
        <v>Still heating France Call the goal of Messi the World Cup Final Unauthorized Referee for the Voice Referee</v>
      </c>
    </row>
    <row r="3561" ht="15.75" customHeight="1">
      <c r="A3561" s="1">
        <v>3580.0</v>
      </c>
      <c r="B3561" s="3" t="s">
        <v>10311</v>
      </c>
      <c r="C3561" s="3">
        <v>0.0</v>
      </c>
      <c r="D3561" s="3">
        <v>3.0</v>
      </c>
      <c r="E3561" s="3">
        <v>22.0</v>
      </c>
      <c r="F3561" s="3" t="s">
        <v>10312</v>
      </c>
      <c r="G3561" s="3">
        <v>1.0</v>
      </c>
      <c r="H3561" s="3">
        <v>0.0</v>
      </c>
      <c r="I3561" s="3" t="s">
        <v>13</v>
      </c>
      <c r="J3561" s="3" t="s">
        <v>10313</v>
      </c>
      <c r="K3561" s="3" t="s">
        <v>2215</v>
      </c>
      <c r="L3561" s="3" t="str">
        <f>IFERROR(__xludf.DUMMYFUNCTION("GOOGLETRANSLATE(F3561,""id"",""en"")"),"Dodo Lovers when participating in the final nobar settings this final settings mbappe bosses are dead ready to retire again")</f>
        <v>Dodo Lovers when participating in the final nobar settings this final settings mbappe bosses are dead ready to retire again</v>
      </c>
    </row>
    <row r="3562" ht="15.75" customHeight="1">
      <c r="A3562" s="1">
        <v>3581.0</v>
      </c>
      <c r="B3562" s="3" t="s">
        <v>10314</v>
      </c>
      <c r="C3562" s="3">
        <v>1.0</v>
      </c>
      <c r="D3562" s="3">
        <v>0.0</v>
      </c>
      <c r="E3562" s="3">
        <v>0.0</v>
      </c>
      <c r="F3562" s="3" t="s">
        <v>10315</v>
      </c>
      <c r="G3562" s="3">
        <v>1.0</v>
      </c>
      <c r="H3562" s="3">
        <v>0.0</v>
      </c>
      <c r="I3562" s="3" t="s">
        <v>13</v>
      </c>
      <c r="J3562" s="3" t="s">
        <v>10316</v>
      </c>
      <c r="K3562" s="3" t="s">
        <v>2610</v>
      </c>
      <c r="L3562" s="3" t="str">
        <f>IFERROR(__xludf.DUMMYFUNCTION("GOOGLETRANSLATE(F3562,""id"",""en"")"),"FIFA conducted an investigation related to violating access to chefs as well as influencer Salt Bae after the World Cup final match even though it should have no permission to this")</f>
        <v>FIFA conducted an investigation related to violating access to chefs as well as influencer Salt Bae after the World Cup final match even though it should have no permission to this</v>
      </c>
    </row>
    <row r="3563" ht="15.75" customHeight="1">
      <c r="A3563" s="1">
        <v>3582.0</v>
      </c>
      <c r="B3563" s="3" t="s">
        <v>10317</v>
      </c>
      <c r="C3563" s="3">
        <v>0.0</v>
      </c>
      <c r="D3563" s="3">
        <v>0.0</v>
      </c>
      <c r="E3563" s="3">
        <v>0.0</v>
      </c>
      <c r="F3563" s="3" t="s">
        <v>10318</v>
      </c>
      <c r="G3563" s="3">
        <v>1.0</v>
      </c>
      <c r="H3563" s="3">
        <v>0.0</v>
      </c>
      <c r="I3563" s="3" t="s">
        <v>13</v>
      </c>
      <c r="J3563" s="3" t="s">
        <v>10319</v>
      </c>
      <c r="K3563" s="3" t="s">
        <v>657</v>
      </c>
      <c r="L3563" s="3" t="str">
        <f>IFERROR(__xludf.DUMMYFUNCTION("GOOGLETRANSLATE(F3563,""id"",""en"")"),"Tribunnews was accused of benefiting Argentina the World Cup final referee finally opened his voice about Messi's goal via")</f>
        <v>Tribunnews was accused of benefiting Argentina the World Cup final referee finally opened his voice about Messi's goal via</v>
      </c>
    </row>
    <row r="3564" ht="15.75" customHeight="1">
      <c r="A3564" s="1">
        <v>3583.0</v>
      </c>
      <c r="B3564" s="3" t="s">
        <v>10320</v>
      </c>
      <c r="C3564" s="3">
        <v>0.0</v>
      </c>
      <c r="D3564" s="3">
        <v>1.0</v>
      </c>
      <c r="E3564" s="3">
        <v>3.0</v>
      </c>
      <c r="F3564" s="3" t="s">
        <v>10321</v>
      </c>
      <c r="G3564" s="3">
        <v>1.0</v>
      </c>
      <c r="H3564" s="3">
        <v>0.0</v>
      </c>
      <c r="I3564" s="3" t="s">
        <v>13</v>
      </c>
      <c r="J3564" s="3" t="s">
        <v>10322</v>
      </c>
      <c r="K3564" s="3" t="s">
        <v>433</v>
      </c>
      <c r="L3564" s="3" t="str">
        <f>IFERROR(__xludf.DUMMYFUNCTION("GOOGLETRANSLATE(F3564,""id"",""en"")"),"The Frenchman signed the petition so that the Qatar World Cup final can be repeated I think that fool is only here")</f>
        <v>The Frenchman signed the petition so that the Qatar World Cup final can be repeated I think that fool is only here</v>
      </c>
    </row>
    <row r="3565" ht="15.75" customHeight="1">
      <c r="A3565" s="1">
        <v>3584.0</v>
      </c>
      <c r="B3565" s="3" t="s">
        <v>10323</v>
      </c>
      <c r="C3565" s="3">
        <v>0.0</v>
      </c>
      <c r="D3565" s="3">
        <v>0.0</v>
      </c>
      <c r="E3565" s="3">
        <v>0.0</v>
      </c>
      <c r="F3565" s="3" t="s">
        <v>10324</v>
      </c>
      <c r="G3565" s="3">
        <v>1.0</v>
      </c>
      <c r="H3565" s="3">
        <v>0.0</v>
      </c>
      <c r="I3565" s="3" t="s">
        <v>13</v>
      </c>
      <c r="J3565" s="3" t="s">
        <v>10325</v>
      </c>
      <c r="K3565" s="3" t="s">
        <v>41</v>
      </c>
      <c r="L3565" s="3" t="str">
        <f>IFERROR(__xludf.DUMMYFUNCTION("GOOGLETRANSLATE(F3565,""id"",""en"")"),"Final Final Referee in Serang Behind the Media and French Fans")</f>
        <v>Final Final Referee in Serang Behind the Media and French Fans</v>
      </c>
    </row>
    <row r="3566" ht="15.75" customHeight="1">
      <c r="A3566" s="1">
        <v>3585.0</v>
      </c>
      <c r="B3566" s="3" t="s">
        <v>10326</v>
      </c>
      <c r="C3566" s="3">
        <v>3.0</v>
      </c>
      <c r="D3566" s="3">
        <v>1.0</v>
      </c>
      <c r="E3566" s="3">
        <v>16.0</v>
      </c>
      <c r="F3566" s="3" t="s">
        <v>10290</v>
      </c>
      <c r="G3566" s="3">
        <v>1.0</v>
      </c>
      <c r="H3566" s="3">
        <v>0.0</v>
      </c>
      <c r="I3566" s="3" t="s">
        <v>13</v>
      </c>
      <c r="J3566" s="3" t="s">
        <v>10291</v>
      </c>
      <c r="K3566" s="3" t="s">
        <v>123</v>
      </c>
      <c r="L3566" s="3" t="str">
        <f>IFERROR(__xludf.DUMMYFUNCTION("GOOGLETRANSLATE(F3566,""id"",""en"")"),"World Cup final referee Szymon Marciniak continued to be attacked")</f>
        <v>World Cup final referee Szymon Marciniak continued to be attacked</v>
      </c>
    </row>
    <row r="3567" ht="15.75" customHeight="1">
      <c r="A3567" s="1">
        <v>3586.0</v>
      </c>
      <c r="B3567" s="3" t="s">
        <v>10327</v>
      </c>
      <c r="C3567" s="3">
        <v>0.0</v>
      </c>
      <c r="D3567" s="3">
        <v>0.0</v>
      </c>
      <c r="E3567" s="3">
        <v>0.0</v>
      </c>
      <c r="F3567" s="3" t="s">
        <v>10328</v>
      </c>
      <c r="G3567" s="3">
        <v>1.0</v>
      </c>
      <c r="H3567" s="3">
        <v>0.0</v>
      </c>
      <c r="I3567" s="3" t="s">
        <v>13</v>
      </c>
      <c r="J3567" s="3" t="s">
        <v>10329</v>
      </c>
      <c r="K3567" s="3" t="s">
        <v>127</v>
      </c>
      <c r="L3567" s="3" t="str">
        <f>IFERROR(__xludf.DUMMYFUNCTION("GOOGLETRANSLATE(F3567,""id"",""en"")"),"A total of thousand fans of the French national team signed the petition asking for the World Cup final match to be repeated because the referee was considered to make a mistake")</f>
        <v>A total of thousand fans of the French national team signed the petition asking for the World Cup final match to be repeated because the referee was considered to make a mistake</v>
      </c>
    </row>
    <row r="3568" ht="15.75" customHeight="1">
      <c r="A3568" s="1">
        <v>3587.0</v>
      </c>
      <c r="B3568" s="3" t="s">
        <v>10330</v>
      </c>
      <c r="C3568" s="3">
        <v>2.0</v>
      </c>
      <c r="D3568" s="3">
        <v>4.0</v>
      </c>
      <c r="E3568" s="3">
        <v>34.0</v>
      </c>
      <c r="F3568" s="3" t="s">
        <v>10331</v>
      </c>
      <c r="G3568" s="3">
        <v>1.0</v>
      </c>
      <c r="H3568" s="3">
        <v>0.0</v>
      </c>
      <c r="I3568" s="3" t="s">
        <v>13</v>
      </c>
      <c r="J3568" s="3" t="s">
        <v>10332</v>
      </c>
      <c r="K3568" s="3" t="s">
        <v>510</v>
      </c>
      <c r="L3568" s="3" t="str">
        <f>IFERROR(__xludf.DUMMYFUNCTION("GOOGLETRANSLATE(F3568,""id"",""en"")"),"national team winger Angel Maria marks her heroism in the World Cup Final with a large tattoo of her right thigh")</f>
        <v>national team winger Angel Maria marks her heroism in the World Cup Final with a large tattoo of her right thigh</v>
      </c>
    </row>
    <row r="3569" ht="15.75" customHeight="1">
      <c r="A3569" s="1">
        <v>3588.0</v>
      </c>
      <c r="B3569" s="3" t="s">
        <v>10333</v>
      </c>
      <c r="C3569" s="3">
        <v>0.0</v>
      </c>
      <c r="D3569" s="3">
        <v>4.0</v>
      </c>
      <c r="E3569" s="3">
        <v>0.0</v>
      </c>
      <c r="F3569" s="3" t="s">
        <v>10334</v>
      </c>
      <c r="G3569" s="3">
        <v>1.0</v>
      </c>
      <c r="H3569" s="3">
        <v>0.0</v>
      </c>
      <c r="I3569" s="3" t="s">
        <v>13</v>
      </c>
      <c r="J3569" s="3" t="s">
        <v>10335</v>
      </c>
      <c r="K3569" s="3" t="s">
        <v>75</v>
      </c>
      <c r="L3569" s="3" t="str">
        <f>IFERROR(__xludf.DUMMYFUNCTION("GOOGLETRANSLATE(F3569,""id"",""en"")"),"Continue to be attacked by France World Cup Final Referees give replies to striking")</f>
        <v>Continue to be attacked by France World Cup Final Referees give replies to striking</v>
      </c>
    </row>
    <row r="3570" ht="15.75" customHeight="1">
      <c r="A3570" s="1">
        <v>3589.0</v>
      </c>
      <c r="B3570" s="3" t="s">
        <v>10336</v>
      </c>
      <c r="C3570" s="3">
        <v>0.0</v>
      </c>
      <c r="D3570" s="3">
        <v>0.0</v>
      </c>
      <c r="E3570" s="3">
        <v>1.0</v>
      </c>
      <c r="F3570" s="3" t="s">
        <v>10337</v>
      </c>
      <c r="G3570" s="3">
        <v>1.0</v>
      </c>
      <c r="H3570" s="3">
        <v>0.0</v>
      </c>
      <c r="I3570" s="3" t="s">
        <v>13</v>
      </c>
      <c r="J3570" s="3" t="s">
        <v>10338</v>
      </c>
      <c r="K3570" s="3" t="s">
        <v>50</v>
      </c>
      <c r="L3570" s="3" t="str">
        <f>IFERROR(__xludf.DUMMYFUNCTION("GOOGLETRANSLATE(F3570,""id"",""en"")"),"French citizens want the World Cup Final Reportedly Petitions have been signed by thousands of people")</f>
        <v>French citizens want the World Cup Final Reportedly Petitions have been signed by thousands of people</v>
      </c>
    </row>
    <row r="3571" ht="15.75" customHeight="1">
      <c r="A3571" s="1">
        <v>3590.0</v>
      </c>
      <c r="B3571" s="3" t="s">
        <v>10339</v>
      </c>
      <c r="C3571" s="3">
        <v>0.0</v>
      </c>
      <c r="D3571" s="3">
        <v>0.0</v>
      </c>
      <c r="E3571" s="3">
        <v>0.0</v>
      </c>
      <c r="F3571" s="3" t="s">
        <v>10340</v>
      </c>
      <c r="G3571" s="3">
        <v>1.0</v>
      </c>
      <c r="H3571" s="3">
        <v>0.0</v>
      </c>
      <c r="I3571" s="3" t="s">
        <v>13</v>
      </c>
      <c r="J3571" s="3" t="s">
        <v>10341</v>
      </c>
      <c r="K3571" s="3" t="s">
        <v>71</v>
      </c>
      <c r="L3571" s="3" t="str">
        <f>IFERROR(__xludf.DUMMYFUNCTION("GOOGLETRANSLATE(F3571,""id"",""en"")"),"accused of benefiting Argentina the World Cup final referee finally opened the voice about Messi's goal via")</f>
        <v>accused of benefiting Argentina the World Cup final referee finally opened the voice about Messi's goal via</v>
      </c>
    </row>
    <row r="3572" ht="15.75" customHeight="1">
      <c r="A3572" s="1">
        <v>3591.0</v>
      </c>
      <c r="B3572" s="3" t="s">
        <v>10342</v>
      </c>
      <c r="C3572" s="3">
        <v>14.0</v>
      </c>
      <c r="D3572" s="3">
        <v>28.0</v>
      </c>
      <c r="E3572" s="3">
        <v>125.0</v>
      </c>
      <c r="F3572" s="3" t="s">
        <v>10343</v>
      </c>
      <c r="G3572" s="3">
        <v>0.7</v>
      </c>
      <c r="H3572" s="3">
        <v>-0.1</v>
      </c>
      <c r="I3572" s="3" t="s">
        <v>179</v>
      </c>
      <c r="J3572" s="3" t="s">
        <v>10344</v>
      </c>
      <c r="K3572" s="3" t="s">
        <v>574</v>
      </c>
      <c r="L3572" s="3" t="str">
        <f>IFERROR(__xludf.DUMMYFUNCTION("GOOGLETRANSLATE(F3572,""id"",""en"")"),"It has been almost a week that the world cup finals have ever been Argentina has proven football at this time they are the best in the world, really the consolation of Goat Messi for his country's economy")</f>
        <v>It has been almost a week that the world cup finals have ever been Argentina has proven football at this time they are the best in the world, really the consolation of Goat Messi for his country's economy</v>
      </c>
    </row>
    <row r="3573" ht="15.75" customHeight="1">
      <c r="A3573" s="1">
        <v>3592.0</v>
      </c>
      <c r="B3573" s="3" t="s">
        <v>10345</v>
      </c>
      <c r="C3573" s="3">
        <v>0.0</v>
      </c>
      <c r="D3573" s="3">
        <v>0.0</v>
      </c>
      <c r="E3573" s="3">
        <v>0.0</v>
      </c>
      <c r="F3573" s="3" t="s">
        <v>10346</v>
      </c>
      <c r="G3573" s="3">
        <v>0.75</v>
      </c>
      <c r="H3573" s="3">
        <v>0.25</v>
      </c>
      <c r="I3573" s="3" t="s">
        <v>48</v>
      </c>
      <c r="J3573" s="3" t="s">
        <v>10347</v>
      </c>
      <c r="K3573" s="3" t="s">
        <v>266</v>
      </c>
      <c r="L3573" s="3" t="str">
        <f>IFERROR(__xludf.DUMMYFUNCTION("GOOGLETRANSLATE(F3573,""id"",""en"")"),"became the top scorer of Ligue in the season and became the youngest player to have scored the MBAPP World Cup final goal has also become a very popular player among soccer fans around the world because of his ability and speed")</f>
        <v>became the top scorer of Ligue in the season and became the youngest player to have scored the MBAPP World Cup final goal has also become a very popular player among soccer fans around the world because of his ability and speed</v>
      </c>
    </row>
    <row r="3574" ht="15.75" customHeight="1">
      <c r="A3574" s="1">
        <v>3593.0</v>
      </c>
      <c r="B3574" s="3" t="s">
        <v>10348</v>
      </c>
      <c r="C3574" s="3">
        <v>0.0</v>
      </c>
      <c r="D3574" s="3">
        <v>0.0</v>
      </c>
      <c r="E3574" s="3">
        <v>0.0</v>
      </c>
      <c r="F3574" s="3" t="s">
        <v>10349</v>
      </c>
      <c r="G3574" s="3">
        <v>1.0</v>
      </c>
      <c r="H3574" s="3">
        <v>0.0</v>
      </c>
      <c r="I3574" s="3" t="s">
        <v>13</v>
      </c>
      <c r="J3574" s="3" t="s">
        <v>10350</v>
      </c>
      <c r="K3574" s="3" t="s">
        <v>695</v>
      </c>
      <c r="L3574" s="3" t="str">
        <f>IFERROR(__xludf.DUMMYFUNCTION("GOOGLETRANSLATE(F3574,""id"",""en"")"),"Anies if slandering does not eat times the celebration of the victory of the World Cup when the final date is tweeting the date if the person thinks surely understand it is edited")</f>
        <v>Anies if slandering does not eat times the celebration of the victory of the World Cup when the final date is tweeting the date if the person thinks surely understand it is edited</v>
      </c>
    </row>
    <row r="3575" ht="15.75" customHeight="1">
      <c r="A3575" s="1">
        <v>3594.0</v>
      </c>
      <c r="B3575" s="3" t="s">
        <v>10351</v>
      </c>
      <c r="C3575" s="3">
        <v>0.0</v>
      </c>
      <c r="D3575" s="3">
        <v>0.0</v>
      </c>
      <c r="E3575" s="3">
        <v>0.0</v>
      </c>
      <c r="F3575" s="3" t="s">
        <v>10352</v>
      </c>
      <c r="G3575" s="3">
        <v>1.0</v>
      </c>
      <c r="H3575" s="3">
        <v>0.0</v>
      </c>
      <c r="I3575" s="3" t="s">
        <v>13</v>
      </c>
      <c r="J3575" s="3" t="s">
        <v>10353</v>
      </c>
      <c r="K3575" s="3" t="s">
        <v>657</v>
      </c>
      <c r="L3575" s="3" t="str">
        <f>IFERROR(__xludf.DUMMYFUNCTION("GOOGLETRANSLATE(F3575,""id"",""en"")"),"One special moment of the World Cup Final yesterday I will always melt in front")</f>
        <v>One special moment of the World Cup Final yesterday I will always melt in front</v>
      </c>
    </row>
    <row r="3576" ht="15.75" customHeight="1">
      <c r="A3576" s="1">
        <v>3595.0</v>
      </c>
      <c r="B3576" s="3" t="s">
        <v>10354</v>
      </c>
      <c r="C3576" s="3">
        <v>0.0</v>
      </c>
      <c r="D3576" s="3">
        <v>0.0</v>
      </c>
      <c r="E3576" s="3">
        <v>0.0</v>
      </c>
      <c r="F3576" s="3" t="s">
        <v>9959</v>
      </c>
      <c r="G3576" s="3">
        <v>1.0</v>
      </c>
      <c r="H3576" s="3">
        <v>0.0</v>
      </c>
      <c r="I3576" s="3" t="s">
        <v>13</v>
      </c>
      <c r="J3576" s="3" t="s">
        <v>9960</v>
      </c>
      <c r="K3576" s="3" t="s">
        <v>699</v>
      </c>
      <c r="L3576" s="3" t="str">
        <f>IFERROR(__xludf.DUMMYFUNCTION("GOOGLETRANSLATE(F3576,""id"",""en"")"),"Head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77" ht="15.75" customHeight="1">
      <c r="A3577" s="1">
        <v>3596.0</v>
      </c>
      <c r="B3577" s="3" t="s">
        <v>10355</v>
      </c>
      <c r="C3577" s="3">
        <v>0.0</v>
      </c>
      <c r="D3577" s="3">
        <v>0.0</v>
      </c>
      <c r="E3577" s="3">
        <v>0.0</v>
      </c>
      <c r="F3577" s="3" t="s">
        <v>9959</v>
      </c>
      <c r="G3577" s="3">
        <v>1.0</v>
      </c>
      <c r="H3577" s="3">
        <v>0.0</v>
      </c>
      <c r="I3577" s="3" t="s">
        <v>13</v>
      </c>
      <c r="J3577" s="3" t="s">
        <v>9960</v>
      </c>
      <c r="K3577" s="3" t="s">
        <v>699</v>
      </c>
      <c r="L3577" s="3" t="str">
        <f>IFERROR(__xludf.DUMMYFUNCTION("GOOGLETRANSLATE(F3577,""id"",""en"")"),"Head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78" ht="15.75" customHeight="1">
      <c r="A3578" s="1">
        <v>3597.0</v>
      </c>
      <c r="B3578" s="3" t="s">
        <v>10356</v>
      </c>
      <c r="C3578" s="3">
        <v>0.0</v>
      </c>
      <c r="D3578" s="3">
        <v>0.0</v>
      </c>
      <c r="E3578" s="3">
        <v>2.0</v>
      </c>
      <c r="F3578" s="3" t="s">
        <v>10196</v>
      </c>
      <c r="G3578" s="3">
        <v>1.0</v>
      </c>
      <c r="H3578" s="3">
        <v>0.0</v>
      </c>
      <c r="I3578" s="3" t="s">
        <v>13</v>
      </c>
      <c r="J3578" s="3" t="s">
        <v>10197</v>
      </c>
      <c r="K3578" s="3" t="s">
        <v>1293</v>
      </c>
      <c r="L3578" s="3" t="str">
        <f>IFERROR(__xludf.DUMMYFUNCTION("GOOGLETRANSLATE(F3578,""id"",""en"")"),"Not only Messi Antonela Roccuzzo is also in the spotlight in the World Cup Final of the wife of Messi is not an arbitrary following the work that is done")</f>
        <v>Not only Messi Antonela Roccuzzo is also in the spotlight in the World Cup Final of the wife of Messi is not an arbitrary following the work that is done</v>
      </c>
    </row>
    <row r="3579" ht="15.75" customHeight="1">
      <c r="A3579" s="1">
        <v>3598.0</v>
      </c>
      <c r="B3579" s="3" t="s">
        <v>10357</v>
      </c>
      <c r="C3579" s="3">
        <v>0.0</v>
      </c>
      <c r="D3579" s="3">
        <v>4.0</v>
      </c>
      <c r="E3579" s="3">
        <v>1.0</v>
      </c>
      <c r="F3579" s="3" t="s">
        <v>10358</v>
      </c>
      <c r="G3579" s="3">
        <v>1.0</v>
      </c>
      <c r="H3579" s="3">
        <v>0.0</v>
      </c>
      <c r="I3579" s="3" t="s">
        <v>13</v>
      </c>
      <c r="J3579" s="3" t="s">
        <v>10359</v>
      </c>
      <c r="K3579" s="3" t="s">
        <v>657</v>
      </c>
      <c r="L3579" s="3" t="str">
        <f>IFERROR(__xludf.DUMMYFUNCTION("GOOGLETRANSLATE(F3579,""id"",""en"")"),"Hundreds of thousands of fans signed a petition for the FIFA French French Final Final Party")</f>
        <v>Hundreds of thousands of fans signed a petition for the FIFA French French Final Final Party</v>
      </c>
    </row>
    <row r="3580" ht="15.75" customHeight="1">
      <c r="A3580" s="1">
        <v>3599.0</v>
      </c>
      <c r="B3580" s="3" t="s">
        <v>10360</v>
      </c>
      <c r="C3580" s="3">
        <v>1.0</v>
      </c>
      <c r="D3580" s="3">
        <v>2.0</v>
      </c>
      <c r="E3580" s="3">
        <v>2.0</v>
      </c>
      <c r="F3580" s="3" t="s">
        <v>10334</v>
      </c>
      <c r="G3580" s="3">
        <v>1.0</v>
      </c>
      <c r="H3580" s="3">
        <v>0.0</v>
      </c>
      <c r="I3580" s="3" t="s">
        <v>13</v>
      </c>
      <c r="J3580" s="3" t="s">
        <v>10335</v>
      </c>
      <c r="K3580" s="3" t="s">
        <v>75</v>
      </c>
      <c r="L3580" s="3" t="str">
        <f>IFERROR(__xludf.DUMMYFUNCTION("GOOGLETRANSLATE(F3580,""id"",""en"")"),"Continue to be attacked by France World Cup Final Referees give replies to striking")</f>
        <v>Continue to be attacked by France World Cup Final Referees give replies to striking</v>
      </c>
    </row>
    <row r="3581" ht="15.75" customHeight="1">
      <c r="A3581" s="1">
        <v>3600.0</v>
      </c>
      <c r="B3581" s="3" t="s">
        <v>10361</v>
      </c>
      <c r="C3581" s="3">
        <v>0.0</v>
      </c>
      <c r="D3581" s="3">
        <v>0.0</v>
      </c>
      <c r="E3581" s="3">
        <v>1.0</v>
      </c>
      <c r="F3581" s="3" t="s">
        <v>10362</v>
      </c>
      <c r="G3581" s="3">
        <v>0.0</v>
      </c>
      <c r="H3581" s="3">
        <v>0.0</v>
      </c>
      <c r="I3581" s="3" t="s">
        <v>13</v>
      </c>
      <c r="J3581" s="3" t="s">
        <v>10363</v>
      </c>
      <c r="K3581" s="3" t="s">
        <v>41</v>
      </c>
      <c r="L3581" s="3" t="str">
        <f>IFERROR(__xludf.DUMMYFUNCTION("GOOGLETRANSLATE(F3581,""id"",""en"")"),"Salt Bae in trouble with FIFA after the moment of lifting the World Cup trophy")</f>
        <v>Salt Bae in trouble with FIFA after the moment of lifting the World Cup trophy</v>
      </c>
    </row>
    <row r="3582" ht="15.75" customHeight="1">
      <c r="A3582" s="1">
        <v>3601.0</v>
      </c>
      <c r="B3582" s="3" t="s">
        <v>10364</v>
      </c>
      <c r="C3582" s="3">
        <v>1.0</v>
      </c>
      <c r="D3582" s="3">
        <v>0.0</v>
      </c>
      <c r="E3582" s="3">
        <v>3.0</v>
      </c>
      <c r="F3582" s="3" t="s">
        <v>10365</v>
      </c>
      <c r="G3582" s="3">
        <v>1.0</v>
      </c>
      <c r="H3582" s="3">
        <v>0.0</v>
      </c>
      <c r="I3582" s="3" t="s">
        <v>13</v>
      </c>
      <c r="J3582" s="3" t="s">
        <v>10366</v>
      </c>
      <c r="K3582" s="3" t="s">
        <v>1293</v>
      </c>
      <c r="L3582" s="3" t="str">
        <f>IFERROR(__xludf.DUMMYFUNCTION("GOOGLETRANSLATE(F3582,""id"",""en"")"),"The noise of Nusret Gokce World Cup Final makes the president of FIFA Gianni Infantino Infantino Infantino Unfollow Salt Bae Instagram")</f>
        <v>The noise of Nusret Gokce World Cup Final makes the president of FIFA Gianni Infantino Infantino Infantino Unfollow Salt Bae Instagram</v>
      </c>
    </row>
    <row r="3583" ht="15.75" customHeight="1">
      <c r="A3583" s="1">
        <v>3602.0</v>
      </c>
      <c r="B3583" s="3" t="s">
        <v>10367</v>
      </c>
      <c r="C3583" s="3">
        <v>0.0</v>
      </c>
      <c r="D3583" s="3">
        <v>0.0</v>
      </c>
      <c r="E3583" s="3">
        <v>0.0</v>
      </c>
      <c r="F3583" s="3" t="s">
        <v>10368</v>
      </c>
      <c r="G3583" s="3">
        <v>1.0</v>
      </c>
      <c r="H3583" s="3">
        <v>0.0</v>
      </c>
      <c r="I3583" s="3" t="s">
        <v>13</v>
      </c>
      <c r="J3583" s="3" t="s">
        <v>10369</v>
      </c>
      <c r="K3583" s="3" t="s">
        <v>510</v>
      </c>
      <c r="L3583" s="3" t="str">
        <f>IFERROR(__xludf.DUMMYFUNCTION("GOOGLETRANSLATE(F3583,""id"",""en"")"),"The World Cup final referee spoke out about Lionel Messi's second goal")</f>
        <v>The World Cup final referee spoke out about Lionel Messi's second goal</v>
      </c>
    </row>
    <row r="3584" ht="15.75" customHeight="1">
      <c r="A3584" s="1">
        <v>3603.0</v>
      </c>
      <c r="B3584" s="3" t="s">
        <v>10370</v>
      </c>
      <c r="C3584" s="3">
        <v>0.0</v>
      </c>
      <c r="D3584" s="3">
        <v>0.0</v>
      </c>
      <c r="E3584" s="3">
        <v>1.0</v>
      </c>
      <c r="F3584" s="3" t="s">
        <v>10371</v>
      </c>
      <c r="G3584" s="3">
        <v>1.0</v>
      </c>
      <c r="H3584" s="3">
        <v>0.0</v>
      </c>
      <c r="I3584" s="3" t="s">
        <v>13</v>
      </c>
      <c r="J3584" s="3" t="s">
        <v>10372</v>
      </c>
      <c r="K3584" s="3" t="s">
        <v>75</v>
      </c>
      <c r="L3584" s="3" t="str">
        <f>IFERROR(__xludf.DUMMYFUNCTION("GOOGLETRANSLATE(F3584,""id"",""en"")"),"Ask for the World Cup Final Repeated, People Sign Petitions More")</f>
        <v>Ask for the World Cup Final Repeated, People Sign Petitions More</v>
      </c>
    </row>
    <row r="3585" ht="15.75" customHeight="1">
      <c r="A3585" s="1">
        <v>3604.0</v>
      </c>
      <c r="B3585" s="3" t="s">
        <v>10373</v>
      </c>
      <c r="C3585" s="3">
        <v>0.0</v>
      </c>
      <c r="D3585" s="3">
        <v>0.0</v>
      </c>
      <c r="E3585" s="3">
        <v>1.0</v>
      </c>
      <c r="F3585" s="3" t="s">
        <v>10374</v>
      </c>
      <c r="G3585" s="3">
        <v>1.0</v>
      </c>
      <c r="H3585" s="3">
        <v>0.0</v>
      </c>
      <c r="I3585" s="3" t="s">
        <v>13</v>
      </c>
      <c r="J3585" s="3" t="s">
        <v>10375</v>
      </c>
      <c r="K3585" s="3" t="s">
        <v>71</v>
      </c>
      <c r="L3585" s="3" t="str">
        <f>IFERROR(__xludf.DUMMYFUNCTION("GOOGLETRANSLATE(F3585,""id"",""en"")"),"FIFA President Gianni Infantino Unfollow Salt Bae Instagram after the controversial action of the World Cup Final")</f>
        <v>FIFA President Gianni Infantino Unfollow Salt Bae Instagram after the controversial action of the World Cup Final</v>
      </c>
    </row>
    <row r="3586" ht="15.75" customHeight="1">
      <c r="A3586" s="1">
        <v>3605.0</v>
      </c>
      <c r="B3586" s="3" t="s">
        <v>10376</v>
      </c>
      <c r="C3586" s="3">
        <v>3.0</v>
      </c>
      <c r="D3586" s="3">
        <v>2.0</v>
      </c>
      <c r="E3586" s="3">
        <v>101.0</v>
      </c>
      <c r="F3586" s="3" t="s">
        <v>10377</v>
      </c>
      <c r="G3586" s="3">
        <v>1.0</v>
      </c>
      <c r="H3586" s="3">
        <v>0.0</v>
      </c>
      <c r="I3586" s="3" t="s">
        <v>13</v>
      </c>
      <c r="J3586" s="3" t="s">
        <v>10378</v>
      </c>
      <c r="K3586" s="3" t="s">
        <v>90</v>
      </c>
      <c r="L3586" s="3" t="str">
        <f>IFERROR(__xludf.DUMMYFUNCTION("GOOGLETRANSLATE(F3586,""id"",""en"")"),"Judge Ziyech, one of the pillars of Morocco who led the Atlas Lions squad to become the first African country to penetrate the semi -finals of the World Cup")</f>
        <v>Judge Ziyech, one of the pillars of Morocco who led the Atlas Lions squad to become the first African country to penetrate the semi -finals of the World Cup</v>
      </c>
    </row>
    <row r="3587" ht="15.75" customHeight="1">
      <c r="A3587" s="1">
        <v>3606.0</v>
      </c>
      <c r="B3587" s="3" t="s">
        <v>10379</v>
      </c>
      <c r="C3587" s="3">
        <v>0.0</v>
      </c>
      <c r="D3587" s="3">
        <v>2.0</v>
      </c>
      <c r="E3587" s="3">
        <v>0.0</v>
      </c>
      <c r="F3587" s="3" t="s">
        <v>10380</v>
      </c>
      <c r="G3587" s="3">
        <v>1.0</v>
      </c>
      <c r="H3587" s="3">
        <v>0.0</v>
      </c>
      <c r="I3587" s="3" t="s">
        <v>13</v>
      </c>
      <c r="J3587" s="3" t="s">
        <v>10381</v>
      </c>
      <c r="K3587" s="3" t="s">
        <v>510</v>
      </c>
      <c r="L3587" s="3" t="str">
        <f>IFERROR(__xludf.DUMMYFUNCTION("GOOGLETRANSLATE(F3587,""id"",""en"")"),"FIFA President Gianni Infantino Unfollow Instagram Salt Bae after the World Cup Final Controversy")</f>
        <v>FIFA President Gianni Infantino Unfollow Instagram Salt Bae after the World Cup Final Controversy</v>
      </c>
    </row>
    <row r="3588" ht="15.75" customHeight="1">
      <c r="A3588" s="1">
        <v>3607.0</v>
      </c>
      <c r="B3588" s="3" t="s">
        <v>10382</v>
      </c>
      <c r="C3588" s="3">
        <v>0.0</v>
      </c>
      <c r="D3588" s="3">
        <v>0.0</v>
      </c>
      <c r="E3588" s="3">
        <v>1.0</v>
      </c>
      <c r="F3588" s="3" t="s">
        <v>10383</v>
      </c>
      <c r="G3588" s="3">
        <v>1.0</v>
      </c>
      <c r="H3588" s="3">
        <v>0.0</v>
      </c>
      <c r="I3588" s="3" t="s">
        <v>13</v>
      </c>
      <c r="J3588" s="3" t="s">
        <v>10384</v>
      </c>
      <c r="K3588" s="3" t="s">
        <v>71</v>
      </c>
      <c r="L3588" s="3" t="str">
        <f>IFERROR(__xludf.DUMMYFUNCTION("GOOGLETRANSLATE(F3588,""id"",""en"")"),"In my opinion, if you can qualify for the World Cup final, the Caps will continue to win, of course the stamp for that era is platini, not maradona hehehe")</f>
        <v>In my opinion, if you can qualify for the World Cup final, the Caps will continue to win, of course the stamp for that era is platini, not maradona hehehe</v>
      </c>
    </row>
    <row r="3589" ht="15.75" customHeight="1">
      <c r="A3589" s="1">
        <v>3608.0</v>
      </c>
      <c r="B3589" s="3" t="s">
        <v>10385</v>
      </c>
      <c r="C3589" s="3">
        <v>0.0</v>
      </c>
      <c r="D3589" s="3">
        <v>0.0</v>
      </c>
      <c r="E3589" s="3">
        <v>0.0</v>
      </c>
      <c r="F3589" s="3" t="s">
        <v>10386</v>
      </c>
      <c r="G3589" s="3">
        <v>1.0</v>
      </c>
      <c r="H3589" s="3">
        <v>0.0</v>
      </c>
      <c r="I3589" s="3" t="s">
        <v>13</v>
      </c>
      <c r="J3589" s="3" t="s">
        <v>10387</v>
      </c>
      <c r="K3589" s="3" t="s">
        <v>75</v>
      </c>
      <c r="L3589" s="3" t="str">
        <f>IFERROR(__xludf.DUMMYFUNCTION("GOOGLETRANSLATE(F3589,""id"",""en"")"),"Argentina Champion World Cup French fans Demand the final party repeated")</f>
        <v>Argentina Champion World Cup French fans Demand the final party repeated</v>
      </c>
    </row>
    <row r="3590" ht="15.75" customHeight="1">
      <c r="A3590" s="1">
        <v>3609.0</v>
      </c>
      <c r="B3590" s="3" t="s">
        <v>10388</v>
      </c>
      <c r="C3590" s="3">
        <v>0.0</v>
      </c>
      <c r="D3590" s="3">
        <v>0.0</v>
      </c>
      <c r="E3590" s="3">
        <v>0.0</v>
      </c>
      <c r="F3590" s="3" t="s">
        <v>9959</v>
      </c>
      <c r="G3590" s="3">
        <v>1.0</v>
      </c>
      <c r="H3590" s="3">
        <v>0.0</v>
      </c>
      <c r="I3590" s="3" t="s">
        <v>13</v>
      </c>
      <c r="J3590" s="3" t="s">
        <v>9960</v>
      </c>
      <c r="K3590" s="3" t="s">
        <v>699</v>
      </c>
      <c r="L3590" s="3" t="str">
        <f>IFERROR(__xludf.DUMMYFUNCTION("GOOGLETRANSLATE(F3590,""id"",""en"")"),"Head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91" ht="15.75" customHeight="1">
      <c r="A3591" s="1">
        <v>3610.0</v>
      </c>
      <c r="B3591" s="3" t="s">
        <v>10389</v>
      </c>
      <c r="C3591" s="3">
        <v>0.0</v>
      </c>
      <c r="D3591" s="3">
        <v>0.0</v>
      </c>
      <c r="E3591" s="3">
        <v>0.0</v>
      </c>
      <c r="F3591" s="3" t="s">
        <v>9959</v>
      </c>
      <c r="G3591" s="3">
        <v>1.0</v>
      </c>
      <c r="H3591" s="3">
        <v>0.0</v>
      </c>
      <c r="I3591" s="3" t="s">
        <v>13</v>
      </c>
      <c r="J3591" s="3" t="s">
        <v>9960</v>
      </c>
      <c r="K3591" s="3" t="s">
        <v>699</v>
      </c>
      <c r="L3591" s="3" t="str">
        <f>IFERROR(__xludf.DUMMYFUNCTION("GOOGLETRANSLATE(F3591,""id"",""en"")"),"Head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592" ht="15.75" customHeight="1">
      <c r="A3592" s="1">
        <v>3612.0</v>
      </c>
      <c r="B3592" s="3" t="s">
        <v>10390</v>
      </c>
      <c r="C3592" s="3">
        <v>0.0</v>
      </c>
      <c r="D3592" s="3">
        <v>0.0</v>
      </c>
      <c r="E3592" s="3">
        <v>0.0</v>
      </c>
      <c r="F3592" s="3" t="s">
        <v>9749</v>
      </c>
      <c r="G3592" s="3">
        <v>1.0</v>
      </c>
      <c r="H3592" s="3">
        <v>0.0</v>
      </c>
      <c r="I3592" s="3" t="s">
        <v>13</v>
      </c>
      <c r="J3592" s="3" t="s">
        <v>9750</v>
      </c>
      <c r="K3592" s="3" t="s">
        <v>19</v>
      </c>
      <c r="L3592" s="3" t="str">
        <f>IFERROR(__xludf.DUMMYFUNCTION("GOOGLETRANSLATE(F3592,""id"",""en"")"),"Puan Maharani supports the Argentine soccer team against France in the World Cup final")</f>
        <v>Puan Maharani supports the Argentine soccer team against France in the World Cup final</v>
      </c>
    </row>
    <row r="3593" ht="15.75" customHeight="1">
      <c r="A3593" s="1">
        <v>3613.0</v>
      </c>
      <c r="B3593" s="3" t="s">
        <v>10391</v>
      </c>
      <c r="C3593" s="3">
        <v>0.0</v>
      </c>
      <c r="D3593" s="3">
        <v>4.0</v>
      </c>
      <c r="E3593" s="3">
        <v>1.0</v>
      </c>
      <c r="F3593" s="3" t="s">
        <v>10392</v>
      </c>
      <c r="G3593" s="3">
        <v>1.0</v>
      </c>
      <c r="H3593" s="3">
        <v>0.0</v>
      </c>
      <c r="I3593" s="3" t="s">
        <v>13</v>
      </c>
      <c r="J3593" s="3" t="s">
        <v>10393</v>
      </c>
      <c r="K3593" s="3" t="s">
        <v>71</v>
      </c>
      <c r="L3593" s="3" t="str">
        <f>IFERROR(__xludf.DUMMYFUNCTION("GOOGLETRANSLATE(F3593,""id"",""en"")"),"Hundreds of thousands of fans signed the FIFA Petition Re -Under the French French World Cup Final Party")</f>
        <v>Hundreds of thousands of fans signed the FIFA Petition Re -Under the French French World Cup Final Party</v>
      </c>
    </row>
    <row r="3594" ht="15.75" customHeight="1">
      <c r="A3594" s="1">
        <v>3614.0</v>
      </c>
      <c r="B3594" s="3" t="s">
        <v>10394</v>
      </c>
      <c r="C3594" s="3">
        <v>0.0</v>
      </c>
      <c r="D3594" s="3">
        <v>0.0</v>
      </c>
      <c r="E3594" s="3">
        <v>0.0</v>
      </c>
      <c r="F3594" s="3" t="s">
        <v>10395</v>
      </c>
      <c r="G3594" s="3">
        <v>1.0</v>
      </c>
      <c r="H3594" s="3">
        <v>0.0</v>
      </c>
      <c r="I3594" s="3" t="s">
        <v>13</v>
      </c>
      <c r="J3594" s="3" t="s">
        <v>10396</v>
      </c>
      <c r="K3594" s="3" t="s">
        <v>19</v>
      </c>
      <c r="L3594" s="3" t="str">
        <f>IFERROR(__xludf.DUMMYFUNCTION("GOOGLETRANSLATE(F3594,""id"",""en"")"),"The Story of Haru Behind This Red Ribbon The reason Messi wore it during the World Cup final")</f>
        <v>The Story of Haru Behind This Red Ribbon The reason Messi wore it during the World Cup final</v>
      </c>
    </row>
    <row r="3595" ht="15.75" customHeight="1">
      <c r="A3595" s="1">
        <v>3615.0</v>
      </c>
      <c r="B3595" s="3" t="s">
        <v>10397</v>
      </c>
      <c r="C3595" s="3">
        <v>20.0</v>
      </c>
      <c r="D3595" s="3">
        <v>1.0</v>
      </c>
      <c r="E3595" s="3">
        <v>29.0</v>
      </c>
      <c r="F3595" s="3" t="s">
        <v>10392</v>
      </c>
      <c r="G3595" s="3">
        <v>1.0</v>
      </c>
      <c r="H3595" s="3">
        <v>0.0</v>
      </c>
      <c r="I3595" s="3" t="s">
        <v>13</v>
      </c>
      <c r="J3595" s="3" t="s">
        <v>10393</v>
      </c>
      <c r="K3595" s="3" t="s">
        <v>71</v>
      </c>
      <c r="L3595" s="3" t="str">
        <f>IFERROR(__xludf.DUMMYFUNCTION("GOOGLETRANSLATE(F3595,""id"",""en"")"),"Hundreds of thousands of fans signed the FIFA Petition Re -Under the French French World Cup Final Party")</f>
        <v>Hundreds of thousands of fans signed the FIFA Petition Re -Under the French French World Cup Final Party</v>
      </c>
    </row>
    <row r="3596" ht="15.75" customHeight="1">
      <c r="A3596" s="1">
        <v>3616.0</v>
      </c>
      <c r="B3596" s="3" t="s">
        <v>10398</v>
      </c>
      <c r="C3596" s="3">
        <v>2.0</v>
      </c>
      <c r="D3596" s="3">
        <v>0.0</v>
      </c>
      <c r="E3596" s="3">
        <v>0.0</v>
      </c>
      <c r="F3596" s="3" t="s">
        <v>10399</v>
      </c>
      <c r="G3596" s="3">
        <v>1.0</v>
      </c>
      <c r="H3596" s="3">
        <v>0.0</v>
      </c>
      <c r="I3596" s="3" t="s">
        <v>13</v>
      </c>
      <c r="J3596" s="3" t="s">
        <v>10400</v>
      </c>
      <c r="K3596" s="3" t="s">
        <v>899</v>
      </c>
      <c r="L3596" s="3" t="str">
        <f>IFERROR(__xludf.DUMMYFUNCTION("GOOGLETRANSLATE(F3596,""id"",""en"")"),"The World Cup Final is again exciting instead of watching it instead of choosing to pick up homework eating angkringan as much as possible from home or knowing back in the morning and then turn around again even though it's already kilo from home because "&amp;"of dard")</f>
        <v>The World Cup Final is again exciting instead of watching it instead of choosing to pick up homework eating angkringan as much as possible from home or knowing back in the morning and then turn around again even though it's already kilo from home because of dard</v>
      </c>
    </row>
    <row r="3597" ht="15.75" customHeight="1">
      <c r="A3597" s="1">
        <v>3617.0</v>
      </c>
      <c r="B3597" s="3" t="s">
        <v>10401</v>
      </c>
      <c r="C3597" s="3">
        <v>0.0</v>
      </c>
      <c r="D3597" s="3">
        <v>0.0</v>
      </c>
      <c r="E3597" s="3">
        <v>0.0</v>
      </c>
      <c r="F3597" s="3" t="s">
        <v>10402</v>
      </c>
      <c r="G3597" s="3">
        <v>1.0</v>
      </c>
      <c r="H3597" s="3">
        <v>0.0</v>
      </c>
      <c r="I3597" s="3" t="s">
        <v>13</v>
      </c>
      <c r="J3597" s="3" t="s">
        <v>10403</v>
      </c>
      <c r="K3597" s="3" t="s">
        <v>1147</v>
      </c>
      <c r="L3597" s="3" t="str">
        <f>IFERROR(__xludf.DUMMYFUNCTION("GOOGLETRANSLATE(F3597,""id"",""en"")"),"Always dpet Pinalty early minutes only made it easy to become the World Cup champion from the first Arabic match at the beginning of the Pinalty DPET to the semifinals and the final made it easy")</f>
        <v>Always dpet Pinalty early minutes only made it easy to become the World Cup champion from the first Arabic match at the beginning of the Pinalty DPET to the semifinals and the final made it easy</v>
      </c>
    </row>
    <row r="3598" ht="15.75" customHeight="1">
      <c r="A3598" s="1">
        <v>3618.0</v>
      </c>
      <c r="B3598" s="3" t="s">
        <v>10404</v>
      </c>
      <c r="C3598" s="3">
        <v>0.0</v>
      </c>
      <c r="D3598" s="3">
        <v>0.0</v>
      </c>
      <c r="E3598" s="3">
        <v>4.0</v>
      </c>
      <c r="F3598" s="3" t="s">
        <v>10365</v>
      </c>
      <c r="G3598" s="3">
        <v>1.0</v>
      </c>
      <c r="H3598" s="3">
        <v>0.0</v>
      </c>
      <c r="I3598" s="3" t="s">
        <v>13</v>
      </c>
      <c r="J3598" s="3" t="s">
        <v>10366</v>
      </c>
      <c r="K3598" s="3" t="s">
        <v>1293</v>
      </c>
      <c r="L3598" s="3" t="str">
        <f>IFERROR(__xludf.DUMMYFUNCTION("GOOGLETRANSLATE(F3598,""id"",""en"")"),"The noise of Nusret Gokce World Cup Final makes the president of FIFA Gianni Infantino Infantino Infantino Unfollow Salt Bae Instagram")</f>
        <v>The noise of Nusret Gokce World Cup Final makes the president of FIFA Gianni Infantino Infantino Infantino Unfollow Salt Bae Instagram</v>
      </c>
    </row>
    <row r="3599" ht="15.75" customHeight="1">
      <c r="A3599" s="1">
        <v>3619.0</v>
      </c>
      <c r="B3599" s="3" t="s">
        <v>10405</v>
      </c>
      <c r="C3599" s="3">
        <v>0.0</v>
      </c>
      <c r="D3599" s="3">
        <v>0.0</v>
      </c>
      <c r="E3599" s="3">
        <v>1.0</v>
      </c>
      <c r="F3599" s="3" t="s">
        <v>10406</v>
      </c>
      <c r="G3599" s="3">
        <v>1.0</v>
      </c>
      <c r="H3599" s="3">
        <v>0.0</v>
      </c>
      <c r="I3599" s="3" t="s">
        <v>13</v>
      </c>
      <c r="J3599" s="3" t="s">
        <v>10407</v>
      </c>
      <c r="K3599" s="3" t="s">
        <v>15</v>
      </c>
      <c r="L3599" s="3" t="str">
        <f>IFERROR(__xludf.DUMMYFUNCTION("GOOGLETRANSLATE(F3599,""id"",""en"")"),"The French French World Cup Final Petition appeared repeated")</f>
        <v>The French French World Cup Final Petition appeared repeated</v>
      </c>
    </row>
    <row r="3600" ht="15.75" customHeight="1">
      <c r="A3600" s="1">
        <v>3620.0</v>
      </c>
      <c r="B3600" s="3" t="s">
        <v>10408</v>
      </c>
      <c r="C3600" s="3">
        <v>0.0</v>
      </c>
      <c r="D3600" s="3">
        <v>0.0</v>
      </c>
      <c r="E3600" s="3">
        <v>0.0</v>
      </c>
      <c r="F3600" s="3" t="s">
        <v>10409</v>
      </c>
      <c r="G3600" s="3">
        <v>1.0</v>
      </c>
      <c r="H3600" s="3">
        <v>0.0</v>
      </c>
      <c r="I3600" s="3" t="s">
        <v>13</v>
      </c>
      <c r="J3600" s="3" t="s">
        <v>10410</v>
      </c>
      <c r="K3600" s="3" t="s">
        <v>127</v>
      </c>
      <c r="L3600" s="3" t="str">
        <f>IFERROR(__xludf.DUMMYFUNCTION("GOOGLETRANSLATE(F3600,""id"",""en"")"),"Do not take the Kylian Mbapp holiday ration immediately returned to the Paris Saint Germain training camp for only three days from the World Cup final")</f>
        <v>Do not take the Kylian Mbapp holiday ration immediately returned to the Paris Saint Germain training camp for only three days from the World Cup final</v>
      </c>
    </row>
    <row r="3601" ht="15.75" customHeight="1">
      <c r="A3601" s="1">
        <v>3621.0</v>
      </c>
      <c r="B3601" s="3" t="s">
        <v>10411</v>
      </c>
      <c r="C3601" s="3">
        <v>0.0</v>
      </c>
      <c r="D3601" s="3">
        <v>0.0</v>
      </c>
      <c r="E3601" s="3">
        <v>0.0</v>
      </c>
      <c r="F3601" s="3" t="s">
        <v>9959</v>
      </c>
      <c r="G3601" s="3">
        <v>1.0</v>
      </c>
      <c r="H3601" s="3">
        <v>0.0</v>
      </c>
      <c r="I3601" s="3" t="s">
        <v>13</v>
      </c>
      <c r="J3601" s="3" t="s">
        <v>9960</v>
      </c>
      <c r="K3601" s="3" t="s">
        <v>699</v>
      </c>
      <c r="L3601" s="3" t="str">
        <f>IFERROR(__xludf.DUMMYFUNCTION("GOOGLETRANSLATE(F3601,""id"",""en"")"),"Head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602" ht="15.75" customHeight="1">
      <c r="A3602" s="1">
        <v>3622.0</v>
      </c>
      <c r="B3602" s="3" t="s">
        <v>10412</v>
      </c>
      <c r="C3602" s="3">
        <v>0.0</v>
      </c>
      <c r="D3602" s="3">
        <v>0.0</v>
      </c>
      <c r="E3602" s="3">
        <v>0.0</v>
      </c>
      <c r="F3602" s="3" t="s">
        <v>9959</v>
      </c>
      <c r="G3602" s="3">
        <v>1.0</v>
      </c>
      <c r="H3602" s="3">
        <v>0.0</v>
      </c>
      <c r="I3602" s="3" t="s">
        <v>13</v>
      </c>
      <c r="J3602" s="3" t="s">
        <v>9960</v>
      </c>
      <c r="K3602" s="3" t="s">
        <v>699</v>
      </c>
      <c r="L3602" s="3" t="str">
        <f>IFERROR(__xludf.DUMMYFUNCTION("GOOGLETRANSLATE(F3602,""id"",""en"")"),"Head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603" ht="15.75" customHeight="1">
      <c r="A3603" s="1">
        <v>3623.0</v>
      </c>
      <c r="B3603" s="3" t="s">
        <v>10413</v>
      </c>
      <c r="C3603" s="3">
        <v>0.0</v>
      </c>
      <c r="D3603" s="3">
        <v>0.0</v>
      </c>
      <c r="E3603" s="3">
        <v>0.0</v>
      </c>
      <c r="F3603" s="3" t="s">
        <v>10414</v>
      </c>
      <c r="G3603" s="3">
        <v>1.0</v>
      </c>
      <c r="H3603" s="3">
        <v>0.0</v>
      </c>
      <c r="I3603" s="3" t="s">
        <v>13</v>
      </c>
      <c r="J3603" s="3" t="s">
        <v>10415</v>
      </c>
      <c r="K3603" s="3" t="s">
        <v>433</v>
      </c>
      <c r="L3603" s="3" t="str">
        <f>IFERROR(__xludf.DUMMYFUNCTION("GOOGLETRANSLATE(F3603,""id"",""en"")"),"President of FIFA Unfollow Salt Bae because of the World Cup Final DetikSport Google News Sports News")</f>
        <v>President of FIFA Unfollow Salt Bae because of the World Cup Final DetikSport Google News Sports News</v>
      </c>
    </row>
    <row r="3604" ht="15.75" customHeight="1">
      <c r="A3604" s="1">
        <v>3624.0</v>
      </c>
      <c r="B3604" s="3" t="s">
        <v>10416</v>
      </c>
      <c r="C3604" s="3">
        <v>0.0</v>
      </c>
      <c r="D3604" s="3">
        <v>0.0</v>
      </c>
      <c r="E3604" s="3">
        <v>0.0</v>
      </c>
      <c r="F3604" s="3" t="s">
        <v>10417</v>
      </c>
      <c r="G3604" s="3">
        <v>0.5333333333333333</v>
      </c>
      <c r="H3604" s="3">
        <v>-0.03333333333333333</v>
      </c>
      <c r="I3604" s="3" t="s">
        <v>179</v>
      </c>
      <c r="J3604" s="3" t="s">
        <v>10418</v>
      </c>
      <c r="K3604" s="3" t="s">
        <v>499</v>
      </c>
      <c r="L3604" s="3" t="str">
        <f>IFERROR(__xludf.DUMMYFUNCTION("GOOGLETRANSLATE(F3604,""id"",""en"")"),"Enter the World Cup final at least can run a runner if the South Korean Turkish Morocco can be why we don't have a prayer of federation and supporters who can definitely make us the next champion second champion")</f>
        <v>Enter the World Cup final at least can run a runner if the South Korean Turkish Morocco can be why we don't have a prayer of federation and supporters who can definitely make us the next champion second champion</v>
      </c>
    </row>
    <row r="3605" ht="15.75" customHeight="1">
      <c r="A3605" s="1">
        <v>3625.0</v>
      </c>
      <c r="B3605" s="3" t="s">
        <v>10419</v>
      </c>
      <c r="C3605" s="3">
        <v>0.0</v>
      </c>
      <c r="D3605" s="3">
        <v>0.0</v>
      </c>
      <c r="E3605" s="3">
        <v>0.0</v>
      </c>
      <c r="F3605" s="3" t="s">
        <v>10420</v>
      </c>
      <c r="G3605" s="3">
        <v>0.8</v>
      </c>
      <c r="H3605" s="3">
        <v>-0.05</v>
      </c>
      <c r="I3605" s="3" t="s">
        <v>179</v>
      </c>
      <c r="J3605" s="3" t="s">
        <v>10421</v>
      </c>
      <c r="K3605" s="3" t="s">
        <v>860</v>
      </c>
      <c r="L3605" s="3" t="str">
        <f>IFERROR(__xludf.DUMMYFUNCTION("GOOGLETRANSLATE(F3605,""id"",""en"")"),"As the Wakanda Price Die dog said, it's good not to vilify your own country, we better focus on supporting your own country at least entering the World Cup final")</f>
        <v>As the Wakanda Price Die dog said, it's good not to vilify your own country, we better focus on supporting your own country at least entering the World Cup final</v>
      </c>
    </row>
    <row r="3606" ht="15.75" customHeight="1">
      <c r="A3606" s="1">
        <v>3626.0</v>
      </c>
      <c r="B3606" s="3" t="s">
        <v>10422</v>
      </c>
      <c r="C3606" s="3">
        <v>0.0</v>
      </c>
      <c r="D3606" s="3">
        <v>0.0</v>
      </c>
      <c r="E3606" s="3">
        <v>0.0</v>
      </c>
      <c r="F3606" s="3" t="s">
        <v>10414</v>
      </c>
      <c r="G3606" s="3">
        <v>1.0</v>
      </c>
      <c r="H3606" s="3">
        <v>0.0</v>
      </c>
      <c r="I3606" s="3" t="s">
        <v>13</v>
      </c>
      <c r="J3606" s="3" t="s">
        <v>10415</v>
      </c>
      <c r="K3606" s="3" t="s">
        <v>433</v>
      </c>
      <c r="L3606" s="3" t="str">
        <f>IFERROR(__xludf.DUMMYFUNCTION("GOOGLETRANSLATE(F3606,""id"",""en"")"),"President of FIFA Unfollow Salt Bae because of the World Cup Final DetikSport Google News Sports News")</f>
        <v>President of FIFA Unfollow Salt Bae because of the World Cup Final DetikSport Google News Sports News</v>
      </c>
    </row>
    <row r="3607" ht="15.75" customHeight="1">
      <c r="A3607" s="1">
        <v>3627.0</v>
      </c>
      <c r="B3607" s="3" t="s">
        <v>10423</v>
      </c>
      <c r="C3607" s="3">
        <v>0.0</v>
      </c>
      <c r="D3607" s="3">
        <v>0.0</v>
      </c>
      <c r="E3607" s="3">
        <v>0.0</v>
      </c>
      <c r="F3607" s="3" t="s">
        <v>10424</v>
      </c>
      <c r="G3607" s="3">
        <v>1.0</v>
      </c>
      <c r="H3607" s="3">
        <v>0.0</v>
      </c>
      <c r="I3607" s="3" t="s">
        <v>13</v>
      </c>
      <c r="J3607" s="3" t="s">
        <v>10425</v>
      </c>
      <c r="K3607" s="3" t="s">
        <v>75</v>
      </c>
      <c r="L3607" s="3" t="str">
        <f>IFERROR(__xludf.DUMMYFUNCTION("GOOGLETRANSLATE(F3607,""id"",""en"")"),"FIFA Investigates the Salt Bae incident into the field during the World Cup Final")</f>
        <v>FIFA Investigates the Salt Bae incident into the field during the World Cup Final</v>
      </c>
    </row>
    <row r="3608" ht="15.75" customHeight="1">
      <c r="A3608" s="1">
        <v>3628.0</v>
      </c>
      <c r="B3608" s="3" t="s">
        <v>10426</v>
      </c>
      <c r="C3608" s="3">
        <v>0.0</v>
      </c>
      <c r="D3608" s="3">
        <v>0.0</v>
      </c>
      <c r="E3608" s="3">
        <v>0.0</v>
      </c>
      <c r="F3608" s="3" t="s">
        <v>9749</v>
      </c>
      <c r="G3608" s="3">
        <v>1.0</v>
      </c>
      <c r="H3608" s="3">
        <v>0.0</v>
      </c>
      <c r="I3608" s="3" t="s">
        <v>13</v>
      </c>
      <c r="J3608" s="3" t="s">
        <v>9750</v>
      </c>
      <c r="K3608" s="3" t="s">
        <v>19</v>
      </c>
      <c r="L3608" s="3" t="str">
        <f>IFERROR(__xludf.DUMMYFUNCTION("GOOGLETRANSLATE(F3608,""id"",""en"")"),"Puan Maharani supports the Argentine soccer team against France in the World Cup final")</f>
        <v>Puan Maharani supports the Argentine soccer team against France in the World Cup final</v>
      </c>
    </row>
    <row r="3609" ht="15.75" customHeight="1">
      <c r="A3609" s="1">
        <v>3629.0</v>
      </c>
      <c r="B3609" s="3" t="s">
        <v>10427</v>
      </c>
      <c r="C3609" s="3">
        <v>69.0</v>
      </c>
      <c r="D3609" s="3">
        <v>25.0</v>
      </c>
      <c r="E3609" s="3">
        <v>168.0</v>
      </c>
      <c r="F3609" s="3" t="s">
        <v>10428</v>
      </c>
      <c r="G3609" s="3">
        <v>1.0</v>
      </c>
      <c r="H3609" s="3">
        <v>0.0</v>
      </c>
      <c r="I3609" s="3" t="s">
        <v>13</v>
      </c>
      <c r="J3609" s="3" t="s">
        <v>10429</v>
      </c>
      <c r="K3609" s="3" t="s">
        <v>75</v>
      </c>
      <c r="L3609" s="3" t="str">
        <f>IFERROR(__xludf.DUMMYFUNCTION("GOOGLETRANSLATE(F3609,""id"",""en"")"),"The petition asking for the World Cup final to be repeated to reach thousands of signatures")</f>
        <v>The petition asking for the World Cup final to be repeated to reach thousands of signatures</v>
      </c>
    </row>
    <row r="3610" ht="15.75" customHeight="1">
      <c r="A3610" s="1">
        <v>3630.0</v>
      </c>
      <c r="B3610" s="3" t="s">
        <v>10430</v>
      </c>
      <c r="C3610" s="3">
        <v>0.0</v>
      </c>
      <c r="D3610" s="3">
        <v>0.0</v>
      </c>
      <c r="E3610" s="3">
        <v>0.0</v>
      </c>
      <c r="F3610" s="3" t="s">
        <v>10431</v>
      </c>
      <c r="G3610" s="3">
        <v>0.725</v>
      </c>
      <c r="H3610" s="3">
        <v>0.1625</v>
      </c>
      <c r="I3610" s="3" t="s">
        <v>48</v>
      </c>
      <c r="J3610" s="3" t="s">
        <v>10432</v>
      </c>
      <c r="K3610" s="3" t="s">
        <v>4281</v>
      </c>
      <c r="L3610" s="3" t="str">
        <f>IFERROR(__xludf.DUMMYFUNCTION("GOOGLETRANSLATE(F3610,""id"",""en"")"),"Total prizes for FIFA World Cup champions by the organizing committee of the Qatar Argentina event champion FIFA Lusail Iconic Stadium Qatar Argentina successfully defeated France Final through penalties after the normal minute series series")</f>
        <v>Total prizes for FIFA World Cup champions by the organizing committee of the Qatar Argentina event champion FIFA Lusail Iconic Stadium Qatar Argentina successfully defeated France Final through penalties after the normal minute series series</v>
      </c>
    </row>
    <row r="3611" ht="15.75" customHeight="1">
      <c r="A3611" s="1">
        <v>3631.0</v>
      </c>
      <c r="B3611" s="3" t="s">
        <v>10433</v>
      </c>
      <c r="C3611" s="3">
        <v>0.0</v>
      </c>
      <c r="D3611" s="3">
        <v>0.0</v>
      </c>
      <c r="E3611" s="3">
        <v>0.0</v>
      </c>
      <c r="F3611" s="3" t="s">
        <v>10365</v>
      </c>
      <c r="G3611" s="3">
        <v>1.0</v>
      </c>
      <c r="H3611" s="3">
        <v>0.0</v>
      </c>
      <c r="I3611" s="3" t="s">
        <v>13</v>
      </c>
      <c r="J3611" s="3" t="s">
        <v>10366</v>
      </c>
      <c r="K3611" s="3" t="s">
        <v>1293</v>
      </c>
      <c r="L3611" s="3" t="str">
        <f>IFERROR(__xludf.DUMMYFUNCTION("GOOGLETRANSLATE(F3611,""id"",""en"")"),"The noise of Nusret Gokce World Cup Final makes the president of FIFA Gianni Infantino Infantino Infantino Unfollow Salt Bae Instagram")</f>
        <v>The noise of Nusret Gokce World Cup Final makes the president of FIFA Gianni Infantino Infantino Infantino Unfollow Salt Bae Instagram</v>
      </c>
    </row>
    <row r="3612" ht="15.75" customHeight="1">
      <c r="A3612" s="1">
        <v>3632.0</v>
      </c>
      <c r="B3612" s="3" t="s">
        <v>10434</v>
      </c>
      <c r="C3612" s="3">
        <v>0.0</v>
      </c>
      <c r="D3612" s="3">
        <v>1.0</v>
      </c>
      <c r="E3612" s="3">
        <v>7.0</v>
      </c>
      <c r="F3612" s="3" t="s">
        <v>10365</v>
      </c>
      <c r="G3612" s="3">
        <v>1.0</v>
      </c>
      <c r="H3612" s="3">
        <v>0.0</v>
      </c>
      <c r="I3612" s="3" t="s">
        <v>13</v>
      </c>
      <c r="J3612" s="3" t="s">
        <v>10366</v>
      </c>
      <c r="K3612" s="3" t="s">
        <v>1293</v>
      </c>
      <c r="L3612" s="3" t="str">
        <f>IFERROR(__xludf.DUMMYFUNCTION("GOOGLETRANSLATE(F3612,""id"",""en"")"),"The noise of Nusret Gokce World Cup Final makes the president of FIFA Gianni Infantino Infantino Infantino Unfollow Salt Bae Instagram")</f>
        <v>The noise of Nusret Gokce World Cup Final makes the president of FIFA Gianni Infantino Infantino Infantino Unfollow Salt Bae Instagram</v>
      </c>
    </row>
    <row r="3613" ht="15.75" customHeight="1">
      <c r="A3613" s="1">
        <v>3633.0</v>
      </c>
      <c r="B3613" s="3" t="s">
        <v>10435</v>
      </c>
      <c r="C3613" s="3">
        <v>0.0</v>
      </c>
      <c r="D3613" s="3">
        <v>0.0</v>
      </c>
      <c r="E3613" s="3">
        <v>0.0</v>
      </c>
      <c r="F3613" s="3" t="s">
        <v>10365</v>
      </c>
      <c r="G3613" s="3">
        <v>1.0</v>
      </c>
      <c r="H3613" s="3">
        <v>0.0</v>
      </c>
      <c r="I3613" s="3" t="s">
        <v>13</v>
      </c>
      <c r="J3613" s="3" t="s">
        <v>10366</v>
      </c>
      <c r="K3613" s="3" t="s">
        <v>1293</v>
      </c>
      <c r="L3613" s="3" t="str">
        <f>IFERROR(__xludf.DUMMYFUNCTION("GOOGLETRANSLATE(F3613,""id"",""en"")"),"The noise of Nusret Gokce World Cup Final makes the president of FIFA Gianni Infantino Infantino Infantino Unfollow Salt Bae Instagram")</f>
        <v>The noise of Nusret Gokce World Cup Final makes the president of FIFA Gianni Infantino Infantino Infantino Unfollow Salt Bae Instagram</v>
      </c>
    </row>
    <row r="3614" ht="15.75" customHeight="1">
      <c r="A3614" s="1">
        <v>3634.0</v>
      </c>
      <c r="B3614" s="3" t="s">
        <v>10436</v>
      </c>
      <c r="C3614" s="3">
        <v>0.0</v>
      </c>
      <c r="D3614" s="3">
        <v>0.0</v>
      </c>
      <c r="E3614" s="3">
        <v>0.0</v>
      </c>
      <c r="F3614" s="3" t="s">
        <v>10437</v>
      </c>
      <c r="G3614" s="3">
        <v>0.75</v>
      </c>
      <c r="H3614" s="3">
        <v>0.25</v>
      </c>
      <c r="I3614" s="3" t="s">
        <v>48</v>
      </c>
      <c r="J3614" s="3" t="s">
        <v>10438</v>
      </c>
      <c r="K3614" s="3" t="s">
        <v>19</v>
      </c>
      <c r="L3614" s="3" t="str">
        <f>IFERROR(__xludf.DUMMYFUNCTION("GOOGLETRANSLATE(F3614,""id"",""en"")"),"Respect for young age mbappe has become the top scorer and the Hattick of the Qatar World Cup Final")</f>
        <v>Respect for young age mbappe has become the top scorer and the Hattick of the Qatar World Cup Final</v>
      </c>
    </row>
    <row r="3615" ht="15.75" customHeight="1">
      <c r="A3615" s="1">
        <v>3635.0</v>
      </c>
      <c r="B3615" s="3" t="s">
        <v>10439</v>
      </c>
      <c r="C3615" s="3">
        <v>0.0</v>
      </c>
      <c r="D3615" s="3">
        <v>0.0</v>
      </c>
      <c r="E3615" s="3">
        <v>0.0</v>
      </c>
      <c r="F3615" s="3" t="s">
        <v>10440</v>
      </c>
      <c r="G3615" s="3">
        <v>1.0</v>
      </c>
      <c r="H3615" s="3">
        <v>0.0</v>
      </c>
      <c r="I3615" s="3" t="s">
        <v>13</v>
      </c>
      <c r="J3615" s="3" t="s">
        <v>10441</v>
      </c>
      <c r="K3615" s="3" t="s">
        <v>19</v>
      </c>
      <c r="L3615" s="3" t="str">
        <f>IFERROR(__xludf.DUMMYFUNCTION("GOOGLETRANSLATE(F3615,""id"",""en"")"),"Profile of Celia Maria Cuccitini Mother of Lionel Messi who gave the World Cup Final Surprise")</f>
        <v>Profile of Celia Maria Cuccitini Mother of Lionel Messi who gave the World Cup Final Surprise</v>
      </c>
    </row>
    <row r="3616" ht="15.75" customHeight="1">
      <c r="A3616" s="1">
        <v>3636.0</v>
      </c>
      <c r="B3616" s="3" t="s">
        <v>10442</v>
      </c>
      <c r="C3616" s="3">
        <v>0.0</v>
      </c>
      <c r="D3616" s="3">
        <v>0.0</v>
      </c>
      <c r="E3616" s="3">
        <v>0.0</v>
      </c>
      <c r="F3616" s="3" t="s">
        <v>10440</v>
      </c>
      <c r="G3616" s="3">
        <v>1.0</v>
      </c>
      <c r="H3616" s="3">
        <v>0.0</v>
      </c>
      <c r="I3616" s="3" t="s">
        <v>13</v>
      </c>
      <c r="J3616" s="3" t="s">
        <v>10441</v>
      </c>
      <c r="K3616" s="3" t="s">
        <v>19</v>
      </c>
      <c r="L3616" s="3" t="str">
        <f>IFERROR(__xludf.DUMMYFUNCTION("GOOGLETRANSLATE(F3616,""id"",""en"")"),"Profile of Celia Maria Cuccitini Mother of Lionel Messi who gave the World Cup Final Surprise")</f>
        <v>Profile of Celia Maria Cuccitini Mother of Lionel Messi who gave the World Cup Final Surprise</v>
      </c>
    </row>
    <row r="3617" ht="15.75" customHeight="1">
      <c r="A3617" s="1">
        <v>3637.0</v>
      </c>
      <c r="B3617" s="3" t="s">
        <v>10443</v>
      </c>
      <c r="C3617" s="3">
        <v>0.0</v>
      </c>
      <c r="D3617" s="3">
        <v>0.0</v>
      </c>
      <c r="E3617" s="3">
        <v>1.0</v>
      </c>
      <c r="F3617" s="3" t="s">
        <v>10440</v>
      </c>
      <c r="G3617" s="3">
        <v>1.0</v>
      </c>
      <c r="H3617" s="3">
        <v>0.0</v>
      </c>
      <c r="I3617" s="3" t="s">
        <v>13</v>
      </c>
      <c r="J3617" s="3" t="s">
        <v>10441</v>
      </c>
      <c r="K3617" s="3" t="s">
        <v>19</v>
      </c>
      <c r="L3617" s="3" t="str">
        <f>IFERROR(__xludf.DUMMYFUNCTION("GOOGLETRANSLATE(F3617,""id"",""en"")"),"Profile of Celia Maria Cuccitini Mother of Lionel Messi who gave the World Cup Final Surprise")</f>
        <v>Profile of Celia Maria Cuccitini Mother of Lionel Messi who gave the World Cup Final Surprise</v>
      </c>
    </row>
    <row r="3618" ht="15.75" customHeight="1">
      <c r="A3618" s="1">
        <v>3638.0</v>
      </c>
      <c r="B3618" s="3" t="s">
        <v>10444</v>
      </c>
      <c r="C3618" s="3">
        <v>0.0</v>
      </c>
      <c r="D3618" s="3">
        <v>0.0</v>
      </c>
      <c r="E3618" s="3">
        <v>0.0</v>
      </c>
      <c r="F3618" s="3" t="s">
        <v>10445</v>
      </c>
      <c r="G3618" s="3">
        <v>1.0</v>
      </c>
      <c r="H3618" s="3">
        <v>0.0</v>
      </c>
      <c r="I3618" s="3" t="s">
        <v>13</v>
      </c>
      <c r="J3618" s="3" t="s">
        <v>10446</v>
      </c>
      <c r="K3618" s="3" t="s">
        <v>993</v>
      </c>
      <c r="L3618" s="3" t="str">
        <f>IFERROR(__xludf.DUMMYFUNCTION("GOOGLETRANSLATE(F3618,""id"",""en"")"),"Last week, the previous week were left behind by people admired their expertise and their nature but a lot of entertainment from watching the show offline Raditya Dika until the most exciting world cup final was the final.")</f>
        <v>Last week, the previous week were left behind by people admired their expertise and their nature but a lot of entertainment from watching the show offline Raditya Dika until the most exciting world cup final was the final.</v>
      </c>
    </row>
    <row r="3619" ht="15.75" customHeight="1">
      <c r="A3619" s="1">
        <v>3639.0</v>
      </c>
      <c r="B3619" s="3" t="s">
        <v>10447</v>
      </c>
      <c r="C3619" s="3">
        <v>0.0</v>
      </c>
      <c r="D3619" s="3">
        <v>0.0</v>
      </c>
      <c r="E3619" s="3">
        <v>0.0</v>
      </c>
      <c r="F3619" s="3" t="s">
        <v>10448</v>
      </c>
      <c r="G3619" s="3">
        <v>1.0</v>
      </c>
      <c r="H3619" s="3">
        <v>0.0</v>
      </c>
      <c r="I3619" s="3" t="s">
        <v>13</v>
      </c>
      <c r="J3619" s="3" t="s">
        <v>10449</v>
      </c>
      <c r="K3619" s="3" t="s">
        <v>50</v>
      </c>
      <c r="L3619" s="3" t="str">
        <f>IFERROR(__xludf.DUMMYFUNCTION("GOOGLETRANSLATE(F3619,""id"",""en"")"),"Things that can be learned from the World Cup Final Completion of the Goat Debate to Mbappe Sangar Passing")</f>
        <v>Things that can be learned from the World Cup Final Completion of the Goat Debate to Mbappe Sangar Passing</v>
      </c>
    </row>
    <row r="3620" ht="15.75" customHeight="1">
      <c r="A3620" s="1">
        <v>3640.0</v>
      </c>
      <c r="B3620" s="3" t="s">
        <v>10450</v>
      </c>
      <c r="C3620" s="3">
        <v>1.0</v>
      </c>
      <c r="D3620" s="3">
        <v>0.0</v>
      </c>
      <c r="E3620" s="3">
        <v>0.0</v>
      </c>
      <c r="F3620" s="3" t="s">
        <v>10451</v>
      </c>
      <c r="G3620" s="3">
        <v>1.0</v>
      </c>
      <c r="H3620" s="3">
        <v>0.0</v>
      </c>
      <c r="I3620" s="3" t="s">
        <v>13</v>
      </c>
      <c r="J3620" s="3" t="s">
        <v>10452</v>
      </c>
      <c r="K3620" s="3" t="s">
        <v>31</v>
      </c>
      <c r="L3620" s="3" t="str">
        <f>IFERROR(__xludf.DUMMYFUNCTION("GOOGLETRANSLATE(F3620,""id"",""en"")"),"Want to watch the World Cup final")</f>
        <v>Want to watch the World Cup final</v>
      </c>
    </row>
    <row r="3621" ht="15.75" customHeight="1">
      <c r="A3621" s="1">
        <v>3641.0</v>
      </c>
      <c r="B3621" s="3" t="s">
        <v>10453</v>
      </c>
      <c r="C3621" s="3">
        <v>0.0</v>
      </c>
      <c r="D3621" s="3">
        <v>0.0</v>
      </c>
      <c r="E3621" s="3">
        <v>7.0</v>
      </c>
      <c r="F3621" s="3" t="s">
        <v>10454</v>
      </c>
      <c r="G3621" s="3">
        <v>1.0</v>
      </c>
      <c r="H3621" s="3">
        <v>0.0</v>
      </c>
      <c r="I3621" s="3" t="s">
        <v>13</v>
      </c>
      <c r="J3621" s="3" t="s">
        <v>10455</v>
      </c>
      <c r="K3621" s="3" t="s">
        <v>1887</v>
      </c>
      <c r="L3621" s="3" t="str">
        <f>IFERROR(__xludf.DUMMYFUNCTION("GOOGLETRANSLATE(F3621,""id"",""en"")"),"FIFA is launching an investigation about the entry of Turkish celebrity chef Nusret Gokce Salt Bae Field after Argentina's victory over France in the World Cup final and even holds the trophy which is a major violation of the protocol")</f>
        <v>FIFA is launching an investigation about the entry of Turkish celebrity chef Nusret Gokce Salt Bae Field after Argentina's victory over France in the World Cup final and even holds the trophy which is a major violation of the protocol</v>
      </c>
    </row>
    <row r="3622" ht="15.75" customHeight="1">
      <c r="A3622" s="1">
        <v>3642.0</v>
      </c>
      <c r="B3622" s="3" t="s">
        <v>10456</v>
      </c>
      <c r="C3622" s="3">
        <v>0.0</v>
      </c>
      <c r="D3622" s="3">
        <v>0.0</v>
      </c>
      <c r="E3622" s="3">
        <v>0.0</v>
      </c>
      <c r="F3622" s="3" t="s">
        <v>10457</v>
      </c>
      <c r="G3622" s="3">
        <v>1.0</v>
      </c>
      <c r="H3622" s="3">
        <v>0.0</v>
      </c>
      <c r="I3622" s="3" t="s">
        <v>13</v>
      </c>
      <c r="J3622" s="3" t="s">
        <v>10458</v>
      </c>
      <c r="K3622" s="3" t="s">
        <v>15</v>
      </c>
      <c r="L3622" s="3" t="str">
        <f>IFERROR(__xludf.DUMMYFUNCTION("GOOGLETRANSLATE(F3622,""id"",""en"")"),"moment when staying up late watching the world cup final in the morning work")</f>
        <v>moment when staying up late watching the world cup final in the morning work</v>
      </c>
    </row>
    <row r="3623" ht="15.75" customHeight="1">
      <c r="A3623" s="1">
        <v>3643.0</v>
      </c>
      <c r="B3623" s="3" t="s">
        <v>10459</v>
      </c>
      <c r="C3623" s="3">
        <v>2.0</v>
      </c>
      <c r="D3623" s="3">
        <v>0.0</v>
      </c>
      <c r="E3623" s="3">
        <v>1.0</v>
      </c>
      <c r="F3623" s="3" t="s">
        <v>10460</v>
      </c>
      <c r="G3623" s="3">
        <v>0.55</v>
      </c>
      <c r="H3623" s="3">
        <v>0.0</v>
      </c>
      <c r="I3623" s="3" t="s">
        <v>13</v>
      </c>
      <c r="J3623" s="3" t="s">
        <v>10461</v>
      </c>
      <c r="K3623" s="3" t="s">
        <v>574</v>
      </c>
      <c r="L3623" s="3" t="str">
        <f>IFERROR(__xludf.DUMMYFUNCTION("GOOGLETRANSLATE(F3623,""id"",""en"")"),"The World Cup will come when the technical meeting of the official representatives of the participants told the signature of the stamp duty that if you are ready to win must be ready to lose France also question the final match you know")</f>
        <v>The World Cup will come when the technical meeting of the official representatives of the participants told the signature of the stamp duty that if you are ready to win must be ready to lose France also question the final match you know</v>
      </c>
    </row>
    <row r="3624" ht="15.75" customHeight="1">
      <c r="A3624" s="1">
        <v>3644.0</v>
      </c>
      <c r="B3624" s="3" t="s">
        <v>10462</v>
      </c>
      <c r="C3624" s="3">
        <v>4.0</v>
      </c>
      <c r="D3624" s="3">
        <v>4.0</v>
      </c>
      <c r="E3624" s="3">
        <v>39.0</v>
      </c>
      <c r="F3624" s="3" t="s">
        <v>10463</v>
      </c>
      <c r="G3624" s="3">
        <v>1.0</v>
      </c>
      <c r="H3624" s="3">
        <v>0.0</v>
      </c>
      <c r="I3624" s="3" t="s">
        <v>13</v>
      </c>
      <c r="J3624" s="3" t="s">
        <v>10464</v>
      </c>
      <c r="K3624" s="3" t="s">
        <v>135</v>
      </c>
      <c r="L3624" s="3" t="str">
        <f>IFERROR(__xludf.DUMMYFUNCTION("GOOGLETRANSLATE(F3624,""id"",""en"")"),"Fideo Angel Maria fell to continue the journey of the Argentine national team after winning the previous World Cup Fideo reportedly decided to retire after the World Cup Final yesterday Alegria Corazon")</f>
        <v>Fideo Angel Maria fell to continue the journey of the Argentine national team after winning the previous World Cup Fideo reportedly decided to retire after the World Cup Final yesterday Alegria Corazon</v>
      </c>
    </row>
    <row r="3625" ht="15.75" customHeight="1">
      <c r="A3625" s="1">
        <v>3645.0</v>
      </c>
      <c r="B3625" s="3" t="s">
        <v>10465</v>
      </c>
      <c r="C3625" s="3">
        <v>0.0</v>
      </c>
      <c r="D3625" s="3">
        <v>0.0</v>
      </c>
      <c r="E3625" s="3">
        <v>0.0</v>
      </c>
      <c r="F3625" s="3" t="s">
        <v>10466</v>
      </c>
      <c r="G3625" s="3">
        <v>0.6666666666666666</v>
      </c>
      <c r="H3625" s="3">
        <v>0.08333333333333333</v>
      </c>
      <c r="I3625" s="3" t="s">
        <v>48</v>
      </c>
      <c r="J3625" s="3" t="s">
        <v>10467</v>
      </c>
      <c r="K3625" s="3" t="s">
        <v>75</v>
      </c>
      <c r="L3625" s="3" t="str">
        <f>IFERROR(__xludf.DUMMYFUNCTION("GOOGLETRANSLATE(F3625,""id"",""en"")"),"The French national team is a lale, not like the final of the World Cup repeated")</f>
        <v>The French national team is a lale, not like the final of the World Cup repeated</v>
      </c>
    </row>
    <row r="3626" ht="15.75" customHeight="1">
      <c r="A3626" s="1">
        <v>3646.0</v>
      </c>
      <c r="B3626" s="3" t="s">
        <v>10468</v>
      </c>
      <c r="C3626" s="3">
        <v>0.0</v>
      </c>
      <c r="D3626" s="3">
        <v>0.0</v>
      </c>
      <c r="E3626" s="3">
        <v>0.0</v>
      </c>
      <c r="F3626" s="3" t="s">
        <v>10469</v>
      </c>
      <c r="G3626" s="3">
        <v>1.0</v>
      </c>
      <c r="H3626" s="3">
        <v>0.0</v>
      </c>
      <c r="I3626" s="3" t="s">
        <v>13</v>
      </c>
      <c r="J3626" s="3" t="s">
        <v>10470</v>
      </c>
      <c r="K3626" s="3" t="s">
        <v>510</v>
      </c>
      <c r="L3626" s="3" t="str">
        <f>IFERROR(__xludf.DUMMYFUNCTION("GOOGLETRANSLATE(F3626,""id"",""en"")"),"Salt Bae does the controversy for the World Cup Final FIFA Gianni Infantino Unfollow Instagram")</f>
        <v>Salt Bae does the controversy for the World Cup Final FIFA Gianni Infantino Unfollow Instagram</v>
      </c>
    </row>
    <row r="3627" ht="15.75" customHeight="1">
      <c r="A3627" s="1">
        <v>3647.0</v>
      </c>
      <c r="B3627" s="3" t="s">
        <v>10471</v>
      </c>
      <c r="C3627" s="3">
        <v>1.0</v>
      </c>
      <c r="D3627" s="3">
        <v>1.0</v>
      </c>
      <c r="E3627" s="3">
        <v>2.0</v>
      </c>
      <c r="F3627" s="3" t="s">
        <v>10472</v>
      </c>
      <c r="G3627" s="3">
        <v>1.0</v>
      </c>
      <c r="H3627" s="3">
        <v>0.0</v>
      </c>
      <c r="I3627" s="3" t="s">
        <v>13</v>
      </c>
      <c r="J3627" s="3" t="s">
        <v>10473</v>
      </c>
      <c r="K3627" s="3" t="s">
        <v>1870</v>
      </c>
      <c r="L3627" s="3" t="str">
        <f>IFERROR(__xludf.DUMMYFUNCTION("GOOGLETRANSLATE(F3627,""id"",""en"")"),"Politics must encourage more or less people to watch together with the World Cup Final which held the West Kalimantan Gerindra Party DPD congratulations to the audience to get door prizes in the form of millions of rupiah in cash units and various kinds o"&amp;"f groceries")</f>
        <v>Politics must encourage more or less people to watch together with the World Cup Final which held the West Kalimantan Gerindra Party DPD congratulations to the audience to get door prizes in the form of millions of rupiah in cash units and various kinds of groceries</v>
      </c>
    </row>
    <row r="3628" ht="15.75" customHeight="1">
      <c r="A3628" s="1">
        <v>3648.0</v>
      </c>
      <c r="B3628" s="3" t="s">
        <v>10474</v>
      </c>
      <c r="C3628" s="3">
        <v>0.0</v>
      </c>
      <c r="D3628" s="3">
        <v>0.0</v>
      </c>
      <c r="E3628" s="3">
        <v>0.0</v>
      </c>
      <c r="F3628" s="3" t="s">
        <v>10475</v>
      </c>
      <c r="G3628" s="3">
        <v>1.0</v>
      </c>
      <c r="H3628" s="3">
        <v>0.0</v>
      </c>
      <c r="I3628" s="3" t="s">
        <v>13</v>
      </c>
      <c r="J3628" s="3" t="s">
        <v>10476</v>
      </c>
      <c r="K3628" s="3" t="s">
        <v>123</v>
      </c>
      <c r="L3628" s="3" t="str">
        <f>IFERROR(__xludf.DUMMYFUNCTION("GOOGLETRANSLATE(F3628,""id"",""en"")"),"As many as thousands of French national team fans reportedly asked for the World Cup final to be repeated because the Argentine national team title was invalid")</f>
        <v>As many as thousands of French national team fans reportedly asked for the World Cup final to be repeated because the Argentine national team title was invalid</v>
      </c>
    </row>
    <row r="3629" ht="15.75" customHeight="1">
      <c r="A3629" s="1">
        <v>3649.0</v>
      </c>
      <c r="B3629" s="3" t="s">
        <v>10477</v>
      </c>
      <c r="C3629" s="3">
        <v>0.0</v>
      </c>
      <c r="D3629" s="3">
        <v>0.0</v>
      </c>
      <c r="E3629" s="3">
        <v>0.0</v>
      </c>
      <c r="F3629" s="3" t="s">
        <v>10478</v>
      </c>
      <c r="G3629" s="3">
        <v>1.0</v>
      </c>
      <c r="H3629" s="3">
        <v>0.0</v>
      </c>
      <c r="I3629" s="3" t="s">
        <v>13</v>
      </c>
      <c r="J3629" s="3" t="s">
        <v>10479</v>
      </c>
      <c r="K3629" s="3" t="s">
        <v>883</v>
      </c>
      <c r="L3629" s="3" t="str">
        <f>IFERROR(__xludf.DUMMYFUNCTION("GOOGLETRANSLATE(F3629,""id"",""en"")"),"Not yet moved the Argentine World Cup, this Argentina fans named his grandson Muhammad Messi Surabaya, the warmth and excitement of the World Cup final between France and Via")</f>
        <v>Not yet moved the Argentine World Cup, this Argentina fans named his grandson Muhammad Messi Surabaya, the warmth and excitement of the World Cup final between France and Via</v>
      </c>
    </row>
    <row r="3630" ht="15.75" customHeight="1">
      <c r="A3630" s="1">
        <v>3650.0</v>
      </c>
      <c r="B3630" s="3" t="s">
        <v>10480</v>
      </c>
      <c r="C3630" s="3">
        <v>0.0</v>
      </c>
      <c r="D3630" s="3">
        <v>0.0</v>
      </c>
      <c r="E3630" s="3">
        <v>4.0</v>
      </c>
      <c r="F3630" s="3" t="s">
        <v>10481</v>
      </c>
      <c r="G3630" s="3">
        <v>1.0</v>
      </c>
      <c r="H3630" s="3">
        <v>0.0</v>
      </c>
      <c r="I3630" s="3" t="s">
        <v>13</v>
      </c>
      <c r="J3630" s="3" t="s">
        <v>10482</v>
      </c>
      <c r="K3630" s="3" t="s">
        <v>3721</v>
      </c>
      <c r="L3630" s="3" t="str">
        <f>IFERROR(__xludf.DUMMYFUNCTION("GOOGLETRANSLATE(F3630,""id"",""en"")"),"Petitions like this have ever produced what results are no difference, for example, re -twit the world cup final then thousands")</f>
        <v>Petitions like this have ever produced what results are no difference, for example, re -twit the world cup final then thousands</v>
      </c>
    </row>
    <row r="3631" ht="15.75" customHeight="1">
      <c r="A3631" s="1">
        <v>3651.0</v>
      </c>
      <c r="B3631" s="3" t="s">
        <v>10483</v>
      </c>
      <c r="C3631" s="3">
        <v>0.0</v>
      </c>
      <c r="D3631" s="3">
        <v>0.0</v>
      </c>
      <c r="E3631" s="3">
        <v>0.0</v>
      </c>
      <c r="F3631" s="3" t="s">
        <v>9749</v>
      </c>
      <c r="G3631" s="3">
        <v>1.0</v>
      </c>
      <c r="H3631" s="3">
        <v>0.0</v>
      </c>
      <c r="I3631" s="3" t="s">
        <v>13</v>
      </c>
      <c r="J3631" s="3" t="s">
        <v>9750</v>
      </c>
      <c r="K3631" s="3" t="s">
        <v>19</v>
      </c>
      <c r="L3631" s="3" t="str">
        <f>IFERROR(__xludf.DUMMYFUNCTION("GOOGLETRANSLATE(F3631,""id"",""en"")"),"Puan Maharani supports the Argentine soccer team against France in the World Cup final")</f>
        <v>Puan Maharani supports the Argentine soccer team against France in the World Cup final</v>
      </c>
    </row>
    <row r="3632" ht="15.75" customHeight="1">
      <c r="A3632" s="1">
        <v>3652.0</v>
      </c>
      <c r="B3632" s="3" t="s">
        <v>10484</v>
      </c>
      <c r="C3632" s="3">
        <v>0.0</v>
      </c>
      <c r="D3632" s="3">
        <v>0.0</v>
      </c>
      <c r="E3632" s="3">
        <v>0.0</v>
      </c>
      <c r="F3632" s="3" t="s">
        <v>10485</v>
      </c>
      <c r="G3632" s="3">
        <v>1.0</v>
      </c>
      <c r="H3632" s="3">
        <v>0.0</v>
      </c>
      <c r="I3632" s="3" t="s">
        <v>13</v>
      </c>
      <c r="J3632" s="3" t="s">
        <v>10486</v>
      </c>
      <c r="K3632" s="3" t="s">
        <v>574</v>
      </c>
      <c r="L3632" s="3" t="str">
        <f>IFERROR(__xludf.DUMMYFUNCTION("GOOGLETRANSLATE(F3632,""id"",""en"")"),"An online petition addressed to FIFA has just been made in contents want that the World Cup Final is repeated because it thinks that the first Argentina goal is invalid at this time the petition has been signed more than thousands of times")</f>
        <v>An online petition addressed to FIFA has just been made in contents want that the World Cup Final is repeated because it thinks that the first Argentina goal is invalid at this time the petition has been signed more than thousands of times</v>
      </c>
    </row>
    <row r="3633" ht="15.75" customHeight="1">
      <c r="A3633" s="1">
        <v>3653.0</v>
      </c>
      <c r="B3633" s="3" t="s">
        <v>10487</v>
      </c>
      <c r="C3633" s="3">
        <v>0.0</v>
      </c>
      <c r="D3633" s="3">
        <v>0.0</v>
      </c>
      <c r="E3633" s="3">
        <v>0.0</v>
      </c>
      <c r="F3633" s="3" t="s">
        <v>10488</v>
      </c>
      <c r="G3633" s="3">
        <v>1.0</v>
      </c>
      <c r="H3633" s="3">
        <v>0.0</v>
      </c>
      <c r="I3633" s="3" t="s">
        <v>13</v>
      </c>
      <c r="J3633" s="3" t="s">
        <v>10489</v>
      </c>
      <c r="K3633" s="3" t="s">
        <v>123</v>
      </c>
      <c r="L3633" s="3" t="str">
        <f>IFERROR(__xludf.DUMMYFUNCTION("GOOGLETRANSLATE(F3633,""id"",""en"")"),"We really try to fulfill everyone's plans but we know the restart is five or six days after the World Cup final")</f>
        <v>We really try to fulfill everyone's plans but we know the restart is five or six days after the World Cup final</v>
      </c>
    </row>
    <row r="3634" ht="15.75" customHeight="1">
      <c r="A3634" s="1">
        <v>3654.0</v>
      </c>
      <c r="B3634" s="3" t="s">
        <v>10490</v>
      </c>
      <c r="C3634" s="3">
        <v>826.0</v>
      </c>
      <c r="D3634" s="3">
        <v>301.0</v>
      </c>
      <c r="E3634" s="3">
        <v>3631.0</v>
      </c>
      <c r="F3634" s="3" t="s">
        <v>10485</v>
      </c>
      <c r="G3634" s="3">
        <v>1.0</v>
      </c>
      <c r="H3634" s="3">
        <v>0.0</v>
      </c>
      <c r="I3634" s="3" t="s">
        <v>13</v>
      </c>
      <c r="J3634" s="3" t="s">
        <v>10486</v>
      </c>
      <c r="K3634" s="3" t="s">
        <v>574</v>
      </c>
      <c r="L3634" s="3" t="str">
        <f>IFERROR(__xludf.DUMMYFUNCTION("GOOGLETRANSLATE(F3634,""id"",""en"")"),"An online petition addressed to FIFA has just been made in contents want that the World Cup Final is repeated because it thinks that the first Argentina goal is invalid at this time the petition has been signed more than thousands of times")</f>
        <v>An online petition addressed to FIFA has just been made in contents want that the World Cup Final is repeated because it thinks that the first Argentina goal is invalid at this time the petition has been signed more than thousands of times</v>
      </c>
    </row>
    <row r="3635" ht="15.75" customHeight="1">
      <c r="A3635" s="1">
        <v>3655.0</v>
      </c>
      <c r="B3635" s="3" t="s">
        <v>10491</v>
      </c>
      <c r="C3635" s="3">
        <v>1.0</v>
      </c>
      <c r="D3635" s="3">
        <v>0.0</v>
      </c>
      <c r="E3635" s="3">
        <v>0.0</v>
      </c>
      <c r="F3635" s="3" t="s">
        <v>10492</v>
      </c>
      <c r="G3635" s="3">
        <v>0.6666666666666666</v>
      </c>
      <c r="H3635" s="3">
        <v>0.0</v>
      </c>
      <c r="I3635" s="3" t="s">
        <v>13</v>
      </c>
      <c r="J3635" s="3" t="s">
        <v>10493</v>
      </c>
      <c r="K3635" s="3" t="s">
        <v>1628</v>
      </c>
      <c r="L3635" s="3" t="str">
        <f>IFERROR(__xludf.DUMMYFUNCTION("GOOGLETRANSLATE(F3635,""id"",""en"")"),"Erik Ten Hag Raphael Varane he Varane is disappointed like everyone after losing the World Cup final I think he can also be proud to have played the final with everything he has achieved in his football career")</f>
        <v>Erik Ten Hag Raphael Varane he Varane is disappointed like everyone after losing the World Cup final I think he can also be proud to have played the final with everything he has achieved in his football career</v>
      </c>
    </row>
    <row r="3636" ht="15.75" customHeight="1">
      <c r="A3636" s="1">
        <v>3656.0</v>
      </c>
      <c r="B3636" s="3" t="s">
        <v>10494</v>
      </c>
      <c r="C3636" s="3">
        <v>6.0</v>
      </c>
      <c r="D3636" s="3">
        <v>5.0</v>
      </c>
      <c r="E3636" s="3">
        <v>37.0</v>
      </c>
      <c r="F3636" s="3" t="s">
        <v>10495</v>
      </c>
      <c r="G3636" s="3">
        <v>1.0</v>
      </c>
      <c r="H3636" s="3">
        <v>0.0</v>
      </c>
      <c r="I3636" s="3" t="s">
        <v>13</v>
      </c>
      <c r="J3636" s="3" t="s">
        <v>10496</v>
      </c>
      <c r="K3636" s="3" t="s">
        <v>510</v>
      </c>
      <c r="L3636" s="3" t="str">
        <f>IFERROR(__xludf.DUMMYFUNCTION("GOOGLETRANSLATE(F3636,""id"",""en"")"),"FIFA opened an investigation related to the Salt Bae incident into the field after the World Cup final match")</f>
        <v>FIFA opened an investigation related to the Salt Bae incident into the field after the World Cup final match</v>
      </c>
    </row>
    <row r="3637" ht="15.75" customHeight="1">
      <c r="A3637" s="1">
        <v>3657.0</v>
      </c>
      <c r="B3637" s="3" t="s">
        <v>10497</v>
      </c>
      <c r="C3637" s="3">
        <v>0.0</v>
      </c>
      <c r="D3637" s="3">
        <v>0.0</v>
      </c>
      <c r="E3637" s="3">
        <v>2.0</v>
      </c>
      <c r="F3637" s="3" t="s">
        <v>10498</v>
      </c>
      <c r="G3637" s="3">
        <v>1.0</v>
      </c>
      <c r="H3637" s="3">
        <v>0.0</v>
      </c>
      <c r="I3637" s="3" t="s">
        <v>13</v>
      </c>
      <c r="J3637" s="3" t="s">
        <v>10499</v>
      </c>
      <c r="K3637" s="3" t="s">
        <v>633</v>
      </c>
      <c r="L3637" s="3" t="str">
        <f>IFERROR(__xludf.DUMMYFUNCTION("GOOGLETRANSLATE(F3637,""id"",""en"")"),"Kolo Muani striker from Eintracht Frankfurt scored the World Cup semifinal goal to bring France the final round and also successfully gave assists against Argentina Final")</f>
        <v>Kolo Muani striker from Eintracht Frankfurt scored the World Cup semifinal goal to bring France the final round and also successfully gave assists against Argentina Final</v>
      </c>
    </row>
    <row r="3638" ht="15.75" customHeight="1">
      <c r="A3638" s="1">
        <v>3658.0</v>
      </c>
      <c r="B3638" s="3" t="s">
        <v>10500</v>
      </c>
      <c r="C3638" s="3">
        <v>1.0</v>
      </c>
      <c r="D3638" s="3">
        <v>0.0</v>
      </c>
      <c r="E3638" s="3">
        <v>1.0</v>
      </c>
      <c r="F3638" s="3" t="s">
        <v>10501</v>
      </c>
      <c r="G3638" s="3">
        <v>1.0</v>
      </c>
      <c r="H3638" s="3">
        <v>0.0</v>
      </c>
      <c r="I3638" s="3" t="s">
        <v>13</v>
      </c>
      <c r="J3638" s="3" t="s">
        <v>10502</v>
      </c>
      <c r="K3638" s="3" t="s">
        <v>10503</v>
      </c>
      <c r="L3638" s="3" t="str">
        <f>IFERROR(__xludf.DUMMYFUNCTION("GOOGLETRANSLATE(F3638,""id"",""en"")"),"Lawas Yawda Soccer wants to start from what year Italy entered the euro final what Itali championed the World Cup what itali began the Euro Plus champion had a finalist in England to start.")</f>
        <v>Lawas Yawda Soccer wants to start from what year Italy entered the euro final what Itali championed the World Cup what itali began the Euro Plus champion had a finalist in England to start.</v>
      </c>
    </row>
    <row r="3639" ht="15.75" customHeight="1">
      <c r="A3639" s="1">
        <v>3659.0</v>
      </c>
      <c r="B3639" s="3" t="s">
        <v>10504</v>
      </c>
      <c r="C3639" s="3">
        <v>1.0</v>
      </c>
      <c r="D3639" s="3">
        <v>0.0</v>
      </c>
      <c r="E3639" s="3">
        <v>25.0</v>
      </c>
      <c r="F3639" s="3" t="s">
        <v>10505</v>
      </c>
      <c r="G3639" s="3">
        <v>0.5</v>
      </c>
      <c r="H3639" s="3">
        <v>0.0</v>
      </c>
      <c r="I3639" s="3" t="s">
        <v>13</v>
      </c>
      <c r="J3639" s="3" t="s">
        <v>10506</v>
      </c>
      <c r="K3639" s="3" t="s">
        <v>308</v>
      </c>
      <c r="L3639" s="3" t="str">
        <f>IFERROR(__xludf.DUMMYFUNCTION("GOOGLETRANSLATE(F3639,""id"",""en"")"),"Erik Ten Hag We know that our first match here Burnley was held the day after the World Cup final we all knew that after the World Cup continued quickly and everyone had to be prepared for it")</f>
        <v>Erik Ten Hag We know that our first match here Burnley was held the day after the World Cup final we all knew that after the World Cup continued quickly and everyone had to be prepared for it</v>
      </c>
    </row>
    <row r="3640" ht="15.75" customHeight="1">
      <c r="A3640" s="1">
        <v>3660.0</v>
      </c>
      <c r="B3640" s="3" t="s">
        <v>10507</v>
      </c>
      <c r="C3640" s="3">
        <v>1.0</v>
      </c>
      <c r="D3640" s="3">
        <v>0.0</v>
      </c>
      <c r="E3640" s="3">
        <v>0.0</v>
      </c>
      <c r="F3640" s="3" t="s">
        <v>10508</v>
      </c>
      <c r="G3640" s="3">
        <v>0.6666666666666666</v>
      </c>
      <c r="H3640" s="3">
        <v>0.0</v>
      </c>
      <c r="I3640" s="3" t="s">
        <v>13</v>
      </c>
      <c r="J3640" s="3" t="s">
        <v>10509</v>
      </c>
      <c r="K3640" s="3" t="s">
        <v>205</v>
      </c>
      <c r="L3640" s="3" t="str">
        <f>IFERROR(__xludf.DUMMYFUNCTION("GOOGLETRANSLATE(F3640,""id"",""en"")"),"Erik Ten Hag he Varane was disappointed as everyone experienced after losing the World Cup final I thought he could also be proud to have played the final again with everything he had achieved in his football career")</f>
        <v>Erik Ten Hag he Varane was disappointed as everyone experienced after losing the World Cup final I thought he could also be proud to have played the final again with everything he had achieved in his football career</v>
      </c>
    </row>
    <row r="3641" ht="15.75" customHeight="1">
      <c r="A3641" s="1">
        <v>3661.0</v>
      </c>
      <c r="B3641" s="3" t="s">
        <v>10510</v>
      </c>
      <c r="C3641" s="3">
        <v>1.0</v>
      </c>
      <c r="D3641" s="3">
        <v>0.0</v>
      </c>
      <c r="E3641" s="3">
        <v>5.0</v>
      </c>
      <c r="F3641" s="3" t="s">
        <v>10511</v>
      </c>
      <c r="G3641" s="3">
        <v>1.0</v>
      </c>
      <c r="H3641" s="3">
        <v>0.0</v>
      </c>
      <c r="I3641" s="3" t="s">
        <v>13</v>
      </c>
      <c r="J3641" s="3" t="s">
        <v>10512</v>
      </c>
      <c r="K3641" s="3" t="s">
        <v>510</v>
      </c>
      <c r="L3641" s="3" t="str">
        <f>IFERROR(__xludf.DUMMYFUNCTION("GOOGLETRANSLATE(F3641,""id"",""en"")"),"Min, you can do it on DES using a photo after the basic world cup final hoax maker")</f>
        <v>Min, you can do it on DES using a photo after the basic world cup final hoax maker</v>
      </c>
    </row>
    <row r="3642" ht="15.75" customHeight="1">
      <c r="A3642" s="1">
        <v>3662.0</v>
      </c>
      <c r="B3642" s="3" t="s">
        <v>10513</v>
      </c>
      <c r="C3642" s="3">
        <v>0.0</v>
      </c>
      <c r="D3642" s="3">
        <v>0.0</v>
      </c>
      <c r="E3642" s="3">
        <v>0.0</v>
      </c>
      <c r="F3642" s="3" t="s">
        <v>10514</v>
      </c>
      <c r="G3642" s="3">
        <v>0.6666666666666666</v>
      </c>
      <c r="H3642" s="3">
        <v>0.0</v>
      </c>
      <c r="I3642" s="3" t="s">
        <v>13</v>
      </c>
      <c r="J3642" s="3" t="s">
        <v>10515</v>
      </c>
      <c r="K3642" s="3" t="s">
        <v>23</v>
      </c>
      <c r="L3642" s="3" t="str">
        <f>IFERROR(__xludf.DUMMYFUNCTION("GOOGLETRANSLATE(F3642,""id"",""en"")"),"Erik Ten Hag he Varane was disappointed like everyone after losing the World Cup final I thought he could also be proud to play the final again with everything he had achieved in his football career")</f>
        <v>Erik Ten Hag he Varane was disappointed like everyone after losing the World Cup final I thought he could also be proud to play the final again with everything he had achieved in his football career</v>
      </c>
    </row>
    <row r="3643" ht="15.75" customHeight="1">
      <c r="A3643" s="1">
        <v>3663.0</v>
      </c>
      <c r="B3643" s="3" t="s">
        <v>10516</v>
      </c>
      <c r="C3643" s="3">
        <v>1.0</v>
      </c>
      <c r="D3643" s="3">
        <v>0.0</v>
      </c>
      <c r="E3643" s="3">
        <v>31.0</v>
      </c>
      <c r="F3643" s="3" t="s">
        <v>10517</v>
      </c>
      <c r="G3643" s="3">
        <v>0.6666666666666666</v>
      </c>
      <c r="H3643" s="3">
        <v>0.0</v>
      </c>
      <c r="I3643" s="3" t="s">
        <v>13</v>
      </c>
      <c r="J3643" s="3" t="s">
        <v>10518</v>
      </c>
      <c r="K3643" s="3" t="s">
        <v>1699</v>
      </c>
      <c r="L3643" s="3" t="str">
        <f>IFERROR(__xludf.DUMMYFUNCTION("GOOGLETRANSLATE(F3643,""id"",""en"")"),"Erik Ten Hag Varane is clearly disappointed like all the players who are disappointed after losing the World Cup final I think can also be proud because they have played the final match so that everything that has been achieved in his football career")</f>
        <v>Erik Ten Hag Varane is clearly disappointed like all the players who are disappointed after losing the World Cup final I think can also be proud because they have played the final match so that everything that has been achieved in his football career</v>
      </c>
    </row>
    <row r="3644" ht="15.75" customHeight="1">
      <c r="A3644" s="1">
        <v>3664.0</v>
      </c>
      <c r="B3644" s="3" t="s">
        <v>10519</v>
      </c>
      <c r="C3644" s="3">
        <v>0.0</v>
      </c>
      <c r="D3644" s="3">
        <v>0.0</v>
      </c>
      <c r="E3644" s="3">
        <v>0.0</v>
      </c>
      <c r="F3644" s="3" t="s">
        <v>9749</v>
      </c>
      <c r="G3644" s="3">
        <v>1.0</v>
      </c>
      <c r="H3644" s="3">
        <v>0.0</v>
      </c>
      <c r="I3644" s="3" t="s">
        <v>13</v>
      </c>
      <c r="J3644" s="3" t="s">
        <v>9750</v>
      </c>
      <c r="K3644" s="3" t="s">
        <v>19</v>
      </c>
      <c r="L3644" s="3" t="str">
        <f>IFERROR(__xludf.DUMMYFUNCTION("GOOGLETRANSLATE(F3644,""id"",""en"")"),"Puan Maharani supports the Argentine soccer team against France in the World Cup final")</f>
        <v>Puan Maharani supports the Argentine soccer team against France in the World Cup final</v>
      </c>
    </row>
    <row r="3645" ht="15.75" customHeight="1">
      <c r="A3645" s="1">
        <v>3665.0</v>
      </c>
      <c r="B3645" s="3" t="s">
        <v>10520</v>
      </c>
      <c r="C3645" s="3">
        <v>0.0</v>
      </c>
      <c r="D3645" s="3">
        <v>0.0</v>
      </c>
      <c r="E3645" s="3">
        <v>5.0</v>
      </c>
      <c r="F3645" s="3" t="s">
        <v>10521</v>
      </c>
      <c r="G3645" s="3">
        <v>1.0</v>
      </c>
      <c r="H3645" s="3">
        <v>0.0</v>
      </c>
      <c r="I3645" s="3" t="s">
        <v>13</v>
      </c>
      <c r="J3645" s="3" t="s">
        <v>10522</v>
      </c>
      <c r="K3645" s="3" t="s">
        <v>90</v>
      </c>
      <c r="L3645" s="3" t="str">
        <f>IFERROR(__xludf.DUMMYFUNCTION("GOOGLETRANSLATE(F3645,""id"",""en"")"),"Graham Potter Their Mateo Hakim goes to the final third place and fourth world cups that are so large, both of them will not be available for Bournemouth matches besides they all have returned and have practiced")</f>
        <v>Graham Potter Their Mateo Hakim goes to the final third place and fourth world cups that are so large, both of them will not be available for Bournemouth matches besides they all have returned and have practiced</v>
      </c>
    </row>
    <row r="3646" ht="15.75" customHeight="1">
      <c r="A3646" s="1">
        <v>3666.0</v>
      </c>
      <c r="B3646" s="3" t="s">
        <v>10523</v>
      </c>
      <c r="C3646" s="3">
        <v>0.0</v>
      </c>
      <c r="D3646" s="3">
        <v>0.0</v>
      </c>
      <c r="E3646" s="3">
        <v>0.0</v>
      </c>
      <c r="F3646" s="3" t="s">
        <v>9749</v>
      </c>
      <c r="G3646" s="3">
        <v>1.0</v>
      </c>
      <c r="H3646" s="3">
        <v>0.0</v>
      </c>
      <c r="I3646" s="3" t="s">
        <v>13</v>
      </c>
      <c r="J3646" s="3" t="s">
        <v>9750</v>
      </c>
      <c r="K3646" s="3" t="s">
        <v>19</v>
      </c>
      <c r="L3646" s="3" t="str">
        <f>IFERROR(__xludf.DUMMYFUNCTION("GOOGLETRANSLATE(F3646,""id"",""en"")"),"Puan Maharani supports the Argentine soccer team against France in the World Cup final")</f>
        <v>Puan Maharani supports the Argentine soccer team against France in the World Cup final</v>
      </c>
    </row>
    <row r="3647" ht="15.75" customHeight="1">
      <c r="A3647" s="1">
        <v>3667.0</v>
      </c>
      <c r="B3647" s="3" t="s">
        <v>10524</v>
      </c>
      <c r="C3647" s="3">
        <v>1.0</v>
      </c>
      <c r="D3647" s="3">
        <v>0.0</v>
      </c>
      <c r="E3647" s="3">
        <v>1.0</v>
      </c>
      <c r="F3647" s="3" t="s">
        <v>10525</v>
      </c>
      <c r="G3647" s="3">
        <v>1.0</v>
      </c>
      <c r="H3647" s="3">
        <v>0.0</v>
      </c>
      <c r="I3647" s="3" t="s">
        <v>13</v>
      </c>
      <c r="J3647" s="3" t="s">
        <v>10526</v>
      </c>
      <c r="K3647" s="3" t="s">
        <v>15</v>
      </c>
      <c r="L3647" s="3" t="str">
        <f>IFERROR(__xludf.DUMMYFUNCTION("GOOGLETRANSLATE(F3647,""id"",""en"")"),"Thousands of people sign the World Cup Final Petition")</f>
        <v>Thousands of people sign the World Cup Final Petition</v>
      </c>
    </row>
    <row r="3648" ht="15.75" customHeight="1">
      <c r="A3648" s="1">
        <v>3668.0</v>
      </c>
      <c r="B3648" s="3" t="s">
        <v>10527</v>
      </c>
      <c r="C3648" s="3">
        <v>0.0</v>
      </c>
      <c r="D3648" s="3">
        <v>0.0</v>
      </c>
      <c r="E3648" s="3">
        <v>0.0</v>
      </c>
      <c r="F3648" s="3" t="s">
        <v>9959</v>
      </c>
      <c r="G3648" s="3">
        <v>1.0</v>
      </c>
      <c r="H3648" s="3">
        <v>0.0</v>
      </c>
      <c r="I3648" s="3" t="s">
        <v>13</v>
      </c>
      <c r="J3648" s="3" t="s">
        <v>9960</v>
      </c>
      <c r="K3648" s="3" t="s">
        <v>699</v>
      </c>
      <c r="L3648" s="3" t="str">
        <f>IFERROR(__xludf.DUMMYFUNCTION("GOOGLETRANSLATE(F3648,""id"",""en"")"),"Head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3649" ht="15.75" customHeight="1">
      <c r="A3649" s="1">
        <v>3669.0</v>
      </c>
      <c r="B3649" s="3" t="s">
        <v>10528</v>
      </c>
      <c r="C3649" s="3">
        <v>0.0</v>
      </c>
      <c r="D3649" s="3">
        <v>4.0</v>
      </c>
      <c r="E3649" s="3">
        <v>0.0</v>
      </c>
      <c r="F3649" s="3" t="s">
        <v>10529</v>
      </c>
      <c r="G3649" s="3">
        <v>1.0</v>
      </c>
      <c r="H3649" s="3">
        <v>0.0</v>
      </c>
      <c r="I3649" s="3" t="s">
        <v>13</v>
      </c>
      <c r="J3649" s="3" t="s">
        <v>10530</v>
      </c>
      <c r="K3649" s="3" t="s">
        <v>15</v>
      </c>
      <c r="L3649" s="3" t="str">
        <f>IFERROR(__xludf.DUMMYFUNCTION("GOOGLETRANSLATE(F3649,""id"",""en"")"),"French World Cup Final Argentina was asked to be repeated coverage")</f>
        <v>French World Cup Final Argentina was asked to be repeated coverage</v>
      </c>
    </row>
    <row r="3650" ht="15.75" customHeight="1">
      <c r="A3650" s="1">
        <v>3670.0</v>
      </c>
      <c r="B3650" s="3" t="s">
        <v>10531</v>
      </c>
      <c r="C3650" s="3">
        <v>0.0</v>
      </c>
      <c r="D3650" s="3">
        <v>3.0</v>
      </c>
      <c r="E3650" s="3">
        <v>0.0</v>
      </c>
      <c r="F3650" s="3" t="s">
        <v>10532</v>
      </c>
      <c r="G3650" s="3">
        <v>1.0</v>
      </c>
      <c r="H3650" s="3">
        <v>0.0</v>
      </c>
      <c r="I3650" s="3" t="s">
        <v>13</v>
      </c>
      <c r="J3650" s="3" t="s">
        <v>10533</v>
      </c>
      <c r="K3650" s="3" t="s">
        <v>15</v>
      </c>
      <c r="L3650" s="3" t="str">
        <f>IFERROR(__xludf.DUMMYFUNCTION("GOOGLETRANSLATE(F3650,""id"",""en"")"),"French World Cup Final Video Argentina was asked to be repeated")</f>
        <v>French World Cup Final Video Argentina was asked to be repeated</v>
      </c>
    </row>
    <row r="3651" ht="15.75" customHeight="1">
      <c r="A3651" s="1">
        <v>3671.0</v>
      </c>
      <c r="B3651" s="3" t="s">
        <v>10534</v>
      </c>
      <c r="C3651" s="3">
        <v>0.0</v>
      </c>
      <c r="D3651" s="3">
        <v>1.0</v>
      </c>
      <c r="E3651" s="3">
        <v>1.0</v>
      </c>
      <c r="F3651" s="3" t="s">
        <v>10535</v>
      </c>
      <c r="G3651" s="3">
        <v>1.0</v>
      </c>
      <c r="H3651" s="3">
        <v>0.0</v>
      </c>
      <c r="I3651" s="3" t="s">
        <v>13</v>
      </c>
      <c r="J3651" s="3" t="s">
        <v>10536</v>
      </c>
      <c r="K3651" s="3" t="s">
        <v>75</v>
      </c>
      <c r="L3651" s="3" t="str">
        <f>IFERROR(__xludf.DUMMYFUNCTION("GOOGLETRANSLATE(F3651,""id"",""en"")"),"The other side of the World Cup Final Podium is nervous to bring Meda tray")</f>
        <v>The other side of the World Cup Final Podium is nervous to bring Meda tray</v>
      </c>
    </row>
    <row r="3652" ht="15.75" customHeight="1">
      <c r="A3652" s="1">
        <v>3672.0</v>
      </c>
      <c r="B3652" s="3" t="s">
        <v>10537</v>
      </c>
      <c r="C3652" s="3">
        <v>0.0</v>
      </c>
      <c r="D3652" s="3">
        <v>0.0</v>
      </c>
      <c r="E3652" s="3">
        <v>0.0</v>
      </c>
      <c r="F3652" s="3" t="s">
        <v>10538</v>
      </c>
      <c r="G3652" s="3">
        <v>1.0</v>
      </c>
      <c r="H3652" s="3">
        <v>0.0</v>
      </c>
      <c r="I3652" s="3" t="s">
        <v>13</v>
      </c>
      <c r="J3652" s="3" t="s">
        <v>10539</v>
      </c>
      <c r="K3652" s="3" t="s">
        <v>910</v>
      </c>
      <c r="L3652" s="3" t="str">
        <f>IFERROR(__xludf.DUMMYFUNCTION("GOOGLETRANSLATE(F3652,""id"",""en"")"),"Salt Bae is now busy being a virtual universe because the action is in the end of the Qatar World Cup final last week along with Tribunnewswiki summarized information related to the figure of Salt Bae from various sources")</f>
        <v>Salt Bae is now busy being a virtual universe because the action is in the end of the Qatar World Cup final last week along with Tribunnewswiki summarized information related to the figure of Salt Bae from various sources</v>
      </c>
    </row>
    <row r="3653" ht="15.75" customHeight="1">
      <c r="A3653" s="1">
        <v>3673.0</v>
      </c>
      <c r="B3653" s="3" t="s">
        <v>10540</v>
      </c>
      <c r="C3653" s="3">
        <v>1.0</v>
      </c>
      <c r="D3653" s="3">
        <v>0.0</v>
      </c>
      <c r="E3653" s="3">
        <v>0.0</v>
      </c>
      <c r="F3653" s="3" t="s">
        <v>10541</v>
      </c>
      <c r="G3653" s="3">
        <v>1.0</v>
      </c>
      <c r="H3653" s="3">
        <v>0.0</v>
      </c>
      <c r="I3653" s="3" t="s">
        <v>13</v>
      </c>
      <c r="J3653" s="3" t="s">
        <v>10542</v>
      </c>
      <c r="K3653" s="3" t="s">
        <v>1293</v>
      </c>
      <c r="L3653" s="3" t="str">
        <f>IFERROR(__xludf.DUMMYFUNCTION("GOOGLETRANSLATE(F3653,""id"",""en"")"),"Palembang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54" ht="15.75" customHeight="1">
      <c r="A3654" s="1">
        <v>3674.0</v>
      </c>
      <c r="B3654" s="3" t="s">
        <v>10543</v>
      </c>
      <c r="C3654" s="3">
        <v>0.0</v>
      </c>
      <c r="D3654" s="3">
        <v>1.0</v>
      </c>
      <c r="E3654" s="3">
        <v>1.0</v>
      </c>
      <c r="F3654" s="3" t="s">
        <v>10544</v>
      </c>
      <c r="G3654" s="3">
        <v>1.0</v>
      </c>
      <c r="H3654" s="3">
        <v>0.0</v>
      </c>
      <c r="I3654" s="3" t="s">
        <v>13</v>
      </c>
      <c r="J3654" s="3" t="s">
        <v>10545</v>
      </c>
      <c r="K3654" s="3" t="s">
        <v>31</v>
      </c>
      <c r="L3654" s="3" t="str">
        <f>IFERROR(__xludf.DUMMYFUNCTION("GOOGLETRANSLATE(F3654,""id"",""en"")"),"Cool the World Cup Final Bara")</f>
        <v>Cool the World Cup Final Bara</v>
      </c>
    </row>
    <row r="3655" ht="15.75" customHeight="1">
      <c r="A3655" s="1">
        <v>3675.0</v>
      </c>
      <c r="B3655" s="3" t="s">
        <v>10546</v>
      </c>
      <c r="C3655" s="3">
        <v>0.0</v>
      </c>
      <c r="D3655" s="3">
        <v>0.0</v>
      </c>
      <c r="E3655" s="3">
        <v>0.0</v>
      </c>
      <c r="F3655" s="3" t="s">
        <v>10547</v>
      </c>
      <c r="G3655" s="3">
        <v>0.6666666666666666</v>
      </c>
      <c r="H3655" s="3">
        <v>0.08333333333333333</v>
      </c>
      <c r="I3655" s="3" t="s">
        <v>48</v>
      </c>
      <c r="J3655" s="3" t="s">
        <v>10548</v>
      </c>
      <c r="K3655" s="3" t="s">
        <v>1045</v>
      </c>
      <c r="L3655" s="3" t="str">
        <f>IFERROR(__xludf.DUMMYFUNCTION("GOOGLETRANSLATE(F3655,""id"",""en"")"),"The last time I watched the world cup final football just watching AFF, I wasn't sure that it was soccer playing grusuh grilak griluk more like Sodor Gobak")</f>
        <v>The last time I watched the world cup final football just watching AFF, I wasn't sure that it was soccer playing grusuh grilak griluk more like Sodor Gobak</v>
      </c>
    </row>
    <row r="3656" ht="15.75" customHeight="1">
      <c r="A3656" s="1">
        <v>3676.0</v>
      </c>
      <c r="B3656" s="3" t="s">
        <v>10549</v>
      </c>
      <c r="C3656" s="3">
        <v>0.0</v>
      </c>
      <c r="D3656" s="3">
        <v>0.0</v>
      </c>
      <c r="E3656" s="3">
        <v>0.0</v>
      </c>
      <c r="F3656" s="3" t="s">
        <v>10550</v>
      </c>
      <c r="G3656" s="3">
        <v>1.0</v>
      </c>
      <c r="H3656" s="3">
        <v>0.0</v>
      </c>
      <c r="I3656" s="3" t="s">
        <v>13</v>
      </c>
      <c r="J3656" s="3" t="s">
        <v>10551</v>
      </c>
      <c r="K3656" s="3" t="s">
        <v>240</v>
      </c>
      <c r="L3656" s="3" t="str">
        <f>IFERROR(__xludf.DUMMYFUNCTION("GOOGLETRANSLATE(F3656,""id"",""en"")"),"Redsindo Imagine you just saw a terrible sticker named Mbappe the World Cup Final then watched the Liverpool striker")</f>
        <v>Redsindo Imagine you just saw a terrible sticker named Mbappe the World Cup Final then watched the Liverpool striker</v>
      </c>
    </row>
    <row r="3657" ht="15.75" customHeight="1">
      <c r="A3657" s="1">
        <v>3677.0</v>
      </c>
      <c r="B3657" s="3" t="s">
        <v>10552</v>
      </c>
      <c r="C3657" s="3">
        <v>0.0</v>
      </c>
      <c r="D3657" s="3">
        <v>0.0</v>
      </c>
      <c r="E3657" s="3">
        <v>0.0</v>
      </c>
      <c r="F3657" s="3" t="s">
        <v>10553</v>
      </c>
      <c r="G3657" s="3">
        <v>1.0</v>
      </c>
      <c r="H3657" s="3">
        <v>0.0</v>
      </c>
      <c r="I3657" s="3" t="s">
        <v>13</v>
      </c>
      <c r="J3657" s="3" t="s">
        <v>10554</v>
      </c>
      <c r="K3657" s="3" t="s">
        <v>54</v>
      </c>
      <c r="L3657" s="3" t="str">
        <f>IFERROR(__xludf.DUMMYFUNCTION("GOOGLETRANSLATE(F3657,""id"",""en"")"),"the best world cup final he said hilariously")</f>
        <v>the best world cup final he said hilariously</v>
      </c>
    </row>
    <row r="3658" ht="15.75" customHeight="1">
      <c r="A3658" s="1">
        <v>3678.0</v>
      </c>
      <c r="B3658" s="3" t="s">
        <v>10555</v>
      </c>
      <c r="C3658" s="3">
        <v>0.0</v>
      </c>
      <c r="D3658" s="3">
        <v>4.0</v>
      </c>
      <c r="E3658" s="3">
        <v>0.0</v>
      </c>
      <c r="F3658" s="3" t="s">
        <v>10556</v>
      </c>
      <c r="G3658" s="3">
        <v>1.0</v>
      </c>
      <c r="H3658" s="3">
        <v>0.0</v>
      </c>
      <c r="I3658" s="3" t="s">
        <v>13</v>
      </c>
      <c r="J3658" s="3" t="s">
        <v>10557</v>
      </c>
      <c r="K3658" s="3" t="s">
        <v>19</v>
      </c>
      <c r="L3658" s="3" t="str">
        <f>IFERROR(__xludf.DUMMYFUNCTION("GOOGLETRANSLATE(F3658,""id"",""en"")"),"FIFA will investigate the SALT BAE case entering the field after the World Cup Liputan World Cup")</f>
        <v>FIFA will investigate the SALT BAE case entering the field after the World Cup Liputan World Cup</v>
      </c>
    </row>
    <row r="3659" ht="15.75" customHeight="1">
      <c r="A3659" s="1">
        <v>3679.0</v>
      </c>
      <c r="B3659" s="3" t="s">
        <v>10558</v>
      </c>
      <c r="C3659" s="3">
        <v>0.0</v>
      </c>
      <c r="D3659" s="3">
        <v>2.0</v>
      </c>
      <c r="E3659" s="3">
        <v>4.0</v>
      </c>
      <c r="F3659" s="3" t="s">
        <v>10559</v>
      </c>
      <c r="G3659" s="3">
        <v>1.0</v>
      </c>
      <c r="H3659" s="3">
        <v>0.0</v>
      </c>
      <c r="I3659" s="3" t="s">
        <v>13</v>
      </c>
      <c r="J3659" s="3" t="s">
        <v>10560</v>
      </c>
      <c r="K3659" s="3" t="s">
        <v>495</v>
      </c>
      <c r="L3659" s="3" t="str">
        <f>IFERROR(__xludf.DUMMYFUNCTION("GOOGLETRANSLATE(F3659,""id"",""en"")"),"Nusret Gokce alias Salt Bae made the Final World Cup Final Impact The Turkish Chef was also hit by an embargo attending a tournament")</f>
        <v>Nusret Gokce alias Salt Bae made the Final World Cup Final Impact The Turkish Chef was also hit by an embargo attending a tournament</v>
      </c>
    </row>
    <row r="3660" ht="15.75" customHeight="1">
      <c r="A3660" s="1">
        <v>3680.0</v>
      </c>
      <c r="B3660" s="3" t="s">
        <v>10561</v>
      </c>
      <c r="C3660" s="3">
        <v>0.0</v>
      </c>
      <c r="D3660" s="3">
        <v>0.0</v>
      </c>
      <c r="E3660" s="3">
        <v>0.0</v>
      </c>
      <c r="F3660" s="3" t="s">
        <v>10562</v>
      </c>
      <c r="G3660" s="3">
        <v>1.0</v>
      </c>
      <c r="H3660" s="3">
        <v>0.0</v>
      </c>
      <c r="I3660" s="3" t="s">
        <v>13</v>
      </c>
      <c r="J3660" s="3" t="s">
        <v>10563</v>
      </c>
      <c r="K3660" s="3" t="s">
        <v>2610</v>
      </c>
      <c r="L3660" s="3" t="str">
        <f>IFERROR(__xludf.DUMMYFUNCTION("GOOGLETRANSLATE(F3660,""id"",""en"")"),"Lionel Messi is said to have completed the trophy that was won throughout his career after helping the Argentine national team won the Qatar World Cup by defeating France of the final party")</f>
        <v>Lionel Messi is said to have completed the trophy that was won throughout his career after helping the Argentine national team won the Qatar World Cup by defeating France of the final party</v>
      </c>
    </row>
    <row r="3661" ht="15.75" customHeight="1">
      <c r="A3661" s="1">
        <v>3681.0</v>
      </c>
      <c r="B3661" s="3" t="s">
        <v>10564</v>
      </c>
      <c r="C3661" s="3">
        <v>1.0</v>
      </c>
      <c r="D3661" s="3">
        <v>0.0</v>
      </c>
      <c r="E3661" s="3">
        <v>2.0</v>
      </c>
      <c r="F3661" s="3" t="s">
        <v>10565</v>
      </c>
      <c r="G3661" s="3">
        <v>1.0</v>
      </c>
      <c r="H3661" s="3">
        <v>0.0</v>
      </c>
      <c r="I3661" s="3" t="s">
        <v>13</v>
      </c>
      <c r="J3661" s="3" t="s">
        <v>10566</v>
      </c>
      <c r="K3661" s="3" t="s">
        <v>82</v>
      </c>
      <c r="L3661" s="3" t="str">
        <f>IFERROR(__xludf.DUMMYFUNCTION("GOOGLETRANSLATE(F3661,""id"",""en"")"),"It turned out that Socrates also watched the World Cup final")</f>
        <v>It turned out that Socrates also watched the World Cup final</v>
      </c>
    </row>
    <row r="3662" ht="15.75" customHeight="1">
      <c r="A3662" s="1">
        <v>3682.0</v>
      </c>
      <c r="B3662" s="3" t="s">
        <v>10567</v>
      </c>
      <c r="C3662" s="3">
        <v>0.0</v>
      </c>
      <c r="D3662" s="3">
        <v>0.0</v>
      </c>
      <c r="E3662" s="3">
        <v>0.0</v>
      </c>
      <c r="F3662" s="3" t="s">
        <v>10568</v>
      </c>
      <c r="G3662" s="3">
        <v>1.0</v>
      </c>
      <c r="H3662" s="3">
        <v>0.0</v>
      </c>
      <c r="I3662" s="3" t="s">
        <v>13</v>
      </c>
      <c r="J3662" s="3" t="s">
        <v>10569</v>
      </c>
      <c r="K3662" s="3" t="s">
        <v>19</v>
      </c>
      <c r="L3662" s="3" t="str">
        <f>IFERROR(__xludf.DUMMYFUNCTION("GOOGLETRANSLATE(F3662,""id"",""en"")"),"Patrice Evra shared her experience watching the World Cup final between France Argentina I cried after the match")</f>
        <v>Patrice Evra shared her experience watching the World Cup final between France Argentina I cried after the match</v>
      </c>
    </row>
    <row r="3663" ht="15.75" customHeight="1">
      <c r="A3663" s="1">
        <v>3683.0</v>
      </c>
      <c r="B3663" s="3" t="s">
        <v>10570</v>
      </c>
      <c r="C3663" s="3">
        <v>0.0</v>
      </c>
      <c r="D3663" s="3">
        <v>1.0</v>
      </c>
      <c r="E3663" s="3">
        <v>2.0</v>
      </c>
      <c r="F3663" s="3" t="s">
        <v>10571</v>
      </c>
      <c r="G3663" s="3">
        <v>1.0</v>
      </c>
      <c r="H3663" s="3">
        <v>0.0</v>
      </c>
      <c r="I3663" s="3" t="s">
        <v>13</v>
      </c>
      <c r="J3663" s="3" t="s">
        <v>10572</v>
      </c>
      <c r="K3663" s="3" t="s">
        <v>127</v>
      </c>
      <c r="L3663" s="3" t="str">
        <f>IFERROR(__xludf.DUMMYFUNCTION("GOOGLETRANSLATE(F3663,""id"",""en"")"),"FIFA is investigating the existence of access to a celebrity chef Salt Bae Field Match during the World Cup Final")</f>
        <v>FIFA is investigating the existence of access to a celebrity chef Salt Bae Field Match during the World Cup Final</v>
      </c>
    </row>
    <row r="3664" ht="15.75" customHeight="1">
      <c r="A3664" s="1">
        <v>3684.0</v>
      </c>
      <c r="B3664" s="3" t="s">
        <v>10573</v>
      </c>
      <c r="C3664" s="3">
        <v>0.0</v>
      </c>
      <c r="D3664" s="3">
        <v>3.0</v>
      </c>
      <c r="E3664" s="3">
        <v>0.0</v>
      </c>
      <c r="F3664" s="3" t="s">
        <v>10574</v>
      </c>
      <c r="G3664" s="3">
        <v>1.0</v>
      </c>
      <c r="H3664" s="3">
        <v>0.0</v>
      </c>
      <c r="I3664" s="3" t="s">
        <v>13</v>
      </c>
      <c r="J3664" s="3" t="s">
        <v>10575</v>
      </c>
      <c r="K3664" s="3" t="s">
        <v>19</v>
      </c>
      <c r="L3664" s="3" t="str">
        <f>IFERROR(__xludf.DUMMYFUNCTION("GOOGLETRANSLATE(F3664,""id"",""en"")"),"FIFA Video Will Investigate the Salt Bae Case Entering the Field After the World Cup Final")</f>
        <v>FIFA Video Will Investigate the Salt Bae Case Entering the Field After the World Cup Final</v>
      </c>
    </row>
    <row r="3665" ht="15.75" customHeight="1">
      <c r="A3665" s="1">
        <v>3685.0</v>
      </c>
      <c r="B3665" s="3" t="s">
        <v>10576</v>
      </c>
      <c r="C3665" s="3">
        <v>0.0</v>
      </c>
      <c r="D3665" s="3">
        <v>0.0</v>
      </c>
      <c r="E3665" s="3">
        <v>0.0</v>
      </c>
      <c r="F3665" s="3" t="s">
        <v>10577</v>
      </c>
      <c r="G3665" s="3">
        <v>1.0</v>
      </c>
      <c r="H3665" s="3">
        <v>0.0</v>
      </c>
      <c r="I3665" s="3" t="s">
        <v>13</v>
      </c>
      <c r="J3665" s="3" t="s">
        <v>10578</v>
      </c>
      <c r="K3665" s="3" t="s">
        <v>15</v>
      </c>
      <c r="L3665" s="3" t="str">
        <f>IFERROR(__xludf.DUMMYFUNCTION("GOOGLETRANSLATE(F3665,""id"",""en"")"),"Make the Salt Bae World Cup final blocked from the tournament")</f>
        <v>Make the Salt Bae World Cup final blocked from the tournament</v>
      </c>
    </row>
    <row r="3666" ht="15.75" customHeight="1">
      <c r="A3666" s="1">
        <v>3686.0</v>
      </c>
      <c r="B3666" s="3" t="s">
        <v>10579</v>
      </c>
      <c r="C3666" s="3">
        <v>0.0</v>
      </c>
      <c r="D3666" s="3">
        <v>0.0</v>
      </c>
      <c r="E3666" s="3">
        <v>0.0</v>
      </c>
      <c r="F3666" s="3" t="s">
        <v>10580</v>
      </c>
      <c r="G3666" s="3">
        <v>1.0</v>
      </c>
      <c r="H3666" s="3">
        <v>0.0</v>
      </c>
      <c r="I3666" s="3" t="s">
        <v>13</v>
      </c>
      <c r="J3666" s="3" t="s">
        <v>10581</v>
      </c>
      <c r="K3666" s="3" t="s">
        <v>510</v>
      </c>
      <c r="L3666" s="3" t="str">
        <f>IFERROR(__xludf.DUMMYFUNCTION("GOOGLETRANSLATE(F3666,""id"",""en"")"),"Don't be angry like that later like Zidane World Cup Final why French people are quickly offended for the tours")</f>
        <v>Don't be angry like that later like Zidane World Cup Final why French people are quickly offended for the tours</v>
      </c>
    </row>
    <row r="3667" ht="15.75" customHeight="1">
      <c r="A3667" s="1">
        <v>3687.0</v>
      </c>
      <c r="B3667" s="3" t="s">
        <v>10582</v>
      </c>
      <c r="C3667" s="3">
        <v>8.0</v>
      </c>
      <c r="D3667" s="3">
        <v>5.0</v>
      </c>
      <c r="E3667" s="3">
        <v>65.0</v>
      </c>
      <c r="F3667" s="3" t="s">
        <v>10583</v>
      </c>
      <c r="G3667" s="3">
        <v>1.0</v>
      </c>
      <c r="H3667" s="3">
        <v>0.0</v>
      </c>
      <c r="I3667" s="3" t="s">
        <v>13</v>
      </c>
      <c r="J3667" s="3" t="s">
        <v>10584</v>
      </c>
      <c r="K3667" s="3" t="s">
        <v>127</v>
      </c>
      <c r="L3667" s="3" t="str">
        <f>IFERROR(__xludf.DUMMYFUNCTION("GOOGLETRANSLATE(F3667,""id"",""en"")"),"FFF submitted an official complaint about the attitude of missing Emiliano Martinez who bullied Kylian Mbappe after the World Cup final")</f>
        <v>FFF submitted an official complaint about the attitude of missing Emiliano Martinez who bullied Kylian Mbappe after the World Cup final</v>
      </c>
    </row>
    <row r="3668" ht="15.75" customHeight="1">
      <c r="A3668" s="1">
        <v>3688.0</v>
      </c>
      <c r="B3668" s="3" t="s">
        <v>10585</v>
      </c>
      <c r="C3668" s="3">
        <v>0.0</v>
      </c>
      <c r="D3668" s="3">
        <v>0.0</v>
      </c>
      <c r="E3668" s="3">
        <v>1.0</v>
      </c>
      <c r="F3668" s="3" t="s">
        <v>10574</v>
      </c>
      <c r="G3668" s="3">
        <v>1.0</v>
      </c>
      <c r="H3668" s="3">
        <v>0.0</v>
      </c>
      <c r="I3668" s="3" t="s">
        <v>13</v>
      </c>
      <c r="J3668" s="3" t="s">
        <v>10575</v>
      </c>
      <c r="K3668" s="3" t="s">
        <v>19</v>
      </c>
      <c r="L3668" s="3" t="str">
        <f>IFERROR(__xludf.DUMMYFUNCTION("GOOGLETRANSLATE(F3668,""id"",""en"")"),"FIFA Video Will Investigate the Salt Bae Case Entering the Field After the World Cup Final")</f>
        <v>FIFA Video Will Investigate the Salt Bae Case Entering the Field After the World Cup Final</v>
      </c>
    </row>
    <row r="3669" ht="15.75" customHeight="1">
      <c r="A3669" s="1">
        <v>3689.0</v>
      </c>
      <c r="B3669" s="3" t="s">
        <v>10586</v>
      </c>
      <c r="C3669" s="3">
        <v>0.0</v>
      </c>
      <c r="D3669" s="3">
        <v>0.0</v>
      </c>
      <c r="E3669" s="3">
        <v>0.0</v>
      </c>
      <c r="F3669" s="3" t="s">
        <v>10574</v>
      </c>
      <c r="G3669" s="3">
        <v>1.0</v>
      </c>
      <c r="H3669" s="3">
        <v>0.0</v>
      </c>
      <c r="I3669" s="3" t="s">
        <v>13</v>
      </c>
      <c r="J3669" s="3" t="s">
        <v>10575</v>
      </c>
      <c r="K3669" s="3" t="s">
        <v>19</v>
      </c>
      <c r="L3669" s="3" t="str">
        <f>IFERROR(__xludf.DUMMYFUNCTION("GOOGLETRANSLATE(F3669,""id"",""en"")"),"FIFA Video Will Investigate the Salt Bae Case Entering the Field After the World Cup Final")</f>
        <v>FIFA Video Will Investigate the Salt Bae Case Entering the Field After the World Cup Final</v>
      </c>
    </row>
    <row r="3670" ht="15.75" customHeight="1">
      <c r="A3670" s="1">
        <v>3691.0</v>
      </c>
      <c r="B3670" s="3" t="s">
        <v>10587</v>
      </c>
      <c r="C3670" s="3">
        <v>0.0</v>
      </c>
      <c r="D3670" s="3">
        <v>0.0</v>
      </c>
      <c r="E3670" s="3">
        <v>0.0</v>
      </c>
      <c r="F3670" s="3" t="s">
        <v>10588</v>
      </c>
      <c r="G3670" s="3">
        <v>1.0</v>
      </c>
      <c r="H3670" s="3">
        <v>0.0</v>
      </c>
      <c r="I3670" s="3" t="s">
        <v>13</v>
      </c>
      <c r="J3670" s="3" t="s">
        <v>10589</v>
      </c>
      <c r="K3670" s="3" t="s">
        <v>123</v>
      </c>
      <c r="L3670" s="3" t="str">
        <f>IFERROR(__xludf.DUMMYFUNCTION("GOOGLETRANSLATE(F3670,""id"",""en"")"),"Google Search broke the highest search record during the last year the record was during the World Cup Final")</f>
        <v>Google Search broke the highest search record during the last year the record was during the World Cup Final</v>
      </c>
    </row>
    <row r="3671" ht="15.75" customHeight="1">
      <c r="A3671" s="1">
        <v>3692.0</v>
      </c>
      <c r="B3671" s="3" t="s">
        <v>10590</v>
      </c>
      <c r="C3671" s="3">
        <v>1.0</v>
      </c>
      <c r="D3671" s="3">
        <v>0.0</v>
      </c>
      <c r="E3671" s="3">
        <v>1.0</v>
      </c>
      <c r="F3671" s="3" t="s">
        <v>10591</v>
      </c>
      <c r="G3671" s="3">
        <v>1.0</v>
      </c>
      <c r="H3671" s="3">
        <v>0.0</v>
      </c>
      <c r="I3671" s="3" t="s">
        <v>13</v>
      </c>
      <c r="J3671" s="3" t="s">
        <v>10592</v>
      </c>
      <c r="K3671" s="3" t="s">
        <v>90</v>
      </c>
      <c r="L3671" s="3" t="str">
        <f>IFERROR(__xludf.DUMMYFUNCTION("GOOGLETRANSLATE(F3671,""id"",""en"")"),"Reposted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672" ht="15.75" customHeight="1">
      <c r="A3672" s="1">
        <v>3693.0</v>
      </c>
      <c r="B3672" s="3" t="s">
        <v>10593</v>
      </c>
      <c r="C3672" s="3">
        <v>1.0</v>
      </c>
      <c r="D3672" s="3">
        <v>0.0</v>
      </c>
      <c r="E3672" s="3">
        <v>1.0</v>
      </c>
      <c r="F3672" s="3" t="s">
        <v>10559</v>
      </c>
      <c r="G3672" s="3">
        <v>1.0</v>
      </c>
      <c r="H3672" s="3">
        <v>0.0</v>
      </c>
      <c r="I3672" s="3" t="s">
        <v>13</v>
      </c>
      <c r="J3672" s="3" t="s">
        <v>10560</v>
      </c>
      <c r="K3672" s="3" t="s">
        <v>495</v>
      </c>
      <c r="L3672" s="3" t="str">
        <f>IFERROR(__xludf.DUMMYFUNCTION("GOOGLETRANSLATE(F3672,""id"",""en"")"),"Nusret Gokce alias Salt Bae made the Final World Cup Final Impact The Turkish Chef was also hit by an embargo attending a tournament")</f>
        <v>Nusret Gokce alias Salt Bae made the Final World Cup Final Impact The Turkish Chef was also hit by an embargo attending a tournament</v>
      </c>
    </row>
    <row r="3673" ht="15.75" customHeight="1">
      <c r="A3673" s="1">
        <v>3694.0</v>
      </c>
      <c r="B3673" s="3" t="s">
        <v>10594</v>
      </c>
      <c r="C3673" s="3">
        <v>0.0</v>
      </c>
      <c r="D3673" s="3">
        <v>1.0</v>
      </c>
      <c r="E3673" s="3">
        <v>7.0</v>
      </c>
      <c r="F3673" s="3" t="s">
        <v>10595</v>
      </c>
      <c r="G3673" s="3">
        <v>1.0</v>
      </c>
      <c r="H3673" s="3">
        <v>0.0</v>
      </c>
      <c r="I3673" s="3" t="s">
        <v>13</v>
      </c>
      <c r="J3673" s="3" t="s">
        <v>10596</v>
      </c>
      <c r="K3673" s="3" t="s">
        <v>495</v>
      </c>
      <c r="L3673" s="3" t="str">
        <f>IFERROR(__xludf.DUMMYFUNCTION("GOOGLETRANSLATE(F3673,""id"",""en"")"),"FIFA conducted an investigation related to violating access to chefs as well as the Salt Bae Influencer after the World Cup final match")</f>
        <v>FIFA conducted an investigation related to violating access to chefs as well as the Salt Bae Influencer after the World Cup final match</v>
      </c>
    </row>
    <row r="3674" ht="15.75" customHeight="1">
      <c r="A3674" s="1">
        <v>3695.0</v>
      </c>
      <c r="B3674" s="3" t="s">
        <v>10597</v>
      </c>
      <c r="C3674" s="3">
        <v>0.0</v>
      </c>
      <c r="D3674" s="3">
        <v>0.0</v>
      </c>
      <c r="E3674" s="3">
        <v>0.0</v>
      </c>
      <c r="F3674" s="3" t="s">
        <v>10598</v>
      </c>
      <c r="G3674" s="3">
        <v>1.0</v>
      </c>
      <c r="H3674" s="3">
        <v>0.0</v>
      </c>
      <c r="I3674" s="3" t="s">
        <v>13</v>
      </c>
      <c r="J3674" s="3" t="s">
        <v>10599</v>
      </c>
      <c r="K3674" s="3" t="s">
        <v>31</v>
      </c>
      <c r="L3674" s="3" t="str">
        <f>IFERROR(__xludf.DUMMYFUNCTION("GOOGLETRANSLATE(F3674,""id"",""en"")"),"Gool Messi World Cup Final")</f>
        <v>Gool Messi World Cup Final</v>
      </c>
    </row>
    <row r="3675" ht="15.75" customHeight="1">
      <c r="A3675" s="1">
        <v>3696.0</v>
      </c>
      <c r="B3675" s="3" t="s">
        <v>10600</v>
      </c>
      <c r="C3675" s="3">
        <v>2.0</v>
      </c>
      <c r="D3675" s="3">
        <v>2.0</v>
      </c>
      <c r="E3675" s="3">
        <v>8.0</v>
      </c>
      <c r="F3675" s="3" t="s">
        <v>10601</v>
      </c>
      <c r="G3675" s="3">
        <v>1.0</v>
      </c>
      <c r="H3675" s="3">
        <v>0.0</v>
      </c>
      <c r="I3675" s="3" t="s">
        <v>13</v>
      </c>
      <c r="J3675" s="3" t="s">
        <v>10602</v>
      </c>
      <c r="K3675" s="3" t="s">
        <v>725</v>
      </c>
      <c r="L3675" s="3" t="str">
        <f>IFERROR(__xludf.DUMMYFUNCTION("GOOGLETRANSLATE(F3675,""id"",""en"")"),"Exco RFU reportedly does not have a joint opinion to take the final decision to move or continue the UEFA sanctions discussion itself is still valid without the time limit Russia is threatened not to follow the competition round that offers the World Cup "&amp;"place")</f>
        <v>Exco RFU reportedly does not have a joint opinion to take the final decision to move or continue the UEFA sanctions discussion itself is still valid without the time limit Russia is threatened not to follow the competition round that offers the World Cup place</v>
      </c>
    </row>
    <row r="3676" ht="15.75" customHeight="1">
      <c r="A3676" s="1">
        <v>3697.0</v>
      </c>
      <c r="B3676" s="3" t="s">
        <v>10603</v>
      </c>
      <c r="C3676" s="3">
        <v>2.0</v>
      </c>
      <c r="D3676" s="3">
        <v>0.0</v>
      </c>
      <c r="E3676" s="3">
        <v>0.0</v>
      </c>
      <c r="F3676" s="3" t="s">
        <v>10604</v>
      </c>
      <c r="G3676" s="3">
        <v>0.8</v>
      </c>
      <c r="H3676" s="3">
        <v>-0.05</v>
      </c>
      <c r="I3676" s="3" t="s">
        <v>179</v>
      </c>
      <c r="J3676" s="3" t="s">
        <v>10605</v>
      </c>
      <c r="K3676" s="3" t="s">
        <v>1045</v>
      </c>
      <c r="L3676" s="3" t="str">
        <f>IFERROR(__xludf.DUMMYFUNCTION("GOOGLETRANSLATE(F3676,""id"",""en"")"),"I understand football or not, the world cup final is not at least if it is minimal literacy, ask me to understand, don't sotoy, but you say that Emi Martinez is chasing the ball, I know that Emi Martinez is not suspicious of you know the name")</f>
        <v>I understand football or not, the world cup final is not at least if it is minimal literacy, ask me to understand, don't sotoy, but you say that Emi Martinez is chasing the ball, I know that Emi Martinez is not suspicious of you know the name</v>
      </c>
    </row>
    <row r="3677" ht="15.75" customHeight="1">
      <c r="A3677" s="1">
        <v>3698.0</v>
      </c>
      <c r="B3677" s="3" t="s">
        <v>10606</v>
      </c>
      <c r="C3677" s="3">
        <v>0.0</v>
      </c>
      <c r="D3677" s="3">
        <v>0.0</v>
      </c>
      <c r="E3677" s="3">
        <v>0.0</v>
      </c>
      <c r="F3677" s="3" t="s">
        <v>10607</v>
      </c>
      <c r="G3677" s="3">
        <v>1.0</v>
      </c>
      <c r="H3677" s="3">
        <v>0.0</v>
      </c>
      <c r="I3677" s="3" t="s">
        <v>13</v>
      </c>
      <c r="J3677" s="3" t="s">
        <v>10608</v>
      </c>
      <c r="K3677" s="3" t="s">
        <v>19</v>
      </c>
      <c r="L3677" s="3" t="str">
        <f>IFERROR(__xludf.DUMMYFUNCTION("GOOGLETRANSLATE(F3677,""id"",""en"")"),"Conquering France through this World Cup Final penalty, it matches the Argentine victory.")</f>
        <v>Conquering France through this World Cup Final penalty, it matches the Argentine victory.</v>
      </c>
    </row>
    <row r="3678" ht="15.75" customHeight="1">
      <c r="A3678" s="1">
        <v>3699.0</v>
      </c>
      <c r="B3678" s="3" t="s">
        <v>10609</v>
      </c>
      <c r="C3678" s="3">
        <v>0.0</v>
      </c>
      <c r="D3678" s="3">
        <v>0.0</v>
      </c>
      <c r="E3678" s="3">
        <v>0.0</v>
      </c>
      <c r="F3678" s="3" t="s">
        <v>10610</v>
      </c>
      <c r="G3678" s="3">
        <v>1.0</v>
      </c>
      <c r="H3678" s="3">
        <v>0.0</v>
      </c>
      <c r="I3678" s="3" t="s">
        <v>13</v>
      </c>
      <c r="J3678" s="3" t="s">
        <v>10611</v>
      </c>
      <c r="K3678" s="3" t="s">
        <v>50</v>
      </c>
      <c r="L3678" s="3" t="str">
        <f>IFERROR(__xludf.DUMMYFUNCTION("GOOGLETRANSLATE(F3678,""id"",""en"")"),"The Final Results of the Indian World Cup Spanish conquered Colombia with a dramatic match")</f>
        <v>The Final Results of the Indian World Cup Spanish conquered Colombia with a dramatic match</v>
      </c>
    </row>
    <row r="3679" ht="15.75" customHeight="1">
      <c r="A3679" s="1">
        <v>3700.0</v>
      </c>
      <c r="B3679" s="3" t="s">
        <v>10612</v>
      </c>
      <c r="C3679" s="3">
        <v>5.0</v>
      </c>
      <c r="D3679" s="3">
        <v>23.0</v>
      </c>
      <c r="E3679" s="3">
        <v>142.0</v>
      </c>
      <c r="F3679" s="3" t="s">
        <v>10613</v>
      </c>
      <c r="G3679" s="3">
        <v>1.0</v>
      </c>
      <c r="H3679" s="3">
        <v>0.0</v>
      </c>
      <c r="I3679" s="3" t="s">
        <v>13</v>
      </c>
      <c r="J3679" s="3" t="s">
        <v>10614</v>
      </c>
      <c r="K3679" s="3" t="s">
        <v>1854</v>
      </c>
      <c r="L3679" s="3" t="str">
        <f>IFERROR(__xludf.DUMMYFUNCTION("GOOGLETRANSLATE(F3679,""id"",""en"")"),"World Cup FIFA is a strategy of how celebrity chef Salt Bae may get unnatural access in the Padang after the final of the World Cup when he was worshiped with an Argentine player who was surprised and Lionel Messi who looked unreasonable")</f>
        <v>World Cup FIFA is a strategy of how celebrity chef Salt Bae may get unnatural access in the Padang after the final of the World Cup when he was worshiped with an Argentine player who was surprised and Lionel Messi who looked unreasonable</v>
      </c>
    </row>
    <row r="3680" ht="15.75" customHeight="1">
      <c r="A3680" s="1">
        <v>3701.0</v>
      </c>
      <c r="B3680" s="3" t="s">
        <v>10615</v>
      </c>
      <c r="C3680" s="3">
        <v>1.0</v>
      </c>
      <c r="D3680" s="3">
        <v>0.0</v>
      </c>
      <c r="E3680" s="3">
        <v>0.0</v>
      </c>
      <c r="F3680" s="3" t="s">
        <v>10541</v>
      </c>
      <c r="G3680" s="3">
        <v>1.0</v>
      </c>
      <c r="H3680" s="3">
        <v>0.0</v>
      </c>
      <c r="I3680" s="3" t="s">
        <v>13</v>
      </c>
      <c r="J3680" s="3" t="s">
        <v>10542</v>
      </c>
      <c r="K3680" s="3" t="s">
        <v>1293</v>
      </c>
      <c r="L3680" s="3" t="str">
        <f>IFERROR(__xludf.DUMMYFUNCTION("GOOGLETRANSLATE(F3680,""id"",""en"")"),"Palembang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81" ht="15.75" customHeight="1">
      <c r="A3681" s="1">
        <v>3702.0</v>
      </c>
      <c r="B3681" s="3" t="s">
        <v>10616</v>
      </c>
      <c r="C3681" s="3">
        <v>0.0</v>
      </c>
      <c r="D3681" s="3">
        <v>1.0</v>
      </c>
      <c r="E3681" s="3">
        <v>10.0</v>
      </c>
      <c r="F3681" s="3" t="s">
        <v>10617</v>
      </c>
      <c r="G3681" s="3">
        <v>1.0</v>
      </c>
      <c r="H3681" s="3">
        <v>0.0</v>
      </c>
      <c r="I3681" s="3" t="s">
        <v>13</v>
      </c>
      <c r="J3681" s="3" t="s">
        <v>10618</v>
      </c>
      <c r="K3681" s="3" t="s">
        <v>1699</v>
      </c>
      <c r="L3681" s="3" t="str">
        <f>IFERROR(__xludf.DUMMYFUNCTION("GOOGLETRANSLATE(F3681,""id"",""en"")"),"Lionel Messi, who has won the World Cup with Argentina, is now reportedly agreed to renew the PSG Messi contract previous")</f>
        <v>Lionel Messi, who has won the World Cup with Argentina, is now reportedly agreed to renew the PSG Messi contract previous</v>
      </c>
    </row>
    <row r="3682" ht="15.75" customHeight="1">
      <c r="A3682" s="1">
        <v>3703.0</v>
      </c>
      <c r="B3682" s="3" t="s">
        <v>10619</v>
      </c>
      <c r="C3682" s="3">
        <v>1.0</v>
      </c>
      <c r="D3682" s="3">
        <v>4.0</v>
      </c>
      <c r="E3682" s="3">
        <v>6.0</v>
      </c>
      <c r="F3682" s="3" t="s">
        <v>10617</v>
      </c>
      <c r="G3682" s="3">
        <v>1.0</v>
      </c>
      <c r="H3682" s="3">
        <v>0.0</v>
      </c>
      <c r="I3682" s="3" t="s">
        <v>13</v>
      </c>
      <c r="J3682" s="3" t="s">
        <v>10618</v>
      </c>
      <c r="K3682" s="3" t="s">
        <v>1699</v>
      </c>
      <c r="L3682" s="3" t="str">
        <f>IFERROR(__xludf.DUMMYFUNCTION("GOOGLETRANSLATE(F3682,""id"",""en"")"),"Lionel Messi, who has won the World Cup with Argentina, is now reportedly agreed to renew the PSG Messi contract previous")</f>
        <v>Lionel Messi, who has won the World Cup with Argentina, is now reportedly agreed to renew the PSG Messi contract previous</v>
      </c>
    </row>
    <row r="3683" ht="15.75" customHeight="1">
      <c r="A3683" s="1">
        <v>3704.0</v>
      </c>
      <c r="B3683" s="3" t="s">
        <v>10620</v>
      </c>
      <c r="C3683" s="3">
        <v>0.0</v>
      </c>
      <c r="D3683" s="3">
        <v>0.0</v>
      </c>
      <c r="E3683" s="3">
        <v>2.0</v>
      </c>
      <c r="F3683" s="3" t="s">
        <v>10621</v>
      </c>
      <c r="G3683" s="3">
        <v>1.0</v>
      </c>
      <c r="H3683" s="3">
        <v>0.0</v>
      </c>
      <c r="I3683" s="3" t="s">
        <v>13</v>
      </c>
      <c r="J3683" s="3" t="s">
        <v>10622</v>
      </c>
      <c r="K3683" s="3" t="s">
        <v>35</v>
      </c>
      <c r="L3683" s="3" t="str">
        <f>IFERROR(__xludf.DUMMYFUNCTION("GOOGLETRANSLATE(F3683,""id"",""en"")"),"Salt Bae is prohibited from attending the open cup final after lifting the World Cup trophy")</f>
        <v>Salt Bae is prohibited from attending the open cup final after lifting the World Cup trophy</v>
      </c>
    </row>
    <row r="3684" ht="15.75" customHeight="1">
      <c r="A3684" s="1">
        <v>3708.0</v>
      </c>
      <c r="B3684" s="3" t="s">
        <v>10623</v>
      </c>
      <c r="C3684" s="3">
        <v>0.0</v>
      </c>
      <c r="D3684" s="3">
        <v>0.0</v>
      </c>
      <c r="E3684" s="3">
        <v>0.0</v>
      </c>
      <c r="F3684" s="3" t="s">
        <v>10624</v>
      </c>
      <c r="G3684" s="3">
        <v>1.0</v>
      </c>
      <c r="H3684" s="3">
        <v>0.0</v>
      </c>
      <c r="I3684" s="3" t="s">
        <v>13</v>
      </c>
      <c r="J3684" s="3" t="s">
        <v>10625</v>
      </c>
      <c r="K3684" s="3" t="s">
        <v>510</v>
      </c>
      <c r="L3684" s="3" t="str">
        <f>IFERROR(__xludf.DUMMYFUNCTION("GOOGLETRANSLATE(F3684,""id"",""en"")"),"French media calls the second goal of Lionel Messi World Cup Final is invalid what the reason")</f>
        <v>French media calls the second goal of Lionel Messi World Cup Final is invalid what the reason</v>
      </c>
    </row>
    <row r="3685" ht="15.75" customHeight="1">
      <c r="A3685" s="1">
        <v>3709.0</v>
      </c>
      <c r="B3685" s="3" t="s">
        <v>10626</v>
      </c>
      <c r="C3685" s="3">
        <v>0.0</v>
      </c>
      <c r="D3685" s="3">
        <v>0.0</v>
      </c>
      <c r="E3685" s="3">
        <v>5.0</v>
      </c>
      <c r="F3685" s="3" t="s">
        <v>10595</v>
      </c>
      <c r="G3685" s="3">
        <v>1.0</v>
      </c>
      <c r="H3685" s="3">
        <v>0.0</v>
      </c>
      <c r="I3685" s="3" t="s">
        <v>13</v>
      </c>
      <c r="J3685" s="3" t="s">
        <v>10596</v>
      </c>
      <c r="K3685" s="3" t="s">
        <v>495</v>
      </c>
      <c r="L3685" s="3" t="str">
        <f>IFERROR(__xludf.DUMMYFUNCTION("GOOGLETRANSLATE(F3685,""id"",""en"")"),"FIFA conducted an investigation related to violating access to chefs as well as the Salt Bae Influencer after the World Cup final match")</f>
        <v>FIFA conducted an investigation related to violating access to chefs as well as the Salt Bae Influencer after the World Cup final match</v>
      </c>
    </row>
    <row r="3686" ht="15.75" customHeight="1">
      <c r="A3686" s="1">
        <v>3710.0</v>
      </c>
      <c r="B3686" s="3" t="s">
        <v>10627</v>
      </c>
      <c r="C3686" s="3">
        <v>0.0</v>
      </c>
      <c r="D3686" s="3">
        <v>4.0</v>
      </c>
      <c r="E3686" s="3">
        <v>38.0</v>
      </c>
      <c r="F3686" s="3" t="s">
        <v>10628</v>
      </c>
      <c r="G3686" s="3">
        <v>1.0</v>
      </c>
      <c r="H3686" s="3">
        <v>0.0</v>
      </c>
      <c r="I3686" s="3" t="s">
        <v>13</v>
      </c>
      <c r="J3686" s="3" t="s">
        <v>10629</v>
      </c>
      <c r="K3686" s="3" t="s">
        <v>58</v>
      </c>
      <c r="L3686" s="3" t="str">
        <f>IFERROR(__xludf.DUMMYFUNCTION("GOOGLETRANSLATE(F3686,""id"",""en"")"),"I really almost died seeing the reaction of Argentina fans after watching the dramatic world cup final")</f>
        <v>I really almost died seeing the reaction of Argentina fans after watching the dramatic world cup final</v>
      </c>
    </row>
    <row r="3687" ht="15.75" customHeight="1">
      <c r="A3687" s="1">
        <v>3711.0</v>
      </c>
      <c r="B3687" s="3" t="s">
        <v>10630</v>
      </c>
      <c r="C3687" s="3">
        <v>0.0</v>
      </c>
      <c r="D3687" s="3">
        <v>0.0</v>
      </c>
      <c r="E3687" s="3">
        <v>1.0</v>
      </c>
      <c r="F3687" s="3" t="s">
        <v>10631</v>
      </c>
      <c r="G3687" s="3">
        <v>1.0</v>
      </c>
      <c r="H3687" s="3">
        <v>0.0</v>
      </c>
      <c r="I3687" s="3" t="s">
        <v>13</v>
      </c>
      <c r="J3687" s="3" t="s">
        <v>10632</v>
      </c>
      <c r="K3687" s="3" t="s">
        <v>1335</v>
      </c>
      <c r="L3687" s="3" t="str">
        <f>IFERROR(__xludf.DUMMYFUNCTION("GOOGLETRANSLATE(F3687,""id"",""en"")"),"The World Cup final victory is Maria's victory")</f>
        <v>The World Cup final victory is Maria's victory</v>
      </c>
    </row>
    <row r="3688" ht="15.75" customHeight="1">
      <c r="A3688" s="1">
        <v>3712.0</v>
      </c>
      <c r="B3688" s="3" t="s">
        <v>10633</v>
      </c>
      <c r="C3688" s="3">
        <v>1.0</v>
      </c>
      <c r="D3688" s="3">
        <v>0.0</v>
      </c>
      <c r="E3688" s="3">
        <v>0.0</v>
      </c>
      <c r="F3688" s="3" t="s">
        <v>10541</v>
      </c>
      <c r="G3688" s="3">
        <v>1.0</v>
      </c>
      <c r="H3688" s="3">
        <v>0.0</v>
      </c>
      <c r="I3688" s="3" t="s">
        <v>13</v>
      </c>
      <c r="J3688" s="3" t="s">
        <v>10542</v>
      </c>
      <c r="K3688" s="3" t="s">
        <v>1293</v>
      </c>
      <c r="L3688" s="3" t="str">
        <f>IFERROR(__xludf.DUMMYFUNCTION("GOOGLETRANSLATE(F3688,""id"",""en"")"),"Palembang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89" ht="15.75" customHeight="1">
      <c r="A3689" s="1">
        <v>3713.0</v>
      </c>
      <c r="B3689" s="3" t="s">
        <v>10634</v>
      </c>
      <c r="C3689" s="3">
        <v>0.0</v>
      </c>
      <c r="D3689" s="3">
        <v>0.0</v>
      </c>
      <c r="E3689" s="3">
        <v>6.0</v>
      </c>
      <c r="F3689" s="3" t="s">
        <v>10635</v>
      </c>
      <c r="G3689" s="3">
        <v>0.75</v>
      </c>
      <c r="H3689" s="3">
        <v>0.0</v>
      </c>
      <c r="I3689" s="3" t="s">
        <v>13</v>
      </c>
      <c r="J3689" s="3" t="s">
        <v>10636</v>
      </c>
      <c r="K3689" s="3" t="s">
        <v>19</v>
      </c>
      <c r="L3689" s="3" t="str">
        <f>IFERROR(__xludf.DUMMYFUNCTION("GOOGLETRANSLATE(F3689,""id"",""en"")"),"Desperate to kiss the Salt Bae World Cup trophy not to attend the final open cup")</f>
        <v>Desperate to kiss the Salt Bae World Cup trophy not to attend the final open cup</v>
      </c>
    </row>
    <row r="3690" ht="15.75" customHeight="1">
      <c r="A3690" s="1">
        <v>3714.0</v>
      </c>
      <c r="B3690" s="3" t="s">
        <v>10637</v>
      </c>
      <c r="C3690" s="3">
        <v>0.0</v>
      </c>
      <c r="D3690" s="3">
        <v>0.0</v>
      </c>
      <c r="E3690" s="3">
        <v>0.0</v>
      </c>
      <c r="F3690" s="3" t="s">
        <v>10638</v>
      </c>
      <c r="G3690" s="3">
        <v>1.0</v>
      </c>
      <c r="H3690" s="3">
        <v>0.0</v>
      </c>
      <c r="I3690" s="3" t="s">
        <v>13</v>
      </c>
      <c r="J3690" s="3" t="s">
        <v>10639</v>
      </c>
      <c r="K3690" s="3" t="s">
        <v>15</v>
      </c>
      <c r="L3690" s="3" t="str">
        <f>IFERROR(__xludf.DUMMYFUNCTION("GOOGLETRANSLATE(F3690,""id"",""en"")"),"Million Chat WhatsApp was sent during the Qatar World Cup final")</f>
        <v>Million Chat WhatsApp was sent during the Qatar World Cup final</v>
      </c>
    </row>
    <row r="3691" ht="15.75" customHeight="1">
      <c r="A3691" s="1">
        <v>3715.0</v>
      </c>
      <c r="B3691" s="3" t="s">
        <v>10640</v>
      </c>
      <c r="C3691" s="3">
        <v>0.0</v>
      </c>
      <c r="D3691" s="3">
        <v>0.0</v>
      </c>
      <c r="E3691" s="3">
        <v>0.0</v>
      </c>
      <c r="F3691" s="3" t="s">
        <v>10641</v>
      </c>
      <c r="G3691" s="3">
        <v>1.0</v>
      </c>
      <c r="H3691" s="3">
        <v>0.0</v>
      </c>
      <c r="I3691" s="3" t="s">
        <v>13</v>
      </c>
      <c r="J3691" s="3" t="s">
        <v>10642</v>
      </c>
      <c r="K3691" s="3" t="s">
        <v>41</v>
      </c>
      <c r="L3691" s="3" t="str">
        <f>IFERROR(__xludf.DUMMYFUNCTION("GOOGLETRANSLATE(F3691,""id"",""en"")"),"FIFA SALT BAE Investigation Entering the World Cup Final Field")</f>
        <v>FIFA SALT BAE Investigation Entering the World Cup Final Field</v>
      </c>
    </row>
    <row r="3692" ht="15.75" customHeight="1">
      <c r="A3692" s="1">
        <v>3716.0</v>
      </c>
      <c r="B3692" s="3" t="s">
        <v>10643</v>
      </c>
      <c r="C3692" s="3">
        <v>0.0</v>
      </c>
      <c r="D3692" s="3">
        <v>0.0</v>
      </c>
      <c r="E3692" s="3">
        <v>0.0</v>
      </c>
      <c r="F3692" s="3" t="s">
        <v>10644</v>
      </c>
      <c r="G3692" s="3">
        <v>1.0</v>
      </c>
      <c r="H3692" s="3">
        <v>0.0</v>
      </c>
      <c r="I3692" s="3" t="s">
        <v>13</v>
      </c>
      <c r="J3692" s="3" t="s">
        <v>10645</v>
      </c>
      <c r="K3692" s="3" t="s">
        <v>1518</v>
      </c>
      <c r="L3692" s="3" t="str">
        <f>IFERROR(__xludf.DUMMYFUNCTION("GOOGLETRANSLATE(F3692,""id"",""en"")"),"Lionel Messi wants to pay the Argentine World Cup trophy around the PSG Stadium but the club officials are reluctant about the reaction he will cause after French star Kylian Mbappe is left destroyed by the final defeat")</f>
        <v>Lionel Messi wants to pay the Argentine World Cup trophy around the PSG Stadium but the club officials are reluctant about the reaction he will cause after French star Kylian Mbappe is left destroyed by the final defeat</v>
      </c>
    </row>
    <row r="3693" ht="15.75" customHeight="1">
      <c r="A3693" s="1">
        <v>3717.0</v>
      </c>
      <c r="B3693" s="3" t="s">
        <v>10646</v>
      </c>
      <c r="C3693" s="3">
        <v>0.0</v>
      </c>
      <c r="D3693" s="3">
        <v>0.0</v>
      </c>
      <c r="E3693" s="3">
        <v>1.0</v>
      </c>
      <c r="F3693" s="3" t="s">
        <v>10647</v>
      </c>
      <c r="G3693" s="3">
        <v>1.0</v>
      </c>
      <c r="H3693" s="3">
        <v>0.0</v>
      </c>
      <c r="I3693" s="3" t="s">
        <v>13</v>
      </c>
      <c r="J3693" s="3" t="s">
        <v>10648</v>
      </c>
      <c r="K3693" s="3" t="s">
        <v>240</v>
      </c>
      <c r="L3693" s="3" t="str">
        <f>IFERROR(__xludf.DUMMYFUNCTION("GOOGLETRANSLATE(F3693,""id"",""en"")"),"FIFA conducted an investigation related to how Salt Bae's celebrity chefs had the same field access to the World Cup final for")</f>
        <v>FIFA conducted an investigation related to how Salt Bae's celebrity chefs had the same field access to the World Cup final for</v>
      </c>
    </row>
    <row r="3694" ht="15.75" customHeight="1">
      <c r="A3694" s="1">
        <v>3718.0</v>
      </c>
      <c r="B3694" s="3" t="s">
        <v>10649</v>
      </c>
      <c r="C3694" s="3">
        <v>0.0</v>
      </c>
      <c r="D3694" s="3">
        <v>0.0</v>
      </c>
      <c r="E3694" s="3">
        <v>1.0</v>
      </c>
      <c r="F3694" s="3" t="s">
        <v>10650</v>
      </c>
      <c r="G3694" s="3">
        <v>1.0</v>
      </c>
      <c r="H3694" s="3">
        <v>0.0</v>
      </c>
      <c r="I3694" s="3" t="s">
        <v>13</v>
      </c>
      <c r="J3694" s="3" t="s">
        <v>10651</v>
      </c>
      <c r="K3694" s="3" t="s">
        <v>75</v>
      </c>
      <c r="L3694" s="3" t="str">
        <f>IFERROR(__xludf.DUMMYFUNCTION("GOOGLETRANSLATE(F3694,""id"",""en"")"),"Refusing to forget this is a row of interesting facts from the fall and final of the World Cup")</f>
        <v>Refusing to forget this is a row of interesting facts from the fall and final of the World Cup</v>
      </c>
    </row>
    <row r="3695" ht="15.75" customHeight="1">
      <c r="A3695" s="1">
        <v>3719.0</v>
      </c>
      <c r="B3695" s="3" t="s">
        <v>10652</v>
      </c>
      <c r="C3695" s="3">
        <v>0.0</v>
      </c>
      <c r="D3695" s="3">
        <v>0.0</v>
      </c>
      <c r="E3695" s="3">
        <v>0.0</v>
      </c>
      <c r="F3695" s="3" t="s">
        <v>10653</v>
      </c>
      <c r="G3695" s="3">
        <v>1.0</v>
      </c>
      <c r="H3695" s="3">
        <v>0.0</v>
      </c>
      <c r="I3695" s="3" t="s">
        <v>13</v>
      </c>
      <c r="J3695" s="3" t="s">
        <v>10654</v>
      </c>
      <c r="K3695" s="3" t="s">
        <v>50</v>
      </c>
      <c r="L3695" s="3" t="str">
        <f>IFERROR(__xludf.DUMMYFUNCTION("GOOGLETRANSLATE(F3695,""id"",""en"")"),"FIFA began to investigate the Salt Bae incident into the World Cup final field")</f>
        <v>FIFA began to investigate the Salt Bae incident into the World Cup final field</v>
      </c>
    </row>
    <row r="3696" ht="15.75" customHeight="1">
      <c r="A3696" s="1">
        <v>3720.0</v>
      </c>
      <c r="B3696" s="3" t="s">
        <v>10655</v>
      </c>
      <c r="C3696" s="3">
        <v>0.0</v>
      </c>
      <c r="D3696" s="3">
        <v>0.0</v>
      </c>
      <c r="E3696" s="3">
        <v>0.0</v>
      </c>
      <c r="F3696" s="3" t="s">
        <v>10656</v>
      </c>
      <c r="G3696" s="3">
        <v>1.0</v>
      </c>
      <c r="H3696" s="3">
        <v>0.0</v>
      </c>
      <c r="I3696" s="3" t="s">
        <v>13</v>
      </c>
      <c r="J3696" s="3" t="s">
        <v>10657</v>
      </c>
      <c r="K3696" s="3" t="s">
        <v>3734</v>
      </c>
      <c r="L3696" s="3" t="str">
        <f>IFERROR(__xludf.DUMMYFUNCTION("GOOGLETRANSLATE(F3696,""id"",""en"")"),"Messi needs a long time to bring Argentina to win the Mbappe World Cup, it only takes the year to bring France to win the World Cup and qualify for the final as many as successive times")</f>
        <v>Messi needs a long time to bring Argentina to win the Mbappe World Cup, it only takes the year to bring France to win the World Cup and qualify for the final as many as successive times</v>
      </c>
    </row>
    <row r="3697" ht="15.75" customHeight="1">
      <c r="A3697" s="1">
        <v>3721.0</v>
      </c>
      <c r="B3697" s="3" t="s">
        <v>10658</v>
      </c>
      <c r="C3697" s="3">
        <v>0.0</v>
      </c>
      <c r="D3697" s="3">
        <v>0.0</v>
      </c>
      <c r="E3697" s="3">
        <v>0.0</v>
      </c>
      <c r="F3697" s="3" t="s">
        <v>10659</v>
      </c>
      <c r="G3697" s="3">
        <v>1.0</v>
      </c>
      <c r="H3697" s="3">
        <v>0.0</v>
      </c>
      <c r="I3697" s="3" t="s">
        <v>13</v>
      </c>
      <c r="J3697" s="3" t="s">
        <v>10660</v>
      </c>
      <c r="K3697" s="3" t="s">
        <v>41</v>
      </c>
      <c r="L3697" s="3" t="str">
        <f>IFERROR(__xludf.DUMMYFUNCTION("GOOGLETRANSLATE(F3697,""id"",""en"")"),"Romy Rafael's Mentalist Reputation Bettings and World Cup Final Wives")</f>
        <v>Romy Rafael's Mentalist Reputation Bettings and World Cup Final Wives</v>
      </c>
    </row>
    <row r="3698" ht="15.75" customHeight="1">
      <c r="A3698" s="1">
        <v>3722.0</v>
      </c>
      <c r="B3698" s="3" t="s">
        <v>10661</v>
      </c>
      <c r="C3698" s="3">
        <v>1.0</v>
      </c>
      <c r="D3698" s="3">
        <v>0.0</v>
      </c>
      <c r="E3698" s="3">
        <v>0.0</v>
      </c>
      <c r="F3698" s="3" t="s">
        <v>10541</v>
      </c>
      <c r="G3698" s="3">
        <v>1.0</v>
      </c>
      <c r="H3698" s="3">
        <v>0.0</v>
      </c>
      <c r="I3698" s="3" t="s">
        <v>13</v>
      </c>
      <c r="J3698" s="3" t="s">
        <v>10542</v>
      </c>
      <c r="K3698" s="3" t="s">
        <v>1293</v>
      </c>
      <c r="L3698" s="3" t="str">
        <f>IFERROR(__xludf.DUMMYFUNCTION("GOOGLETRANSLATE(F3698,""id"",""en"")"),"Palembang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99" ht="15.75" customHeight="1">
      <c r="A3699" s="1">
        <v>3723.0</v>
      </c>
      <c r="B3699" s="3" t="s">
        <v>10662</v>
      </c>
      <c r="C3699" s="3">
        <v>0.0</v>
      </c>
      <c r="D3699" s="3">
        <v>0.0</v>
      </c>
      <c r="E3699" s="3">
        <v>0.0</v>
      </c>
      <c r="F3699" s="3" t="s">
        <v>10663</v>
      </c>
      <c r="G3699" s="3">
        <v>0.75</v>
      </c>
      <c r="H3699" s="3">
        <v>0.0</v>
      </c>
      <c r="I3699" s="3" t="s">
        <v>13</v>
      </c>
      <c r="J3699" s="3" t="s">
        <v>10664</v>
      </c>
      <c r="K3699" s="3" t="s">
        <v>574</v>
      </c>
      <c r="L3699" s="3" t="str">
        <f>IFERROR(__xludf.DUMMYFUNCTION("GOOGLETRANSLATE(F3699,""id"",""en"")"),"Celebrity Chef Salt Bae is prohibited from presenting the final soccer tournament of the United States Open Cup because Bae touches the real World Cup trophy that is not permitted")</f>
        <v>Celebrity Chef Salt Bae is prohibited from presenting the final soccer tournament of the United States Open Cup because Bae touches the real World Cup trophy that is not permitted</v>
      </c>
    </row>
    <row r="3700" ht="15.75" customHeight="1">
      <c r="A3700" s="1">
        <v>3724.0</v>
      </c>
      <c r="B3700" s="3" t="s">
        <v>10665</v>
      </c>
      <c r="C3700" s="3">
        <v>0.0</v>
      </c>
      <c r="D3700" s="3">
        <v>0.0</v>
      </c>
      <c r="E3700" s="3">
        <v>0.0</v>
      </c>
      <c r="F3700" s="3" t="s">
        <v>10666</v>
      </c>
      <c r="G3700" s="3">
        <v>1.0</v>
      </c>
      <c r="H3700" s="3">
        <v>0.0</v>
      </c>
      <c r="I3700" s="3" t="s">
        <v>13</v>
      </c>
      <c r="J3700" s="3" t="s">
        <v>10667</v>
      </c>
      <c r="K3700" s="3" t="s">
        <v>94</v>
      </c>
      <c r="L3700" s="3" t="str">
        <f>IFERROR(__xludf.DUMMYFUNCTION("GOOGLETRANSLATE(F3700,""id"",""en"")"),"I still haven't moved from the World Cup and feels very empty after the final yesterday hehe especially if you want the South Korean south match, Brazil Neymar is eliminated, but it's not big, especially if you have a big french")</f>
        <v>I still haven't moved from the World Cup and feels very empty after the final yesterday hehe especially if you want the South Korean south match, Brazil Neymar is eliminated, but it's not big, especially if you have a big french</v>
      </c>
    </row>
    <row r="3701" ht="15.75" customHeight="1">
      <c r="A3701" s="1">
        <v>3726.0</v>
      </c>
      <c r="B3701" s="3" t="s">
        <v>10668</v>
      </c>
      <c r="C3701" s="3">
        <v>3.0</v>
      </c>
      <c r="D3701" s="3">
        <v>4.0</v>
      </c>
      <c r="E3701" s="3">
        <v>17.0</v>
      </c>
      <c r="F3701" s="3" t="s">
        <v>10424</v>
      </c>
      <c r="G3701" s="3">
        <v>1.0</v>
      </c>
      <c r="H3701" s="3">
        <v>0.0</v>
      </c>
      <c r="I3701" s="3" t="s">
        <v>13</v>
      </c>
      <c r="J3701" s="3" t="s">
        <v>10425</v>
      </c>
      <c r="K3701" s="3" t="s">
        <v>75</v>
      </c>
      <c r="L3701" s="3" t="str">
        <f>IFERROR(__xludf.DUMMYFUNCTION("GOOGLETRANSLATE(F3701,""id"",""en"")"),"FIFA Investigates the Salt Bae incident into the field during the World Cup Final")</f>
        <v>FIFA Investigates the Salt Bae incident into the field during the World Cup Final</v>
      </c>
    </row>
    <row r="3702" ht="15.75" customHeight="1">
      <c r="A3702" s="1">
        <v>3727.0</v>
      </c>
      <c r="B3702" s="3" t="s">
        <v>10669</v>
      </c>
      <c r="C3702" s="3">
        <v>2.0</v>
      </c>
      <c r="D3702" s="3">
        <v>6.0</v>
      </c>
      <c r="E3702" s="3">
        <v>56.0</v>
      </c>
      <c r="F3702" s="3" t="s">
        <v>10670</v>
      </c>
      <c r="G3702" s="3">
        <v>1.0</v>
      </c>
      <c r="H3702" s="3">
        <v>0.0</v>
      </c>
      <c r="I3702" s="3" t="s">
        <v>13</v>
      </c>
      <c r="J3702" s="3" t="s">
        <v>10671</v>
      </c>
      <c r="K3702" s="3" t="s">
        <v>1469</v>
      </c>
      <c r="L3702" s="3" t="str">
        <f>IFERROR(__xludf.DUMMYFUNCTION("GOOGLETRANSLATE(F3702,""id"",""en"")"),"Dodo Lovers When the final settings this final settings mbappe boss can be ready to retire again this is the more clear settings")</f>
        <v>Dodo Lovers When the final settings this final settings mbappe boss can be ready to retire again this is the more clear settings</v>
      </c>
    </row>
    <row r="3703" ht="15.75" customHeight="1">
      <c r="A3703" s="1">
        <v>3728.0</v>
      </c>
      <c r="B3703" s="3" t="s">
        <v>10672</v>
      </c>
      <c r="C3703" s="3">
        <v>0.0</v>
      </c>
      <c r="D3703" s="3">
        <v>0.0</v>
      </c>
      <c r="E3703" s="3">
        <v>0.0</v>
      </c>
      <c r="F3703" s="3" t="s">
        <v>10673</v>
      </c>
      <c r="G3703" s="3">
        <v>1.0</v>
      </c>
      <c r="H3703" s="3">
        <v>0.0</v>
      </c>
      <c r="I3703" s="3" t="s">
        <v>13</v>
      </c>
      <c r="J3703" s="3" t="s">
        <v>10674</v>
      </c>
      <c r="K3703" s="3" t="s">
        <v>4281</v>
      </c>
      <c r="L3703" s="3" t="str">
        <f>IFERROR(__xludf.DUMMYFUNCTION("GOOGLETRANSLATE(F3703,""id"",""en"")"),"FIFA SIGNATIANA KISANANA SALT BAE Hold the Salt Bae Trophy to get unnatural access to Padang after the final action of FIFA regulations stated that the World Cup trophy should only")</f>
        <v>FIFA SIGNATIANA KISANANA SALT BAE Hold the Salt Bae Trophy to get unnatural access to Padang after the final action of FIFA regulations stated that the World Cup trophy should only</v>
      </c>
    </row>
    <row r="3704" ht="15.75" customHeight="1">
      <c r="A3704" s="1">
        <v>3729.0</v>
      </c>
      <c r="B3704" s="3" t="s">
        <v>10675</v>
      </c>
      <c r="C3704" s="3">
        <v>0.0</v>
      </c>
      <c r="D3704" s="3">
        <v>0.0</v>
      </c>
      <c r="E3704" s="3">
        <v>0.0</v>
      </c>
      <c r="F3704" s="3" t="s">
        <v>10676</v>
      </c>
      <c r="G3704" s="3">
        <v>1.0</v>
      </c>
      <c r="H3704" s="3">
        <v>0.0</v>
      </c>
      <c r="I3704" s="3" t="s">
        <v>13</v>
      </c>
      <c r="J3704" s="3" t="s">
        <v>10677</v>
      </c>
      <c r="K3704" s="3" t="s">
        <v>19</v>
      </c>
      <c r="L3704" s="3" t="str">
        <f>IFERROR(__xludf.DUMMYFUNCTION("GOOGLETRANSLATE(F3704,""id"",""en"")"),"FIFA will investigate and firm the Salt Bae chef who is acting up the World Cup Final")</f>
        <v>FIFA will investigate and firm the Salt Bae chef who is acting up the World Cup Final</v>
      </c>
    </row>
    <row r="3705" ht="15.75" customHeight="1">
      <c r="A3705" s="1">
        <v>3730.0</v>
      </c>
      <c r="B3705" s="3" t="s">
        <v>10678</v>
      </c>
      <c r="C3705" s="3">
        <v>0.0</v>
      </c>
      <c r="D3705" s="3">
        <v>0.0</v>
      </c>
      <c r="E3705" s="3">
        <v>0.0</v>
      </c>
      <c r="F3705" s="3" t="s">
        <v>10679</v>
      </c>
      <c r="G3705" s="3">
        <v>1.0</v>
      </c>
      <c r="H3705" s="3">
        <v>0.0</v>
      </c>
      <c r="I3705" s="3" t="s">
        <v>13</v>
      </c>
      <c r="J3705" s="3" t="s">
        <v>10680</v>
      </c>
      <c r="K3705" s="3" t="s">
        <v>75</v>
      </c>
      <c r="L3705" s="3" t="str">
        <f>IFERROR(__xludf.DUMMYFUNCTION("GOOGLETRANSLATE(F3705,""id"",""en"")"),"FIFA Investigates Salt Bae Action Entering the Field During the World Cup Final")</f>
        <v>FIFA Investigates Salt Bae Action Entering the Field During the World Cup Final</v>
      </c>
    </row>
    <row r="3706" ht="15.75" customHeight="1">
      <c r="A3706" s="1">
        <v>3731.0</v>
      </c>
      <c r="B3706" s="3" t="s">
        <v>10681</v>
      </c>
      <c r="C3706" s="3">
        <v>0.0</v>
      </c>
      <c r="D3706" s="3">
        <v>0.0</v>
      </c>
      <c r="E3706" s="3">
        <v>0.0</v>
      </c>
      <c r="F3706" s="3" t="s">
        <v>10679</v>
      </c>
      <c r="G3706" s="3">
        <v>1.0</v>
      </c>
      <c r="H3706" s="3">
        <v>0.0</v>
      </c>
      <c r="I3706" s="3" t="s">
        <v>13</v>
      </c>
      <c r="J3706" s="3" t="s">
        <v>10680</v>
      </c>
      <c r="K3706" s="3" t="s">
        <v>75</v>
      </c>
      <c r="L3706" s="3" t="str">
        <f>IFERROR(__xludf.DUMMYFUNCTION("GOOGLETRANSLATE(F3706,""id"",""en"")"),"FIFA Investigates Salt Bae Action Entering the Field During the World Cup Final")</f>
        <v>FIFA Investigates Salt Bae Action Entering the Field During the World Cup Final</v>
      </c>
    </row>
    <row r="3707" ht="15.75" customHeight="1">
      <c r="A3707" s="1">
        <v>3732.0</v>
      </c>
      <c r="B3707" s="3" t="s">
        <v>10682</v>
      </c>
      <c r="C3707" s="3">
        <v>0.0</v>
      </c>
      <c r="D3707" s="3">
        <v>0.0</v>
      </c>
      <c r="E3707" s="3">
        <v>0.0</v>
      </c>
      <c r="F3707" s="3" t="s">
        <v>10683</v>
      </c>
      <c r="G3707" s="3">
        <v>1.0</v>
      </c>
      <c r="H3707" s="3">
        <v>0.0</v>
      </c>
      <c r="I3707" s="3" t="s">
        <v>13</v>
      </c>
      <c r="J3707" s="3" t="s">
        <v>10684</v>
      </c>
      <c r="K3707" s="3" t="s">
        <v>41</v>
      </c>
      <c r="L3707" s="3" t="str">
        <f>IFERROR(__xludf.DUMMYFUNCTION("GOOGLETRANSLATE(F3707,""id"",""en"")"),"Guessing the relationship between Messi and Mbappe PSG after the hot World Cup final")</f>
        <v>Guessing the relationship between Messi and Mbappe PSG after the hot World Cup final</v>
      </c>
    </row>
    <row r="3708" ht="15.75" customHeight="1">
      <c r="A3708" s="1">
        <v>3733.0</v>
      </c>
      <c r="B3708" s="3" t="s">
        <v>10685</v>
      </c>
      <c r="C3708" s="3">
        <v>0.0</v>
      </c>
      <c r="D3708" s="3">
        <v>0.0</v>
      </c>
      <c r="E3708" s="3">
        <v>0.0</v>
      </c>
      <c r="F3708" s="3" t="s">
        <v>10686</v>
      </c>
      <c r="G3708" s="3">
        <v>0.75</v>
      </c>
      <c r="H3708" s="3">
        <v>0.25</v>
      </c>
      <c r="I3708" s="3" t="s">
        <v>48</v>
      </c>
      <c r="J3708" s="3" t="s">
        <v>10687</v>
      </c>
      <c r="K3708" s="3" t="s">
        <v>1061</v>
      </c>
      <c r="L3708" s="3" t="str">
        <f>IFERROR(__xludf.DUMMYFUNCTION("GOOGLETRANSLATE(F3708,""id"",""en"")"),"FIFA finally opened the vote about the behavior of one of their invitations the World Cup final between the Argentine national team against the French national team Lusail Iconic Stadium Qatar on Sunday night WIB")</f>
        <v>FIFA finally opened the vote about the behavior of one of their invitations the World Cup final between the Argentine national team against the French national team Lusail Iconic Stadium Qatar on Sunday night WIB</v>
      </c>
    </row>
    <row r="3709" ht="15.75" customHeight="1">
      <c r="A3709" s="1">
        <v>3734.0</v>
      </c>
      <c r="B3709" s="3" t="s">
        <v>10688</v>
      </c>
      <c r="C3709" s="3">
        <v>0.0</v>
      </c>
      <c r="D3709" s="3">
        <v>0.0</v>
      </c>
      <c r="E3709" s="3">
        <v>0.0</v>
      </c>
      <c r="F3709" s="3" t="s">
        <v>10689</v>
      </c>
      <c r="G3709" s="3">
        <v>1.0</v>
      </c>
      <c r="H3709" s="3">
        <v>0.0</v>
      </c>
      <c r="I3709" s="3" t="s">
        <v>13</v>
      </c>
      <c r="J3709" s="3" t="s">
        <v>10425</v>
      </c>
      <c r="K3709" s="3" t="s">
        <v>75</v>
      </c>
      <c r="L3709" s="3" t="str">
        <f>IFERROR(__xludf.DUMMYFUNCTION("GOOGLETRANSLATE(F3709,""id"",""en"")"),"FIFA Investigates the Salt Bae Incident Entering the Field in the World Cup Final")</f>
        <v>FIFA Investigates the Salt Bae Incident Entering the Field in the World Cup Final</v>
      </c>
    </row>
    <row r="3710" ht="15.75" customHeight="1">
      <c r="A3710" s="1">
        <v>3735.0</v>
      </c>
      <c r="B3710" s="3" t="s">
        <v>10690</v>
      </c>
      <c r="C3710" s="3">
        <v>0.0</v>
      </c>
      <c r="D3710" s="3">
        <v>0.0</v>
      </c>
      <c r="E3710" s="3">
        <v>0.0</v>
      </c>
      <c r="F3710" s="3" t="s">
        <v>10691</v>
      </c>
      <c r="G3710" s="3">
        <v>1.0</v>
      </c>
      <c r="H3710" s="3">
        <v>0.0</v>
      </c>
      <c r="I3710" s="3" t="s">
        <v>13</v>
      </c>
      <c r="J3710" s="3" t="s">
        <v>10692</v>
      </c>
      <c r="K3710" s="3" t="s">
        <v>491</v>
      </c>
      <c r="L3710" s="3" t="str">
        <f>IFERROR(__xludf.DUMMYFUNCTION("GOOGLETRANSLATE(F3710,""id"",""en"")"),"Refusing to forget this is a fact facts interesting phase of the knockout and final of the World Cup Link contact us Line Official Official Friends")</f>
        <v>Refusing to forget this is a fact facts interesting phase of the knockout and final of the World Cup Link contact us Line Official Official Friends</v>
      </c>
    </row>
    <row r="3711" ht="15.75" customHeight="1">
      <c r="A3711" s="1">
        <v>3736.0</v>
      </c>
      <c r="B3711" s="3" t="s">
        <v>10693</v>
      </c>
      <c r="C3711" s="3">
        <v>0.0</v>
      </c>
      <c r="D3711" s="3">
        <v>0.0</v>
      </c>
      <c r="E3711" s="3">
        <v>0.0</v>
      </c>
      <c r="F3711" s="3" t="s">
        <v>10694</v>
      </c>
      <c r="G3711" s="3">
        <v>1.0</v>
      </c>
      <c r="H3711" s="3">
        <v>0.0</v>
      </c>
      <c r="I3711" s="3" t="s">
        <v>13</v>
      </c>
      <c r="J3711" s="3" t="s">
        <v>10695</v>
      </c>
      <c r="K3711" s="3" t="s">
        <v>50</v>
      </c>
      <c r="L3711" s="3" t="str">
        <f>IFERROR(__xludf.DUMMYFUNCTION("GOOGLETRANSLATE(F3711,""id"",""en"")"),"FIFA Investigates Access Entry Entrance to Salt Bae Field After the World Cup Final")</f>
        <v>FIFA Investigates Access Entry Entrance to Salt Bae Field After the World Cup Final</v>
      </c>
    </row>
    <row r="3712" ht="15.75" customHeight="1">
      <c r="A3712" s="1">
        <v>3737.0</v>
      </c>
      <c r="B3712" s="3" t="s">
        <v>10696</v>
      </c>
      <c r="C3712" s="3">
        <v>0.0</v>
      </c>
      <c r="D3712" s="3">
        <v>0.0</v>
      </c>
      <c r="E3712" s="3">
        <v>0.0</v>
      </c>
      <c r="F3712" s="3" t="s">
        <v>10424</v>
      </c>
      <c r="G3712" s="3">
        <v>1.0</v>
      </c>
      <c r="H3712" s="3">
        <v>0.0</v>
      </c>
      <c r="I3712" s="3" t="s">
        <v>13</v>
      </c>
      <c r="J3712" s="3" t="s">
        <v>10425</v>
      </c>
      <c r="K3712" s="3" t="s">
        <v>75</v>
      </c>
      <c r="L3712" s="3" t="str">
        <f>IFERROR(__xludf.DUMMYFUNCTION("GOOGLETRANSLATE(F3712,""id"",""en"")"),"FIFA Investigates the Salt Bae incident into the field during the World Cup Final")</f>
        <v>FIFA Investigates the Salt Bae incident into the field during the World Cup Final</v>
      </c>
    </row>
    <row r="3713" ht="15.75" customHeight="1">
      <c r="A3713" s="1">
        <v>3738.0</v>
      </c>
      <c r="B3713" s="3" t="s">
        <v>10697</v>
      </c>
      <c r="C3713" s="3">
        <v>1.0</v>
      </c>
      <c r="D3713" s="3">
        <v>0.0</v>
      </c>
      <c r="E3713" s="3">
        <v>0.0</v>
      </c>
      <c r="F3713" s="3" t="s">
        <v>10698</v>
      </c>
      <c r="G3713" s="3">
        <v>0.38</v>
      </c>
      <c r="H3713" s="3">
        <v>0.06</v>
      </c>
      <c r="I3713" s="3" t="s">
        <v>48</v>
      </c>
      <c r="J3713" s="3" t="s">
        <v>10699</v>
      </c>
      <c r="K3713" s="3" t="s">
        <v>1656</v>
      </c>
      <c r="L3713" s="3" t="str">
        <f>IFERROR(__xludf.DUMMYFUNCTION("GOOGLETRANSLATE(F3713,""id"",""en"")"),"Park Hang Seo's achievements with Vietnam AFC Asian Games AFF Quarterfinal Asian Cup SEA Games Top Ranking FIFA Final Round of World Cup Qualifications")</f>
        <v>Park Hang Seo's achievements with Vietnam AFC Asian Games AFF Quarterfinal Asian Cup SEA Games Top Ranking FIFA Final Round of World Cup Qualifications</v>
      </c>
    </row>
    <row r="3714" ht="15.75" customHeight="1">
      <c r="A3714" s="1">
        <v>3739.0</v>
      </c>
      <c r="B3714" s="3" t="s">
        <v>10700</v>
      </c>
      <c r="C3714" s="3">
        <v>0.0</v>
      </c>
      <c r="D3714" s="3">
        <v>0.0</v>
      </c>
      <c r="E3714" s="3">
        <v>0.0</v>
      </c>
      <c r="F3714" s="3" t="s">
        <v>10701</v>
      </c>
      <c r="G3714" s="3">
        <v>0.8333333333333334</v>
      </c>
      <c r="H3714" s="3">
        <v>0.0</v>
      </c>
      <c r="I3714" s="3" t="s">
        <v>13</v>
      </c>
      <c r="J3714" s="3" t="s">
        <v>10702</v>
      </c>
      <c r="K3714" s="3" t="s">
        <v>503</v>
      </c>
      <c r="L3714" s="3" t="str">
        <f>IFERROR(__xludf.DUMMYFUNCTION("GOOGLETRANSLATE(F3714,""id"",""en"")"),"Even kissing the trophy even though holding the World Cup trophy is haram for those who are not interested now Salt Bae gets rewards for the behavior of the World Cup final is now prohibited from attending the Final Open Cup round")</f>
        <v>Even kissing the trophy even though holding the World Cup trophy is haram for those who are not interested now Salt Bae gets rewards for the behavior of the World Cup final is now prohibited from attending the Final Open Cup round</v>
      </c>
    </row>
    <row r="3715" ht="15.75" customHeight="1">
      <c r="A3715" s="1">
        <v>3740.0</v>
      </c>
      <c r="B3715" s="3" t="s">
        <v>10703</v>
      </c>
      <c r="C3715" s="3">
        <v>1.0</v>
      </c>
      <c r="D3715" s="3">
        <v>0.0</v>
      </c>
      <c r="E3715" s="3">
        <v>0.0</v>
      </c>
      <c r="F3715" s="3" t="s">
        <v>10704</v>
      </c>
      <c r="G3715" s="3">
        <v>1.0</v>
      </c>
      <c r="H3715" s="3">
        <v>0.0</v>
      </c>
      <c r="I3715" s="3" t="s">
        <v>13</v>
      </c>
      <c r="J3715" s="3" t="s">
        <v>10705</v>
      </c>
      <c r="K3715" s="3" t="s">
        <v>574</v>
      </c>
      <c r="L3715" s="3" t="str">
        <f>IFERROR(__xludf.DUMMYFUNCTION("GOOGLETRANSLATE(F3715,""id"",""en"")"),"Salt Bae had previously been an uninvited guest when the Argentine squad celebrated his victory over France Final Lusail Stadium World Cup last December at that time suddenly entered the field")</f>
        <v>Salt Bae had previously been an uninvited guest when the Argentine squad celebrated his victory over France Final Lusail Stadium World Cup last December at that time suddenly entered the field</v>
      </c>
    </row>
    <row r="3716" ht="15.75" customHeight="1">
      <c r="A3716" s="1">
        <v>3741.0</v>
      </c>
      <c r="B3716" s="3" t="s">
        <v>10706</v>
      </c>
      <c r="C3716" s="3">
        <v>1.0</v>
      </c>
      <c r="D3716" s="3">
        <v>0.0</v>
      </c>
      <c r="E3716" s="3">
        <v>0.0</v>
      </c>
      <c r="F3716" s="3" t="s">
        <v>10707</v>
      </c>
      <c r="G3716" s="3">
        <v>0.75</v>
      </c>
      <c r="H3716" s="3">
        <v>0.0</v>
      </c>
      <c r="I3716" s="3" t="s">
        <v>13</v>
      </c>
      <c r="J3716" s="3" t="s">
        <v>10708</v>
      </c>
      <c r="K3716" s="3" t="s">
        <v>71</v>
      </c>
      <c r="L3716" s="3" t="str">
        <f>IFERROR(__xludf.DUMMYFUNCTION("GOOGLETRANSLATE(F3716,""id"",""en"")"),"Chef Salt Bae is now prohibited from attending the Final Open Cup event after creating a World Cup controversy")</f>
        <v>Chef Salt Bae is now prohibited from attending the Final Open Cup event after creating a World Cup controversy</v>
      </c>
    </row>
    <row r="3717" ht="15.75" customHeight="1">
      <c r="A3717" s="1">
        <v>3742.0</v>
      </c>
      <c r="B3717" s="3" t="s">
        <v>10709</v>
      </c>
      <c r="C3717" s="3">
        <v>0.0</v>
      </c>
      <c r="D3717" s="3">
        <v>0.0</v>
      </c>
      <c r="E3717" s="3">
        <v>0.0</v>
      </c>
      <c r="F3717" s="3" t="s">
        <v>10424</v>
      </c>
      <c r="G3717" s="3">
        <v>1.0</v>
      </c>
      <c r="H3717" s="3">
        <v>0.0</v>
      </c>
      <c r="I3717" s="3" t="s">
        <v>13</v>
      </c>
      <c r="J3717" s="3" t="s">
        <v>10425</v>
      </c>
      <c r="K3717" s="3" t="s">
        <v>75</v>
      </c>
      <c r="L3717" s="3" t="str">
        <f>IFERROR(__xludf.DUMMYFUNCTION("GOOGLETRANSLATE(F3717,""id"",""en"")"),"FIFA Investigates the Salt Bae incident into the field during the World Cup Final")</f>
        <v>FIFA Investigates the Salt Bae incident into the field during the World Cup Final</v>
      </c>
    </row>
    <row r="3718" ht="15.75" customHeight="1">
      <c r="A3718" s="1">
        <v>3743.0</v>
      </c>
      <c r="B3718" s="3" t="s">
        <v>10710</v>
      </c>
      <c r="C3718" s="3">
        <v>0.0</v>
      </c>
      <c r="D3718" s="3">
        <v>0.0</v>
      </c>
      <c r="E3718" s="3">
        <v>1.0</v>
      </c>
      <c r="F3718" s="3" t="s">
        <v>10711</v>
      </c>
      <c r="G3718" s="3">
        <v>1.0</v>
      </c>
      <c r="H3718" s="3">
        <v>0.0</v>
      </c>
      <c r="I3718" s="3" t="s">
        <v>13</v>
      </c>
      <c r="J3718" s="3" t="s">
        <v>10712</v>
      </c>
      <c r="K3718" s="3" t="s">
        <v>15</v>
      </c>
      <c r="L3718" s="3" t="str">
        <f>IFERROR(__xludf.DUMMYFUNCTION("GOOGLETRANSLATE(F3718,""id"",""en"")"),"It also makes sense that the Final World Cup of all fans")</f>
        <v>It also makes sense that the Final World Cup of all fans</v>
      </c>
    </row>
    <row r="3719" ht="15.75" customHeight="1">
      <c r="A3719" s="1">
        <v>3744.0</v>
      </c>
      <c r="B3719" s="3" t="s">
        <v>10713</v>
      </c>
      <c r="C3719" s="3">
        <v>0.0</v>
      </c>
      <c r="D3719" s="3">
        <v>0.0</v>
      </c>
      <c r="E3719" s="3">
        <v>0.0</v>
      </c>
      <c r="F3719" s="3" t="s">
        <v>10714</v>
      </c>
      <c r="G3719" s="3">
        <v>1.0</v>
      </c>
      <c r="H3719" s="3">
        <v>0.0</v>
      </c>
      <c r="I3719" s="3" t="s">
        <v>13</v>
      </c>
      <c r="J3719" s="3" t="s">
        <v>10715</v>
      </c>
      <c r="K3719" s="3" t="s">
        <v>50</v>
      </c>
      <c r="L3719" s="3" t="str">
        <f>IFERROR(__xludf.DUMMYFUNCTION("GOOGLETRANSLATE(F3719,""id"",""en"")"),"Final of the Best World Cup and Cannot be Forgotten in the History of the French Link Argentina Number")</f>
        <v>Final of the Best World Cup and Cannot be Forgotten in the History of the French Link Argentina Number</v>
      </c>
    </row>
    <row r="3720" ht="15.75" customHeight="1">
      <c r="A3720" s="1">
        <v>3745.0</v>
      </c>
      <c r="B3720" s="3" t="s">
        <v>10716</v>
      </c>
      <c r="C3720" s="3">
        <v>2.0</v>
      </c>
      <c r="D3720" s="3">
        <v>4.0</v>
      </c>
      <c r="E3720" s="3">
        <v>13.0</v>
      </c>
      <c r="F3720" s="3" t="s">
        <v>10717</v>
      </c>
      <c r="G3720" s="3">
        <v>1.0</v>
      </c>
      <c r="H3720" s="3">
        <v>0.0</v>
      </c>
      <c r="I3720" s="3" t="s">
        <v>13</v>
      </c>
      <c r="J3720" s="3" t="s">
        <v>10718</v>
      </c>
      <c r="K3720" s="3" t="s">
        <v>935</v>
      </c>
      <c r="L3720" s="3" t="str">
        <f>IFERROR(__xludf.DUMMYFUNCTION("GOOGLETRANSLATE(F3720,""id"",""en"")"),"Did you know that there are many things related to the Qatar World Cup Migrant Sweat Sweat Migrant Workers Migrants Development of World Cup Infrastructure Imagine that the World Cup without the face of the final migrant was held in the DES together with "&amp;"the Day of International Migrant Workers")</f>
        <v>Did you know that there are many things related to the Qatar World Cup Migrant Sweat Sweat Migrant Workers Migrants Development of World Cup Infrastructure Imagine that the World Cup without the face of the final migrant was held in the DES together with the Day of International Migrant Workers</v>
      </c>
    </row>
    <row r="3721" ht="15.75" customHeight="1">
      <c r="A3721" s="1">
        <v>3746.0</v>
      </c>
      <c r="B3721" s="3" t="s">
        <v>10719</v>
      </c>
      <c r="C3721" s="3">
        <v>1.0</v>
      </c>
      <c r="D3721" s="3">
        <v>2.0</v>
      </c>
      <c r="E3721" s="3">
        <v>11.0</v>
      </c>
      <c r="F3721" s="3" t="s">
        <v>10720</v>
      </c>
      <c r="G3721" s="3">
        <v>1.0</v>
      </c>
      <c r="H3721" s="3">
        <v>0.0</v>
      </c>
      <c r="I3721" s="3" t="s">
        <v>13</v>
      </c>
      <c r="J3721" s="3" t="s">
        <v>10721</v>
      </c>
      <c r="K3721" s="3" t="s">
        <v>50</v>
      </c>
      <c r="L3721" s="3" t="str">
        <f>IFERROR(__xludf.DUMMYFUNCTION("GOOGLETRANSLATE(F3721,""id"",""en"")"),"Lionel Messi was disrupted by FIFA to investigate the World Cup Final Salt Bae Incident")</f>
        <v>Lionel Messi was disrupted by FIFA to investigate the World Cup Final Salt Bae Incident</v>
      </c>
    </row>
    <row r="3722" ht="15.75" customHeight="1">
      <c r="A3722" s="1">
        <v>3747.0</v>
      </c>
      <c r="B3722" s="3" t="s">
        <v>10722</v>
      </c>
      <c r="C3722" s="3">
        <v>0.0</v>
      </c>
      <c r="D3722" s="3">
        <v>0.0</v>
      </c>
      <c r="E3722" s="3">
        <v>0.0</v>
      </c>
      <c r="F3722" s="3" t="s">
        <v>10723</v>
      </c>
      <c r="G3722" s="3">
        <v>1.0</v>
      </c>
      <c r="H3722" s="3">
        <v>0.0</v>
      </c>
      <c r="I3722" s="3" t="s">
        <v>13</v>
      </c>
      <c r="J3722" s="3" t="s">
        <v>10724</v>
      </c>
      <c r="K3722" s="3" t="s">
        <v>19</v>
      </c>
      <c r="L3722" s="3" t="str">
        <f>IFERROR(__xludf.DUMMYFUNCTION("GOOGLETRANSLATE(F3722,""id"",""en"")"),"FIFA Investigates the Salt Bae Incident Entering the Field During the ANTARA Bengkulu News World Cup Final")</f>
        <v>FIFA Investigates the Salt Bae Incident Entering the Field During the ANTARA Bengkulu News World Cup Final</v>
      </c>
    </row>
    <row r="3723" ht="15.75" customHeight="1">
      <c r="A3723" s="1">
        <v>3748.0</v>
      </c>
      <c r="B3723" s="3" t="s">
        <v>10725</v>
      </c>
      <c r="C3723" s="3">
        <v>0.0</v>
      </c>
      <c r="D3723" s="3">
        <v>0.0</v>
      </c>
      <c r="E3723" s="3">
        <v>0.0</v>
      </c>
      <c r="F3723" s="3" t="s">
        <v>10726</v>
      </c>
      <c r="G3723" s="3">
        <v>1.0</v>
      </c>
      <c r="H3723" s="3">
        <v>0.0</v>
      </c>
      <c r="I3723" s="3" t="s">
        <v>13</v>
      </c>
      <c r="J3723" s="3" t="s">
        <v>10727</v>
      </c>
      <c r="K3723" s="3" t="s">
        <v>35</v>
      </c>
      <c r="L3723" s="3" t="str">
        <f>IFERROR(__xludf.DUMMYFUNCTION("GOOGLETRANSLATE(F3723,""id"",""en"")"),"Sulaiman Brazil World Cup Final Sunday, how come this is Monday")</f>
        <v>Sulaiman Brazil World Cup Final Sunday, how come this is Monday</v>
      </c>
    </row>
    <row r="3724" ht="15.75" customHeight="1">
      <c r="A3724" s="1">
        <v>3749.0</v>
      </c>
      <c r="B3724" s="3" t="s">
        <v>10728</v>
      </c>
      <c r="C3724" s="3">
        <v>0.0</v>
      </c>
      <c r="D3724" s="3">
        <v>0.0</v>
      </c>
      <c r="E3724" s="3">
        <v>2.0</v>
      </c>
      <c r="F3724" s="3" t="s">
        <v>10729</v>
      </c>
      <c r="G3724" s="3">
        <v>1.0</v>
      </c>
      <c r="H3724" s="3">
        <v>0.0</v>
      </c>
      <c r="I3724" s="3" t="s">
        <v>13</v>
      </c>
      <c r="J3724" s="3" t="s">
        <v>10730</v>
      </c>
      <c r="K3724" s="3" t="s">
        <v>50</v>
      </c>
      <c r="L3724" s="3" t="str">
        <f>IFERROR(__xludf.DUMMYFUNCTION("GOOGLETRANSLATE(F3724,""id"",""en"")"),"FIFA Investigates the Salt Bae Case Entering the Field After the World Cup Final")</f>
        <v>FIFA Investigates the Salt Bae Case Entering the Field After the World Cup Final</v>
      </c>
    </row>
    <row r="3725" ht="15.75" customHeight="1">
      <c r="A3725" s="1">
        <v>3750.0</v>
      </c>
      <c r="B3725" s="3" t="s">
        <v>10731</v>
      </c>
      <c r="C3725" s="3">
        <v>5.0</v>
      </c>
      <c r="D3725" s="3">
        <v>3.0</v>
      </c>
      <c r="E3725" s="3">
        <v>10.0</v>
      </c>
      <c r="F3725" s="3" t="s">
        <v>10732</v>
      </c>
      <c r="G3725" s="3">
        <v>1.0</v>
      </c>
      <c r="H3725" s="3">
        <v>0.0</v>
      </c>
      <c r="I3725" s="3" t="s">
        <v>13</v>
      </c>
      <c r="J3725" s="3" t="s">
        <v>10733</v>
      </c>
      <c r="K3725" s="3" t="s">
        <v>240</v>
      </c>
      <c r="L3725" s="3" t="str">
        <f>IFERROR(__xludf.DUMMYFUNCTION("GOOGLETRANSLATE(F3725,""id"",""en"")"),"FIFA will investigate how Salt Bae celebrity chefs gain non -access to the field at the end of the Qatar World Cup final")</f>
        <v>FIFA will investigate how Salt Bae celebrity chefs gain non -access to the field at the end of the Qatar World Cup final</v>
      </c>
    </row>
    <row r="3726" ht="15.75" customHeight="1">
      <c r="A3726" s="1">
        <v>3751.0</v>
      </c>
      <c r="B3726" s="3" t="s">
        <v>10734</v>
      </c>
      <c r="C3726" s="3">
        <v>0.0</v>
      </c>
      <c r="D3726" s="3">
        <v>0.0</v>
      </c>
      <c r="E3726" s="3">
        <v>5.0</v>
      </c>
      <c r="F3726" s="3" t="s">
        <v>10732</v>
      </c>
      <c r="G3726" s="3">
        <v>1.0</v>
      </c>
      <c r="H3726" s="3">
        <v>0.0</v>
      </c>
      <c r="I3726" s="3" t="s">
        <v>13</v>
      </c>
      <c r="J3726" s="3" t="s">
        <v>10733</v>
      </c>
      <c r="K3726" s="3" t="s">
        <v>240</v>
      </c>
      <c r="L3726" s="3" t="str">
        <f>IFERROR(__xludf.DUMMYFUNCTION("GOOGLETRANSLATE(F3726,""id"",""en"")"),"FIFA will investigate how Salt Bae celebrity chefs gain non -access to the field at the end of the Qatar World Cup final")</f>
        <v>FIFA will investigate how Salt Bae celebrity chefs gain non -access to the field at the end of the Qatar World Cup final</v>
      </c>
    </row>
    <row r="3727" ht="15.75" customHeight="1">
      <c r="A3727" s="1">
        <v>3752.0</v>
      </c>
      <c r="B3727" s="3" t="s">
        <v>10735</v>
      </c>
      <c r="C3727" s="3">
        <v>0.0</v>
      </c>
      <c r="D3727" s="3">
        <v>0.0</v>
      </c>
      <c r="E3727" s="3">
        <v>0.0</v>
      </c>
      <c r="F3727" s="3" t="s">
        <v>10736</v>
      </c>
      <c r="G3727" s="3">
        <v>1.0</v>
      </c>
      <c r="H3727" s="3">
        <v>0.0</v>
      </c>
      <c r="I3727" s="3" t="s">
        <v>13</v>
      </c>
      <c r="J3727" s="3" t="s">
        <v>10737</v>
      </c>
      <c r="K3727" s="3" t="s">
        <v>19</v>
      </c>
      <c r="L3727" s="3" t="str">
        <f>IFERROR(__xludf.DUMMYFUNCTION("GOOGLETRANSLATE(F3727,""id"",""en"")"),"before death I have to watch one of the World Cup matches, hopefully it's final and Germany is there")</f>
        <v>before death I have to watch one of the World Cup matches, hopefully it's final and Germany is there</v>
      </c>
    </row>
    <row r="3728" ht="15.75" customHeight="1">
      <c r="A3728" s="1">
        <v>3753.0</v>
      </c>
      <c r="B3728" s="3" t="s">
        <v>10738</v>
      </c>
      <c r="C3728" s="3">
        <v>0.0</v>
      </c>
      <c r="D3728" s="3">
        <v>0.0</v>
      </c>
      <c r="E3728" s="3">
        <v>0.0</v>
      </c>
      <c r="F3728" s="3" t="s">
        <v>10739</v>
      </c>
      <c r="G3728" s="3">
        <v>1.0</v>
      </c>
      <c r="H3728" s="3">
        <v>0.0</v>
      </c>
      <c r="I3728" s="3" t="s">
        <v>13</v>
      </c>
      <c r="J3728" s="3" t="s">
        <v>10740</v>
      </c>
      <c r="K3728" s="3" t="s">
        <v>510</v>
      </c>
      <c r="L3728" s="3" t="str">
        <f>IFERROR(__xludf.DUMMYFUNCTION("GOOGLETRANSLATE(F3728,""id"",""en"")"),"FIFA gave the nickname Lionel Messi as Goat after the Argentina team won the World Cup final")</f>
        <v>FIFA gave the nickname Lionel Messi as Goat after the Argentina team won the World Cup final</v>
      </c>
    </row>
    <row r="3729" ht="15.75" customHeight="1">
      <c r="A3729" s="1">
        <v>3754.0</v>
      </c>
      <c r="B3729" s="3" t="s">
        <v>10741</v>
      </c>
      <c r="C3729" s="3">
        <v>0.0</v>
      </c>
      <c r="D3729" s="3">
        <v>0.0</v>
      </c>
      <c r="E3729" s="3">
        <v>0.0</v>
      </c>
      <c r="F3729" s="3" t="s">
        <v>10742</v>
      </c>
      <c r="G3729" s="3">
        <v>1.0</v>
      </c>
      <c r="H3729" s="3">
        <v>0.0</v>
      </c>
      <c r="I3729" s="3" t="s">
        <v>13</v>
      </c>
      <c r="J3729" s="3" t="s">
        <v>10743</v>
      </c>
      <c r="K3729" s="3" t="s">
        <v>19</v>
      </c>
      <c r="L3729" s="3" t="str">
        <f>IFERROR(__xludf.DUMMYFUNCTION("GOOGLETRANSLATE(F3729,""id"",""en"")"),"FIFA investigates how the phenomenal chef Salt Bae can enter the field during the World Cup final")</f>
        <v>FIFA investigates how the phenomenal chef Salt Bae can enter the field during the World Cup final</v>
      </c>
    </row>
    <row r="3730" ht="15.75" customHeight="1">
      <c r="A3730" s="1">
        <v>3755.0</v>
      </c>
      <c r="B3730" s="3" t="s">
        <v>10744</v>
      </c>
      <c r="C3730" s="3">
        <v>0.0</v>
      </c>
      <c r="D3730" s="3">
        <v>0.0</v>
      </c>
      <c r="E3730" s="3">
        <v>0.0</v>
      </c>
      <c r="F3730" s="3" t="s">
        <v>10745</v>
      </c>
      <c r="G3730" s="3">
        <v>0.75</v>
      </c>
      <c r="H3730" s="3">
        <v>0.0</v>
      </c>
      <c r="I3730" s="3" t="s">
        <v>13</v>
      </c>
      <c r="J3730" s="3" t="s">
        <v>10746</v>
      </c>
      <c r="K3730" s="3" t="s">
        <v>71</v>
      </c>
      <c r="L3730" s="3" t="str">
        <f>IFERROR(__xludf.DUMMYFUNCTION("GOOGLETRANSLATE(F3730,""id"",""en"")"),"The impact dares to hold the Chef Salt Bae World Cup trophy forbidden to attend the final open cup")</f>
        <v>The impact dares to hold the Chef Salt Bae World Cup trophy forbidden to attend the final open cup</v>
      </c>
    </row>
    <row r="3731" ht="15.75" customHeight="1">
      <c r="A3731" s="1">
        <v>3757.0</v>
      </c>
      <c r="B3731" s="3" t="s">
        <v>10747</v>
      </c>
      <c r="C3731" s="3">
        <v>0.0</v>
      </c>
      <c r="D3731" s="3">
        <v>0.0</v>
      </c>
      <c r="E3731" s="3">
        <v>0.0</v>
      </c>
      <c r="F3731" s="3" t="s">
        <v>10748</v>
      </c>
      <c r="G3731" s="3">
        <v>0.6666666666666666</v>
      </c>
      <c r="H3731" s="3">
        <v>0.08333333333333333</v>
      </c>
      <c r="I3731" s="3" t="s">
        <v>48</v>
      </c>
      <c r="J3731" s="3" t="s">
        <v>10749</v>
      </c>
      <c r="K3731" s="3" t="s">
        <v>433</v>
      </c>
      <c r="L3731" s="3" t="str">
        <f>IFERROR(__xludf.DUMMYFUNCTION("GOOGLETRANSLATE(F3731,""id"",""en"")"),"Info Playing Soccer Refusing to Forgot This This Interesting Facts Facts and Final The Link World Cup")</f>
        <v>Info Playing Soccer Refusing to Forgot This This Interesting Facts Facts and Final The Link World Cup</v>
      </c>
    </row>
    <row r="3732" ht="15.75" customHeight="1">
      <c r="A3732" s="1">
        <v>3758.0</v>
      </c>
      <c r="B3732" s="3" t="s">
        <v>10750</v>
      </c>
      <c r="C3732" s="3">
        <v>0.0</v>
      </c>
      <c r="D3732" s="3">
        <v>0.0</v>
      </c>
      <c r="E3732" s="3">
        <v>0.0</v>
      </c>
      <c r="F3732" s="3" t="s">
        <v>10424</v>
      </c>
      <c r="G3732" s="3">
        <v>1.0</v>
      </c>
      <c r="H3732" s="3">
        <v>0.0</v>
      </c>
      <c r="I3732" s="3" t="s">
        <v>13</v>
      </c>
      <c r="J3732" s="3" t="s">
        <v>10425</v>
      </c>
      <c r="K3732" s="3" t="s">
        <v>75</v>
      </c>
      <c r="L3732" s="3" t="str">
        <f>IFERROR(__xludf.DUMMYFUNCTION("GOOGLETRANSLATE(F3732,""id"",""en"")"),"FIFA Investigates the Salt Bae incident into the field during the World Cup Final")</f>
        <v>FIFA Investigates the Salt Bae incident into the field during the World Cup Final</v>
      </c>
    </row>
    <row r="3733" ht="15.75" customHeight="1">
      <c r="A3733" s="1">
        <v>3759.0</v>
      </c>
      <c r="B3733" s="3" t="s">
        <v>10751</v>
      </c>
      <c r="C3733" s="3">
        <v>0.0</v>
      </c>
      <c r="D3733" s="3">
        <v>0.0</v>
      </c>
      <c r="E3733" s="3">
        <v>0.0</v>
      </c>
      <c r="F3733" s="3" t="s">
        <v>10752</v>
      </c>
      <c r="G3733" s="3">
        <v>1.0</v>
      </c>
      <c r="H3733" s="3">
        <v>0.0</v>
      </c>
      <c r="I3733" s="3" t="s">
        <v>13</v>
      </c>
      <c r="J3733" s="3" t="s">
        <v>10753</v>
      </c>
      <c r="K3733" s="3" t="s">
        <v>75</v>
      </c>
      <c r="L3733" s="3" t="str">
        <f>IFERROR(__xludf.DUMMYFUNCTION("GOOGLETRANSLATE(F3733,""id"",""en"")"),"The Salt Bae incident entered the field when the World Cup final was investigated by FIFA")</f>
        <v>The Salt Bae incident entered the field when the World Cup final was investigated by FIFA</v>
      </c>
    </row>
    <row r="3734" ht="15.75" customHeight="1">
      <c r="A3734" s="1">
        <v>3760.0</v>
      </c>
      <c r="B3734" s="3" t="s">
        <v>10754</v>
      </c>
      <c r="C3734" s="3">
        <v>0.0</v>
      </c>
      <c r="D3734" s="3">
        <v>0.0</v>
      </c>
      <c r="E3734" s="3">
        <v>0.0</v>
      </c>
      <c r="F3734" s="3" t="s">
        <v>10752</v>
      </c>
      <c r="G3734" s="3">
        <v>1.0</v>
      </c>
      <c r="H3734" s="3">
        <v>0.0</v>
      </c>
      <c r="I3734" s="3" t="s">
        <v>13</v>
      </c>
      <c r="J3734" s="3" t="s">
        <v>10753</v>
      </c>
      <c r="K3734" s="3" t="s">
        <v>75</v>
      </c>
      <c r="L3734" s="3" t="str">
        <f>IFERROR(__xludf.DUMMYFUNCTION("GOOGLETRANSLATE(F3734,""id"",""en"")"),"The Salt Bae incident entered the field when the World Cup final was investigated by FIFA")</f>
        <v>The Salt Bae incident entered the field when the World Cup final was investigated by FIFA</v>
      </c>
    </row>
    <row r="3735" ht="15.75" customHeight="1">
      <c r="A3735" s="1">
        <v>3761.0</v>
      </c>
      <c r="B3735" s="3" t="s">
        <v>10755</v>
      </c>
      <c r="C3735" s="3">
        <v>0.0</v>
      </c>
      <c r="D3735" s="3">
        <v>10.0</v>
      </c>
      <c r="E3735" s="3">
        <v>16.0</v>
      </c>
      <c r="F3735" s="3" t="s">
        <v>10756</v>
      </c>
      <c r="G3735" s="3">
        <v>1.0</v>
      </c>
      <c r="H3735" s="3">
        <v>0.0</v>
      </c>
      <c r="I3735" s="3" t="s">
        <v>13</v>
      </c>
      <c r="J3735" s="3" t="s">
        <v>10757</v>
      </c>
      <c r="K3735" s="3" t="s">
        <v>725</v>
      </c>
      <c r="L3735" s="3" t="str">
        <f>IFERROR(__xludf.DUMMYFUNCTION("GOOGLETRANSLATE(F3735,""id"",""en"")"),"FIFA is dealing with how celebrity chef Salt Bae gets unnatural access to Padang after the final action of the World Cup when watching it with a picture with Argentine players who are surprised including Lionel Messi")</f>
        <v>FIFA is dealing with how celebrity chef Salt Bae gets unnatural access to Padang after the final action of the World Cup when watching it with a picture with Argentine players who are surprised including Lionel Messi</v>
      </c>
    </row>
    <row r="3736" ht="15.75" customHeight="1">
      <c r="A3736" s="1">
        <v>3762.0</v>
      </c>
      <c r="B3736" s="3" t="s">
        <v>10758</v>
      </c>
      <c r="C3736" s="3">
        <v>0.0</v>
      </c>
      <c r="D3736" s="3">
        <v>0.0</v>
      </c>
      <c r="E3736" s="3">
        <v>0.0</v>
      </c>
      <c r="F3736" s="3" t="s">
        <v>10424</v>
      </c>
      <c r="G3736" s="3">
        <v>1.0</v>
      </c>
      <c r="H3736" s="3">
        <v>0.0</v>
      </c>
      <c r="I3736" s="3" t="s">
        <v>13</v>
      </c>
      <c r="J3736" s="3" t="s">
        <v>10425</v>
      </c>
      <c r="K3736" s="3" t="s">
        <v>75</v>
      </c>
      <c r="L3736" s="3" t="str">
        <f>IFERROR(__xludf.DUMMYFUNCTION("GOOGLETRANSLATE(F3736,""id"",""en"")"),"FIFA Investigates the Salt Bae incident into the field during the World Cup Final")</f>
        <v>FIFA Investigates the Salt Bae incident into the field during the World Cup Final</v>
      </c>
    </row>
    <row r="3737" ht="15.75" customHeight="1">
      <c r="A3737" s="1">
        <v>3763.0</v>
      </c>
      <c r="B3737" s="3" t="s">
        <v>10759</v>
      </c>
      <c r="C3737" s="3">
        <v>0.0</v>
      </c>
      <c r="D3737" s="3">
        <v>0.0</v>
      </c>
      <c r="E3737" s="3">
        <v>2.0</v>
      </c>
      <c r="F3737" s="3" t="s">
        <v>10760</v>
      </c>
      <c r="G3737" s="3">
        <v>1.0</v>
      </c>
      <c r="H3737" s="3">
        <v>0.0</v>
      </c>
      <c r="I3737" s="3" t="s">
        <v>13</v>
      </c>
      <c r="J3737" s="3" t="s">
        <v>10761</v>
      </c>
      <c r="K3737" s="3" t="s">
        <v>41</v>
      </c>
      <c r="L3737" s="3" t="str">
        <f>IFERROR(__xludf.DUMMYFUNCTION("GOOGLETRANSLATE(F3737,""id"",""en"")"),"FIFA Investigates Salt Bae Entering the Field During the World Cup Final")</f>
        <v>FIFA Investigates Salt Bae Entering the Field During the World Cup Final</v>
      </c>
    </row>
    <row r="3738" ht="15.75" customHeight="1">
      <c r="A3738" s="1">
        <v>3764.0</v>
      </c>
      <c r="B3738" s="3" t="s">
        <v>10762</v>
      </c>
      <c r="C3738" s="3">
        <v>0.0</v>
      </c>
      <c r="D3738" s="3">
        <v>0.0</v>
      </c>
      <c r="E3738" s="3">
        <v>0.0</v>
      </c>
      <c r="F3738" s="3" t="s">
        <v>10541</v>
      </c>
      <c r="G3738" s="3">
        <v>1.0</v>
      </c>
      <c r="H3738" s="3">
        <v>0.0</v>
      </c>
      <c r="I3738" s="3" t="s">
        <v>13</v>
      </c>
      <c r="J3738" s="3" t="s">
        <v>10542</v>
      </c>
      <c r="K3738" s="3" t="s">
        <v>1293</v>
      </c>
      <c r="L3738" s="3" t="str">
        <f>IFERROR(__xludf.DUMMYFUNCTION("GOOGLETRANSLATE(F3738,""id"",""en"")"),"Palembang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739" ht="15.75" customHeight="1">
      <c r="A3739" s="1">
        <v>3766.0</v>
      </c>
      <c r="B3739" s="3" t="s">
        <v>10763</v>
      </c>
      <c r="C3739" s="3">
        <v>0.0</v>
      </c>
      <c r="D3739" s="3">
        <v>0.0</v>
      </c>
      <c r="E3739" s="3">
        <v>0.0</v>
      </c>
      <c r="F3739" s="3" t="s">
        <v>10764</v>
      </c>
      <c r="G3739" s="3">
        <v>1.0</v>
      </c>
      <c r="H3739" s="3">
        <v>0.0</v>
      </c>
      <c r="I3739" s="3" t="s">
        <v>13</v>
      </c>
      <c r="J3739" s="3" t="s">
        <v>10765</v>
      </c>
      <c r="K3739" s="3" t="s">
        <v>50</v>
      </c>
      <c r="L3739" s="3" t="str">
        <f>IFERROR(__xludf.DUMMYFUNCTION("GOOGLETRANSLATE(F3739,""id"",""en"")"),"MARK ZUCKERBEG Calling WhatsApp Messages Reach Million Seconds During the World Cup Final")</f>
        <v>MARK ZUCKERBEG Calling WhatsApp Messages Reach Million Seconds During the World Cup Final</v>
      </c>
    </row>
    <row r="3740" ht="15.75" customHeight="1">
      <c r="A3740" s="1">
        <v>3767.0</v>
      </c>
      <c r="B3740" s="3" t="s">
        <v>10766</v>
      </c>
      <c r="C3740" s="3">
        <v>0.0</v>
      </c>
      <c r="D3740" s="3">
        <v>0.0</v>
      </c>
      <c r="E3740" s="3">
        <v>0.0</v>
      </c>
      <c r="F3740" s="3" t="s">
        <v>10764</v>
      </c>
      <c r="G3740" s="3">
        <v>1.0</v>
      </c>
      <c r="H3740" s="3">
        <v>0.0</v>
      </c>
      <c r="I3740" s="3" t="s">
        <v>13</v>
      </c>
      <c r="J3740" s="3" t="s">
        <v>10765</v>
      </c>
      <c r="K3740" s="3" t="s">
        <v>50</v>
      </c>
      <c r="L3740" s="3" t="str">
        <f>IFERROR(__xludf.DUMMYFUNCTION("GOOGLETRANSLATE(F3740,""id"",""en"")"),"MARK ZUCKERBEG Calling WhatsApp Messages Reach Million Seconds During the World Cup Final")</f>
        <v>MARK ZUCKERBEG Calling WhatsApp Messages Reach Million Seconds During the World Cup Final</v>
      </c>
    </row>
    <row r="3741" ht="15.75" customHeight="1">
      <c r="A3741" s="1">
        <v>3768.0</v>
      </c>
      <c r="B3741" s="3" t="s">
        <v>10767</v>
      </c>
      <c r="C3741" s="3">
        <v>1.0</v>
      </c>
      <c r="D3741" s="3">
        <v>0.0</v>
      </c>
      <c r="E3741" s="3">
        <v>0.0</v>
      </c>
      <c r="F3741" s="3" t="s">
        <v>10768</v>
      </c>
      <c r="G3741" s="3">
        <v>1.0</v>
      </c>
      <c r="H3741" s="3">
        <v>0.0</v>
      </c>
      <c r="I3741" s="3" t="s">
        <v>13</v>
      </c>
      <c r="J3741" s="3" t="s">
        <v>10769</v>
      </c>
      <c r="K3741" s="3" t="s">
        <v>10770</v>
      </c>
      <c r="L3741" s="3" t="str">
        <f>IFERROR(__xludf.DUMMYFUNCTION("GOOGLETRANSLATE(F3741,""id"",""en"")"),"Splashy Lionel Messi's face will appear Argentine banknotes this news spread after the Argentine national team player brought Argentina World Cup champions beat France Final with Argentina World Cup champion Messi was complained of like a hero")</f>
        <v>Splashy Lionel Messi's face will appear Argentine banknotes this news spread after the Argentine national team player brought Argentina World Cup champions beat France Final with Argentina World Cup champion Messi was complained of like a hero</v>
      </c>
    </row>
    <row r="3742" ht="15.75" customHeight="1">
      <c r="A3742" s="1">
        <v>3769.0</v>
      </c>
      <c r="B3742" s="3" t="s">
        <v>10771</v>
      </c>
      <c r="C3742" s="3">
        <v>1.0</v>
      </c>
      <c r="D3742" s="3">
        <v>0.0</v>
      </c>
      <c r="E3742" s="3">
        <v>0.0</v>
      </c>
      <c r="F3742" s="3" t="s">
        <v>10772</v>
      </c>
      <c r="G3742" s="3">
        <v>1.0</v>
      </c>
      <c r="H3742" s="3">
        <v>0.0</v>
      </c>
      <c r="I3742" s="3" t="s">
        <v>13</v>
      </c>
      <c r="J3742" s="3" t="s">
        <v>10773</v>
      </c>
      <c r="K3742" s="3" t="s">
        <v>644</v>
      </c>
      <c r="L3742" s="3" t="str">
        <f>IFERROR(__xludf.DUMMYFUNCTION("GOOGLETRANSLATE(F3742,""id"",""en"")"),"Ronaldo before the World Cup final")</f>
        <v>Ronaldo before the World Cup final</v>
      </c>
    </row>
    <row r="3743" ht="15.75" customHeight="1">
      <c r="A3743" s="1">
        <v>3770.0</v>
      </c>
      <c r="B3743" s="3" t="s">
        <v>10774</v>
      </c>
      <c r="C3743" s="3">
        <v>0.0</v>
      </c>
      <c r="D3743" s="3">
        <v>1.0</v>
      </c>
      <c r="E3743" s="3">
        <v>5.0</v>
      </c>
      <c r="F3743" s="3" t="s">
        <v>10775</v>
      </c>
      <c r="G3743" s="3">
        <v>1.0</v>
      </c>
      <c r="H3743" s="3">
        <v>0.0</v>
      </c>
      <c r="I3743" s="3" t="s">
        <v>13</v>
      </c>
      <c r="J3743" s="3" t="s">
        <v>10776</v>
      </c>
      <c r="K3743" s="3" t="s">
        <v>71</v>
      </c>
      <c r="L3743" s="3" t="str">
        <f>IFERROR(__xludf.DUMMYFUNCTION("GOOGLETRANSLATE(F3743,""id"",""en"")"),"This former Italian striker is emotional seeing the behavior of Salt Bae Final of your World Cup who bro")</f>
        <v>This former Italian striker is emotional seeing the behavior of Salt Bae Final of your World Cup who bro</v>
      </c>
    </row>
    <row r="3744" ht="15.75" customHeight="1">
      <c r="A3744" s="1">
        <v>3771.0</v>
      </c>
      <c r="B3744" s="3" t="s">
        <v>10777</v>
      </c>
      <c r="C3744" s="3">
        <v>0.0</v>
      </c>
      <c r="D3744" s="3">
        <v>0.0</v>
      </c>
      <c r="E3744" s="3">
        <v>0.0</v>
      </c>
      <c r="F3744" s="3" t="s">
        <v>10778</v>
      </c>
      <c r="G3744" s="3">
        <v>1.0</v>
      </c>
      <c r="H3744" s="3">
        <v>0.0</v>
      </c>
      <c r="I3744" s="3" t="s">
        <v>13</v>
      </c>
      <c r="J3744" s="3" t="s">
        <v>10779</v>
      </c>
      <c r="K3744" s="3" t="s">
        <v>15</v>
      </c>
      <c r="L3744" s="3" t="str">
        <f>IFERROR(__xludf.DUMMYFUNCTION("GOOGLETRANSLATE(F3744,""id"",""en"")"),"There are million messages sent via WhatsApp during the World Cup final")</f>
        <v>There are million messages sent via WhatsApp during the World Cup final</v>
      </c>
    </row>
    <row r="3745" ht="15.75" customHeight="1">
      <c r="A3745" s="1">
        <v>3772.0</v>
      </c>
      <c r="B3745" s="3" t="s">
        <v>10780</v>
      </c>
      <c r="C3745" s="3">
        <v>0.0</v>
      </c>
      <c r="D3745" s="3">
        <v>0.0</v>
      </c>
      <c r="E3745" s="3">
        <v>1.0</v>
      </c>
      <c r="F3745" s="3" t="s">
        <v>10781</v>
      </c>
      <c r="G3745" s="3">
        <v>0.8333333333333334</v>
      </c>
      <c r="H3745" s="3">
        <v>0.0</v>
      </c>
      <c r="I3745" s="3" t="s">
        <v>13</v>
      </c>
      <c r="J3745" s="3" t="s">
        <v>10782</v>
      </c>
      <c r="K3745" s="3" t="s">
        <v>58</v>
      </c>
      <c r="L3745" s="3" t="str">
        <f>IFERROR(__xludf.DUMMYFUNCTION("GOOGLETRANSLATE(F3745,""id"",""en"")"),"hit the stone makes the controversy for the Salt Bae World Cup final forbidden to attend the final open cup")</f>
        <v>hit the stone makes the controversy for the Salt Bae World Cup final forbidden to attend the final open cup</v>
      </c>
    </row>
    <row r="3746" ht="15.75" customHeight="1">
      <c r="A3746" s="1">
        <v>3773.0</v>
      </c>
      <c r="B3746" s="3" t="s">
        <v>10783</v>
      </c>
      <c r="C3746" s="3">
        <v>0.0</v>
      </c>
      <c r="D3746" s="3">
        <v>0.0</v>
      </c>
      <c r="E3746" s="3">
        <v>0.0</v>
      </c>
      <c r="F3746" s="3" t="s">
        <v>10784</v>
      </c>
      <c r="G3746" s="3">
        <v>1.0</v>
      </c>
      <c r="H3746" s="3">
        <v>0.0</v>
      </c>
      <c r="I3746" s="3" t="s">
        <v>13</v>
      </c>
      <c r="J3746" s="3" t="s">
        <v>10785</v>
      </c>
      <c r="K3746" s="3" t="s">
        <v>15</v>
      </c>
      <c r="L3746" s="3" t="str">
        <f>IFERROR(__xludf.DUMMYFUNCTION("GOOGLETRANSLATE(F3746,""id"",""en"")"),"Watching the World Cup Final Together with the story of his fell asleep")</f>
        <v>Watching the World Cup Final Together with the story of his fell asleep</v>
      </c>
    </row>
    <row r="3747" ht="15.75" customHeight="1">
      <c r="A3747" s="1">
        <v>3774.0</v>
      </c>
      <c r="B3747" s="3" t="s">
        <v>10786</v>
      </c>
      <c r="C3747" s="3">
        <v>0.0</v>
      </c>
      <c r="D3747" s="3">
        <v>0.0</v>
      </c>
      <c r="E3747" s="3">
        <v>2.0</v>
      </c>
      <c r="F3747" s="3" t="s">
        <v>10787</v>
      </c>
      <c r="G3747" s="3">
        <v>1.0</v>
      </c>
      <c r="H3747" s="3">
        <v>0.0</v>
      </c>
      <c r="I3747" s="3" t="s">
        <v>13</v>
      </c>
      <c r="J3747" s="3" t="s">
        <v>10788</v>
      </c>
      <c r="K3747" s="3" t="s">
        <v>15</v>
      </c>
      <c r="L3747" s="3" t="str">
        <f>IFERROR(__xludf.DUMMYFUNCTION("GOOGLETRANSLATE(F3747,""id"",""en"")"),"WhatsApp record recorded millions of messages during the World Cup final")</f>
        <v>WhatsApp record recorded millions of messages during the World Cup final</v>
      </c>
    </row>
    <row r="3748" ht="15.75" customHeight="1">
      <c r="A3748" s="1">
        <v>3775.0</v>
      </c>
      <c r="B3748" s="3" t="s">
        <v>10789</v>
      </c>
      <c r="C3748" s="3">
        <v>0.0</v>
      </c>
      <c r="D3748" s="3">
        <v>0.0</v>
      </c>
      <c r="E3748" s="3">
        <v>0.0</v>
      </c>
      <c r="F3748" s="3" t="s">
        <v>10790</v>
      </c>
      <c r="G3748" s="3">
        <v>1.0</v>
      </c>
      <c r="H3748" s="3">
        <v>0.0</v>
      </c>
      <c r="I3748" s="3" t="s">
        <v>13</v>
      </c>
      <c r="J3748" s="3" t="s">
        <v>10791</v>
      </c>
      <c r="K3748" s="3" t="s">
        <v>695</v>
      </c>
      <c r="L3748" s="3" t="str">
        <f>IFERROR(__xludf.DUMMYFUNCTION("GOOGLETRANSLATE(F3748,""id"",""en"")"),"Great Biden if you want to support Zelenskyy each other yesterday failed to beg FIFA Final of the World Cup now immediately begged America")</f>
        <v>Great Biden if you want to support Zelenskyy each other yesterday failed to beg FIFA Final of the World Cup now immediately begged America</v>
      </c>
    </row>
    <row r="3749" ht="15.75" customHeight="1">
      <c r="A3749" s="1">
        <v>3776.0</v>
      </c>
      <c r="B3749" s="3" t="s">
        <v>10792</v>
      </c>
      <c r="C3749" s="3">
        <v>0.0</v>
      </c>
      <c r="D3749" s="3">
        <v>0.0</v>
      </c>
      <c r="E3749" s="3">
        <v>0.0</v>
      </c>
      <c r="F3749" s="3" t="s">
        <v>10793</v>
      </c>
      <c r="G3749" s="3">
        <v>1.0</v>
      </c>
      <c r="H3749" s="3">
        <v>0.0</v>
      </c>
      <c r="I3749" s="3" t="s">
        <v>13</v>
      </c>
      <c r="J3749" s="3" t="s">
        <v>10794</v>
      </c>
      <c r="K3749" s="3" t="s">
        <v>286</v>
      </c>
      <c r="L3749" s="3" t="str">
        <f>IFERROR(__xludf.DUMMYFUNCTION("GOOGLETRANSLATE(F3749,""id"",""en"")"),"Because it is clear that Mbappe will definitely be disappointed for the second time the teammate after losing the World Cup final yesterday this prediction will not occur if Mbappe has high sportsmanship but it is also impossible for French fans to idoliz"&amp;"e Mbappe")</f>
        <v>Because it is clear that Mbappe will definitely be disappointed for the second time the teammate after losing the World Cup final yesterday this prediction will not occur if Mbappe has high sportsmanship but it is also impossible for French fans to idolize Mbappe</v>
      </c>
    </row>
    <row r="3750" ht="15.75" customHeight="1">
      <c r="A3750" s="1">
        <v>3777.0</v>
      </c>
      <c r="B3750" s="3" t="s">
        <v>10795</v>
      </c>
      <c r="C3750" s="3">
        <v>0.0</v>
      </c>
      <c r="D3750" s="3">
        <v>0.0</v>
      </c>
      <c r="E3750" s="3">
        <v>0.0</v>
      </c>
      <c r="F3750" s="3" t="s">
        <v>10796</v>
      </c>
      <c r="G3750" s="3">
        <v>1.0</v>
      </c>
      <c r="H3750" s="3">
        <v>0.0</v>
      </c>
      <c r="I3750" s="3" t="s">
        <v>13</v>
      </c>
      <c r="J3750" s="3" t="s">
        <v>10797</v>
      </c>
      <c r="K3750" s="3" t="s">
        <v>75</v>
      </c>
      <c r="L3750" s="3" t="str">
        <f>IFERROR(__xludf.DUMMYFUNCTION("GOOGLETRANSLATE(F3750,""id"",""en"")"),"Qatar World Cup Final Antar Whatsapp Reach Record Number of Messages")</f>
        <v>Qatar World Cup Final Antar Whatsapp Reach Record Number of Messages</v>
      </c>
    </row>
    <row r="3751" ht="15.75" customHeight="1">
      <c r="A3751" s="1">
        <v>3778.0</v>
      </c>
      <c r="B3751" s="3" t="s">
        <v>10798</v>
      </c>
      <c r="C3751" s="3">
        <v>0.0</v>
      </c>
      <c r="D3751" s="3">
        <v>0.0</v>
      </c>
      <c r="E3751" s="3">
        <v>0.0</v>
      </c>
      <c r="F3751" s="3" t="s">
        <v>10799</v>
      </c>
      <c r="G3751" s="3">
        <v>1.0</v>
      </c>
      <c r="H3751" s="3">
        <v>0.0</v>
      </c>
      <c r="I3751" s="3" t="s">
        <v>13</v>
      </c>
      <c r="J3751" s="3" t="s">
        <v>10800</v>
      </c>
      <c r="K3751" s="3" t="s">
        <v>10801</v>
      </c>
      <c r="L3751" s="3" t="str">
        <f>IFERROR(__xludf.DUMMYFUNCTION("GOOGLETRANSLATE(F3751,""id"",""en"")"),"I swear I want to get injured, especially when the finals are in front of the goal, the goal and one and the goalkeeper can usually be the quality of the world cup player using it to be controlled so the moment is cok but the art is the ball.")</f>
        <v>I swear I want to get injured, especially when the finals are in front of the goal, the goal and one and the goalkeeper can usually be the quality of the world cup player using it to be controlled so the moment is cok but the art is the ball.</v>
      </c>
    </row>
    <row r="3752" ht="15.75" customHeight="1">
      <c r="A3752" s="1">
        <v>3779.0</v>
      </c>
      <c r="B3752" s="3" t="s">
        <v>10802</v>
      </c>
      <c r="C3752" s="3">
        <v>0.0</v>
      </c>
      <c r="D3752" s="3">
        <v>0.0</v>
      </c>
      <c r="E3752" s="3">
        <v>0.0</v>
      </c>
      <c r="F3752" s="3" t="s">
        <v>10803</v>
      </c>
      <c r="G3752" s="3">
        <v>1.0</v>
      </c>
      <c r="H3752" s="3">
        <v>0.0</v>
      </c>
      <c r="I3752" s="3" t="s">
        <v>13</v>
      </c>
      <c r="J3752" s="3" t="s">
        <v>10804</v>
      </c>
      <c r="K3752" s="3" t="s">
        <v>437</v>
      </c>
      <c r="L3752" s="3" t="str">
        <f>IFERROR(__xludf.DUMMYFUNCTION("GOOGLETRANSLATE(F3752,""id"",""en"")"),"MBAPE MBAPE has won the World Cup and proves that the direct goal of the Final Haland is still a lot even though the tokcer is the German and England league")</f>
        <v>MBAPE MBAPE has won the World Cup and proves that the direct goal of the Final Haland is still a lot even though the tokcer is the German and England league</v>
      </c>
    </row>
    <row r="3753" ht="15.75" customHeight="1">
      <c r="A3753" s="1">
        <v>3780.0</v>
      </c>
      <c r="B3753" s="3" t="s">
        <v>10805</v>
      </c>
      <c r="C3753" s="3">
        <v>0.0</v>
      </c>
      <c r="D3753" s="3">
        <v>0.0</v>
      </c>
      <c r="E3753" s="3">
        <v>1.0</v>
      </c>
      <c r="F3753" s="3" t="s">
        <v>10806</v>
      </c>
      <c r="G3753" s="3">
        <v>1.0</v>
      </c>
      <c r="H3753" s="3">
        <v>0.0</v>
      </c>
      <c r="I3753" s="3" t="s">
        <v>13</v>
      </c>
      <c r="J3753" s="3" t="s">
        <v>10807</v>
      </c>
      <c r="K3753" s="3" t="s">
        <v>31</v>
      </c>
      <c r="L3753" s="3" t="str">
        <f>IFERROR(__xludf.DUMMYFUNCTION("GOOGLETRANSLATE(F3753,""id"",""en"")"),"Interesting Facts of the World Cup Final")</f>
        <v>Interesting Facts of the World Cup Final</v>
      </c>
    </row>
    <row r="3754" ht="15.75" customHeight="1">
      <c r="A3754" s="1">
        <v>3781.0</v>
      </c>
      <c r="B3754" s="3" t="s">
        <v>10808</v>
      </c>
      <c r="C3754" s="3">
        <v>0.0</v>
      </c>
      <c r="D3754" s="3">
        <v>0.0</v>
      </c>
      <c r="E3754" s="3">
        <v>0.0</v>
      </c>
      <c r="F3754" s="3" t="s">
        <v>10809</v>
      </c>
      <c r="G3754" s="3">
        <v>0.5</v>
      </c>
      <c r="H3754" s="3">
        <v>0.0</v>
      </c>
      <c r="I3754" s="3" t="s">
        <v>13</v>
      </c>
      <c r="J3754" s="3" t="s">
        <v>10810</v>
      </c>
      <c r="K3754" s="3" t="s">
        <v>584</v>
      </c>
      <c r="L3754" s="3" t="str">
        <f>IFERROR(__xludf.DUMMYFUNCTION("GOOGLETRANSLATE(F3754,""id"",""en"")"),"Gakpo appeared stand out between other Dutch players while competing in the World Cup even though The Oranje died quarter -finals over Argentina not only Gakpo but was negotiating with Chelsea for the arrival of Christian Pulisic whose contract ended at")</f>
        <v>Gakpo appeared stand out between other Dutch players while competing in the World Cup even though The Oranje died quarter -finals over Argentina not only Gakpo but was negotiating with Chelsea for the arrival of Christian Pulisic whose contract ended at</v>
      </c>
    </row>
    <row r="3755" ht="15.75" customHeight="1">
      <c r="A3755" s="1">
        <v>3782.0</v>
      </c>
      <c r="B3755" s="3" t="s">
        <v>10811</v>
      </c>
      <c r="C3755" s="3">
        <v>1.0</v>
      </c>
      <c r="D3755" s="3">
        <v>0.0</v>
      </c>
      <c r="E3755" s="3">
        <v>0.0</v>
      </c>
      <c r="F3755" s="3" t="s">
        <v>10812</v>
      </c>
      <c r="G3755" s="3">
        <v>1.0</v>
      </c>
      <c r="H3755" s="3">
        <v>0.0</v>
      </c>
      <c r="I3755" s="3" t="s">
        <v>13</v>
      </c>
      <c r="J3755" s="3" t="s">
        <v>10813</v>
      </c>
      <c r="K3755" s="3" t="s">
        <v>41</v>
      </c>
      <c r="L3755" s="3" t="str">
        <f>IFERROR(__xludf.DUMMYFUNCTION("GOOGLETRANSLATE(F3755,""id"",""en"")"),"Sobirin gathered the Warkop Abis Nobar World Cup Final")</f>
        <v>Sobirin gathered the Warkop Abis Nobar World Cup Final</v>
      </c>
    </row>
    <row r="3756" ht="15.75" customHeight="1">
      <c r="A3756" s="1">
        <v>3783.0</v>
      </c>
      <c r="B3756" s="3" t="s">
        <v>10814</v>
      </c>
      <c r="C3756" s="3">
        <v>0.0</v>
      </c>
      <c r="D3756" s="3">
        <v>4.0</v>
      </c>
      <c r="E3756" s="3">
        <v>0.0</v>
      </c>
      <c r="F3756" s="3" t="s">
        <v>10815</v>
      </c>
      <c r="G3756" s="3">
        <v>1.0</v>
      </c>
      <c r="H3756" s="3">
        <v>0.0</v>
      </c>
      <c r="I3756" s="3" t="s">
        <v>13</v>
      </c>
      <c r="J3756" s="3" t="s">
        <v>10816</v>
      </c>
      <c r="K3756" s="3" t="s">
        <v>58</v>
      </c>
      <c r="L3756" s="3" t="str">
        <f>IFERROR(__xludf.DUMMYFUNCTION("GOOGLETRANSLATE(F3756,""id"",""en"")"),"Salt Bae is prohibited from attending the open cup final after lifting the Liputan World Cup trophy")</f>
        <v>Salt Bae is prohibited from attending the open cup final after lifting the Liputan World Cup trophy</v>
      </c>
    </row>
    <row r="3757" ht="15.75" customHeight="1">
      <c r="A3757" s="1">
        <v>3784.0</v>
      </c>
      <c r="B3757" s="3" t="s">
        <v>10817</v>
      </c>
      <c r="C3757" s="3">
        <v>0.0</v>
      </c>
      <c r="D3757" s="3">
        <v>0.0</v>
      </c>
      <c r="E3757" s="3">
        <v>0.0</v>
      </c>
      <c r="F3757" s="3" t="s">
        <v>10796</v>
      </c>
      <c r="G3757" s="3">
        <v>1.0</v>
      </c>
      <c r="H3757" s="3">
        <v>0.0</v>
      </c>
      <c r="I3757" s="3" t="s">
        <v>13</v>
      </c>
      <c r="J3757" s="3" t="s">
        <v>10797</v>
      </c>
      <c r="K3757" s="3" t="s">
        <v>75</v>
      </c>
      <c r="L3757" s="3" t="str">
        <f>IFERROR(__xludf.DUMMYFUNCTION("GOOGLETRANSLATE(F3757,""id"",""en"")"),"Qatar World Cup Final Antar Whatsapp Reach Record Number of Messages")</f>
        <v>Qatar World Cup Final Antar Whatsapp Reach Record Number of Messages</v>
      </c>
    </row>
    <row r="3758" ht="15.75" customHeight="1">
      <c r="A3758" s="1">
        <v>3785.0</v>
      </c>
      <c r="B3758" s="3" t="s">
        <v>10818</v>
      </c>
      <c r="C3758" s="3">
        <v>0.0</v>
      </c>
      <c r="D3758" s="3">
        <v>0.0</v>
      </c>
      <c r="E3758" s="3">
        <v>0.0</v>
      </c>
      <c r="F3758" s="3" t="s">
        <v>10819</v>
      </c>
      <c r="G3758" s="3">
        <v>1.0</v>
      </c>
      <c r="H3758" s="3">
        <v>0.0</v>
      </c>
      <c r="I3758" s="3" t="s">
        <v>13</v>
      </c>
      <c r="J3758" s="3" t="s">
        <v>10820</v>
      </c>
      <c r="K3758" s="3" t="s">
        <v>15</v>
      </c>
      <c r="L3758" s="3" t="str">
        <f>IFERROR(__xludf.DUMMYFUNCTION("GOOGLETRANSLATE(F3758,""id"",""en"")"),"Qatar wants to see the World Cup Final through Vidio")</f>
        <v>Qatar wants to see the World Cup Final through Vidio</v>
      </c>
    </row>
    <row r="3759" ht="15.75" customHeight="1">
      <c r="A3759" s="1">
        <v>3786.0</v>
      </c>
      <c r="B3759" s="3" t="s">
        <v>10821</v>
      </c>
      <c r="C3759" s="3">
        <v>0.0</v>
      </c>
      <c r="D3759" s="3">
        <v>0.0</v>
      </c>
      <c r="E3759" s="3">
        <v>0.0</v>
      </c>
      <c r="F3759" s="3" t="s">
        <v>9764</v>
      </c>
      <c r="G3759" s="3">
        <v>1.0</v>
      </c>
      <c r="H3759" s="3">
        <v>0.0</v>
      </c>
      <c r="I3759" s="3" t="s">
        <v>13</v>
      </c>
      <c r="J3759" s="3" t="s">
        <v>9765</v>
      </c>
      <c r="K3759" s="3" t="s">
        <v>41</v>
      </c>
      <c r="L3759" s="3" t="str">
        <f>IFERROR(__xludf.DUMMYFUNCTION("GOOGLETRANSLATE(F3759,""id"",""en"")"),"Elon Musk Boss Investment Qatar Nobar World Cup Final")</f>
        <v>Elon Musk Boss Investment Qatar Nobar World Cup Final</v>
      </c>
    </row>
    <row r="3760" ht="15.75" customHeight="1">
      <c r="A3760" s="1">
        <v>3787.0</v>
      </c>
      <c r="B3760" s="3" t="s">
        <v>10822</v>
      </c>
      <c r="C3760" s="3">
        <v>1.0</v>
      </c>
      <c r="D3760" s="3">
        <v>1.0</v>
      </c>
      <c r="E3760" s="3">
        <v>2.0</v>
      </c>
      <c r="F3760" s="3" t="s">
        <v>10823</v>
      </c>
      <c r="G3760" s="3">
        <v>1.0</v>
      </c>
      <c r="H3760" s="3">
        <v>0.0</v>
      </c>
      <c r="I3760" s="3" t="s">
        <v>13</v>
      </c>
      <c r="J3760" s="3" t="s">
        <v>10824</v>
      </c>
      <c r="K3760" s="3" t="s">
        <v>433</v>
      </c>
      <c r="L3760" s="3" t="str">
        <f>IFERROR(__xludf.DUMMYFUNCTION("GOOGLETRANSLATE(F3760,""id"",""en"")"),"The World Cup Final between Argentina and France Qatar really caught the attention of the fantasy of all corners of the earth")</f>
        <v>The World Cup Final between Argentina and France Qatar really caught the attention of the fantasy of all corners of the earth</v>
      </c>
    </row>
    <row r="3761" ht="15.75" customHeight="1">
      <c r="A3761" s="1">
        <v>3788.0</v>
      </c>
      <c r="B3761" s="3" t="s">
        <v>10825</v>
      </c>
      <c r="C3761" s="3">
        <v>1.0</v>
      </c>
      <c r="D3761" s="3">
        <v>0.0</v>
      </c>
      <c r="E3761" s="3">
        <v>0.0</v>
      </c>
      <c r="F3761" s="3" t="s">
        <v>10826</v>
      </c>
      <c r="G3761" s="3">
        <v>1.0</v>
      </c>
      <c r="H3761" s="3">
        <v>0.0</v>
      </c>
      <c r="I3761" s="3" t="s">
        <v>13</v>
      </c>
      <c r="J3761" s="3" t="s">
        <v>10827</v>
      </c>
      <c r="K3761" s="3" t="s">
        <v>15</v>
      </c>
      <c r="L3761" s="3" t="str">
        <f>IFERROR(__xludf.DUMMYFUNCTION("GOOGLETRANSLATE(F3761,""id"",""en"")"),"The first flower finally bloomed the World Cup Final")</f>
        <v>The first flower finally bloomed the World Cup Final</v>
      </c>
    </row>
    <row r="3762" ht="15.75" customHeight="1">
      <c r="A3762" s="1">
        <v>3789.0</v>
      </c>
      <c r="B3762" s="3" t="s">
        <v>10669</v>
      </c>
      <c r="C3762" s="3">
        <v>1.0</v>
      </c>
      <c r="D3762" s="3">
        <v>1.0</v>
      </c>
      <c r="E3762" s="3">
        <v>48.0</v>
      </c>
      <c r="F3762" s="3" t="s">
        <v>10670</v>
      </c>
      <c r="G3762" s="3">
        <v>1.0</v>
      </c>
      <c r="H3762" s="3">
        <v>0.0</v>
      </c>
      <c r="I3762" s="3" t="s">
        <v>13</v>
      </c>
      <c r="J3762" s="3" t="s">
        <v>10671</v>
      </c>
      <c r="K3762" s="3" t="s">
        <v>1469</v>
      </c>
      <c r="L3762" s="3" t="str">
        <f>IFERROR(__xludf.DUMMYFUNCTION("GOOGLETRANSLATE(F3762,""id"",""en"")"),"Dodo Lovers When the final settings this final settings mbappe boss can be ready to retire again this is the more clear settings")</f>
        <v>Dodo Lovers When the final settings this final settings mbappe boss can be ready to retire again this is the more clear settings</v>
      </c>
    </row>
    <row r="3763" ht="15.75" customHeight="1">
      <c r="A3763" s="1">
        <v>3790.0</v>
      </c>
      <c r="B3763" s="3" t="s">
        <v>10828</v>
      </c>
      <c r="C3763" s="3">
        <v>0.0</v>
      </c>
      <c r="D3763" s="3">
        <v>0.0</v>
      </c>
      <c r="E3763" s="3">
        <v>0.0</v>
      </c>
      <c r="F3763" s="3" t="s">
        <v>10829</v>
      </c>
      <c r="G3763" s="3">
        <v>1.0</v>
      </c>
      <c r="H3763" s="3">
        <v>0.0</v>
      </c>
      <c r="I3763" s="3" t="s">
        <v>13</v>
      </c>
      <c r="J3763" s="3" t="s">
        <v>10830</v>
      </c>
      <c r="K3763" s="3" t="s">
        <v>3819</v>
      </c>
      <c r="L3763" s="3" t="str">
        <f>IFERROR(__xludf.DUMMYFUNCTION("GOOGLETRANSLATE(F3763,""id"",""en"")"),"Gadgets When the WhatsApp World Cup final records a Jakarta Meta Platforms CEO record Mark Zuckerbeg said the message sent through the WhatsApp application reached million during the World Cup final")</f>
        <v>Gadgets When the WhatsApp World Cup final records a Jakarta Meta Platforms CEO record Mark Zuckerbeg said the message sent through the WhatsApp application reached million during the World Cup final</v>
      </c>
    </row>
    <row r="3764" ht="15.75" customHeight="1">
      <c r="A3764" s="1">
        <v>3791.0</v>
      </c>
      <c r="B3764" s="3" t="s">
        <v>10831</v>
      </c>
      <c r="C3764" s="3">
        <v>1.0</v>
      </c>
      <c r="D3764" s="3">
        <v>0.0</v>
      </c>
      <c r="E3764" s="3">
        <v>0.0</v>
      </c>
      <c r="F3764" s="3" t="s">
        <v>10832</v>
      </c>
      <c r="G3764" s="3">
        <v>0.611111111111111</v>
      </c>
      <c r="H3764" s="3">
        <v>0.1222222222222222</v>
      </c>
      <c r="I3764" s="3" t="s">
        <v>48</v>
      </c>
      <c r="J3764" s="3" t="s">
        <v>10833</v>
      </c>
      <c r="K3764" s="3" t="s">
        <v>1157</v>
      </c>
      <c r="L3764" s="3" t="str">
        <f>IFERROR(__xludf.DUMMYFUNCTION("GOOGLETRANSLATE(F3764,""id"",""en"")"),"Behind night riding the train watching aki aki playing ludo against bot feel like watching the final of the fierce world cup Parahhh until off the cap briefly brokk the ending aki loses hit by a comeback against bot hahahaha")</f>
        <v>Behind night riding the train watching aki aki playing ludo against bot feel like watching the final of the fierce world cup Parahhh until off the cap briefly brokk the ending aki loses hit by a comeback against bot hahahaha</v>
      </c>
    </row>
    <row r="3765" ht="15.75" customHeight="1">
      <c r="A3765" s="1">
        <v>3792.0</v>
      </c>
      <c r="B3765" s="3" t="s">
        <v>10834</v>
      </c>
      <c r="C3765" s="3">
        <v>0.0</v>
      </c>
      <c r="D3765" s="3">
        <v>0.0</v>
      </c>
      <c r="E3765" s="3">
        <v>0.0</v>
      </c>
      <c r="F3765" s="3" t="s">
        <v>10835</v>
      </c>
      <c r="G3765" s="3">
        <v>1.0</v>
      </c>
      <c r="H3765" s="3">
        <v>0.0</v>
      </c>
      <c r="I3765" s="3" t="s">
        <v>13</v>
      </c>
      <c r="J3765" s="3" t="s">
        <v>10836</v>
      </c>
      <c r="K3765" s="3" t="s">
        <v>614</v>
      </c>
      <c r="L3765" s="3" t="str">
        <f>IFERROR(__xludf.DUMMYFUNCTION("GOOGLETRANSLATE(F3765,""id"",""en"")"),"associate the defeat of Messi when losing the World Cup Final and Copa America's final with the decoration of the jerking jokes, dodolopers continue to hide behind the word Messinisti")</f>
        <v>associate the defeat of Messi when losing the World Cup Final and Copa America's final with the decoration of the jerking jokes, dodolopers continue to hide behind the word Messinisti</v>
      </c>
    </row>
    <row r="3766" ht="15.75" customHeight="1">
      <c r="A3766" s="1">
        <v>3793.0</v>
      </c>
      <c r="B3766" s="3" t="s">
        <v>10837</v>
      </c>
      <c r="C3766" s="3">
        <v>1.0</v>
      </c>
      <c r="D3766" s="3">
        <v>0.0</v>
      </c>
      <c r="E3766" s="3">
        <v>0.0</v>
      </c>
      <c r="F3766" s="3" t="s">
        <v>10838</v>
      </c>
      <c r="G3766" s="3">
        <v>1.0</v>
      </c>
      <c r="H3766" s="3">
        <v>0.0</v>
      </c>
      <c r="I3766" s="3" t="s">
        <v>13</v>
      </c>
      <c r="J3766" s="3" t="s">
        <v>10839</v>
      </c>
      <c r="K3766" s="3" t="s">
        <v>358</v>
      </c>
      <c r="L3766" s="3" t="str">
        <f>IFERROR(__xludf.DUMMYFUNCTION("GOOGLETRANSLATE(F3766,""id"",""en"")"),"Karim Benzema has recently announced his resignation from the French national team the decision was taken after France was defeated by Argentina World Cup Final")</f>
        <v>Karim Benzema has recently announced his resignation from the French national team the decision was taken after France was defeated by Argentina World Cup Final</v>
      </c>
    </row>
    <row r="3767" ht="15.75" customHeight="1">
      <c r="A3767" s="1">
        <v>3794.0</v>
      </c>
      <c r="B3767" s="3" t="s">
        <v>10840</v>
      </c>
      <c r="C3767" s="3">
        <v>0.0</v>
      </c>
      <c r="D3767" s="3">
        <v>1.0</v>
      </c>
      <c r="E3767" s="3">
        <v>1.0</v>
      </c>
      <c r="F3767" s="3" t="s">
        <v>10841</v>
      </c>
      <c r="G3767" s="3">
        <v>0.8833333333333333</v>
      </c>
      <c r="H3767" s="3">
        <v>-0.075</v>
      </c>
      <c r="I3767" s="3" t="s">
        <v>179</v>
      </c>
      <c r="J3767" s="3" t="s">
        <v>10842</v>
      </c>
      <c r="K3767" s="3" t="s">
        <v>584</v>
      </c>
      <c r="L3767" s="3" t="str">
        <f>IFERROR(__xludf.DUMMYFUNCTION("GOOGLETRANSLATE(F3767,""id"",""en"")"),"The figure of Crazy Rich from Oman is willing to buy a robe worn by Lionel Messi in the World Cup final for millions of US dollars aka billion rupiah so how Messi wants to be released")</f>
        <v>The figure of Crazy Rich from Oman is willing to buy a robe worn by Lionel Messi in the World Cup final for millions of US dollars aka billion rupiah so how Messi wants to be released</v>
      </c>
    </row>
    <row r="3768" ht="15.75" customHeight="1">
      <c r="A3768" s="1">
        <v>3795.0</v>
      </c>
      <c r="B3768" s="3" t="s">
        <v>10843</v>
      </c>
      <c r="C3768" s="3">
        <v>0.0</v>
      </c>
      <c r="D3768" s="3">
        <v>0.0</v>
      </c>
      <c r="E3768" s="3">
        <v>0.0</v>
      </c>
      <c r="F3768" s="3" t="s">
        <v>10841</v>
      </c>
      <c r="G3768" s="3">
        <v>0.8833333333333333</v>
      </c>
      <c r="H3768" s="3">
        <v>-0.075</v>
      </c>
      <c r="I3768" s="3" t="s">
        <v>179</v>
      </c>
      <c r="J3768" s="3" t="s">
        <v>10842</v>
      </c>
      <c r="K3768" s="3" t="s">
        <v>584</v>
      </c>
      <c r="L3768" s="3" t="str">
        <f>IFERROR(__xludf.DUMMYFUNCTION("GOOGLETRANSLATE(F3768,""id"",""en"")"),"The figure of Crazy Rich from Oman is willing to buy a robe worn by Lionel Messi in the World Cup final for millions of US dollars aka billion rupiah so how Messi wants to be released")</f>
        <v>The figure of Crazy Rich from Oman is willing to buy a robe worn by Lionel Messi in the World Cup final for millions of US dollars aka billion rupiah so how Messi wants to be released</v>
      </c>
    </row>
    <row r="3769" ht="15.75" customHeight="1">
      <c r="A3769" s="1">
        <v>3796.0</v>
      </c>
      <c r="B3769" s="3" t="s">
        <v>10844</v>
      </c>
      <c r="C3769" s="3">
        <v>1.0</v>
      </c>
      <c r="D3769" s="3">
        <v>0.0</v>
      </c>
      <c r="E3769" s="3">
        <v>0.0</v>
      </c>
      <c r="F3769" s="3" t="s">
        <v>10845</v>
      </c>
      <c r="G3769" s="3">
        <v>1.0</v>
      </c>
      <c r="H3769" s="3">
        <v>0.0</v>
      </c>
      <c r="I3769" s="3" t="s">
        <v>13</v>
      </c>
      <c r="J3769" s="3" t="s">
        <v>10846</v>
      </c>
      <c r="K3769" s="3" t="s">
        <v>1157</v>
      </c>
      <c r="L3769" s="3" t="str">
        <f>IFERROR(__xludf.DUMMYFUNCTION("GOOGLETRANSLATE(F3769,""id"",""en"")"),"Just realized the American World Cup which was the American broadcast hours of office -friendly school people, hopefully the final match was Saturday, aka Sunday morning when everyone could watch the final of the American Pildun")</f>
        <v>Just realized the American World Cup which was the American broadcast hours of office -friendly school people, hopefully the final match was Saturday, aka Sunday morning when everyone could watch the final of the American Pildun</v>
      </c>
    </row>
    <row r="3770" ht="15.75" customHeight="1">
      <c r="A3770" s="1">
        <v>3797.0</v>
      </c>
      <c r="B3770" s="3" t="s">
        <v>10847</v>
      </c>
      <c r="C3770" s="3">
        <v>1.0</v>
      </c>
      <c r="D3770" s="3">
        <v>0.0</v>
      </c>
      <c r="E3770" s="3">
        <v>0.0</v>
      </c>
      <c r="F3770" s="3" t="s">
        <v>10848</v>
      </c>
      <c r="G3770" s="3">
        <v>1.0</v>
      </c>
      <c r="H3770" s="3">
        <v>0.0</v>
      </c>
      <c r="I3770" s="3" t="s">
        <v>13</v>
      </c>
      <c r="J3770" s="3" t="s">
        <v>10849</v>
      </c>
      <c r="K3770" s="3" t="s">
        <v>495</v>
      </c>
      <c r="L3770" s="3" t="str">
        <f>IFERROR(__xludf.DUMMYFUNCTION("GOOGLETRANSLATE(F3770,""id"",""en"")"),"As a Dodo fan this is one of the biggest hoaxes throughout the Qatar World Cup final even though the two goats respect each other")</f>
        <v>As a Dodo fan this is one of the biggest hoaxes throughout the Qatar World Cup final even though the two goats respect each other</v>
      </c>
    </row>
    <row r="3771" ht="15.75" customHeight="1">
      <c r="A3771" s="1">
        <v>3798.0</v>
      </c>
      <c r="B3771" s="3" t="s">
        <v>10850</v>
      </c>
      <c r="C3771" s="3">
        <v>0.0</v>
      </c>
      <c r="D3771" s="3">
        <v>0.0</v>
      </c>
      <c r="E3771" s="3">
        <v>1.0</v>
      </c>
      <c r="F3771" s="3" t="s">
        <v>10851</v>
      </c>
      <c r="G3771" s="3">
        <v>1.0</v>
      </c>
      <c r="H3771" s="3">
        <v>0.0</v>
      </c>
      <c r="I3771" s="3" t="s">
        <v>13</v>
      </c>
      <c r="J3771" s="3" t="s">
        <v>10852</v>
      </c>
      <c r="K3771" s="3" t="s">
        <v>574</v>
      </c>
      <c r="L3771" s="3" t="str">
        <f>IFERROR(__xludf.DUMMYFUNCTION("GOOGLETRANSLATE(F3771,""id"",""en"")"),"Cendols How Bang he is the original product of Masia alumni every Argentina losing the final bully always carrying the name Barca indeed Barca post the achievement of Messi to win the World Cup")</f>
        <v>Cendols How Bang he is the original product of Masia alumni every Argentina losing the final bully always carrying the name Barca indeed Barca post the achievement of Messi to win the World Cup</v>
      </c>
    </row>
    <row r="3772" ht="15.75" customHeight="1">
      <c r="A3772" s="1">
        <v>3799.0</v>
      </c>
      <c r="B3772" s="3" t="s">
        <v>10853</v>
      </c>
      <c r="C3772" s="3">
        <v>0.0</v>
      </c>
      <c r="D3772" s="3">
        <v>0.0</v>
      </c>
      <c r="E3772" s="3">
        <v>0.0</v>
      </c>
      <c r="F3772" s="3" t="s">
        <v>10854</v>
      </c>
      <c r="G3772" s="3">
        <v>1.0</v>
      </c>
      <c r="H3772" s="3">
        <v>0.0</v>
      </c>
      <c r="I3772" s="3" t="s">
        <v>13</v>
      </c>
      <c r="J3772" s="3" t="s">
        <v>10855</v>
      </c>
      <c r="K3772" s="3" t="s">
        <v>1628</v>
      </c>
      <c r="L3772" s="3" t="str">
        <f>IFERROR(__xludf.DUMMYFUNCTION("GOOGLETRANSLATE(F3772,""id"",""en"")"),"Yoi really remembers when Messi lost the World Cup Final and the Copa America final every losing there were just the provocateurs to blame Barca's turn Messi champion in the language")</f>
        <v>Yoi really remembers when Messi lost the World Cup Final and the Copa America final every losing there were just the provocateurs to blame Barca's turn Messi champion in the language</v>
      </c>
    </row>
    <row r="3773" ht="15.75" customHeight="1">
      <c r="A3773" s="1">
        <v>3800.0</v>
      </c>
      <c r="B3773" s="3" t="s">
        <v>10856</v>
      </c>
      <c r="C3773" s="3">
        <v>0.0</v>
      </c>
      <c r="D3773" s="3">
        <v>0.0</v>
      </c>
      <c r="E3773" s="3">
        <v>0.0</v>
      </c>
      <c r="F3773" s="3" t="s">
        <v>10857</v>
      </c>
      <c r="G3773" s="3">
        <v>1.0</v>
      </c>
      <c r="H3773" s="3">
        <v>0.0</v>
      </c>
      <c r="I3773" s="3" t="s">
        <v>13</v>
      </c>
      <c r="J3773" s="3" t="s">
        <v>10858</v>
      </c>
      <c r="K3773" s="3" t="s">
        <v>725</v>
      </c>
      <c r="L3773" s="3" t="str">
        <f>IFERROR(__xludf.DUMMYFUNCTION("GOOGLETRANSLATE(F3773,""id"",""en"")"),"TRIBUNNEWS BAK BAS BECOME ALPRIH PURCHASTS have offended concerns about the possibility of not being able to go home because he wanted to watch the World Cup Final with his friends, it was revealed by Iroh Mother APLRIH Ist")</f>
        <v>TRIBUNNEWS BAK BAS BECOME ALPRIH PURCHASTS have offended concerns about the possibility of not being able to go home because he wanted to watch the World Cup Final with his friends, it was revealed by Iroh Mother APLRIH Ist</v>
      </c>
    </row>
    <row r="3774" ht="15.75" customHeight="1">
      <c r="A3774" s="1">
        <v>3801.0</v>
      </c>
      <c r="B3774" s="3" t="s">
        <v>10859</v>
      </c>
      <c r="C3774" s="3">
        <v>0.0</v>
      </c>
      <c r="D3774" s="3">
        <v>0.0</v>
      </c>
      <c r="E3774" s="3">
        <v>0.0</v>
      </c>
      <c r="F3774" s="3" t="s">
        <v>10860</v>
      </c>
      <c r="G3774" s="3">
        <v>1.0</v>
      </c>
      <c r="H3774" s="3">
        <v>0.0</v>
      </c>
      <c r="I3774" s="3" t="s">
        <v>13</v>
      </c>
      <c r="J3774" s="3" t="s">
        <v>10861</v>
      </c>
      <c r="K3774" s="3" t="s">
        <v>82</v>
      </c>
      <c r="L3774" s="3" t="str">
        <f>IFERROR(__xludf.DUMMYFUNCTION("GOOGLETRANSLATE(F3774,""id"",""en"")"),"When the WhatsApp World Cup final recorded a record")</f>
        <v>When the WhatsApp World Cup final recorded a record</v>
      </c>
    </row>
    <row r="3775" ht="15.75" customHeight="1">
      <c r="A3775" s="1">
        <v>3802.0</v>
      </c>
      <c r="B3775" s="3" t="s">
        <v>10862</v>
      </c>
      <c r="C3775" s="3">
        <v>0.0</v>
      </c>
      <c r="D3775" s="3">
        <v>0.0</v>
      </c>
      <c r="E3775" s="3">
        <v>0.0</v>
      </c>
      <c r="F3775" s="3" t="s">
        <v>10863</v>
      </c>
      <c r="G3775" s="3">
        <v>1.0</v>
      </c>
      <c r="H3775" s="3">
        <v>0.0</v>
      </c>
      <c r="I3775" s="3" t="s">
        <v>13</v>
      </c>
      <c r="J3775" s="3" t="s">
        <v>10864</v>
      </c>
      <c r="K3775" s="3" t="s">
        <v>172</v>
      </c>
      <c r="L3775" s="3" t="str">
        <f>IFERROR(__xludf.DUMMYFUNCTION("GOOGLETRANSLATE(F3775,""id"",""en"")"),"BAK BECOME A TREATMENT OF ALPRIH HEAVE TOPICALLY ACCOUNTING ABOUT THE POSSIBLE SO CAN NOT COME TO COME HOME Because he wants to watch the World Cup Final with his friends, it was revealed by Iroh Mother APLRIH Ist")</f>
        <v>BAK BECOME A TREATMENT OF ALPRIH HEAVE TOPICALLY ACCOUNTING ABOUT THE POSSIBLE SO CAN NOT COME TO COME HOME Because he wants to watch the World Cup Final with his friends, it was revealed by Iroh Mother APLRIH Ist</v>
      </c>
    </row>
    <row r="3776" ht="15.75" customHeight="1">
      <c r="A3776" s="1">
        <v>3803.0</v>
      </c>
      <c r="B3776" s="3" t="s">
        <v>10865</v>
      </c>
      <c r="C3776" s="3">
        <v>0.0</v>
      </c>
      <c r="D3776" s="3">
        <v>0.0</v>
      </c>
      <c r="E3776" s="3">
        <v>1.0</v>
      </c>
      <c r="F3776" s="3" t="s">
        <v>10866</v>
      </c>
      <c r="G3776" s="3">
        <v>1.0</v>
      </c>
      <c r="H3776" s="3">
        <v>0.0</v>
      </c>
      <c r="I3776" s="3" t="s">
        <v>13</v>
      </c>
      <c r="J3776" s="3" t="s">
        <v>10867</v>
      </c>
      <c r="K3776" s="3" t="s">
        <v>41</v>
      </c>
      <c r="L3776" s="3" t="str">
        <f>IFERROR(__xludf.DUMMYFUNCTION("GOOGLETRANSLATE(F3776,""id"",""en"")"),"Mark Zuckerberg Million Order WhatsApp during the World Cup final via")</f>
        <v>Mark Zuckerberg Million Order WhatsApp during the World Cup final via</v>
      </c>
    </row>
    <row r="3777" ht="15.75" customHeight="1">
      <c r="A3777" s="1">
        <v>3804.0</v>
      </c>
      <c r="B3777" s="3" t="s">
        <v>10868</v>
      </c>
      <c r="C3777" s="3">
        <v>0.0</v>
      </c>
      <c r="D3777" s="3">
        <v>0.0</v>
      </c>
      <c r="E3777" s="3">
        <v>12.0</v>
      </c>
      <c r="F3777" s="3" t="s">
        <v>10869</v>
      </c>
      <c r="G3777" s="3">
        <v>0.75</v>
      </c>
      <c r="H3777" s="3">
        <v>0.25</v>
      </c>
      <c r="I3777" s="3" t="s">
        <v>48</v>
      </c>
      <c r="J3777" s="3" t="s">
        <v>10870</v>
      </c>
      <c r="K3777" s="3" t="s">
        <v>584</v>
      </c>
      <c r="L3777" s="3" t="str">
        <f>IFERROR(__xludf.DUMMYFUNCTION("GOOGLETRANSLATE(F3777,""id"",""en"")"),"what kind of goat, the final of the world cup has even been the edition of the best edition of the best squad, the Argentine reserve is the fact that Messi is better, hmm more research Messi conquered the joy")</f>
        <v>what kind of goat, the final of the world cup has even been the edition of the best edition of the best squad, the Argentine reserve is the fact that Messi is better, hmm more research Messi conquered the joy</v>
      </c>
    </row>
    <row r="3778" ht="15.75" customHeight="1">
      <c r="A3778" s="1">
        <v>3805.0</v>
      </c>
      <c r="B3778" s="3" t="s">
        <v>10871</v>
      </c>
      <c r="C3778" s="3">
        <v>0.0</v>
      </c>
      <c r="D3778" s="3">
        <v>0.0</v>
      </c>
      <c r="E3778" s="3">
        <v>0.0</v>
      </c>
      <c r="F3778" s="3" t="s">
        <v>10872</v>
      </c>
      <c r="G3778" s="3">
        <v>1.0</v>
      </c>
      <c r="H3778" s="3">
        <v>0.0</v>
      </c>
      <c r="I3778" s="3" t="s">
        <v>13</v>
      </c>
      <c r="J3778" s="3" t="s">
        <v>10873</v>
      </c>
      <c r="K3778" s="3" t="s">
        <v>614</v>
      </c>
      <c r="L3778" s="3" t="str">
        <f>IFERROR(__xludf.DUMMYFUNCTION("GOOGLETRANSLATE(F3778,""id"",""en"")"),"FIFA world soccer parent has released its latest ranking update on Thursday or precisely four days after the Qatar World Cup Final Party between France and Argentina")</f>
        <v>FIFA world soccer parent has released its latest ranking update on Thursday or precisely four days after the Qatar World Cup Final Party between France and Argentina</v>
      </c>
    </row>
    <row r="3779" ht="15.75" customHeight="1">
      <c r="A3779" s="1">
        <v>3806.0</v>
      </c>
      <c r="B3779" s="3" t="s">
        <v>10874</v>
      </c>
      <c r="C3779" s="3">
        <v>0.0</v>
      </c>
      <c r="D3779" s="3">
        <v>0.0</v>
      </c>
      <c r="E3779" s="3">
        <v>0.0</v>
      </c>
      <c r="F3779" s="3" t="s">
        <v>10875</v>
      </c>
      <c r="G3779" s="3">
        <v>1.0</v>
      </c>
      <c r="H3779" s="3">
        <v>0.0</v>
      </c>
      <c r="I3779" s="3" t="s">
        <v>13</v>
      </c>
      <c r="J3779" s="3" t="s">
        <v>10876</v>
      </c>
      <c r="K3779" s="3" t="s">
        <v>82</v>
      </c>
      <c r="L3779" s="3" t="str">
        <f>IFERROR(__xludf.DUMMYFUNCTION("GOOGLETRANSLATE(F3779,""id"",""en"")"),"Portugal's Most Exciting World Cup Final Champion")</f>
        <v>Portugal's Most Exciting World Cup Final Champion</v>
      </c>
    </row>
    <row r="3780" ht="15.75" customHeight="1">
      <c r="A3780" s="1">
        <v>3807.0</v>
      </c>
      <c r="B3780" s="3" t="s">
        <v>10877</v>
      </c>
      <c r="C3780" s="3">
        <v>0.0</v>
      </c>
      <c r="D3780" s="3">
        <v>0.0</v>
      </c>
      <c r="E3780" s="3">
        <v>2.0</v>
      </c>
      <c r="F3780" s="3" t="s">
        <v>10878</v>
      </c>
      <c r="G3780" s="3">
        <v>1.0</v>
      </c>
      <c r="H3780" s="3">
        <v>0.0</v>
      </c>
      <c r="I3780" s="3" t="s">
        <v>13</v>
      </c>
      <c r="J3780" s="3" t="s">
        <v>10879</v>
      </c>
      <c r="K3780" s="3" t="s">
        <v>184</v>
      </c>
      <c r="L3780" s="3" t="str">
        <f>IFERROR(__xludf.DUMMYFUNCTION("GOOGLETRANSLATE(F3780,""id"",""en"")"),"Mark Zuckerberg revealed the biggest achievement of WhatsApp WhatsApp has broken the record translucent million messages per second during the World Cup final")</f>
        <v>Mark Zuckerberg revealed the biggest achievement of WhatsApp WhatsApp has broken the record translucent million messages per second during the World Cup final</v>
      </c>
    </row>
    <row r="3781" ht="15.75" customHeight="1">
      <c r="A3781" s="1">
        <v>3808.0</v>
      </c>
      <c r="B3781" s="3" t="s">
        <v>10880</v>
      </c>
      <c r="C3781" s="3">
        <v>4.0</v>
      </c>
      <c r="D3781" s="3">
        <v>8.0</v>
      </c>
      <c r="E3781" s="3">
        <v>40.0</v>
      </c>
      <c r="F3781" s="3" t="s">
        <v>10881</v>
      </c>
      <c r="G3781" s="3">
        <v>0.75</v>
      </c>
      <c r="H3781" s="3">
        <v>0.0</v>
      </c>
      <c r="I3781" s="3" t="s">
        <v>13</v>
      </c>
      <c r="J3781" s="3" t="s">
        <v>10882</v>
      </c>
      <c r="K3781" s="3" t="s">
        <v>765</v>
      </c>
      <c r="L3781" s="3" t="str">
        <f>IFERROR(__xludf.DUMMYFUNCTION("GOOGLETRANSLATE(F3781,""id"",""en"")"),"For the hopeless romantic it seems to be baper with the love story of Lionel Messi and Antonela Roccuzzo Antonela and Messi had stolen attention during the celebration of the World Cup final last Sunday")</f>
        <v>For the hopeless romantic it seems to be baper with the love story of Lionel Messi and Antonela Roccuzzo Antonela and Messi had stolen attention during the celebration of the World Cup final last Sunday</v>
      </c>
    </row>
    <row r="3782" ht="15.75" customHeight="1">
      <c r="A3782" s="1">
        <v>3809.0</v>
      </c>
      <c r="B3782" s="3" t="s">
        <v>10883</v>
      </c>
      <c r="C3782" s="3">
        <v>0.0</v>
      </c>
      <c r="D3782" s="3">
        <v>0.0</v>
      </c>
      <c r="E3782" s="3">
        <v>0.0</v>
      </c>
      <c r="F3782" s="3" t="s">
        <v>10591</v>
      </c>
      <c r="G3782" s="3">
        <v>1.0</v>
      </c>
      <c r="H3782" s="3">
        <v>0.0</v>
      </c>
      <c r="I3782" s="3" t="s">
        <v>13</v>
      </c>
      <c r="J3782" s="3" t="s">
        <v>10592</v>
      </c>
      <c r="K3782" s="3" t="s">
        <v>90</v>
      </c>
      <c r="L3782" s="3" t="str">
        <f>IFERROR(__xludf.DUMMYFUNCTION("GOOGLETRANSLATE(F3782,""id"",""en"")"),"Reposted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783" ht="15.75" customHeight="1">
      <c r="A3783" s="1">
        <v>3810.0</v>
      </c>
      <c r="B3783" s="3" t="s">
        <v>10884</v>
      </c>
      <c r="C3783" s="3">
        <v>0.0</v>
      </c>
      <c r="D3783" s="3">
        <v>0.0</v>
      </c>
      <c r="E3783" s="3">
        <v>0.0</v>
      </c>
      <c r="F3783" s="3" t="s">
        <v>10885</v>
      </c>
      <c r="G3783" s="3">
        <v>1.0</v>
      </c>
      <c r="H3783" s="3">
        <v>0.0</v>
      </c>
      <c r="I3783" s="3" t="s">
        <v>13</v>
      </c>
      <c r="J3783" s="3" t="s">
        <v>10886</v>
      </c>
      <c r="K3783" s="3" t="s">
        <v>348</v>
      </c>
      <c r="L3783" s="3" t="str">
        <f>IFERROR(__xludf.DUMMYFUNCTION("GOOGLETRANSLATE(F3783,""id"",""en"")"),"Want to be said to be conspiracy or what I think is one of the best world cup finals, open games to attack each other until the final minutes and are very productive")</f>
        <v>Want to be said to be conspiracy or what I think is one of the best world cup finals, open games to attack each other until the final minutes and are very productive</v>
      </c>
    </row>
    <row r="3784" ht="15.75" customHeight="1">
      <c r="A3784" s="1">
        <v>3811.0</v>
      </c>
      <c r="B3784" s="3" t="s">
        <v>10887</v>
      </c>
      <c r="C3784" s="3">
        <v>0.0</v>
      </c>
      <c r="D3784" s="3">
        <v>0.0</v>
      </c>
      <c r="E3784" s="3">
        <v>0.0</v>
      </c>
      <c r="F3784" s="3" t="s">
        <v>10888</v>
      </c>
      <c r="G3784" s="3">
        <v>1.0</v>
      </c>
      <c r="H3784" s="3">
        <v>0.0</v>
      </c>
      <c r="I3784" s="3" t="s">
        <v>13</v>
      </c>
      <c r="J3784" s="3" t="s">
        <v>10889</v>
      </c>
      <c r="K3784" s="3" t="s">
        <v>82</v>
      </c>
      <c r="L3784" s="3" t="str">
        <f>IFERROR(__xludf.DUMMYFUNCTION("GOOGLETRANSLATE(F3784,""id"",""en"")"),"Mark Zuckerbeg ordered WhatsApp during the World Cup final")</f>
        <v>Mark Zuckerbeg ordered WhatsApp during the World Cup final</v>
      </c>
    </row>
    <row r="3785" ht="15.75" customHeight="1">
      <c r="A3785" s="1">
        <v>3812.0</v>
      </c>
      <c r="B3785" s="3" t="s">
        <v>10890</v>
      </c>
      <c r="C3785" s="3">
        <v>0.0</v>
      </c>
      <c r="D3785" s="3">
        <v>0.0</v>
      </c>
      <c r="E3785" s="3">
        <v>0.0</v>
      </c>
      <c r="F3785" s="3" t="s">
        <v>10891</v>
      </c>
      <c r="G3785" s="3">
        <v>1.0</v>
      </c>
      <c r="H3785" s="3">
        <v>0.0</v>
      </c>
      <c r="I3785" s="3" t="s">
        <v>13</v>
      </c>
      <c r="J3785" s="3" t="s">
        <v>10892</v>
      </c>
      <c r="K3785" s="3" t="s">
        <v>123</v>
      </c>
      <c r="L3785" s="3" t="str">
        <f>IFERROR(__xludf.DUMMYFUNCTION("GOOGLETRANSLATE(F3785,""id"",""en"")"),"look at the final time of the world cup again playing the antenna suddenly there is like that the sky is fast")</f>
        <v>look at the final time of the world cup again playing the antenna suddenly there is like that the sky is fast</v>
      </c>
    </row>
    <row r="3786" ht="15.75" customHeight="1">
      <c r="A3786" s="1">
        <v>3813.0</v>
      </c>
      <c r="B3786" s="3" t="s">
        <v>10893</v>
      </c>
      <c r="C3786" s="3">
        <v>0.0</v>
      </c>
      <c r="D3786" s="3">
        <v>0.0</v>
      </c>
      <c r="E3786" s="3">
        <v>0.0</v>
      </c>
      <c r="F3786" s="3" t="s">
        <v>10894</v>
      </c>
      <c r="G3786" s="3">
        <v>1.0</v>
      </c>
      <c r="H3786" s="3">
        <v>0.0</v>
      </c>
      <c r="I3786" s="3" t="s">
        <v>13</v>
      </c>
      <c r="J3786" s="3" t="s">
        <v>10895</v>
      </c>
      <c r="K3786" s="3" t="s">
        <v>41</v>
      </c>
      <c r="L3786" s="3" t="str">
        <f>IFERROR(__xludf.DUMMYFUNCTION("GOOGLETRANSLATE(F3786,""id"",""en"")"),"WhatsApp Translucent Million Message Per Seconds During the World Cup Final")</f>
        <v>WhatsApp Translucent Million Message Per Seconds During the World Cup Final</v>
      </c>
    </row>
    <row r="3787" ht="15.75" customHeight="1">
      <c r="A3787" s="1">
        <v>3814.0</v>
      </c>
      <c r="B3787" s="3" t="s">
        <v>10896</v>
      </c>
      <c r="C3787" s="3">
        <v>0.0</v>
      </c>
      <c r="D3787" s="3">
        <v>0.0</v>
      </c>
      <c r="E3787" s="3">
        <v>0.0</v>
      </c>
      <c r="F3787" s="3" t="s">
        <v>10897</v>
      </c>
      <c r="G3787" s="3">
        <v>1.0</v>
      </c>
      <c r="H3787" s="3">
        <v>0.0</v>
      </c>
      <c r="I3787" s="3" t="s">
        <v>13</v>
      </c>
      <c r="J3787" s="3" t="s">
        <v>10898</v>
      </c>
      <c r="K3787" s="3" t="s">
        <v>510</v>
      </c>
      <c r="L3787" s="3" t="str">
        <f>IFERROR(__xludf.DUMMYFUNCTION("GOOGLETRANSLATE(F3787,""id"",""en"")"),"Historical Mbappe Record for Messi and Argentina The Dancing Story of the Fliping Phase and the World Cup Final")</f>
        <v>Historical Mbappe Record for Messi and Argentina The Dancing Story of the Fliping Phase and the World Cup Final</v>
      </c>
    </row>
    <row r="3788" ht="15.75" customHeight="1">
      <c r="A3788" s="1">
        <v>3815.0</v>
      </c>
      <c r="B3788" s="3" t="s">
        <v>10899</v>
      </c>
      <c r="C3788" s="3">
        <v>0.0</v>
      </c>
      <c r="D3788" s="3">
        <v>3.0</v>
      </c>
      <c r="E3788" s="3">
        <v>0.0</v>
      </c>
      <c r="F3788" s="3" t="s">
        <v>10900</v>
      </c>
      <c r="G3788" s="3">
        <v>1.0</v>
      </c>
      <c r="H3788" s="3">
        <v>0.0</v>
      </c>
      <c r="I3788" s="3" t="s">
        <v>13</v>
      </c>
      <c r="J3788" s="3" t="s">
        <v>10901</v>
      </c>
      <c r="K3788" s="3" t="s">
        <v>58</v>
      </c>
      <c r="L3788" s="3" t="str">
        <f>IFERROR(__xludf.DUMMYFUNCTION("GOOGLETRANSLATE(F3788,""id"",""en"")"),"Salt Bae Video is prohibited from attending the open cup final after lifting the World Cup trophy")</f>
        <v>Salt Bae Video is prohibited from attending the open cup final after lifting the World Cup trophy</v>
      </c>
    </row>
    <row r="3789" ht="15.75" customHeight="1">
      <c r="A3789" s="1">
        <v>3816.0</v>
      </c>
      <c r="B3789" s="3" t="s">
        <v>10902</v>
      </c>
      <c r="C3789" s="3">
        <v>0.0</v>
      </c>
      <c r="D3789" s="3">
        <v>0.0</v>
      </c>
      <c r="E3789" s="3">
        <v>0.0</v>
      </c>
      <c r="F3789" s="3" t="s">
        <v>10903</v>
      </c>
      <c r="G3789" s="3">
        <v>1.0</v>
      </c>
      <c r="H3789" s="3">
        <v>0.0</v>
      </c>
      <c r="I3789" s="3" t="s">
        <v>13</v>
      </c>
      <c r="J3789" s="3" t="s">
        <v>10904</v>
      </c>
      <c r="K3789" s="3" t="s">
        <v>31</v>
      </c>
      <c r="L3789" s="3" t="str">
        <f>IFERROR(__xludf.DUMMYFUNCTION("GOOGLETRANSLATE(F3789,""id"",""en"")"),"Anjayyy lost the World Cup final")</f>
        <v>Anjayyy lost the World Cup final</v>
      </c>
    </row>
    <row r="3790" ht="15.75" customHeight="1">
      <c r="A3790" s="1">
        <v>3817.0</v>
      </c>
      <c r="B3790" s="3" t="s">
        <v>10905</v>
      </c>
      <c r="C3790" s="3">
        <v>1.0</v>
      </c>
      <c r="D3790" s="3">
        <v>3.0</v>
      </c>
      <c r="E3790" s="3">
        <v>14.0</v>
      </c>
      <c r="F3790" s="3" t="s">
        <v>10906</v>
      </c>
      <c r="G3790" s="3">
        <v>1.0</v>
      </c>
      <c r="H3790" s="3">
        <v>0.0</v>
      </c>
      <c r="I3790" s="3" t="s">
        <v>13</v>
      </c>
      <c r="J3790" s="3" t="s">
        <v>10907</v>
      </c>
      <c r="K3790" s="3" t="s">
        <v>495</v>
      </c>
      <c r="L3790" s="3" t="str">
        <f>IFERROR(__xludf.DUMMYFUNCTION("GOOGLETRANSLATE(F3790,""id"",""en"")"),"Bisht Lionel Messi's robes after the Qatar World Cup final in the spotlight now there are those who are interested and able to buy with a nominal billion you know")</f>
        <v>Bisht Lionel Messi's robes after the Qatar World Cup final in the spotlight now there are those who are interested and able to buy with a nominal billion you know</v>
      </c>
    </row>
    <row r="3791" ht="15.75" customHeight="1">
      <c r="A3791" s="1">
        <v>3818.0</v>
      </c>
      <c r="B3791" s="3" t="s">
        <v>10908</v>
      </c>
      <c r="C3791" s="3">
        <v>0.0</v>
      </c>
      <c r="D3791" s="3">
        <v>0.0</v>
      </c>
      <c r="E3791" s="3">
        <v>1.0</v>
      </c>
      <c r="F3791" s="3" t="s">
        <v>10900</v>
      </c>
      <c r="G3791" s="3">
        <v>1.0</v>
      </c>
      <c r="H3791" s="3">
        <v>0.0</v>
      </c>
      <c r="I3791" s="3" t="s">
        <v>13</v>
      </c>
      <c r="J3791" s="3" t="s">
        <v>10901</v>
      </c>
      <c r="K3791" s="3" t="s">
        <v>58</v>
      </c>
      <c r="L3791" s="3" t="str">
        <f>IFERROR(__xludf.DUMMYFUNCTION("GOOGLETRANSLATE(F3791,""id"",""en"")"),"Salt Bae Video is prohibited from attending the open cup final after lifting the World Cup trophy")</f>
        <v>Salt Bae Video is prohibited from attending the open cup final after lifting the World Cup trophy</v>
      </c>
    </row>
    <row r="3792" ht="15.75" customHeight="1">
      <c r="A3792" s="1">
        <v>3819.0</v>
      </c>
      <c r="B3792" s="3" t="s">
        <v>10909</v>
      </c>
      <c r="C3792" s="3">
        <v>0.0</v>
      </c>
      <c r="D3792" s="3">
        <v>0.0</v>
      </c>
      <c r="E3792" s="3">
        <v>1.0</v>
      </c>
      <c r="F3792" s="3" t="s">
        <v>10900</v>
      </c>
      <c r="G3792" s="3">
        <v>1.0</v>
      </c>
      <c r="H3792" s="3">
        <v>0.0</v>
      </c>
      <c r="I3792" s="3" t="s">
        <v>13</v>
      </c>
      <c r="J3792" s="3" t="s">
        <v>10901</v>
      </c>
      <c r="K3792" s="3" t="s">
        <v>58</v>
      </c>
      <c r="L3792" s="3" t="str">
        <f>IFERROR(__xludf.DUMMYFUNCTION("GOOGLETRANSLATE(F3792,""id"",""en"")"),"Salt Bae Video is prohibited from attending the open cup final after lifting the World Cup trophy")</f>
        <v>Salt Bae Video is prohibited from attending the open cup final after lifting the World Cup trophy</v>
      </c>
    </row>
    <row r="3793" ht="15.75" customHeight="1">
      <c r="A3793" s="1">
        <v>3820.0</v>
      </c>
      <c r="B3793" s="3" t="s">
        <v>10910</v>
      </c>
      <c r="C3793" s="3">
        <v>0.0</v>
      </c>
      <c r="D3793" s="3">
        <v>0.0</v>
      </c>
      <c r="E3793" s="3">
        <v>0.0</v>
      </c>
      <c r="F3793" s="3" t="s">
        <v>10911</v>
      </c>
      <c r="G3793" s="3">
        <v>0.6444444444444445</v>
      </c>
      <c r="H3793" s="3">
        <v>-0.07777777777777779</v>
      </c>
      <c r="I3793" s="3" t="s">
        <v>179</v>
      </c>
      <c r="J3793" s="3" t="s">
        <v>10912</v>
      </c>
      <c r="K3793" s="3" t="s">
        <v>19</v>
      </c>
      <c r="L3793" s="3" t="str">
        <f>IFERROR(__xludf.DUMMYFUNCTION("GOOGLETRANSLATE(F3793,""id"",""en"")"),"World Cup Final Broadcast Down Vidio apologize and give compensation for customers")</f>
        <v>World Cup Final Broadcast Down Vidio apologize and give compensation for customers</v>
      </c>
    </row>
    <row r="3794" ht="15.75" customHeight="1">
      <c r="A3794" s="1">
        <v>3821.0</v>
      </c>
      <c r="B3794" s="3" t="s">
        <v>10913</v>
      </c>
      <c r="C3794" s="3">
        <v>0.0</v>
      </c>
      <c r="D3794" s="3">
        <v>0.0</v>
      </c>
      <c r="E3794" s="3">
        <v>2.0</v>
      </c>
      <c r="F3794" s="3" t="s">
        <v>10914</v>
      </c>
      <c r="G3794" s="3">
        <v>1.0</v>
      </c>
      <c r="H3794" s="3">
        <v>0.0</v>
      </c>
      <c r="I3794" s="3" t="s">
        <v>13</v>
      </c>
      <c r="J3794" s="3" t="s">
        <v>10915</v>
      </c>
      <c r="K3794" s="3" t="s">
        <v>574</v>
      </c>
      <c r="L3794" s="3" t="str">
        <f>IFERROR(__xludf.DUMMYFUNCTION("GOOGLETRANSLATE(F3794,""id"",""en"")"),"still not moved the euphoria of Argentina champions and only knew Messi et al enjoyed the euphoria and a sense of the hello of the World Cup final alumni fortunately traumatized that time paid off Lunass")</f>
        <v>still not moved the euphoria of Argentina champions and only knew Messi et al enjoyed the euphoria and a sense of the hello of the World Cup final alumni fortunately traumatized that time paid off Lunass</v>
      </c>
    </row>
    <row r="3795" ht="15.75" customHeight="1">
      <c r="A3795" s="1">
        <v>3822.0</v>
      </c>
      <c r="B3795" s="3" t="s">
        <v>10916</v>
      </c>
      <c r="C3795" s="3">
        <v>0.0</v>
      </c>
      <c r="D3795" s="3">
        <v>0.0</v>
      </c>
      <c r="E3795" s="3">
        <v>1.0</v>
      </c>
      <c r="F3795" s="3" t="s">
        <v>10917</v>
      </c>
      <c r="G3795" s="3">
        <v>1.0</v>
      </c>
      <c r="H3795" s="3">
        <v>0.0</v>
      </c>
      <c r="I3795" s="3" t="s">
        <v>13</v>
      </c>
      <c r="J3795" s="3" t="s">
        <v>10918</v>
      </c>
      <c r="K3795" s="3" t="s">
        <v>82</v>
      </c>
      <c r="L3795" s="3" t="str">
        <f>IFERROR(__xludf.DUMMYFUNCTION("GOOGLETRANSLATE(F3795,""id"",""en"")"),"The figure of the woman who was hugged by Messi World Cup Final")</f>
        <v>The figure of the woman who was hugged by Messi World Cup Final</v>
      </c>
    </row>
    <row r="3796" ht="15.75" customHeight="1">
      <c r="A3796" s="1">
        <v>3823.0</v>
      </c>
      <c r="B3796" s="3" t="s">
        <v>10919</v>
      </c>
      <c r="C3796" s="3">
        <v>0.0</v>
      </c>
      <c r="D3796" s="3">
        <v>0.0</v>
      </c>
      <c r="E3796" s="3">
        <v>0.0</v>
      </c>
      <c r="F3796" s="3" t="s">
        <v>10920</v>
      </c>
      <c r="G3796" s="3">
        <v>1.0</v>
      </c>
      <c r="H3796" s="3">
        <v>0.0</v>
      </c>
      <c r="I3796" s="3" t="s">
        <v>13</v>
      </c>
      <c r="J3796" s="3" t="s">
        <v>10921</v>
      </c>
      <c r="K3796" s="3" t="s">
        <v>31</v>
      </c>
      <c r="L3796" s="3" t="str">
        <f>IFERROR(__xludf.DUMMYFUNCTION("GOOGLETRANSLATE(F3796,""id"",""en"")"),"Watch World Cup Final Re -Watch")</f>
        <v>Watch World Cup Final Re -Watch</v>
      </c>
    </row>
    <row r="3797" ht="15.75" customHeight="1">
      <c r="A3797" s="1">
        <v>3824.0</v>
      </c>
      <c r="B3797" s="3" t="s">
        <v>10922</v>
      </c>
      <c r="C3797" s="3">
        <v>0.0</v>
      </c>
      <c r="D3797" s="3">
        <v>0.0</v>
      </c>
      <c r="E3797" s="3">
        <v>0.0</v>
      </c>
      <c r="F3797" s="3" t="s">
        <v>10923</v>
      </c>
      <c r="G3797" s="3">
        <v>1.0</v>
      </c>
      <c r="H3797" s="3">
        <v>0.0</v>
      </c>
      <c r="I3797" s="3" t="s">
        <v>13</v>
      </c>
      <c r="J3797" s="3" t="s">
        <v>10924</v>
      </c>
      <c r="K3797" s="3" t="s">
        <v>75</v>
      </c>
      <c r="L3797" s="3" t="str">
        <f>IFERROR(__xludf.DUMMYFUNCTION("GOOGLETRANSLATE(F3797,""id"",""en"")"),"Prediction and History of the Argentine World Cup Final last year France won")</f>
        <v>Prediction and History of the Argentine World Cup Final last year France won</v>
      </c>
    </row>
    <row r="3798" ht="15.75" customHeight="1">
      <c r="A3798" s="1">
        <v>3825.0</v>
      </c>
      <c r="B3798" s="3" t="s">
        <v>10925</v>
      </c>
      <c r="C3798" s="3">
        <v>0.0</v>
      </c>
      <c r="D3798" s="3">
        <v>0.0</v>
      </c>
      <c r="E3798" s="3">
        <v>0.0</v>
      </c>
      <c r="F3798" s="3" t="s">
        <v>10926</v>
      </c>
      <c r="G3798" s="3">
        <v>1.0</v>
      </c>
      <c r="H3798" s="3">
        <v>0.0</v>
      </c>
      <c r="I3798" s="3" t="s">
        <v>13</v>
      </c>
      <c r="J3798" s="3" t="s">
        <v>10927</v>
      </c>
      <c r="K3798" s="3" t="s">
        <v>75</v>
      </c>
      <c r="L3798" s="3" t="str">
        <f>IFERROR(__xludf.DUMMYFUNCTION("GOOGLETRANSLATE(F3798,""id"",""en"")"),"Croatian performance ahead of Pogba's ranking is prohibited from attending the World Cup final")</f>
        <v>Croatian performance ahead of Pogba's ranking is prohibited from attending the World Cup final</v>
      </c>
    </row>
    <row r="3799" ht="15.75" customHeight="1">
      <c r="A3799" s="1">
        <v>3826.0</v>
      </c>
      <c r="B3799" s="3" t="s">
        <v>10928</v>
      </c>
      <c r="C3799" s="3">
        <v>0.0</v>
      </c>
      <c r="D3799" s="3">
        <v>0.0</v>
      </c>
      <c r="E3799" s="3">
        <v>0.0</v>
      </c>
      <c r="F3799" s="3" t="s">
        <v>10929</v>
      </c>
      <c r="G3799" s="3">
        <v>1.0</v>
      </c>
      <c r="H3799" s="3">
        <v>0.0</v>
      </c>
      <c r="I3799" s="3" t="s">
        <v>13</v>
      </c>
      <c r="J3799" s="3" t="s">
        <v>10930</v>
      </c>
      <c r="K3799" s="3" t="s">
        <v>75</v>
      </c>
      <c r="L3799" s="3" t="str">
        <f>IFERROR(__xludf.DUMMYFUNCTION("GOOGLETRANSLATE(F3799,""id"",""en"")"),"Didier Deschamps Print History After Bringing France Final Again of the World Cup")</f>
        <v>Didier Deschamps Print History After Bringing France Final Again of the World Cup</v>
      </c>
    </row>
    <row r="3800" ht="15.75" customHeight="1">
      <c r="A3800" s="1">
        <v>3827.0</v>
      </c>
      <c r="B3800" s="3" t="s">
        <v>10931</v>
      </c>
      <c r="C3800" s="3">
        <v>0.0</v>
      </c>
      <c r="D3800" s="3">
        <v>4.0</v>
      </c>
      <c r="E3800" s="3">
        <v>0.0</v>
      </c>
      <c r="F3800" s="3" t="s">
        <v>10932</v>
      </c>
      <c r="G3800" s="3">
        <v>1.0</v>
      </c>
      <c r="H3800" s="3">
        <v>0.0</v>
      </c>
      <c r="I3800" s="3" t="s">
        <v>13</v>
      </c>
      <c r="J3800" s="3" t="s">
        <v>10933</v>
      </c>
      <c r="K3800" s="3" t="s">
        <v>15</v>
      </c>
      <c r="L3800" s="3" t="str">
        <f>IFERROR(__xludf.DUMMYFUNCTION("GOOGLETRANSLATE(F3800,""id"",""en"")"),"video of the figure of a woman hugged by Messi World Cup Final")</f>
        <v>video of the figure of a woman hugged by Messi World Cup Final</v>
      </c>
    </row>
    <row r="3801" ht="15.75" customHeight="1">
      <c r="A3801" s="1">
        <v>3828.0</v>
      </c>
      <c r="B3801" s="3" t="s">
        <v>10934</v>
      </c>
      <c r="C3801" s="3">
        <v>0.0</v>
      </c>
      <c r="D3801" s="3">
        <v>0.0</v>
      </c>
      <c r="E3801" s="3">
        <v>3.0</v>
      </c>
      <c r="F3801" s="3" t="s">
        <v>10935</v>
      </c>
      <c r="G3801" s="3">
        <v>1.0</v>
      </c>
      <c r="H3801" s="3">
        <v>0.0</v>
      </c>
      <c r="I3801" s="3" t="s">
        <v>13</v>
      </c>
      <c r="J3801" s="3" t="s">
        <v>10936</v>
      </c>
      <c r="K3801" s="3" t="s">
        <v>499</v>
      </c>
      <c r="L3801" s="3" t="str">
        <f>IFERROR(__xludf.DUMMYFUNCTION("GOOGLETRANSLATE(F3801,""id"",""en"")"),"three days after the final match of the World Cup Kylian Mbappe immediately training with his club Paris Saint Germain PSG said the coach had a strong signal")</f>
        <v>three days after the final match of the World Cup Kylian Mbappe immediately training with his club Paris Saint Germain PSG said the coach had a strong signal</v>
      </c>
    </row>
    <row r="3802" ht="15.75" customHeight="1">
      <c r="A3802" s="1">
        <v>3829.0</v>
      </c>
      <c r="B3802" s="3" t="s">
        <v>10937</v>
      </c>
      <c r="C3802" s="3">
        <v>0.0</v>
      </c>
      <c r="D3802" s="3">
        <v>0.0</v>
      </c>
      <c r="E3802" s="3">
        <v>0.0</v>
      </c>
      <c r="F3802" s="3" t="s">
        <v>10938</v>
      </c>
      <c r="G3802" s="3">
        <v>1.0</v>
      </c>
      <c r="H3802" s="3">
        <v>0.0</v>
      </c>
      <c r="I3802" s="3" t="s">
        <v>13</v>
      </c>
      <c r="J3802" s="3" t="s">
        <v>10939</v>
      </c>
      <c r="K3802" s="3" t="s">
        <v>41</v>
      </c>
      <c r="L3802" s="3" t="str">
        <f>IFERROR(__xludf.DUMMYFUNCTION("GOOGLETRANSLATE(F3802,""id"",""en"")"),"The World Cup Final Breaks Google Twitter Records to WhatsApp")</f>
        <v>The World Cup Final Breaks Google Twitter Records to WhatsApp</v>
      </c>
    </row>
    <row r="3803" ht="15.75" customHeight="1">
      <c r="A3803" s="1">
        <v>3830.0</v>
      </c>
      <c r="B3803" s="3" t="s">
        <v>10940</v>
      </c>
      <c r="C3803" s="3">
        <v>0.0</v>
      </c>
      <c r="D3803" s="3">
        <v>4.0</v>
      </c>
      <c r="E3803" s="3">
        <v>0.0</v>
      </c>
      <c r="F3803" s="3" t="s">
        <v>10941</v>
      </c>
      <c r="G3803" s="3">
        <v>1.0</v>
      </c>
      <c r="H3803" s="3">
        <v>0.0</v>
      </c>
      <c r="I3803" s="3" t="s">
        <v>13</v>
      </c>
      <c r="J3803" s="3" t="s">
        <v>10942</v>
      </c>
      <c r="K3803" s="3" t="s">
        <v>15</v>
      </c>
      <c r="L3803" s="3" t="str">
        <f>IFERROR(__xludf.DUMMYFUNCTION("GOOGLETRANSLATE(F3803,""id"",""en"")"),"The figure of the woman who was hugged by Messi Final World Cup Liputan")</f>
        <v>The figure of the woman who was hugged by Messi Final World Cup Liputan</v>
      </c>
    </row>
    <row r="3804" ht="15.75" customHeight="1">
      <c r="A3804" s="1">
        <v>3831.0</v>
      </c>
      <c r="B3804" s="3" t="s">
        <v>10943</v>
      </c>
      <c r="C3804" s="3">
        <v>0.0</v>
      </c>
      <c r="D3804" s="3">
        <v>0.0</v>
      </c>
      <c r="E3804" s="3">
        <v>2.0</v>
      </c>
      <c r="F3804" s="3" t="s">
        <v>10944</v>
      </c>
      <c r="G3804" s="3">
        <v>1.0</v>
      </c>
      <c r="H3804" s="3">
        <v>0.0</v>
      </c>
      <c r="I3804" s="3" t="s">
        <v>13</v>
      </c>
      <c r="J3804" s="3" t="s">
        <v>10945</v>
      </c>
      <c r="K3804" s="3" t="s">
        <v>149</v>
      </c>
      <c r="L3804" s="3" t="str">
        <f>IFERROR(__xludf.DUMMYFUNCTION("GOOGLETRANSLATE(F3804,""id"",""en"")"),"Paulo Dybala Successfully became one of the Argentine executioners in the penalties against France Final of the World Cup, how dared to place the middle ball Dybala")</f>
        <v>Paulo Dybala Successfully became one of the Argentine executioners in the penalties against France Final of the World Cup, how dared to place the middle ball Dybala</v>
      </c>
    </row>
    <row r="3805" ht="15.75" customHeight="1">
      <c r="A3805" s="1">
        <v>3832.0</v>
      </c>
      <c r="B3805" s="3" t="s">
        <v>10946</v>
      </c>
      <c r="C3805" s="3">
        <v>1.0</v>
      </c>
      <c r="D3805" s="3">
        <v>1.0</v>
      </c>
      <c r="E3805" s="3">
        <v>0.0</v>
      </c>
      <c r="F3805" s="3" t="s">
        <v>10947</v>
      </c>
      <c r="G3805" s="3">
        <v>1.0</v>
      </c>
      <c r="H3805" s="3">
        <v>0.0</v>
      </c>
      <c r="I3805" s="3" t="s">
        <v>13</v>
      </c>
      <c r="J3805" s="3" t="s">
        <v>10948</v>
      </c>
      <c r="K3805" s="3" t="s">
        <v>82</v>
      </c>
      <c r="L3805" s="3" t="str">
        <f>IFERROR(__xludf.DUMMYFUNCTION("GOOGLETRANSLATE(F3805,""id"",""en"")"),"Semi Final of the Qatar World Cup through Links")</f>
        <v>Semi Final of the Qatar World Cup through Links</v>
      </c>
    </row>
    <row r="3806" ht="15.75" customHeight="1">
      <c r="A3806" s="1">
        <v>3833.0</v>
      </c>
      <c r="B3806" s="3" t="s">
        <v>10949</v>
      </c>
      <c r="C3806" s="3">
        <v>1.0</v>
      </c>
      <c r="D3806" s="3">
        <v>0.0</v>
      </c>
      <c r="E3806" s="3">
        <v>0.0</v>
      </c>
      <c r="F3806" s="3" t="s">
        <v>10950</v>
      </c>
      <c r="G3806" s="3">
        <v>1.0</v>
      </c>
      <c r="H3806" s="3">
        <v>0.0</v>
      </c>
      <c r="I3806" s="3" t="s">
        <v>13</v>
      </c>
      <c r="J3806" s="3" t="s">
        <v>10951</v>
      </c>
      <c r="K3806" s="3" t="s">
        <v>35</v>
      </c>
      <c r="L3806" s="3" t="str">
        <f>IFERROR(__xludf.DUMMYFUNCTION("GOOGLETRANSLATE(F3806,""id"",""en"")"),"EEFD Moroccan Semi -Final World Cup Qatar Try to check this Twibbonize Morocco")</f>
        <v>EEFD Moroccan Semi -Final World Cup Qatar Try to check this Twibbonize Morocco</v>
      </c>
    </row>
    <row r="3807" ht="15.75" customHeight="1">
      <c r="A3807" s="1">
        <v>3834.0</v>
      </c>
      <c r="B3807" s="3" t="s">
        <v>10952</v>
      </c>
      <c r="C3807" s="3">
        <v>0.0</v>
      </c>
      <c r="D3807" s="3">
        <v>0.0</v>
      </c>
      <c r="E3807" s="3">
        <v>0.0</v>
      </c>
      <c r="F3807" s="3" t="s">
        <v>10953</v>
      </c>
      <c r="G3807" s="3">
        <v>1.0</v>
      </c>
      <c r="H3807" s="3">
        <v>0.0</v>
      </c>
      <c r="I3807" s="3" t="s">
        <v>13</v>
      </c>
      <c r="J3807" s="3" t="s">
        <v>10954</v>
      </c>
      <c r="K3807" s="3" t="s">
        <v>19</v>
      </c>
      <c r="L3807" s="3" t="str">
        <f>IFERROR(__xludf.DUMMYFUNCTION("GOOGLETRANSLATE(F3807,""id"",""en"")"),"dy")</f>
        <v>dy</v>
      </c>
    </row>
    <row r="3808" ht="15.75" customHeight="1">
      <c r="A3808" s="1">
        <v>3835.0</v>
      </c>
      <c r="B3808" s="3" t="s">
        <v>10955</v>
      </c>
      <c r="C3808" s="3">
        <v>0.0</v>
      </c>
      <c r="D3808" s="3">
        <v>0.0</v>
      </c>
      <c r="E3808" s="3">
        <v>1.0</v>
      </c>
      <c r="F3808" s="3" t="s">
        <v>9892</v>
      </c>
      <c r="G3808" s="3">
        <v>1.0</v>
      </c>
      <c r="H3808" s="3">
        <v>0.0</v>
      </c>
      <c r="I3808" s="3" t="s">
        <v>13</v>
      </c>
      <c r="J3808" s="3" t="s">
        <v>9893</v>
      </c>
      <c r="K3808" s="3" t="s">
        <v>15</v>
      </c>
      <c r="L3808" s="3" t="str">
        <f>IFERROR(__xludf.DUMMYFUNCTION("GOOGLETRANSLATE(F3808,""id"",""en"")"),"MARK ZUCKERBERG MILLY MESSAGE WHATSAPP During the World Cup Final")</f>
        <v>MARK ZUCKERBERG MILLY MESSAGE WHATSAPP During the World Cup Final</v>
      </c>
    </row>
    <row r="3809" ht="15.75" customHeight="1">
      <c r="A3809" s="1">
        <v>3836.0</v>
      </c>
      <c r="B3809" s="3" t="s">
        <v>10956</v>
      </c>
      <c r="C3809" s="3">
        <v>0.0</v>
      </c>
      <c r="D3809" s="3">
        <v>0.0</v>
      </c>
      <c r="E3809" s="3">
        <v>0.0</v>
      </c>
      <c r="F3809" s="3" t="s">
        <v>10953</v>
      </c>
      <c r="G3809" s="3">
        <v>1.0</v>
      </c>
      <c r="H3809" s="3">
        <v>0.0</v>
      </c>
      <c r="I3809" s="3" t="s">
        <v>13</v>
      </c>
      <c r="J3809" s="3" t="s">
        <v>10954</v>
      </c>
      <c r="K3809" s="3" t="s">
        <v>19</v>
      </c>
      <c r="L3809" s="3" t="str">
        <f>IFERROR(__xludf.DUMMYFUNCTION("GOOGLETRANSLATE(F3809,""id"",""en"")"),"dy")</f>
        <v>dy</v>
      </c>
    </row>
    <row r="3810" ht="15.75" customHeight="1">
      <c r="A3810" s="1">
        <v>3837.0</v>
      </c>
      <c r="B3810" s="3" t="s">
        <v>10957</v>
      </c>
      <c r="C3810" s="3">
        <v>0.0</v>
      </c>
      <c r="D3810" s="3">
        <v>0.0</v>
      </c>
      <c r="E3810" s="3">
        <v>1.0</v>
      </c>
      <c r="F3810" s="3" t="s">
        <v>10958</v>
      </c>
      <c r="G3810" s="3">
        <v>1.0</v>
      </c>
      <c r="H3810" s="3">
        <v>0.0</v>
      </c>
      <c r="I3810" s="3" t="s">
        <v>13</v>
      </c>
      <c r="J3810" s="3" t="s">
        <v>10959</v>
      </c>
      <c r="K3810" s="3" t="s">
        <v>127</v>
      </c>
      <c r="L3810" s="3" t="str">
        <f>IFERROR(__xludf.DUMMYFUNCTION("GOOGLETRANSLATE(F3810,""id"",""en"")"),"Meta Platforms CEO Inc. Mark Zuckerbeg said the message sent through the WhatsApp application reached million during the World Cup final")</f>
        <v>Meta Platforms CEO Inc. Mark Zuckerbeg said the message sent through the WhatsApp application reached million during the World Cup final</v>
      </c>
    </row>
    <row r="3811" ht="15.75" customHeight="1">
      <c r="A3811" s="1">
        <v>3838.0</v>
      </c>
      <c r="B3811" s="3" t="s">
        <v>10960</v>
      </c>
      <c r="C3811" s="3">
        <v>3.0</v>
      </c>
      <c r="D3811" s="3">
        <v>3.0</v>
      </c>
      <c r="E3811" s="3">
        <v>11.0</v>
      </c>
      <c r="F3811" s="3" t="s">
        <v>10961</v>
      </c>
      <c r="G3811" s="3">
        <v>1.0</v>
      </c>
      <c r="H3811" s="3">
        <v>0.0</v>
      </c>
      <c r="I3811" s="3" t="s">
        <v>13</v>
      </c>
      <c r="J3811" s="3" t="s">
        <v>10962</v>
      </c>
      <c r="K3811" s="3" t="s">
        <v>184</v>
      </c>
      <c r="L3811" s="3" t="str">
        <f>IFERROR(__xludf.DUMMYFUNCTION("GOOGLETRANSLATE(F3811,""id"",""en"")"),"Before the World Cup final, I promised myself if Argentina won in the hour I want to have a boyfriend forgive me to fail to keep a promise")</f>
        <v>Before the World Cup final, I promised myself if Argentina won in the hour I want to have a boyfriend forgive me to fail to keep a promise</v>
      </c>
    </row>
    <row r="3812" ht="15.75" customHeight="1">
      <c r="A3812" s="1">
        <v>3839.0</v>
      </c>
      <c r="B3812" s="3" t="s">
        <v>10963</v>
      </c>
      <c r="C3812" s="3">
        <v>2.0</v>
      </c>
      <c r="D3812" s="3">
        <v>2.0</v>
      </c>
      <c r="E3812" s="3">
        <v>11.0</v>
      </c>
      <c r="F3812" s="3" t="s">
        <v>10944</v>
      </c>
      <c r="G3812" s="3">
        <v>1.0</v>
      </c>
      <c r="H3812" s="3">
        <v>0.0</v>
      </c>
      <c r="I3812" s="3" t="s">
        <v>13</v>
      </c>
      <c r="J3812" s="3" t="s">
        <v>10945</v>
      </c>
      <c r="K3812" s="3" t="s">
        <v>149</v>
      </c>
      <c r="L3812" s="3" t="str">
        <f>IFERROR(__xludf.DUMMYFUNCTION("GOOGLETRANSLATE(F3812,""id"",""en"")"),"Paulo Dybala Successfully became one of the Argentine executioners in the penalties against France Final of the World Cup, how dared to place the middle ball Dybala")</f>
        <v>Paulo Dybala Successfully became one of the Argentine executioners in the penalties against France Final of the World Cup, how dared to place the middle ball Dybala</v>
      </c>
    </row>
    <row r="3813" ht="15.75" customHeight="1">
      <c r="A3813" s="1">
        <v>3840.0</v>
      </c>
      <c r="B3813" s="3" t="s">
        <v>10964</v>
      </c>
      <c r="C3813" s="3">
        <v>0.0</v>
      </c>
      <c r="D3813" s="3">
        <v>0.0</v>
      </c>
      <c r="E3813" s="3">
        <v>0.0</v>
      </c>
      <c r="F3813" s="3" t="s">
        <v>10965</v>
      </c>
      <c r="G3813" s="3">
        <v>1.0</v>
      </c>
      <c r="H3813" s="3">
        <v>0.0</v>
      </c>
      <c r="I3813" s="3" t="s">
        <v>13</v>
      </c>
      <c r="J3813" s="3" t="s">
        <v>10966</v>
      </c>
      <c r="K3813" s="3" t="s">
        <v>41</v>
      </c>
      <c r="L3813" s="3" t="str">
        <f>IFERROR(__xludf.DUMMYFUNCTION("GOOGLETRANSLATE(F3813,""id"",""en"")"),"There is Emi Martinez behind the Dybala World Cup Final Dybala penalty")</f>
        <v>There is Emi Martinez behind the Dybala World Cup Final Dybala penalty</v>
      </c>
    </row>
    <row r="3814" ht="15.75" customHeight="1">
      <c r="A3814" s="1">
        <v>3841.0</v>
      </c>
      <c r="B3814" s="3" t="s">
        <v>10967</v>
      </c>
      <c r="C3814" s="3">
        <v>0.0</v>
      </c>
      <c r="D3814" s="3">
        <v>1.0</v>
      </c>
      <c r="E3814" s="3">
        <v>0.0</v>
      </c>
      <c r="F3814" s="3" t="s">
        <v>10968</v>
      </c>
      <c r="G3814" s="3">
        <v>1.0</v>
      </c>
      <c r="H3814" s="3">
        <v>0.0</v>
      </c>
      <c r="I3814" s="3" t="s">
        <v>13</v>
      </c>
      <c r="J3814" s="3" t="s">
        <v>10969</v>
      </c>
      <c r="K3814" s="3" t="s">
        <v>71</v>
      </c>
      <c r="L3814" s="3" t="str">
        <f>IFERROR(__xludf.DUMMYFUNCTION("GOOGLETRANSLATE(F3814,""id"",""en"")"),"Kylian Mbappe apparently showed a leadership style by burning the spirit of the French National Team of the World Cup Final")</f>
        <v>Kylian Mbappe apparently showed a leadership style by burning the spirit of the French National Team of the World Cup Final</v>
      </c>
    </row>
    <row r="3815" ht="15.75" customHeight="1">
      <c r="A3815" s="1">
        <v>3842.0</v>
      </c>
      <c r="B3815" s="3" t="s">
        <v>10970</v>
      </c>
      <c r="C3815" s="3">
        <v>0.0</v>
      </c>
      <c r="D3815" s="3">
        <v>0.0</v>
      </c>
      <c r="E3815" s="3">
        <v>0.0</v>
      </c>
      <c r="F3815" s="3" t="s">
        <v>10971</v>
      </c>
      <c r="G3815" s="3">
        <v>1.0</v>
      </c>
      <c r="H3815" s="3">
        <v>0.0</v>
      </c>
      <c r="I3815" s="3" t="s">
        <v>13</v>
      </c>
      <c r="J3815" s="3" t="s">
        <v>10972</v>
      </c>
      <c r="K3815" s="3" t="s">
        <v>883</v>
      </c>
      <c r="L3815" s="3" t="str">
        <f>IFERROR(__xludf.DUMMYFUNCTION("GOOGLETRANSLATE(F3815,""id"",""en"")"),"if there really isn't a brain, Messi shows off the country he loses his capital in front of the teammate to lose to him, the final of the world cup is a long time")</f>
        <v>if there really isn't a brain, Messi shows off the country he loses his capital in front of the teammate to lose to him, the final of the world cup is a long time</v>
      </c>
    </row>
    <row r="3816" ht="15.75" customHeight="1">
      <c r="A3816" s="1">
        <v>3843.0</v>
      </c>
      <c r="B3816" s="3" t="s">
        <v>10973</v>
      </c>
      <c r="C3816" s="3">
        <v>0.0</v>
      </c>
      <c r="D3816" s="3">
        <v>1.0</v>
      </c>
      <c r="E3816" s="3">
        <v>1.0</v>
      </c>
      <c r="F3816" s="3" t="s">
        <v>10935</v>
      </c>
      <c r="G3816" s="3">
        <v>1.0</v>
      </c>
      <c r="H3816" s="3">
        <v>0.0</v>
      </c>
      <c r="I3816" s="3" t="s">
        <v>13</v>
      </c>
      <c r="J3816" s="3" t="s">
        <v>10936</v>
      </c>
      <c r="K3816" s="3" t="s">
        <v>499</v>
      </c>
      <c r="L3816" s="3" t="str">
        <f>IFERROR(__xludf.DUMMYFUNCTION("GOOGLETRANSLATE(F3816,""id"",""en"")"),"three days after the final match of the World Cup Kylian Mbappe immediately training with his club Paris Saint Germain PSG said the coach had a strong signal")</f>
        <v>three days after the final match of the World Cup Kylian Mbappe immediately training with his club Paris Saint Germain PSG said the coach had a strong signal</v>
      </c>
    </row>
    <row r="3817" ht="15.75" customHeight="1">
      <c r="A3817" s="1">
        <v>3844.0</v>
      </c>
      <c r="B3817" s="3" t="s">
        <v>10974</v>
      </c>
      <c r="C3817" s="3">
        <v>4.0</v>
      </c>
      <c r="D3817" s="3">
        <v>15.0</v>
      </c>
      <c r="E3817" s="3">
        <v>114.0</v>
      </c>
      <c r="F3817" s="3" t="s">
        <v>9764</v>
      </c>
      <c r="G3817" s="3">
        <v>1.0</v>
      </c>
      <c r="H3817" s="3">
        <v>0.0</v>
      </c>
      <c r="I3817" s="3" t="s">
        <v>13</v>
      </c>
      <c r="J3817" s="3" t="s">
        <v>9765</v>
      </c>
      <c r="K3817" s="3" t="s">
        <v>41</v>
      </c>
      <c r="L3817" s="3" t="str">
        <f>IFERROR(__xludf.DUMMYFUNCTION("GOOGLETRANSLATE(F3817,""id"",""en"")"),"Elon Musk Boss Investment Qatar Nobar World Cup Final")</f>
        <v>Elon Musk Boss Investment Qatar Nobar World Cup Final</v>
      </c>
    </row>
    <row r="3818" ht="15.75" customHeight="1">
      <c r="A3818" s="1">
        <v>3845.0</v>
      </c>
      <c r="B3818" s="3" t="s">
        <v>10975</v>
      </c>
      <c r="C3818" s="3">
        <v>0.0</v>
      </c>
      <c r="D3818" s="3">
        <v>0.0</v>
      </c>
      <c r="E3818" s="3">
        <v>0.0</v>
      </c>
      <c r="F3818" s="3" t="s">
        <v>10976</v>
      </c>
      <c r="G3818" s="3">
        <v>1.0</v>
      </c>
      <c r="H3818" s="3">
        <v>0.0</v>
      </c>
      <c r="I3818" s="3" t="s">
        <v>13</v>
      </c>
      <c r="J3818" s="3" t="s">
        <v>10977</v>
      </c>
      <c r="K3818" s="3" t="s">
        <v>19</v>
      </c>
      <c r="L3818" s="3" t="str">
        <f>IFERROR(__xludf.DUMMYFUNCTION("GOOGLETRANSLATE(F3818,""id"",""en"")"),"Erick Thohir met Elon Musk while watching the World Cup final directly selfie via")</f>
        <v>Erick Thohir met Elon Musk while watching the World Cup final directly selfie via</v>
      </c>
    </row>
    <row r="3819" ht="15.75" customHeight="1">
      <c r="A3819" s="1">
        <v>3846.0</v>
      </c>
      <c r="B3819" s="3" t="s">
        <v>10978</v>
      </c>
      <c r="C3819" s="3">
        <v>0.0</v>
      </c>
      <c r="D3819" s="3">
        <v>0.0</v>
      </c>
      <c r="E3819" s="3">
        <v>0.0</v>
      </c>
      <c r="F3819" s="3" t="s">
        <v>10979</v>
      </c>
      <c r="G3819" s="3">
        <v>1.0</v>
      </c>
      <c r="H3819" s="3">
        <v>0.0</v>
      </c>
      <c r="I3819" s="3" t="s">
        <v>13</v>
      </c>
      <c r="J3819" s="3" t="s">
        <v>10980</v>
      </c>
      <c r="K3819" s="3" t="s">
        <v>15</v>
      </c>
      <c r="L3819" s="3" t="str">
        <f>IFERROR(__xludf.DUMMYFUNCTION("GOOGLETRANSLATE(F3819,""id"",""en"")"),"This is the contents of Angel Maria his wife ahead of the World Cup final")</f>
        <v>This is the contents of Angel Maria his wife ahead of the World Cup final</v>
      </c>
    </row>
    <row r="3820" ht="15.75" customHeight="1">
      <c r="A3820" s="1">
        <v>3847.0</v>
      </c>
      <c r="B3820" s="3" t="s">
        <v>10981</v>
      </c>
      <c r="C3820" s="3">
        <v>0.0</v>
      </c>
      <c r="D3820" s="3">
        <v>0.0</v>
      </c>
      <c r="E3820" s="3">
        <v>0.0</v>
      </c>
      <c r="F3820" s="3" t="s">
        <v>10979</v>
      </c>
      <c r="G3820" s="3">
        <v>1.0</v>
      </c>
      <c r="H3820" s="3">
        <v>0.0</v>
      </c>
      <c r="I3820" s="3" t="s">
        <v>13</v>
      </c>
      <c r="J3820" s="3" t="s">
        <v>10980</v>
      </c>
      <c r="K3820" s="3" t="s">
        <v>15</v>
      </c>
      <c r="L3820" s="3" t="str">
        <f>IFERROR(__xludf.DUMMYFUNCTION("GOOGLETRANSLATE(F3820,""id"",""en"")"),"This is the contents of Angel Maria his wife ahead of the World Cup final")</f>
        <v>This is the contents of Angel Maria his wife ahead of the World Cup final</v>
      </c>
    </row>
    <row r="3821" ht="15.75" customHeight="1">
      <c r="A3821" s="1">
        <v>3848.0</v>
      </c>
      <c r="B3821" s="3" t="s">
        <v>10982</v>
      </c>
      <c r="C3821" s="3">
        <v>1.0</v>
      </c>
      <c r="D3821" s="3">
        <v>0.0</v>
      </c>
      <c r="E3821" s="3">
        <v>0.0</v>
      </c>
      <c r="F3821" s="3" t="s">
        <v>10983</v>
      </c>
      <c r="G3821" s="3">
        <v>1.0</v>
      </c>
      <c r="H3821" s="3">
        <v>0.0</v>
      </c>
      <c r="I3821" s="3" t="s">
        <v>13</v>
      </c>
      <c r="J3821" s="3" t="s">
        <v>10984</v>
      </c>
      <c r="K3821" s="3" t="s">
        <v>215</v>
      </c>
      <c r="L3821" s="3" t="str">
        <f>IFERROR(__xludf.DUMMYFUNCTION("GOOGLETRANSLATE(F3821,""id"",""en"")"),"Maybe this time, according to some supporters in the outside, it seems less attractive because it is held only a few days from the World Cup final but it feels the most appropriate momentum for us to take the first star because if it fails again")</f>
        <v>Maybe this time, according to some supporters in the outside, it seems less attractive because it is held only a few days from the World Cup final but it feels the most appropriate momentum for us to take the first star because if it fails again</v>
      </c>
    </row>
    <row r="3822" ht="15.75" customHeight="1">
      <c r="A3822" s="1">
        <v>3849.0</v>
      </c>
      <c r="B3822" s="3" t="s">
        <v>10985</v>
      </c>
      <c r="C3822" s="3">
        <v>0.0</v>
      </c>
      <c r="D3822" s="3">
        <v>0.0</v>
      </c>
      <c r="E3822" s="3">
        <v>0.0</v>
      </c>
      <c r="F3822" s="3" t="s">
        <v>10986</v>
      </c>
      <c r="G3822" s="3">
        <v>1.0</v>
      </c>
      <c r="H3822" s="3">
        <v>0.0</v>
      </c>
      <c r="I3822" s="3" t="s">
        <v>13</v>
      </c>
      <c r="J3822" s="3" t="s">
        <v>10987</v>
      </c>
      <c r="K3822" s="3" t="s">
        <v>54</v>
      </c>
      <c r="L3822" s="3" t="str">
        <f>IFERROR(__xludf.DUMMYFUNCTION("GOOGLETRANSLATE(F3822,""id"",""en"")"),"Definitely Watching the World Cup Final Khannn")</f>
        <v>Definitely Watching the World Cup Final Khannn</v>
      </c>
    </row>
    <row r="3823" ht="15.75" customHeight="1">
      <c r="A3823" s="1">
        <v>3851.0</v>
      </c>
      <c r="B3823" s="3" t="s">
        <v>10988</v>
      </c>
      <c r="C3823" s="3">
        <v>1.0</v>
      </c>
      <c r="D3823" s="3">
        <v>0.0</v>
      </c>
      <c r="E3823" s="3">
        <v>0.0</v>
      </c>
      <c r="F3823" s="3" t="s">
        <v>10989</v>
      </c>
      <c r="G3823" s="3">
        <v>1.0</v>
      </c>
      <c r="H3823" s="3">
        <v>0.0</v>
      </c>
      <c r="I3823" s="3" t="s">
        <v>13</v>
      </c>
      <c r="J3823" s="3" t="s">
        <v>10990</v>
      </c>
      <c r="K3823" s="3" t="s">
        <v>603</v>
      </c>
      <c r="L3823" s="3" t="str">
        <f>IFERROR(__xludf.DUMMYFUNCTION("GOOGLETRANSLATE(F3823,""id"",""en"")"),"AWD understands we need a World Cup we only need the AFF Cup to enter the final to beat Thailand and meet Malaysia Final then win the runner's position again")</f>
        <v>AWD understands we need a World Cup we only need the AFF Cup to enter the final to beat Thailand and meet Malaysia Final then win the runner's position again</v>
      </c>
    </row>
    <row r="3824" ht="15.75" customHeight="1">
      <c r="A3824" s="1">
        <v>3852.0</v>
      </c>
      <c r="B3824" s="3" t="s">
        <v>10991</v>
      </c>
      <c r="C3824" s="3">
        <v>0.0</v>
      </c>
      <c r="D3824" s="3">
        <v>0.0</v>
      </c>
      <c r="E3824" s="3">
        <v>0.0</v>
      </c>
      <c r="F3824" s="3" t="s">
        <v>10932</v>
      </c>
      <c r="G3824" s="3">
        <v>1.0</v>
      </c>
      <c r="H3824" s="3">
        <v>0.0</v>
      </c>
      <c r="I3824" s="3" t="s">
        <v>13</v>
      </c>
      <c r="J3824" s="3" t="s">
        <v>10933</v>
      </c>
      <c r="K3824" s="3" t="s">
        <v>15</v>
      </c>
      <c r="L3824" s="3" t="str">
        <f>IFERROR(__xludf.DUMMYFUNCTION("GOOGLETRANSLATE(F3824,""id"",""en"")"),"video of the figure of a woman hugged by Messi World Cup Final")</f>
        <v>video of the figure of a woman hugged by Messi World Cup Final</v>
      </c>
    </row>
    <row r="3825" ht="15.75" customHeight="1">
      <c r="A3825" s="1">
        <v>3853.0</v>
      </c>
      <c r="B3825" s="3" t="s">
        <v>10992</v>
      </c>
      <c r="C3825" s="3">
        <v>0.0</v>
      </c>
      <c r="D3825" s="3">
        <v>0.0</v>
      </c>
      <c r="E3825" s="3">
        <v>0.0</v>
      </c>
      <c r="F3825" s="3" t="s">
        <v>10993</v>
      </c>
      <c r="G3825" s="3">
        <v>1.0</v>
      </c>
      <c r="H3825" s="3">
        <v>0.0</v>
      </c>
      <c r="I3825" s="3" t="s">
        <v>13</v>
      </c>
      <c r="J3825" s="3" t="s">
        <v>10994</v>
      </c>
      <c r="K3825" s="3" t="s">
        <v>41</v>
      </c>
      <c r="L3825" s="3" t="str">
        <f>IFERROR(__xludf.DUMMYFUNCTION("GOOGLETRANSLATE(F3825,""id"",""en"")"),"Mbappe Returns PSG for only three days after performing the World Cup final")</f>
        <v>Mbappe Returns PSG for only three days after performing the World Cup final</v>
      </c>
    </row>
    <row r="3826" ht="15.75" customHeight="1">
      <c r="A3826" s="1">
        <v>3854.0</v>
      </c>
      <c r="B3826" s="3" t="s">
        <v>10995</v>
      </c>
      <c r="C3826" s="3">
        <v>0.0</v>
      </c>
      <c r="D3826" s="3">
        <v>0.0</v>
      </c>
      <c r="E3826" s="3">
        <v>0.0</v>
      </c>
      <c r="F3826" s="3" t="s">
        <v>10932</v>
      </c>
      <c r="G3826" s="3">
        <v>1.0</v>
      </c>
      <c r="H3826" s="3">
        <v>0.0</v>
      </c>
      <c r="I3826" s="3" t="s">
        <v>13</v>
      </c>
      <c r="J3826" s="3" t="s">
        <v>10933</v>
      </c>
      <c r="K3826" s="3" t="s">
        <v>15</v>
      </c>
      <c r="L3826" s="3" t="str">
        <f>IFERROR(__xludf.DUMMYFUNCTION("GOOGLETRANSLATE(F3826,""id"",""en"")"),"video of the figure of a woman hugged by Messi World Cup Final")</f>
        <v>video of the figure of a woman hugged by Messi World Cup Final</v>
      </c>
    </row>
    <row r="3827" ht="15.75" customHeight="1">
      <c r="A3827" s="1">
        <v>3855.0</v>
      </c>
      <c r="B3827" s="3" t="s">
        <v>10996</v>
      </c>
      <c r="C3827" s="3">
        <v>1.0</v>
      </c>
      <c r="D3827" s="3">
        <v>1.0</v>
      </c>
      <c r="E3827" s="3">
        <v>2.0</v>
      </c>
      <c r="F3827" s="3" t="s">
        <v>10997</v>
      </c>
      <c r="G3827" s="3">
        <v>1.0</v>
      </c>
      <c r="H3827" s="3">
        <v>0.0</v>
      </c>
      <c r="I3827" s="3" t="s">
        <v>13</v>
      </c>
      <c r="J3827" s="3" t="s">
        <v>10998</v>
      </c>
      <c r="K3827" s="3" t="s">
        <v>633</v>
      </c>
      <c r="L3827" s="3" t="str">
        <f>IFERROR(__xludf.DUMMYFUNCTION("GOOGLETRANSLATE(F3827,""id"",""en"")"),"exclaimed the excitement field of the timeline that was the picture that occurred when France Argentina Final World Cup what was the reaction that was shown by the timeline netizens during the match see the data")</f>
        <v>exclaimed the excitement field of the timeline that was the picture that occurred when France Argentina Final World Cup what was the reaction that was shown by the timeline netizens during the match see the data</v>
      </c>
    </row>
    <row r="3828" ht="15.75" customHeight="1">
      <c r="A3828" s="1">
        <v>3856.0</v>
      </c>
      <c r="B3828" s="3" t="s">
        <v>10999</v>
      </c>
      <c r="C3828" s="3">
        <v>0.0</v>
      </c>
      <c r="D3828" s="3">
        <v>0.0</v>
      </c>
      <c r="E3828" s="3">
        <v>0.0</v>
      </c>
      <c r="F3828" s="3" t="s">
        <v>10588</v>
      </c>
      <c r="G3828" s="3">
        <v>1.0</v>
      </c>
      <c r="H3828" s="3">
        <v>0.0</v>
      </c>
      <c r="I3828" s="3" t="s">
        <v>13</v>
      </c>
      <c r="J3828" s="3" t="s">
        <v>10589</v>
      </c>
      <c r="K3828" s="3" t="s">
        <v>123</v>
      </c>
      <c r="L3828" s="3" t="str">
        <f>IFERROR(__xludf.DUMMYFUNCTION("GOOGLETRANSLATE(F3828,""id"",""en"")"),"Google Search broke the highest search record during the last year the record was during the World Cup Final")</f>
        <v>Google Search broke the highest search record during the last year the record was during the World Cup Final</v>
      </c>
    </row>
    <row r="3829" ht="15.75" customHeight="1">
      <c r="A3829" s="1">
        <v>3857.0</v>
      </c>
      <c r="B3829" s="3" t="s">
        <v>11000</v>
      </c>
      <c r="C3829" s="3">
        <v>0.0</v>
      </c>
      <c r="D3829" s="3">
        <v>0.0</v>
      </c>
      <c r="E3829" s="3">
        <v>1.0</v>
      </c>
      <c r="F3829" s="3" t="s">
        <v>11001</v>
      </c>
      <c r="G3829" s="3">
        <v>1.0</v>
      </c>
      <c r="H3829" s="3">
        <v>0.0</v>
      </c>
      <c r="I3829" s="3" t="s">
        <v>13</v>
      </c>
      <c r="J3829" s="3" t="s">
        <v>11002</v>
      </c>
      <c r="K3829" s="3" t="s">
        <v>510</v>
      </c>
      <c r="L3829" s="3" t="str">
        <f>IFERROR(__xludf.DUMMYFUNCTION("GOOGLETRANSLATE(F3829,""id"",""en"")"),"The young leader of East Java mingled with the people during the World Cup Final Nobar between AHY Democrat's house")</f>
        <v>The young leader of East Java mingled with the people during the World Cup Final Nobar between AHY Democrat's house</v>
      </c>
    </row>
    <row r="3830" ht="15.75" customHeight="1">
      <c r="A3830" s="1">
        <v>3858.0</v>
      </c>
      <c r="B3830" s="3" t="s">
        <v>11003</v>
      </c>
      <c r="C3830" s="3">
        <v>1.0</v>
      </c>
      <c r="D3830" s="3">
        <v>2.0</v>
      </c>
      <c r="E3830" s="3">
        <v>8.0</v>
      </c>
      <c r="F3830" s="3" t="s">
        <v>11004</v>
      </c>
      <c r="G3830" s="3">
        <v>0.9166666666666666</v>
      </c>
      <c r="H3830" s="3">
        <v>0.0</v>
      </c>
      <c r="I3830" s="3" t="s">
        <v>13</v>
      </c>
      <c r="J3830" s="3" t="s">
        <v>11005</v>
      </c>
      <c r="K3830" s="3" t="s">
        <v>1086</v>
      </c>
      <c r="L3830" s="3" t="str">
        <f>IFERROR(__xludf.DUMMYFUNCTION("GOOGLETRANSLATE(F3830,""id"",""en"")"),"Kylian Mbappe became the World Cup top scorer at the age of the year also scored a hat trick of the final match with a total goal throughout the tournament all the action with the French national team from the group phase to the final match you can watch "&amp;"the video again")</f>
        <v>Kylian Mbappe became the World Cup top scorer at the age of the year also scored a hat trick of the final match with a total goal throughout the tournament all the action with the French national team from the group phase to the final match you can watch the video again</v>
      </c>
    </row>
    <row r="3831" ht="15.75" customHeight="1">
      <c r="A3831" s="1">
        <v>3859.0</v>
      </c>
      <c r="B3831" s="3" t="s">
        <v>11006</v>
      </c>
      <c r="C3831" s="3">
        <v>2.0</v>
      </c>
      <c r="D3831" s="3">
        <v>0.0</v>
      </c>
      <c r="E3831" s="3">
        <v>17.0</v>
      </c>
      <c r="F3831" s="3" t="s">
        <v>11007</v>
      </c>
      <c r="G3831" s="3">
        <v>1.0</v>
      </c>
      <c r="H3831" s="3">
        <v>0.0</v>
      </c>
      <c r="I3831" s="3" t="s">
        <v>13</v>
      </c>
      <c r="J3831" s="3" t="s">
        <v>11008</v>
      </c>
      <c r="K3831" s="3" t="s">
        <v>11009</v>
      </c>
      <c r="L3831" s="3" t="str">
        <f>IFERROR(__xludf.DUMMYFUNCTION("GOOGLETRANSLATE(F3831,""id"",""en"")"),"I used to be an athlete because I went back and forth, I watched the semifinals of the Sea Games ina Thai Final Sea Games ina Mal Final AFF Ina Mall Pre -World Cup Qualification Ina Iran, I could still watch the chair of journalists wkwkwk")</f>
        <v>I used to be an athlete because I went back and forth, I watched the semifinals of the Sea Games ina Thai Final Sea Games ina Mal Final AFF Ina Mall Pre -World Cup Qualification Ina Iran, I could still watch the chair of journalists wkwkwk</v>
      </c>
    </row>
    <row r="3832" ht="15.75" customHeight="1">
      <c r="A3832" s="1">
        <v>3860.0</v>
      </c>
      <c r="B3832" s="3" t="s">
        <v>11010</v>
      </c>
      <c r="C3832" s="3">
        <v>0.0</v>
      </c>
      <c r="D3832" s="3">
        <v>0.0</v>
      </c>
      <c r="E3832" s="3">
        <v>0.0</v>
      </c>
      <c r="F3832" s="3" t="s">
        <v>10588</v>
      </c>
      <c r="G3832" s="3">
        <v>1.0</v>
      </c>
      <c r="H3832" s="3">
        <v>0.0</v>
      </c>
      <c r="I3832" s="3" t="s">
        <v>13</v>
      </c>
      <c r="J3832" s="3" t="s">
        <v>10589</v>
      </c>
      <c r="K3832" s="3" t="s">
        <v>123</v>
      </c>
      <c r="L3832" s="3" t="str">
        <f>IFERROR(__xludf.DUMMYFUNCTION("GOOGLETRANSLATE(F3832,""id"",""en"")"),"Google Search broke the highest search record during the last year the record was during the World Cup Final")</f>
        <v>Google Search broke the highest search record during the last year the record was during the World Cup Final</v>
      </c>
    </row>
    <row r="3833" ht="15.75" customHeight="1">
      <c r="A3833" s="1">
        <v>3861.0</v>
      </c>
      <c r="B3833" s="3" t="s">
        <v>11011</v>
      </c>
      <c r="C3833" s="3">
        <v>0.0</v>
      </c>
      <c r="D3833" s="3">
        <v>0.0</v>
      </c>
      <c r="E3833" s="3">
        <v>2.0</v>
      </c>
      <c r="F3833" s="3" t="s">
        <v>11012</v>
      </c>
      <c r="G3833" s="3">
        <v>1.0</v>
      </c>
      <c r="H3833" s="3">
        <v>0.0</v>
      </c>
      <c r="I3833" s="3" t="s">
        <v>13</v>
      </c>
      <c r="J3833" s="3" t="s">
        <v>11013</v>
      </c>
      <c r="K3833" s="3" t="s">
        <v>184</v>
      </c>
      <c r="L3833" s="3" t="str">
        <f>IFERROR(__xludf.DUMMYFUNCTION("GOOGLETRANSLATE(F3833,""id"",""en"")"),"Arsenal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834" ht="15.75" customHeight="1">
      <c r="A3834" s="1">
        <v>3863.0</v>
      </c>
      <c r="B3834" s="3" t="s">
        <v>11014</v>
      </c>
      <c r="C3834" s="3">
        <v>0.0</v>
      </c>
      <c r="D3834" s="3">
        <v>2.0</v>
      </c>
      <c r="E3834" s="3">
        <v>2.0</v>
      </c>
      <c r="F3834" s="3" t="s">
        <v>11015</v>
      </c>
      <c r="G3834" s="3">
        <v>1.0</v>
      </c>
      <c r="H3834" s="3">
        <v>0.0</v>
      </c>
      <c r="I3834" s="3" t="s">
        <v>13</v>
      </c>
      <c r="J3834" s="3" t="s">
        <v>11016</v>
      </c>
      <c r="K3834" s="3" t="s">
        <v>682</v>
      </c>
      <c r="L3834" s="3" t="str">
        <f>IFERROR(__xludf.DUMMYFUNCTION("GOOGLETRANSLATE(F3834,""id"",""en"")"),"Argentina became a champion after outperforming France in a penalty shootout following the same strong results until the extension of Argentina appeared as the World Cup champion after crushing France through the final penalties and ending the championshi"&amp;"p champion after the year")</f>
        <v>Argentina became a champion after outperforming France in a penalty shootout following the same strong results until the extension of Argentina appeared as the World Cup champion after crushing France through the final penalties and ending the championship champion after the year</v>
      </c>
    </row>
    <row r="3835" ht="15.75" customHeight="1">
      <c r="A3835" s="1">
        <v>3864.0</v>
      </c>
      <c r="B3835" s="3" t="s">
        <v>11017</v>
      </c>
      <c r="C3835" s="3">
        <v>1.0</v>
      </c>
      <c r="D3835" s="3">
        <v>2.0</v>
      </c>
      <c r="E3835" s="3">
        <v>2.0</v>
      </c>
      <c r="F3835" s="3" t="s">
        <v>11018</v>
      </c>
      <c r="G3835" s="3">
        <v>1.0</v>
      </c>
      <c r="H3835" s="3">
        <v>0.0</v>
      </c>
      <c r="I3835" s="3" t="s">
        <v>13</v>
      </c>
      <c r="J3835" s="3" t="s">
        <v>11019</v>
      </c>
      <c r="K3835" s="3" t="s">
        <v>1317</v>
      </c>
      <c r="L3835" s="3" t="str">
        <f>IFERROR(__xludf.DUMMYFUNCTION("GOOGLETRANSLATE(F3835,""id"",""en"")"),"The World Cup presents a very dramatic ending in the final match between the Argentine national team and the defending champion France Final of the World Cup between Argentina France held the Lusail Stadium Sunday December December")</f>
        <v>The World Cup presents a very dramatic ending in the final match between the Argentine national team and the defending champion France Final of the World Cup between Argentina France held the Lusail Stadium Sunday December December</v>
      </c>
    </row>
    <row r="3836" ht="15.75" customHeight="1">
      <c r="A3836" s="1">
        <v>3865.0</v>
      </c>
      <c r="B3836" s="3" t="s">
        <v>11020</v>
      </c>
      <c r="C3836" s="3">
        <v>1.0</v>
      </c>
      <c r="D3836" s="3">
        <v>1.0</v>
      </c>
      <c r="E3836" s="3">
        <v>1.0</v>
      </c>
      <c r="F3836" s="3" t="s">
        <v>11021</v>
      </c>
      <c r="G3836" s="3">
        <v>1.0</v>
      </c>
      <c r="H3836" s="3">
        <v>0.0</v>
      </c>
      <c r="I3836" s="3" t="s">
        <v>13</v>
      </c>
      <c r="J3836" s="3" t="s">
        <v>11022</v>
      </c>
      <c r="K3836" s="3" t="s">
        <v>45</v>
      </c>
      <c r="L3836" s="3" t="str">
        <f>IFERROR(__xludf.DUMMYFUNCTION("GOOGLETRANSLATE(F3836,""id"",""en"")"),"The FIFA World Cup is the final round of the FIFA World Cup in the four -year international soccer tournament which was followed by the senior national team of male members of FIFA, this edition of the Tournament took place in Qatar from November to Decem"&amp;"ber")</f>
        <v>The FIFA World Cup is the final round of the FIFA World Cup in the four -year international soccer tournament which was followed by the senior national team of male members of FIFA, this edition of the Tournament took place in Qatar from November to December</v>
      </c>
    </row>
    <row r="3837" ht="15.75" customHeight="1">
      <c r="A3837" s="1">
        <v>3866.0</v>
      </c>
      <c r="B3837" s="3" t="s">
        <v>11023</v>
      </c>
      <c r="C3837" s="3">
        <v>1.0</v>
      </c>
      <c r="D3837" s="3">
        <v>1.0</v>
      </c>
      <c r="E3837" s="3">
        <v>2.0</v>
      </c>
      <c r="F3837" s="3" t="s">
        <v>11024</v>
      </c>
      <c r="G3837" s="3">
        <v>1.0</v>
      </c>
      <c r="H3837" s="3">
        <v>0.0</v>
      </c>
      <c r="I3837" s="3" t="s">
        <v>13</v>
      </c>
      <c r="J3837" s="3" t="s">
        <v>11025</v>
      </c>
      <c r="K3837" s="3" t="s">
        <v>50</v>
      </c>
      <c r="L3837" s="3" t="str">
        <f>IFERROR(__xludf.DUMMYFUNCTION("GOOGLETRANSLATE(F3837,""id"",""en"")"),"predicting the future of Mbappe and Messi PSG's post -World Cup final relationship")</f>
        <v>predicting the future of Mbappe and Messi PSG's post -World Cup final relationship</v>
      </c>
    </row>
    <row r="3838" ht="15.75" customHeight="1">
      <c r="A3838" s="1">
        <v>3867.0</v>
      </c>
      <c r="B3838" s="3" t="s">
        <v>11026</v>
      </c>
      <c r="C3838" s="3">
        <v>0.0</v>
      </c>
      <c r="D3838" s="3">
        <v>0.0</v>
      </c>
      <c r="E3838" s="3">
        <v>0.0</v>
      </c>
      <c r="F3838" s="3" t="s">
        <v>11027</v>
      </c>
      <c r="G3838" s="3">
        <v>1.0</v>
      </c>
      <c r="H3838" s="3">
        <v>0.0</v>
      </c>
      <c r="I3838" s="3" t="s">
        <v>13</v>
      </c>
      <c r="J3838" s="3" t="s">
        <v>11028</v>
      </c>
      <c r="K3838" s="3" t="s">
        <v>19</v>
      </c>
      <c r="L3838" s="3" t="str">
        <f>IFERROR(__xludf.DUMMYFUNCTION("GOOGLETRANSLATE(F3838,""id"",""en"")"),"A very extraordinary achievement achieved by Morocco can enter the semi -finals of the World Cup")</f>
        <v>A very extraordinary achievement achieved by Morocco can enter the semi -finals of the World Cup</v>
      </c>
    </row>
    <row r="3839" ht="15.75" customHeight="1">
      <c r="A3839" s="1">
        <v>3868.0</v>
      </c>
      <c r="B3839" s="3" t="s">
        <v>11029</v>
      </c>
      <c r="C3839" s="3">
        <v>0.0</v>
      </c>
      <c r="D3839" s="3">
        <v>1.0</v>
      </c>
      <c r="E3839" s="3">
        <v>2.0</v>
      </c>
      <c r="F3839" s="3" t="s">
        <v>11030</v>
      </c>
      <c r="G3839" s="3">
        <v>1.0</v>
      </c>
      <c r="H3839" s="3">
        <v>0.0</v>
      </c>
      <c r="I3839" s="3" t="s">
        <v>13</v>
      </c>
      <c r="J3839" s="3" t="s">
        <v>11031</v>
      </c>
      <c r="K3839" s="3" t="s">
        <v>75</v>
      </c>
      <c r="L3839" s="3" t="str">
        <f>IFERROR(__xludf.DUMMYFUNCTION("GOOGLETRANSLATE(F3839,""id"",""en"")"),"WhatsApp noted the record there were million messages per second during the World Cup final")</f>
        <v>WhatsApp noted the record there were million messages per second during the World Cup final</v>
      </c>
    </row>
    <row r="3840" ht="15.75" customHeight="1">
      <c r="A3840" s="1">
        <v>3869.0</v>
      </c>
      <c r="B3840" s="3" t="s">
        <v>11032</v>
      </c>
      <c r="C3840" s="3">
        <v>0.0</v>
      </c>
      <c r="D3840" s="3">
        <v>1.0</v>
      </c>
      <c r="E3840" s="3">
        <v>2.0</v>
      </c>
      <c r="F3840" s="3" t="s">
        <v>10588</v>
      </c>
      <c r="G3840" s="3">
        <v>1.0</v>
      </c>
      <c r="H3840" s="3">
        <v>0.0</v>
      </c>
      <c r="I3840" s="3" t="s">
        <v>13</v>
      </c>
      <c r="J3840" s="3" t="s">
        <v>10589</v>
      </c>
      <c r="K3840" s="3" t="s">
        <v>123</v>
      </c>
      <c r="L3840" s="3" t="str">
        <f>IFERROR(__xludf.DUMMYFUNCTION("GOOGLETRANSLATE(F3840,""id"",""en"")"),"Google Search broke the highest search record during the last year the record was during the World Cup Final")</f>
        <v>Google Search broke the highest search record during the last year the record was during the World Cup Final</v>
      </c>
    </row>
    <row r="3841" ht="15.75" customHeight="1">
      <c r="A3841" s="1">
        <v>3870.0</v>
      </c>
      <c r="B3841" s="3" t="s">
        <v>11033</v>
      </c>
      <c r="C3841" s="3">
        <v>0.0</v>
      </c>
      <c r="D3841" s="3">
        <v>0.0</v>
      </c>
      <c r="E3841" s="3">
        <v>0.0</v>
      </c>
      <c r="F3841" s="3" t="s">
        <v>11034</v>
      </c>
      <c r="G3841" s="3">
        <v>1.0</v>
      </c>
      <c r="H3841" s="3">
        <v>0.0</v>
      </c>
      <c r="I3841" s="3" t="s">
        <v>13</v>
      </c>
      <c r="J3841" s="3" t="s">
        <v>11035</v>
      </c>
      <c r="K3841" s="3" t="s">
        <v>50</v>
      </c>
      <c r="L3841" s="3" t="str">
        <f>IFERROR(__xludf.DUMMYFUNCTION("GOOGLETRANSLATE(F3841,""id"",""en"")"),"Streamer XQC lost billions of rupiah during the World Cup final bet via Community")</f>
        <v>Streamer XQC lost billions of rupiah during the World Cup final bet via Community</v>
      </c>
    </row>
    <row r="3842" ht="15.75" customHeight="1">
      <c r="A3842" s="1">
        <v>3871.0</v>
      </c>
      <c r="B3842" s="3" t="s">
        <v>11036</v>
      </c>
      <c r="C3842" s="3">
        <v>1.0</v>
      </c>
      <c r="D3842" s="3">
        <v>0.0</v>
      </c>
      <c r="E3842" s="3">
        <v>0.0</v>
      </c>
      <c r="F3842" s="3" t="s">
        <v>11037</v>
      </c>
      <c r="G3842" s="3">
        <v>1.0</v>
      </c>
      <c r="H3842" s="3">
        <v>0.0</v>
      </c>
      <c r="I3842" s="3" t="s">
        <v>13</v>
      </c>
      <c r="J3842" s="3" t="s">
        <v>11038</v>
      </c>
      <c r="K3842" s="3" t="s">
        <v>449</v>
      </c>
      <c r="L3842" s="3" t="str">
        <f>IFERROR(__xludf.DUMMYFUNCTION("GOOGLETRANSLATE(F3842,""id"",""en"")"),"It is impossible to remember the final of the December Cup of December, all the world cups will definitely be on the June July league holiday if there is no pandemic, it won't unlayu ning December bal balanne settings Ketoke, sir")</f>
        <v>It is impossible to remember the final of the December Cup of December, all the world cups will definitely be on the June July league holiday if there is no pandemic, it won't unlayu ning December bal balanne settings Ketoke, sir</v>
      </c>
    </row>
    <row r="3843" ht="15.75" customHeight="1">
      <c r="A3843" s="1">
        <v>3872.0</v>
      </c>
      <c r="B3843" s="3" t="s">
        <v>11039</v>
      </c>
      <c r="C3843" s="3">
        <v>0.0</v>
      </c>
      <c r="D3843" s="3">
        <v>0.0</v>
      </c>
      <c r="E3843" s="3">
        <v>1.0</v>
      </c>
      <c r="F3843" s="3" t="s">
        <v>11040</v>
      </c>
      <c r="G3843" s="3">
        <v>1.0</v>
      </c>
      <c r="H3843" s="3">
        <v>0.0</v>
      </c>
      <c r="I3843" s="3" t="s">
        <v>13</v>
      </c>
      <c r="J3843" s="3" t="s">
        <v>11041</v>
      </c>
      <c r="K3843" s="3" t="s">
        <v>75</v>
      </c>
      <c r="L3843" s="3" t="str">
        <f>IFERROR(__xludf.DUMMYFUNCTION("GOOGLETRANSLATE(F3843,""id"",""en"")"),"Kylian Mbappe has returned PSG training for only three days after losing the World Cup final")</f>
        <v>Kylian Mbappe has returned PSG training for only three days after losing the World Cup final</v>
      </c>
    </row>
    <row r="3844" ht="15.75" customHeight="1">
      <c r="A3844" s="1">
        <v>3873.0</v>
      </c>
      <c r="B3844" s="3" t="s">
        <v>11042</v>
      </c>
      <c r="C3844" s="3">
        <v>0.0</v>
      </c>
      <c r="D3844" s="3">
        <v>0.0</v>
      </c>
      <c r="E3844" s="3">
        <v>0.0</v>
      </c>
      <c r="F3844" s="3" t="s">
        <v>11043</v>
      </c>
      <c r="G3844" s="3">
        <v>1.0</v>
      </c>
      <c r="H3844" s="3">
        <v>0.0</v>
      </c>
      <c r="I3844" s="3" t="s">
        <v>13</v>
      </c>
      <c r="J3844" s="3" t="s">
        <v>11044</v>
      </c>
      <c r="K3844" s="3" t="s">
        <v>82</v>
      </c>
      <c r="L3844" s="3" t="str">
        <f>IFERROR(__xludf.DUMMYFUNCTION("GOOGLETRANSLATE(F3844,""id"",""en"")"),"wow whether the effect of the world cup's final failure can reach here")</f>
        <v>wow whether the effect of the world cup's final failure can reach here</v>
      </c>
    </row>
    <row r="3845" ht="15.75" customHeight="1">
      <c r="A3845" s="1">
        <v>3874.0</v>
      </c>
      <c r="B3845" s="3" t="s">
        <v>11045</v>
      </c>
      <c r="C3845" s="3">
        <v>0.0</v>
      </c>
      <c r="D3845" s="3">
        <v>0.0</v>
      </c>
      <c r="E3845" s="3">
        <v>1.0</v>
      </c>
      <c r="F3845" s="3" t="s">
        <v>11046</v>
      </c>
      <c r="G3845" s="3">
        <v>0.75</v>
      </c>
      <c r="H3845" s="3">
        <v>0.0</v>
      </c>
      <c r="I3845" s="3" t="s">
        <v>13</v>
      </c>
      <c r="J3845" s="3" t="s">
        <v>11047</v>
      </c>
      <c r="K3845" s="3" t="s">
        <v>184</v>
      </c>
      <c r="L3845" s="3" t="str">
        <f>IFERROR(__xludf.DUMMYFUNCTION("GOOGLETRANSLATE(F3845,""id"",""en"")"),"Celebrity Chef Salt Bae is prohibited from presenting the final open cup because Bae touches the real World Cup trophy that is not permitted")</f>
        <v>Celebrity Chef Salt Bae is prohibited from presenting the final open cup because Bae touches the real World Cup trophy that is not permitted</v>
      </c>
    </row>
    <row r="3846" ht="15.75" customHeight="1">
      <c r="A3846" s="1">
        <v>3875.0</v>
      </c>
      <c r="B3846" s="3" t="s">
        <v>11048</v>
      </c>
      <c r="C3846" s="3">
        <v>0.0</v>
      </c>
      <c r="D3846" s="3">
        <v>0.0</v>
      </c>
      <c r="E3846" s="3">
        <v>0.0</v>
      </c>
      <c r="F3846" s="3" t="s">
        <v>11049</v>
      </c>
      <c r="G3846" s="3">
        <v>1.0</v>
      </c>
      <c r="H3846" s="3">
        <v>0.0</v>
      </c>
      <c r="I3846" s="3" t="s">
        <v>13</v>
      </c>
      <c r="J3846" s="3" t="s">
        <v>11050</v>
      </c>
      <c r="K3846" s="3" t="s">
        <v>54</v>
      </c>
      <c r="L3846" s="3" t="str">
        <f>IFERROR(__xludf.DUMMYFUNCTION("GOOGLETRANSLATE(F3846,""id"",""en"")"),"Who is your favorite team in the World Cup final")</f>
        <v>Who is your favorite team in the World Cup final</v>
      </c>
    </row>
    <row r="3847" ht="15.75" customHeight="1">
      <c r="A3847" s="1">
        <v>3876.0</v>
      </c>
      <c r="B3847" s="3" t="s">
        <v>11051</v>
      </c>
      <c r="C3847" s="3">
        <v>1.0</v>
      </c>
      <c r="D3847" s="3">
        <v>0.0</v>
      </c>
      <c r="E3847" s="3">
        <v>0.0</v>
      </c>
      <c r="F3847" s="3" t="s">
        <v>11052</v>
      </c>
      <c r="G3847" s="3">
        <v>1.0</v>
      </c>
      <c r="H3847" s="3">
        <v>0.0</v>
      </c>
      <c r="I3847" s="3" t="s">
        <v>13</v>
      </c>
      <c r="J3847" s="3" t="s">
        <v>11053</v>
      </c>
      <c r="K3847" s="3" t="s">
        <v>883</v>
      </c>
      <c r="L3847" s="3" t="str">
        <f>IFERROR(__xludf.DUMMYFUNCTION("GOOGLETRANSLATE(F3847,""id"",""en"")"),"This fantastic details of the Qatar World Cup prize launch from the National World and the details of the prizes that will be obtained by each team from the group phase to the final")</f>
        <v>This fantastic details of the Qatar World Cup prize launch from the National World and the details of the prizes that will be obtained by each team from the group phase to the final</v>
      </c>
    </row>
    <row r="3848" ht="15.75" customHeight="1">
      <c r="A3848" s="1">
        <v>3877.0</v>
      </c>
      <c r="B3848" s="3" t="s">
        <v>11054</v>
      </c>
      <c r="C3848" s="3">
        <v>0.0</v>
      </c>
      <c r="D3848" s="3">
        <v>0.0</v>
      </c>
      <c r="E3848" s="3">
        <v>8.0</v>
      </c>
      <c r="F3848" s="3" t="s">
        <v>11055</v>
      </c>
      <c r="G3848" s="3">
        <v>1.0</v>
      </c>
      <c r="H3848" s="3">
        <v>0.0</v>
      </c>
      <c r="I3848" s="3" t="s">
        <v>13</v>
      </c>
      <c r="J3848" s="3" t="s">
        <v>11056</v>
      </c>
      <c r="K3848" s="3" t="s">
        <v>23</v>
      </c>
      <c r="L3848" s="3" t="str">
        <f>IFERROR(__xludf.DUMMYFUNCTION("GOOGLETRANSLATE(F3848,""id"",""en"")"),"Messi's delivery after winning the World Cup final, namely with the trophy has become a delivery with the most likes in the history of social media that is more than million")</f>
        <v>Messi's delivery after winning the World Cup final, namely with the trophy has become a delivery with the most likes in the history of social media that is more than million</v>
      </c>
    </row>
    <row r="3849" ht="15.75" customHeight="1">
      <c r="A3849" s="1">
        <v>3878.0</v>
      </c>
      <c r="B3849" s="3" t="s">
        <v>11057</v>
      </c>
      <c r="C3849" s="3">
        <v>0.0</v>
      </c>
      <c r="D3849" s="3">
        <v>0.0</v>
      </c>
      <c r="E3849" s="3">
        <v>5.0</v>
      </c>
      <c r="F3849" s="3" t="s">
        <v>11012</v>
      </c>
      <c r="G3849" s="3">
        <v>1.0</v>
      </c>
      <c r="H3849" s="3">
        <v>0.0</v>
      </c>
      <c r="I3849" s="3" t="s">
        <v>13</v>
      </c>
      <c r="J3849" s="3" t="s">
        <v>11013</v>
      </c>
      <c r="K3849" s="3" t="s">
        <v>184</v>
      </c>
      <c r="L3849" s="3" t="str">
        <f>IFERROR(__xludf.DUMMYFUNCTION("GOOGLETRANSLATE(F3849,""id"",""en"")"),"Arsenal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850" ht="15.75" customHeight="1">
      <c r="A3850" s="1">
        <v>3879.0</v>
      </c>
      <c r="B3850" s="3" t="s">
        <v>11058</v>
      </c>
      <c r="C3850" s="3">
        <v>0.0</v>
      </c>
      <c r="D3850" s="3">
        <v>0.0</v>
      </c>
      <c r="E3850" s="3">
        <v>0.0</v>
      </c>
      <c r="F3850" s="3" t="s">
        <v>11059</v>
      </c>
      <c r="G3850" s="3">
        <v>1.0</v>
      </c>
      <c r="H3850" s="3">
        <v>0.0</v>
      </c>
      <c r="I3850" s="3" t="s">
        <v>13</v>
      </c>
      <c r="J3850" s="3" t="s">
        <v>11060</v>
      </c>
      <c r="K3850" s="3" t="s">
        <v>644</v>
      </c>
      <c r="L3850" s="3" t="str">
        <f>IFERROR(__xludf.DUMMYFUNCTION("GOOGLETRANSLATE(F3850,""id"",""en"")"),"World Cup Final Streaming")</f>
        <v>World Cup Final Streaming</v>
      </c>
    </row>
    <row r="3851" ht="15.75" customHeight="1">
      <c r="A3851" s="1">
        <v>3880.0</v>
      </c>
      <c r="B3851" s="3" t="s">
        <v>11061</v>
      </c>
      <c r="C3851" s="3">
        <v>0.0</v>
      </c>
      <c r="D3851" s="3">
        <v>0.0</v>
      </c>
      <c r="E3851" s="3">
        <v>0.0</v>
      </c>
      <c r="F3851" s="3" t="s">
        <v>11062</v>
      </c>
      <c r="G3851" s="3">
        <v>1.0</v>
      </c>
      <c r="H3851" s="3">
        <v>0.0</v>
      </c>
      <c r="I3851" s="3" t="s">
        <v>13</v>
      </c>
      <c r="J3851" s="3" t="s">
        <v>11063</v>
      </c>
      <c r="K3851" s="3" t="s">
        <v>82</v>
      </c>
      <c r="L3851" s="3" t="str">
        <f>IFERROR(__xludf.DUMMYFUNCTION("GOOGLETRANSLATE(F3851,""id"",""en"")"),"World Cup Final Breaks Google Search Record")</f>
        <v>World Cup Final Breaks Google Search Record</v>
      </c>
    </row>
    <row r="3852" ht="15.75" customHeight="1">
      <c r="A3852" s="1">
        <v>3881.0</v>
      </c>
      <c r="B3852" s="3" t="s">
        <v>11064</v>
      </c>
      <c r="C3852" s="3">
        <v>0.0</v>
      </c>
      <c r="D3852" s="3">
        <v>0.0</v>
      </c>
      <c r="E3852" s="3">
        <v>0.0</v>
      </c>
      <c r="F3852" s="3" t="s">
        <v>11065</v>
      </c>
      <c r="G3852" s="3">
        <v>1.0</v>
      </c>
      <c r="H3852" s="3">
        <v>0.05</v>
      </c>
      <c r="I3852" s="3" t="s">
        <v>48</v>
      </c>
      <c r="J3852" s="3" t="s">
        <v>11066</v>
      </c>
      <c r="K3852" s="3" t="s">
        <v>15</v>
      </c>
      <c r="L3852" s="3" t="str">
        <f>IFERROR(__xludf.DUMMYFUNCTION("GOOGLETRANSLATE(F3852,""id"",""en"")"),"Wow, the World Cup Final Messi robe offered billion")</f>
        <v>Wow, the World Cup Final Messi robe offered billion</v>
      </c>
    </row>
    <row r="3853" ht="15.75" customHeight="1">
      <c r="A3853" s="1">
        <v>3882.0</v>
      </c>
      <c r="B3853" s="3" t="s">
        <v>11067</v>
      </c>
      <c r="C3853" s="3">
        <v>3.0</v>
      </c>
      <c r="D3853" s="3">
        <v>0.0</v>
      </c>
      <c r="E3853" s="3">
        <v>0.0</v>
      </c>
      <c r="F3853" s="3" t="s">
        <v>11068</v>
      </c>
      <c r="G3853" s="3">
        <v>1.0</v>
      </c>
      <c r="H3853" s="3">
        <v>0.0</v>
      </c>
      <c r="I3853" s="3" t="s">
        <v>13</v>
      </c>
      <c r="J3853" s="3" t="s">
        <v>11069</v>
      </c>
      <c r="K3853" s="3" t="s">
        <v>82</v>
      </c>
      <c r="L3853" s="3" t="str">
        <f>IFERROR(__xludf.DUMMYFUNCTION("GOOGLETRANSLATE(F3853,""id"",""en"")"),"Gosh, typing so that the World Cup final is repeated")</f>
        <v>Gosh, typing so that the World Cup final is repeated</v>
      </c>
    </row>
    <row r="3854" ht="15.75" customHeight="1">
      <c r="A3854" s="1">
        <v>3883.0</v>
      </c>
      <c r="B3854" s="3" t="s">
        <v>11070</v>
      </c>
      <c r="C3854" s="3">
        <v>0.0</v>
      </c>
      <c r="D3854" s="3">
        <v>0.0</v>
      </c>
      <c r="E3854" s="3">
        <v>1.0</v>
      </c>
      <c r="F3854" s="3" t="s">
        <v>11071</v>
      </c>
      <c r="G3854" s="3">
        <v>1.0</v>
      </c>
      <c r="H3854" s="3">
        <v>0.0</v>
      </c>
      <c r="I3854" s="3" t="s">
        <v>13</v>
      </c>
      <c r="J3854" s="3" t="s">
        <v>11072</v>
      </c>
      <c r="K3854" s="3" t="s">
        <v>50</v>
      </c>
      <c r="L3854" s="3" t="str">
        <f>IFERROR(__xludf.DUMMYFUNCTION("GOOGLETRANSLATE(F3854,""id"",""en"")"),"later the debate will continue if Cristiano has brought the Portugal Final of the World Cup okay")</f>
        <v>later the debate will continue if Cristiano has brought the Portugal Final of the World Cup okay</v>
      </c>
    </row>
    <row r="3855" ht="15.75" customHeight="1">
      <c r="A3855" s="1">
        <v>3884.0</v>
      </c>
      <c r="B3855" s="3" t="s">
        <v>11073</v>
      </c>
      <c r="C3855" s="3">
        <v>0.0</v>
      </c>
      <c r="D3855" s="3">
        <v>0.0</v>
      </c>
      <c r="E3855" s="3">
        <v>0.0</v>
      </c>
      <c r="F3855" s="3" t="s">
        <v>11074</v>
      </c>
      <c r="G3855" s="3">
        <v>1.0</v>
      </c>
      <c r="H3855" s="3">
        <v>0.0</v>
      </c>
      <c r="I3855" s="3" t="s">
        <v>13</v>
      </c>
      <c r="J3855" s="3" t="s">
        <v>11075</v>
      </c>
      <c r="K3855" s="3" t="s">
        <v>695</v>
      </c>
      <c r="L3855" s="3" t="str">
        <f>IFERROR(__xludf.DUMMYFUNCTION("GOOGLETRANSLATE(F3855,""id"",""en"")"),"Yeah, it's true that I just watched the football after yesterday's World Cup final, the footballing peak wanted to watch the model like this")</f>
        <v>Yeah, it's true that I just watched the football after yesterday's World Cup final, the footballing peak wanted to watch the model like this</v>
      </c>
    </row>
    <row r="3856" ht="15.75" customHeight="1">
      <c r="A3856" s="1">
        <v>3887.0</v>
      </c>
      <c r="B3856" s="3" t="s">
        <v>11076</v>
      </c>
      <c r="C3856" s="3">
        <v>0.0</v>
      </c>
      <c r="D3856" s="3">
        <v>0.0</v>
      </c>
      <c r="E3856" s="3">
        <v>0.0</v>
      </c>
      <c r="F3856" s="3" t="s">
        <v>11077</v>
      </c>
      <c r="G3856" s="3">
        <v>0.65</v>
      </c>
      <c r="H3856" s="3">
        <v>0.1</v>
      </c>
      <c r="I3856" s="3" t="s">
        <v>48</v>
      </c>
      <c r="J3856" s="3" t="s">
        <v>11078</v>
      </c>
      <c r="K3856" s="3" t="s">
        <v>86</v>
      </c>
      <c r="L3856" s="3" t="str">
        <f>IFERROR(__xludf.DUMMYFUNCTION("GOOGLETRANSLATE(F3856,""id"",""en"")"),"Karma Real when France won the World Cup champion they celebrated while taunting Messi even though the final French opponent was Croatia why Messi was hit by the Argentina championship champion Argentine players were mocked by French players very perfect "&amp;"revenge")</f>
        <v>Karma Real when France won the World Cup champion they celebrated while taunting Messi even though the final French opponent was Croatia why Messi was hit by the Argentina championship champion Argentine players were mocked by French players very perfect revenge</v>
      </c>
    </row>
    <row r="3857" ht="15.75" customHeight="1">
      <c r="A3857" s="1">
        <v>3888.0</v>
      </c>
      <c r="B3857" s="3" t="s">
        <v>11079</v>
      </c>
      <c r="C3857" s="3">
        <v>0.0</v>
      </c>
      <c r="D3857" s="3">
        <v>0.0</v>
      </c>
      <c r="E3857" s="3">
        <v>0.0</v>
      </c>
      <c r="F3857" s="3" t="s">
        <v>11080</v>
      </c>
      <c r="G3857" s="3">
        <v>1.0</v>
      </c>
      <c r="H3857" s="3">
        <v>0.0</v>
      </c>
      <c r="I3857" s="3" t="s">
        <v>13</v>
      </c>
      <c r="J3857" s="3" t="s">
        <v>11081</v>
      </c>
      <c r="K3857" s="3" t="s">
        <v>348</v>
      </c>
      <c r="L3857" s="3" t="str">
        <f>IFERROR(__xludf.DUMMYFUNCTION("GOOGLETRANSLATE(F3857,""id"",""en"")"),"Previously Kingsley Coman Randal Kolo Muani and Aurelien Tchouameni received the treatment of social media racism after the World Cup Final Follow, we also Instagram Facebook Ekingsnews")</f>
        <v>Previously Kingsley Coman Randal Kolo Muani and Aurelien Tchouameni received the treatment of social media racism after the World Cup Final Follow, we also Instagram Facebook Ekingsnews</v>
      </c>
    </row>
    <row r="3858" ht="15.75" customHeight="1">
      <c r="A3858" s="1">
        <v>3889.0</v>
      </c>
      <c r="B3858" s="3" t="s">
        <v>11082</v>
      </c>
      <c r="C3858" s="3">
        <v>0.0</v>
      </c>
      <c r="D3858" s="3">
        <v>0.0</v>
      </c>
      <c r="E3858" s="3">
        <v>0.0</v>
      </c>
      <c r="F3858" s="3" t="s">
        <v>11083</v>
      </c>
      <c r="G3858" s="3">
        <v>1.0</v>
      </c>
      <c r="H3858" s="3">
        <v>0.0</v>
      </c>
      <c r="I3858" s="3" t="s">
        <v>13</v>
      </c>
      <c r="J3858" s="3" t="s">
        <v>11084</v>
      </c>
      <c r="K3858" s="3" t="s">
        <v>82</v>
      </c>
      <c r="L3858" s="3" t="str">
        <f>IFERROR(__xludf.DUMMYFUNCTION("GOOGLETRANSLATE(F3858,""id"",""en"")"),"The World Cup Final yesterday Yoters Jagoin Who")</f>
        <v>The World Cup Final yesterday Yoters Jagoin Who</v>
      </c>
    </row>
    <row r="3859" ht="15.75" customHeight="1">
      <c r="A3859" s="1">
        <v>3890.0</v>
      </c>
      <c r="B3859" s="3" t="s">
        <v>11085</v>
      </c>
      <c r="C3859" s="3">
        <v>0.0</v>
      </c>
      <c r="D3859" s="3">
        <v>0.0</v>
      </c>
      <c r="E3859" s="3">
        <v>0.0</v>
      </c>
      <c r="F3859" s="3" t="s">
        <v>11086</v>
      </c>
      <c r="G3859" s="3">
        <v>1.0</v>
      </c>
      <c r="H3859" s="3">
        <v>0.0</v>
      </c>
      <c r="I3859" s="3" t="s">
        <v>13</v>
      </c>
      <c r="J3859" s="3" t="s">
        <v>11087</v>
      </c>
      <c r="K3859" s="3" t="s">
        <v>510</v>
      </c>
      <c r="L3859" s="3" t="str">
        <f>IFERROR(__xludf.DUMMYFUNCTION("GOOGLETRANSLATE(F3859,""id"",""en"")"),"Fill in Whatsapp Angel Maria ahead of the World Cup final makes it stunned by Google News Sports News")</f>
        <v>Fill in Whatsapp Angel Maria ahead of the World Cup final makes it stunned by Google News Sports News</v>
      </c>
    </row>
    <row r="3860" ht="15.75" customHeight="1">
      <c r="A3860" s="1">
        <v>3891.0</v>
      </c>
      <c r="B3860" s="3" t="s">
        <v>11088</v>
      </c>
      <c r="C3860" s="3">
        <v>0.0</v>
      </c>
      <c r="D3860" s="3">
        <v>0.0</v>
      </c>
      <c r="E3860" s="3">
        <v>0.0</v>
      </c>
      <c r="F3860" s="3" t="s">
        <v>11086</v>
      </c>
      <c r="G3860" s="3">
        <v>1.0</v>
      </c>
      <c r="H3860" s="3">
        <v>0.0</v>
      </c>
      <c r="I3860" s="3" t="s">
        <v>13</v>
      </c>
      <c r="J3860" s="3" t="s">
        <v>11087</v>
      </c>
      <c r="K3860" s="3" t="s">
        <v>510</v>
      </c>
      <c r="L3860" s="3" t="str">
        <f>IFERROR(__xludf.DUMMYFUNCTION("GOOGLETRANSLATE(F3860,""id"",""en"")"),"Fill in Whatsapp Angel Maria ahead of the World Cup final makes it stunned by Google News Sports News")</f>
        <v>Fill in Whatsapp Angel Maria ahead of the World Cup final makes it stunned by Google News Sports News</v>
      </c>
    </row>
    <row r="3861" ht="15.75" customHeight="1">
      <c r="A3861" s="1">
        <v>3894.0</v>
      </c>
      <c r="B3861" s="3" t="s">
        <v>11089</v>
      </c>
      <c r="C3861" s="3">
        <v>1.0</v>
      </c>
      <c r="D3861" s="3">
        <v>0.0</v>
      </c>
      <c r="E3861" s="3">
        <v>0.0</v>
      </c>
      <c r="F3861" s="3" t="s">
        <v>11090</v>
      </c>
      <c r="G3861" s="3">
        <v>0.8</v>
      </c>
      <c r="H3861" s="3">
        <v>-0.05</v>
      </c>
      <c r="I3861" s="3" t="s">
        <v>179</v>
      </c>
      <c r="J3861" s="3" t="s">
        <v>11091</v>
      </c>
      <c r="K3861" s="3" t="s">
        <v>82</v>
      </c>
      <c r="L3861" s="3" t="str">
        <f>IFERROR(__xludf.DUMMYFUNCTION("GOOGLETRANSLATE(F3861,""id"",""en"")"),"Ronaldo at least can be the World Cup final first")</f>
        <v>Ronaldo at least can be the World Cup final first</v>
      </c>
    </row>
    <row r="3862" ht="15.75" customHeight="1">
      <c r="A3862" s="1">
        <v>3895.0</v>
      </c>
      <c r="B3862" s="3" t="s">
        <v>11092</v>
      </c>
      <c r="C3862" s="3">
        <v>1.0</v>
      </c>
      <c r="D3862" s="3">
        <v>0.0</v>
      </c>
      <c r="E3862" s="3">
        <v>1.0</v>
      </c>
      <c r="F3862" s="3" t="s">
        <v>11093</v>
      </c>
      <c r="G3862" s="3">
        <v>0.75</v>
      </c>
      <c r="H3862" s="3">
        <v>0.1666666666666667</v>
      </c>
      <c r="I3862" s="3" t="s">
        <v>48</v>
      </c>
      <c r="J3862" s="3" t="s">
        <v>11094</v>
      </c>
      <c r="K3862" s="3" t="s">
        <v>286</v>
      </c>
      <c r="L3862" s="3" t="str">
        <f>IFERROR(__xludf.DUMMYFUNCTION("GOOGLETRANSLATE(F3862,""id"",""en"")"),"The final match created Argentina's goal goal so that Mbappe became the top scorer with a total goal during the World Cup, I didn't imagine what kind of training and determination could make Mbappe appear with the best performance")</f>
        <v>The final match created Argentina's goal goal so that Mbappe became the top scorer with a total goal during the World Cup, I didn't imagine what kind of training and determination could make Mbappe appear with the best performance</v>
      </c>
    </row>
    <row r="3863" ht="15.75" customHeight="1">
      <c r="A3863" s="1">
        <v>3896.0</v>
      </c>
      <c r="B3863" s="3" t="s">
        <v>11095</v>
      </c>
      <c r="C3863" s="3">
        <v>1.0</v>
      </c>
      <c r="D3863" s="3">
        <v>0.0</v>
      </c>
      <c r="E3863" s="3">
        <v>0.0</v>
      </c>
      <c r="F3863" s="3" t="s">
        <v>11096</v>
      </c>
      <c r="G3863" s="3">
        <v>1.0</v>
      </c>
      <c r="H3863" s="3">
        <v>0.0</v>
      </c>
      <c r="I3863" s="3" t="s">
        <v>13</v>
      </c>
      <c r="J3863" s="3" t="s">
        <v>11097</v>
      </c>
      <c r="K3863" s="3" t="s">
        <v>127</v>
      </c>
      <c r="L3863" s="3" t="str">
        <f>IFERROR(__xludf.DUMMYFUNCTION("GOOGLETRANSLATE(F3863,""id"",""en"")"),"Fire Pas Final World Cup Chronologist Children Ate Gae Kopi Jek Godok Banyu Toss left by cigarette tuku")</f>
        <v>Fire Pas Final World Cup Chronologist Children Ate Gae Kopi Jek Godok Banyu Toss left by cigarette tuku</v>
      </c>
    </row>
    <row r="3864" ht="15.75" customHeight="1">
      <c r="A3864" s="1">
        <v>3897.0</v>
      </c>
      <c r="B3864" s="3" t="s">
        <v>11098</v>
      </c>
      <c r="C3864" s="3">
        <v>1.0</v>
      </c>
      <c r="D3864" s="3">
        <v>0.0</v>
      </c>
      <c r="E3864" s="3">
        <v>8.0</v>
      </c>
      <c r="F3864" s="3" t="s">
        <v>11099</v>
      </c>
      <c r="G3864" s="3">
        <v>1.0</v>
      </c>
      <c r="H3864" s="3">
        <v>0.0</v>
      </c>
      <c r="I3864" s="3" t="s">
        <v>13</v>
      </c>
      <c r="J3864" s="3" t="s">
        <v>11100</v>
      </c>
      <c r="K3864" s="3" t="s">
        <v>71</v>
      </c>
      <c r="L3864" s="3" t="str">
        <f>IFERROR(__xludf.DUMMYFUNCTION("GOOGLETRANSLATE(F3864,""id"",""en"")"),"Bisht worn by Lionel Messi World Cup Final continues to be a phenomenon and some are even willing to buy it billion")</f>
        <v>Bisht worn by Lionel Messi World Cup Final continues to be a phenomenon and some are even willing to buy it billion</v>
      </c>
    </row>
    <row r="3865" ht="15.75" customHeight="1">
      <c r="A3865" s="1">
        <v>3898.0</v>
      </c>
      <c r="B3865" s="3" t="s">
        <v>11101</v>
      </c>
      <c r="C3865" s="3">
        <v>1.0</v>
      </c>
      <c r="D3865" s="3">
        <v>0.0</v>
      </c>
      <c r="E3865" s="3">
        <v>0.0</v>
      </c>
      <c r="F3865" s="3" t="s">
        <v>11102</v>
      </c>
      <c r="G3865" s="3">
        <v>1.0</v>
      </c>
      <c r="H3865" s="3">
        <v>0.0</v>
      </c>
      <c r="I3865" s="3" t="s">
        <v>13</v>
      </c>
      <c r="J3865" s="3" t="s">
        <v>11103</v>
      </c>
      <c r="K3865" s="3" t="s">
        <v>41</v>
      </c>
      <c r="L3865" s="3" t="str">
        <f>IFERROR(__xludf.DUMMYFUNCTION("GOOGLETRANSLATE(F3865,""id"",""en"")"),"Kudu died the World Cup Final Weh Suk Nek Ngene")</f>
        <v>Kudu died the World Cup Final Weh Suk Nek Ngene</v>
      </c>
    </row>
    <row r="3866" ht="15.75" customHeight="1">
      <c r="A3866" s="1">
        <v>3899.0</v>
      </c>
      <c r="B3866" s="3" t="s">
        <v>11104</v>
      </c>
      <c r="C3866" s="3">
        <v>1.0</v>
      </c>
      <c r="D3866" s="3">
        <v>0.0</v>
      </c>
      <c r="E3866" s="3">
        <v>0.0</v>
      </c>
      <c r="F3866" s="3" t="s">
        <v>11105</v>
      </c>
      <c r="G3866" s="3">
        <v>1.0</v>
      </c>
      <c r="H3866" s="3">
        <v>0.0</v>
      </c>
      <c r="I3866" s="3" t="s">
        <v>13</v>
      </c>
      <c r="J3866" s="3" t="s">
        <v>11106</v>
      </c>
      <c r="K3866" s="3" t="s">
        <v>1552</v>
      </c>
      <c r="L3866" s="3" t="str">
        <f>IFERROR(__xludf.DUMMYFUNCTION("GOOGLETRANSLATE(F3866,""id"",""en"")"),"Although not Croatia champions can prove without Croatian players to reach the final of the World Cup second place")</f>
        <v>Although not Croatia champions can prove without Croatian players to reach the final of the World Cup second place</v>
      </c>
    </row>
    <row r="3867" ht="15.75" customHeight="1">
      <c r="A3867" s="1">
        <v>3900.0</v>
      </c>
      <c r="B3867" s="3" t="s">
        <v>11107</v>
      </c>
      <c r="C3867" s="3">
        <v>0.0</v>
      </c>
      <c r="D3867" s="3">
        <v>0.0</v>
      </c>
      <c r="E3867" s="3">
        <v>0.0</v>
      </c>
      <c r="F3867" s="3" t="s">
        <v>11108</v>
      </c>
      <c r="G3867" s="3">
        <v>1.0</v>
      </c>
      <c r="H3867" s="3">
        <v>0.0</v>
      </c>
      <c r="I3867" s="3" t="s">
        <v>13</v>
      </c>
      <c r="J3867" s="3" t="s">
        <v>11109</v>
      </c>
      <c r="K3867" s="3" t="s">
        <v>19</v>
      </c>
      <c r="L3867" s="3" t="str">
        <f>IFERROR(__xludf.DUMMYFUNCTION("GOOGLETRANSLATE(F3867,""id"",""en"")"),"I think I want to complain that Abidin's grandfather FIFA refused him")</f>
        <v>I think I want to complain that Abidin's grandfather FIFA refused him</v>
      </c>
    </row>
    <row r="3868" ht="15.75" customHeight="1">
      <c r="A3868" s="1">
        <v>3901.0</v>
      </c>
      <c r="B3868" s="3" t="s">
        <v>11110</v>
      </c>
      <c r="C3868" s="3">
        <v>0.0</v>
      </c>
      <c r="D3868" s="3">
        <v>0.0</v>
      </c>
      <c r="E3868" s="3">
        <v>0.0</v>
      </c>
      <c r="F3868" s="3" t="s">
        <v>11111</v>
      </c>
      <c r="G3868" s="3">
        <v>1.0</v>
      </c>
      <c r="H3868" s="3">
        <v>0.0</v>
      </c>
      <c r="I3868" s="3" t="s">
        <v>13</v>
      </c>
      <c r="J3868" s="3" t="s">
        <v>11112</v>
      </c>
      <c r="K3868" s="3" t="s">
        <v>644</v>
      </c>
      <c r="L3868" s="3" t="str">
        <f>IFERROR(__xludf.DUMMYFUNCTION("GOOGLETRANSLATE(F3868,""id"",""en"")"),"World Cup Final yesterday")</f>
        <v>World Cup Final yesterday</v>
      </c>
    </row>
    <row r="3869" ht="15.75" customHeight="1">
      <c r="A3869" s="1">
        <v>3902.0</v>
      </c>
      <c r="B3869" s="3" t="s">
        <v>11113</v>
      </c>
      <c r="C3869" s="3">
        <v>0.0</v>
      </c>
      <c r="D3869" s="3">
        <v>0.0</v>
      </c>
      <c r="E3869" s="3">
        <v>0.0</v>
      </c>
      <c r="F3869" s="3" t="s">
        <v>11114</v>
      </c>
      <c r="G3869" s="3">
        <v>1.0</v>
      </c>
      <c r="H3869" s="3">
        <v>0.0</v>
      </c>
      <c r="I3869" s="3" t="s">
        <v>13</v>
      </c>
      <c r="J3869" s="3" t="s">
        <v>11115</v>
      </c>
      <c r="K3869" s="3" t="s">
        <v>82</v>
      </c>
      <c r="L3869" s="3" t="str">
        <f>IFERROR(__xludf.DUMMYFUNCTION("GOOGLETRANSLATE(F3869,""id"",""en"")"),"World Cup Final Draggled Google Search Record")</f>
        <v>World Cup Final Draggled Google Search Record</v>
      </c>
    </row>
    <row r="3870" ht="15.75" customHeight="1">
      <c r="A3870" s="1">
        <v>3903.0</v>
      </c>
      <c r="B3870" s="3" t="s">
        <v>11116</v>
      </c>
      <c r="C3870" s="3">
        <v>0.0</v>
      </c>
      <c r="D3870" s="3">
        <v>0.0</v>
      </c>
      <c r="E3870" s="3">
        <v>0.0</v>
      </c>
      <c r="F3870" s="3" t="s">
        <v>11117</v>
      </c>
      <c r="G3870" s="3">
        <v>1.0</v>
      </c>
      <c r="H3870" s="3">
        <v>0.0</v>
      </c>
      <c r="I3870" s="3" t="s">
        <v>13</v>
      </c>
      <c r="J3870" s="3" t="s">
        <v>11118</v>
      </c>
      <c r="K3870" s="3" t="s">
        <v>1317</v>
      </c>
      <c r="L3870" s="3" t="str">
        <f>IFERROR(__xludf.DUMMYFUNCTION("GOOGLETRANSLATE(F3870,""id"",""en"")"),"No need to be far from Croatia champions, the new country entered the World Cup in the year after independence, they could compete with the country, ever Croatian champions without great players like but have achieved the Cup final")</f>
        <v>No need to be far from Croatia champions, the new country entered the World Cup in the year after independence, they could compete with the country, ever Croatian champions without great players like but have achieved the Cup final</v>
      </c>
    </row>
    <row r="3871" ht="15.75" customHeight="1">
      <c r="A3871" s="1">
        <v>3904.0</v>
      </c>
      <c r="B3871" s="3" t="s">
        <v>11119</v>
      </c>
      <c r="C3871" s="3">
        <v>0.0</v>
      </c>
      <c r="D3871" s="3">
        <v>1.0</v>
      </c>
      <c r="E3871" s="3">
        <v>10.0</v>
      </c>
      <c r="F3871" s="3" t="s">
        <v>11099</v>
      </c>
      <c r="G3871" s="3">
        <v>1.0</v>
      </c>
      <c r="H3871" s="3">
        <v>0.0</v>
      </c>
      <c r="I3871" s="3" t="s">
        <v>13</v>
      </c>
      <c r="J3871" s="3" t="s">
        <v>11100</v>
      </c>
      <c r="K3871" s="3" t="s">
        <v>71</v>
      </c>
      <c r="L3871" s="3" t="str">
        <f>IFERROR(__xludf.DUMMYFUNCTION("GOOGLETRANSLATE(F3871,""id"",""en"")"),"Bisht worn by Lionel Messi World Cup Final continues to be a phenomenon and some are even willing to buy it billion")</f>
        <v>Bisht worn by Lionel Messi World Cup Final continues to be a phenomenon and some are even willing to buy it billion</v>
      </c>
    </row>
    <row r="3872" ht="15.75" customHeight="1">
      <c r="A3872" s="1">
        <v>3905.0</v>
      </c>
      <c r="B3872" s="3" t="s">
        <v>11120</v>
      </c>
      <c r="C3872" s="3">
        <v>0.0</v>
      </c>
      <c r="D3872" s="3">
        <v>0.0</v>
      </c>
      <c r="E3872" s="3">
        <v>1.0</v>
      </c>
      <c r="F3872" s="3" t="s">
        <v>11121</v>
      </c>
      <c r="G3872" s="3">
        <v>1.0</v>
      </c>
      <c r="H3872" s="3">
        <v>0.0</v>
      </c>
      <c r="I3872" s="3" t="s">
        <v>13</v>
      </c>
      <c r="J3872" s="3" t="s">
        <v>11122</v>
      </c>
      <c r="K3872" s="3" t="s">
        <v>3819</v>
      </c>
      <c r="L3872" s="3" t="str">
        <f>IFERROR(__xludf.DUMMYFUNCTION("GOOGLETRANSLATE(F3872,""id"",""en"")"),"Japanese women's national team really won the German World Cup at that time defeated the USA through a penalty shootout when the Japanese Canadian World Cup met the USA again.")</f>
        <v>Japanese women's national team really won the German World Cup at that time defeated the USA through a penalty shootout when the Japanese Canadian World Cup met the USA again.</v>
      </c>
    </row>
    <row r="3873" ht="15.75" customHeight="1">
      <c r="A3873" s="1">
        <v>3906.0</v>
      </c>
      <c r="B3873" s="3" t="s">
        <v>11123</v>
      </c>
      <c r="C3873" s="3">
        <v>0.0</v>
      </c>
      <c r="D3873" s="3">
        <v>1.0</v>
      </c>
      <c r="E3873" s="3">
        <v>1.0</v>
      </c>
      <c r="F3873" s="3" t="s">
        <v>11124</v>
      </c>
      <c r="G3873" s="3">
        <v>1.0</v>
      </c>
      <c r="H3873" s="3">
        <v>0.0</v>
      </c>
      <c r="I3873" s="3" t="s">
        <v>13</v>
      </c>
      <c r="J3873" s="3" t="s">
        <v>11125</v>
      </c>
      <c r="K3873" s="3" t="s">
        <v>499</v>
      </c>
      <c r="L3873" s="3" t="str">
        <f>IFERROR(__xludf.DUMMYFUNCTION("GOOGLETRANSLATE(F3873,""id"",""en"")"),"The Argentine World Cup final match against France is too sweet to forget the insubivaries")</f>
        <v>The Argentine World Cup final match against France is too sweet to forget the insubivaries</v>
      </c>
    </row>
    <row r="3874" ht="15.75" customHeight="1">
      <c r="A3874" s="1">
        <v>3907.0</v>
      </c>
      <c r="B3874" s="3" t="s">
        <v>11126</v>
      </c>
      <c r="C3874" s="3">
        <v>0.0</v>
      </c>
      <c r="D3874" s="3">
        <v>0.0</v>
      </c>
      <c r="E3874" s="3">
        <v>0.0</v>
      </c>
      <c r="F3874" s="3" t="s">
        <v>11127</v>
      </c>
      <c r="G3874" s="3">
        <v>1.0</v>
      </c>
      <c r="H3874" s="3">
        <v>0.0</v>
      </c>
      <c r="I3874" s="3" t="s">
        <v>13</v>
      </c>
      <c r="J3874" s="3" t="s">
        <v>11128</v>
      </c>
      <c r="K3874" s="3" t="s">
        <v>71</v>
      </c>
      <c r="L3874" s="3" t="str">
        <f>IFERROR(__xludf.DUMMYFUNCTION("GOOGLETRANSLATE(F3874,""id"",""en"")"),"During the first half of the World Cup Final Final French Team Final Final Circumcisions")</f>
        <v>During the first half of the World Cup Final Final French Team Final Final Circumcisions</v>
      </c>
    </row>
    <row r="3875" ht="15.75" customHeight="1">
      <c r="A3875" s="1">
        <v>3908.0</v>
      </c>
      <c r="B3875" s="3" t="s">
        <v>11129</v>
      </c>
      <c r="C3875" s="3">
        <v>0.0</v>
      </c>
      <c r="D3875" s="3">
        <v>0.0</v>
      </c>
      <c r="E3875" s="3">
        <v>1.0</v>
      </c>
      <c r="F3875" s="3" t="s">
        <v>11130</v>
      </c>
      <c r="G3875" s="3">
        <v>1.0</v>
      </c>
      <c r="H3875" s="3">
        <v>0.0</v>
      </c>
      <c r="I3875" s="3" t="s">
        <v>13</v>
      </c>
      <c r="J3875" s="3" t="s">
        <v>11131</v>
      </c>
      <c r="K3875" s="3" t="s">
        <v>699</v>
      </c>
      <c r="L3875" s="3" t="str">
        <f>IFERROR(__xludf.DUMMYFUNCTION("GOOGLETRANSLATE(F3875,""id"",""en"")"),"Two Argentine NTT fans were found dead on Monday Din his second day allegedly killed while celebrating the victory of the World Cup Argentina")</f>
        <v>Two Argentine NTT fans were found dead on Monday Din his second day allegedly killed while celebrating the victory of the World Cup Argentina</v>
      </c>
    </row>
    <row r="3876" ht="15.75" customHeight="1">
      <c r="A3876" s="1">
        <v>3909.0</v>
      </c>
      <c r="B3876" s="3" t="s">
        <v>11132</v>
      </c>
      <c r="C3876" s="3">
        <v>0.0</v>
      </c>
      <c r="D3876" s="3">
        <v>0.0</v>
      </c>
      <c r="E3876" s="3">
        <v>0.0</v>
      </c>
      <c r="F3876" s="3" t="s">
        <v>11130</v>
      </c>
      <c r="G3876" s="3">
        <v>1.0</v>
      </c>
      <c r="H3876" s="3">
        <v>0.0</v>
      </c>
      <c r="I3876" s="3" t="s">
        <v>13</v>
      </c>
      <c r="J3876" s="3" t="s">
        <v>11131</v>
      </c>
      <c r="K3876" s="3" t="s">
        <v>699</v>
      </c>
      <c r="L3876" s="3" t="str">
        <f>IFERROR(__xludf.DUMMYFUNCTION("GOOGLETRANSLATE(F3876,""id"",""en"")"),"Two Argentine NTT fans were found dead on Monday Din his second day allegedly killed while celebrating the victory of the World Cup Argentina")</f>
        <v>Two Argentine NTT fans were found dead on Monday Din his second day allegedly killed while celebrating the victory of the World Cup Argentina</v>
      </c>
    </row>
    <row r="3877" ht="15.75" customHeight="1">
      <c r="A3877" s="1">
        <v>3910.0</v>
      </c>
      <c r="B3877" s="3" t="s">
        <v>11133</v>
      </c>
      <c r="C3877" s="3">
        <v>1.0</v>
      </c>
      <c r="D3877" s="3">
        <v>0.0</v>
      </c>
      <c r="E3877" s="3">
        <v>0.0</v>
      </c>
      <c r="F3877" s="3" t="s">
        <v>11134</v>
      </c>
      <c r="G3877" s="3">
        <v>1.0</v>
      </c>
      <c r="H3877" s="3">
        <v>0.0</v>
      </c>
      <c r="I3877" s="3" t="s">
        <v>13</v>
      </c>
      <c r="J3877" s="3" t="s">
        <v>11135</v>
      </c>
      <c r="K3877" s="3" t="s">
        <v>11136</v>
      </c>
      <c r="L3877" s="3" t="str">
        <f>IFERROR(__xludf.DUMMYFUNCTION("GOOGLETRANSLATE(F3877,""id"",""en"")"),"Argentina French World Cup final broadcast based on the time zone of December UTC UTC UTC UTC UTC UTC UTC UTC UTC UTC UTC UTC UTC UTC UTC")</f>
        <v>Argentina French World Cup final broadcast based on the time zone of December UTC UTC UTC UTC UTC UTC UTC UTC UTC UTC UTC UTC UTC UTC UTC</v>
      </c>
    </row>
    <row r="3878" ht="15.75" customHeight="1">
      <c r="A3878" s="1">
        <v>3911.0</v>
      </c>
      <c r="B3878" s="3" t="s">
        <v>11137</v>
      </c>
      <c r="C3878" s="3">
        <v>0.0</v>
      </c>
      <c r="D3878" s="3">
        <v>0.0</v>
      </c>
      <c r="E3878" s="3">
        <v>0.0</v>
      </c>
      <c r="F3878" s="3" t="s">
        <v>11138</v>
      </c>
      <c r="G3878" s="3">
        <v>1.0</v>
      </c>
      <c r="H3878" s="3">
        <v>0.0</v>
      </c>
      <c r="I3878" s="3" t="s">
        <v>13</v>
      </c>
      <c r="J3878" s="3" t="s">
        <v>11139</v>
      </c>
      <c r="K3878" s="3" t="s">
        <v>358</v>
      </c>
      <c r="L3878" s="3" t="str">
        <f>IFERROR(__xludf.DUMMYFUNCTION("GOOGLETRANSLATE(F3878,""id"",""en"")"),"Europe with Cups and South America with Cups when Asia or Africa can at least enter the World Cup final still really missing the same as the continent of football")</f>
        <v>Europe with Cups and South America with Cups when Asia or Africa can at least enter the World Cup final still really missing the same as the continent of football</v>
      </c>
    </row>
    <row r="3879" ht="15.75" customHeight="1">
      <c r="A3879" s="1">
        <v>3912.0</v>
      </c>
      <c r="B3879" s="3" t="s">
        <v>11140</v>
      </c>
      <c r="C3879" s="3">
        <v>1.0</v>
      </c>
      <c r="D3879" s="3">
        <v>0.0</v>
      </c>
      <c r="E3879" s="3">
        <v>0.0</v>
      </c>
      <c r="F3879" s="3" t="s">
        <v>11141</v>
      </c>
      <c r="G3879" s="3">
        <v>1.0</v>
      </c>
      <c r="H3879" s="3">
        <v>0.0</v>
      </c>
      <c r="I3879" s="3" t="s">
        <v>13</v>
      </c>
      <c r="J3879" s="3" t="s">
        <v>11142</v>
      </c>
      <c r="K3879" s="3" t="s">
        <v>11136</v>
      </c>
      <c r="L3879" s="3" t="str">
        <f>IFERROR(__xludf.DUMMYFUNCTION("GOOGLETRANSLATE(F3879,""id"",""en"")"),"Croatian French World Cup final broadcast based on July Zone UTC UTC UTC UTC UTC UTC UTC UTC UTC UTC UTC UTC UTC UTC UTC")</f>
        <v>Croatian French World Cup final broadcast based on July Zone UTC UTC UTC UTC UTC UTC UTC UTC UTC UTC UTC UTC UTC UTC UTC</v>
      </c>
    </row>
    <row r="3880" ht="15.75" customHeight="1">
      <c r="A3880" s="1">
        <v>3913.0</v>
      </c>
      <c r="B3880" s="3" t="s">
        <v>11143</v>
      </c>
      <c r="C3880" s="3">
        <v>1.0</v>
      </c>
      <c r="D3880" s="3">
        <v>0.0</v>
      </c>
      <c r="E3880" s="3">
        <v>0.0</v>
      </c>
      <c r="F3880" s="3" t="s">
        <v>11144</v>
      </c>
      <c r="G3880" s="3">
        <v>1.0</v>
      </c>
      <c r="H3880" s="3">
        <v>0.0</v>
      </c>
      <c r="I3880" s="3" t="s">
        <v>13</v>
      </c>
      <c r="J3880" s="3" t="s">
        <v>11145</v>
      </c>
      <c r="K3880" s="3" t="s">
        <v>11136</v>
      </c>
      <c r="L3880" s="3" t="str">
        <f>IFERROR(__xludf.DUMMYFUNCTION("GOOGLETRANSLATE(F3880,""id"",""en"")"),"Germany World Cup Final Agentine Argentina Based on the July Zone of the UTC UTC UTC UTC UTC UTC UTC UTC UTC UTC UTC UTC UTC UTC UTC UTC")</f>
        <v>Germany World Cup Final Agentine Argentina Based on the July Zone of the UTC UTC UTC UTC UTC UTC UTC UTC UTC UTC UTC UTC UTC UTC UTC UTC</v>
      </c>
    </row>
    <row r="3881" ht="15.75" customHeight="1">
      <c r="A3881" s="1">
        <v>3914.0</v>
      </c>
      <c r="B3881" s="3" t="s">
        <v>11146</v>
      </c>
      <c r="C3881" s="3">
        <v>1.0</v>
      </c>
      <c r="D3881" s="3">
        <v>0.0</v>
      </c>
      <c r="E3881" s="3">
        <v>0.0</v>
      </c>
      <c r="F3881" s="3" t="s">
        <v>11147</v>
      </c>
      <c r="G3881" s="3">
        <v>1.0</v>
      </c>
      <c r="H3881" s="3">
        <v>0.0</v>
      </c>
      <c r="I3881" s="3" t="s">
        <v>13</v>
      </c>
      <c r="J3881" s="3" t="s">
        <v>11148</v>
      </c>
      <c r="K3881" s="3" t="s">
        <v>35</v>
      </c>
      <c r="L3881" s="3" t="str">
        <f>IFERROR(__xludf.DUMMYFUNCTION("GOOGLETRANSLATE(F3881,""id"",""en"")"),"Ronaldo Time Boro kissed the World Cup.")</f>
        <v>Ronaldo Time Boro kissed the World Cup.</v>
      </c>
    </row>
    <row r="3882" ht="15.75" customHeight="1">
      <c r="A3882" s="1">
        <v>3915.0</v>
      </c>
      <c r="B3882" s="3" t="s">
        <v>11149</v>
      </c>
      <c r="C3882" s="3">
        <v>0.0</v>
      </c>
      <c r="D3882" s="3">
        <v>0.0</v>
      </c>
      <c r="E3882" s="3">
        <v>1.0</v>
      </c>
      <c r="F3882" s="3" t="s">
        <v>11150</v>
      </c>
      <c r="G3882" s="3">
        <v>1.0</v>
      </c>
      <c r="H3882" s="3">
        <v>0.0</v>
      </c>
      <c r="I3882" s="3" t="s">
        <v>13</v>
      </c>
      <c r="J3882" s="3" t="s">
        <v>11151</v>
      </c>
      <c r="K3882" s="3" t="s">
        <v>823</v>
      </c>
      <c r="L3882" s="3" t="str">
        <f>IFERROR(__xludf.DUMMYFUNCTION("GOOGLETRANSLATE(F3882,""id"",""en"")"),"Ronaldo Time Haram Cup Help FIFA Try giving proof where Argentina is assisted by FIFA to win the final with difficulty even almost almost a comeback BLH assisted by FIFA Euro is bigger than the Cup")</f>
        <v>Ronaldo Time Haram Cup Help FIFA Try giving proof where Argentina is assisted by FIFA to win the final with difficulty even almost almost a comeback BLH assisted by FIFA Euro is bigger than the Cup</v>
      </c>
    </row>
    <row r="3883" ht="15.75" customHeight="1">
      <c r="A3883" s="1">
        <v>3916.0</v>
      </c>
      <c r="B3883" s="3" t="s">
        <v>11152</v>
      </c>
      <c r="C3883" s="3">
        <v>12.0</v>
      </c>
      <c r="D3883" s="3">
        <v>16.0</v>
      </c>
      <c r="E3883" s="3">
        <v>93.0</v>
      </c>
      <c r="F3883" s="3" t="s">
        <v>11153</v>
      </c>
      <c r="G3883" s="3">
        <v>1.0</v>
      </c>
      <c r="H3883" s="3">
        <v>0.0</v>
      </c>
      <c r="I3883" s="3" t="s">
        <v>13</v>
      </c>
      <c r="J3883" s="3" t="s">
        <v>11154</v>
      </c>
      <c r="K3883" s="3" t="s">
        <v>610</v>
      </c>
      <c r="L3883" s="3" t="str">
        <f>IFERROR(__xludf.DUMMYFUNCTION("GOOGLETRANSLATE(F3883,""id"",""en"")"),"Konate and Lovren are the last two players who lost the Champions League final and the same year's World Cup and they are Liverpool players Lovren UCL Lovren Lovren UCL Konate UCL Konate UCL")</f>
        <v>Konate and Lovren are the last two players who lost the Champions League final and the same year's World Cup and they are Liverpool players Lovren UCL Lovren Lovren UCL Konate UCL Konate UCL</v>
      </c>
    </row>
    <row r="3884" ht="15.75" customHeight="1">
      <c r="A3884" s="1">
        <v>3917.0</v>
      </c>
      <c r="B3884" s="3" t="s">
        <v>11155</v>
      </c>
      <c r="C3884" s="3">
        <v>1.0</v>
      </c>
      <c r="D3884" s="3">
        <v>0.0</v>
      </c>
      <c r="E3884" s="3">
        <v>0.0</v>
      </c>
      <c r="F3884" s="3" t="s">
        <v>11156</v>
      </c>
      <c r="G3884" s="3">
        <v>1.0</v>
      </c>
      <c r="H3884" s="3">
        <v>0.0</v>
      </c>
      <c r="I3884" s="3" t="s">
        <v>13</v>
      </c>
      <c r="J3884" s="3" t="s">
        <v>11157</v>
      </c>
      <c r="K3884" s="3" t="s">
        <v>31</v>
      </c>
      <c r="L3884" s="3" t="str">
        <f>IFERROR(__xludf.DUMMYFUNCTION("GOOGLETRANSLATE(F3884,""id"",""en"")"),"defend the final world cup he exclaimed")</f>
        <v>defend the final world cup he exclaimed</v>
      </c>
    </row>
    <row r="3885" ht="15.75" customHeight="1">
      <c r="A3885" s="1">
        <v>3918.0</v>
      </c>
      <c r="B3885" s="3" t="s">
        <v>11158</v>
      </c>
      <c r="C3885" s="3">
        <v>0.0</v>
      </c>
      <c r="D3885" s="3">
        <v>0.0</v>
      </c>
      <c r="E3885" s="3">
        <v>0.0</v>
      </c>
      <c r="F3885" s="3" t="s">
        <v>11159</v>
      </c>
      <c r="G3885" s="3">
        <v>1.0</v>
      </c>
      <c r="H3885" s="3">
        <v>0.0</v>
      </c>
      <c r="I3885" s="3" t="s">
        <v>13</v>
      </c>
      <c r="J3885" s="3" t="s">
        <v>11160</v>
      </c>
      <c r="K3885" s="3" t="s">
        <v>11161</v>
      </c>
      <c r="L3885" s="3" t="str">
        <f>IFERROR(__xludf.DUMMYFUNCTION("GOOGLETRANSLATE(F3885,""id"",""en"")"),"After the final of the tough world cup, it rose because it didn't exercise and eating kept Karbo over starting on Tuesday Live Running Gowes Futsal Badminton Swimming Plus Reduce Dinner Already Lunch, Padang Rice Koq Karbo Deficit Method")</f>
        <v>After the final of the tough world cup, it rose because it didn't exercise and eating kept Karbo over starting on Tuesday Live Running Gowes Futsal Badminton Swimming Plus Reduce Dinner Already Lunch, Padang Rice Koq Karbo Deficit Method</v>
      </c>
    </row>
    <row r="3886" ht="15.75" customHeight="1">
      <c r="A3886" s="1">
        <v>3919.0</v>
      </c>
      <c r="B3886" s="3" t="s">
        <v>11162</v>
      </c>
      <c r="C3886" s="3">
        <v>0.0</v>
      </c>
      <c r="D3886" s="3">
        <v>0.0</v>
      </c>
      <c r="E3886" s="3">
        <v>0.0</v>
      </c>
      <c r="F3886" s="3" t="s">
        <v>11163</v>
      </c>
      <c r="G3886" s="3">
        <v>1.0</v>
      </c>
      <c r="H3886" s="3">
        <v>0.0</v>
      </c>
      <c r="I3886" s="3" t="s">
        <v>13</v>
      </c>
      <c r="J3886" s="3" t="s">
        <v>11164</v>
      </c>
      <c r="K3886" s="3" t="s">
        <v>192</v>
      </c>
      <c r="L3886" s="3" t="str">
        <f>IFERROR(__xludf.DUMMYFUNCTION("GOOGLETRANSLATE(F3886,""id"",""en"")"),"Why is it rich to receive a lot of Messi to get the World Cup remember when Diego Maradona got the World Cup in the year of England through the goal of God's hand that the final party was not forgotten it was the Argentina champion always cons")</f>
        <v>Why is it rich to receive a lot of Messi to get the World Cup remember when Diego Maradona got the World Cup in the year of England through the goal of God's hand that the final party was not forgotten it was the Argentina champion always cons</v>
      </c>
    </row>
    <row r="3887" ht="15.75" customHeight="1">
      <c r="A3887" s="1">
        <v>3921.0</v>
      </c>
      <c r="B3887" s="3" t="s">
        <v>11165</v>
      </c>
      <c r="C3887" s="3">
        <v>0.0</v>
      </c>
      <c r="D3887" s="3">
        <v>1.0</v>
      </c>
      <c r="E3887" s="3">
        <v>1.0</v>
      </c>
      <c r="F3887" s="3" t="s">
        <v>11166</v>
      </c>
      <c r="G3887" s="3">
        <v>1.0</v>
      </c>
      <c r="H3887" s="3">
        <v>0.0</v>
      </c>
      <c r="I3887" s="3" t="s">
        <v>13</v>
      </c>
      <c r="J3887" s="3" t="s">
        <v>11167</v>
      </c>
      <c r="K3887" s="3" t="s">
        <v>75</v>
      </c>
      <c r="L3887" s="3" t="str">
        <f>IFERROR(__xludf.DUMMYFUNCTION("GOOGLETRANSLATE(F3887,""id"",""en"")"),"Maria can read the destiny of knowing the World Cup Final goal")</f>
        <v>Maria can read the destiny of knowing the World Cup Final goal</v>
      </c>
    </row>
    <row r="3888" ht="15.75" customHeight="1">
      <c r="A3888" s="1">
        <v>3922.0</v>
      </c>
      <c r="B3888" s="3" t="s">
        <v>11168</v>
      </c>
      <c r="C3888" s="3">
        <v>0.0</v>
      </c>
      <c r="D3888" s="3">
        <v>0.0</v>
      </c>
      <c r="E3888" s="3">
        <v>0.0</v>
      </c>
      <c r="F3888" s="3" t="s">
        <v>11169</v>
      </c>
      <c r="G3888" s="3">
        <v>1.0</v>
      </c>
      <c r="H3888" s="3">
        <v>0.0</v>
      </c>
      <c r="I3888" s="3" t="s">
        <v>13</v>
      </c>
      <c r="J3888" s="3" t="s">
        <v>11170</v>
      </c>
      <c r="K3888" s="3" t="s">
        <v>90</v>
      </c>
      <c r="L3888" s="3" t="str">
        <f>IFERROR(__xludf.DUMMYFUNCTION("GOOGLETRANSLATE(F3888,""id"",""en"")"),"Bisht or a typical Arab robe worn by Lionel Messi World Cup Final Stealing the attention and some are even willing to buy it tens of billions of rupiah")</f>
        <v>Bisht or a typical Arab robe worn by Lionel Messi World Cup Final Stealing the attention and some are even willing to buy it tens of billions of rupiah</v>
      </c>
    </row>
    <row r="3889" ht="15.75" customHeight="1">
      <c r="A3889" s="1">
        <v>3923.0</v>
      </c>
      <c r="B3889" s="3" t="s">
        <v>11171</v>
      </c>
      <c r="C3889" s="3">
        <v>0.0</v>
      </c>
      <c r="D3889" s="3">
        <v>0.0</v>
      </c>
      <c r="E3889" s="3">
        <v>0.0</v>
      </c>
      <c r="F3889" s="3" t="s">
        <v>11172</v>
      </c>
      <c r="G3889" s="3">
        <v>1.0</v>
      </c>
      <c r="H3889" s="3">
        <v>0.0</v>
      </c>
      <c r="I3889" s="3" t="s">
        <v>13</v>
      </c>
      <c r="J3889" s="3" t="s">
        <v>11173</v>
      </c>
      <c r="K3889" s="3" t="s">
        <v>15</v>
      </c>
      <c r="L3889" s="3" t="str">
        <f>IFERROR(__xludf.DUMMYFUNCTION("GOOGLETRANSLATE(F3889,""id"",""en"")"),"Mbappe Action Burn the Spirit of French Final World Cup")</f>
        <v>Mbappe Action Burn the Spirit of French Final World Cup</v>
      </c>
    </row>
    <row r="3890" ht="15.75" customHeight="1">
      <c r="A3890" s="1">
        <v>3924.0</v>
      </c>
      <c r="B3890" s="3" t="s">
        <v>11174</v>
      </c>
      <c r="C3890" s="3">
        <v>0.0</v>
      </c>
      <c r="D3890" s="3">
        <v>0.0</v>
      </c>
      <c r="E3890" s="3">
        <v>0.0</v>
      </c>
      <c r="F3890" s="3" t="s">
        <v>11175</v>
      </c>
      <c r="G3890" s="3">
        <v>1.0</v>
      </c>
      <c r="H3890" s="3">
        <v>0.0</v>
      </c>
      <c r="I3890" s="3" t="s">
        <v>13</v>
      </c>
      <c r="J3890" s="3" t="s">
        <v>11176</v>
      </c>
      <c r="K3890" s="3" t="s">
        <v>82</v>
      </c>
      <c r="L3890" s="3" t="str">
        <f>IFERROR(__xludf.DUMMYFUNCTION("GOOGLETRANSLATE(F3890,""id"",""en"")"),"new feelings to watch the world cup final")</f>
        <v>new feelings to watch the world cup final</v>
      </c>
    </row>
    <row r="3891" ht="15.75" customHeight="1">
      <c r="A3891" s="1">
        <v>3925.0</v>
      </c>
      <c r="B3891" s="3" t="s">
        <v>11177</v>
      </c>
      <c r="C3891" s="3">
        <v>0.0</v>
      </c>
      <c r="D3891" s="3">
        <v>2.0</v>
      </c>
      <c r="E3891" s="3">
        <v>4.0</v>
      </c>
      <c r="F3891" s="3" t="s">
        <v>11178</v>
      </c>
      <c r="G3891" s="3">
        <v>1.0</v>
      </c>
      <c r="H3891" s="3">
        <v>0.0</v>
      </c>
      <c r="I3891" s="3" t="s">
        <v>13</v>
      </c>
      <c r="J3891" s="3" t="s">
        <v>11179</v>
      </c>
      <c r="K3891" s="3" t="s">
        <v>75</v>
      </c>
      <c r="L3891" s="3" t="str">
        <f>IFERROR(__xludf.DUMMYFUNCTION("GOOGLETRANSLATE(F3891,""id"",""en"")"),"Paulo Dybala revealed the secret of the successful execution of the World Cup Final Penalty")</f>
        <v>Paulo Dybala revealed the secret of the successful execution of the World Cup Final Penalty</v>
      </c>
    </row>
    <row r="3892" ht="15.75" customHeight="1">
      <c r="A3892" s="1">
        <v>3926.0</v>
      </c>
      <c r="B3892" s="3" t="s">
        <v>11180</v>
      </c>
      <c r="C3892" s="3">
        <v>0.0</v>
      </c>
      <c r="D3892" s="3">
        <v>1.0</v>
      </c>
      <c r="E3892" s="3">
        <v>3.0</v>
      </c>
      <c r="F3892" s="3" t="s">
        <v>11181</v>
      </c>
      <c r="G3892" s="3">
        <v>1.0</v>
      </c>
      <c r="H3892" s="3">
        <v>0.0</v>
      </c>
      <c r="I3892" s="3" t="s">
        <v>13</v>
      </c>
      <c r="J3892" s="3" t="s">
        <v>11182</v>
      </c>
      <c r="K3892" s="3" t="s">
        <v>3819</v>
      </c>
      <c r="L3892" s="3" t="str">
        <f>IFERROR(__xludf.DUMMYFUNCTION("GOOGLETRANSLATE(F3892,""id"",""en"")"),"People in the coach and coaching staff who made Argentina Final and Qatar World Cup champion Lionel Scaloni Chief Pablo Aimar Assistant Roberto Assistant Walter Samuel Assistant")</f>
        <v>People in the coach and coaching staff who made Argentina Final and Qatar World Cup champion Lionel Scaloni Chief Pablo Aimar Assistant Roberto Assistant Walter Samuel Assistant</v>
      </c>
    </row>
    <row r="3893" ht="15.75" customHeight="1">
      <c r="A3893" s="1">
        <v>3927.0</v>
      </c>
      <c r="B3893" s="3" t="s">
        <v>11183</v>
      </c>
      <c r="C3893" s="3">
        <v>2.0</v>
      </c>
      <c r="D3893" s="3">
        <v>8.0</v>
      </c>
      <c r="E3893" s="3">
        <v>46.0</v>
      </c>
      <c r="F3893" s="3" t="s">
        <v>11099</v>
      </c>
      <c r="G3893" s="3">
        <v>1.0</v>
      </c>
      <c r="H3893" s="3">
        <v>0.0</v>
      </c>
      <c r="I3893" s="3" t="s">
        <v>13</v>
      </c>
      <c r="J3893" s="3" t="s">
        <v>11100</v>
      </c>
      <c r="K3893" s="3" t="s">
        <v>71</v>
      </c>
      <c r="L3893" s="3" t="str">
        <f>IFERROR(__xludf.DUMMYFUNCTION("GOOGLETRANSLATE(F3893,""id"",""en"")"),"Bisht worn by Lionel Messi World Cup Final continues to be a phenomenon and some are even willing to buy it billion")</f>
        <v>Bisht worn by Lionel Messi World Cup Final continues to be a phenomenon and some are even willing to buy it billion</v>
      </c>
    </row>
    <row r="3894" ht="15.75" customHeight="1">
      <c r="A3894" s="1">
        <v>3928.0</v>
      </c>
      <c r="B3894" s="3" t="s">
        <v>11184</v>
      </c>
      <c r="C3894" s="3">
        <v>0.0</v>
      </c>
      <c r="D3894" s="3">
        <v>0.0</v>
      </c>
      <c r="E3894" s="3">
        <v>10.0</v>
      </c>
      <c r="F3894" s="3" t="s">
        <v>11099</v>
      </c>
      <c r="G3894" s="3">
        <v>1.0</v>
      </c>
      <c r="H3894" s="3">
        <v>0.0</v>
      </c>
      <c r="I3894" s="3" t="s">
        <v>13</v>
      </c>
      <c r="J3894" s="3" t="s">
        <v>11100</v>
      </c>
      <c r="K3894" s="3" t="s">
        <v>71</v>
      </c>
      <c r="L3894" s="3" t="str">
        <f>IFERROR(__xludf.DUMMYFUNCTION("GOOGLETRANSLATE(F3894,""id"",""en"")"),"Bisht worn by Lionel Messi World Cup Final continues to be a phenomenon and some are even willing to buy it billion")</f>
        <v>Bisht worn by Lionel Messi World Cup Final continues to be a phenomenon and some are even willing to buy it billion</v>
      </c>
    </row>
    <row r="3895" ht="15.75" customHeight="1">
      <c r="A3895" s="1">
        <v>3929.0</v>
      </c>
      <c r="B3895" s="3" t="s">
        <v>11185</v>
      </c>
      <c r="C3895" s="3">
        <v>0.0</v>
      </c>
      <c r="D3895" s="3">
        <v>0.0</v>
      </c>
      <c r="E3895" s="3">
        <v>0.0</v>
      </c>
      <c r="F3895" s="3" t="s">
        <v>11186</v>
      </c>
      <c r="G3895" s="3">
        <v>1.0</v>
      </c>
      <c r="H3895" s="3">
        <v>0.0</v>
      </c>
      <c r="I3895" s="3" t="s">
        <v>13</v>
      </c>
      <c r="J3895" s="3" t="s">
        <v>11187</v>
      </c>
      <c r="K3895" s="3" t="s">
        <v>3734</v>
      </c>
      <c r="L3895" s="3" t="str">
        <f>IFERROR(__xludf.DUMMYFUNCTION("GOOGLETRANSLATE(F3895,""id"",""en"")"),"Romeo Dodo Lovers When the final settings this final settings mbappe bosses are dead ready to retire again, this is the setting of ayo mbappe for Messi crying again the final is clear this world cup settings")</f>
        <v>Romeo Dodo Lovers When the final settings this final settings mbappe bosses are dead ready to retire again, this is the setting of ayo mbappe for Messi crying again the final is clear this world cup settings</v>
      </c>
    </row>
    <row r="3896" ht="15.75" customHeight="1">
      <c r="A3896" s="1">
        <v>3930.0</v>
      </c>
      <c r="B3896" s="3" t="s">
        <v>11188</v>
      </c>
      <c r="C3896" s="3">
        <v>0.0</v>
      </c>
      <c r="D3896" s="3">
        <v>0.0</v>
      </c>
      <c r="E3896" s="3">
        <v>1.0</v>
      </c>
      <c r="F3896" s="3" t="s">
        <v>11189</v>
      </c>
      <c r="G3896" s="3">
        <v>1.0</v>
      </c>
      <c r="H3896" s="3">
        <v>0.0</v>
      </c>
      <c r="I3896" s="3" t="s">
        <v>13</v>
      </c>
      <c r="J3896" s="3" t="s">
        <v>11190</v>
      </c>
      <c r="K3896" s="3" t="s">
        <v>477</v>
      </c>
      <c r="L3896" s="3" t="str">
        <f>IFERROR(__xludf.DUMMYFUNCTION("GOOGLETRANSLATE(F3896,""id"",""en"")"),"Action from Martinez Sunggu Old in the World Cup Final Action")</f>
        <v>Action from Martinez Sunggu Old in the World Cup Final Action</v>
      </c>
    </row>
    <row r="3897" ht="15.75" customHeight="1">
      <c r="A3897" s="1">
        <v>3931.0</v>
      </c>
      <c r="B3897" s="3" t="s">
        <v>11191</v>
      </c>
      <c r="C3897" s="3">
        <v>0.0</v>
      </c>
      <c r="D3897" s="3">
        <v>0.0</v>
      </c>
      <c r="E3897" s="3">
        <v>0.0</v>
      </c>
      <c r="F3897" s="3" t="s">
        <v>11192</v>
      </c>
      <c r="G3897" s="3">
        <v>1.0</v>
      </c>
      <c r="H3897" s="3">
        <v>0.0</v>
      </c>
      <c r="I3897" s="3" t="s">
        <v>13</v>
      </c>
      <c r="J3897" s="3" t="s">
        <v>11193</v>
      </c>
      <c r="K3897" s="3" t="s">
        <v>75</v>
      </c>
      <c r="L3897" s="3" t="str">
        <f>IFERROR(__xludf.DUMMYFUNCTION("GOOGLETRANSLATE(F3897,""id"",""en"")"),"France and Argentina, one of its kek, will penetrate the final of the World Cup again")</f>
        <v>France and Argentina, one of its kek, will penetrate the final of the World Cup again</v>
      </c>
    </row>
    <row r="3898" ht="15.75" customHeight="1">
      <c r="A3898" s="1">
        <v>3932.0</v>
      </c>
      <c r="B3898" s="3" t="s">
        <v>11194</v>
      </c>
      <c r="C3898" s="3">
        <v>0.0</v>
      </c>
      <c r="D3898" s="3">
        <v>0.0</v>
      </c>
      <c r="E3898" s="3">
        <v>0.0</v>
      </c>
      <c r="F3898" s="3" t="s">
        <v>11195</v>
      </c>
      <c r="G3898" s="3">
        <v>1.0</v>
      </c>
      <c r="H3898" s="3">
        <v>0.0</v>
      </c>
      <c r="I3898" s="3" t="s">
        <v>13</v>
      </c>
      <c r="J3898" s="3" t="s">
        <v>11196</v>
      </c>
      <c r="K3898" s="3" t="s">
        <v>82</v>
      </c>
      <c r="L3898" s="3" t="str">
        <f>IFERROR(__xludf.DUMMYFUNCTION("GOOGLETRANSLATE(F3898,""id"",""en"")"),"the final final during the World Cup event")</f>
        <v>the final final during the World Cup event</v>
      </c>
    </row>
    <row r="3899" ht="15.75" customHeight="1">
      <c r="A3899" s="1">
        <v>3933.0</v>
      </c>
      <c r="B3899" s="3" t="s">
        <v>11197</v>
      </c>
      <c r="C3899" s="3">
        <v>0.0</v>
      </c>
      <c r="D3899" s="3">
        <v>0.0</v>
      </c>
      <c r="E3899" s="3">
        <v>0.0</v>
      </c>
      <c r="F3899" s="3" t="s">
        <v>11178</v>
      </c>
      <c r="G3899" s="3">
        <v>1.0</v>
      </c>
      <c r="H3899" s="3">
        <v>0.0</v>
      </c>
      <c r="I3899" s="3" t="s">
        <v>13</v>
      </c>
      <c r="J3899" s="3" t="s">
        <v>11179</v>
      </c>
      <c r="K3899" s="3" t="s">
        <v>75</v>
      </c>
      <c r="L3899" s="3" t="str">
        <f>IFERROR(__xludf.DUMMYFUNCTION("GOOGLETRANSLATE(F3899,""id"",""en"")"),"Paulo Dybala revealed the secret of the successful execution of the World Cup Final Penalty")</f>
        <v>Paulo Dybala revealed the secret of the successful execution of the World Cup Final Penalty</v>
      </c>
    </row>
    <row r="3900" ht="15.75" customHeight="1">
      <c r="A3900" s="1">
        <v>3934.0</v>
      </c>
      <c r="B3900" s="3" t="s">
        <v>11198</v>
      </c>
      <c r="C3900" s="3">
        <v>0.0</v>
      </c>
      <c r="D3900" s="3">
        <v>0.0</v>
      </c>
      <c r="E3900" s="3">
        <v>0.0</v>
      </c>
      <c r="F3900" s="3" t="s">
        <v>11199</v>
      </c>
      <c r="G3900" s="3">
        <v>1.0</v>
      </c>
      <c r="H3900" s="3">
        <v>0.0</v>
      </c>
      <c r="I3900" s="3" t="s">
        <v>13</v>
      </c>
      <c r="J3900" s="3" t="s">
        <v>11200</v>
      </c>
      <c r="K3900" s="3" t="s">
        <v>50</v>
      </c>
      <c r="L3900" s="3" t="str">
        <f>IFERROR(__xludf.DUMMYFUNCTION("GOOGLETRANSLATE(F3900,""id"",""en"")"),"Paulo Dybala revealed the secret of the successful execution of the WhatsApp World Cup Final")</f>
        <v>Paulo Dybala revealed the secret of the successful execution of the WhatsApp World Cup Final</v>
      </c>
    </row>
    <row r="3901" ht="15.75" customHeight="1">
      <c r="A3901" s="1">
        <v>3935.0</v>
      </c>
      <c r="B3901" s="3" t="s">
        <v>11201</v>
      </c>
      <c r="C3901" s="3">
        <v>1.0</v>
      </c>
      <c r="D3901" s="3">
        <v>0.0</v>
      </c>
      <c r="E3901" s="3">
        <v>0.0</v>
      </c>
      <c r="F3901" s="3" t="s">
        <v>3777</v>
      </c>
      <c r="G3901" s="3">
        <v>1.0</v>
      </c>
      <c r="H3901" s="3">
        <v>0.0</v>
      </c>
      <c r="I3901" s="3" t="s">
        <v>13</v>
      </c>
      <c r="J3901" s="3" t="s">
        <v>3778</v>
      </c>
      <c r="K3901" s="3" t="s">
        <v>644</v>
      </c>
      <c r="L3901" s="3" t="str">
        <f>IFERROR(__xludf.DUMMYFUNCTION("GOOGLETRANSLATE(F3901,""id"",""en"")"),"Watch World Cup Final")</f>
        <v>Watch World Cup Final</v>
      </c>
    </row>
    <row r="3902" ht="15.75" customHeight="1">
      <c r="A3902" s="1">
        <v>3936.0</v>
      </c>
      <c r="B3902" s="3" t="s">
        <v>11202</v>
      </c>
      <c r="C3902" s="3">
        <v>0.0</v>
      </c>
      <c r="D3902" s="3">
        <v>0.0</v>
      </c>
      <c r="E3902" s="3">
        <v>0.0</v>
      </c>
      <c r="F3902" s="3" t="s">
        <v>11203</v>
      </c>
      <c r="G3902" s="3">
        <v>1.0</v>
      </c>
      <c r="H3902" s="3">
        <v>0.0</v>
      </c>
      <c r="I3902" s="3" t="s">
        <v>13</v>
      </c>
      <c r="J3902" s="3" t="s">
        <v>11204</v>
      </c>
      <c r="K3902" s="3" t="s">
        <v>41</v>
      </c>
      <c r="L3902" s="3" t="str">
        <f>IFERROR(__xludf.DUMMYFUNCTION("GOOGLETRANSLATE(F3902,""id"",""en"")"),"stole the attention of the final of the World Cup Final Lionel Messi's wife")</f>
        <v>stole the attention of the final of the World Cup Final Lionel Messi's wife</v>
      </c>
    </row>
    <row r="3903" ht="15.75" customHeight="1">
      <c r="A3903" s="1">
        <v>3937.0</v>
      </c>
      <c r="B3903" s="3" t="s">
        <v>11205</v>
      </c>
      <c r="C3903" s="3">
        <v>1.0</v>
      </c>
      <c r="D3903" s="3">
        <v>1.0</v>
      </c>
      <c r="E3903" s="3">
        <v>0.0</v>
      </c>
      <c r="F3903" s="3" t="s">
        <v>11206</v>
      </c>
      <c r="G3903" s="3">
        <v>0.5</v>
      </c>
      <c r="H3903" s="3">
        <v>0.0</v>
      </c>
      <c r="I3903" s="3" t="s">
        <v>13</v>
      </c>
      <c r="J3903" s="3" t="s">
        <v>11207</v>
      </c>
      <c r="K3903" s="3" t="s">
        <v>8160</v>
      </c>
      <c r="L3903" s="3" t="str">
        <f>IFERROR(__xludf.DUMMYFUNCTION("GOOGLETRANSLATE(F3903,""id"",""en"")"),"Erik Ten Hag about having one senior central defender is the problem of Rapha Varane and Licha Martinez in the World Cup final we chose Casemiro he more often played there Mutv")</f>
        <v>Erik Ten Hag about having one senior central defender is the problem of Rapha Varane and Licha Martinez in the World Cup final we chose Casemiro he more often played there Mutv</v>
      </c>
    </row>
    <row r="3904" ht="15.75" customHeight="1">
      <c r="A3904" s="1">
        <v>3938.0</v>
      </c>
      <c r="B3904" s="3" t="s">
        <v>11208</v>
      </c>
      <c r="C3904" s="3">
        <v>0.0</v>
      </c>
      <c r="D3904" s="3">
        <v>2.0</v>
      </c>
      <c r="E3904" s="3">
        <v>3.0</v>
      </c>
      <c r="F3904" s="3" t="s">
        <v>11209</v>
      </c>
      <c r="G3904" s="3">
        <v>1.0</v>
      </c>
      <c r="H3904" s="3">
        <v>0.0</v>
      </c>
      <c r="I3904" s="3" t="s">
        <v>13</v>
      </c>
      <c r="J3904" s="3" t="s">
        <v>11210</v>
      </c>
      <c r="K3904" s="3" t="s">
        <v>910</v>
      </c>
      <c r="L3904" s="3" t="str">
        <f>IFERROR(__xludf.DUMMYFUNCTION("GOOGLETRANSLATE(F3904,""id"",""en"")"),"French star Kylian Mbappe returned to training with Paris Saint Germain PSG on Wednesday only three days after his team lost the World Cup final despite scoring a hat trick of the year old player appeared to be depressed after France lost")</f>
        <v>French star Kylian Mbappe returned to training with Paris Saint Germain PSG on Wednesday only three days after his team lost the World Cup final despite scoring a hat trick of the year old player appeared to be depressed after France lost</v>
      </c>
    </row>
    <row r="3905" ht="15.75" customHeight="1">
      <c r="A3905" s="1">
        <v>3939.0</v>
      </c>
      <c r="B3905" s="3" t="s">
        <v>11211</v>
      </c>
      <c r="C3905" s="3">
        <v>0.0</v>
      </c>
      <c r="D3905" s="3">
        <v>0.0</v>
      </c>
      <c r="E3905" s="3">
        <v>1.0</v>
      </c>
      <c r="F3905" s="3" t="s">
        <v>11212</v>
      </c>
      <c r="G3905" s="3">
        <v>1.0</v>
      </c>
      <c r="H3905" s="3">
        <v>0.0</v>
      </c>
      <c r="I3905" s="3" t="s">
        <v>13</v>
      </c>
      <c r="J3905" s="3" t="s">
        <v>11213</v>
      </c>
      <c r="K3905" s="3" t="s">
        <v>90</v>
      </c>
      <c r="L3905" s="3" t="str">
        <f>IFERROR(__xludf.DUMMYFUNCTION("GOOGLETRANSLATE(F3905,""id"",""en"")"),"Until whenever disciplined and no matter how sophisticated the rules and tools of the pillow will always be two different opinion and reactions in every match especially the final class of the World Cup that is why football")</f>
        <v>Until whenever disciplined and no matter how sophisticated the rules and tools of the pillow will always be two different opinion and reactions in every match especially the final class of the World Cup that is why football</v>
      </c>
    </row>
    <row r="3906" ht="15.75" customHeight="1">
      <c r="A3906" s="1">
        <v>3940.0</v>
      </c>
      <c r="B3906" s="3" t="s">
        <v>11214</v>
      </c>
      <c r="C3906" s="3">
        <v>0.0</v>
      </c>
      <c r="D3906" s="3">
        <v>2.0</v>
      </c>
      <c r="E3906" s="3">
        <v>5.0</v>
      </c>
      <c r="F3906" s="3" t="s">
        <v>11012</v>
      </c>
      <c r="G3906" s="3">
        <v>1.0</v>
      </c>
      <c r="H3906" s="3">
        <v>0.0</v>
      </c>
      <c r="I3906" s="3" t="s">
        <v>13</v>
      </c>
      <c r="J3906" s="3" t="s">
        <v>11013</v>
      </c>
      <c r="K3906" s="3" t="s">
        <v>184</v>
      </c>
      <c r="L3906" s="3" t="str">
        <f>IFERROR(__xludf.DUMMYFUNCTION("GOOGLETRANSLATE(F3906,""id"",""en"")"),"Arsenal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907" ht="15.75" customHeight="1">
      <c r="A3907" s="1">
        <v>3941.0</v>
      </c>
      <c r="B3907" s="3" t="s">
        <v>11215</v>
      </c>
      <c r="C3907" s="3">
        <v>0.0</v>
      </c>
      <c r="D3907" s="3">
        <v>2.0</v>
      </c>
      <c r="E3907" s="3">
        <v>3.0</v>
      </c>
      <c r="F3907" s="3" t="s">
        <v>11216</v>
      </c>
      <c r="G3907" s="3">
        <v>1.0</v>
      </c>
      <c r="H3907" s="3">
        <v>0.0</v>
      </c>
      <c r="I3907" s="3" t="s">
        <v>13</v>
      </c>
      <c r="J3907" s="3" t="s">
        <v>11217</v>
      </c>
      <c r="K3907" s="3" t="s">
        <v>82</v>
      </c>
      <c r="L3907" s="3" t="str">
        <f>IFERROR(__xludf.DUMMYFUNCTION("GOOGLETRANSLATE(F3907,""id"",""en"")"),"World Cup Final Scored Google Search Record")</f>
        <v>World Cup Final Scored Google Search Record</v>
      </c>
    </row>
    <row r="3908" ht="15.75" customHeight="1">
      <c r="A3908" s="1">
        <v>3942.0</v>
      </c>
      <c r="B3908" s="3" t="s">
        <v>11218</v>
      </c>
      <c r="C3908" s="3">
        <v>0.0</v>
      </c>
      <c r="D3908" s="3">
        <v>0.0</v>
      </c>
      <c r="E3908" s="3">
        <v>0.0</v>
      </c>
      <c r="F3908" s="3" t="s">
        <v>11219</v>
      </c>
      <c r="G3908" s="3">
        <v>1.0</v>
      </c>
      <c r="H3908" s="3">
        <v>0.0</v>
      </c>
      <c r="I3908" s="3" t="s">
        <v>13</v>
      </c>
      <c r="J3908" s="3" t="s">
        <v>11220</v>
      </c>
      <c r="K3908" s="3" t="s">
        <v>437</v>
      </c>
      <c r="L3908" s="3" t="str">
        <f>IFERROR(__xludf.DUMMYFUNCTION("GOOGLETRANSLATE(F3908,""id"",""en"")"),"Kylian Mbappe really inspired the French French journey of the World Cup not only through field performance but also his attitude")</f>
        <v>Kylian Mbappe really inspired the French French journey of the World Cup not only through field performance but also his attitude</v>
      </c>
    </row>
    <row r="3909" ht="15.75" customHeight="1">
      <c r="A3909" s="1">
        <v>3943.0</v>
      </c>
      <c r="B3909" s="3" t="s">
        <v>11221</v>
      </c>
      <c r="C3909" s="3">
        <v>0.0</v>
      </c>
      <c r="D3909" s="3">
        <v>0.0</v>
      </c>
      <c r="E3909" s="3">
        <v>0.0</v>
      </c>
      <c r="F3909" s="3" t="s">
        <v>11222</v>
      </c>
      <c r="G3909" s="3">
        <v>1.0</v>
      </c>
      <c r="H3909" s="3">
        <v>0.0</v>
      </c>
      <c r="I3909" s="3" t="s">
        <v>13</v>
      </c>
      <c r="J3909" s="3" t="s">
        <v>11223</v>
      </c>
      <c r="K3909" s="3" t="s">
        <v>495</v>
      </c>
      <c r="L3909" s="3" t="str">
        <f>IFERROR(__xludf.DUMMYFUNCTION("GOOGLETRANSLATE(F3909,""id"",""en"")"),"French Football Federation FFF pursues the perpetrators who made several national team players the target of racism after losing to the World Cup Final Argentina")</f>
        <v>French Football Federation FFF pursues the perpetrators who made several national team players the target of racism after losing to the World Cup Final Argentina</v>
      </c>
    </row>
    <row r="3910" ht="15.75" customHeight="1">
      <c r="A3910" s="1">
        <v>3944.0</v>
      </c>
      <c r="B3910" s="3" t="s">
        <v>11224</v>
      </c>
      <c r="C3910" s="3">
        <v>0.0</v>
      </c>
      <c r="D3910" s="3">
        <v>1.0</v>
      </c>
      <c r="E3910" s="3">
        <v>37.0</v>
      </c>
      <c r="F3910" s="3" t="s">
        <v>11222</v>
      </c>
      <c r="G3910" s="3">
        <v>1.0</v>
      </c>
      <c r="H3910" s="3">
        <v>0.0</v>
      </c>
      <c r="I3910" s="3" t="s">
        <v>13</v>
      </c>
      <c r="J3910" s="3" t="s">
        <v>11223</v>
      </c>
      <c r="K3910" s="3" t="s">
        <v>495</v>
      </c>
      <c r="L3910" s="3" t="str">
        <f>IFERROR(__xludf.DUMMYFUNCTION("GOOGLETRANSLATE(F3910,""id"",""en"")"),"French Football Federation FFF pursues the perpetrators who made several national team players the target of racism after losing to the World Cup Final Argentina")</f>
        <v>French Football Federation FFF pursues the perpetrators who made several national team players the target of racism after losing to the World Cup Final Argentina</v>
      </c>
    </row>
    <row r="3911" ht="15.75" customHeight="1">
      <c r="A3911" s="1">
        <v>3945.0</v>
      </c>
      <c r="B3911" s="3" t="s">
        <v>11225</v>
      </c>
      <c r="C3911" s="3">
        <v>0.0</v>
      </c>
      <c r="D3911" s="3">
        <v>1.0</v>
      </c>
      <c r="E3911" s="3">
        <v>0.0</v>
      </c>
      <c r="F3911" s="3" t="s">
        <v>11226</v>
      </c>
      <c r="G3911" s="3">
        <v>1.0</v>
      </c>
      <c r="H3911" s="3">
        <v>0.45</v>
      </c>
      <c r="I3911" s="3" t="s">
        <v>48</v>
      </c>
      <c r="J3911" s="3" t="s">
        <v>11227</v>
      </c>
      <c r="K3911" s="3" t="s">
        <v>437</v>
      </c>
      <c r="L3911" s="3" t="str">
        <f>IFERROR(__xludf.DUMMYFUNCTION("GOOGLETRANSLATE(F3911,""id"",""en"")"),"Dutch Spanish Final Ideal Dmna Both Teams Never Champion World Cup and finally Falling Spain's Hands")</f>
        <v>Dutch Spanish Final Ideal Dmna Both Teams Never Champion World Cup and finally Falling Spain's Hands</v>
      </c>
    </row>
    <row r="3912" ht="15.75" customHeight="1">
      <c r="A3912" s="1">
        <v>3946.0</v>
      </c>
      <c r="B3912" s="3" t="s">
        <v>11228</v>
      </c>
      <c r="C3912" s="3">
        <v>2.0</v>
      </c>
      <c r="D3912" s="3">
        <v>3.0</v>
      </c>
      <c r="E3912" s="3">
        <v>17.0</v>
      </c>
      <c r="F3912" s="3" t="s">
        <v>11219</v>
      </c>
      <c r="G3912" s="3">
        <v>1.0</v>
      </c>
      <c r="H3912" s="3">
        <v>0.0</v>
      </c>
      <c r="I3912" s="3" t="s">
        <v>13</v>
      </c>
      <c r="J3912" s="3" t="s">
        <v>11220</v>
      </c>
      <c r="K3912" s="3" t="s">
        <v>437</v>
      </c>
      <c r="L3912" s="3" t="str">
        <f>IFERROR(__xludf.DUMMYFUNCTION("GOOGLETRANSLATE(F3912,""id"",""en"")"),"Kylian Mbappe really inspired the French French journey of the World Cup not only through field performance but also his attitude")</f>
        <v>Kylian Mbappe really inspired the French French journey of the World Cup not only through field performance but also his attitude</v>
      </c>
    </row>
    <row r="3913" ht="15.75" customHeight="1">
      <c r="A3913" s="1">
        <v>3947.0</v>
      </c>
      <c r="B3913" s="3" t="s">
        <v>11229</v>
      </c>
      <c r="C3913" s="3">
        <v>0.0</v>
      </c>
      <c r="D3913" s="3">
        <v>0.0</v>
      </c>
      <c r="E3913" s="3">
        <v>0.0</v>
      </c>
      <c r="F3913" s="3" t="s">
        <v>11230</v>
      </c>
      <c r="G3913" s="3">
        <v>1.0</v>
      </c>
      <c r="H3913" s="3">
        <v>0.0</v>
      </c>
      <c r="I3913" s="3" t="s">
        <v>13</v>
      </c>
      <c r="J3913" s="3" t="s">
        <v>11231</v>
      </c>
      <c r="K3913" s="3" t="s">
        <v>50</v>
      </c>
      <c r="L3913" s="3" t="str">
        <f>IFERROR(__xludf.DUMMYFUNCTION("GOOGLETRANSLATE(F3913,""id"",""en"")"),"French French goal scorer of the World Cup Final is Zinedine Zidane Emmanuel Petit")</f>
        <v>French French goal scorer of the World Cup Final is Zinedine Zidane Emmanuel Petit</v>
      </c>
    </row>
    <row r="3914" ht="15.75" customHeight="1">
      <c r="A3914" s="1">
        <v>3948.0</v>
      </c>
      <c r="B3914" s="3" t="s">
        <v>11232</v>
      </c>
      <c r="C3914" s="3">
        <v>0.0</v>
      </c>
      <c r="D3914" s="3">
        <v>0.0</v>
      </c>
      <c r="E3914" s="3">
        <v>2.0</v>
      </c>
      <c r="F3914" s="3" t="s">
        <v>11012</v>
      </c>
      <c r="G3914" s="3">
        <v>1.0</v>
      </c>
      <c r="H3914" s="3">
        <v>0.0</v>
      </c>
      <c r="I3914" s="3" t="s">
        <v>13</v>
      </c>
      <c r="J3914" s="3" t="s">
        <v>11013</v>
      </c>
      <c r="K3914" s="3" t="s">
        <v>184</v>
      </c>
      <c r="L3914" s="3" t="str">
        <f>IFERROR(__xludf.DUMMYFUNCTION("GOOGLETRANSLATE(F3914,""id"",""en"")"),"Arsenal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915" ht="15.75" customHeight="1">
      <c r="A3915" s="1">
        <v>3949.0</v>
      </c>
      <c r="B3915" s="3" t="s">
        <v>11233</v>
      </c>
      <c r="C3915" s="3">
        <v>0.0</v>
      </c>
      <c r="D3915" s="3">
        <v>0.0</v>
      </c>
      <c r="E3915" s="3">
        <v>1.0</v>
      </c>
      <c r="F3915" s="3" t="s">
        <v>11012</v>
      </c>
      <c r="G3915" s="3">
        <v>1.0</v>
      </c>
      <c r="H3915" s="3">
        <v>0.0</v>
      </c>
      <c r="I3915" s="3" t="s">
        <v>13</v>
      </c>
      <c r="J3915" s="3" t="s">
        <v>11013</v>
      </c>
      <c r="K3915" s="3" t="s">
        <v>184</v>
      </c>
      <c r="L3915" s="3" t="str">
        <f>IFERROR(__xludf.DUMMYFUNCTION("GOOGLETRANSLATE(F3915,""id"",""en"")"),"Arsenal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916" ht="15.75" customHeight="1">
      <c r="A3916" s="1">
        <v>3950.0</v>
      </c>
      <c r="B3916" s="3" t="s">
        <v>11234</v>
      </c>
      <c r="C3916" s="3">
        <v>0.0</v>
      </c>
      <c r="D3916" s="3">
        <v>0.0</v>
      </c>
      <c r="E3916" s="3">
        <v>1.0</v>
      </c>
      <c r="F3916" s="3" t="s">
        <v>11235</v>
      </c>
      <c r="G3916" s="3">
        <v>1.0</v>
      </c>
      <c r="H3916" s="3">
        <v>0.0</v>
      </c>
      <c r="I3916" s="3" t="s">
        <v>13</v>
      </c>
      <c r="J3916" s="3" t="s">
        <v>11236</v>
      </c>
      <c r="K3916" s="3" t="s">
        <v>127</v>
      </c>
      <c r="L3916" s="3" t="str">
        <f>IFERROR(__xludf.DUMMYFUNCTION("GOOGLETRANSLATE(F3916,""id"",""en"")"),"If based on the picture above, it starts from the best World Cup Final Pildun because each supporter is made like riding a rollercoaster")</f>
        <v>If based on the picture above, it starts from the best World Cup Final Pildun because each supporter is made like riding a rollercoaster</v>
      </c>
    </row>
    <row r="3917" ht="15.75" customHeight="1">
      <c r="A3917" s="1">
        <v>3951.0</v>
      </c>
      <c r="B3917" s="3" t="s">
        <v>11237</v>
      </c>
      <c r="C3917" s="3">
        <v>0.0</v>
      </c>
      <c r="D3917" s="3">
        <v>0.0</v>
      </c>
      <c r="E3917" s="3">
        <v>0.0</v>
      </c>
      <c r="F3917" s="3" t="s">
        <v>11238</v>
      </c>
      <c r="G3917" s="3">
        <v>1.0</v>
      </c>
      <c r="H3917" s="3">
        <v>0.0</v>
      </c>
      <c r="I3917" s="3" t="s">
        <v>13</v>
      </c>
      <c r="J3917" s="3" t="s">
        <v>11239</v>
      </c>
      <c r="K3917" s="3" t="s">
        <v>41</v>
      </c>
      <c r="L3917" s="3" t="str">
        <f>IFERROR(__xludf.DUMMYFUNCTION("GOOGLETRANSLATE(F3917,""id"",""en"")"),"Ahead of the final of the World Cup Zainudin and Erick met the President of FIFA")</f>
        <v>Ahead of the final of the World Cup Zainudin and Erick met the President of FIFA</v>
      </c>
    </row>
    <row r="3918" ht="15.75" customHeight="1">
      <c r="A3918" s="1">
        <v>3952.0</v>
      </c>
      <c r="B3918" s="3" t="s">
        <v>11240</v>
      </c>
      <c r="C3918" s="3">
        <v>0.0</v>
      </c>
      <c r="D3918" s="3">
        <v>0.0</v>
      </c>
      <c r="E3918" s="3">
        <v>1.0</v>
      </c>
      <c r="F3918" s="3" t="s">
        <v>11241</v>
      </c>
      <c r="G3918" s="3">
        <v>1.0</v>
      </c>
      <c r="H3918" s="3">
        <v>0.0</v>
      </c>
      <c r="I3918" s="3" t="s">
        <v>13</v>
      </c>
      <c r="J3918" s="3" t="s">
        <v>11242</v>
      </c>
      <c r="K3918" s="3" t="s">
        <v>244</v>
      </c>
      <c r="L3918" s="3" t="str">
        <f>IFERROR(__xludf.DUMMYFUNCTION("GOOGLETRANSLATE(F3918,""id"",""en"")"),"But his rescue when against Australia and especially when against France Final worth the World Cup Trophy")</f>
        <v>But his rescue when against Australia and especially when against France Final worth the World Cup Trophy</v>
      </c>
    </row>
    <row r="3919" ht="15.75" customHeight="1">
      <c r="A3919" s="1">
        <v>3953.0</v>
      </c>
      <c r="B3919" s="3" t="s">
        <v>11243</v>
      </c>
      <c r="C3919" s="3">
        <v>0.0</v>
      </c>
      <c r="D3919" s="3">
        <v>0.0</v>
      </c>
      <c r="E3919" s="3">
        <v>1.0</v>
      </c>
      <c r="F3919" s="3" t="s">
        <v>11244</v>
      </c>
      <c r="G3919" s="3">
        <v>0.7</v>
      </c>
      <c r="H3919" s="3">
        <v>0.1</v>
      </c>
      <c r="I3919" s="3" t="s">
        <v>48</v>
      </c>
      <c r="J3919" s="3" t="s">
        <v>11245</v>
      </c>
      <c r="K3919" s="3" t="s">
        <v>1970</v>
      </c>
      <c r="L3919" s="3" t="str">
        <f>IFERROR(__xludf.DUMMYFUNCTION("GOOGLETRANSLATE(F3919,""id"",""en"")"),"Chunli doubted hahaha to make Messi win everything because of the Barmain team with sincerity playing for Messi especially the final just now all eager to give a World Cup prize to Messi")</f>
        <v>Chunli doubted hahaha to make Messi win everything because of the Barmain team with sincerity playing for Messi especially the final just now all eager to give a World Cup prize to Messi</v>
      </c>
    </row>
    <row r="3920" ht="15.75" customHeight="1">
      <c r="A3920" s="1">
        <v>3954.0</v>
      </c>
      <c r="B3920" s="3" t="s">
        <v>11246</v>
      </c>
      <c r="C3920" s="3">
        <v>0.0</v>
      </c>
      <c r="D3920" s="3">
        <v>0.0</v>
      </c>
      <c r="E3920" s="3">
        <v>0.0</v>
      </c>
      <c r="F3920" s="3" t="s">
        <v>11247</v>
      </c>
      <c r="G3920" s="3">
        <v>1.0</v>
      </c>
      <c r="H3920" s="3">
        <v>0.0</v>
      </c>
      <c r="I3920" s="3" t="s">
        <v>13</v>
      </c>
      <c r="J3920" s="3" t="s">
        <v>11248</v>
      </c>
      <c r="K3920" s="3" t="s">
        <v>426</v>
      </c>
      <c r="L3920" s="3" t="str">
        <f>IFERROR(__xludf.DUMMYFUNCTION("GOOGLETRANSLATE(F3920,""id"",""en"")"),"Because the first time watching the World Cup so it was very memorable Argentina, a very happy champion, of course my two hero teams entered the German final champion because Germany did not qualify")</f>
        <v>Because the first time watching the World Cup so it was very memorable Argentina, a very happy champion, of course my two hero teams entered the German final champion because Germany did not qualify</v>
      </c>
    </row>
    <row r="3921" ht="15.75" customHeight="1">
      <c r="A3921" s="1">
        <v>3955.0</v>
      </c>
      <c r="B3921" s="3" t="s">
        <v>11249</v>
      </c>
      <c r="C3921" s="3">
        <v>0.0</v>
      </c>
      <c r="D3921" s="3">
        <v>0.0</v>
      </c>
      <c r="E3921" s="3">
        <v>0.0</v>
      </c>
      <c r="F3921" s="3" t="s">
        <v>11250</v>
      </c>
      <c r="G3921" s="3">
        <v>1.0</v>
      </c>
      <c r="H3921" s="3">
        <v>0.0</v>
      </c>
      <c r="I3921" s="3" t="s">
        <v>13</v>
      </c>
      <c r="J3921" s="3" t="s">
        <v>11251</v>
      </c>
      <c r="K3921" s="3" t="s">
        <v>240</v>
      </c>
      <c r="L3921" s="3" t="str">
        <f>IFERROR(__xludf.DUMMYFUNCTION("GOOGLETRANSLATE(F3921,""id"",""en"")"),"Viral Video of Kylian Mbappe Speech During the first half of the French French Argentina match of the World Cup")</f>
        <v>Viral Video of Kylian Mbappe Speech During the first half of the French French Argentina match of the World Cup</v>
      </c>
    </row>
    <row r="3922" ht="15.75" customHeight="1">
      <c r="A3922" s="1">
        <v>3956.0</v>
      </c>
      <c r="B3922" s="3" t="s">
        <v>11252</v>
      </c>
      <c r="C3922" s="3">
        <v>0.0</v>
      </c>
      <c r="D3922" s="3">
        <v>1.0</v>
      </c>
      <c r="E3922" s="3">
        <v>0.0</v>
      </c>
      <c r="F3922" s="3" t="s">
        <v>11253</v>
      </c>
      <c r="G3922" s="3">
        <v>1.0</v>
      </c>
      <c r="H3922" s="3">
        <v>0.0</v>
      </c>
      <c r="I3922" s="3" t="s">
        <v>13</v>
      </c>
      <c r="J3922" s="3" t="s">
        <v>11254</v>
      </c>
      <c r="K3922" s="3" t="s">
        <v>54</v>
      </c>
      <c r="L3922" s="3" t="str">
        <f>IFERROR(__xludf.DUMMYFUNCTION("GOOGLETRANSLATE(F3922,""id"",""en"")"),"Yuntho Re -Winning World Cup Final")</f>
        <v>Yuntho Re -Winning World Cup Final</v>
      </c>
    </row>
    <row r="3923" ht="15.75" customHeight="1">
      <c r="A3923" s="1">
        <v>3958.0</v>
      </c>
      <c r="B3923" s="3" t="s">
        <v>11255</v>
      </c>
      <c r="C3923" s="3">
        <v>0.0</v>
      </c>
      <c r="D3923" s="3">
        <v>0.0</v>
      </c>
      <c r="E3923" s="3">
        <v>0.0</v>
      </c>
      <c r="F3923" s="3" t="s">
        <v>11256</v>
      </c>
      <c r="G3923" s="3">
        <v>1.0</v>
      </c>
      <c r="H3923" s="3">
        <v>0.0</v>
      </c>
      <c r="I3923" s="3" t="s">
        <v>13</v>
      </c>
      <c r="J3923" s="3" t="s">
        <v>11257</v>
      </c>
      <c r="K3923" s="3" t="s">
        <v>215</v>
      </c>
      <c r="L3923" s="3" t="str">
        <f>IFERROR(__xludf.DUMMYFUNCTION("GOOGLETRANSLATE(F3923,""id"",""en"")"),"The historic that brought the Lion Atlas one step away their World Cup final became the African and the first Arabic team to reach the point so far the world stage Hamdallah see other update info click the Bio or website link or our website")</f>
        <v>The historic that brought the Lion Atlas one step away their World Cup final became the African and the first Arabic team to reach the point so far the world stage Hamdallah see other update info click the Bio or website link or our website</v>
      </c>
    </row>
    <row r="3924" ht="15.75" customHeight="1">
      <c r="A3924" s="1">
        <v>3959.0</v>
      </c>
      <c r="B3924" s="3" t="s">
        <v>11258</v>
      </c>
      <c r="C3924" s="3">
        <v>1.0</v>
      </c>
      <c r="D3924" s="3">
        <v>0.0</v>
      </c>
      <c r="E3924" s="3">
        <v>0.0</v>
      </c>
      <c r="F3924" s="3" t="s">
        <v>3925</v>
      </c>
      <c r="G3924" s="3">
        <v>1.0</v>
      </c>
      <c r="H3924" s="3">
        <v>0.0</v>
      </c>
      <c r="I3924" s="3" t="s">
        <v>13</v>
      </c>
      <c r="J3924" s="3" t="s">
        <v>3926</v>
      </c>
      <c r="K3924" s="3" t="s">
        <v>41</v>
      </c>
      <c r="L3924" s="3" t="str">
        <f>IFERROR(__xludf.DUMMYFUNCTION("GOOGLETRANSLATE(F3924,""id"",""en"")"),"We are witnesses one of the best finals in the history of the World Cup")</f>
        <v>We are witnesses one of the best finals in the history of the World Cup</v>
      </c>
    </row>
    <row r="3925" ht="15.75" customHeight="1">
      <c r="A3925" s="1">
        <v>3960.0</v>
      </c>
      <c r="B3925" s="3" t="s">
        <v>11259</v>
      </c>
      <c r="C3925" s="3">
        <v>0.0</v>
      </c>
      <c r="D3925" s="3">
        <v>0.0</v>
      </c>
      <c r="E3925" s="3">
        <v>0.0</v>
      </c>
      <c r="F3925" s="3" t="s">
        <v>10591</v>
      </c>
      <c r="G3925" s="3">
        <v>1.0</v>
      </c>
      <c r="H3925" s="3">
        <v>0.0</v>
      </c>
      <c r="I3925" s="3" t="s">
        <v>13</v>
      </c>
      <c r="J3925" s="3" t="s">
        <v>10592</v>
      </c>
      <c r="K3925" s="3" t="s">
        <v>90</v>
      </c>
      <c r="L3925" s="3" t="str">
        <f>IFERROR(__xludf.DUMMYFUNCTION("GOOGLETRANSLATE(F3925,""id"",""en"")"),"Reposted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926" ht="15.75" customHeight="1">
      <c r="A3926" s="1">
        <v>3961.0</v>
      </c>
      <c r="B3926" s="3" t="s">
        <v>11260</v>
      </c>
      <c r="C3926" s="3">
        <v>0.0</v>
      </c>
      <c r="D3926" s="3">
        <v>0.0</v>
      </c>
      <c r="E3926" s="3">
        <v>0.0</v>
      </c>
      <c r="F3926" s="3" t="s">
        <v>10591</v>
      </c>
      <c r="G3926" s="3">
        <v>1.0</v>
      </c>
      <c r="H3926" s="3">
        <v>0.0</v>
      </c>
      <c r="I3926" s="3" t="s">
        <v>13</v>
      </c>
      <c r="J3926" s="3" t="s">
        <v>10592</v>
      </c>
      <c r="K3926" s="3" t="s">
        <v>90</v>
      </c>
      <c r="L3926" s="3" t="str">
        <f>IFERROR(__xludf.DUMMYFUNCTION("GOOGLETRANSLATE(F3926,""id"",""en"")"),"Reposted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927" ht="15.75" customHeight="1">
      <c r="A3927" s="1">
        <v>3962.0</v>
      </c>
      <c r="B3927" s="3" t="s">
        <v>11261</v>
      </c>
      <c r="C3927" s="3">
        <v>0.0</v>
      </c>
      <c r="D3927" s="3">
        <v>0.0</v>
      </c>
      <c r="E3927" s="3">
        <v>0.0</v>
      </c>
      <c r="F3927" s="3" t="s">
        <v>11262</v>
      </c>
      <c r="G3927" s="3">
        <v>1.0</v>
      </c>
      <c r="H3927" s="3">
        <v>0.0</v>
      </c>
      <c r="I3927" s="3" t="s">
        <v>13</v>
      </c>
      <c r="J3927" s="3" t="s">
        <v>11263</v>
      </c>
      <c r="K3927" s="3" t="s">
        <v>41</v>
      </c>
      <c r="L3927" s="3" t="str">
        <f>IFERROR(__xludf.DUMMYFUNCTION("GOOGLETRANSLATE(F3927,""id"",""en"")"),"if you think about it, how to turn off analog after the World Cup final so that it loses rich")</f>
        <v>if you think about it, how to turn off analog after the World Cup final so that it loses rich</v>
      </c>
    </row>
    <row r="3928" ht="15.75" customHeight="1">
      <c r="A3928" s="1">
        <v>3963.0</v>
      </c>
      <c r="B3928" s="3" t="s">
        <v>11264</v>
      </c>
      <c r="C3928" s="3">
        <v>0.0</v>
      </c>
      <c r="D3928" s="3">
        <v>0.0</v>
      </c>
      <c r="E3928" s="3">
        <v>0.0</v>
      </c>
      <c r="F3928" s="3" t="s">
        <v>10591</v>
      </c>
      <c r="G3928" s="3">
        <v>1.0</v>
      </c>
      <c r="H3928" s="3">
        <v>0.0</v>
      </c>
      <c r="I3928" s="3" t="s">
        <v>13</v>
      </c>
      <c r="J3928" s="3" t="s">
        <v>10592</v>
      </c>
      <c r="K3928" s="3" t="s">
        <v>90</v>
      </c>
      <c r="L3928" s="3" t="str">
        <f>IFERROR(__xludf.DUMMYFUNCTION("GOOGLETRANSLATE(F3928,""id"",""en"")"),"Reposted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929" ht="15.75" customHeight="1">
      <c r="A3929" s="1">
        <v>3964.0</v>
      </c>
      <c r="B3929" s="3" t="s">
        <v>11265</v>
      </c>
      <c r="C3929" s="3">
        <v>0.0</v>
      </c>
      <c r="D3929" s="3">
        <v>1.0</v>
      </c>
      <c r="E3929" s="3">
        <v>0.0</v>
      </c>
      <c r="F3929" s="3" t="s">
        <v>11266</v>
      </c>
      <c r="G3929" s="3">
        <v>1.0</v>
      </c>
      <c r="H3929" s="3">
        <v>0.0</v>
      </c>
      <c r="I3929" s="3" t="s">
        <v>13</v>
      </c>
      <c r="J3929" s="3" t="s">
        <v>11267</v>
      </c>
      <c r="K3929" s="3" t="s">
        <v>15</v>
      </c>
      <c r="L3929" s="3" t="str">
        <f>IFERROR(__xludf.DUMMYFUNCTION("GOOGLETRANSLATE(F3929,""id"",""en"")"),"This is a video of Deschamps and Mbappe's anger during the World Cup final break")</f>
        <v>This is a video of Deschamps and Mbappe's anger during the World Cup final break</v>
      </c>
    </row>
    <row r="3930" ht="15.75" customHeight="1">
      <c r="A3930" s="1">
        <v>3965.0</v>
      </c>
      <c r="B3930" s="3" t="s">
        <v>11268</v>
      </c>
      <c r="C3930" s="3">
        <v>0.0</v>
      </c>
      <c r="D3930" s="3">
        <v>0.0</v>
      </c>
      <c r="E3930" s="3">
        <v>0.0</v>
      </c>
      <c r="F3930" s="3" t="s">
        <v>11269</v>
      </c>
      <c r="G3930" s="3">
        <v>1.0</v>
      </c>
      <c r="H3930" s="3">
        <v>0.0</v>
      </c>
      <c r="I3930" s="3" t="s">
        <v>13</v>
      </c>
      <c r="J3930" s="3" t="s">
        <v>11270</v>
      </c>
      <c r="K3930" s="3" t="s">
        <v>58</v>
      </c>
      <c r="L3930" s="3" t="str">
        <f>IFERROR(__xludf.DUMMYFUNCTION("GOOGLETRANSLATE(F3930,""id"",""en"")"),"Since watching the World Cup final like to see posts about mbappe fixed mabok mbappe")</f>
        <v>Since watching the World Cup final like to see posts about mbappe fixed mabok mbappe</v>
      </c>
    </row>
    <row r="3931" ht="15.75" customHeight="1">
      <c r="A3931" s="1">
        <v>3966.0</v>
      </c>
      <c r="B3931" s="3" t="s">
        <v>11271</v>
      </c>
      <c r="C3931" s="3">
        <v>0.0</v>
      </c>
      <c r="D3931" s="3">
        <v>0.0</v>
      </c>
      <c r="E3931" s="3">
        <v>6.0</v>
      </c>
      <c r="F3931" s="3" t="s">
        <v>11272</v>
      </c>
      <c r="G3931" s="3">
        <v>1.0</v>
      </c>
      <c r="H3931" s="3">
        <v>0.0</v>
      </c>
      <c r="I3931" s="3" t="s">
        <v>13</v>
      </c>
      <c r="J3931" s="3" t="s">
        <v>11273</v>
      </c>
      <c r="K3931" s="3" t="s">
        <v>82</v>
      </c>
      <c r="L3931" s="3" t="str">
        <f>IFERROR(__xludf.DUMMYFUNCTION("GOOGLETRANSLATE(F3931,""id"",""en"")"),"The best World Cup final falls to Argentina France")</f>
        <v>The best World Cup final falls to Argentina France</v>
      </c>
    </row>
    <row r="3932" ht="15.75" customHeight="1">
      <c r="A3932" s="1">
        <v>3967.0</v>
      </c>
      <c r="B3932" s="3" t="s">
        <v>11274</v>
      </c>
      <c r="C3932" s="3">
        <v>0.0</v>
      </c>
      <c r="D3932" s="3">
        <v>0.0</v>
      </c>
      <c r="E3932" s="3">
        <v>0.0</v>
      </c>
      <c r="F3932" s="3" t="s">
        <v>11275</v>
      </c>
      <c r="G3932" s="3">
        <v>1.0</v>
      </c>
      <c r="H3932" s="3">
        <v>0.0</v>
      </c>
      <c r="I3932" s="3" t="s">
        <v>13</v>
      </c>
      <c r="J3932" s="3" t="s">
        <v>11276</v>
      </c>
      <c r="K3932" s="3" t="s">
        <v>75</v>
      </c>
      <c r="L3932" s="3" t="str">
        <f>IFERROR(__xludf.DUMMYFUNCTION("GOOGLETRANSLATE(F3932,""id"",""en"")"),"Not a holiday mbappe immediately practiced with PSG after the World Cup final")</f>
        <v>Not a holiday mbappe immediately practiced with PSG after the World Cup final</v>
      </c>
    </row>
    <row r="3933" ht="15.75" customHeight="1">
      <c r="A3933" s="1">
        <v>3968.0</v>
      </c>
      <c r="B3933" s="3" t="s">
        <v>11277</v>
      </c>
      <c r="C3933" s="3">
        <v>0.0</v>
      </c>
      <c r="D3933" s="3">
        <v>0.0</v>
      </c>
      <c r="E3933" s="3">
        <v>0.0</v>
      </c>
      <c r="F3933" s="3" t="s">
        <v>11278</v>
      </c>
      <c r="G3933" s="3">
        <v>1.0</v>
      </c>
      <c r="H3933" s="3">
        <v>0.0</v>
      </c>
      <c r="I3933" s="3" t="s">
        <v>13</v>
      </c>
      <c r="J3933" s="3" t="s">
        <v>11279</v>
      </c>
      <c r="K3933" s="3" t="s">
        <v>286</v>
      </c>
      <c r="L3933" s="3" t="str">
        <f>IFERROR(__xludf.DUMMYFUNCTION("GOOGLETRANSLATE(F3933,""id"",""en"")"),"French French goal scorer of the World Cup is Zinedine Zidane Goal Emmanuel Petit Goal watching the most solid ball using its network smoothly makes watching so exciting")</f>
        <v>French French goal scorer of the World Cup is Zinedine Zidane Goal Emmanuel Petit Goal watching the most solid ball using its network smoothly makes watching so exciting</v>
      </c>
    </row>
    <row r="3934" ht="15.75" customHeight="1">
      <c r="A3934" s="1">
        <v>3969.0</v>
      </c>
      <c r="B3934" s="3" t="s">
        <v>11280</v>
      </c>
      <c r="C3934" s="3">
        <v>0.0</v>
      </c>
      <c r="D3934" s="3">
        <v>0.0</v>
      </c>
      <c r="E3934" s="3">
        <v>12.0</v>
      </c>
      <c r="F3934" s="3" t="s">
        <v>11281</v>
      </c>
      <c r="G3934" s="3">
        <v>1.0</v>
      </c>
      <c r="H3934" s="3">
        <v>0.0</v>
      </c>
      <c r="I3934" s="3" t="s">
        <v>13</v>
      </c>
      <c r="J3934" s="3" t="s">
        <v>11282</v>
      </c>
      <c r="K3934" s="3" t="s">
        <v>1428</v>
      </c>
      <c r="L3934" s="3" t="str">
        <f>IFERROR(__xludf.DUMMYFUNCTION("GOOGLETRANSLATE(F3934,""id"",""en"")"),"The World Cup initially thought it was less exciting because there was Italy, it turned out that there were many surprises and exciting until the end could see Messi World Champion with Argentina even though he lost the first final match")</f>
        <v>The World Cup initially thought it was less exciting because there was Italy, it turned out that there were many surprises and exciting until the end could see Messi World Champion with Argentina even though he lost the first final match</v>
      </c>
    </row>
    <row r="3935" ht="15.75" customHeight="1">
      <c r="A3935" s="1">
        <v>3970.0</v>
      </c>
      <c r="B3935" s="3" t="s">
        <v>11283</v>
      </c>
      <c r="C3935" s="3">
        <v>0.0</v>
      </c>
      <c r="D3935" s="3">
        <v>0.0</v>
      </c>
      <c r="E3935" s="3">
        <v>0.0</v>
      </c>
      <c r="F3935" s="3" t="s">
        <v>11284</v>
      </c>
      <c r="G3935" s="3">
        <v>1.0</v>
      </c>
      <c r="H3935" s="3">
        <v>0.0</v>
      </c>
      <c r="I3935" s="3" t="s">
        <v>13</v>
      </c>
      <c r="J3935" s="3" t="s">
        <v>11285</v>
      </c>
      <c r="K3935" s="3" t="s">
        <v>71</v>
      </c>
      <c r="L3935" s="3" t="str">
        <f>IFERROR(__xludf.DUMMYFUNCTION("GOOGLETRANSLATE(F3935,""id"",""en"")"),"Mbappe returned to join PSG training after the final of the CNN Indonesia World Cup Final Google News Sports News")</f>
        <v>Mbappe returned to join PSG training after the final of the CNN Indonesia World Cup Final Google News Sports News</v>
      </c>
    </row>
    <row r="3936" ht="15.75" customHeight="1">
      <c r="A3936" s="1">
        <v>3971.0</v>
      </c>
      <c r="B3936" s="3" t="s">
        <v>11286</v>
      </c>
      <c r="C3936" s="3">
        <v>89.0</v>
      </c>
      <c r="D3936" s="3">
        <v>9.0</v>
      </c>
      <c r="E3936" s="3">
        <v>440.0</v>
      </c>
      <c r="F3936" s="3" t="s">
        <v>11287</v>
      </c>
      <c r="G3936" s="3">
        <v>1.0</v>
      </c>
      <c r="H3936" s="3">
        <v>0.0</v>
      </c>
      <c r="I3936" s="3" t="s">
        <v>13</v>
      </c>
      <c r="J3936" s="3" t="s">
        <v>11288</v>
      </c>
      <c r="K3936" s="3" t="s">
        <v>31</v>
      </c>
      <c r="L3936" s="3" t="str">
        <f>IFERROR(__xludf.DUMMYFUNCTION("GOOGLETRANSLATE(F3936,""id"",""en"")"),"The Best World Cup Final Falls to")</f>
        <v>The Best World Cup Final Falls to</v>
      </c>
    </row>
    <row r="3937" ht="15.75" customHeight="1">
      <c r="A3937" s="1">
        <v>3972.0</v>
      </c>
      <c r="B3937" s="3" t="s">
        <v>11289</v>
      </c>
      <c r="C3937" s="3">
        <v>0.0</v>
      </c>
      <c r="D3937" s="3">
        <v>0.0</v>
      </c>
      <c r="E3937" s="3">
        <v>0.0</v>
      </c>
      <c r="F3937" s="3" t="s">
        <v>11284</v>
      </c>
      <c r="G3937" s="3">
        <v>1.0</v>
      </c>
      <c r="H3937" s="3">
        <v>0.0</v>
      </c>
      <c r="I3937" s="3" t="s">
        <v>13</v>
      </c>
      <c r="J3937" s="3" t="s">
        <v>11285</v>
      </c>
      <c r="K3937" s="3" t="s">
        <v>71</v>
      </c>
      <c r="L3937" s="3" t="str">
        <f>IFERROR(__xludf.DUMMYFUNCTION("GOOGLETRANSLATE(F3937,""id"",""en"")"),"Mbappe returned to join PSG training after the final of the CNN Indonesia World Cup Final Google News Sports News")</f>
        <v>Mbappe returned to join PSG training after the final of the CNN Indonesia World Cup Final Google News Sports News</v>
      </c>
    </row>
    <row r="3938" ht="15.75" customHeight="1">
      <c r="A3938" s="1">
        <v>3973.0</v>
      </c>
      <c r="B3938" s="3" t="s">
        <v>11290</v>
      </c>
      <c r="C3938" s="3">
        <v>0.0</v>
      </c>
      <c r="D3938" s="3">
        <v>1.0</v>
      </c>
      <c r="E3938" s="3">
        <v>4.0</v>
      </c>
      <c r="F3938" s="3" t="s">
        <v>11291</v>
      </c>
      <c r="G3938" s="3">
        <v>1.0</v>
      </c>
      <c r="H3938" s="3">
        <v>0.0</v>
      </c>
      <c r="I3938" s="3" t="s">
        <v>13</v>
      </c>
      <c r="J3938" s="3" t="s">
        <v>11292</v>
      </c>
      <c r="K3938" s="3" t="s">
        <v>50</v>
      </c>
      <c r="L3938" s="3" t="str">
        <f>IFERROR(__xludf.DUMMYFUNCTION("GOOGLETRANSLATE(F3938,""id"",""en"")"),"The day after losing the final of the World Cup Kylian Mbappe has practiced with PSG")</f>
        <v>The day after losing the final of the World Cup Kylian Mbappe has practiced with PSG</v>
      </c>
    </row>
    <row r="3939" ht="15.75" customHeight="1">
      <c r="A3939" s="1">
        <v>3974.0</v>
      </c>
      <c r="B3939" s="3" t="s">
        <v>11293</v>
      </c>
      <c r="C3939" s="3">
        <v>0.0</v>
      </c>
      <c r="D3939" s="3">
        <v>0.0</v>
      </c>
      <c r="E3939" s="3">
        <v>0.0</v>
      </c>
      <c r="F3939" s="3" t="s">
        <v>11294</v>
      </c>
      <c r="G3939" s="3">
        <v>0.55</v>
      </c>
      <c r="H3939" s="3">
        <v>-0.05</v>
      </c>
      <c r="I3939" s="3" t="s">
        <v>179</v>
      </c>
      <c r="J3939" s="3" t="s">
        <v>11295</v>
      </c>
      <c r="K3939" s="3" t="s">
        <v>215</v>
      </c>
      <c r="L3939" s="3" t="str">
        <f>IFERROR(__xludf.DUMMYFUNCTION("GOOGLETRANSLATE(F3939,""id"",""en"")"),"Indihome what's wrong with you disturbance I have experienced at home since after the final of the World Cup today, call call center but busy when I was told to wait or talk to the pressure machine.")</f>
        <v>Indihome what's wrong with you disturbance I have experienced at home since after the final of the World Cup today, call call center but busy when I was told to wait or talk to the pressure machine.</v>
      </c>
    </row>
    <row r="3940" ht="15.75" customHeight="1">
      <c r="A3940" s="1">
        <v>3975.0</v>
      </c>
      <c r="B3940" s="3" t="s">
        <v>11296</v>
      </c>
      <c r="C3940" s="3">
        <v>0.0</v>
      </c>
      <c r="D3940" s="3">
        <v>0.0</v>
      </c>
      <c r="E3940" s="3">
        <v>0.0</v>
      </c>
      <c r="F3940" s="3" t="s">
        <v>11297</v>
      </c>
      <c r="G3940" s="3">
        <v>1.0</v>
      </c>
      <c r="H3940" s="3">
        <v>0.0</v>
      </c>
      <c r="I3940" s="3" t="s">
        <v>13</v>
      </c>
      <c r="J3940" s="3" t="s">
        <v>11298</v>
      </c>
      <c r="K3940" s="3" t="s">
        <v>27</v>
      </c>
      <c r="L3940" s="3" t="str">
        <f>IFERROR(__xludf.DUMMYFUNCTION("GOOGLETRANSLATE(F3940,""id"",""en"")"),"PSG Jersey Lionel Messi reportedly viral social media after the world's best player costume was made as a mat of Paris.")</f>
        <v>PSG Jersey Lionel Messi reportedly viral social media after the world's best player costume was made as a mat of Paris.</v>
      </c>
    </row>
    <row r="3941" ht="15.75" customHeight="1">
      <c r="A3941" s="1">
        <v>3976.0</v>
      </c>
      <c r="B3941" s="3" t="s">
        <v>11299</v>
      </c>
      <c r="C3941" s="3">
        <v>0.0</v>
      </c>
      <c r="D3941" s="3">
        <v>0.0</v>
      </c>
      <c r="E3941" s="3">
        <v>2.0</v>
      </c>
      <c r="F3941" s="3" t="s">
        <v>10823</v>
      </c>
      <c r="G3941" s="3">
        <v>1.0</v>
      </c>
      <c r="H3941" s="3">
        <v>0.0</v>
      </c>
      <c r="I3941" s="3" t="s">
        <v>13</v>
      </c>
      <c r="J3941" s="3" t="s">
        <v>10824</v>
      </c>
      <c r="K3941" s="3" t="s">
        <v>433</v>
      </c>
      <c r="L3941" s="3" t="str">
        <f>IFERROR(__xludf.DUMMYFUNCTION("GOOGLETRANSLATE(F3941,""id"",""en"")"),"The World Cup Final between Argentina and France Qatar really caught the attention of the fantasy of all corners of the earth")</f>
        <v>The World Cup Final between Argentina and France Qatar really caught the attention of the fantasy of all corners of the earth</v>
      </c>
    </row>
    <row r="3942" ht="15.75" customHeight="1">
      <c r="A3942" s="1">
        <v>3977.0</v>
      </c>
      <c r="B3942" s="3" t="s">
        <v>11300</v>
      </c>
      <c r="C3942" s="3">
        <v>0.0</v>
      </c>
      <c r="D3942" s="3">
        <v>0.0</v>
      </c>
      <c r="E3942" s="3">
        <v>2.0</v>
      </c>
      <c r="F3942" s="3" t="s">
        <v>11301</v>
      </c>
      <c r="G3942" s="3">
        <v>1.0</v>
      </c>
      <c r="H3942" s="3">
        <v>0.0</v>
      </c>
      <c r="I3942" s="3" t="s">
        <v>13</v>
      </c>
      <c r="J3942" s="3" t="s">
        <v>11302</v>
      </c>
      <c r="K3942" s="3" t="s">
        <v>614</v>
      </c>
      <c r="L3942" s="3" t="str">
        <f>IFERROR(__xludf.DUMMYFUNCTION("GOOGLETRANSLATE(F3942,""id"",""en"")"),"Who watched the final energy from the two countries very extraordinary congratulations to Argentina has won the FIFA World Cup following a brief collection with a blue nuance like Argentina jersey")</f>
        <v>Who watched the final energy from the two countries very extraordinary congratulations to Argentina has won the FIFA World Cup following a brief collection with a blue nuance like Argentina jersey</v>
      </c>
    </row>
    <row r="3943" ht="15.75" customHeight="1">
      <c r="A3943" s="1">
        <v>3978.0</v>
      </c>
      <c r="B3943" s="3" t="s">
        <v>11303</v>
      </c>
      <c r="C3943" s="3">
        <v>0.0</v>
      </c>
      <c r="D3943" s="3">
        <v>0.0</v>
      </c>
      <c r="E3943" s="3">
        <v>0.0</v>
      </c>
      <c r="F3943" s="3" t="s">
        <v>11304</v>
      </c>
      <c r="G3943" s="3">
        <v>1.0</v>
      </c>
      <c r="H3943" s="3">
        <v>0.0</v>
      </c>
      <c r="I3943" s="3" t="s">
        <v>13</v>
      </c>
      <c r="J3943" s="3" t="s">
        <v>11305</v>
      </c>
      <c r="K3943" s="3" t="s">
        <v>657</v>
      </c>
      <c r="L3943" s="3" t="str">
        <f>IFERROR(__xludf.DUMMYFUNCTION("GOOGLETRANSLATE(F3943,""id"",""en"")"),"Lionel's wife Messi Antonela Roccuzzo could not hold back his excitement after Argentina defeated France in the World Cup final on Sunday")</f>
        <v>Lionel's wife Messi Antonela Roccuzzo could not hold back his excitement after Argentina defeated France in the World Cup final on Sunday</v>
      </c>
    </row>
    <row r="3944" ht="15.75" customHeight="1">
      <c r="A3944" s="1">
        <v>3979.0</v>
      </c>
      <c r="B3944" s="3" t="s">
        <v>11306</v>
      </c>
      <c r="C3944" s="3">
        <v>1.0</v>
      </c>
      <c r="D3944" s="3">
        <v>0.0</v>
      </c>
      <c r="E3944" s="3">
        <v>0.0</v>
      </c>
      <c r="F3944" s="3" t="s">
        <v>11307</v>
      </c>
      <c r="G3944" s="3">
        <v>1.0</v>
      </c>
      <c r="H3944" s="3">
        <v>0.0</v>
      </c>
      <c r="I3944" s="3" t="s">
        <v>13</v>
      </c>
      <c r="J3944" s="3" t="s">
        <v>11308</v>
      </c>
      <c r="K3944" s="3" t="s">
        <v>903</v>
      </c>
      <c r="L3944" s="3" t="str">
        <f>IFERROR(__xludf.DUMMYFUNCTION("GOOGLETRANSLATE(F3944,""id"",""en"")"),"And this final brings together two best stars from the two countries namely Zinedine Zidane from France and Ronaldo Nazario from Brazil the final score for France while ensuring the first world cup of the country's own trophy")</f>
        <v>And this final brings together two best stars from the two countries namely Zinedine Zidane from France and Ronaldo Nazario from Brazil the final score for France while ensuring the first world cup of the country's own trophy</v>
      </c>
    </row>
    <row r="3945" ht="15.75" customHeight="1">
      <c r="A3945" s="1">
        <v>3980.0</v>
      </c>
      <c r="B3945" s="3" t="s">
        <v>11309</v>
      </c>
      <c r="C3945" s="3">
        <v>1.0</v>
      </c>
      <c r="D3945" s="3">
        <v>0.0</v>
      </c>
      <c r="E3945" s="3">
        <v>0.0</v>
      </c>
      <c r="F3945" s="3" t="s">
        <v>11310</v>
      </c>
      <c r="G3945" s="3">
        <v>1.0</v>
      </c>
      <c r="H3945" s="3">
        <v>0.0</v>
      </c>
      <c r="I3945" s="3" t="s">
        <v>13</v>
      </c>
      <c r="J3945" s="3" t="s">
        <v>11311</v>
      </c>
      <c r="K3945" s="3" t="s">
        <v>9802</v>
      </c>
      <c r="L3945" s="3" t="str">
        <f>IFERROR(__xludf.DUMMYFUNCTION("GOOGLETRANSLATE(F3945,""id"",""en"")"),"World Cup Final Stade France Saint Denis France July French final score of Brazilian Zinedine Zidane Emanuel Emanuel Petit Marcel Desailly World Cup Final is the final that brings France and Brazil")</f>
        <v>World Cup Final Stade France Saint Denis France July French final score of Brazilian Zinedine Zidane Emanuel Emanuel Petit Marcel Desailly World Cup Final is the final that brings France and Brazil</v>
      </c>
    </row>
    <row r="3946" ht="15.75" customHeight="1">
      <c r="A3946" s="1">
        <v>3981.0</v>
      </c>
      <c r="B3946" s="3" t="s">
        <v>11312</v>
      </c>
      <c r="C3946" s="3">
        <v>9.0</v>
      </c>
      <c r="D3946" s="3">
        <v>18.0</v>
      </c>
      <c r="E3946" s="3">
        <v>219.0</v>
      </c>
      <c r="F3946" s="3" t="s">
        <v>11313</v>
      </c>
      <c r="G3946" s="3">
        <v>1.0</v>
      </c>
      <c r="H3946" s="3">
        <v>0.0</v>
      </c>
      <c r="I3946" s="3" t="s">
        <v>13</v>
      </c>
      <c r="J3946" s="3" t="s">
        <v>11314</v>
      </c>
      <c r="K3946" s="3" t="s">
        <v>2610</v>
      </c>
      <c r="L3946" s="3" t="str">
        <f>IFERROR(__xludf.DUMMYFUNCTION("GOOGLETRANSLATE(F3946,""id"",""en"")"),"Liverpool won the Club World Cup in the year after beating Flamengo Final through Roberto Firmino's goal, Our Club their Peak Hopeful Will comeback Soon")</f>
        <v>Liverpool won the Club World Cup in the year after beating Flamengo Final through Roberto Firmino's goal, Our Club their Peak Hopeful Will comeback Soon</v>
      </c>
    </row>
    <row r="3947" ht="15.75" customHeight="1">
      <c r="A3947" s="1">
        <v>3982.0</v>
      </c>
      <c r="B3947" s="3" t="s">
        <v>11315</v>
      </c>
      <c r="C3947" s="3">
        <v>0.0</v>
      </c>
      <c r="D3947" s="3">
        <v>1.0</v>
      </c>
      <c r="E3947" s="3">
        <v>12.0</v>
      </c>
      <c r="F3947" s="3" t="s">
        <v>11062</v>
      </c>
      <c r="G3947" s="3">
        <v>1.0</v>
      </c>
      <c r="H3947" s="3">
        <v>0.0</v>
      </c>
      <c r="I3947" s="3" t="s">
        <v>13</v>
      </c>
      <c r="J3947" s="3" t="s">
        <v>11063</v>
      </c>
      <c r="K3947" s="3" t="s">
        <v>82</v>
      </c>
      <c r="L3947" s="3" t="str">
        <f>IFERROR(__xludf.DUMMYFUNCTION("GOOGLETRANSLATE(F3947,""id"",""en"")"),"World Cup Final Breaks Google Search Record")</f>
        <v>World Cup Final Breaks Google Search Record</v>
      </c>
    </row>
    <row r="3948" ht="15.75" customHeight="1">
      <c r="A3948" s="1">
        <v>3983.0</v>
      </c>
      <c r="B3948" s="3" t="s">
        <v>11316</v>
      </c>
      <c r="C3948" s="3">
        <v>0.0</v>
      </c>
      <c r="D3948" s="3">
        <v>0.0</v>
      </c>
      <c r="E3948" s="3">
        <v>1.0</v>
      </c>
      <c r="F3948" s="3" t="s">
        <v>11317</v>
      </c>
      <c r="G3948" s="3">
        <v>1.0</v>
      </c>
      <c r="H3948" s="3">
        <v>0.0</v>
      </c>
      <c r="I3948" s="3" t="s">
        <v>13</v>
      </c>
      <c r="J3948" s="3" t="s">
        <v>11318</v>
      </c>
      <c r="K3948" s="3" t="s">
        <v>1925</v>
      </c>
      <c r="L3948" s="3" t="str">
        <f>IFERROR(__xludf.DUMMYFUNCTION("GOOGLETRANSLATE(F3948,""id"",""en"")"),"Besides Messi and Maradona, this figure is probably the most important figure for Argentina to make the final goal of the Beijing Olympics made the final goal of the Copa America made the final goal of the Angel Maria World Cup")</f>
        <v>Besides Messi and Maradona, this figure is probably the most important figure for Argentina to make the final goal of the Beijing Olympics made the final goal of the Copa America made the final goal of the Angel Maria World Cup</v>
      </c>
    </row>
    <row r="3949" ht="15.75" customHeight="1">
      <c r="A3949" s="1">
        <v>3984.0</v>
      </c>
      <c r="B3949" s="3" t="s">
        <v>11319</v>
      </c>
      <c r="C3949" s="3">
        <v>0.0</v>
      </c>
      <c r="D3949" s="3">
        <v>1.0</v>
      </c>
      <c r="E3949" s="3">
        <v>3.0</v>
      </c>
      <c r="F3949" s="3" t="s">
        <v>11320</v>
      </c>
      <c r="G3949" s="3">
        <v>1.0</v>
      </c>
      <c r="H3949" s="3">
        <v>0.0</v>
      </c>
      <c r="I3949" s="3" t="s">
        <v>13</v>
      </c>
      <c r="J3949" s="3" t="s">
        <v>11321</v>
      </c>
      <c r="K3949" s="3" t="s">
        <v>127</v>
      </c>
      <c r="L3949" s="3" t="str">
        <f>IFERROR(__xludf.DUMMYFUNCTION("GOOGLETRANSLATE(F3949,""id"",""en"")"),"Kylian Mbappe has returned to training with Paris PSG Wednesday or only three days after his team lost in the World Cup final even though he scored a hat trick")</f>
        <v>Kylian Mbappe has returned to training with Paris PSG Wednesday or only three days after his team lost in the World Cup final even though he scored a hat trick</v>
      </c>
    </row>
    <row r="3950" ht="15.75" customHeight="1">
      <c r="A3950" s="1">
        <v>3985.0</v>
      </c>
      <c r="B3950" s="3" t="s">
        <v>11322</v>
      </c>
      <c r="C3950" s="3">
        <v>1.0</v>
      </c>
      <c r="D3950" s="3">
        <v>0.0</v>
      </c>
      <c r="E3950" s="3">
        <v>1.0</v>
      </c>
      <c r="F3950" s="3" t="s">
        <v>11323</v>
      </c>
      <c r="G3950" s="3">
        <v>1.0</v>
      </c>
      <c r="H3950" s="3">
        <v>0.0</v>
      </c>
      <c r="I3950" s="3" t="s">
        <v>13</v>
      </c>
      <c r="J3950" s="3" t="s">
        <v>11324</v>
      </c>
      <c r="K3950" s="3" t="s">
        <v>1656</v>
      </c>
      <c r="L3950" s="3" t="str">
        <f>IFERROR(__xludf.DUMMYFUNCTION("GOOGLETRANSLATE(F3950,""id"",""en"")"),"Member of Bawaslu Lolly Suhenty Watching Together with the World Cup Final on Monday Bawaslu members Lolly invites citizens to always uphold the spirit of sportsmanship in every joint of life including the world of electoral")</f>
        <v>Member of Bawaslu Lolly Suhenty Watching Together with the World Cup Final on Monday Bawaslu members Lolly invites citizens to always uphold the spirit of sportsmanship in every joint of life including the world of electoral</v>
      </c>
    </row>
    <row r="3951" ht="15.75" customHeight="1">
      <c r="A3951" s="1">
        <v>3986.0</v>
      </c>
      <c r="B3951" s="3" t="s">
        <v>11325</v>
      </c>
      <c r="C3951" s="3">
        <v>0.0</v>
      </c>
      <c r="D3951" s="3">
        <v>2.0</v>
      </c>
      <c r="E3951" s="3">
        <v>1.0</v>
      </c>
      <c r="F3951" s="3" t="s">
        <v>11326</v>
      </c>
      <c r="G3951" s="3">
        <v>1.0</v>
      </c>
      <c r="H3951" s="3">
        <v>0.0</v>
      </c>
      <c r="I3951" s="3" t="s">
        <v>13</v>
      </c>
      <c r="J3951" s="3" t="s">
        <v>11327</v>
      </c>
      <c r="K3951" s="3" t="s">
        <v>188</v>
      </c>
      <c r="L3951" s="3" t="str">
        <f>IFERROR(__xludf.DUMMYFUNCTION("GOOGLETRANSLATE(F3951,""id"",""en"")"),"Many social media tactics analysis when the World Cup educated Fans How Watch Soccer Title Book Ruud Gullit but during the final yesterday I found pleasure like childhood before watching without intention")</f>
        <v>Many social media tactics analysis when the World Cup educated Fans How Watch Soccer Title Book Ruud Gullit but during the final yesterday I found pleasure like childhood before watching without intention</v>
      </c>
    </row>
    <row r="3952" ht="15.75" customHeight="1">
      <c r="A3952" s="1">
        <v>3987.0</v>
      </c>
      <c r="B3952" s="3" t="s">
        <v>11328</v>
      </c>
      <c r="C3952" s="3">
        <v>2.0</v>
      </c>
      <c r="D3952" s="3">
        <v>0.0</v>
      </c>
      <c r="E3952" s="3">
        <v>0.0</v>
      </c>
      <c r="F3952" s="3" t="s">
        <v>11329</v>
      </c>
      <c r="G3952" s="3">
        <v>1.0</v>
      </c>
      <c r="H3952" s="3">
        <v>0.0</v>
      </c>
      <c r="I3952" s="3" t="s">
        <v>13</v>
      </c>
      <c r="J3952" s="3" t="s">
        <v>11330</v>
      </c>
      <c r="K3952" s="3" t="s">
        <v>54</v>
      </c>
      <c r="L3952" s="3" t="str">
        <f>IFERROR(__xludf.DUMMYFUNCTION("GOOGLETRANSLATE(F3952,""id"",""en"")"),"there is losing and winning the world cup final")</f>
        <v>there is losing and winning the world cup final</v>
      </c>
    </row>
    <row r="3953" ht="15.75" customHeight="1">
      <c r="A3953" s="1">
        <v>3988.0</v>
      </c>
      <c r="B3953" s="3" t="s">
        <v>11331</v>
      </c>
      <c r="C3953" s="3">
        <v>0.0</v>
      </c>
      <c r="D3953" s="3">
        <v>0.0</v>
      </c>
      <c r="E3953" s="3">
        <v>0.0</v>
      </c>
      <c r="F3953" s="3" t="s">
        <v>11332</v>
      </c>
      <c r="G3953" s="3">
        <v>1.0</v>
      </c>
      <c r="H3953" s="3">
        <v>0.0</v>
      </c>
      <c r="I3953" s="3" t="s">
        <v>13</v>
      </c>
      <c r="J3953" s="3" t="s">
        <v>11333</v>
      </c>
      <c r="K3953" s="3" t="s">
        <v>477</v>
      </c>
      <c r="L3953" s="3" t="str">
        <f>IFERROR(__xludf.DUMMYFUNCTION("GOOGLETRANSLATE(F3953,""id"",""en"")"),"The World Cup Final Not Watching United Burnley Watching Dogs")</f>
        <v>The World Cup Final Not Watching United Burnley Watching Dogs</v>
      </c>
    </row>
    <row r="3954" ht="15.75" customHeight="1">
      <c r="A3954" s="1">
        <v>3989.0</v>
      </c>
      <c r="B3954" s="3" t="s">
        <v>11334</v>
      </c>
      <c r="C3954" s="3">
        <v>0.0</v>
      </c>
      <c r="D3954" s="3">
        <v>0.0</v>
      </c>
      <c r="E3954" s="3">
        <v>0.0</v>
      </c>
      <c r="F3954" s="3" t="s">
        <v>11335</v>
      </c>
      <c r="G3954" s="3">
        <v>1.0</v>
      </c>
      <c r="H3954" s="3">
        <v>0.0</v>
      </c>
      <c r="I3954" s="3" t="s">
        <v>13</v>
      </c>
      <c r="J3954" s="3" t="s">
        <v>11336</v>
      </c>
      <c r="K3954" s="3" t="s">
        <v>510</v>
      </c>
      <c r="L3954" s="3" t="str">
        <f>IFERROR(__xludf.DUMMYFUNCTION("GOOGLETRANSLATE(F3954,""id"",""en"")"),"Monday, following the world cup, I don't want to give a link gmeet gasz, yak")</f>
        <v>Monday, following the world cup, I don't want to give a link gmeet gasz, yak</v>
      </c>
    </row>
    <row r="3955" ht="15.75" customHeight="1">
      <c r="A3955" s="1">
        <v>3990.0</v>
      </c>
      <c r="B3955" s="3" t="s">
        <v>11337</v>
      </c>
      <c r="C3955" s="3">
        <v>181.0</v>
      </c>
      <c r="D3955" s="3">
        <v>114.0</v>
      </c>
      <c r="E3955" s="3">
        <v>1733.0</v>
      </c>
      <c r="F3955" s="3" t="s">
        <v>11338</v>
      </c>
      <c r="G3955" s="3">
        <v>1.0</v>
      </c>
      <c r="H3955" s="3">
        <v>0.0</v>
      </c>
      <c r="I3955" s="3" t="s">
        <v>13</v>
      </c>
      <c r="J3955" s="3" t="s">
        <v>11339</v>
      </c>
      <c r="K3955" s="3" t="s">
        <v>184</v>
      </c>
      <c r="L3955" s="3" t="str">
        <f>IFERROR(__xludf.DUMMYFUNCTION("GOOGLETRANSLATE(F3955,""id"",""en"")"),"Only the day after the Kylian Mbappe World Cup final has led to its trunk PSG training complex even though it was given a day off to recover")</f>
        <v>Only the day after the Kylian Mbappe World Cup final has led to its trunk PSG training complex even though it was given a day off to recover</v>
      </c>
    </row>
    <row r="3956" ht="15.75" customHeight="1">
      <c r="A3956" s="1">
        <v>3991.0</v>
      </c>
      <c r="B3956" s="3" t="s">
        <v>11340</v>
      </c>
      <c r="C3956" s="3">
        <v>0.0</v>
      </c>
      <c r="D3956" s="3">
        <v>0.0</v>
      </c>
      <c r="E3956" s="3">
        <v>0.0</v>
      </c>
      <c r="F3956" s="3" t="s">
        <v>11341</v>
      </c>
      <c r="G3956" s="3">
        <v>1.0</v>
      </c>
      <c r="H3956" s="3">
        <v>0.0</v>
      </c>
      <c r="I3956" s="3" t="s">
        <v>13</v>
      </c>
      <c r="J3956" s="3" t="s">
        <v>11342</v>
      </c>
      <c r="K3956" s="3" t="s">
        <v>50</v>
      </c>
      <c r="L3956" s="3" t="str">
        <f>IFERROR(__xludf.DUMMYFUNCTION("GOOGLETRANSLATE(F3956,""id"",""en"")"),"The story of the bisht robe maker used by Messi claimed not to know for the World Cup final")</f>
        <v>The story of the bisht robe maker used by Messi claimed not to know for the World Cup final</v>
      </c>
    </row>
    <row r="3957" ht="15.75" customHeight="1">
      <c r="A3957" s="1">
        <v>3992.0</v>
      </c>
      <c r="B3957" s="3" t="s">
        <v>11343</v>
      </c>
      <c r="C3957" s="3">
        <v>0.0</v>
      </c>
      <c r="D3957" s="3">
        <v>0.0</v>
      </c>
      <c r="E3957" s="3">
        <v>1.0</v>
      </c>
      <c r="F3957" s="3" t="s">
        <v>11344</v>
      </c>
      <c r="G3957" s="3">
        <v>1.0</v>
      </c>
      <c r="H3957" s="3">
        <v>0.0</v>
      </c>
      <c r="I3957" s="3" t="s">
        <v>13</v>
      </c>
      <c r="J3957" s="3" t="s">
        <v>11345</v>
      </c>
      <c r="K3957" s="3" t="s">
        <v>614</v>
      </c>
      <c r="L3957" s="3" t="str">
        <f>IFERROR(__xludf.DUMMYFUNCTION("GOOGLETRANSLATE(F3957,""id"",""en"")"),"Who is still not moving from the World Cup final yesterday, congratulations to supporters of Argentina supporters")</f>
        <v>Who is still not moving from the World Cup final yesterday, congratulations to supporters of Argentina supporters</v>
      </c>
    </row>
    <row r="3958" ht="15.75" customHeight="1">
      <c r="A3958" s="1">
        <v>3993.0</v>
      </c>
      <c r="B3958" s="3" t="s">
        <v>11346</v>
      </c>
      <c r="C3958" s="3">
        <v>0.0</v>
      </c>
      <c r="D3958" s="3">
        <v>0.0</v>
      </c>
      <c r="E3958" s="3">
        <v>1.0</v>
      </c>
      <c r="F3958" s="3" t="s">
        <v>11347</v>
      </c>
      <c r="G3958" s="3">
        <v>1.0</v>
      </c>
      <c r="H3958" s="3">
        <v>0.0</v>
      </c>
      <c r="I3958" s="3" t="s">
        <v>13</v>
      </c>
      <c r="J3958" s="3" t="s">
        <v>11348</v>
      </c>
      <c r="K3958" s="3" t="s">
        <v>165</v>
      </c>
      <c r="L3958" s="3" t="str">
        <f>IFERROR(__xludf.DUMMYFUNCTION("GOOGLETRANSLATE(F3958,""id"",""en"")"),"Just as revealed by Bawaslu member Lolly Suhenty while watching together with the World Cup Final on Monday, Bawaslu Lolly members invited citizens to always uphold the spirit of sportsmanship in every joint of life, including in the world of electoral")</f>
        <v>Just as revealed by Bawaslu member Lolly Suhenty while watching together with the World Cup Final on Monday, Bawaslu Lolly members invited citizens to always uphold the spirit of sportsmanship in every joint of life, including in the world of electoral</v>
      </c>
    </row>
    <row r="3959" ht="15.75" customHeight="1">
      <c r="A3959" s="1">
        <v>3994.0</v>
      </c>
      <c r="B3959" s="3" t="s">
        <v>11349</v>
      </c>
      <c r="C3959" s="3">
        <v>0.0</v>
      </c>
      <c r="D3959" s="3">
        <v>0.0</v>
      </c>
      <c r="E3959" s="3">
        <v>0.0</v>
      </c>
      <c r="F3959" s="3" t="s">
        <v>11350</v>
      </c>
      <c r="G3959" s="3">
        <v>1.0</v>
      </c>
      <c r="H3959" s="3">
        <v>0.0</v>
      </c>
      <c r="I3959" s="3" t="s">
        <v>13</v>
      </c>
      <c r="J3959" s="3" t="s">
        <v>11351</v>
      </c>
      <c r="K3959" s="3" t="s">
        <v>127</v>
      </c>
      <c r="L3959" s="3" t="str">
        <f>IFERROR(__xludf.DUMMYFUNCTION("GOOGLETRANSLATE(F3959,""id"",""en"")"),"Not only managed to beat France Final World Cup Lionel Messi was also named the best player in the biggest soccer competition on Sunday")</f>
        <v>Not only managed to beat France Final World Cup Lionel Messi was also named the best player in the biggest soccer competition on Sunday</v>
      </c>
    </row>
    <row r="3960" ht="15.75" customHeight="1">
      <c r="A3960" s="1">
        <v>3995.0</v>
      </c>
      <c r="B3960" s="3" t="s">
        <v>11352</v>
      </c>
      <c r="C3960" s="3">
        <v>0.0</v>
      </c>
      <c r="D3960" s="3">
        <v>0.0</v>
      </c>
      <c r="E3960" s="3">
        <v>3.0</v>
      </c>
      <c r="F3960" s="3" t="s">
        <v>11353</v>
      </c>
      <c r="G3960" s="3">
        <v>1.0</v>
      </c>
      <c r="H3960" s="3">
        <v>0.0</v>
      </c>
      <c r="I3960" s="3" t="s">
        <v>13</v>
      </c>
      <c r="J3960" s="3" t="s">
        <v>11354</v>
      </c>
      <c r="K3960" s="3" t="s">
        <v>41</v>
      </c>
      <c r="L3960" s="3" t="str">
        <f>IFERROR(__xludf.DUMMYFUNCTION("GOOGLETRANSLATE(F3960,""id"",""en"")"),"less than hours after the Mbappe World Cup final training with PSG")</f>
        <v>less than hours after the Mbappe World Cup final training with PSG</v>
      </c>
    </row>
    <row r="3961" ht="15.75" customHeight="1">
      <c r="A3961" s="1">
        <v>3996.0</v>
      </c>
      <c r="B3961" s="3" t="s">
        <v>11355</v>
      </c>
      <c r="C3961" s="3">
        <v>0.0</v>
      </c>
      <c r="D3961" s="3">
        <v>0.0</v>
      </c>
      <c r="E3961" s="3">
        <v>11.0</v>
      </c>
      <c r="F3961" s="3" t="s">
        <v>11356</v>
      </c>
      <c r="G3961" s="3">
        <v>1.0</v>
      </c>
      <c r="H3961" s="3">
        <v>0.0</v>
      </c>
      <c r="I3961" s="3" t="s">
        <v>13</v>
      </c>
      <c r="J3961" s="3" t="s">
        <v>11357</v>
      </c>
      <c r="K3961" s="3" t="s">
        <v>50</v>
      </c>
      <c r="L3961" s="3" t="str">
        <f>IFERROR(__xludf.DUMMYFUNCTION("GOOGLETRANSLATE(F3961,""id"",""en"")"),"Kylian Mbappe quickly returned the training just a few days after losing the World Cup final against")</f>
        <v>Kylian Mbappe quickly returned the training just a few days after losing the World Cup final against</v>
      </c>
    </row>
    <row r="3962" ht="15.75" customHeight="1">
      <c r="A3962" s="1">
        <v>3997.0</v>
      </c>
      <c r="B3962" s="3" t="s">
        <v>11358</v>
      </c>
      <c r="C3962" s="3">
        <v>0.0</v>
      </c>
      <c r="D3962" s="3">
        <v>0.0</v>
      </c>
      <c r="E3962" s="3">
        <v>1.0</v>
      </c>
      <c r="F3962" s="3" t="s">
        <v>11359</v>
      </c>
      <c r="G3962" s="3">
        <v>0.6666666666666666</v>
      </c>
      <c r="H3962" s="3">
        <v>0.08333333333333333</v>
      </c>
      <c r="I3962" s="3" t="s">
        <v>48</v>
      </c>
      <c r="J3962" s="3" t="s">
        <v>11360</v>
      </c>
      <c r="K3962" s="3" t="s">
        <v>2454</v>
      </c>
      <c r="L3962" s="3" t="str">
        <f>IFERROR(__xludf.DUMMYFUNCTION("GOOGLETRANSLATE(F3962,""id"",""en"")"),"This Messi Force has only been good at Psywar since the Copa America then the peak when the final opponent Brazil played hard opportunist and Psywar in fact brought them to succeed in the world cup and produced results could be that that was lacking so fa"&amp;"r")</f>
        <v>This Messi Force has only been good at Psywar since the Copa America then the peak when the final opponent Brazil played hard opportunist and Psywar in fact brought them to succeed in the world cup and produced results could be that that was lacking so far</v>
      </c>
    </row>
    <row r="3963" ht="15.75" customHeight="1">
      <c r="A3963" s="1">
        <v>3998.0</v>
      </c>
      <c r="B3963" s="3" t="s">
        <v>11361</v>
      </c>
      <c r="C3963" s="3">
        <v>0.0</v>
      </c>
      <c r="D3963" s="3">
        <v>0.0</v>
      </c>
      <c r="E3963" s="3">
        <v>0.0</v>
      </c>
      <c r="F3963" s="3" t="s">
        <v>11362</v>
      </c>
      <c r="G3963" s="3">
        <v>1.0</v>
      </c>
      <c r="H3963" s="3">
        <v>0.0</v>
      </c>
      <c r="I3963" s="3" t="s">
        <v>13</v>
      </c>
      <c r="J3963" s="3" t="s">
        <v>11363</v>
      </c>
      <c r="K3963" s="3" t="s">
        <v>499</v>
      </c>
      <c r="L3963" s="3" t="str">
        <f>IFERROR(__xludf.DUMMYFUNCTION("GOOGLETRANSLATE(F3963,""id"",""en"")"),"Watching Together Alias ​​Nobar is one of the traditions of the Indonesian people of the Final World Cup Final of the Zaskia Adya Mecca family, did not want to be left behind")</f>
        <v>Watching Together Alias ​​Nobar is one of the traditions of the Indonesian people of the Final World Cup Final of the Zaskia Adya Mecca family, did not want to be left behind</v>
      </c>
    </row>
    <row r="3964" ht="15.75" customHeight="1">
      <c r="A3964" s="1">
        <v>3999.0</v>
      </c>
      <c r="B3964" s="3" t="s">
        <v>11364</v>
      </c>
      <c r="C3964" s="3">
        <v>0.0</v>
      </c>
      <c r="D3964" s="3">
        <v>0.0</v>
      </c>
      <c r="E3964" s="3">
        <v>5.0</v>
      </c>
      <c r="F3964" s="3" t="s">
        <v>11365</v>
      </c>
      <c r="G3964" s="3">
        <v>1.0</v>
      </c>
      <c r="H3964" s="3">
        <v>0.0</v>
      </c>
      <c r="I3964" s="3" t="s">
        <v>13</v>
      </c>
      <c r="J3964" s="3" t="s">
        <v>11366</v>
      </c>
      <c r="K3964" s="3" t="s">
        <v>41</v>
      </c>
      <c r="L3964" s="3" t="str">
        <f>IFERROR(__xludf.DUMMYFUNCTION("GOOGLETRANSLATE(F3964,""id"",""en"")"),"Mbappe returned to join PSG training after the World Cup Final")</f>
        <v>Mbappe returned to join PSG training after the World Cup Final</v>
      </c>
    </row>
    <row r="3965" ht="15.75" customHeight="1">
      <c r="A3965" s="1">
        <v>4000.0</v>
      </c>
      <c r="B3965" s="3" t="s">
        <v>11367</v>
      </c>
      <c r="C3965" s="3">
        <v>0.0</v>
      </c>
      <c r="D3965" s="3">
        <v>0.0</v>
      </c>
      <c r="E3965" s="3">
        <v>1.0</v>
      </c>
      <c r="F3965" s="3" t="s">
        <v>11368</v>
      </c>
      <c r="G3965" s="3">
        <v>1.0</v>
      </c>
      <c r="H3965" s="3">
        <v>0.0</v>
      </c>
      <c r="I3965" s="3" t="s">
        <v>13</v>
      </c>
      <c r="J3965" s="3" t="s">
        <v>11369</v>
      </c>
      <c r="K3965" s="3" t="s">
        <v>75</v>
      </c>
      <c r="L3965" s="3" t="str">
        <f>IFERROR(__xludf.DUMMYFUNCTION("GOOGLETRANSLATE(F3965,""id"",""en"")"),"The French French journey of the World Cup Les Bleus has been beaten up by Tunisia")</f>
        <v>The French French journey of the World Cup Les Bleus has been beaten up by Tunisia</v>
      </c>
    </row>
    <row r="3966" ht="15.75" customHeight="1">
      <c r="A3966" s="1">
        <v>4001.0</v>
      </c>
      <c r="B3966" s="3" t="s">
        <v>11370</v>
      </c>
      <c r="C3966" s="3">
        <v>0.0</v>
      </c>
      <c r="D3966" s="3">
        <v>0.0</v>
      </c>
      <c r="E3966" s="3">
        <v>0.0</v>
      </c>
      <c r="F3966" s="3" t="s">
        <v>11371</v>
      </c>
      <c r="G3966" s="3">
        <v>1.0</v>
      </c>
      <c r="H3966" s="3">
        <v>0.0</v>
      </c>
      <c r="I3966" s="3" t="s">
        <v>13</v>
      </c>
      <c r="J3966" s="3" t="s">
        <v>11372</v>
      </c>
      <c r="K3966" s="3" t="s">
        <v>75</v>
      </c>
      <c r="L3966" s="3" t="str">
        <f>IFERROR(__xludf.DUMMYFUNCTION("GOOGLETRANSLATE(F3966,""id"",""en"")"),"This is the Mbappe Team Talk that makes France can pursue Argentina World Cup Final Via")</f>
        <v>This is the Mbappe Team Talk that makes France can pursue Argentina World Cup Final Via</v>
      </c>
    </row>
    <row r="3967" ht="15.75" customHeight="1">
      <c r="A3967" s="1">
        <v>4002.0</v>
      </c>
      <c r="B3967" s="3" t="s">
        <v>11373</v>
      </c>
      <c r="C3967" s="3">
        <v>1.0</v>
      </c>
      <c r="D3967" s="3">
        <v>7.0</v>
      </c>
      <c r="E3967" s="3">
        <v>60.0</v>
      </c>
      <c r="F3967" s="3" t="s">
        <v>11374</v>
      </c>
      <c r="G3967" s="3">
        <v>1.0</v>
      </c>
      <c r="H3967" s="3">
        <v>0.0</v>
      </c>
      <c r="I3967" s="3" t="s">
        <v>13</v>
      </c>
      <c r="J3967" s="3" t="s">
        <v>11375</v>
      </c>
      <c r="K3967" s="3" t="s">
        <v>8160</v>
      </c>
      <c r="L3967" s="3" t="str">
        <f>IFERROR(__xludf.DUMMYFUNCTION("GOOGLETRANSLATE(F3967,""id"",""en"")"),"His teammate used to Barcelona Philippe Coutinho also gave the latest red bracelet loan Argentine goalkeeper Emiliano Martinez also used it during a penalty fight against France Final World Cup")</f>
        <v>His teammate used to Barcelona Philippe Coutinho also gave the latest red bracelet loan Argentine goalkeeper Emiliano Martinez also used it during a penalty fight against France Final World Cup</v>
      </c>
    </row>
    <row r="3968" ht="15.75" customHeight="1">
      <c r="A3968" s="1">
        <v>4003.0</v>
      </c>
      <c r="B3968" s="3" t="s">
        <v>11376</v>
      </c>
      <c r="C3968" s="3">
        <v>0.0</v>
      </c>
      <c r="D3968" s="3">
        <v>0.0</v>
      </c>
      <c r="E3968" s="3">
        <v>0.0</v>
      </c>
      <c r="F3968" s="3" t="s">
        <v>11377</v>
      </c>
      <c r="G3968" s="3">
        <v>1.0</v>
      </c>
      <c r="H3968" s="3">
        <v>0.0</v>
      </c>
      <c r="I3968" s="3" t="s">
        <v>13</v>
      </c>
      <c r="J3968" s="3" t="s">
        <v>11378</v>
      </c>
      <c r="K3968" s="3" t="s">
        <v>510</v>
      </c>
      <c r="L3968" s="3" t="str">
        <f>IFERROR(__xludf.DUMMYFUNCTION("GOOGLETRANSLATE(F3968,""id"",""en"")"),"NOVA Indonesia's Latest Football News Clicks the Secret Penalty of Perfect Dybala World Cup Final")</f>
        <v>NOVA Indonesia's Latest Football News Clicks the Secret Penalty of Perfect Dybala World Cup Final</v>
      </c>
    </row>
    <row r="3969" ht="15.75" customHeight="1">
      <c r="A3969" s="1">
        <v>4004.0</v>
      </c>
      <c r="B3969" s="3" t="s">
        <v>11379</v>
      </c>
      <c r="C3969" s="3">
        <v>0.0</v>
      </c>
      <c r="D3969" s="3">
        <v>0.0</v>
      </c>
      <c r="E3969" s="3">
        <v>4.0</v>
      </c>
      <c r="F3969" s="3" t="s">
        <v>11380</v>
      </c>
      <c r="G3969" s="3">
        <v>1.0</v>
      </c>
      <c r="H3969" s="3">
        <v>0.0</v>
      </c>
      <c r="I3969" s="3" t="s">
        <v>13</v>
      </c>
      <c r="J3969" s="3" t="s">
        <v>11381</v>
      </c>
      <c r="K3969" s="3" t="s">
        <v>15</v>
      </c>
      <c r="L3969" s="3" t="str">
        <f>IFERROR(__xludf.DUMMYFUNCTION("GOOGLETRANSLATE(F3969,""id"",""en"")"),"The most exciting world cup final of Qatar Argentina France")</f>
        <v>The most exciting world cup final of Qatar Argentina France</v>
      </c>
    </row>
    <row r="3970" ht="15.75" customHeight="1">
      <c r="A3970" s="1">
        <v>4005.0</v>
      </c>
      <c r="B3970" s="3" t="s">
        <v>11382</v>
      </c>
      <c r="C3970" s="3">
        <v>0.0</v>
      </c>
      <c r="D3970" s="3">
        <v>0.0</v>
      </c>
      <c r="E3970" s="3">
        <v>0.0</v>
      </c>
      <c r="F3970" s="3" t="s">
        <v>11383</v>
      </c>
      <c r="G3970" s="3">
        <v>1.0</v>
      </c>
      <c r="H3970" s="3">
        <v>0.0</v>
      </c>
      <c r="I3970" s="3" t="s">
        <v>13</v>
      </c>
      <c r="J3970" s="3" t="s">
        <v>11384</v>
      </c>
      <c r="K3970" s="3" t="s">
        <v>19</v>
      </c>
      <c r="L3970" s="3" t="str">
        <f>IFERROR(__xludf.DUMMYFUNCTION("GOOGLETRANSLATE(F3970,""id"",""en"")"),"Rayyanza Cipung Magic Baby Predictions Argentina Winning the Qatar World Cup Final")</f>
        <v>Rayyanza Cipung Magic Baby Predictions Argentina Winning the Qatar World Cup Final</v>
      </c>
    </row>
    <row r="3971" ht="15.75" customHeight="1">
      <c r="A3971" s="1">
        <v>4006.0</v>
      </c>
      <c r="B3971" s="3" t="s">
        <v>11385</v>
      </c>
      <c r="C3971" s="3">
        <v>2.0</v>
      </c>
      <c r="D3971" s="3">
        <v>0.0</v>
      </c>
      <c r="E3971" s="3">
        <v>20.0</v>
      </c>
      <c r="F3971" s="3" t="s">
        <v>11386</v>
      </c>
      <c r="G3971" s="3">
        <v>1.0</v>
      </c>
      <c r="H3971" s="3">
        <v>0.05</v>
      </c>
      <c r="I3971" s="3" t="s">
        <v>48</v>
      </c>
      <c r="J3971" s="3" t="s">
        <v>11387</v>
      </c>
      <c r="K3971" s="3" t="s">
        <v>510</v>
      </c>
      <c r="L3971" s="3" t="str">
        <f>IFERROR(__xludf.DUMMYFUNCTION("GOOGLETRANSLATE(F3971,""id"",""en"")"),"wow only time after the World Cup final now Kylian Mbapp has returned to training with PSG this morning mentality")</f>
        <v>wow only time after the World Cup final now Kylian Mbapp has returned to training with PSG this morning mentality</v>
      </c>
    </row>
    <row r="3972" ht="15.75" customHeight="1">
      <c r="A3972" s="1">
        <v>4007.0</v>
      </c>
      <c r="B3972" s="3" t="s">
        <v>11388</v>
      </c>
      <c r="C3972" s="3">
        <v>0.0</v>
      </c>
      <c r="D3972" s="3">
        <v>0.0</v>
      </c>
      <c r="E3972" s="3">
        <v>0.0</v>
      </c>
      <c r="F3972" s="3" t="s">
        <v>11389</v>
      </c>
      <c r="G3972" s="3">
        <v>1.0</v>
      </c>
      <c r="H3972" s="3">
        <v>0.0</v>
      </c>
      <c r="I3972" s="3" t="s">
        <v>13</v>
      </c>
      <c r="J3972" s="3" t="s">
        <v>11390</v>
      </c>
      <c r="K3972" s="3" t="s">
        <v>71</v>
      </c>
      <c r="L3972" s="3" t="str">
        <f>IFERROR(__xludf.DUMMYFUNCTION("GOOGLETRANSLATE(F3972,""id"",""en"")"),"The French dressing room in the World Cup Final against Argentina was filled with anger from players and coaches")</f>
        <v>The French dressing room in the World Cup Final against Argentina was filled with anger from players and coaches</v>
      </c>
    </row>
    <row r="3973" ht="15.75" customHeight="1">
      <c r="A3973" s="1">
        <v>4008.0</v>
      </c>
      <c r="B3973" s="3" t="s">
        <v>11391</v>
      </c>
      <c r="C3973" s="3">
        <v>5.0</v>
      </c>
      <c r="D3973" s="3">
        <v>5.0</v>
      </c>
      <c r="E3973" s="3">
        <v>12.0</v>
      </c>
      <c r="F3973" s="3" t="s">
        <v>11392</v>
      </c>
      <c r="G3973" s="3">
        <v>1.0</v>
      </c>
      <c r="H3973" s="3">
        <v>0.0</v>
      </c>
      <c r="I3973" s="3" t="s">
        <v>13</v>
      </c>
      <c r="J3973" s="3" t="s">
        <v>11393</v>
      </c>
      <c r="K3973" s="3" t="s">
        <v>71</v>
      </c>
      <c r="L3973" s="3" t="str">
        <f>IFERROR(__xludf.DUMMYFUNCTION("GOOGLETRANSLATE(F3973,""id"",""en"")"),"Wilujeng Sonten Wargi supporters of the Qatar World Cup final Argentina Seueur Sumedang Rahmat")</f>
        <v>Wilujeng Sonten Wargi supporters of the Qatar World Cup final Argentina Seueur Sumedang Rahmat</v>
      </c>
    </row>
    <row r="3974" ht="15.75" customHeight="1">
      <c r="A3974" s="1">
        <v>4009.0</v>
      </c>
      <c r="B3974" s="3" t="s">
        <v>11394</v>
      </c>
      <c r="C3974" s="3">
        <v>0.0</v>
      </c>
      <c r="D3974" s="3">
        <v>0.0</v>
      </c>
      <c r="E3974" s="3">
        <v>0.0</v>
      </c>
      <c r="F3974" s="3" t="s">
        <v>11395</v>
      </c>
      <c r="G3974" s="3">
        <v>1.0</v>
      </c>
      <c r="H3974" s="3">
        <v>0.0</v>
      </c>
      <c r="I3974" s="3" t="s">
        <v>13</v>
      </c>
      <c r="J3974" s="3" t="s">
        <v>11396</v>
      </c>
      <c r="K3974" s="3" t="s">
        <v>75</v>
      </c>
      <c r="L3974" s="3" t="str">
        <f>IFERROR(__xludf.DUMMYFUNCTION("GOOGLETRANSLATE(F3974,""id"",""en"")"),"This is the team of the Talk Mbappe that makes France after Argentina World Cup Final")</f>
        <v>This is the team of the Talk Mbappe that makes France after Argentina World Cup Final</v>
      </c>
    </row>
    <row r="3975" ht="15.75" customHeight="1">
      <c r="A3975" s="1">
        <v>4010.0</v>
      </c>
      <c r="B3975" s="3" t="s">
        <v>11397</v>
      </c>
      <c r="C3975" s="3">
        <v>3.0</v>
      </c>
      <c r="D3975" s="3">
        <v>2.0</v>
      </c>
      <c r="E3975" s="3">
        <v>22.0</v>
      </c>
      <c r="F3975" s="3" t="s">
        <v>11398</v>
      </c>
      <c r="G3975" s="3">
        <v>1.0</v>
      </c>
      <c r="H3975" s="3">
        <v>0.0</v>
      </c>
      <c r="I3975" s="3" t="s">
        <v>13</v>
      </c>
      <c r="J3975" s="3" t="s">
        <v>11399</v>
      </c>
      <c r="K3975" s="3" t="s">
        <v>54</v>
      </c>
      <c r="L3975" s="3" t="str">
        <f>IFERROR(__xludf.DUMMYFUNCTION("GOOGLETRANSLATE(F3975,""id"",""en"")"),"disappointed because he failed to bring the finals driving")</f>
        <v>disappointed because he failed to bring the finals driving</v>
      </c>
    </row>
    <row r="3976" ht="15.75" customHeight="1">
      <c r="A3976" s="1">
        <v>4011.0</v>
      </c>
      <c r="B3976" s="3" t="s">
        <v>11400</v>
      </c>
      <c r="C3976" s="3">
        <v>1.0</v>
      </c>
      <c r="D3976" s="3">
        <v>16.0</v>
      </c>
      <c r="E3976" s="3">
        <v>18.0</v>
      </c>
      <c r="F3976" s="3" t="s">
        <v>11401</v>
      </c>
      <c r="G3976" s="3">
        <v>1.0</v>
      </c>
      <c r="H3976" s="3">
        <v>0.0</v>
      </c>
      <c r="I3976" s="3" t="s">
        <v>13</v>
      </c>
      <c r="J3976" s="3" t="s">
        <v>11402</v>
      </c>
      <c r="K3976" s="3" t="s">
        <v>41</v>
      </c>
      <c r="L3976" s="3" t="str">
        <f>IFERROR(__xludf.DUMMYFUNCTION("GOOGLETRANSLATE(F3976,""id"",""en"")"),"Curhatan Messi after the World Cup Champion Summons Final to Maradona")</f>
        <v>Curhatan Messi after the World Cup Champion Summons Final to Maradona</v>
      </c>
    </row>
    <row r="3977" ht="15.75" customHeight="1">
      <c r="A3977" s="1">
        <v>4012.0</v>
      </c>
      <c r="B3977" s="3" t="s">
        <v>11403</v>
      </c>
      <c r="C3977" s="3">
        <v>0.0</v>
      </c>
      <c r="D3977" s="3">
        <v>0.0</v>
      </c>
      <c r="E3977" s="3">
        <v>0.0</v>
      </c>
      <c r="F3977" s="3" t="s">
        <v>11404</v>
      </c>
      <c r="G3977" s="3">
        <v>1.0</v>
      </c>
      <c r="H3977" s="3">
        <v>0.0</v>
      </c>
      <c r="I3977" s="3" t="s">
        <v>13</v>
      </c>
      <c r="J3977" s="3" t="s">
        <v>11405</v>
      </c>
      <c r="K3977" s="3" t="s">
        <v>903</v>
      </c>
      <c r="L3977" s="3" t="str">
        <f>IFERROR(__xludf.DUMMYFUNCTION("GOOGLETRANSLATE(F3977,""id"",""en"")"),"Portugal is indeed historical to enter the final euro just yesterday different from the Dutch German Brazil Argentina Uruguay Italian French that they have historically the World Cup")</f>
        <v>Portugal is indeed historical to enter the final euro just yesterday different from the Dutch German Brazil Argentina Uruguay Italian French that they have historically the World Cup</v>
      </c>
    </row>
    <row r="3978" ht="15.75" customHeight="1">
      <c r="A3978" s="1">
        <v>4013.0</v>
      </c>
      <c r="B3978" s="3" t="s">
        <v>11406</v>
      </c>
      <c r="C3978" s="3">
        <v>0.0</v>
      </c>
      <c r="D3978" s="3">
        <v>0.0</v>
      </c>
      <c r="E3978" s="3">
        <v>1.0</v>
      </c>
      <c r="F3978" s="3" t="s">
        <v>11407</v>
      </c>
      <c r="G3978" s="3">
        <v>1.0</v>
      </c>
      <c r="H3978" s="3">
        <v>0.0</v>
      </c>
      <c r="I3978" s="3" t="s">
        <v>13</v>
      </c>
      <c r="J3978" s="3" t="s">
        <v>11408</v>
      </c>
      <c r="K3978" s="3" t="s">
        <v>15</v>
      </c>
      <c r="L3978" s="3" t="str">
        <f>IFERROR(__xludf.DUMMYFUNCTION("GOOGLETRANSLATE(F3978,""id"",""en"")"),"Lionel Messi World Cup Final Shoes Will Be Movement")</f>
        <v>Lionel Messi World Cup Final Shoes Will Be Movement</v>
      </c>
    </row>
    <row r="3979" ht="15.75" customHeight="1">
      <c r="A3979" s="1">
        <v>4014.0</v>
      </c>
      <c r="B3979" s="3" t="s">
        <v>11409</v>
      </c>
      <c r="C3979" s="3">
        <v>0.0</v>
      </c>
      <c r="D3979" s="3">
        <v>0.0</v>
      </c>
      <c r="E3979" s="3">
        <v>4.0</v>
      </c>
      <c r="F3979" s="3" t="s">
        <v>11410</v>
      </c>
      <c r="G3979" s="3">
        <v>1.0</v>
      </c>
      <c r="H3979" s="3">
        <v>0.0</v>
      </c>
      <c r="I3979" s="3" t="s">
        <v>13</v>
      </c>
      <c r="J3979" s="3" t="s">
        <v>11411</v>
      </c>
      <c r="K3979" s="3" t="s">
        <v>510</v>
      </c>
      <c r="L3979" s="3" t="str">
        <f>IFERROR(__xludf.DUMMYFUNCTION("GOOGLETRANSLATE(F3979,""id"",""en"")"),"The tears of Haru Angel Maria after scoring the second goal for the World Cup Final Argentina")</f>
        <v>The tears of Haru Angel Maria after scoring the second goal for the World Cup Final Argentina</v>
      </c>
    </row>
    <row r="3980" ht="15.75" customHeight="1">
      <c r="A3980" s="1">
        <v>4015.0</v>
      </c>
      <c r="B3980" s="3" t="s">
        <v>11412</v>
      </c>
      <c r="C3980" s="3">
        <v>0.0</v>
      </c>
      <c r="D3980" s="3">
        <v>0.0</v>
      </c>
      <c r="E3980" s="3">
        <v>1.0</v>
      </c>
      <c r="F3980" s="3" t="s">
        <v>11413</v>
      </c>
      <c r="G3980" s="3">
        <v>1.0</v>
      </c>
      <c r="H3980" s="3">
        <v>0.0</v>
      </c>
      <c r="I3980" s="3" t="s">
        <v>13</v>
      </c>
      <c r="J3980" s="3" t="s">
        <v>11414</v>
      </c>
      <c r="K3980" s="3" t="s">
        <v>15</v>
      </c>
      <c r="L3980" s="3" t="str">
        <f>IFERROR(__xludf.DUMMYFUNCTION("GOOGLETRANSLATE(F3980,""id"",""en"")"),"Argentina France and closeness to the World Cup Final Conspiracy")</f>
        <v>Argentina France and closeness to the World Cup Final Conspiracy</v>
      </c>
    </row>
    <row r="3981" ht="15.75" customHeight="1">
      <c r="A3981" s="1">
        <v>4016.0</v>
      </c>
      <c r="B3981" s="3" t="s">
        <v>11415</v>
      </c>
      <c r="C3981" s="3">
        <v>0.0</v>
      </c>
      <c r="D3981" s="3">
        <v>0.0</v>
      </c>
      <c r="E3981" s="3">
        <v>1.0</v>
      </c>
      <c r="F3981" s="3" t="s">
        <v>11416</v>
      </c>
      <c r="G3981" s="3">
        <v>1.0</v>
      </c>
      <c r="H3981" s="3">
        <v>0.0</v>
      </c>
      <c r="I3981" s="3" t="s">
        <v>13</v>
      </c>
      <c r="J3981" s="3" t="s">
        <v>11417</v>
      </c>
      <c r="K3981" s="3" t="s">
        <v>50</v>
      </c>
      <c r="L3981" s="3" t="str">
        <f>IFERROR(__xludf.DUMMYFUNCTION("GOOGLETRANSLATE(F3981,""id"",""en"")"),"Besides, he worthy")</f>
        <v>Besides, he worthy</v>
      </c>
    </row>
    <row r="3982" ht="15.75" customHeight="1">
      <c r="A3982" s="1">
        <v>4017.0</v>
      </c>
      <c r="B3982" s="3" t="s">
        <v>11418</v>
      </c>
      <c r="C3982" s="3">
        <v>0.0</v>
      </c>
      <c r="D3982" s="3">
        <v>0.0</v>
      </c>
      <c r="E3982" s="3">
        <v>1.0</v>
      </c>
      <c r="F3982" s="3" t="s">
        <v>11419</v>
      </c>
      <c r="G3982" s="3">
        <v>1.0</v>
      </c>
      <c r="H3982" s="3">
        <v>0.0</v>
      </c>
      <c r="I3982" s="3" t="s">
        <v>13</v>
      </c>
      <c r="J3982" s="3" t="s">
        <v>11420</v>
      </c>
      <c r="K3982" s="3" t="s">
        <v>82</v>
      </c>
      <c r="L3982" s="3" t="str">
        <f>IFERROR(__xludf.DUMMYFUNCTION("GOOGLETRANSLATE(F3982,""id"",""en"")"),"Perfect Penalty Secret Dybala World Cup Final")</f>
        <v>Perfect Penalty Secret Dybala World Cup Final</v>
      </c>
    </row>
    <row r="3983" ht="15.75" customHeight="1">
      <c r="A3983" s="1">
        <v>4018.0</v>
      </c>
      <c r="B3983" s="3" t="s">
        <v>11421</v>
      </c>
      <c r="C3983" s="3">
        <v>0.0</v>
      </c>
      <c r="D3983" s="3">
        <v>0.0</v>
      </c>
      <c r="E3983" s="3">
        <v>0.0</v>
      </c>
      <c r="F3983" s="3" t="s">
        <v>11422</v>
      </c>
      <c r="G3983" s="3">
        <v>1.0</v>
      </c>
      <c r="H3983" s="3">
        <v>0.0</v>
      </c>
      <c r="I3983" s="3" t="s">
        <v>13</v>
      </c>
      <c r="J3983" s="3" t="s">
        <v>11423</v>
      </c>
      <c r="K3983" s="3" t="s">
        <v>15</v>
      </c>
      <c r="L3983" s="3" t="str">
        <f>IFERROR(__xludf.DUMMYFUNCTION("GOOGLETRANSLATE(F3983,""id"",""en"")"),"Aguero Messi to be accompanied by Bobok ahead of the World Cup Final")</f>
        <v>Aguero Messi to be accompanied by Bobok ahead of the World Cup Final</v>
      </c>
    </row>
    <row r="3984" ht="15.75" customHeight="1">
      <c r="A3984" s="1">
        <v>4019.0</v>
      </c>
      <c r="B3984" s="3" t="s">
        <v>11424</v>
      </c>
      <c r="C3984" s="3">
        <v>0.0</v>
      </c>
      <c r="D3984" s="3">
        <v>0.0</v>
      </c>
      <c r="E3984" s="3">
        <v>0.0</v>
      </c>
      <c r="F3984" s="3" t="s">
        <v>11425</v>
      </c>
      <c r="G3984" s="3">
        <v>1.0</v>
      </c>
      <c r="H3984" s="3">
        <v>0.0</v>
      </c>
      <c r="I3984" s="3" t="s">
        <v>13</v>
      </c>
      <c r="J3984" s="3" t="s">
        <v>11426</v>
      </c>
      <c r="K3984" s="3" t="s">
        <v>82</v>
      </c>
      <c r="L3984" s="3" t="str">
        <f>IFERROR(__xludf.DUMMYFUNCTION("GOOGLETRANSLATE(F3984,""id"",""en"")"),"just refund, min, need to watch the world cup final")</f>
        <v>just refund, min, need to watch the world cup final</v>
      </c>
    </row>
    <row r="3985" ht="15.75" customHeight="1">
      <c r="A3985" s="1">
        <v>4020.0</v>
      </c>
      <c r="B3985" s="3" t="s">
        <v>11427</v>
      </c>
      <c r="C3985" s="3">
        <v>0.0</v>
      </c>
      <c r="D3985" s="3">
        <v>0.0</v>
      </c>
      <c r="E3985" s="3">
        <v>3.0</v>
      </c>
      <c r="F3985" s="3" t="s">
        <v>11395</v>
      </c>
      <c r="G3985" s="3">
        <v>1.0</v>
      </c>
      <c r="H3985" s="3">
        <v>0.0</v>
      </c>
      <c r="I3985" s="3" t="s">
        <v>13</v>
      </c>
      <c r="J3985" s="3" t="s">
        <v>11396</v>
      </c>
      <c r="K3985" s="3" t="s">
        <v>75</v>
      </c>
      <c r="L3985" s="3" t="str">
        <f>IFERROR(__xludf.DUMMYFUNCTION("GOOGLETRANSLATE(F3985,""id"",""en"")"),"This is the team of the Talk Mbappe that makes France after Argentina World Cup Final")</f>
        <v>This is the team of the Talk Mbappe that makes France after Argentina World Cup Final</v>
      </c>
    </row>
    <row r="3986" ht="15.75" customHeight="1">
      <c r="A3986" s="1">
        <v>4021.0</v>
      </c>
      <c r="B3986" s="3" t="s">
        <v>11428</v>
      </c>
      <c r="C3986" s="3">
        <v>0.0</v>
      </c>
      <c r="D3986" s="3">
        <v>0.0</v>
      </c>
      <c r="E3986" s="3">
        <v>0.0</v>
      </c>
      <c r="F3986" s="3" t="s">
        <v>11429</v>
      </c>
      <c r="G3986" s="3">
        <v>1.0</v>
      </c>
      <c r="H3986" s="3">
        <v>0.0</v>
      </c>
      <c r="I3986" s="3" t="s">
        <v>13</v>
      </c>
      <c r="J3986" s="3" t="s">
        <v>11430</v>
      </c>
      <c r="K3986" s="3" t="s">
        <v>54</v>
      </c>
      <c r="L3986" s="3" t="str">
        <f>IFERROR(__xludf.DUMMYFUNCTION("GOOGLETRANSLATE(F3986,""id"",""en"")"),"EKFPDQ Final Cream World Cup Ququruyuuuk")</f>
        <v>EKFPDQ Final Cream World Cup Ququruyuuuk</v>
      </c>
    </row>
    <row r="3987" ht="15.75" customHeight="1">
      <c r="A3987" s="1">
        <v>4022.0</v>
      </c>
      <c r="B3987" s="3" t="s">
        <v>11431</v>
      </c>
      <c r="C3987" s="3">
        <v>0.0</v>
      </c>
      <c r="D3987" s="3">
        <v>1.0</v>
      </c>
      <c r="E3987" s="3">
        <v>0.0</v>
      </c>
      <c r="F3987" s="3" t="s">
        <v>11432</v>
      </c>
      <c r="G3987" s="3">
        <v>1.0</v>
      </c>
      <c r="H3987" s="3">
        <v>0.0</v>
      </c>
      <c r="I3987" s="3" t="s">
        <v>13</v>
      </c>
      <c r="J3987" s="3" t="s">
        <v>11433</v>
      </c>
      <c r="K3987" s="3" t="s">
        <v>1061</v>
      </c>
      <c r="L3987" s="3" t="str">
        <f>IFERROR(__xludf.DUMMYFUNCTION("GOOGLETRANSLATE(F3987,""id"",""en"")"),"former Argentine player ranks of Argentine Coach Staff Garemin Capital Meat So the Final Honorary Guest continues to hold the World Cup Trophy when I finished pretentious")</f>
        <v>former Argentine player ranks of Argentine Coach Staff Garemin Capital Meat So the Final Honorary Guest continues to hold the World Cup Trophy when I finished pretentious</v>
      </c>
    </row>
    <row r="3988" ht="15.75" customHeight="1">
      <c r="A3988" s="1">
        <v>4023.0</v>
      </c>
      <c r="B3988" s="3" t="s">
        <v>11434</v>
      </c>
      <c r="C3988" s="3">
        <v>0.0</v>
      </c>
      <c r="D3988" s="3">
        <v>0.0</v>
      </c>
      <c r="E3988" s="3">
        <v>4.0</v>
      </c>
      <c r="F3988" s="3" t="s">
        <v>11435</v>
      </c>
      <c r="G3988" s="3">
        <v>1.0</v>
      </c>
      <c r="H3988" s="3">
        <v>0.0</v>
      </c>
      <c r="I3988" s="3" t="s">
        <v>13</v>
      </c>
      <c r="J3988" s="3" t="s">
        <v>11436</v>
      </c>
      <c r="K3988" s="3" t="s">
        <v>41</v>
      </c>
      <c r="L3988" s="3" t="str">
        <f>IFERROR(__xludf.DUMMYFUNCTION("GOOGLETRANSLATE(F3988,""id"",""en"")"),"Moment of Messi's first goal celebration when against France Final yesterday")</f>
        <v>Moment of Messi's first goal celebration when against France Final yesterday</v>
      </c>
    </row>
    <row r="3989" ht="15.75" customHeight="1">
      <c r="A3989" s="1">
        <v>4024.0</v>
      </c>
      <c r="B3989" s="3" t="s">
        <v>11437</v>
      </c>
      <c r="C3989" s="3">
        <v>0.0</v>
      </c>
      <c r="D3989" s="3">
        <v>0.0</v>
      </c>
      <c r="E3989" s="3">
        <v>0.0</v>
      </c>
      <c r="F3989" s="3" t="s">
        <v>11438</v>
      </c>
      <c r="G3989" s="3">
        <v>1.0</v>
      </c>
      <c r="H3989" s="3">
        <v>0.0</v>
      </c>
      <c r="I3989" s="3" t="s">
        <v>13</v>
      </c>
      <c r="J3989" s="3" t="s">
        <v>11439</v>
      </c>
      <c r="K3989" s="3" t="s">
        <v>1097</v>
      </c>
      <c r="L3989" s="3" t="str">
        <f>IFERROR(__xludf.DUMMYFUNCTION("GOOGLETRANSLATE(F3989,""id"",""en"")"),"he was already in the world cup final I was unemployed")</f>
        <v>he was already in the world cup final I was unemployed</v>
      </c>
    </row>
    <row r="3990" ht="15.75" customHeight="1">
      <c r="A3990" s="1">
        <v>4025.0</v>
      </c>
      <c r="B3990" s="3" t="s">
        <v>11440</v>
      </c>
      <c r="C3990" s="3">
        <v>0.0</v>
      </c>
      <c r="D3990" s="3">
        <v>0.0</v>
      </c>
      <c r="E3990" s="3">
        <v>0.0</v>
      </c>
      <c r="F3990" s="3" t="s">
        <v>11441</v>
      </c>
      <c r="G3990" s="3">
        <v>1.0</v>
      </c>
      <c r="H3990" s="3">
        <v>0.0</v>
      </c>
      <c r="I3990" s="3" t="s">
        <v>13</v>
      </c>
      <c r="J3990" s="3" t="s">
        <v>11442</v>
      </c>
      <c r="K3990" s="3" t="s">
        <v>244</v>
      </c>
      <c r="L3990" s="3" t="str">
        <f>IFERROR(__xludf.DUMMYFUNCTION("GOOGLETRANSLATE(F3990,""id"",""en"")"),"Here are the reasons why the World Cup final became the best final in Sports history")</f>
        <v>Here are the reasons why the World Cup final became the best final in Sports history</v>
      </c>
    </row>
    <row r="3991" ht="15.75" customHeight="1">
      <c r="A3991" s="1">
        <v>4026.0</v>
      </c>
      <c r="B3991" s="3" t="s">
        <v>11443</v>
      </c>
      <c r="C3991" s="3">
        <v>1.0</v>
      </c>
      <c r="D3991" s="3">
        <v>3.0</v>
      </c>
      <c r="E3991" s="3">
        <v>1.0</v>
      </c>
      <c r="F3991" s="3" t="s">
        <v>11444</v>
      </c>
      <c r="G3991" s="3">
        <v>0.75</v>
      </c>
      <c r="H3991" s="3">
        <v>0.25</v>
      </c>
      <c r="I3991" s="3" t="s">
        <v>48</v>
      </c>
      <c r="J3991" s="3" t="s">
        <v>11445</v>
      </c>
      <c r="K3991" s="3" t="s">
        <v>495</v>
      </c>
      <c r="L3991" s="3" t="str">
        <f>IFERROR(__xludf.DUMMYFUNCTION("GOOGLETRANSLATE(F3991,""id"",""en"")"),"Support who yesterday's World Cup final let's look at the top mentioned footballer or the player who mentioned the most netizens in their uploads related or")</f>
        <v>Support who yesterday's World Cup final let's look at the top mentioned footballer or the player who mentioned the most netizens in their uploads related or</v>
      </c>
    </row>
    <row r="3992" ht="15.75" customHeight="1">
      <c r="A3992" s="1">
        <v>4027.0</v>
      </c>
      <c r="B3992" s="3" t="s">
        <v>11446</v>
      </c>
      <c r="C3992" s="3">
        <v>71.0</v>
      </c>
      <c r="D3992" s="3">
        <v>66.0</v>
      </c>
      <c r="E3992" s="3">
        <v>1409.0</v>
      </c>
      <c r="F3992" s="3" t="s">
        <v>11447</v>
      </c>
      <c r="G3992" s="3">
        <v>1.0</v>
      </c>
      <c r="H3992" s="3">
        <v>0.0</v>
      </c>
      <c r="I3992" s="3" t="s">
        <v>13</v>
      </c>
      <c r="J3992" s="3" t="s">
        <v>11448</v>
      </c>
      <c r="K3992" s="3" t="s">
        <v>1699</v>
      </c>
      <c r="L3992" s="3" t="str">
        <f>IFERROR(__xludf.DUMMYFUNCTION("GOOGLETRANSLATE(F3992,""id"",""en"")"),"Only a few days after Kylian Mbappe played the World Cup final and had decided to return to training with PSG earlier even though PSG actually gave a holiday time for Mbappe longer")</f>
        <v>Only a few days after Kylian Mbappe played the World Cup final and had decided to return to training with PSG earlier even though PSG actually gave a holiday time for Mbappe longer</v>
      </c>
    </row>
    <row r="3993" ht="15.75" customHeight="1">
      <c r="A3993" s="1">
        <v>4028.0</v>
      </c>
      <c r="B3993" s="3" t="s">
        <v>11449</v>
      </c>
      <c r="C3993" s="3">
        <v>0.0</v>
      </c>
      <c r="D3993" s="3">
        <v>0.0</v>
      </c>
      <c r="E3993" s="3">
        <v>0.0</v>
      </c>
      <c r="F3993" s="3" t="s">
        <v>11450</v>
      </c>
      <c r="G3993" s="3">
        <v>1.0</v>
      </c>
      <c r="H3993" s="3">
        <v>0.0</v>
      </c>
      <c r="I3993" s="3" t="s">
        <v>13</v>
      </c>
      <c r="J3993" s="3" t="s">
        <v>11451</v>
      </c>
      <c r="K3993" s="3" t="s">
        <v>510</v>
      </c>
      <c r="L3993" s="3" t="str">
        <f>IFERROR(__xludf.DUMMYFUNCTION("GOOGLETRANSLATE(F3993,""id"",""en"")"),"Singer Drake supports Argentina World Cup Final but instead loses bets how come you can refer here")</f>
        <v>Singer Drake supports Argentina World Cup Final but instead loses bets how come you can refer here</v>
      </c>
    </row>
    <row r="3994" ht="15.75" customHeight="1">
      <c r="A3994" s="1">
        <v>4029.0</v>
      </c>
      <c r="B3994" s="3" t="s">
        <v>11452</v>
      </c>
      <c r="C3994" s="3">
        <v>0.0</v>
      </c>
      <c r="D3994" s="3">
        <v>0.0</v>
      </c>
      <c r="E3994" s="3">
        <v>1.0</v>
      </c>
      <c r="F3994" s="3" t="s">
        <v>11453</v>
      </c>
      <c r="G3994" s="3">
        <v>1.0</v>
      </c>
      <c r="H3994" s="3">
        <v>0.0</v>
      </c>
      <c r="I3994" s="3" t="s">
        <v>13</v>
      </c>
      <c r="J3994" s="3" t="s">
        <v>11454</v>
      </c>
      <c r="K3994" s="3" t="s">
        <v>184</v>
      </c>
      <c r="L3994" s="3" t="str">
        <f>IFERROR(__xludf.DUMMYFUNCTION("GOOGLETRANSLATE(F3994,""id"",""en"")"),"One of the World Cup Final Records revealed by the media, one player can score with the same goalkeeper between the player is good or the goalkeeper is goblok")</f>
        <v>One of the World Cup Final Records revealed by the media, one player can score with the same goalkeeper between the player is good or the goalkeeper is goblok</v>
      </c>
    </row>
    <row r="3995" ht="15.75" customHeight="1">
      <c r="A3995" s="1">
        <v>4030.0</v>
      </c>
      <c r="B3995" s="3" t="s">
        <v>11455</v>
      </c>
      <c r="C3995" s="3">
        <v>1.0</v>
      </c>
      <c r="D3995" s="3">
        <v>0.0</v>
      </c>
      <c r="E3995" s="3">
        <v>0.0</v>
      </c>
      <c r="F3995" s="3" t="s">
        <v>11456</v>
      </c>
      <c r="G3995" s="3">
        <v>1.0</v>
      </c>
      <c r="H3995" s="3">
        <v>0.0</v>
      </c>
      <c r="I3995" s="3" t="s">
        <v>13</v>
      </c>
      <c r="J3995" s="3" t="s">
        <v>11457</v>
      </c>
      <c r="K3995" s="3" t="s">
        <v>644</v>
      </c>
      <c r="L3995" s="3" t="str">
        <f>IFERROR(__xludf.DUMMYFUNCTION("GOOGLETRANSLATE(F3995,""id"",""en"")"),"World Cup Final Impact")</f>
        <v>World Cup Final Impact</v>
      </c>
    </row>
    <row r="3996" ht="15.75" customHeight="1">
      <c r="A3996" s="1">
        <v>4031.0</v>
      </c>
      <c r="B3996" s="3" t="s">
        <v>11458</v>
      </c>
      <c r="C3996" s="3">
        <v>0.0</v>
      </c>
      <c r="D3996" s="3">
        <v>0.0</v>
      </c>
      <c r="E3996" s="3">
        <v>1.0</v>
      </c>
      <c r="F3996" s="3" t="s">
        <v>11459</v>
      </c>
      <c r="G3996" s="3">
        <v>1.0</v>
      </c>
      <c r="H3996" s="3">
        <v>0.0</v>
      </c>
      <c r="I3996" s="3" t="s">
        <v>13</v>
      </c>
      <c r="J3996" s="3" t="s">
        <v>11460</v>
      </c>
      <c r="K3996" s="3" t="s">
        <v>1293</v>
      </c>
      <c r="L3996" s="3" t="str">
        <f>IFERROR(__xludf.DUMMYFUNCTION("GOOGLETRANSLATE(F3996,""id"",""en"")"),"Nobar Final World Cup DPP KNPI and DPD KNPI DKI Jakarta Momentum Youth and Community Forms of Love in Sports Passing")</f>
        <v>Nobar Final World Cup DPP KNPI and DPD KNPI DKI Jakarta Momentum Youth and Community Forms of Love in Sports Passing</v>
      </c>
    </row>
    <row r="3997" ht="15.75" customHeight="1">
      <c r="A3997" s="1">
        <v>4032.0</v>
      </c>
      <c r="B3997" s="3" t="s">
        <v>11461</v>
      </c>
      <c r="C3997" s="3">
        <v>0.0</v>
      </c>
      <c r="D3997" s="3">
        <v>0.0</v>
      </c>
      <c r="E3997" s="3">
        <v>0.0</v>
      </c>
      <c r="F3997" s="3" t="s">
        <v>11462</v>
      </c>
      <c r="G3997" s="3">
        <v>1.0</v>
      </c>
      <c r="H3997" s="3">
        <v>0.0</v>
      </c>
      <c r="I3997" s="3" t="s">
        <v>13</v>
      </c>
      <c r="J3997" s="3" t="s">
        <v>11463</v>
      </c>
      <c r="K3997" s="3" t="s">
        <v>41</v>
      </c>
      <c r="L3997" s="3" t="str">
        <f>IFERROR(__xludf.DUMMYFUNCTION("GOOGLETRANSLATE(F3997,""id"",""en"")"),"Unfolded the French French dressing room full of anger")</f>
        <v>Unfolded the French French dressing room full of anger</v>
      </c>
    </row>
    <row r="3998" ht="15.75" customHeight="1">
      <c r="A3998" s="1">
        <v>4033.0</v>
      </c>
      <c r="B3998" s="3" t="s">
        <v>11464</v>
      </c>
      <c r="C3998" s="3">
        <v>0.0</v>
      </c>
      <c r="D3998" s="3">
        <v>1.0</v>
      </c>
      <c r="E3998" s="3">
        <v>7.0</v>
      </c>
      <c r="F3998" s="3" t="s">
        <v>11462</v>
      </c>
      <c r="G3998" s="3">
        <v>1.0</v>
      </c>
      <c r="H3998" s="3">
        <v>0.0</v>
      </c>
      <c r="I3998" s="3" t="s">
        <v>13</v>
      </c>
      <c r="J3998" s="3" t="s">
        <v>11463</v>
      </c>
      <c r="K3998" s="3" t="s">
        <v>41</v>
      </c>
      <c r="L3998" s="3" t="str">
        <f>IFERROR(__xludf.DUMMYFUNCTION("GOOGLETRANSLATE(F3998,""id"",""en"")"),"Unfolded the French French dressing room full of anger")</f>
        <v>Unfolded the French French dressing room full of anger</v>
      </c>
    </row>
    <row r="3999" ht="15.75" customHeight="1">
      <c r="A3999" s="1">
        <v>4034.0</v>
      </c>
      <c r="B3999" s="3" t="s">
        <v>11465</v>
      </c>
      <c r="C3999" s="3">
        <v>0.0</v>
      </c>
      <c r="D3999" s="3">
        <v>0.0</v>
      </c>
      <c r="E3999" s="3">
        <v>0.0</v>
      </c>
      <c r="F3999" s="3" t="s">
        <v>11466</v>
      </c>
      <c r="G3999" s="3">
        <v>1.0</v>
      </c>
      <c r="H3999" s="3">
        <v>0.0</v>
      </c>
      <c r="I3999" s="3" t="s">
        <v>13</v>
      </c>
      <c r="J3999" s="3" t="s">
        <v>11467</v>
      </c>
      <c r="K3999" s="3" t="s">
        <v>348</v>
      </c>
      <c r="L3999" s="3" t="str">
        <f>IFERROR(__xludf.DUMMYFUNCTION("GOOGLETRANSLATE(F3999,""id"",""en"")"),"Yes, only those who watch the World Cup final from billion of the earth's human population are indeed special, anyway, if you can make a special sculpture for")</f>
        <v>Yes, only those who watch the World Cup final from billion of the earth's human population are indeed special, anyway, if you can make a special sculpture for</v>
      </c>
    </row>
    <row r="4000" ht="15.75" customHeight="1">
      <c r="A4000" s="1">
        <v>4035.0</v>
      </c>
      <c r="B4000" s="3" t="s">
        <v>11468</v>
      </c>
      <c r="C4000" s="3">
        <v>0.0</v>
      </c>
      <c r="D4000" s="3">
        <v>0.0</v>
      </c>
      <c r="E4000" s="3">
        <v>0.0</v>
      </c>
      <c r="F4000" s="3" t="s">
        <v>11469</v>
      </c>
      <c r="G4000" s="3">
        <v>1.0</v>
      </c>
      <c r="H4000" s="3">
        <v>0.0</v>
      </c>
      <c r="I4000" s="3" t="s">
        <v>13</v>
      </c>
      <c r="J4000" s="3" t="s">
        <v>11470</v>
      </c>
      <c r="K4000" s="3" t="s">
        <v>903</v>
      </c>
      <c r="L4000" s="3" t="str">
        <f>IFERROR(__xludf.DUMMYFUNCTION("GOOGLETRANSLATE(F4000,""id"",""en"")"),"The following collection of photos shows the fans welcomed the Argentine national team after the team won the FIFA World Cup final.")</f>
        <v>The following collection of photos shows the fans welcomed the Argentine national team after the team won the FIFA World Cup final.</v>
      </c>
    </row>
    <row r="4001" ht="15.75" customHeight="1">
      <c r="A4001" s="1">
        <v>4036.0</v>
      </c>
      <c r="B4001" s="3" t="s">
        <v>11471</v>
      </c>
      <c r="C4001" s="3">
        <v>0.0</v>
      </c>
      <c r="D4001" s="3">
        <v>0.0</v>
      </c>
      <c r="E4001" s="3">
        <v>0.0</v>
      </c>
      <c r="F4001" s="3" t="s">
        <v>11472</v>
      </c>
      <c r="G4001" s="3">
        <v>1.0</v>
      </c>
      <c r="H4001" s="3">
        <v>0.0</v>
      </c>
      <c r="I4001" s="3" t="s">
        <v>13</v>
      </c>
      <c r="J4001" s="3" t="s">
        <v>11473</v>
      </c>
      <c r="K4001" s="3" t="s">
        <v>3803</v>
      </c>
      <c r="L4001" s="3" t="str">
        <f>IFERROR(__xludf.DUMMYFUNCTION("GOOGLETRANSLATE(F4001,""id"",""en"")"),"Head of Argentina French French World Cup Final Argentina narrowly lost to the World Cup")</f>
        <v>Head of Argentina French French World Cup Final Argentina narrowly lost to the World Cup</v>
      </c>
    </row>
    <row r="4002" ht="15.75" customHeight="1">
      <c r="A4002" s="1">
        <v>4037.0</v>
      </c>
      <c r="B4002" s="3" t="s">
        <v>11474</v>
      </c>
      <c r="C4002" s="3">
        <v>0.0</v>
      </c>
      <c r="D4002" s="3">
        <v>0.0</v>
      </c>
      <c r="E4002" s="3">
        <v>0.0</v>
      </c>
      <c r="F4002" s="3" t="s">
        <v>11475</v>
      </c>
      <c r="G4002" s="3">
        <v>1.0</v>
      </c>
      <c r="H4002" s="3">
        <v>0.0</v>
      </c>
      <c r="I4002" s="3" t="s">
        <v>13</v>
      </c>
      <c r="J4002" s="3" t="s">
        <v>11476</v>
      </c>
      <c r="K4002" s="3" t="s">
        <v>491</v>
      </c>
      <c r="L4002" s="3" t="str">
        <f>IFERROR(__xludf.DUMMYFUNCTION("GOOGLETRANSLATE(F4002,""id"",""en"")"),"Ready to attend Nobar Night of the Qatar World Cup Final Night Kakanwil Faisol Ali Jagan French West Sulawesi Faisol Ali")</f>
        <v>Ready to attend Nobar Night of the Qatar World Cup Final Night Kakanwil Faisol Ali Jagan French West Sulawesi Faisol Ali</v>
      </c>
    </row>
    <row r="4003" ht="15.75" customHeight="1">
      <c r="A4003" s="1">
        <v>4038.0</v>
      </c>
      <c r="B4003" s="3" t="s">
        <v>11477</v>
      </c>
      <c r="C4003" s="3">
        <v>0.0</v>
      </c>
      <c r="D4003" s="3">
        <v>0.0</v>
      </c>
      <c r="E4003" s="3">
        <v>0.0</v>
      </c>
      <c r="F4003" s="3" t="s">
        <v>10591</v>
      </c>
      <c r="G4003" s="3">
        <v>1.0</v>
      </c>
      <c r="H4003" s="3">
        <v>0.0</v>
      </c>
      <c r="I4003" s="3" t="s">
        <v>13</v>
      </c>
      <c r="J4003" s="3" t="s">
        <v>10592</v>
      </c>
      <c r="K4003" s="3" t="s">
        <v>90</v>
      </c>
      <c r="L4003" s="3" t="str">
        <f>IFERROR(__xludf.DUMMYFUNCTION("GOOGLETRANSLATE(F4003,""id"",""en"")"),"Reposted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4" ht="15.75" customHeight="1">
      <c r="A4004" s="1">
        <v>4039.0</v>
      </c>
      <c r="B4004" s="3" t="s">
        <v>11478</v>
      </c>
      <c r="C4004" s="3">
        <v>0.0</v>
      </c>
      <c r="D4004" s="3">
        <v>0.0</v>
      </c>
      <c r="E4004" s="3">
        <v>0.0</v>
      </c>
      <c r="F4004" s="3" t="s">
        <v>10591</v>
      </c>
      <c r="G4004" s="3">
        <v>1.0</v>
      </c>
      <c r="H4004" s="3">
        <v>0.0</v>
      </c>
      <c r="I4004" s="3" t="s">
        <v>13</v>
      </c>
      <c r="J4004" s="3" t="s">
        <v>10592</v>
      </c>
      <c r="K4004" s="3" t="s">
        <v>90</v>
      </c>
      <c r="L4004" s="3" t="str">
        <f>IFERROR(__xludf.DUMMYFUNCTION("GOOGLETRANSLATE(F4004,""id"",""en"")"),"Reposted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5" ht="15.75" customHeight="1">
      <c r="A4005" s="1">
        <v>4040.0</v>
      </c>
      <c r="B4005" s="3" t="s">
        <v>11479</v>
      </c>
      <c r="C4005" s="3">
        <v>0.0</v>
      </c>
      <c r="D4005" s="3">
        <v>0.0</v>
      </c>
      <c r="E4005" s="3">
        <v>0.0</v>
      </c>
      <c r="F4005" s="3" t="s">
        <v>10591</v>
      </c>
      <c r="G4005" s="3">
        <v>1.0</v>
      </c>
      <c r="H4005" s="3">
        <v>0.0</v>
      </c>
      <c r="I4005" s="3" t="s">
        <v>13</v>
      </c>
      <c r="J4005" s="3" t="s">
        <v>10592</v>
      </c>
      <c r="K4005" s="3" t="s">
        <v>90</v>
      </c>
      <c r="L4005" s="3" t="str">
        <f>IFERROR(__xludf.DUMMYFUNCTION("GOOGLETRANSLATE(F4005,""id"",""en"")"),"Reposted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6" ht="15.75" customHeight="1">
      <c r="A4006" s="1">
        <v>4041.0</v>
      </c>
      <c r="B4006" s="3" t="s">
        <v>11480</v>
      </c>
      <c r="C4006" s="3">
        <v>0.0</v>
      </c>
      <c r="D4006" s="3">
        <v>0.0</v>
      </c>
      <c r="E4006" s="3">
        <v>0.0</v>
      </c>
      <c r="F4006" s="3" t="s">
        <v>10591</v>
      </c>
      <c r="G4006" s="3">
        <v>1.0</v>
      </c>
      <c r="H4006" s="3">
        <v>0.0</v>
      </c>
      <c r="I4006" s="3" t="s">
        <v>13</v>
      </c>
      <c r="J4006" s="3" t="s">
        <v>10592</v>
      </c>
      <c r="K4006" s="3" t="s">
        <v>90</v>
      </c>
      <c r="L4006" s="3" t="str">
        <f>IFERROR(__xludf.DUMMYFUNCTION("GOOGLETRANSLATE(F4006,""id"",""en"")"),"Reposted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7" ht="15.75" customHeight="1">
      <c r="A4007" s="1">
        <v>4043.0</v>
      </c>
      <c r="B4007" s="3" t="s">
        <v>11481</v>
      </c>
      <c r="C4007" s="3">
        <v>0.0</v>
      </c>
      <c r="D4007" s="3">
        <v>0.0</v>
      </c>
      <c r="E4007" s="3">
        <v>0.0</v>
      </c>
      <c r="F4007" s="3" t="s">
        <v>11482</v>
      </c>
      <c r="G4007" s="3">
        <v>1.0</v>
      </c>
      <c r="H4007" s="3">
        <v>0.0</v>
      </c>
      <c r="I4007" s="3" t="s">
        <v>13</v>
      </c>
      <c r="J4007" s="3" t="s">
        <v>11483</v>
      </c>
      <c r="K4007" s="3" t="s">
        <v>71</v>
      </c>
      <c r="L4007" s="3" t="str">
        <f>IFERROR(__xludf.DUMMYFUNCTION("GOOGLETRANSLATE(F4007,""id"",""en"")"),"Marriage of the Final World Cup Final Bride Nangis The first night turned out to be mbappe fans via")</f>
        <v>Marriage of the Final World Cup Final Bride Nangis The first night turned out to be mbappe fans via</v>
      </c>
    </row>
    <row r="4008" ht="15.75" customHeight="1">
      <c r="A4008" s="1">
        <v>4044.0</v>
      </c>
      <c r="B4008" s="3" t="s">
        <v>11484</v>
      </c>
      <c r="C4008" s="3">
        <v>0.0</v>
      </c>
      <c r="D4008" s="3">
        <v>0.0</v>
      </c>
      <c r="E4008" s="3">
        <v>1.0</v>
      </c>
      <c r="F4008" s="3" t="s">
        <v>11485</v>
      </c>
      <c r="G4008" s="3">
        <v>1.0</v>
      </c>
      <c r="H4008" s="3">
        <v>0.0</v>
      </c>
      <c r="I4008" s="3" t="s">
        <v>13</v>
      </c>
      <c r="J4008" s="3" t="s">
        <v>11486</v>
      </c>
      <c r="K4008" s="3" t="s">
        <v>58</v>
      </c>
      <c r="L4008" s="3" t="str">
        <f>IFERROR(__xludf.DUMMYFUNCTION("GOOGLETRANSLATE(F4008,""id"",""en"")"),"times entering the world cup final fails and new fifth success will definitely continue to be brought until a dream")</f>
        <v>times entering the world cup final fails and new fifth success will definitely continue to be brought until a dream</v>
      </c>
    </row>
    <row r="4009" ht="15.75" customHeight="1">
      <c r="A4009" s="1">
        <v>4045.0</v>
      </c>
      <c r="B4009" s="3" t="s">
        <v>11487</v>
      </c>
      <c r="C4009" s="3">
        <v>0.0</v>
      </c>
      <c r="D4009" s="3">
        <v>0.0</v>
      </c>
      <c r="E4009" s="3">
        <v>0.0</v>
      </c>
      <c r="F4009" s="3" t="s">
        <v>11488</v>
      </c>
      <c r="G4009" s="3">
        <v>1.0</v>
      </c>
      <c r="H4009" s="3">
        <v>0.0</v>
      </c>
      <c r="I4009" s="3" t="s">
        <v>13</v>
      </c>
      <c r="J4009" s="3" t="s">
        <v>11489</v>
      </c>
      <c r="K4009" s="3" t="s">
        <v>574</v>
      </c>
      <c r="L4009" s="3" t="str">
        <f>IFERROR(__xludf.DUMMYFUNCTION("GOOGLETRANSLATE(F4009,""id"",""en"")"),"Babinsa Kuwarasan Kuwarasan Serda Slamet Supriyono together with Bhabinkamtibmas watching together with the final of the World Cup football between Argentina French yard of the Gandusari Village Hall, Kuwarasan District, Kebumen Regency")</f>
        <v>Babinsa Kuwarasan Kuwarasan Serda Slamet Supriyono together with Bhabinkamtibmas watching together with the final of the World Cup football between Argentina French yard of the Gandusari Village Hall, Kuwarasan District, Kebumen Regency</v>
      </c>
    </row>
    <row r="4010" ht="15.75" customHeight="1">
      <c r="A4010" s="1">
        <v>4046.0</v>
      </c>
      <c r="B4010" s="3" t="s">
        <v>11490</v>
      </c>
      <c r="C4010" s="3">
        <v>1.0</v>
      </c>
      <c r="D4010" s="3">
        <v>14.0</v>
      </c>
      <c r="E4010" s="3">
        <v>54.0</v>
      </c>
      <c r="F4010" s="3" t="s">
        <v>11491</v>
      </c>
      <c r="G4010" s="3">
        <v>1.0</v>
      </c>
      <c r="H4010" s="3">
        <v>0.0</v>
      </c>
      <c r="I4010" s="3" t="s">
        <v>13</v>
      </c>
      <c r="J4010" s="3" t="s">
        <v>11492</v>
      </c>
      <c r="K4010" s="3" t="s">
        <v>35</v>
      </c>
      <c r="L4010" s="3" t="str">
        <f>IFERROR(__xludf.DUMMYFUNCTION("GOOGLETRANSLATE(F4010,""id"",""en"")"),"Mas's graffiti about the new World Cup final passed through friends who visited the admin")</f>
        <v>Mas's graffiti about the new World Cup final passed through friends who visited the admin</v>
      </c>
    </row>
    <row r="4011" ht="15.75" customHeight="1">
      <c r="A4011" s="1">
        <v>4047.0</v>
      </c>
      <c r="B4011" s="3" t="s">
        <v>11493</v>
      </c>
      <c r="C4011" s="3">
        <v>1.0</v>
      </c>
      <c r="D4011" s="3">
        <v>0.0</v>
      </c>
      <c r="E4011" s="3">
        <v>3.0</v>
      </c>
      <c r="F4011" s="3" t="s">
        <v>11494</v>
      </c>
      <c r="G4011" s="3">
        <v>1.0</v>
      </c>
      <c r="H4011" s="3">
        <v>0.0</v>
      </c>
      <c r="I4011" s="3" t="s">
        <v>13</v>
      </c>
      <c r="J4011" s="3" t="s">
        <v>11495</v>
      </c>
      <c r="K4011" s="3" t="s">
        <v>240</v>
      </c>
      <c r="L4011" s="3" t="str">
        <f>IFERROR(__xludf.DUMMYFUNCTION("GOOGLETRANSLATE(F4011,""id"",""en"")"),"Angel Maria became one of the Argentina victory actors in the World Cup Final there was a story behind her spilled tears")</f>
        <v>Angel Maria became one of the Argentina victory actors in the World Cup Final there was a story behind her spilled tears</v>
      </c>
    </row>
    <row r="4012" ht="15.75" customHeight="1">
      <c r="A4012" s="1">
        <v>4048.0</v>
      </c>
      <c r="B4012" s="3" t="s">
        <v>11496</v>
      </c>
      <c r="C4012" s="3">
        <v>0.0</v>
      </c>
      <c r="D4012" s="3">
        <v>0.0</v>
      </c>
      <c r="E4012" s="3">
        <v>0.0</v>
      </c>
      <c r="F4012" s="3" t="s">
        <v>11497</v>
      </c>
      <c r="G4012" s="3">
        <v>1.0</v>
      </c>
      <c r="H4012" s="3">
        <v>0.0</v>
      </c>
      <c r="I4012" s="3" t="s">
        <v>13</v>
      </c>
      <c r="J4012" s="3" t="s">
        <v>11498</v>
      </c>
      <c r="K4012" s="3" t="s">
        <v>50</v>
      </c>
      <c r="L4012" s="3" t="str">
        <f>IFERROR(__xludf.DUMMYFUNCTION("GOOGLETRANSLATE(F4012,""id"",""en"")"),"The chronology of the death of Alprih Priyono was bitten by King Cobra while watching the World Cup final")</f>
        <v>The chronology of the death of Alprih Priyono was bitten by King Cobra while watching the World Cup final</v>
      </c>
    </row>
    <row r="4013" ht="15.75" customHeight="1">
      <c r="A4013" s="1">
        <v>4049.0</v>
      </c>
      <c r="B4013" s="3" t="s">
        <v>11499</v>
      </c>
      <c r="C4013" s="3">
        <v>0.0</v>
      </c>
      <c r="D4013" s="3">
        <v>0.0</v>
      </c>
      <c r="E4013" s="3">
        <v>0.0</v>
      </c>
      <c r="F4013" s="3" t="s">
        <v>11500</v>
      </c>
      <c r="G4013" s="3">
        <v>1.0</v>
      </c>
      <c r="H4013" s="3">
        <v>0.0</v>
      </c>
      <c r="I4013" s="3" t="s">
        <v>13</v>
      </c>
      <c r="J4013" s="3" t="s">
        <v>11501</v>
      </c>
      <c r="K4013" s="3" t="s">
        <v>82</v>
      </c>
      <c r="L4013" s="3" t="str">
        <f>IFERROR(__xludf.DUMMYFUNCTION("GOOGLETRANSLATE(F4013,""id"",""en"")"),"Cultural Title Livest the World Cup Final event")</f>
        <v>Cultural Title Livest the World Cup Final event</v>
      </c>
    </row>
    <row r="4014" ht="15.75" customHeight="1">
      <c r="A4014" s="1">
        <v>4050.0</v>
      </c>
      <c r="B4014" s="3" t="s">
        <v>11502</v>
      </c>
      <c r="C4014" s="3">
        <v>0.0</v>
      </c>
      <c r="D4014" s="3">
        <v>0.0</v>
      </c>
      <c r="E4014" s="3">
        <v>0.0</v>
      </c>
      <c r="F4014" s="3" t="s">
        <v>11500</v>
      </c>
      <c r="G4014" s="3">
        <v>1.0</v>
      </c>
      <c r="H4014" s="3">
        <v>0.0</v>
      </c>
      <c r="I4014" s="3" t="s">
        <v>13</v>
      </c>
      <c r="J4014" s="3" t="s">
        <v>11501</v>
      </c>
      <c r="K4014" s="3" t="s">
        <v>82</v>
      </c>
      <c r="L4014" s="3" t="str">
        <f>IFERROR(__xludf.DUMMYFUNCTION("GOOGLETRANSLATE(F4014,""id"",""en"")"),"Cultural Title Livest the World Cup Final event")</f>
        <v>Cultural Title Livest the World Cup Final event</v>
      </c>
    </row>
    <row r="4015" ht="15.75" customHeight="1">
      <c r="A4015" s="1">
        <v>4051.0</v>
      </c>
      <c r="B4015" s="3" t="s">
        <v>11503</v>
      </c>
      <c r="C4015" s="3">
        <v>0.0</v>
      </c>
      <c r="D4015" s="3">
        <v>0.0</v>
      </c>
      <c r="E4015" s="3">
        <v>0.0</v>
      </c>
      <c r="F4015" s="3" t="s">
        <v>11504</v>
      </c>
      <c r="G4015" s="3">
        <v>1.0</v>
      </c>
      <c r="H4015" s="3">
        <v>0.0</v>
      </c>
      <c r="I4015" s="3" t="s">
        <v>13</v>
      </c>
      <c r="J4015" s="3" t="s">
        <v>11505</v>
      </c>
      <c r="K4015" s="3" t="s">
        <v>1489</v>
      </c>
      <c r="L4015" s="3" t="str">
        <f>IFERROR(__xludf.DUMMYFUNCTION("GOOGLETRANSLATE(F4015,""id"",""en"")"),"TRIBUNNEWS Before the incident of the Alprih had met a teenager who brought a snake at that time Alprih and friends were watching together with the World Cup Final even at that time the Alpar was also not carrying equipment for Snake Rescue")</f>
        <v>TRIBUNNEWS Before the incident of the Alprih had met a teenager who brought a snake at that time Alprih and friends were watching together with the World Cup Final even at that time the Alpar was also not carrying equipment for Snake Rescue</v>
      </c>
    </row>
    <row r="4016" ht="15.75" customHeight="1">
      <c r="A4016" s="1">
        <v>4052.0</v>
      </c>
      <c r="B4016" s="3" t="s">
        <v>11506</v>
      </c>
      <c r="C4016" s="3">
        <v>15.0</v>
      </c>
      <c r="D4016" s="3">
        <v>110.0</v>
      </c>
      <c r="E4016" s="3">
        <v>578.0</v>
      </c>
      <c r="F4016" s="3" t="s">
        <v>11507</v>
      </c>
      <c r="G4016" s="3">
        <v>1.0</v>
      </c>
      <c r="H4016" s="3">
        <v>0.0</v>
      </c>
      <c r="I4016" s="3" t="s">
        <v>13</v>
      </c>
      <c r="J4016" s="3" t="s">
        <v>11508</v>
      </c>
      <c r="K4016" s="3" t="s">
        <v>11509</v>
      </c>
      <c r="L4016" s="3" t="str">
        <f>IFERROR(__xludf.DUMMYFUNCTION("GOOGLETRANSLATE(F4016,""id"",""en"")"),"Argentine French World Cup Final Nobar Nobar Final Cup French French plane Nobar Cafe")</f>
        <v>Argentine French World Cup Final Nobar Nobar Final Cup French French plane Nobar Cafe</v>
      </c>
    </row>
    <row r="4017" ht="15.75" customHeight="1">
      <c r="A4017" s="1">
        <v>4053.0</v>
      </c>
      <c r="B4017" s="3" t="s">
        <v>11510</v>
      </c>
      <c r="C4017" s="3">
        <v>0.0</v>
      </c>
      <c r="D4017" s="3">
        <v>0.0</v>
      </c>
      <c r="E4017" s="3">
        <v>0.0</v>
      </c>
      <c r="F4017" s="3" t="s">
        <v>11278</v>
      </c>
      <c r="G4017" s="3">
        <v>1.0</v>
      </c>
      <c r="H4017" s="3">
        <v>0.0</v>
      </c>
      <c r="I4017" s="3" t="s">
        <v>13</v>
      </c>
      <c r="J4017" s="3" t="s">
        <v>11279</v>
      </c>
      <c r="K4017" s="3" t="s">
        <v>286</v>
      </c>
      <c r="L4017" s="3" t="str">
        <f>IFERROR(__xludf.DUMMYFUNCTION("GOOGLETRANSLATE(F4017,""id"",""en"")"),"French French goal scorer of the World Cup is Zinedine Zidane Goal Emmanuel Petit Goal watching the most solid ball using its network smoothly makes watching so exciting")</f>
        <v>French French goal scorer of the World Cup is Zinedine Zidane Goal Emmanuel Petit Goal watching the most solid ball using its network smoothly makes watching so exciting</v>
      </c>
    </row>
    <row r="4018" ht="15.75" customHeight="1">
      <c r="A4018" s="1">
        <v>4054.0</v>
      </c>
      <c r="B4018" s="3" t="s">
        <v>11511</v>
      </c>
      <c r="C4018" s="3">
        <v>3.0</v>
      </c>
      <c r="D4018" s="3">
        <v>2.0</v>
      </c>
      <c r="E4018" s="3">
        <v>24.0</v>
      </c>
      <c r="F4018" s="3" t="s">
        <v>11512</v>
      </c>
      <c r="G4018" s="3">
        <v>1.0</v>
      </c>
      <c r="H4018" s="3">
        <v>0.0</v>
      </c>
      <c r="I4018" s="3" t="s">
        <v>13</v>
      </c>
      <c r="J4018" s="3" t="s">
        <v>11513</v>
      </c>
      <c r="K4018" s="3" t="s">
        <v>1518</v>
      </c>
      <c r="L4018" s="3" t="str">
        <f>IFERROR(__xludf.DUMMYFUNCTION("GOOGLETRANSLATE(F4018,""id"",""en"")"),"This day last time Lionel Messi won the World Cup trophy with Argentina for the first time what was the most memorable at the 11th day of the day after yesterday")</f>
        <v>This day last time Lionel Messi won the World Cup trophy with Argentina for the first time what was the most memorable at the 11th day of the day after yesterday</v>
      </c>
    </row>
    <row r="4019" ht="15.75" customHeight="1">
      <c r="A4019" s="1">
        <v>4055.0</v>
      </c>
      <c r="B4019" s="3" t="s">
        <v>11514</v>
      </c>
      <c r="C4019" s="3">
        <v>1.0</v>
      </c>
      <c r="D4019" s="3">
        <v>0.0</v>
      </c>
      <c r="E4019" s="3">
        <v>0.0</v>
      </c>
      <c r="F4019" s="3" t="s">
        <v>11515</v>
      </c>
      <c r="G4019" s="3">
        <v>1.0</v>
      </c>
      <c r="H4019" s="3">
        <v>0.0</v>
      </c>
      <c r="I4019" s="3" t="s">
        <v>13</v>
      </c>
      <c r="J4019" s="3" t="s">
        <v>11516</v>
      </c>
      <c r="K4019" s="3" t="s">
        <v>75</v>
      </c>
      <c r="L4019" s="3" t="str">
        <f>IFERROR(__xludf.DUMMYFUNCTION("GOOGLETRANSLATE(F4019,""id"",""en"")"),"Then the fans of Agegen who racist France player before the World Cup final")</f>
        <v>Then the fans of Agegen who racist France player before the World Cup final</v>
      </c>
    </row>
    <row r="4020" ht="15.75" customHeight="1">
      <c r="A4020" s="1">
        <v>4056.0</v>
      </c>
      <c r="B4020" s="3" t="s">
        <v>11517</v>
      </c>
      <c r="C4020" s="3">
        <v>0.0</v>
      </c>
      <c r="D4020" s="3">
        <v>0.0</v>
      </c>
      <c r="E4020" s="3">
        <v>0.0</v>
      </c>
      <c r="F4020" s="3" t="s">
        <v>11518</v>
      </c>
      <c r="G4020" s="3">
        <v>1.0</v>
      </c>
      <c r="H4020" s="3">
        <v>0.0</v>
      </c>
      <c r="I4020" s="3" t="s">
        <v>13</v>
      </c>
      <c r="J4020" s="3" t="s">
        <v>11519</v>
      </c>
      <c r="K4020" s="3" t="s">
        <v>50</v>
      </c>
      <c r="L4020" s="3" t="str">
        <f>IFERROR(__xludf.DUMMYFUNCTION("GOOGLETRANSLATE(F4020,""id"",""en"")"),"conceded but he was the key to Argentina Final's victory to bring the World Cup nor he was not mbappe")</f>
        <v>conceded but he was the key to Argentina Final's victory to bring the World Cup nor he was not mbappe</v>
      </c>
    </row>
    <row r="4021" ht="15.75" customHeight="1">
      <c r="A4021" s="1">
        <v>4057.0</v>
      </c>
      <c r="B4021" s="3" t="s">
        <v>11520</v>
      </c>
      <c r="C4021" s="3">
        <v>0.0</v>
      </c>
      <c r="D4021" s="3">
        <v>0.0</v>
      </c>
      <c r="E4021" s="3">
        <v>0.0</v>
      </c>
      <c r="F4021" s="3" t="s">
        <v>11521</v>
      </c>
      <c r="G4021" s="3">
        <v>1.0</v>
      </c>
      <c r="H4021" s="3">
        <v>0.0</v>
      </c>
      <c r="I4021" s="3" t="s">
        <v>13</v>
      </c>
      <c r="J4021" s="3" t="s">
        <v>11522</v>
      </c>
      <c r="K4021" s="3" t="s">
        <v>437</v>
      </c>
      <c r="L4021" s="3" t="str">
        <f>IFERROR(__xludf.DUMMYFUNCTION("GOOGLETRANSLATE(F4021,""id"",""en"")"),"Chronology of the former Assistant Panji Adventurer Died in a Baby King Kobra Baby while watching the World Cup Final")</f>
        <v>Chronology of the former Assistant Panji Adventurer Died in a Baby King Kobra Baby while watching the World Cup Final</v>
      </c>
    </row>
    <row r="4022" ht="15.75" customHeight="1">
      <c r="A4022" s="1">
        <v>4058.0</v>
      </c>
      <c r="B4022" s="3" t="s">
        <v>11523</v>
      </c>
      <c r="C4022" s="3">
        <v>0.0</v>
      </c>
      <c r="D4022" s="3">
        <v>0.0</v>
      </c>
      <c r="E4022" s="3">
        <v>1.0</v>
      </c>
      <c r="F4022" s="3" t="s">
        <v>11524</v>
      </c>
      <c r="G4022" s="3">
        <v>1.0</v>
      </c>
      <c r="H4022" s="3">
        <v>0.0</v>
      </c>
      <c r="I4022" s="3" t="s">
        <v>13</v>
      </c>
      <c r="J4022" s="3" t="s">
        <v>11525</v>
      </c>
      <c r="K4022" s="3" t="s">
        <v>1045</v>
      </c>
      <c r="L4022" s="3" t="str">
        <f>IFERROR(__xludf.DUMMYFUNCTION("GOOGLETRANSLATE(F4022,""id"",""en"")"),"can't move from the excitement of watching together with the terooos of the World Cup final, congratulations for the scorer who managed to bring home a cool gift from us, wait for us")</f>
        <v>can't move from the excitement of watching together with the terooos of the World Cup final, congratulations for the scorer who managed to bring home a cool gift from us, wait for us</v>
      </c>
    </row>
    <row r="4023" ht="15.75" customHeight="1">
      <c r="A4023" s="1">
        <v>4059.0</v>
      </c>
      <c r="B4023" s="3" t="s">
        <v>11526</v>
      </c>
      <c r="C4023" s="3">
        <v>0.0</v>
      </c>
      <c r="D4023" s="3">
        <v>0.0</v>
      </c>
      <c r="E4023" s="3">
        <v>0.0</v>
      </c>
      <c r="F4023" s="3" t="s">
        <v>11401</v>
      </c>
      <c r="G4023" s="3">
        <v>1.0</v>
      </c>
      <c r="H4023" s="3">
        <v>0.0</v>
      </c>
      <c r="I4023" s="3" t="s">
        <v>13</v>
      </c>
      <c r="J4023" s="3" t="s">
        <v>11402</v>
      </c>
      <c r="K4023" s="3" t="s">
        <v>41</v>
      </c>
      <c r="L4023" s="3" t="str">
        <f>IFERROR(__xludf.DUMMYFUNCTION("GOOGLETRANSLATE(F4023,""id"",""en"")"),"Curhatan Messi after the World Cup Champion Summons Final to Maradona")</f>
        <v>Curhatan Messi after the World Cup Champion Summons Final to Maradona</v>
      </c>
    </row>
    <row r="4024" ht="15.75" customHeight="1">
      <c r="A4024" s="1">
        <v>4060.0</v>
      </c>
      <c r="B4024" s="3" t="s">
        <v>11527</v>
      </c>
      <c r="C4024" s="3">
        <v>2.0</v>
      </c>
      <c r="D4024" s="3">
        <v>0.0</v>
      </c>
      <c r="E4024" s="3">
        <v>6.0</v>
      </c>
      <c r="F4024" s="3" t="s">
        <v>11528</v>
      </c>
      <c r="G4024" s="3">
        <v>1.0</v>
      </c>
      <c r="H4024" s="3">
        <v>0.0</v>
      </c>
      <c r="I4024" s="3" t="s">
        <v>13</v>
      </c>
      <c r="J4024" s="3" t="s">
        <v>11529</v>
      </c>
      <c r="K4024" s="3" t="s">
        <v>228</v>
      </c>
      <c r="L4024" s="3" t="str">
        <f>IFERROR(__xludf.DUMMYFUNCTION("GOOGLETRANSLATE(F4024,""id"",""en"")"),"Before the incident of the Alprih had met a teenager who brought a snake at that time Alprih and friends were watching together watching the World Cup final even at that time the Alprih also did not bring equipment for the snake rescue only came to copy i"&amp;"t is only.")</f>
        <v>Before the incident of the Alprih had met a teenager who brought a snake at that time Alprih and friends were watching together watching the World Cup final even at that time the Alprih also did not bring equipment for the snake rescue only came to copy it is only.</v>
      </c>
    </row>
    <row r="4025" ht="15.75" customHeight="1">
      <c r="A4025" s="1">
        <v>4061.0</v>
      </c>
      <c r="B4025" s="3" t="s">
        <v>11530</v>
      </c>
      <c r="C4025" s="3">
        <v>0.0</v>
      </c>
      <c r="D4025" s="3">
        <v>0.0</v>
      </c>
      <c r="E4025" s="3">
        <v>0.0</v>
      </c>
      <c r="F4025" s="3" t="s">
        <v>11531</v>
      </c>
      <c r="G4025" s="3">
        <v>0.8333333333333333</v>
      </c>
      <c r="H4025" s="3">
        <v>0.1666666666666667</v>
      </c>
      <c r="I4025" s="3" t="s">
        <v>48</v>
      </c>
      <c r="J4025" s="3" t="s">
        <v>11532</v>
      </c>
      <c r="K4025" s="3" t="s">
        <v>510</v>
      </c>
      <c r="L4025" s="3" t="str">
        <f>IFERROR(__xludf.DUMMYFUNCTION("GOOGLETRANSLATE(F4025,""id"",""en"")"),"Still in a happy atmosphere can be a witness to the Final World Cup that is super crazyaaaaa even though no longer get a lottery")</f>
        <v>Still in a happy atmosphere can be a witness to the Final World Cup that is super crazyaaaaa even though no longer get a lottery</v>
      </c>
    </row>
    <row r="4026" ht="15.75" customHeight="1">
      <c r="A4026" s="1">
        <v>4062.0</v>
      </c>
      <c r="B4026" s="3" t="s">
        <v>11533</v>
      </c>
      <c r="C4026" s="3">
        <v>0.0</v>
      </c>
      <c r="D4026" s="3">
        <v>0.0</v>
      </c>
      <c r="E4026" s="3">
        <v>0.0</v>
      </c>
      <c r="F4026" s="3" t="s">
        <v>10591</v>
      </c>
      <c r="G4026" s="3">
        <v>1.0</v>
      </c>
      <c r="H4026" s="3">
        <v>0.0</v>
      </c>
      <c r="I4026" s="3" t="s">
        <v>13</v>
      </c>
      <c r="J4026" s="3" t="s">
        <v>10592</v>
      </c>
      <c r="K4026" s="3" t="s">
        <v>90</v>
      </c>
      <c r="L4026" s="3" t="str">
        <f>IFERROR(__xludf.DUMMYFUNCTION("GOOGLETRANSLATE(F4026,""id"",""en"")"),"Reposted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27" ht="15.75" customHeight="1">
      <c r="A4027" s="1">
        <v>4063.0</v>
      </c>
      <c r="B4027" s="3" t="s">
        <v>11534</v>
      </c>
      <c r="C4027" s="3">
        <v>2.0</v>
      </c>
      <c r="D4027" s="3">
        <v>2.0</v>
      </c>
      <c r="E4027" s="3">
        <v>3.0</v>
      </c>
      <c r="F4027" s="3" t="s">
        <v>11535</v>
      </c>
      <c r="G4027" s="3">
        <v>1.0</v>
      </c>
      <c r="H4027" s="3">
        <v>0.0</v>
      </c>
      <c r="I4027" s="3" t="s">
        <v>13</v>
      </c>
      <c r="J4027" s="3" t="s">
        <v>11536</v>
      </c>
      <c r="K4027" s="3" t="s">
        <v>244</v>
      </c>
      <c r="L4027" s="3" t="str">
        <f>IFERROR(__xludf.DUMMYFUNCTION("GOOGLETRANSLATE(F4027,""id"",""en"")"),"Can Nole invite to watch together with the World Cup Final with Emma like Father and Children")</f>
        <v>Can Nole invite to watch together with the World Cup Final with Emma like Father and Children</v>
      </c>
    </row>
    <row r="4028" ht="15.75" customHeight="1">
      <c r="A4028" s="1">
        <v>4064.0</v>
      </c>
      <c r="B4028" s="3" t="s">
        <v>11537</v>
      </c>
      <c r="C4028" s="3">
        <v>0.0</v>
      </c>
      <c r="D4028" s="3">
        <v>0.0</v>
      </c>
      <c r="E4028" s="3">
        <v>0.0</v>
      </c>
      <c r="F4028" s="3" t="s">
        <v>11538</v>
      </c>
      <c r="G4028" s="3">
        <v>1.0</v>
      </c>
      <c r="H4028" s="3">
        <v>0.0</v>
      </c>
      <c r="I4028" s="3" t="s">
        <v>13</v>
      </c>
      <c r="J4028" s="3" t="s">
        <v>11539</v>
      </c>
      <c r="K4028" s="3" t="s">
        <v>1428</v>
      </c>
      <c r="L4028" s="3" t="str">
        <f>IFERROR(__xludf.DUMMYFUNCTION("GOOGLETRANSLATE(F4028,""id"",""en"")"),"Watch together with the Final Football World Cup with ASJB and several private government agencies in the media network and other elements of society as a support for the implementation of the World Football Championship")</f>
        <v>Watch together with the Final Football World Cup with ASJB and several private government agencies in the media network and other elements of society as a support for the implementation of the World Football Championship</v>
      </c>
    </row>
    <row r="4029" ht="15.75" customHeight="1">
      <c r="A4029" s="1">
        <v>4065.0</v>
      </c>
      <c r="B4029" s="3" t="s">
        <v>11540</v>
      </c>
      <c r="C4029" s="3">
        <v>0.0</v>
      </c>
      <c r="D4029" s="3">
        <v>0.0</v>
      </c>
      <c r="E4029" s="3">
        <v>0.0</v>
      </c>
      <c r="F4029" s="3" t="s">
        <v>11541</v>
      </c>
      <c r="G4029" s="3">
        <v>1.0</v>
      </c>
      <c r="H4029" s="3">
        <v>0.0</v>
      </c>
      <c r="I4029" s="3" t="s">
        <v>13</v>
      </c>
      <c r="J4029" s="3" t="s">
        <v>11542</v>
      </c>
      <c r="K4029" s="3" t="s">
        <v>2013</v>
      </c>
      <c r="L4029" s="3" t="str">
        <f>IFERROR(__xludf.DUMMYFUNCTION("GOOGLETRANSLATE(F4029,""id"",""en"")"),"Yes, he means, try it, it does not mean that Argentina is in the final, meaning that if he enters the final, Argentina will meet Spain and the Argentine champion of Spain's reaction must be crazier because they are ambitious")</f>
        <v>Yes, he means, try it, it does not mean that Argentina is in the final, meaning that if he enters the final, Argentina will meet Spain and the Argentine champion of Spain's reaction must be crazier because they are ambitious</v>
      </c>
    </row>
    <row r="4030" ht="15.75" customHeight="1">
      <c r="A4030" s="1">
        <v>4066.0</v>
      </c>
      <c r="B4030" s="3" t="s">
        <v>11543</v>
      </c>
      <c r="C4030" s="3">
        <v>0.0</v>
      </c>
      <c r="D4030" s="3">
        <v>0.0</v>
      </c>
      <c r="E4030" s="3">
        <v>0.0</v>
      </c>
      <c r="F4030" s="3" t="s">
        <v>11401</v>
      </c>
      <c r="G4030" s="3">
        <v>1.0</v>
      </c>
      <c r="H4030" s="3">
        <v>0.0</v>
      </c>
      <c r="I4030" s="3" t="s">
        <v>13</v>
      </c>
      <c r="J4030" s="3" t="s">
        <v>11402</v>
      </c>
      <c r="K4030" s="3" t="s">
        <v>41</v>
      </c>
      <c r="L4030" s="3" t="str">
        <f>IFERROR(__xludf.DUMMYFUNCTION("GOOGLETRANSLATE(F4030,""id"",""en"")"),"Curhatan Messi after the World Cup Champion Summons Final to Maradona")</f>
        <v>Curhatan Messi after the World Cup Champion Summons Final to Maradona</v>
      </c>
    </row>
    <row r="4031" ht="15.75" customHeight="1">
      <c r="A4031" s="1">
        <v>4067.0</v>
      </c>
      <c r="B4031" s="3" t="s">
        <v>11544</v>
      </c>
      <c r="C4031" s="3">
        <v>0.0</v>
      </c>
      <c r="D4031" s="3">
        <v>0.0</v>
      </c>
      <c r="E4031" s="3">
        <v>1.0</v>
      </c>
      <c r="F4031" s="3" t="s">
        <v>11545</v>
      </c>
      <c r="G4031" s="3">
        <v>1.0</v>
      </c>
      <c r="H4031" s="3">
        <v>0.0</v>
      </c>
      <c r="I4031" s="3" t="s">
        <v>13</v>
      </c>
      <c r="J4031" s="3" t="s">
        <v>11546</v>
      </c>
      <c r="K4031" s="3" t="s">
        <v>510</v>
      </c>
      <c r="L4031" s="3" t="str">
        <f>IFERROR(__xludf.DUMMYFUNCTION("GOOGLETRANSLATE(F4031,""id"",""en"")"),"Watching the World Cup final yesterday accompanied by the husband's instant noodles even though I wanted to diet")</f>
        <v>Watching the World Cup final yesterday accompanied by the husband's instant noodles even though I wanted to diet</v>
      </c>
    </row>
    <row r="4032" ht="15.75" customHeight="1">
      <c r="A4032" s="1">
        <v>4068.0</v>
      </c>
      <c r="B4032" s="3" t="s">
        <v>11547</v>
      </c>
      <c r="C4032" s="3">
        <v>0.0</v>
      </c>
      <c r="D4032" s="3">
        <v>0.0</v>
      </c>
      <c r="E4032" s="3">
        <v>0.0</v>
      </c>
      <c r="F4032" s="3" t="s">
        <v>11548</v>
      </c>
      <c r="G4032" s="3">
        <v>1.0</v>
      </c>
      <c r="H4032" s="3">
        <v>0.0</v>
      </c>
      <c r="I4032" s="3" t="s">
        <v>13</v>
      </c>
      <c r="J4032" s="3" t="s">
        <v>11549</v>
      </c>
      <c r="K4032" s="3" t="s">
        <v>71</v>
      </c>
      <c r="L4032" s="3" t="str">
        <f>IFERROR(__xludf.DUMMYFUNCTION("GOOGLETRANSLATE(F4032,""id"",""en"")"),"Viral Bridal Fans Messi and Mbappe Married Final Day of the First Night World Cup Shell Via")</f>
        <v>Viral Bridal Fans Messi and Mbappe Married Final Day of the First Night World Cup Shell Via</v>
      </c>
    </row>
    <row r="4033" ht="15.75" customHeight="1">
      <c r="A4033" s="1">
        <v>4069.0</v>
      </c>
      <c r="B4033" s="3" t="s">
        <v>11550</v>
      </c>
      <c r="C4033" s="3">
        <v>0.0</v>
      </c>
      <c r="D4033" s="3">
        <v>0.0</v>
      </c>
      <c r="E4033" s="3">
        <v>0.0</v>
      </c>
      <c r="F4033" s="3" t="s">
        <v>11551</v>
      </c>
      <c r="G4033" s="3">
        <v>1.0</v>
      </c>
      <c r="H4033" s="3">
        <v>0.4</v>
      </c>
      <c r="I4033" s="3" t="s">
        <v>48</v>
      </c>
      <c r="J4033" s="3" t="s">
        <v>11552</v>
      </c>
      <c r="K4033" s="3" t="s">
        <v>1870</v>
      </c>
      <c r="L4033" s="3" t="str">
        <f>IFERROR(__xludf.DUMMYFUNCTION("GOOGLETRANSLATE(F4033,""id"",""en"")"),"Still about legends football Leo Messi this year is not at all an obstacle for him to be able to provide a goal from the group stage until the World Cup final all moments of proud to have an extension at the Extraordinary national team level")</f>
        <v>Still about legends football Leo Messi this year is not at all an obstacle for him to be able to provide a goal from the group stage until the World Cup final all moments of proud to have an extension at the Extraordinary national team level</v>
      </c>
    </row>
    <row r="4034" ht="15.75" customHeight="1">
      <c r="A4034" s="1">
        <v>4070.0</v>
      </c>
      <c r="B4034" s="3" t="s">
        <v>11553</v>
      </c>
      <c r="C4034" s="3">
        <v>0.0</v>
      </c>
      <c r="D4034" s="3">
        <v>0.0</v>
      </c>
      <c r="E4034" s="3">
        <v>0.0</v>
      </c>
      <c r="F4034" s="3" t="s">
        <v>11554</v>
      </c>
      <c r="G4034" s="3">
        <v>1.0</v>
      </c>
      <c r="H4034" s="3">
        <v>0.0</v>
      </c>
      <c r="I4034" s="3" t="s">
        <v>13</v>
      </c>
      <c r="J4034" s="3" t="s">
        <v>2116</v>
      </c>
      <c r="K4034" s="3" t="s">
        <v>2117</v>
      </c>
      <c r="L4034" s="3" t="str">
        <f>IFERROR(__xludf.DUMMYFUNCTION("GOOGLETRANSLATE(F4034,""id"",""en"")"),"From the World Cup final")</f>
        <v>From the World Cup final</v>
      </c>
    </row>
    <row r="4035" ht="15.75" customHeight="1">
      <c r="A4035" s="1">
        <v>4071.0</v>
      </c>
      <c r="B4035" s="3" t="s">
        <v>11555</v>
      </c>
      <c r="C4035" s="3">
        <v>1.0</v>
      </c>
      <c r="D4035" s="3">
        <v>0.0</v>
      </c>
      <c r="E4035" s="3">
        <v>0.0</v>
      </c>
      <c r="F4035" s="3" t="s">
        <v>11556</v>
      </c>
      <c r="G4035" s="3">
        <v>0.875</v>
      </c>
      <c r="H4035" s="3">
        <v>0.0</v>
      </c>
      <c r="I4035" s="3" t="s">
        <v>13</v>
      </c>
      <c r="J4035" s="3" t="s">
        <v>11557</v>
      </c>
      <c r="K4035" s="3" t="s">
        <v>215</v>
      </c>
      <c r="L4035" s="3" t="str">
        <f>IFERROR(__xludf.DUMMYFUNCTION("GOOGLETRANSLATE(F4035,""id"",""en"")"),"Various kinds of interesting activities and games are carried out such as the PlayStation Tournament Soccer Football Table Competition Jugling Quiz with a total prize of millions of rupiah and ends with watching together with the World Cup final between F"&amp;"rench Argentina")</f>
        <v>Various kinds of interesting activities and games are carried out such as the PlayStation Tournament Soccer Football Table Competition Jugling Quiz with a total prize of millions of rupiah and ends with watching together with the World Cup final between French Argentina</v>
      </c>
    </row>
    <row r="4036" ht="15.75" customHeight="1">
      <c r="A4036" s="1">
        <v>4072.0</v>
      </c>
      <c r="B4036" s="3" t="s">
        <v>11558</v>
      </c>
      <c r="C4036" s="3">
        <v>0.0</v>
      </c>
      <c r="D4036" s="3">
        <v>0.0</v>
      </c>
      <c r="E4036" s="3">
        <v>0.0</v>
      </c>
      <c r="F4036" s="3" t="s">
        <v>11559</v>
      </c>
      <c r="G4036" s="3">
        <v>1.0</v>
      </c>
      <c r="H4036" s="3">
        <v>0.0</v>
      </c>
      <c r="I4036" s="3" t="s">
        <v>13</v>
      </c>
      <c r="J4036" s="3" t="s">
        <v>11560</v>
      </c>
      <c r="K4036" s="3" t="s">
        <v>75</v>
      </c>
      <c r="L4036" s="3" t="str">
        <f>IFERROR(__xludf.DUMMYFUNCTION("GOOGLETRANSLATE(F4036,""id"",""en"")"),"Want to buy the original ball used by the World Cup final, prepare millions")</f>
        <v>Want to buy the original ball used by the World Cup final, prepare millions</v>
      </c>
    </row>
    <row r="4037" ht="15.75" customHeight="1">
      <c r="A4037" s="1">
        <v>4073.0</v>
      </c>
      <c r="B4037" s="3" t="s">
        <v>11561</v>
      </c>
      <c r="C4037" s="3">
        <v>0.0</v>
      </c>
      <c r="D4037" s="3">
        <v>0.0</v>
      </c>
      <c r="E4037" s="3">
        <v>1.0</v>
      </c>
      <c r="F4037" s="3" t="s">
        <v>11554</v>
      </c>
      <c r="G4037" s="3">
        <v>1.0</v>
      </c>
      <c r="H4037" s="3">
        <v>0.0</v>
      </c>
      <c r="I4037" s="3" t="s">
        <v>13</v>
      </c>
      <c r="J4037" s="3" t="s">
        <v>2116</v>
      </c>
      <c r="K4037" s="3" t="s">
        <v>2117</v>
      </c>
      <c r="L4037" s="3" t="str">
        <f>IFERROR(__xludf.DUMMYFUNCTION("GOOGLETRANSLATE(F4037,""id"",""en"")"),"From the World Cup final")</f>
        <v>From the World Cup final</v>
      </c>
    </row>
    <row r="4038" ht="15.75" customHeight="1">
      <c r="A4038" s="1">
        <v>4074.0</v>
      </c>
      <c r="B4038" s="3" t="s">
        <v>11562</v>
      </c>
      <c r="C4038" s="3">
        <v>0.0</v>
      </c>
      <c r="D4038" s="3">
        <v>0.0</v>
      </c>
      <c r="E4038" s="3">
        <v>0.0</v>
      </c>
      <c r="F4038" s="3" t="s">
        <v>11554</v>
      </c>
      <c r="G4038" s="3">
        <v>1.0</v>
      </c>
      <c r="H4038" s="3">
        <v>0.0</v>
      </c>
      <c r="I4038" s="3" t="s">
        <v>13</v>
      </c>
      <c r="J4038" s="3" t="s">
        <v>2116</v>
      </c>
      <c r="K4038" s="3" t="s">
        <v>2117</v>
      </c>
      <c r="L4038" s="3" t="str">
        <f>IFERROR(__xludf.DUMMYFUNCTION("GOOGLETRANSLATE(F4038,""id"",""en"")"),"From the World Cup final")</f>
        <v>From the World Cup final</v>
      </c>
    </row>
    <row r="4039" ht="15.75" customHeight="1">
      <c r="A4039" s="1">
        <v>4075.0</v>
      </c>
      <c r="B4039" s="3" t="s">
        <v>11563</v>
      </c>
      <c r="C4039" s="3">
        <v>0.0</v>
      </c>
      <c r="D4039" s="3">
        <v>0.0</v>
      </c>
      <c r="E4039" s="3">
        <v>0.0</v>
      </c>
      <c r="F4039" s="3" t="s">
        <v>11564</v>
      </c>
      <c r="G4039" s="3">
        <v>1.0</v>
      </c>
      <c r="H4039" s="3">
        <v>0.0</v>
      </c>
      <c r="I4039" s="3" t="s">
        <v>13</v>
      </c>
      <c r="J4039" s="3" t="s">
        <v>11565</v>
      </c>
      <c r="K4039" s="3" t="s">
        <v>19</v>
      </c>
      <c r="L4039" s="3" t="str">
        <f>IFERROR(__xludf.DUMMYFUNCTION("GOOGLETRANSLATE(F4039,""id"",""en"")"),"Stories of Football Courage and Emiliano Martinez World Cup Final Reading here")</f>
        <v>Stories of Football Courage and Emiliano Martinez World Cup Final Reading here</v>
      </c>
    </row>
    <row r="4040" ht="15.75" customHeight="1">
      <c r="A4040" s="1">
        <v>4076.0</v>
      </c>
      <c r="B4040" s="3" t="s">
        <v>11566</v>
      </c>
      <c r="C4040" s="3">
        <v>0.0</v>
      </c>
      <c r="D4040" s="3">
        <v>0.0</v>
      </c>
      <c r="E4040" s="3">
        <v>0.0</v>
      </c>
      <c r="F4040" s="3" t="s">
        <v>11567</v>
      </c>
      <c r="G4040" s="3">
        <v>1.0</v>
      </c>
      <c r="H4040" s="3">
        <v>0.0</v>
      </c>
      <c r="I4040" s="3" t="s">
        <v>13</v>
      </c>
      <c r="J4040" s="3" t="s">
        <v>11568</v>
      </c>
      <c r="K4040" s="3" t="s">
        <v>41</v>
      </c>
      <c r="L4040" s="3" t="str">
        <f>IFERROR(__xludf.DUMMYFUNCTION("GOOGLETRANSLATE(F4040,""id"",""en"")"),"Pioli's response to Olivier Giroud when Milan returned after losing the World Cup final")</f>
        <v>Pioli's response to Olivier Giroud when Milan returned after losing the World Cup final</v>
      </c>
    </row>
    <row r="4041" ht="15.75" customHeight="1">
      <c r="A4041" s="1">
        <v>4078.0</v>
      </c>
      <c r="B4041" s="3" t="s">
        <v>11569</v>
      </c>
      <c r="C4041" s="3">
        <v>0.0</v>
      </c>
      <c r="D4041" s="3">
        <v>0.0</v>
      </c>
      <c r="E4041" s="3">
        <v>0.0</v>
      </c>
      <c r="F4041" s="3" t="s">
        <v>11570</v>
      </c>
      <c r="G4041" s="3">
        <v>1.0</v>
      </c>
      <c r="H4041" s="3">
        <v>0.0</v>
      </c>
      <c r="I4041" s="3" t="s">
        <v>13</v>
      </c>
      <c r="J4041" s="3" t="s">
        <v>11571</v>
      </c>
      <c r="K4041" s="3" t="s">
        <v>58</v>
      </c>
      <c r="L4041" s="3" t="str">
        <f>IFERROR(__xludf.DUMMYFUNCTION("GOOGLETRANSLATE(F4041,""id"",""en"")"),"Seconds of Alprih Priyono died because of the pecked snake king cobra during the World Cup Final Nobar")</f>
        <v>Seconds of Alprih Priyono died because of the pecked snake king cobra during the World Cup Final Nobar</v>
      </c>
    </row>
    <row r="4042" ht="15.75" customHeight="1">
      <c r="A4042" s="1">
        <v>4080.0</v>
      </c>
      <c r="B4042" s="3" t="s">
        <v>11572</v>
      </c>
      <c r="C4042" s="3">
        <v>2.0</v>
      </c>
      <c r="D4042" s="3">
        <v>0.0</v>
      </c>
      <c r="E4042" s="3">
        <v>0.0</v>
      </c>
      <c r="F4042" s="3" t="s">
        <v>11573</v>
      </c>
      <c r="G4042" s="3">
        <v>0.85</v>
      </c>
      <c r="H4042" s="3">
        <v>-0.05000000000000001</v>
      </c>
      <c r="I4042" s="3" t="s">
        <v>179</v>
      </c>
      <c r="J4042" s="3" t="s">
        <v>11574</v>
      </c>
      <c r="K4042" s="3" t="s">
        <v>3819</v>
      </c>
      <c r="L4042" s="3" t="str">
        <f>IFERROR(__xludf.DUMMYFUNCTION("GOOGLETRANSLATE(F4042,""id"",""en"")"),"Sorry bro, the idol player of the World Cup champion long before Messi World Cup World Champion this time I only watched the Full Match Uruguay South Korea just not even watching")</f>
        <v>Sorry bro, the idol player of the World Cup champion long before Messi World Cup World Champion this time I only watched the Full Match Uruguay South Korea just not even watching</v>
      </c>
    </row>
    <row r="4043" ht="15.75" customHeight="1">
      <c r="A4043" s="1">
        <v>4081.0</v>
      </c>
      <c r="B4043" s="3" t="s">
        <v>11575</v>
      </c>
      <c r="C4043" s="3">
        <v>0.0</v>
      </c>
      <c r="D4043" s="3">
        <v>0.0</v>
      </c>
      <c r="E4043" s="3">
        <v>1.0</v>
      </c>
      <c r="F4043" s="3" t="s">
        <v>11576</v>
      </c>
      <c r="G4043" s="3">
        <v>1.0</v>
      </c>
      <c r="H4043" s="3">
        <v>0.0</v>
      </c>
      <c r="I4043" s="3" t="s">
        <v>13</v>
      </c>
      <c r="J4043" s="3" t="s">
        <v>11577</v>
      </c>
      <c r="K4043" s="3" t="s">
        <v>1293</v>
      </c>
      <c r="L4043" s="3" t="str">
        <f>IFERROR(__xludf.DUMMYFUNCTION("GOOGLETRANSLATE(F4043,""id"",""en"")"),"Deje maybe because the country will not qualify for the semi -finals of the World Cup talking it is the same as writing cheap news like Deje")</f>
        <v>Deje maybe because the country will not qualify for the semi -finals of the World Cup talking it is the same as writing cheap news like Deje</v>
      </c>
    </row>
    <row r="4044" ht="15.75" customHeight="1">
      <c r="A4044" s="1">
        <v>4082.0</v>
      </c>
      <c r="B4044" s="3" t="s">
        <v>11578</v>
      </c>
      <c r="C4044" s="3">
        <v>0.0</v>
      </c>
      <c r="D4044" s="3">
        <v>0.0</v>
      </c>
      <c r="E4044" s="3">
        <v>0.0</v>
      </c>
      <c r="F4044" s="3" t="s">
        <v>11579</v>
      </c>
      <c r="G4044" s="3">
        <v>1.0</v>
      </c>
      <c r="H4044" s="3">
        <v>0.0</v>
      </c>
      <c r="I4044" s="3" t="s">
        <v>13</v>
      </c>
      <c r="J4044" s="3" t="s">
        <v>11580</v>
      </c>
      <c r="K4044" s="3" t="s">
        <v>348</v>
      </c>
      <c r="L4044" s="3" t="str">
        <f>IFERROR(__xludf.DUMMYFUNCTION("GOOGLETRANSLATE(F4044,""id"",""en"")"),"Ansar Ahmad Soerya Respationo watched together with the World Cup Final with the Batam Argentine community to defeat France through the full penalty drama")</f>
        <v>Ansar Ahmad Soerya Respationo watched together with the World Cup Final with the Batam Argentine community to defeat France through the full penalty drama</v>
      </c>
    </row>
    <row r="4045" ht="15.75" customHeight="1">
      <c r="A4045" s="1">
        <v>4083.0</v>
      </c>
      <c r="B4045" s="3" t="s">
        <v>11581</v>
      </c>
      <c r="C4045" s="3">
        <v>1.0</v>
      </c>
      <c r="D4045" s="3">
        <v>0.0</v>
      </c>
      <c r="E4045" s="3">
        <v>0.0</v>
      </c>
      <c r="F4045" s="3" t="s">
        <v>11582</v>
      </c>
      <c r="G4045" s="3">
        <v>1.0</v>
      </c>
      <c r="H4045" s="3">
        <v>0.0</v>
      </c>
      <c r="I4045" s="3" t="s">
        <v>13</v>
      </c>
      <c r="J4045" s="3" t="s">
        <v>11583</v>
      </c>
      <c r="K4045" s="3" t="s">
        <v>50</v>
      </c>
      <c r="L4045" s="3" t="str">
        <f>IFERROR(__xludf.DUMMYFUNCTION("GOOGLETRANSLATE(F4045,""id"",""en"")"),"French striker Kylian Mbappe is almost a scourge for the Argentina World Cup Final")</f>
        <v>French striker Kylian Mbappe is almost a scourge for the Argentina World Cup Final</v>
      </c>
    </row>
    <row r="4046" ht="15.75" customHeight="1">
      <c r="A4046" s="1">
        <v>4084.0</v>
      </c>
      <c r="B4046" s="3" t="s">
        <v>11584</v>
      </c>
      <c r="C4046" s="3">
        <v>0.0</v>
      </c>
      <c r="D4046" s="3">
        <v>0.0</v>
      </c>
      <c r="E4046" s="3">
        <v>0.0</v>
      </c>
      <c r="F4046" s="3" t="s">
        <v>11585</v>
      </c>
      <c r="G4046" s="3">
        <v>1.0</v>
      </c>
      <c r="H4046" s="3">
        <v>0.0</v>
      </c>
      <c r="I4046" s="3" t="s">
        <v>13</v>
      </c>
      <c r="J4046" s="3" t="s">
        <v>11586</v>
      </c>
      <c r="K4046" s="3" t="s">
        <v>240</v>
      </c>
      <c r="L4046" s="3" t="str">
        <f>IFERROR(__xludf.DUMMYFUNCTION("GOOGLETRANSLATE(F4046,""id"",""en"")"),"staying up late is only the final of the World Cup but the effect is still to this day even though Monday is the same Tuesday already sleeping hours then")</f>
        <v>staying up late is only the final of the World Cup but the effect is still to this day even though Monday is the same Tuesday already sleeping hours then</v>
      </c>
    </row>
    <row r="4047" ht="15.75" customHeight="1">
      <c r="A4047" s="1">
        <v>4085.0</v>
      </c>
      <c r="B4047" s="3" t="s">
        <v>11587</v>
      </c>
      <c r="C4047" s="3">
        <v>1.0</v>
      </c>
      <c r="D4047" s="3">
        <v>0.0</v>
      </c>
      <c r="E4047" s="3">
        <v>0.0</v>
      </c>
      <c r="F4047" s="3" t="s">
        <v>11588</v>
      </c>
      <c r="G4047" s="3">
        <v>1.0</v>
      </c>
      <c r="H4047" s="3">
        <v>0.0</v>
      </c>
      <c r="I4047" s="3" t="s">
        <v>13</v>
      </c>
      <c r="J4047" s="3" t="s">
        <v>11589</v>
      </c>
      <c r="K4047" s="3" t="s">
        <v>11590</v>
      </c>
      <c r="L4047" s="3" t="str">
        <f>IFERROR(__xludf.DUMMYFUNCTION("GOOGLETRANSLATE(F4047,""id"",""en"")"),"I am like the time, the time, I passed the group, the social media was crowded, making a lot of memes for Messi because I lost my opponents, but I still optimistic it until I passed by a single Agentina World Cup match.")</f>
        <v>I am like the time, the time, I passed the group, the social media was crowded, making a lot of memes for Messi because I lost my opponents, but I still optimistic it until I passed by a single Agentina World Cup match.</v>
      </c>
    </row>
    <row r="4048" ht="15.75" customHeight="1">
      <c r="A4048" s="1">
        <v>4086.0</v>
      </c>
      <c r="B4048" s="3" t="s">
        <v>11591</v>
      </c>
      <c r="C4048" s="3">
        <v>0.0</v>
      </c>
      <c r="D4048" s="3">
        <v>0.0</v>
      </c>
      <c r="E4048" s="3">
        <v>1.0</v>
      </c>
      <c r="F4048" s="3" t="s">
        <v>11592</v>
      </c>
      <c r="G4048" s="3">
        <v>1.0</v>
      </c>
      <c r="H4048" s="3">
        <v>0.0</v>
      </c>
      <c r="I4048" s="3" t="s">
        <v>13</v>
      </c>
      <c r="J4048" s="3" t="s">
        <v>11593</v>
      </c>
      <c r="K4048" s="3" t="s">
        <v>54</v>
      </c>
      <c r="L4048" s="3" t="str">
        <f>IFERROR(__xludf.DUMMYFUNCTION("GOOGLETRANSLATE(F4048,""id"",""en"")"),"Crypto Final World Cup Odds Wkwkwk")</f>
        <v>Crypto Final World Cup Odds Wkwkwk</v>
      </c>
    </row>
    <row r="4049" ht="15.75" customHeight="1">
      <c r="A4049" s="1">
        <v>4087.0</v>
      </c>
      <c r="B4049" s="3" t="s">
        <v>11594</v>
      </c>
      <c r="C4049" s="3">
        <v>1.0</v>
      </c>
      <c r="D4049" s="3">
        <v>0.0</v>
      </c>
      <c r="E4049" s="3">
        <v>4.0</v>
      </c>
      <c r="F4049" s="3" t="s">
        <v>11401</v>
      </c>
      <c r="G4049" s="3">
        <v>1.0</v>
      </c>
      <c r="H4049" s="3">
        <v>0.0</v>
      </c>
      <c r="I4049" s="3" t="s">
        <v>13</v>
      </c>
      <c r="J4049" s="3" t="s">
        <v>11402</v>
      </c>
      <c r="K4049" s="3" t="s">
        <v>41</v>
      </c>
      <c r="L4049" s="3" t="str">
        <f>IFERROR(__xludf.DUMMYFUNCTION("GOOGLETRANSLATE(F4049,""id"",""en"")"),"Curhatan Messi after the World Cup Champion Summons Final to Maradona")</f>
        <v>Curhatan Messi after the World Cup Champion Summons Final to Maradona</v>
      </c>
    </row>
    <row r="4050" ht="15.75" customHeight="1">
      <c r="A4050" s="1">
        <v>4088.0</v>
      </c>
      <c r="B4050" s="3" t="s">
        <v>11595</v>
      </c>
      <c r="C4050" s="3">
        <v>0.0</v>
      </c>
      <c r="D4050" s="3">
        <v>0.0</v>
      </c>
      <c r="E4050" s="3">
        <v>0.0</v>
      </c>
      <c r="F4050" s="3" t="s">
        <v>11596</v>
      </c>
      <c r="G4050" s="3">
        <v>1.0</v>
      </c>
      <c r="H4050" s="3">
        <v>0.0</v>
      </c>
      <c r="I4050" s="3" t="s">
        <v>13</v>
      </c>
      <c r="J4050" s="3" t="s">
        <v>11597</v>
      </c>
      <c r="K4050" s="3" t="s">
        <v>71</v>
      </c>
      <c r="L4050" s="3" t="str">
        <f>IFERROR(__xludf.DUMMYFUNCTION("GOOGLETRANSLATE(F4050,""id"",""en"")"),"France's defeat of the World Cup Final Argentina made Lionel Messi who played PSG the teasing")</f>
        <v>France's defeat of the World Cup Final Argentina made Lionel Messi who played PSG the teasing</v>
      </c>
    </row>
    <row r="4051" ht="15.75" customHeight="1">
      <c r="A4051" s="1">
        <v>4089.0</v>
      </c>
      <c r="B4051" s="3" t="s">
        <v>11598</v>
      </c>
      <c r="C4051" s="3">
        <v>1.0</v>
      </c>
      <c r="D4051" s="3">
        <v>0.0</v>
      </c>
      <c r="E4051" s="3">
        <v>13.0</v>
      </c>
      <c r="F4051" s="3" t="s">
        <v>11494</v>
      </c>
      <c r="G4051" s="3">
        <v>1.0</v>
      </c>
      <c r="H4051" s="3">
        <v>0.0</v>
      </c>
      <c r="I4051" s="3" t="s">
        <v>13</v>
      </c>
      <c r="J4051" s="3" t="s">
        <v>11495</v>
      </c>
      <c r="K4051" s="3" t="s">
        <v>240</v>
      </c>
      <c r="L4051" s="3" t="str">
        <f>IFERROR(__xludf.DUMMYFUNCTION("GOOGLETRANSLATE(F4051,""id"",""en"")"),"Angel Maria became one of the Argentina victory actors in the World Cup Final there was a story behind her spilled tears")</f>
        <v>Angel Maria became one of the Argentina victory actors in the World Cup Final there was a story behind her spilled tears</v>
      </c>
    </row>
    <row r="4052" ht="15.75" customHeight="1">
      <c r="A4052" s="1">
        <v>4090.0</v>
      </c>
      <c r="B4052" s="3" t="s">
        <v>11599</v>
      </c>
      <c r="C4052" s="3">
        <v>0.0</v>
      </c>
      <c r="D4052" s="3">
        <v>0.0</v>
      </c>
      <c r="E4052" s="3">
        <v>2.0</v>
      </c>
      <c r="F4052" s="3" t="s">
        <v>11600</v>
      </c>
      <c r="G4052" s="3">
        <v>1.0</v>
      </c>
      <c r="H4052" s="3">
        <v>0.0</v>
      </c>
      <c r="I4052" s="3" t="s">
        <v>13</v>
      </c>
      <c r="J4052" s="3" t="s">
        <v>11601</v>
      </c>
      <c r="K4052" s="3" t="s">
        <v>495</v>
      </c>
      <c r="L4052" s="3" t="str">
        <f>IFERROR(__xludf.DUMMYFUNCTION("GOOGLETRANSLATE(F4052,""id"",""en"")"),"Without the help of a Buzzer Garut, it was able to take the Terkam Football Team Moroko Village Forward the Qatar World Cup Final, Peesesi should be proud")</f>
        <v>Without the help of a Buzzer Garut, it was able to take the Terkam Football Team Moroko Village Forward the Qatar World Cup Final, Peesesi should be proud</v>
      </c>
    </row>
    <row r="4053" ht="15.75" customHeight="1">
      <c r="A4053" s="1">
        <v>4091.0</v>
      </c>
      <c r="B4053" s="3" t="s">
        <v>11602</v>
      </c>
      <c r="C4053" s="3">
        <v>0.0</v>
      </c>
      <c r="D4053" s="3">
        <v>2.0</v>
      </c>
      <c r="E4053" s="3">
        <v>3.0</v>
      </c>
      <c r="F4053" s="3" t="s">
        <v>11603</v>
      </c>
      <c r="G4053" s="3">
        <v>1.0</v>
      </c>
      <c r="H4053" s="3">
        <v>0.0</v>
      </c>
      <c r="I4053" s="3" t="s">
        <v>13</v>
      </c>
      <c r="J4053" s="3" t="s">
        <v>11604</v>
      </c>
      <c r="K4053" s="3" t="s">
        <v>75</v>
      </c>
      <c r="L4053" s="3" t="str">
        <f>IFERROR(__xludf.DUMMYFUNCTION("GOOGLETRANSLATE(F4053,""id"",""en"")"),"After being so during the night of the World Cup Final Dinar Candy, she admitted that")</f>
        <v>After being so during the night of the World Cup Final Dinar Candy, she admitted that</v>
      </c>
    </row>
    <row r="4054" ht="15.75" customHeight="1">
      <c r="A4054" s="1">
        <v>4092.0</v>
      </c>
      <c r="B4054" s="3" t="s">
        <v>11605</v>
      </c>
      <c r="C4054" s="3">
        <v>1.0</v>
      </c>
      <c r="D4054" s="3">
        <v>0.0</v>
      </c>
      <c r="E4054" s="3">
        <v>0.0</v>
      </c>
      <c r="F4054" s="3" t="s">
        <v>11606</v>
      </c>
      <c r="G4054" s="3">
        <v>0.75</v>
      </c>
      <c r="H4054" s="3">
        <v>0.03125</v>
      </c>
      <c r="I4054" s="3" t="s">
        <v>48</v>
      </c>
      <c r="J4054" s="3" t="s">
        <v>11607</v>
      </c>
      <c r="K4054" s="3" t="s">
        <v>11608</v>
      </c>
      <c r="L4054" s="3" t="str">
        <f>IFERROR(__xludf.DUMMYFUNCTION("GOOGLETRANSLATE(F4054,""id"",""en"")"),"The final did not fail to be a penalty and then announced retirement from the national team after that the Russian World Cup failed to lose to France and then lost to the semifinal Copa America against Brazil until finally awaited Messi's first major trop"&amp;"hy for Argentina")</f>
        <v>The final did not fail to be a penalty and then announced retirement from the national team after that the Russian World Cup failed to lose to France and then lost to the semifinal Copa America against Brazil until finally awaited Messi's first major trophy for Argentina</v>
      </c>
    </row>
    <row r="4055" ht="15.75" customHeight="1">
      <c r="A4055" s="1">
        <v>4093.0</v>
      </c>
      <c r="B4055" s="3" t="s">
        <v>11609</v>
      </c>
      <c r="C4055" s="3">
        <v>0.0</v>
      </c>
      <c r="D4055" s="3">
        <v>0.0</v>
      </c>
      <c r="E4055" s="3">
        <v>0.0</v>
      </c>
      <c r="F4055" s="3" t="s">
        <v>11610</v>
      </c>
      <c r="G4055" s="3">
        <v>1.0</v>
      </c>
      <c r="H4055" s="3">
        <v>0.0</v>
      </c>
      <c r="I4055" s="3" t="s">
        <v>13</v>
      </c>
      <c r="J4055" s="3" t="s">
        <v>11611</v>
      </c>
      <c r="K4055" s="3" t="s">
        <v>236</v>
      </c>
      <c r="L4055" s="3" t="str">
        <f>IFERROR(__xludf.DUMMYFUNCTION("GOOGLETRANSLATE(F4055,""id"",""en"")"),"Yes, when the World Cup final goes from all of him and the penalty he also gave a goal")</f>
        <v>Yes, when the World Cup final goes from all of him and the penalty he also gave a goal</v>
      </c>
    </row>
    <row r="4056" ht="15.75" customHeight="1">
      <c r="A4056" s="1">
        <v>4094.0</v>
      </c>
      <c r="B4056" s="3" t="s">
        <v>11612</v>
      </c>
      <c r="C4056" s="3">
        <v>1.0</v>
      </c>
      <c r="D4056" s="3">
        <v>0.0</v>
      </c>
      <c r="E4056" s="3">
        <v>1.0</v>
      </c>
      <c r="F4056" s="3" t="s">
        <v>11613</v>
      </c>
      <c r="G4056" s="3">
        <v>1.0</v>
      </c>
      <c r="H4056" s="3">
        <v>0.0</v>
      </c>
      <c r="I4056" s="3" t="s">
        <v>13</v>
      </c>
      <c r="J4056" s="3" t="s">
        <v>11614</v>
      </c>
      <c r="K4056" s="3" t="s">
        <v>510</v>
      </c>
      <c r="L4056" s="3" t="str">
        <f>IFERROR(__xludf.DUMMYFUNCTION("GOOGLETRANSLATE(F4056,""id"",""en"")"),"Nobar exciting Final FIFA World Cup Argentina France who didn't watch the World Cup Check")</f>
        <v>Nobar exciting Final FIFA World Cup Argentina France who didn't watch the World Cup Check</v>
      </c>
    </row>
    <row r="4057" ht="15.75" customHeight="1">
      <c r="A4057" s="1">
        <v>4095.0</v>
      </c>
      <c r="B4057" s="3" t="s">
        <v>11615</v>
      </c>
      <c r="C4057" s="3">
        <v>1.0</v>
      </c>
      <c r="D4057" s="3">
        <v>0.0</v>
      </c>
      <c r="E4057" s="3">
        <v>0.0</v>
      </c>
      <c r="F4057" s="3" t="s">
        <v>11616</v>
      </c>
      <c r="G4057" s="3">
        <v>1.0</v>
      </c>
      <c r="H4057" s="3">
        <v>0.0</v>
      </c>
      <c r="I4057" s="3" t="s">
        <v>13</v>
      </c>
      <c r="J4057" s="3" t="s">
        <v>11617</v>
      </c>
      <c r="K4057" s="3" t="s">
        <v>11618</v>
      </c>
      <c r="L4057" s="3" t="str">
        <f>IFERROR(__xludf.DUMMYFUNCTION("GOOGLETRANSLATE(F4057,""id"",""en"")"),"Already followed Messi from SKTR in the year when Pep trained Barca and then joined the tie when losing the final of the German Lwan World Cup even though it was only one step away to lift the trophy, it was still not a fortune not long after that losing "&amp;"the final Copa America year")</f>
        <v>Already followed Messi from SKTR in the year when Pep trained Barca and then joined the tie when losing the final of the German Lwan World Cup even though it was only one step away to lift the trophy, it was still not a fortune not long after that losing the final Copa America year</v>
      </c>
    </row>
    <row r="4058" ht="15.75" customHeight="1">
      <c r="A4058" s="1">
        <v>4097.0</v>
      </c>
      <c r="B4058" s="3" t="s">
        <v>11619</v>
      </c>
      <c r="C4058" s="3">
        <v>0.0</v>
      </c>
      <c r="D4058" s="3">
        <v>0.0</v>
      </c>
      <c r="E4058" s="3">
        <v>0.0</v>
      </c>
      <c r="F4058" s="3" t="s">
        <v>11620</v>
      </c>
      <c r="G4058" s="3">
        <v>1.0</v>
      </c>
      <c r="H4058" s="3">
        <v>0.0</v>
      </c>
      <c r="I4058" s="3" t="s">
        <v>13</v>
      </c>
      <c r="J4058" s="3" t="s">
        <v>11621</v>
      </c>
      <c r="K4058" s="3" t="s">
        <v>510</v>
      </c>
      <c r="L4058" s="3" t="str">
        <f>IFERROR(__xludf.DUMMYFUNCTION("GOOGLETRANSLATE(F4058,""id"",""en"")"),"FIFA Ranking Update After the Argentine World Cup Final Slipping in Brazil")</f>
        <v>FIFA Ranking Update After the Argentine World Cup Final Slipping in Brazil</v>
      </c>
    </row>
    <row r="4059" ht="15.75" customHeight="1">
      <c r="A4059" s="1">
        <v>4098.0</v>
      </c>
      <c r="B4059" s="3" t="s">
        <v>11622</v>
      </c>
      <c r="C4059" s="3">
        <v>0.0</v>
      </c>
      <c r="D4059" s="3">
        <v>0.0</v>
      </c>
      <c r="E4059" s="3">
        <v>0.0</v>
      </c>
      <c r="F4059" s="3" t="s">
        <v>11623</v>
      </c>
      <c r="G4059" s="3">
        <v>1.0</v>
      </c>
      <c r="H4059" s="3">
        <v>0.0</v>
      </c>
      <c r="I4059" s="3" t="s">
        <v>13</v>
      </c>
      <c r="J4059" s="3" t="s">
        <v>11624</v>
      </c>
      <c r="K4059" s="3" t="s">
        <v>75</v>
      </c>
      <c r="L4059" s="3" t="str">
        <f>IFERROR(__xludf.DUMMYFUNCTION("GOOGLETRANSLATE(F4059,""id"",""en"")"),"Portrait of the World Cup Final Wags There are Antonela Roccuzzo to Erika Choperena")</f>
        <v>Portrait of the World Cup Final Wags There are Antonela Roccuzzo to Erika Choperena</v>
      </c>
    </row>
    <row r="4060" ht="15.75" customHeight="1">
      <c r="A4060" s="1">
        <v>4099.0</v>
      </c>
      <c r="B4060" s="3" t="s">
        <v>11625</v>
      </c>
      <c r="C4060" s="3">
        <v>1.0</v>
      </c>
      <c r="D4060" s="3">
        <v>0.0</v>
      </c>
      <c r="E4060" s="3">
        <v>1.0</v>
      </c>
      <c r="F4060" s="3" t="s">
        <v>11626</v>
      </c>
      <c r="G4060" s="3">
        <v>1.0</v>
      </c>
      <c r="H4060" s="3">
        <v>0.0</v>
      </c>
      <c r="I4060" s="3" t="s">
        <v>13</v>
      </c>
      <c r="J4060" s="3" t="s">
        <v>11627</v>
      </c>
      <c r="K4060" s="3" t="s">
        <v>31</v>
      </c>
      <c r="L4060" s="3" t="str">
        <f>IFERROR(__xludf.DUMMYFUNCTION("GOOGLETRANSLATE(F4060,""id"",""en"")"),"The story of two busines in the World Cup final")</f>
        <v>The story of two busines in the World Cup final</v>
      </c>
    </row>
    <row r="4061" ht="15.75" customHeight="1">
      <c r="A4061" s="1">
        <v>4100.0</v>
      </c>
      <c r="B4061" s="3" t="s">
        <v>11628</v>
      </c>
      <c r="C4061" s="3">
        <v>0.0</v>
      </c>
      <c r="D4061" s="3">
        <v>0.0</v>
      </c>
      <c r="E4061" s="3">
        <v>1.0</v>
      </c>
      <c r="F4061" s="3" t="s">
        <v>11626</v>
      </c>
      <c r="G4061" s="3">
        <v>1.0</v>
      </c>
      <c r="H4061" s="3">
        <v>0.0</v>
      </c>
      <c r="I4061" s="3" t="s">
        <v>13</v>
      </c>
      <c r="J4061" s="3" t="s">
        <v>11627</v>
      </c>
      <c r="K4061" s="3" t="s">
        <v>31</v>
      </c>
      <c r="L4061" s="3" t="str">
        <f>IFERROR(__xludf.DUMMYFUNCTION("GOOGLETRANSLATE(F4061,""id"",""en"")"),"The story of two busines in the World Cup final")</f>
        <v>The story of two busines in the World Cup final</v>
      </c>
    </row>
    <row r="4062" ht="15.75" customHeight="1">
      <c r="A4062" s="1">
        <v>4101.0</v>
      </c>
      <c r="B4062" s="3" t="s">
        <v>11629</v>
      </c>
      <c r="C4062" s="3">
        <v>0.0</v>
      </c>
      <c r="D4062" s="3">
        <v>0.0</v>
      </c>
      <c r="E4062" s="3">
        <v>0.0</v>
      </c>
      <c r="F4062" s="3" t="s">
        <v>11630</v>
      </c>
      <c r="G4062" s="3">
        <v>0.875</v>
      </c>
      <c r="H4062" s="3">
        <v>0.0</v>
      </c>
      <c r="I4062" s="3" t="s">
        <v>13</v>
      </c>
      <c r="J4062" s="3" t="s">
        <v>11631</v>
      </c>
      <c r="K4062" s="3" t="s">
        <v>3819</v>
      </c>
      <c r="L4062" s="3" t="str">
        <f>IFERROR(__xludf.DUMMYFUNCTION("GOOGLETRANSLATE(F4062,""id"",""en"")"),"There were players who performed the Qatar World Cup yesterday from the seven players and quite highlighted attention because they performed final both of them appeared from the match with France and scored a total goal and goal bait")</f>
        <v>There were players who performed the Qatar World Cup yesterday from the seven players and quite highlighted attention because they performed final both of them appeared from the match with France and scored a total goal and goal bait</v>
      </c>
    </row>
    <row r="4063" ht="15.75" customHeight="1">
      <c r="A4063" s="1">
        <v>4102.0</v>
      </c>
      <c r="B4063" s="3" t="s">
        <v>11632</v>
      </c>
      <c r="C4063" s="3">
        <v>1.0</v>
      </c>
      <c r="D4063" s="3">
        <v>0.0</v>
      </c>
      <c r="E4063" s="3">
        <v>0.0</v>
      </c>
      <c r="F4063" s="3" t="s">
        <v>11633</v>
      </c>
      <c r="G4063" s="3">
        <v>1.0</v>
      </c>
      <c r="H4063" s="3">
        <v>0.0</v>
      </c>
      <c r="I4063" s="3" t="s">
        <v>13</v>
      </c>
      <c r="J4063" s="3" t="s">
        <v>11634</v>
      </c>
      <c r="K4063" s="3" t="s">
        <v>644</v>
      </c>
      <c r="L4063" s="3" t="str">
        <f>IFERROR(__xludf.DUMMYFUNCTION("GOOGLETRANSLATE(F4063,""id"",""en"")"),"Wes Final World Cup")</f>
        <v>Wes Final World Cup</v>
      </c>
    </row>
    <row r="4064" ht="15.75" customHeight="1">
      <c r="A4064" s="1">
        <v>4103.0</v>
      </c>
      <c r="B4064" s="3" t="s">
        <v>11635</v>
      </c>
      <c r="C4064" s="3">
        <v>0.0</v>
      </c>
      <c r="D4064" s="3">
        <v>0.0</v>
      </c>
      <c r="E4064" s="3">
        <v>2.0</v>
      </c>
      <c r="F4064" s="3" t="s">
        <v>11636</v>
      </c>
      <c r="G4064" s="3">
        <v>1.0</v>
      </c>
      <c r="H4064" s="3">
        <v>0.0</v>
      </c>
      <c r="I4064" s="3" t="s">
        <v>13</v>
      </c>
      <c r="J4064" s="3" t="s">
        <v>11637</v>
      </c>
      <c r="K4064" s="3" t="s">
        <v>240</v>
      </c>
      <c r="L4064" s="3" t="str">
        <f>IFERROR(__xludf.DUMMYFUNCTION("GOOGLETRANSLATE(F4064,""id"",""en"")"),"Tottenham Hotspur striker Richarlison will undergo an MRI scan after suffering a hamstring injury when Brazil lost the quarter -finals of the World Cup")</f>
        <v>Tottenham Hotspur striker Richarlison will undergo an MRI scan after suffering a hamstring injury when Brazil lost the quarter -finals of the World Cup</v>
      </c>
    </row>
    <row r="4065" ht="15.75" customHeight="1">
      <c r="A4065" s="1">
        <v>4104.0</v>
      </c>
      <c r="B4065" s="3" t="s">
        <v>11638</v>
      </c>
      <c r="C4065" s="3">
        <v>0.0</v>
      </c>
      <c r="D4065" s="3">
        <v>0.0</v>
      </c>
      <c r="E4065" s="3">
        <v>0.0</v>
      </c>
      <c r="F4065" s="3" t="s">
        <v>11639</v>
      </c>
      <c r="G4065" s="3">
        <v>1.0</v>
      </c>
      <c r="H4065" s="3">
        <v>0.0</v>
      </c>
      <c r="I4065" s="3" t="s">
        <v>13</v>
      </c>
      <c r="J4065" s="3" t="s">
        <v>11640</v>
      </c>
      <c r="K4065" s="3" t="s">
        <v>1970</v>
      </c>
      <c r="L4065" s="3" t="str">
        <f>IFERROR(__xludf.DUMMYFUNCTION("GOOGLETRANSLATE(F4065,""id"",""en"")"),"French French goal scorer of the World Cup Final, Zin Dine Yazid Zidane Gol Emmanuel Laurent Petit Goals, Join the Quiz Guys Yeayy Roy, hopefully")</f>
        <v>French French goal scorer of the World Cup Final, Zin Dine Yazid Zidane Gol Emmanuel Laurent Petit Goals, Join the Quiz Guys Yeayy Roy, hopefully</v>
      </c>
    </row>
    <row r="4066" ht="15.75" customHeight="1">
      <c r="A4066" s="1">
        <v>4105.0</v>
      </c>
      <c r="B4066" s="3" t="s">
        <v>11641</v>
      </c>
      <c r="C4066" s="3">
        <v>0.0</v>
      </c>
      <c r="D4066" s="3">
        <v>0.0</v>
      </c>
      <c r="E4066" s="3">
        <v>0.0</v>
      </c>
      <c r="F4066" s="3" t="s">
        <v>11642</v>
      </c>
      <c r="G4066" s="3">
        <v>0.6666666666666666</v>
      </c>
      <c r="H4066" s="3">
        <v>0.08333333333333333</v>
      </c>
      <c r="I4066" s="3" t="s">
        <v>48</v>
      </c>
      <c r="J4066" s="3" t="s">
        <v>11643</v>
      </c>
      <c r="K4066" s="3" t="s">
        <v>71</v>
      </c>
      <c r="L4066" s="3" t="str">
        <f>IFERROR(__xludf.DUMMYFUNCTION("GOOGLETRANSLATE(F4066,""id"",""en"")"),"I've read the inter -club world cup final so forget what the club is playing roughly Intina")</f>
        <v>I've read the inter -club world cup final so forget what the club is playing roughly Intina</v>
      </c>
    </row>
    <row r="4067" ht="15.75" customHeight="1">
      <c r="A4067" s="1">
        <v>4106.0</v>
      </c>
      <c r="B4067" s="3" t="s">
        <v>11644</v>
      </c>
      <c r="C4067" s="3">
        <v>0.0</v>
      </c>
      <c r="D4067" s="3">
        <v>0.0</v>
      </c>
      <c r="E4067" s="3">
        <v>0.0</v>
      </c>
      <c r="F4067" s="3" t="s">
        <v>11645</v>
      </c>
      <c r="G4067" s="3">
        <v>1.0</v>
      </c>
      <c r="H4067" s="3">
        <v>0.0</v>
      </c>
      <c r="I4067" s="3" t="s">
        <v>13</v>
      </c>
      <c r="J4067" s="3" t="s">
        <v>11646</v>
      </c>
      <c r="K4067" s="3" t="s">
        <v>903</v>
      </c>
      <c r="L4067" s="3" t="str">
        <f>IFERROR(__xludf.DUMMYFUNCTION("GOOGLETRANSLATE(F4067,""id"",""en"")"),"French French goal scorer of the World Cup Final, Zin Dine Yazid Zidane Gol Emmanuel Laurent Petit Goals, Join the Quiz Guys Yeayy Roy, hopefully we are lucky")</f>
        <v>French French goal scorer of the World Cup Final, Zin Dine Yazid Zidane Gol Emmanuel Laurent Petit Goals, Join the Quiz Guys Yeayy Roy, hopefully we are lucky</v>
      </c>
    </row>
    <row r="4068" ht="15.75" customHeight="1">
      <c r="A4068" s="1">
        <v>4107.0</v>
      </c>
      <c r="B4068" s="3" t="s">
        <v>11647</v>
      </c>
      <c r="C4068" s="3">
        <v>0.0</v>
      </c>
      <c r="D4068" s="3">
        <v>0.0</v>
      </c>
      <c r="E4068" s="3">
        <v>0.0</v>
      </c>
      <c r="F4068" s="3" t="s">
        <v>11648</v>
      </c>
      <c r="G4068" s="3">
        <v>1.0</v>
      </c>
      <c r="H4068" s="3">
        <v>0.0</v>
      </c>
      <c r="I4068" s="3" t="s">
        <v>13</v>
      </c>
      <c r="J4068" s="3" t="s">
        <v>11649</v>
      </c>
      <c r="K4068" s="3" t="s">
        <v>19</v>
      </c>
      <c r="L4068" s="3" t="str">
        <f>IFERROR(__xludf.DUMMYFUNCTION("GOOGLETRANSLATE(F4068,""id"",""en"")"),"French footballers were targeted for hate hate harassment after the FIFA World Cup final defeat")</f>
        <v>French footballers were targeted for hate hate harassment after the FIFA World Cup final defeat</v>
      </c>
    </row>
    <row r="4069" ht="15.75" customHeight="1">
      <c r="A4069" s="1">
        <v>4108.0</v>
      </c>
      <c r="B4069" s="3" t="s">
        <v>11650</v>
      </c>
      <c r="C4069" s="3">
        <v>0.0</v>
      </c>
      <c r="D4069" s="3">
        <v>0.0</v>
      </c>
      <c r="E4069" s="3">
        <v>2.0</v>
      </c>
      <c r="F4069" s="3" t="s">
        <v>11651</v>
      </c>
      <c r="G4069" s="3">
        <v>1.0</v>
      </c>
      <c r="H4069" s="3">
        <v>0.0</v>
      </c>
      <c r="I4069" s="3" t="s">
        <v>13</v>
      </c>
      <c r="J4069" s="3" t="s">
        <v>11652</v>
      </c>
      <c r="K4069" s="3" t="s">
        <v>860</v>
      </c>
      <c r="L4069" s="3" t="str">
        <f>IFERROR(__xludf.DUMMYFUNCTION("GOOGLETRANSLATE(F4069,""id"",""en"")"),"the shape of his frustration because the goal was broken down by the World Cup Final Want to reply Mbappe the field could not be the time to feel when he celebrated Martinez sometimes Martinez sometimes Martinez")</f>
        <v>the shape of his frustration because the goal was broken down by the World Cup Final Want to reply Mbappe the field could not be the time to feel when he celebrated Martinez sometimes Martinez sometimes Martinez</v>
      </c>
    </row>
    <row r="4070" ht="15.75" customHeight="1">
      <c r="A4070" s="1">
        <v>4110.0</v>
      </c>
      <c r="B4070" s="3" t="s">
        <v>11653</v>
      </c>
      <c r="C4070" s="3">
        <v>0.0</v>
      </c>
      <c r="D4070" s="3">
        <v>0.0</v>
      </c>
      <c r="E4070" s="3">
        <v>0.0</v>
      </c>
      <c r="F4070" s="3" t="s">
        <v>11654</v>
      </c>
      <c r="G4070" s="3">
        <v>1.0</v>
      </c>
      <c r="H4070" s="3">
        <v>0.0</v>
      </c>
      <c r="I4070" s="3" t="s">
        <v>13</v>
      </c>
      <c r="J4070" s="3" t="s">
        <v>11655</v>
      </c>
      <c r="K4070" s="3" t="s">
        <v>35</v>
      </c>
      <c r="L4070" s="3" t="str">
        <f>IFERROR(__xludf.DUMMYFUNCTION("GOOGLETRANSLATE(F4070,""id"",""en"")"),"Interestingly from the beginning before the World Cup began I had predicted France to meet Argentina Final and Argentina Champion")</f>
        <v>Interestingly from the beginning before the World Cup began I had predicted France to meet Argentina Final and Argentina Champion</v>
      </c>
    </row>
    <row r="4071" ht="15.75" customHeight="1">
      <c r="A4071" s="1">
        <v>4111.0</v>
      </c>
      <c r="B4071" s="3" t="s">
        <v>11656</v>
      </c>
      <c r="C4071" s="3">
        <v>3.0</v>
      </c>
      <c r="D4071" s="3">
        <v>2.0</v>
      </c>
      <c r="E4071" s="3">
        <v>7.0</v>
      </c>
      <c r="F4071" s="3" t="s">
        <v>11657</v>
      </c>
      <c r="G4071" s="3">
        <v>1.0</v>
      </c>
      <c r="H4071" s="3">
        <v>0.0</v>
      </c>
      <c r="I4071" s="3" t="s">
        <v>13</v>
      </c>
      <c r="J4071" s="3" t="s">
        <v>11658</v>
      </c>
      <c r="K4071" s="3" t="s">
        <v>614</v>
      </c>
      <c r="L4071" s="3" t="str">
        <f>IFERROR(__xludf.DUMMYFUNCTION("GOOGLETRANSLATE(F4071,""id"",""en"")"),"This is proof of the transaction for the winner of the World Cup Final Score Winner, Good luck, please apologize if there is a lucky one we are waiting for another chance. Thank you for everything")</f>
        <v>This is proof of the transaction for the winner of the World Cup Final Score Winner, Good luck, please apologize if there is a lucky one we are waiting for another chance. Thank you for everything</v>
      </c>
    </row>
    <row r="4072" ht="15.75" customHeight="1">
      <c r="A4072" s="1">
        <v>4112.0</v>
      </c>
      <c r="B4072" s="3" t="s">
        <v>11659</v>
      </c>
      <c r="C4072" s="3">
        <v>0.0</v>
      </c>
      <c r="D4072" s="3">
        <v>0.0</v>
      </c>
      <c r="E4072" s="3">
        <v>0.0</v>
      </c>
      <c r="F4072" s="3" t="s">
        <v>11660</v>
      </c>
      <c r="G4072" s="3">
        <v>1.0</v>
      </c>
      <c r="H4072" s="3">
        <v>0.0</v>
      </c>
      <c r="I4072" s="3" t="s">
        <v>13</v>
      </c>
      <c r="J4072" s="3" t="s">
        <v>11661</v>
      </c>
      <c r="K4072" s="3" t="s">
        <v>244</v>
      </c>
      <c r="L4072" s="3" t="str">
        <f>IFERROR(__xludf.DUMMYFUNCTION("GOOGLETRANSLATE(F4072,""id"",""en"")"),"suddenly many people want to borrow money whether the world cup final effect yesterday")</f>
        <v>suddenly many people want to borrow money whether the world cup final effect yesterday</v>
      </c>
    </row>
    <row r="4073" ht="15.75" customHeight="1">
      <c r="A4073" s="1">
        <v>4113.0</v>
      </c>
      <c r="B4073" s="3" t="s">
        <v>11662</v>
      </c>
      <c r="C4073" s="3">
        <v>1.0</v>
      </c>
      <c r="D4073" s="3">
        <v>5.0</v>
      </c>
      <c r="E4073" s="3">
        <v>1.0</v>
      </c>
      <c r="F4073" s="3" t="s">
        <v>11663</v>
      </c>
      <c r="G4073" s="3">
        <v>1.0</v>
      </c>
      <c r="H4073" s="3">
        <v>0.0</v>
      </c>
      <c r="I4073" s="3" t="s">
        <v>13</v>
      </c>
      <c r="J4073" s="3" t="s">
        <v>11664</v>
      </c>
      <c r="K4073" s="3" t="s">
        <v>633</v>
      </c>
      <c r="L4073" s="3" t="str">
        <f>IFERROR(__xludf.DUMMYFUNCTION("GOOGLETRANSLATE(F4073,""id"",""en"")"),"Palembang Lapas Kemenkumham Sumsel the officers used their respective pride jersey to add to the excitement while watching the Harun Sulianto Lahat World Cup final")</f>
        <v>Palembang Lapas Kemenkumham Sumsel the officers used their respective pride jersey to add to the excitement while watching the Harun Sulianto Lahat World Cup final</v>
      </c>
    </row>
    <row r="4074" ht="15.75" customHeight="1">
      <c r="A4074" s="1">
        <v>4114.0</v>
      </c>
      <c r="B4074" s="3" t="s">
        <v>11665</v>
      </c>
      <c r="C4074" s="3">
        <v>0.0</v>
      </c>
      <c r="D4074" s="3">
        <v>0.0</v>
      </c>
      <c r="E4074" s="3">
        <v>0.0</v>
      </c>
      <c r="F4074" s="3" t="s">
        <v>11666</v>
      </c>
      <c r="G4074" s="3">
        <v>1.0</v>
      </c>
      <c r="H4074" s="3">
        <v>0.0</v>
      </c>
      <c r="I4074" s="3" t="s">
        <v>13</v>
      </c>
      <c r="J4074" s="3" t="s">
        <v>11667</v>
      </c>
      <c r="K4074" s="3" t="s">
        <v>71</v>
      </c>
      <c r="L4074" s="3" t="str">
        <f>IFERROR(__xludf.DUMMYFUNCTION("GOOGLETRANSLATE(F4074,""id"",""en"")"),"Innalillahi Alprih Former Assistant Panji Adventurer Died Being a Cobra Snake Right During the World Cup Final")</f>
        <v>Innalillahi Alprih Former Assistant Panji Adventurer Died Being a Cobra Snake Right During the World Cup Final</v>
      </c>
    </row>
    <row r="4075" ht="15.75" customHeight="1">
      <c r="A4075" s="1">
        <v>4115.0</v>
      </c>
      <c r="B4075" s="3" t="s">
        <v>11668</v>
      </c>
      <c r="C4075" s="3">
        <v>0.0</v>
      </c>
      <c r="D4075" s="3">
        <v>1.0</v>
      </c>
      <c r="E4075" s="3">
        <v>2.0</v>
      </c>
      <c r="F4075" s="3" t="s">
        <v>11669</v>
      </c>
      <c r="G4075" s="3">
        <v>1.0</v>
      </c>
      <c r="H4075" s="3">
        <v>0.0</v>
      </c>
      <c r="I4075" s="3" t="s">
        <v>13</v>
      </c>
      <c r="J4075" s="3" t="s">
        <v>11670</v>
      </c>
      <c r="K4075" s="3" t="s">
        <v>240</v>
      </c>
      <c r="L4075" s="3" t="str">
        <f>IFERROR(__xludf.DUMMYFUNCTION("GOOGLETRANSLATE(F4075,""id"",""en"")"),"Lisandro Mart Nez and Rapha Varane are expected to return Manchester until next week after their involvement in the World Cup final between Argentina and France")</f>
        <v>Lisandro Mart Nez and Rapha Varane are expected to return Manchester until next week after their involvement in the World Cup final between Argentina and France</v>
      </c>
    </row>
    <row r="4076" ht="15.75" customHeight="1">
      <c r="A4076" s="1">
        <v>4116.0</v>
      </c>
      <c r="B4076" s="3" t="s">
        <v>11671</v>
      </c>
      <c r="C4076" s="3">
        <v>0.0</v>
      </c>
      <c r="D4076" s="3">
        <v>0.0</v>
      </c>
      <c r="E4076" s="3">
        <v>1.0</v>
      </c>
      <c r="F4076" s="3" t="s">
        <v>11672</v>
      </c>
      <c r="G4076" s="3">
        <v>1.0</v>
      </c>
      <c r="H4076" s="3">
        <v>0.0</v>
      </c>
      <c r="I4076" s="3" t="s">
        <v>13</v>
      </c>
      <c r="J4076" s="3" t="s">
        <v>11673</v>
      </c>
      <c r="K4076" s="3" t="s">
        <v>240</v>
      </c>
      <c r="L4076" s="3" t="str">
        <f>IFERROR(__xludf.DUMMYFUNCTION("GOOGLETRANSLATE(F4076,""id"",""en"")"),"Seeing the unlucky fate of the French Final of the World Cup Final apparently there are five countries that are less fortunate in the top match of anyone")</f>
        <v>Seeing the unlucky fate of the French Final of the World Cup Final apparently there are five countries that are less fortunate in the top match of anyone</v>
      </c>
    </row>
    <row r="4077" ht="15.75" customHeight="1">
      <c r="A4077" s="1">
        <v>4117.0</v>
      </c>
      <c r="B4077" s="3" t="s">
        <v>11674</v>
      </c>
      <c r="C4077" s="3">
        <v>1.0</v>
      </c>
      <c r="D4077" s="3">
        <v>0.0</v>
      </c>
      <c r="E4077" s="3">
        <v>1.0</v>
      </c>
      <c r="F4077" s="3" t="s">
        <v>11675</v>
      </c>
      <c r="G4077" s="3">
        <v>1.0</v>
      </c>
      <c r="H4077" s="3">
        <v>0.0</v>
      </c>
      <c r="I4077" s="3" t="s">
        <v>13</v>
      </c>
      <c r="J4077" s="3" t="s">
        <v>11676</v>
      </c>
      <c r="K4077" s="3" t="s">
        <v>41</v>
      </c>
      <c r="L4077" s="3" t="str">
        <f>IFERROR(__xludf.DUMMYFUNCTION("GOOGLETRANSLATE(F4077,""id"",""en"")"),"World Cup Final Effects Jersey Messi and Mbappe Sold King")</f>
        <v>World Cup Final Effects Jersey Messi and Mbappe Sold King</v>
      </c>
    </row>
    <row r="4078" ht="15.75" customHeight="1">
      <c r="A4078" s="1">
        <v>4118.0</v>
      </c>
      <c r="B4078" s="3" t="s">
        <v>11677</v>
      </c>
      <c r="C4078" s="3">
        <v>2.0</v>
      </c>
      <c r="D4078" s="3">
        <v>3.0</v>
      </c>
      <c r="E4078" s="3">
        <v>8.0</v>
      </c>
      <c r="F4078" s="3" t="s">
        <v>11678</v>
      </c>
      <c r="G4078" s="3">
        <v>1.0</v>
      </c>
      <c r="H4078" s="3">
        <v>0.0</v>
      </c>
      <c r="I4078" s="3" t="s">
        <v>13</v>
      </c>
      <c r="J4078" s="3" t="s">
        <v>11679</v>
      </c>
      <c r="K4078" s="3" t="s">
        <v>240</v>
      </c>
      <c r="L4078" s="3" t="str">
        <f>IFERROR(__xludf.DUMMYFUNCTION("GOOGLETRANSLATE(F4078,""id"",""en"")"),"Antonela Roccuzzo is in the spotlight in the World Cup Final of the wife of Messi is not a careless person, the following work is done")</f>
        <v>Antonela Roccuzzo is in the spotlight in the World Cup Final of the wife of Messi is not a careless person, the following work is done</v>
      </c>
    </row>
    <row r="4079" ht="15.75" customHeight="1">
      <c r="A4079" s="1">
        <v>4119.0</v>
      </c>
      <c r="B4079" s="3" t="s">
        <v>11680</v>
      </c>
      <c r="C4079" s="3">
        <v>0.0</v>
      </c>
      <c r="D4079" s="3">
        <v>0.0</v>
      </c>
      <c r="E4079" s="3">
        <v>0.0</v>
      </c>
      <c r="F4079" s="3" t="s">
        <v>11681</v>
      </c>
      <c r="G4079" s="3">
        <v>1.0</v>
      </c>
      <c r="H4079" s="3">
        <v>0.0</v>
      </c>
      <c r="I4079" s="3" t="s">
        <v>13</v>
      </c>
      <c r="J4079" s="3" t="s">
        <v>11682</v>
      </c>
      <c r="K4079" s="3" t="s">
        <v>499</v>
      </c>
      <c r="L4079" s="3" t="str">
        <f>IFERROR(__xludf.DUMMYFUNCTION("GOOGLETRANSLATE(F4079,""id"",""en"")"),"Mbappe dairy products fall in price half after the defeat of the French Final team is how China celebrates the winner of the World Cup Messi Argentina")</f>
        <v>Mbappe dairy products fall in price half after the defeat of the French Final team is how China celebrates the winner of the World Cup Messi Argentina</v>
      </c>
    </row>
    <row r="4080" ht="15.75" customHeight="1">
      <c r="A4080" s="1">
        <v>4120.0</v>
      </c>
      <c r="B4080" s="3" t="s">
        <v>11683</v>
      </c>
      <c r="C4080" s="3">
        <v>0.0</v>
      </c>
      <c r="D4080" s="3">
        <v>0.0</v>
      </c>
      <c r="E4080" s="3">
        <v>0.0</v>
      </c>
      <c r="F4080" s="3" t="s">
        <v>11684</v>
      </c>
      <c r="G4080" s="3">
        <v>1.0</v>
      </c>
      <c r="H4080" s="3">
        <v>0.0</v>
      </c>
      <c r="I4080" s="3" t="s">
        <v>13</v>
      </c>
      <c r="J4080" s="3" t="s">
        <v>11685</v>
      </c>
      <c r="K4080" s="3" t="s">
        <v>699</v>
      </c>
      <c r="L4080" s="3" t="str">
        <f>IFERROR(__xludf.DUMMYFUNCTION("GOOGLETRANSLATE(F4080,""id"",""en"")"),"The World Cup match is over with Argentina as Argentina's champion defeated France in the final match held on Sunday of the Lusail Qatar Stadium")</f>
        <v>The World Cup match is over with Argentina as Argentina's champion defeated France in the final match held on Sunday of the Lusail Qatar Stadium</v>
      </c>
    </row>
    <row r="4081" ht="15.75" customHeight="1">
      <c r="A4081" s="1">
        <v>4121.0</v>
      </c>
      <c r="B4081" s="3" t="s">
        <v>11686</v>
      </c>
      <c r="C4081" s="3">
        <v>0.0</v>
      </c>
      <c r="D4081" s="3">
        <v>0.0</v>
      </c>
      <c r="E4081" s="3">
        <v>0.0</v>
      </c>
      <c r="F4081" s="3" t="s">
        <v>11687</v>
      </c>
      <c r="G4081" s="3">
        <v>1.0</v>
      </c>
      <c r="H4081" s="3">
        <v>0.0</v>
      </c>
      <c r="I4081" s="3" t="s">
        <v>13</v>
      </c>
      <c r="J4081" s="3" t="s">
        <v>11688</v>
      </c>
      <c r="K4081" s="3" t="s">
        <v>205</v>
      </c>
      <c r="L4081" s="3" t="str">
        <f>IFERROR(__xludf.DUMMYFUNCTION("GOOGLETRANSLATE(F4081,""id"",""en"")"),"Not only Mbappe the fastest Papuan players have also been highlighted because Kylian Mbappe's running is the most mentioned player after Messi after the World Cup Final")</f>
        <v>Not only Mbappe the fastest Papuan players have also been highlighted because Kylian Mbappe's running is the most mentioned player after Messi after the World Cup Final</v>
      </c>
    </row>
    <row r="4082" ht="15.75" customHeight="1">
      <c r="A4082" s="1">
        <v>4122.0</v>
      </c>
      <c r="B4082" s="3" t="s">
        <v>11689</v>
      </c>
      <c r="C4082" s="3">
        <v>2.0</v>
      </c>
      <c r="D4082" s="3">
        <v>0.0</v>
      </c>
      <c r="E4082" s="3">
        <v>0.0</v>
      </c>
      <c r="F4082" s="3" t="s">
        <v>11690</v>
      </c>
      <c r="G4082" s="3">
        <v>1.0</v>
      </c>
      <c r="H4082" s="3">
        <v>0.0</v>
      </c>
      <c r="I4082" s="3" t="s">
        <v>13</v>
      </c>
      <c r="J4082" s="3" t="s">
        <v>11691</v>
      </c>
      <c r="K4082" s="3" t="s">
        <v>499</v>
      </c>
      <c r="L4082" s="3" t="str">
        <f>IFERROR(__xludf.DUMMYFUNCTION("GOOGLETRANSLATE(F4082,""id"",""en"")"),"when I found out but said mbappe the fact that the South American team was only champion again after the year that could enter the World Cup final was also only the country just Messi")</f>
        <v>when I found out but said mbappe the fact that the South American team was only champion again after the year that could enter the World Cup final was also only the country just Messi</v>
      </c>
    </row>
    <row r="4083" ht="15.75" customHeight="1">
      <c r="A4083" s="1">
        <v>4123.0</v>
      </c>
      <c r="B4083" s="3" t="s">
        <v>11692</v>
      </c>
      <c r="C4083" s="3">
        <v>0.0</v>
      </c>
      <c r="D4083" s="3">
        <v>0.0</v>
      </c>
      <c r="E4083" s="3">
        <v>0.0</v>
      </c>
      <c r="F4083" s="3" t="s">
        <v>11693</v>
      </c>
      <c r="G4083" s="3">
        <v>0.7272727272727273</v>
      </c>
      <c r="H4083" s="3">
        <v>0.06818181818181818</v>
      </c>
      <c r="I4083" s="3" t="s">
        <v>48</v>
      </c>
      <c r="J4083" s="3" t="s">
        <v>11694</v>
      </c>
      <c r="K4083" s="3" t="s">
        <v>883</v>
      </c>
      <c r="L4083" s="3" t="str">
        <f>IFERROR(__xludf.DUMMYFUNCTION("GOOGLETRANSLATE(F4083,""id"",""en"")"),"New Episode of the World Cup ended United back from Argentina French Final World Cup United Burnley Carabao Cup Hajar with Spotify aired")</f>
        <v>New Episode of the World Cup ended United back from Argentina French Final World Cup United Burnley Carabao Cup Hajar with Spotify aired</v>
      </c>
    </row>
    <row r="4084" ht="15.75" customHeight="1">
      <c r="A4084" s="1">
        <v>4124.0</v>
      </c>
      <c r="B4084" s="3" t="s">
        <v>11695</v>
      </c>
      <c r="C4084" s="3">
        <v>0.0</v>
      </c>
      <c r="D4084" s="3">
        <v>0.0</v>
      </c>
      <c r="E4084" s="3">
        <v>1.0</v>
      </c>
      <c r="F4084" s="3" t="s">
        <v>11696</v>
      </c>
      <c r="G4084" s="3">
        <v>1.0</v>
      </c>
      <c r="H4084" s="3">
        <v>0.0</v>
      </c>
      <c r="I4084" s="3" t="s">
        <v>13</v>
      </c>
      <c r="J4084" s="3" t="s">
        <v>11697</v>
      </c>
      <c r="K4084" s="3" t="s">
        <v>50</v>
      </c>
      <c r="L4084" s="3" t="str">
        <f>IFERROR(__xludf.DUMMYFUNCTION("GOOGLETRANSLATE(F4084,""id"",""en"")"),"don't remember what he was if he had broken the world cup final with mbappe goalkeeper tai")</f>
        <v>don't remember what he was if he had broken the world cup final with mbappe goalkeeper tai</v>
      </c>
    </row>
    <row r="4085" ht="15.75" customHeight="1">
      <c r="A4085" s="1">
        <v>4125.0</v>
      </c>
      <c r="B4085" s="3" t="s">
        <v>11698</v>
      </c>
      <c r="C4085" s="3">
        <v>0.0</v>
      </c>
      <c r="D4085" s="3">
        <v>0.0</v>
      </c>
      <c r="E4085" s="3">
        <v>5.0</v>
      </c>
      <c r="F4085" s="3" t="s">
        <v>11698</v>
      </c>
      <c r="G4085" s="3">
        <v>1.0</v>
      </c>
      <c r="H4085" s="3">
        <v>0.0</v>
      </c>
      <c r="I4085" s="3" t="s">
        <v>13</v>
      </c>
      <c r="J4085" s="3" t="s">
        <v>11699</v>
      </c>
      <c r="K4085" s="3" t="s">
        <v>82</v>
      </c>
      <c r="L4085" s="3" t="str">
        <f>IFERROR(__xludf.DUMMYFUNCTION("GOOGLETRANSLATE(F4085,""id"",""en"")"),"French supporters will make the World Cup Final Re -Petition")</f>
        <v>French supporters will make the World Cup Final Re -Petition</v>
      </c>
    </row>
    <row r="4086" ht="15.75" customHeight="1">
      <c r="A4086" s="1">
        <v>4126.0</v>
      </c>
      <c r="B4086" s="3" t="s">
        <v>11700</v>
      </c>
      <c r="C4086" s="3">
        <v>0.0</v>
      </c>
      <c r="D4086" s="3">
        <v>0.0</v>
      </c>
      <c r="E4086" s="3">
        <v>0.0</v>
      </c>
      <c r="F4086" s="3" t="s">
        <v>11678</v>
      </c>
      <c r="G4086" s="3">
        <v>1.0</v>
      </c>
      <c r="H4086" s="3">
        <v>0.0</v>
      </c>
      <c r="I4086" s="3" t="s">
        <v>13</v>
      </c>
      <c r="J4086" s="3" t="s">
        <v>11679</v>
      </c>
      <c r="K4086" s="3" t="s">
        <v>240</v>
      </c>
      <c r="L4086" s="3" t="str">
        <f>IFERROR(__xludf.DUMMYFUNCTION("GOOGLETRANSLATE(F4086,""id"",""en"")"),"Antonela Roccuzzo is in the spotlight in the World Cup Final of the wife of Messi is not a careless person, the following work is done")</f>
        <v>Antonela Roccuzzo is in the spotlight in the World Cup Final of the wife of Messi is not a careless person, the following work is done</v>
      </c>
    </row>
    <row r="4087" ht="15.75" customHeight="1">
      <c r="A4087" s="1">
        <v>4127.0</v>
      </c>
      <c r="B4087" s="3" t="s">
        <v>11701</v>
      </c>
      <c r="C4087" s="3">
        <v>0.0</v>
      </c>
      <c r="D4087" s="3">
        <v>0.0</v>
      </c>
      <c r="E4087" s="3">
        <v>0.0</v>
      </c>
      <c r="F4087" s="3" t="s">
        <v>11702</v>
      </c>
      <c r="G4087" s="3">
        <v>1.0</v>
      </c>
      <c r="H4087" s="3">
        <v>0.0</v>
      </c>
      <c r="I4087" s="3" t="s">
        <v>13</v>
      </c>
      <c r="J4087" s="3" t="s">
        <v>11703</v>
      </c>
      <c r="K4087" s="3" t="s">
        <v>765</v>
      </c>
      <c r="L4087" s="3" t="str">
        <f>IFERROR(__xludf.DUMMYFUNCTION("GOOGLETRANSLATE(F4087,""id"",""en"")"),"The incident began when Alprih Priyono went to watch the World Cup final with his friends Sunday traveling Alprih Priyono met a teenager who gave him a snake with a plastic wrapped in via")</f>
        <v>The incident began when Alprih Priyono went to watch the World Cup final with his friends Sunday traveling Alprih Priyono met a teenager who gave him a snake with a plastic wrapped in via</v>
      </c>
    </row>
    <row r="4088" ht="15.75" customHeight="1">
      <c r="A4088" s="1">
        <v>4128.0</v>
      </c>
      <c r="B4088" s="3" t="s">
        <v>11704</v>
      </c>
      <c r="C4088" s="3">
        <v>0.0</v>
      </c>
      <c r="D4088" s="3">
        <v>0.0</v>
      </c>
      <c r="E4088" s="3">
        <v>0.0</v>
      </c>
      <c r="F4088" s="3" t="s">
        <v>11705</v>
      </c>
      <c r="G4088" s="3">
        <v>1.0</v>
      </c>
      <c r="H4088" s="3">
        <v>0.0</v>
      </c>
      <c r="I4088" s="3" t="s">
        <v>13</v>
      </c>
      <c r="J4088" s="3" t="s">
        <v>11706</v>
      </c>
      <c r="K4088" s="3" t="s">
        <v>495</v>
      </c>
      <c r="L4088" s="3" t="str">
        <f>IFERROR(__xludf.DUMMYFUNCTION("GOOGLETRANSLATE(F4088,""id"",""en"")"),"Tottenham coach Antonio Conte confirmed the news of Richarlison who suffered a hamstring injury when Brazil lost the quarter -finals of the World Cup against Croatia")</f>
        <v>Tottenham coach Antonio Conte confirmed the news of Richarlison who suffered a hamstring injury when Brazil lost the quarter -finals of the World Cup against Croatia</v>
      </c>
    </row>
    <row r="4089" ht="15.75" customHeight="1">
      <c r="A4089" s="1">
        <v>4129.0</v>
      </c>
      <c r="B4089" s="3" t="s">
        <v>11707</v>
      </c>
      <c r="C4089" s="3">
        <v>1.0</v>
      </c>
      <c r="D4089" s="3">
        <v>0.0</v>
      </c>
      <c r="E4089" s="3">
        <v>0.0</v>
      </c>
      <c r="F4089" s="3" t="s">
        <v>11708</v>
      </c>
      <c r="G4089" s="3">
        <v>1.0</v>
      </c>
      <c r="H4089" s="3">
        <v>0.0</v>
      </c>
      <c r="I4089" s="3" t="s">
        <v>13</v>
      </c>
      <c r="J4089" s="3" t="s">
        <v>11709</v>
      </c>
      <c r="K4089" s="3" t="s">
        <v>35</v>
      </c>
      <c r="L4089" s="3" t="str">
        <f>IFERROR(__xludf.DUMMYFUNCTION("GOOGLETRANSLATE(F4089,""id"",""en"")"),"I will be this time when everyone is the World Cup Final I swear to make the mood up Nian")</f>
        <v>I will be this time when everyone is the World Cup Final I swear to make the mood up Nian</v>
      </c>
    </row>
    <row r="4090" ht="15.75" customHeight="1">
      <c r="A4090" s="1">
        <v>4130.0</v>
      </c>
      <c r="B4090" s="3" t="s">
        <v>11710</v>
      </c>
      <c r="C4090" s="3">
        <v>0.0</v>
      </c>
      <c r="D4090" s="3">
        <v>0.0</v>
      </c>
      <c r="E4090" s="3">
        <v>0.0</v>
      </c>
      <c r="F4090" s="3" t="s">
        <v>11711</v>
      </c>
      <c r="G4090" s="3">
        <v>1.0</v>
      </c>
      <c r="H4090" s="3">
        <v>0.0</v>
      </c>
      <c r="I4090" s="3" t="s">
        <v>13</v>
      </c>
      <c r="J4090" s="3" t="s">
        <v>11712</v>
      </c>
      <c r="K4090" s="3" t="s">
        <v>41</v>
      </c>
      <c r="L4090" s="3" t="str">
        <f>IFERROR(__xludf.DUMMYFUNCTION("GOOGLETRANSLATE(F4090,""id"",""en"")"),"Ngel Maria appeared sensational for the Qatar World Cup Final Argentina")</f>
        <v>Ngel Maria appeared sensational for the Qatar World Cup Final Argentina</v>
      </c>
    </row>
    <row r="4091" ht="15.75" customHeight="1">
      <c r="A4091" s="1">
        <v>4131.0</v>
      </c>
      <c r="B4091" s="3" t="s">
        <v>11713</v>
      </c>
      <c r="C4091" s="3">
        <v>0.0</v>
      </c>
      <c r="D4091" s="3">
        <v>0.0</v>
      </c>
      <c r="E4091" s="3">
        <v>0.0</v>
      </c>
      <c r="F4091" s="3" t="s">
        <v>11714</v>
      </c>
      <c r="G4091" s="3">
        <v>1.0</v>
      </c>
      <c r="H4091" s="3">
        <v>0.0</v>
      </c>
      <c r="I4091" s="3" t="s">
        <v>13</v>
      </c>
      <c r="J4091" s="3" t="s">
        <v>11715</v>
      </c>
      <c r="K4091" s="3" t="s">
        <v>215</v>
      </c>
      <c r="L4091" s="3" t="str">
        <f>IFERROR(__xludf.DUMMYFUNCTION("GOOGLETRANSLATE(F4091,""id"",""en"")"),"It happened on Monday night during the World Cup final so when the alprih handled the King Kobra snake, said Iroh, his house was allegedly shocked when a number of people cheered on celebrating Argentina's second goal")</f>
        <v>It happened on Monday night during the World Cup final so when the alprih handled the King Kobra snake, said Iroh, his house was allegedly shocked when a number of people cheered on celebrating Argentina's second goal</v>
      </c>
    </row>
    <row r="4092" ht="15.75" customHeight="1">
      <c r="A4092" s="1">
        <v>4132.0</v>
      </c>
      <c r="B4092" s="3" t="s">
        <v>10762</v>
      </c>
      <c r="C4092" s="3">
        <v>1.0</v>
      </c>
      <c r="D4092" s="3">
        <v>1.0</v>
      </c>
      <c r="E4092" s="3">
        <v>2.0</v>
      </c>
      <c r="F4092" s="3" t="s">
        <v>10541</v>
      </c>
      <c r="G4092" s="3">
        <v>1.0</v>
      </c>
      <c r="H4092" s="3">
        <v>0.0</v>
      </c>
      <c r="I4092" s="3" t="s">
        <v>13</v>
      </c>
      <c r="J4092" s="3" t="s">
        <v>10542</v>
      </c>
      <c r="K4092" s="3" t="s">
        <v>1293</v>
      </c>
      <c r="L4092" s="3" t="str">
        <f>IFERROR(__xludf.DUMMYFUNCTION("GOOGLETRANSLATE(F4092,""id"",""en"")"),"Palembang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4093" ht="15.75" customHeight="1">
      <c r="A4093" s="1">
        <v>4133.0</v>
      </c>
      <c r="B4093" s="3" t="s">
        <v>11716</v>
      </c>
      <c r="C4093" s="3">
        <v>1.0</v>
      </c>
      <c r="D4093" s="3">
        <v>0.0</v>
      </c>
      <c r="E4093" s="3">
        <v>0.0</v>
      </c>
      <c r="F4093" s="3" t="s">
        <v>11717</v>
      </c>
      <c r="G4093" s="3">
        <v>1.0</v>
      </c>
      <c r="H4093" s="3">
        <v>0.0</v>
      </c>
      <c r="I4093" s="3" t="s">
        <v>13</v>
      </c>
      <c r="J4093" s="3" t="s">
        <v>11718</v>
      </c>
      <c r="K4093" s="3" t="s">
        <v>1854</v>
      </c>
      <c r="L4093" s="3" t="str">
        <f>IFERROR(__xludf.DUMMYFUNCTION("GOOGLETRANSLATE(F4093,""id"",""en"")"),"really grateful that I can be met with Masjib even though sometimes annoying wkwkwk until this moment I still accept because he is watching the World Cup Final this year.")</f>
        <v>really grateful that I can be met with Masjib even though sometimes annoying wkwkwk until this moment I still accept because he is watching the World Cup Final this year.</v>
      </c>
    </row>
    <row r="4094" ht="15.75" customHeight="1">
      <c r="A4094" s="1">
        <v>4134.0</v>
      </c>
      <c r="B4094" s="3" t="s">
        <v>11719</v>
      </c>
      <c r="C4094" s="3">
        <v>0.0</v>
      </c>
      <c r="D4094" s="3">
        <v>0.0</v>
      </c>
      <c r="E4094" s="3">
        <v>0.0</v>
      </c>
      <c r="F4094" s="3" t="s">
        <v>11720</v>
      </c>
      <c r="G4094" s="3">
        <v>1.0</v>
      </c>
      <c r="H4094" s="3">
        <v>0.0</v>
      </c>
      <c r="I4094" s="3" t="s">
        <v>13</v>
      </c>
      <c r="J4094" s="3" t="s">
        <v>11721</v>
      </c>
      <c r="K4094" s="3" t="s">
        <v>31</v>
      </c>
      <c r="L4094" s="3" t="str">
        <f>IFERROR(__xludf.DUMMYFUNCTION("GOOGLETRANSLATE(F4094,""id"",""en"")"),"More World Cup Final Horror")</f>
        <v>More World Cup Final Horror</v>
      </c>
    </row>
    <row r="4095" ht="15.75" customHeight="1">
      <c r="A4095" s="1">
        <v>4136.0</v>
      </c>
      <c r="B4095" s="3" t="s">
        <v>11722</v>
      </c>
      <c r="C4095" s="3">
        <v>1.0</v>
      </c>
      <c r="D4095" s="3">
        <v>0.0</v>
      </c>
      <c r="E4095" s="3">
        <v>1.0</v>
      </c>
      <c r="F4095" s="3" t="s">
        <v>11723</v>
      </c>
      <c r="G4095" s="3">
        <v>1.0</v>
      </c>
      <c r="H4095" s="3">
        <v>0.0</v>
      </c>
      <c r="I4095" s="3" t="s">
        <v>13</v>
      </c>
      <c r="J4095" s="3" t="s">
        <v>11724</v>
      </c>
      <c r="K4095" s="3" t="s">
        <v>1293</v>
      </c>
      <c r="L4095" s="3" t="str">
        <f>IFERROR(__xludf.DUMMYFUNCTION("GOOGLETRANSLATE(F4095,""id"",""en"")"),"Swap once the president is the connection between badminton president to go to the final of the vip soccer world cup.")</f>
        <v>Swap once the president is the connection between badminton president to go to the final of the vip soccer world cup.</v>
      </c>
    </row>
    <row r="4096" ht="15.75" customHeight="1">
      <c r="A4096" s="1">
        <v>4137.0</v>
      </c>
      <c r="B4096" s="3" t="s">
        <v>11725</v>
      </c>
      <c r="C4096" s="3">
        <v>0.0</v>
      </c>
      <c r="D4096" s="3">
        <v>0.0</v>
      </c>
      <c r="E4096" s="3">
        <v>0.0</v>
      </c>
      <c r="F4096" s="3" t="s">
        <v>11726</v>
      </c>
      <c r="G4096" s="3">
        <v>1.0</v>
      </c>
      <c r="H4096" s="3">
        <v>0.0</v>
      </c>
      <c r="I4096" s="3" t="s">
        <v>13</v>
      </c>
      <c r="J4096" s="3" t="s">
        <v>11727</v>
      </c>
      <c r="K4096" s="3" t="s">
        <v>510</v>
      </c>
      <c r="L4096" s="3" t="str">
        <f>IFERROR(__xludf.DUMMYFUNCTION("GOOGLETRANSLATE(F4096,""id"",""en"")"),"Indonesian and foreign figures who watched the World Cup final from David Beckham to Nex Carlos")</f>
        <v>Indonesian and foreign figures who watched the World Cup final from David Beckham to Nex Carlos</v>
      </c>
    </row>
    <row r="4097" ht="15.75" customHeight="1">
      <c r="A4097" s="1">
        <v>4138.0</v>
      </c>
      <c r="B4097" s="3" t="s">
        <v>11728</v>
      </c>
      <c r="C4097" s="3">
        <v>0.0</v>
      </c>
      <c r="D4097" s="3">
        <v>0.0</v>
      </c>
      <c r="E4097" s="3">
        <v>0.0</v>
      </c>
      <c r="F4097" s="3" t="s">
        <v>11729</v>
      </c>
      <c r="G4097" s="3">
        <v>1.0</v>
      </c>
      <c r="H4097" s="3">
        <v>0.0</v>
      </c>
      <c r="I4097" s="3" t="s">
        <v>13</v>
      </c>
      <c r="J4097" s="3" t="s">
        <v>11730</v>
      </c>
      <c r="K4097" s="3" t="s">
        <v>510</v>
      </c>
      <c r="L4097" s="3" t="str">
        <f>IFERROR(__xludf.DUMMYFUNCTION("GOOGLETRANSLATE(F4097,""id"",""en"")"),"Infographic Topic of World Cup Final Trusting the Record of Google's Highest Search Traffic During the Year")</f>
        <v>Infographic Topic of World Cup Final Trusting the Record of Google's Highest Search Traffic During the Year</v>
      </c>
    </row>
    <row r="4098" ht="15.75" customHeight="1">
      <c r="A4098" s="1">
        <v>4139.0</v>
      </c>
      <c r="B4098" s="3" t="s">
        <v>11731</v>
      </c>
      <c r="C4098" s="3">
        <v>0.0</v>
      </c>
      <c r="D4098" s="3">
        <v>3.0</v>
      </c>
      <c r="E4098" s="3">
        <v>25.0</v>
      </c>
      <c r="F4098" s="3" t="s">
        <v>11732</v>
      </c>
      <c r="G4098" s="3">
        <v>1.0</v>
      </c>
      <c r="H4098" s="3">
        <v>0.0</v>
      </c>
      <c r="I4098" s="3" t="s">
        <v>13</v>
      </c>
      <c r="J4098" s="3" t="s">
        <v>11733</v>
      </c>
      <c r="K4098" s="3" t="s">
        <v>3948</v>
      </c>
      <c r="L4098" s="3" t="str">
        <f>IFERROR(__xludf.DUMMYFUNCTION("GOOGLETRANSLATE(F4098,""id"",""en"")"),"That's why the Dutch national anthem there is a text worshiping the Spanish king so the final time of the world cup of the Dutch soccer player worshiped the Spanish king in his national anthem while the Spanish player because of the history of the civil w"&amp;"ar there was no text to worship the kingdom")</f>
        <v>That's why the Dutch national anthem there is a text worshiping the Spanish king so the final time of the world cup of the Dutch soccer player worshiped the Spanish king in his national anthem while the Spanish player because of the history of the civil war there was no text to worship the kingdom</v>
      </c>
    </row>
    <row r="4099" ht="15.75" customHeight="1">
      <c r="A4099" s="1">
        <v>4140.0</v>
      </c>
      <c r="B4099" s="3" t="s">
        <v>11734</v>
      </c>
      <c r="C4099" s="3">
        <v>0.0</v>
      </c>
      <c r="D4099" s="3">
        <v>0.0</v>
      </c>
      <c r="E4099" s="3">
        <v>0.0</v>
      </c>
      <c r="F4099" s="3" t="s">
        <v>11735</v>
      </c>
      <c r="G4099" s="3">
        <v>1.0</v>
      </c>
      <c r="H4099" s="3">
        <v>0.0</v>
      </c>
      <c r="I4099" s="3" t="s">
        <v>13</v>
      </c>
      <c r="J4099" s="3" t="s">
        <v>11736</v>
      </c>
      <c r="K4099" s="3" t="s">
        <v>244</v>
      </c>
      <c r="L4099" s="3" t="str">
        <f>IFERROR(__xludf.DUMMYFUNCTION("GOOGLETRANSLATE(F4099,""id"",""en"")"),"Leicester returned to acting after the World Cup break to secure their place of the Cupabao Cup quarter -finals")</f>
        <v>Leicester returned to acting after the World Cup break to secure their place of the Cupabao Cup quarter -finals</v>
      </c>
    </row>
    <row r="4100" ht="15.75" customHeight="1">
      <c r="A4100" s="1">
        <v>4141.0</v>
      </c>
      <c r="B4100" s="3" t="s">
        <v>11737</v>
      </c>
      <c r="C4100" s="3">
        <v>0.0</v>
      </c>
      <c r="D4100" s="3">
        <v>1.0</v>
      </c>
      <c r="E4100" s="3">
        <v>4.0</v>
      </c>
      <c r="F4100" s="3" t="s">
        <v>11738</v>
      </c>
      <c r="G4100" s="3">
        <v>1.0</v>
      </c>
      <c r="H4100" s="3">
        <v>0.0</v>
      </c>
      <c r="I4100" s="3" t="s">
        <v>13</v>
      </c>
      <c r="J4100" s="3" t="s">
        <v>11739</v>
      </c>
      <c r="K4100" s="3" t="s">
        <v>19</v>
      </c>
      <c r="L4100" s="3" t="str">
        <f>IFERROR(__xludf.DUMMYFUNCTION("GOOGLETRANSLATE(F4100,""id"",""en"")"),"Beautiful wife showing off a message that was realized by Angel Maria scored the World Cup Final goal")</f>
        <v>Beautiful wife showing off a message that was realized by Angel Maria scored the World Cup Final goal</v>
      </c>
    </row>
    <row r="4101" ht="15.75" customHeight="1">
      <c r="A4101" s="1">
        <v>4142.0</v>
      </c>
      <c r="B4101" s="3" t="s">
        <v>11740</v>
      </c>
      <c r="C4101" s="3">
        <v>1.0</v>
      </c>
      <c r="D4101" s="3">
        <v>1.0</v>
      </c>
      <c r="E4101" s="3">
        <v>3.0</v>
      </c>
      <c r="F4101" s="3" t="s">
        <v>11741</v>
      </c>
      <c r="G4101" s="3">
        <v>0.85</v>
      </c>
      <c r="H4101" s="3">
        <v>0.4</v>
      </c>
      <c r="I4101" s="3" t="s">
        <v>48</v>
      </c>
      <c r="J4101" s="3" t="s">
        <v>11742</v>
      </c>
      <c r="K4101" s="3" t="s">
        <v>172</v>
      </c>
      <c r="L4101" s="3" t="str">
        <f>IFERROR(__xludf.DUMMYFUNCTION("GOOGLETRANSLATE(F4101,""id"",""en"")"),"This is not a matter of facts or not lol we all know our country is left behind but just try if one of the Japanese players talking like that and as a result we defeat them the biggest world cup is clearly we will overreact")</f>
        <v>This is not a matter of facts or not lol we all know our country is left behind but just try if one of the Japanese players talking like that and as a result we defeat them the biggest world cup is clearly we will overreact</v>
      </c>
    </row>
    <row r="4102" ht="15.75" customHeight="1">
      <c r="A4102" s="1">
        <v>4143.0</v>
      </c>
      <c r="B4102" s="3" t="s">
        <v>11743</v>
      </c>
      <c r="C4102" s="3">
        <v>0.0</v>
      </c>
      <c r="D4102" s="3">
        <v>0.0</v>
      </c>
      <c r="E4102" s="3">
        <v>0.0</v>
      </c>
      <c r="F4102" s="3" t="s">
        <v>11744</v>
      </c>
      <c r="G4102" s="3">
        <v>1.0</v>
      </c>
      <c r="H4102" s="3">
        <v>0.0</v>
      </c>
      <c r="I4102" s="3" t="s">
        <v>13</v>
      </c>
      <c r="J4102" s="3" t="s">
        <v>11745</v>
      </c>
      <c r="K4102" s="3" t="s">
        <v>50</v>
      </c>
      <c r="L4102" s="3" t="str">
        <f>IFERROR(__xludf.DUMMYFUNCTION("GOOGLETRANSLATE(F4102,""id"",""en"")"),"Thousands of Nobar Final People of the DKI Jakarta Golkar Party Office")</f>
        <v>Thousands of Nobar Final People of the DKI Jakarta Golkar Party Office</v>
      </c>
    </row>
    <row r="4103" ht="15.75" customHeight="1">
      <c r="A4103" s="1">
        <v>4144.0</v>
      </c>
      <c r="B4103" s="3" t="s">
        <v>11746</v>
      </c>
      <c r="C4103" s="3">
        <v>0.0</v>
      </c>
      <c r="D4103" s="3">
        <v>0.0</v>
      </c>
      <c r="E4103" s="3">
        <v>1.0</v>
      </c>
      <c r="F4103" s="3" t="s">
        <v>11747</v>
      </c>
      <c r="G4103" s="3">
        <v>1.0</v>
      </c>
      <c r="H4103" s="3">
        <v>0.0</v>
      </c>
      <c r="I4103" s="3" t="s">
        <v>13</v>
      </c>
      <c r="J4103" s="3" t="s">
        <v>11748</v>
      </c>
      <c r="K4103" s="3" t="s">
        <v>82</v>
      </c>
      <c r="L4103" s="3" t="str">
        <f>IFERROR(__xludf.DUMMYFUNCTION("GOOGLETRANSLATE(F4103,""id"",""en"")"),"So it means the final of the Thailand Indonesia World Cup")</f>
        <v>So it means the final of the Thailand Indonesia World Cup</v>
      </c>
    </row>
    <row r="4104" ht="15.75" customHeight="1">
      <c r="A4104" s="1">
        <v>4145.0</v>
      </c>
      <c r="B4104" s="3" t="s">
        <v>11749</v>
      </c>
      <c r="C4104" s="3">
        <v>0.0</v>
      </c>
      <c r="D4104" s="3">
        <v>0.0</v>
      </c>
      <c r="E4104" s="3">
        <v>0.0</v>
      </c>
      <c r="F4104" s="3" t="s">
        <v>11750</v>
      </c>
      <c r="G4104" s="3">
        <v>1.0</v>
      </c>
      <c r="H4104" s="3">
        <v>0.0</v>
      </c>
      <c r="I4104" s="3" t="s">
        <v>13</v>
      </c>
      <c r="J4104" s="3" t="s">
        <v>11751</v>
      </c>
      <c r="K4104" s="3" t="s">
        <v>675</v>
      </c>
      <c r="L4104" s="3" t="str">
        <f>IFERROR(__xludf.DUMMYFUNCTION("GOOGLETRANSLATE(F4104,""id"",""en"")"),"Even though it failed to defend the Mara Final World Cup, it was still valued by the French people if I thought that the enthusiasts gathered to welcome the return of their entrepreneur as good as the homeland arrived last night")</f>
        <v>Even though it failed to defend the Mara Final World Cup, it was still valued by the French people if I thought that the enthusiasts gathered to welcome the return of their entrepreneur as good as the homeland arrived last night</v>
      </c>
    </row>
    <row r="4105" ht="15.75" customHeight="1">
      <c r="A4105" s="1">
        <v>4146.0</v>
      </c>
      <c r="B4105" s="3" t="s">
        <v>11752</v>
      </c>
      <c r="C4105" s="3">
        <v>0.0</v>
      </c>
      <c r="D4105" s="3">
        <v>0.0</v>
      </c>
      <c r="E4105" s="3">
        <v>0.0</v>
      </c>
      <c r="F4105" s="3" t="s">
        <v>11753</v>
      </c>
      <c r="G4105" s="3">
        <v>0.75</v>
      </c>
      <c r="H4105" s="3">
        <v>0.25</v>
      </c>
      <c r="I4105" s="3" t="s">
        <v>48</v>
      </c>
      <c r="J4105" s="3" t="s">
        <v>11754</v>
      </c>
      <c r="K4105" s="3" t="s">
        <v>240</v>
      </c>
      <c r="L4105" s="3" t="str">
        <f>IFERROR(__xludf.DUMMYFUNCTION("GOOGLETRANSLATE(F4105,""id"",""en"")"),"Top News Newspaper Merdeka People's Story of Airlangga The launch of the book Handling Covid similar to the World Cup Final")</f>
        <v>Top News Newspaper Merdeka People's Story of Airlangga The launch of the book Handling Covid similar to the World Cup Final</v>
      </c>
    </row>
    <row r="4106" ht="15.75" customHeight="1">
      <c r="A4106" s="1">
        <v>4147.0</v>
      </c>
      <c r="B4106" s="3" t="s">
        <v>11755</v>
      </c>
      <c r="C4106" s="3">
        <v>2.0</v>
      </c>
      <c r="D4106" s="3">
        <v>7.0</v>
      </c>
      <c r="E4106" s="3">
        <v>65.0</v>
      </c>
      <c r="F4106" s="3" t="s">
        <v>11756</v>
      </c>
      <c r="G4106" s="3">
        <v>1.0</v>
      </c>
      <c r="H4106" s="3">
        <v>0.0</v>
      </c>
      <c r="I4106" s="3" t="s">
        <v>13</v>
      </c>
      <c r="J4106" s="3" t="s">
        <v>11757</v>
      </c>
      <c r="K4106" s="3" t="s">
        <v>11758</v>
      </c>
      <c r="L4106" s="3" t="str">
        <f>IFERROR(__xludf.DUMMYFUNCTION("GOOGLETRANSLATE(F4106,""id"",""en"")"),"FunFact Argentina France Brazilian World Champion Copa America Italy champion Euro All countries above lost to Argentina France lost to the final of the Brazil World Cup Lose Final Copa America Italy lost the final")</f>
        <v>FunFact Argentina France Brazilian World Champion Copa America Italy champion Euro All countries above lost to Argentina France lost to the final of the Brazil World Cup Lose Final Copa America Italy lost the final</v>
      </c>
    </row>
    <row r="4107" ht="15.75" customHeight="1">
      <c r="A4107" s="1">
        <v>4148.0</v>
      </c>
      <c r="B4107" s="3" t="s">
        <v>11759</v>
      </c>
      <c r="C4107" s="3">
        <v>0.0</v>
      </c>
      <c r="D4107" s="3">
        <v>0.0</v>
      </c>
      <c r="E4107" s="3">
        <v>0.0</v>
      </c>
      <c r="F4107" s="3" t="s">
        <v>11760</v>
      </c>
      <c r="G4107" s="3">
        <v>1.0</v>
      </c>
      <c r="H4107" s="3">
        <v>0.0</v>
      </c>
      <c r="I4107" s="3" t="s">
        <v>13</v>
      </c>
      <c r="J4107" s="3" t="s">
        <v>11761</v>
      </c>
      <c r="K4107" s="3" t="s">
        <v>75</v>
      </c>
      <c r="L4107" s="3" t="str">
        <f>IFERROR(__xludf.DUMMYFUNCTION("GOOGLETRANSLATE(F4107,""id"",""en"")"),"The new feelings of the World Cup final yesterday were many tweets")</f>
        <v>The new feelings of the World Cup final yesterday were many tweets</v>
      </c>
    </row>
    <row r="4108" ht="15.75" customHeight="1">
      <c r="A4108" s="1">
        <v>4149.0</v>
      </c>
      <c r="B4108" s="3" t="s">
        <v>11762</v>
      </c>
      <c r="C4108" s="3">
        <v>0.0</v>
      </c>
      <c r="D4108" s="3">
        <v>0.0</v>
      </c>
      <c r="E4108" s="3">
        <v>1.0</v>
      </c>
      <c r="F4108" s="3" t="s">
        <v>11763</v>
      </c>
      <c r="G4108" s="3">
        <v>1.0</v>
      </c>
      <c r="H4108" s="3">
        <v>0.0</v>
      </c>
      <c r="I4108" s="3" t="s">
        <v>13</v>
      </c>
      <c r="J4108" s="3" t="s">
        <v>11764</v>
      </c>
      <c r="K4108" s="3" t="s">
        <v>11765</v>
      </c>
      <c r="L4108" s="3" t="str">
        <f>IFERROR(__xludf.DUMMYFUNCTION("GOOGLETRANSLATE(F4108,""id"",""en"")"),"FunFact Argentina France Brazilian World Champion Copa America Italy champion Euro All of the countries above lost to Argentina France lost to the final of the Brazilian World Cup Losing the Copa America Italy Final Lose Finalalizing Argentina Conquered t"&amp;"he World")</f>
        <v>FunFact Argentina France Brazilian World Champion Copa America Italy champion Euro All of the countries above lost to Argentina France lost to the final of the Brazilian World Cup Losing the Copa America Italy Final Lose Finalalizing Argentina Conquered the World</v>
      </c>
    </row>
    <row r="4109" ht="15.75" customHeight="1">
      <c r="A4109" s="1">
        <v>4150.0</v>
      </c>
      <c r="B4109" s="3" t="s">
        <v>11766</v>
      </c>
      <c r="C4109" s="3">
        <v>0.0</v>
      </c>
      <c r="D4109" s="3">
        <v>0.0</v>
      </c>
      <c r="E4109" s="3">
        <v>0.0</v>
      </c>
      <c r="F4109" s="3" t="s">
        <v>11767</v>
      </c>
      <c r="G4109" s="3">
        <v>0.8</v>
      </c>
      <c r="H4109" s="3">
        <v>-0.15</v>
      </c>
      <c r="I4109" s="3" t="s">
        <v>179</v>
      </c>
      <c r="J4109" s="3" t="s">
        <v>11768</v>
      </c>
      <c r="K4109" s="3" t="s">
        <v>75</v>
      </c>
      <c r="L4109" s="3" t="str">
        <f>IFERROR(__xludf.DUMMYFUNCTION("GOOGLETRANSLATE(F4109,""id"",""en"")"),"duh watching together with the Qatar World Cup final changed to a tragedy")</f>
        <v>duh watching together with the Qatar World Cup final changed to a tragedy</v>
      </c>
    </row>
    <row r="4110" ht="15.75" customHeight="1">
      <c r="A4110" s="1">
        <v>4151.0</v>
      </c>
      <c r="B4110" s="3" t="s">
        <v>11769</v>
      </c>
      <c r="C4110" s="3">
        <v>4.0</v>
      </c>
      <c r="D4110" s="3">
        <v>0.0</v>
      </c>
      <c r="E4110" s="3">
        <v>2.0</v>
      </c>
      <c r="F4110" s="3" t="s">
        <v>11770</v>
      </c>
      <c r="G4110" s="3">
        <v>0.55</v>
      </c>
      <c r="H4110" s="3">
        <v>0.0</v>
      </c>
      <c r="I4110" s="3" t="s">
        <v>13</v>
      </c>
      <c r="J4110" s="3" t="s">
        <v>11771</v>
      </c>
      <c r="K4110" s="3" t="s">
        <v>574</v>
      </c>
      <c r="L4110" s="3" t="str">
        <f>IFERROR(__xludf.DUMMYFUNCTION("GOOGLETRANSLATE(F4110,""id"",""en"")"),"Imagine it all is the Indonesian national team fan who after making the achievements of the World Cup with the finish runner lost final against the Netherlands with a score of the national team's goal printed by Dedik minutes extra time after spending")</f>
        <v>Imagine it all is the Indonesian national team fan who after making the achievements of the World Cup with the finish runner lost final against the Netherlands with a score of the national team's goal printed by Dedik minutes extra time after spending</v>
      </c>
    </row>
    <row r="4111" ht="15.75" customHeight="1">
      <c r="A4111" s="1">
        <v>4152.0</v>
      </c>
      <c r="B4111" s="3" t="s">
        <v>11772</v>
      </c>
      <c r="C4111" s="3">
        <v>0.0</v>
      </c>
      <c r="D4111" s="3">
        <v>0.0</v>
      </c>
      <c r="E4111" s="3">
        <v>1.0</v>
      </c>
      <c r="F4111" s="3" t="s">
        <v>11773</v>
      </c>
      <c r="G4111" s="3">
        <v>1.0</v>
      </c>
      <c r="H4111" s="3">
        <v>0.0</v>
      </c>
      <c r="I4111" s="3" t="s">
        <v>13</v>
      </c>
      <c r="J4111" s="3" t="s">
        <v>11774</v>
      </c>
      <c r="K4111" s="3" t="s">
        <v>82</v>
      </c>
      <c r="L4111" s="3" t="str">
        <f>IFERROR(__xludf.DUMMYFUNCTION("GOOGLETRANSLATE(F4111,""id"",""en"")"),"Euphoria Nobar Final World Cup Bengkulu City")</f>
        <v>Euphoria Nobar Final World Cup Bengkulu City</v>
      </c>
    </row>
    <row r="4112" ht="15.75" customHeight="1">
      <c r="A4112" s="1">
        <v>4153.0</v>
      </c>
      <c r="B4112" s="3" t="s">
        <v>11775</v>
      </c>
      <c r="C4112" s="3">
        <v>0.0</v>
      </c>
      <c r="D4112" s="3">
        <v>0.0</v>
      </c>
      <c r="E4112" s="3">
        <v>1.0</v>
      </c>
      <c r="F4112" s="3" t="s">
        <v>11776</v>
      </c>
      <c r="G4112" s="3">
        <v>1.0</v>
      </c>
      <c r="H4112" s="3">
        <v>0.0</v>
      </c>
      <c r="I4112" s="3" t="s">
        <v>13</v>
      </c>
      <c r="J4112" s="3" t="s">
        <v>11777</v>
      </c>
      <c r="K4112" s="3" t="s">
        <v>19</v>
      </c>
      <c r="L4112" s="3" t="str">
        <f>IFERROR(__xludf.DUMMYFUNCTION("GOOGLETRANSLATE(F4112,""id"",""en"")"),"Didier Deschamps played an important role in bringing France of the Qatar World Cup Final Party")</f>
        <v>Didier Deschamps played an important role in bringing France of the Qatar World Cup Final Party</v>
      </c>
    </row>
    <row r="4113" ht="15.75" customHeight="1">
      <c r="A4113" s="1">
        <v>4154.0</v>
      </c>
      <c r="B4113" s="3" t="s">
        <v>11778</v>
      </c>
      <c r="C4113" s="3">
        <v>0.0</v>
      </c>
      <c r="D4113" s="3">
        <v>0.0</v>
      </c>
      <c r="E4113" s="3">
        <v>0.0</v>
      </c>
      <c r="F4113" s="3" t="s">
        <v>11779</v>
      </c>
      <c r="G4113" s="3">
        <v>1.0</v>
      </c>
      <c r="H4113" s="3">
        <v>0.0</v>
      </c>
      <c r="I4113" s="3" t="s">
        <v>13</v>
      </c>
      <c r="J4113" s="3" t="s">
        <v>11780</v>
      </c>
      <c r="K4113" s="3" t="s">
        <v>127</v>
      </c>
      <c r="L4113" s="3" t="str">
        <f>IFERROR(__xludf.DUMMYFUNCTION("GOOGLETRANSLATE(F4113,""id"",""en"")"),"Kamui how come Dodo indeed he entered this final, the context of the World Cup if you want the remaining two people should be Messi and Mbappe")</f>
        <v>Kamui how come Dodo indeed he entered this final, the context of the World Cup if you want the remaining two people should be Messi and Mbappe</v>
      </c>
    </row>
    <row r="4114" ht="15.75" customHeight="1">
      <c r="A4114" s="1">
        <v>4156.0</v>
      </c>
      <c r="B4114" s="3" t="s">
        <v>11781</v>
      </c>
      <c r="C4114" s="3">
        <v>0.0</v>
      </c>
      <c r="D4114" s="3">
        <v>0.0</v>
      </c>
      <c r="E4114" s="3">
        <v>0.0</v>
      </c>
      <c r="F4114" s="3" t="s">
        <v>11782</v>
      </c>
      <c r="G4114" s="3">
        <v>0.6666666666666666</v>
      </c>
      <c r="H4114" s="3">
        <v>0.08333333333333333</v>
      </c>
      <c r="I4114" s="3" t="s">
        <v>48</v>
      </c>
      <c r="J4114" s="3" t="s">
        <v>11783</v>
      </c>
      <c r="K4114" s="3" t="s">
        <v>71</v>
      </c>
      <c r="L4114" s="3" t="str">
        <f>IFERROR(__xludf.DUMMYFUNCTION("GOOGLETRANSLATE(F4114,""id"",""en"")"),"Info playing football FFF condemns the act of harassment of racism against the French national team players of the World Cup Final")</f>
        <v>Info playing football FFF condemns the act of harassment of racism against the French national team players of the World Cup Final</v>
      </c>
    </row>
    <row r="4115" ht="15.75" customHeight="1">
      <c r="A4115" s="1">
        <v>4157.0</v>
      </c>
      <c r="B4115" s="3" t="s">
        <v>11784</v>
      </c>
      <c r="C4115" s="3">
        <v>0.0</v>
      </c>
      <c r="D4115" s="3">
        <v>0.0</v>
      </c>
      <c r="E4115" s="3">
        <v>0.0</v>
      </c>
      <c r="F4115" s="3" t="s">
        <v>11785</v>
      </c>
      <c r="G4115" s="3">
        <v>1.0</v>
      </c>
      <c r="H4115" s="3">
        <v>0.0</v>
      </c>
      <c r="I4115" s="3" t="s">
        <v>13</v>
      </c>
      <c r="J4115" s="3" t="s">
        <v>11786</v>
      </c>
      <c r="K4115" s="3" t="s">
        <v>510</v>
      </c>
      <c r="L4115" s="3" t="str">
        <f>IFERROR(__xludf.DUMMYFUNCTION("GOOGLETRANSLATE(F4115,""id"",""en"")"),"The Regent Indah called the French Argentine Final Match in the World Cup History")</f>
        <v>The Regent Indah called the French Argentine Final Match in the World Cup History</v>
      </c>
    </row>
    <row r="4116" ht="15.75" customHeight="1">
      <c r="A4116" s="1">
        <v>4158.0</v>
      </c>
      <c r="B4116" s="3" t="s">
        <v>11787</v>
      </c>
      <c r="C4116" s="3">
        <v>0.0</v>
      </c>
      <c r="D4116" s="3">
        <v>1.0</v>
      </c>
      <c r="E4116" s="3">
        <v>1.0</v>
      </c>
      <c r="F4116" s="3" t="s">
        <v>11788</v>
      </c>
      <c r="G4116" s="3">
        <v>1.0</v>
      </c>
      <c r="H4116" s="3">
        <v>0.0</v>
      </c>
      <c r="I4116" s="3" t="s">
        <v>13</v>
      </c>
      <c r="J4116" s="3" t="s">
        <v>11789</v>
      </c>
      <c r="K4116" s="3" t="s">
        <v>633</v>
      </c>
      <c r="L4116" s="3" t="str">
        <f>IFERROR(__xludf.DUMMYFUNCTION("GOOGLETRANSLATE(F4116,""id"",""en"")"),"In addition to the final which is considered the best in the history of the Medioker team's efforts to narrow the gap with traditional power is the biggest inheritance of the World Cup for the new face of this world stage")</f>
        <v>In addition to the final which is considered the best in the history of the Medioker team's efforts to narrow the gap with traditional power is the biggest inheritance of the World Cup for the new face of this world stage</v>
      </c>
    </row>
    <row r="4117" ht="15.75" customHeight="1">
      <c r="A4117" s="1">
        <v>4159.0</v>
      </c>
      <c r="B4117" s="3" t="s">
        <v>11790</v>
      </c>
      <c r="C4117" s="3">
        <v>0.0</v>
      </c>
      <c r="D4117" s="3">
        <v>0.0</v>
      </c>
      <c r="E4117" s="3">
        <v>0.0</v>
      </c>
      <c r="F4117" s="3" t="s">
        <v>11791</v>
      </c>
      <c r="G4117" s="3">
        <v>1.0</v>
      </c>
      <c r="H4117" s="3">
        <v>0.0</v>
      </c>
      <c r="I4117" s="3" t="s">
        <v>13</v>
      </c>
      <c r="J4117" s="3" t="s">
        <v>11792</v>
      </c>
      <c r="K4117" s="3" t="s">
        <v>19</v>
      </c>
      <c r="L4117" s="3" t="str">
        <f>IFERROR(__xludf.DUMMYFUNCTION("GOOGLETRANSLATE(F4117,""id"",""en"")"),"President Jokowi gave an answer about the victory of the French French World Cup Qatar")</f>
        <v>President Jokowi gave an answer about the victory of the French French World Cup Qatar</v>
      </c>
    </row>
    <row r="4118" ht="15.75" customHeight="1">
      <c r="A4118" s="1">
        <v>4160.0</v>
      </c>
      <c r="B4118" s="3" t="s">
        <v>11793</v>
      </c>
      <c r="C4118" s="3">
        <v>1.0</v>
      </c>
      <c r="D4118" s="3">
        <v>0.0</v>
      </c>
      <c r="E4118" s="3">
        <v>2.0</v>
      </c>
      <c r="F4118" s="3" t="s">
        <v>11794</v>
      </c>
      <c r="G4118" s="3">
        <v>1.0</v>
      </c>
      <c r="H4118" s="3">
        <v>0.0</v>
      </c>
      <c r="I4118" s="3" t="s">
        <v>13</v>
      </c>
      <c r="J4118" s="3" t="s">
        <v>11795</v>
      </c>
      <c r="K4118" s="3" t="s">
        <v>54</v>
      </c>
      <c r="L4118" s="3" t="str">
        <f>IFERROR(__xludf.DUMMYFUNCTION("GOOGLETRANSLATE(F4118,""id"",""en"")"),"That's the first time I am the World Cup Boss Final")</f>
        <v>That's the first time I am the World Cup Boss Final</v>
      </c>
    </row>
    <row r="4119" ht="15.75" customHeight="1">
      <c r="A4119" s="1">
        <v>4161.0</v>
      </c>
      <c r="B4119" s="3" t="s">
        <v>11796</v>
      </c>
      <c r="C4119" s="3">
        <v>0.0</v>
      </c>
      <c r="D4119" s="3">
        <v>2.0</v>
      </c>
      <c r="E4119" s="3">
        <v>2.0</v>
      </c>
      <c r="F4119" s="3" t="s">
        <v>11797</v>
      </c>
      <c r="G4119" s="3">
        <v>1.0</v>
      </c>
      <c r="H4119" s="3">
        <v>0.0</v>
      </c>
      <c r="I4119" s="3" t="s">
        <v>13</v>
      </c>
      <c r="J4119" s="3" t="s">
        <v>11798</v>
      </c>
      <c r="K4119" s="3" t="s">
        <v>41</v>
      </c>
      <c r="L4119" s="3" t="str">
        <f>IFERROR(__xludf.DUMMYFUNCTION("GOOGLETRANSLATE(F4119,""id"",""en"")"),"Dinar Candy claimed to be weak when entertaining the audience of the World Cup Final")</f>
        <v>Dinar Candy claimed to be weak when entertaining the audience of the World Cup Final</v>
      </c>
    </row>
    <row r="4120" ht="15.75" customHeight="1">
      <c r="A4120" s="1">
        <v>4162.0</v>
      </c>
      <c r="B4120" s="3" t="s">
        <v>11799</v>
      </c>
      <c r="C4120" s="3">
        <v>3.0</v>
      </c>
      <c r="D4120" s="3">
        <v>0.0</v>
      </c>
      <c r="E4120" s="3">
        <v>0.0</v>
      </c>
      <c r="F4120" s="3" t="s">
        <v>11800</v>
      </c>
      <c r="G4120" s="3">
        <v>1.0</v>
      </c>
      <c r="H4120" s="3">
        <v>0.0</v>
      </c>
      <c r="I4120" s="3" t="s">
        <v>13</v>
      </c>
      <c r="J4120" s="3" t="s">
        <v>11801</v>
      </c>
      <c r="K4120" s="3" t="s">
        <v>1912</v>
      </c>
      <c r="L4120" s="3" t="str">
        <f>IFERROR(__xludf.DUMMYFUNCTION("GOOGLETRANSLATE(F4120,""id"",""en"")"),"The fact is that Latin American talent is still in Brazil European World Cup champion Messi Ballondor most from Amerka All Final Has Chance Respects Your opponent BLG Argentina and Brazil")</f>
        <v>The fact is that Latin American talent is still in Brazil European World Cup champion Messi Ballondor most from Amerka All Final Has Chance Respects Your opponent BLG Argentina and Brazil</v>
      </c>
    </row>
    <row r="4121" ht="15.75" customHeight="1">
      <c r="A4121" s="1">
        <v>4163.0</v>
      </c>
      <c r="B4121" s="3" t="s">
        <v>11802</v>
      </c>
      <c r="C4121" s="3">
        <v>0.0</v>
      </c>
      <c r="D4121" s="3">
        <v>0.0</v>
      </c>
      <c r="E4121" s="3">
        <v>0.0</v>
      </c>
      <c r="F4121" s="3" t="s">
        <v>11788</v>
      </c>
      <c r="G4121" s="3">
        <v>1.0</v>
      </c>
      <c r="H4121" s="3">
        <v>0.0</v>
      </c>
      <c r="I4121" s="3" t="s">
        <v>13</v>
      </c>
      <c r="J4121" s="3" t="s">
        <v>11789</v>
      </c>
      <c r="K4121" s="3" t="s">
        <v>633</v>
      </c>
      <c r="L4121" s="3" t="str">
        <f>IFERROR(__xludf.DUMMYFUNCTION("GOOGLETRANSLATE(F4121,""id"",""en"")"),"In addition to the final which is considered the best in the history of the Medioker team's efforts to narrow the gap with traditional power is the biggest inheritance of the World Cup for the new face of this world stage")</f>
        <v>In addition to the final which is considered the best in the history of the Medioker team's efforts to narrow the gap with traditional power is the biggest inheritance of the World Cup for the new face of this world stage</v>
      </c>
    </row>
    <row r="4122" ht="15.75" customHeight="1">
      <c r="A4122" s="1">
        <v>4164.0</v>
      </c>
      <c r="B4122" s="3" t="s">
        <v>11803</v>
      </c>
      <c r="C4122" s="3">
        <v>0.0</v>
      </c>
      <c r="D4122" s="3">
        <v>0.0</v>
      </c>
      <c r="E4122" s="3">
        <v>0.0</v>
      </c>
      <c r="F4122" s="3" t="s">
        <v>11804</v>
      </c>
      <c r="G4122" s="3">
        <v>1.0</v>
      </c>
      <c r="H4122" s="3">
        <v>0.0</v>
      </c>
      <c r="I4122" s="3" t="s">
        <v>13</v>
      </c>
      <c r="J4122" s="3" t="s">
        <v>11805</v>
      </c>
      <c r="K4122" s="3" t="s">
        <v>31</v>
      </c>
      <c r="L4122" s="3" t="str">
        <f>IFERROR(__xludf.DUMMYFUNCTION("GOOGLETRANSLATE(F4122,""id"",""en"")"),"Rematch World Cup Final Handak")</f>
        <v>Rematch World Cup Final Handak</v>
      </c>
    </row>
    <row r="4123" ht="15.75" customHeight="1">
      <c r="A4123" s="1">
        <v>4165.0</v>
      </c>
      <c r="B4123" s="3" t="s">
        <v>11806</v>
      </c>
      <c r="C4123" s="3">
        <v>1.0</v>
      </c>
      <c r="D4123" s="3">
        <v>0.0</v>
      </c>
      <c r="E4123" s="3">
        <v>1.0</v>
      </c>
      <c r="F4123" s="3" t="s">
        <v>11807</v>
      </c>
      <c r="G4123" s="3">
        <v>1.0</v>
      </c>
      <c r="H4123" s="3">
        <v>0.0</v>
      </c>
      <c r="I4123" s="3" t="s">
        <v>13</v>
      </c>
      <c r="J4123" s="3" t="s">
        <v>11808</v>
      </c>
      <c r="K4123" s="3" t="s">
        <v>1428</v>
      </c>
      <c r="L4123" s="3" t="str">
        <f>IFERROR(__xludf.DUMMYFUNCTION("GOOGLETRANSLATE(F4123,""id"",""en"")"),"Can't imagine if later Indonesia entered the World Cup and qualify for the big winning group to beat the quarter -finals' strong country into the semifinals against the defending champions and came out as world champions byur Buset again")</f>
        <v>Can't imagine if later Indonesia entered the World Cup and qualify for the big winning group to beat the quarter -finals' strong country into the semifinals against the defending champions and came out as world champions byur Buset again</v>
      </c>
    </row>
    <row r="4124" ht="15.75" customHeight="1">
      <c r="A4124" s="1">
        <v>4166.0</v>
      </c>
      <c r="B4124" s="3" t="s">
        <v>11809</v>
      </c>
      <c r="C4124" s="3">
        <v>2.0</v>
      </c>
      <c r="D4124" s="3">
        <v>0.0</v>
      </c>
      <c r="E4124" s="3">
        <v>3.0</v>
      </c>
      <c r="F4124" s="3" t="s">
        <v>11810</v>
      </c>
      <c r="G4124" s="3">
        <v>1.0</v>
      </c>
      <c r="H4124" s="3">
        <v>0.0</v>
      </c>
      <c r="I4124" s="3" t="s">
        <v>13</v>
      </c>
      <c r="J4124" s="3" t="s">
        <v>11811</v>
      </c>
      <c r="K4124" s="3" t="s">
        <v>149</v>
      </c>
      <c r="L4124" s="3" t="str">
        <f>IFERROR(__xludf.DUMMYFUNCTION("GOOGLETRANSLATE(F4124,""id"",""en"")"),"The fact is the fact that Latin American talent is still in Brazil European World Cup champion Messi Ballondor most from Amerka All Final Has Chance Respects Your Opponent")</f>
        <v>The fact is the fact that Latin American talent is still in Brazil European World Cup champion Messi Ballondor most from Amerka All Final Has Chance Respects Your Opponent</v>
      </c>
    </row>
    <row r="4125" ht="15.75" customHeight="1">
      <c r="A4125" s="1">
        <v>4167.0</v>
      </c>
      <c r="B4125" s="3" t="s">
        <v>11812</v>
      </c>
      <c r="C4125" s="3">
        <v>1.0</v>
      </c>
      <c r="D4125" s="3">
        <v>0.0</v>
      </c>
      <c r="E4125" s="3">
        <v>0.0</v>
      </c>
      <c r="F4125" s="3" t="s">
        <v>11813</v>
      </c>
      <c r="G4125" s="3">
        <v>0.4933333333333333</v>
      </c>
      <c r="H4125" s="3">
        <v>0.2066666666666667</v>
      </c>
      <c r="I4125" s="3" t="s">
        <v>48</v>
      </c>
      <c r="J4125" s="3" t="s">
        <v>11814</v>
      </c>
      <c r="K4125" s="3" t="s">
        <v>456</v>
      </c>
      <c r="L4125" s="3" t="str">
        <f>IFERROR(__xludf.DUMMYFUNCTION("GOOGLETRANSLATE(F4125,""id"",""en"")"),"Btw Zidane retired the age of the year when he was still top performing, still playing Real Madrid and entered the World Cup final let alone compare Maradona Maradona to win with the Medioker club Messi only played with the Udsh money players")</f>
        <v>Btw Zidane retired the age of the year when he was still top performing, still playing Real Madrid and entered the World Cup final let alone compare Maradona Maradona to win with the Medioker club Messi only played with the Udsh money players</v>
      </c>
    </row>
    <row r="4126" ht="15.75" customHeight="1">
      <c r="A4126" s="1">
        <v>4168.0</v>
      </c>
      <c r="B4126" s="3" t="s">
        <v>11815</v>
      </c>
      <c r="C4126" s="3">
        <v>0.0</v>
      </c>
      <c r="D4126" s="3">
        <v>0.0</v>
      </c>
      <c r="E4126" s="3">
        <v>0.0</v>
      </c>
      <c r="F4126" s="3" t="s">
        <v>11816</v>
      </c>
      <c r="G4126" s="3">
        <v>1.0</v>
      </c>
      <c r="H4126" s="3">
        <v>0.0</v>
      </c>
      <c r="I4126" s="3" t="s">
        <v>13</v>
      </c>
      <c r="J4126" s="3" t="s">
        <v>11817</v>
      </c>
      <c r="K4126" s="3" t="s">
        <v>82</v>
      </c>
      <c r="L4126" s="3" t="str">
        <f>IFERROR(__xludf.DUMMYFUNCTION("GOOGLETRANSLATE(F4126,""id"",""en"")"),"Argentine goalkeeper is accused of cheating during the World Cup final")</f>
        <v>Argentine goalkeeper is accused of cheating during the World Cup final</v>
      </c>
    </row>
    <row r="4127" ht="15.75" customHeight="1">
      <c r="A4127" s="1">
        <v>4169.0</v>
      </c>
      <c r="B4127" s="3" t="s">
        <v>11818</v>
      </c>
      <c r="C4127" s="3">
        <v>0.0</v>
      </c>
      <c r="D4127" s="3">
        <v>0.0</v>
      </c>
      <c r="E4127" s="3">
        <v>8.0</v>
      </c>
      <c r="F4127" s="3" t="s">
        <v>11819</v>
      </c>
      <c r="G4127" s="3">
        <v>1.0</v>
      </c>
      <c r="H4127" s="3">
        <v>0.0</v>
      </c>
      <c r="I4127" s="3" t="s">
        <v>13</v>
      </c>
      <c r="J4127" s="3" t="s">
        <v>11820</v>
      </c>
      <c r="K4127" s="3" t="s">
        <v>50</v>
      </c>
      <c r="L4127" s="3" t="str">
        <f>IFERROR(__xludf.DUMMYFUNCTION("GOOGLETRANSLATE(F4127,""id"",""en"")"),"FFF condemned the acts of harassment of racism against the French national team players of the World Cup Final")</f>
        <v>FFF condemned the acts of harassment of racism against the French national team players of the World Cup Final</v>
      </c>
    </row>
    <row r="4128" ht="15.75" customHeight="1">
      <c r="A4128" s="1">
        <v>4170.0</v>
      </c>
      <c r="B4128" s="3" t="s">
        <v>11821</v>
      </c>
      <c r="C4128" s="3">
        <v>0.0</v>
      </c>
      <c r="D4128" s="3">
        <v>1.0</v>
      </c>
      <c r="E4128" s="3">
        <v>4.0</v>
      </c>
      <c r="F4128" s="3" t="s">
        <v>11822</v>
      </c>
      <c r="G4128" s="3">
        <v>1.0</v>
      </c>
      <c r="H4128" s="3">
        <v>0.0</v>
      </c>
      <c r="I4128" s="3" t="s">
        <v>13</v>
      </c>
      <c r="J4128" s="3" t="s">
        <v>11823</v>
      </c>
      <c r="K4128" s="3" t="s">
        <v>19</v>
      </c>
      <c r="L4128" s="3" t="str">
        <f>IFERROR(__xludf.DUMMYFUNCTION("GOOGLETRANSLATE(F4128,""id"",""en"")"),"French Argentine matches are many called citizens as the best final in the history of the World Cup")</f>
        <v>French Argentine matches are many called citizens as the best final in the history of the World Cup</v>
      </c>
    </row>
    <row r="4129" ht="15.75" customHeight="1">
      <c r="A4129" s="1">
        <v>4171.0</v>
      </c>
      <c r="B4129" s="3" t="s">
        <v>11824</v>
      </c>
      <c r="C4129" s="3">
        <v>0.0</v>
      </c>
      <c r="D4129" s="3">
        <v>1.0</v>
      </c>
      <c r="E4129" s="3">
        <v>0.0</v>
      </c>
      <c r="F4129" s="3" t="s">
        <v>11822</v>
      </c>
      <c r="G4129" s="3">
        <v>1.0</v>
      </c>
      <c r="H4129" s="3">
        <v>0.0</v>
      </c>
      <c r="I4129" s="3" t="s">
        <v>13</v>
      </c>
      <c r="J4129" s="3" t="s">
        <v>11823</v>
      </c>
      <c r="K4129" s="3" t="s">
        <v>19</v>
      </c>
      <c r="L4129" s="3" t="str">
        <f>IFERROR(__xludf.DUMMYFUNCTION("GOOGLETRANSLATE(F4129,""id"",""en"")"),"French Argentine matches are many called citizens as the best final in the history of the World Cup")</f>
        <v>French Argentine matches are many called citizens as the best final in the history of the World Cup</v>
      </c>
    </row>
    <row r="4130" ht="15.75" customHeight="1">
      <c r="A4130" s="1">
        <v>4172.0</v>
      </c>
      <c r="B4130" s="3" t="s">
        <v>11825</v>
      </c>
      <c r="C4130" s="3">
        <v>3.0</v>
      </c>
      <c r="D4130" s="3">
        <v>0.0</v>
      </c>
      <c r="E4130" s="3">
        <v>8.0</v>
      </c>
      <c r="F4130" s="3" t="s">
        <v>11826</v>
      </c>
      <c r="G4130" s="3">
        <v>1.0</v>
      </c>
      <c r="H4130" s="3">
        <v>0.0</v>
      </c>
      <c r="I4130" s="3" t="s">
        <v>13</v>
      </c>
      <c r="J4130" s="3" t="s">
        <v>11827</v>
      </c>
      <c r="K4130" s="3" t="s">
        <v>1097</v>
      </c>
      <c r="L4130" s="3" t="str">
        <f>IFERROR(__xludf.DUMMYFUNCTION("GOOGLETRANSLATE(F4130,""id"",""en"")"),"Suddenly Kangen Vibes stayed up late watching the World Cup final")</f>
        <v>Suddenly Kangen Vibes stayed up late watching the World Cup final</v>
      </c>
    </row>
    <row r="4131" ht="15.75" customHeight="1">
      <c r="A4131" s="1">
        <v>4173.0</v>
      </c>
      <c r="B4131" s="3" t="s">
        <v>11828</v>
      </c>
      <c r="C4131" s="3">
        <v>0.0</v>
      </c>
      <c r="D4131" s="3">
        <v>0.0</v>
      </c>
      <c r="E4131" s="3">
        <v>2.0</v>
      </c>
      <c r="F4131" s="3" t="s">
        <v>11829</v>
      </c>
      <c r="G4131" s="3">
        <v>1.0</v>
      </c>
      <c r="H4131" s="3">
        <v>0.0</v>
      </c>
      <c r="I4131" s="3" t="s">
        <v>13</v>
      </c>
      <c r="J4131" s="3" t="s">
        <v>11830</v>
      </c>
      <c r="K4131" s="3" t="s">
        <v>50</v>
      </c>
      <c r="L4131" s="3" t="str">
        <f>IFERROR(__xludf.DUMMYFUNCTION("GOOGLETRANSLATE(F4131,""id"",""en"")"),"The excitement of the Qatar World Cup Final Argentina France Dau Malang, East Java")</f>
        <v>The excitement of the Qatar World Cup Final Argentina France Dau Malang, East Java</v>
      </c>
    </row>
    <row r="4132" ht="15.75" customHeight="1">
      <c r="A4132" s="1">
        <v>4174.0</v>
      </c>
      <c r="B4132" s="3" t="s">
        <v>11831</v>
      </c>
      <c r="C4132" s="3">
        <v>0.0</v>
      </c>
      <c r="D4132" s="3">
        <v>0.0</v>
      </c>
      <c r="E4132" s="3">
        <v>0.0</v>
      </c>
      <c r="F4132" s="3" t="s">
        <v>11832</v>
      </c>
      <c r="G4132" s="3">
        <v>1.0</v>
      </c>
      <c r="H4132" s="3">
        <v>0.0</v>
      </c>
      <c r="I4132" s="3" t="s">
        <v>13</v>
      </c>
      <c r="J4132" s="3" t="s">
        <v>11833</v>
      </c>
      <c r="K4132" s="3" t="s">
        <v>19</v>
      </c>
      <c r="L4132" s="3" t="str">
        <f>IFERROR(__xludf.DUMMYFUNCTION("GOOGLETRANSLATE(F4132,""id"",""en"")"),"FFF condemned the action of harassing racism against the French national team players of the Whatsapp World Cup")</f>
        <v>FFF condemned the action of harassing racism against the French national team players of the Whatsapp World Cup</v>
      </c>
    </row>
    <row r="4133" ht="15.75" customHeight="1">
      <c r="A4133" s="1">
        <v>4175.0</v>
      </c>
      <c r="B4133" s="3" t="s">
        <v>11834</v>
      </c>
      <c r="C4133" s="3">
        <v>0.0</v>
      </c>
      <c r="D4133" s="3">
        <v>0.0</v>
      </c>
      <c r="E4133" s="3">
        <v>0.0</v>
      </c>
      <c r="F4133" s="3" t="s">
        <v>11835</v>
      </c>
      <c r="G4133" s="3">
        <v>1.0</v>
      </c>
      <c r="H4133" s="3">
        <v>0.0</v>
      </c>
      <c r="I4133" s="3" t="s">
        <v>13</v>
      </c>
      <c r="J4133" s="3" t="s">
        <v>11836</v>
      </c>
      <c r="K4133" s="3" t="s">
        <v>50</v>
      </c>
      <c r="L4133" s="3" t="str">
        <f>IFERROR(__xludf.DUMMYFUNCTION("GOOGLETRANSLATE(F4133,""id"",""en"")"),"Nobar POS BSP Cool Argentina Defeating France Final Qatar World Cup")</f>
        <v>Nobar POS BSP Cool Argentina Defeating France Final Qatar World Cup</v>
      </c>
    </row>
    <row r="4134" ht="15.75" customHeight="1">
      <c r="A4134" s="1">
        <v>4176.0</v>
      </c>
      <c r="B4134" s="3" t="s">
        <v>11837</v>
      </c>
      <c r="C4134" s="3">
        <v>0.0</v>
      </c>
      <c r="D4134" s="3">
        <v>0.0</v>
      </c>
      <c r="E4134" s="3">
        <v>0.0</v>
      </c>
      <c r="F4134" s="3" t="s">
        <v>11838</v>
      </c>
      <c r="G4134" s="3">
        <v>1.0</v>
      </c>
      <c r="H4134" s="3">
        <v>0.0</v>
      </c>
      <c r="I4134" s="3" t="s">
        <v>13</v>
      </c>
      <c r="J4134" s="3" t="s">
        <v>11839</v>
      </c>
      <c r="K4134" s="3" t="s">
        <v>484</v>
      </c>
      <c r="L4134" s="3" t="str">
        <f>IFERROR(__xludf.DUMMYFUNCTION("GOOGLETRANSLATE(F4134,""id"",""en"")"),"husband likes ordinary balls, people watch the world cup final, even accompanying his wife to watch Drakor")</f>
        <v>husband likes ordinary balls, people watch the world cup final, even accompanying his wife to watch Drakor</v>
      </c>
    </row>
    <row r="4135" ht="15.75" customHeight="1">
      <c r="A4135" s="1">
        <v>4177.0</v>
      </c>
      <c r="B4135" s="3" t="s">
        <v>11840</v>
      </c>
      <c r="C4135" s="3">
        <v>2.0</v>
      </c>
      <c r="D4135" s="3">
        <v>1.0</v>
      </c>
      <c r="E4135" s="3">
        <v>4.0</v>
      </c>
      <c r="F4135" s="3" t="s">
        <v>11841</v>
      </c>
      <c r="G4135" s="3">
        <v>1.0</v>
      </c>
      <c r="H4135" s="3">
        <v>0.0</v>
      </c>
      <c r="I4135" s="3" t="s">
        <v>13</v>
      </c>
      <c r="J4135" s="3" t="s">
        <v>11842</v>
      </c>
      <c r="K4135" s="3" t="s">
        <v>657</v>
      </c>
      <c r="L4135" s="3" t="str">
        <f>IFERROR(__xludf.DUMMYFUNCTION("GOOGLETRANSLATE(F4135,""id"",""en"")"),"Jorginho admitted that he was lazy to watch the Italian World Cup only wanted to watch it when the final was held")</f>
        <v>Jorginho admitted that he was lazy to watch the Italian World Cup only wanted to watch it when the final was held</v>
      </c>
    </row>
    <row r="4136" ht="15.75" customHeight="1">
      <c r="A4136" s="1">
        <v>4178.0</v>
      </c>
      <c r="B4136" s="3" t="s">
        <v>11843</v>
      </c>
      <c r="C4136" s="3">
        <v>0.0</v>
      </c>
      <c r="D4136" s="3">
        <v>0.0</v>
      </c>
      <c r="E4136" s="3">
        <v>8.0</v>
      </c>
      <c r="F4136" s="3" t="s">
        <v>11841</v>
      </c>
      <c r="G4136" s="3">
        <v>1.0</v>
      </c>
      <c r="H4136" s="3">
        <v>0.0</v>
      </c>
      <c r="I4136" s="3" t="s">
        <v>13</v>
      </c>
      <c r="J4136" s="3" t="s">
        <v>11842</v>
      </c>
      <c r="K4136" s="3" t="s">
        <v>657</v>
      </c>
      <c r="L4136" s="3" t="str">
        <f>IFERROR(__xludf.DUMMYFUNCTION("GOOGLETRANSLATE(F4136,""id"",""en"")"),"Jorginho admitted that he was lazy to watch the Italian World Cup only wanted to watch it when the final was held")</f>
        <v>Jorginho admitted that he was lazy to watch the Italian World Cup only wanted to watch it when the final was held</v>
      </c>
    </row>
    <row r="4137" ht="15.75" customHeight="1">
      <c r="A4137" s="1">
        <v>4179.0</v>
      </c>
      <c r="B4137" s="3" t="s">
        <v>11844</v>
      </c>
      <c r="C4137" s="3">
        <v>1.0</v>
      </c>
      <c r="D4137" s="3">
        <v>1.0</v>
      </c>
      <c r="E4137" s="3">
        <v>14.0</v>
      </c>
      <c r="F4137" s="3" t="s">
        <v>11845</v>
      </c>
      <c r="G4137" s="3">
        <v>1.0</v>
      </c>
      <c r="H4137" s="3">
        <v>0.0</v>
      </c>
      <c r="I4137" s="3" t="s">
        <v>13</v>
      </c>
      <c r="J4137" s="3" t="s">
        <v>11846</v>
      </c>
      <c r="K4137" s="3" t="s">
        <v>1428</v>
      </c>
      <c r="L4137" s="3" t="str">
        <f>IFERROR(__xludf.DUMMYFUNCTION("GOOGLETRANSLATE(F4137,""id"",""en"")"),"President Erdogan and Elon Musk met Qatar Turkish President Recep Tayyip Erdo watched Argentina and France in the FIFA World Cup final match held by the Qatar Lusail Stadium Ahad")</f>
        <v>President Erdogan and Elon Musk met Qatar Turkish President Recep Tayyip Erdo watched Argentina and France in the FIFA World Cup final match held by the Qatar Lusail Stadium Ahad</v>
      </c>
    </row>
    <row r="4138" ht="15.75" customHeight="1">
      <c r="A4138" s="1">
        <v>4180.0</v>
      </c>
      <c r="B4138" s="3" t="s">
        <v>11847</v>
      </c>
      <c r="C4138" s="3">
        <v>1.0</v>
      </c>
      <c r="D4138" s="3">
        <v>0.0</v>
      </c>
      <c r="E4138" s="3">
        <v>0.0</v>
      </c>
      <c r="F4138" s="3" t="s">
        <v>11848</v>
      </c>
      <c r="G4138" s="3">
        <v>1.0</v>
      </c>
      <c r="H4138" s="3">
        <v>0.0</v>
      </c>
      <c r="I4138" s="3" t="s">
        <v>13</v>
      </c>
      <c r="J4138" s="3" t="s">
        <v>11849</v>
      </c>
      <c r="K4138" s="3" t="s">
        <v>1428</v>
      </c>
      <c r="L4138" s="3" t="str">
        <f>IFERROR(__xludf.DUMMYFUNCTION("GOOGLETRANSLATE(F4138,""id"",""en"")"),"Finally until the row of the penalty Deg was severe and even though it turned out that Argentina won but what is the best world cup final, dad even shakes so exciting this is the final wkwkkwk")</f>
        <v>Finally until the row of the penalty Deg was severe and even though it turned out that Argentina won but what is the best world cup final, dad even shakes so exciting this is the final wkwkkwk</v>
      </c>
    </row>
    <row r="4139" ht="15.75" customHeight="1">
      <c r="A4139" s="1">
        <v>4181.0</v>
      </c>
      <c r="B4139" s="3" t="s">
        <v>11850</v>
      </c>
      <c r="C4139" s="3">
        <v>1.0</v>
      </c>
      <c r="D4139" s="3">
        <v>0.0</v>
      </c>
      <c r="E4139" s="3">
        <v>0.0</v>
      </c>
      <c r="F4139" s="3" t="s">
        <v>11851</v>
      </c>
      <c r="G4139" s="3">
        <v>1.0</v>
      </c>
      <c r="H4139" s="3">
        <v>0.0</v>
      </c>
      <c r="I4139" s="3" t="s">
        <v>13</v>
      </c>
      <c r="J4139" s="3" t="s">
        <v>11852</v>
      </c>
      <c r="K4139" s="3" t="s">
        <v>510</v>
      </c>
      <c r="L4139" s="3" t="str">
        <f>IFERROR(__xludf.DUMMYFUNCTION("GOOGLETRANSLATE(F4139,""id"",""en"")"),"Indeed there are some Arabic writings printed with the skin of the Ahlam ball that was used during the World Cup final like yesterday")</f>
        <v>Indeed there are some Arabic writings printed with the skin of the Ahlam ball that was used during the World Cup final like yesterday</v>
      </c>
    </row>
    <row r="4140" ht="15.75" customHeight="1">
      <c r="A4140" s="1">
        <v>4182.0</v>
      </c>
      <c r="B4140" s="3" t="s">
        <v>11853</v>
      </c>
      <c r="C4140" s="3">
        <v>1.0</v>
      </c>
      <c r="D4140" s="3">
        <v>3.0</v>
      </c>
      <c r="E4140" s="3">
        <v>5.0</v>
      </c>
      <c r="F4140" s="3" t="s">
        <v>11854</v>
      </c>
      <c r="G4140" s="3">
        <v>1.0</v>
      </c>
      <c r="H4140" s="3">
        <v>0.0</v>
      </c>
      <c r="I4140" s="3" t="s">
        <v>13</v>
      </c>
      <c r="J4140" s="3" t="s">
        <v>11855</v>
      </c>
      <c r="K4140" s="3" t="s">
        <v>495</v>
      </c>
      <c r="L4140" s="3" t="str">
        <f>IFERROR(__xludf.DUMMYFUNCTION("GOOGLETRANSLATE(F4140,""id"",""en"")"),"A friend asks when we are watching the World Cup final between Argentina and France, bang, there is an Arabic writing of the ball, it's not kicked")</f>
        <v>A friend asks when we are watching the World Cup final between Argentina and France, bang, there is an Arabic writing of the ball, it's not kicked</v>
      </c>
    </row>
    <row r="4141" ht="15.75" customHeight="1">
      <c r="A4141" s="1">
        <v>4183.0</v>
      </c>
      <c r="B4141" s="3" t="s">
        <v>11856</v>
      </c>
      <c r="C4141" s="3">
        <v>0.0</v>
      </c>
      <c r="D4141" s="3">
        <v>0.0</v>
      </c>
      <c r="E4141" s="3">
        <v>0.0</v>
      </c>
      <c r="F4141" s="3" t="s">
        <v>11857</v>
      </c>
      <c r="G4141" s="3">
        <v>1.0</v>
      </c>
      <c r="H4141" s="3">
        <v>0.0</v>
      </c>
      <c r="I4141" s="3" t="s">
        <v>13</v>
      </c>
      <c r="J4141" s="3" t="s">
        <v>11858</v>
      </c>
      <c r="K4141" s="3" t="s">
        <v>75</v>
      </c>
      <c r="L4141" s="3" t="str">
        <f>IFERROR(__xludf.DUMMYFUNCTION("GOOGLETRANSLATE(F4141,""id"",""en"")"),"Failed Final French Cup Final Penalty Dicamed Rasis Attack")</f>
        <v>Failed Final French Cup Final Penalty Dicamed Rasis Attack</v>
      </c>
    </row>
    <row r="4142" ht="15.75" customHeight="1">
      <c r="A4142" s="1">
        <v>4184.0</v>
      </c>
      <c r="B4142" s="3" t="s">
        <v>11859</v>
      </c>
      <c r="C4142" s="3">
        <v>1.0</v>
      </c>
      <c r="D4142" s="3">
        <v>0.0</v>
      </c>
      <c r="E4142" s="3">
        <v>0.0</v>
      </c>
      <c r="F4142" s="3" t="s">
        <v>11860</v>
      </c>
      <c r="G4142" s="3">
        <v>0.4777777777777778</v>
      </c>
      <c r="H4142" s="3">
        <v>0.05555555555555555</v>
      </c>
      <c r="I4142" s="3" t="s">
        <v>48</v>
      </c>
      <c r="J4142" s="3" t="s">
        <v>11861</v>
      </c>
      <c r="K4142" s="3" t="s">
        <v>11862</v>
      </c>
      <c r="L4142" s="3" t="str">
        <f>IFERROR(__xludf.DUMMYFUNCTION("GOOGLETRANSLATE(F4142,""id"",""en"")"),"Varane Pas Madrid DPET World Cup Trophy Pas Still Madrid when Emyu already after the final kmren is more solid upamecano should have played from the beginning not Varane if the semifinal kmren against Morocco OK OKEWA KONATE VARANE")</f>
        <v>Varane Pas Madrid DPET World Cup Trophy Pas Still Madrid when Emyu already after the final kmren is more solid upamecano should have played from the beginning not Varane if the semifinal kmren against Morocco OK OKEWA KONATE VARANE</v>
      </c>
    </row>
    <row r="4143" ht="15.75" customHeight="1">
      <c r="A4143" s="1">
        <v>4185.0</v>
      </c>
      <c r="B4143" s="3" t="s">
        <v>11863</v>
      </c>
      <c r="C4143" s="3">
        <v>0.0</v>
      </c>
      <c r="D4143" s="3">
        <v>0.0</v>
      </c>
      <c r="E4143" s="3">
        <v>0.0</v>
      </c>
      <c r="F4143" s="3" t="s">
        <v>11864</v>
      </c>
      <c r="G4143" s="3">
        <v>0.7166666666666667</v>
      </c>
      <c r="H4143" s="3">
        <v>-0.08333333333333333</v>
      </c>
      <c r="I4143" s="3" t="s">
        <v>179</v>
      </c>
      <c r="J4143" s="3" t="s">
        <v>11865</v>
      </c>
      <c r="K4143" s="3" t="s">
        <v>41</v>
      </c>
      <c r="L4143" s="3" t="str">
        <f>IFERROR(__xludf.DUMMYFUNCTION("GOOGLETRANSLATE(F4143,""id"",""en"")"),"who will be hard black mamby when the world cup final hatrick")</f>
        <v>who will be hard black mamby when the world cup final hatrick</v>
      </c>
    </row>
    <row r="4144" ht="15.75" customHeight="1">
      <c r="A4144" s="1">
        <v>4186.0</v>
      </c>
      <c r="B4144" s="3" t="s">
        <v>11866</v>
      </c>
      <c r="C4144" s="3">
        <v>0.0</v>
      </c>
      <c r="D4144" s="3">
        <v>1.0</v>
      </c>
      <c r="E4144" s="3">
        <v>4.0</v>
      </c>
      <c r="F4144" s="3" t="s">
        <v>11867</v>
      </c>
      <c r="G4144" s="3">
        <v>1.0</v>
      </c>
      <c r="H4144" s="3">
        <v>0.0</v>
      </c>
      <c r="I4144" s="3" t="s">
        <v>13</v>
      </c>
      <c r="J4144" s="3" t="s">
        <v>11868</v>
      </c>
      <c r="K4144" s="3" t="s">
        <v>75</v>
      </c>
      <c r="L4144" s="3" t="str">
        <f>IFERROR(__xludf.DUMMYFUNCTION("GOOGLETRANSLATE(F4144,""id"",""en"")"),"The best world cup final in history is difficult to break the pele record")</f>
        <v>The best world cup final in history is difficult to break the pele record</v>
      </c>
    </row>
    <row r="4145" ht="15.75" customHeight="1">
      <c r="A4145" s="1">
        <v>4187.0</v>
      </c>
      <c r="B4145" s="3" t="s">
        <v>11869</v>
      </c>
      <c r="C4145" s="3">
        <v>6.0</v>
      </c>
      <c r="D4145" s="3">
        <v>11.0</v>
      </c>
      <c r="E4145" s="3">
        <v>71.0</v>
      </c>
      <c r="F4145" s="3" t="s">
        <v>11870</v>
      </c>
      <c r="G4145" s="3">
        <v>1.0</v>
      </c>
      <c r="H4145" s="3">
        <v>0.0</v>
      </c>
      <c r="I4145" s="3" t="s">
        <v>13</v>
      </c>
      <c r="J4145" s="3" t="s">
        <v>11871</v>
      </c>
      <c r="K4145" s="3" t="s">
        <v>348</v>
      </c>
      <c r="L4145" s="3" t="str">
        <f>IFERROR(__xludf.DUMMYFUNCTION("GOOGLETRANSLATE(F4145,""id"",""en"")"),"Seven Substitution of France The third goal of Argentina is invalid")</f>
        <v>Seven Substitution of France The third goal of Argentina is invalid</v>
      </c>
    </row>
    <row r="4146" ht="15.75" customHeight="1">
      <c r="A4146" s="1">
        <v>4188.0</v>
      </c>
      <c r="B4146" s="3" t="s">
        <v>11872</v>
      </c>
      <c r="C4146" s="3">
        <v>0.0</v>
      </c>
      <c r="D4146" s="3">
        <v>0.0</v>
      </c>
      <c r="E4146" s="3">
        <v>1.0</v>
      </c>
      <c r="F4146" s="3" t="s">
        <v>11873</v>
      </c>
      <c r="G4146" s="3">
        <v>1.0</v>
      </c>
      <c r="H4146" s="3">
        <v>0.0</v>
      </c>
      <c r="I4146" s="3" t="s">
        <v>13</v>
      </c>
      <c r="J4146" s="3" t="s">
        <v>11874</v>
      </c>
      <c r="K4146" s="3" t="s">
        <v>127</v>
      </c>
      <c r="L4146" s="3" t="str">
        <f>IFERROR(__xludf.DUMMYFUNCTION("GOOGLETRANSLATE(F4146,""id"",""en"")"),"French French Goals Scorer World Cup Answer Zinedine Zidane Emmanuel Petit Let's follow Bestie Don't forget to follow")</f>
        <v>French French Goals Scorer World Cup Answer Zinedine Zidane Emmanuel Petit Let's follow Bestie Don't forget to follow</v>
      </c>
    </row>
    <row r="4147" ht="15.75" customHeight="1">
      <c r="A4147" s="1">
        <v>4189.0</v>
      </c>
      <c r="B4147" s="3" t="s">
        <v>11875</v>
      </c>
      <c r="C4147" s="3">
        <v>0.0</v>
      </c>
      <c r="D4147" s="3">
        <v>0.0</v>
      </c>
      <c r="E4147" s="3">
        <v>0.0</v>
      </c>
      <c r="F4147" s="3" t="s">
        <v>11876</v>
      </c>
      <c r="G4147" s="3">
        <v>0.6</v>
      </c>
      <c r="H4147" s="3">
        <v>-0.05</v>
      </c>
      <c r="I4147" s="3" t="s">
        <v>179</v>
      </c>
      <c r="J4147" s="3" t="s">
        <v>11877</v>
      </c>
      <c r="K4147" s="3" t="s">
        <v>510</v>
      </c>
      <c r="L4147" s="3" t="str">
        <f>IFERROR(__xludf.DUMMYFUNCTION("GOOGLETRANSLATE(F4147,""id"",""en"")"),"Professor revealed the trick of Emiliano Martinez won the Mental War of the World Cup Final Final")</f>
        <v>Professor revealed the trick of Emiliano Martinez won the Mental War of the World Cup Final Final</v>
      </c>
    </row>
    <row r="4148" ht="15.75" customHeight="1">
      <c r="A4148" s="1">
        <v>4190.0</v>
      </c>
      <c r="B4148" s="3" t="s">
        <v>11878</v>
      </c>
      <c r="C4148" s="3">
        <v>0.0</v>
      </c>
      <c r="D4148" s="3">
        <v>0.0</v>
      </c>
      <c r="E4148" s="3">
        <v>0.0</v>
      </c>
      <c r="F4148" s="3" t="s">
        <v>11879</v>
      </c>
      <c r="G4148" s="3">
        <v>1.0</v>
      </c>
      <c r="H4148" s="3">
        <v>0.0</v>
      </c>
      <c r="I4148" s="3" t="s">
        <v>13</v>
      </c>
      <c r="J4148" s="3" t="s">
        <v>11880</v>
      </c>
      <c r="K4148" s="3" t="s">
        <v>1479</v>
      </c>
      <c r="L4148" s="3" t="str">
        <f>IFERROR(__xludf.DUMMYFUNCTION("GOOGLETRANSLATE(F4148,""id"",""en"")"),"World Cup Final France Brazil Brazil goal scorer Zinedine Zidane Gol Emmanuel Petit Gol")</f>
        <v>World Cup Final France Brazil Brazil goal scorer Zinedine Zidane Gol Emmanuel Petit Gol</v>
      </c>
    </row>
    <row r="4149" ht="15.75" customHeight="1">
      <c r="A4149" s="1">
        <v>4191.0</v>
      </c>
      <c r="B4149" s="3" t="s">
        <v>11881</v>
      </c>
      <c r="C4149" s="3">
        <v>0.0</v>
      </c>
      <c r="D4149" s="3">
        <v>1.0</v>
      </c>
      <c r="E4149" s="3">
        <v>0.0</v>
      </c>
      <c r="F4149" s="3" t="s">
        <v>11882</v>
      </c>
      <c r="G4149" s="3">
        <v>1.0</v>
      </c>
      <c r="H4149" s="3">
        <v>0.0</v>
      </c>
      <c r="I4149" s="3" t="s">
        <v>13</v>
      </c>
      <c r="J4149" s="3" t="s">
        <v>11883</v>
      </c>
      <c r="K4149" s="3" t="s">
        <v>41</v>
      </c>
      <c r="L4149" s="3" t="str">
        <f>IFERROR(__xludf.DUMMYFUNCTION("GOOGLETRANSLATE(F4149,""id"",""en"")"),"Dramatic final in the history of Argentina in the World Cup Trophy")</f>
        <v>Dramatic final in the history of Argentina in the World Cup Trophy</v>
      </c>
    </row>
    <row r="4150" ht="15.75" customHeight="1">
      <c r="A4150" s="1">
        <v>4192.0</v>
      </c>
      <c r="B4150" s="3" t="s">
        <v>11884</v>
      </c>
      <c r="C4150" s="3">
        <v>0.0</v>
      </c>
      <c r="D4150" s="3">
        <v>0.0</v>
      </c>
      <c r="E4150" s="3">
        <v>0.0</v>
      </c>
      <c r="F4150" s="3" t="s">
        <v>11885</v>
      </c>
      <c r="G4150" s="3">
        <v>1.0</v>
      </c>
      <c r="H4150" s="3">
        <v>0.0</v>
      </c>
      <c r="I4150" s="3" t="s">
        <v>13</v>
      </c>
      <c r="J4150" s="3" t="s">
        <v>11886</v>
      </c>
      <c r="K4150" s="3" t="s">
        <v>244</v>
      </c>
      <c r="L4150" s="3" t="str">
        <f>IFERROR(__xludf.DUMMYFUNCTION("GOOGLETRANSLATE(F4150,""id"",""en"")"),"World Cup Final France Zinedine Zidane Gol Emmanuel Petit Gol Hati")</f>
        <v>World Cup Final France Zinedine Zidane Gol Emmanuel Petit Gol Hati</v>
      </c>
    </row>
    <row r="4151" ht="15.75" customHeight="1">
      <c r="A4151" s="1">
        <v>4193.0</v>
      </c>
      <c r="B4151" s="3" t="s">
        <v>11887</v>
      </c>
      <c r="C4151" s="3">
        <v>0.0</v>
      </c>
      <c r="D4151" s="3">
        <v>0.0</v>
      </c>
      <c r="E4151" s="3">
        <v>0.0</v>
      </c>
      <c r="F4151" s="3" t="s">
        <v>11888</v>
      </c>
      <c r="G4151" s="3">
        <v>1.0</v>
      </c>
      <c r="H4151" s="3">
        <v>0.0</v>
      </c>
      <c r="I4151" s="3" t="s">
        <v>13</v>
      </c>
      <c r="J4151" s="3" t="s">
        <v>11889</v>
      </c>
      <c r="K4151" s="3" t="s">
        <v>2215</v>
      </c>
      <c r="L4151" s="3" t="str">
        <f>IFERROR(__xludf.DUMMYFUNCTION("GOOGLETRANSLATE(F4151,""id"",""en"")"),"FRANCE FRANCH FRANCE FINAL FRANCE BRAZIL goal scorer Zinedine Zidane Gol Emmanuel Petit Gol")</f>
        <v>FRANCE FRANCH FRANCE FINAL FRANCE BRAZIL goal scorer Zinedine Zidane Gol Emmanuel Petit Gol</v>
      </c>
    </row>
    <row r="4152" ht="15.75" customHeight="1">
      <c r="A4152" s="1">
        <v>4194.0</v>
      </c>
      <c r="B4152" s="3" t="s">
        <v>11890</v>
      </c>
      <c r="C4152" s="3">
        <v>0.0</v>
      </c>
      <c r="D4152" s="3">
        <v>0.0</v>
      </c>
      <c r="E4152" s="3">
        <v>0.0</v>
      </c>
      <c r="F4152" s="3" t="s">
        <v>11891</v>
      </c>
      <c r="G4152" s="3">
        <v>1.0</v>
      </c>
      <c r="H4152" s="3">
        <v>0.0</v>
      </c>
      <c r="I4152" s="3" t="s">
        <v>13</v>
      </c>
      <c r="J4152" s="3" t="s">
        <v>11892</v>
      </c>
      <c r="K4152" s="3" t="s">
        <v>82</v>
      </c>
      <c r="L4152" s="3" t="str">
        <f>IFERROR(__xludf.DUMMYFUNCTION("GOOGLETRANSLATE(F4152,""id"",""en"")"),"World Cup Final Each Reveal Gabikin Bored")</f>
        <v>World Cup Final Each Reveal Gabikin Bored</v>
      </c>
    </row>
    <row r="4153" ht="15.75" customHeight="1">
      <c r="A4153" s="1">
        <v>4195.0</v>
      </c>
      <c r="B4153" s="3" t="s">
        <v>11893</v>
      </c>
      <c r="C4153" s="3">
        <v>0.0</v>
      </c>
      <c r="D4153" s="3">
        <v>0.0</v>
      </c>
      <c r="E4153" s="3">
        <v>0.0</v>
      </c>
      <c r="F4153" s="3" t="s">
        <v>11785</v>
      </c>
      <c r="G4153" s="3">
        <v>1.0</v>
      </c>
      <c r="H4153" s="3">
        <v>0.0</v>
      </c>
      <c r="I4153" s="3" t="s">
        <v>13</v>
      </c>
      <c r="J4153" s="3" t="s">
        <v>11786</v>
      </c>
      <c r="K4153" s="3" t="s">
        <v>510</v>
      </c>
      <c r="L4153" s="3" t="str">
        <f>IFERROR(__xludf.DUMMYFUNCTION("GOOGLETRANSLATE(F4153,""id"",""en"")"),"The Regent Indah called the French Argentine Final Match in the World Cup History")</f>
        <v>The Regent Indah called the French Argentine Final Match in the World Cup History</v>
      </c>
    </row>
    <row r="4154" ht="15.75" customHeight="1">
      <c r="A4154" s="1">
        <v>4196.0</v>
      </c>
      <c r="B4154" s="3" t="s">
        <v>11894</v>
      </c>
      <c r="C4154" s="3">
        <v>0.0</v>
      </c>
      <c r="D4154" s="3">
        <v>0.0</v>
      </c>
      <c r="E4154" s="3">
        <v>1.0</v>
      </c>
      <c r="F4154" s="3" t="s">
        <v>11895</v>
      </c>
      <c r="G4154" s="3">
        <v>1.0</v>
      </c>
      <c r="H4154" s="3">
        <v>0.0</v>
      </c>
      <c r="I4154" s="3" t="s">
        <v>13</v>
      </c>
      <c r="J4154" s="3" t="s">
        <v>11896</v>
      </c>
      <c r="K4154" s="3" t="s">
        <v>2023</v>
      </c>
      <c r="L4154" s="3" t="str">
        <f>IFERROR(__xludf.DUMMYFUNCTION("GOOGLETRANSLATE(F4154,""id"",""en"")"),"French goalscorer in the World Cup final is Zin Dine Yazid Zidane scored in minutes Emmanuel Laurent Petit scored a goal on the minute")</f>
        <v>French goalscorer in the World Cup final is Zin Dine Yazid Zidane scored in minutes Emmanuel Laurent Petit scored a goal on the minute</v>
      </c>
    </row>
    <row r="4155" ht="15.75" customHeight="1">
      <c r="A4155" s="1">
        <v>4197.0</v>
      </c>
      <c r="B4155" s="3" t="s">
        <v>11897</v>
      </c>
      <c r="C4155" s="3">
        <v>0.0</v>
      </c>
      <c r="D4155" s="3">
        <v>0.0</v>
      </c>
      <c r="E4155" s="3">
        <v>3.0</v>
      </c>
      <c r="F4155" s="3" t="s">
        <v>11898</v>
      </c>
      <c r="G4155" s="3">
        <v>1.0</v>
      </c>
      <c r="H4155" s="3">
        <v>0.0</v>
      </c>
      <c r="I4155" s="3" t="s">
        <v>13</v>
      </c>
      <c r="J4155" s="3" t="s">
        <v>11899</v>
      </c>
      <c r="K4155" s="3" t="s">
        <v>41</v>
      </c>
      <c r="L4155" s="3" t="str">
        <f>IFERROR(__xludf.DUMMYFUNCTION("GOOGLETRANSLATE(F4155,""id"",""en"")"),"right, the estimated Coordinating Minister for the World Cup final also happened")</f>
        <v>right, the estimated Coordinating Minister for the World Cup final also happened</v>
      </c>
    </row>
    <row r="4156" ht="15.75" customHeight="1">
      <c r="A4156" s="1">
        <v>4198.0</v>
      </c>
      <c r="B4156" s="3" t="s">
        <v>11900</v>
      </c>
      <c r="C4156" s="3">
        <v>0.0</v>
      </c>
      <c r="D4156" s="3">
        <v>0.0</v>
      </c>
      <c r="E4156" s="3">
        <v>0.0</v>
      </c>
      <c r="F4156" s="3" t="s">
        <v>11901</v>
      </c>
      <c r="G4156" s="3">
        <v>0.525</v>
      </c>
      <c r="H4156" s="3">
        <v>0.08</v>
      </c>
      <c r="I4156" s="3" t="s">
        <v>48</v>
      </c>
      <c r="J4156" s="3" t="s">
        <v>11902</v>
      </c>
      <c r="K4156" s="3" t="s">
        <v>149</v>
      </c>
      <c r="L4156" s="3" t="str">
        <f>IFERROR(__xludf.DUMMYFUNCTION("GOOGLETRANSLATE(F4156,""id"",""en"")"),"You Bottita Cringe I watched the World Cup final with enthusiasm because the two countries were already legal sex marriage haha, I didn't imagine that Morocco entered the final wkwk")</f>
        <v>You Bottita Cringe I watched the World Cup final with enthusiasm because the two countries were already legal sex marriage haha, I didn't imagine that Morocco entered the final wkwk</v>
      </c>
    </row>
    <row r="4157" ht="15.75" customHeight="1">
      <c r="A4157" s="1">
        <v>4199.0</v>
      </c>
      <c r="B4157" s="3" t="s">
        <v>11903</v>
      </c>
      <c r="C4157" s="3">
        <v>1.0</v>
      </c>
      <c r="D4157" s="3">
        <v>0.0</v>
      </c>
      <c r="E4157" s="3">
        <v>5.0</v>
      </c>
      <c r="F4157" s="3" t="s">
        <v>11904</v>
      </c>
      <c r="G4157" s="3">
        <v>1.0</v>
      </c>
      <c r="H4157" s="3">
        <v>0.0</v>
      </c>
      <c r="I4157" s="3" t="s">
        <v>13</v>
      </c>
      <c r="J4157" s="3" t="s">
        <v>11905</v>
      </c>
      <c r="K4157" s="3" t="s">
        <v>90</v>
      </c>
      <c r="L4157" s="3" t="str">
        <f>IFERROR(__xludf.DUMMYFUNCTION("GOOGLETRANSLATE(F4157,""id"",""en"")"),"The French national team has just failed the World Cup after being defeated by Argentina Final Les Bleus is said to have one toxic player throughout the tournament")</f>
        <v>The French national team has just failed the World Cup after being defeated by Argentina Final Les Bleus is said to have one toxic player throughout the tournament</v>
      </c>
    </row>
    <row r="4158" ht="15.75" customHeight="1">
      <c r="A4158" s="1">
        <v>4200.0</v>
      </c>
      <c r="B4158" s="3" t="s">
        <v>11906</v>
      </c>
      <c r="C4158" s="3">
        <v>1.0</v>
      </c>
      <c r="D4158" s="3">
        <v>0.0</v>
      </c>
      <c r="E4158" s="3">
        <v>0.0</v>
      </c>
      <c r="F4158" s="3" t="s">
        <v>11907</v>
      </c>
      <c r="G4158" s="3">
        <v>1.0</v>
      </c>
      <c r="H4158" s="3">
        <v>0.0</v>
      </c>
      <c r="I4158" s="3" t="s">
        <v>13</v>
      </c>
      <c r="J4158" s="3" t="s">
        <v>11908</v>
      </c>
      <c r="K4158" s="3" t="s">
        <v>1265</v>
      </c>
      <c r="L4158" s="3" t="str">
        <f>IFERROR(__xludf.DUMMYFUNCTION("GOOGLETRANSLATE(F4158,""id"",""en"")"),"Zidane Twice World Cup Final The other champion plus Zidane European champions too")</f>
        <v>Zidane Twice World Cup Final The other champion plus Zidane European champions too</v>
      </c>
    </row>
    <row r="4159" ht="15.75" customHeight="1">
      <c r="A4159" s="1">
        <v>4201.0</v>
      </c>
      <c r="B4159" s="3" t="s">
        <v>11909</v>
      </c>
      <c r="C4159" s="3">
        <v>0.0</v>
      </c>
      <c r="D4159" s="3">
        <v>0.0</v>
      </c>
      <c r="E4159" s="3">
        <v>0.0</v>
      </c>
      <c r="F4159" s="3" t="s">
        <v>11910</v>
      </c>
      <c r="G4159" s="3">
        <v>1.0</v>
      </c>
      <c r="H4159" s="3">
        <v>0.0</v>
      </c>
      <c r="I4159" s="3" t="s">
        <v>13</v>
      </c>
      <c r="J4159" s="3" t="s">
        <v>11911</v>
      </c>
      <c r="K4159" s="3" t="s">
        <v>82</v>
      </c>
      <c r="L4159" s="3" t="str">
        <f>IFERROR(__xludf.DUMMYFUNCTION("GOOGLETRANSLATE(F4159,""id"",""en"")"),"Time Watch World Cup Final Reaction Video")</f>
        <v>Time Watch World Cup Final Reaction Video</v>
      </c>
    </row>
    <row r="4160" ht="15.75" customHeight="1">
      <c r="A4160" s="1">
        <v>4202.0</v>
      </c>
      <c r="B4160" s="3" t="s">
        <v>11912</v>
      </c>
      <c r="C4160" s="3">
        <v>0.0</v>
      </c>
      <c r="D4160" s="3">
        <v>0.0</v>
      </c>
      <c r="E4160" s="3">
        <v>0.0</v>
      </c>
      <c r="F4160" s="3" t="s">
        <v>11913</v>
      </c>
      <c r="G4160" s="3">
        <v>1.0</v>
      </c>
      <c r="H4160" s="3">
        <v>0.0</v>
      </c>
      <c r="I4160" s="3" t="s">
        <v>13</v>
      </c>
      <c r="J4160" s="3" t="s">
        <v>11914</v>
      </c>
      <c r="K4160" s="3" t="s">
        <v>41</v>
      </c>
      <c r="L4160" s="3" t="str">
        <f>IFERROR(__xludf.DUMMYFUNCTION("GOOGLETRANSLATE(F4160,""id"",""en"")"),"The World Cup final yesterday was not only exciting because of the tight game but also because there was Anton Sujarno")</f>
        <v>The World Cup final yesterday was not only exciting because of the tight game but also because there was Anton Sujarno</v>
      </c>
    </row>
    <row r="4161" ht="15.75" customHeight="1">
      <c r="A4161" s="1">
        <v>4203.0</v>
      </c>
      <c r="B4161" s="3" t="s">
        <v>11915</v>
      </c>
      <c r="C4161" s="3">
        <v>0.0</v>
      </c>
      <c r="D4161" s="3">
        <v>0.0</v>
      </c>
      <c r="E4161" s="3">
        <v>0.0</v>
      </c>
      <c r="F4161" s="3" t="s">
        <v>11916</v>
      </c>
      <c r="G4161" s="3">
        <v>0.4333333333333333</v>
      </c>
      <c r="H4161" s="3">
        <v>0.06666666666666667</v>
      </c>
      <c r="I4161" s="3" t="s">
        <v>48</v>
      </c>
      <c r="J4161" s="3" t="s">
        <v>11917</v>
      </c>
      <c r="K4161" s="3" t="s">
        <v>192</v>
      </c>
      <c r="L4161" s="3" t="str">
        <f>IFERROR(__xludf.DUMMYFUNCTION("GOOGLETRANSLATE(F4161,""id"",""en"")"),"The World Cup is over the king of football has proven the real goat debate next wordcup will give my new story optimistic that Argentina provides a big opportunity for the top four of the Spanish Brazilian Final Final")</f>
        <v>The World Cup is over the king of football has proven the real goat debate next wordcup will give my new story optimistic that Argentina provides a big opportunity for the top four of the Spanish Brazilian Final Final</v>
      </c>
    </row>
    <row r="4162" ht="15.75" customHeight="1">
      <c r="A4162" s="1">
        <v>4204.0</v>
      </c>
      <c r="B4162" s="3" t="s">
        <v>11918</v>
      </c>
      <c r="C4162" s="3">
        <v>0.0</v>
      </c>
      <c r="D4162" s="3">
        <v>0.0</v>
      </c>
      <c r="E4162" s="3">
        <v>0.0</v>
      </c>
      <c r="F4162" s="3" t="s">
        <v>11919</v>
      </c>
      <c r="G4162" s="3">
        <v>0.6444444444444444</v>
      </c>
      <c r="H4162" s="3">
        <v>0.02222222222222222</v>
      </c>
      <c r="I4162" s="3" t="s">
        <v>48</v>
      </c>
      <c r="J4162" s="3" t="s">
        <v>11920</v>
      </c>
      <c r="K4162" s="3" t="s">
        <v>286</v>
      </c>
      <c r="L4162" s="3" t="str">
        <f>IFERROR(__xludf.DUMMYFUNCTION("GOOGLETRANSLATE(F4162,""id"",""en"")"),"wkwkwkwk any team playing in the final match must be prepared for the minimum euphoria of the t -shirt are the champion but believe the classmates of the world cup only prepare t -shirts just yakan")</f>
        <v>wkwkwkwk any team playing in the final match must be prepared for the minimum euphoria of the t -shirt are the champion but believe the classmates of the world cup only prepare t -shirts just yakan</v>
      </c>
    </row>
    <row r="4163" ht="15.75" customHeight="1">
      <c r="A4163" s="1">
        <v>4205.0</v>
      </c>
      <c r="B4163" s="3" t="s">
        <v>11921</v>
      </c>
      <c r="C4163" s="3">
        <v>0.0</v>
      </c>
      <c r="D4163" s="3">
        <v>0.0</v>
      </c>
      <c r="E4163" s="3">
        <v>1.0</v>
      </c>
      <c r="F4163" s="3" t="s">
        <v>11922</v>
      </c>
      <c r="G4163" s="3">
        <v>1.0</v>
      </c>
      <c r="H4163" s="3">
        <v>0.0</v>
      </c>
      <c r="I4163" s="3" t="s">
        <v>13</v>
      </c>
      <c r="J4163" s="3" t="s">
        <v>11923</v>
      </c>
      <c r="K4163" s="3" t="s">
        <v>31</v>
      </c>
      <c r="L4163" s="3" t="str">
        <f>IFERROR(__xludf.DUMMYFUNCTION("GOOGLETRANSLATE(F4163,""id"",""en"")"),"World Cup Final Drama which has not yet ended")</f>
        <v>World Cup Final Drama which has not yet ended</v>
      </c>
    </row>
    <row r="4164" ht="15.75" customHeight="1">
      <c r="A4164" s="1">
        <v>4206.0</v>
      </c>
      <c r="B4164" s="3" t="s">
        <v>11924</v>
      </c>
      <c r="C4164" s="3">
        <v>0.0</v>
      </c>
      <c r="D4164" s="3">
        <v>2.0</v>
      </c>
      <c r="E4164" s="3">
        <v>2.0</v>
      </c>
      <c r="F4164" s="3" t="s">
        <v>11925</v>
      </c>
      <c r="G4164" s="3">
        <v>1.0</v>
      </c>
      <c r="H4164" s="3">
        <v>0.0</v>
      </c>
      <c r="I4164" s="3" t="s">
        <v>13</v>
      </c>
      <c r="J4164" s="3" t="s">
        <v>11926</v>
      </c>
      <c r="K4164" s="3" t="s">
        <v>240</v>
      </c>
      <c r="L4164" s="3" t="str">
        <f>IFERROR(__xludf.DUMMYFUNCTION("GOOGLETRANSLATE(F4164,""id"",""en"")"),"Lusail Stadium Qatar became the final location of the World Cup won by Argentina, let's see the sophisticated soccer stadium")</f>
        <v>Lusail Stadium Qatar became the final location of the World Cup won by Argentina, let's see the sophisticated soccer stadium</v>
      </c>
    </row>
    <row r="4165" ht="15.75" customHeight="1">
      <c r="A4165" s="1">
        <v>4207.0</v>
      </c>
      <c r="B4165" s="3" t="s">
        <v>11927</v>
      </c>
      <c r="C4165" s="3">
        <v>0.0</v>
      </c>
      <c r="D4165" s="3">
        <v>0.0</v>
      </c>
      <c r="E4165" s="3">
        <v>1.0</v>
      </c>
      <c r="F4165" s="3" t="s">
        <v>11928</v>
      </c>
      <c r="G4165" s="3">
        <v>1.0</v>
      </c>
      <c r="H4165" s="3">
        <v>0.0</v>
      </c>
      <c r="I4165" s="3" t="s">
        <v>13</v>
      </c>
      <c r="J4165" s="3" t="s">
        <v>11929</v>
      </c>
      <c r="K4165" s="3" t="s">
        <v>322</v>
      </c>
      <c r="L4165" s="3" t="str">
        <f>IFERROR(__xludf.DUMMYFUNCTION("GOOGLETRANSLATE(F4165,""id"",""en"")"),"the rest of the World Cup Final Remain")</f>
        <v>the rest of the World Cup Final Remain</v>
      </c>
    </row>
    <row r="4166" ht="15.75" customHeight="1">
      <c r="A4166" s="1">
        <v>4208.0</v>
      </c>
      <c r="B4166" s="3" t="s">
        <v>11930</v>
      </c>
      <c r="C4166" s="3">
        <v>29.0</v>
      </c>
      <c r="D4166" s="3">
        <v>6.0</v>
      </c>
      <c r="E4166" s="3">
        <v>29.0</v>
      </c>
      <c r="F4166" s="3" t="s">
        <v>11931</v>
      </c>
      <c r="G4166" s="3">
        <v>1.0</v>
      </c>
      <c r="H4166" s="3">
        <v>0.0</v>
      </c>
      <c r="I4166" s="3" t="s">
        <v>13</v>
      </c>
      <c r="J4166" s="3" t="s">
        <v>11932</v>
      </c>
      <c r="K4166" s="3" t="s">
        <v>657</v>
      </c>
      <c r="L4166" s="3" t="str">
        <f>IFERROR(__xludf.DUMMYFUNCTION("GOOGLETRANSLATE(F4166,""id"",""en"")"),"Volodymir Zelensky President Ukraine confirmed that the video of his peace message was prohibited")</f>
        <v>Volodymir Zelensky President Ukraine confirmed that the video of his peace message was prohibited</v>
      </c>
    </row>
    <row r="4167" ht="15.75" customHeight="1">
      <c r="A4167" s="1">
        <v>4209.0</v>
      </c>
      <c r="B4167" s="3" t="s">
        <v>11933</v>
      </c>
      <c r="C4167" s="3">
        <v>0.0</v>
      </c>
      <c r="D4167" s="3">
        <v>0.0</v>
      </c>
      <c r="E4167" s="3">
        <v>0.0</v>
      </c>
      <c r="F4167" s="3" t="s">
        <v>11934</v>
      </c>
      <c r="G4167" s="3">
        <v>1.0</v>
      </c>
      <c r="H4167" s="3">
        <v>0.0</v>
      </c>
      <c r="I4167" s="3" t="s">
        <v>13</v>
      </c>
      <c r="J4167" s="3" t="s">
        <v>11935</v>
      </c>
      <c r="K4167" s="3" t="s">
        <v>1090</v>
      </c>
      <c r="L4167" s="3" t="str">
        <f>IFERROR(__xludf.DUMMYFUNCTION("GOOGLETRANSLATE(F4167,""id"",""en"")"),"Babinsa Kuaranasan Kuarasan Serda Slamet Supriyono with Bhabinkamtibmas Kuaranasan Police Station Bripka Dhani Ade Setyawan Watch with Nobar Final Final Football Cup FIFA World Cup between Argentina French page of the Gandusari Village Hall Office")</f>
        <v>Babinsa Kuaranasan Kuarasan Serda Slamet Supriyono with Bhabinkamtibmas Kuaranasan Police Station Bripka Dhani Ade Setyawan Watch with Nobar Final Final Football Cup FIFA World Cup between Argentina French page of the Gandusari Village Hall Office</v>
      </c>
    </row>
    <row r="4168" ht="15.75" customHeight="1">
      <c r="A4168" s="1">
        <v>4210.0</v>
      </c>
      <c r="B4168" s="3" t="s">
        <v>11936</v>
      </c>
      <c r="C4168" s="3">
        <v>1.0</v>
      </c>
      <c r="D4168" s="3">
        <v>0.0</v>
      </c>
      <c r="E4168" s="3">
        <v>0.0</v>
      </c>
      <c r="F4168" s="3" t="s">
        <v>11937</v>
      </c>
      <c r="G4168" s="3">
        <v>1.0</v>
      </c>
      <c r="H4168" s="3">
        <v>0.0</v>
      </c>
      <c r="I4168" s="3" t="s">
        <v>13</v>
      </c>
      <c r="J4168" s="3" t="s">
        <v>11938</v>
      </c>
      <c r="K4168" s="3" t="s">
        <v>1489</v>
      </c>
      <c r="L4168" s="3" t="str">
        <f>IFERROR(__xludf.DUMMYFUNCTION("GOOGLETRANSLATE(F4168,""id"",""en"")"),"Fortunately, Messi won the World Cup, try to imagine Messi champion, the Final Spanish where many Barca and Messi Prime Barca players were so deg so I was in the Barca training camp")</f>
        <v>Fortunately, Messi won the World Cup, try to imagine Messi champion, the Final Spanish where many Barca and Messi Prime Barca players were so deg so I was in the Barca training camp</v>
      </c>
    </row>
    <row r="4169" ht="15.75" customHeight="1">
      <c r="A4169" s="1">
        <v>4211.0</v>
      </c>
      <c r="B4169" s="3" t="s">
        <v>11939</v>
      </c>
      <c r="C4169" s="3">
        <v>0.0</v>
      </c>
      <c r="D4169" s="3">
        <v>0.0</v>
      </c>
      <c r="E4169" s="3">
        <v>3.0</v>
      </c>
      <c r="F4169" s="3" t="s">
        <v>11940</v>
      </c>
      <c r="G4169" s="3">
        <v>1.0</v>
      </c>
      <c r="H4169" s="3">
        <v>0.0</v>
      </c>
      <c r="I4169" s="3" t="s">
        <v>13</v>
      </c>
      <c r="J4169" s="3" t="s">
        <v>11941</v>
      </c>
      <c r="K4169" s="3" t="s">
        <v>50</v>
      </c>
      <c r="L4169" s="3" t="str">
        <f>IFERROR(__xludf.DUMMYFUNCTION("GOOGLETRANSLATE(F4169,""id"",""en"")"),"Kylian Mbappe finally spoke after silence after France lost the World Cup final")</f>
        <v>Kylian Mbappe finally spoke after silence after France lost the World Cup final</v>
      </c>
    </row>
    <row r="4170" ht="15.75" customHeight="1">
      <c r="A4170" s="1">
        <v>4212.0</v>
      </c>
      <c r="B4170" s="3" t="s">
        <v>11942</v>
      </c>
      <c r="C4170" s="3">
        <v>0.0</v>
      </c>
      <c r="D4170" s="3">
        <v>0.0</v>
      </c>
      <c r="E4170" s="3">
        <v>4.0</v>
      </c>
      <c r="F4170" s="3" t="s">
        <v>11943</v>
      </c>
      <c r="G4170" s="3">
        <v>1.0</v>
      </c>
      <c r="H4170" s="3">
        <v>0.0</v>
      </c>
      <c r="I4170" s="3" t="s">
        <v>13</v>
      </c>
      <c r="J4170" s="3" t="s">
        <v>11944</v>
      </c>
      <c r="K4170" s="3" t="s">
        <v>584</v>
      </c>
      <c r="L4170" s="3" t="str">
        <f>IFERROR(__xludf.DUMMYFUNCTION("GOOGLETRANSLATE(F4170,""id"",""en"")"),"Thousands of fans lined up in the middle of the night to try to see a glimpse of the Argentine soccer team that recently won in the World Cup final before what was scheduled to be the day of the Buenos Aires celebration")</f>
        <v>Thousands of fans lined up in the middle of the night to try to see a glimpse of the Argentine soccer team that recently won in the World Cup final before what was scheduled to be the day of the Buenos Aires celebration</v>
      </c>
    </row>
    <row r="4171" ht="15.75" customHeight="1">
      <c r="A4171" s="1">
        <v>4213.0</v>
      </c>
      <c r="B4171" s="3" t="s">
        <v>11945</v>
      </c>
      <c r="C4171" s="3">
        <v>0.0</v>
      </c>
      <c r="D4171" s="3">
        <v>0.0</v>
      </c>
      <c r="E4171" s="3">
        <v>1.0</v>
      </c>
      <c r="F4171" s="3" t="s">
        <v>11946</v>
      </c>
      <c r="G4171" s="3">
        <v>1.0</v>
      </c>
      <c r="H4171" s="3">
        <v>0.0</v>
      </c>
      <c r="I4171" s="3" t="s">
        <v>13</v>
      </c>
      <c r="J4171" s="3" t="s">
        <v>11947</v>
      </c>
      <c r="K4171" s="3" t="s">
        <v>50</v>
      </c>
      <c r="L4171" s="3" t="str">
        <f>IFERROR(__xludf.DUMMYFUNCTION("GOOGLETRANSLATE(F4171,""id"",""en"")"),"The great player of the World Cup final in fact Lionel Messi lost to Kylian Mbappe")</f>
        <v>The great player of the World Cup final in fact Lionel Messi lost to Kylian Mbappe</v>
      </c>
    </row>
    <row r="4172" ht="15.75" customHeight="1">
      <c r="A4172" s="1">
        <v>4214.0</v>
      </c>
      <c r="B4172" s="3" t="s">
        <v>11948</v>
      </c>
      <c r="C4172" s="3">
        <v>3.0</v>
      </c>
      <c r="D4172" s="3">
        <v>0.0</v>
      </c>
      <c r="E4172" s="3">
        <v>1.0</v>
      </c>
      <c r="F4172" s="3" t="s">
        <v>11949</v>
      </c>
      <c r="G4172" s="3">
        <v>1.0</v>
      </c>
      <c r="H4172" s="3">
        <v>0.0</v>
      </c>
      <c r="I4172" s="3" t="s">
        <v>13</v>
      </c>
      <c r="J4172" s="3" t="s">
        <v>11950</v>
      </c>
      <c r="K4172" s="3" t="s">
        <v>273</v>
      </c>
      <c r="L4172" s="3" t="str">
        <f>IFERROR(__xludf.DUMMYFUNCTION("GOOGLETRANSLATE(F4172,""id"",""en"")"),"Realistically, the World Cup ration for Oceania Asia moved the Oceania federation on its opponent only New Zealand Final Kans Escaped Asia Reduction would have the rest of the Arab Arab oppa Arab")</f>
        <v>Realistically, the World Cup ration for Oceania Asia moved the Oceania federation on its opponent only New Zealand Final Kans Escaped Asia Reduction would have the rest of the Arab Arab oppa Arab</v>
      </c>
    </row>
    <row r="4173" ht="15.75" customHeight="1">
      <c r="A4173" s="1">
        <v>4215.0</v>
      </c>
      <c r="B4173" s="3" t="s">
        <v>11951</v>
      </c>
      <c r="C4173" s="3">
        <v>1.0</v>
      </c>
      <c r="D4173" s="3">
        <v>0.0</v>
      </c>
      <c r="E4173" s="3">
        <v>0.0</v>
      </c>
      <c r="F4173" s="3" t="s">
        <v>11952</v>
      </c>
      <c r="G4173" s="3">
        <v>1.0</v>
      </c>
      <c r="H4173" s="3">
        <v>0.0</v>
      </c>
      <c r="I4173" s="3" t="s">
        <v>13</v>
      </c>
      <c r="J4173" s="3" t="s">
        <v>11953</v>
      </c>
      <c r="K4173" s="3" t="s">
        <v>2215</v>
      </c>
      <c r="L4173" s="3" t="str">
        <f>IFERROR(__xludf.DUMMYFUNCTION("GOOGLETRANSLATE(F4173,""id"",""en"")"),"French French goal scorer of World Cup Zinedine Zidane Gol Emmanuel Petit Gol Ayo Following")</f>
        <v>French French goal scorer of World Cup Zinedine Zidane Gol Emmanuel Petit Gol Ayo Following</v>
      </c>
    </row>
    <row r="4174" ht="15.75" customHeight="1">
      <c r="A4174" s="1">
        <v>4216.0</v>
      </c>
      <c r="B4174" s="3" t="s">
        <v>11954</v>
      </c>
      <c r="C4174" s="3">
        <v>0.0</v>
      </c>
      <c r="D4174" s="3">
        <v>0.0</v>
      </c>
      <c r="E4174" s="3">
        <v>0.0</v>
      </c>
      <c r="F4174" s="3" t="s">
        <v>11931</v>
      </c>
      <c r="G4174" s="3">
        <v>1.0</v>
      </c>
      <c r="H4174" s="3">
        <v>0.0</v>
      </c>
      <c r="I4174" s="3" t="s">
        <v>13</v>
      </c>
      <c r="J4174" s="3" t="s">
        <v>11932</v>
      </c>
      <c r="K4174" s="3" t="s">
        <v>657</v>
      </c>
      <c r="L4174" s="3" t="str">
        <f>IFERROR(__xludf.DUMMYFUNCTION("GOOGLETRANSLATE(F4174,""id"",""en"")"),"Volodymir Zelensky President Ukraine confirmed that the video of his peace message was prohibited")</f>
        <v>Volodymir Zelensky President Ukraine confirmed that the video of his peace message was prohibited</v>
      </c>
    </row>
    <row r="4175" ht="15.75" customHeight="1">
      <c r="A4175" s="1">
        <v>4217.0</v>
      </c>
      <c r="B4175" s="3" t="s">
        <v>11955</v>
      </c>
      <c r="C4175" s="3">
        <v>0.0</v>
      </c>
      <c r="D4175" s="3">
        <v>0.0</v>
      </c>
      <c r="E4175" s="3">
        <v>1.0</v>
      </c>
      <c r="F4175" s="3" t="s">
        <v>11956</v>
      </c>
      <c r="G4175" s="3">
        <v>1.0</v>
      </c>
      <c r="H4175" s="3">
        <v>0.0</v>
      </c>
      <c r="I4175" s="3" t="s">
        <v>13</v>
      </c>
      <c r="J4175" s="3" t="s">
        <v>11957</v>
      </c>
      <c r="K4175" s="3" t="s">
        <v>15</v>
      </c>
      <c r="L4175" s="3" t="str">
        <f>IFERROR(__xludf.DUMMYFUNCTION("GOOGLETRANSLATE(F4175,""id"",""en"")"),"mbappe until the age of entering the World Cup Final until now")</f>
        <v>mbappe until the age of entering the World Cup Final until now</v>
      </c>
    </row>
    <row r="4176" ht="15.75" customHeight="1">
      <c r="A4176" s="1">
        <v>4218.0</v>
      </c>
      <c r="B4176" s="3" t="s">
        <v>11958</v>
      </c>
      <c r="C4176" s="3">
        <v>0.0</v>
      </c>
      <c r="D4176" s="3">
        <v>0.0</v>
      </c>
      <c r="E4176" s="3">
        <v>0.0</v>
      </c>
      <c r="F4176" s="3" t="s">
        <v>11959</v>
      </c>
      <c r="G4176" s="3">
        <v>1.0</v>
      </c>
      <c r="H4176" s="3">
        <v>0.25</v>
      </c>
      <c r="I4176" s="3" t="s">
        <v>48</v>
      </c>
      <c r="J4176" s="3" t="s">
        <v>11960</v>
      </c>
      <c r="K4176" s="3" t="s">
        <v>463</v>
      </c>
      <c r="L4176" s="3" t="str">
        <f>IFERROR(__xludf.DUMMYFUNCTION("GOOGLETRANSLATE(F4176,""id"",""en"")"),"Info Bigetron Ball Era Champion Unipin Ladies Series The defending champion who is still too strong Bigetron era is able to become a champion at Unipin Lapada Match Grand Final which was held on")</f>
        <v>Info Bigetron Ball Era Champion Unipin Ladies Series The defending champion who is still too strong Bigetron era is able to become a champion at Unipin Lapada Match Grand Final which was held on</v>
      </c>
    </row>
    <row r="4177" ht="15.75" customHeight="1">
      <c r="A4177" s="1">
        <v>4219.0</v>
      </c>
      <c r="B4177" s="3" t="s">
        <v>11961</v>
      </c>
      <c r="C4177" s="3">
        <v>0.0</v>
      </c>
      <c r="D4177" s="3">
        <v>0.0</v>
      </c>
      <c r="E4177" s="3">
        <v>0.0</v>
      </c>
      <c r="F4177" s="3" t="s">
        <v>11962</v>
      </c>
      <c r="G4177" s="3">
        <v>0.65</v>
      </c>
      <c r="H4177" s="3">
        <v>0.1</v>
      </c>
      <c r="I4177" s="3" t="s">
        <v>48</v>
      </c>
      <c r="J4177" s="3" t="s">
        <v>11963</v>
      </c>
      <c r="K4177" s="3" t="s">
        <v>633</v>
      </c>
      <c r="L4177" s="3" t="str">
        <f>IFERROR(__xludf.DUMMYFUNCTION("GOOGLETRANSLATE(F4177,""id"",""en"")"),"I am a supporter of Ronaldo for the final KMRN I support Messi because I will be happy if Messi feels the happiness of winning the World Cup in his career, however they are both modern football legends")</f>
        <v>I am a supporter of Ronaldo for the final KMRN I support Messi because I will be happy if Messi feels the happiness of winning the World Cup in his career, however they are both modern football legends</v>
      </c>
    </row>
    <row r="4178" ht="15.75" customHeight="1">
      <c r="A4178" s="1">
        <v>4220.0</v>
      </c>
      <c r="B4178" s="3" t="s">
        <v>11964</v>
      </c>
      <c r="C4178" s="3">
        <v>0.0</v>
      </c>
      <c r="D4178" s="3">
        <v>0.0</v>
      </c>
      <c r="E4178" s="3">
        <v>3.0</v>
      </c>
      <c r="F4178" s="3" t="s">
        <v>11965</v>
      </c>
      <c r="G4178" s="3">
        <v>1.0</v>
      </c>
      <c r="H4178" s="3">
        <v>0.0</v>
      </c>
      <c r="I4178" s="3" t="s">
        <v>13</v>
      </c>
      <c r="J4178" s="3" t="s">
        <v>11966</v>
      </c>
      <c r="K4178" s="3" t="s">
        <v>75</v>
      </c>
      <c r="L4178" s="3" t="str">
        <f>IFERROR(__xludf.DUMMYFUNCTION("GOOGLETRANSLATE(F4178,""id"",""en"")"),"Nine Manchester United players who were eliminated from the quarter -finals of the World Cup had returned to training")</f>
        <v>Nine Manchester United players who were eliminated from the quarter -finals of the World Cup had returned to training</v>
      </c>
    </row>
    <row r="4179" ht="15.75" customHeight="1">
      <c r="A4179" s="1">
        <v>4221.0</v>
      </c>
      <c r="B4179" s="3" t="s">
        <v>11967</v>
      </c>
      <c r="C4179" s="3">
        <v>0.0</v>
      </c>
      <c r="D4179" s="3">
        <v>0.0</v>
      </c>
      <c r="E4179" s="3">
        <v>0.0</v>
      </c>
      <c r="F4179" s="3" t="s">
        <v>11968</v>
      </c>
      <c r="G4179" s="3">
        <v>1.0</v>
      </c>
      <c r="H4179" s="3">
        <v>0.0</v>
      </c>
      <c r="I4179" s="3" t="s">
        <v>13</v>
      </c>
      <c r="J4179" s="3" t="s">
        <v>11969</v>
      </c>
      <c r="K4179" s="3" t="s">
        <v>433</v>
      </c>
      <c r="L4179" s="3" t="str">
        <f>IFERROR(__xludf.DUMMYFUNCTION("GOOGLETRANSLATE(F4179,""id"",""en"")"),"exclaimed the news of watching the World Cup final with the Galaxy Series the picture is so clear, the point is exciting dech.")</f>
        <v>exclaimed the news of watching the World Cup final with the Galaxy Series the picture is so clear, the point is exciting dech.</v>
      </c>
    </row>
    <row r="4180" ht="15.75" customHeight="1">
      <c r="A4180" s="1">
        <v>4222.0</v>
      </c>
      <c r="B4180" s="3" t="s">
        <v>11970</v>
      </c>
      <c r="C4180" s="3">
        <v>0.0</v>
      </c>
      <c r="D4180" s="3">
        <v>0.0</v>
      </c>
      <c r="E4180" s="3">
        <v>0.0</v>
      </c>
      <c r="F4180" s="3" t="s">
        <v>11971</v>
      </c>
      <c r="G4180" s="3">
        <v>1.0</v>
      </c>
      <c r="H4180" s="3">
        <v>0.0</v>
      </c>
      <c r="I4180" s="3" t="s">
        <v>13</v>
      </c>
      <c r="J4180" s="3" t="s">
        <v>11972</v>
      </c>
      <c r="K4180" s="3" t="s">
        <v>463</v>
      </c>
      <c r="L4180" s="3" t="str">
        <f>IFERROR(__xludf.DUMMYFUNCTION("GOOGLETRANSLATE(F4180,""id"",""en"")"),"But Messi Final's goal has a share of Lautaro to disappoint the World Cup but the final he has contributed to Messi's goal when against France so stop criticism Lautaro he underperfom because purely injured")</f>
        <v>But Messi Final's goal has a share of Lautaro to disappoint the World Cup but the final he has contributed to Messi's goal when against France so stop criticism Lautaro he underperfom because purely injured</v>
      </c>
    </row>
    <row r="4181" ht="15.75" customHeight="1">
      <c r="A4181" s="1">
        <v>4223.0</v>
      </c>
      <c r="B4181" s="3" t="s">
        <v>11973</v>
      </c>
      <c r="C4181" s="3">
        <v>0.0</v>
      </c>
      <c r="D4181" s="3">
        <v>0.0</v>
      </c>
      <c r="E4181" s="3">
        <v>0.0</v>
      </c>
      <c r="F4181" s="3" t="s">
        <v>11974</v>
      </c>
      <c r="G4181" s="3">
        <v>1.0</v>
      </c>
      <c r="H4181" s="3">
        <v>0.0</v>
      </c>
      <c r="I4181" s="3" t="s">
        <v>13</v>
      </c>
      <c r="J4181" s="3" t="s">
        <v>11975</v>
      </c>
      <c r="K4181" s="3" t="s">
        <v>1304</v>
      </c>
      <c r="L4181" s="3" t="str">
        <f>IFERROR(__xludf.DUMMYFUNCTION("GOOGLETRANSLATE(F4181,""id"",""en"")"),"French French goal scorer of the World Cup Final is Zinedine Zidane scoring a minute minute Emmanuel Petit scored a letter of minute Lets Join Check Video")</f>
        <v>French French goal scorer of the World Cup Final is Zinedine Zidane scoring a minute minute Emmanuel Petit scored a letter of minute Lets Join Check Video</v>
      </c>
    </row>
    <row r="4182" ht="15.75" customHeight="1">
      <c r="A4182" s="1">
        <v>4224.0</v>
      </c>
      <c r="B4182" s="3" t="s">
        <v>11976</v>
      </c>
      <c r="C4182" s="3">
        <v>0.0</v>
      </c>
      <c r="D4182" s="3">
        <v>0.0</v>
      </c>
      <c r="E4182" s="3">
        <v>0.0</v>
      </c>
      <c r="F4182" s="3" t="s">
        <v>11977</v>
      </c>
      <c r="G4182" s="3">
        <v>1.0</v>
      </c>
      <c r="H4182" s="3">
        <v>0.0</v>
      </c>
      <c r="I4182" s="3" t="s">
        <v>13</v>
      </c>
      <c r="J4182" s="3" t="s">
        <v>11978</v>
      </c>
      <c r="K4182" s="3" t="s">
        <v>71</v>
      </c>
      <c r="L4182" s="3" t="str">
        <f>IFERROR(__xludf.DUMMYFUNCTION("GOOGLETRANSLATE(F4182,""id"",""en"")"),"The Mbappe World Cup final became a figure who could not be underestimated to score a goal and recorded his name in history")</f>
        <v>The Mbappe World Cup final became a figure who could not be underestimated to score a goal and recorded his name in history</v>
      </c>
    </row>
    <row r="4183" ht="15.75" customHeight="1">
      <c r="A4183" s="1">
        <v>4225.0</v>
      </c>
      <c r="B4183" s="3" t="s">
        <v>11979</v>
      </c>
      <c r="C4183" s="3">
        <v>0.0</v>
      </c>
      <c r="D4183" s="3">
        <v>0.0</v>
      </c>
      <c r="E4183" s="3">
        <v>0.0</v>
      </c>
      <c r="F4183" s="3" t="s">
        <v>11980</v>
      </c>
      <c r="G4183" s="3">
        <v>1.0</v>
      </c>
      <c r="H4183" s="3">
        <v>0.0</v>
      </c>
      <c r="I4183" s="3" t="s">
        <v>13</v>
      </c>
      <c r="J4183" s="3" t="s">
        <v>11981</v>
      </c>
      <c r="K4183" s="3" t="s">
        <v>695</v>
      </c>
      <c r="L4183" s="3" t="str">
        <f>IFERROR(__xludf.DUMMYFUNCTION("GOOGLETRANSLATE(F4183,""id"",""en"")"),"Unexpectedly, I PASS Undi Believe PMX as easy as Undi Suara Sahaja Remembering Children to Earn")</f>
        <v>Unexpectedly, I PASS Undi Believe PMX as easy as Undi Suara Sahaja Remembering Children to Earn</v>
      </c>
    </row>
    <row r="4184" ht="15.75" customHeight="1">
      <c r="A4184" s="1">
        <v>4226.0</v>
      </c>
      <c r="B4184" s="3" t="s">
        <v>11982</v>
      </c>
      <c r="C4184" s="3">
        <v>0.0</v>
      </c>
      <c r="D4184" s="3">
        <v>0.0</v>
      </c>
      <c r="E4184" s="3">
        <v>0.0</v>
      </c>
      <c r="F4184" s="3" t="s">
        <v>11983</v>
      </c>
      <c r="G4184" s="3">
        <v>0.7666666666666666</v>
      </c>
      <c r="H4184" s="3">
        <v>0.3333333333333333</v>
      </c>
      <c r="I4184" s="3" t="s">
        <v>48</v>
      </c>
      <c r="J4184" s="3" t="s">
        <v>11984</v>
      </c>
      <c r="K4184" s="3" t="s">
        <v>477</v>
      </c>
      <c r="L4184" s="3" t="str">
        <f>IFERROR(__xludf.DUMMYFUNCTION("GOOGLETRANSLATE(F4184,""id"",""en"")"),"The Best Final During Watching the World Cup Final")</f>
        <v>The Best Final During Watching the World Cup Final</v>
      </c>
    </row>
    <row r="4185" ht="15.75" customHeight="1">
      <c r="A4185" s="1">
        <v>4227.0</v>
      </c>
      <c r="B4185" s="3" t="s">
        <v>11985</v>
      </c>
      <c r="C4185" s="3">
        <v>0.0</v>
      </c>
      <c r="D4185" s="3">
        <v>0.0</v>
      </c>
      <c r="E4185" s="3">
        <v>1.0</v>
      </c>
      <c r="F4185" s="3" t="s">
        <v>11986</v>
      </c>
      <c r="G4185" s="3">
        <v>1.0</v>
      </c>
      <c r="H4185" s="3">
        <v>0.0</v>
      </c>
      <c r="I4185" s="3" t="s">
        <v>13</v>
      </c>
      <c r="J4185" s="3" t="s">
        <v>11987</v>
      </c>
      <c r="K4185" s="3" t="s">
        <v>510</v>
      </c>
      <c r="L4185" s="3" t="str">
        <f>IFERROR(__xludf.DUMMYFUNCTION("GOOGLETRANSLATE(F4185,""id"",""en"")"),"French French goal scorer of World Cup Zinedine Zidane and Emmanuel Petit Gulan Brodi SFDN")</f>
        <v>French French goal scorer of World Cup Zinedine Zidane and Emmanuel Petit Gulan Brodi SFDN</v>
      </c>
    </row>
    <row r="4186" ht="15.75" customHeight="1">
      <c r="A4186" s="1">
        <v>4228.0</v>
      </c>
      <c r="B4186" s="3" t="s">
        <v>11988</v>
      </c>
      <c r="C4186" s="3">
        <v>0.0</v>
      </c>
      <c r="D4186" s="3">
        <v>0.0</v>
      </c>
      <c r="E4186" s="3">
        <v>0.0</v>
      </c>
      <c r="F4186" s="3" t="s">
        <v>11952</v>
      </c>
      <c r="G4186" s="3">
        <v>1.0</v>
      </c>
      <c r="H4186" s="3">
        <v>0.0</v>
      </c>
      <c r="I4186" s="3" t="s">
        <v>13</v>
      </c>
      <c r="J4186" s="3" t="s">
        <v>11953</v>
      </c>
      <c r="K4186" s="3" t="s">
        <v>2215</v>
      </c>
      <c r="L4186" s="3" t="str">
        <f>IFERROR(__xludf.DUMMYFUNCTION("GOOGLETRANSLATE(F4186,""id"",""en"")"),"French French goal scorer of World Cup Zinedine Zidane Gol Emmanuel Petit Gol Ayo Following")</f>
        <v>French French goal scorer of World Cup Zinedine Zidane Gol Emmanuel Petit Gol Ayo Following</v>
      </c>
    </row>
    <row r="4187" ht="15.75" customHeight="1">
      <c r="A4187" s="1">
        <v>4229.0</v>
      </c>
      <c r="B4187" s="3" t="s">
        <v>11989</v>
      </c>
      <c r="C4187" s="3">
        <v>0.0</v>
      </c>
      <c r="D4187" s="3">
        <v>0.0</v>
      </c>
      <c r="E4187" s="3">
        <v>0.0</v>
      </c>
      <c r="F4187" s="3" t="s">
        <v>11990</v>
      </c>
      <c r="G4187" s="3">
        <v>1.0</v>
      </c>
      <c r="H4187" s="3">
        <v>0.0</v>
      </c>
      <c r="I4187" s="3" t="s">
        <v>13</v>
      </c>
      <c r="J4187" s="3" t="s">
        <v>11991</v>
      </c>
      <c r="K4187" s="3" t="s">
        <v>765</v>
      </c>
      <c r="L4187" s="3" t="str">
        <f>IFERROR(__xludf.DUMMYFUNCTION("GOOGLETRANSLATE(F4187,""id"",""en"")"),"Although the Hattrick Kylian Mbappe failed between France to defend the World Cup title, after giving three final goals, it was about the salary of Mbappe to go up, let's not peek here")</f>
        <v>Although the Hattrick Kylian Mbappe failed between France to defend the World Cup title, after giving three final goals, it was about the salary of Mbappe to go up, let's not peek here</v>
      </c>
    </row>
    <row r="4188" ht="15.75" customHeight="1">
      <c r="A4188" s="1">
        <v>4230.0</v>
      </c>
      <c r="B4188" s="3" t="s">
        <v>11992</v>
      </c>
      <c r="C4188" s="3">
        <v>0.0</v>
      </c>
      <c r="D4188" s="3">
        <v>2.0</v>
      </c>
      <c r="E4188" s="3">
        <v>5.0</v>
      </c>
      <c r="F4188" s="3" t="s">
        <v>11904</v>
      </c>
      <c r="G4188" s="3">
        <v>1.0</v>
      </c>
      <c r="H4188" s="3">
        <v>0.0</v>
      </c>
      <c r="I4188" s="3" t="s">
        <v>13</v>
      </c>
      <c r="J4188" s="3" t="s">
        <v>11905</v>
      </c>
      <c r="K4188" s="3" t="s">
        <v>90</v>
      </c>
      <c r="L4188" s="3" t="str">
        <f>IFERROR(__xludf.DUMMYFUNCTION("GOOGLETRANSLATE(F4188,""id"",""en"")"),"The French national team has just failed the World Cup after being defeated by Argentina Final Les Bleus is said to have one toxic player throughout the tournament")</f>
        <v>The French national team has just failed the World Cup after being defeated by Argentina Final Les Bleus is said to have one toxic player throughout the tournament</v>
      </c>
    </row>
    <row r="4189" ht="15.75" customHeight="1">
      <c r="A4189" s="1">
        <v>4231.0</v>
      </c>
      <c r="B4189" s="3" t="s">
        <v>11993</v>
      </c>
      <c r="C4189" s="3">
        <v>0.0</v>
      </c>
      <c r="D4189" s="3">
        <v>0.0</v>
      </c>
      <c r="E4189" s="3">
        <v>0.0</v>
      </c>
      <c r="F4189" s="3" t="s">
        <v>11994</v>
      </c>
      <c r="G4189" s="3">
        <v>1.0</v>
      </c>
      <c r="H4189" s="3">
        <v>0.0</v>
      </c>
      <c r="I4189" s="3" t="s">
        <v>13</v>
      </c>
      <c r="J4189" s="3" t="s">
        <v>11995</v>
      </c>
      <c r="K4189" s="3" t="s">
        <v>41</v>
      </c>
      <c r="L4189" s="3" t="str">
        <f>IFERROR(__xludf.DUMMYFUNCTION("GOOGLETRANSLATE(F4189,""id"",""en"")"),"If the final he was injured and absent maybe the Argentine World Cup trophy now exists")</f>
        <v>If the final he was injured and absent maybe the Argentine World Cup trophy now exists</v>
      </c>
    </row>
    <row r="4190" ht="15.75" customHeight="1">
      <c r="A4190" s="1">
        <v>4232.0</v>
      </c>
      <c r="B4190" s="3" t="s">
        <v>11996</v>
      </c>
      <c r="C4190" s="3">
        <v>0.0</v>
      </c>
      <c r="D4190" s="3">
        <v>0.0</v>
      </c>
      <c r="E4190" s="3">
        <v>4.0</v>
      </c>
      <c r="F4190" s="3" t="s">
        <v>11997</v>
      </c>
      <c r="G4190" s="3">
        <v>1.0</v>
      </c>
      <c r="H4190" s="3">
        <v>0.0</v>
      </c>
      <c r="I4190" s="3" t="s">
        <v>13</v>
      </c>
      <c r="J4190" s="3" t="s">
        <v>11998</v>
      </c>
      <c r="K4190" s="3" t="s">
        <v>75</v>
      </c>
      <c r="L4190" s="3" t="str">
        <f>IFERROR(__xludf.DUMMYFUNCTION("GOOGLETRANSLATE(F4190,""id"",""en"")"),"Liverpool supporters agree that the World Cup final is called better than Istanbul")</f>
        <v>Liverpool supporters agree that the World Cup final is called better than Istanbul</v>
      </c>
    </row>
    <row r="4191" ht="15.75" customHeight="1">
      <c r="A4191" s="1">
        <v>4233.0</v>
      </c>
      <c r="B4191" s="3" t="s">
        <v>11999</v>
      </c>
      <c r="C4191" s="3">
        <v>0.0</v>
      </c>
      <c r="D4191" s="3">
        <v>0.0</v>
      </c>
      <c r="E4191" s="3">
        <v>1.0</v>
      </c>
      <c r="F4191" s="3" t="s">
        <v>12000</v>
      </c>
      <c r="G4191" s="3">
        <v>1.0</v>
      </c>
      <c r="H4191" s="3">
        <v>0.0</v>
      </c>
      <c r="I4191" s="3" t="s">
        <v>13</v>
      </c>
      <c r="J4191" s="3" t="s">
        <v>12001</v>
      </c>
      <c r="K4191" s="3" t="s">
        <v>90</v>
      </c>
      <c r="L4191" s="3" t="str">
        <f>IFERROR(__xludf.DUMMYFUNCTION("GOOGLETRANSLATE(F4191,""id"",""en"")"),"Argentine national team goalkeeper and Aston Villa Emiliano Martinez is the target of Bayern Munich thanks to his heroic performance in the World Cup final")</f>
        <v>Argentine national team goalkeeper and Aston Villa Emiliano Martinez is the target of Bayern Munich thanks to his heroic performance in the World Cup final</v>
      </c>
    </row>
    <row r="4192" ht="15.75" customHeight="1">
      <c r="A4192" s="1">
        <v>4234.0</v>
      </c>
      <c r="B4192" s="3" t="s">
        <v>12002</v>
      </c>
      <c r="C4192" s="3">
        <v>0.0</v>
      </c>
      <c r="D4192" s="3">
        <v>0.0</v>
      </c>
      <c r="E4192" s="3">
        <v>0.0</v>
      </c>
      <c r="F4192" s="3" t="s">
        <v>12003</v>
      </c>
      <c r="G4192" s="3">
        <v>1.0</v>
      </c>
      <c r="H4192" s="3">
        <v>0.0</v>
      </c>
      <c r="I4192" s="3" t="s">
        <v>13</v>
      </c>
      <c r="J4192" s="3" t="s">
        <v>12004</v>
      </c>
      <c r="K4192" s="3" t="s">
        <v>2023</v>
      </c>
      <c r="L4192" s="3" t="str">
        <f>IFERROR(__xludf.DUMMYFUNCTION("GOOGLETRANSLATE(F4192,""id"",""en"")"),"French goalscorer in the World Cup final is Zinedine Yazid Zidane scored in minutes Emmanuel Laurent Petit scored a goal in Ali's minute")</f>
        <v>French goalscorer in the World Cup final is Zinedine Yazid Zidane scored in minutes Emmanuel Laurent Petit scored a goal in Ali's minute</v>
      </c>
    </row>
    <row r="4193" ht="15.75" customHeight="1">
      <c r="A4193" s="1">
        <v>4235.0</v>
      </c>
      <c r="B4193" s="3" t="s">
        <v>12005</v>
      </c>
      <c r="C4193" s="3">
        <v>1.0</v>
      </c>
      <c r="D4193" s="3">
        <v>15.0</v>
      </c>
      <c r="E4193" s="3">
        <v>0.0</v>
      </c>
      <c r="F4193" s="3" t="s">
        <v>12006</v>
      </c>
      <c r="G4193" s="3">
        <v>1.0</v>
      </c>
      <c r="H4193" s="3">
        <v>0.0</v>
      </c>
      <c r="I4193" s="3" t="s">
        <v>13</v>
      </c>
      <c r="J4193" s="3" t="s">
        <v>12007</v>
      </c>
      <c r="K4193" s="3" t="s">
        <v>695</v>
      </c>
      <c r="L4193" s="3" t="str">
        <f>IFERROR(__xludf.DUMMYFUNCTION("GOOGLETRANSLATE(F4193,""id"",""en"")"),"Palembang Lapas Kemenkumham Sumsel the officers used their respective pride jersey to add to the excitement while watching the Harun Sulianto World Cup final")</f>
        <v>Palembang Lapas Kemenkumham Sumsel the officers used their respective pride jersey to add to the excitement while watching the Harun Sulianto World Cup final</v>
      </c>
    </row>
    <row r="4194" ht="15.75" customHeight="1">
      <c r="A4194" s="1">
        <v>4236.0</v>
      </c>
      <c r="B4194" s="3" t="s">
        <v>12008</v>
      </c>
      <c r="C4194" s="3">
        <v>0.0</v>
      </c>
      <c r="D4194" s="3">
        <v>0.0</v>
      </c>
      <c r="E4194" s="3">
        <v>1.0</v>
      </c>
      <c r="F4194" s="3" t="s">
        <v>12009</v>
      </c>
      <c r="G4194" s="3">
        <v>0.55</v>
      </c>
      <c r="H4194" s="3">
        <v>0.0</v>
      </c>
      <c r="I4194" s="3" t="s">
        <v>13</v>
      </c>
      <c r="J4194" s="3" t="s">
        <v>12010</v>
      </c>
      <c r="K4194" s="3" t="s">
        <v>35</v>
      </c>
      <c r="L4194" s="3" t="str">
        <f>IFERROR(__xludf.DUMMYFUNCTION("GOOGLETRANSLATE(F4194,""id"",""en"")"),"Episode Talking Avatar The Way Water The Big SoccerPhoria World Cup Final")</f>
        <v>Episode Talking Avatar The Way Water The Big SoccerPhoria World Cup Final</v>
      </c>
    </row>
    <row r="4195" ht="15.75" customHeight="1">
      <c r="A4195" s="1">
        <v>4237.0</v>
      </c>
      <c r="B4195" s="3" t="s">
        <v>12011</v>
      </c>
      <c r="C4195" s="3">
        <v>0.0</v>
      </c>
      <c r="D4195" s="3">
        <v>1.0</v>
      </c>
      <c r="E4195" s="3">
        <v>5.0</v>
      </c>
      <c r="F4195" s="3" t="s">
        <v>12012</v>
      </c>
      <c r="G4195" s="3">
        <v>1.0</v>
      </c>
      <c r="H4195" s="3">
        <v>0.0</v>
      </c>
      <c r="I4195" s="3" t="s">
        <v>13</v>
      </c>
      <c r="J4195" s="3" t="s">
        <v>12013</v>
      </c>
      <c r="K4195" s="3" t="s">
        <v>883</v>
      </c>
      <c r="L4195" s="3" t="str">
        <f>IFERROR(__xludf.DUMMYFUNCTION("GOOGLETRANSLATE(F4195,""id"",""en"")"),"The World Cup Final match presents the actions of supporters who show off the stadium's Tribune Breasts.")</f>
        <v>The World Cup Final match presents the actions of supporters who show off the stadium's Tribune Breasts.</v>
      </c>
    </row>
    <row r="4196" ht="15.75" customHeight="1">
      <c r="A4196" s="1">
        <v>4238.0</v>
      </c>
      <c r="B4196" s="3" t="s">
        <v>12014</v>
      </c>
      <c r="C4196" s="3">
        <v>0.0</v>
      </c>
      <c r="D4196" s="3">
        <v>0.0</v>
      </c>
      <c r="E4196" s="3">
        <v>3.0</v>
      </c>
      <c r="F4196" s="3" t="s">
        <v>12012</v>
      </c>
      <c r="G4196" s="3">
        <v>1.0</v>
      </c>
      <c r="H4196" s="3">
        <v>0.0</v>
      </c>
      <c r="I4196" s="3" t="s">
        <v>13</v>
      </c>
      <c r="J4196" s="3" t="s">
        <v>12013</v>
      </c>
      <c r="K4196" s="3" t="s">
        <v>883</v>
      </c>
      <c r="L4196" s="3" t="str">
        <f>IFERROR(__xludf.DUMMYFUNCTION("GOOGLETRANSLATE(F4196,""id"",""en"")"),"The World Cup Final match presents the actions of supporters who show off the stadium's Tribune Breasts.")</f>
        <v>The World Cup Final match presents the actions of supporters who show off the stadium's Tribune Breasts.</v>
      </c>
    </row>
    <row r="4197" ht="15.75" customHeight="1">
      <c r="A4197" s="1">
        <v>4239.0</v>
      </c>
      <c r="B4197" s="3" t="s">
        <v>12015</v>
      </c>
      <c r="C4197" s="3">
        <v>0.0</v>
      </c>
      <c r="D4197" s="3">
        <v>0.0</v>
      </c>
      <c r="E4197" s="3">
        <v>2.0</v>
      </c>
      <c r="F4197" s="3" t="s">
        <v>12016</v>
      </c>
      <c r="G4197" s="3">
        <v>1.0</v>
      </c>
      <c r="H4197" s="3">
        <v>0.0</v>
      </c>
      <c r="I4197" s="3" t="s">
        <v>13</v>
      </c>
      <c r="J4197" s="3" t="s">
        <v>12017</v>
      </c>
      <c r="K4197" s="3" t="s">
        <v>358</v>
      </c>
      <c r="L4197" s="3" t="str">
        <f>IFERROR(__xludf.DUMMYFUNCTION("GOOGLETRANSLATE(F4197,""id"",""en"")"),"The World Cup Final match presents the actions of supporters who show off the stadium's tribune breasts that was not just that soccer match presented a similar action")</f>
        <v>The World Cup Final match presents the actions of supporters who show off the stadium's tribune breasts that was not just that soccer match presented a similar action</v>
      </c>
    </row>
    <row r="4198" ht="15.75" customHeight="1">
      <c r="A4198" s="1">
        <v>4240.0</v>
      </c>
      <c r="B4198" s="3" t="s">
        <v>12018</v>
      </c>
      <c r="C4198" s="3">
        <v>0.0</v>
      </c>
      <c r="D4198" s="3">
        <v>0.0</v>
      </c>
      <c r="E4198" s="3">
        <v>0.0</v>
      </c>
      <c r="F4198" s="3" t="s">
        <v>12019</v>
      </c>
      <c r="G4198" s="3">
        <v>1.0</v>
      </c>
      <c r="H4198" s="3">
        <v>0.0</v>
      </c>
      <c r="I4198" s="3" t="s">
        <v>13</v>
      </c>
      <c r="J4198" s="3" t="s">
        <v>12020</v>
      </c>
      <c r="K4198" s="3" t="s">
        <v>90</v>
      </c>
      <c r="L4198" s="3" t="str">
        <f>IFERROR(__xludf.DUMMYFUNCTION("GOOGLETRANSLATE(F4198,""id"",""en"")"),"The chronology of Manado's teenager was stabbed during the convoy of victory after the final of the French Cambodian World Cup Innalillahi Admiral Yudo Margono Cangkeman Kapal")</f>
        <v>The chronology of Manado's teenager was stabbed during the convoy of victory after the final of the French Cambodian World Cup Innalillahi Admiral Yudo Margono Cangkeman Kapal</v>
      </c>
    </row>
    <row r="4199" ht="15.75" customHeight="1">
      <c r="A4199" s="1">
        <v>4241.0</v>
      </c>
      <c r="B4199" s="3" t="s">
        <v>12021</v>
      </c>
      <c r="C4199" s="3">
        <v>1.0</v>
      </c>
      <c r="D4199" s="3">
        <v>0.0</v>
      </c>
      <c r="E4199" s="3">
        <v>0.0</v>
      </c>
      <c r="F4199" s="3" t="s">
        <v>12022</v>
      </c>
      <c r="G4199" s="3">
        <v>0.75</v>
      </c>
      <c r="H4199" s="3">
        <v>0.06818181818181818</v>
      </c>
      <c r="I4199" s="3" t="s">
        <v>48</v>
      </c>
      <c r="J4199" s="3" t="s">
        <v>12023</v>
      </c>
      <c r="K4199" s="3" t="s">
        <v>510</v>
      </c>
      <c r="L4199" s="3" t="str">
        <f>IFERROR(__xludf.DUMMYFUNCTION("GOOGLETRANSLATE(F4199,""id"",""en"")"),"Yesterday the World Cup Final to wait for him to live if you were sleepy installing the alarm minute to sleep or Zonk")</f>
        <v>Yesterday the World Cup Final to wait for him to live if you were sleepy installing the alarm minute to sleep or Zonk</v>
      </c>
    </row>
    <row r="4200" ht="15.75" customHeight="1">
      <c r="A4200" s="1">
        <v>4242.0</v>
      </c>
      <c r="B4200" s="3" t="s">
        <v>12024</v>
      </c>
      <c r="C4200" s="3">
        <v>0.0</v>
      </c>
      <c r="D4200" s="3">
        <v>0.0</v>
      </c>
      <c r="E4200" s="3">
        <v>0.0</v>
      </c>
      <c r="F4200" s="3" t="s">
        <v>12025</v>
      </c>
      <c r="G4200" s="3">
        <v>1.0</v>
      </c>
      <c r="H4200" s="3">
        <v>0.0</v>
      </c>
      <c r="I4200" s="3" t="s">
        <v>13</v>
      </c>
      <c r="J4200" s="3" t="s">
        <v>12026</v>
      </c>
      <c r="K4200" s="3" t="s">
        <v>1970</v>
      </c>
      <c r="L4200" s="3" t="str">
        <f>IFERROR(__xludf.DUMMYFUNCTION("GOOGLETRANSLATE(F4200,""id"",""en"")"),"One day a World Cup edition will pass the finals, so in that edition it is likely that Thailand will also pass the development of football the two countries are always close to its level")</f>
        <v>One day a World Cup edition will pass the finals, so in that edition it is likely that Thailand will also pass the development of football the two countries are always close to its level</v>
      </c>
    </row>
    <row r="4201" ht="15.75" customHeight="1">
      <c r="A4201" s="1">
        <v>4244.0</v>
      </c>
      <c r="B4201" s="3" t="s">
        <v>12027</v>
      </c>
      <c r="C4201" s="3">
        <v>0.0</v>
      </c>
      <c r="D4201" s="3">
        <v>0.0</v>
      </c>
      <c r="E4201" s="3">
        <v>0.0</v>
      </c>
      <c r="F4201" s="3" t="s">
        <v>12028</v>
      </c>
      <c r="G4201" s="3">
        <v>1.0</v>
      </c>
      <c r="H4201" s="3">
        <v>0.0</v>
      </c>
      <c r="I4201" s="3" t="s">
        <v>13</v>
      </c>
      <c r="J4201" s="3" t="s">
        <v>12029</v>
      </c>
      <c r="K4201" s="3" t="s">
        <v>90</v>
      </c>
      <c r="L4201" s="3" t="str">
        <f>IFERROR(__xludf.DUMMYFUNCTION("GOOGLETRANSLATE(F4201,""id"",""en"")"),"The Bayern Munich World Cup Final Hard Curses Acts of Online Racialism that befall Tchouameni and Coman after failing the penalties of all pages of BolaSport")</f>
        <v>The Bayern Munich World Cup Final Hard Curses Acts of Online Racialism that befall Tchouameni and Coman after failing the penalties of all pages of BolaSport</v>
      </c>
    </row>
    <row r="4202" ht="15.75" customHeight="1">
      <c r="A4202" s="1">
        <v>4245.0</v>
      </c>
      <c r="B4202" s="3" t="s">
        <v>12030</v>
      </c>
      <c r="C4202" s="3">
        <v>1.0</v>
      </c>
      <c r="D4202" s="3">
        <v>0.0</v>
      </c>
      <c r="E4202" s="3">
        <v>7.0</v>
      </c>
      <c r="F4202" s="3" t="s">
        <v>12031</v>
      </c>
      <c r="G4202" s="3">
        <v>1.0</v>
      </c>
      <c r="H4202" s="3">
        <v>0.0</v>
      </c>
      <c r="I4202" s="3" t="s">
        <v>13</v>
      </c>
      <c r="J4202" s="3" t="s">
        <v>12032</v>
      </c>
      <c r="K4202" s="3" t="s">
        <v>437</v>
      </c>
      <c r="L4202" s="3" t="str">
        <f>IFERROR(__xludf.DUMMYFUNCTION("GOOGLETRANSLATE(F4202,""id"",""en"")"),"The moment was not right after watching the World Cup final between Argentina and France was then treated to a Cambodian match against the Philippines")</f>
        <v>The moment was not right after watching the World Cup final between Argentina and France was then treated to a Cambodian match against the Philippines</v>
      </c>
    </row>
    <row r="4203" ht="15.75" customHeight="1">
      <c r="A4203" s="1">
        <v>4246.0</v>
      </c>
      <c r="B4203" s="3" t="s">
        <v>12033</v>
      </c>
      <c r="C4203" s="3">
        <v>0.0</v>
      </c>
      <c r="D4203" s="3">
        <v>0.0</v>
      </c>
      <c r="E4203" s="3">
        <v>1.0</v>
      </c>
      <c r="F4203" s="3" t="s">
        <v>12034</v>
      </c>
      <c r="G4203" s="3">
        <v>1.0</v>
      </c>
      <c r="H4203" s="3">
        <v>0.0</v>
      </c>
      <c r="I4203" s="3" t="s">
        <v>13</v>
      </c>
      <c r="J4203" s="3" t="s">
        <v>12035</v>
      </c>
      <c r="K4203" s="3" t="s">
        <v>19</v>
      </c>
      <c r="L4203" s="3" t="str">
        <f>IFERROR(__xludf.DUMMYFUNCTION("GOOGLETRANSLATE(F4203,""id"",""en"")"),"My idol is so I don't want to miss the World Cup final watching it while walking like this")</f>
        <v>My idol is so I don't want to miss the World Cup final watching it while walking like this</v>
      </c>
    </row>
    <row r="4204" ht="15.75" customHeight="1">
      <c r="A4204" s="1">
        <v>4247.0</v>
      </c>
      <c r="B4204" s="3" t="s">
        <v>12036</v>
      </c>
      <c r="C4204" s="3">
        <v>0.0</v>
      </c>
      <c r="D4204" s="3">
        <v>0.0</v>
      </c>
      <c r="E4204" s="3">
        <v>0.0</v>
      </c>
      <c r="F4204" s="3" t="s">
        <v>12037</v>
      </c>
      <c r="G4204" s="3">
        <v>1.0</v>
      </c>
      <c r="H4204" s="3">
        <v>0.0</v>
      </c>
      <c r="I4204" s="3" t="s">
        <v>13</v>
      </c>
      <c r="J4204" s="3" t="s">
        <v>12038</v>
      </c>
      <c r="K4204" s="3" t="s">
        <v>19</v>
      </c>
      <c r="L4204" s="3" t="str">
        <f>IFERROR(__xludf.DUMMYFUNCTION("GOOGLETRANSLATE(F4204,""id"",""en"")"),"French French goal scorer of the World Cup Final is Zinedine Zidane Emmanuel Petit, let's join")</f>
        <v>French French goal scorer of the World Cup Final is Zinedine Zidane Emmanuel Petit, let's join</v>
      </c>
    </row>
    <row r="4205" ht="15.75" customHeight="1">
      <c r="A4205" s="1">
        <v>4248.0</v>
      </c>
      <c r="B4205" s="3" t="s">
        <v>12039</v>
      </c>
      <c r="C4205" s="3">
        <v>40.0</v>
      </c>
      <c r="D4205" s="3">
        <v>31.0</v>
      </c>
      <c r="E4205" s="3">
        <v>31.0</v>
      </c>
      <c r="F4205" s="3" t="s">
        <v>12040</v>
      </c>
      <c r="G4205" s="3">
        <v>1.0</v>
      </c>
      <c r="H4205" s="3">
        <v>0.0</v>
      </c>
      <c r="I4205" s="3" t="s">
        <v>13</v>
      </c>
      <c r="J4205" s="3" t="s">
        <v>12041</v>
      </c>
      <c r="K4205" s="3" t="s">
        <v>127</v>
      </c>
      <c r="L4205" s="3" t="str">
        <f>IFERROR(__xludf.DUMMYFUNCTION("GOOGLETRANSLATE(F4205,""id"",""en"")"),"The excitement of the Capital Capital Watching the World Cup Final with Youth Perindo Cheers Cheers Celebrating Argentine National Team Victory")</f>
        <v>The excitement of the Capital Capital Watching the World Cup Final with Youth Perindo Cheers Cheers Celebrating Argentine National Team Victory</v>
      </c>
    </row>
    <row r="4206" ht="15.75" customHeight="1">
      <c r="A4206" s="1">
        <v>4249.0</v>
      </c>
      <c r="B4206" s="3" t="s">
        <v>12042</v>
      </c>
      <c r="C4206" s="3">
        <v>0.0</v>
      </c>
      <c r="D4206" s="3">
        <v>0.0</v>
      </c>
      <c r="E4206" s="3">
        <v>0.0</v>
      </c>
      <c r="F4206" s="3" t="s">
        <v>12043</v>
      </c>
      <c r="G4206" s="3">
        <v>1.0</v>
      </c>
      <c r="H4206" s="3">
        <v>0.0</v>
      </c>
      <c r="I4206" s="3" t="s">
        <v>13</v>
      </c>
      <c r="J4206" s="3" t="s">
        <v>12044</v>
      </c>
      <c r="K4206" s="3" t="s">
        <v>1656</v>
      </c>
      <c r="L4206" s="3" t="str">
        <f>IFERROR(__xludf.DUMMYFUNCTION("GOOGLETRANSLATE(F4206,""id"",""en"")"),"Argentina French World Cup final results on Monday December at WIB Argentina also successfully embraced their third World Cup trophy while France failed to defend the title that won in the last edition")</f>
        <v>Argentina French World Cup final results on Monday December at WIB Argentina also successfully embraced their third World Cup trophy while France failed to defend the title that won in the last edition</v>
      </c>
    </row>
    <row r="4207" ht="15.75" customHeight="1">
      <c r="A4207" s="1">
        <v>4250.0</v>
      </c>
      <c r="B4207" s="3" t="s">
        <v>12045</v>
      </c>
      <c r="C4207" s="3">
        <v>0.0</v>
      </c>
      <c r="D4207" s="3">
        <v>0.0</v>
      </c>
      <c r="E4207" s="3">
        <v>0.0</v>
      </c>
      <c r="F4207" s="3" t="s">
        <v>9959</v>
      </c>
      <c r="G4207" s="3">
        <v>1.0</v>
      </c>
      <c r="H4207" s="3">
        <v>0.0</v>
      </c>
      <c r="I4207" s="3" t="s">
        <v>13</v>
      </c>
      <c r="J4207" s="3" t="s">
        <v>9960</v>
      </c>
      <c r="K4207" s="3" t="s">
        <v>699</v>
      </c>
      <c r="L4207" s="3" t="str">
        <f>IFERROR(__xludf.DUMMYFUNCTION("GOOGLETRANSLATE(F4207,""id"",""en"")"),"Head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4208" ht="15.75" customHeight="1">
      <c r="A4208" s="1">
        <v>4251.0</v>
      </c>
      <c r="B4208" s="3" t="s">
        <v>12046</v>
      </c>
      <c r="C4208" s="3">
        <v>0.0</v>
      </c>
      <c r="D4208" s="3">
        <v>0.0</v>
      </c>
      <c r="E4208" s="3">
        <v>0.0</v>
      </c>
      <c r="F4208" s="3" t="s">
        <v>12047</v>
      </c>
      <c r="G4208" s="3">
        <v>1.0</v>
      </c>
      <c r="H4208" s="3">
        <v>0.0</v>
      </c>
      <c r="I4208" s="3" t="s">
        <v>13</v>
      </c>
      <c r="J4208" s="3" t="s">
        <v>12048</v>
      </c>
      <c r="K4208" s="3" t="s">
        <v>82</v>
      </c>
      <c r="L4208" s="3" t="str">
        <f>IFERROR(__xludf.DUMMYFUNCTION("GOOGLETRANSLATE(F4208,""id"",""en"")"),"After losing the World Cup Final betting like")</f>
        <v>After losing the World Cup Final betting like</v>
      </c>
    </row>
    <row r="4209" ht="15.75" customHeight="1">
      <c r="A4209" s="1">
        <v>4252.0</v>
      </c>
      <c r="B4209" s="3" t="s">
        <v>12049</v>
      </c>
      <c r="C4209" s="3">
        <v>0.0</v>
      </c>
      <c r="D4209" s="3">
        <v>0.0</v>
      </c>
      <c r="E4209" s="3">
        <v>0.0</v>
      </c>
      <c r="F4209" s="3" t="s">
        <v>12050</v>
      </c>
      <c r="G4209" s="3">
        <v>1.0</v>
      </c>
      <c r="H4209" s="3">
        <v>0.0</v>
      </c>
      <c r="I4209" s="3" t="s">
        <v>13</v>
      </c>
      <c r="J4209" s="3" t="s">
        <v>12051</v>
      </c>
      <c r="K4209" s="3" t="s">
        <v>71</v>
      </c>
      <c r="L4209" s="3" t="str">
        <f>IFERROR(__xludf.DUMMYFUNCTION("GOOGLETRANSLATE(F4209,""id"",""en"")"),"So Maria just indirectly realizes the dream of Messi scoring the final goal of the Copa America finalissima and the World Cup")</f>
        <v>So Maria just indirectly realizes the dream of Messi scoring the final goal of the Copa America finalissima and the World Cup</v>
      </c>
    </row>
    <row r="4210" ht="15.75" customHeight="1">
      <c r="A4210" s="1">
        <v>4253.0</v>
      </c>
      <c r="B4210" s="3" t="s">
        <v>12052</v>
      </c>
      <c r="C4210" s="3">
        <v>0.0</v>
      </c>
      <c r="D4210" s="3">
        <v>0.0</v>
      </c>
      <c r="E4210" s="3">
        <v>0.0</v>
      </c>
      <c r="F4210" s="3" t="s">
        <v>11475</v>
      </c>
      <c r="G4210" s="3">
        <v>1.0</v>
      </c>
      <c r="H4210" s="3">
        <v>0.0</v>
      </c>
      <c r="I4210" s="3" t="s">
        <v>13</v>
      </c>
      <c r="J4210" s="3" t="s">
        <v>11476</v>
      </c>
      <c r="K4210" s="3" t="s">
        <v>491</v>
      </c>
      <c r="L4210" s="3" t="str">
        <f>IFERROR(__xludf.DUMMYFUNCTION("GOOGLETRANSLATE(F4210,""id"",""en"")"),"Ready to attend Nobar Night of the Qatar World Cup Final Night Kakanwil Faisol Ali Jagan French West Sulawesi Faisol Ali")</f>
        <v>Ready to attend Nobar Night of the Qatar World Cup Final Night Kakanwil Faisol Ali Jagan French West Sulawesi Faisol Ali</v>
      </c>
    </row>
    <row r="4211" ht="15.75" customHeight="1">
      <c r="A4211" s="1">
        <v>4254.0</v>
      </c>
      <c r="B4211" s="3" t="s">
        <v>12053</v>
      </c>
      <c r="C4211" s="3">
        <v>0.0</v>
      </c>
      <c r="D4211" s="3">
        <v>0.0</v>
      </c>
      <c r="E4211" s="3">
        <v>0.0</v>
      </c>
      <c r="F4211" s="3" t="s">
        <v>12054</v>
      </c>
      <c r="G4211" s="3">
        <v>1.0</v>
      </c>
      <c r="H4211" s="3">
        <v>0.0</v>
      </c>
      <c r="I4211" s="3" t="s">
        <v>13</v>
      </c>
      <c r="J4211" s="3" t="s">
        <v>12055</v>
      </c>
      <c r="K4211" s="3" t="s">
        <v>1656</v>
      </c>
      <c r="L4211" s="3" t="str">
        <f>IFERROR(__xludf.DUMMYFUNCTION("GOOGLETRANSLATE(F4211,""id"",""en"")"),"Emiliano Martinez had received the spotlight in giving an individual title after the Qatar World Cup final match Martinez celebrated indecent when receiving the title of the World Cup Best Goalkeeper Award")</f>
        <v>Emiliano Martinez had received the spotlight in giving an individual title after the Qatar World Cup final match Martinez celebrated indecent when receiving the title of the World Cup Best Goalkeeper Award</v>
      </c>
    </row>
    <row r="4212" ht="15.75" customHeight="1">
      <c r="A4212" s="1">
        <v>4255.0</v>
      </c>
      <c r="B4212" s="3" t="s">
        <v>12056</v>
      </c>
      <c r="C4212" s="3">
        <v>0.0</v>
      </c>
      <c r="D4212" s="3">
        <v>0.0</v>
      </c>
      <c r="E4212" s="3">
        <v>0.0</v>
      </c>
      <c r="F4212" s="3" t="s">
        <v>12057</v>
      </c>
      <c r="G4212" s="3">
        <v>1.0</v>
      </c>
      <c r="H4212" s="3">
        <v>0.0</v>
      </c>
      <c r="I4212" s="3" t="s">
        <v>13</v>
      </c>
      <c r="J4212" s="3" t="s">
        <v>12058</v>
      </c>
      <c r="K4212" s="3" t="s">
        <v>50</v>
      </c>
      <c r="L4212" s="3" t="str">
        <f>IFERROR(__xludf.DUMMYFUNCTION("GOOGLETRANSLATE(F4212,""id"",""en"")"),"This is the moment of Messi Hug Mbappe World Cup Final DetikSport Google News Sports News")</f>
        <v>This is the moment of Messi Hug Mbappe World Cup Final DetikSport Google News Sports News</v>
      </c>
    </row>
    <row r="4213" ht="15.75" customHeight="1">
      <c r="A4213" s="1">
        <v>4256.0</v>
      </c>
      <c r="B4213" s="3" t="s">
        <v>12059</v>
      </c>
      <c r="C4213" s="3">
        <v>0.0</v>
      </c>
      <c r="D4213" s="3">
        <v>0.0</v>
      </c>
      <c r="E4213" s="3">
        <v>0.0</v>
      </c>
      <c r="F4213" s="3" t="s">
        <v>12060</v>
      </c>
      <c r="G4213" s="3">
        <v>1.0</v>
      </c>
      <c r="H4213" s="3">
        <v>0.0</v>
      </c>
      <c r="I4213" s="3" t="s">
        <v>13</v>
      </c>
      <c r="J4213" s="3" t="s">
        <v>12061</v>
      </c>
      <c r="K4213" s="3" t="s">
        <v>19</v>
      </c>
      <c r="L4213" s="3" t="str">
        <f>IFERROR(__xludf.DUMMYFUNCTION("GOOGLETRANSLATE(F4213,""id"",""en"")"),"Argentina French Final World Cup Les Bleus Samai's APIK APIK Brazilian and Italy")</f>
        <v>Argentina French Final World Cup Les Bleus Samai's APIK APIK Brazilian and Italy</v>
      </c>
    </row>
    <row r="4214" ht="15.75" customHeight="1">
      <c r="A4214" s="1">
        <v>4257.0</v>
      </c>
      <c r="B4214" s="3" t="s">
        <v>12062</v>
      </c>
      <c r="C4214" s="3">
        <v>2.0</v>
      </c>
      <c r="D4214" s="3">
        <v>0.0</v>
      </c>
      <c r="E4214" s="3">
        <v>1.0</v>
      </c>
      <c r="F4214" s="3" t="s">
        <v>12063</v>
      </c>
      <c r="G4214" s="3">
        <v>1.0</v>
      </c>
      <c r="H4214" s="3">
        <v>0.0</v>
      </c>
      <c r="I4214" s="3" t="s">
        <v>13</v>
      </c>
      <c r="J4214" s="3" t="s">
        <v>12064</v>
      </c>
      <c r="K4214" s="3" t="s">
        <v>657</v>
      </c>
      <c r="L4214" s="3" t="str">
        <f>IFERROR(__xludf.DUMMYFUNCTION("GOOGLETRANSLATE(F4214,""id"",""en"")"),"Kingsley Coman was the target of racism after being one of the penalty executors who failed the World Cup final")</f>
        <v>Kingsley Coman was the target of racism after being one of the penalty executors who failed the World Cup final</v>
      </c>
    </row>
    <row r="4215" ht="15.75" customHeight="1">
      <c r="A4215" s="1">
        <v>4258.0</v>
      </c>
      <c r="B4215" s="3" t="s">
        <v>12065</v>
      </c>
      <c r="C4215" s="3">
        <v>0.0</v>
      </c>
      <c r="D4215" s="3">
        <v>0.0</v>
      </c>
      <c r="E4215" s="3">
        <v>0.0</v>
      </c>
      <c r="F4215" s="3" t="s">
        <v>12066</v>
      </c>
      <c r="G4215" s="3">
        <v>1.0</v>
      </c>
      <c r="H4215" s="3">
        <v>0.0</v>
      </c>
      <c r="I4215" s="3" t="s">
        <v>13</v>
      </c>
      <c r="J4215" s="3" t="s">
        <v>12067</v>
      </c>
      <c r="K4215" s="3" t="s">
        <v>15</v>
      </c>
      <c r="L4215" s="3" t="str">
        <f>IFERROR(__xludf.DUMMYFUNCTION("GOOGLETRANSLATE(F4215,""id"",""en"")"),"The World Cup Final is more lively with the presence of Icha Christy")</f>
        <v>The World Cup Final is more lively with the presence of Icha Christy</v>
      </c>
    </row>
    <row r="4216" ht="15.75" customHeight="1">
      <c r="A4216" s="1">
        <v>4259.0</v>
      </c>
      <c r="B4216" s="3" t="s">
        <v>12068</v>
      </c>
      <c r="C4216" s="3">
        <v>1.0</v>
      </c>
      <c r="D4216" s="3">
        <v>0.0</v>
      </c>
      <c r="E4216" s="3">
        <v>1.0</v>
      </c>
      <c r="F4216" s="3" t="s">
        <v>12069</v>
      </c>
      <c r="G4216" s="3">
        <v>1.0</v>
      </c>
      <c r="H4216" s="3">
        <v>0.0</v>
      </c>
      <c r="I4216" s="3" t="s">
        <v>13</v>
      </c>
      <c r="J4216" s="3" t="s">
        <v>12070</v>
      </c>
      <c r="K4216" s="3" t="s">
        <v>71</v>
      </c>
      <c r="L4216" s="3" t="str">
        <f>IFERROR(__xludf.DUMMYFUNCTION("GOOGLETRANSLATE(F4216,""id"",""en"")"),"a good thing to be punished by his apparatus is also a dilemma times fans who show off the breast of the world cup final escape sentence")</f>
        <v>a good thing to be punished by his apparatus is also a dilemma times fans who show off the breast of the world cup final escape sentence</v>
      </c>
    </row>
    <row r="4217" ht="15.75" customHeight="1">
      <c r="A4217" s="1">
        <v>4260.0</v>
      </c>
      <c r="B4217" s="3" t="s">
        <v>12071</v>
      </c>
      <c r="C4217" s="3">
        <v>1.0</v>
      </c>
      <c r="D4217" s="3">
        <v>0.0</v>
      </c>
      <c r="E4217" s="3">
        <v>11.0</v>
      </c>
      <c r="F4217" s="3" t="s">
        <v>12072</v>
      </c>
      <c r="G4217" s="3">
        <v>1.0</v>
      </c>
      <c r="H4217" s="3">
        <v>0.0</v>
      </c>
      <c r="I4217" s="3" t="s">
        <v>13</v>
      </c>
      <c r="J4217" s="3" t="s">
        <v>12073</v>
      </c>
      <c r="K4217" s="3" t="s">
        <v>644</v>
      </c>
      <c r="L4217" s="3" t="str">
        <f>IFERROR(__xludf.DUMMYFUNCTION("GOOGLETRANSLATE(F4217,""id"",""en"")"),"World Cup Final Match")</f>
        <v>World Cup Final Match</v>
      </c>
    </row>
    <row r="4218" ht="15.75" customHeight="1">
      <c r="A4218" s="1">
        <v>4261.0</v>
      </c>
      <c r="B4218" s="3" t="s">
        <v>12074</v>
      </c>
      <c r="C4218" s="3">
        <v>0.0</v>
      </c>
      <c r="D4218" s="3">
        <v>4.0</v>
      </c>
      <c r="E4218" s="3">
        <v>0.0</v>
      </c>
      <c r="F4218" s="3" t="s">
        <v>11876</v>
      </c>
      <c r="G4218" s="3">
        <v>0.6</v>
      </c>
      <c r="H4218" s="3">
        <v>-0.05</v>
      </c>
      <c r="I4218" s="3" t="s">
        <v>179</v>
      </c>
      <c r="J4218" s="3" t="s">
        <v>11877</v>
      </c>
      <c r="K4218" s="3" t="s">
        <v>510</v>
      </c>
      <c r="L4218" s="3" t="str">
        <f>IFERROR(__xludf.DUMMYFUNCTION("GOOGLETRANSLATE(F4218,""id"",""en"")"),"Professor revealed the trick of Emiliano Martinez won the Mental War of the World Cup Final Final")</f>
        <v>Professor revealed the trick of Emiliano Martinez won the Mental War of the World Cup Final Final</v>
      </c>
    </row>
    <row r="4219" ht="15.75" customHeight="1">
      <c r="A4219" s="1">
        <v>4262.0</v>
      </c>
      <c r="B4219" s="3" t="s">
        <v>12075</v>
      </c>
      <c r="C4219" s="3">
        <v>0.0</v>
      </c>
      <c r="D4219" s="3">
        <v>0.0</v>
      </c>
      <c r="E4219" s="3">
        <v>0.0</v>
      </c>
      <c r="F4219" s="3" t="s">
        <v>12076</v>
      </c>
      <c r="G4219" s="3">
        <v>1.0</v>
      </c>
      <c r="H4219" s="3">
        <v>0.0</v>
      </c>
      <c r="I4219" s="3" t="s">
        <v>13</v>
      </c>
      <c r="J4219" s="3" t="s">
        <v>12077</v>
      </c>
      <c r="K4219" s="3" t="s">
        <v>433</v>
      </c>
      <c r="L4219" s="3" t="str">
        <f>IFERROR(__xludf.DUMMYFUNCTION("GOOGLETRANSLATE(F4219,""id"",""en"")"),"The final finals during the World Cup I saw watching and going to be cheered for their respective teams")</f>
        <v>The final finals during the World Cup I saw watching and going to be cheered for their respective teams</v>
      </c>
    </row>
    <row r="4220" ht="15.75" customHeight="1">
      <c r="A4220" s="1">
        <v>4263.0</v>
      </c>
      <c r="B4220" s="3" t="s">
        <v>12078</v>
      </c>
      <c r="C4220" s="3">
        <v>0.0</v>
      </c>
      <c r="D4220" s="3">
        <v>0.0</v>
      </c>
      <c r="E4220" s="3">
        <v>0.0</v>
      </c>
      <c r="F4220" s="3" t="s">
        <v>12079</v>
      </c>
      <c r="G4220" s="3">
        <v>1.0</v>
      </c>
      <c r="H4220" s="3">
        <v>0.0</v>
      </c>
      <c r="I4220" s="3" t="s">
        <v>13</v>
      </c>
      <c r="J4220" s="3" t="s">
        <v>12080</v>
      </c>
      <c r="K4220" s="3" t="s">
        <v>510</v>
      </c>
      <c r="L4220" s="3" t="str">
        <f>IFERROR(__xludf.DUMMYFUNCTION("GOOGLETRANSLATE(F4220,""id"",""en"")"),"After the controversial celebration Emiliano Martinez is now accused of cheating during the World Cup final shootout")</f>
        <v>After the controversial celebration Emiliano Martinez is now accused of cheating during the World Cup final shootout</v>
      </c>
    </row>
    <row r="4221" ht="15.75" customHeight="1">
      <c r="A4221" s="1">
        <v>4264.0</v>
      </c>
      <c r="B4221" s="3" t="s">
        <v>12081</v>
      </c>
      <c r="C4221" s="3">
        <v>0.0</v>
      </c>
      <c r="D4221" s="3">
        <v>0.0</v>
      </c>
      <c r="E4221" s="3">
        <v>0.0</v>
      </c>
      <c r="F4221" s="3" t="s">
        <v>12082</v>
      </c>
      <c r="G4221" s="3">
        <v>1.0</v>
      </c>
      <c r="H4221" s="3">
        <v>0.0</v>
      </c>
      <c r="I4221" s="3" t="s">
        <v>13</v>
      </c>
      <c r="J4221" s="3" t="s">
        <v>12083</v>
      </c>
      <c r="K4221" s="3" t="s">
        <v>495</v>
      </c>
      <c r="L4221" s="3" t="str">
        <f>IFERROR(__xludf.DUMMYFUNCTION("GOOGLETRANSLATE(F4221,""id"",""en"")"),"The World Cup Final is considered many of the best netizens of all time of the game that Argentina and France have success")</f>
        <v>The World Cup Final is considered many of the best netizens of all time of the game that Argentina and France have success</v>
      </c>
    </row>
    <row r="4222" ht="15.75" customHeight="1">
      <c r="A4222" s="1">
        <v>4265.0</v>
      </c>
      <c r="B4222" s="3" t="s">
        <v>12084</v>
      </c>
      <c r="C4222" s="3">
        <v>0.0</v>
      </c>
      <c r="D4222" s="3">
        <v>1.0</v>
      </c>
      <c r="E4222" s="3">
        <v>1.0</v>
      </c>
      <c r="F4222" s="3" t="s">
        <v>11876</v>
      </c>
      <c r="G4222" s="3">
        <v>0.6</v>
      </c>
      <c r="H4222" s="3">
        <v>-0.05</v>
      </c>
      <c r="I4222" s="3" t="s">
        <v>179</v>
      </c>
      <c r="J4222" s="3" t="s">
        <v>11877</v>
      </c>
      <c r="K4222" s="3" t="s">
        <v>510</v>
      </c>
      <c r="L4222" s="3" t="str">
        <f>IFERROR(__xludf.DUMMYFUNCTION("GOOGLETRANSLATE(F4222,""id"",""en"")"),"Professor revealed the trick of Emiliano Martinez won the Mental War of the World Cup Final Final")</f>
        <v>Professor revealed the trick of Emiliano Martinez won the Mental War of the World Cup Final Final</v>
      </c>
    </row>
    <row r="4223" ht="15.75" customHeight="1">
      <c r="A4223" s="1">
        <v>4266.0</v>
      </c>
      <c r="B4223" s="3" t="s">
        <v>12085</v>
      </c>
      <c r="C4223" s="3">
        <v>0.0</v>
      </c>
      <c r="D4223" s="3">
        <v>0.0</v>
      </c>
      <c r="E4223" s="3">
        <v>0.0</v>
      </c>
      <c r="F4223" s="3" t="s">
        <v>12086</v>
      </c>
      <c r="G4223" s="3">
        <v>1.0</v>
      </c>
      <c r="H4223" s="3">
        <v>0.0</v>
      </c>
      <c r="I4223" s="3" t="s">
        <v>13</v>
      </c>
      <c r="J4223" s="3" t="s">
        <v>12087</v>
      </c>
      <c r="K4223" s="3" t="s">
        <v>510</v>
      </c>
      <c r="L4223" s="3" t="str">
        <f>IFERROR(__xludf.DUMMYFUNCTION("GOOGLETRANSLATE(F4223,""id"",""en"")"),"Why is your digital broadcast of Central Java Blora now disappearing even though the final of the World Cup your broadcast is smooth")</f>
        <v>Why is your digital broadcast of Central Java Blora now disappearing even though the final of the World Cup your broadcast is smooth</v>
      </c>
    </row>
    <row r="4224" ht="15.75" customHeight="1">
      <c r="A4224" s="1">
        <v>4267.0</v>
      </c>
      <c r="B4224" s="3" t="s">
        <v>12088</v>
      </c>
      <c r="C4224" s="3">
        <v>0.0</v>
      </c>
      <c r="D4224" s="3">
        <v>0.0</v>
      </c>
      <c r="E4224" s="3">
        <v>0.0</v>
      </c>
      <c r="F4224" s="3" t="s">
        <v>12089</v>
      </c>
      <c r="G4224" s="3">
        <v>1.0</v>
      </c>
      <c r="H4224" s="3">
        <v>0.0</v>
      </c>
      <c r="I4224" s="3" t="s">
        <v>13</v>
      </c>
      <c r="J4224" s="3" t="s">
        <v>12090</v>
      </c>
      <c r="K4224" s="3" t="s">
        <v>437</v>
      </c>
      <c r="L4224" s="3" t="str">
        <f>IFERROR(__xludf.DUMMYFUNCTION("GOOGLETRANSLATE(F4224,""id"",""en"")"),"why is the area of ​​Central Java Blora active signal only MHZ and MHZ even though the final world cup final can still watch it now empty")</f>
        <v>why is the area of ​​Central Java Blora active signal only MHZ and MHZ even though the final world cup final can still watch it now empty</v>
      </c>
    </row>
    <row r="4225" ht="15.75" customHeight="1">
      <c r="A4225" s="1">
        <v>4268.0</v>
      </c>
      <c r="B4225" s="3" t="s">
        <v>12091</v>
      </c>
      <c r="C4225" s="3">
        <v>0.0</v>
      </c>
      <c r="D4225" s="3">
        <v>0.0</v>
      </c>
      <c r="E4225" s="3">
        <v>0.0</v>
      </c>
      <c r="F4225" s="3" t="s">
        <v>12092</v>
      </c>
      <c r="G4225" s="3">
        <v>1.0</v>
      </c>
      <c r="H4225" s="3">
        <v>0.0</v>
      </c>
      <c r="I4225" s="3" t="s">
        <v>13</v>
      </c>
      <c r="J4225" s="3" t="s">
        <v>12093</v>
      </c>
      <c r="K4225" s="3" t="s">
        <v>58</v>
      </c>
      <c r="L4225" s="3" t="str">
        <f>IFERROR(__xludf.DUMMYFUNCTION("GOOGLETRANSLATE(F4225,""id"",""en"")"),"After the World Cup was disappointed because the support did not enter the final now is the time to support the Garuda national team AFF Cup")</f>
        <v>After the World Cup was disappointed because the support did not enter the final now is the time to support the Garuda national team AFF Cup</v>
      </c>
    </row>
    <row r="4226" ht="15.75" customHeight="1">
      <c r="A4226" s="1">
        <v>4269.0</v>
      </c>
      <c r="B4226" s="3" t="s">
        <v>12094</v>
      </c>
      <c r="C4226" s="3">
        <v>0.0</v>
      </c>
      <c r="D4226" s="3">
        <v>0.0</v>
      </c>
      <c r="E4226" s="3">
        <v>0.0</v>
      </c>
      <c r="F4226" s="3" t="s">
        <v>12095</v>
      </c>
      <c r="G4226" s="3">
        <v>1.0</v>
      </c>
      <c r="H4226" s="3">
        <v>0.0</v>
      </c>
      <c r="I4226" s="3" t="s">
        <v>13</v>
      </c>
      <c r="J4226" s="3" t="s">
        <v>12096</v>
      </c>
      <c r="K4226" s="3" t="s">
        <v>510</v>
      </c>
      <c r="L4226" s="3" t="str">
        <f>IFERROR(__xludf.DUMMYFUNCTION("GOOGLETRANSLATE(F4226,""id"",""en"")"),"The French French goal scorer's answer was Zinedine Zidane Emmanuel Petit Zaaaa Old")</f>
        <v>The French French goal scorer's answer was Zinedine Zidane Emmanuel Petit Zaaaa Old</v>
      </c>
    </row>
    <row r="4227" ht="15.75" customHeight="1">
      <c r="A4227" s="1">
        <v>4270.0</v>
      </c>
      <c r="B4227" s="3" t="s">
        <v>12097</v>
      </c>
      <c r="C4227" s="3">
        <v>1.0</v>
      </c>
      <c r="D4227" s="3">
        <v>3.0</v>
      </c>
      <c r="E4227" s="3">
        <v>32.0</v>
      </c>
      <c r="F4227" s="3" t="s">
        <v>12098</v>
      </c>
      <c r="G4227" s="3">
        <v>1.0</v>
      </c>
      <c r="H4227" s="3">
        <v>0.0</v>
      </c>
      <c r="I4227" s="3" t="s">
        <v>13</v>
      </c>
      <c r="J4227" s="3" t="s">
        <v>12099</v>
      </c>
      <c r="K4227" s="3" t="s">
        <v>899</v>
      </c>
      <c r="L4227" s="3" t="str">
        <f>IFERROR(__xludf.DUMMYFUNCTION("GOOGLETRANSLATE(F4227,""id"",""en"")"),"And the two major strengths of Latin American and Central European football shine and became the Qibla later this paper is still very worth reading especially we just watched one of the best World Cup finals between European and Latin American countries")</f>
        <v>And the two major strengths of Latin American and Central European football shine and became the Qibla later this paper is still very worth reading especially we just watched one of the best World Cup finals between European and Latin American countries</v>
      </c>
    </row>
    <row r="4228" ht="15.75" customHeight="1">
      <c r="A4228" s="1">
        <v>4271.0</v>
      </c>
      <c r="B4228" s="3" t="s">
        <v>12100</v>
      </c>
      <c r="C4228" s="3">
        <v>1.0</v>
      </c>
      <c r="D4228" s="3">
        <v>0.0</v>
      </c>
      <c r="E4228" s="3">
        <v>0.0</v>
      </c>
      <c r="F4228" s="3" t="s">
        <v>12101</v>
      </c>
      <c r="G4228" s="3">
        <v>1.0</v>
      </c>
      <c r="H4228" s="3">
        <v>0.0</v>
      </c>
      <c r="I4228" s="3" t="s">
        <v>13</v>
      </c>
      <c r="J4228" s="3" t="s">
        <v>12102</v>
      </c>
      <c r="K4228" s="3" t="s">
        <v>15</v>
      </c>
      <c r="L4228" s="3" t="str">
        <f>IFERROR(__xludf.DUMMYFUNCTION("GOOGLETRANSLATE(F4228,""id"",""en"")"),"if you say this yesterday the moment was right when the world cup final")</f>
        <v>if you say this yesterday the moment was right when the world cup final</v>
      </c>
    </row>
    <row r="4229" ht="15.75" customHeight="1">
      <c r="A4229" s="1">
        <v>4272.0</v>
      </c>
      <c r="B4229" s="3" t="s">
        <v>12103</v>
      </c>
      <c r="C4229" s="3">
        <v>0.0</v>
      </c>
      <c r="D4229" s="3">
        <v>0.0</v>
      </c>
      <c r="E4229" s="3">
        <v>5.0</v>
      </c>
      <c r="F4229" s="3" t="s">
        <v>12104</v>
      </c>
      <c r="G4229" s="3">
        <v>1.0</v>
      </c>
      <c r="H4229" s="3">
        <v>0.0</v>
      </c>
      <c r="I4229" s="3" t="s">
        <v>13</v>
      </c>
      <c r="J4229" s="3" t="s">
        <v>12105</v>
      </c>
      <c r="K4229" s="3" t="s">
        <v>15</v>
      </c>
      <c r="L4229" s="3" t="str">
        <f>IFERROR(__xludf.DUMMYFUNCTION("GOOGLETRANSLATE(F4229,""id"",""en"")"),"Putin Nimbrung Comment on Argentina French World Cup Final")</f>
        <v>Putin Nimbrung Comment on Argentina French World Cup Final</v>
      </c>
    </row>
    <row r="4230" ht="15.75" customHeight="1">
      <c r="A4230" s="1">
        <v>4273.0</v>
      </c>
      <c r="B4230" s="3" t="s">
        <v>12106</v>
      </c>
      <c r="C4230" s="3">
        <v>0.0</v>
      </c>
      <c r="D4230" s="3">
        <v>0.0</v>
      </c>
      <c r="E4230" s="3">
        <v>0.0</v>
      </c>
      <c r="F4230" s="3" t="s">
        <v>12107</v>
      </c>
      <c r="G4230" s="3">
        <v>1.0</v>
      </c>
      <c r="H4230" s="3">
        <v>0.0</v>
      </c>
      <c r="I4230" s="3" t="s">
        <v>13</v>
      </c>
      <c r="J4230" s="3" t="s">
        <v>12108</v>
      </c>
      <c r="K4230" s="3" t="s">
        <v>41</v>
      </c>
      <c r="L4230" s="3" t="str">
        <f>IFERROR(__xludf.DUMMYFUNCTION("GOOGLETRANSLATE(F4230,""id"",""en"")"),"The World Cup Final Messi goal is considered an unauthorized controversy")</f>
        <v>The World Cup Final Messi goal is considered an unauthorized controversy</v>
      </c>
    </row>
    <row r="4231" ht="15.75" customHeight="1">
      <c r="A4231" s="1">
        <v>4274.0</v>
      </c>
      <c r="B4231" s="3" t="s">
        <v>12109</v>
      </c>
      <c r="C4231" s="3">
        <v>0.0</v>
      </c>
      <c r="D4231" s="3">
        <v>0.0</v>
      </c>
      <c r="E4231" s="3">
        <v>0.0</v>
      </c>
      <c r="F4231" s="3" t="s">
        <v>12110</v>
      </c>
      <c r="G4231" s="3">
        <v>1.0</v>
      </c>
      <c r="H4231" s="3">
        <v>0.0</v>
      </c>
      <c r="I4231" s="3" t="s">
        <v>13</v>
      </c>
      <c r="J4231" s="3" t="s">
        <v>12111</v>
      </c>
      <c r="K4231" s="3" t="s">
        <v>41</v>
      </c>
      <c r="L4231" s="3" t="str">
        <f>IFERROR(__xludf.DUMMYFUNCTION("GOOGLETRANSLATE(F4231,""id"",""en"")"),"Icha Christy Nobar World Cup Final Ich Lounge Bar")</f>
        <v>Icha Christy Nobar World Cup Final Ich Lounge Bar</v>
      </c>
    </row>
    <row r="4232" ht="15.75" customHeight="1">
      <c r="A4232" s="1">
        <v>4275.0</v>
      </c>
      <c r="B4232" s="3" t="s">
        <v>12112</v>
      </c>
      <c r="C4232" s="3">
        <v>0.0</v>
      </c>
      <c r="D4232" s="3">
        <v>0.0</v>
      </c>
      <c r="E4232" s="3">
        <v>0.0</v>
      </c>
      <c r="F4232" s="3" t="s">
        <v>12113</v>
      </c>
      <c r="G4232" s="3">
        <v>0.5</v>
      </c>
      <c r="H4232" s="3">
        <v>0.0</v>
      </c>
      <c r="I4232" s="3" t="s">
        <v>13</v>
      </c>
      <c r="J4232" s="3" t="s">
        <v>12114</v>
      </c>
      <c r="K4232" s="3" t="s">
        <v>1428</v>
      </c>
      <c r="L4232" s="3" t="str">
        <f>IFERROR(__xludf.DUMMYFUNCTION("GOOGLETRANSLATE(F4232,""id"",""en"")"),"Thank you Qatar for the best World Cup many surprises and drama edition this time next World Cup with a new system, the Indonesian team has the opportunity to enter if you qualify for the quarter -finals of the Asian Cup")</f>
        <v>Thank you Qatar for the best World Cup many surprises and drama edition this time next World Cup with a new system, the Indonesian team has the opportunity to enter if you qualify for the quarter -finals of the Asian Cup</v>
      </c>
    </row>
    <row r="4233" ht="15.75" customHeight="1">
      <c r="A4233" s="1">
        <v>4276.0</v>
      </c>
      <c r="B4233" s="3" t="s">
        <v>12115</v>
      </c>
      <c r="C4233" s="3">
        <v>0.0</v>
      </c>
      <c r="D4233" s="3">
        <v>1.0</v>
      </c>
      <c r="E4233" s="3">
        <v>0.0</v>
      </c>
      <c r="F4233" s="3" t="s">
        <v>12116</v>
      </c>
      <c r="G4233" s="3">
        <v>1.0</v>
      </c>
      <c r="H4233" s="3">
        <v>0.0</v>
      </c>
      <c r="I4233" s="3" t="s">
        <v>13</v>
      </c>
      <c r="J4233" s="3" t="s">
        <v>12117</v>
      </c>
      <c r="K4233" s="3" t="s">
        <v>495</v>
      </c>
      <c r="L4233" s="3" t="str">
        <f>IFERROR(__xludf.DUMMYFUNCTION("GOOGLETRANSLATE(F4233,""id"",""en"")"),"After winning the Argentine World Cup, the Retail Shop, especially the Albiceleste Blue and White Cage Uniforms, was worn during the final")</f>
        <v>After winning the Argentine World Cup, the Retail Shop, especially the Albiceleste Blue and White Cage Uniforms, was worn during the final</v>
      </c>
    </row>
    <row r="4234" ht="15.75" customHeight="1">
      <c r="A4234" s="1">
        <v>4277.0</v>
      </c>
      <c r="B4234" s="3" t="s">
        <v>12118</v>
      </c>
      <c r="C4234" s="3">
        <v>0.0</v>
      </c>
      <c r="D4234" s="3">
        <v>0.0</v>
      </c>
      <c r="E4234" s="3">
        <v>0.0</v>
      </c>
      <c r="F4234" s="3" t="s">
        <v>12119</v>
      </c>
      <c r="G4234" s="3">
        <v>1.0</v>
      </c>
      <c r="H4234" s="3">
        <v>0.0</v>
      </c>
      <c r="I4234" s="3" t="s">
        <v>13</v>
      </c>
      <c r="J4234" s="3" t="s">
        <v>12120</v>
      </c>
      <c r="K4234" s="3" t="s">
        <v>4609</v>
      </c>
      <c r="L4234" s="3" t="str">
        <f>IFERROR(__xludf.DUMMYFUNCTION("GOOGLETRANSLATE(F4234,""id"",""en"")"),"The French goalscorer is a goalscorer for the French Final World Cup is Zinedine Zidane Goal and Emanuel Petit Goal")</f>
        <v>The French goalscorer is a goalscorer for the French Final World Cup is Zinedine Zidane Goal and Emanuel Petit Goal</v>
      </c>
    </row>
    <row r="4235" ht="15.75" customHeight="1">
      <c r="A4235" s="1">
        <v>4278.0</v>
      </c>
      <c r="B4235" s="3" t="s">
        <v>12121</v>
      </c>
      <c r="C4235" s="3">
        <v>1.0</v>
      </c>
      <c r="D4235" s="3">
        <v>0.0</v>
      </c>
      <c r="E4235" s="3">
        <v>8.0</v>
      </c>
      <c r="F4235" s="3" t="s">
        <v>12122</v>
      </c>
      <c r="G4235" s="3">
        <v>1.0</v>
      </c>
      <c r="H4235" s="3">
        <v>0.0</v>
      </c>
      <c r="I4235" s="3" t="s">
        <v>13</v>
      </c>
      <c r="J4235" s="3" t="s">
        <v>12123</v>
      </c>
      <c r="K4235" s="3" t="s">
        <v>58</v>
      </c>
      <c r="L4235" s="3" t="str">
        <f>IFERROR(__xludf.DUMMYFUNCTION("GOOGLETRANSLATE(F4235,""id"",""en"")"),"Bacot loses very badly admit to the defeat of the World Cup final can prove sat")</f>
        <v>Bacot loses very badly admit to the defeat of the World Cup final can prove sat</v>
      </c>
    </row>
    <row r="4236" ht="15.75" customHeight="1">
      <c r="A4236" s="1">
        <v>4279.0</v>
      </c>
      <c r="B4236" s="3" t="s">
        <v>12124</v>
      </c>
      <c r="C4236" s="3">
        <v>0.0</v>
      </c>
      <c r="D4236" s="3">
        <v>0.0</v>
      </c>
      <c r="E4236" s="3">
        <v>0.0</v>
      </c>
      <c r="F4236" s="3" t="s">
        <v>12125</v>
      </c>
      <c r="G4236" s="3">
        <v>1.0</v>
      </c>
      <c r="H4236" s="3">
        <v>0.0</v>
      </c>
      <c r="I4236" s="3" t="s">
        <v>13</v>
      </c>
      <c r="J4236" s="3" t="s">
        <v>12126</v>
      </c>
      <c r="K4236" s="3" t="s">
        <v>1097</v>
      </c>
      <c r="L4236" s="3" t="str">
        <f>IFERROR(__xludf.DUMMYFUNCTION("GOOGLETRANSLATE(F4236,""id"",""en"")"),"This is the reason why the World Cup final became the best final match in history")</f>
        <v>This is the reason why the World Cup final became the best final match in history</v>
      </c>
    </row>
    <row r="4237" ht="15.75" customHeight="1">
      <c r="A4237" s="1">
        <v>4280.0</v>
      </c>
      <c r="B4237" s="3" t="s">
        <v>12127</v>
      </c>
      <c r="C4237" s="3">
        <v>0.0</v>
      </c>
      <c r="D4237" s="3">
        <v>0.0</v>
      </c>
      <c r="E4237" s="3">
        <v>1.0</v>
      </c>
      <c r="F4237" s="3" t="s">
        <v>12128</v>
      </c>
      <c r="G4237" s="3">
        <v>1.0</v>
      </c>
      <c r="H4237" s="3">
        <v>0.0</v>
      </c>
      <c r="I4237" s="3" t="s">
        <v>13</v>
      </c>
      <c r="J4237" s="3" t="s">
        <v>12129</v>
      </c>
      <c r="K4237" s="3" t="s">
        <v>657</v>
      </c>
      <c r="L4237" s="3" t="str">
        <f>IFERROR(__xludf.DUMMYFUNCTION("GOOGLETRANSLATE(F4237,""id"",""en"")"),"They will insult Messi Bang Wokwokwok they are Dodo Fans Envy his idol ever arrived at the World Cup final")</f>
        <v>They will insult Messi Bang Wokwokwok they are Dodo Fans Envy his idol ever arrived at the World Cup final</v>
      </c>
    </row>
    <row r="4238" ht="15.75" customHeight="1">
      <c r="A4238" s="1">
        <v>4281.0</v>
      </c>
      <c r="B4238" s="3" t="s">
        <v>12130</v>
      </c>
      <c r="C4238" s="3">
        <v>1.0</v>
      </c>
      <c r="D4238" s="3">
        <v>3.0</v>
      </c>
      <c r="E4238" s="3">
        <v>2.0</v>
      </c>
      <c r="F4238" s="3" t="s">
        <v>12131</v>
      </c>
      <c r="G4238" s="3">
        <v>1.0</v>
      </c>
      <c r="H4238" s="3">
        <v>0.0</v>
      </c>
      <c r="I4238" s="3" t="s">
        <v>13</v>
      </c>
      <c r="J4238" s="3" t="s">
        <v>12132</v>
      </c>
      <c r="K4238" s="3" t="s">
        <v>657</v>
      </c>
      <c r="L4238" s="3" t="str">
        <f>IFERROR(__xludf.DUMMYFUNCTION("GOOGLETRANSLATE(F4238,""id"",""en"")"),"The French Equipe media revealed the reason for Lionel Messi's second goal the World Cup Final should be illegitated what the reason")</f>
        <v>The French Equipe media revealed the reason for Lionel Messi's second goal the World Cup Final should be illegitated what the reason</v>
      </c>
    </row>
    <row r="4239" ht="15.75" customHeight="1">
      <c r="A4239" s="1">
        <v>4282.0</v>
      </c>
      <c r="B4239" s="3" t="s">
        <v>12133</v>
      </c>
      <c r="C4239" s="3">
        <v>0.0</v>
      </c>
      <c r="D4239" s="3">
        <v>0.0</v>
      </c>
      <c r="E4239" s="3">
        <v>0.0</v>
      </c>
      <c r="F4239" s="3" t="s">
        <v>12134</v>
      </c>
      <c r="G4239" s="3">
        <v>1.0</v>
      </c>
      <c r="H4239" s="3">
        <v>0.0</v>
      </c>
      <c r="I4239" s="3" t="s">
        <v>13</v>
      </c>
      <c r="J4239" s="3" t="s">
        <v>12135</v>
      </c>
      <c r="K4239" s="3" t="s">
        <v>75</v>
      </c>
      <c r="L4239" s="3" t="str">
        <f>IFERROR(__xludf.DUMMYFUNCTION("GOOGLETRANSLATE(F4239,""id"",""en"")"),"Argentina's third World Cup final controversy should be invalid via")</f>
        <v>Argentina's third World Cup final controversy should be invalid via</v>
      </c>
    </row>
    <row r="4240" ht="15.75" customHeight="1">
      <c r="A4240" s="1">
        <v>4283.0</v>
      </c>
      <c r="B4240" s="3" t="s">
        <v>12136</v>
      </c>
      <c r="C4240" s="3">
        <v>0.0</v>
      </c>
      <c r="D4240" s="3">
        <v>0.0</v>
      </c>
      <c r="E4240" s="3">
        <v>0.0</v>
      </c>
      <c r="F4240" s="3" t="s">
        <v>12137</v>
      </c>
      <c r="G4240" s="3">
        <v>1.0</v>
      </c>
      <c r="H4240" s="3">
        <v>0.0</v>
      </c>
      <c r="I4240" s="3" t="s">
        <v>13</v>
      </c>
      <c r="J4240" s="3" t="s">
        <v>12138</v>
      </c>
      <c r="K4240" s="3" t="s">
        <v>50</v>
      </c>
      <c r="L4240" s="3" t="str">
        <f>IFERROR(__xludf.DUMMYFUNCTION("GOOGLETRANSLATE(F4240,""id"",""en"")"),"The World Cup Final is said to be better than Istanbul supporters of Liverpool agreed via")</f>
        <v>The World Cup Final is said to be better than Istanbul supporters of Liverpool agreed via</v>
      </c>
    </row>
    <row r="4241" ht="15.75" customHeight="1">
      <c r="A4241" s="1">
        <v>4284.0</v>
      </c>
      <c r="B4241" s="3" t="s">
        <v>12139</v>
      </c>
      <c r="C4241" s="3">
        <v>19.0</v>
      </c>
      <c r="D4241" s="3">
        <v>285.0</v>
      </c>
      <c r="E4241" s="3">
        <v>1983.0</v>
      </c>
      <c r="F4241" s="3" t="s">
        <v>12140</v>
      </c>
      <c r="G4241" s="3">
        <v>1.0</v>
      </c>
      <c r="H4241" s="3">
        <v>0.0</v>
      </c>
      <c r="I4241" s="3" t="s">
        <v>13</v>
      </c>
      <c r="J4241" s="3" t="s">
        <v>12141</v>
      </c>
      <c r="K4241" s="3" t="s">
        <v>1465</v>
      </c>
      <c r="L4241" s="3" t="str">
        <f>IFERROR(__xludf.DUMMYFUNCTION("GOOGLETRANSLATE(F4241,""id"",""en"")"),"The French Argentina final match could be named the best final match of the World Cup Final Tactics Tactical Action Chasing News Records of New Records Until Magnificent Stage for Class Class Boarding")</f>
        <v>The French Argentina final match could be named the best final match of the World Cup Final Tactics Tactical Action Chasing News Records of New Records Until Magnificent Stage for Class Class Boarding</v>
      </c>
    </row>
    <row r="4242" ht="15.75" customHeight="1">
      <c r="A4242" s="1">
        <v>4285.0</v>
      </c>
      <c r="B4242" s="3" t="s">
        <v>12142</v>
      </c>
      <c r="C4242" s="3">
        <v>0.0</v>
      </c>
      <c r="D4242" s="3">
        <v>0.0</v>
      </c>
      <c r="E4242" s="3">
        <v>0.0</v>
      </c>
      <c r="F4242" s="3" t="s">
        <v>11475</v>
      </c>
      <c r="G4242" s="3">
        <v>1.0</v>
      </c>
      <c r="H4242" s="3">
        <v>0.0</v>
      </c>
      <c r="I4242" s="3" t="s">
        <v>13</v>
      </c>
      <c r="J4242" s="3" t="s">
        <v>11476</v>
      </c>
      <c r="K4242" s="3" t="s">
        <v>491</v>
      </c>
      <c r="L4242" s="3" t="str">
        <f>IFERROR(__xludf.DUMMYFUNCTION("GOOGLETRANSLATE(F4242,""id"",""en"")"),"Ready to attend Nobar Night of the Qatar World Cup Final Night Kakanwil Faisol Ali Jagan French West Sulawesi Faisol Ali")</f>
        <v>Ready to attend Nobar Night of the Qatar World Cup Final Night Kakanwil Faisol Ali Jagan French West Sulawesi Faisol Ali</v>
      </c>
    </row>
    <row r="4243" ht="15.75" customHeight="1">
      <c r="A4243" s="1">
        <v>4286.0</v>
      </c>
      <c r="B4243" s="3" t="s">
        <v>12143</v>
      </c>
      <c r="C4243" s="3">
        <v>0.0</v>
      </c>
      <c r="D4243" s="3">
        <v>0.0</v>
      </c>
      <c r="E4243" s="3">
        <v>0.0</v>
      </c>
      <c r="F4243" s="3" t="s">
        <v>12144</v>
      </c>
      <c r="G4243" s="3">
        <v>1.0</v>
      </c>
      <c r="H4243" s="3">
        <v>0.0</v>
      </c>
      <c r="I4243" s="3" t="s">
        <v>13</v>
      </c>
      <c r="J4243" s="3" t="s">
        <v>12145</v>
      </c>
      <c r="K4243" s="3" t="s">
        <v>41</v>
      </c>
      <c r="L4243" s="3" t="str">
        <f>IFERROR(__xludf.DUMMYFUNCTION("GOOGLETRANSLATE(F4243,""id"",""en"")"),"Dembele and Giroud Two of the Worst French World Cup Final Via Via")</f>
        <v>Dembele and Giroud Two of the Worst French World Cup Final Via Via</v>
      </c>
    </row>
    <row r="4244" ht="15.75" customHeight="1">
      <c r="A4244" s="1">
        <v>4287.0</v>
      </c>
      <c r="B4244" s="3" t="s">
        <v>12146</v>
      </c>
      <c r="C4244" s="3">
        <v>0.0</v>
      </c>
      <c r="D4244" s="3">
        <v>0.0</v>
      </c>
      <c r="E4244" s="3">
        <v>0.0</v>
      </c>
      <c r="F4244" s="3" t="s">
        <v>12147</v>
      </c>
      <c r="G4244" s="3">
        <v>1.0</v>
      </c>
      <c r="H4244" s="3">
        <v>0.0</v>
      </c>
      <c r="I4244" s="3" t="s">
        <v>13</v>
      </c>
      <c r="J4244" s="3" t="s">
        <v>12148</v>
      </c>
      <c r="K4244" s="3" t="s">
        <v>19</v>
      </c>
      <c r="L4244" s="3" t="str">
        <f>IFERROR(__xludf.DUMMYFUNCTION("GOOGLETRANSLATE(F4244,""id"",""en"")"),"short and threatening this Mbappe's comment after France was defeated by Argentina World Cup Final Via")</f>
        <v>short and threatening this Mbappe's comment after France was defeated by Argentina World Cup Final Via</v>
      </c>
    </row>
    <row r="4245" ht="15.75" customHeight="1">
      <c r="A4245" s="1">
        <v>4288.0</v>
      </c>
      <c r="B4245" s="3" t="s">
        <v>12149</v>
      </c>
      <c r="C4245" s="3">
        <v>0.0</v>
      </c>
      <c r="D4245" s="3">
        <v>0.0</v>
      </c>
      <c r="E4245" s="3">
        <v>0.0</v>
      </c>
      <c r="F4245" s="3" t="s">
        <v>12150</v>
      </c>
      <c r="G4245" s="3">
        <v>1.0</v>
      </c>
      <c r="H4245" s="3">
        <v>0.0</v>
      </c>
      <c r="I4245" s="3" t="s">
        <v>13</v>
      </c>
      <c r="J4245" s="3" t="s">
        <v>12151</v>
      </c>
      <c r="K4245" s="3" t="s">
        <v>184</v>
      </c>
      <c r="L4245" s="3" t="str">
        <f>IFERROR(__xludf.DUMMYFUNCTION("GOOGLETRANSLATE(F4245,""id"",""en"")"),"Erick Thohir's action with the Qatar World Cup Final Ball Star became the highlight of Russia Hello Pak Mana by him by Qatar")</f>
        <v>Erick Thohir's action with the Qatar World Cup Final Ball Star became the highlight of Russia Hello Pak Mana by him by Qatar</v>
      </c>
    </row>
    <row r="4246" ht="15.75" customHeight="1">
      <c r="A4246" s="1">
        <v>4289.0</v>
      </c>
      <c r="B4246" s="3" t="s">
        <v>12152</v>
      </c>
      <c r="C4246" s="3">
        <v>0.0</v>
      </c>
      <c r="D4246" s="3">
        <v>0.0</v>
      </c>
      <c r="E4246" s="3">
        <v>0.0</v>
      </c>
      <c r="F4246" s="3" t="s">
        <v>12153</v>
      </c>
      <c r="G4246" s="3">
        <v>1.0</v>
      </c>
      <c r="H4246" s="3">
        <v>0.0</v>
      </c>
      <c r="I4246" s="3" t="s">
        <v>13</v>
      </c>
      <c r="J4246" s="3" t="s">
        <v>12154</v>
      </c>
      <c r="K4246" s="3" t="s">
        <v>41</v>
      </c>
      <c r="L4246" s="3" t="str">
        <f>IFERROR(__xludf.DUMMYFUNCTION("GOOGLETRANSLATE(F4246,""id"",""en"")"),"The Bangladesh World Cup Final Holds the Ritual for Argentina Champion")</f>
        <v>The Bangladesh World Cup Final Holds the Ritual for Argentina Champion</v>
      </c>
    </row>
    <row r="4247" ht="15.75" customHeight="1">
      <c r="A4247" s="1">
        <v>4290.0</v>
      </c>
      <c r="B4247" s="3" t="s">
        <v>12155</v>
      </c>
      <c r="C4247" s="3">
        <v>0.0</v>
      </c>
      <c r="D4247" s="3">
        <v>0.0</v>
      </c>
      <c r="E4247" s="3">
        <v>3.0</v>
      </c>
      <c r="F4247" s="3" t="s">
        <v>12156</v>
      </c>
      <c r="G4247" s="3">
        <v>1.0</v>
      </c>
      <c r="H4247" s="3">
        <v>0.0</v>
      </c>
      <c r="I4247" s="3" t="s">
        <v>13</v>
      </c>
      <c r="J4247" s="3" t="s">
        <v>12157</v>
      </c>
      <c r="K4247" s="3" t="s">
        <v>1518</v>
      </c>
      <c r="L4247" s="3" t="str">
        <f>IFERROR(__xludf.DUMMYFUNCTION("GOOGLETRANSLATE(F4247,""id"",""en"")"),"This is the worst World Cup ever but fortunately it shows the great final Katia Aveiro Instagram Story quoted from Marca Salah Make the title of the statement of people but the complete one")</f>
        <v>This is the worst World Cup ever but fortunately it shows the great final Katia Aveiro Instagram Story quoted from Marca Salah Make the title of the statement of people but the complete one</v>
      </c>
    </row>
    <row r="4248" ht="15.75" customHeight="1">
      <c r="A4248" s="1">
        <v>4291.0</v>
      </c>
      <c r="B4248" s="3" t="s">
        <v>12158</v>
      </c>
      <c r="C4248" s="3">
        <v>0.0</v>
      </c>
      <c r="D4248" s="3">
        <v>0.0</v>
      </c>
      <c r="E4248" s="3">
        <v>1.0</v>
      </c>
      <c r="F4248" s="3" t="s">
        <v>12159</v>
      </c>
      <c r="G4248" s="3">
        <v>0.75</v>
      </c>
      <c r="H4248" s="3">
        <v>0.15</v>
      </c>
      <c r="I4248" s="3" t="s">
        <v>48</v>
      </c>
      <c r="J4248" s="3" t="s">
        <v>12160</v>
      </c>
      <c r="K4248" s="3" t="s">
        <v>71</v>
      </c>
      <c r="L4248" s="3" t="str">
        <f>IFERROR(__xludf.DUMMYFUNCTION("GOOGLETRANSLATE(F4248,""id"",""en"")"),"When competing the Qatar World Cup final, Lionel Messi wore a pair of golden boots and sandals with touching details")</f>
        <v>When competing the Qatar World Cup final, Lionel Messi wore a pair of golden boots and sandals with touching details</v>
      </c>
    </row>
    <row r="4249" ht="15.75" customHeight="1">
      <c r="A4249" s="1">
        <v>4292.0</v>
      </c>
      <c r="B4249" s="3" t="s">
        <v>12161</v>
      </c>
      <c r="C4249" s="3">
        <v>0.0</v>
      </c>
      <c r="D4249" s="3">
        <v>0.0</v>
      </c>
      <c r="E4249" s="3">
        <v>2.0</v>
      </c>
      <c r="F4249" s="3" t="s">
        <v>12162</v>
      </c>
      <c r="G4249" s="3">
        <v>1.0</v>
      </c>
      <c r="H4249" s="3">
        <v>0.0</v>
      </c>
      <c r="I4249" s="3" t="s">
        <v>13</v>
      </c>
      <c r="J4249" s="3" t="s">
        <v>12163</v>
      </c>
      <c r="K4249" s="3" t="s">
        <v>23</v>
      </c>
      <c r="L4249" s="3" t="str">
        <f>IFERROR(__xludf.DUMMYFUNCTION("GOOGLETRANSLATE(F4249,""id"",""en"")"),"Lionel Messi was the first player to score every goal of the quarter of the quarter -finals of the semifinal and final in a World Cup edition")</f>
        <v>Lionel Messi was the first player to score every goal of the quarter of the quarter -finals of the semifinal and final in a World Cup edition</v>
      </c>
    </row>
    <row r="4250" ht="15.75" customHeight="1">
      <c r="A4250" s="1">
        <v>4293.0</v>
      </c>
      <c r="B4250" s="3" t="s">
        <v>12164</v>
      </c>
      <c r="C4250" s="3">
        <v>0.0</v>
      </c>
      <c r="D4250" s="3">
        <v>0.0</v>
      </c>
      <c r="E4250" s="3">
        <v>2.0</v>
      </c>
      <c r="F4250" s="3" t="s">
        <v>12165</v>
      </c>
      <c r="G4250" s="3">
        <v>1.0</v>
      </c>
      <c r="H4250" s="3">
        <v>0.0</v>
      </c>
      <c r="I4250" s="3" t="s">
        <v>13</v>
      </c>
      <c r="J4250" s="3" t="s">
        <v>12166</v>
      </c>
      <c r="K4250" s="3" t="s">
        <v>699</v>
      </c>
      <c r="L4250" s="3" t="str">
        <f>IFERROR(__xludf.DUMMYFUNCTION("GOOGLETRANSLATE(F4250,""id"",""en"")"),"Gathering and watching together with the Nobar Final of the Metro Menteng Police Station with Menteng Tenggulun residents, Menteng Village, Central Jakarta")</f>
        <v>Gathering and watching together with the Nobar Final of the Metro Menteng Police Station with Menteng Tenggulun residents, Menteng Village, Central Jakarta</v>
      </c>
    </row>
    <row r="4251" ht="15.75" customHeight="1">
      <c r="A4251" s="1">
        <v>4294.0</v>
      </c>
      <c r="B4251" s="3" t="s">
        <v>12167</v>
      </c>
      <c r="C4251" s="3">
        <v>0.0</v>
      </c>
      <c r="D4251" s="3">
        <v>0.0</v>
      </c>
      <c r="E4251" s="3">
        <v>0.0</v>
      </c>
      <c r="F4251" s="3" t="s">
        <v>12153</v>
      </c>
      <c r="G4251" s="3">
        <v>1.0</v>
      </c>
      <c r="H4251" s="3">
        <v>0.0</v>
      </c>
      <c r="I4251" s="3" t="s">
        <v>13</v>
      </c>
      <c r="J4251" s="3" t="s">
        <v>12154</v>
      </c>
      <c r="K4251" s="3" t="s">
        <v>41</v>
      </c>
      <c r="L4251" s="3" t="str">
        <f>IFERROR(__xludf.DUMMYFUNCTION("GOOGLETRANSLATE(F4251,""id"",""en"")"),"The Bangladesh World Cup Final Holds the Ritual for Argentina Champion")</f>
        <v>The Bangladesh World Cup Final Holds the Ritual for Argentina Champion</v>
      </c>
    </row>
    <row r="4252" ht="15.75" customHeight="1">
      <c r="A4252" s="1">
        <v>4295.0</v>
      </c>
      <c r="B4252" s="3" t="s">
        <v>12168</v>
      </c>
      <c r="C4252" s="3">
        <v>0.0</v>
      </c>
      <c r="D4252" s="3">
        <v>0.0</v>
      </c>
      <c r="E4252" s="3">
        <v>0.0</v>
      </c>
      <c r="F4252" s="3" t="s">
        <v>12169</v>
      </c>
      <c r="G4252" s="3">
        <v>1.0</v>
      </c>
      <c r="H4252" s="3">
        <v>0.0</v>
      </c>
      <c r="I4252" s="3" t="s">
        <v>13</v>
      </c>
      <c r="J4252" s="3" t="s">
        <v>12170</v>
      </c>
      <c r="K4252" s="3" t="s">
        <v>82</v>
      </c>
      <c r="L4252" s="3" t="str">
        <f>IFERROR(__xludf.DUMMYFUNCTION("GOOGLETRANSLATE(F4252,""id"",""en"")"),"All All Final Cup Cup Crypto Stock")</f>
        <v>All All Final Cup Cup Crypto Stock</v>
      </c>
    </row>
    <row r="4253" ht="15.75" customHeight="1">
      <c r="A4253" s="1">
        <v>4296.0</v>
      </c>
      <c r="B4253" s="3" t="s">
        <v>12171</v>
      </c>
      <c r="C4253" s="3">
        <v>2.0</v>
      </c>
      <c r="D4253" s="3">
        <v>0.0</v>
      </c>
      <c r="E4253" s="3">
        <v>2.0</v>
      </c>
      <c r="F4253" s="3" t="s">
        <v>12172</v>
      </c>
      <c r="G4253" s="3">
        <v>1.0</v>
      </c>
      <c r="H4253" s="3">
        <v>0.0</v>
      </c>
      <c r="I4253" s="3" t="s">
        <v>13</v>
      </c>
      <c r="J4253" s="3" t="s">
        <v>12173</v>
      </c>
      <c r="K4253" s="3" t="s">
        <v>1518</v>
      </c>
      <c r="L4253" s="3" t="str">
        <f>IFERROR(__xludf.DUMMYFUNCTION("GOOGLETRANSLATE(F4253,""id"",""en"")"),"It hasn't been a long time ago because there happened to be Pee Wee Gaskins and Nobar, the World Cup Final, I saw the troops, I didn't know if there")</f>
        <v>It hasn't been a long time ago because there happened to be Pee Wee Gaskins and Nobar, the World Cup Final, I saw the troops, I didn't know if there</v>
      </c>
    </row>
    <row r="4254" ht="15.75" customHeight="1">
      <c r="A4254" s="1">
        <v>4297.0</v>
      </c>
      <c r="B4254" s="3" t="s">
        <v>12174</v>
      </c>
      <c r="C4254" s="3">
        <v>0.0</v>
      </c>
      <c r="D4254" s="3">
        <v>0.0</v>
      </c>
      <c r="E4254" s="3">
        <v>0.0</v>
      </c>
      <c r="F4254" s="3" t="s">
        <v>12175</v>
      </c>
      <c r="G4254" s="3">
        <v>1.0</v>
      </c>
      <c r="H4254" s="3">
        <v>0.0</v>
      </c>
      <c r="I4254" s="3" t="s">
        <v>13</v>
      </c>
      <c r="J4254" s="3" t="s">
        <v>12176</v>
      </c>
      <c r="K4254" s="3" t="s">
        <v>71</v>
      </c>
      <c r="L4254" s="3" t="str">
        <f>IFERROR(__xludf.DUMMYFUNCTION("GOOGLETRANSLATE(F4254,""id"",""en"")"),"Guaranteed to stay focused like this is a safe way to be productive even though I stay up late watching the World Cup final")</f>
        <v>Guaranteed to stay focused like this is a safe way to be productive even though I stay up late watching the World Cup final</v>
      </c>
    </row>
    <row r="4255" ht="15.75" customHeight="1">
      <c r="A4255" s="1">
        <v>4298.0</v>
      </c>
      <c r="B4255" s="3" t="s">
        <v>12177</v>
      </c>
      <c r="C4255" s="3">
        <v>0.0</v>
      </c>
      <c r="D4255" s="3">
        <v>0.0</v>
      </c>
      <c r="E4255" s="3">
        <v>0.0</v>
      </c>
      <c r="F4255" s="3" t="s">
        <v>12178</v>
      </c>
      <c r="G4255" s="3">
        <v>1.0</v>
      </c>
      <c r="H4255" s="3">
        <v>0.0</v>
      </c>
      <c r="I4255" s="3" t="s">
        <v>13</v>
      </c>
      <c r="J4255" s="3" t="s">
        <v>12179</v>
      </c>
      <c r="K4255" s="3" t="s">
        <v>127</v>
      </c>
      <c r="L4255" s="3" t="str">
        <f>IFERROR(__xludf.DUMMYFUNCTION("GOOGLETRANSLATE(F4255,""id"",""en"")"),"Look at the French player kick when the extra time is the second minute of the oxygen world cup final in the blood.")</f>
        <v>Look at the French player kick when the extra time is the second minute of the oxygen world cup final in the blood.</v>
      </c>
    </row>
    <row r="4256" ht="15.75" customHeight="1">
      <c r="A4256" s="1">
        <v>4299.0</v>
      </c>
      <c r="B4256" s="3" t="s">
        <v>12180</v>
      </c>
      <c r="C4256" s="3">
        <v>0.0</v>
      </c>
      <c r="D4256" s="3">
        <v>0.0</v>
      </c>
      <c r="E4256" s="3">
        <v>0.0</v>
      </c>
      <c r="F4256" s="3" t="s">
        <v>12181</v>
      </c>
      <c r="G4256" s="3">
        <v>1.0</v>
      </c>
      <c r="H4256" s="3">
        <v>0.0</v>
      </c>
      <c r="I4256" s="3" t="s">
        <v>13</v>
      </c>
      <c r="J4256" s="3" t="s">
        <v>12182</v>
      </c>
      <c r="K4256" s="3" t="s">
        <v>644</v>
      </c>
      <c r="L4256" s="3" t="str">
        <f>IFERROR(__xludf.DUMMYFUNCTION("GOOGLETRANSLATE(F4256,""id"",""en"")"),"World Cup Final Highlights")</f>
        <v>World Cup Final Highlights</v>
      </c>
    </row>
    <row r="4257" ht="15.75" customHeight="1">
      <c r="A4257" s="1">
        <v>4300.0</v>
      </c>
      <c r="B4257" s="3" t="s">
        <v>12183</v>
      </c>
      <c r="C4257" s="3">
        <v>0.0</v>
      </c>
      <c r="D4257" s="3">
        <v>0.0</v>
      </c>
      <c r="E4257" s="3">
        <v>0.0</v>
      </c>
      <c r="F4257" s="3" t="s">
        <v>12184</v>
      </c>
      <c r="G4257" s="3">
        <v>1.0</v>
      </c>
      <c r="H4257" s="3">
        <v>0.0</v>
      </c>
      <c r="I4257" s="3" t="s">
        <v>13</v>
      </c>
      <c r="J4257" s="3" t="s">
        <v>12185</v>
      </c>
      <c r="K4257" s="3" t="s">
        <v>71</v>
      </c>
      <c r="L4257" s="3" t="str">
        <f>IFERROR(__xludf.DUMMYFUNCTION("GOOGLETRANSLATE(F4257,""id"",""en"")"),"even though it's already the day but still thinking of the final world cup yesterday the game Mbappe Messi is really cool")</f>
        <v>even though it's already the day but still thinking of the final world cup yesterday the game Mbappe Messi is really cool</v>
      </c>
    </row>
    <row r="4258" ht="15.75" customHeight="1">
      <c r="A4258" s="1">
        <v>4301.0</v>
      </c>
      <c r="B4258" s="3" t="s">
        <v>12186</v>
      </c>
      <c r="C4258" s="3">
        <v>0.0</v>
      </c>
      <c r="D4258" s="3">
        <v>0.0</v>
      </c>
      <c r="E4258" s="3">
        <v>0.0</v>
      </c>
      <c r="F4258" s="3" t="s">
        <v>12187</v>
      </c>
      <c r="G4258" s="3">
        <v>1.0</v>
      </c>
      <c r="H4258" s="3">
        <v>0.0</v>
      </c>
      <c r="I4258" s="3" t="s">
        <v>13</v>
      </c>
      <c r="J4258" s="3" t="s">
        <v>12188</v>
      </c>
      <c r="K4258" s="3" t="s">
        <v>477</v>
      </c>
      <c r="L4258" s="3" t="str">
        <f>IFERROR(__xludf.DUMMYFUNCTION("GOOGLETRANSLATE(F4258,""id"",""en"")"),"grateful to be able to see the final and see Messi lifting the World Cup")</f>
        <v>grateful to be able to see the final and see Messi lifting the World Cup</v>
      </c>
    </row>
    <row r="4259" ht="15.75" customHeight="1">
      <c r="A4259" s="1">
        <v>4302.0</v>
      </c>
      <c r="B4259" s="3" t="s">
        <v>12189</v>
      </c>
      <c r="C4259" s="3">
        <v>0.0</v>
      </c>
      <c r="D4259" s="3">
        <v>0.0</v>
      </c>
      <c r="E4259" s="3">
        <v>0.0</v>
      </c>
      <c r="F4259" s="3" t="s">
        <v>11873</v>
      </c>
      <c r="G4259" s="3">
        <v>1.0</v>
      </c>
      <c r="H4259" s="3">
        <v>0.0</v>
      </c>
      <c r="I4259" s="3" t="s">
        <v>13</v>
      </c>
      <c r="J4259" s="3" t="s">
        <v>11874</v>
      </c>
      <c r="K4259" s="3" t="s">
        <v>127</v>
      </c>
      <c r="L4259" s="3" t="str">
        <f>IFERROR(__xludf.DUMMYFUNCTION("GOOGLETRANSLATE(F4259,""id"",""en"")"),"French French Goals Scorer World Cup Answer Zinedine Zidane Emmanuel Petit Let's follow Bestie Don't forget to follow")</f>
        <v>French French Goals Scorer World Cup Answer Zinedine Zidane Emmanuel Petit Let's follow Bestie Don't forget to follow</v>
      </c>
    </row>
    <row r="4260" ht="15.75" customHeight="1">
      <c r="A4260" s="1">
        <v>4303.0</v>
      </c>
      <c r="B4260" s="3" t="s">
        <v>12190</v>
      </c>
      <c r="C4260" s="3">
        <v>0.0</v>
      </c>
      <c r="D4260" s="3">
        <v>0.0</v>
      </c>
      <c r="E4260" s="3">
        <v>0.0</v>
      </c>
      <c r="F4260" s="3" t="s">
        <v>12191</v>
      </c>
      <c r="G4260" s="3">
        <v>1.0</v>
      </c>
      <c r="H4260" s="3">
        <v>0.0</v>
      </c>
      <c r="I4260" s="3" t="s">
        <v>13</v>
      </c>
      <c r="J4260" s="3" t="s">
        <v>12192</v>
      </c>
      <c r="K4260" s="3" t="s">
        <v>15</v>
      </c>
      <c r="L4260" s="3" t="str">
        <f>IFERROR(__xludf.DUMMYFUNCTION("GOOGLETRANSLATE(F4260,""id"",""en"")"),"Raphael Varane admits affected by the virus in the World Cup final")</f>
        <v>Raphael Varane admits affected by the virus in the World Cup final</v>
      </c>
    </row>
    <row r="4261" ht="15.75" customHeight="1">
      <c r="A4261" s="1">
        <v>4304.0</v>
      </c>
      <c r="B4261" s="3" t="s">
        <v>12193</v>
      </c>
      <c r="C4261" s="3">
        <v>0.0</v>
      </c>
      <c r="D4261" s="3">
        <v>0.0</v>
      </c>
      <c r="E4261" s="3">
        <v>0.0</v>
      </c>
      <c r="F4261" s="3" t="s">
        <v>12194</v>
      </c>
      <c r="G4261" s="3">
        <v>1.0</v>
      </c>
      <c r="H4261" s="3">
        <v>0.0</v>
      </c>
      <c r="I4261" s="3" t="s">
        <v>13</v>
      </c>
      <c r="J4261" s="3" t="s">
        <v>12195</v>
      </c>
      <c r="K4261" s="3" t="s">
        <v>27</v>
      </c>
      <c r="L4261" s="3" t="str">
        <f>IFERROR(__xludf.DUMMYFUNCTION("GOOGLETRANSLATE(F4261,""id"",""en"")"),"Lionel Messi apparently used his lucky amulet during the World Cup final match against France the results were also effective because Argentina was able to win the match and lined up as world champion")</f>
        <v>Lionel Messi apparently used his lucky amulet during the World Cup final match against France the results were also effective because Argentina was able to win the match and lined up as world champion</v>
      </c>
    </row>
    <row r="4262" ht="15.75" customHeight="1">
      <c r="A4262" s="1">
        <v>4305.0</v>
      </c>
      <c r="B4262" s="3" t="s">
        <v>12196</v>
      </c>
      <c r="C4262" s="3">
        <v>0.0</v>
      </c>
      <c r="D4262" s="3">
        <v>0.0</v>
      </c>
      <c r="E4262" s="3">
        <v>2.0</v>
      </c>
      <c r="F4262" s="3" t="s">
        <v>12197</v>
      </c>
      <c r="G4262" s="3">
        <v>1.0</v>
      </c>
      <c r="H4262" s="3">
        <v>0.0</v>
      </c>
      <c r="I4262" s="3" t="s">
        <v>13</v>
      </c>
      <c r="J4262" s="3" t="s">
        <v>12198</v>
      </c>
      <c r="K4262" s="3" t="s">
        <v>19</v>
      </c>
      <c r="L4262" s="3" t="str">
        <f>IFERROR(__xludf.DUMMYFUNCTION("GOOGLETRANSLATE(F4262,""id"",""en"")"),"an ugly test can be the final world cup final when it hasn't been alive")</f>
        <v>an ugly test can be the final world cup final when it hasn't been alive</v>
      </c>
    </row>
    <row r="4263" ht="15.75" customHeight="1">
      <c r="A4263" s="1">
        <v>4306.0</v>
      </c>
      <c r="B4263" s="3" t="s">
        <v>12199</v>
      </c>
      <c r="C4263" s="3">
        <v>0.0</v>
      </c>
      <c r="D4263" s="3">
        <v>0.0</v>
      </c>
      <c r="E4263" s="3">
        <v>1.0</v>
      </c>
      <c r="F4263" s="3" t="s">
        <v>12200</v>
      </c>
      <c r="G4263" s="3">
        <v>0.5</v>
      </c>
      <c r="H4263" s="3">
        <v>0.2142857142857143</v>
      </c>
      <c r="I4263" s="3" t="s">
        <v>48</v>
      </c>
      <c r="J4263" s="3" t="s">
        <v>12201</v>
      </c>
      <c r="K4263" s="3" t="s">
        <v>1628</v>
      </c>
      <c r="L4263" s="3" t="str">
        <f>IFERROR(__xludf.DUMMYFUNCTION("GOOGLETRANSLATE(F4263,""id"",""en"")"),"Associated Portugal when Pure was carried by Babang Apes Apes Babang in the era he hadn't mateng Mateng Portuguese squad again good at the achievement of the World Cup only the semifinalist right")</f>
        <v>Associated Portugal when Pure was carried by Babang Apes Apes Babang in the era he hadn't mateng Mateng Portuguese squad again good at the achievement of the World Cup only the semifinalist right</v>
      </c>
    </row>
    <row r="4264" ht="15.75" customHeight="1">
      <c r="A4264" s="1">
        <v>4307.0</v>
      </c>
      <c r="B4264" s="3" t="s">
        <v>12202</v>
      </c>
      <c r="C4264" s="3">
        <v>0.0</v>
      </c>
      <c r="D4264" s="3">
        <v>0.0</v>
      </c>
      <c r="E4264" s="3">
        <v>0.0</v>
      </c>
      <c r="F4264" s="3" t="s">
        <v>12203</v>
      </c>
      <c r="G4264" s="3">
        <v>1.0</v>
      </c>
      <c r="H4264" s="3">
        <v>0.0</v>
      </c>
      <c r="I4264" s="3" t="s">
        <v>13</v>
      </c>
      <c r="J4264" s="3" t="s">
        <v>12204</v>
      </c>
      <c r="K4264" s="3" t="s">
        <v>2215</v>
      </c>
      <c r="L4264" s="3" t="str">
        <f>IFERROR(__xludf.DUMMYFUNCTION("GOOGLETRANSLATE(F4264,""id"",""en"")"),"The World Cup has reached its peak tonight we will be presented with the final and ceremonial closing of the Qatar World Cup Happy Nobar")</f>
        <v>The World Cup has reached its peak tonight we will be presented with the final and ceremonial closing of the Qatar World Cup Happy Nobar</v>
      </c>
    </row>
    <row r="4265" ht="15.75" customHeight="1">
      <c r="A4265" s="1">
        <v>4308.0</v>
      </c>
      <c r="B4265" s="3" t="s">
        <v>12205</v>
      </c>
      <c r="C4265" s="3">
        <v>0.0</v>
      </c>
      <c r="D4265" s="3">
        <v>0.0</v>
      </c>
      <c r="E4265" s="3">
        <v>0.0</v>
      </c>
      <c r="F4265" s="3" t="s">
        <v>12206</v>
      </c>
      <c r="G4265" s="3">
        <v>1.0</v>
      </c>
      <c r="H4265" s="3">
        <v>0.0</v>
      </c>
      <c r="I4265" s="3" t="s">
        <v>13</v>
      </c>
      <c r="J4265" s="3" t="s">
        <v>12207</v>
      </c>
      <c r="K4265" s="3" t="s">
        <v>244</v>
      </c>
      <c r="L4265" s="3" t="str">
        <f>IFERROR(__xludf.DUMMYFUNCTION("GOOGLETRANSLATE(F4265,""id"",""en"")"),"The World Cup Final Unfortunately he was injured by a hobby player to the Final Rich Final")</f>
        <v>The World Cup Final Unfortunately he was injured by a hobby player to the Final Rich Final</v>
      </c>
    </row>
    <row r="4266" ht="15.75" customHeight="1">
      <c r="A4266" s="1">
        <v>4309.0</v>
      </c>
      <c r="B4266" s="3" t="s">
        <v>12208</v>
      </c>
      <c r="C4266" s="3">
        <v>0.0</v>
      </c>
      <c r="D4266" s="3">
        <v>0.0</v>
      </c>
      <c r="E4266" s="3">
        <v>2.0</v>
      </c>
      <c r="F4266" s="3" t="s">
        <v>12209</v>
      </c>
      <c r="G4266" s="3">
        <v>1.0</v>
      </c>
      <c r="H4266" s="3">
        <v>0.0</v>
      </c>
      <c r="I4266" s="3" t="s">
        <v>13</v>
      </c>
      <c r="J4266" s="3" t="s">
        <v>12210</v>
      </c>
      <c r="K4266" s="3" t="s">
        <v>1652</v>
      </c>
      <c r="L4266" s="3" t="str">
        <f>IFERROR(__xludf.DUMMYFUNCTION("GOOGLETRANSLATE(F4266,""id"",""en"")"),"Motm Award for Messi World Cup Motm Mexico Round of preliminary Australian Motm Motm Big Motm Dutch Motm Motm Croatia Semifinal Motm France Final Final")</f>
        <v>Motm Award for Messi World Cup Motm Mexico Round of preliminary Australian Motm Motm Big Motm Dutch Motm Motm Croatia Semifinal Motm France Final Final</v>
      </c>
    </row>
    <row r="4267" ht="15.75" customHeight="1">
      <c r="A4267" s="1">
        <v>4310.0</v>
      </c>
      <c r="B4267" s="3" t="s">
        <v>12211</v>
      </c>
      <c r="C4267" s="3">
        <v>0.0</v>
      </c>
      <c r="D4267" s="3">
        <v>1.0</v>
      </c>
      <c r="E4267" s="3">
        <v>13.0</v>
      </c>
      <c r="F4267" s="3" t="s">
        <v>12212</v>
      </c>
      <c r="G4267" s="3">
        <v>1.0</v>
      </c>
      <c r="H4267" s="3">
        <v>0.0</v>
      </c>
      <c r="I4267" s="3" t="s">
        <v>13</v>
      </c>
      <c r="J4267" s="3" t="s">
        <v>12213</v>
      </c>
      <c r="K4267" s="3" t="s">
        <v>127</v>
      </c>
      <c r="L4267" s="3" t="str">
        <f>IFERROR(__xludf.DUMMYFUNCTION("GOOGLETRANSLATE(F4267,""id"",""en"")"),"The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268" ht="15.75" customHeight="1">
      <c r="A4268" s="1">
        <v>4311.0</v>
      </c>
      <c r="B4268" s="3" t="s">
        <v>12214</v>
      </c>
      <c r="C4268" s="3">
        <v>1.0</v>
      </c>
      <c r="D4268" s="3">
        <v>0.0</v>
      </c>
      <c r="E4268" s="3">
        <v>0.0</v>
      </c>
      <c r="F4268" s="3" t="s">
        <v>12215</v>
      </c>
      <c r="G4268" s="3">
        <v>1.0</v>
      </c>
      <c r="H4268" s="3">
        <v>0.0</v>
      </c>
      <c r="I4268" s="3" t="s">
        <v>13</v>
      </c>
      <c r="J4268" s="3" t="s">
        <v>12216</v>
      </c>
      <c r="K4268" s="3" t="s">
        <v>657</v>
      </c>
      <c r="L4268" s="3" t="str">
        <f>IFERROR(__xludf.DUMMYFUNCTION("GOOGLETRANSLATE(F4268,""id"",""en"")"),"The figure of Antonella Roccuzzo was in the spotlight when Argentina met French French World Cup on Monday early morning hrs")</f>
        <v>The figure of Antonella Roccuzzo was in the spotlight when Argentina met French French World Cup on Monday early morning hrs</v>
      </c>
    </row>
    <row r="4269" ht="15.75" customHeight="1">
      <c r="A4269" s="1">
        <v>4312.0</v>
      </c>
      <c r="B4269" s="3" t="s">
        <v>12217</v>
      </c>
      <c r="C4269" s="3">
        <v>0.0</v>
      </c>
      <c r="D4269" s="3">
        <v>1.0</v>
      </c>
      <c r="E4269" s="3">
        <v>2.0</v>
      </c>
      <c r="F4269" s="3" t="s">
        <v>12218</v>
      </c>
      <c r="G4269" s="3">
        <v>1.0</v>
      </c>
      <c r="H4269" s="3">
        <v>0.0</v>
      </c>
      <c r="I4269" s="3" t="s">
        <v>13</v>
      </c>
      <c r="J4269" s="3" t="s">
        <v>12219</v>
      </c>
      <c r="K4269" s="3" t="s">
        <v>574</v>
      </c>
      <c r="L4269" s="3" t="str">
        <f>IFERROR(__xludf.DUMMYFUNCTION("GOOGLETRANSLATE(F4269,""id"",""en"")"),"The World Cup title this time was the third time for and the year of waiting for the Argentine people after the year and thanks to the penalty shootout Messi won against Mbappe in the final match on Sunday Seconds")</f>
        <v>The World Cup title this time was the third time for and the year of waiting for the Argentine people after the year and thanks to the penalty shootout Messi won against Mbappe in the final match on Sunday Seconds</v>
      </c>
    </row>
    <row r="4270" ht="15.75" customHeight="1">
      <c r="A4270" s="1">
        <v>4313.0</v>
      </c>
      <c r="B4270" s="3" t="s">
        <v>12220</v>
      </c>
      <c r="C4270" s="3">
        <v>0.0</v>
      </c>
      <c r="D4270" s="3">
        <v>0.0</v>
      </c>
      <c r="E4270" s="3">
        <v>0.0</v>
      </c>
      <c r="F4270" s="3" t="s">
        <v>12221</v>
      </c>
      <c r="G4270" s="3">
        <v>1.0</v>
      </c>
      <c r="H4270" s="3">
        <v>0.0</v>
      </c>
      <c r="I4270" s="3" t="s">
        <v>13</v>
      </c>
      <c r="J4270" s="3" t="s">
        <v>12222</v>
      </c>
      <c r="K4270" s="3" t="s">
        <v>71</v>
      </c>
      <c r="L4270" s="3" t="str">
        <f>IFERROR(__xludf.DUMMYFUNCTION("GOOGLETRANSLATE(F4270,""id"",""en"")"),"Deepika Padukone brought the World Cup trophy ahead of the final between Argentina and France Lusail Stadium Doha Qatar")</f>
        <v>Deepika Padukone brought the World Cup trophy ahead of the final between Argentina and France Lusail Stadium Doha Qatar</v>
      </c>
    </row>
    <row r="4271" ht="15.75" customHeight="1">
      <c r="A4271" s="1">
        <v>4314.0</v>
      </c>
      <c r="B4271" s="3" t="s">
        <v>12223</v>
      </c>
      <c r="C4271" s="3">
        <v>0.0</v>
      </c>
      <c r="D4271" s="3">
        <v>0.0</v>
      </c>
      <c r="E4271" s="3">
        <v>0.0</v>
      </c>
      <c r="F4271" s="3" t="s">
        <v>11475</v>
      </c>
      <c r="G4271" s="3">
        <v>1.0</v>
      </c>
      <c r="H4271" s="3">
        <v>0.0</v>
      </c>
      <c r="I4271" s="3" t="s">
        <v>13</v>
      </c>
      <c r="J4271" s="3" t="s">
        <v>11476</v>
      </c>
      <c r="K4271" s="3" t="s">
        <v>491</v>
      </c>
      <c r="L4271" s="3" t="str">
        <f>IFERROR(__xludf.DUMMYFUNCTION("GOOGLETRANSLATE(F4271,""id"",""en"")"),"Ready to attend Nobar Night of the Qatar World Cup Final Night Kakanwil Faisol Ali Jagan French West Sulawesi Faisol Ali")</f>
        <v>Ready to attend Nobar Night of the Qatar World Cup Final Night Kakanwil Faisol Ali Jagan French West Sulawesi Faisol Ali</v>
      </c>
    </row>
    <row r="4272" ht="15.75" customHeight="1">
      <c r="A4272" s="1">
        <v>4315.0</v>
      </c>
      <c r="B4272" s="3" t="s">
        <v>12224</v>
      </c>
      <c r="C4272" s="3">
        <v>0.0</v>
      </c>
      <c r="D4272" s="3">
        <v>0.0</v>
      </c>
      <c r="E4272" s="3">
        <v>0.0</v>
      </c>
      <c r="F4272" s="3" t="s">
        <v>11475</v>
      </c>
      <c r="G4272" s="3">
        <v>1.0</v>
      </c>
      <c r="H4272" s="3">
        <v>0.0</v>
      </c>
      <c r="I4272" s="3" t="s">
        <v>13</v>
      </c>
      <c r="J4272" s="3" t="s">
        <v>11476</v>
      </c>
      <c r="K4272" s="3" t="s">
        <v>491</v>
      </c>
      <c r="L4272" s="3" t="str">
        <f>IFERROR(__xludf.DUMMYFUNCTION("GOOGLETRANSLATE(F4272,""id"",""en"")"),"Ready to attend Nobar Night of the Qatar World Cup Final Night Kakanwil Faisol Ali Jagan French West Sulawesi Faisol Ali")</f>
        <v>Ready to attend Nobar Night of the Qatar World Cup Final Night Kakanwil Faisol Ali Jagan French West Sulawesi Faisol Ali</v>
      </c>
    </row>
    <row r="4273" ht="15.75" customHeight="1">
      <c r="A4273" s="1">
        <v>4316.0</v>
      </c>
      <c r="B4273" s="3" t="s">
        <v>12225</v>
      </c>
      <c r="C4273" s="3">
        <v>0.0</v>
      </c>
      <c r="D4273" s="3">
        <v>0.0</v>
      </c>
      <c r="E4273" s="3">
        <v>0.0</v>
      </c>
      <c r="F4273" s="3" t="s">
        <v>12226</v>
      </c>
      <c r="G4273" s="3">
        <v>0.75</v>
      </c>
      <c r="H4273" s="3">
        <v>0.25</v>
      </c>
      <c r="I4273" s="3" t="s">
        <v>48</v>
      </c>
      <c r="J4273" s="3" t="s">
        <v>12227</v>
      </c>
      <c r="K4273" s="3" t="s">
        <v>50</v>
      </c>
      <c r="L4273" s="3" t="str">
        <f>IFERROR(__xludf.DUMMYFUNCTION("GOOGLETRANSLATE(F4273,""id"",""en"")"),"So this top scorer is a row of ciamik kylian mbappe world cup finals")</f>
        <v>So this top scorer is a row of ciamik kylian mbappe world cup finals</v>
      </c>
    </row>
    <row r="4274" ht="15.75" customHeight="1">
      <c r="A4274" s="1">
        <v>4317.0</v>
      </c>
      <c r="B4274" s="3" t="s">
        <v>12228</v>
      </c>
      <c r="C4274" s="3">
        <v>0.0</v>
      </c>
      <c r="D4274" s="3">
        <v>1.0</v>
      </c>
      <c r="E4274" s="3">
        <v>1.0</v>
      </c>
      <c r="F4274" s="3" t="s">
        <v>12229</v>
      </c>
      <c r="G4274" s="3">
        <v>1.0</v>
      </c>
      <c r="H4274" s="3">
        <v>0.0</v>
      </c>
      <c r="I4274" s="3" t="s">
        <v>13</v>
      </c>
      <c r="J4274" s="3" t="s">
        <v>12230</v>
      </c>
      <c r="K4274" s="3" t="s">
        <v>19</v>
      </c>
      <c r="L4274" s="3" t="str">
        <f>IFERROR(__xludf.DUMMYFUNCTION("GOOGLETRANSLATE(F4274,""id"",""en"")"),"There is a unique view when handing over the Lionel Messi World Cup Final trophy wearing an Arabic robe")</f>
        <v>There is a unique view when handing over the Lionel Messi World Cup Final trophy wearing an Arabic robe</v>
      </c>
    </row>
    <row r="4275" ht="15.75" customHeight="1">
      <c r="A4275" s="1">
        <v>4318.0</v>
      </c>
      <c r="B4275" s="3" t="s">
        <v>12231</v>
      </c>
      <c r="C4275" s="3">
        <v>0.0</v>
      </c>
      <c r="D4275" s="3">
        <v>0.0</v>
      </c>
      <c r="E4275" s="3">
        <v>0.0</v>
      </c>
      <c r="F4275" s="3" t="s">
        <v>12232</v>
      </c>
      <c r="G4275" s="3">
        <v>1.0</v>
      </c>
      <c r="H4275" s="3">
        <v>0.0</v>
      </c>
      <c r="I4275" s="3" t="s">
        <v>13</v>
      </c>
      <c r="J4275" s="3" t="s">
        <v>12233</v>
      </c>
      <c r="K4275" s="3" t="s">
        <v>1479</v>
      </c>
      <c r="L4275" s="3" t="str">
        <f>IFERROR(__xludf.DUMMYFUNCTION("GOOGLETRANSLATE(F4275,""id"",""en"")"),"The number of Argentine French World Cup final television viewers estimates Argentina million French Million Albiceleste")</f>
        <v>The number of Argentine French World Cup final television viewers estimates Argentina million French Million Albiceleste</v>
      </c>
    </row>
    <row r="4276" ht="15.75" customHeight="1">
      <c r="A4276" s="1">
        <v>4319.0</v>
      </c>
      <c r="B4276" s="3" t="s">
        <v>12234</v>
      </c>
      <c r="C4276" s="3">
        <v>0.0</v>
      </c>
      <c r="D4276" s="3">
        <v>0.0</v>
      </c>
      <c r="E4276" s="3">
        <v>0.0</v>
      </c>
      <c r="F4276" s="3" t="s">
        <v>12235</v>
      </c>
      <c r="G4276" s="3">
        <v>1.0</v>
      </c>
      <c r="H4276" s="3">
        <v>0.0</v>
      </c>
      <c r="I4276" s="3" t="s">
        <v>13</v>
      </c>
      <c r="J4276" s="3" t="s">
        <v>12236</v>
      </c>
      <c r="K4276" s="3" t="s">
        <v>603</v>
      </c>
      <c r="L4276" s="3" t="str">
        <f>IFERROR(__xludf.DUMMYFUNCTION("GOOGLETRANSLATE(F4276,""id"",""en"")"),"The World Cup has reached its peak tonight, we will be presented with the final and ceremonial closing of the Qatar World Cup to bring Argentina and France to compete for the title")</f>
        <v>The World Cup has reached its peak tonight, we will be presented with the final and ceremonial closing of the Qatar World Cup to bring Argentina and France to compete for the title</v>
      </c>
    </row>
    <row r="4277" ht="15.75" customHeight="1">
      <c r="A4277" s="1">
        <v>4320.0</v>
      </c>
      <c r="B4277" s="3" t="s">
        <v>12237</v>
      </c>
      <c r="C4277" s="3">
        <v>0.0</v>
      </c>
      <c r="D4277" s="3">
        <v>0.0</v>
      </c>
      <c r="E4277" s="3">
        <v>0.0</v>
      </c>
      <c r="F4277" s="3" t="s">
        <v>12238</v>
      </c>
      <c r="G4277" s="3">
        <v>1.0</v>
      </c>
      <c r="H4277" s="3">
        <v>0.0</v>
      </c>
      <c r="I4277" s="3" t="s">
        <v>13</v>
      </c>
      <c r="J4277" s="3" t="s">
        <v>12239</v>
      </c>
      <c r="K4277" s="3" t="s">
        <v>1518</v>
      </c>
      <c r="L4277" s="3" t="str">
        <f>IFERROR(__xludf.DUMMYFUNCTION("GOOGLETRANSLATE(F4277,""id"",""en"")"),"outside of the pros and cons of the traditional Arab Bisht robe used by Lionel Messi when lifting the World Cup Trophy sold Qatar one day after the final match")</f>
        <v>outside of the pros and cons of the traditional Arab Bisht robe used by Lionel Messi when lifting the World Cup Trophy sold Qatar one day after the final match</v>
      </c>
    </row>
    <row r="4278" ht="15.75" customHeight="1">
      <c r="A4278" s="1">
        <v>4321.0</v>
      </c>
      <c r="B4278" s="3" t="s">
        <v>12240</v>
      </c>
      <c r="C4278" s="3">
        <v>0.0</v>
      </c>
      <c r="D4278" s="3">
        <v>0.0</v>
      </c>
      <c r="E4278" s="3">
        <v>0.0</v>
      </c>
      <c r="F4278" s="3" t="s">
        <v>12241</v>
      </c>
      <c r="G4278" s="3">
        <v>1.0</v>
      </c>
      <c r="H4278" s="3">
        <v>0.0</v>
      </c>
      <c r="I4278" s="3" t="s">
        <v>13</v>
      </c>
      <c r="J4278" s="3" t="s">
        <v>12242</v>
      </c>
      <c r="K4278" s="3" t="s">
        <v>58</v>
      </c>
      <c r="L4278" s="3" t="str">
        <f>IFERROR(__xludf.DUMMYFUNCTION("GOOGLETRANSLATE(F4278,""id"",""en"")"),"Croatia The population is not up to millions but enter the semifinal final if from the World Cup Final population should be Indian China")</f>
        <v>Croatia The population is not up to millions but enter the semifinal final if from the World Cup Final population should be Indian China</v>
      </c>
    </row>
    <row r="4279" ht="15.75" customHeight="1">
      <c r="A4279" s="1">
        <v>4322.0</v>
      </c>
      <c r="B4279" s="3" t="s">
        <v>12243</v>
      </c>
      <c r="C4279" s="3">
        <v>0.0</v>
      </c>
      <c r="D4279" s="3">
        <v>0.0</v>
      </c>
      <c r="E4279" s="3">
        <v>0.0</v>
      </c>
      <c r="F4279" s="3" t="s">
        <v>12244</v>
      </c>
      <c r="G4279" s="3">
        <v>1.0</v>
      </c>
      <c r="H4279" s="3">
        <v>0.0</v>
      </c>
      <c r="I4279" s="3" t="s">
        <v>13</v>
      </c>
      <c r="J4279" s="3" t="s">
        <v>12245</v>
      </c>
      <c r="K4279" s="3" t="s">
        <v>19</v>
      </c>
      <c r="L4279" s="3" t="str">
        <f>IFERROR(__xludf.DUMMYFUNCTION("GOOGLETRANSLATE(F4279,""id"",""en"")"),"Anticipate the convoy in the World Cup Final Match Team Patrol Precision Standpling until Morning")</f>
        <v>Anticipate the convoy in the World Cup Final Match Team Patrol Precision Standpling until Morning</v>
      </c>
    </row>
    <row r="4280" ht="15.75" customHeight="1">
      <c r="A4280" s="1">
        <v>4323.0</v>
      </c>
      <c r="B4280" s="3" t="s">
        <v>12246</v>
      </c>
      <c r="C4280" s="3">
        <v>0.0</v>
      </c>
      <c r="D4280" s="3">
        <v>0.0</v>
      </c>
      <c r="E4280" s="3">
        <v>4.0</v>
      </c>
      <c r="F4280" s="3" t="s">
        <v>12247</v>
      </c>
      <c r="G4280" s="3">
        <v>1.0</v>
      </c>
      <c r="H4280" s="3">
        <v>0.0</v>
      </c>
      <c r="I4280" s="3" t="s">
        <v>13</v>
      </c>
      <c r="J4280" s="3" t="s">
        <v>12248</v>
      </c>
      <c r="K4280" s="3" t="s">
        <v>1628</v>
      </c>
      <c r="L4280" s="3" t="str">
        <f>IFERROR(__xludf.DUMMYFUNCTION("GOOGLETRANSLATE(F4280,""id"",""en"")"),"They have no comments about CWIT, but the era of Pak Jokowi Lionel Messi is able to bring Argentina to the World Cup champion and Marocco is able to penetrate the semi -finals of the World Cup")</f>
        <v>They have no comments about CWIT, but the era of Pak Jokowi Lionel Messi is able to bring Argentina to the World Cup champion and Marocco is able to penetrate the semi -finals of the World Cup</v>
      </c>
    </row>
    <row r="4281" ht="15.75" customHeight="1">
      <c r="A4281" s="1">
        <v>4324.0</v>
      </c>
      <c r="B4281" s="3" t="s">
        <v>12249</v>
      </c>
      <c r="C4281" s="3">
        <v>0.0</v>
      </c>
      <c r="D4281" s="3">
        <v>0.0</v>
      </c>
      <c r="E4281" s="3">
        <v>0.0</v>
      </c>
      <c r="F4281" s="3" t="s">
        <v>12250</v>
      </c>
      <c r="G4281" s="3">
        <v>1.0</v>
      </c>
      <c r="H4281" s="3">
        <v>0.0</v>
      </c>
      <c r="I4281" s="3" t="s">
        <v>13</v>
      </c>
      <c r="J4281" s="3" t="s">
        <v>12251</v>
      </c>
      <c r="K4281" s="3" t="s">
        <v>910</v>
      </c>
      <c r="L4281" s="3" t="str">
        <f>IFERROR(__xludf.DUMMYFUNCTION("GOOGLETRANSLATE(F4281,""id"",""en"")"),"The Hattrick of Argentina's goal is not enough to deliver France to defend the Kylian Mbappe World Cup trophy to appear as a star in the final match that night but its rays are losing brightly the appeal of Lionel Messi and friends of the French national "&amp;"team striker")</f>
        <v>The Hattrick of Argentina's goal is not enough to deliver France to defend the Kylian Mbappe World Cup trophy to appear as a star in the final match that night but its rays are losing brightly the appeal of Lionel Messi and friends of the French national team striker</v>
      </c>
    </row>
    <row r="4282" ht="15.75" customHeight="1">
      <c r="A4282" s="1">
        <v>4325.0</v>
      </c>
      <c r="B4282" s="3" t="s">
        <v>12252</v>
      </c>
      <c r="C4282" s="3">
        <v>0.0</v>
      </c>
      <c r="D4282" s="3">
        <v>0.0</v>
      </c>
      <c r="E4282" s="3">
        <v>0.0</v>
      </c>
      <c r="F4282" s="3" t="s">
        <v>12253</v>
      </c>
      <c r="G4282" s="3">
        <v>1.0</v>
      </c>
      <c r="H4282" s="3">
        <v>0.0</v>
      </c>
      <c r="I4282" s="3" t="s">
        <v>13</v>
      </c>
      <c r="J4282" s="3" t="s">
        <v>12254</v>
      </c>
      <c r="K4282" s="3" t="s">
        <v>19</v>
      </c>
      <c r="L4282" s="3" t="str">
        <f>IFERROR(__xludf.DUMMYFUNCTION("GOOGLETRANSLATE(F4282,""id"",""en"")"),"when I have made a package payment but it is still interrupted and can only be active after the final event is finished")</f>
        <v>when I have made a package payment but it is still interrupted and can only be active after the final event is finished</v>
      </c>
    </row>
    <row r="4283" ht="15.75" customHeight="1">
      <c r="A4283" s="1">
        <v>4326.0</v>
      </c>
      <c r="B4283" s="3" t="s">
        <v>12255</v>
      </c>
      <c r="C4283" s="3">
        <v>0.0</v>
      </c>
      <c r="D4283" s="3">
        <v>0.0</v>
      </c>
      <c r="E4283" s="3">
        <v>0.0</v>
      </c>
      <c r="F4283" s="3" t="s">
        <v>12256</v>
      </c>
      <c r="G4283" s="3">
        <v>1.0</v>
      </c>
      <c r="H4283" s="3">
        <v>0.0</v>
      </c>
      <c r="I4283" s="3" t="s">
        <v>13</v>
      </c>
      <c r="J4283" s="3" t="s">
        <v>12257</v>
      </c>
      <c r="K4283" s="3" t="s">
        <v>41</v>
      </c>
      <c r="L4283" s="3" t="str">
        <f>IFERROR(__xludf.DUMMYFUNCTION("GOOGLETRANSLATE(F4283,""id"",""en"")"),"Argentina drove the Qatar World Cup final after Croatia")</f>
        <v>Argentina drove the Qatar World Cup final after Croatia</v>
      </c>
    </row>
    <row r="4284" ht="15.75" customHeight="1">
      <c r="A4284" s="1">
        <v>4327.0</v>
      </c>
      <c r="B4284" s="3" t="s">
        <v>12258</v>
      </c>
      <c r="C4284" s="3">
        <v>1.0</v>
      </c>
      <c r="D4284" s="3">
        <v>1.0</v>
      </c>
      <c r="E4284" s="3">
        <v>7.0</v>
      </c>
      <c r="F4284" s="3" t="s">
        <v>12259</v>
      </c>
      <c r="G4284" s="3">
        <v>1.0</v>
      </c>
      <c r="H4284" s="3">
        <v>0.0</v>
      </c>
      <c r="I4284" s="3" t="s">
        <v>13</v>
      </c>
      <c r="J4284" s="3" t="s">
        <v>12260</v>
      </c>
      <c r="K4284" s="3" t="s">
        <v>860</v>
      </c>
      <c r="L4284" s="3" t="str">
        <f>IFERROR(__xludf.DUMMYFUNCTION("GOOGLETRANSLATE(F4284,""id"",""en"")"),"Interestingly Elon actually did not attend directly the Bali event in November Elon only attended virtually with a dark background whether this shows the World Cup final more important than the event")</f>
        <v>Interestingly Elon actually did not attend directly the Bali event in November Elon only attended virtually with a dark background whether this shows the World Cup final more important than the event</v>
      </c>
    </row>
    <row r="4285" ht="15.75" customHeight="1">
      <c r="A4285" s="1">
        <v>4328.0</v>
      </c>
      <c r="B4285" s="3" t="s">
        <v>12261</v>
      </c>
      <c r="C4285" s="3">
        <v>0.0</v>
      </c>
      <c r="D4285" s="3">
        <v>0.0</v>
      </c>
      <c r="E4285" s="3">
        <v>0.0</v>
      </c>
      <c r="F4285" s="3" t="s">
        <v>12262</v>
      </c>
      <c r="G4285" s="3">
        <v>1.0</v>
      </c>
      <c r="H4285" s="3">
        <v>0.0</v>
      </c>
      <c r="I4285" s="3" t="s">
        <v>13</v>
      </c>
      <c r="J4285" s="3" t="s">
        <v>12263</v>
      </c>
      <c r="K4285" s="3" t="s">
        <v>1628</v>
      </c>
      <c r="L4285" s="3" t="str">
        <f>IFERROR(__xludf.DUMMYFUNCTION("GOOGLETRANSLATE(F4285,""id"",""en"")"),"I hope Mas Adi Yani is healthy, always Sunday night the World Cup Final broadcast Tuesday afternoon the AFF Cup broadcast next Monday broadcast Premier League again")</f>
        <v>I hope Mas Adi Yani is healthy, always Sunday night the World Cup Final broadcast Tuesday afternoon the AFF Cup broadcast next Monday broadcast Premier League again</v>
      </c>
    </row>
    <row r="4286" ht="15.75" customHeight="1">
      <c r="A4286" s="1">
        <v>4329.0</v>
      </c>
      <c r="B4286" s="3" t="s">
        <v>12264</v>
      </c>
      <c r="C4286" s="3">
        <v>0.0</v>
      </c>
      <c r="D4286" s="3">
        <v>0.0</v>
      </c>
      <c r="E4286" s="3">
        <v>0.0</v>
      </c>
      <c r="F4286" s="3" t="s">
        <v>12265</v>
      </c>
      <c r="G4286" s="3">
        <v>1.0</v>
      </c>
      <c r="H4286" s="3">
        <v>0.0</v>
      </c>
      <c r="I4286" s="3" t="s">
        <v>13</v>
      </c>
      <c r="J4286" s="3" t="s">
        <v>12266</v>
      </c>
      <c r="K4286" s="3" t="s">
        <v>90</v>
      </c>
      <c r="L4286" s="3" t="str">
        <f>IFERROR(__xludf.DUMMYFUNCTION("GOOGLETRANSLATE(F4286,""id"",""en"")"),"What do you want to do, maybe he's the first time watching the World Cup final so knowing that soccer staff have prepared everything for the country")</f>
        <v>What do you want to do, maybe he's the first time watching the World Cup final so knowing that soccer staff have prepared everything for the country</v>
      </c>
    </row>
    <row r="4287" ht="15.75" customHeight="1">
      <c r="A4287" s="1">
        <v>4330.0</v>
      </c>
      <c r="B4287" s="3" t="s">
        <v>12267</v>
      </c>
      <c r="C4287" s="3">
        <v>0.0</v>
      </c>
      <c r="D4287" s="3">
        <v>0.0</v>
      </c>
      <c r="E4287" s="3">
        <v>0.0</v>
      </c>
      <c r="F4287" s="3" t="s">
        <v>12268</v>
      </c>
      <c r="G4287" s="3">
        <v>1.0</v>
      </c>
      <c r="H4287" s="3">
        <v>0.0</v>
      </c>
      <c r="I4287" s="3" t="s">
        <v>13</v>
      </c>
      <c r="J4287" s="3" t="s">
        <v>12269</v>
      </c>
      <c r="K4287" s="3" t="s">
        <v>19</v>
      </c>
      <c r="L4287" s="3" t="str">
        <f>IFERROR(__xludf.DUMMYFUNCTION("GOOGLETRANSLATE(F4287,""id"",""en"")"),"Ich Lounge and Bar title of the World Cup Nobar Final with Icha Christy")</f>
        <v>Ich Lounge and Bar title of the World Cup Nobar Final with Icha Christy</v>
      </c>
    </row>
    <row r="4288" ht="15.75" customHeight="1">
      <c r="A4288" s="1">
        <v>4331.0</v>
      </c>
      <c r="B4288" s="3" t="s">
        <v>12270</v>
      </c>
      <c r="C4288" s="3">
        <v>0.0</v>
      </c>
      <c r="D4288" s="3">
        <v>0.0</v>
      </c>
      <c r="E4288" s="3">
        <v>43.0</v>
      </c>
      <c r="F4288" s="3" t="s">
        <v>12271</v>
      </c>
      <c r="G4288" s="3">
        <v>1.0</v>
      </c>
      <c r="H4288" s="3">
        <v>0.0</v>
      </c>
      <c r="I4288" s="3" t="s">
        <v>13</v>
      </c>
      <c r="J4288" s="3" t="s">
        <v>12272</v>
      </c>
      <c r="K4288" s="3" t="s">
        <v>58</v>
      </c>
      <c r="L4288" s="3" t="str">
        <f>IFERROR(__xludf.DUMMYFUNCTION("GOOGLETRANSLATE(F4288,""id"",""en"")"),"The Argentine national team officially won the World Cup after the final defeated France Happy Argentina")</f>
        <v>The Argentine national team officially won the World Cup after the final defeated France Happy Argentina</v>
      </c>
    </row>
    <row r="4289" ht="15.75" customHeight="1">
      <c r="A4289" s="1">
        <v>4332.0</v>
      </c>
      <c r="B4289" s="3" t="s">
        <v>12273</v>
      </c>
      <c r="C4289" s="3">
        <v>0.0</v>
      </c>
      <c r="D4289" s="3">
        <v>1.0</v>
      </c>
      <c r="E4289" s="3">
        <v>5.0</v>
      </c>
      <c r="F4289" s="3" t="s">
        <v>12274</v>
      </c>
      <c r="G4289" s="3">
        <v>1.0</v>
      </c>
      <c r="H4289" s="3">
        <v>0.0</v>
      </c>
      <c r="I4289" s="3" t="s">
        <v>13</v>
      </c>
      <c r="J4289" s="3" t="s">
        <v>12275</v>
      </c>
      <c r="K4289" s="3" t="s">
        <v>184</v>
      </c>
      <c r="L4289" s="3" t="str">
        <f>IFERROR(__xludf.DUMMYFUNCTION("GOOGLETRANSLATE(F4289,""id"",""en"")"),"The World Cup Final Review Most Making Contemporary and Cere birth Messi as the King of the King of Football Watching the Latest Eps Offside Duo Link")</f>
        <v>The World Cup Final Review Most Making Contemporary and Cere birth Messi as the King of the King of Football Watching the Latest Eps Offside Duo Link</v>
      </c>
    </row>
    <row r="4290" ht="15.75" customHeight="1">
      <c r="A4290" s="1">
        <v>4333.0</v>
      </c>
      <c r="B4290" s="3" t="s">
        <v>12276</v>
      </c>
      <c r="C4290" s="3">
        <v>0.0</v>
      </c>
      <c r="D4290" s="3">
        <v>3.0</v>
      </c>
      <c r="E4290" s="3">
        <v>0.0</v>
      </c>
      <c r="F4290" s="3" t="s">
        <v>12277</v>
      </c>
      <c r="G4290" s="3">
        <v>1.0</v>
      </c>
      <c r="H4290" s="3">
        <v>0.0</v>
      </c>
      <c r="I4290" s="3" t="s">
        <v>13</v>
      </c>
      <c r="J4290" s="3" t="s">
        <v>12278</v>
      </c>
      <c r="K4290" s="3" t="s">
        <v>75</v>
      </c>
      <c r="L4290" s="3" t="str">
        <f>IFERROR(__xludf.DUMMYFUNCTION("GOOGLETRANSLATE(F4290,""id"",""en"")"),"Supports Argentina Drake World Cup Final actually loses a billion betting")</f>
        <v>Supports Argentina Drake World Cup Final actually loses a billion betting</v>
      </c>
    </row>
    <row r="4291" ht="15.75" customHeight="1">
      <c r="A4291" s="1">
        <v>4334.0</v>
      </c>
      <c r="B4291" s="3" t="s">
        <v>12279</v>
      </c>
      <c r="C4291" s="3">
        <v>0.0</v>
      </c>
      <c r="D4291" s="3">
        <v>4.0</v>
      </c>
      <c r="E4291" s="3">
        <v>0.0</v>
      </c>
      <c r="F4291" s="3" t="s">
        <v>12277</v>
      </c>
      <c r="G4291" s="3">
        <v>1.0</v>
      </c>
      <c r="H4291" s="3">
        <v>0.0</v>
      </c>
      <c r="I4291" s="3" t="s">
        <v>13</v>
      </c>
      <c r="J4291" s="3" t="s">
        <v>12278</v>
      </c>
      <c r="K4291" s="3" t="s">
        <v>75</v>
      </c>
      <c r="L4291" s="3" t="str">
        <f>IFERROR(__xludf.DUMMYFUNCTION("GOOGLETRANSLATE(F4291,""id"",""en"")"),"Supports Argentina Drake World Cup Final actually loses a billion betting")</f>
        <v>Supports Argentina Drake World Cup Final actually loses a billion betting</v>
      </c>
    </row>
    <row r="4292" ht="15.75" customHeight="1">
      <c r="A4292" s="1">
        <v>4335.0</v>
      </c>
      <c r="B4292" s="3" t="s">
        <v>12280</v>
      </c>
      <c r="C4292" s="3">
        <v>0.0</v>
      </c>
      <c r="D4292" s="3">
        <v>0.0</v>
      </c>
      <c r="E4292" s="3">
        <v>0.0</v>
      </c>
      <c r="F4292" s="3" t="s">
        <v>12281</v>
      </c>
      <c r="G4292" s="3">
        <v>1.0</v>
      </c>
      <c r="H4292" s="3">
        <v>0.0</v>
      </c>
      <c r="I4292" s="3" t="s">
        <v>13</v>
      </c>
      <c r="J4292" s="3" t="s">
        <v>12282</v>
      </c>
      <c r="K4292" s="3" t="s">
        <v>75</v>
      </c>
      <c r="L4292" s="3" t="str">
        <f>IFERROR(__xludf.DUMMYFUNCTION("GOOGLETRANSLATE(F4292,""id"",""en"")"),"The Final Party of the Qatar World Cup with Aice was lively")</f>
        <v>The Final Party of the Qatar World Cup with Aice was lively</v>
      </c>
    </row>
    <row r="4293" ht="15.75" customHeight="1">
      <c r="A4293" s="1">
        <v>4336.0</v>
      </c>
      <c r="B4293" s="3" t="s">
        <v>12283</v>
      </c>
      <c r="C4293" s="3">
        <v>0.0</v>
      </c>
      <c r="D4293" s="3">
        <v>0.0</v>
      </c>
      <c r="E4293" s="3">
        <v>0.0</v>
      </c>
      <c r="F4293" s="3" t="s">
        <v>12284</v>
      </c>
      <c r="G4293" s="3">
        <v>1.0</v>
      </c>
      <c r="H4293" s="3">
        <v>0.0</v>
      </c>
      <c r="I4293" s="3" t="s">
        <v>13</v>
      </c>
      <c r="J4293" s="3" t="s">
        <v>12285</v>
      </c>
      <c r="K4293" s="3" t="s">
        <v>477</v>
      </c>
      <c r="L4293" s="3" t="str">
        <f>IFERROR(__xludf.DUMMYFUNCTION("GOOGLETRANSLATE(F4293,""id"",""en"")"),"The World Cup Final Euphoria still feels the most Gokillll Final")</f>
        <v>The World Cup Final Euphoria still feels the most Gokillll Final</v>
      </c>
    </row>
    <row r="4294" ht="15.75" customHeight="1">
      <c r="A4294" s="1">
        <v>4337.0</v>
      </c>
      <c r="B4294" s="3" t="s">
        <v>12286</v>
      </c>
      <c r="C4294" s="3">
        <v>0.0</v>
      </c>
      <c r="D4294" s="3">
        <v>0.0</v>
      </c>
      <c r="E4294" s="3">
        <v>1.0</v>
      </c>
      <c r="F4294" s="3" t="s">
        <v>12287</v>
      </c>
      <c r="G4294" s="3">
        <v>0.55</v>
      </c>
      <c r="H4294" s="3">
        <v>-0.05</v>
      </c>
      <c r="I4294" s="3" t="s">
        <v>179</v>
      </c>
      <c r="J4294" s="3" t="s">
        <v>12288</v>
      </c>
      <c r="K4294" s="3" t="s">
        <v>456</v>
      </c>
      <c r="L4294" s="3" t="str">
        <f>IFERROR(__xludf.DUMMYFUNCTION("GOOGLETRANSLATE(F4294,""id"",""en"")"),"Alumni Community Center held a watching together with the World Cup Final with Twin House alumni in December Many alumni were present and watched the Argentina French match that was running exciting there was also a quiz with a goodie bag prizes very exci"&amp;"ting for sure of course")</f>
        <v>Alumni Community Center held a watching together with the World Cup Final with Twin House alumni in December Many alumni were present and watched the Argentina French match that was running exciting there was also a quiz with a goodie bag prizes very exciting for sure of course</v>
      </c>
    </row>
    <row r="4295" ht="15.75" customHeight="1">
      <c r="A4295" s="1">
        <v>4338.0</v>
      </c>
      <c r="B4295" s="3" t="s">
        <v>12289</v>
      </c>
      <c r="C4295" s="3">
        <v>4.0</v>
      </c>
      <c r="D4295" s="3">
        <v>1.0</v>
      </c>
      <c r="E4295" s="3">
        <v>4.0</v>
      </c>
      <c r="F4295" s="3" t="s">
        <v>12290</v>
      </c>
      <c r="G4295" s="3">
        <v>0.6</v>
      </c>
      <c r="H4295" s="3">
        <v>-0.05</v>
      </c>
      <c r="I4295" s="3" t="s">
        <v>179</v>
      </c>
      <c r="J4295" s="3" t="s">
        <v>12291</v>
      </c>
      <c r="K4295" s="3" t="s">
        <v>127</v>
      </c>
      <c r="L4295" s="3" t="str">
        <f>IFERROR(__xludf.DUMMYFUNCTION("GOOGLETRANSLATE(F4295,""id"",""en"")"),"Emiliano Martinez is considered cheating during the World Cup Final Penalty Action to suppress the mentality of French players is considered too excessive")</f>
        <v>Emiliano Martinez is considered cheating during the World Cup Final Penalty Action to suppress the mentality of French players is considered too excessive</v>
      </c>
    </row>
    <row r="4296" ht="15.75" customHeight="1">
      <c r="A4296" s="1">
        <v>4339.0</v>
      </c>
      <c r="B4296" s="3" t="s">
        <v>12292</v>
      </c>
      <c r="C4296" s="3">
        <v>0.0</v>
      </c>
      <c r="D4296" s="3">
        <v>0.0</v>
      </c>
      <c r="E4296" s="3">
        <v>8.0</v>
      </c>
      <c r="F4296" s="3" t="s">
        <v>12293</v>
      </c>
      <c r="G4296" s="3">
        <v>1.0</v>
      </c>
      <c r="H4296" s="3">
        <v>0.0</v>
      </c>
      <c r="I4296" s="3" t="s">
        <v>13</v>
      </c>
      <c r="J4296" s="3" t="s">
        <v>12294</v>
      </c>
      <c r="K4296" s="3" t="s">
        <v>633</v>
      </c>
      <c r="L4296" s="3" t="str">
        <f>IFERROR(__xludf.DUMMYFUNCTION("GOOGLETRANSLATE(F4296,""id"",""en"")"),"As many as million people watched the French French French World Cup final on the television week of the audience record of all time for the French network said the channel")</f>
        <v>As many as million people watched the French French French World Cup final on the television week of the audience record of all time for the French network said the channel</v>
      </c>
    </row>
    <row r="4297" ht="15.75" customHeight="1">
      <c r="A4297" s="1">
        <v>4340.0</v>
      </c>
      <c r="B4297" s="3" t="s">
        <v>12295</v>
      </c>
      <c r="C4297" s="3">
        <v>0.0</v>
      </c>
      <c r="D4297" s="3">
        <v>0.0</v>
      </c>
      <c r="E4297" s="3">
        <v>0.0</v>
      </c>
      <c r="F4297" s="3" t="s">
        <v>12296</v>
      </c>
      <c r="G4297" s="3">
        <v>1.0</v>
      </c>
      <c r="H4297" s="3">
        <v>0.0</v>
      </c>
      <c r="I4297" s="3" t="s">
        <v>13</v>
      </c>
      <c r="J4297" s="3" t="s">
        <v>12297</v>
      </c>
      <c r="K4297" s="3" t="s">
        <v>123</v>
      </c>
      <c r="L4297" s="3" t="str">
        <f>IFERROR(__xludf.DUMMYFUNCTION("GOOGLETRANSLATE(F4297,""id"",""en"")"),"Zidane Petit Brazil France in the World Cup Final Stade France Saint Denis France July joined in too")</f>
        <v>Zidane Petit Brazil France in the World Cup Final Stade France Saint Denis France July joined in too</v>
      </c>
    </row>
    <row r="4298" ht="15.75" customHeight="1">
      <c r="A4298" s="1">
        <v>4341.0</v>
      </c>
      <c r="B4298" s="3" t="s">
        <v>12298</v>
      </c>
      <c r="C4298" s="3">
        <v>0.0</v>
      </c>
      <c r="D4298" s="3">
        <v>0.0</v>
      </c>
      <c r="E4298" s="3">
        <v>1.0</v>
      </c>
      <c r="F4298" s="3" t="s">
        <v>12296</v>
      </c>
      <c r="G4298" s="3">
        <v>1.0</v>
      </c>
      <c r="H4298" s="3">
        <v>0.0</v>
      </c>
      <c r="I4298" s="3" t="s">
        <v>13</v>
      </c>
      <c r="J4298" s="3" t="s">
        <v>12297</v>
      </c>
      <c r="K4298" s="3" t="s">
        <v>123</v>
      </c>
      <c r="L4298" s="3" t="str">
        <f>IFERROR(__xludf.DUMMYFUNCTION("GOOGLETRANSLATE(F4298,""id"",""en"")"),"Zidane Petit Brazil France in the World Cup Final Stade France Saint Denis France July joined in too")</f>
        <v>Zidane Petit Brazil France in the World Cup Final Stade France Saint Denis France July joined in too</v>
      </c>
    </row>
    <row r="4299" ht="15.75" customHeight="1">
      <c r="A4299" s="1">
        <v>4342.0</v>
      </c>
      <c r="B4299" s="3" t="s">
        <v>12299</v>
      </c>
      <c r="C4299" s="3">
        <v>0.0</v>
      </c>
      <c r="D4299" s="3">
        <v>0.0</v>
      </c>
      <c r="E4299" s="3">
        <v>1.0</v>
      </c>
      <c r="F4299" s="3" t="s">
        <v>12300</v>
      </c>
      <c r="G4299" s="3">
        <v>1.0</v>
      </c>
      <c r="H4299" s="3">
        <v>0.0</v>
      </c>
      <c r="I4299" s="3" t="s">
        <v>13</v>
      </c>
      <c r="J4299" s="3" t="s">
        <v>12301</v>
      </c>
      <c r="K4299" s="3" t="s">
        <v>1925</v>
      </c>
      <c r="L4299" s="3" t="str">
        <f>IFERROR(__xludf.DUMMYFUNCTION("GOOGLETRANSLATE(F4299,""id"",""en"")"),"Sthemal people Still people stupid Euro European World Cup all over the world if the euro is more prestigious, what do you cry when you don't pass the final quarter")</f>
        <v>Sthemal people Still people stupid Euro European World Cup all over the world if the euro is more prestigious, what do you cry when you don't pass the final quarter</v>
      </c>
    </row>
    <row r="4300" ht="15.75" customHeight="1">
      <c r="A4300" s="1">
        <v>4343.0</v>
      </c>
      <c r="B4300" s="3" t="s">
        <v>12302</v>
      </c>
      <c r="C4300" s="3">
        <v>0.0</v>
      </c>
      <c r="D4300" s="3">
        <v>0.0</v>
      </c>
      <c r="E4300" s="3">
        <v>0.0</v>
      </c>
      <c r="F4300" s="3" t="s">
        <v>12303</v>
      </c>
      <c r="G4300" s="3">
        <v>1.0</v>
      </c>
      <c r="H4300" s="3">
        <v>0.0</v>
      </c>
      <c r="I4300" s="3" t="s">
        <v>13</v>
      </c>
      <c r="J4300" s="3" t="s">
        <v>12304</v>
      </c>
      <c r="K4300" s="3" t="s">
        <v>75</v>
      </c>
      <c r="L4300" s="3" t="str">
        <f>IFERROR(__xludf.DUMMYFUNCTION("GOOGLETRANSLATE(F4300,""id"",""en"")"),"The festive Nobar Final of the World Cup Ala DKC Garda Bangsa Sidoarjo")</f>
        <v>The festive Nobar Final of the World Cup Ala DKC Garda Bangsa Sidoarjo</v>
      </c>
    </row>
    <row r="4301" ht="15.75" customHeight="1">
      <c r="A4301" s="1">
        <v>4344.0</v>
      </c>
      <c r="B4301" s="3" t="s">
        <v>12305</v>
      </c>
      <c r="C4301" s="3">
        <v>0.0</v>
      </c>
      <c r="D4301" s="3">
        <v>0.0</v>
      </c>
      <c r="E4301" s="3">
        <v>0.0</v>
      </c>
      <c r="F4301" s="3" t="s">
        <v>12306</v>
      </c>
      <c r="G4301" s="3">
        <v>1.0</v>
      </c>
      <c r="H4301" s="3">
        <v>0.25</v>
      </c>
      <c r="I4301" s="3" t="s">
        <v>48</v>
      </c>
      <c r="J4301" s="3" t="s">
        <v>12307</v>
      </c>
      <c r="K4301" s="3" t="s">
        <v>10770</v>
      </c>
      <c r="L4301" s="3" t="str">
        <f>IFERROR(__xludf.DUMMYFUNCTION("GOOGLETRANSLATE(F4301,""id"",""en"")"),"The Greatest All Time Leo Messi Leo Messi is the first player to score a quarter -finals of the semi -final quarter and the first world cup final in the history of the World Cup to win the Motm award in one tournament etc. Team Achievement")</f>
        <v>The Greatest All Time Leo Messi Leo Messi is the first player to score a quarter -finals of the semi -final quarter and the first world cup final in the history of the World Cup to win the Motm award in one tournament etc. Team Achievement</v>
      </c>
    </row>
    <row r="4302" ht="15.75" customHeight="1">
      <c r="A4302" s="1">
        <v>4345.0</v>
      </c>
      <c r="B4302" s="3" t="s">
        <v>12308</v>
      </c>
      <c r="C4302" s="3">
        <v>0.0</v>
      </c>
      <c r="D4302" s="3">
        <v>0.0</v>
      </c>
      <c r="E4302" s="3">
        <v>0.0</v>
      </c>
      <c r="F4302" s="3" t="s">
        <v>12309</v>
      </c>
      <c r="G4302" s="3">
        <v>1.0</v>
      </c>
      <c r="H4302" s="3">
        <v>0.0</v>
      </c>
      <c r="I4302" s="3" t="s">
        <v>13</v>
      </c>
      <c r="J4302" s="3" t="s">
        <v>12310</v>
      </c>
      <c r="K4302" s="3" t="s">
        <v>75</v>
      </c>
      <c r="L4302" s="3" t="str">
        <f>IFERROR(__xludf.DUMMYFUNCTION("GOOGLETRANSLATE(F4302,""id"",""en"")"),"Duel Messi Mbappe The Qatar World Cup Final will be remembered in history")</f>
        <v>Duel Messi Mbappe The Qatar World Cup Final will be remembered in history</v>
      </c>
    </row>
    <row r="4303" ht="15.75" customHeight="1">
      <c r="A4303" s="1">
        <v>4346.0</v>
      </c>
      <c r="B4303" s="3" t="s">
        <v>12311</v>
      </c>
      <c r="C4303" s="3">
        <v>0.0</v>
      </c>
      <c r="D4303" s="3">
        <v>0.0</v>
      </c>
      <c r="E4303" s="3">
        <v>0.0</v>
      </c>
      <c r="F4303" s="3" t="s">
        <v>12312</v>
      </c>
      <c r="G4303" s="3">
        <v>1.0</v>
      </c>
      <c r="H4303" s="3">
        <v>0.0</v>
      </c>
      <c r="I4303" s="3" t="s">
        <v>13</v>
      </c>
      <c r="J4303" s="3" t="s">
        <v>12313</v>
      </c>
      <c r="K4303" s="3" t="s">
        <v>657</v>
      </c>
      <c r="L4303" s="3" t="str">
        <f>IFERROR(__xludf.DUMMYFUNCTION("GOOGLETRANSLATE(F4303,""id"",""en"")"),"World Cup Final Drama Action Chasing Chasing Goals to Penalty Fighting Bringing Argentina to Champion")</f>
        <v>World Cup Final Drama Action Chasing Chasing Goals to Penalty Fighting Bringing Argentina to Champion</v>
      </c>
    </row>
    <row r="4304" ht="15.75" customHeight="1">
      <c r="A4304" s="1">
        <v>4347.0</v>
      </c>
      <c r="B4304" s="3" t="s">
        <v>12314</v>
      </c>
      <c r="C4304" s="3">
        <v>0.0</v>
      </c>
      <c r="D4304" s="3">
        <v>0.0</v>
      </c>
      <c r="E4304" s="3">
        <v>0.0</v>
      </c>
      <c r="F4304" s="3" t="s">
        <v>11857</v>
      </c>
      <c r="G4304" s="3">
        <v>1.0</v>
      </c>
      <c r="H4304" s="3">
        <v>0.0</v>
      </c>
      <c r="I4304" s="3" t="s">
        <v>13</v>
      </c>
      <c r="J4304" s="3" t="s">
        <v>11858</v>
      </c>
      <c r="K4304" s="3" t="s">
        <v>75</v>
      </c>
      <c r="L4304" s="3" t="str">
        <f>IFERROR(__xludf.DUMMYFUNCTION("GOOGLETRANSLATE(F4304,""id"",""en"")"),"Failed Final French Cup Final Penalty Dicamed Rasis Attack")</f>
        <v>Failed Final French Cup Final Penalty Dicamed Rasis Attack</v>
      </c>
    </row>
    <row r="4305" ht="15.75" customHeight="1">
      <c r="A4305" s="1">
        <v>4348.0</v>
      </c>
      <c r="B4305" s="3" t="s">
        <v>12315</v>
      </c>
      <c r="C4305" s="3">
        <v>0.0</v>
      </c>
      <c r="D4305" s="3">
        <v>0.0</v>
      </c>
      <c r="E4305" s="3">
        <v>0.0</v>
      </c>
      <c r="F4305" s="3" t="s">
        <v>12316</v>
      </c>
      <c r="G4305" s="3">
        <v>1.0</v>
      </c>
      <c r="H4305" s="3">
        <v>0.0</v>
      </c>
      <c r="I4305" s="3" t="s">
        <v>13</v>
      </c>
      <c r="J4305" s="3" t="s">
        <v>12317</v>
      </c>
      <c r="K4305" s="3" t="s">
        <v>75</v>
      </c>
      <c r="L4305" s="3" t="str">
        <f>IFERROR(__xludf.DUMMYFUNCTION("GOOGLETRANSLATE(F4305,""id"",""en"")"),"The World Cup Final is said to be better than Istanbul supporters of Liverpool agree")</f>
        <v>The World Cup Final is said to be better than Istanbul supporters of Liverpool agree</v>
      </c>
    </row>
    <row r="4306" ht="15.75" customHeight="1">
      <c r="A4306" s="1">
        <v>4349.0</v>
      </c>
      <c r="B4306" s="3" t="s">
        <v>12318</v>
      </c>
      <c r="C4306" s="3">
        <v>1.0</v>
      </c>
      <c r="D4306" s="3">
        <v>1.0</v>
      </c>
      <c r="E4306" s="3">
        <v>1.0</v>
      </c>
      <c r="F4306" s="3" t="s">
        <v>12319</v>
      </c>
      <c r="G4306" s="3">
        <v>1.0</v>
      </c>
      <c r="H4306" s="3">
        <v>0.0</v>
      </c>
      <c r="I4306" s="3" t="s">
        <v>13</v>
      </c>
      <c r="J4306" s="3" t="s">
        <v>12320</v>
      </c>
      <c r="K4306" s="3" t="s">
        <v>127</v>
      </c>
      <c r="L4306" s="3" t="str">
        <f>IFERROR(__xludf.DUMMYFUNCTION("GOOGLETRANSLATE(F4306,""id"",""en"")"),"In addition to congratulating Argentina Katia also gave praise to Kylian Mbappe the World Cup Final goal scorer was recognized as a potential player")</f>
        <v>In addition to congratulating Argentina Katia also gave praise to Kylian Mbappe the World Cup Final goal scorer was recognized as a potential player</v>
      </c>
    </row>
    <row r="4307" ht="15.75" customHeight="1">
      <c r="A4307" s="1">
        <v>4350.0</v>
      </c>
      <c r="B4307" s="3" t="s">
        <v>12321</v>
      </c>
      <c r="C4307" s="3">
        <v>1.0</v>
      </c>
      <c r="D4307" s="3">
        <v>1.0</v>
      </c>
      <c r="E4307" s="3">
        <v>1.0</v>
      </c>
      <c r="F4307" s="3" t="s">
        <v>12322</v>
      </c>
      <c r="G4307" s="3">
        <v>1.0</v>
      </c>
      <c r="H4307" s="3">
        <v>0.0</v>
      </c>
      <c r="I4307" s="3" t="s">
        <v>13</v>
      </c>
      <c r="J4307" s="3" t="s">
        <v>12323</v>
      </c>
      <c r="K4307" s="3" t="s">
        <v>574</v>
      </c>
      <c r="L4307" s="3" t="str">
        <f>IFERROR(__xludf.DUMMYFUNCTION("GOOGLETRANSLATE(F4307,""id"",""en"")"),"The worst World Cup of all time that is happy to give us a great final wrote Katia through Insta Story as reported by Marca, an extraordinary match to Argentina Katia added")</f>
        <v>The worst World Cup of all time that is happy to give us a great final wrote Katia through Insta Story as reported by Marca, an extraordinary match to Argentina Katia added</v>
      </c>
    </row>
    <row r="4308" ht="15.75" customHeight="1">
      <c r="A4308" s="1">
        <v>4351.0</v>
      </c>
      <c r="B4308" s="3" t="s">
        <v>12324</v>
      </c>
      <c r="C4308" s="3">
        <v>1.0</v>
      </c>
      <c r="D4308" s="3">
        <v>1.0</v>
      </c>
      <c r="E4308" s="3">
        <v>1.0</v>
      </c>
      <c r="F4308" s="3" t="s">
        <v>12325</v>
      </c>
      <c r="G4308" s="3">
        <v>1.0</v>
      </c>
      <c r="H4308" s="3">
        <v>0.0</v>
      </c>
      <c r="I4308" s="3" t="s">
        <v>13</v>
      </c>
      <c r="J4308" s="3" t="s">
        <v>12326</v>
      </c>
      <c r="K4308" s="3" t="s">
        <v>348</v>
      </c>
      <c r="L4308" s="3" t="str">
        <f>IFERROR(__xludf.DUMMYFUNCTION("GOOGLETRANSLATE(F4308,""id"",""en"")"),"Katia Aveiro had a different opinion about the women's world cup that year considered this tournament to be bad despite presenting a final exciting between Argentina France")</f>
        <v>Katia Aveiro had a different opinion about the women's world cup that year considered this tournament to be bad despite presenting a final exciting between Argentina France</v>
      </c>
    </row>
    <row r="4309" ht="15.75" customHeight="1">
      <c r="A4309" s="1">
        <v>4352.0</v>
      </c>
      <c r="B4309" s="3" t="s">
        <v>12327</v>
      </c>
      <c r="C4309" s="3">
        <v>1.0</v>
      </c>
      <c r="D4309" s="3">
        <v>1.0</v>
      </c>
      <c r="E4309" s="3">
        <v>1.0</v>
      </c>
      <c r="F4309" s="3" t="s">
        <v>12328</v>
      </c>
      <c r="G4309" s="3">
        <v>1.0</v>
      </c>
      <c r="H4309" s="3">
        <v>0.0</v>
      </c>
      <c r="I4309" s="3" t="s">
        <v>13</v>
      </c>
      <c r="J4309" s="3" t="s">
        <v>12329</v>
      </c>
      <c r="K4309" s="3" t="s">
        <v>495</v>
      </c>
      <c r="L4309" s="3" t="str">
        <f>IFERROR(__xludf.DUMMYFUNCTION("GOOGLETRANSLATE(F4309,""id"",""en"")"),"The World Cup has been completed by the Argentine national team out as champions after conquering France in the final match of the Lusail Stadium Sunday night WIB")</f>
        <v>The World Cup has been completed by the Argentine national team out as champions after conquering France in the final match of the Lusail Stadium Sunday night WIB</v>
      </c>
    </row>
    <row r="4310" ht="15.75" customHeight="1">
      <c r="A4310" s="1">
        <v>4353.0</v>
      </c>
      <c r="B4310" s="3" t="s">
        <v>12330</v>
      </c>
      <c r="C4310" s="3">
        <v>0.0</v>
      </c>
      <c r="D4310" s="3">
        <v>0.0</v>
      </c>
      <c r="E4310" s="3">
        <v>0.0</v>
      </c>
      <c r="F4310" s="3" t="s">
        <v>12281</v>
      </c>
      <c r="G4310" s="3">
        <v>1.0</v>
      </c>
      <c r="H4310" s="3">
        <v>0.0</v>
      </c>
      <c r="I4310" s="3" t="s">
        <v>13</v>
      </c>
      <c r="J4310" s="3" t="s">
        <v>12282</v>
      </c>
      <c r="K4310" s="3" t="s">
        <v>75</v>
      </c>
      <c r="L4310" s="3" t="str">
        <f>IFERROR(__xludf.DUMMYFUNCTION("GOOGLETRANSLATE(F4310,""id"",""en"")"),"The Final Party of the Qatar World Cup with Aice was lively")</f>
        <v>The Final Party of the Qatar World Cup with Aice was lively</v>
      </c>
    </row>
    <row r="4311" ht="15.75" customHeight="1">
      <c r="A4311" s="1">
        <v>4354.0</v>
      </c>
      <c r="B4311" s="3" t="s">
        <v>12331</v>
      </c>
      <c r="C4311" s="3">
        <v>0.0</v>
      </c>
      <c r="D4311" s="3">
        <v>1.0</v>
      </c>
      <c r="E4311" s="3">
        <v>5.0</v>
      </c>
      <c r="F4311" s="3" t="s">
        <v>12332</v>
      </c>
      <c r="G4311" s="3">
        <v>0.55</v>
      </c>
      <c r="H4311" s="3">
        <v>0.0</v>
      </c>
      <c r="I4311" s="3" t="s">
        <v>13</v>
      </c>
      <c r="J4311" s="3" t="s">
        <v>12333</v>
      </c>
      <c r="K4311" s="3" t="s">
        <v>127</v>
      </c>
      <c r="L4311" s="3" t="str">
        <f>IFERROR(__xludf.DUMMYFUNCTION("GOOGLETRANSLATE(F4311,""id"",""en"")"),"French media accused Argentina's third goal in the second half of Extra Time scored by Lionel Messi World Cup Final")</f>
        <v>French media accused Argentina's third goal in the second half of Extra Time scored by Lionel Messi World Cup Final</v>
      </c>
    </row>
    <row r="4312" ht="15.75" customHeight="1">
      <c r="A4312" s="1">
        <v>4356.0</v>
      </c>
      <c r="B4312" s="3" t="s">
        <v>12334</v>
      </c>
      <c r="C4312" s="3">
        <v>0.0</v>
      </c>
      <c r="D4312" s="3">
        <v>0.0</v>
      </c>
      <c r="E4312" s="3">
        <v>0.0</v>
      </c>
      <c r="F4312" s="3" t="s">
        <v>12335</v>
      </c>
      <c r="G4312" s="3">
        <v>1.0</v>
      </c>
      <c r="H4312" s="3">
        <v>0.0</v>
      </c>
      <c r="I4312" s="3" t="s">
        <v>13</v>
      </c>
      <c r="J4312" s="3" t="s">
        <v>12336</v>
      </c>
      <c r="K4312" s="3" t="s">
        <v>15</v>
      </c>
      <c r="L4312" s="3" t="str">
        <f>IFERROR(__xludf.DUMMYFUNCTION("GOOGLETRANSLATE(F4312,""id"",""en"")"),"Ndelok Re -broadcasting World Cup Final Nendi Lur")</f>
        <v>Ndelok Re -broadcasting World Cup Final Nendi Lur</v>
      </c>
    </row>
    <row r="4313" ht="15.75" customHeight="1">
      <c r="A4313" s="1">
        <v>4357.0</v>
      </c>
      <c r="B4313" s="3" t="s">
        <v>12337</v>
      </c>
      <c r="C4313" s="3">
        <v>0.0</v>
      </c>
      <c r="D4313" s="3">
        <v>0.0</v>
      </c>
      <c r="E4313" s="3">
        <v>0.0</v>
      </c>
      <c r="F4313" s="3" t="s">
        <v>11895</v>
      </c>
      <c r="G4313" s="3">
        <v>1.0</v>
      </c>
      <c r="H4313" s="3">
        <v>0.0</v>
      </c>
      <c r="I4313" s="3" t="s">
        <v>13</v>
      </c>
      <c r="J4313" s="3" t="s">
        <v>11896</v>
      </c>
      <c r="K4313" s="3" t="s">
        <v>2023</v>
      </c>
      <c r="L4313" s="3" t="str">
        <f>IFERROR(__xludf.DUMMYFUNCTION("GOOGLETRANSLATE(F4313,""id"",""en"")"),"French goalscorer in the World Cup final is Zin Dine Yazid Zidane scored in minutes Emmanuel Laurent Petit scored a goal on the minute")</f>
        <v>French goalscorer in the World Cup final is Zin Dine Yazid Zidane scored in minutes Emmanuel Laurent Petit scored a goal on the minute</v>
      </c>
    </row>
    <row r="4314" ht="15.75" customHeight="1">
      <c r="A4314" s="1">
        <v>4358.0</v>
      </c>
      <c r="B4314" s="3" t="s">
        <v>12338</v>
      </c>
      <c r="C4314" s="3">
        <v>0.0</v>
      </c>
      <c r="D4314" s="3">
        <v>2.0</v>
      </c>
      <c r="E4314" s="3">
        <v>6.0</v>
      </c>
      <c r="F4314" s="3" t="s">
        <v>12339</v>
      </c>
      <c r="G4314" s="3">
        <v>1.0</v>
      </c>
      <c r="H4314" s="3">
        <v>0.0</v>
      </c>
      <c r="I4314" s="3" t="s">
        <v>13</v>
      </c>
      <c r="J4314" s="3" t="s">
        <v>12340</v>
      </c>
      <c r="K4314" s="3" t="s">
        <v>127</v>
      </c>
      <c r="L4314" s="3" t="str">
        <f>IFERROR(__xludf.DUMMYFUNCTION("GOOGLETRANSLATE(F4314,""id"",""en"")"),"Angel Maria became the first Argentine player to score the final goal of the prestigious Copa America World Cup Olympic tournament")</f>
        <v>Angel Maria became the first Argentine player to score the final goal of the prestigious Copa America World Cup Olympic tournament</v>
      </c>
    </row>
    <row r="4315" ht="15.75" customHeight="1">
      <c r="A4315" s="1">
        <v>4359.0</v>
      </c>
      <c r="B4315" s="3" t="s">
        <v>12341</v>
      </c>
      <c r="C4315" s="3">
        <v>0.0</v>
      </c>
      <c r="D4315" s="3">
        <v>0.0</v>
      </c>
      <c r="E4315" s="3">
        <v>0.0</v>
      </c>
      <c r="F4315" s="3" t="s">
        <v>12342</v>
      </c>
      <c r="G4315" s="3">
        <v>1.0</v>
      </c>
      <c r="H4315" s="3">
        <v>0.0</v>
      </c>
      <c r="I4315" s="3" t="s">
        <v>13</v>
      </c>
      <c r="J4315" s="3" t="s">
        <v>12343</v>
      </c>
      <c r="K4315" s="3" t="s">
        <v>510</v>
      </c>
      <c r="L4315" s="3" t="str">
        <f>IFERROR(__xludf.DUMMYFUNCTION("GOOGLETRANSLATE(F4315,""id"",""en"")"),"Messi repeated the celebration of Maradona last year after champion the Unique Moment of the Qatar World Cup Final")</f>
        <v>Messi repeated the celebration of Maradona last year after champion the Unique Moment of the Qatar World Cup Final</v>
      </c>
    </row>
    <row r="4316" ht="15.75" customHeight="1">
      <c r="A4316" s="1">
        <v>4360.0</v>
      </c>
      <c r="B4316" s="3" t="s">
        <v>12344</v>
      </c>
      <c r="C4316" s="3">
        <v>24.0</v>
      </c>
      <c r="D4316" s="3">
        <v>5.0</v>
      </c>
      <c r="E4316" s="3">
        <v>12.0</v>
      </c>
      <c r="F4316" s="3" t="s">
        <v>12345</v>
      </c>
      <c r="G4316" s="3">
        <v>1.0</v>
      </c>
      <c r="H4316" s="3">
        <v>0.0</v>
      </c>
      <c r="I4316" s="3" t="s">
        <v>13</v>
      </c>
      <c r="J4316" s="3" t="s">
        <v>12346</v>
      </c>
      <c r="K4316" s="3" t="s">
        <v>266</v>
      </c>
      <c r="L4316" s="3" t="str">
        <f>IFERROR(__xludf.DUMMYFUNCTION("GOOGLETRANSLATE(F4316,""id"",""en"")"),"Watching with the World Cup Final yesterday, the PAN DPP office all invited traders and SMEs around to enliven and fill the stomach, it turns out that watching the ball also makes your stomach grumbling, thank God, my stomach is full of my wallet.")</f>
        <v>Watching with the World Cup Final yesterday, the PAN DPP office all invited traders and SMEs around to enliven and fill the stomach, it turns out that watching the ball also makes your stomach grumbling, thank God, my stomach is full of my wallet.</v>
      </c>
    </row>
    <row r="4317" ht="15.75" customHeight="1">
      <c r="A4317" s="1">
        <v>4361.0</v>
      </c>
      <c r="B4317" s="3" t="s">
        <v>12347</v>
      </c>
      <c r="C4317" s="3">
        <v>1.0</v>
      </c>
      <c r="D4317" s="3">
        <v>0.0</v>
      </c>
      <c r="E4317" s="3">
        <v>1.0</v>
      </c>
      <c r="F4317" s="3" t="s">
        <v>12348</v>
      </c>
      <c r="G4317" s="3">
        <v>1.0</v>
      </c>
      <c r="H4317" s="3">
        <v>0.4</v>
      </c>
      <c r="I4317" s="3" t="s">
        <v>48</v>
      </c>
      <c r="J4317" s="3" t="s">
        <v>12349</v>
      </c>
      <c r="K4317" s="3" t="s">
        <v>510</v>
      </c>
      <c r="L4317" s="3" t="str">
        <f>IFERROR(__xludf.DUMMYFUNCTION("GOOGLETRANSLATE(F4317,""id"",""en"")"),"Happy Birthday Kylian Mbapp is a cool person really Gilsss still can't move me from the World Cup final")</f>
        <v>Happy Birthday Kylian Mbapp is a cool person really Gilsss still can't move me from the World Cup final</v>
      </c>
    </row>
    <row r="4318" ht="15.75" customHeight="1">
      <c r="A4318" s="1">
        <v>4362.0</v>
      </c>
      <c r="B4318" s="3" t="s">
        <v>12350</v>
      </c>
      <c r="C4318" s="3">
        <v>0.0</v>
      </c>
      <c r="D4318" s="3">
        <v>5.0</v>
      </c>
      <c r="E4318" s="3">
        <v>71.0</v>
      </c>
      <c r="F4318" s="3" t="s">
        <v>12351</v>
      </c>
      <c r="G4318" s="3">
        <v>1.0</v>
      </c>
      <c r="H4318" s="3">
        <v>0.0</v>
      </c>
      <c r="I4318" s="3" t="s">
        <v>13</v>
      </c>
      <c r="J4318" s="3" t="s">
        <v>12352</v>
      </c>
      <c r="K4318" s="3" t="s">
        <v>510</v>
      </c>
      <c r="L4318" s="3" t="str">
        <f>IFERROR(__xludf.DUMMYFUNCTION("GOOGLETRANSLATE(F4318,""id"",""en"")"),"Offside Duo Final Best World Cup Messi Sah Becomes King of Football Via")</f>
        <v>Offside Duo Final Best World Cup Messi Sah Becomes King of Football Via</v>
      </c>
    </row>
    <row r="4319" ht="15.75" customHeight="1">
      <c r="A4319" s="1">
        <v>4363.0</v>
      </c>
      <c r="B4319" s="3" t="s">
        <v>12353</v>
      </c>
      <c r="C4319" s="3">
        <v>0.0</v>
      </c>
      <c r="D4319" s="3">
        <v>3.0</v>
      </c>
      <c r="E4319" s="3">
        <v>2.0</v>
      </c>
      <c r="F4319" s="3" t="s">
        <v>12354</v>
      </c>
      <c r="G4319" s="3">
        <v>1.0</v>
      </c>
      <c r="H4319" s="3">
        <v>0.0</v>
      </c>
      <c r="I4319" s="3" t="s">
        <v>13</v>
      </c>
      <c r="J4319" s="3" t="s">
        <v>12355</v>
      </c>
      <c r="K4319" s="3" t="s">
        <v>510</v>
      </c>
      <c r="L4319" s="3" t="str">
        <f>IFERROR(__xludf.DUMMYFUNCTION("GOOGLETRANSLATE(F4319,""id"",""en"")"),"Duration of Viral Seconds of Argentine Fans Videos Desperate to Umbar Breasts of the World Cup Final")</f>
        <v>Duration of Viral Seconds of Argentine Fans Videos Desperate to Umbar Breasts of the World Cup Final</v>
      </c>
    </row>
    <row r="4320" ht="15.75" customHeight="1">
      <c r="A4320" s="1">
        <v>4364.0</v>
      </c>
      <c r="B4320" s="3" t="s">
        <v>12356</v>
      </c>
      <c r="C4320" s="3">
        <v>0.0</v>
      </c>
      <c r="D4320" s="3">
        <v>0.0</v>
      </c>
      <c r="E4320" s="3">
        <v>1.0</v>
      </c>
      <c r="F4320" s="3" t="s">
        <v>12357</v>
      </c>
      <c r="G4320" s="3">
        <v>1.0</v>
      </c>
      <c r="H4320" s="3">
        <v>0.0</v>
      </c>
      <c r="I4320" s="3" t="s">
        <v>13</v>
      </c>
      <c r="J4320" s="3" t="s">
        <v>12358</v>
      </c>
      <c r="K4320" s="3" t="s">
        <v>82</v>
      </c>
      <c r="L4320" s="3" t="str">
        <f>IFERROR(__xludf.DUMMYFUNCTION("GOOGLETRANSLATE(F4320,""id"",""en"")"),"Let's take a peek at the World Cup Final Serbi")</f>
        <v>Let's take a peek at the World Cup Final Serbi</v>
      </c>
    </row>
    <row r="4321" ht="15.75" customHeight="1">
      <c r="A4321" s="1">
        <v>4365.0</v>
      </c>
      <c r="B4321" s="3" t="s">
        <v>12359</v>
      </c>
      <c r="C4321" s="3">
        <v>0.0</v>
      </c>
      <c r="D4321" s="3">
        <v>0.0</v>
      </c>
      <c r="E4321" s="3">
        <v>0.0</v>
      </c>
      <c r="F4321" s="3" t="s">
        <v>12360</v>
      </c>
      <c r="G4321" s="3">
        <v>1.0</v>
      </c>
      <c r="H4321" s="3">
        <v>0.0</v>
      </c>
      <c r="I4321" s="3" t="s">
        <v>13</v>
      </c>
      <c r="J4321" s="3" t="s">
        <v>12361</v>
      </c>
      <c r="K4321" s="3" t="s">
        <v>15</v>
      </c>
      <c r="L4321" s="3" t="str">
        <f>IFERROR(__xludf.DUMMYFUNCTION("GOOGLETRANSLATE(F4321,""id"",""en"")"),"World Cup Final Final Gambling Betting Let me hold Argentina")</f>
        <v>World Cup Final Final Gambling Betting Let me hold Argentina</v>
      </c>
    </row>
    <row r="4322" ht="15.75" customHeight="1">
      <c r="A4322" s="1">
        <v>4366.0</v>
      </c>
      <c r="B4322" s="3" t="s">
        <v>12362</v>
      </c>
      <c r="C4322" s="3">
        <v>3.0</v>
      </c>
      <c r="D4322" s="3">
        <v>2.0</v>
      </c>
      <c r="E4322" s="3">
        <v>6.0</v>
      </c>
      <c r="F4322" s="3" t="s">
        <v>12332</v>
      </c>
      <c r="G4322" s="3">
        <v>0.55</v>
      </c>
      <c r="H4322" s="3">
        <v>0.0</v>
      </c>
      <c r="I4322" s="3" t="s">
        <v>13</v>
      </c>
      <c r="J4322" s="3" t="s">
        <v>12333</v>
      </c>
      <c r="K4322" s="3" t="s">
        <v>127</v>
      </c>
      <c r="L4322" s="3" t="str">
        <f>IFERROR(__xludf.DUMMYFUNCTION("GOOGLETRANSLATE(F4322,""id"",""en"")"),"French media accused Argentina's third goal in the second half of Extra Time scored by Lionel Messi World Cup Final")</f>
        <v>French media accused Argentina's third goal in the second half of Extra Time scored by Lionel Messi World Cup Final</v>
      </c>
    </row>
    <row r="4323" ht="15.75" customHeight="1">
      <c r="A4323" s="1">
        <v>4367.0</v>
      </c>
      <c r="B4323" s="3" t="s">
        <v>12363</v>
      </c>
      <c r="C4323" s="3">
        <v>3.0</v>
      </c>
      <c r="D4323" s="3">
        <v>1.0</v>
      </c>
      <c r="E4323" s="3">
        <v>13.0</v>
      </c>
      <c r="F4323" s="3" t="s">
        <v>12316</v>
      </c>
      <c r="G4323" s="3">
        <v>1.0</v>
      </c>
      <c r="H4323" s="3">
        <v>0.0</v>
      </c>
      <c r="I4323" s="3" t="s">
        <v>13</v>
      </c>
      <c r="J4323" s="3" t="s">
        <v>12317</v>
      </c>
      <c r="K4323" s="3" t="s">
        <v>75</v>
      </c>
      <c r="L4323" s="3" t="str">
        <f>IFERROR(__xludf.DUMMYFUNCTION("GOOGLETRANSLATE(F4323,""id"",""en"")"),"The World Cup Final is said to be better than Istanbul supporters of Liverpool agree")</f>
        <v>The World Cup Final is said to be better than Istanbul supporters of Liverpool agree</v>
      </c>
    </row>
    <row r="4324" ht="15.75" customHeight="1">
      <c r="A4324" s="1">
        <v>4368.0</v>
      </c>
      <c r="B4324" s="3" t="s">
        <v>12364</v>
      </c>
      <c r="C4324" s="3">
        <v>0.0</v>
      </c>
      <c r="D4324" s="3">
        <v>0.0</v>
      </c>
      <c r="E4324" s="3">
        <v>0.0</v>
      </c>
      <c r="F4324" s="3" t="s">
        <v>12365</v>
      </c>
      <c r="G4324" s="3">
        <v>1.0</v>
      </c>
      <c r="H4324" s="3">
        <v>0.0</v>
      </c>
      <c r="I4324" s="3" t="s">
        <v>13</v>
      </c>
      <c r="J4324" s="3" t="s">
        <v>12366</v>
      </c>
      <c r="K4324" s="3" t="s">
        <v>644</v>
      </c>
      <c r="L4324" s="3" t="str">
        <f>IFERROR(__xludf.DUMMYFUNCTION("GOOGLETRANSLATE(F4324,""id"",""en"")"),"can't move from the World Cup final")</f>
        <v>can't move from the World Cup final</v>
      </c>
    </row>
    <row r="4325" ht="15.75" customHeight="1">
      <c r="A4325" s="1">
        <v>4369.0</v>
      </c>
      <c r="B4325" s="3" t="s">
        <v>12367</v>
      </c>
      <c r="C4325" s="3">
        <v>0.0</v>
      </c>
      <c r="D4325" s="3">
        <v>0.0</v>
      </c>
      <c r="E4325" s="3">
        <v>1.0</v>
      </c>
      <c r="F4325" s="3" t="s">
        <v>12368</v>
      </c>
      <c r="G4325" s="3">
        <v>1.0</v>
      </c>
      <c r="H4325" s="3">
        <v>0.0</v>
      </c>
      <c r="I4325" s="3" t="s">
        <v>13</v>
      </c>
      <c r="J4325" s="3" t="s">
        <v>12369</v>
      </c>
      <c r="K4325" s="3" t="s">
        <v>50</v>
      </c>
      <c r="L4325" s="3" t="str">
        <f>IFERROR(__xludf.DUMMYFUNCTION("GOOGLETRANSLATE(F4325,""id"",""en"")"),"French media accused Lionel Messi's second goal of the World Cup Final")</f>
        <v>French media accused Lionel Messi's second goal of the World Cup Final</v>
      </c>
    </row>
    <row r="4326" ht="15.75" customHeight="1">
      <c r="A4326" s="1">
        <v>4370.0</v>
      </c>
      <c r="B4326" s="3" t="s">
        <v>12370</v>
      </c>
      <c r="C4326" s="3">
        <v>3.0</v>
      </c>
      <c r="D4326" s="3">
        <v>1.0</v>
      </c>
      <c r="E4326" s="3">
        <v>9.0</v>
      </c>
      <c r="F4326" s="3" t="s">
        <v>12290</v>
      </c>
      <c r="G4326" s="3">
        <v>0.6</v>
      </c>
      <c r="H4326" s="3">
        <v>-0.05</v>
      </c>
      <c r="I4326" s="3" t="s">
        <v>179</v>
      </c>
      <c r="J4326" s="3" t="s">
        <v>12291</v>
      </c>
      <c r="K4326" s="3" t="s">
        <v>127</v>
      </c>
      <c r="L4326" s="3" t="str">
        <f>IFERROR(__xludf.DUMMYFUNCTION("GOOGLETRANSLATE(F4326,""id"",""en"")"),"Emiliano Martinez is considered cheating during the World Cup Final Penalty Action to suppress the mentality of French players is considered too excessive")</f>
        <v>Emiliano Martinez is considered cheating during the World Cup Final Penalty Action to suppress the mentality of French players is considered too excessive</v>
      </c>
    </row>
    <row r="4327" ht="15.75" customHeight="1">
      <c r="A4327" s="1">
        <v>4371.0</v>
      </c>
      <c r="B4327" s="3" t="s">
        <v>12371</v>
      </c>
      <c r="C4327" s="3">
        <v>0.0</v>
      </c>
      <c r="D4327" s="3">
        <v>0.0</v>
      </c>
      <c r="E4327" s="3">
        <v>0.0</v>
      </c>
      <c r="F4327" s="3" t="s">
        <v>12372</v>
      </c>
      <c r="G4327" s="3">
        <v>1.0</v>
      </c>
      <c r="H4327" s="3">
        <v>0.0</v>
      </c>
      <c r="I4327" s="3" t="s">
        <v>13</v>
      </c>
      <c r="J4327" s="3" t="s">
        <v>12373</v>
      </c>
      <c r="K4327" s="3" t="s">
        <v>41</v>
      </c>
      <c r="L4327" s="3" t="str">
        <f>IFERROR(__xludf.DUMMYFUNCTION("GOOGLETRANSLATE(F4327,""id"",""en"")"),"Erick Thohir attended the World Cup final and met several legends")</f>
        <v>Erick Thohir attended the World Cup final and met several legends</v>
      </c>
    </row>
    <row r="4328" ht="15.75" customHeight="1">
      <c r="A4328" s="1">
        <v>4372.0</v>
      </c>
      <c r="B4328" s="3" t="s">
        <v>12374</v>
      </c>
      <c r="C4328" s="3">
        <v>0.0</v>
      </c>
      <c r="D4328" s="3">
        <v>0.0</v>
      </c>
      <c r="E4328" s="3">
        <v>0.0</v>
      </c>
      <c r="F4328" s="3" t="s">
        <v>12281</v>
      </c>
      <c r="G4328" s="3">
        <v>1.0</v>
      </c>
      <c r="H4328" s="3">
        <v>0.0</v>
      </c>
      <c r="I4328" s="3" t="s">
        <v>13</v>
      </c>
      <c r="J4328" s="3" t="s">
        <v>12282</v>
      </c>
      <c r="K4328" s="3" t="s">
        <v>75</v>
      </c>
      <c r="L4328" s="3" t="str">
        <f>IFERROR(__xludf.DUMMYFUNCTION("GOOGLETRANSLATE(F4328,""id"",""en"")"),"The Final Party of the Qatar World Cup with Aice was lively")</f>
        <v>The Final Party of the Qatar World Cup with Aice was lively</v>
      </c>
    </row>
    <row r="4329" ht="15.75" customHeight="1">
      <c r="A4329" s="1">
        <v>4373.0</v>
      </c>
      <c r="B4329" s="3" t="s">
        <v>12375</v>
      </c>
      <c r="C4329" s="3">
        <v>0.0</v>
      </c>
      <c r="D4329" s="3">
        <v>0.0</v>
      </c>
      <c r="E4329" s="3">
        <v>0.0</v>
      </c>
      <c r="F4329" s="3" t="s">
        <v>12376</v>
      </c>
      <c r="G4329" s="3">
        <v>1.0</v>
      </c>
      <c r="H4329" s="3">
        <v>0.0</v>
      </c>
      <c r="I4329" s="3" t="s">
        <v>13</v>
      </c>
      <c r="J4329" s="3" t="s">
        <v>12377</v>
      </c>
      <c r="K4329" s="3" t="s">
        <v>456</v>
      </c>
      <c r="L4329" s="3" t="str">
        <f>IFERROR(__xludf.DUMMYFUNCTION("GOOGLETRANSLATE(F4329,""id"",""en"")"),"A week full of togetherness at the end of December was colored with a myriad of activities ranging from meetings with ILUNI Faculties and ILUNI partners also attended BEM and Pak activities did not forget ILUNI also held the Nobar Final of the Twin House "&amp;"World Cup which was attended by alumni")</f>
        <v>A week full of togetherness at the end of December was colored with a myriad of activities ranging from meetings with ILUNI Faculties and ILUNI partners also attended BEM and Pak activities did not forget ILUNI also held the Nobar Final of the Twin House World Cup which was attended by alumni</v>
      </c>
    </row>
    <row r="4330" ht="15.75" customHeight="1">
      <c r="A4330" s="1">
        <v>4374.0</v>
      </c>
      <c r="B4330" s="3" t="s">
        <v>12378</v>
      </c>
      <c r="C4330" s="3">
        <v>0.0</v>
      </c>
      <c r="D4330" s="3">
        <v>0.0</v>
      </c>
      <c r="E4330" s="3">
        <v>1.0</v>
      </c>
      <c r="F4330" s="3" t="s">
        <v>12379</v>
      </c>
      <c r="G4330" s="3">
        <v>1.0</v>
      </c>
      <c r="H4330" s="3">
        <v>0.0</v>
      </c>
      <c r="I4330" s="3" t="s">
        <v>13</v>
      </c>
      <c r="J4330" s="3" t="s">
        <v>12380</v>
      </c>
      <c r="K4330" s="3" t="s">
        <v>883</v>
      </c>
      <c r="L4330" s="3" t="str">
        <f>IFERROR(__xludf.DUMMYFUNCTION("GOOGLETRANSLATE(F4330,""id"",""en"")"),"Ibrahima Konate Apes Apes Tournament Big Tournament Throughout the French defender lost the World Cup Final and Champions League and failed the English League championship")</f>
        <v>Ibrahima Konate Apes Apes Tournament Big Tournament Throughout the French defender lost the World Cup Final and Champions League and failed the English League championship</v>
      </c>
    </row>
    <row r="4331" ht="15.75" customHeight="1">
      <c r="A4331" s="1">
        <v>4375.0</v>
      </c>
      <c r="B4331" s="3" t="s">
        <v>12381</v>
      </c>
      <c r="C4331" s="3">
        <v>0.0</v>
      </c>
      <c r="D4331" s="3">
        <v>0.0</v>
      </c>
      <c r="E4331" s="3">
        <v>0.0</v>
      </c>
      <c r="F4331" s="3" t="s">
        <v>12382</v>
      </c>
      <c r="G4331" s="3">
        <v>1.0</v>
      </c>
      <c r="H4331" s="3">
        <v>0.0</v>
      </c>
      <c r="I4331" s="3" t="s">
        <v>13</v>
      </c>
      <c r="J4331" s="3" t="s">
        <v>12383</v>
      </c>
      <c r="K4331" s="3" t="s">
        <v>657</v>
      </c>
      <c r="L4331" s="3" t="str">
        <f>IFERROR(__xludf.DUMMYFUNCTION("GOOGLETRANSLATE(F4331,""id"",""en"")"),"Tribunnews Reasons for Argentina French Final World Cup Best Duel Messi Mbappe to Drama in Via Clock")</f>
        <v>Tribunnews Reasons for Argentina French Final World Cup Best Duel Messi Mbappe to Drama in Via Clock</v>
      </c>
    </row>
    <row r="4332" ht="15.75" customHeight="1">
      <c r="A4332" s="1">
        <v>4376.0</v>
      </c>
      <c r="B4332" s="3" t="s">
        <v>12384</v>
      </c>
      <c r="C4332" s="3">
        <v>0.0</v>
      </c>
      <c r="D4332" s="3">
        <v>0.0</v>
      </c>
      <c r="E4332" s="3">
        <v>0.0</v>
      </c>
      <c r="F4332" s="3" t="s">
        <v>12385</v>
      </c>
      <c r="G4332" s="3">
        <v>1.0</v>
      </c>
      <c r="H4332" s="3">
        <v>0.0</v>
      </c>
      <c r="I4332" s="3" t="s">
        <v>13</v>
      </c>
      <c r="J4332" s="3" t="s">
        <v>12386</v>
      </c>
      <c r="K4332" s="3" t="s">
        <v>71</v>
      </c>
      <c r="L4332" s="3" t="str">
        <f>IFERROR(__xludf.DUMMYFUNCTION("GOOGLETRANSLATE(F4332,""id"",""en"")"),"Tribunnews Reasons for Argentina French Final World Cup Best Duel Messi Mbappe to Drama in Hours")</f>
        <v>Tribunnews Reasons for Argentina French Final World Cup Best Duel Messi Mbappe to Drama in Hours</v>
      </c>
    </row>
    <row r="4333" ht="15.75" customHeight="1">
      <c r="A4333" s="1">
        <v>4377.0</v>
      </c>
      <c r="B4333" s="3" t="s">
        <v>12387</v>
      </c>
      <c r="C4333" s="3">
        <v>0.0</v>
      </c>
      <c r="D4333" s="3">
        <v>0.0</v>
      </c>
      <c r="E4333" s="3">
        <v>0.0</v>
      </c>
      <c r="F4333" s="3" t="s">
        <v>12388</v>
      </c>
      <c r="G4333" s="3">
        <v>1.0</v>
      </c>
      <c r="H4333" s="3">
        <v>0.0</v>
      </c>
      <c r="I4333" s="3" t="s">
        <v>13</v>
      </c>
      <c r="J4333" s="3" t="s">
        <v>12389</v>
      </c>
      <c r="K4333" s="3" t="s">
        <v>495</v>
      </c>
      <c r="L4333" s="3" t="str">
        <f>IFERROR(__xludf.DUMMYFUNCTION("GOOGLETRANSLATE(F4333,""id"",""en"")"),"Female fans from Argentina who opened the Tribune opening of the World Cup Final Stadium had been speculated to be subject to severe sanctions.")</f>
        <v>Female fans from Argentina who opened the Tribune opening of the World Cup Final Stadium had been speculated to be subject to severe sanctions.</v>
      </c>
    </row>
    <row r="4334" ht="15.75" customHeight="1">
      <c r="A4334" s="1">
        <v>4378.0</v>
      </c>
      <c r="B4334" s="3" t="s">
        <v>12390</v>
      </c>
      <c r="C4334" s="3">
        <v>0.0</v>
      </c>
      <c r="D4334" s="3">
        <v>0.0</v>
      </c>
      <c r="E4334" s="3">
        <v>1.0</v>
      </c>
      <c r="F4334" s="3" t="s">
        <v>12391</v>
      </c>
      <c r="G4334" s="3">
        <v>0.75</v>
      </c>
      <c r="H4334" s="3">
        <v>0.25</v>
      </c>
      <c r="I4334" s="3" t="s">
        <v>48</v>
      </c>
      <c r="J4334" s="3" t="s">
        <v>12392</v>
      </c>
      <c r="K4334" s="3" t="s">
        <v>491</v>
      </c>
      <c r="L4334" s="3" t="str">
        <f>IFERROR(__xludf.DUMMYFUNCTION("GOOGLETRANSLATE(F4334,""id"",""en"")"),"contributing Goal to France Final World Cup and Facts Facts from Kylian Mbappe who won the World Cup Top Score title")</f>
        <v>contributing Goal to France Final World Cup and Facts Facts from Kylian Mbappe who won the World Cup Top Score title</v>
      </c>
    </row>
    <row r="4335" ht="15.75" customHeight="1">
      <c r="A4335" s="1">
        <v>4379.0</v>
      </c>
      <c r="B4335" s="3" t="s">
        <v>12393</v>
      </c>
      <c r="C4335" s="3">
        <v>0.0</v>
      </c>
      <c r="D4335" s="3">
        <v>0.0</v>
      </c>
      <c r="E4335" s="3">
        <v>0.0</v>
      </c>
      <c r="F4335" s="3" t="s">
        <v>12394</v>
      </c>
      <c r="G4335" s="3">
        <v>1.0</v>
      </c>
      <c r="H4335" s="3">
        <v>0.0</v>
      </c>
      <c r="I4335" s="3" t="s">
        <v>13</v>
      </c>
      <c r="J4335" s="3" t="s">
        <v>12395</v>
      </c>
      <c r="K4335" s="3" t="s">
        <v>50</v>
      </c>
      <c r="L4335" s="3" t="str">
        <f>IFERROR(__xludf.DUMMYFUNCTION("GOOGLETRANSLATE(F4335,""id"",""en"")"),"President Jokowi prefers to watch Persib right over the World Cup final")</f>
        <v>President Jokowi prefers to watch Persib right over the World Cup final</v>
      </c>
    </row>
    <row r="4336" ht="15.75" customHeight="1">
      <c r="A4336" s="1">
        <v>4380.0</v>
      </c>
      <c r="B4336" s="3" t="s">
        <v>12396</v>
      </c>
      <c r="C4336" s="3">
        <v>0.0</v>
      </c>
      <c r="D4336" s="3">
        <v>0.0</v>
      </c>
      <c r="E4336" s="3">
        <v>2.0</v>
      </c>
      <c r="F4336" s="3" t="s">
        <v>12212</v>
      </c>
      <c r="G4336" s="3">
        <v>1.0</v>
      </c>
      <c r="H4336" s="3">
        <v>0.0</v>
      </c>
      <c r="I4336" s="3" t="s">
        <v>13</v>
      </c>
      <c r="J4336" s="3" t="s">
        <v>12213</v>
      </c>
      <c r="K4336" s="3" t="s">
        <v>127</v>
      </c>
      <c r="L4336" s="3" t="str">
        <f>IFERROR(__xludf.DUMMYFUNCTION("GOOGLETRANSLATE(F4336,""id"",""en"")"),"The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337" ht="15.75" customHeight="1">
      <c r="A4337" s="1">
        <v>4381.0</v>
      </c>
      <c r="B4337" s="3" t="s">
        <v>12397</v>
      </c>
      <c r="C4337" s="3">
        <v>1.0</v>
      </c>
      <c r="D4337" s="3">
        <v>3.0</v>
      </c>
      <c r="E4337" s="3">
        <v>8.0</v>
      </c>
      <c r="F4337" s="3" t="s">
        <v>12388</v>
      </c>
      <c r="G4337" s="3">
        <v>1.0</v>
      </c>
      <c r="H4337" s="3">
        <v>0.0</v>
      </c>
      <c r="I4337" s="3" t="s">
        <v>13</v>
      </c>
      <c r="J4337" s="3" t="s">
        <v>12389</v>
      </c>
      <c r="K4337" s="3" t="s">
        <v>495</v>
      </c>
      <c r="L4337" s="3" t="str">
        <f>IFERROR(__xludf.DUMMYFUNCTION("GOOGLETRANSLATE(F4337,""id"",""en"")"),"Female fans from Argentina who opened the Tribune opening of the World Cup Final Stadium had been speculated to be subject to severe sanctions.")</f>
        <v>Female fans from Argentina who opened the Tribune opening of the World Cup Final Stadium had been speculated to be subject to severe sanctions.</v>
      </c>
    </row>
    <row r="4338" ht="15.75" customHeight="1">
      <c r="A4338" s="1">
        <v>4382.0</v>
      </c>
      <c r="B4338" s="3" t="s">
        <v>12398</v>
      </c>
      <c r="C4338" s="3">
        <v>1.0</v>
      </c>
      <c r="D4338" s="3">
        <v>0.0</v>
      </c>
      <c r="E4338" s="3">
        <v>8.0</v>
      </c>
      <c r="F4338" s="3" t="s">
        <v>12388</v>
      </c>
      <c r="G4338" s="3">
        <v>1.0</v>
      </c>
      <c r="H4338" s="3">
        <v>0.0</v>
      </c>
      <c r="I4338" s="3" t="s">
        <v>13</v>
      </c>
      <c r="J4338" s="3" t="s">
        <v>12389</v>
      </c>
      <c r="K4338" s="3" t="s">
        <v>495</v>
      </c>
      <c r="L4338" s="3" t="str">
        <f>IFERROR(__xludf.DUMMYFUNCTION("GOOGLETRANSLATE(F4338,""id"",""en"")"),"Female fans from Argentina who opened the Tribune opening of the World Cup Final Stadium had been speculated to be subject to severe sanctions.")</f>
        <v>Female fans from Argentina who opened the Tribune opening of the World Cup Final Stadium had been speculated to be subject to severe sanctions.</v>
      </c>
    </row>
    <row r="4339" ht="15.75" customHeight="1">
      <c r="A4339" s="1">
        <v>4383.0</v>
      </c>
      <c r="B4339" s="3" t="s">
        <v>12399</v>
      </c>
      <c r="C4339" s="3">
        <v>0.0</v>
      </c>
      <c r="D4339" s="3">
        <v>0.0</v>
      </c>
      <c r="E4339" s="3">
        <v>0.0</v>
      </c>
      <c r="F4339" s="3" t="s">
        <v>12400</v>
      </c>
      <c r="G4339" s="3">
        <v>1.0</v>
      </c>
      <c r="H4339" s="3">
        <v>0.0</v>
      </c>
      <c r="I4339" s="3" t="s">
        <v>13</v>
      </c>
      <c r="J4339" s="3" t="s">
        <v>12401</v>
      </c>
      <c r="K4339" s="3" t="s">
        <v>15</v>
      </c>
      <c r="L4339" s="3" t="str">
        <f>IFERROR(__xludf.DUMMYFUNCTION("GOOGLETRANSLATE(F4339,""id"",""en"")"),"Argentina French Final of the Best World Cup of All Time")</f>
        <v>Argentina French Final of the Best World Cup of All Time</v>
      </c>
    </row>
    <row r="4340" ht="15.75" customHeight="1">
      <c r="A4340" s="1">
        <v>4384.0</v>
      </c>
      <c r="B4340" s="3" t="s">
        <v>12402</v>
      </c>
      <c r="C4340" s="3">
        <v>1.0</v>
      </c>
      <c r="D4340" s="3">
        <v>0.0</v>
      </c>
      <c r="E4340" s="3">
        <v>1.0</v>
      </c>
      <c r="F4340" s="3" t="s">
        <v>12403</v>
      </c>
      <c r="G4340" s="3">
        <v>1.0</v>
      </c>
      <c r="H4340" s="3">
        <v>0.0</v>
      </c>
      <c r="I4340" s="3" t="s">
        <v>13</v>
      </c>
      <c r="J4340" s="3" t="s">
        <v>12404</v>
      </c>
      <c r="K4340" s="3" t="s">
        <v>675</v>
      </c>
      <c r="L4340" s="3" t="str">
        <f>IFERROR(__xludf.DUMMYFUNCTION("GOOGLETRANSLATE(F4340,""id"",""en"")"),"The furious Gempita World Cup Final between Argentina France was used by the Mranggen District Panwaslu to conduct socialization and watch together with the Ibrohimiyah Parent Islamic Boarding School with Gus Lukman and Gus Afif as Pesantren caregivers")</f>
        <v>The furious Gempita World Cup Final between Argentina France was used by the Mranggen District Panwaslu to conduct socialization and watch together with the Ibrohimiyah Parent Islamic Boarding School with Gus Lukman and Gus Afif as Pesantren caregivers</v>
      </c>
    </row>
    <row r="4341" ht="15.75" customHeight="1">
      <c r="A4341" s="1">
        <v>4385.0</v>
      </c>
      <c r="B4341" s="3" t="s">
        <v>12405</v>
      </c>
      <c r="C4341" s="3">
        <v>0.0</v>
      </c>
      <c r="D4341" s="3">
        <v>0.0</v>
      </c>
      <c r="E4341" s="3">
        <v>0.0</v>
      </c>
      <c r="F4341" s="3" t="s">
        <v>12406</v>
      </c>
      <c r="G4341" s="3">
        <v>1.0</v>
      </c>
      <c r="H4341" s="3">
        <v>0.0</v>
      </c>
      <c r="I4341" s="3" t="s">
        <v>13</v>
      </c>
      <c r="J4341" s="3" t="s">
        <v>12407</v>
      </c>
      <c r="K4341" s="3" t="s">
        <v>31</v>
      </c>
      <c r="L4341" s="3" t="str">
        <f>IFERROR(__xludf.DUMMYFUNCTION("GOOGLETRANSLATE(F4341,""id"",""en"")"),"Japanese influence in the World Cup final")</f>
        <v>Japanese influence in the World Cup final</v>
      </c>
    </row>
    <row r="4342" ht="15.75" customHeight="1">
      <c r="A4342" s="1">
        <v>4386.0</v>
      </c>
      <c r="B4342" s="3" t="s">
        <v>12408</v>
      </c>
      <c r="C4342" s="3">
        <v>0.0</v>
      </c>
      <c r="D4342" s="3">
        <v>1.0</v>
      </c>
      <c r="E4342" s="3">
        <v>1.0</v>
      </c>
      <c r="F4342" s="3" t="s">
        <v>12409</v>
      </c>
      <c r="G4342" s="3">
        <v>1.0</v>
      </c>
      <c r="H4342" s="3">
        <v>0.0</v>
      </c>
      <c r="I4342" s="3" t="s">
        <v>13</v>
      </c>
      <c r="J4342" s="3" t="s">
        <v>12410</v>
      </c>
      <c r="K4342" s="3" t="s">
        <v>633</v>
      </c>
      <c r="L4342" s="3" t="str">
        <f>IFERROR(__xludf.DUMMYFUNCTION("GOOGLETRANSLATE(F4342,""id"",""en"")"),"Final World Cup Stade France Saint Denis France French French Brazilian Zinedine Zidane Emanuel Emanuel Petit Marcel Desailly Ayo Following")</f>
        <v>Final World Cup Stade France Saint Denis France French French Brazilian Zinedine Zidane Emanuel Emanuel Petit Marcel Desailly Ayo Following</v>
      </c>
    </row>
    <row r="4343" ht="15.75" customHeight="1">
      <c r="A4343" s="1">
        <v>4387.0</v>
      </c>
      <c r="B4343" s="3" t="s">
        <v>12411</v>
      </c>
      <c r="C4343" s="3">
        <v>3.0</v>
      </c>
      <c r="D4343" s="3">
        <v>0.0</v>
      </c>
      <c r="E4343" s="3">
        <v>0.0</v>
      </c>
      <c r="F4343" s="3" t="s">
        <v>12412</v>
      </c>
      <c r="G4343" s="3">
        <v>1.0</v>
      </c>
      <c r="H4343" s="3">
        <v>0.0</v>
      </c>
      <c r="I4343" s="3" t="s">
        <v>13</v>
      </c>
      <c r="J4343" s="3" t="s">
        <v>12413</v>
      </c>
      <c r="K4343" s="3" t="s">
        <v>657</v>
      </c>
      <c r="L4343" s="3" t="str">
        <f>IFERROR(__xludf.DUMMYFUNCTION("GOOGLETRANSLATE(F4343,""id"",""en"")"),"With the end of the Qatar World Cup, the Fantasy League Middle Cup Fantasy League along")</f>
        <v>With the end of the Qatar World Cup, the Fantasy League Middle Cup Fantasy League along</v>
      </c>
    </row>
    <row r="4344" ht="15.75" customHeight="1">
      <c r="A4344" s="1">
        <v>4388.0</v>
      </c>
      <c r="B4344" s="3" t="s">
        <v>12414</v>
      </c>
      <c r="C4344" s="3">
        <v>0.0</v>
      </c>
      <c r="D4344" s="3">
        <v>0.0</v>
      </c>
      <c r="E4344" s="3">
        <v>0.0</v>
      </c>
      <c r="F4344" s="3" t="s">
        <v>12415</v>
      </c>
      <c r="G4344" s="3">
        <v>1.0</v>
      </c>
      <c r="H4344" s="3">
        <v>0.0</v>
      </c>
      <c r="I4344" s="3" t="s">
        <v>13</v>
      </c>
      <c r="J4344" s="3" t="s">
        <v>12416</v>
      </c>
      <c r="K4344" s="3" t="s">
        <v>35</v>
      </c>
      <c r="L4344" s="3" t="str">
        <f>IFERROR(__xludf.DUMMYFUNCTION("GOOGLETRANSLATE(F4344,""id"",""en"")"),"Facts of Interesting Facts Deepika Padukone Carrier of the World Cup Trophy before the final match in December")</f>
        <v>Facts of Interesting Facts Deepika Padukone Carrier of the World Cup Trophy before the final match in December</v>
      </c>
    </row>
    <row r="4345" ht="15.75" customHeight="1">
      <c r="A4345" s="1">
        <v>4389.0</v>
      </c>
      <c r="B4345" s="3" t="s">
        <v>12417</v>
      </c>
      <c r="C4345" s="3">
        <v>1.0</v>
      </c>
      <c r="D4345" s="3">
        <v>0.0</v>
      </c>
      <c r="E4345" s="3">
        <v>3.0</v>
      </c>
      <c r="F4345" s="3" t="s">
        <v>12418</v>
      </c>
      <c r="G4345" s="3">
        <v>0.7</v>
      </c>
      <c r="H4345" s="3">
        <v>0.275</v>
      </c>
      <c r="I4345" s="3" t="s">
        <v>48</v>
      </c>
      <c r="J4345" s="3" t="s">
        <v>12419</v>
      </c>
      <c r="K4345" s="3" t="s">
        <v>12420</v>
      </c>
      <c r="L4345" s="3" t="str">
        <f>IFERROR(__xludf.DUMMYFUNCTION("GOOGLETRANSLATE(F4345,""id"",""en"")"),"The secret of Nobar anti -sleepy bro jess bro cool is the secret bro jess and bro cool yesterday nobar nobar world cup soccer party that is most important to prepare for the provision to enjoy watching it until the end of one of the things that must be bo"&amp;"ught as well as jesscool")</f>
        <v>The secret of Nobar anti -sleepy bro jess bro cool is the secret bro jess and bro cool yesterday nobar nobar world cup soccer party that is most important to prepare for the provision to enjoy watching it until the end of one of the things that must be bought as well as jesscool</v>
      </c>
    </row>
    <row r="4346" ht="15.75" customHeight="1">
      <c r="A4346" s="1">
        <v>4390.0</v>
      </c>
      <c r="B4346" s="3" t="s">
        <v>12421</v>
      </c>
      <c r="C4346" s="3">
        <v>1.0</v>
      </c>
      <c r="D4346" s="3">
        <v>0.0</v>
      </c>
      <c r="E4346" s="3">
        <v>0.0</v>
      </c>
      <c r="F4346" s="3" t="s">
        <v>9959</v>
      </c>
      <c r="G4346" s="3">
        <v>1.0</v>
      </c>
      <c r="H4346" s="3">
        <v>0.0</v>
      </c>
      <c r="I4346" s="3" t="s">
        <v>13</v>
      </c>
      <c r="J4346" s="3" t="s">
        <v>9960</v>
      </c>
      <c r="K4346" s="3" t="s">
        <v>699</v>
      </c>
      <c r="L4346" s="3" t="str">
        <f>IFERROR(__xludf.DUMMYFUNCTION("GOOGLETRANSLATE(F4346,""id"",""en"")"),"Head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4347" ht="15.75" customHeight="1">
      <c r="A4347" s="1">
        <v>4391.0</v>
      </c>
      <c r="B4347" s="3" t="s">
        <v>12422</v>
      </c>
      <c r="C4347" s="3">
        <v>0.0</v>
      </c>
      <c r="D4347" s="3">
        <v>0.0</v>
      </c>
      <c r="E4347" s="3">
        <v>0.0</v>
      </c>
      <c r="F4347" s="3" t="s">
        <v>12423</v>
      </c>
      <c r="G4347" s="3">
        <v>1.0</v>
      </c>
      <c r="H4347" s="3">
        <v>0.0</v>
      </c>
      <c r="I4347" s="3" t="s">
        <v>13</v>
      </c>
      <c r="J4347" s="3" t="s">
        <v>12424</v>
      </c>
      <c r="K4347" s="3" t="s">
        <v>71</v>
      </c>
      <c r="L4347" s="3" t="str">
        <f>IFERROR(__xludf.DUMMYFUNCTION("GOOGLETRANSLATE(F4347,""id"",""en"")"),"The reason for the French Argentina Final of the Best World Cup Duel Messi Mbappe to Drama in Via Clock")</f>
        <v>The reason for the French Argentina Final of the Best World Cup Duel Messi Mbappe to Drama in Via Clock</v>
      </c>
    </row>
    <row r="4348" ht="15.75" customHeight="1">
      <c r="A4348" s="1">
        <v>4392.0</v>
      </c>
      <c r="B4348" s="3" t="s">
        <v>12425</v>
      </c>
      <c r="C4348" s="3">
        <v>0.0</v>
      </c>
      <c r="D4348" s="3">
        <v>0.0</v>
      </c>
      <c r="E4348" s="3">
        <v>0.0</v>
      </c>
      <c r="F4348" s="3" t="s">
        <v>12426</v>
      </c>
      <c r="G4348" s="3">
        <v>1.0</v>
      </c>
      <c r="H4348" s="3">
        <v>0.0</v>
      </c>
      <c r="I4348" s="3" t="s">
        <v>13</v>
      </c>
      <c r="J4348" s="3" t="s">
        <v>12427</v>
      </c>
      <c r="K4348" s="3" t="s">
        <v>50</v>
      </c>
      <c r="L4348" s="3" t="str">
        <f>IFERROR(__xludf.DUMMYFUNCTION("GOOGLETRANSLATE(F4348,""id"",""en"")"),"Wah Shin Tae Yong already photo with the World Cup Final Referee")</f>
        <v>Wah Shin Tae Yong already photo with the World Cup Final Referee</v>
      </c>
    </row>
    <row r="4349" ht="15.75" customHeight="1">
      <c r="A4349" s="1">
        <v>4393.0</v>
      </c>
      <c r="B4349" s="3" t="s">
        <v>12428</v>
      </c>
      <c r="C4349" s="3">
        <v>0.0</v>
      </c>
      <c r="D4349" s="3">
        <v>0.0</v>
      </c>
      <c r="E4349" s="3">
        <v>1.0</v>
      </c>
      <c r="F4349" s="3" t="s">
        <v>12212</v>
      </c>
      <c r="G4349" s="3">
        <v>1.0</v>
      </c>
      <c r="H4349" s="3">
        <v>0.0</v>
      </c>
      <c r="I4349" s="3" t="s">
        <v>13</v>
      </c>
      <c r="J4349" s="3" t="s">
        <v>12213</v>
      </c>
      <c r="K4349" s="3" t="s">
        <v>127</v>
      </c>
      <c r="L4349" s="3" t="str">
        <f>IFERROR(__xludf.DUMMYFUNCTION("GOOGLETRANSLATE(F4349,""id"",""en"")"),"The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350" ht="15.75" customHeight="1">
      <c r="A4350" s="1">
        <v>4394.0</v>
      </c>
      <c r="B4350" s="3" t="s">
        <v>12429</v>
      </c>
      <c r="C4350" s="3">
        <v>0.0</v>
      </c>
      <c r="D4350" s="3">
        <v>0.0</v>
      </c>
      <c r="E4350" s="3">
        <v>1.0</v>
      </c>
      <c r="F4350" s="3" t="s">
        <v>12430</v>
      </c>
      <c r="G4350" s="3">
        <v>1.0</v>
      </c>
      <c r="H4350" s="3">
        <v>0.0</v>
      </c>
      <c r="I4350" s="3" t="s">
        <v>13</v>
      </c>
      <c r="J4350" s="3" t="s">
        <v>12431</v>
      </c>
      <c r="K4350" s="3" t="s">
        <v>510</v>
      </c>
      <c r="L4350" s="3" t="str">
        <f>IFERROR(__xludf.DUMMYFUNCTION("GOOGLETRANSLATE(F4350,""id"",""en"")"),"The reason for the French Argentina Final of the Best World Cup Duel Messi Mbappe to Drama in Hours")</f>
        <v>The reason for the French Argentina Final of the Best World Cup Duel Messi Mbappe to Drama in Hours</v>
      </c>
    </row>
    <row r="4351" ht="15.75" customHeight="1">
      <c r="A4351" s="1">
        <v>4395.0</v>
      </c>
      <c r="B4351" s="3" t="s">
        <v>12432</v>
      </c>
      <c r="C4351" s="3">
        <v>0.0</v>
      </c>
      <c r="D4351" s="3">
        <v>0.0</v>
      </c>
      <c r="E4351" s="3">
        <v>5.0</v>
      </c>
      <c r="F4351" s="3" t="s">
        <v>12379</v>
      </c>
      <c r="G4351" s="3">
        <v>1.0</v>
      </c>
      <c r="H4351" s="3">
        <v>0.0</v>
      </c>
      <c r="I4351" s="3" t="s">
        <v>13</v>
      </c>
      <c r="J4351" s="3" t="s">
        <v>12380</v>
      </c>
      <c r="K4351" s="3" t="s">
        <v>883</v>
      </c>
      <c r="L4351" s="3" t="str">
        <f>IFERROR(__xludf.DUMMYFUNCTION("GOOGLETRANSLATE(F4351,""id"",""en"")"),"Ibrahima Konate Apes Apes Tournament Big Tournament Throughout the French defender lost the World Cup Final and Champions League and failed the English League championship")</f>
        <v>Ibrahima Konate Apes Apes Tournament Big Tournament Throughout the French defender lost the World Cup Final and Champions League and failed the English League championship</v>
      </c>
    </row>
    <row r="4352" ht="15.75" customHeight="1">
      <c r="A4352" s="1">
        <v>4396.0</v>
      </c>
      <c r="B4352" s="3" t="s">
        <v>12433</v>
      </c>
      <c r="C4352" s="3">
        <v>0.0</v>
      </c>
      <c r="D4352" s="3">
        <v>2.0</v>
      </c>
      <c r="E4352" s="3">
        <v>3.0</v>
      </c>
      <c r="F4352" s="3" t="s">
        <v>12434</v>
      </c>
      <c r="G4352" s="3">
        <v>1.0</v>
      </c>
      <c r="H4352" s="3">
        <v>0.0</v>
      </c>
      <c r="I4352" s="3" t="s">
        <v>13</v>
      </c>
      <c r="J4352" s="3" t="s">
        <v>12435</v>
      </c>
      <c r="K4352" s="3" t="s">
        <v>165</v>
      </c>
      <c r="L4352" s="3" t="str">
        <f>IFERROR(__xludf.DUMMYFUNCTION("GOOGLETRANSLATE(F4352,""id"",""en"")"),"Argentine goalkeeper Martinez was caught teasing French star Kylian Mbappe right after they successfully conquered France in the World Cup Final suddenly he asked his friends to be silent for a while for a shortness of Mbappe's creation")</f>
        <v>Argentine goalkeeper Martinez was caught teasing French star Kylian Mbappe right after they successfully conquered France in the World Cup Final suddenly he asked his friends to be silent for a while for a shortness of Mbappe's creation</v>
      </c>
    </row>
    <row r="4353" ht="15.75" customHeight="1">
      <c r="A4353" s="1">
        <v>4397.0</v>
      </c>
      <c r="B4353" s="3" t="s">
        <v>12436</v>
      </c>
      <c r="C4353" s="3">
        <v>0.0</v>
      </c>
      <c r="D4353" s="3">
        <v>0.0</v>
      </c>
      <c r="E4353" s="3">
        <v>1.0</v>
      </c>
      <c r="F4353" s="3" t="s">
        <v>12212</v>
      </c>
      <c r="G4353" s="3">
        <v>1.0</v>
      </c>
      <c r="H4353" s="3">
        <v>0.0</v>
      </c>
      <c r="I4353" s="3" t="s">
        <v>13</v>
      </c>
      <c r="J4353" s="3" t="s">
        <v>12213</v>
      </c>
      <c r="K4353" s="3" t="s">
        <v>127</v>
      </c>
      <c r="L4353" s="3" t="str">
        <f>IFERROR(__xludf.DUMMYFUNCTION("GOOGLETRANSLATE(F4353,""id"",""en"")"),"The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354" ht="15.75" customHeight="1">
      <c r="A4354" s="1">
        <v>4398.0</v>
      </c>
      <c r="B4354" s="3" t="s">
        <v>12437</v>
      </c>
      <c r="C4354" s="3">
        <v>0.0</v>
      </c>
      <c r="D4354" s="3">
        <v>0.0</v>
      </c>
      <c r="E4354" s="3">
        <v>1.0</v>
      </c>
      <c r="F4354" s="3" t="s">
        <v>12438</v>
      </c>
      <c r="G4354" s="3">
        <v>1.0</v>
      </c>
      <c r="H4354" s="3">
        <v>0.0</v>
      </c>
      <c r="I4354" s="3" t="s">
        <v>13</v>
      </c>
      <c r="J4354" s="3" t="s">
        <v>12439</v>
      </c>
      <c r="K4354" s="3" t="s">
        <v>50</v>
      </c>
      <c r="L4354" s="3" t="str">
        <f>IFERROR(__xludf.DUMMYFUNCTION("GOOGLETRANSLATE(F4354,""id"",""en"")"),"Hugo Lloris gave a signal to retire after the French national team lost the World Cup final")</f>
        <v>Hugo Lloris gave a signal to retire after the French national team lost the World Cup final</v>
      </c>
    </row>
    <row r="4355" ht="15.75" customHeight="1">
      <c r="A4355" s="1">
        <v>4399.0</v>
      </c>
      <c r="B4355" s="3" t="s">
        <v>12440</v>
      </c>
      <c r="C4355" s="3">
        <v>0.0</v>
      </c>
      <c r="D4355" s="3">
        <v>1.0</v>
      </c>
      <c r="E4355" s="3">
        <v>7.0</v>
      </c>
      <c r="F4355" s="3" t="s">
        <v>12441</v>
      </c>
      <c r="G4355" s="3">
        <v>0.75</v>
      </c>
      <c r="H4355" s="3">
        <v>0.25</v>
      </c>
      <c r="I4355" s="3" t="s">
        <v>48</v>
      </c>
      <c r="J4355" s="3" t="s">
        <v>12442</v>
      </c>
      <c r="K4355" s="3" t="s">
        <v>1652</v>
      </c>
      <c r="L4355" s="3" t="str">
        <f>IFERROR(__xludf.DUMMYFUNCTION("GOOGLETRANSLATE(F4355,""id"",""en"")"),"respect for young masters Top Score World Cup goals scored from the second edition of the World Cup World Cup who scored the World Cup Final Hattrick after the year")</f>
        <v>respect for young masters Top Score World Cup goals scored from the second edition of the World Cup World Cup who scored the World Cup Final Hattrick after the year</v>
      </c>
    </row>
    <row r="4356" ht="15.75" customHeight="1">
      <c r="A4356" s="1">
        <v>4400.0</v>
      </c>
      <c r="B4356" s="3" t="s">
        <v>12443</v>
      </c>
      <c r="C4356" s="3">
        <v>0.0</v>
      </c>
      <c r="D4356" s="3">
        <v>2.0</v>
      </c>
      <c r="E4356" s="3">
        <v>4.0</v>
      </c>
      <c r="F4356" s="3" t="s">
        <v>12444</v>
      </c>
      <c r="G4356" s="3">
        <v>1.0</v>
      </c>
      <c r="H4356" s="3">
        <v>0.0</v>
      </c>
      <c r="I4356" s="3" t="s">
        <v>13</v>
      </c>
      <c r="J4356" s="3" t="s">
        <v>12445</v>
      </c>
      <c r="K4356" s="3" t="s">
        <v>495</v>
      </c>
      <c r="L4356" s="3" t="str">
        <f>IFERROR(__xludf.DUMMYFUNCTION("GOOGLETRANSLATE(F4356,""id"",""en"")"),"Kingsley Coman and Aurelien Tchouameni failed to score goals from the white point of the French World Cup final.")</f>
        <v>Kingsley Coman and Aurelien Tchouameni failed to score goals from the white point of the French World Cup final.</v>
      </c>
    </row>
    <row r="4357" ht="15.75" customHeight="1">
      <c r="A4357" s="1">
        <v>4401.0</v>
      </c>
      <c r="B4357" s="3" t="s">
        <v>12446</v>
      </c>
      <c r="C4357" s="3">
        <v>0.0</v>
      </c>
      <c r="D4357" s="3">
        <v>1.0</v>
      </c>
      <c r="E4357" s="3">
        <v>1.0</v>
      </c>
      <c r="F4357" s="3" t="s">
        <v>12447</v>
      </c>
      <c r="G4357" s="3">
        <v>1.0</v>
      </c>
      <c r="H4357" s="3">
        <v>0.0</v>
      </c>
      <c r="I4357" s="3" t="s">
        <v>13</v>
      </c>
      <c r="J4357" s="3" t="s">
        <v>12448</v>
      </c>
      <c r="K4357" s="3" t="s">
        <v>19</v>
      </c>
      <c r="L4357" s="3" t="str">
        <f>IFERROR(__xludf.DUMMYFUNCTION("GOOGLETRANSLATE(F4357,""id"",""en"")"),"Karim Benzema retired from the French national team on his birthday after the World Cup final")</f>
        <v>Karim Benzema retired from the French national team on his birthday after the World Cup final</v>
      </c>
    </row>
    <row r="4358" ht="15.75" customHeight="1">
      <c r="A4358" s="1">
        <v>4402.0</v>
      </c>
      <c r="B4358" s="3" t="s">
        <v>12449</v>
      </c>
      <c r="C4358" s="3">
        <v>0.0</v>
      </c>
      <c r="D4358" s="3">
        <v>0.0</v>
      </c>
      <c r="E4358" s="3">
        <v>0.0</v>
      </c>
      <c r="F4358" s="3" t="s">
        <v>12450</v>
      </c>
      <c r="G4358" s="3">
        <v>1.0</v>
      </c>
      <c r="H4358" s="3">
        <v>0.0</v>
      </c>
      <c r="I4358" s="3" t="s">
        <v>13</v>
      </c>
      <c r="J4358" s="3" t="s">
        <v>12451</v>
      </c>
      <c r="K4358" s="3" t="s">
        <v>149</v>
      </c>
      <c r="L4358" s="3" t="str">
        <f>IFERROR(__xludf.DUMMYFUNCTION("GOOGLETRANSLATE(F4358,""id"",""en"")"),"Winning a lot is he can get the World Cup Final Final Jersey Having Messi Signing Messi directly if there are just people buying it can even until the price is reasonable")</f>
        <v>Winning a lot is he can get the World Cup Final Final Jersey Having Messi Signing Messi directly if there are just people buying it can even until the price is reasonable</v>
      </c>
    </row>
    <row r="4359" ht="15.75" customHeight="1">
      <c r="A4359" s="1">
        <v>4403.0</v>
      </c>
      <c r="B4359" s="3" t="s">
        <v>12452</v>
      </c>
      <c r="C4359" s="3">
        <v>0.0</v>
      </c>
      <c r="D4359" s="3">
        <v>0.0</v>
      </c>
      <c r="E4359" s="3">
        <v>0.0</v>
      </c>
      <c r="F4359" s="3" t="s">
        <v>12453</v>
      </c>
      <c r="G4359" s="3">
        <v>1.0</v>
      </c>
      <c r="H4359" s="3">
        <v>0.0</v>
      </c>
      <c r="I4359" s="3" t="s">
        <v>13</v>
      </c>
      <c r="J4359" s="3" t="s">
        <v>12454</v>
      </c>
      <c r="K4359" s="3" t="s">
        <v>41</v>
      </c>
      <c r="L4359" s="3" t="str">
        <f>IFERROR(__xludf.DUMMYFUNCTION("GOOGLETRANSLATE(F4359,""id"",""en"")"),"Wow, Drake lost to the billions of World Cup Final")</f>
        <v>Wow, Drake lost to the billions of World Cup Final</v>
      </c>
    </row>
    <row r="4360" ht="15.75" customHeight="1">
      <c r="A4360" s="1">
        <v>4404.0</v>
      </c>
      <c r="B4360" s="3" t="s">
        <v>12455</v>
      </c>
      <c r="C4360" s="3">
        <v>1.0</v>
      </c>
      <c r="D4360" s="3">
        <v>0.0</v>
      </c>
      <c r="E4360" s="3">
        <v>0.0</v>
      </c>
      <c r="F4360" s="3" t="s">
        <v>12456</v>
      </c>
      <c r="G4360" s="3">
        <v>1.0</v>
      </c>
      <c r="H4360" s="3">
        <v>0.0</v>
      </c>
      <c r="I4360" s="3" t="s">
        <v>13</v>
      </c>
      <c r="J4360" s="3" t="s">
        <v>12457</v>
      </c>
      <c r="K4360" s="3" t="s">
        <v>90</v>
      </c>
      <c r="L4360" s="3" t="str">
        <f>IFERROR(__xludf.DUMMYFUNCTION("GOOGLETRANSLATE(F4360,""id"",""en"")"),"Coman and Tchouameni eventually became the scapegoat of the French French defeat of the World Cup Several fans and even attacked the two players racially social media")</f>
        <v>Coman and Tchouameni eventually became the scapegoat of the French French defeat of the World Cup Several fans and even attacked the two players racially social media</v>
      </c>
    </row>
    <row r="4361" ht="15.75" customHeight="1">
      <c r="A4361" s="1">
        <v>4405.0</v>
      </c>
      <c r="B4361" s="3" t="s">
        <v>12458</v>
      </c>
      <c r="C4361" s="3">
        <v>1.0</v>
      </c>
      <c r="D4361" s="3">
        <v>0.0</v>
      </c>
      <c r="E4361" s="3">
        <v>0.0</v>
      </c>
      <c r="F4361" s="3" t="s">
        <v>12459</v>
      </c>
      <c r="G4361" s="3">
        <v>1.0</v>
      </c>
      <c r="H4361" s="3">
        <v>0.0</v>
      </c>
      <c r="I4361" s="3" t="s">
        <v>13</v>
      </c>
      <c r="J4361" s="3" t="s">
        <v>12445</v>
      </c>
      <c r="K4361" s="3" t="s">
        <v>495</v>
      </c>
      <c r="L4361" s="3" t="str">
        <f>IFERROR(__xludf.DUMMYFUNCTION("GOOGLETRANSLATE(F4361,""id"",""en"")"),"Kingsley Coman and Aurelien Tchouameni failed to score goals from the white point of the French World Cup final.")</f>
        <v>Kingsley Coman and Aurelien Tchouameni failed to score goals from the white point of the French World Cup final.</v>
      </c>
    </row>
    <row r="4362" ht="15.75" customHeight="1">
      <c r="A4362" s="1">
        <v>4406.0</v>
      </c>
      <c r="B4362" s="3" t="s">
        <v>12460</v>
      </c>
      <c r="C4362" s="3">
        <v>0.0</v>
      </c>
      <c r="D4362" s="3">
        <v>0.0</v>
      </c>
      <c r="E4362" s="3">
        <v>1.0</v>
      </c>
      <c r="F4362" s="3" t="s">
        <v>12461</v>
      </c>
      <c r="G4362" s="3">
        <v>1.0</v>
      </c>
      <c r="H4362" s="3">
        <v>0.0</v>
      </c>
      <c r="I4362" s="3" t="s">
        <v>13</v>
      </c>
      <c r="J4362" s="3" t="s">
        <v>12462</v>
      </c>
      <c r="K4362" s="3" t="s">
        <v>633</v>
      </c>
      <c r="L4362" s="3" t="str">
        <f>IFERROR(__xludf.DUMMYFUNCTION("GOOGLETRANSLATE(F4362,""id"",""en"")"),"There is still a mystery from the drama of the success of the Argentine national team defeating the French national team in the World Cup final, one of them is about Lionel Messi's words during a penalty shootout")</f>
        <v>There is still a mystery from the drama of the success of the Argentine national team defeating the French national team in the World Cup final, one of them is about Lionel Messi's words during a penalty shootout</v>
      </c>
    </row>
    <row r="4363" ht="15.75" customHeight="1">
      <c r="A4363" s="1">
        <v>4407.0</v>
      </c>
      <c r="B4363" s="3" t="s">
        <v>12463</v>
      </c>
      <c r="C4363" s="3">
        <v>0.0</v>
      </c>
      <c r="D4363" s="3">
        <v>0.0</v>
      </c>
      <c r="E4363" s="3">
        <v>0.0</v>
      </c>
      <c r="F4363" s="3" t="s">
        <v>12461</v>
      </c>
      <c r="G4363" s="3">
        <v>1.0</v>
      </c>
      <c r="H4363" s="3">
        <v>0.0</v>
      </c>
      <c r="I4363" s="3" t="s">
        <v>13</v>
      </c>
      <c r="J4363" s="3" t="s">
        <v>12462</v>
      </c>
      <c r="K4363" s="3" t="s">
        <v>633</v>
      </c>
      <c r="L4363" s="3" t="str">
        <f>IFERROR(__xludf.DUMMYFUNCTION("GOOGLETRANSLATE(F4363,""id"",""en"")"),"There is still a mystery from the drama of the success of the Argentine national team defeating the French national team in the World Cup final, one of them is about Lionel Messi's words during a penalty shootout")</f>
        <v>There is still a mystery from the drama of the success of the Argentine national team defeating the French national team in the World Cup final, one of them is about Lionel Messi's words during a penalty shootout</v>
      </c>
    </row>
    <row r="4364" ht="15.75" customHeight="1">
      <c r="A4364" s="1">
        <v>4408.0</v>
      </c>
      <c r="B4364" s="3" t="s">
        <v>12464</v>
      </c>
      <c r="C4364" s="3">
        <v>0.0</v>
      </c>
      <c r="D4364" s="3">
        <v>0.0</v>
      </c>
      <c r="E4364" s="3">
        <v>0.0</v>
      </c>
      <c r="F4364" s="3" t="s">
        <v>12465</v>
      </c>
      <c r="G4364" s="3">
        <v>0.65</v>
      </c>
      <c r="H4364" s="3">
        <v>0.1</v>
      </c>
      <c r="I4364" s="3" t="s">
        <v>48</v>
      </c>
      <c r="J4364" s="3" t="s">
        <v>12466</v>
      </c>
      <c r="K4364" s="3" t="s">
        <v>574</v>
      </c>
      <c r="L4364" s="3" t="str">
        <f>IFERROR(__xludf.DUMMYFUNCTION("GOOGLETRANSLATE(F4364,""id"",""en"")"),"Karim Benzema wrote his Twitter account that officially separated from the French national team the day after France lost the World Cup final Real Madrid decided to say goodbye to Les Bleus")</f>
        <v>Karim Benzema wrote his Twitter account that officially separated from the French national team the day after France lost the World Cup final Real Madrid decided to say goodbye to Les Bleus</v>
      </c>
    </row>
    <row r="4365" ht="15.75" customHeight="1">
      <c r="A4365" s="1">
        <v>4409.0</v>
      </c>
      <c r="B4365" s="3" t="s">
        <v>12467</v>
      </c>
      <c r="C4365" s="3">
        <v>0.0</v>
      </c>
      <c r="D4365" s="3">
        <v>0.0</v>
      </c>
      <c r="E4365" s="3">
        <v>2.0</v>
      </c>
      <c r="F4365" s="3" t="s">
        <v>12468</v>
      </c>
      <c r="G4365" s="3">
        <v>1.0</v>
      </c>
      <c r="H4365" s="3">
        <v>0.0</v>
      </c>
      <c r="I4365" s="3" t="s">
        <v>13</v>
      </c>
      <c r="J4365" s="3" t="s">
        <v>12469</v>
      </c>
      <c r="K4365" s="3" t="s">
        <v>266</v>
      </c>
      <c r="L4365" s="3" t="str">
        <f>IFERROR(__xludf.DUMMYFUNCTION("GOOGLETRANSLATE(F4365,""id"",""en"")"),"There was an iconic moment after the World Cup final, one of which included Lionel Messi's moment wearing a FIFA President's Arabic robe and Emir Qatar were two figures who put Lionel Messi, the black robe named Bisht")</f>
        <v>There was an iconic moment after the World Cup final, one of which included Lionel Messi's moment wearing a FIFA President's Arabic robe and Emir Qatar were two figures who put Lionel Messi, the black robe named Bisht</v>
      </c>
    </row>
    <row r="4366" ht="15.75" customHeight="1">
      <c r="A4366" s="1">
        <v>4410.0</v>
      </c>
      <c r="B4366" s="3" t="s">
        <v>12470</v>
      </c>
      <c r="C4366" s="3">
        <v>0.0</v>
      </c>
      <c r="D4366" s="3">
        <v>0.0</v>
      </c>
      <c r="E4366" s="3">
        <v>0.0</v>
      </c>
      <c r="F4366" s="3" t="s">
        <v>12468</v>
      </c>
      <c r="G4366" s="3">
        <v>1.0</v>
      </c>
      <c r="H4366" s="3">
        <v>0.0</v>
      </c>
      <c r="I4366" s="3" t="s">
        <v>13</v>
      </c>
      <c r="J4366" s="3" t="s">
        <v>12469</v>
      </c>
      <c r="K4366" s="3" t="s">
        <v>266</v>
      </c>
      <c r="L4366" s="3" t="str">
        <f>IFERROR(__xludf.DUMMYFUNCTION("GOOGLETRANSLATE(F4366,""id"",""en"")"),"There was an iconic moment after the World Cup final, one of which included Lionel Messi's moment wearing a FIFA President's Arabic robe and Emir Qatar were two figures who put Lionel Messi, the black robe named Bisht")</f>
        <v>There was an iconic moment after the World Cup final, one of which included Lionel Messi's moment wearing a FIFA President's Arabic robe and Emir Qatar were two figures who put Lionel Messi, the black robe named Bisht</v>
      </c>
    </row>
    <row r="4367" ht="15.75" customHeight="1">
      <c r="A4367" s="1">
        <v>4411.0</v>
      </c>
      <c r="B4367" s="3" t="s">
        <v>12471</v>
      </c>
      <c r="C4367" s="3">
        <v>0.0</v>
      </c>
      <c r="D4367" s="3">
        <v>0.0</v>
      </c>
      <c r="E4367" s="3">
        <v>0.0</v>
      </c>
      <c r="F4367" s="3" t="s">
        <v>12472</v>
      </c>
      <c r="G4367" s="3">
        <v>1.0</v>
      </c>
      <c r="H4367" s="3">
        <v>0.0</v>
      </c>
      <c r="I4367" s="3" t="s">
        <v>13</v>
      </c>
      <c r="J4367" s="3" t="s">
        <v>12473</v>
      </c>
      <c r="K4367" s="3" t="s">
        <v>15</v>
      </c>
      <c r="L4367" s="3" t="str">
        <f>IFERROR(__xludf.DUMMYFUNCTION("GOOGLETRANSLATE(F4367,""id"",""en"")"),"World Cup Final Match The Most exciting for life")</f>
        <v>World Cup Final Match The Most exciting for life</v>
      </c>
    </row>
    <row r="4368" ht="15.75" customHeight="1">
      <c r="A4368" s="1">
        <v>4412.0</v>
      </c>
      <c r="B4368" s="3" t="s">
        <v>12474</v>
      </c>
      <c r="C4368" s="3">
        <v>1.0</v>
      </c>
      <c r="D4368" s="3">
        <v>0.0</v>
      </c>
      <c r="E4368" s="3">
        <v>0.0</v>
      </c>
      <c r="F4368" s="3" t="s">
        <v>12475</v>
      </c>
      <c r="G4368" s="3">
        <v>1.0</v>
      </c>
      <c r="H4368" s="3">
        <v>0.0</v>
      </c>
      <c r="I4368" s="3" t="s">
        <v>13</v>
      </c>
      <c r="J4368" s="3" t="s">
        <v>12476</v>
      </c>
      <c r="K4368" s="3" t="s">
        <v>90</v>
      </c>
      <c r="L4368" s="3" t="str">
        <f>IFERROR(__xludf.DUMMYFUNCTION("GOOGLETRANSLATE(F4368,""id"",""en"")"),"Seminyak Canggu If at this hour, forgive me, just try to try the World Cup final right then Malming want me to nobar here")</f>
        <v>Seminyak Canggu If at this hour, forgive me, just try to try the World Cup final right then Malming want me to nobar here</v>
      </c>
    </row>
    <row r="4369" ht="15.75" customHeight="1">
      <c r="A4369" s="1">
        <v>4413.0</v>
      </c>
      <c r="B4369" s="3" t="s">
        <v>12477</v>
      </c>
      <c r="C4369" s="3">
        <v>0.0</v>
      </c>
      <c r="D4369" s="3">
        <v>1.0</v>
      </c>
      <c r="E4369" s="3">
        <v>10.0</v>
      </c>
      <c r="F4369" s="3" t="s">
        <v>12478</v>
      </c>
      <c r="G4369" s="3">
        <v>1.0</v>
      </c>
      <c r="H4369" s="3">
        <v>0.0</v>
      </c>
      <c r="I4369" s="3" t="s">
        <v>13</v>
      </c>
      <c r="J4369" s="3" t="s">
        <v>12479</v>
      </c>
      <c r="K4369" s="3" t="s">
        <v>1293</v>
      </c>
      <c r="L4369" s="3" t="str">
        <f>IFERROR(__xludf.DUMMYFUNCTION("GOOGLETRANSLATE(F4369,""id"",""en"")"),"waiting for the Argentine society during the year to get the World Cup trophy finally paid off after Argentina won over France Final match")</f>
        <v>waiting for the Argentine society during the year to get the World Cup trophy finally paid off after Argentina won over France Final match</v>
      </c>
    </row>
    <row r="4370" ht="15.75" customHeight="1">
      <c r="A4370" s="1">
        <v>4414.0</v>
      </c>
      <c r="B4370" s="3" t="s">
        <v>12480</v>
      </c>
      <c r="C4370" s="3">
        <v>0.0</v>
      </c>
      <c r="D4370" s="3">
        <v>0.0</v>
      </c>
      <c r="E4370" s="3">
        <v>4.0</v>
      </c>
      <c r="F4370" s="3" t="s">
        <v>12481</v>
      </c>
      <c r="G4370" s="3">
        <v>1.0</v>
      </c>
      <c r="H4370" s="3">
        <v>0.0</v>
      </c>
      <c r="I4370" s="3" t="s">
        <v>13</v>
      </c>
      <c r="J4370" s="3" t="s">
        <v>12482</v>
      </c>
      <c r="K4370" s="3" t="s">
        <v>90</v>
      </c>
      <c r="L4370" s="3" t="str">
        <f>IFERROR(__xludf.DUMMYFUNCTION("GOOGLETRANSLATE(F4370,""id"",""en"")"),"The people of Argentina are waiting patiently to welcome their World Cup's return when the French star arrives Paris after Qatar's great final drama")</f>
        <v>The people of Argentina are waiting patiently to welcome their World Cup's return when the French star arrives Paris after Qatar's great final drama</v>
      </c>
    </row>
    <row r="4371" ht="15.75" customHeight="1">
      <c r="A4371" s="1">
        <v>4415.0</v>
      </c>
      <c r="B4371" s="3" t="s">
        <v>12483</v>
      </c>
      <c r="C4371" s="3">
        <v>0.0</v>
      </c>
      <c r="D4371" s="3">
        <v>0.0</v>
      </c>
      <c r="E4371" s="3">
        <v>1.0</v>
      </c>
      <c r="F4371" s="3" t="s">
        <v>12484</v>
      </c>
      <c r="G4371" s="3">
        <v>1.0</v>
      </c>
      <c r="H4371" s="3">
        <v>0.0</v>
      </c>
      <c r="I4371" s="3" t="s">
        <v>13</v>
      </c>
      <c r="J4371" s="3" t="s">
        <v>12485</v>
      </c>
      <c r="K4371" s="3" t="s">
        <v>1349</v>
      </c>
      <c r="L4371" s="3" t="str">
        <f>IFERROR(__xludf.DUMMYFUNCTION("GOOGLETRANSLATE(F4371,""id"",""en"")"),"FRANCE FRANCE FINAL FRANCE BRAZIL FACTING GOOP MOVER ZINEDINE ZIDANE GOINT MINE EMMANUEL PETIT GOINT MINE Minute")</f>
        <v>FRANCE FRANCE FINAL FRANCE BRAZIL FACTING GOOP MOVER ZINEDINE ZIDANE GOINT MINE EMMANUEL PETIT GOINT MINE Minute</v>
      </c>
    </row>
    <row r="4372" ht="15.75" customHeight="1">
      <c r="A4372" s="1">
        <v>4416.0</v>
      </c>
      <c r="B4372" s="3" t="s">
        <v>12486</v>
      </c>
      <c r="C4372" s="3">
        <v>1.0</v>
      </c>
      <c r="D4372" s="3">
        <v>0.0</v>
      </c>
      <c r="E4372" s="3">
        <v>0.0</v>
      </c>
      <c r="F4372" s="3" t="s">
        <v>12487</v>
      </c>
      <c r="G4372" s="3">
        <v>1.0</v>
      </c>
      <c r="H4372" s="3">
        <v>0.0</v>
      </c>
      <c r="I4372" s="3" t="s">
        <v>13</v>
      </c>
      <c r="J4372" s="3" t="s">
        <v>12488</v>
      </c>
      <c r="K4372" s="3" t="s">
        <v>15</v>
      </c>
      <c r="L4372" s="3" t="str">
        <f>IFERROR(__xludf.DUMMYFUNCTION("GOOGLETRANSLATE(F4372,""id"",""en"")"),"Italy knows how to beat France Final World Cup")</f>
        <v>Italy knows how to beat France Final World Cup</v>
      </c>
    </row>
    <row r="4373" ht="15.75" customHeight="1">
      <c r="A4373" s="1">
        <v>4417.0</v>
      </c>
      <c r="B4373" s="3" t="s">
        <v>12489</v>
      </c>
      <c r="C4373" s="3">
        <v>0.0</v>
      </c>
      <c r="D4373" s="3">
        <v>0.0</v>
      </c>
      <c r="E4373" s="3">
        <v>0.0</v>
      </c>
      <c r="F4373" s="3" t="s">
        <v>9959</v>
      </c>
      <c r="G4373" s="3">
        <v>1.0</v>
      </c>
      <c r="H4373" s="3">
        <v>0.0</v>
      </c>
      <c r="I4373" s="3" t="s">
        <v>13</v>
      </c>
      <c r="J4373" s="3" t="s">
        <v>9960</v>
      </c>
      <c r="K4373" s="3" t="s">
        <v>699</v>
      </c>
      <c r="L4373" s="3" t="str">
        <f>IFERROR(__xludf.DUMMYFUNCTION("GOOGLETRANSLATE(F4373,""id"",""en"")"),"Head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4374" ht="15.75" customHeight="1">
      <c r="A4374" s="1">
        <v>4419.0</v>
      </c>
      <c r="B4374" s="3" t="s">
        <v>12490</v>
      </c>
      <c r="C4374" s="3">
        <v>0.0</v>
      </c>
      <c r="D4374" s="3">
        <v>1.0</v>
      </c>
      <c r="E4374" s="3">
        <v>13.0</v>
      </c>
      <c r="F4374" s="3" t="s">
        <v>12491</v>
      </c>
      <c r="G4374" s="3">
        <v>1.0</v>
      </c>
      <c r="H4374" s="3">
        <v>0.0</v>
      </c>
      <c r="I4374" s="3" t="s">
        <v>13</v>
      </c>
      <c r="J4374" s="3" t="s">
        <v>9658</v>
      </c>
      <c r="K4374" s="3" t="s">
        <v>240</v>
      </c>
      <c r="L4374" s="3" t="str">
        <f>IFERROR(__xludf.DUMMYFUNCTION("GOOGLETRANSLATE(F4374,""id"",""en"")"),"Although he had felt the title of the World Cup to Kylian Mbappe remained sad to fail the edition of the edition he also confirmed that he would return to the final match")</f>
        <v>Although he had felt the title of the World Cup to Kylian Mbappe remained sad to fail the edition of the edition he also confirmed that he would return to the final match</v>
      </c>
    </row>
    <row r="4375" ht="15.75" customHeight="1">
      <c r="A4375" s="1">
        <v>4420.0</v>
      </c>
      <c r="B4375" s="3" t="s">
        <v>12492</v>
      </c>
      <c r="C4375" s="3">
        <v>1.0</v>
      </c>
      <c r="D4375" s="3">
        <v>0.0</v>
      </c>
      <c r="E4375" s="3">
        <v>0.0</v>
      </c>
      <c r="F4375" s="3" t="s">
        <v>12493</v>
      </c>
      <c r="G4375" s="3">
        <v>0.75</v>
      </c>
      <c r="H4375" s="3">
        <v>0.09999999999999999</v>
      </c>
      <c r="I4375" s="3" t="s">
        <v>48</v>
      </c>
      <c r="J4375" s="3" t="s">
        <v>12494</v>
      </c>
      <c r="K4375" s="3" t="s">
        <v>725</v>
      </c>
      <c r="L4375" s="3" t="str">
        <f>IFERROR(__xludf.DUMMYFUNCTION("GOOGLETRANSLATE(F4375,""id"",""en"")"),"Congratulations to Martinez with the achievement of the Golden Gloves, the Argentine goalkeeper previously only became a World Cup spectator last but this year totally recorded Saves with including in the final match against France, one of the Saves who t"&amp;"ied up namely")</f>
        <v>Congratulations to Martinez with the achievement of the Golden Gloves, the Argentine goalkeeper previously only became a World Cup spectator last but this year totally recorded Saves with including in the final match against France, one of the Saves who tied up namely</v>
      </c>
    </row>
    <row r="4376" ht="15.75" customHeight="1">
      <c r="A4376" s="1">
        <v>4421.0</v>
      </c>
      <c r="B4376" s="3" t="s">
        <v>12495</v>
      </c>
      <c r="C4376" s="3">
        <v>0.0</v>
      </c>
      <c r="D4376" s="3">
        <v>0.0</v>
      </c>
      <c r="E4376" s="3">
        <v>0.0</v>
      </c>
      <c r="F4376" s="3" t="s">
        <v>12496</v>
      </c>
      <c r="G4376" s="3">
        <v>1.0</v>
      </c>
      <c r="H4376" s="3">
        <v>0.0</v>
      </c>
      <c r="I4376" s="3" t="s">
        <v>13</v>
      </c>
      <c r="J4376" s="3" t="s">
        <v>12497</v>
      </c>
      <c r="K4376" s="3" t="s">
        <v>491</v>
      </c>
      <c r="L4376" s="3" t="str">
        <f>IFERROR(__xludf.DUMMYFUNCTION("GOOGLETRANSLATE(F4376,""id"",""en"")"),"Jagan France Final World Cup Kakanwil Faisol Ali Les Blues will remain defending Sulbar Faisol Ali's champion")</f>
        <v>Jagan France Final World Cup Kakanwil Faisol Ali Les Blues will remain defending Sulbar Faisol Ali's champion</v>
      </c>
    </row>
    <row r="4377" ht="15.75" customHeight="1">
      <c r="A4377" s="1">
        <v>4422.0</v>
      </c>
      <c r="B4377" s="3" t="s">
        <v>12498</v>
      </c>
      <c r="C4377" s="3">
        <v>0.0</v>
      </c>
      <c r="D4377" s="3">
        <v>0.0</v>
      </c>
      <c r="E4377" s="3">
        <v>0.0</v>
      </c>
      <c r="F4377" s="3" t="s">
        <v>12499</v>
      </c>
      <c r="G4377" s="3">
        <v>1.0</v>
      </c>
      <c r="H4377" s="3">
        <v>0.0</v>
      </c>
      <c r="I4377" s="3" t="s">
        <v>13</v>
      </c>
      <c r="J4377" s="3" t="s">
        <v>12500</v>
      </c>
      <c r="K4377" s="3" t="s">
        <v>1479</v>
      </c>
      <c r="L4377" s="3" t="str">
        <f>IFERROR(__xludf.DUMMYFUNCTION("GOOGLETRANSLATE(F4377,""id"",""en"")"),"The World Cup of the Regional Cup of the Head of Regional Office of Kemenkumham Sulbar Faisol Ali Prediction of France won West Sulawesi Faisol Ali")</f>
        <v>The World Cup of the Regional Cup of the Head of Regional Office of Kemenkumham Sulbar Faisol Ali Prediction of France won West Sulawesi Faisol Ali</v>
      </c>
    </row>
    <row r="4378" ht="15.75" customHeight="1">
      <c r="A4378" s="1">
        <v>4423.0</v>
      </c>
      <c r="B4378" s="3" t="s">
        <v>12501</v>
      </c>
      <c r="C4378" s="3">
        <v>0.0</v>
      </c>
      <c r="D4378" s="3">
        <v>0.0</v>
      </c>
      <c r="E4378" s="3">
        <v>0.0</v>
      </c>
      <c r="F4378" s="3" t="s">
        <v>12502</v>
      </c>
      <c r="G4378" s="3">
        <v>1.0</v>
      </c>
      <c r="H4378" s="3">
        <v>0.0</v>
      </c>
      <c r="I4378" s="3" t="s">
        <v>13</v>
      </c>
      <c r="J4378" s="3" t="s">
        <v>12503</v>
      </c>
      <c r="K4378" s="3" t="s">
        <v>437</v>
      </c>
      <c r="L4378" s="3" t="str">
        <f>IFERROR(__xludf.DUMMYFUNCTION("GOOGLETRANSLATE(F4378,""id"",""en"")"),"Ahead of the final of the Qatar World Cup Kakanwil Kemenkumham West Sulawesi Jagan Mbappe et al won the champion of West Sulawesi Faisol Ali")</f>
        <v>Ahead of the final of the Qatar World Cup Kakanwil Kemenkumham West Sulawesi Jagan Mbappe et al won the champion of West Sulawesi Faisol Ali</v>
      </c>
    </row>
    <row r="4379" ht="15.75" customHeight="1">
      <c r="A4379" s="1">
        <v>4424.0</v>
      </c>
      <c r="B4379" s="3" t="s">
        <v>12504</v>
      </c>
      <c r="C4379" s="3">
        <v>0.0</v>
      </c>
      <c r="D4379" s="3">
        <v>0.0</v>
      </c>
      <c r="E4379" s="3">
        <v>0.0</v>
      </c>
      <c r="F4379" s="3" t="s">
        <v>12505</v>
      </c>
      <c r="G4379" s="3">
        <v>0.75</v>
      </c>
      <c r="H4379" s="3">
        <v>0.15</v>
      </c>
      <c r="I4379" s="3" t="s">
        <v>48</v>
      </c>
      <c r="J4379" s="3" t="s">
        <v>12506</v>
      </c>
      <c r="K4379" s="3" t="s">
        <v>695</v>
      </c>
      <c r="L4379" s="3" t="str">
        <f>IFERROR(__xludf.DUMMYFUNCTION("GOOGLETRANSLATE(F4379,""id"",""en"")"),"Emiliano Martinez carried out an obscene movement after receiving the Golden Glove Final of the Qatar World Cup after Argentina Bending the defending champions of France")</f>
        <v>Emiliano Martinez carried out an obscene movement after receiving the Golden Glove Final of the Qatar World Cup after Argentina Bending the defending champions of France</v>
      </c>
    </row>
    <row r="4380" ht="15.75" customHeight="1">
      <c r="A4380" s="1">
        <v>4425.0</v>
      </c>
      <c r="B4380" s="3" t="s">
        <v>12507</v>
      </c>
      <c r="C4380" s="3">
        <v>0.0</v>
      </c>
      <c r="D4380" s="3">
        <v>0.0</v>
      </c>
      <c r="E4380" s="3">
        <v>1.0</v>
      </c>
      <c r="F4380" s="3" t="s">
        <v>12508</v>
      </c>
      <c r="G4380" s="3">
        <v>1.0</v>
      </c>
      <c r="H4380" s="3">
        <v>0.0</v>
      </c>
      <c r="I4380" s="3" t="s">
        <v>13</v>
      </c>
      <c r="J4380" s="3" t="s">
        <v>12509</v>
      </c>
      <c r="K4380" s="3" t="s">
        <v>19</v>
      </c>
      <c r="L4380" s="3" t="str">
        <f>IFERROR(__xludf.DUMMYFUNCTION("GOOGLETRANSLATE(F4380,""id"",""en"")"),"Watch the World Cup Final Recap Kek Taun Yaa Pdhl followed at all")</f>
        <v>Watch the World Cup Final Recap Kek Taun Yaa Pdhl followed at all</v>
      </c>
    </row>
    <row r="4381" ht="15.75" customHeight="1">
      <c r="A4381" s="1">
        <v>4426.0</v>
      </c>
      <c r="B4381" s="3" t="s">
        <v>12510</v>
      </c>
      <c r="C4381" s="3">
        <v>0.0</v>
      </c>
      <c r="D4381" s="3">
        <v>0.0</v>
      </c>
      <c r="E4381" s="3">
        <v>0.0</v>
      </c>
      <c r="F4381" s="3" t="s">
        <v>12511</v>
      </c>
      <c r="G4381" s="3">
        <v>0.8</v>
      </c>
      <c r="H4381" s="3">
        <v>-0.05</v>
      </c>
      <c r="I4381" s="3" t="s">
        <v>179</v>
      </c>
      <c r="J4381" s="3" t="s">
        <v>12512</v>
      </c>
      <c r="K4381" s="3" t="s">
        <v>584</v>
      </c>
      <c r="L4381" s="3" t="str">
        <f>IFERROR(__xludf.DUMMYFUNCTION("GOOGLETRANSLATE(F4381,""id"",""en"")"),"This Kli World Cup Narbenar with the final Argentin French Pran left behind in the opponent's half and to win the minimum prenut")</f>
        <v>This Kli World Cup Narbenar with the final Argentin French Pran left behind in the opponent's half and to win the minimum prenut</v>
      </c>
    </row>
    <row r="4382" ht="15.75" customHeight="1">
      <c r="A4382" s="1">
        <v>4427.0</v>
      </c>
      <c r="B4382" s="3" t="s">
        <v>12513</v>
      </c>
      <c r="C4382" s="3">
        <v>0.0</v>
      </c>
      <c r="D4382" s="3">
        <v>1.0</v>
      </c>
      <c r="E4382" s="3">
        <v>3.0</v>
      </c>
      <c r="F4382" s="3" t="s">
        <v>12514</v>
      </c>
      <c r="G4382" s="3">
        <v>1.0</v>
      </c>
      <c r="H4382" s="3">
        <v>0.0</v>
      </c>
      <c r="I4382" s="3" t="s">
        <v>13</v>
      </c>
      <c r="J4382" s="3" t="s">
        <v>12515</v>
      </c>
      <c r="K4382" s="3" t="s">
        <v>90</v>
      </c>
      <c r="L4382" s="3" t="str">
        <f>IFERROR(__xludf.DUMMYFUNCTION("GOOGLETRANSLATE(F4382,""id"",""en"")"),"Supporters filled Paris's middlelands today to give a warm welcome to French football troops despite died to Argentina in the World Cup final")</f>
        <v>Supporters filled Paris's middlelands today to give a warm welcome to French football troops despite died to Argentina in the World Cup final</v>
      </c>
    </row>
    <row r="4383" ht="15.75" customHeight="1">
      <c r="A4383" s="1">
        <v>4428.0</v>
      </c>
      <c r="B4383" s="3" t="s">
        <v>12516</v>
      </c>
      <c r="C4383" s="3">
        <v>9.0</v>
      </c>
      <c r="D4383" s="3">
        <v>485.0</v>
      </c>
      <c r="E4383" s="3">
        <v>2266.0</v>
      </c>
      <c r="F4383" s="3" t="s">
        <v>12517</v>
      </c>
      <c r="G4383" s="3">
        <v>1.0</v>
      </c>
      <c r="H4383" s="3">
        <v>0.0</v>
      </c>
      <c r="I4383" s="3" t="s">
        <v>13</v>
      </c>
      <c r="J4383" s="3" t="s">
        <v>12518</v>
      </c>
      <c r="K4383" s="3" t="s">
        <v>510</v>
      </c>
      <c r="L4383" s="3" t="str">
        <f>IFERROR(__xludf.DUMMYFUNCTION("GOOGLETRANSLATE(F4383,""id"",""en"")"),"I really like the way to play Messi and Mbappe during the Qatar World Cup final yesterday made this deg")</f>
        <v>I really like the way to play Messi and Mbappe during the Qatar World Cup final yesterday made this deg</v>
      </c>
    </row>
    <row r="4384" ht="15.75" customHeight="1">
      <c r="A4384" s="1">
        <v>4429.0</v>
      </c>
      <c r="B4384" s="3" t="s">
        <v>12519</v>
      </c>
      <c r="C4384" s="3">
        <v>0.0</v>
      </c>
      <c r="D4384" s="3">
        <v>0.0</v>
      </c>
      <c r="E4384" s="3">
        <v>0.0</v>
      </c>
      <c r="F4384" s="3" t="s">
        <v>12520</v>
      </c>
      <c r="G4384" s="3">
        <v>1.0</v>
      </c>
      <c r="H4384" s="3">
        <v>0.0</v>
      </c>
      <c r="I4384" s="3" t="s">
        <v>13</v>
      </c>
      <c r="J4384" s="3" t="s">
        <v>12521</v>
      </c>
      <c r="K4384" s="3" t="s">
        <v>1147</v>
      </c>
      <c r="L4384" s="3" t="str">
        <f>IFERROR(__xludf.DUMMYFUNCTION("GOOGLETRANSLATE(F4384,""id"",""en"")"),"Univ Differentiating between the best Final Final The Best Final Best still holds and that is the historical facts of FIFA trying Wikipedia or the official website of FIFA while the grandest World Cup along with the final Idama Ada Qatar")</f>
        <v>Univ Differentiating between the best Final Final The Best Final Best still holds and that is the historical facts of FIFA trying Wikipedia or the official website of FIFA while the grandest World Cup along with the final Idama Ada Qatar</v>
      </c>
    </row>
    <row r="4385" ht="15.75" customHeight="1">
      <c r="A4385" s="1">
        <v>4430.0</v>
      </c>
      <c r="B4385" s="3" t="s">
        <v>12522</v>
      </c>
      <c r="C4385" s="3">
        <v>0.0</v>
      </c>
      <c r="D4385" s="3">
        <v>1.0</v>
      </c>
      <c r="E4385" s="3">
        <v>0.0</v>
      </c>
      <c r="F4385" s="3" t="s">
        <v>12523</v>
      </c>
      <c r="G4385" s="3">
        <v>1.0</v>
      </c>
      <c r="H4385" s="3">
        <v>0.0</v>
      </c>
      <c r="I4385" s="3" t="s">
        <v>13</v>
      </c>
      <c r="J4385" s="3" t="s">
        <v>12524</v>
      </c>
      <c r="K4385" s="3" t="s">
        <v>41</v>
      </c>
      <c r="L4385" s="3" t="str">
        <f>IFERROR(__xludf.DUMMYFUNCTION("GOOGLETRANSLATE(F4385,""id"",""en"")"),"List of Countries Falling the World Cup Final but failed to win the trophy")</f>
        <v>List of Countries Falling the World Cup Final but failed to win the trophy</v>
      </c>
    </row>
    <row r="4386" ht="15.75" customHeight="1">
      <c r="A4386" s="1">
        <v>4431.0</v>
      </c>
      <c r="B4386" s="3" t="s">
        <v>12525</v>
      </c>
      <c r="C4386" s="3">
        <v>0.0</v>
      </c>
      <c r="D4386" s="3">
        <v>0.0</v>
      </c>
      <c r="E4386" s="3">
        <v>0.0</v>
      </c>
      <c r="F4386" s="3" t="s">
        <v>12526</v>
      </c>
      <c r="G4386" s="3">
        <v>1.0</v>
      </c>
      <c r="H4386" s="3">
        <v>0.0</v>
      </c>
      <c r="I4386" s="3" t="s">
        <v>13</v>
      </c>
      <c r="J4386" s="3" t="s">
        <v>12527</v>
      </c>
      <c r="K4386" s="3" t="s">
        <v>495</v>
      </c>
      <c r="L4386" s="3" t="str">
        <f>IFERROR(__xludf.DUMMYFUNCTION("GOOGLETRANSLATE(F4386,""id"",""en"")"),"Info Kylian Mbappe Ball Becomes the Second Player who scored the World Cup Final Hat Trick after Geoff Hurst for the German England in historic")</f>
        <v>Info Kylian Mbappe Ball Becomes the Second Player who scored the World Cup Final Hat Trick after Geoff Hurst for the German England in historic</v>
      </c>
    </row>
    <row r="4387" ht="15.75" customHeight="1">
      <c r="A4387" s="1">
        <v>4432.0</v>
      </c>
      <c r="B4387" s="3" t="s">
        <v>12528</v>
      </c>
      <c r="C4387" s="3">
        <v>0.0</v>
      </c>
      <c r="D4387" s="3">
        <v>0.0</v>
      </c>
      <c r="E4387" s="3">
        <v>0.0</v>
      </c>
      <c r="F4387" s="3" t="s">
        <v>12529</v>
      </c>
      <c r="G4387" s="3">
        <v>1.0</v>
      </c>
      <c r="H4387" s="3">
        <v>0.0</v>
      </c>
      <c r="I4387" s="3" t="s">
        <v>13</v>
      </c>
      <c r="J4387" s="3" t="s">
        <v>12530</v>
      </c>
      <c r="K4387" s="3" t="s">
        <v>71</v>
      </c>
      <c r="L4387" s="3" t="str">
        <f>IFERROR(__xludf.DUMMYFUNCTION("GOOGLETRANSLATE(F4387,""id"",""en"")"),"Watching the first World Cup seeing people have been hurt because they lost to the final winning beautiful")</f>
        <v>Watching the first World Cup seeing people have been hurt because they lost to the final winning beautiful</v>
      </c>
    </row>
    <row r="4388" ht="15.75" customHeight="1">
      <c r="A4388" s="1">
        <v>4433.0</v>
      </c>
      <c r="B4388" s="3" t="s">
        <v>12531</v>
      </c>
      <c r="C4388" s="3">
        <v>0.0</v>
      </c>
      <c r="D4388" s="3">
        <v>0.0</v>
      </c>
      <c r="E4388" s="3">
        <v>0.0</v>
      </c>
      <c r="F4388" s="3" t="s">
        <v>12532</v>
      </c>
      <c r="G4388" s="3">
        <v>1.0</v>
      </c>
      <c r="H4388" s="3">
        <v>0.0</v>
      </c>
      <c r="I4388" s="3" t="s">
        <v>13</v>
      </c>
      <c r="J4388" s="3" t="s">
        <v>12533</v>
      </c>
      <c r="K4388" s="3" t="s">
        <v>50</v>
      </c>
      <c r="L4388" s="3" t="str">
        <f>IFERROR(__xludf.DUMMYFUNCTION("GOOGLETRANSLATE(F4388,""id"",""en"")"),"There is no doubt that the French Argentina match is the most beautiful final in the history of the World Cup")</f>
        <v>There is no doubt that the French Argentina match is the most beautiful final in the history of the World Cup</v>
      </c>
    </row>
    <row r="4389" ht="15.75" customHeight="1">
      <c r="A4389" s="1">
        <v>4434.0</v>
      </c>
      <c r="B4389" s="3" t="s">
        <v>12534</v>
      </c>
      <c r="C4389" s="3">
        <v>1.0</v>
      </c>
      <c r="D4389" s="3">
        <v>0.0</v>
      </c>
      <c r="E4389" s="3">
        <v>6.0</v>
      </c>
      <c r="F4389" s="3" t="s">
        <v>12491</v>
      </c>
      <c r="G4389" s="3">
        <v>1.0</v>
      </c>
      <c r="H4389" s="3">
        <v>0.0</v>
      </c>
      <c r="I4389" s="3" t="s">
        <v>13</v>
      </c>
      <c r="J4389" s="3" t="s">
        <v>9658</v>
      </c>
      <c r="K4389" s="3" t="s">
        <v>240</v>
      </c>
      <c r="L4389" s="3" t="str">
        <f>IFERROR(__xludf.DUMMYFUNCTION("GOOGLETRANSLATE(F4389,""id"",""en"")"),"Although he had felt the title of the World Cup to Kylian Mbappe remained sad to fail the edition of the edition he also confirmed that he would return to the final match")</f>
        <v>Although he had felt the title of the World Cup to Kylian Mbappe remained sad to fail the edition of the edition he also confirmed that he would return to the final match</v>
      </c>
    </row>
    <row r="4390" ht="15.75" customHeight="1">
      <c r="A4390" s="1">
        <v>4435.0</v>
      </c>
      <c r="B4390" s="3" t="s">
        <v>12535</v>
      </c>
      <c r="C4390" s="3">
        <v>0.0</v>
      </c>
      <c r="D4390" s="3">
        <v>0.0</v>
      </c>
      <c r="E4390" s="3">
        <v>0.0</v>
      </c>
      <c r="F4390" s="3" t="s">
        <v>12536</v>
      </c>
      <c r="G4390" s="3">
        <v>0.5</v>
      </c>
      <c r="H4390" s="3">
        <v>0.0</v>
      </c>
      <c r="I4390" s="3" t="s">
        <v>13</v>
      </c>
      <c r="J4390" s="3" t="s">
        <v>12537</v>
      </c>
      <c r="K4390" s="3" t="s">
        <v>348</v>
      </c>
      <c r="L4390" s="3" t="str">
        <f>IFERROR(__xludf.DUMMYFUNCTION("GOOGLETRANSLATE(F4390,""id"",""en"")"),"Forensic digital expert Hery Priyanto played and enlarged CCTV footage ahead of the murder of Brigadier Yosua Hutabarat what the results were like watching the World Cup final")</f>
        <v>Forensic digital expert Hery Priyanto played and enlarged CCTV footage ahead of the murder of Brigadier Yosua Hutabarat what the results were like watching the World Cup final</v>
      </c>
    </row>
    <row r="4391" ht="15.75" customHeight="1">
      <c r="A4391" s="1">
        <v>4436.0</v>
      </c>
      <c r="B4391" s="3" t="s">
        <v>12538</v>
      </c>
      <c r="C4391" s="3">
        <v>0.0</v>
      </c>
      <c r="D4391" s="3">
        <v>2.0</v>
      </c>
      <c r="E4391" s="3">
        <v>3.0</v>
      </c>
      <c r="F4391" s="3" t="s">
        <v>12539</v>
      </c>
      <c r="G4391" s="3">
        <v>1.0</v>
      </c>
      <c r="H4391" s="3">
        <v>0.0</v>
      </c>
      <c r="I4391" s="3" t="s">
        <v>13</v>
      </c>
      <c r="J4391" s="3" t="s">
        <v>12540</v>
      </c>
      <c r="K4391" s="3" t="s">
        <v>8160</v>
      </c>
      <c r="L4391" s="3" t="str">
        <f>IFERROR(__xludf.DUMMYFUNCTION("GOOGLETRANSLATE(F4391,""id"",""en"")"),"The Bisht that Messi worn turned out to be the market for the Burth Souq Waqif Shopping Area was immediately invaded by Argentina fans one day after the Tango team defeated France in the World Cup final")</f>
        <v>The Bisht that Messi worn turned out to be the market for the Burth Souq Waqif Shopping Area was immediately invaded by Argentina fans one day after the Tango team defeated France in the World Cup final</v>
      </c>
    </row>
    <row r="4392" ht="15.75" customHeight="1">
      <c r="A4392" s="1">
        <v>4437.0</v>
      </c>
      <c r="B4392" s="3" t="s">
        <v>12541</v>
      </c>
      <c r="C4392" s="3">
        <v>0.0</v>
      </c>
      <c r="D4392" s="3">
        <v>0.0</v>
      </c>
      <c r="E4392" s="3">
        <v>0.0</v>
      </c>
      <c r="F4392" s="3" t="s">
        <v>12542</v>
      </c>
      <c r="G4392" s="3">
        <v>1.0</v>
      </c>
      <c r="H4392" s="3">
        <v>0.0</v>
      </c>
      <c r="I4392" s="3" t="s">
        <v>13</v>
      </c>
      <c r="J4392" s="3" t="s">
        <v>12543</v>
      </c>
      <c r="K4392" s="3" t="s">
        <v>41</v>
      </c>
      <c r="L4392" s="3" t="str">
        <f>IFERROR(__xludf.DUMMYFUNCTION("GOOGLETRANSLATE(F4392,""id"",""en"")"),"not France this country should be opponents of the World Cup Final Argentina")</f>
        <v>not France this country should be opponents of the World Cup Final Argentina</v>
      </c>
    </row>
    <row r="4393" ht="15.75" customHeight="1">
      <c r="A4393" s="1">
        <v>4438.0</v>
      </c>
      <c r="B4393" s="3" t="s">
        <v>12544</v>
      </c>
      <c r="C4393" s="3">
        <v>0.0</v>
      </c>
      <c r="D4393" s="3">
        <v>0.0</v>
      </c>
      <c r="E4393" s="3">
        <v>0.0</v>
      </c>
      <c r="F4393" s="3" t="s">
        <v>12545</v>
      </c>
      <c r="G4393" s="3">
        <v>1.0</v>
      </c>
      <c r="H4393" s="3">
        <v>0.0</v>
      </c>
      <c r="I4393" s="3" t="s">
        <v>13</v>
      </c>
      <c r="J4393" s="3" t="s">
        <v>12546</v>
      </c>
      <c r="K4393" s="3" t="s">
        <v>433</v>
      </c>
      <c r="L4393" s="3" t="str">
        <f>IFERROR(__xludf.DUMMYFUNCTION("GOOGLETRANSLATE(F4393,""id"",""en"")"),"Argentina's third goal scored by Lionel Messi World Cup Final is called invalid how come they can be world football")</f>
        <v>Argentina's third goal scored by Lionel Messi World Cup Final is called invalid how come they can be world football</v>
      </c>
    </row>
    <row r="4394" ht="15.75" customHeight="1">
      <c r="A4394" s="1">
        <v>4439.0</v>
      </c>
      <c r="B4394" s="3" t="s">
        <v>12547</v>
      </c>
      <c r="C4394" s="3">
        <v>0.0</v>
      </c>
      <c r="D4394" s="3">
        <v>0.0</v>
      </c>
      <c r="E4394" s="3">
        <v>0.0</v>
      </c>
      <c r="F4394" s="3" t="s">
        <v>12548</v>
      </c>
      <c r="G4394" s="3">
        <v>1.0</v>
      </c>
      <c r="H4394" s="3">
        <v>0.0</v>
      </c>
      <c r="I4394" s="3" t="s">
        <v>13</v>
      </c>
      <c r="J4394" s="3" t="s">
        <v>12549</v>
      </c>
      <c r="K4394" s="3" t="s">
        <v>348</v>
      </c>
      <c r="L4394" s="3" t="str">
        <f>IFERROR(__xludf.DUMMYFUNCTION("GOOGLETRANSLATE(F4394,""id"",""en"")"),"One of the Indian artists namely Deepika Padukone had the opportunity to bring the World Cup trophy ahead of the final match between Argentina and France a few days ago")</f>
        <v>One of the Indian artists namely Deepika Padukone had the opportunity to bring the World Cup trophy ahead of the final match between Argentina and France a few days ago</v>
      </c>
    </row>
    <row r="4395" ht="15.75" customHeight="1">
      <c r="A4395" s="1">
        <v>4440.0</v>
      </c>
      <c r="B4395" s="3" t="s">
        <v>12550</v>
      </c>
      <c r="C4395" s="3">
        <v>0.0</v>
      </c>
      <c r="D4395" s="3">
        <v>1.0</v>
      </c>
      <c r="E4395" s="3">
        <v>11.0</v>
      </c>
      <c r="F4395" s="3" t="s">
        <v>12551</v>
      </c>
      <c r="G4395" s="3">
        <v>1.0</v>
      </c>
      <c r="H4395" s="3">
        <v>0.0</v>
      </c>
      <c r="I4395" s="3" t="s">
        <v>13</v>
      </c>
      <c r="J4395" s="3" t="s">
        <v>12552</v>
      </c>
      <c r="K4395" s="3" t="s">
        <v>503</v>
      </c>
      <c r="L4395" s="3" t="str">
        <f>IFERROR(__xludf.DUMMYFUNCTION("GOOGLETRANSLATE(F4395,""id"",""en"")"),"The World Cup is a rare moment to be surprised if there are many girls joining nobar because they feel the hypes just join the final nobar of the husband because the moment is just right and exciting")</f>
        <v>The World Cup is a rare moment to be surprised if there are many girls joining nobar because they feel the hypes just join the final nobar of the husband because the moment is just right and exciting</v>
      </c>
    </row>
    <row r="4396" ht="15.75" customHeight="1">
      <c r="A4396" s="1">
        <v>4441.0</v>
      </c>
      <c r="B4396" s="3" t="s">
        <v>12553</v>
      </c>
      <c r="C4396" s="3">
        <v>0.0</v>
      </c>
      <c r="D4396" s="3">
        <v>0.0</v>
      </c>
      <c r="E4396" s="3">
        <v>0.0</v>
      </c>
      <c r="F4396" s="3" t="s">
        <v>12554</v>
      </c>
      <c r="G4396" s="3">
        <v>1.0</v>
      </c>
      <c r="H4396" s="3">
        <v>0.0</v>
      </c>
      <c r="I4396" s="3" t="s">
        <v>13</v>
      </c>
      <c r="J4396" s="3" t="s">
        <v>12555</v>
      </c>
      <c r="K4396" s="3" t="s">
        <v>484</v>
      </c>
      <c r="L4396" s="3" t="str">
        <f>IFERROR(__xludf.DUMMYFUNCTION("GOOGLETRANSLATE(F4396,""id"",""en"")"),"World Cup Final Goals Scorer Zinedine Zidane Gol Emmanuel Petit Goals Yukk Joining and Answering Pane Also")</f>
        <v>World Cup Final Goals Scorer Zinedine Zidane Gol Emmanuel Petit Goals Yukk Joining and Answering Pane Also</v>
      </c>
    </row>
    <row r="4397" ht="15.75" customHeight="1">
      <c r="A4397" s="1">
        <v>4442.0</v>
      </c>
      <c r="B4397" s="3" t="s">
        <v>12556</v>
      </c>
      <c r="C4397" s="3">
        <v>0.0</v>
      </c>
      <c r="D4397" s="3">
        <v>0.0</v>
      </c>
      <c r="E4397" s="3">
        <v>0.0</v>
      </c>
      <c r="F4397" s="3" t="s">
        <v>284</v>
      </c>
      <c r="G4397" s="3">
        <v>1.0</v>
      </c>
      <c r="H4397" s="3">
        <v>0.0</v>
      </c>
      <c r="I4397" s="3" t="s">
        <v>13</v>
      </c>
      <c r="J4397" s="3" t="s">
        <v>285</v>
      </c>
      <c r="K4397" s="3" t="s">
        <v>286</v>
      </c>
      <c r="L4397" s="3" t="str">
        <f>IFERROR(__xludf.DUMMYFUNCTION("GOOGLETRANSLATE(F4397,""id"",""en"")"),"French French goal scorer of the World Cup is Zinedine Zidane Goal Emmanuel Petit Goal watching the most solid ball using its network smoothly makes watching more exciting")</f>
        <v>French French goal scorer of the World Cup is Zinedine Zidane Goal Emmanuel Petit Goal watching the most solid ball using its network smoothly makes watching more exciting</v>
      </c>
    </row>
    <row r="4398" ht="15.75" customHeight="1">
      <c r="A4398" s="1">
        <v>4443.0</v>
      </c>
      <c r="B4398" s="3" t="s">
        <v>12557</v>
      </c>
      <c r="C4398" s="3">
        <v>0.0</v>
      </c>
      <c r="D4398" s="3">
        <v>0.0</v>
      </c>
      <c r="E4398" s="3">
        <v>0.0</v>
      </c>
      <c r="F4398" s="3" t="s">
        <v>284</v>
      </c>
      <c r="G4398" s="3">
        <v>1.0</v>
      </c>
      <c r="H4398" s="3">
        <v>0.0</v>
      </c>
      <c r="I4398" s="3" t="s">
        <v>13</v>
      </c>
      <c r="J4398" s="3" t="s">
        <v>285</v>
      </c>
      <c r="K4398" s="3" t="s">
        <v>286</v>
      </c>
      <c r="L4398" s="3" t="str">
        <f>IFERROR(__xludf.DUMMYFUNCTION("GOOGLETRANSLATE(F4398,""id"",""en"")"),"French French goal scorer of the World Cup is Zinedine Zidane Goal Emmanuel Petit Goal watching the most solid ball using its network smoothly makes watching more exciting")</f>
        <v>French French goal scorer of the World Cup is Zinedine Zidane Goal Emmanuel Petit Goal watching the most solid ball using its network smoothly makes watching more exciting</v>
      </c>
    </row>
    <row r="4399" ht="15.75" customHeight="1">
      <c r="A4399" s="1">
        <v>4444.0</v>
      </c>
      <c r="B4399" s="3" t="s">
        <v>12558</v>
      </c>
      <c r="C4399" s="3">
        <v>0.0</v>
      </c>
      <c r="D4399" s="3">
        <v>0.0</v>
      </c>
      <c r="E4399" s="3">
        <v>0.0</v>
      </c>
      <c r="F4399" s="3" t="s">
        <v>284</v>
      </c>
      <c r="G4399" s="3">
        <v>1.0</v>
      </c>
      <c r="H4399" s="3">
        <v>0.0</v>
      </c>
      <c r="I4399" s="3" t="s">
        <v>13</v>
      </c>
      <c r="J4399" s="3" t="s">
        <v>285</v>
      </c>
      <c r="K4399" s="3" t="s">
        <v>286</v>
      </c>
      <c r="L4399" s="3" t="str">
        <f>IFERROR(__xludf.DUMMYFUNCTION("GOOGLETRANSLATE(F4399,""id"",""en"")"),"French French goal scorer of the World Cup is Zinedine Zidane Goal Emmanuel Petit Goal watching the most solid ball using its network smoothly makes watching more exciting")</f>
        <v>French French goal scorer of the World Cup is Zinedine Zidane Goal Emmanuel Petit Goal watching the most solid ball using its network smoothly makes watching more exciting</v>
      </c>
    </row>
    <row r="4400" ht="15.75" customHeight="1">
      <c r="A4400" s="1">
        <v>4445.0</v>
      </c>
      <c r="B4400" s="3" t="s">
        <v>12559</v>
      </c>
      <c r="C4400" s="3">
        <v>0.0</v>
      </c>
      <c r="D4400" s="3">
        <v>0.0</v>
      </c>
      <c r="E4400" s="3">
        <v>2.0</v>
      </c>
      <c r="F4400" s="3" t="s">
        <v>12560</v>
      </c>
      <c r="G4400" s="3">
        <v>1.0</v>
      </c>
      <c r="H4400" s="3">
        <v>0.0</v>
      </c>
      <c r="I4400" s="3" t="s">
        <v>13</v>
      </c>
      <c r="J4400" s="3" t="s">
        <v>12561</v>
      </c>
      <c r="K4400" s="3" t="s">
        <v>12562</v>
      </c>
      <c r="L4400" s="3" t="str">
        <f>IFERROR(__xludf.DUMMYFUNCTION("GOOGLETRANSLATE(F4400,""id"",""en"")"),"The highest number of tackles for a World Cup final player since Gennaro Gattuso World Cup Final Fighting Ground Success The highest number for a World Cup final player since Xavi and Iniesta World Cup Final")</f>
        <v>The highest number of tackles for a World Cup final player since Gennaro Gattuso World Cup Final Fighting Ground Success The highest number for a World Cup final player since Xavi and Iniesta World Cup Final</v>
      </c>
    </row>
    <row r="4401" ht="15.75" customHeight="1">
      <c r="A4401" s="1">
        <v>4446.0</v>
      </c>
      <c r="B4401" s="3" t="s">
        <v>12563</v>
      </c>
      <c r="C4401" s="3">
        <v>0.0</v>
      </c>
      <c r="D4401" s="3">
        <v>0.0</v>
      </c>
      <c r="E4401" s="3">
        <v>2.0</v>
      </c>
      <c r="F4401" s="3" t="s">
        <v>12444</v>
      </c>
      <c r="G4401" s="3">
        <v>1.0</v>
      </c>
      <c r="H4401" s="3">
        <v>0.0</v>
      </c>
      <c r="I4401" s="3" t="s">
        <v>13</v>
      </c>
      <c r="J4401" s="3" t="s">
        <v>12445</v>
      </c>
      <c r="K4401" s="3" t="s">
        <v>495</v>
      </c>
      <c r="L4401" s="3" t="str">
        <f>IFERROR(__xludf.DUMMYFUNCTION("GOOGLETRANSLATE(F4401,""id"",""en"")"),"Kingsley Coman and Aurelien Tchouameni failed to score goals from the white point of the French World Cup final.")</f>
        <v>Kingsley Coman and Aurelien Tchouameni failed to score goals from the white point of the French World Cup final.</v>
      </c>
    </row>
    <row r="4402" ht="15.75" customHeight="1">
      <c r="A4402" s="1">
        <v>4447.0</v>
      </c>
      <c r="B4402" s="3" t="s">
        <v>12564</v>
      </c>
      <c r="C4402" s="3">
        <v>0.0</v>
      </c>
      <c r="D4402" s="3">
        <v>0.0</v>
      </c>
      <c r="E4402" s="3">
        <v>2.0</v>
      </c>
      <c r="F4402" s="3" t="s">
        <v>12565</v>
      </c>
      <c r="G4402" s="3">
        <v>1.0</v>
      </c>
      <c r="H4402" s="3">
        <v>0.0</v>
      </c>
      <c r="I4402" s="3" t="s">
        <v>13</v>
      </c>
      <c r="J4402" s="3" t="s">
        <v>12566</v>
      </c>
      <c r="K4402" s="3" t="s">
        <v>657</v>
      </c>
      <c r="L4402" s="3" t="str">
        <f>IFERROR(__xludf.DUMMYFUNCTION("GOOGLETRANSLATE(F4402,""id"",""en"")"),"Kylian Mbappe is the second player who scored the World Cup Final Hat Trick after Geoff Hurst for the German England in historic")</f>
        <v>Kylian Mbappe is the second player who scored the World Cup Final Hat Trick after Geoff Hurst for the German England in historic</v>
      </c>
    </row>
    <row r="4403" ht="15.75" customHeight="1">
      <c r="A4403" s="1">
        <v>4448.0</v>
      </c>
      <c r="B4403" s="3" t="s">
        <v>12567</v>
      </c>
      <c r="C4403" s="3">
        <v>0.0</v>
      </c>
      <c r="D4403" s="3">
        <v>0.0</v>
      </c>
      <c r="E4403" s="3">
        <v>0.0</v>
      </c>
      <c r="F4403" s="3" t="s">
        <v>12568</v>
      </c>
      <c r="G4403" s="3">
        <v>1.0</v>
      </c>
      <c r="H4403" s="3">
        <v>0.0</v>
      </c>
      <c r="I4403" s="3" t="s">
        <v>13</v>
      </c>
      <c r="J4403" s="3" t="s">
        <v>12569</v>
      </c>
      <c r="K4403" s="3" t="s">
        <v>41</v>
      </c>
      <c r="L4403" s="3" t="str">
        <f>IFERROR(__xludf.DUMMYFUNCTION("GOOGLETRANSLATE(F4403,""id"",""en"")"),"The French record round of the World Cup penalties lost to the final")</f>
        <v>The French record round of the World Cup penalties lost to the final</v>
      </c>
    </row>
    <row r="4404" ht="15.75" customHeight="1">
      <c r="A4404" s="1">
        <v>4449.0</v>
      </c>
      <c r="B4404" s="3" t="s">
        <v>12570</v>
      </c>
      <c r="C4404" s="3">
        <v>0.0</v>
      </c>
      <c r="D4404" s="3">
        <v>0.0</v>
      </c>
      <c r="E4404" s="3">
        <v>3.0</v>
      </c>
      <c r="F4404" s="3" t="s">
        <v>12571</v>
      </c>
      <c r="G4404" s="3">
        <v>0.75</v>
      </c>
      <c r="H4404" s="3">
        <v>0.15</v>
      </c>
      <c r="I4404" s="3" t="s">
        <v>48</v>
      </c>
      <c r="J4404" s="3" t="s">
        <v>12572</v>
      </c>
      <c r="K4404" s="3" t="s">
        <v>1518</v>
      </c>
      <c r="L4404" s="3" t="str">
        <f>IFERROR(__xludf.DUMMYFUNCTION("GOOGLETRANSLATE(F4404,""id"",""en"")"),"Kylian MBAPP World Cup Career based on Figures So far Games Goals Assists Golden Boot Trophy and he scored more Final goals than other players in the history of the tournament")</f>
        <v>Kylian MBAPP World Cup Career based on Figures So far Games Goals Assists Golden Boot Trophy and he scored more Final goals than other players in the history of the tournament</v>
      </c>
    </row>
    <row r="4405" ht="15.75" customHeight="1">
      <c r="A4405" s="1">
        <v>4450.0</v>
      </c>
      <c r="B4405" s="3" t="s">
        <v>12573</v>
      </c>
      <c r="C4405" s="3">
        <v>0.0</v>
      </c>
      <c r="D4405" s="3">
        <v>1.0</v>
      </c>
      <c r="E4405" s="3">
        <v>3.0</v>
      </c>
      <c r="F4405" s="3" t="s">
        <v>12574</v>
      </c>
      <c r="G4405" s="3">
        <v>1.0</v>
      </c>
      <c r="H4405" s="3">
        <v>0.0</v>
      </c>
      <c r="I4405" s="3" t="s">
        <v>13</v>
      </c>
      <c r="J4405" s="3" t="s">
        <v>12575</v>
      </c>
      <c r="K4405" s="3" t="s">
        <v>574</v>
      </c>
      <c r="L4405" s="3" t="str">
        <f>IFERROR(__xludf.DUMMYFUNCTION("GOOGLETRANSLATE(F4405,""id"",""en"")"),"Messi's first Instagram post while celebrating Argentina's victory over the French Final of the Qatar World Cup in Sunday last December was the upload of the most preferred athlete in Instagram history")</f>
        <v>Messi's first Instagram post while celebrating Argentina's victory over the French Final of the Qatar World Cup in Sunday last December was the upload of the most preferred athlete in Instagram history</v>
      </c>
    </row>
    <row r="4406" ht="15.75" customHeight="1">
      <c r="A4406" s="1">
        <v>4451.0</v>
      </c>
      <c r="B4406" s="3" t="s">
        <v>12576</v>
      </c>
      <c r="C4406" s="3">
        <v>1.0</v>
      </c>
      <c r="D4406" s="3">
        <v>0.0</v>
      </c>
      <c r="E4406" s="3">
        <v>86.0</v>
      </c>
      <c r="F4406" s="3" t="s">
        <v>12577</v>
      </c>
      <c r="G4406" s="3">
        <v>0.7272727272727273</v>
      </c>
      <c r="H4406" s="3">
        <v>0.06818181818181818</v>
      </c>
      <c r="I4406" s="3" t="s">
        <v>48</v>
      </c>
      <c r="J4406" s="3" t="s">
        <v>12578</v>
      </c>
      <c r="K4406" s="3" t="s">
        <v>54</v>
      </c>
      <c r="L4406" s="3" t="str">
        <f>IFERROR(__xludf.DUMMYFUNCTION("GOOGLETRANSLATE(F4406,""id"",""en"")"),"New Africa Nazi World Cup Final")</f>
        <v>New Africa Nazi World Cup Final</v>
      </c>
    </row>
    <row r="4407" ht="15.75" customHeight="1">
      <c r="A4407" s="1">
        <v>4452.0</v>
      </c>
      <c r="B4407" s="3" t="s">
        <v>12579</v>
      </c>
      <c r="C4407" s="3">
        <v>0.0</v>
      </c>
      <c r="D4407" s="3">
        <v>0.0</v>
      </c>
      <c r="E4407" s="3">
        <v>0.0</v>
      </c>
      <c r="F4407" s="3" t="s">
        <v>11882</v>
      </c>
      <c r="G4407" s="3">
        <v>1.0</v>
      </c>
      <c r="H4407" s="3">
        <v>0.0</v>
      </c>
      <c r="I4407" s="3" t="s">
        <v>13</v>
      </c>
      <c r="J4407" s="3" t="s">
        <v>11883</v>
      </c>
      <c r="K4407" s="3" t="s">
        <v>41</v>
      </c>
      <c r="L4407" s="3" t="str">
        <f>IFERROR(__xludf.DUMMYFUNCTION("GOOGLETRANSLATE(F4407,""id"",""en"")"),"Dramatic final in the history of Argentina in the World Cup Trophy")</f>
        <v>Dramatic final in the history of Argentina in the World Cup Trophy</v>
      </c>
    </row>
    <row r="4408" ht="15.75" customHeight="1">
      <c r="A4408" s="1">
        <v>4453.0</v>
      </c>
      <c r="B4408" s="3" t="s">
        <v>12580</v>
      </c>
      <c r="C4408" s="3">
        <v>0.0</v>
      </c>
      <c r="D4408" s="3">
        <v>0.0</v>
      </c>
      <c r="E4408" s="3">
        <v>0.0</v>
      </c>
      <c r="F4408" s="3" t="s">
        <v>9959</v>
      </c>
      <c r="G4408" s="3">
        <v>1.0</v>
      </c>
      <c r="H4408" s="3">
        <v>0.0</v>
      </c>
      <c r="I4408" s="3" t="s">
        <v>13</v>
      </c>
      <c r="J4408" s="3" t="s">
        <v>9960</v>
      </c>
      <c r="K4408" s="3" t="s">
        <v>699</v>
      </c>
      <c r="L4408" s="3" t="str">
        <f>IFERROR(__xludf.DUMMYFUNCTION("GOOGLETRANSLATE(F4408,""id"",""en"")"),"Head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4409" ht="15.75" customHeight="1">
      <c r="A4409" s="1">
        <v>4454.0</v>
      </c>
      <c r="B4409" s="3" t="s">
        <v>12581</v>
      </c>
      <c r="C4409" s="3">
        <v>0.0</v>
      </c>
      <c r="D4409" s="3">
        <v>0.0</v>
      </c>
      <c r="E4409" s="3">
        <v>0.0</v>
      </c>
      <c r="F4409" s="3" t="s">
        <v>12582</v>
      </c>
      <c r="G4409" s="3">
        <v>0.775</v>
      </c>
      <c r="H4409" s="3">
        <v>0.175</v>
      </c>
      <c r="I4409" s="3" t="s">
        <v>48</v>
      </c>
      <c r="J4409" s="3" t="s">
        <v>12583</v>
      </c>
      <c r="K4409" s="3" t="s">
        <v>1045</v>
      </c>
      <c r="L4409" s="3" t="str">
        <f>IFERROR(__xludf.DUMMYFUNCTION("GOOGLETRANSLATE(F4409,""id"",""en"")"),"Sorry, I conveyed my opinion regarding the World Cup elimination from the year to the final I watched full if I said people because I had an experience I thought something was wrong from")</f>
        <v>Sorry, I conveyed my opinion regarding the World Cup elimination from the year to the final I watched full if I said people because I had an experience I thought something was wrong from</v>
      </c>
    </row>
    <row r="4410" ht="15.75" customHeight="1">
      <c r="A4410" s="1">
        <v>4455.0</v>
      </c>
      <c r="B4410" s="3" t="s">
        <v>12584</v>
      </c>
      <c r="C4410" s="3">
        <v>0.0</v>
      </c>
      <c r="D4410" s="3">
        <v>0.0</v>
      </c>
      <c r="E4410" s="3">
        <v>0.0</v>
      </c>
      <c r="F4410" s="3" t="s">
        <v>12585</v>
      </c>
      <c r="G4410" s="3">
        <v>1.0</v>
      </c>
      <c r="H4410" s="3">
        <v>0.0</v>
      </c>
      <c r="I4410" s="3" t="s">
        <v>13</v>
      </c>
      <c r="J4410" s="3" t="s">
        <v>12586</v>
      </c>
      <c r="K4410" s="3" t="s">
        <v>71</v>
      </c>
      <c r="L4410" s="3" t="str">
        <f>IFERROR(__xludf.DUMMYFUNCTION("GOOGLETRANSLATE(F4410,""id"",""en"")"),"Will Learn New Years He has one person who can be Hatrick Final of the World Cup he will learn to be humble")</f>
        <v>Will Learn New Years He has one person who can be Hatrick Final of the World Cup he will learn to be humble</v>
      </c>
    </row>
    <row r="4411" ht="15.75" customHeight="1">
      <c r="A4411" s="1">
        <v>4456.0</v>
      </c>
      <c r="B4411" s="3" t="s">
        <v>12587</v>
      </c>
      <c r="C4411" s="3">
        <v>1.0</v>
      </c>
      <c r="D4411" s="3">
        <v>0.0</v>
      </c>
      <c r="E4411" s="3">
        <v>0.0</v>
      </c>
      <c r="F4411" s="3" t="s">
        <v>12588</v>
      </c>
      <c r="G4411" s="3">
        <v>1.0</v>
      </c>
      <c r="H4411" s="3">
        <v>0.0</v>
      </c>
      <c r="I4411" s="3" t="s">
        <v>13</v>
      </c>
      <c r="J4411" s="3" t="s">
        <v>12589</v>
      </c>
      <c r="K4411" s="3" t="s">
        <v>1045</v>
      </c>
      <c r="L4411" s="3" t="str">
        <f>IFERROR(__xludf.DUMMYFUNCTION("GOOGLETRANSLATE(F4411,""id"",""en"")"),"The World Cup MnRT always has a story yesterday Nobar invites a nephew to stay up and indoctrin if the final is always drama and the reality is the most exciting final final after the final")</f>
        <v>The World Cup MnRT always has a story yesterday Nobar invites a nephew to stay up and indoctrin if the final is always drama and the reality is the most exciting final final after the final</v>
      </c>
    </row>
    <row r="4412" ht="15.75" customHeight="1">
      <c r="A4412" s="1">
        <v>4457.0</v>
      </c>
      <c r="B4412" s="3" t="s">
        <v>12590</v>
      </c>
      <c r="C4412" s="3">
        <v>0.0</v>
      </c>
      <c r="D4412" s="3">
        <v>0.0</v>
      </c>
      <c r="E4412" s="3">
        <v>0.0</v>
      </c>
      <c r="F4412" s="3" t="s">
        <v>12591</v>
      </c>
      <c r="G4412" s="3">
        <v>1.0</v>
      </c>
      <c r="H4412" s="3">
        <v>0.0</v>
      </c>
      <c r="I4412" s="3" t="s">
        <v>13</v>
      </c>
      <c r="J4412" s="3" t="s">
        <v>12592</v>
      </c>
      <c r="K4412" s="3" t="s">
        <v>75</v>
      </c>
      <c r="L4412" s="3" t="str">
        <f>IFERROR(__xludf.DUMMYFUNCTION("GOOGLETRANSLATE(F4412,""id"",""en"")"),"The World Cup Final Bring Fan Token Lots Ride Read More")</f>
        <v>The World Cup Final Bring Fan Token Lots Ride Read More</v>
      </c>
    </row>
    <row r="4413" ht="15.75" customHeight="1">
      <c r="A4413" s="1">
        <v>4458.0</v>
      </c>
      <c r="B4413" s="3" t="s">
        <v>12593</v>
      </c>
      <c r="C4413" s="3">
        <v>0.0</v>
      </c>
      <c r="D4413" s="3">
        <v>0.0</v>
      </c>
      <c r="E4413" s="3">
        <v>2.0</v>
      </c>
      <c r="F4413" s="3" t="s">
        <v>12594</v>
      </c>
      <c r="G4413" s="3">
        <v>1.0</v>
      </c>
      <c r="H4413" s="3">
        <v>0.0</v>
      </c>
      <c r="I4413" s="3" t="s">
        <v>13</v>
      </c>
      <c r="J4413" s="3" t="s">
        <v>12595</v>
      </c>
      <c r="K4413" s="3" t="s">
        <v>1061</v>
      </c>
      <c r="L4413" s="3" t="str">
        <f>IFERROR(__xludf.DUMMYFUNCTION("GOOGLETRANSLATE(F4413,""id"",""en"")"),"Benny Simanjuntak who is Jonathan Frizzy or Ijonk's uncle yesterday just posted a video of the Christmas celebration and watching together with the final of the World Cup Ijonk with Ririn Dwi Ariyanti in full")</f>
        <v>Benny Simanjuntak who is Jonathan Frizzy or Ijonk's uncle yesterday just posted a video of the Christmas celebration and watching together with the final of the World Cup Ijonk with Ririn Dwi Ariyanti in full</v>
      </c>
    </row>
    <row r="4414" ht="15.75" customHeight="1">
      <c r="A4414" s="1">
        <v>4459.0</v>
      </c>
      <c r="B4414" s="3" t="s">
        <v>12596</v>
      </c>
      <c r="C4414" s="3">
        <v>0.0</v>
      </c>
      <c r="D4414" s="3">
        <v>4.0</v>
      </c>
      <c r="E4414" s="3">
        <v>0.0</v>
      </c>
      <c r="F4414" s="3" t="s">
        <v>12597</v>
      </c>
      <c r="G4414" s="3">
        <v>1.0</v>
      </c>
      <c r="H4414" s="3">
        <v>0.0</v>
      </c>
      <c r="I4414" s="3" t="s">
        <v>13</v>
      </c>
      <c r="J4414" s="3" t="s">
        <v>12598</v>
      </c>
      <c r="K4414" s="3" t="s">
        <v>50</v>
      </c>
      <c r="L4414" s="3" t="str">
        <f>IFERROR(__xludf.DUMMYFUNCTION("GOOGLETRANSLATE(F4414,""id"",""en"")"),"French Media Lionel Messi Goal Score World Cup Final is invalid and must be annulled")</f>
        <v>French Media Lionel Messi Goal Score World Cup Final is invalid and must be annulled</v>
      </c>
    </row>
    <row r="4415" ht="15.75" customHeight="1">
      <c r="A4415" s="1">
        <v>4460.0</v>
      </c>
      <c r="B4415" s="3" t="s">
        <v>12599</v>
      </c>
      <c r="C4415" s="3">
        <v>0.0</v>
      </c>
      <c r="D4415" s="3">
        <v>0.0</v>
      </c>
      <c r="E4415" s="3">
        <v>0.0</v>
      </c>
      <c r="F4415" s="3" t="s">
        <v>9959</v>
      </c>
      <c r="G4415" s="3">
        <v>1.0</v>
      </c>
      <c r="H4415" s="3">
        <v>0.0</v>
      </c>
      <c r="I4415" s="3" t="s">
        <v>13</v>
      </c>
      <c r="J4415" s="3" t="s">
        <v>9960</v>
      </c>
      <c r="K4415" s="3" t="s">
        <v>699</v>
      </c>
      <c r="L4415" s="3" t="str">
        <f>IFERROR(__xludf.DUMMYFUNCTION("GOOGLETRANSLATE(F4415,""id"",""en"")"),"Head of Regional Office of Kemenkumham Central Java Yuspahruddin Tegal Regional Office of Kemenkumham Central Java Holds the World Cup Nobar Final and eating together with officers and their families")</f>
        <v>Head of Regional Office of Kemenkumham Central Java Yuspahruddin Tegal Regional Office of Kemenkumham Central Java Holds the World Cup Nobar Final and eating together with officers and their families</v>
      </c>
    </row>
    <row r="4416" ht="15.75" customHeight="1">
      <c r="A4416" s="1">
        <v>4461.0</v>
      </c>
      <c r="B4416" s="3" t="s">
        <v>12600</v>
      </c>
      <c r="C4416" s="3">
        <v>0.0</v>
      </c>
      <c r="D4416" s="3">
        <v>0.0</v>
      </c>
      <c r="E4416" s="3">
        <v>0.0</v>
      </c>
      <c r="F4416" s="3" t="s">
        <v>12601</v>
      </c>
      <c r="G4416" s="3">
        <v>1.0</v>
      </c>
      <c r="H4416" s="3">
        <v>0.0</v>
      </c>
      <c r="I4416" s="3" t="s">
        <v>13</v>
      </c>
      <c r="J4416" s="3" t="s">
        <v>12602</v>
      </c>
      <c r="K4416" s="3" t="s">
        <v>41</v>
      </c>
      <c r="L4416" s="3" t="str">
        <f>IFERROR(__xludf.DUMMYFUNCTION("GOOGLETRANSLATE(F4416,""id"",""en"")"),"Raul Lemos until trending when Mbappe match the World Cup Final match")</f>
        <v>Raul Lemos until trending when Mbappe match the World Cup Final match</v>
      </c>
    </row>
    <row r="4417" ht="15.75" customHeight="1">
      <c r="A4417" s="1">
        <v>4462.0</v>
      </c>
      <c r="B4417" s="3" t="s">
        <v>12603</v>
      </c>
      <c r="C4417" s="3">
        <v>0.0</v>
      </c>
      <c r="D4417" s="3">
        <v>1.0</v>
      </c>
      <c r="E4417" s="3">
        <v>0.0</v>
      </c>
      <c r="F4417" s="3" t="s">
        <v>12604</v>
      </c>
      <c r="G4417" s="3">
        <v>1.0</v>
      </c>
      <c r="H4417" s="3">
        <v>0.0</v>
      </c>
      <c r="I4417" s="3" t="s">
        <v>13</v>
      </c>
      <c r="J4417" s="3" t="s">
        <v>12605</v>
      </c>
      <c r="K4417" s="3" t="s">
        <v>41</v>
      </c>
      <c r="L4417" s="3" t="str">
        <f>IFERROR(__xludf.DUMMYFUNCTION("GOOGLETRANSLATE(F4417,""id"",""en"")"),"Present and continue to carry a positive message for the Indonesia World Cup Final")</f>
        <v>Present and continue to carry a positive message for the Indonesia World Cup Final</v>
      </c>
    </row>
    <row r="4418" ht="15.75" customHeight="1">
      <c r="A4418" s="1">
        <v>4463.0</v>
      </c>
      <c r="B4418" s="3" t="s">
        <v>12606</v>
      </c>
      <c r="C4418" s="3">
        <v>0.0</v>
      </c>
      <c r="D4418" s="3">
        <v>0.0</v>
      </c>
      <c r="E4418" s="3">
        <v>1.0</v>
      </c>
      <c r="F4418" s="3" t="s">
        <v>12607</v>
      </c>
      <c r="G4418" s="3">
        <v>1.0</v>
      </c>
      <c r="H4418" s="3">
        <v>0.0</v>
      </c>
      <c r="I4418" s="3" t="s">
        <v>13</v>
      </c>
      <c r="J4418" s="3" t="s">
        <v>12608</v>
      </c>
      <c r="K4418" s="3" t="s">
        <v>90</v>
      </c>
      <c r="L4418" s="3" t="str">
        <f>IFERROR(__xludf.DUMMYFUNCTION("GOOGLETRANSLATE(F4418,""id"",""en"")"),"Hi French French goal scorer of the World Cup Final is Zinedine Zidane Emmanuel Petit, let's follow this cool quiz, always successful and hopefully I'm lucky")</f>
        <v>Hi French French goal scorer of the World Cup Final is Zinedine Zidane Emmanuel Petit, let's follow this cool quiz, always successful and hopefully I'm lucky</v>
      </c>
    </row>
    <row r="4419" ht="15.75" customHeight="1">
      <c r="A4419" s="1">
        <v>4464.0</v>
      </c>
      <c r="B4419" s="3" t="s">
        <v>12609</v>
      </c>
      <c r="C4419" s="3">
        <v>1.0</v>
      </c>
      <c r="D4419" s="3">
        <v>0.0</v>
      </c>
      <c r="E4419" s="3">
        <v>0.0</v>
      </c>
      <c r="F4419" s="3" t="s">
        <v>12610</v>
      </c>
      <c r="G4419" s="3">
        <v>1.0</v>
      </c>
      <c r="H4419" s="3">
        <v>0.0</v>
      </c>
      <c r="I4419" s="3" t="s">
        <v>13</v>
      </c>
      <c r="J4419" s="3" t="s">
        <v>12611</v>
      </c>
      <c r="K4419" s="3" t="s">
        <v>1854</v>
      </c>
      <c r="L4419" s="3" t="str">
        <f>IFERROR(__xludf.DUMMYFUNCTION("GOOGLETRANSLATE(F4419,""id"",""en"")"),"There is a patient with the tension, I ask, is there a history of hypertension that his patients dodged and said his tension was high because of the tense due to the final match of the Kmaren World Cup he was corrupt Argentina was the match and the last d"&amp;"ay was still tense now")</f>
        <v>There is a patient with the tension, I ask, is there a history of hypertension that his patients dodged and said his tension was high because of the tense due to the final match of the Kmaren World Cup he was corrupt Argentina was the match and the last day was still tense now</v>
      </c>
    </row>
    <row r="4420" ht="15.75" customHeight="1">
      <c r="A4420" s="1">
        <v>4465.0</v>
      </c>
      <c r="B4420" s="3" t="s">
        <v>12612</v>
      </c>
      <c r="C4420" s="3">
        <v>0.0</v>
      </c>
      <c r="D4420" s="3">
        <v>0.0</v>
      </c>
      <c r="E4420" s="3">
        <v>0.0</v>
      </c>
      <c r="F4420" s="3" t="s">
        <v>12613</v>
      </c>
      <c r="G4420" s="3">
        <v>1.0</v>
      </c>
      <c r="H4420" s="3">
        <v>0.0</v>
      </c>
      <c r="I4420" s="3" t="s">
        <v>13</v>
      </c>
      <c r="J4420" s="3" t="s">
        <v>12614</v>
      </c>
      <c r="K4420" s="3" t="s">
        <v>15</v>
      </c>
      <c r="L4420" s="3" t="str">
        <f>IFERROR(__xludf.DUMMYFUNCTION("GOOGLETRANSLATE(F4420,""id"",""en"")"),"Nobar Edition of the World Cup Final Ozone Resident Bintaro")</f>
        <v>Nobar Edition of the World Cup Final Ozone Resident Bintaro</v>
      </c>
    </row>
    <row r="4421" ht="15.75" customHeight="1">
      <c r="A4421" s="1">
        <v>5165.0</v>
      </c>
      <c r="B4421" s="3" t="s">
        <v>11506</v>
      </c>
      <c r="C4421" s="3">
        <v>15.0</v>
      </c>
      <c r="D4421" s="3">
        <v>110.0</v>
      </c>
      <c r="E4421" s="3">
        <v>579.0</v>
      </c>
      <c r="F4421" s="3" t="s">
        <v>11507</v>
      </c>
      <c r="G4421" s="3">
        <v>1.0</v>
      </c>
      <c r="H4421" s="3">
        <v>0.0</v>
      </c>
      <c r="I4421" s="3" t="s">
        <v>13</v>
      </c>
      <c r="J4421" s="3" t="s">
        <v>11508</v>
      </c>
      <c r="K4421" s="3" t="s">
        <v>11509</v>
      </c>
      <c r="L4421" s="3" t="str">
        <f>IFERROR(__xludf.DUMMYFUNCTION("GOOGLETRANSLATE(F4421,""id"",""en"")"),"Argentine French World Cup Final Nobar Nobar Final Cup French French plane Nobar Cafe")</f>
        <v>Argentine French World Cup Final Nobar Nobar Final Cup French French plane Nobar Cafe</v>
      </c>
    </row>
    <row r="4422" ht="15.75" customHeight="1">
      <c r="A4422" s="1">
        <v>5578.0</v>
      </c>
      <c r="B4422" s="3" t="s">
        <v>12615</v>
      </c>
      <c r="C4422" s="3">
        <v>0.0</v>
      </c>
      <c r="D4422" s="3">
        <v>0.0</v>
      </c>
      <c r="E4422" s="3">
        <v>3.0</v>
      </c>
      <c r="F4422" s="3" t="s">
        <v>12616</v>
      </c>
      <c r="G4422" s="3">
        <v>1.0</v>
      </c>
      <c r="H4422" s="3">
        <v>0.0</v>
      </c>
      <c r="I4422" s="3" t="s">
        <v>13</v>
      </c>
      <c r="J4422" s="3" t="s">
        <v>12617</v>
      </c>
      <c r="K4422" s="3" t="s">
        <v>149</v>
      </c>
      <c r="L4422" s="3" t="str">
        <f>IFERROR(__xludf.DUMMYFUNCTION("GOOGLETRANSLATE(F4422,""id"",""en"")"),"Permdi min wkwkw pdhl he said already used the brain of the tadpole watching the pildun because it is paid for free pildun again tell the French French Bong the Argentina")</f>
        <v>Permdi min wkwkw pdhl he said already used the brain of the tadpole watching the pildun because it is paid for free pildun again tell the French French Bong the Argentina</v>
      </c>
    </row>
    <row r="4423" ht="15.75" customHeight="1">
      <c r="A4423" s="1">
        <v>5579.0</v>
      </c>
      <c r="B4423" s="3" t="s">
        <v>12618</v>
      </c>
      <c r="C4423" s="3">
        <v>1.0</v>
      </c>
      <c r="D4423" s="3">
        <v>1.0</v>
      </c>
      <c r="E4423" s="3">
        <v>1.0</v>
      </c>
      <c r="F4423" s="3" t="s">
        <v>12619</v>
      </c>
      <c r="G4423" s="3">
        <v>1.0</v>
      </c>
      <c r="H4423" s="3">
        <v>0.0</v>
      </c>
      <c r="I4423" s="3" t="s">
        <v>13</v>
      </c>
      <c r="J4423" s="3" t="s">
        <v>12620</v>
      </c>
      <c r="K4423" s="3" t="s">
        <v>1086</v>
      </c>
      <c r="L4423" s="3" t="str">
        <f>IFERROR(__xludf.DUMMYFUNCTION("GOOGLETRANSLATE(F4423,""id"",""en"")"),"Min, if you don't want to be stupid, don't be bought up by all the other friends, Mr. Anis, the healthy, the Final Pildun, the basis")</f>
        <v>Min, if you don't want to be stupid, don't be bought up by all the other friends, Mr. Anis, the healthy, the Final Pildun, the basis</v>
      </c>
    </row>
    <row r="4424" ht="15.75" customHeight="1">
      <c r="A4424" s="1">
        <v>5580.0</v>
      </c>
      <c r="B4424" s="3" t="s">
        <v>12621</v>
      </c>
      <c r="C4424" s="3">
        <v>1.0</v>
      </c>
      <c r="D4424" s="3">
        <v>0.0</v>
      </c>
      <c r="E4424" s="3">
        <v>0.0</v>
      </c>
      <c r="F4424" s="3" t="s">
        <v>12622</v>
      </c>
      <c r="G4424" s="3">
        <v>1.0</v>
      </c>
      <c r="H4424" s="3">
        <v>0.0</v>
      </c>
      <c r="I4424" s="3" t="s">
        <v>13</v>
      </c>
      <c r="J4424" s="3" t="s">
        <v>12623</v>
      </c>
      <c r="K4424" s="3" t="s">
        <v>50</v>
      </c>
      <c r="L4424" s="3" t="str">
        <f>IFERROR(__xludf.DUMMYFUNCTION("GOOGLETRANSLATE(F4424,""id"",""en"")"),"Anyingggggg an hour is more babbling like this beyond the opening of the Pildun final match")</f>
        <v>Anyingggggg an hour is more babbling like this beyond the opening of the Pildun final match</v>
      </c>
    </row>
    <row r="4425" ht="15.75" customHeight="1">
      <c r="A4425" s="1">
        <v>5581.0</v>
      </c>
      <c r="B4425" s="3" t="s">
        <v>12624</v>
      </c>
      <c r="C4425" s="3">
        <v>1.0</v>
      </c>
      <c r="D4425" s="3">
        <v>0.0</v>
      </c>
      <c r="E4425" s="3">
        <v>0.0</v>
      </c>
      <c r="F4425" s="3" t="s">
        <v>12625</v>
      </c>
      <c r="G4425" s="3">
        <v>1.0</v>
      </c>
      <c r="H4425" s="3">
        <v>0.0</v>
      </c>
      <c r="I4425" s="3" t="s">
        <v>13</v>
      </c>
      <c r="J4425" s="3" t="s">
        <v>12626</v>
      </c>
      <c r="K4425" s="3" t="s">
        <v>1465</v>
      </c>
      <c r="L4425" s="3" t="str">
        <f>IFERROR(__xludf.DUMMYFUNCTION("GOOGLETRANSLATE(F4425,""id"",""en"")"),"Continue to start like BVB when Gotzeus Jaya is very excited when Gotze makes a goal to defeat Argentina Final Pildun and keep carrying the jersey Reus like OMMGGGGGGGGGGGGGGGGE ORIGINAL SOULMATES I used to edit Gotzeus.")</f>
        <v>Continue to start like BVB when Gotzeus Jaya is very excited when Gotze makes a goal to defeat Argentina Final Pildun and keep carrying the jersey Reus like OMMGGGGGGGGGGGGGGGGE ORIGINAL SOULMATES I used to edit Gotzeus.</v>
      </c>
    </row>
    <row r="4426" ht="15.75" customHeight="1">
      <c r="A4426" s="1">
        <v>5582.0</v>
      </c>
      <c r="B4426" s="3" t="s">
        <v>12627</v>
      </c>
      <c r="C4426" s="3">
        <v>1.0</v>
      </c>
      <c r="D4426" s="3">
        <v>0.0</v>
      </c>
      <c r="E4426" s="3">
        <v>0.0</v>
      </c>
      <c r="F4426" s="3" t="s">
        <v>12628</v>
      </c>
      <c r="G4426" s="3">
        <v>1.0</v>
      </c>
      <c r="H4426" s="3">
        <v>0.0</v>
      </c>
      <c r="I4426" s="3" t="s">
        <v>13</v>
      </c>
      <c r="J4426" s="3" t="s">
        <v>12629</v>
      </c>
      <c r="K4426" s="3" t="s">
        <v>433</v>
      </c>
      <c r="L4426" s="3" t="str">
        <f>IFERROR(__xludf.DUMMYFUNCTION("GOOGLETRANSLATE(F4426,""id"",""en"")"),"Barca slaughtered Munich and Intermilan resulted in the French UEL and Goal Entering the final minutes of the Final Pildun")</f>
        <v>Barca slaughtered Munich and Intermilan resulted in the French UEL and Goal Entering the final minutes of the Final Pildun</v>
      </c>
    </row>
    <row r="4427" ht="15.75" customHeight="1">
      <c r="A4427" s="1">
        <v>5583.0</v>
      </c>
      <c r="B4427" s="3" t="s">
        <v>12630</v>
      </c>
      <c r="C4427" s="3">
        <v>18.0</v>
      </c>
      <c r="D4427" s="3">
        <v>0.0</v>
      </c>
      <c r="E4427" s="3">
        <v>1.0</v>
      </c>
      <c r="F4427" s="3" t="s">
        <v>12631</v>
      </c>
      <c r="G4427" s="3">
        <v>1.0</v>
      </c>
      <c r="H4427" s="3">
        <v>0.0</v>
      </c>
      <c r="I4427" s="3" t="s">
        <v>13</v>
      </c>
      <c r="J4427" s="3" t="s">
        <v>12632</v>
      </c>
      <c r="K4427" s="3" t="s">
        <v>50</v>
      </c>
      <c r="L4427" s="3" t="str">
        <f>IFERROR(__xludf.DUMMYFUNCTION("GOOGLETRANSLATE(F4427,""id"",""en"")"),"Even though Messi won the most entitled mbappe he brought France twice the final")</f>
        <v>Even though Messi won the most entitled mbappe he brought France twice the final</v>
      </c>
    </row>
    <row r="4428" ht="15.75" customHeight="1">
      <c r="A4428" s="1">
        <v>5584.0</v>
      </c>
      <c r="B4428" s="3" t="s">
        <v>12633</v>
      </c>
      <c r="C4428" s="3">
        <v>0.0</v>
      </c>
      <c r="D4428" s="3">
        <v>0.0</v>
      </c>
      <c r="E4428" s="3">
        <v>0.0</v>
      </c>
      <c r="F4428" s="3" t="s">
        <v>12634</v>
      </c>
      <c r="G4428" s="3">
        <v>1.0</v>
      </c>
      <c r="H4428" s="3">
        <v>0.0</v>
      </c>
      <c r="I4428" s="3" t="s">
        <v>13</v>
      </c>
      <c r="J4428" s="3" t="s">
        <v>12635</v>
      </c>
      <c r="K4428" s="3" t="s">
        <v>15</v>
      </c>
      <c r="L4428" s="3" t="str">
        <f>IFERROR(__xludf.DUMMYFUNCTION("GOOGLETRANSLATE(F4428,""id"",""en"")"),"Laha Rabi NCEN PAS Final Pildun Wayah All")</f>
        <v>Laha Rabi NCEN PAS Final Pildun Wayah All</v>
      </c>
    </row>
    <row r="4429" ht="15.75" customHeight="1">
      <c r="A4429" s="1">
        <v>5585.0</v>
      </c>
      <c r="B4429" s="3" t="s">
        <v>12636</v>
      </c>
      <c r="C4429" s="3">
        <v>1.0</v>
      </c>
      <c r="D4429" s="3">
        <v>0.0</v>
      </c>
      <c r="E4429" s="3">
        <v>1.0</v>
      </c>
      <c r="F4429" s="3" t="s">
        <v>12637</v>
      </c>
      <c r="G4429" s="3">
        <v>0.8</v>
      </c>
      <c r="H4429" s="3">
        <v>0.25</v>
      </c>
      <c r="I4429" s="3" t="s">
        <v>48</v>
      </c>
      <c r="J4429" s="3" t="s">
        <v>12638</v>
      </c>
      <c r="K4429" s="3" t="s">
        <v>12639</v>
      </c>
      <c r="L4429" s="3" t="str">
        <f>IFERROR(__xludf.DUMMYFUNCTION("GOOGLETRANSLATE(F4429,""id"",""en"")"),"Jan hit Covid bgstt feb bought iPad mar pts first offline project aprin re -rewriting")</f>
        <v>Jan hit Covid bgstt feb bought iPad mar pts first offline project aprin re -rewriting</v>
      </c>
    </row>
    <row r="4430" ht="15.75" customHeight="1">
      <c r="A4430" s="1">
        <v>5586.0</v>
      </c>
      <c r="B4430" s="3" t="s">
        <v>12640</v>
      </c>
      <c r="C4430" s="3">
        <v>0.0</v>
      </c>
      <c r="D4430" s="3">
        <v>0.0</v>
      </c>
      <c r="E4430" s="3">
        <v>0.0</v>
      </c>
      <c r="F4430" s="3" t="s">
        <v>12641</v>
      </c>
      <c r="G4430" s="3">
        <v>1.0</v>
      </c>
      <c r="H4430" s="3">
        <v>0.0</v>
      </c>
      <c r="I4430" s="3" t="s">
        <v>13</v>
      </c>
      <c r="J4430" s="3" t="s">
        <v>12642</v>
      </c>
      <c r="K4430" s="3" t="s">
        <v>699</v>
      </c>
      <c r="L4430" s="3" t="str">
        <f>IFERROR(__xludf.DUMMYFUNCTION("GOOGLETRANSLATE(F4430,""id"",""en"")"),"Hype is the best because the first time African land, but the best year's match, including the best final, was also the best during the pildun")</f>
        <v>Hype is the best because the first time African land, but the best year's match, including the best final, was also the best during the pildun</v>
      </c>
    </row>
    <row r="4431" ht="15.75" customHeight="1">
      <c r="A4431" s="1">
        <v>5587.0</v>
      </c>
      <c r="B4431" s="3" t="s">
        <v>12643</v>
      </c>
      <c r="C4431" s="3">
        <v>0.0</v>
      </c>
      <c r="D4431" s="3">
        <v>0.0</v>
      </c>
      <c r="E4431" s="3">
        <v>0.0</v>
      </c>
      <c r="F4431" s="3" t="s">
        <v>12644</v>
      </c>
      <c r="G4431" s="3">
        <v>1.0</v>
      </c>
      <c r="H4431" s="3">
        <v>0.0</v>
      </c>
      <c r="I4431" s="3" t="s">
        <v>13</v>
      </c>
      <c r="J4431" s="3" t="s">
        <v>12645</v>
      </c>
      <c r="K4431" s="3" t="s">
        <v>50</v>
      </c>
      <c r="L4431" s="3" t="str">
        <f>IFERROR(__xludf.DUMMYFUNCTION("GOOGLETRANSLATE(F4431,""id"",""en"")"),"This match is Dutch like revenge with Spain because the final pildun loses")</f>
        <v>This match is Dutch like revenge with Spain because the final pildun loses</v>
      </c>
    </row>
    <row r="4432" ht="15.75" customHeight="1">
      <c r="A4432" s="1">
        <v>5588.0</v>
      </c>
      <c r="B4432" s="3" t="s">
        <v>12646</v>
      </c>
      <c r="C4432" s="3">
        <v>0.0</v>
      </c>
      <c r="D4432" s="3">
        <v>0.0</v>
      </c>
      <c r="E4432" s="3">
        <v>0.0</v>
      </c>
      <c r="F4432" s="3" t="s">
        <v>12647</v>
      </c>
      <c r="G4432" s="3">
        <v>1.0</v>
      </c>
      <c r="H4432" s="3">
        <v>0.0</v>
      </c>
      <c r="I4432" s="3" t="s">
        <v>13</v>
      </c>
      <c r="J4432" s="3" t="s">
        <v>12648</v>
      </c>
      <c r="K4432" s="3" t="s">
        <v>1097</v>
      </c>
      <c r="L4432" s="3" t="str">
        <f>IFERROR(__xludf.DUMMYFUNCTION("GOOGLETRANSLATE(F4432,""id"",""en"")"),"Last week at this hour ready to be ready for the final pildun mononton, wkwk")</f>
        <v>Last week at this hour ready to be ready for the final pildun mononton, wkwk</v>
      </c>
    </row>
    <row r="4433" ht="15.75" customHeight="1">
      <c r="A4433" s="1">
        <v>5589.0</v>
      </c>
      <c r="B4433" s="3" t="s">
        <v>12649</v>
      </c>
      <c r="C4433" s="3">
        <v>1.0</v>
      </c>
      <c r="D4433" s="3">
        <v>0.0</v>
      </c>
      <c r="E4433" s="3">
        <v>0.0</v>
      </c>
      <c r="F4433" s="3" t="s">
        <v>12650</v>
      </c>
      <c r="G4433" s="3">
        <v>1.0</v>
      </c>
      <c r="H4433" s="3">
        <v>0.0</v>
      </c>
      <c r="I4433" s="3" t="s">
        <v>13</v>
      </c>
      <c r="J4433" s="3" t="s">
        <v>12651</v>
      </c>
      <c r="K4433" s="3" t="s">
        <v>31</v>
      </c>
      <c r="L4433" s="3" t="str">
        <f>IFERROR(__xludf.DUMMYFUNCTION("GOOGLETRANSLATE(F4433,""id"",""en"")"),"guy when nobar Final Pildun Shopee")</f>
        <v>guy when nobar Final Pildun Shopee</v>
      </c>
    </row>
    <row r="4434" ht="15.75" customHeight="1">
      <c r="A4434" s="1">
        <v>5590.0</v>
      </c>
      <c r="B4434" s="3" t="s">
        <v>12652</v>
      </c>
      <c r="C4434" s="3">
        <v>0.0</v>
      </c>
      <c r="D4434" s="3">
        <v>0.0</v>
      </c>
      <c r="E4434" s="3">
        <v>0.0</v>
      </c>
      <c r="F4434" s="3" t="s">
        <v>12653</v>
      </c>
      <c r="G4434" s="3">
        <v>1.0</v>
      </c>
      <c r="H4434" s="3">
        <v>0.0</v>
      </c>
      <c r="I4434" s="3" t="s">
        <v>13</v>
      </c>
      <c r="J4434" s="3" t="s">
        <v>12654</v>
      </c>
      <c r="K4434" s="3" t="s">
        <v>75</v>
      </c>
      <c r="L4434" s="3" t="str">
        <f>IFERROR(__xludf.DUMMYFUNCTION("GOOGLETRANSLATE(F4434,""id"",""en"")"),"wkt, why run away last week I want to watch the final pildun")</f>
        <v>wkt, why run away last week I want to watch the final pildun</v>
      </c>
    </row>
    <row r="4435" ht="15.75" customHeight="1">
      <c r="A4435" s="1">
        <v>5591.0</v>
      </c>
      <c r="B4435" s="3" t="s">
        <v>12655</v>
      </c>
      <c r="C4435" s="3">
        <v>2.0</v>
      </c>
      <c r="D4435" s="3">
        <v>0.0</v>
      </c>
      <c r="E4435" s="3">
        <v>0.0</v>
      </c>
      <c r="F4435" s="3" t="s">
        <v>12656</v>
      </c>
      <c r="G4435" s="3">
        <v>1.0</v>
      </c>
      <c r="H4435" s="3">
        <v>0.0</v>
      </c>
      <c r="I4435" s="3" t="s">
        <v>13</v>
      </c>
      <c r="J4435" s="3" t="s">
        <v>12657</v>
      </c>
      <c r="K4435" s="3" t="s">
        <v>15</v>
      </c>
      <c r="L4435" s="3" t="str">
        <f>IFERROR(__xludf.DUMMYFUNCTION("GOOGLETRANSLATE(F4435,""id"",""en"")"),"The issue of the issue was poisoned before the final match but Brazil made a petition")</f>
        <v>The issue of the issue was poisoned before the final match but Brazil made a petition</v>
      </c>
    </row>
    <row r="4436" ht="15.75" customHeight="1">
      <c r="A4436" s="1">
        <v>5592.0</v>
      </c>
      <c r="B4436" s="3" t="s">
        <v>12658</v>
      </c>
      <c r="C4436" s="3">
        <v>0.0</v>
      </c>
      <c r="D4436" s="3">
        <v>0.0</v>
      </c>
      <c r="E4436" s="3">
        <v>0.0</v>
      </c>
      <c r="F4436" s="3" t="s">
        <v>12659</v>
      </c>
      <c r="G4436" s="3">
        <v>1.0</v>
      </c>
      <c r="H4436" s="3">
        <v>0.0</v>
      </c>
      <c r="I4436" s="3" t="s">
        <v>13</v>
      </c>
      <c r="J4436" s="3" t="s">
        <v>12660</v>
      </c>
      <c r="K4436" s="3" t="s">
        <v>510</v>
      </c>
      <c r="L4436" s="3" t="str">
        <f>IFERROR(__xludf.DUMMYFUNCTION("GOOGLETRANSLATE(F4436,""id"",""en"")"),"Walach wkwkwkw, I also prefer the pildun hype, then I know that next week it's final")</f>
        <v>Walach wkwkwkw, I also prefer the pildun hype, then I know that next week it's final</v>
      </c>
    </row>
    <row r="4437" ht="15.75" customHeight="1">
      <c r="A4437" s="1">
        <v>5593.0</v>
      </c>
      <c r="B4437" s="3" t="s">
        <v>12661</v>
      </c>
      <c r="C4437" s="3">
        <v>0.0</v>
      </c>
      <c r="D4437" s="3">
        <v>0.0</v>
      </c>
      <c r="E4437" s="3">
        <v>0.0</v>
      </c>
      <c r="F4437" s="3" t="s">
        <v>12662</v>
      </c>
      <c r="G4437" s="3">
        <v>1.0</v>
      </c>
      <c r="H4437" s="3">
        <v>0.0</v>
      </c>
      <c r="I4437" s="3" t="s">
        <v>13</v>
      </c>
      <c r="J4437" s="3" t="s">
        <v>12663</v>
      </c>
      <c r="K4437" s="3" t="s">
        <v>50</v>
      </c>
      <c r="L4437" s="3" t="str">
        <f>IFERROR(__xludf.DUMMYFUNCTION("GOOGLETRANSLATE(F4437,""id"",""en"")"),"It's a shame that it's just back even though it's a lot of content when it's after the final pildun")</f>
        <v>It's a shame that it's just back even though it's a lot of content when it's after the final pildun</v>
      </c>
    </row>
    <row r="4438" ht="15.75" customHeight="1">
      <c r="A4438" s="1">
        <v>5594.0</v>
      </c>
      <c r="B4438" s="3" t="s">
        <v>12664</v>
      </c>
      <c r="C4438" s="3">
        <v>0.0</v>
      </c>
      <c r="D4438" s="3">
        <v>0.0</v>
      </c>
      <c r="E4438" s="3">
        <v>0.0</v>
      </c>
      <c r="F4438" s="3" t="s">
        <v>12665</v>
      </c>
      <c r="G4438" s="3">
        <v>1.0</v>
      </c>
      <c r="H4438" s="3">
        <v>0.0</v>
      </c>
      <c r="I4438" s="3" t="s">
        <v>13</v>
      </c>
      <c r="J4438" s="3" t="s">
        <v>12666</v>
      </c>
      <c r="K4438" s="3" t="s">
        <v>31</v>
      </c>
      <c r="L4438" s="3" t="str">
        <f>IFERROR(__xludf.DUMMYFUNCTION("GOOGLETRANSLATE(F4438,""id"",""en"")"),"Saestu Wes Koyo Final Pildun")</f>
        <v>Saestu Wes Koyo Final Pildun</v>
      </c>
    </row>
    <row r="4439" ht="15.75" customHeight="1">
      <c r="A4439" s="1">
        <v>5596.0</v>
      </c>
      <c r="B4439" s="3" t="s">
        <v>12667</v>
      </c>
      <c r="C4439" s="3">
        <v>0.0</v>
      </c>
      <c r="D4439" s="3">
        <v>0.0</v>
      </c>
      <c r="E4439" s="3">
        <v>0.0</v>
      </c>
      <c r="F4439" s="3" t="s">
        <v>12668</v>
      </c>
      <c r="G4439" s="3">
        <v>0.75</v>
      </c>
      <c r="H4439" s="3">
        <v>0.25</v>
      </c>
      <c r="I4439" s="3" t="s">
        <v>48</v>
      </c>
      <c r="J4439" s="3" t="s">
        <v>12669</v>
      </c>
      <c r="K4439" s="3" t="s">
        <v>899</v>
      </c>
      <c r="L4439" s="3" t="str">
        <f>IFERROR(__xludf.DUMMYFUNCTION("GOOGLETRANSLATE(F4439,""id"",""en"")"),"Min, it is clear that the narrative is full of sister, still believed to be shared first, remember the first pildun qatar pildun then see the cute of the anies written there, the first tweet is clearly the top of the inconsequential besides what")</f>
        <v>Min, it is clear that the narrative is full of sister, still believed to be shared first, remember the first pildun qatar pildun then see the cute of the anies written there, the first tweet is clearly the top of the inconsequential besides what</v>
      </c>
    </row>
    <row r="4440" ht="15.75" customHeight="1">
      <c r="A4440" s="1">
        <v>5597.0</v>
      </c>
      <c r="B4440" s="3" t="s">
        <v>12670</v>
      </c>
      <c r="C4440" s="3">
        <v>0.0</v>
      </c>
      <c r="D4440" s="3">
        <v>0.0</v>
      </c>
      <c r="E4440" s="3">
        <v>1.0</v>
      </c>
      <c r="F4440" s="3" t="s">
        <v>12671</v>
      </c>
      <c r="G4440" s="3">
        <v>1.0</v>
      </c>
      <c r="H4440" s="3">
        <v>0.0</v>
      </c>
      <c r="I4440" s="3" t="s">
        <v>13</v>
      </c>
      <c r="J4440" s="3" t="s">
        <v>12672</v>
      </c>
      <c r="K4440" s="3" t="s">
        <v>1469</v>
      </c>
      <c r="L4440" s="3" t="str">
        <f>IFERROR(__xludf.DUMMYFUNCTION("GOOGLETRANSLATE(F4440,""id"",""en"")"),"Min Tweet is the date while the final pildun date des if edit nimpa images are the editing of the bong")</f>
        <v>Min Tweet is the date while the final pildun date des if edit nimpa images are the editing of the bong</v>
      </c>
    </row>
    <row r="4441" ht="15.75" customHeight="1">
      <c r="A4441" s="1">
        <v>5598.0</v>
      </c>
      <c r="B4441" s="3" t="s">
        <v>12673</v>
      </c>
      <c r="C4441" s="3">
        <v>0.0</v>
      </c>
      <c r="D4441" s="3">
        <v>0.0</v>
      </c>
      <c r="E4441" s="3">
        <v>0.0</v>
      </c>
      <c r="F4441" s="3" t="s">
        <v>12674</v>
      </c>
      <c r="G4441" s="3">
        <v>1.0</v>
      </c>
      <c r="H4441" s="3">
        <v>0.0</v>
      </c>
      <c r="I4441" s="3" t="s">
        <v>13</v>
      </c>
      <c r="J4441" s="3" t="s">
        <v>12675</v>
      </c>
      <c r="K4441" s="3" t="s">
        <v>240</v>
      </c>
      <c r="L4441" s="3" t="str">
        <f>IFERROR(__xludf.DUMMYFUNCTION("GOOGLETRANSLATE(F4441,""id"",""en"")"),"Your calendar is broken in the final pildun, the champion of Argentina Consultant is champions, he said logic was used by the client")</f>
        <v>Your calendar is broken in the final pildun, the champion of Argentina Consultant is champions, he said logic was used by the client</v>
      </c>
    </row>
    <row r="4442" ht="15.75" customHeight="1">
      <c r="A4442" s="1">
        <v>5599.0</v>
      </c>
      <c r="B4442" s="3" t="s">
        <v>12676</v>
      </c>
      <c r="C4442" s="3">
        <v>0.0</v>
      </c>
      <c r="D4442" s="3">
        <v>0.0</v>
      </c>
      <c r="E4442" s="3">
        <v>0.0</v>
      </c>
      <c r="F4442" s="3" t="s">
        <v>12677</v>
      </c>
      <c r="G4442" s="3">
        <v>1.0</v>
      </c>
      <c r="H4442" s="3">
        <v>0.0</v>
      </c>
      <c r="I4442" s="3" t="s">
        <v>13</v>
      </c>
      <c r="J4442" s="3" t="s">
        <v>12678</v>
      </c>
      <c r="K4442" s="3" t="s">
        <v>35</v>
      </c>
      <c r="L4442" s="3" t="str">
        <f>IFERROR(__xludf.DUMMYFUNCTION("GOOGLETRANSLATE(F4442,""id"",""en"")"),"Min, the stupid basis, Pak Anies, post the Final Pildun, if the brain is used, you will know if you are stupid")</f>
        <v>Min, the stupid basis, Pak Anies, post the Final Pildun, if the brain is used, you will know if you are stupid</v>
      </c>
    </row>
    <row r="4443" ht="15.75" customHeight="1">
      <c r="A4443" s="1">
        <v>5600.0</v>
      </c>
      <c r="B4443" s="3" t="s">
        <v>12679</v>
      </c>
      <c r="C4443" s="3">
        <v>0.0</v>
      </c>
      <c r="D4443" s="3">
        <v>0.0</v>
      </c>
      <c r="E4443" s="3">
        <v>1.0</v>
      </c>
      <c r="F4443" s="3" t="s">
        <v>12680</v>
      </c>
      <c r="G4443" s="3">
        <v>1.0</v>
      </c>
      <c r="H4443" s="3">
        <v>0.0</v>
      </c>
      <c r="I4443" s="3" t="s">
        <v>13</v>
      </c>
      <c r="J4443" s="3" t="s">
        <v>12681</v>
      </c>
      <c r="K4443" s="3" t="s">
        <v>433</v>
      </c>
      <c r="L4443" s="3" t="str">
        <f>IFERROR(__xludf.DUMMYFUNCTION("GOOGLETRANSLATE(F4443,""id"",""en"")"),"Min tadpole like you, min if you don't stupid stupid")</f>
        <v>Min tadpole like you, min if you don't stupid stupid</v>
      </c>
    </row>
    <row r="4444" ht="15.75" customHeight="1">
      <c r="A4444" s="1">
        <v>5601.0</v>
      </c>
      <c r="B4444" s="3" t="s">
        <v>12682</v>
      </c>
      <c r="C4444" s="3">
        <v>0.0</v>
      </c>
      <c r="D4444" s="3">
        <v>0.0</v>
      </c>
      <c r="E4444" s="3">
        <v>0.0</v>
      </c>
      <c r="F4444" s="3" t="s">
        <v>12683</v>
      </c>
      <c r="G4444" s="3">
        <v>1.0</v>
      </c>
      <c r="H4444" s="3">
        <v>0.0</v>
      </c>
      <c r="I4444" s="3" t="s">
        <v>13</v>
      </c>
      <c r="J4444" s="3" t="s">
        <v>12684</v>
      </c>
      <c r="K4444" s="3" t="s">
        <v>2117</v>
      </c>
      <c r="L4444" s="3" t="str">
        <f>IFERROR(__xludf.DUMMYFUNCTION("GOOGLETRANSLATE(F4444,""id"",""en"")"),"when the final pildun")</f>
        <v>when the final pildun</v>
      </c>
    </row>
    <row r="4445" ht="15.75" customHeight="1">
      <c r="A4445" s="1">
        <v>5602.0</v>
      </c>
      <c r="B4445" s="3" t="s">
        <v>12685</v>
      </c>
      <c r="C4445" s="3">
        <v>1.0</v>
      </c>
      <c r="D4445" s="3">
        <v>0.0</v>
      </c>
      <c r="E4445" s="3">
        <v>0.0</v>
      </c>
      <c r="F4445" s="3" t="s">
        <v>12686</v>
      </c>
      <c r="G4445" s="3">
        <v>1.0</v>
      </c>
      <c r="H4445" s="3">
        <v>0.0</v>
      </c>
      <c r="I4445" s="3" t="s">
        <v>13</v>
      </c>
      <c r="J4445" s="3" t="s">
        <v>12687</v>
      </c>
      <c r="K4445" s="3" t="s">
        <v>1061</v>
      </c>
      <c r="L4445" s="3" t="str">
        <f>IFERROR(__xludf.DUMMYFUNCTION("GOOGLETRANSLATE(F4445,""id"",""en"")"),"Pumpido Injury Amangboru Pildun replaced by Sergio Goycochea who performed ciamik Pildun despite the feet of Adreas Brehme Final when the third world goalkeeper from Cameroon alias Thomas Nkono")</f>
        <v>Pumpido Injury Amangboru Pildun replaced by Sergio Goycochea who performed ciamik Pildun despite the feet of Adreas Brehme Final when the third world goalkeeper from Cameroon alias Thomas Nkono</v>
      </c>
    </row>
    <row r="4446" ht="15.75" customHeight="1">
      <c r="A4446" s="1">
        <v>5604.0</v>
      </c>
      <c r="B4446" s="3" t="s">
        <v>12688</v>
      </c>
      <c r="C4446" s="3">
        <v>1.0</v>
      </c>
      <c r="D4446" s="3">
        <v>0.0</v>
      </c>
      <c r="E4446" s="3">
        <v>0.0</v>
      </c>
      <c r="F4446" s="3" t="s">
        <v>12689</v>
      </c>
      <c r="G4446" s="3">
        <v>1.0</v>
      </c>
      <c r="H4446" s="3">
        <v>0.0</v>
      </c>
      <c r="I4446" s="3" t="s">
        <v>13</v>
      </c>
      <c r="J4446" s="3" t="s">
        <v>12690</v>
      </c>
      <c r="K4446" s="3" t="s">
        <v>236</v>
      </c>
      <c r="L4446" s="3" t="str">
        <f>IFERROR(__xludf.DUMMYFUNCTION("GOOGLETRANSLATE(F4446,""id"",""en"")"),"You have failed the final penalty of the Pilduun until France failed to win")</f>
        <v>You have failed the final penalty of the Pilduun until France failed to win</v>
      </c>
    </row>
    <row r="4447" ht="15.75" customHeight="1">
      <c r="A4447" s="1">
        <v>5605.0</v>
      </c>
      <c r="B4447" s="3" t="s">
        <v>12691</v>
      </c>
      <c r="C4447" s="3">
        <v>1.0</v>
      </c>
      <c r="D4447" s="3">
        <v>0.0</v>
      </c>
      <c r="E4447" s="3">
        <v>0.0</v>
      </c>
      <c r="F4447" s="3" t="s">
        <v>12692</v>
      </c>
      <c r="G4447" s="3">
        <v>1.0</v>
      </c>
      <c r="H4447" s="3">
        <v>0.0</v>
      </c>
      <c r="I4447" s="3" t="s">
        <v>13</v>
      </c>
      <c r="J4447" s="3" t="s">
        <v>12693</v>
      </c>
      <c r="K4447" s="3" t="s">
        <v>19</v>
      </c>
      <c r="L4447" s="3" t="str">
        <f>IFERROR(__xludf.DUMMYFUNCTION("GOOGLETRANSLATE(F4447,""id"",""en"")"),"Noted it's been a week through the final of the pildun and still every day Kepoin three of Messi's children")</f>
        <v>Noted it's been a week through the final of the pildun and still every day Kepoin three of Messi's children</v>
      </c>
    </row>
    <row r="4448" ht="15.75" customHeight="1">
      <c r="A4448" s="1">
        <v>5606.0</v>
      </c>
      <c r="B4448" s="3" t="s">
        <v>12694</v>
      </c>
      <c r="C4448" s="3">
        <v>0.0</v>
      </c>
      <c r="D4448" s="3">
        <v>0.0</v>
      </c>
      <c r="E4448" s="3">
        <v>0.0</v>
      </c>
      <c r="F4448" s="3" t="s">
        <v>12695</v>
      </c>
      <c r="G4448" s="3">
        <v>0.8</v>
      </c>
      <c r="H4448" s="3">
        <v>-0.05</v>
      </c>
      <c r="I4448" s="3" t="s">
        <v>179</v>
      </c>
      <c r="J4448" s="3" t="s">
        <v>12696</v>
      </c>
      <c r="K4448" s="3" t="s">
        <v>82</v>
      </c>
      <c r="L4448" s="3" t="str">
        <f>IFERROR(__xludf.DUMMYFUNCTION("GOOGLETRANSLATE(F4448,""id"",""en"")"),"Ronaldo at least entered the Final Pildun first Adick")</f>
        <v>Ronaldo at least entered the Final Pildun first Adick</v>
      </c>
    </row>
    <row r="4449" ht="15.75" customHeight="1">
      <c r="A4449" s="1">
        <v>5608.0</v>
      </c>
      <c r="B4449" s="3" t="s">
        <v>12697</v>
      </c>
      <c r="C4449" s="3">
        <v>0.0</v>
      </c>
      <c r="D4449" s="3">
        <v>0.0</v>
      </c>
      <c r="E4449" s="3">
        <v>36.0</v>
      </c>
      <c r="F4449" s="3" t="s">
        <v>12698</v>
      </c>
      <c r="G4449" s="3">
        <v>1.0</v>
      </c>
      <c r="H4449" s="3">
        <v>0.0</v>
      </c>
      <c r="I4449" s="3" t="s">
        <v>13</v>
      </c>
      <c r="J4449" s="3" t="s">
        <v>12699</v>
      </c>
      <c r="K4449" s="3" t="s">
        <v>682</v>
      </c>
      <c r="L4449" s="3" t="str">
        <f>IFERROR(__xludf.DUMMYFUNCTION("GOOGLETRANSLATE(F4449,""id"",""en"")"),"Ronaldo FYI Pildun Euro If you believe it just asks Italy and German Italy Euro champions Euro passed the German Pilduun Tengpokeng Phase Grub Penaldo Final Euro shouted on the edge of the field only Euro is more difficult but how come Portugal")</f>
        <v>Ronaldo FYI Pildun Euro If you believe it just asks Italy and German Italy Euro champions Euro passed the German Pilduun Tengpokeng Phase Grub Penaldo Final Euro shouted on the edge of the field only Euro is more difficult but how come Portugal</v>
      </c>
    </row>
    <row r="4450" ht="15.75" customHeight="1">
      <c r="A4450" s="1">
        <v>5609.0</v>
      </c>
      <c r="B4450" s="3" t="s">
        <v>12700</v>
      </c>
      <c r="C4450" s="3">
        <v>6.0</v>
      </c>
      <c r="D4450" s="3">
        <v>0.0</v>
      </c>
      <c r="E4450" s="3">
        <v>2.0</v>
      </c>
      <c r="F4450" s="3" t="s">
        <v>12701</v>
      </c>
      <c r="G4450" s="3">
        <v>0.75</v>
      </c>
      <c r="H4450" s="3">
        <v>0.25</v>
      </c>
      <c r="I4450" s="3" t="s">
        <v>48</v>
      </c>
      <c r="J4450" s="3" t="s">
        <v>12702</v>
      </c>
      <c r="K4450" s="3" t="s">
        <v>6117</v>
      </c>
      <c r="L4450" s="3" t="str">
        <f>IFERROR(__xludf.DUMMYFUNCTION("GOOGLETRANSLATE(F4450,""id"",""en"")"),"Portuguese top scores carrying the Medioker Team KEK Portuguese PESSI where capable of the Copa Tournament Champion at the level of AFF is also able to Brunei Copa can also enter the final champion Pilduun as well as FIFA assistance")</f>
        <v>Portuguese top scores carrying the Medioker Team KEK Portuguese PESSI where capable of the Copa Tournament Champion at the level of AFF is also able to Brunei Copa can also enter the final champion Pilduun as well as FIFA assistance</v>
      </c>
    </row>
    <row r="4451" ht="15.75" customHeight="1">
      <c r="A4451" s="1">
        <v>5610.0</v>
      </c>
      <c r="B4451" s="3" t="s">
        <v>12703</v>
      </c>
      <c r="C4451" s="3">
        <v>0.0</v>
      </c>
      <c r="D4451" s="3">
        <v>0.0</v>
      </c>
      <c r="E4451" s="3">
        <v>4.0</v>
      </c>
      <c r="F4451" s="3" t="s">
        <v>12704</v>
      </c>
      <c r="G4451" s="3">
        <v>0.85</v>
      </c>
      <c r="H4451" s="3">
        <v>0.4</v>
      </c>
      <c r="I4451" s="3" t="s">
        <v>48</v>
      </c>
      <c r="J4451" s="3" t="s">
        <v>12705</v>
      </c>
      <c r="K4451" s="3" t="s">
        <v>6117</v>
      </c>
      <c r="L4451" s="3" t="str">
        <f>IFERROR(__xludf.DUMMYFUNCTION("GOOGLETRANSLATE(F4451,""id"",""en"")"),"Ronaldo FYI Pilduun Euro If you believe it just asks Italy and German Italy Euro champions passed the German Pilduun Tengpokeng Grub Phase LOL Penaldo hard work Euro Final shouted on the edge of the field")</f>
        <v>Ronaldo FYI Pilduun Euro If you believe it just asks Italy and German Italy Euro champions passed the German Pilduun Tengpokeng Grub Phase LOL Penaldo hard work Euro Final shouted on the edge of the field</v>
      </c>
    </row>
    <row r="4452" ht="15.75" customHeight="1">
      <c r="A4452" s="1">
        <v>5611.0</v>
      </c>
      <c r="B4452" s="3" t="s">
        <v>12706</v>
      </c>
      <c r="C4452" s="3">
        <v>0.0</v>
      </c>
      <c r="D4452" s="3">
        <v>0.0</v>
      </c>
      <c r="E4452" s="3">
        <v>0.0</v>
      </c>
      <c r="F4452" s="3" t="s">
        <v>12707</v>
      </c>
      <c r="G4452" s="3">
        <v>1.0</v>
      </c>
      <c r="H4452" s="3">
        <v>0.0</v>
      </c>
      <c r="I4452" s="3" t="s">
        <v>13</v>
      </c>
      <c r="J4452" s="3" t="s">
        <v>12708</v>
      </c>
      <c r="K4452" s="3" t="s">
        <v>715</v>
      </c>
      <c r="L4452" s="3" t="str">
        <f>IFERROR(__xludf.DUMMYFUNCTION("GOOGLETRANSLATE(F4452,""id"",""en"")"),"Argentina Champion Pilduun Indonesia Get a gold medal in the SEA Games Argentine Soccer Branch Champion Pilduun Final AFF HMM Cup")</f>
        <v>Argentina Champion Pilduun Indonesia Get a gold medal in the SEA Games Argentine Soccer Branch Champion Pilduun Final AFF HMM Cup</v>
      </c>
    </row>
    <row r="4453" ht="15.75" customHeight="1">
      <c r="A4453" s="1">
        <v>5612.0</v>
      </c>
      <c r="B4453" s="3" t="s">
        <v>12709</v>
      </c>
      <c r="C4453" s="3">
        <v>2.0</v>
      </c>
      <c r="D4453" s="3">
        <v>1.0</v>
      </c>
      <c r="E4453" s="3">
        <v>17.0</v>
      </c>
      <c r="F4453" s="3" t="s">
        <v>12710</v>
      </c>
      <c r="G4453" s="3">
        <v>0.75</v>
      </c>
      <c r="H4453" s="3">
        <v>0.25</v>
      </c>
      <c r="I4453" s="3" t="s">
        <v>48</v>
      </c>
      <c r="J4453" s="3" t="s">
        <v>12711</v>
      </c>
      <c r="K4453" s="3" t="s">
        <v>1428</v>
      </c>
      <c r="L4453" s="3" t="str">
        <f>IFERROR(__xludf.DUMMYFUNCTION("GOOGLETRANSLATE(F4453,""id"",""en"")"),"Besides that, Dutch has also held a Saturday race on and specifically for his schedule to advance because the next day there is the final Wimbledon and Matchday the last phase of the Pilduun Notable Races which races on Saturday there are Canadian and Swe"&amp;"dish")</f>
        <v>Besides that, Dutch has also held a Saturday race on and specifically for his schedule to advance because the next day there is the final Wimbledon and Matchday the last phase of the Pilduun Notable Races which races on Saturday there are Canadian and Swedish</v>
      </c>
    </row>
    <row r="4454" ht="15.75" customHeight="1">
      <c r="A4454" s="1">
        <v>5613.0</v>
      </c>
      <c r="B4454" s="3" t="s">
        <v>12712</v>
      </c>
      <c r="C4454" s="3">
        <v>0.0</v>
      </c>
      <c r="D4454" s="3">
        <v>0.0</v>
      </c>
      <c r="E4454" s="3">
        <v>0.0</v>
      </c>
      <c r="F4454" s="3" t="s">
        <v>12713</v>
      </c>
      <c r="G4454" s="3">
        <v>1.0</v>
      </c>
      <c r="H4454" s="3">
        <v>0.0</v>
      </c>
      <c r="I4454" s="3" t="s">
        <v>13</v>
      </c>
      <c r="J4454" s="3" t="s">
        <v>12714</v>
      </c>
      <c r="K4454" s="3" t="s">
        <v>15</v>
      </c>
      <c r="L4454" s="3" t="str">
        <f>IFERROR(__xludf.DUMMYFUNCTION("GOOGLETRANSLATE(F4454,""id"",""en"")"),"I think the election just asked to be repeated the final of the pildun too")</f>
        <v>I think the election just asked to be repeated the final of the pildun too</v>
      </c>
    </row>
    <row r="4455" ht="15.75" customHeight="1">
      <c r="A4455" s="1">
        <v>5614.0</v>
      </c>
      <c r="B4455" s="3" t="s">
        <v>12715</v>
      </c>
      <c r="C4455" s="3">
        <v>2.0</v>
      </c>
      <c r="D4455" s="3">
        <v>0.0</v>
      </c>
      <c r="E4455" s="3">
        <v>0.0</v>
      </c>
      <c r="F4455" s="3" t="s">
        <v>12716</v>
      </c>
      <c r="G4455" s="3">
        <v>1.0</v>
      </c>
      <c r="H4455" s="3">
        <v>0.0</v>
      </c>
      <c r="I4455" s="3" t="s">
        <v>13</v>
      </c>
      <c r="J4455" s="3" t="s">
        <v>12717</v>
      </c>
      <c r="K4455" s="3" t="s">
        <v>236</v>
      </c>
      <c r="L4455" s="3" t="str">
        <f>IFERROR(__xludf.DUMMYFUNCTION("GOOGLETRANSLATE(F4455,""id"",""en"")"),"mbappe already sad losing the final pildun read this menu is more sad")</f>
        <v>mbappe already sad losing the final pildun read this menu is more sad</v>
      </c>
    </row>
    <row r="4456" ht="15.75" customHeight="1">
      <c r="A4456" s="1">
        <v>5615.0</v>
      </c>
      <c r="B4456" s="3" t="s">
        <v>12718</v>
      </c>
      <c r="C4456" s="3">
        <v>0.0</v>
      </c>
      <c r="D4456" s="3">
        <v>0.0</v>
      </c>
      <c r="E4456" s="3">
        <v>0.0</v>
      </c>
      <c r="F4456" s="3" t="s">
        <v>12719</v>
      </c>
      <c r="G4456" s="3">
        <v>0.611111111111111</v>
      </c>
      <c r="H4456" s="3">
        <v>0.2222222222222222</v>
      </c>
      <c r="I4456" s="3" t="s">
        <v>48</v>
      </c>
      <c r="J4456" s="3" t="s">
        <v>12720</v>
      </c>
      <c r="K4456" s="3" t="s">
        <v>437</v>
      </c>
      <c r="L4456" s="3" t="str">
        <f>IFERROR(__xludf.DUMMYFUNCTION("GOOGLETRANSLATE(F4456,""id"",""en"")"),"Playing randomized Arsenal Final Uel and Even Doi Top Form Also Pildun Belgian Carrying SAMPEK Champion")</f>
        <v>Playing randomized Arsenal Final Uel and Even Doi Top Form Also Pildun Belgian Carrying SAMPEK Champion</v>
      </c>
    </row>
    <row r="4457" ht="15.75" customHeight="1">
      <c r="A4457" s="1">
        <v>5616.0</v>
      </c>
      <c r="B4457" s="3" t="s">
        <v>12721</v>
      </c>
      <c r="C4457" s="3">
        <v>1.0</v>
      </c>
      <c r="D4457" s="3">
        <v>0.0</v>
      </c>
      <c r="E4457" s="3">
        <v>0.0</v>
      </c>
      <c r="F4457" s="3" t="s">
        <v>12722</v>
      </c>
      <c r="G4457" s="3">
        <v>1.0</v>
      </c>
      <c r="H4457" s="3">
        <v>0.0</v>
      </c>
      <c r="I4457" s="3" t="s">
        <v>13</v>
      </c>
      <c r="J4457" s="3" t="s">
        <v>12723</v>
      </c>
      <c r="K4457" s="3" t="s">
        <v>127</v>
      </c>
      <c r="L4457" s="3" t="str">
        <f>IFERROR(__xludf.DUMMYFUNCTION("GOOGLETRANSLATE(F4457,""id"",""en"")"),"In accordance with my suspicion after the final will restock because when my zabivaka is if you have to buy it too long when I finished the pildun")</f>
        <v>In accordance with my suspicion after the final will restock because when my zabivaka is if you have to buy it too long when I finished the pildun</v>
      </c>
    </row>
    <row r="4458" ht="15.75" customHeight="1">
      <c r="A4458" s="1">
        <v>5617.0</v>
      </c>
      <c r="B4458" s="3" t="s">
        <v>12724</v>
      </c>
      <c r="C4458" s="3">
        <v>0.0</v>
      </c>
      <c r="D4458" s="3">
        <v>0.0</v>
      </c>
      <c r="E4458" s="3">
        <v>0.0</v>
      </c>
      <c r="F4458" s="3" t="s">
        <v>12725</v>
      </c>
      <c r="G4458" s="3">
        <v>1.0</v>
      </c>
      <c r="H4458" s="3">
        <v>0.0</v>
      </c>
      <c r="I4458" s="3" t="s">
        <v>13</v>
      </c>
      <c r="J4458" s="3" t="s">
        <v>12726</v>
      </c>
      <c r="K4458" s="3" t="s">
        <v>1097</v>
      </c>
      <c r="L4458" s="3" t="str">
        <f>IFERROR(__xludf.DUMMYFUNCTION("GOOGLETRANSLATE(F4458,""id"",""en"")"),"Watch people at buying a plane wifi to watch the final pildun")</f>
        <v>Watch people at buying a plane wifi to watch the final pildun</v>
      </c>
    </row>
    <row r="4459" ht="15.75" customHeight="1">
      <c r="A4459" s="1">
        <v>5618.0</v>
      </c>
      <c r="B4459" s="3" t="s">
        <v>12727</v>
      </c>
      <c r="C4459" s="3">
        <v>1.0</v>
      </c>
      <c r="D4459" s="3">
        <v>0.0</v>
      </c>
      <c r="E4459" s="3">
        <v>0.0</v>
      </c>
      <c r="F4459" s="3" t="s">
        <v>12728</v>
      </c>
      <c r="G4459" s="3">
        <v>0.9</v>
      </c>
      <c r="H4459" s="3">
        <v>-0.35</v>
      </c>
      <c r="I4459" s="3" t="s">
        <v>179</v>
      </c>
      <c r="J4459" s="3" t="s">
        <v>12729</v>
      </c>
      <c r="K4459" s="3" t="s">
        <v>1628</v>
      </c>
      <c r="L4459" s="3" t="str">
        <f>IFERROR(__xludf.DUMMYFUNCTION("GOOGLETRANSLATE(F4459,""id"",""en"")"),"This is the point after the final of the mira room mira room at the morning and then sleeping there wake up the presentation and then got amukkkk grrrr this mira again panicked just working")</f>
        <v>This is the point after the final of the mira room mira room at the morning and then sleeping there wake up the presentation and then got amukkkk grrrr this mira again panicked just working</v>
      </c>
    </row>
    <row r="4460" ht="15.75" customHeight="1">
      <c r="A4460" s="1">
        <v>5619.0</v>
      </c>
      <c r="B4460" s="3" t="s">
        <v>12730</v>
      </c>
      <c r="C4460" s="3">
        <v>0.0</v>
      </c>
      <c r="D4460" s="3">
        <v>0.0</v>
      </c>
      <c r="E4460" s="3">
        <v>0.0</v>
      </c>
      <c r="F4460" s="3" t="s">
        <v>12731</v>
      </c>
      <c r="G4460" s="3">
        <v>1.0</v>
      </c>
      <c r="H4460" s="3">
        <v>0.0</v>
      </c>
      <c r="I4460" s="3" t="s">
        <v>13</v>
      </c>
      <c r="J4460" s="3" t="s">
        <v>12732</v>
      </c>
      <c r="K4460" s="3" t="s">
        <v>657</v>
      </c>
      <c r="L4460" s="3" t="str">
        <f>IFERROR(__xludf.DUMMYFUNCTION("GOOGLETRANSLATE(F4460,""id"",""en"")"),"The final match of the Pilduun yesterday was really exciting, friend, let's check the excitement of watching with Teroooss Jakarta")</f>
        <v>The final match of the Pilduun yesterday was really exciting, friend, let's check the excitement of watching with Teroooss Jakarta</v>
      </c>
    </row>
    <row r="4461" ht="15.75" customHeight="1">
      <c r="A4461" s="1">
        <v>5623.0</v>
      </c>
      <c r="B4461" s="3" t="s">
        <v>12733</v>
      </c>
      <c r="C4461" s="3">
        <v>1.0</v>
      </c>
      <c r="D4461" s="3">
        <v>0.0</v>
      </c>
      <c r="E4461" s="3">
        <v>0.0</v>
      </c>
      <c r="F4461" s="3" t="s">
        <v>12734</v>
      </c>
      <c r="G4461" s="3">
        <v>1.0</v>
      </c>
      <c r="H4461" s="3">
        <v>0.0</v>
      </c>
      <c r="I4461" s="3" t="s">
        <v>13</v>
      </c>
      <c r="J4461" s="3" t="s">
        <v>12735</v>
      </c>
      <c r="K4461" s="3" t="s">
        <v>19</v>
      </c>
      <c r="L4461" s="3" t="str">
        <f>IFERROR(__xludf.DUMMYFUNCTION("GOOGLETRANSLATE(F4461,""id"",""en"")"),"There is still a Debate Tong Debate to the Final Problem of the Anjengg Messi The Bbest")</f>
        <v>There is still a Debate Tong Debate to the Final Problem of the Anjengg Messi The Bbest</v>
      </c>
    </row>
    <row r="4462" ht="15.75" customHeight="1">
      <c r="A4462" s="1">
        <v>5624.0</v>
      </c>
      <c r="B4462" s="3" t="s">
        <v>12736</v>
      </c>
      <c r="C4462" s="3">
        <v>0.0</v>
      </c>
      <c r="D4462" s="3">
        <v>0.0</v>
      </c>
      <c r="E4462" s="3">
        <v>1.0</v>
      </c>
      <c r="F4462" s="3" t="s">
        <v>12737</v>
      </c>
      <c r="G4462" s="3">
        <v>0.8</v>
      </c>
      <c r="H4462" s="3">
        <v>-0.05</v>
      </c>
      <c r="I4462" s="3" t="s">
        <v>179</v>
      </c>
      <c r="J4462" s="3" t="s">
        <v>12738</v>
      </c>
      <c r="K4462" s="3" t="s">
        <v>644</v>
      </c>
      <c r="L4462" s="3" t="str">
        <f>IFERROR(__xludf.DUMMYFUNCTION("GOOGLETRANSLATE(F4462,""id"",""en"")"),"Minimum Final Pildun First")</f>
        <v>Minimum Final Pildun First</v>
      </c>
    </row>
    <row r="4463" ht="15.75" customHeight="1">
      <c r="A4463" s="1">
        <v>5625.0</v>
      </c>
      <c r="B4463" s="3" t="s">
        <v>12739</v>
      </c>
      <c r="C4463" s="3">
        <v>0.0</v>
      </c>
      <c r="D4463" s="3">
        <v>0.0</v>
      </c>
      <c r="E4463" s="3">
        <v>0.0</v>
      </c>
      <c r="F4463" s="3" t="s">
        <v>12740</v>
      </c>
      <c r="G4463" s="3">
        <v>1.0</v>
      </c>
      <c r="H4463" s="3">
        <v>0.0</v>
      </c>
      <c r="I4463" s="3" t="s">
        <v>13</v>
      </c>
      <c r="J4463" s="3" t="s">
        <v>12741</v>
      </c>
      <c r="K4463" s="3" t="s">
        <v>82</v>
      </c>
      <c r="L4463" s="3" t="str">
        <f>IFERROR(__xludf.DUMMYFUNCTION("GOOGLETRANSLATE(F4463,""id"",""en"")"),"Bang Dodo has ever been semi -finals")</f>
        <v>Bang Dodo has ever been semi -finals</v>
      </c>
    </row>
    <row r="4464" ht="15.75" customHeight="1">
      <c r="A4464" s="1">
        <v>5626.0</v>
      </c>
      <c r="B4464" s="3" t="s">
        <v>12742</v>
      </c>
      <c r="C4464" s="3">
        <v>18.0</v>
      </c>
      <c r="D4464" s="3">
        <v>1.0</v>
      </c>
      <c r="E4464" s="3">
        <v>29.0</v>
      </c>
      <c r="F4464" s="3" t="s">
        <v>12743</v>
      </c>
      <c r="G4464" s="3">
        <v>1.0</v>
      </c>
      <c r="H4464" s="3">
        <v>0.0</v>
      </c>
      <c r="I4464" s="3" t="s">
        <v>13</v>
      </c>
      <c r="J4464" s="3" t="s">
        <v>12744</v>
      </c>
      <c r="K4464" s="3" t="s">
        <v>495</v>
      </c>
      <c r="L4464" s="3" t="str">
        <f>IFERROR(__xludf.DUMMYFUNCTION("GOOGLETRANSLATE(F4464,""id"",""en"")"),"Redsindo Pantes Redup Final African Cup Lose did not qualify for the PILDUN season before having the opportunity to win the EPL and UCL glass but failed all")</f>
        <v>Redsindo Pantes Redup Final African Cup Lose did not qualify for the PILDUN season before having the opportunity to win the EPL and UCL glass but failed all</v>
      </c>
    </row>
    <row r="4465" ht="15.75" customHeight="1">
      <c r="A4465" s="1">
        <v>5627.0</v>
      </c>
      <c r="B4465" s="3" t="s">
        <v>12745</v>
      </c>
      <c r="C4465" s="3">
        <v>4.0</v>
      </c>
      <c r="D4465" s="3">
        <v>13.0</v>
      </c>
      <c r="E4465" s="3">
        <v>34.0</v>
      </c>
      <c r="F4465" s="3" t="s">
        <v>12746</v>
      </c>
      <c r="G4465" s="3">
        <v>1.0</v>
      </c>
      <c r="H4465" s="3">
        <v>0.0</v>
      </c>
      <c r="I4465" s="3" t="s">
        <v>13</v>
      </c>
      <c r="J4465" s="3" t="s">
        <v>12747</v>
      </c>
      <c r="K4465" s="3" t="s">
        <v>495</v>
      </c>
      <c r="L4465" s="3" t="str">
        <f>IFERROR(__xludf.DUMMYFUNCTION("GOOGLETRANSLATE(F4465,""id"",""en"")"),"MERGO SAIKI WIS Angel accompanied the writing so it was not ritwit wae essay bal balan final pildun sing apik iki")</f>
        <v>MERGO SAIKI WIS Angel accompanied the writing so it was not ritwit wae essay bal balan final pildun sing apik iki</v>
      </c>
    </row>
    <row r="4466" ht="15.75" customHeight="1">
      <c r="A4466" s="1">
        <v>5628.0</v>
      </c>
      <c r="B4466" s="3" t="s">
        <v>12748</v>
      </c>
      <c r="C4466" s="3">
        <v>0.0</v>
      </c>
      <c r="D4466" s="3">
        <v>1.0</v>
      </c>
      <c r="E4466" s="3">
        <v>0.0</v>
      </c>
      <c r="F4466" s="3" t="s">
        <v>12749</v>
      </c>
      <c r="G4466" s="3">
        <v>1.0</v>
      </c>
      <c r="H4466" s="3">
        <v>0.0</v>
      </c>
      <c r="I4466" s="3" t="s">
        <v>13</v>
      </c>
      <c r="J4466" s="3" t="s">
        <v>12750</v>
      </c>
      <c r="K4466" s="3" t="s">
        <v>205</v>
      </c>
      <c r="L4466" s="3" t="str">
        <f>IFERROR(__xludf.DUMMYFUNCTION("GOOGLETRANSLATE(F4466,""id"",""en"")"),"The husband instead of the stage of hating with Wabil Special Football Special Indonesian Football is just during the final pildun yesterday just watched because he could chat")</f>
        <v>The husband instead of the stage of hating with Wabil Special Football Special Indonesian Football is just during the final pildun yesterday just watched because he could chat</v>
      </c>
    </row>
    <row r="4467" ht="15.75" customHeight="1">
      <c r="A4467" s="1">
        <v>5629.0</v>
      </c>
      <c r="B4467" s="3" t="s">
        <v>12751</v>
      </c>
      <c r="C4467" s="3">
        <v>0.0</v>
      </c>
      <c r="D4467" s="3">
        <v>0.0</v>
      </c>
      <c r="E4467" s="3">
        <v>0.0</v>
      </c>
      <c r="F4467" s="3" t="s">
        <v>12752</v>
      </c>
      <c r="G4467" s="3">
        <v>1.0</v>
      </c>
      <c r="H4467" s="3">
        <v>0.0</v>
      </c>
      <c r="I4467" s="3" t="s">
        <v>13</v>
      </c>
      <c r="J4467" s="3" t="s">
        <v>12753</v>
      </c>
      <c r="K4467" s="3" t="s">
        <v>1097</v>
      </c>
      <c r="L4467" s="3" t="str">
        <f>IFERROR(__xludf.DUMMYFUNCTION("GOOGLETRANSLATE(F4467,""id"",""en"")"),"People sign the pildun's final repetition petition are people who are not legowo remember")</f>
        <v>People sign the pildun's final repetition petition are people who are not legowo remember</v>
      </c>
    </row>
    <row r="4468" ht="15.75" customHeight="1">
      <c r="A4468" s="1">
        <v>5631.0</v>
      </c>
      <c r="B4468" s="3" t="s">
        <v>12754</v>
      </c>
      <c r="C4468" s="3">
        <v>0.0</v>
      </c>
      <c r="D4468" s="3">
        <v>0.0</v>
      </c>
      <c r="E4468" s="3">
        <v>0.0</v>
      </c>
      <c r="F4468" s="3" t="s">
        <v>12755</v>
      </c>
      <c r="G4468" s="3">
        <v>1.0</v>
      </c>
      <c r="H4468" s="3">
        <v>0.0</v>
      </c>
      <c r="I4468" s="3" t="s">
        <v>13</v>
      </c>
      <c r="J4468" s="3" t="s">
        <v>12756</v>
      </c>
      <c r="K4468" s="3" t="s">
        <v>31</v>
      </c>
      <c r="L4468" s="3" t="str">
        <f>IFERROR(__xludf.DUMMYFUNCTION("GOOGLETRANSLATE(F4468,""id"",""en"")"),"Dodo fans during the final pildun")</f>
        <v>Dodo fans during the final pildun</v>
      </c>
    </row>
    <row r="4469" ht="15.75" customHeight="1">
      <c r="A4469" s="1">
        <v>5632.0</v>
      </c>
      <c r="B4469" s="3" t="s">
        <v>12757</v>
      </c>
      <c r="C4469" s="3">
        <v>0.0</v>
      </c>
      <c r="D4469" s="3">
        <v>0.0</v>
      </c>
      <c r="E4469" s="3">
        <v>0.0</v>
      </c>
      <c r="F4469" s="3" t="s">
        <v>12758</v>
      </c>
      <c r="G4469" s="3">
        <v>1.0</v>
      </c>
      <c r="H4469" s="3">
        <v>0.0</v>
      </c>
      <c r="I4469" s="3" t="s">
        <v>13</v>
      </c>
      <c r="J4469" s="3" t="s">
        <v>12759</v>
      </c>
      <c r="K4469" s="3" t="s">
        <v>240</v>
      </c>
      <c r="L4469" s="3" t="str">
        <f>IFERROR(__xludf.DUMMYFUNCTION("GOOGLETRANSLATE(F4469,""id"",""en"")"),"wkwkwk meme murals are also widely circulated related to the final pildun besides that also about the predictions of supporters of Fnatic Pakle Messi and Dodo")</f>
        <v>wkwkwk meme murals are also widely circulated related to the final pildun besides that also about the predictions of supporters of Fnatic Pakle Messi and Dodo</v>
      </c>
    </row>
    <row r="4470" ht="15.75" customHeight="1">
      <c r="A4470" s="1">
        <v>5633.0</v>
      </c>
      <c r="B4470" s="3" t="s">
        <v>12760</v>
      </c>
      <c r="C4470" s="3">
        <v>0.0</v>
      </c>
      <c r="D4470" s="3">
        <v>0.0</v>
      </c>
      <c r="E4470" s="3">
        <v>0.0</v>
      </c>
      <c r="F4470" s="3" t="s">
        <v>12761</v>
      </c>
      <c r="G4470" s="3">
        <v>1.0</v>
      </c>
      <c r="H4470" s="3">
        <v>0.0</v>
      </c>
      <c r="I4470" s="3" t="s">
        <v>13</v>
      </c>
      <c r="J4470" s="3" t="s">
        <v>12762</v>
      </c>
      <c r="K4470" s="3" t="s">
        <v>50</v>
      </c>
      <c r="L4470" s="3" t="str">
        <f>IFERROR(__xludf.DUMMYFUNCTION("GOOGLETRANSLATE(F4470,""id"",""en"")"),"As of a week since the final of my head and all social media is still filled by Kylian Mbappe")</f>
        <v>As of a week since the final of my head and all social media is still filled by Kylian Mbappe</v>
      </c>
    </row>
    <row r="4471" ht="15.75" customHeight="1">
      <c r="A4471" s="1">
        <v>5634.0</v>
      </c>
      <c r="B4471" s="3" t="s">
        <v>12763</v>
      </c>
      <c r="C4471" s="3">
        <v>0.0</v>
      </c>
      <c r="D4471" s="3">
        <v>0.0</v>
      </c>
      <c r="E4471" s="3">
        <v>0.0</v>
      </c>
      <c r="F4471" s="3" t="s">
        <v>12764</v>
      </c>
      <c r="G4471" s="3">
        <v>1.0</v>
      </c>
      <c r="H4471" s="3">
        <v>0.0</v>
      </c>
      <c r="I4471" s="3" t="s">
        <v>13</v>
      </c>
      <c r="J4471" s="3" t="s">
        <v>12765</v>
      </c>
      <c r="K4471" s="3" t="s">
        <v>236</v>
      </c>
      <c r="L4471" s="3" t="str">
        <f>IFERROR(__xludf.DUMMYFUNCTION("GOOGLETRANSLATE(F4471,""id"",""en"")"),"so don't all France better save for all final pildun later")</f>
        <v>so don't all France better save for all final pildun later</v>
      </c>
    </row>
    <row r="4472" ht="15.75" customHeight="1">
      <c r="A4472" s="1">
        <v>5635.0</v>
      </c>
      <c r="B4472" s="3" t="s">
        <v>12766</v>
      </c>
      <c r="C4472" s="3">
        <v>0.0</v>
      </c>
      <c r="D4472" s="3">
        <v>0.0</v>
      </c>
      <c r="E4472" s="3">
        <v>0.0</v>
      </c>
      <c r="F4472" s="3" t="s">
        <v>12767</v>
      </c>
      <c r="G4472" s="3">
        <v>0.6666666666666666</v>
      </c>
      <c r="H4472" s="3">
        <v>0.08333333333333333</v>
      </c>
      <c r="I4472" s="3" t="s">
        <v>48</v>
      </c>
      <c r="J4472" s="3" t="s">
        <v>12768</v>
      </c>
      <c r="K4472" s="3" t="s">
        <v>910</v>
      </c>
      <c r="L4472" s="3" t="str">
        <f>IFERROR(__xludf.DUMMYFUNCTION("GOOGLETRANSLATE(F4472,""id"",""en"")"),"Trivia Curses the previous championship champion, which is to play ugly the group phase of the group applies to France Qatar and even advanced until the final MGKN because there is an Arab land what will be a curse back to the North American pildun hihi h"&amp;"ope")</f>
        <v>Trivia Curses the previous championship champion, which is to play ugly the group phase of the group applies to France Qatar and even advanced until the final MGKN because there is an Arab land what will be a curse back to the North American pildun hihi hope</v>
      </c>
    </row>
    <row r="4473" ht="15.75" customHeight="1">
      <c r="A4473" s="1">
        <v>5636.0</v>
      </c>
      <c r="B4473" s="3" t="s">
        <v>12769</v>
      </c>
      <c r="C4473" s="3">
        <v>2.0</v>
      </c>
      <c r="D4473" s="3">
        <v>0.0</v>
      </c>
      <c r="E4473" s="3">
        <v>9.0</v>
      </c>
      <c r="F4473" s="3" t="s">
        <v>12770</v>
      </c>
      <c r="G4473" s="3">
        <v>1.0</v>
      </c>
      <c r="H4473" s="3">
        <v>0.0</v>
      </c>
      <c r="I4473" s="3" t="s">
        <v>13</v>
      </c>
      <c r="J4473" s="3" t="s">
        <v>12771</v>
      </c>
      <c r="K4473" s="3" t="s">
        <v>491</v>
      </c>
      <c r="L4473" s="3" t="str">
        <f>IFERROR(__xludf.DUMMYFUNCTION("GOOGLETRANSLATE(F4473,""id"",""en"")"),"Mbappe instead lowered American Latin Coy football before Pilduun lost the final opponent from Latin America paid paid cash")</f>
        <v>Mbappe instead lowered American Latin Coy football before Pilduun lost the final opponent from Latin America paid paid cash</v>
      </c>
    </row>
    <row r="4474" ht="15.75" customHeight="1">
      <c r="A4474" s="1">
        <v>5637.0</v>
      </c>
      <c r="B4474" s="3" t="s">
        <v>12772</v>
      </c>
      <c r="C4474" s="3">
        <v>0.0</v>
      </c>
      <c r="D4474" s="3">
        <v>0.0</v>
      </c>
      <c r="E4474" s="3">
        <v>1.0</v>
      </c>
      <c r="F4474" s="3" t="s">
        <v>12773</v>
      </c>
      <c r="G4474" s="3">
        <v>1.0</v>
      </c>
      <c r="H4474" s="3">
        <v>0.0</v>
      </c>
      <c r="I4474" s="3" t="s">
        <v>13</v>
      </c>
      <c r="J4474" s="3" t="s">
        <v>12774</v>
      </c>
      <c r="K4474" s="3" t="s">
        <v>31</v>
      </c>
      <c r="L4474" s="3" t="str">
        <f>IFERROR(__xludf.DUMMYFUNCTION("GOOGLETRANSLATE(F4474,""id"",""en"")"),"History because of the final pildun yesterday")</f>
        <v>History because of the final pildun yesterday</v>
      </c>
    </row>
    <row r="4475" ht="15.75" customHeight="1">
      <c r="A4475" s="1">
        <v>5638.0</v>
      </c>
      <c r="B4475" s="3" t="s">
        <v>12775</v>
      </c>
      <c r="C4475" s="3">
        <v>1.0</v>
      </c>
      <c r="D4475" s="3">
        <v>0.0</v>
      </c>
      <c r="E4475" s="3">
        <v>8.0</v>
      </c>
      <c r="F4475" s="3" t="s">
        <v>12776</v>
      </c>
      <c r="G4475" s="3">
        <v>1.0</v>
      </c>
      <c r="H4475" s="3">
        <v>0.0</v>
      </c>
      <c r="I4475" s="3" t="s">
        <v>13</v>
      </c>
      <c r="J4475" s="3" t="s">
        <v>12777</v>
      </c>
      <c r="K4475" s="3" t="s">
        <v>41</v>
      </c>
      <c r="L4475" s="3" t="str">
        <f>IFERROR(__xludf.DUMMYFUNCTION("GOOGLETRANSLATE(F4475,""id"",""en"")"),"Min Anies posted the date of the final pildun if the brain was used, I would understand")</f>
        <v>Min Anies posted the date of the final pildun if the brain was used, I would understand</v>
      </c>
    </row>
    <row r="4476" ht="15.75" customHeight="1">
      <c r="A4476" s="1">
        <v>5639.0</v>
      </c>
      <c r="B4476" s="3" t="s">
        <v>12778</v>
      </c>
      <c r="C4476" s="3">
        <v>0.0</v>
      </c>
      <c r="D4476" s="3">
        <v>3.0</v>
      </c>
      <c r="E4476" s="3">
        <v>9.0</v>
      </c>
      <c r="F4476" s="3" t="s">
        <v>12731</v>
      </c>
      <c r="G4476" s="3">
        <v>1.0</v>
      </c>
      <c r="H4476" s="3">
        <v>0.0</v>
      </c>
      <c r="I4476" s="3" t="s">
        <v>13</v>
      </c>
      <c r="J4476" s="3" t="s">
        <v>12732</v>
      </c>
      <c r="K4476" s="3" t="s">
        <v>657</v>
      </c>
      <c r="L4476" s="3" t="str">
        <f>IFERROR(__xludf.DUMMYFUNCTION("GOOGLETRANSLATE(F4476,""id"",""en"")"),"The final match of the Pilduun yesterday was really exciting, friend, let's check the excitement of watching with Teroooss Jakarta")</f>
        <v>The final match of the Pilduun yesterday was really exciting, friend, let's check the excitement of watching with Teroooss Jakarta</v>
      </c>
    </row>
    <row r="4477" ht="15.75" customHeight="1">
      <c r="A4477" s="1">
        <v>5640.0</v>
      </c>
      <c r="B4477" s="3" t="s">
        <v>12779</v>
      </c>
      <c r="C4477" s="3">
        <v>0.0</v>
      </c>
      <c r="D4477" s="3">
        <v>0.0</v>
      </c>
      <c r="E4477" s="3">
        <v>0.0</v>
      </c>
      <c r="F4477" s="3" t="s">
        <v>12776</v>
      </c>
      <c r="G4477" s="3">
        <v>1.0</v>
      </c>
      <c r="H4477" s="3">
        <v>0.0</v>
      </c>
      <c r="I4477" s="3" t="s">
        <v>13</v>
      </c>
      <c r="J4477" s="3" t="s">
        <v>12777</v>
      </c>
      <c r="K4477" s="3" t="s">
        <v>41</v>
      </c>
      <c r="L4477" s="3" t="str">
        <f>IFERROR(__xludf.DUMMYFUNCTION("GOOGLETRANSLATE(F4477,""id"",""en"")"),"Min Anies posted the date of the final pildun if the brain was used, I would understand")</f>
        <v>Min Anies posted the date of the final pildun if the brain was used, I would understand</v>
      </c>
    </row>
    <row r="4478" ht="15.75" customHeight="1">
      <c r="A4478" s="1">
        <v>5641.0</v>
      </c>
      <c r="B4478" s="3" t="s">
        <v>12780</v>
      </c>
      <c r="C4478" s="3">
        <v>0.0</v>
      </c>
      <c r="D4478" s="3">
        <v>0.0</v>
      </c>
      <c r="E4478" s="3">
        <v>0.0</v>
      </c>
      <c r="F4478" s="3" t="s">
        <v>12776</v>
      </c>
      <c r="G4478" s="3">
        <v>1.0</v>
      </c>
      <c r="H4478" s="3">
        <v>0.0</v>
      </c>
      <c r="I4478" s="3" t="s">
        <v>13</v>
      </c>
      <c r="J4478" s="3" t="s">
        <v>12777</v>
      </c>
      <c r="K4478" s="3" t="s">
        <v>41</v>
      </c>
      <c r="L4478" s="3" t="str">
        <f>IFERROR(__xludf.DUMMYFUNCTION("GOOGLETRANSLATE(F4478,""id"",""en"")"),"Min Anies posted the date of the final pildun if the brain was used, I would understand")</f>
        <v>Min Anies posted the date of the final pildun if the brain was used, I would understand</v>
      </c>
    </row>
    <row r="4479" ht="15.75" customHeight="1">
      <c r="A4479" s="1">
        <v>5642.0</v>
      </c>
      <c r="B4479" s="3" t="s">
        <v>12781</v>
      </c>
      <c r="C4479" s="3">
        <v>1.0</v>
      </c>
      <c r="D4479" s="3">
        <v>0.0</v>
      </c>
      <c r="E4479" s="3">
        <v>1.0</v>
      </c>
      <c r="F4479" s="3" t="s">
        <v>12776</v>
      </c>
      <c r="G4479" s="3">
        <v>1.0</v>
      </c>
      <c r="H4479" s="3">
        <v>0.0</v>
      </c>
      <c r="I4479" s="3" t="s">
        <v>13</v>
      </c>
      <c r="J4479" s="3" t="s">
        <v>12777</v>
      </c>
      <c r="K4479" s="3" t="s">
        <v>41</v>
      </c>
      <c r="L4479" s="3" t="str">
        <f>IFERROR(__xludf.DUMMYFUNCTION("GOOGLETRANSLATE(F4479,""id"",""en"")"),"Min Anies posted the date of the final pildun if the brain was used, I would understand")</f>
        <v>Min Anies posted the date of the final pildun if the brain was used, I would understand</v>
      </c>
    </row>
    <row r="4480" ht="15.75" customHeight="1">
      <c r="A4480" s="1">
        <v>5643.0</v>
      </c>
      <c r="B4480" s="3" t="s">
        <v>12782</v>
      </c>
      <c r="C4480" s="3">
        <v>0.0</v>
      </c>
      <c r="D4480" s="3">
        <v>0.0</v>
      </c>
      <c r="E4480" s="3">
        <v>6.0</v>
      </c>
      <c r="F4480" s="3" t="s">
        <v>12783</v>
      </c>
      <c r="G4480" s="3">
        <v>1.0</v>
      </c>
      <c r="H4480" s="3">
        <v>0.0</v>
      </c>
      <c r="I4480" s="3" t="s">
        <v>13</v>
      </c>
      <c r="J4480" s="3" t="s">
        <v>12784</v>
      </c>
      <c r="K4480" s="3" t="s">
        <v>75</v>
      </c>
      <c r="L4480" s="3" t="str">
        <f>IFERROR(__xludf.DUMMYFUNCTION("GOOGLETRANSLATE(F4480,""id"",""en"")"),"Channel Endah Min, Mr. Anies, posting the final pildun, if his brain is used, surely you know")</f>
        <v>Channel Endah Min, Mr. Anies, posting the final pildun, if his brain is used, surely you know</v>
      </c>
    </row>
    <row r="4481" ht="15.75" customHeight="1">
      <c r="A4481" s="1">
        <v>5644.0</v>
      </c>
      <c r="B4481" s="3" t="s">
        <v>12785</v>
      </c>
      <c r="C4481" s="3">
        <v>0.0</v>
      </c>
      <c r="D4481" s="3">
        <v>0.0</v>
      </c>
      <c r="E4481" s="3">
        <v>0.0</v>
      </c>
      <c r="F4481" s="3" t="s">
        <v>12786</v>
      </c>
      <c r="G4481" s="3">
        <v>1.0</v>
      </c>
      <c r="H4481" s="3">
        <v>0.0</v>
      </c>
      <c r="I4481" s="3" t="s">
        <v>13</v>
      </c>
      <c r="J4481" s="3" t="s">
        <v>12787</v>
      </c>
      <c r="K4481" s="3" t="s">
        <v>75</v>
      </c>
      <c r="L4481" s="3" t="str">
        <f>IFERROR(__xludf.DUMMYFUNCTION("GOOGLETRANSLATE(F4481,""id"",""en"")"),"for me this December the roller coaster is really the final of the pildun yesterday anjr wkwk")</f>
        <v>for me this December the roller coaster is really the final of the pildun yesterday anjr wkwk</v>
      </c>
    </row>
    <row r="4482" ht="15.75" customHeight="1">
      <c r="A4482" s="1">
        <v>5645.0</v>
      </c>
      <c r="B4482" s="3" t="s">
        <v>12788</v>
      </c>
      <c r="C4482" s="3">
        <v>0.0</v>
      </c>
      <c r="D4482" s="3">
        <v>0.0</v>
      </c>
      <c r="E4482" s="3">
        <v>0.0</v>
      </c>
      <c r="F4482" s="3" t="s">
        <v>12789</v>
      </c>
      <c r="G4482" s="3">
        <v>1.0</v>
      </c>
      <c r="H4482" s="3">
        <v>0.0</v>
      </c>
      <c r="I4482" s="3" t="s">
        <v>13</v>
      </c>
      <c r="J4482" s="3" t="s">
        <v>12790</v>
      </c>
      <c r="K4482" s="3" t="s">
        <v>54</v>
      </c>
      <c r="L4482" s="3" t="str">
        <f>IFERROR(__xludf.DUMMYFUNCTION("GOOGLETRANSLATE(F4482,""id"",""en"")"),"Really how come the final pildun wants to repeat")</f>
        <v>Really how come the final pildun wants to repeat</v>
      </c>
    </row>
    <row r="4483" ht="15.75" customHeight="1">
      <c r="A4483" s="1">
        <v>5646.0</v>
      </c>
      <c r="B4483" s="3" t="s">
        <v>12791</v>
      </c>
      <c r="C4483" s="3">
        <v>0.0</v>
      </c>
      <c r="D4483" s="3">
        <v>0.0</v>
      </c>
      <c r="E4483" s="3">
        <v>0.0</v>
      </c>
      <c r="F4483" s="3" t="s">
        <v>12792</v>
      </c>
      <c r="G4483" s="3">
        <v>1.0</v>
      </c>
      <c r="H4483" s="3">
        <v>0.0</v>
      </c>
      <c r="I4483" s="3" t="s">
        <v>13</v>
      </c>
      <c r="J4483" s="3" t="s">
        <v>12793</v>
      </c>
      <c r="K4483" s="3" t="s">
        <v>41</v>
      </c>
      <c r="L4483" s="3" t="str">
        <f>IFERROR(__xludf.DUMMYFUNCTION("GOOGLETRANSLATE(F4483,""id"",""en"")"),"Ava Ijo Smnjak Final Pildun Not Appeal Losing Gambling Rich")</f>
        <v>Ava Ijo Smnjak Final Pildun Not Appeal Losing Gambling Rich</v>
      </c>
    </row>
    <row r="4484" ht="15.75" customHeight="1">
      <c r="A4484" s="1">
        <v>5647.0</v>
      </c>
      <c r="B4484" s="3" t="s">
        <v>12794</v>
      </c>
      <c r="C4484" s="3">
        <v>1.0</v>
      </c>
      <c r="D4484" s="3">
        <v>0.0</v>
      </c>
      <c r="E4484" s="3">
        <v>3.0</v>
      </c>
      <c r="F4484" s="3" t="s">
        <v>12795</v>
      </c>
      <c r="G4484" s="3">
        <v>0.6666666666666666</v>
      </c>
      <c r="H4484" s="3">
        <v>0.08333333333333333</v>
      </c>
      <c r="I4484" s="3" t="s">
        <v>48</v>
      </c>
      <c r="J4484" s="3" t="s">
        <v>12796</v>
      </c>
      <c r="K4484" s="3" t="s">
        <v>484</v>
      </c>
      <c r="L4484" s="3" t="str">
        <f>IFERROR(__xludf.DUMMYFUNCTION("GOOGLETRANSLATE(F4484,""id"",""en"")"),"believe the player who has won the head of the header with a header with a player who has never even touched the final pildun")</f>
        <v>believe the player who has won the head of the header with a header with a player who has never even touched the final pildun</v>
      </c>
    </row>
    <row r="4485" ht="15.75" customHeight="1">
      <c r="A4485" s="1">
        <v>5648.0</v>
      </c>
      <c r="B4485" s="3" t="s">
        <v>12797</v>
      </c>
      <c r="C4485" s="3">
        <v>0.0</v>
      </c>
      <c r="D4485" s="3">
        <v>1.0</v>
      </c>
      <c r="E4485" s="3">
        <v>1.0</v>
      </c>
      <c r="F4485" s="3" t="s">
        <v>12731</v>
      </c>
      <c r="G4485" s="3">
        <v>1.0</v>
      </c>
      <c r="H4485" s="3">
        <v>0.0</v>
      </c>
      <c r="I4485" s="3" t="s">
        <v>13</v>
      </c>
      <c r="J4485" s="3" t="s">
        <v>12732</v>
      </c>
      <c r="K4485" s="3" t="s">
        <v>657</v>
      </c>
      <c r="L4485" s="3" t="str">
        <f>IFERROR(__xludf.DUMMYFUNCTION("GOOGLETRANSLATE(F4485,""id"",""en"")"),"The final match of the Pilduun yesterday was really exciting, friend, let's check the excitement of watching with Teroooss Jakarta")</f>
        <v>The final match of the Pilduun yesterday was really exciting, friend, let's check the excitement of watching with Teroooss Jakarta</v>
      </c>
    </row>
    <row r="4486" ht="15.75" customHeight="1">
      <c r="A4486" s="1">
        <v>5649.0</v>
      </c>
      <c r="B4486" s="3" t="s">
        <v>12798</v>
      </c>
      <c r="C4486" s="3">
        <v>0.0</v>
      </c>
      <c r="D4486" s="3">
        <v>0.0</v>
      </c>
      <c r="E4486" s="3">
        <v>1.0</v>
      </c>
      <c r="F4486" s="3" t="s">
        <v>12799</v>
      </c>
      <c r="G4486" s="3">
        <v>1.0</v>
      </c>
      <c r="H4486" s="3">
        <v>0.0</v>
      </c>
      <c r="I4486" s="3" t="s">
        <v>13</v>
      </c>
      <c r="J4486" s="3" t="s">
        <v>12800</v>
      </c>
      <c r="K4486" s="3" t="s">
        <v>644</v>
      </c>
      <c r="L4486" s="3" t="str">
        <f>IFERROR(__xludf.DUMMYFUNCTION("GOOGLETRANSLATE(F4486,""id"",""en"")"),"Repeat from the Final Gas Cuy")</f>
        <v>Repeat from the Final Gas Cuy</v>
      </c>
    </row>
    <row r="4487" ht="15.75" customHeight="1">
      <c r="A4487" s="1">
        <v>5650.0</v>
      </c>
      <c r="B4487" s="3" t="s">
        <v>12801</v>
      </c>
      <c r="C4487" s="3">
        <v>0.0</v>
      </c>
      <c r="D4487" s="3">
        <v>0.0</v>
      </c>
      <c r="E4487" s="3">
        <v>0.0</v>
      </c>
      <c r="F4487" s="3" t="s">
        <v>12802</v>
      </c>
      <c r="G4487" s="3">
        <v>1.0</v>
      </c>
      <c r="H4487" s="3">
        <v>0.0</v>
      </c>
      <c r="I4487" s="3" t="s">
        <v>13</v>
      </c>
      <c r="J4487" s="3" t="s">
        <v>12803</v>
      </c>
      <c r="K4487" s="3" t="s">
        <v>433</v>
      </c>
      <c r="L4487" s="3" t="str">
        <f>IFERROR(__xludf.DUMMYFUNCTION("GOOGLETRANSLATE(F4487,""id"",""en"")"),"Time wkwkw hilariously the country of the pildun trophy can be valious and the state passes the final yet")</f>
        <v>Time wkwkw hilariously the country of the pildun trophy can be valious and the state passes the final yet</v>
      </c>
    </row>
    <row r="4488" ht="15.75" customHeight="1">
      <c r="A4488" s="1">
        <v>5651.0</v>
      </c>
      <c r="B4488" s="3" t="s">
        <v>12804</v>
      </c>
      <c r="C4488" s="3">
        <v>2.0</v>
      </c>
      <c r="D4488" s="3">
        <v>0.0</v>
      </c>
      <c r="E4488" s="3">
        <v>2.0</v>
      </c>
      <c r="F4488" s="3" t="s">
        <v>12805</v>
      </c>
      <c r="G4488" s="3">
        <v>1.0</v>
      </c>
      <c r="H4488" s="3">
        <v>0.0</v>
      </c>
      <c r="I4488" s="3" t="s">
        <v>13</v>
      </c>
      <c r="J4488" s="3" t="s">
        <v>12806</v>
      </c>
      <c r="K4488" s="3" t="s">
        <v>491</v>
      </c>
      <c r="L4488" s="3" t="str">
        <f>IFERROR(__xludf.DUMMYFUNCTION("GOOGLETRANSLATE(F4488,""id"",""en"")"),"Time is the country of the Pildun trophy to survey the state of the country to qualify for the final pildun, I have never been healthy dodog")</f>
        <v>Time is the country of the Pildun trophy to survey the state of the country to qualify for the final pildun, I have never been healthy dodog</v>
      </c>
    </row>
    <row r="4489" ht="15.75" customHeight="1">
      <c r="A4489" s="1">
        <v>5652.0</v>
      </c>
      <c r="B4489" s="3" t="s">
        <v>12807</v>
      </c>
      <c r="C4489" s="3">
        <v>0.0</v>
      </c>
      <c r="D4489" s="3">
        <v>0.0</v>
      </c>
      <c r="E4489" s="3">
        <v>0.0</v>
      </c>
      <c r="F4489" s="3" t="s">
        <v>12808</v>
      </c>
      <c r="G4489" s="3">
        <v>1.0</v>
      </c>
      <c r="H4489" s="3">
        <v>0.0</v>
      </c>
      <c r="I4489" s="3" t="s">
        <v>13</v>
      </c>
      <c r="J4489" s="3" t="s">
        <v>12809</v>
      </c>
      <c r="K4489" s="3" t="s">
        <v>82</v>
      </c>
      <c r="L4489" s="3" t="str">
        <f>IFERROR(__xludf.DUMMYFUNCTION("GOOGLETRANSLATE(F4489,""id"",""en"")"),"OTW Defending Final Pilduun Indonesia Timor Leste")</f>
        <v>OTW Defending Final Pilduun Indonesia Timor Leste</v>
      </c>
    </row>
    <row r="4490" ht="15.75" customHeight="1">
      <c r="A4490" s="1">
        <v>5653.0</v>
      </c>
      <c r="B4490" s="3" t="s">
        <v>12810</v>
      </c>
      <c r="C4490" s="3">
        <v>0.0</v>
      </c>
      <c r="D4490" s="3">
        <v>0.0</v>
      </c>
      <c r="E4490" s="3">
        <v>1.0</v>
      </c>
      <c r="F4490" s="3" t="s">
        <v>12811</v>
      </c>
      <c r="G4490" s="3">
        <v>1.0</v>
      </c>
      <c r="H4490" s="3">
        <v>0.0</v>
      </c>
      <c r="I4490" s="3" t="s">
        <v>13</v>
      </c>
      <c r="J4490" s="3" t="s">
        <v>12812</v>
      </c>
      <c r="K4490" s="3" t="s">
        <v>123</v>
      </c>
      <c r="L4490" s="3" t="str">
        <f>IFERROR(__xludf.DUMMYFUNCTION("GOOGLETRANSLATE(F4490,""id"",""en"")"),"Between Cruyff or Maldini because both of them have ever arrived at the final pildun if it's just an ordinary soccer player, bro")</f>
        <v>Between Cruyff or Maldini because both of them have ever arrived at the final pildun if it's just an ordinary soccer player, bro</v>
      </c>
    </row>
    <row r="4491" ht="15.75" customHeight="1">
      <c r="A4491" s="1">
        <v>5654.0</v>
      </c>
      <c r="B4491" s="3" t="s">
        <v>12813</v>
      </c>
      <c r="C4491" s="3">
        <v>0.0</v>
      </c>
      <c r="D4491" s="3">
        <v>0.0</v>
      </c>
      <c r="E4491" s="3">
        <v>2.0</v>
      </c>
      <c r="F4491" s="3" t="s">
        <v>12814</v>
      </c>
      <c r="G4491" s="3">
        <v>0.0</v>
      </c>
      <c r="H4491" s="3">
        <v>0.0</v>
      </c>
      <c r="I4491" s="3" t="s">
        <v>13</v>
      </c>
      <c r="J4491" s="3" t="s">
        <v>12815</v>
      </c>
      <c r="K4491" s="3" t="s">
        <v>3721</v>
      </c>
      <c r="L4491" s="3" t="str">
        <f>IFERROR(__xludf.DUMMYFUNCTION("GOOGLETRANSLATE(F4491,""id"",""en"")"),"The player Emyu was called by Pildun Bnyk Kyk Martial VDB instead martial more tragic every time he wanted the tournament he injured his legs until he broke even said by his own high school coach could rise especially when English")</f>
        <v>The player Emyu was called by Pildun Bnyk Kyk Martial VDB instead martial more tragic every time he wanted the tournament he injured his legs until he broke even said by his own high school coach could rise especially when English</v>
      </c>
    </row>
    <row r="4492" ht="15.75" customHeight="1">
      <c r="A4492" s="1">
        <v>5655.0</v>
      </c>
      <c r="B4492" s="3" t="s">
        <v>12816</v>
      </c>
      <c r="C4492" s="3">
        <v>0.0</v>
      </c>
      <c r="D4492" s="3">
        <v>0.0</v>
      </c>
      <c r="E4492" s="3">
        <v>0.0</v>
      </c>
      <c r="F4492" s="3" t="s">
        <v>12817</v>
      </c>
      <c r="G4492" s="3">
        <v>0.6444444444444445</v>
      </c>
      <c r="H4492" s="3">
        <v>0.25</v>
      </c>
      <c r="I4492" s="3" t="s">
        <v>48</v>
      </c>
      <c r="J4492" s="3" t="s">
        <v>12818</v>
      </c>
      <c r="K4492" s="3" t="s">
        <v>82</v>
      </c>
      <c r="L4492" s="3" t="str">
        <f>IFERROR(__xludf.DUMMYFUNCTION("GOOGLETRANSLATE(F4492,""id"",""en"")"),"Wednesday First Love Final Argentina France")</f>
        <v>Wednesday First Love Final Argentina France</v>
      </c>
    </row>
    <row r="4493" ht="15.75" customHeight="1">
      <c r="A4493" s="1">
        <v>5656.0</v>
      </c>
      <c r="B4493" s="3" t="s">
        <v>12819</v>
      </c>
      <c r="C4493" s="3">
        <v>0.0</v>
      </c>
      <c r="D4493" s="3">
        <v>0.0</v>
      </c>
      <c r="E4493" s="3">
        <v>0.0</v>
      </c>
      <c r="F4493" s="3" t="s">
        <v>12820</v>
      </c>
      <c r="G4493" s="3">
        <v>1.0</v>
      </c>
      <c r="H4493" s="3">
        <v>0.0</v>
      </c>
      <c r="I4493" s="3" t="s">
        <v>13</v>
      </c>
      <c r="J4493" s="3" t="s">
        <v>12821</v>
      </c>
      <c r="K4493" s="3" t="s">
        <v>35</v>
      </c>
      <c r="L4493" s="3" t="str">
        <f>IFERROR(__xludf.DUMMYFUNCTION("GOOGLETRANSLATE(F4493,""id"",""en"")"),"proud is more sick where loses final penalties or losing big pildun")</f>
        <v>proud is more sick where loses final penalties or losing big pildun</v>
      </c>
    </row>
    <row r="4494" ht="15.75" customHeight="1">
      <c r="A4494" s="1">
        <v>5657.0</v>
      </c>
      <c r="B4494" s="3" t="s">
        <v>12822</v>
      </c>
      <c r="C4494" s="3">
        <v>0.0</v>
      </c>
      <c r="D4494" s="3">
        <v>0.0</v>
      </c>
      <c r="E4494" s="3">
        <v>0.0</v>
      </c>
      <c r="F4494" s="3" t="s">
        <v>12823</v>
      </c>
      <c r="G4494" s="3">
        <v>1.0</v>
      </c>
      <c r="H4494" s="3">
        <v>0.0</v>
      </c>
      <c r="I4494" s="3" t="s">
        <v>13</v>
      </c>
      <c r="J4494" s="3" t="s">
        <v>12824</v>
      </c>
      <c r="K4494" s="3" t="s">
        <v>19</v>
      </c>
      <c r="L4494" s="3" t="str">
        <f>IFERROR(__xludf.DUMMYFUNCTION("GOOGLETRANSLATE(F4494,""id"",""en"")"),"Final Pildun Repeated Argentina Celebration French French Fans Fans of the National Team Protest GBK")</f>
        <v>Final Pildun Repeated Argentina Celebration French French Fans Fans of the National Team Protest GBK</v>
      </c>
    </row>
    <row r="4495" ht="15.75" customHeight="1">
      <c r="A4495" s="1">
        <v>5658.0</v>
      </c>
      <c r="B4495" s="3" t="s">
        <v>12825</v>
      </c>
      <c r="C4495" s="3">
        <v>2.0</v>
      </c>
      <c r="D4495" s="3">
        <v>0.0</v>
      </c>
      <c r="E4495" s="3">
        <v>42.0</v>
      </c>
      <c r="F4495" s="3" t="s">
        <v>12826</v>
      </c>
      <c r="G4495" s="3">
        <v>1.0</v>
      </c>
      <c r="H4495" s="3">
        <v>0.0</v>
      </c>
      <c r="I4495" s="3" t="s">
        <v>13</v>
      </c>
      <c r="J4495" s="3" t="s">
        <v>12827</v>
      </c>
      <c r="K4495" s="3" t="s">
        <v>657</v>
      </c>
      <c r="L4495" s="3" t="str">
        <f>IFERROR(__xludf.DUMMYFUNCTION("GOOGLETRANSLATE(F4495,""id"",""en"")"),"sure it's a French fan, really maruk, after winning the pildun before now, the final is even asking to repeat")</f>
        <v>sure it's a French fan, really maruk, after winning the pildun before now, the final is even asking to repeat</v>
      </c>
    </row>
    <row r="4496" ht="15.75" customHeight="1">
      <c r="A4496" s="1">
        <v>5659.0</v>
      </c>
      <c r="B4496" s="3" t="s">
        <v>12828</v>
      </c>
      <c r="C4496" s="3">
        <v>0.0</v>
      </c>
      <c r="D4496" s="3">
        <v>0.0</v>
      </c>
      <c r="E4496" s="3">
        <v>0.0</v>
      </c>
      <c r="F4496" s="3" t="s">
        <v>12829</v>
      </c>
      <c r="G4496" s="3">
        <v>1.0</v>
      </c>
      <c r="H4496" s="3">
        <v>0.0</v>
      </c>
      <c r="I4496" s="3" t="s">
        <v>13</v>
      </c>
      <c r="J4496" s="3" t="s">
        <v>12830</v>
      </c>
      <c r="K4496" s="3" t="s">
        <v>31</v>
      </c>
      <c r="L4496" s="3" t="str">
        <f>IFERROR(__xludf.DUMMYFUNCTION("GOOGLETRANSLATE(F4496,""id"",""en"")"),"This is from Kmaren there is a problem about the final pildun")</f>
        <v>This is from Kmaren there is a problem about the final pildun</v>
      </c>
    </row>
    <row r="4497" ht="15.75" customHeight="1">
      <c r="A4497" s="1">
        <v>5660.0</v>
      </c>
      <c r="B4497" s="3" t="s">
        <v>12831</v>
      </c>
      <c r="C4497" s="3">
        <v>0.0</v>
      </c>
      <c r="D4497" s="3">
        <v>0.0</v>
      </c>
      <c r="E4497" s="3">
        <v>0.0</v>
      </c>
      <c r="F4497" s="3" t="s">
        <v>12832</v>
      </c>
      <c r="G4497" s="3">
        <v>1.0</v>
      </c>
      <c r="H4497" s="3">
        <v>0.0</v>
      </c>
      <c r="I4497" s="3" t="s">
        <v>13</v>
      </c>
      <c r="J4497" s="3" t="s">
        <v>12833</v>
      </c>
      <c r="K4497" s="3" t="s">
        <v>82</v>
      </c>
      <c r="L4497" s="3" t="str">
        <f>IFERROR(__xludf.DUMMYFUNCTION("GOOGLETRANSLATE(F4497,""id"",""en"")"),"Luckily I Delok Final Pilduun I understood")</f>
        <v>Luckily I Delok Final Pilduun I understood</v>
      </c>
    </row>
    <row r="4498" ht="15.75" customHeight="1">
      <c r="A4498" s="1">
        <v>5661.0</v>
      </c>
      <c r="B4498" s="3" t="s">
        <v>12834</v>
      </c>
      <c r="C4498" s="3">
        <v>2.0</v>
      </c>
      <c r="D4498" s="3">
        <v>0.0</v>
      </c>
      <c r="E4498" s="3">
        <v>0.0</v>
      </c>
      <c r="F4498" s="3" t="s">
        <v>12835</v>
      </c>
      <c r="G4498" s="3">
        <v>1.0</v>
      </c>
      <c r="H4498" s="3">
        <v>0.0</v>
      </c>
      <c r="I4498" s="3" t="s">
        <v>13</v>
      </c>
      <c r="J4498" s="3" t="s">
        <v>12836</v>
      </c>
      <c r="K4498" s="3" t="s">
        <v>27</v>
      </c>
      <c r="L4498" s="3" t="str">
        <f>IFERROR(__xludf.DUMMYFUNCTION("GOOGLETRANSLATE(F4498,""id"",""en"")"),"Jkt wkwkkw stupid org proves what to talk about the ends of the argument, the argument of the buzzer is stupid, it's stupid to say European")</f>
        <v>Jkt wkwkkw stupid org proves what to talk about the ends of the argument, the argument of the buzzer is stupid, it's stupid to say European</v>
      </c>
    </row>
    <row r="4499" ht="15.75" customHeight="1">
      <c r="A4499" s="1">
        <v>5662.0</v>
      </c>
      <c r="B4499" s="3" t="s">
        <v>12837</v>
      </c>
      <c r="C4499" s="3">
        <v>0.0</v>
      </c>
      <c r="D4499" s="3">
        <v>0.0</v>
      </c>
      <c r="E4499" s="3">
        <v>0.0</v>
      </c>
      <c r="F4499" s="3" t="s">
        <v>12838</v>
      </c>
      <c r="G4499" s="3">
        <v>0.66</v>
      </c>
      <c r="H4499" s="3">
        <v>0.5</v>
      </c>
      <c r="I4499" s="3" t="s">
        <v>48</v>
      </c>
      <c r="J4499" s="3" t="s">
        <v>12839</v>
      </c>
      <c r="K4499" s="3" t="s">
        <v>499</v>
      </c>
      <c r="L4499" s="3" t="str">
        <f>IFERROR(__xludf.DUMMYFUNCTION("GOOGLETRANSLATE(F4499,""id"",""en"")"),"It doesn't feel like last day Pildun Qatar was completed Exciting the Best Final World Cup Ever Your Affirmation Works Perfect Thanks Admin Eti")</f>
        <v>It doesn't feel like last day Pildun Qatar was completed Exciting the Best Final World Cup Ever Your Affirmation Works Perfect Thanks Admin Eti</v>
      </c>
    </row>
    <row r="4500" ht="15.75" customHeight="1">
      <c r="A4500" s="1">
        <v>5663.0</v>
      </c>
      <c r="B4500" s="3" t="s">
        <v>12840</v>
      </c>
      <c r="C4500" s="3">
        <v>0.0</v>
      </c>
      <c r="D4500" s="3">
        <v>0.0</v>
      </c>
      <c r="E4500" s="3">
        <v>0.0</v>
      </c>
      <c r="F4500" s="3" t="s">
        <v>12841</v>
      </c>
      <c r="G4500" s="3">
        <v>1.0</v>
      </c>
      <c r="H4500" s="3">
        <v>0.0</v>
      </c>
      <c r="I4500" s="3" t="s">
        <v>13</v>
      </c>
      <c r="J4500" s="3" t="s">
        <v>12842</v>
      </c>
      <c r="K4500" s="3" t="s">
        <v>2907</v>
      </c>
      <c r="L4500" s="3" t="str">
        <f>IFERROR(__xludf.DUMMYFUNCTION("GOOGLETRANSLATE(F4500,""id"",""en"")"),"it can also be a praise for mbappe to be able to get the final pildun but the team lost so using the mbappe sticker crying")</f>
        <v>it can also be a praise for mbappe to be able to get the final pildun but the team lost so using the mbappe sticker crying</v>
      </c>
    </row>
    <row r="4501" ht="15.75" customHeight="1">
      <c r="A4501" s="1">
        <v>5664.0</v>
      </c>
      <c r="B4501" s="3" t="s">
        <v>12843</v>
      </c>
      <c r="C4501" s="3">
        <v>2.0</v>
      </c>
      <c r="D4501" s="3">
        <v>0.0</v>
      </c>
      <c r="E4501" s="3">
        <v>0.0</v>
      </c>
      <c r="F4501" s="3" t="s">
        <v>12844</v>
      </c>
      <c r="G4501" s="3">
        <v>0.0</v>
      </c>
      <c r="H4501" s="3">
        <v>0.0</v>
      </c>
      <c r="I4501" s="3" t="s">
        <v>13</v>
      </c>
      <c r="J4501" s="3" t="s">
        <v>12845</v>
      </c>
      <c r="K4501" s="3" t="s">
        <v>584</v>
      </c>
      <c r="L4501" s="3" t="str">
        <f>IFERROR(__xludf.DUMMYFUNCTION("GOOGLETRANSLATE(F4501,""id"",""en"")"),"If you stupid, the stupid signs of the full ball drainage will also run smoothly, the stupid flow")</f>
        <v>If you stupid, the stupid signs of the full ball drainage will also run smoothly, the stupid flow</v>
      </c>
    </row>
    <row r="4502" ht="15.75" customHeight="1">
      <c r="A4502" s="1">
        <v>5665.0</v>
      </c>
      <c r="B4502" s="3" t="s">
        <v>12846</v>
      </c>
      <c r="C4502" s="3">
        <v>0.0</v>
      </c>
      <c r="D4502" s="3">
        <v>0.0</v>
      </c>
      <c r="E4502" s="3">
        <v>0.0</v>
      </c>
      <c r="F4502" s="3" t="s">
        <v>12847</v>
      </c>
      <c r="G4502" s="3">
        <v>1.0</v>
      </c>
      <c r="H4502" s="3">
        <v>0.0</v>
      </c>
      <c r="I4502" s="3" t="s">
        <v>13</v>
      </c>
      <c r="J4502" s="3" t="s">
        <v>12848</v>
      </c>
      <c r="K4502" s="3" t="s">
        <v>437</v>
      </c>
      <c r="L4502" s="3" t="str">
        <f>IFERROR(__xludf.DUMMYFUNCTION("GOOGLETRANSLATE(F4502,""id"",""en"")"),"Final Pildun has a new test when the trophy is handed over, but it's already muddy, let alone, especially if you really stop.")</f>
        <v>Final Pildun has a new test when the trophy is handed over, but it's already muddy, let alone, especially if you really stop.</v>
      </c>
    </row>
    <row r="4503" ht="15.75" customHeight="1">
      <c r="A4503" s="1">
        <v>5666.0</v>
      </c>
      <c r="B4503" s="3" t="s">
        <v>12849</v>
      </c>
      <c r="C4503" s="3">
        <v>0.0</v>
      </c>
      <c r="D4503" s="3">
        <v>0.0</v>
      </c>
      <c r="E4503" s="3">
        <v>1.0</v>
      </c>
      <c r="F4503" s="3" t="s">
        <v>12850</v>
      </c>
      <c r="G4503" s="3">
        <v>1.0</v>
      </c>
      <c r="H4503" s="3">
        <v>0.0</v>
      </c>
      <c r="I4503" s="3" t="s">
        <v>13</v>
      </c>
      <c r="J4503" s="3" t="s">
        <v>12851</v>
      </c>
      <c r="K4503" s="3" t="s">
        <v>1061</v>
      </c>
      <c r="L4503" s="3" t="str">
        <f>IFERROR(__xludf.DUMMYFUNCTION("GOOGLETRANSLATE(F4503,""id"",""en"")"),"Smart at minimal education, it is thought that drainage is able to accommodate as much as any test times, there is a limit for this new Pildun final when the trophy is handed over, but the flood is already the field of https")</f>
        <v>Smart at minimal education, it is thought that drainage is able to accommodate as much as any test times, there is a limit for this new Pildun final when the trophy is handed over, but the flood is already the field of https</v>
      </c>
    </row>
    <row r="4504" ht="15.75" customHeight="1">
      <c r="A4504" s="1">
        <v>5667.0</v>
      </c>
      <c r="B4504" s="3" t="s">
        <v>12852</v>
      </c>
      <c r="C4504" s="3">
        <v>0.0</v>
      </c>
      <c r="D4504" s="3">
        <v>0.0</v>
      </c>
      <c r="E4504" s="3">
        <v>1.0</v>
      </c>
      <c r="F4504" s="3" t="s">
        <v>12853</v>
      </c>
      <c r="G4504" s="3">
        <v>1.0</v>
      </c>
      <c r="H4504" s="3">
        <v>0.0</v>
      </c>
      <c r="I4504" s="3" t="s">
        <v>13</v>
      </c>
      <c r="J4504" s="3" t="s">
        <v>12854</v>
      </c>
      <c r="K4504" s="3" t="s">
        <v>15</v>
      </c>
      <c r="L4504" s="3" t="str">
        <f>IFERROR(__xludf.DUMMYFUNCTION("GOOGLETRANSLATE(F4504,""id"",""en"")"),"Kmarin Final Pildun Covering Goblokny and Senior Dembele")</f>
        <v>Kmarin Final Pildun Covering Goblokny and Senior Dembele</v>
      </c>
    </row>
    <row r="4505" ht="15.75" customHeight="1">
      <c r="A4505" s="1">
        <v>5668.0</v>
      </c>
      <c r="B4505" s="3" t="s">
        <v>12855</v>
      </c>
      <c r="C4505" s="3">
        <v>11.0</v>
      </c>
      <c r="D4505" s="3">
        <v>1.0</v>
      </c>
      <c r="E4505" s="3">
        <v>9.0</v>
      </c>
      <c r="F4505" s="3" t="s">
        <v>12856</v>
      </c>
      <c r="G4505" s="3">
        <v>1.0</v>
      </c>
      <c r="H4505" s="3">
        <v>0.0</v>
      </c>
      <c r="I4505" s="3" t="s">
        <v>13</v>
      </c>
      <c r="J4505" s="3" t="s">
        <v>12857</v>
      </c>
      <c r="K4505" s="3" t="s">
        <v>82</v>
      </c>
      <c r="L4505" s="3" t="str">
        <f>IFERROR(__xludf.DUMMYFUNCTION("GOOGLETRANSLATE(F4505,""id"",""en"")"),"info please web or link can be rewatch the final pildun")</f>
        <v>info please web or link can be rewatch the final pildun</v>
      </c>
    </row>
    <row r="4506" ht="15.75" customHeight="1">
      <c r="A4506" s="1">
        <v>5669.0</v>
      </c>
      <c r="B4506" s="3" t="s">
        <v>12858</v>
      </c>
      <c r="C4506" s="3">
        <v>2.0</v>
      </c>
      <c r="D4506" s="3">
        <v>0.0</v>
      </c>
      <c r="E4506" s="3">
        <v>0.0</v>
      </c>
      <c r="F4506" s="3" t="s">
        <v>12859</v>
      </c>
      <c r="G4506" s="3">
        <v>1.0</v>
      </c>
      <c r="H4506" s="3">
        <v>0.0</v>
      </c>
      <c r="I4506" s="3" t="s">
        <v>13</v>
      </c>
      <c r="J4506" s="3" t="s">
        <v>12860</v>
      </c>
      <c r="K4506" s="3" t="s">
        <v>903</v>
      </c>
      <c r="L4506" s="3" t="str">
        <f>IFERROR(__xludf.DUMMYFUNCTION("GOOGLETRANSLATE(F4506,""id"",""en"")"),"Jkt, Final Final Final French Croatia New European, the end of the match, but when the trophy is handed over, it's a muddy field, so don't stupid European")</f>
        <v>Jkt, Final Final Final French Croatia New European, the end of the match, but when the trophy is handed over, it's a muddy field, so don't stupid European</v>
      </c>
    </row>
    <row r="4507" ht="15.75" customHeight="1">
      <c r="A4507" s="1">
        <v>5670.0</v>
      </c>
      <c r="B4507" s="3" t="s">
        <v>12861</v>
      </c>
      <c r="C4507" s="3">
        <v>0.0</v>
      </c>
      <c r="D4507" s="3">
        <v>0.0</v>
      </c>
      <c r="E4507" s="3">
        <v>0.0</v>
      </c>
      <c r="F4507" s="3" t="s">
        <v>12862</v>
      </c>
      <c r="G4507" s="3">
        <v>1.0</v>
      </c>
      <c r="H4507" s="3">
        <v>0.0</v>
      </c>
      <c r="I4507" s="3" t="s">
        <v>13</v>
      </c>
      <c r="J4507" s="3" t="s">
        <v>12863</v>
      </c>
      <c r="K4507" s="3" t="s">
        <v>41</v>
      </c>
      <c r="L4507" s="3" t="str">
        <f>IFERROR(__xludf.DUMMYFUNCTION("GOOGLETRANSLATE(F4507,""id"",""en"")"),"want the final pildun to be repeated how many times it still will still be champions")</f>
        <v>want the final pildun to be repeated how many times it still will still be champions</v>
      </c>
    </row>
    <row r="4508" ht="15.75" customHeight="1">
      <c r="A4508" s="1">
        <v>5671.0</v>
      </c>
      <c r="B4508" s="3" t="s">
        <v>12864</v>
      </c>
      <c r="C4508" s="3">
        <v>0.0</v>
      </c>
      <c r="D4508" s="3">
        <v>0.0</v>
      </c>
      <c r="E4508" s="3">
        <v>0.0</v>
      </c>
      <c r="F4508" s="3" t="s">
        <v>12865</v>
      </c>
      <c r="G4508" s="3">
        <v>1.0</v>
      </c>
      <c r="H4508" s="3">
        <v>0.0</v>
      </c>
      <c r="I4508" s="3" t="s">
        <v>13</v>
      </c>
      <c r="J4508" s="3" t="s">
        <v>12866</v>
      </c>
      <c r="K4508" s="3" t="s">
        <v>54</v>
      </c>
      <c r="L4508" s="3" t="str">
        <f>IFERROR(__xludf.DUMMYFUNCTION("GOOGLETRANSLATE(F4508,""id"",""en"")"),"This year's final Pildun is the French FIFA national team")</f>
        <v>This year's final Pildun is the French FIFA national team</v>
      </c>
    </row>
    <row r="4509" ht="15.75" customHeight="1">
      <c r="A4509" s="1">
        <v>5672.0</v>
      </c>
      <c r="B4509" s="3" t="s">
        <v>12867</v>
      </c>
      <c r="C4509" s="3">
        <v>0.0</v>
      </c>
      <c r="D4509" s="3">
        <v>0.0</v>
      </c>
      <c r="E4509" s="3">
        <v>3.0</v>
      </c>
      <c r="F4509" s="3" t="s">
        <v>12868</v>
      </c>
      <c r="G4509" s="3">
        <v>1.0</v>
      </c>
      <c r="H4509" s="3">
        <v>0.0</v>
      </c>
      <c r="I4509" s="3" t="s">
        <v>13</v>
      </c>
      <c r="J4509" s="3" t="s">
        <v>12869</v>
      </c>
      <c r="K4509" s="3" t="s">
        <v>75</v>
      </c>
      <c r="L4509" s="3" t="str">
        <f>IFERROR(__xludf.DUMMYFUNCTION("GOOGLETRANSLATE(F4509,""id"",""en"")"),"Kim Naldo Gaot for Epep's Bocil but once touched the final Pilduun wkwkwk")</f>
        <v>Kim Naldo Gaot for Epep's Bocil but once touched the final Pilduun wkwkwk</v>
      </c>
    </row>
    <row r="4510" ht="15.75" customHeight="1">
      <c r="A4510" s="1">
        <v>5673.0</v>
      </c>
      <c r="B4510" s="3" t="s">
        <v>12870</v>
      </c>
      <c r="C4510" s="3">
        <v>0.0</v>
      </c>
      <c r="D4510" s="3">
        <v>0.0</v>
      </c>
      <c r="E4510" s="3">
        <v>0.0</v>
      </c>
      <c r="F4510" s="3" t="s">
        <v>12871</v>
      </c>
      <c r="G4510" s="3">
        <v>1.0</v>
      </c>
      <c r="H4510" s="3">
        <v>0.0</v>
      </c>
      <c r="I4510" s="3" t="s">
        <v>13</v>
      </c>
      <c r="J4510" s="3" t="s">
        <v>12872</v>
      </c>
      <c r="K4510" s="3" t="s">
        <v>75</v>
      </c>
      <c r="L4510" s="3" t="str">
        <f>IFERROR(__xludf.DUMMYFUNCTION("GOOGLETRANSLATE(F4510,""id"",""en"")"),"Anying there are people similar to the Nex Carlos Final Pildun Clay Turns Really He")</f>
        <v>Anying there are people similar to the Nex Carlos Final Pildun Clay Turns Really He</v>
      </c>
    </row>
    <row r="4511" ht="15.75" customHeight="1">
      <c r="A4511" s="1">
        <v>5674.0</v>
      </c>
      <c r="B4511" s="3" t="s">
        <v>12873</v>
      </c>
      <c r="C4511" s="3">
        <v>8.0</v>
      </c>
      <c r="D4511" s="3">
        <v>0.0</v>
      </c>
      <c r="E4511" s="3">
        <v>7.0</v>
      </c>
      <c r="F4511" s="3" t="s">
        <v>12874</v>
      </c>
      <c r="G4511" s="3">
        <v>1.0</v>
      </c>
      <c r="H4511" s="3">
        <v>0.0</v>
      </c>
      <c r="I4511" s="3" t="s">
        <v>13</v>
      </c>
      <c r="J4511" s="3" t="s">
        <v>12875</v>
      </c>
      <c r="K4511" s="3" t="s">
        <v>4784</v>
      </c>
      <c r="L4511" s="3" t="str">
        <f>IFERROR(__xludf.DUMMYFUNCTION("GOOGLETRANSLATE(F4511,""id"",""en"")"),"Halah just world champion has just tackled my country national team who repeatedly entered the final AFF, just none of them made a tattoo of BTW before Argentina entered my country's Pildun the first Asian national team entered the pildun")</f>
        <v>Halah just world champion has just tackled my country national team who repeatedly entered the final AFF, just none of them made a tattoo of BTW before Argentina entered my country's Pildun the first Asian national team entered the pildun</v>
      </c>
    </row>
    <row r="4512" ht="15.75" customHeight="1">
      <c r="A4512" s="1">
        <v>5675.0</v>
      </c>
      <c r="B4512" s="3" t="s">
        <v>12876</v>
      </c>
      <c r="C4512" s="3">
        <v>0.0</v>
      </c>
      <c r="D4512" s="3">
        <v>0.0</v>
      </c>
      <c r="E4512" s="3">
        <v>0.0</v>
      </c>
      <c r="F4512" s="3" t="s">
        <v>12877</v>
      </c>
      <c r="G4512" s="3">
        <v>0.8333333333333334</v>
      </c>
      <c r="H4512" s="3">
        <v>-0.1666666666666667</v>
      </c>
      <c r="I4512" s="3" t="s">
        <v>179</v>
      </c>
      <c r="J4512" s="3" t="s">
        <v>12878</v>
      </c>
      <c r="K4512" s="3" t="s">
        <v>23</v>
      </c>
      <c r="L4512" s="3" t="str">
        <f>IFERROR(__xludf.DUMMYFUNCTION("GOOGLETRANSLATE(F4512,""id"",""en"")"),"Random Ngeyutub Nex Carlos He watched the Qatar Final Lgsg, it seems worthed to watch the ball directly, the final pildun yesterday was very proud")</f>
        <v>Random Ngeyutub Nex Carlos He watched the Qatar Final Lgsg, it seems worthed to watch the ball directly, the final pildun yesterday was very proud</v>
      </c>
    </row>
    <row r="4513" ht="15.75" customHeight="1">
      <c r="A4513" s="1">
        <v>5676.0</v>
      </c>
      <c r="B4513" s="3" t="s">
        <v>12879</v>
      </c>
      <c r="C4513" s="3">
        <v>0.0</v>
      </c>
      <c r="D4513" s="3">
        <v>0.0</v>
      </c>
      <c r="E4513" s="3">
        <v>0.0</v>
      </c>
      <c r="F4513" s="3" t="s">
        <v>12880</v>
      </c>
      <c r="G4513" s="3">
        <v>0.6666666666666666</v>
      </c>
      <c r="H4513" s="3">
        <v>0.08333333333333333</v>
      </c>
      <c r="I4513" s="3" t="s">
        <v>48</v>
      </c>
      <c r="J4513" s="3" t="s">
        <v>12881</v>
      </c>
      <c r="K4513" s="3" t="s">
        <v>41</v>
      </c>
      <c r="L4513" s="3" t="str">
        <f>IFERROR(__xludf.DUMMYFUNCTION("GOOGLETRANSLATE(F4513,""id"",""en"")"),"Already when watching the final of Pilduun Adila and Aliya playing")</f>
        <v>Already when watching the final of Pilduun Adila and Aliya playing</v>
      </c>
    </row>
    <row r="4514" ht="15.75" customHeight="1">
      <c r="A4514" s="1">
        <v>5678.0</v>
      </c>
      <c r="B4514" s="3" t="s">
        <v>12882</v>
      </c>
      <c r="C4514" s="3">
        <v>0.0</v>
      </c>
      <c r="D4514" s="3">
        <v>0.0</v>
      </c>
      <c r="E4514" s="3">
        <v>0.0</v>
      </c>
      <c r="F4514" s="3" t="s">
        <v>12883</v>
      </c>
      <c r="G4514" s="3">
        <v>1.0</v>
      </c>
      <c r="H4514" s="3">
        <v>0.0</v>
      </c>
      <c r="I4514" s="3" t="s">
        <v>13</v>
      </c>
      <c r="J4514" s="3" t="s">
        <v>12884</v>
      </c>
      <c r="K4514" s="3" t="s">
        <v>510</v>
      </c>
      <c r="L4514" s="3" t="str">
        <f>IFERROR(__xludf.DUMMYFUNCTION("GOOGLETRANSLATE(F4514,""id"",""en"")"),"He is Kylan mbappe, a member of the French national team when the final of the pildun yesterday scored a goal alone")</f>
        <v>He is Kylan mbappe, a member of the French national team when the final of the pildun yesterday scored a goal alone</v>
      </c>
    </row>
    <row r="4515" ht="15.75" customHeight="1">
      <c r="A4515" s="1">
        <v>5679.0</v>
      </c>
      <c r="B4515" s="3" t="s">
        <v>12885</v>
      </c>
      <c r="C4515" s="3">
        <v>1.0</v>
      </c>
      <c r="D4515" s="3">
        <v>0.0</v>
      </c>
      <c r="E4515" s="3">
        <v>0.0</v>
      </c>
      <c r="F4515" s="3" t="s">
        <v>12886</v>
      </c>
      <c r="G4515" s="3">
        <v>1.0</v>
      </c>
      <c r="H4515" s="3">
        <v>0.0</v>
      </c>
      <c r="I4515" s="3" t="s">
        <v>13</v>
      </c>
      <c r="J4515" s="3" t="s">
        <v>12887</v>
      </c>
      <c r="K4515" s="3" t="s">
        <v>41</v>
      </c>
      <c r="L4515" s="3" t="str">
        <f>IFERROR(__xludf.DUMMYFUNCTION("GOOGLETRANSLATE(F4515,""id"",""en"")"),"Crazy Final Pildun yesterday was very exciting woyy spirit mbappe")</f>
        <v>Crazy Final Pildun yesterday was very exciting woyy spirit mbappe</v>
      </c>
    </row>
    <row r="4516" ht="15.75" customHeight="1">
      <c r="A4516" s="1">
        <v>5681.0</v>
      </c>
      <c r="B4516" s="3" t="s">
        <v>12888</v>
      </c>
      <c r="C4516" s="3">
        <v>0.0</v>
      </c>
      <c r="D4516" s="3">
        <v>0.0</v>
      </c>
      <c r="E4516" s="3">
        <v>1.0</v>
      </c>
      <c r="F4516" s="3" t="s">
        <v>12889</v>
      </c>
      <c r="G4516" s="3">
        <v>1.0</v>
      </c>
      <c r="H4516" s="3">
        <v>0.0</v>
      </c>
      <c r="I4516" s="3" t="s">
        <v>13</v>
      </c>
      <c r="J4516" s="3" t="s">
        <v>12890</v>
      </c>
      <c r="K4516" s="3" t="s">
        <v>15</v>
      </c>
      <c r="L4516" s="3" t="str">
        <f>IFERROR(__xludf.DUMMYFUNCTION("GOOGLETRANSLATE(F4516,""id"",""en"")"),"hadeh about making gwieh plesbek high school pildun dwwir")</f>
        <v>hadeh about making gwieh plesbek high school pildun dwwir</v>
      </c>
    </row>
    <row r="4517" ht="15.75" customHeight="1">
      <c r="A4517" s="1">
        <v>5682.0</v>
      </c>
      <c r="B4517" s="3" t="s">
        <v>12891</v>
      </c>
      <c r="C4517" s="3">
        <v>0.0</v>
      </c>
      <c r="D4517" s="3">
        <v>0.0</v>
      </c>
      <c r="E4517" s="3">
        <v>0.0</v>
      </c>
      <c r="F4517" s="3" t="s">
        <v>12892</v>
      </c>
      <c r="G4517" s="3">
        <v>1.0</v>
      </c>
      <c r="H4517" s="3">
        <v>0.0</v>
      </c>
      <c r="I4517" s="3" t="s">
        <v>13</v>
      </c>
      <c r="J4517" s="3" t="s">
        <v>12893</v>
      </c>
      <c r="K4517" s="3" t="s">
        <v>19</v>
      </c>
      <c r="L4517" s="3" t="str">
        <f>IFERROR(__xludf.DUMMYFUNCTION("GOOGLETRANSLATE(F4517,""id"",""en"")"),"From the beginning, I already said, I said quiet")</f>
        <v>From the beginning, I already said, I said quiet</v>
      </c>
    </row>
    <row r="4518" ht="15.75" customHeight="1">
      <c r="A4518" s="1">
        <v>5683.0</v>
      </c>
      <c r="B4518" s="3" t="s">
        <v>12894</v>
      </c>
      <c r="C4518" s="3">
        <v>0.0</v>
      </c>
      <c r="D4518" s="3">
        <v>0.0</v>
      </c>
      <c r="E4518" s="3">
        <v>0.0</v>
      </c>
      <c r="F4518" s="3" t="s">
        <v>12895</v>
      </c>
      <c r="G4518" s="3">
        <v>1.0</v>
      </c>
      <c r="H4518" s="3">
        <v>0.0</v>
      </c>
      <c r="I4518" s="3" t="s">
        <v>13</v>
      </c>
      <c r="J4518" s="3" t="s">
        <v>12896</v>
      </c>
      <c r="K4518" s="3" t="s">
        <v>54</v>
      </c>
      <c r="L4518" s="3" t="str">
        <f>IFERROR(__xludf.DUMMYFUNCTION("GOOGLETRANSLATE(F4518,""id"",""en"")"),"definitely signed time when the final pildun wkwkwk")</f>
        <v>definitely signed time when the final pildun wkwkwk</v>
      </c>
    </row>
    <row r="4519" ht="15.75" customHeight="1">
      <c r="A4519" s="1">
        <v>5684.0</v>
      </c>
      <c r="B4519" s="3" t="s">
        <v>12897</v>
      </c>
      <c r="C4519" s="3">
        <v>1.0</v>
      </c>
      <c r="D4519" s="3">
        <v>0.0</v>
      </c>
      <c r="E4519" s="3">
        <v>0.0</v>
      </c>
      <c r="F4519" s="3" t="s">
        <v>12898</v>
      </c>
      <c r="G4519" s="3">
        <v>1.0</v>
      </c>
      <c r="H4519" s="3">
        <v>0.0</v>
      </c>
      <c r="I4519" s="3" t="s">
        <v>13</v>
      </c>
      <c r="J4519" s="3" t="s">
        <v>12899</v>
      </c>
      <c r="K4519" s="3" t="s">
        <v>82</v>
      </c>
      <c r="L4519" s="3" t="str">
        <f>IFERROR(__xludf.DUMMYFUNCTION("GOOGLETRANSLATE(F4519,""id"",""en"")"),"want to sing the voice still after the final pildun")</f>
        <v>want to sing the voice still after the final pildun</v>
      </c>
    </row>
    <row r="4520" ht="15.75" customHeight="1">
      <c r="A4520" s="1">
        <v>5685.0</v>
      </c>
      <c r="B4520" s="3" t="s">
        <v>12900</v>
      </c>
      <c r="C4520" s="3">
        <v>0.0</v>
      </c>
      <c r="D4520" s="3">
        <v>0.0</v>
      </c>
      <c r="E4520" s="3">
        <v>0.0</v>
      </c>
      <c r="F4520" s="3" t="s">
        <v>12901</v>
      </c>
      <c r="G4520" s="3">
        <v>1.0</v>
      </c>
      <c r="H4520" s="3">
        <v>0.0</v>
      </c>
      <c r="I4520" s="3" t="s">
        <v>13</v>
      </c>
      <c r="J4520" s="3" t="s">
        <v>12902</v>
      </c>
      <c r="K4520" s="3" t="s">
        <v>19</v>
      </c>
      <c r="L4520" s="3" t="str">
        <f>IFERROR(__xludf.DUMMYFUNCTION("GOOGLETRANSLATE(F4520,""id"",""en"")"),"Look at the vlog Nex Karlos watching the final Qatar soul pildun mengiri is increasingly becoming")</f>
        <v>Look at the vlog Nex Karlos watching the final Qatar soul pildun mengiri is increasingly becoming</v>
      </c>
    </row>
    <row r="4521" ht="15.75" customHeight="1">
      <c r="A4521" s="1">
        <v>5686.0</v>
      </c>
      <c r="B4521" s="3" t="s">
        <v>12903</v>
      </c>
      <c r="C4521" s="3">
        <v>0.0</v>
      </c>
      <c r="D4521" s="3">
        <v>0.0</v>
      </c>
      <c r="E4521" s="3">
        <v>1.0</v>
      </c>
      <c r="F4521" s="3" t="s">
        <v>12904</v>
      </c>
      <c r="G4521" s="3">
        <v>1.0</v>
      </c>
      <c r="H4521" s="3">
        <v>0.0</v>
      </c>
      <c r="I4521" s="3" t="s">
        <v>13</v>
      </c>
      <c r="J4521" s="3" t="s">
        <v>12905</v>
      </c>
      <c r="K4521" s="3" t="s">
        <v>41</v>
      </c>
      <c r="L4521" s="3" t="str">
        <f>IFERROR(__xludf.DUMMYFUNCTION("GOOGLETRANSLATE(F4521,""id"",""en"")"),"Look at the videony of the tactic room, the final pildun bang so that it is clever")</f>
        <v>Look at the videony of the tactic room, the final pildun bang so that it is clever</v>
      </c>
    </row>
    <row r="4522" ht="15.75" customHeight="1">
      <c r="A4522" s="1">
        <v>5687.0</v>
      </c>
      <c r="B4522" s="3" t="s">
        <v>12906</v>
      </c>
      <c r="C4522" s="3">
        <v>1.0</v>
      </c>
      <c r="D4522" s="3">
        <v>0.0</v>
      </c>
      <c r="E4522" s="3">
        <v>0.0</v>
      </c>
      <c r="F4522" s="3" t="s">
        <v>12907</v>
      </c>
      <c r="G4522" s="3">
        <v>1.0</v>
      </c>
      <c r="H4522" s="3">
        <v>0.0</v>
      </c>
      <c r="I4522" s="3" t="s">
        <v>13</v>
      </c>
      <c r="J4522" s="3" t="s">
        <v>12908</v>
      </c>
      <c r="K4522" s="3" t="s">
        <v>644</v>
      </c>
      <c r="L4522" s="3" t="str">
        <f>IFERROR(__xludf.DUMMYFUNCTION("GOOGLETRANSLATE(F4522,""id"",""en"")"),"Ulian Cak Final Pildun")</f>
        <v>Ulian Cak Final Pildun</v>
      </c>
    </row>
    <row r="4523" ht="15.75" customHeight="1">
      <c r="A4523" s="1">
        <v>5688.0</v>
      </c>
      <c r="B4523" s="3" t="s">
        <v>12909</v>
      </c>
      <c r="C4523" s="3">
        <v>0.0</v>
      </c>
      <c r="D4523" s="3">
        <v>0.0</v>
      </c>
      <c r="E4523" s="3">
        <v>0.0</v>
      </c>
      <c r="F4523" s="3" t="s">
        <v>12910</v>
      </c>
      <c r="G4523" s="3">
        <v>1.0</v>
      </c>
      <c r="H4523" s="3">
        <v>0.0</v>
      </c>
      <c r="I4523" s="3" t="s">
        <v>13</v>
      </c>
      <c r="J4523" s="3" t="s">
        <v>12911</v>
      </c>
      <c r="K4523" s="3" t="s">
        <v>12912</v>
      </c>
      <c r="L4523" s="3" t="str">
        <f>IFERROR(__xludf.DUMMYFUNCTION("GOOGLETRANSLATE(F4523,""id"",""en"")"),"exclaimed so the story of the pildun with Ayukde Sis Erwin was stopped because I returned bkl yesterday during the first month the nobar group round together when I met again already finished the final so there were a lot of materials to tell me")</f>
        <v>exclaimed so the story of the pildun with Ayukde Sis Erwin was stopped because I returned bkl yesterday during the first month the nobar group round together when I met again already finished the final so there were a lot of materials to tell me</v>
      </c>
    </row>
    <row r="4524" ht="15.75" customHeight="1">
      <c r="A4524" s="1">
        <v>5689.0</v>
      </c>
      <c r="B4524" s="3" t="s">
        <v>12913</v>
      </c>
      <c r="C4524" s="3">
        <v>0.0</v>
      </c>
      <c r="D4524" s="3">
        <v>0.0</v>
      </c>
      <c r="E4524" s="3">
        <v>0.0</v>
      </c>
      <c r="F4524" s="3" t="s">
        <v>12914</v>
      </c>
      <c r="G4524" s="3">
        <v>0.9375</v>
      </c>
      <c r="H4524" s="3">
        <v>-0.25</v>
      </c>
      <c r="I4524" s="3" t="s">
        <v>179</v>
      </c>
      <c r="J4524" s="3" t="s">
        <v>12915</v>
      </c>
      <c r="K4524" s="3" t="s">
        <v>2013</v>
      </c>
      <c r="L4524" s="3" t="str">
        <f>IFERROR(__xludf.DUMMYFUNCTION("GOOGLETRANSLATE(F4524,""id"",""en"")"),"Euro Euro Final Euro Euro Nations League British also won against Italy, a draw and loses to continue the preliminary British Group loses as well as the insecure from where")</f>
        <v>Euro Euro Final Euro Euro Nations League British also won against Italy, a draw and loses to continue the preliminary British Group loses as well as the insecure from where</v>
      </c>
    </row>
    <row r="4525" ht="15.75" customHeight="1">
      <c r="A4525" s="1">
        <v>5690.0</v>
      </c>
      <c r="B4525" s="3" t="s">
        <v>12916</v>
      </c>
      <c r="C4525" s="3">
        <v>1.0</v>
      </c>
      <c r="D4525" s="3">
        <v>0.0</v>
      </c>
      <c r="E4525" s="3">
        <v>0.0</v>
      </c>
      <c r="F4525" s="3" t="s">
        <v>12917</v>
      </c>
      <c r="G4525" s="3">
        <v>1.0</v>
      </c>
      <c r="H4525" s="3">
        <v>0.0</v>
      </c>
      <c r="I4525" s="3" t="s">
        <v>13</v>
      </c>
      <c r="J4525" s="3" t="s">
        <v>12918</v>
      </c>
      <c r="K4525" s="3" t="s">
        <v>50</v>
      </c>
      <c r="L4525" s="3" t="str">
        <f>IFERROR(__xludf.DUMMYFUNCTION("GOOGLETRANSLATE(F4525,""id"",""en"")"),"Lawas Ralat seems to be a pildun so many enter the final not as a participant")</f>
        <v>Lawas Ralat seems to be a pildun so many enter the final not as a participant</v>
      </c>
    </row>
    <row r="4526" ht="15.75" customHeight="1">
      <c r="A4526" s="1">
        <v>5691.0</v>
      </c>
      <c r="B4526" s="3" t="s">
        <v>12919</v>
      </c>
      <c r="C4526" s="3">
        <v>0.0</v>
      </c>
      <c r="D4526" s="3">
        <v>0.0</v>
      </c>
      <c r="E4526" s="3">
        <v>0.0</v>
      </c>
      <c r="F4526" s="3" t="s">
        <v>12920</v>
      </c>
      <c r="G4526" s="3">
        <v>1.0</v>
      </c>
      <c r="H4526" s="3">
        <v>0.0</v>
      </c>
      <c r="I4526" s="3" t="s">
        <v>13</v>
      </c>
      <c r="J4526" s="3" t="s">
        <v>12921</v>
      </c>
      <c r="K4526" s="3" t="s">
        <v>499</v>
      </c>
      <c r="L4526" s="3" t="str">
        <f>IFERROR(__xludf.DUMMYFUNCTION("GOOGLETRANSLATE(F4526,""id"",""en"")"),"Garagara Fess several times in the two months shared related to the pizza finally bought also when the final pildun was my favorite beef mushroom truffle so the menu that cheeseburst")</f>
        <v>Garagara Fess several times in the two months shared related to the pizza finally bought also when the final pildun was my favorite beef mushroom truffle so the menu that cheeseburst</v>
      </c>
    </row>
    <row r="4527" ht="15.75" customHeight="1">
      <c r="A4527" s="1">
        <v>5692.0</v>
      </c>
      <c r="B4527" s="3" t="s">
        <v>12922</v>
      </c>
      <c r="C4527" s="3">
        <v>1.0</v>
      </c>
      <c r="D4527" s="3">
        <v>0.0</v>
      </c>
      <c r="E4527" s="3">
        <v>2.0</v>
      </c>
      <c r="F4527" s="3" t="s">
        <v>12923</v>
      </c>
      <c r="G4527" s="3">
        <v>1.0</v>
      </c>
      <c r="H4527" s="3">
        <v>0.0</v>
      </c>
      <c r="I4527" s="3" t="s">
        <v>13</v>
      </c>
      <c r="J4527" s="3" t="s">
        <v>12924</v>
      </c>
      <c r="K4527" s="3" t="s">
        <v>41</v>
      </c>
      <c r="L4527" s="3" t="str">
        <f>IFERROR(__xludf.DUMMYFUNCTION("GOOGLETRANSLATE(F4527,""id"",""en"")"),"Bibar Syg Teamnas Norwegia is difficult to participate")</f>
        <v>Bibar Syg Teamnas Norwegia is difficult to participate</v>
      </c>
    </row>
    <row r="4528" ht="15.75" customHeight="1">
      <c r="A4528" s="1">
        <v>5693.0</v>
      </c>
      <c r="B4528" s="3" t="s">
        <v>12925</v>
      </c>
      <c r="C4528" s="3">
        <v>1.0</v>
      </c>
      <c r="D4528" s="3">
        <v>0.0</v>
      </c>
      <c r="E4528" s="3">
        <v>0.0</v>
      </c>
      <c r="F4528" s="3" t="s">
        <v>12926</v>
      </c>
      <c r="G4528" s="3">
        <v>1.0</v>
      </c>
      <c r="H4528" s="3">
        <v>0.0</v>
      </c>
      <c r="I4528" s="3" t="s">
        <v>13</v>
      </c>
      <c r="J4528" s="3" t="s">
        <v>12927</v>
      </c>
      <c r="K4528" s="3" t="s">
        <v>54</v>
      </c>
      <c r="L4528" s="3" t="str">
        <f>IFERROR(__xludf.DUMMYFUNCTION("GOOGLETRANSLATE(F4528,""id"",""en"")"),"Bizquit Original Komo Pas Final Pildun")</f>
        <v>Bizquit Original Komo Pas Final Pildun</v>
      </c>
    </row>
    <row r="4529" ht="15.75" customHeight="1">
      <c r="A4529" s="1">
        <v>5694.0</v>
      </c>
      <c r="B4529" s="3" t="s">
        <v>12928</v>
      </c>
      <c r="C4529" s="3">
        <v>0.0</v>
      </c>
      <c r="D4529" s="3">
        <v>0.0</v>
      </c>
      <c r="E4529" s="3">
        <v>1.0</v>
      </c>
      <c r="F4529" s="3" t="s">
        <v>12929</v>
      </c>
      <c r="G4529" s="3">
        <v>0.55</v>
      </c>
      <c r="H4529" s="3">
        <v>0.0</v>
      </c>
      <c r="I4529" s="3" t="s">
        <v>13</v>
      </c>
      <c r="J4529" s="3" t="s">
        <v>12930</v>
      </c>
      <c r="K4529" s="3" t="s">
        <v>240</v>
      </c>
      <c r="L4529" s="3" t="str">
        <f>IFERROR(__xludf.DUMMYFUNCTION("GOOGLETRANSLATE(F4529,""id"",""en"")"),"Redsindo all non -penalty goals for the final pildun yesterday were not really blue lock because the results of the teamwork")</f>
        <v>Redsindo all non -penalty goals for the final pildun yesterday were not really blue lock because the results of the teamwork</v>
      </c>
    </row>
    <row r="4530" ht="15.75" customHeight="1">
      <c r="A4530" s="1">
        <v>5695.0</v>
      </c>
      <c r="B4530" s="3" t="s">
        <v>12931</v>
      </c>
      <c r="C4530" s="3">
        <v>0.0</v>
      </c>
      <c r="D4530" s="3">
        <v>0.0</v>
      </c>
      <c r="E4530" s="3">
        <v>0.0</v>
      </c>
      <c r="F4530" s="3" t="s">
        <v>12932</v>
      </c>
      <c r="G4530" s="3">
        <v>1.0</v>
      </c>
      <c r="H4530" s="3">
        <v>0.0</v>
      </c>
      <c r="I4530" s="3" t="s">
        <v>13</v>
      </c>
      <c r="J4530" s="3" t="s">
        <v>12933</v>
      </c>
      <c r="K4530" s="3" t="s">
        <v>58</v>
      </c>
      <c r="L4530" s="3" t="str">
        <f>IFERROR(__xludf.DUMMYFUNCTION("GOOGLETRANSLATE(F4530,""id"",""en"")"),"Already, AFF doesn't need to be watched by champion, this isn't really playing like the final pildun yesterday, very lame")</f>
        <v>Already, AFF doesn't need to be watched by champion, this isn't really playing like the final pildun yesterday, very lame</v>
      </c>
    </row>
    <row r="4531" ht="15.75" customHeight="1">
      <c r="A4531" s="1">
        <v>5696.0</v>
      </c>
      <c r="B4531" s="3" t="s">
        <v>12934</v>
      </c>
      <c r="C4531" s="3">
        <v>4.0</v>
      </c>
      <c r="D4531" s="3">
        <v>5.0</v>
      </c>
      <c r="E4531" s="3">
        <v>75.0</v>
      </c>
      <c r="F4531" s="3" t="s">
        <v>12935</v>
      </c>
      <c r="G4531" s="3">
        <v>0.5</v>
      </c>
      <c r="H4531" s="3">
        <v>0.0</v>
      </c>
      <c r="I4531" s="3" t="s">
        <v>13</v>
      </c>
      <c r="J4531" s="3" t="s">
        <v>12936</v>
      </c>
      <c r="K4531" s="3" t="s">
        <v>495</v>
      </c>
      <c r="L4531" s="3" t="str">
        <f>IFERROR(__xludf.DUMMYFUNCTION("GOOGLETRANSLATE(F4531,""id"",""en"")"),"Redsindo Standard Final Pildun yesterday was still carrying AFF as a result I was myself even though the ASEAN level was wrong passing like this")</f>
        <v>Redsindo Standard Final Pildun yesterday was still carrying AFF as a result I was myself even though the ASEAN level was wrong passing like this</v>
      </c>
    </row>
    <row r="4532" ht="15.75" customHeight="1">
      <c r="A4532" s="1">
        <v>5697.0</v>
      </c>
      <c r="B4532" s="3" t="s">
        <v>12937</v>
      </c>
      <c r="C4532" s="3">
        <v>0.0</v>
      </c>
      <c r="D4532" s="3">
        <v>0.0</v>
      </c>
      <c r="E4532" s="3">
        <v>0.0</v>
      </c>
      <c r="F4532" s="3" t="s">
        <v>12938</v>
      </c>
      <c r="G4532" s="3">
        <v>0.75</v>
      </c>
      <c r="H4532" s="3">
        <v>0.1875</v>
      </c>
      <c r="I4532" s="3" t="s">
        <v>48</v>
      </c>
      <c r="J4532" s="3" t="s">
        <v>12939</v>
      </c>
      <c r="K4532" s="3" t="s">
        <v>997</v>
      </c>
      <c r="L4532" s="3" t="str">
        <f>IFERROR(__xludf.DUMMYFUNCTION("GOOGLETRANSLATE(F4532,""id"",""en"")"),"During watching pildun, especially when the final always imagined Kokk was like familiar with the goalkeeper French Lloris saw where it was already serving nervously met the breakthrough he saw this channel eating korean bbq ealah")</f>
        <v>During watching pildun, especially when the final always imagined Kokk was like familiar with the goalkeeper French Lloris saw where it was already serving nervously met the breakthrough he saw this channel eating korean bbq ealah</v>
      </c>
    </row>
    <row r="4533" ht="15.75" customHeight="1">
      <c r="A4533" s="1">
        <v>5698.0</v>
      </c>
      <c r="B4533" s="3" t="s">
        <v>12940</v>
      </c>
      <c r="C4533" s="3">
        <v>0.0</v>
      </c>
      <c r="D4533" s="3">
        <v>0.0</v>
      </c>
      <c r="E4533" s="3">
        <v>0.0</v>
      </c>
      <c r="F4533" s="3" t="s">
        <v>12941</v>
      </c>
      <c r="G4533" s="3">
        <v>0.75</v>
      </c>
      <c r="H4533" s="3">
        <v>0.1</v>
      </c>
      <c r="I4533" s="3" t="s">
        <v>48</v>
      </c>
      <c r="J4533" s="3" t="s">
        <v>12942</v>
      </c>
      <c r="K4533" s="3" t="s">
        <v>123</v>
      </c>
      <c r="L4533" s="3" t="str">
        <f>IFERROR(__xludf.DUMMYFUNCTION("GOOGLETRANSLATE(F4533,""id"",""en"")"),"Eyes Still Save the Beauty of the Final Match Pildun Continues to Call Indonesia Match Too Into Amazed HAHAHAHA")</f>
        <v>Eyes Still Save the Beauty of the Final Match Pildun Continues to Call Indonesia Match Too Into Amazed HAHAHAHA</v>
      </c>
    </row>
    <row r="4534" ht="15.75" customHeight="1">
      <c r="A4534" s="1">
        <v>5699.0</v>
      </c>
      <c r="B4534" s="3" t="s">
        <v>12943</v>
      </c>
      <c r="C4534" s="3">
        <v>0.0</v>
      </c>
      <c r="D4534" s="3">
        <v>0.0</v>
      </c>
      <c r="E4534" s="3">
        <v>0.0</v>
      </c>
      <c r="F4534" s="3" t="s">
        <v>12944</v>
      </c>
      <c r="G4534" s="3">
        <v>1.0</v>
      </c>
      <c r="H4534" s="3">
        <v>0.0</v>
      </c>
      <c r="I4534" s="3" t="s">
        <v>13</v>
      </c>
      <c r="J4534" s="3" t="s">
        <v>12945</v>
      </c>
      <c r="K4534" s="3" t="s">
        <v>31</v>
      </c>
      <c r="L4534" s="3" t="str">
        <f>IFERROR(__xludf.DUMMYFUNCTION("GOOGLETRANSLATE(F4534,""id"",""en"")"),"deg watching it like the final pildun")</f>
        <v>deg watching it like the final pildun</v>
      </c>
    </row>
    <row r="4535" ht="15.75" customHeight="1">
      <c r="A4535" s="1">
        <v>5700.0</v>
      </c>
      <c r="B4535" s="3" t="s">
        <v>12946</v>
      </c>
      <c r="C4535" s="3">
        <v>1.0</v>
      </c>
      <c r="D4535" s="3">
        <v>0.0</v>
      </c>
      <c r="E4535" s="3">
        <v>0.0</v>
      </c>
      <c r="F4535" s="3" t="s">
        <v>12947</v>
      </c>
      <c r="G4535" s="3">
        <v>1.0</v>
      </c>
      <c r="H4535" s="3">
        <v>0.0</v>
      </c>
      <c r="I4535" s="3" t="s">
        <v>13</v>
      </c>
      <c r="J4535" s="3" t="s">
        <v>12948</v>
      </c>
      <c r="K4535" s="3" t="s">
        <v>123</v>
      </c>
      <c r="L4535" s="3" t="str">
        <f>IFERROR(__xludf.DUMMYFUNCTION("GOOGLETRANSLATE(F4535,""id"",""en"")"),"after the last watching the final pildun then now watching the AFF Kek Eww turned out to be this bad Indo football")</f>
        <v>after the last watching the final pildun then now watching the AFF Kek Eww turned out to be this bad Indo football</v>
      </c>
    </row>
    <row r="4536" ht="15.75" customHeight="1">
      <c r="A4536" s="1">
        <v>5701.0</v>
      </c>
      <c r="B4536" s="3" t="s">
        <v>12949</v>
      </c>
      <c r="C4536" s="3">
        <v>0.0</v>
      </c>
      <c r="D4536" s="3">
        <v>0.0</v>
      </c>
      <c r="E4536" s="3">
        <v>0.0</v>
      </c>
      <c r="F4536" s="3" t="s">
        <v>12950</v>
      </c>
      <c r="G4536" s="3">
        <v>1.0</v>
      </c>
      <c r="H4536" s="3">
        <v>0.0</v>
      </c>
      <c r="I4536" s="3" t="s">
        <v>13</v>
      </c>
      <c r="J4536" s="3" t="s">
        <v>12951</v>
      </c>
      <c r="K4536" s="3" t="s">
        <v>15</v>
      </c>
      <c r="L4536" s="3" t="str">
        <f>IFERROR(__xludf.DUMMYFUNCTION("GOOGLETRANSLATE(F4536,""id"",""en"")"),"after watching the final of the direct pildun AFF who can't pass passing")</f>
        <v>after watching the final of the direct pildun AFF who can't pass passing</v>
      </c>
    </row>
    <row r="4537" ht="15.75" customHeight="1">
      <c r="A4537" s="1">
        <v>5702.0</v>
      </c>
      <c r="B4537" s="3" t="s">
        <v>12952</v>
      </c>
      <c r="C4537" s="3">
        <v>0.0</v>
      </c>
      <c r="D4537" s="3">
        <v>0.0</v>
      </c>
      <c r="E4537" s="3">
        <v>0.0</v>
      </c>
      <c r="F4537" s="3" t="s">
        <v>12953</v>
      </c>
      <c r="G4537" s="3">
        <v>1.0</v>
      </c>
      <c r="H4537" s="3">
        <v>0.0</v>
      </c>
      <c r="I4537" s="3" t="s">
        <v>13</v>
      </c>
      <c r="J4537" s="3" t="s">
        <v>12954</v>
      </c>
      <c r="K4537" s="3" t="s">
        <v>75</v>
      </c>
      <c r="L4537" s="3" t="str">
        <f>IFERROR(__xludf.DUMMYFUNCTION("GOOGLETRANSLATE(F4537,""id"",""en"")"),"Watching the new soccer Final Pildun yesterday immediately commented as if to know everything")</f>
        <v>Watching the new soccer Final Pildun yesterday immediately commented as if to know everything</v>
      </c>
    </row>
    <row r="4538" ht="15.75" customHeight="1">
      <c r="A4538" s="1">
        <v>5703.0</v>
      </c>
      <c r="B4538" s="3" t="s">
        <v>12955</v>
      </c>
      <c r="C4538" s="3">
        <v>1.0</v>
      </c>
      <c r="D4538" s="3">
        <v>0.0</v>
      </c>
      <c r="E4538" s="3">
        <v>0.0</v>
      </c>
      <c r="F4538" s="3" t="s">
        <v>12956</v>
      </c>
      <c r="G4538" s="3">
        <v>1.0</v>
      </c>
      <c r="H4538" s="3">
        <v>0.0</v>
      </c>
      <c r="I4538" s="3" t="s">
        <v>13</v>
      </c>
      <c r="J4538" s="3" t="s">
        <v>12957</v>
      </c>
      <c r="K4538" s="3" t="s">
        <v>15</v>
      </c>
      <c r="L4538" s="3" t="str">
        <f>IFERROR(__xludf.DUMMYFUNCTION("GOOGLETRANSLATE(F4538,""id"",""en"")"),"retirement for the first year since the final pildun faking sit")</f>
        <v>retirement for the first year since the final pildun faking sit</v>
      </c>
    </row>
    <row r="4539" ht="15.75" customHeight="1">
      <c r="A4539" s="1">
        <v>5704.0</v>
      </c>
      <c r="B4539" s="3" t="s">
        <v>12958</v>
      </c>
      <c r="C4539" s="3">
        <v>0.0</v>
      </c>
      <c r="D4539" s="3">
        <v>0.0</v>
      </c>
      <c r="E4539" s="3">
        <v>1.0</v>
      </c>
      <c r="F4539" s="3" t="s">
        <v>12959</v>
      </c>
      <c r="G4539" s="3">
        <v>1.0</v>
      </c>
      <c r="H4539" s="3">
        <v>0.0</v>
      </c>
      <c r="I4539" s="3" t="s">
        <v>13</v>
      </c>
      <c r="J4539" s="3" t="s">
        <v>12960</v>
      </c>
      <c r="K4539" s="3" t="s">
        <v>657</v>
      </c>
      <c r="L4539" s="3" t="str">
        <f>IFERROR(__xludf.DUMMYFUNCTION("GOOGLETRANSLATE(F4539,""id"",""en"")"),"indeed the original emotions peaked look at the sentence he was clearly the holder even added France losing the final pildun")</f>
        <v>indeed the original emotions peaked look at the sentence he was clearly the holder even added France losing the final pildun</v>
      </c>
    </row>
    <row r="4540" ht="15.75" customHeight="1">
      <c r="A4540" s="1">
        <v>5705.0</v>
      </c>
      <c r="B4540" s="3" t="s">
        <v>12961</v>
      </c>
      <c r="C4540" s="3">
        <v>0.0</v>
      </c>
      <c r="D4540" s="3">
        <v>0.0</v>
      </c>
      <c r="E4540" s="3">
        <v>0.0</v>
      </c>
      <c r="F4540" s="3" t="s">
        <v>12962</v>
      </c>
      <c r="G4540" s="3">
        <v>1.0</v>
      </c>
      <c r="H4540" s="3">
        <v>0.0</v>
      </c>
      <c r="I4540" s="3" t="s">
        <v>13</v>
      </c>
      <c r="J4540" s="3" t="s">
        <v>12963</v>
      </c>
      <c r="K4540" s="3" t="s">
        <v>15</v>
      </c>
      <c r="L4540" s="3" t="str">
        <f>IFERROR(__xludf.DUMMYFUNCTION("GOOGLETRANSLATE(F4540,""id"",""en"")"),"please watch the new soccer pilduun to be happy")</f>
        <v>please watch the new soccer pilduun to be happy</v>
      </c>
    </row>
    <row r="4541" ht="15.75" customHeight="1">
      <c r="A4541" s="1">
        <v>5706.0</v>
      </c>
      <c r="B4541" s="3" t="s">
        <v>12964</v>
      </c>
      <c r="C4541" s="3">
        <v>1.0</v>
      </c>
      <c r="D4541" s="3">
        <v>0.0</v>
      </c>
      <c r="E4541" s="3">
        <v>0.0</v>
      </c>
      <c r="F4541" s="3" t="s">
        <v>12965</v>
      </c>
      <c r="G4541" s="3">
        <v>1.0</v>
      </c>
      <c r="H4541" s="3">
        <v>0.0</v>
      </c>
      <c r="I4541" s="3" t="s">
        <v>13</v>
      </c>
      <c r="J4541" s="3" t="s">
        <v>12966</v>
      </c>
      <c r="K4541" s="3" t="s">
        <v>31</v>
      </c>
      <c r="L4541" s="3" t="str">
        <f>IFERROR(__xludf.DUMMYFUNCTION("GOOGLETRANSLATE(F4541,""id"",""en"")"),"The final Pildun yesterday will definitely support the winner")</f>
        <v>The final Pildun yesterday will definitely support the winner</v>
      </c>
    </row>
    <row r="4542" ht="15.75" customHeight="1">
      <c r="A4542" s="1">
        <v>5707.0</v>
      </c>
      <c r="B4542" s="3" t="s">
        <v>12967</v>
      </c>
      <c r="C4542" s="3">
        <v>2.0</v>
      </c>
      <c r="D4542" s="3">
        <v>2.0</v>
      </c>
      <c r="E4542" s="3">
        <v>19.0</v>
      </c>
      <c r="F4542" s="3" t="s">
        <v>12968</v>
      </c>
      <c r="G4542" s="3">
        <v>1.0</v>
      </c>
      <c r="H4542" s="3">
        <v>0.0</v>
      </c>
      <c r="I4542" s="3" t="s">
        <v>13</v>
      </c>
      <c r="J4542" s="3" t="s">
        <v>12969</v>
      </c>
      <c r="K4542" s="3" t="s">
        <v>54</v>
      </c>
      <c r="L4542" s="3" t="str">
        <f>IFERROR(__xludf.DUMMYFUNCTION("GOOGLETRANSLATE(F4542,""id"",""en"")"),"before the final pildun I already")</f>
        <v>before the final pildun I already</v>
      </c>
    </row>
    <row r="4543" ht="15.75" customHeight="1">
      <c r="A4543" s="1">
        <v>5708.0</v>
      </c>
      <c r="B4543" s="3" t="s">
        <v>12970</v>
      </c>
      <c r="C4543" s="3">
        <v>2.0</v>
      </c>
      <c r="D4543" s="3">
        <v>18.0</v>
      </c>
      <c r="E4543" s="3">
        <v>46.0</v>
      </c>
      <c r="F4543" s="3" t="s">
        <v>12971</v>
      </c>
      <c r="G4543" s="3">
        <v>1.0</v>
      </c>
      <c r="H4543" s="3">
        <v>0.0</v>
      </c>
      <c r="I4543" s="3" t="s">
        <v>13</v>
      </c>
      <c r="J4543" s="3" t="s">
        <v>12972</v>
      </c>
      <c r="K4543" s="3" t="s">
        <v>10801</v>
      </c>
      <c r="L4543" s="3" t="str">
        <f>IFERROR(__xludf.DUMMYFUNCTION("GOOGLETRANSLATE(F4543,""id"",""en"")"),"Discussions with South Korean journalists in charge of Pilduun yesterday how they saw the Korean public AFF Cup on coach Shin Tae Yong Park Hang Seo Kim Pan Gon SBS broadcasting the South Korean Teaser Final Teaser Phase Match Marketing the Coach Hot")</f>
        <v>Discussions with South Korean journalists in charge of Pilduun yesterday how they saw the Korean public AFF Cup on coach Shin Tae Yong Park Hang Seo Kim Pan Gon SBS broadcasting the South Korean Teaser Final Teaser Phase Match Marketing the Coach Hot</v>
      </c>
    </row>
    <row r="4544" ht="15.75" customHeight="1">
      <c r="A4544" s="1">
        <v>5709.0</v>
      </c>
      <c r="B4544" s="3" t="s">
        <v>12973</v>
      </c>
      <c r="C4544" s="3">
        <v>1.0</v>
      </c>
      <c r="D4544" s="3">
        <v>0.0</v>
      </c>
      <c r="E4544" s="3">
        <v>0.0</v>
      </c>
      <c r="F4544" s="3" t="s">
        <v>12974</v>
      </c>
      <c r="G4544" s="3">
        <v>1.0</v>
      </c>
      <c r="H4544" s="3">
        <v>0.0</v>
      </c>
      <c r="I4544" s="3" t="s">
        <v>13</v>
      </c>
      <c r="J4544" s="3" t="s">
        <v>12975</v>
      </c>
      <c r="K4544" s="3" t="s">
        <v>883</v>
      </c>
      <c r="L4544" s="3" t="str">
        <f>IFERROR(__xludf.DUMMYFUNCTION("GOOGLETRANSLATE(F4544,""id"",""en"")"),"Even though Qatar's treatment is very good champion, it's already considered a king of the previous pildun host whether it is a world champion after the final")</f>
        <v>Even though Qatar's treatment is very good champion, it's already considered a king of the previous pildun host whether it is a world champion after the final</v>
      </c>
    </row>
    <row r="4545" ht="15.75" customHeight="1">
      <c r="A4545" s="1">
        <v>5710.0</v>
      </c>
      <c r="B4545" s="3" t="s">
        <v>12976</v>
      </c>
      <c r="C4545" s="3">
        <v>0.0</v>
      </c>
      <c r="D4545" s="3">
        <v>0.0</v>
      </c>
      <c r="E4545" s="3">
        <v>1.0</v>
      </c>
      <c r="F4545" s="3" t="s">
        <v>12977</v>
      </c>
      <c r="G4545" s="3">
        <v>1.0</v>
      </c>
      <c r="H4545" s="3">
        <v>0.0</v>
      </c>
      <c r="I4545" s="3" t="s">
        <v>13</v>
      </c>
      <c r="J4545" s="3" t="s">
        <v>12978</v>
      </c>
      <c r="K4545" s="3" t="s">
        <v>899</v>
      </c>
      <c r="L4545" s="3" t="str">
        <f>IFERROR(__xludf.DUMMYFUNCTION("GOOGLETRANSLATE(F4545,""id"",""en"")"),"Darwin Nunez jokes to trending, the trending is similar to what is similar to Kolo Muani when the final pildun then even if it's very well known and then the joke will be taken after every time you joke")</f>
        <v>Darwin Nunez jokes to trending, the trending is similar to what is similar to Kolo Muani when the final pildun then even if it's very well known and then the joke will be taken after every time you joke</v>
      </c>
    </row>
    <row r="4546" ht="15.75" customHeight="1">
      <c r="A4546" s="1">
        <v>5711.0</v>
      </c>
      <c r="B4546" s="3" t="s">
        <v>12979</v>
      </c>
      <c r="C4546" s="3">
        <v>1.0</v>
      </c>
      <c r="D4546" s="3">
        <v>0.0</v>
      </c>
      <c r="E4546" s="3">
        <v>1.0</v>
      </c>
      <c r="F4546" s="3" t="s">
        <v>12980</v>
      </c>
      <c r="G4546" s="3">
        <v>1.0</v>
      </c>
      <c r="H4546" s="3">
        <v>0.0</v>
      </c>
      <c r="I4546" s="3" t="s">
        <v>13</v>
      </c>
      <c r="J4546" s="3" t="s">
        <v>12981</v>
      </c>
      <c r="K4546" s="3" t="s">
        <v>50</v>
      </c>
      <c r="L4546" s="3" t="str">
        <f>IFERROR(__xludf.DUMMYFUNCTION("GOOGLETRANSLATE(F4546,""id"",""en"")"),"And the fans are proud of each final pildun there is an Inter player even though it is only a burden on wkwkwk")</f>
        <v>And the fans are proud of each final pildun there is an Inter player even though it is only a burden on wkwkwk</v>
      </c>
    </row>
    <row r="4547" ht="15.75" customHeight="1">
      <c r="A4547" s="1">
        <v>5712.0</v>
      </c>
      <c r="B4547" s="3" t="s">
        <v>12982</v>
      </c>
      <c r="C4547" s="3">
        <v>0.0</v>
      </c>
      <c r="D4547" s="3">
        <v>0.0</v>
      </c>
      <c r="E4547" s="3">
        <v>1.0</v>
      </c>
      <c r="F4547" s="3" t="s">
        <v>12983</v>
      </c>
      <c r="G4547" s="3">
        <v>1.0</v>
      </c>
      <c r="H4547" s="3">
        <v>0.0</v>
      </c>
      <c r="I4547" s="3" t="s">
        <v>13</v>
      </c>
      <c r="J4547" s="3" t="s">
        <v>12984</v>
      </c>
      <c r="K4547" s="3" t="s">
        <v>41</v>
      </c>
      <c r="L4547" s="3" t="str">
        <f>IFERROR(__xludf.DUMMYFUNCTION("GOOGLETRANSLATE(F4547,""id"",""en"")"),"even though it was his photoshoot before the final pildun wkwk fortunately Eunchae wearing an Argentine jersey")</f>
        <v>even though it was his photoshoot before the final pildun wkwk fortunately Eunchae wearing an Argentine jersey</v>
      </c>
    </row>
    <row r="4548" ht="15.75" customHeight="1">
      <c r="A4548" s="1">
        <v>5713.0</v>
      </c>
      <c r="B4548" s="3" t="s">
        <v>12985</v>
      </c>
      <c r="C4548" s="3">
        <v>0.0</v>
      </c>
      <c r="D4548" s="3">
        <v>0.0</v>
      </c>
      <c r="E4548" s="3">
        <v>0.0</v>
      </c>
      <c r="F4548" s="3" t="s">
        <v>12986</v>
      </c>
      <c r="G4548" s="3">
        <v>1.0</v>
      </c>
      <c r="H4548" s="3">
        <v>0.0</v>
      </c>
      <c r="I4548" s="3" t="s">
        <v>13</v>
      </c>
      <c r="J4548" s="3" t="s">
        <v>12987</v>
      </c>
      <c r="K4548" s="3" t="s">
        <v>1097</v>
      </c>
      <c r="L4548" s="3" t="str">
        <f>IFERROR(__xludf.DUMMYFUNCTION("GOOGLETRANSLATE(F4548,""id"",""en"")"),"When the final pildun message sent WhatsApp record millions of seconds")</f>
        <v>When the final pildun message sent WhatsApp record millions of seconds</v>
      </c>
    </row>
    <row r="4549" ht="15.75" customHeight="1">
      <c r="A4549" s="1">
        <v>5714.0</v>
      </c>
      <c r="B4549" s="3" t="s">
        <v>12988</v>
      </c>
      <c r="C4549" s="3">
        <v>1.0</v>
      </c>
      <c r="D4549" s="3">
        <v>0.0</v>
      </c>
      <c r="E4549" s="3">
        <v>0.0</v>
      </c>
      <c r="F4549" s="3" t="s">
        <v>12989</v>
      </c>
      <c r="G4549" s="3">
        <v>0.6666666666666666</v>
      </c>
      <c r="H4549" s="3">
        <v>0.08333333333333333</v>
      </c>
      <c r="I4549" s="3" t="s">
        <v>48</v>
      </c>
      <c r="J4549" s="3" t="s">
        <v>12990</v>
      </c>
      <c r="K4549" s="3" t="s">
        <v>437</v>
      </c>
      <c r="L4549" s="3" t="str">
        <f>IFERROR(__xludf.DUMMYFUNCTION("GOOGLETRANSLATE(F4549,""id"",""en"")"),"wkwkwk how come it can't be different from the national team match and the club match play final, right Argentina is not Inter Milan")</f>
        <v>wkwkwk how come it can't be different from the national team match and the club match play final, right Argentina is not Inter Milan</v>
      </c>
    </row>
    <row r="4550" ht="15.75" customHeight="1">
      <c r="A4550" s="1">
        <v>5715.0</v>
      </c>
      <c r="B4550" s="3" t="s">
        <v>12991</v>
      </c>
      <c r="C4550" s="3">
        <v>0.0</v>
      </c>
      <c r="D4550" s="3">
        <v>0.0</v>
      </c>
      <c r="E4550" s="3">
        <v>0.0</v>
      </c>
      <c r="F4550" s="3" t="s">
        <v>12992</v>
      </c>
      <c r="G4550" s="3">
        <v>1.0</v>
      </c>
      <c r="H4550" s="3">
        <v>0.0</v>
      </c>
      <c r="I4550" s="3" t="s">
        <v>13</v>
      </c>
      <c r="J4550" s="3" t="s">
        <v>12993</v>
      </c>
      <c r="K4550" s="3" t="s">
        <v>15</v>
      </c>
      <c r="L4550" s="3" t="str">
        <f>IFERROR(__xludf.DUMMYFUNCTION("GOOGLETRANSLATE(F4550,""id"",""en"")"),"City Liverpool are already rich in the final pildun balling each other")</f>
        <v>City Liverpool are already rich in the final pildun balling each other</v>
      </c>
    </row>
    <row r="4551" ht="15.75" customHeight="1">
      <c r="A4551" s="1">
        <v>5716.0</v>
      </c>
      <c r="B4551" s="3" t="s">
        <v>12994</v>
      </c>
      <c r="C4551" s="3">
        <v>2.0</v>
      </c>
      <c r="D4551" s="3">
        <v>0.0</v>
      </c>
      <c r="E4551" s="3">
        <v>0.0</v>
      </c>
      <c r="F4551" s="3" t="s">
        <v>12995</v>
      </c>
      <c r="G4551" s="3">
        <v>1.0</v>
      </c>
      <c r="H4551" s="3">
        <v>0.0</v>
      </c>
      <c r="I4551" s="3" t="s">
        <v>13</v>
      </c>
      <c r="J4551" s="3" t="s">
        <v>12996</v>
      </c>
      <c r="K4551" s="3" t="s">
        <v>31</v>
      </c>
      <c r="L4551" s="3" t="str">
        <f>IFERROR(__xludf.DUMMYFUNCTION("GOOGLETRANSLATE(F4551,""id"",""en"")"),"Carabao Final Taste Pilduun Min")</f>
        <v>Carabao Final Taste Pilduun Min</v>
      </c>
    </row>
    <row r="4552" ht="15.75" customHeight="1">
      <c r="A4552" s="1">
        <v>5717.0</v>
      </c>
      <c r="B4552" s="3" t="s">
        <v>12997</v>
      </c>
      <c r="C4552" s="3">
        <v>0.0</v>
      </c>
      <c r="D4552" s="3">
        <v>0.0</v>
      </c>
      <c r="E4552" s="3">
        <v>2.0</v>
      </c>
      <c r="F4552" s="3" t="s">
        <v>12998</v>
      </c>
      <c r="G4552" s="3">
        <v>1.0</v>
      </c>
      <c r="H4552" s="3">
        <v>0.0</v>
      </c>
      <c r="I4552" s="3" t="s">
        <v>13</v>
      </c>
      <c r="J4552" s="3" t="s">
        <v>12999</v>
      </c>
      <c r="K4552" s="3" t="s">
        <v>644</v>
      </c>
      <c r="L4552" s="3" t="str">
        <f>IFERROR(__xludf.DUMMYFUNCTION("GOOGLETRANSLATE(F4552,""id"",""en"")"),"Kadieu's Final Pildun Final")</f>
        <v>Kadieu's Final Pildun Final</v>
      </c>
    </row>
    <row r="4553" ht="15.75" customHeight="1">
      <c r="A4553" s="1">
        <v>5718.0</v>
      </c>
      <c r="B4553" s="3" t="s">
        <v>13000</v>
      </c>
      <c r="C4553" s="3">
        <v>0.0</v>
      </c>
      <c r="D4553" s="3">
        <v>0.0</v>
      </c>
      <c r="E4553" s="3">
        <v>0.0</v>
      </c>
      <c r="F4553" s="3" t="s">
        <v>13001</v>
      </c>
      <c r="G4553" s="3">
        <v>1.0</v>
      </c>
      <c r="H4553" s="3">
        <v>0.0</v>
      </c>
      <c r="I4553" s="3" t="s">
        <v>13</v>
      </c>
      <c r="J4553" s="3" t="s">
        <v>13002</v>
      </c>
      <c r="K4553" s="3" t="s">
        <v>19</v>
      </c>
      <c r="L4553" s="3" t="str">
        <f>IFERROR(__xludf.DUMMYFUNCTION("GOOGLETRANSLATE(F4553,""id"",""en"")"),"I just found out that after watching the final ball pilduun turned out to be a French state")</f>
        <v>I just found out that after watching the final ball pilduun turned out to be a French state</v>
      </c>
    </row>
    <row r="4554" ht="15.75" customHeight="1">
      <c r="A4554" s="1">
        <v>5719.0</v>
      </c>
      <c r="B4554" s="3" t="s">
        <v>13003</v>
      </c>
      <c r="C4554" s="3">
        <v>0.0</v>
      </c>
      <c r="D4554" s="3">
        <v>0.0</v>
      </c>
      <c r="E4554" s="3">
        <v>0.0</v>
      </c>
      <c r="F4554" s="3" t="s">
        <v>13004</v>
      </c>
      <c r="G4554" s="3">
        <v>1.0</v>
      </c>
      <c r="H4554" s="3">
        <v>0.0</v>
      </c>
      <c r="I4554" s="3" t="s">
        <v>13</v>
      </c>
      <c r="J4554" s="3" t="s">
        <v>13005</v>
      </c>
      <c r="K4554" s="3" t="s">
        <v>358</v>
      </c>
      <c r="L4554" s="3" t="str">
        <f>IFERROR(__xludf.DUMMYFUNCTION("GOOGLETRANSLATE(F4554,""id"",""en"")"),"Anjir was moved to see the vlog nex carlos ntn the final pildun lngsng his expression representing it as a messi fan")</f>
        <v>Anjir was moved to see the vlog nex carlos ntn the final pildun lngsng his expression representing it as a messi fan</v>
      </c>
    </row>
    <row r="4555" ht="15.75" customHeight="1">
      <c r="A4555" s="1">
        <v>5720.0</v>
      </c>
      <c r="B4555" s="3" t="s">
        <v>13006</v>
      </c>
      <c r="C4555" s="3">
        <v>0.0</v>
      </c>
      <c r="D4555" s="3">
        <v>0.0</v>
      </c>
      <c r="E4555" s="3">
        <v>6.0</v>
      </c>
      <c r="F4555" s="3" t="s">
        <v>13007</v>
      </c>
      <c r="G4555" s="3">
        <v>1.0</v>
      </c>
      <c r="H4555" s="3">
        <v>0.0</v>
      </c>
      <c r="I4555" s="3" t="s">
        <v>13</v>
      </c>
      <c r="J4555" s="3" t="s">
        <v>13008</v>
      </c>
      <c r="K4555" s="3" t="s">
        <v>266</v>
      </c>
      <c r="L4555" s="3" t="str">
        <f>IFERROR(__xludf.DUMMYFUNCTION("GOOGLETRANSLATE(F4555,""id"",""en"")"),"Before the interview I supported Portugal after the interview I immediately supported Argentina players defeated the final UCL UCL more worthy")</f>
        <v>Before the interview I supported Portugal after the interview I immediately supported Argentina players defeated the final UCL UCL more worthy</v>
      </c>
    </row>
    <row r="4556" ht="15.75" customHeight="1">
      <c r="A4556" s="1">
        <v>5721.0</v>
      </c>
      <c r="B4556" s="3" t="s">
        <v>13009</v>
      </c>
      <c r="C4556" s="3">
        <v>0.0</v>
      </c>
      <c r="D4556" s="3">
        <v>0.0</v>
      </c>
      <c r="E4556" s="3">
        <v>0.0</v>
      </c>
      <c r="F4556" s="3" t="s">
        <v>13010</v>
      </c>
      <c r="G4556" s="3">
        <v>1.0</v>
      </c>
      <c r="H4556" s="3">
        <v>0.0</v>
      </c>
      <c r="I4556" s="3" t="s">
        <v>13</v>
      </c>
      <c r="J4556" s="3" t="s">
        <v>13011</v>
      </c>
      <c r="K4556" s="3" t="s">
        <v>215</v>
      </c>
      <c r="L4556" s="3" t="str">
        <f>IFERROR(__xludf.DUMMYFUNCTION("GOOGLETRANSLATE(F4556,""id"",""en"")"),"Update Life Want to be arrogant yesterday when the final pildun I guess the match until and there is a penalties to win argen yaps btl btl btl analysis of the level of my dewakku valid and accurately proud bingitz")</f>
        <v>Update Life Want to be arrogant yesterday when the final pildun I guess the match until and there is a penalties to win argen yaps btl btl btl analysis of the level of my dewakku valid and accurately proud bingitz</v>
      </c>
    </row>
    <row r="4557" ht="15.75" customHeight="1">
      <c r="A4557" s="1">
        <v>5722.0</v>
      </c>
      <c r="B4557" s="3" t="s">
        <v>13012</v>
      </c>
      <c r="C4557" s="3">
        <v>0.0</v>
      </c>
      <c r="D4557" s="3">
        <v>0.0</v>
      </c>
      <c r="E4557" s="3">
        <v>0.0</v>
      </c>
      <c r="F4557" s="3" t="s">
        <v>13013</v>
      </c>
      <c r="G4557" s="3">
        <v>1.0</v>
      </c>
      <c r="H4557" s="3">
        <v>0.0</v>
      </c>
      <c r="I4557" s="3" t="s">
        <v>13</v>
      </c>
      <c r="J4557" s="3" t="s">
        <v>13014</v>
      </c>
      <c r="K4557" s="3" t="s">
        <v>75</v>
      </c>
      <c r="L4557" s="3" t="str">
        <f>IFERROR(__xludf.DUMMYFUNCTION("GOOGLETRANSLATE(F4557,""id"",""en"")"),"I just realized the name of the ball for the final pildun name hilm")</f>
        <v>I just realized the name of the ball for the final pildun name hilm</v>
      </c>
    </row>
    <row r="4558" ht="15.75" customHeight="1">
      <c r="A4558" s="1">
        <v>5723.0</v>
      </c>
      <c r="B4558" s="3" t="s">
        <v>13015</v>
      </c>
      <c r="C4558" s="3">
        <v>1.0</v>
      </c>
      <c r="D4558" s="3">
        <v>0.0</v>
      </c>
      <c r="E4558" s="3">
        <v>3.0</v>
      </c>
      <c r="F4558" s="3" t="s">
        <v>13016</v>
      </c>
      <c r="G4558" s="3">
        <v>1.0</v>
      </c>
      <c r="H4558" s="3">
        <v>0.0</v>
      </c>
      <c r="I4558" s="3" t="s">
        <v>13</v>
      </c>
      <c r="J4558" s="3" t="s">
        <v>13017</v>
      </c>
      <c r="K4558" s="3" t="s">
        <v>633</v>
      </c>
      <c r="L4558" s="3" t="str">
        <f>IFERROR(__xludf.DUMMYFUNCTION("GOOGLETRANSLATE(F4558,""id"",""en"")"),"a month full of Qatar's pistun there is a riot even though it is usually let alone a month only a day can be rioted, what is the cause of the alleged alcohol khamoh")</f>
        <v>a month full of Qatar's pistun there is a riot even though it is usually let alone a month only a day can be rioted, what is the cause of the alleged alcohol khamoh</v>
      </c>
    </row>
    <row r="4559" ht="15.75" customHeight="1">
      <c r="A4559" s="1">
        <v>5725.0</v>
      </c>
      <c r="B4559" s="3" t="s">
        <v>13018</v>
      </c>
      <c r="C4559" s="3">
        <v>1.0</v>
      </c>
      <c r="D4559" s="3">
        <v>0.0</v>
      </c>
      <c r="E4559" s="3">
        <v>0.0</v>
      </c>
      <c r="F4559" s="3" t="s">
        <v>13019</v>
      </c>
      <c r="G4559" s="3">
        <v>0.75</v>
      </c>
      <c r="H4559" s="3">
        <v>-0.25</v>
      </c>
      <c r="I4559" s="3" t="s">
        <v>179</v>
      </c>
      <c r="J4559" s="3" t="s">
        <v>13020</v>
      </c>
      <c r="K4559" s="3" t="s">
        <v>1824</v>
      </c>
      <c r="L4559" s="3" t="str">
        <f>IFERROR(__xludf.DUMMYFUNCTION("GOOGLETRANSLATE(F4559,""id"",""en"")"),"During the final Pildun he was Argentina Team liked to say yes his son was random no day without unconscious bias bias the first person who was worried if I why I rarely call me bro pocket size fierce but excited")</f>
        <v>During the final Pildun he was Argentina Team liked to say yes his son was random no day without unconscious bias bias the first person who was worried if I why I rarely call me bro pocket size fierce but excited</v>
      </c>
    </row>
    <row r="4560" ht="15.75" customHeight="1">
      <c r="A4560" s="1">
        <v>5727.0</v>
      </c>
      <c r="B4560" s="3" t="s">
        <v>13021</v>
      </c>
      <c r="C4560" s="3">
        <v>0.0</v>
      </c>
      <c r="D4560" s="3">
        <v>0.0</v>
      </c>
      <c r="E4560" s="3">
        <v>0.0</v>
      </c>
      <c r="F4560" s="3" t="s">
        <v>13022</v>
      </c>
      <c r="G4560" s="3">
        <v>1.0</v>
      </c>
      <c r="H4560" s="3">
        <v>0.0</v>
      </c>
      <c r="I4560" s="3" t="s">
        <v>13</v>
      </c>
      <c r="J4560" s="3" t="s">
        <v>13023</v>
      </c>
      <c r="K4560" s="3" t="s">
        <v>31</v>
      </c>
      <c r="L4560" s="3" t="str">
        <f>IFERROR(__xludf.DUMMYFUNCTION("GOOGLETRANSLATE(F4560,""id"",""en"")"),"We have to make the Final Rematch Voting Pildun")</f>
        <v>We have to make the Final Rematch Voting Pildun</v>
      </c>
    </row>
    <row r="4561" ht="15.75" customHeight="1">
      <c r="A4561" s="1">
        <v>5728.0</v>
      </c>
      <c r="B4561" s="3" t="s">
        <v>13024</v>
      </c>
      <c r="C4561" s="3">
        <v>0.0</v>
      </c>
      <c r="D4561" s="3">
        <v>0.0</v>
      </c>
      <c r="E4561" s="3">
        <v>0.0</v>
      </c>
      <c r="F4561" s="3" t="s">
        <v>13025</v>
      </c>
      <c r="G4561" s="3">
        <v>1.0</v>
      </c>
      <c r="H4561" s="3">
        <v>0.0</v>
      </c>
      <c r="I4561" s="3" t="s">
        <v>13</v>
      </c>
      <c r="J4561" s="3" t="s">
        <v>13026</v>
      </c>
      <c r="K4561" s="3" t="s">
        <v>19</v>
      </c>
      <c r="L4561" s="3" t="str">
        <f>IFERROR(__xludf.DUMMYFUNCTION("GOOGLETRANSLATE(F4561,""id"",""en"")"),"Bruno Fernandes Creativity Final came out again since yesterday's pildun rose Emyu yuks")</f>
        <v>Bruno Fernandes Creativity Final came out again since yesterday's pildun rose Emyu yuks</v>
      </c>
    </row>
    <row r="4562" ht="15.75" customHeight="1">
      <c r="A4562" s="1">
        <v>5729.0</v>
      </c>
      <c r="B4562" s="3" t="s">
        <v>13027</v>
      </c>
      <c r="C4562" s="3">
        <v>1.0</v>
      </c>
      <c r="D4562" s="3">
        <v>0.0</v>
      </c>
      <c r="E4562" s="3">
        <v>0.0</v>
      </c>
      <c r="F4562" s="3" t="s">
        <v>13028</v>
      </c>
      <c r="G4562" s="3">
        <v>0.55</v>
      </c>
      <c r="H4562" s="3">
        <v>0.0</v>
      </c>
      <c r="I4562" s="3" t="s">
        <v>13</v>
      </c>
      <c r="J4562" s="3" t="s">
        <v>13029</v>
      </c>
      <c r="K4562" s="3" t="s">
        <v>19</v>
      </c>
      <c r="L4562" s="3" t="str">
        <f>IFERROR(__xludf.DUMMYFUNCTION("GOOGLETRANSLATE(F4562,""id"",""en"")"),"Gokil is blue lock I watched it holding breath like watching the final pildun yesterday")</f>
        <v>Gokil is blue lock I watched it holding breath like watching the final pildun yesterday</v>
      </c>
    </row>
    <row r="4563" ht="15.75" customHeight="1">
      <c r="A4563" s="1">
        <v>5730.0</v>
      </c>
      <c r="B4563" s="3" t="s">
        <v>13030</v>
      </c>
      <c r="C4563" s="3">
        <v>0.0</v>
      </c>
      <c r="D4563" s="3">
        <v>0.0</v>
      </c>
      <c r="E4563" s="3">
        <v>0.0</v>
      </c>
      <c r="F4563" s="3" t="s">
        <v>13031</v>
      </c>
      <c r="G4563" s="3">
        <v>1.0</v>
      </c>
      <c r="H4563" s="3">
        <v>0.0</v>
      </c>
      <c r="I4563" s="3" t="s">
        <v>13</v>
      </c>
      <c r="J4563" s="3" t="s">
        <v>13032</v>
      </c>
      <c r="K4563" s="3" t="s">
        <v>286</v>
      </c>
      <c r="L4563" s="3" t="str">
        <f>IFERROR(__xludf.DUMMYFUNCTION("GOOGLETRANSLATE(F4563,""id"",""en"")"),"Udinson, when I pilched yesterday, the closing ceremony brought a trophy of pildun, because France was in the final with Argentina.")</f>
        <v>Udinson, when I pilched yesterday, the closing ceremony brought a trophy of pildun, because France was in the final with Argentina.</v>
      </c>
    </row>
    <row r="4564" ht="15.75" customHeight="1">
      <c r="A4564" s="1">
        <v>5732.0</v>
      </c>
      <c r="B4564" s="3" t="s">
        <v>13033</v>
      </c>
      <c r="C4564" s="3">
        <v>1.0</v>
      </c>
      <c r="D4564" s="3">
        <v>0.0</v>
      </c>
      <c r="E4564" s="3">
        <v>0.0</v>
      </c>
      <c r="F4564" s="3" t="s">
        <v>13034</v>
      </c>
      <c r="G4564" s="3">
        <v>1.0</v>
      </c>
      <c r="H4564" s="3">
        <v>0.0</v>
      </c>
      <c r="I4564" s="3" t="s">
        <v>13</v>
      </c>
      <c r="J4564" s="3" t="s">
        <v>13035</v>
      </c>
      <c r="K4564" s="3" t="s">
        <v>15</v>
      </c>
      <c r="L4564" s="3" t="str">
        <f>IFERROR(__xludf.DUMMYFUNCTION("GOOGLETRANSLATE(F4564,""id"",""en"")"),"because the final of the final pildun yesterday was so it felt even more exciting")</f>
        <v>because the final of the final pildun yesterday was so it felt even more exciting</v>
      </c>
    </row>
    <row r="4565" ht="15.75" customHeight="1">
      <c r="A4565" s="1">
        <v>5733.0</v>
      </c>
      <c r="B4565" s="3" t="s">
        <v>13036</v>
      </c>
      <c r="C4565" s="3">
        <v>1.0</v>
      </c>
      <c r="D4565" s="3">
        <v>0.0</v>
      </c>
      <c r="E4565" s="3">
        <v>0.0</v>
      </c>
      <c r="F4565" s="3" t="s">
        <v>13037</v>
      </c>
      <c r="G4565" s="3">
        <v>1.0</v>
      </c>
      <c r="H4565" s="3">
        <v>0.0</v>
      </c>
      <c r="I4565" s="3" t="s">
        <v>13</v>
      </c>
      <c r="J4565" s="3" t="s">
        <v>13038</v>
      </c>
      <c r="K4565" s="3" t="s">
        <v>433</v>
      </c>
      <c r="L4565" s="3" t="str">
        <f>IFERROR(__xludf.DUMMYFUNCTION("GOOGLETRANSLATE(F4565,""id"",""en"")"),"No need to say goat goat into the final pildun first try to stuck the semifinal only last year")</f>
        <v>No need to say goat goat into the final pildun first try to stuck the semifinal only last year</v>
      </c>
    </row>
    <row r="4566" ht="15.75" customHeight="1">
      <c r="A4566" s="1">
        <v>5734.0</v>
      </c>
      <c r="B4566" s="3" t="s">
        <v>13039</v>
      </c>
      <c r="C4566" s="3">
        <v>1.0</v>
      </c>
      <c r="D4566" s="3">
        <v>0.0</v>
      </c>
      <c r="E4566" s="3">
        <v>0.0</v>
      </c>
      <c r="F4566" s="3" t="s">
        <v>13039</v>
      </c>
      <c r="G4566" s="3">
        <v>1.0</v>
      </c>
      <c r="H4566" s="3">
        <v>0.0</v>
      </c>
      <c r="I4566" s="3" t="s">
        <v>13</v>
      </c>
      <c r="J4566" s="3" t="s">
        <v>13040</v>
      </c>
      <c r="K4566" s="3" t="s">
        <v>644</v>
      </c>
      <c r="L4566" s="3" t="str">
        <f>IFERROR(__xludf.DUMMYFUNCTION("GOOGLETRANSLATE(F4566,""id"",""en"")"),"Info Nobar Final Pildun")</f>
        <v>Info Nobar Final Pildun</v>
      </c>
    </row>
    <row r="4567" ht="15.75" customHeight="1">
      <c r="A4567" s="1">
        <v>5735.0</v>
      </c>
      <c r="B4567" s="3" t="s">
        <v>13039</v>
      </c>
      <c r="C4567" s="3">
        <v>3.0</v>
      </c>
      <c r="D4567" s="3">
        <v>0.0</v>
      </c>
      <c r="E4567" s="3">
        <v>0.0</v>
      </c>
      <c r="F4567" s="3" t="s">
        <v>13039</v>
      </c>
      <c r="G4567" s="3">
        <v>1.0</v>
      </c>
      <c r="H4567" s="3">
        <v>0.0</v>
      </c>
      <c r="I4567" s="3" t="s">
        <v>13</v>
      </c>
      <c r="J4567" s="3" t="s">
        <v>13040</v>
      </c>
      <c r="K4567" s="3" t="s">
        <v>644</v>
      </c>
      <c r="L4567" s="3" t="str">
        <f>IFERROR(__xludf.DUMMYFUNCTION("GOOGLETRANSLATE(F4567,""id"",""en"")"),"Info Nobar Final Pildun")</f>
        <v>Info Nobar Final Pildun</v>
      </c>
    </row>
    <row r="4568" ht="15.75" customHeight="1">
      <c r="A4568" s="1">
        <v>5736.0</v>
      </c>
      <c r="B4568" s="3" t="s">
        <v>13041</v>
      </c>
      <c r="C4568" s="3">
        <v>1.0</v>
      </c>
      <c r="D4568" s="3">
        <v>0.0</v>
      </c>
      <c r="E4568" s="3">
        <v>0.0</v>
      </c>
      <c r="F4568" s="3" t="s">
        <v>13042</v>
      </c>
      <c r="G4568" s="3">
        <v>1.0</v>
      </c>
      <c r="H4568" s="3">
        <v>0.0</v>
      </c>
      <c r="I4568" s="3" t="s">
        <v>13</v>
      </c>
      <c r="J4568" s="3" t="s">
        <v>13043</v>
      </c>
      <c r="K4568" s="3" t="s">
        <v>54</v>
      </c>
      <c r="L4568" s="3" t="str">
        <f>IFERROR(__xludf.DUMMYFUNCTION("GOOGLETRANSLATE(F4568,""id"",""en"")"),"but watching the final pildun remains johor wkwkwk")</f>
        <v>but watching the final pildun remains johor wkwkwk</v>
      </c>
    </row>
    <row r="4569" ht="15.75" customHeight="1">
      <c r="A4569" s="1">
        <v>5737.0</v>
      </c>
      <c r="B4569" s="3" t="s">
        <v>13044</v>
      </c>
      <c r="C4569" s="3">
        <v>0.0</v>
      </c>
      <c r="D4569" s="3">
        <v>0.0</v>
      </c>
      <c r="E4569" s="3">
        <v>0.0</v>
      </c>
      <c r="F4569" s="3" t="s">
        <v>13045</v>
      </c>
      <c r="G4569" s="3">
        <v>0.875</v>
      </c>
      <c r="H4569" s="3">
        <v>0.1875</v>
      </c>
      <c r="I4569" s="3" t="s">
        <v>48</v>
      </c>
      <c r="J4569" s="3" t="s">
        <v>13046</v>
      </c>
      <c r="K4569" s="3" t="s">
        <v>75</v>
      </c>
      <c r="L4569" s="3" t="str">
        <f>IFERROR(__xludf.DUMMYFUNCTION("GOOGLETRANSLATE(F4569,""id"",""en"")"),"Yesterday I was waiting for the final pildun I was waiting for the EPA Reborn Rich update")</f>
        <v>Yesterday I was waiting for the final pildun I was waiting for the EPA Reborn Rich update</v>
      </c>
    </row>
    <row r="4570" ht="15.75" customHeight="1">
      <c r="A4570" s="1">
        <v>5738.0</v>
      </c>
      <c r="B4570" s="3" t="s">
        <v>13047</v>
      </c>
      <c r="C4570" s="3">
        <v>0.0</v>
      </c>
      <c r="D4570" s="3">
        <v>0.0</v>
      </c>
      <c r="E4570" s="3">
        <v>0.0</v>
      </c>
      <c r="F4570" s="3" t="s">
        <v>13048</v>
      </c>
      <c r="G4570" s="3">
        <v>0.6666666666666666</v>
      </c>
      <c r="H4570" s="3">
        <v>0.08333333333333333</v>
      </c>
      <c r="I4570" s="3" t="s">
        <v>48</v>
      </c>
      <c r="J4570" s="3" t="s">
        <v>13049</v>
      </c>
      <c r="K4570" s="3" t="s">
        <v>244</v>
      </c>
      <c r="L4570" s="3" t="str">
        <f>IFERROR(__xludf.DUMMYFUNCTION("GOOGLETRANSLATE(F4570,""id"",""en"")"),"Ronaldo is the title of a professor but how stupid playing the final pildun, how can Maradona be")</f>
        <v>Ronaldo is the title of a professor but how stupid playing the final pildun, how can Maradona be</v>
      </c>
    </row>
    <row r="4571" ht="15.75" customHeight="1">
      <c r="A4571" s="1">
        <v>5739.0</v>
      </c>
      <c r="B4571" s="3" t="s">
        <v>13050</v>
      </c>
      <c r="C4571" s="3">
        <v>0.0</v>
      </c>
      <c r="D4571" s="3">
        <v>0.0</v>
      </c>
      <c r="E4571" s="3">
        <v>0.0</v>
      </c>
      <c r="F4571" s="3" t="s">
        <v>13051</v>
      </c>
      <c r="G4571" s="3">
        <v>1.0</v>
      </c>
      <c r="H4571" s="3">
        <v>0.0</v>
      </c>
      <c r="I4571" s="3" t="s">
        <v>13</v>
      </c>
      <c r="J4571" s="3" t="s">
        <v>13052</v>
      </c>
      <c r="K4571" s="3" t="s">
        <v>2146</v>
      </c>
      <c r="L4571" s="3" t="str">
        <f>IFERROR(__xludf.DUMMYFUNCTION("GOOGLETRANSLATE(F4571,""id"",""en"")"),"But Morocco can arrive until the semi -final pildun how come the Morocco is the class of all class players Ziyech Hakimi Bono Amrabat etc. that is the European class so can still draw Indo, the Flat Passing League must just teach the Sty AFF first, then")</f>
        <v>But Morocco can arrive until the semi -final pildun how come the Morocco is the class of all class players Ziyech Hakimi Bono Amrabat etc. that is the European class so can still draw Indo, the Flat Passing League must just teach the Sty AFF first, then</v>
      </c>
    </row>
    <row r="4572" ht="15.75" customHeight="1">
      <c r="A4572" s="1">
        <v>5740.0</v>
      </c>
      <c r="B4572" s="3" t="s">
        <v>13053</v>
      </c>
      <c r="C4572" s="3">
        <v>0.0</v>
      </c>
      <c r="D4572" s="3">
        <v>0.0</v>
      </c>
      <c r="E4572" s="3">
        <v>0.0</v>
      </c>
      <c r="F4572" s="3" t="s">
        <v>13054</v>
      </c>
      <c r="G4572" s="3">
        <v>1.0</v>
      </c>
      <c r="H4572" s="3">
        <v>0.0</v>
      </c>
      <c r="I4572" s="3" t="s">
        <v>13</v>
      </c>
      <c r="J4572" s="3" t="s">
        <v>13055</v>
      </c>
      <c r="K4572" s="3" t="s">
        <v>19</v>
      </c>
      <c r="L4572" s="3" t="str">
        <f>IFERROR(__xludf.DUMMYFUNCTION("GOOGLETRANSLATE(F4572,""id"",""en"")"),"Wow, this harassment is the younger king of Mbappe, printed the Pilduun Final Hattrick on the List")</f>
        <v>Wow, this harassment is the younger king of Mbappe, printed the Pilduun Final Hattrick on the List</v>
      </c>
    </row>
    <row r="4573" ht="15.75" customHeight="1">
      <c r="A4573" s="1">
        <v>5741.0</v>
      </c>
      <c r="B4573" s="3" t="s">
        <v>13056</v>
      </c>
      <c r="C4573" s="3">
        <v>0.0</v>
      </c>
      <c r="D4573" s="3">
        <v>0.0</v>
      </c>
      <c r="E4573" s="3">
        <v>0.0</v>
      </c>
      <c r="F4573" s="3" t="s">
        <v>13057</v>
      </c>
      <c r="G4573" s="3">
        <v>0.5333333333333333</v>
      </c>
      <c r="H4573" s="3">
        <v>0.1333333333333333</v>
      </c>
      <c r="I4573" s="3" t="s">
        <v>48</v>
      </c>
      <c r="J4573" s="3" t="s">
        <v>13058</v>
      </c>
      <c r="K4573" s="3" t="s">
        <v>510</v>
      </c>
      <c r="L4573" s="3" t="str">
        <f>IFERROR(__xludf.DUMMYFUNCTION("GOOGLETRANSLATE(F4573,""id"",""en"")"),"haha that's a real photo yesterday after the final pildun I samperin locker room for Selametin him")</f>
        <v>haha that's a real photo yesterday after the final pildun I samperin locker room for Selametin him</v>
      </c>
    </row>
    <row r="4574" ht="15.75" customHeight="1">
      <c r="A4574" s="1">
        <v>5742.0</v>
      </c>
      <c r="B4574" s="3" t="s">
        <v>13059</v>
      </c>
      <c r="C4574" s="3">
        <v>0.0</v>
      </c>
      <c r="D4574" s="3">
        <v>0.0</v>
      </c>
      <c r="E4574" s="3">
        <v>0.0</v>
      </c>
      <c r="F4574" s="3" t="s">
        <v>13060</v>
      </c>
      <c r="G4574" s="3">
        <v>1.0</v>
      </c>
      <c r="H4574" s="3">
        <v>0.0</v>
      </c>
      <c r="I4574" s="3" t="s">
        <v>13</v>
      </c>
      <c r="J4574" s="3" t="s">
        <v>13061</v>
      </c>
      <c r="K4574" s="3" t="s">
        <v>2215</v>
      </c>
      <c r="L4574" s="3" t="str">
        <f>IFERROR(__xludf.DUMMYFUNCTION("GOOGLETRANSLATE(F4574,""id"",""en"")"),"so I want to see the final pildun again want to see the snippets of lloris tepis kick Voley who forgot")</f>
        <v>so I want to see the final pildun again want to see the snippets of lloris tepis kick Voley who forgot</v>
      </c>
    </row>
    <row r="4575" ht="15.75" customHeight="1">
      <c r="A4575" s="1">
        <v>5743.0</v>
      </c>
      <c r="B4575" s="3" t="s">
        <v>13062</v>
      </c>
      <c r="C4575" s="3">
        <v>0.0</v>
      </c>
      <c r="D4575" s="3">
        <v>0.0</v>
      </c>
      <c r="E4575" s="3">
        <v>0.0</v>
      </c>
      <c r="F4575" s="3" t="s">
        <v>13063</v>
      </c>
      <c r="G4575" s="3">
        <v>1.0</v>
      </c>
      <c r="H4575" s="3">
        <v>0.0</v>
      </c>
      <c r="I4575" s="3" t="s">
        <v>13</v>
      </c>
      <c r="J4575" s="3" t="s">
        <v>13064</v>
      </c>
      <c r="K4575" s="3" t="s">
        <v>41</v>
      </c>
      <c r="L4575" s="3" t="str">
        <f>IFERROR(__xludf.DUMMYFUNCTION("GOOGLETRANSLATE(F4575,""id"",""en"")"),"Watch the final round of pildun with Halo subscribed to video can be quota")</f>
        <v>Watch the final round of pildun with Halo subscribed to video can be quota</v>
      </c>
    </row>
    <row r="4576" ht="15.75" customHeight="1">
      <c r="A4576" s="1">
        <v>5744.0</v>
      </c>
      <c r="B4576" s="3" t="s">
        <v>13065</v>
      </c>
      <c r="C4576" s="3">
        <v>0.0</v>
      </c>
      <c r="D4576" s="3">
        <v>0.0</v>
      </c>
      <c r="E4576" s="3">
        <v>0.0</v>
      </c>
      <c r="F4576" s="3" t="s">
        <v>13066</v>
      </c>
      <c r="G4576" s="3">
        <v>1.0</v>
      </c>
      <c r="H4576" s="3">
        <v>0.0</v>
      </c>
      <c r="I4576" s="3" t="s">
        <v>13</v>
      </c>
      <c r="J4576" s="3" t="s">
        <v>13067</v>
      </c>
      <c r="K4576" s="3" t="s">
        <v>2215</v>
      </c>
      <c r="L4576" s="3" t="str">
        <f>IFERROR(__xludf.DUMMYFUNCTION("GOOGLETRANSLATE(F4576,""id"",""en"")"),"I was when I was the final pildun Kmrin slept at the time I woke up at the time")</f>
        <v>I was when I was the final pildun Kmrin slept at the time I woke up at the time</v>
      </c>
    </row>
    <row r="4577" ht="15.75" customHeight="1">
      <c r="A4577" s="1">
        <v>5745.0</v>
      </c>
      <c r="B4577" s="3" t="s">
        <v>13068</v>
      </c>
      <c r="C4577" s="3">
        <v>0.0</v>
      </c>
      <c r="D4577" s="3">
        <v>0.0</v>
      </c>
      <c r="E4577" s="3">
        <v>0.0</v>
      </c>
      <c r="F4577" s="3" t="s">
        <v>13069</v>
      </c>
      <c r="G4577" s="3">
        <v>0.6666666666666666</v>
      </c>
      <c r="H4577" s="3">
        <v>0.2666666666666667</v>
      </c>
      <c r="I4577" s="3" t="s">
        <v>48</v>
      </c>
      <c r="J4577" s="3" t="s">
        <v>13070</v>
      </c>
      <c r="K4577" s="3" t="s">
        <v>149</v>
      </c>
      <c r="L4577" s="3" t="str">
        <f>IFERROR(__xludf.DUMMYFUNCTION("GOOGLETRANSLATE(F4577,""id"",""en"")"),"Mbappe once champions Pilduun got a golden top scorer breaking into the goal, he was still able to do martinez, especially if the gapnya gapnya achievements were gone.")</f>
        <v>Mbappe once champions Pilduun got a golden top scorer breaking into the goal, he was still able to do martinez, especially if the gapnya gapnya achievements were gone.</v>
      </c>
    </row>
    <row r="4578" ht="15.75" customHeight="1">
      <c r="A4578" s="1">
        <v>5746.0</v>
      </c>
      <c r="B4578" s="3" t="s">
        <v>13071</v>
      </c>
      <c r="C4578" s="3">
        <v>0.0</v>
      </c>
      <c r="D4578" s="3">
        <v>0.0</v>
      </c>
      <c r="E4578" s="3">
        <v>0.0</v>
      </c>
      <c r="F4578" s="3" t="s">
        <v>13072</v>
      </c>
      <c r="G4578" s="3">
        <v>1.0</v>
      </c>
      <c r="H4578" s="3">
        <v>0.0</v>
      </c>
      <c r="I4578" s="3" t="s">
        <v>13</v>
      </c>
      <c r="J4578" s="3" t="s">
        <v>13073</v>
      </c>
      <c r="K4578" s="3" t="s">
        <v>236</v>
      </c>
      <c r="L4578" s="3" t="str">
        <f>IFERROR(__xludf.DUMMYFUNCTION("GOOGLETRANSLATE(F4578,""id"",""en"")"),"yesterday I didn't watch the final pildun or STB I was rolling out")</f>
        <v>yesterday I didn't watch the final pildun or STB I was rolling out</v>
      </c>
    </row>
    <row r="4579" ht="15.75" customHeight="1">
      <c r="A4579" s="1">
        <v>5747.0</v>
      </c>
      <c r="B4579" s="3" t="s">
        <v>13074</v>
      </c>
      <c r="C4579" s="3">
        <v>1.0</v>
      </c>
      <c r="D4579" s="3">
        <v>0.0</v>
      </c>
      <c r="E4579" s="3">
        <v>0.0</v>
      </c>
      <c r="F4579" s="3" t="s">
        <v>13075</v>
      </c>
      <c r="G4579" s="3">
        <v>1.0</v>
      </c>
      <c r="H4579" s="3">
        <v>-0.25</v>
      </c>
      <c r="I4579" s="3" t="s">
        <v>179</v>
      </c>
      <c r="J4579" s="3" t="s">
        <v>13076</v>
      </c>
      <c r="K4579" s="3" t="s">
        <v>273</v>
      </c>
      <c r="L4579" s="3" t="str">
        <f>IFERROR(__xludf.DUMMYFUNCTION("GOOGLETRANSLATE(F4579,""id"",""en"")"),"yes bro, bro, it's just so sure because from the beginning of the pildun every penalty violation of all referees must see this var is so sure this is the final, you know, this is not the phase of this group.")</f>
        <v>yes bro, bro, it's just so sure because from the beginning of the pildun every penalty violation of all referees must see this var is so sure this is the final, you know, this is not the phase of this group.</v>
      </c>
    </row>
    <row r="4580" ht="15.75" customHeight="1">
      <c r="A4580" s="1">
        <v>5748.0</v>
      </c>
      <c r="B4580" s="3" t="s">
        <v>13077</v>
      </c>
      <c r="C4580" s="3">
        <v>1.0</v>
      </c>
      <c r="D4580" s="3">
        <v>0.0</v>
      </c>
      <c r="E4580" s="3">
        <v>1.0</v>
      </c>
      <c r="F4580" s="3" t="s">
        <v>13078</v>
      </c>
      <c r="G4580" s="3">
        <v>1.0</v>
      </c>
      <c r="H4580" s="3">
        <v>0.0</v>
      </c>
      <c r="I4580" s="3" t="s">
        <v>13</v>
      </c>
      <c r="J4580" s="3" t="s">
        <v>13079</v>
      </c>
      <c r="K4580" s="3" t="s">
        <v>2013</v>
      </c>
      <c r="L4580" s="3" t="str">
        <f>IFERROR(__xludf.DUMMYFUNCTION("GOOGLETRANSLATE(F4580,""id"",""en"")"),"Ronaldo time hurts to see the penaldo joining the pildun never at all the final and now Messi champions are getting hurt more and more jealous")</f>
        <v>Ronaldo time hurts to see the penaldo joining the pildun never at all the final and now Messi champions are getting hurt more and more jealous</v>
      </c>
    </row>
    <row r="4581" ht="15.75" customHeight="1">
      <c r="A4581" s="1">
        <v>5749.0</v>
      </c>
      <c r="B4581" s="3" t="s">
        <v>13080</v>
      </c>
      <c r="C4581" s="3">
        <v>1.0</v>
      </c>
      <c r="D4581" s="3">
        <v>0.0</v>
      </c>
      <c r="E4581" s="3">
        <v>1.0</v>
      </c>
      <c r="F4581" s="3" t="s">
        <v>13081</v>
      </c>
      <c r="G4581" s="3">
        <v>1.0</v>
      </c>
      <c r="H4581" s="3">
        <v>0.0</v>
      </c>
      <c r="I4581" s="3" t="s">
        <v>13</v>
      </c>
      <c r="J4581" s="3" t="s">
        <v>13082</v>
      </c>
      <c r="K4581" s="3" t="s">
        <v>1854</v>
      </c>
      <c r="L4581" s="3" t="str">
        <f>IFERROR(__xludf.DUMMYFUNCTION("GOOGLETRANSLATE(F4581,""id"",""en"")"),"Ronaldo Time is the worst because Ronaldo and Portugal are in semi -finals, not just like a lot of your idols, forgiveness, I think the struggle of Argentina is easy to win, I ask what the evidence is")</f>
        <v>Ronaldo Time is the worst because Ronaldo and Portugal are in semi -finals, not just like a lot of your idols, forgiveness, I think the struggle of Argentina is easy to win, I ask what the evidence is</v>
      </c>
    </row>
    <row r="4582" ht="15.75" customHeight="1">
      <c r="A4582" s="1">
        <v>5750.0</v>
      </c>
      <c r="B4582" s="3" t="s">
        <v>13083</v>
      </c>
      <c r="C4582" s="3">
        <v>0.0</v>
      </c>
      <c r="D4582" s="3">
        <v>0.0</v>
      </c>
      <c r="E4582" s="3">
        <v>0.0</v>
      </c>
      <c r="F4582" s="3" t="s">
        <v>13084</v>
      </c>
      <c r="G4582" s="3">
        <v>1.0</v>
      </c>
      <c r="H4582" s="3">
        <v>0.0</v>
      </c>
      <c r="I4582" s="3" t="s">
        <v>13</v>
      </c>
      <c r="J4582" s="3" t="s">
        <v>13085</v>
      </c>
      <c r="K4582" s="3" t="s">
        <v>510</v>
      </c>
      <c r="L4582" s="3" t="str">
        <f>IFERROR(__xludf.DUMMYFUNCTION("GOOGLETRANSLATE(F4582,""id"",""en"")"),"If I laugh in my opinion, it is natural for the final rival of the pildun, but if Messi is in the position of holding the doll, it doesn't respect me in")</f>
        <v>If I laugh in my opinion, it is natural for the final rival of the pildun, but if Messi is in the position of holding the doll, it doesn't respect me in</v>
      </c>
    </row>
    <row r="4583" ht="15.75" customHeight="1">
      <c r="A4583" s="1">
        <v>5751.0</v>
      </c>
      <c r="B4583" s="3" t="s">
        <v>13086</v>
      </c>
      <c r="C4583" s="3">
        <v>0.0</v>
      </c>
      <c r="D4583" s="3">
        <v>0.0</v>
      </c>
      <c r="E4583" s="3">
        <v>0.0</v>
      </c>
      <c r="F4583" s="3" t="s">
        <v>13087</v>
      </c>
      <c r="G4583" s="3">
        <v>1.0</v>
      </c>
      <c r="H4583" s="3">
        <v>0.0</v>
      </c>
      <c r="I4583" s="3" t="s">
        <v>13</v>
      </c>
      <c r="J4583" s="3" t="s">
        <v>13088</v>
      </c>
      <c r="K4583" s="3" t="s">
        <v>903</v>
      </c>
      <c r="L4583" s="3" t="str">
        <f>IFERROR(__xludf.DUMMYFUNCTION("GOOGLETRANSLATE(F4583,""id"",""en"")"),"It turned out that the final pildun brought a split between boarding houses next to BTW, the Dodo fans won who I was hot")</f>
        <v>It turned out that the final pildun brought a split between boarding houses next to BTW, the Dodo fans won who I was hot</v>
      </c>
    </row>
    <row r="4584" ht="15.75" customHeight="1">
      <c r="A4584" s="1">
        <v>5752.0</v>
      </c>
      <c r="B4584" s="3" t="s">
        <v>13089</v>
      </c>
      <c r="C4584" s="3">
        <v>0.0</v>
      </c>
      <c r="D4584" s="3">
        <v>0.0</v>
      </c>
      <c r="E4584" s="3">
        <v>0.0</v>
      </c>
      <c r="F4584" s="3" t="s">
        <v>13090</v>
      </c>
      <c r="G4584" s="3">
        <v>0.65</v>
      </c>
      <c r="H4584" s="3">
        <v>0.1</v>
      </c>
      <c r="I4584" s="3" t="s">
        <v>48</v>
      </c>
      <c r="J4584" s="3" t="s">
        <v>13091</v>
      </c>
      <c r="K4584" s="3" t="s">
        <v>58</v>
      </c>
      <c r="L4584" s="3" t="str">
        <f>IFERROR(__xludf.DUMMYFUNCTION("GOOGLETRANSLATE(F4584,""id"",""en"")"),"Until I gave a drug diarrhea when the final Pilduun seemed to give it like that of Messi Modern era")</f>
        <v>Until I gave a drug diarrhea when the final Pilduun seemed to give it like that of Messi Modern era</v>
      </c>
    </row>
    <row r="4585" ht="15.75" customHeight="1">
      <c r="A4585" s="1">
        <v>5753.0</v>
      </c>
      <c r="B4585" s="3" t="s">
        <v>13092</v>
      </c>
      <c r="C4585" s="3">
        <v>0.0</v>
      </c>
      <c r="D4585" s="3">
        <v>0.0</v>
      </c>
      <c r="E4585" s="3">
        <v>0.0</v>
      </c>
      <c r="F4585" s="3" t="s">
        <v>13093</v>
      </c>
      <c r="G4585" s="3">
        <v>0.7666666666666666</v>
      </c>
      <c r="H4585" s="3">
        <v>-0.09999999999999999</v>
      </c>
      <c r="I4585" s="3" t="s">
        <v>179</v>
      </c>
      <c r="J4585" s="3" t="s">
        <v>13094</v>
      </c>
      <c r="K4585" s="3" t="s">
        <v>31</v>
      </c>
      <c r="L4585" s="3" t="str">
        <f>IFERROR(__xludf.DUMMYFUNCTION("GOOGLETRANSLATE(F4585,""id"",""en"")"),"Absurd is this real conspiracy")</f>
        <v>Absurd is this real conspiracy</v>
      </c>
    </row>
    <row r="4586" ht="15.75" customHeight="1">
      <c r="A4586" s="1">
        <v>5754.0</v>
      </c>
      <c r="B4586" s="3" t="s">
        <v>13095</v>
      </c>
      <c r="C4586" s="3">
        <v>0.0</v>
      </c>
      <c r="D4586" s="3">
        <v>0.0</v>
      </c>
      <c r="E4586" s="3">
        <v>0.0</v>
      </c>
      <c r="F4586" s="3" t="s">
        <v>13096</v>
      </c>
      <c r="G4586" s="3">
        <v>1.0</v>
      </c>
      <c r="H4586" s="3">
        <v>0.0</v>
      </c>
      <c r="I4586" s="3" t="s">
        <v>13</v>
      </c>
      <c r="J4586" s="3" t="s">
        <v>13097</v>
      </c>
      <c r="K4586" s="3" t="s">
        <v>236</v>
      </c>
      <c r="L4586" s="3" t="str">
        <f>IFERROR(__xludf.DUMMYFUNCTION("GOOGLETRANSLATE(F4586,""id"",""en"")"),"This passed the final quarter but how come it's not celebrating like the pildun team team")</f>
        <v>This passed the final quarter but how come it's not celebrating like the pildun team team</v>
      </c>
    </row>
    <row r="4587" ht="15.75" customHeight="1">
      <c r="A4587" s="1">
        <v>5755.0</v>
      </c>
      <c r="B4587" s="3" t="s">
        <v>13098</v>
      </c>
      <c r="C4587" s="3">
        <v>0.0</v>
      </c>
      <c r="D4587" s="3">
        <v>0.0</v>
      </c>
      <c r="E4587" s="3">
        <v>1.0</v>
      </c>
      <c r="F4587" s="3" t="s">
        <v>13099</v>
      </c>
      <c r="G4587" s="3">
        <v>1.0</v>
      </c>
      <c r="H4587" s="3">
        <v>0.0</v>
      </c>
      <c r="I4587" s="3" t="s">
        <v>13</v>
      </c>
      <c r="J4587" s="3" t="s">
        <v>13100</v>
      </c>
      <c r="K4587" s="3" t="s">
        <v>75</v>
      </c>
      <c r="L4587" s="3" t="str">
        <f>IFERROR(__xludf.DUMMYFUNCTION("GOOGLETRANSLATE(F4587,""id"",""en"")"),"Watching the final of the pildun still believes Messi lifts the Cup Eggs")</f>
        <v>Watching the final of the pildun still believes Messi lifts the Cup Eggs</v>
      </c>
    </row>
    <row r="4588" ht="15.75" customHeight="1">
      <c r="A4588" s="1">
        <v>5756.0</v>
      </c>
      <c r="B4588" s="3" t="s">
        <v>13101</v>
      </c>
      <c r="C4588" s="3">
        <v>0.0</v>
      </c>
      <c r="D4588" s="3">
        <v>0.0</v>
      </c>
      <c r="E4588" s="3">
        <v>0.0</v>
      </c>
      <c r="F4588" s="3" t="s">
        <v>13102</v>
      </c>
      <c r="G4588" s="3">
        <v>1.0</v>
      </c>
      <c r="H4588" s="3">
        <v>0.0</v>
      </c>
      <c r="I4588" s="3" t="s">
        <v>13</v>
      </c>
      <c r="J4588" s="3" t="s">
        <v>13103</v>
      </c>
      <c r="K4588" s="3" t="s">
        <v>54</v>
      </c>
      <c r="L4588" s="3" t="str">
        <f>IFERROR(__xludf.DUMMYFUNCTION("GOOGLETRANSLATE(F4588,""id"",""en"")"),"Zeejkt Final Pildun What time Bang")</f>
        <v>Zeejkt Final Pildun What time Bang</v>
      </c>
    </row>
    <row r="4589" ht="15.75" customHeight="1">
      <c r="A4589" s="1">
        <v>5757.0</v>
      </c>
      <c r="B4589" s="3" t="s">
        <v>13104</v>
      </c>
      <c r="C4589" s="3">
        <v>0.0</v>
      </c>
      <c r="D4589" s="3">
        <v>0.0</v>
      </c>
      <c r="E4589" s="3">
        <v>1.0</v>
      </c>
      <c r="F4589" s="3" t="s">
        <v>13105</v>
      </c>
      <c r="G4589" s="3">
        <v>0.65</v>
      </c>
      <c r="H4589" s="3">
        <v>0.1</v>
      </c>
      <c r="I4589" s="3" t="s">
        <v>48</v>
      </c>
      <c r="J4589" s="3" t="s">
        <v>13106</v>
      </c>
      <c r="K4589" s="3" t="s">
        <v>244</v>
      </c>
      <c r="L4589" s="3" t="str">
        <f>IFERROR(__xludf.DUMMYFUNCTION("GOOGLETRANSLATE(F4589,""id"",""en"")"),"Really Min Pildun yesterday the settings should be the final pildun that Portugal Real Madrid")</f>
        <v>Really Min Pildun yesterday the settings should be the final pildun that Portugal Real Madrid</v>
      </c>
    </row>
    <row r="4590" ht="15.75" customHeight="1">
      <c r="A4590" s="1">
        <v>5759.0</v>
      </c>
      <c r="B4590" s="3" t="s">
        <v>13107</v>
      </c>
      <c r="C4590" s="3">
        <v>0.0</v>
      </c>
      <c r="D4590" s="3">
        <v>0.0</v>
      </c>
      <c r="E4590" s="3">
        <v>0.0</v>
      </c>
      <c r="F4590" s="3" t="s">
        <v>13108</v>
      </c>
      <c r="G4590" s="3">
        <v>1.0</v>
      </c>
      <c r="H4590" s="3">
        <v>0.0</v>
      </c>
      <c r="I4590" s="3" t="s">
        <v>13</v>
      </c>
      <c r="J4590" s="3" t="s">
        <v>13109</v>
      </c>
      <c r="K4590" s="3" t="s">
        <v>19</v>
      </c>
      <c r="L4590" s="3" t="str">
        <f>IFERROR(__xludf.DUMMYFUNCTION("GOOGLETRANSLATE(F4590,""id"",""en"")"),"Anj just realized Konate lost the final UCL to Pilduun Kyk Lovren wkwkwkw")</f>
        <v>Anj just realized Konate lost the final UCL to Pilduun Kyk Lovren wkwkwkw</v>
      </c>
    </row>
    <row r="4591" ht="15.75" customHeight="1">
      <c r="A4591" s="1">
        <v>5760.0</v>
      </c>
      <c r="B4591" s="3" t="s">
        <v>13110</v>
      </c>
      <c r="C4591" s="3">
        <v>0.0</v>
      </c>
      <c r="D4591" s="3">
        <v>0.0</v>
      </c>
      <c r="E4591" s="3">
        <v>0.0</v>
      </c>
      <c r="F4591" s="3" t="s">
        <v>13111</v>
      </c>
      <c r="G4591" s="3">
        <v>1.0</v>
      </c>
      <c r="H4591" s="3">
        <v>0.0</v>
      </c>
      <c r="I4591" s="3" t="s">
        <v>13</v>
      </c>
      <c r="J4591" s="3" t="s">
        <v>13112</v>
      </c>
      <c r="K4591" s="3" t="s">
        <v>58</v>
      </c>
      <c r="L4591" s="3" t="str">
        <f>IFERROR(__xludf.DUMMYFUNCTION("GOOGLETRANSLATE(F4591,""id"",""en"")"),"PINALTI MAH GRGR yesterday watched the final Pilduun then the father from the beginning wanted to be penalties")</f>
        <v>PINALTI MAH GRGR yesterday watched the final Pilduun then the father from the beginning wanted to be penalties</v>
      </c>
    </row>
    <row r="4592" ht="15.75" customHeight="1">
      <c r="A4592" s="1">
        <v>5761.0</v>
      </c>
      <c r="B4592" s="3" t="s">
        <v>13113</v>
      </c>
      <c r="C4592" s="3">
        <v>0.0</v>
      </c>
      <c r="D4592" s="3">
        <v>0.0</v>
      </c>
      <c r="E4592" s="3">
        <v>0.0</v>
      </c>
      <c r="F4592" s="3" t="s">
        <v>13114</v>
      </c>
      <c r="G4592" s="3">
        <v>1.0</v>
      </c>
      <c r="H4592" s="3">
        <v>0.0</v>
      </c>
      <c r="I4592" s="3" t="s">
        <v>13</v>
      </c>
      <c r="J4592" s="3" t="s">
        <v>13115</v>
      </c>
      <c r="K4592" s="3" t="s">
        <v>75</v>
      </c>
      <c r="L4592" s="3" t="str">
        <f>IFERROR(__xludf.DUMMYFUNCTION("GOOGLETRANSLATE(F4592,""id"",""en"")"),"from the team supported when the final pildun always wins again all")</f>
        <v>from the team supported when the final pildun always wins again all</v>
      </c>
    </row>
    <row r="4593" ht="15.75" customHeight="1">
      <c r="A4593" s="1">
        <v>5762.0</v>
      </c>
      <c r="B4593" s="3" t="s">
        <v>13116</v>
      </c>
      <c r="C4593" s="3">
        <v>0.0</v>
      </c>
      <c r="D4593" s="3">
        <v>0.0</v>
      </c>
      <c r="E4593" s="3">
        <v>1.0</v>
      </c>
      <c r="F4593" s="3" t="s">
        <v>13117</v>
      </c>
      <c r="G4593" s="3">
        <v>1.0</v>
      </c>
      <c r="H4593" s="3">
        <v>0.0</v>
      </c>
      <c r="I4593" s="3" t="s">
        <v>13</v>
      </c>
      <c r="J4593" s="3" t="s">
        <v>13118</v>
      </c>
      <c r="K4593" s="3" t="s">
        <v>123</v>
      </c>
      <c r="L4593" s="3" t="str">
        <f>IFERROR(__xludf.DUMMYFUNCTION("GOOGLETRANSLATE(F4593,""id"",""en"")"),"Redsindo pdhl the role of enzo pildun kmrn obviously especially disf and the final can turn off Modric and Grizi")</f>
        <v>Redsindo pdhl the role of enzo pildun kmrn obviously especially disf and the final can turn off Modric and Grizi</v>
      </c>
    </row>
    <row r="4594" ht="15.75" customHeight="1">
      <c r="A4594" s="1">
        <v>5763.0</v>
      </c>
      <c r="B4594" s="3" t="s">
        <v>13119</v>
      </c>
      <c r="C4594" s="3">
        <v>1.0</v>
      </c>
      <c r="D4594" s="3">
        <v>0.0</v>
      </c>
      <c r="E4594" s="3">
        <v>0.0</v>
      </c>
      <c r="F4594" s="3" t="s">
        <v>13120</v>
      </c>
      <c r="G4594" s="3">
        <v>1.0</v>
      </c>
      <c r="H4594" s="3">
        <v>0.0</v>
      </c>
      <c r="I4594" s="3" t="s">
        <v>13</v>
      </c>
      <c r="J4594" s="3" t="s">
        <v>13121</v>
      </c>
      <c r="K4594" s="3" t="s">
        <v>31</v>
      </c>
      <c r="L4594" s="3" t="str">
        <f>IFERROR(__xludf.DUMMYFUNCTION("GOOGLETRANSLATE(F4594,""id"",""en"")"),"Must Watch Final Pildun Wkwje")</f>
        <v>Must Watch Final Pildun Wkwje</v>
      </c>
    </row>
    <row r="4595" ht="15.75" customHeight="1">
      <c r="A4595" s="1">
        <v>5764.0</v>
      </c>
      <c r="B4595" s="3" t="s">
        <v>13122</v>
      </c>
      <c r="C4595" s="3">
        <v>1.0</v>
      </c>
      <c r="D4595" s="3">
        <v>0.0</v>
      </c>
      <c r="E4595" s="3">
        <v>0.0</v>
      </c>
      <c r="F4595" s="3" t="s">
        <v>13123</v>
      </c>
      <c r="G4595" s="3">
        <v>1.0</v>
      </c>
      <c r="H4595" s="3">
        <v>0.0</v>
      </c>
      <c r="I4595" s="3" t="s">
        <v>13</v>
      </c>
      <c r="J4595" s="3" t="s">
        <v>13124</v>
      </c>
      <c r="K4595" s="3" t="s">
        <v>2215</v>
      </c>
      <c r="L4595" s="3" t="str">
        <f>IFERROR(__xludf.DUMMYFUNCTION("GOOGLETRANSLATE(F4595,""id"",""en"")"),"That is the son of Enhypen, right when the final of the Pilduun was two tops of supporting Argentina.")</f>
        <v>That is the son of Enhypen, right when the final of the Pilduun was two tops of supporting Argentina.</v>
      </c>
    </row>
    <row r="4596" ht="15.75" customHeight="1">
      <c r="A4596" s="1">
        <v>5765.0</v>
      </c>
      <c r="B4596" s="3" t="s">
        <v>13125</v>
      </c>
      <c r="C4596" s="3">
        <v>2.0</v>
      </c>
      <c r="D4596" s="3">
        <v>1.0</v>
      </c>
      <c r="E4596" s="3">
        <v>3.0</v>
      </c>
      <c r="F4596" s="3" t="s">
        <v>13126</v>
      </c>
      <c r="G4596" s="3">
        <v>1.0</v>
      </c>
      <c r="H4596" s="3">
        <v>0.0</v>
      </c>
      <c r="I4596" s="3" t="s">
        <v>13</v>
      </c>
      <c r="J4596" s="3" t="s">
        <v>13127</v>
      </c>
      <c r="K4596" s="3" t="s">
        <v>1045</v>
      </c>
      <c r="L4596" s="3" t="str">
        <f>IFERROR(__xludf.DUMMYFUNCTION("GOOGLETRANSLATE(F4596,""id"",""en"")"),"Ask the Problematic Pavard coach just fighting the coach and the coach is reserved first from the Macth Final has become the task of the coach to make a harmonious and compact dressing room but the camp in the conflict squad")</f>
        <v>Ask the Problematic Pavard coach just fighting the coach and the coach is reserved first from the Macth Final has become the task of the coach to make a harmonious and compact dressing room but the camp in the conflict squad</v>
      </c>
    </row>
    <row r="4597" ht="15.75" customHeight="1">
      <c r="A4597" s="1">
        <v>5766.0</v>
      </c>
      <c r="B4597" s="3" t="s">
        <v>13128</v>
      </c>
      <c r="C4597" s="3">
        <v>1.0</v>
      </c>
      <c r="D4597" s="3">
        <v>0.0</v>
      </c>
      <c r="E4597" s="3">
        <v>0.0</v>
      </c>
      <c r="F4597" s="3" t="s">
        <v>13129</v>
      </c>
      <c r="G4597" s="3">
        <v>1.0</v>
      </c>
      <c r="H4597" s="3">
        <v>0.0</v>
      </c>
      <c r="I4597" s="3" t="s">
        <v>13</v>
      </c>
      <c r="J4597" s="3" t="s">
        <v>13130</v>
      </c>
      <c r="K4597" s="3" t="s">
        <v>1293</v>
      </c>
      <c r="L4597" s="3" t="str">
        <f>IFERROR(__xludf.DUMMYFUNCTION("GOOGLETRANSLATE(F4597,""id"",""en"")"),"Cats since the final pildun returned home, I went around the complex to find a dirty dirty gini gini, he helped sii")</f>
        <v>Cats since the final pildun returned home, I went around the complex to find a dirty dirty gini gini, he helped sii</v>
      </c>
    </row>
    <row r="4598" ht="15.75" customHeight="1">
      <c r="A4598" s="1">
        <v>5767.0</v>
      </c>
      <c r="B4598" s="3" t="s">
        <v>13131</v>
      </c>
      <c r="C4598" s="3">
        <v>2.0</v>
      </c>
      <c r="D4598" s="3">
        <v>1.0</v>
      </c>
      <c r="E4598" s="3">
        <v>0.0</v>
      </c>
      <c r="F4598" s="3" t="s">
        <v>13132</v>
      </c>
      <c r="G4598" s="3">
        <v>1.0</v>
      </c>
      <c r="H4598" s="3">
        <v>0.0</v>
      </c>
      <c r="I4598" s="3" t="s">
        <v>13</v>
      </c>
      <c r="J4598" s="3" t="s">
        <v>13133</v>
      </c>
      <c r="K4598" s="3" t="s">
        <v>75</v>
      </c>
      <c r="L4598" s="3" t="str">
        <f>IFERROR(__xludf.DUMMYFUNCTION("GOOGLETRANSLATE(F4598,""id"",""en"")"),"the guy says he likes the best pildun final ball all time not watching")</f>
        <v>the guy says he likes the best pildun final ball all time not watching</v>
      </c>
    </row>
    <row r="4599" ht="15.75" customHeight="1">
      <c r="A4599" s="1">
        <v>5768.0</v>
      </c>
      <c r="B4599" s="3" t="s">
        <v>13134</v>
      </c>
      <c r="C4599" s="3">
        <v>0.0</v>
      </c>
      <c r="D4599" s="3">
        <v>0.0</v>
      </c>
      <c r="E4599" s="3">
        <v>0.0</v>
      </c>
      <c r="F4599" s="3" t="s">
        <v>13135</v>
      </c>
      <c r="G4599" s="3">
        <v>1.0</v>
      </c>
      <c r="H4599" s="3">
        <v>0.0</v>
      </c>
      <c r="I4599" s="3" t="s">
        <v>13</v>
      </c>
      <c r="J4599" s="3" t="s">
        <v>13136</v>
      </c>
      <c r="K4599" s="3" t="s">
        <v>1293</v>
      </c>
      <c r="L4599" s="3" t="str">
        <f>IFERROR(__xludf.DUMMYFUNCTION("GOOGLETRANSLATE(F4599,""id"",""en"")"),"There are still using videos after the final case of the Pildun directly uninstalling the stars nyesek so the final jir chaos")</f>
        <v>There are still using videos after the final case of the Pildun directly uninstalling the stars nyesek so the final jir chaos</v>
      </c>
    </row>
    <row r="4600" ht="15.75" customHeight="1">
      <c r="A4600" s="1">
        <v>5769.0</v>
      </c>
      <c r="B4600" s="3" t="s">
        <v>13137</v>
      </c>
      <c r="C4600" s="3">
        <v>1.0</v>
      </c>
      <c r="D4600" s="3">
        <v>0.0</v>
      </c>
      <c r="E4600" s="3">
        <v>0.0</v>
      </c>
      <c r="F4600" s="3" t="s">
        <v>13138</v>
      </c>
      <c r="G4600" s="3">
        <v>1.0</v>
      </c>
      <c r="H4600" s="3">
        <v>0.0</v>
      </c>
      <c r="I4600" s="3" t="s">
        <v>13</v>
      </c>
      <c r="J4600" s="3" t="s">
        <v>13139</v>
      </c>
      <c r="K4600" s="3" t="s">
        <v>903</v>
      </c>
      <c r="L4600" s="3" t="str">
        <f>IFERROR(__xludf.DUMMYFUNCTION("GOOGLETRANSLATE(F4600,""id"",""en"")"),"When I entered the pildun, it only became garbage since the Italian champion had passed the stage group was won even though they entered the final and were slaughtered by the Spanish Obok")</f>
        <v>When I entered the pildun, it only became garbage since the Italian champion had passed the stage group was won even though they entered the final and were slaughtered by the Spanish Obok</v>
      </c>
    </row>
    <row r="4601" ht="15.75" customHeight="1">
      <c r="A4601" s="1">
        <v>5770.0</v>
      </c>
      <c r="B4601" s="3" t="s">
        <v>13140</v>
      </c>
      <c r="C4601" s="3">
        <v>0.0</v>
      </c>
      <c r="D4601" s="3">
        <v>0.0</v>
      </c>
      <c r="E4601" s="3">
        <v>0.0</v>
      </c>
      <c r="F4601" s="3" t="s">
        <v>13141</v>
      </c>
      <c r="G4601" s="3">
        <v>0.6666666666666666</v>
      </c>
      <c r="H4601" s="3">
        <v>0.08333333333333333</v>
      </c>
      <c r="I4601" s="3" t="s">
        <v>48</v>
      </c>
      <c r="J4601" s="3" t="s">
        <v>13142</v>
      </c>
      <c r="K4601" s="3" t="s">
        <v>15</v>
      </c>
      <c r="L4601" s="3" t="str">
        <f>IFERROR(__xludf.DUMMYFUNCTION("GOOGLETRANSLATE(F4601,""id"",""en"")"),"I feel like you've seen Haaland playing the final round of pildun")</f>
        <v>I feel like you've seen Haaland playing the final round of pildun</v>
      </c>
    </row>
    <row r="4602" ht="15.75" customHeight="1">
      <c r="A4602" s="1">
        <v>5771.0</v>
      </c>
      <c r="B4602" s="3" t="s">
        <v>13143</v>
      </c>
      <c r="C4602" s="3">
        <v>2.0</v>
      </c>
      <c r="D4602" s="3">
        <v>0.0</v>
      </c>
      <c r="E4602" s="3">
        <v>4.0</v>
      </c>
      <c r="F4602" s="3" t="s">
        <v>13144</v>
      </c>
      <c r="G4602" s="3">
        <v>1.0</v>
      </c>
      <c r="H4602" s="3">
        <v>0.0</v>
      </c>
      <c r="I4602" s="3" t="s">
        <v>13</v>
      </c>
      <c r="J4602" s="3" t="s">
        <v>13145</v>
      </c>
      <c r="K4602" s="3" t="s">
        <v>1518</v>
      </c>
      <c r="L4602" s="3" t="str">
        <f>IFERROR(__xludf.DUMMYFUNCTION("GOOGLETRANSLATE(F4602,""id"",""en"")"),"registered as Assistant Coach Mannya can mediate and can hold the trophy when the pildun has started or before the final I save the media outside the post at that time")</f>
        <v>registered as Assistant Coach Mannya can mediate and can hold the trophy when the pildun has started or before the final I save the media outside the post at that time</v>
      </c>
    </row>
    <row r="4603" ht="15.75" customHeight="1">
      <c r="A4603" s="1">
        <v>5772.0</v>
      </c>
      <c r="B4603" s="3" t="s">
        <v>13146</v>
      </c>
      <c r="C4603" s="3">
        <v>0.0</v>
      </c>
      <c r="D4603" s="3">
        <v>1.0</v>
      </c>
      <c r="E4603" s="3">
        <v>3.0</v>
      </c>
      <c r="F4603" s="3" t="s">
        <v>13147</v>
      </c>
      <c r="G4603" s="3">
        <v>1.0</v>
      </c>
      <c r="H4603" s="3">
        <v>0.0</v>
      </c>
      <c r="I4603" s="3" t="s">
        <v>13</v>
      </c>
      <c r="J4603" s="3" t="s">
        <v>13148</v>
      </c>
      <c r="K4603" s="3" t="s">
        <v>127</v>
      </c>
      <c r="L4603" s="3" t="str">
        <f>IFERROR(__xludf.DUMMYFUNCTION("GOOGLETRANSLATE(F4603,""id"",""en"")"),"This seems to give a message not directly PSG players have practiced when the holiday is just finished, especially until the final")</f>
        <v>This seems to give a message not directly PSG players have practiced when the holiday is just finished, especially until the final</v>
      </c>
    </row>
    <row r="4604" ht="15.75" customHeight="1">
      <c r="A4604" s="1">
        <v>5773.0</v>
      </c>
      <c r="B4604" s="3" t="s">
        <v>13149</v>
      </c>
      <c r="C4604" s="3">
        <v>5.0</v>
      </c>
      <c r="D4604" s="3">
        <v>0.0</v>
      </c>
      <c r="E4604" s="3">
        <v>2.0</v>
      </c>
      <c r="F4604" s="3" t="s">
        <v>13150</v>
      </c>
      <c r="G4604" s="3">
        <v>1.0</v>
      </c>
      <c r="H4604" s="3">
        <v>0.0</v>
      </c>
      <c r="I4604" s="3" t="s">
        <v>13</v>
      </c>
      <c r="J4604" s="3" t="s">
        <v>13151</v>
      </c>
      <c r="K4604" s="3" t="s">
        <v>510</v>
      </c>
      <c r="L4604" s="3" t="str">
        <f>IFERROR(__xludf.DUMMYFUNCTION("GOOGLETRANSLATE(F4604,""id"",""en"")"),"Morocco until the semi -final is that itali has passed the pildun losing to the northern Macedonia Awokwok")</f>
        <v>Morocco until the semi -final is that itali has passed the pildun losing to the northern Macedonia Awokwok</v>
      </c>
    </row>
    <row r="4605" ht="15.75" customHeight="1">
      <c r="A4605" s="1">
        <v>5774.0</v>
      </c>
      <c r="B4605" s="3" t="s">
        <v>13152</v>
      </c>
      <c r="C4605" s="3">
        <v>0.0</v>
      </c>
      <c r="D4605" s="3">
        <v>0.0</v>
      </c>
      <c r="E4605" s="3">
        <v>0.0</v>
      </c>
      <c r="F4605" s="3" t="s">
        <v>13153</v>
      </c>
      <c r="G4605" s="3">
        <v>1.0</v>
      </c>
      <c r="H4605" s="3">
        <v>0.0</v>
      </c>
      <c r="I4605" s="3" t="s">
        <v>13</v>
      </c>
      <c r="J4605" s="3" t="s">
        <v>13154</v>
      </c>
      <c r="K4605" s="3" t="s">
        <v>75</v>
      </c>
      <c r="L4605" s="3" t="str">
        <f>IFERROR(__xludf.DUMMYFUNCTION("GOOGLETRANSLATE(F4605,""id"",""en"")"),"Even though I have been able to have a lot of because there is a final Pilduun Final before starting to be accomplished first")</f>
        <v>Even though I have been able to have a lot of because there is a final Pilduun Final before starting to be accomplished first</v>
      </c>
    </row>
    <row r="4606" ht="15.75" customHeight="1">
      <c r="A4606" s="1">
        <v>5775.0</v>
      </c>
      <c r="B4606" s="3" t="s">
        <v>13155</v>
      </c>
      <c r="C4606" s="3">
        <v>1.0</v>
      </c>
      <c r="D4606" s="3">
        <v>0.0</v>
      </c>
      <c r="E4606" s="3">
        <v>0.0</v>
      </c>
      <c r="F4606" s="3" t="s">
        <v>13156</v>
      </c>
      <c r="G4606" s="3">
        <v>1.0</v>
      </c>
      <c r="H4606" s="3">
        <v>0.0</v>
      </c>
      <c r="I4606" s="3" t="s">
        <v>13</v>
      </c>
      <c r="J4606" s="3" t="s">
        <v>13157</v>
      </c>
      <c r="K4606" s="3" t="s">
        <v>15</v>
      </c>
      <c r="L4606" s="3" t="str">
        <f>IFERROR(__xludf.DUMMYFUNCTION("GOOGLETRANSLATE(F4606,""id"",""en"")"),"van permission to turn on the final betting betting yesterday")</f>
        <v>van permission to turn on the final betting betting yesterday</v>
      </c>
    </row>
    <row r="4607" ht="15.75" customHeight="1">
      <c r="A4607" s="1">
        <v>5776.0</v>
      </c>
      <c r="B4607" s="3" t="s">
        <v>13158</v>
      </c>
      <c r="C4607" s="3">
        <v>0.0</v>
      </c>
      <c r="D4607" s="3">
        <v>0.0</v>
      </c>
      <c r="E4607" s="3">
        <v>0.0</v>
      </c>
      <c r="F4607" s="3" t="s">
        <v>13159</v>
      </c>
      <c r="G4607" s="3">
        <v>1.0</v>
      </c>
      <c r="H4607" s="3">
        <v>0.0</v>
      </c>
      <c r="I4607" s="3" t="s">
        <v>13</v>
      </c>
      <c r="J4607" s="3" t="s">
        <v>13160</v>
      </c>
      <c r="K4607" s="3" t="s">
        <v>244</v>
      </c>
      <c r="L4607" s="3" t="str">
        <f>IFERROR(__xludf.DUMMYFUNCTION("GOOGLETRANSLATE(F4607,""id"",""en"")"),"He already felt the final pildun without scaloni leak and he was the final player still playing until now")</f>
        <v>He already felt the final pildun without scaloni leak and he was the final player still playing until now</v>
      </c>
    </row>
    <row r="4608" ht="15.75" customHeight="1">
      <c r="A4608" s="1">
        <v>5777.0</v>
      </c>
      <c r="B4608" s="3" t="s">
        <v>13161</v>
      </c>
      <c r="C4608" s="3">
        <v>0.0</v>
      </c>
      <c r="D4608" s="3">
        <v>0.0</v>
      </c>
      <c r="E4608" s="3">
        <v>0.0</v>
      </c>
      <c r="F4608" s="3" t="s">
        <v>13162</v>
      </c>
      <c r="G4608" s="3">
        <v>1.0</v>
      </c>
      <c r="H4608" s="3">
        <v>0.0</v>
      </c>
      <c r="I4608" s="3" t="s">
        <v>13</v>
      </c>
      <c r="J4608" s="3" t="s">
        <v>13163</v>
      </c>
      <c r="K4608" s="3" t="s">
        <v>15</v>
      </c>
      <c r="L4608" s="3" t="str">
        <f>IFERROR(__xludf.DUMMYFUNCTION("GOOGLETRANSLATE(F4608,""id"",""en"")"),"pretty good to win from the team where the Pemdun period has the final")</f>
        <v>pretty good to win from the team where the Pemdun period has the final</v>
      </c>
    </row>
    <row r="4609" ht="15.75" customHeight="1">
      <c r="A4609" s="1">
        <v>5778.0</v>
      </c>
      <c r="B4609" s="3" t="s">
        <v>13164</v>
      </c>
      <c r="C4609" s="3">
        <v>0.0</v>
      </c>
      <c r="D4609" s="3">
        <v>0.0</v>
      </c>
      <c r="E4609" s="3">
        <v>0.0</v>
      </c>
      <c r="F4609" s="3" t="s">
        <v>13165</v>
      </c>
      <c r="G4609" s="3">
        <v>1.0</v>
      </c>
      <c r="H4609" s="3">
        <v>0.0</v>
      </c>
      <c r="I4609" s="3" t="s">
        <v>13</v>
      </c>
      <c r="J4609" s="3" t="s">
        <v>13166</v>
      </c>
      <c r="K4609" s="3" t="s">
        <v>15</v>
      </c>
      <c r="L4609" s="3" t="str">
        <f>IFERROR(__xludf.DUMMYFUNCTION("GOOGLETRANSLATE(F4609,""id"",""en"")"),"account after banned a week miss the final moment of pildun")</f>
        <v>account after banned a week miss the final moment of pildun</v>
      </c>
    </row>
    <row r="4610" ht="15.75" customHeight="1">
      <c r="A4610" s="1">
        <v>5779.0</v>
      </c>
      <c r="B4610" s="3" t="s">
        <v>13167</v>
      </c>
      <c r="C4610" s="3">
        <v>0.0</v>
      </c>
      <c r="D4610" s="3">
        <v>0.0</v>
      </c>
      <c r="E4610" s="3">
        <v>0.0</v>
      </c>
      <c r="F4610" s="3" t="s">
        <v>13168</v>
      </c>
      <c r="G4610" s="3">
        <v>0.6666666666666666</v>
      </c>
      <c r="H4610" s="3">
        <v>0.08333333333333333</v>
      </c>
      <c r="I4610" s="3" t="s">
        <v>48</v>
      </c>
      <c r="J4610" s="3" t="s">
        <v>13169</v>
      </c>
      <c r="K4610" s="3" t="s">
        <v>71</v>
      </c>
      <c r="L4610" s="3" t="str">
        <f>IFERROR(__xludf.DUMMYFUNCTION("GOOGLETRANSLATE(F4610,""id"",""en"")"),"the possibility of this stress rather people happen to be the final pildun doi playing parlay mix romance is pretty big")</f>
        <v>the possibility of this stress rather people happen to be the final pildun doi playing parlay mix romance is pretty big</v>
      </c>
    </row>
    <row r="4611" ht="15.75" customHeight="1">
      <c r="A4611" s="1">
        <v>5780.0</v>
      </c>
      <c r="B4611" s="3" t="s">
        <v>13170</v>
      </c>
      <c r="C4611" s="3">
        <v>0.0</v>
      </c>
      <c r="D4611" s="3">
        <v>0.0</v>
      </c>
      <c r="E4611" s="3">
        <v>0.0</v>
      </c>
      <c r="F4611" s="3" t="s">
        <v>13171</v>
      </c>
      <c r="G4611" s="3">
        <v>1.0</v>
      </c>
      <c r="H4611" s="3">
        <v>0.0</v>
      </c>
      <c r="I4611" s="3" t="s">
        <v>13</v>
      </c>
      <c r="J4611" s="3" t="s">
        <v>13172</v>
      </c>
      <c r="K4611" s="3" t="s">
        <v>75</v>
      </c>
      <c r="L4611" s="3" t="str">
        <f>IFERROR(__xludf.DUMMYFUNCTION("GOOGLETRANSLATE(F4611,""id"",""en"")"),"Let's All Under Bekne Pak Dep Pas Final Pildun Maleh Koleng")</f>
        <v>Let's All Under Bekne Pak Dep Pas Final Pildun Maleh Koleng</v>
      </c>
    </row>
    <row r="4612" ht="15.75" customHeight="1">
      <c r="A4612" s="1">
        <v>5781.0</v>
      </c>
      <c r="B4612" s="3" t="s">
        <v>13173</v>
      </c>
      <c r="C4612" s="3">
        <v>0.0</v>
      </c>
      <c r="D4612" s="3">
        <v>0.0</v>
      </c>
      <c r="E4612" s="3">
        <v>0.0</v>
      </c>
      <c r="F4612" s="3" t="s">
        <v>13174</v>
      </c>
      <c r="G4612" s="3">
        <v>1.0</v>
      </c>
      <c r="H4612" s="3">
        <v>0.0</v>
      </c>
      <c r="I4612" s="3" t="s">
        <v>13</v>
      </c>
      <c r="J4612" s="3" t="s">
        <v>13175</v>
      </c>
      <c r="K4612" s="3" t="s">
        <v>54</v>
      </c>
      <c r="L4612" s="3" t="str">
        <f>IFERROR(__xludf.DUMMYFUNCTION("GOOGLETRANSLATE(F4612,""id"",""en"")"),"awkwkwk, the final pildun is quiet, the account")</f>
        <v>awkwkwk, the final pildun is quiet, the account</v>
      </c>
    </row>
    <row r="4613" ht="15.75" customHeight="1">
      <c r="A4613" s="1">
        <v>5782.0</v>
      </c>
      <c r="B4613" s="3" t="s">
        <v>13176</v>
      </c>
      <c r="C4613" s="3">
        <v>0.0</v>
      </c>
      <c r="D4613" s="3">
        <v>0.0</v>
      </c>
      <c r="E4613" s="3">
        <v>1.0</v>
      </c>
      <c r="F4613" s="3" t="s">
        <v>13177</v>
      </c>
      <c r="G4613" s="3">
        <v>1.0</v>
      </c>
      <c r="H4613" s="3">
        <v>0.0</v>
      </c>
      <c r="I4613" s="3" t="s">
        <v>13</v>
      </c>
      <c r="J4613" s="3" t="s">
        <v>13178</v>
      </c>
      <c r="K4613" s="3" t="s">
        <v>71</v>
      </c>
      <c r="L4613" s="3" t="str">
        <f>IFERROR(__xludf.DUMMYFUNCTION("GOOGLETRANSLATE(F4613,""id"",""en"")"),"different at the nobar final pildun, he only just watched Conan while asking for frying chicken to eat again ceunaaah")</f>
        <v>different at the nobar final pildun, he only just watched Conan while asking for frying chicken to eat again ceunaaah</v>
      </c>
    </row>
    <row r="4614" ht="15.75" customHeight="1">
      <c r="A4614" s="1">
        <v>5783.0</v>
      </c>
      <c r="B4614" s="3" t="s">
        <v>13179</v>
      </c>
      <c r="C4614" s="3">
        <v>0.0</v>
      </c>
      <c r="D4614" s="3">
        <v>0.0</v>
      </c>
      <c r="E4614" s="3">
        <v>0.0</v>
      </c>
      <c r="F4614" s="3" t="s">
        <v>13180</v>
      </c>
      <c r="G4614" s="3">
        <v>0.5875</v>
      </c>
      <c r="H4614" s="3">
        <v>-0.0875</v>
      </c>
      <c r="I4614" s="3" t="s">
        <v>179</v>
      </c>
      <c r="J4614" s="3" t="s">
        <v>13181</v>
      </c>
      <c r="K4614" s="3" t="s">
        <v>1489</v>
      </c>
      <c r="L4614" s="3" t="str">
        <f>IFERROR(__xludf.DUMMYFUNCTION("GOOGLETRANSLATE(F4614,""id"",""en"")"),"Woooy Indo national team was the best national team world number for many years, don't fight Thailand yesterday when the final Pilduun was against Argentina, the Indo national team should be easy")</f>
        <v>Woooy Indo national team was the best national team world number for many years, don't fight Thailand yesterday when the final Pilduun was against Argentina, the Indo national team should be easy</v>
      </c>
    </row>
    <row r="4615" ht="15.75" customHeight="1">
      <c r="A4615" s="1">
        <v>5784.0</v>
      </c>
      <c r="B4615" s="3" t="s">
        <v>13182</v>
      </c>
      <c r="C4615" s="3">
        <v>0.0</v>
      </c>
      <c r="D4615" s="3">
        <v>0.0</v>
      </c>
      <c r="E4615" s="3">
        <v>0.0</v>
      </c>
      <c r="F4615" s="3" t="s">
        <v>13183</v>
      </c>
      <c r="G4615" s="3">
        <v>1.0</v>
      </c>
      <c r="H4615" s="3">
        <v>0.0</v>
      </c>
      <c r="I4615" s="3" t="s">
        <v>13</v>
      </c>
      <c r="J4615" s="3" t="s">
        <v>13184</v>
      </c>
      <c r="K4615" s="3" t="s">
        <v>82</v>
      </c>
      <c r="L4615" s="3" t="str">
        <f>IFERROR(__xludf.DUMMYFUNCTION("GOOGLETRANSLATE(F4615,""id"",""en"")"),"more tense than when watching the final pildun yesterday")</f>
        <v>more tense than when watching the final pildun yesterday</v>
      </c>
    </row>
    <row r="4616" ht="15.75" customHeight="1">
      <c r="A4616" s="1">
        <v>5785.0</v>
      </c>
      <c r="B4616" s="3" t="s">
        <v>13185</v>
      </c>
      <c r="C4616" s="3">
        <v>0.0</v>
      </c>
      <c r="D4616" s="3">
        <v>0.0</v>
      </c>
      <c r="E4616" s="3">
        <v>0.0</v>
      </c>
      <c r="F4616" s="3" t="s">
        <v>13186</v>
      </c>
      <c r="G4616" s="3">
        <v>0.5555555555555555</v>
      </c>
      <c r="H4616" s="3">
        <v>0.1111111111111111</v>
      </c>
      <c r="I4616" s="3" t="s">
        <v>48</v>
      </c>
      <c r="J4616" s="3" t="s">
        <v>13187</v>
      </c>
      <c r="K4616" s="3" t="s">
        <v>35</v>
      </c>
      <c r="L4616" s="3" t="str">
        <f>IFERROR(__xludf.DUMMYFUNCTION("GOOGLETRANSLATE(F4616,""id"",""en"")"),"It's not playing the player after playing the final pildun immediately takes a vacation ration")</f>
        <v>It's not playing the player after playing the final pildun immediately takes a vacation ration</v>
      </c>
    </row>
    <row r="4617" ht="15.75" customHeight="1">
      <c r="A4617" s="1">
        <v>5786.0</v>
      </c>
      <c r="B4617" s="3" t="s">
        <v>13188</v>
      </c>
      <c r="C4617" s="3">
        <v>0.0</v>
      </c>
      <c r="D4617" s="3">
        <v>0.0</v>
      </c>
      <c r="E4617" s="3">
        <v>0.0</v>
      </c>
      <c r="F4617" s="3" t="s">
        <v>13189</v>
      </c>
      <c r="G4617" s="3">
        <v>0.6666666666666666</v>
      </c>
      <c r="H4617" s="3">
        <v>0.08333333333333333</v>
      </c>
      <c r="I4617" s="3" t="s">
        <v>48</v>
      </c>
      <c r="J4617" s="3" t="s">
        <v>13190</v>
      </c>
      <c r="K4617" s="3" t="s">
        <v>82</v>
      </c>
      <c r="L4617" s="3" t="str">
        <f>IFERROR(__xludf.DUMMYFUNCTION("GOOGLETRANSLATE(F4617,""id"",""en"")"),"see the skill is not how he plays the final pildun")</f>
        <v>see the skill is not how he plays the final pildun</v>
      </c>
    </row>
    <row r="4618" ht="15.75" customHeight="1">
      <c r="A4618" s="1">
        <v>5787.0</v>
      </c>
      <c r="B4618" s="3" t="s">
        <v>13191</v>
      </c>
      <c r="C4618" s="3">
        <v>0.0</v>
      </c>
      <c r="D4618" s="3">
        <v>0.0</v>
      </c>
      <c r="E4618" s="3">
        <v>0.0</v>
      </c>
      <c r="F4618" s="3" t="s">
        <v>13192</v>
      </c>
      <c r="G4618" s="3">
        <v>0.6333333333333333</v>
      </c>
      <c r="H4618" s="3">
        <v>0.2333333333333333</v>
      </c>
      <c r="I4618" s="3" t="s">
        <v>48</v>
      </c>
      <c r="J4618" s="3" t="s">
        <v>13193</v>
      </c>
      <c r="K4618" s="3" t="s">
        <v>215</v>
      </c>
      <c r="L4618" s="3" t="str">
        <f>IFERROR(__xludf.DUMMYFUNCTION("GOOGLETRANSLATE(F4618,""id"",""en"")"),"Jaehyun is the number hahaha as often as Diks wkwkwk top besides penalties I admit it is often used, but the penalty of feelings is only called the final pildun, maybe this is an accumulation of December, but it doesn't")</f>
        <v>Jaehyun is the number hahaha as often as Diks wkwkwk top besides penalties I admit it is often used, but the penalty of feelings is only called the final pildun, maybe this is an accumulation of December, but it doesn't</v>
      </c>
    </row>
    <row r="4619" ht="15.75" customHeight="1">
      <c r="A4619" s="1">
        <v>5788.0</v>
      </c>
      <c r="B4619" s="3" t="s">
        <v>13194</v>
      </c>
      <c r="C4619" s="3">
        <v>0.0</v>
      </c>
      <c r="D4619" s="3">
        <v>0.0</v>
      </c>
      <c r="E4619" s="3">
        <v>0.0</v>
      </c>
      <c r="F4619" s="3" t="s">
        <v>13195</v>
      </c>
      <c r="G4619" s="3">
        <v>1.0</v>
      </c>
      <c r="H4619" s="3">
        <v>0.0</v>
      </c>
      <c r="I4619" s="3" t="s">
        <v>13</v>
      </c>
      <c r="J4619" s="3" t="s">
        <v>13196</v>
      </c>
      <c r="K4619" s="3" t="s">
        <v>31</v>
      </c>
      <c r="L4619" s="3" t="str">
        <f>IFERROR(__xludf.DUMMYFUNCTION("GOOGLETRANSLATE(F4619,""id"",""en"")"),"Bang Final Pildun Kmren Blom")</f>
        <v>Bang Final Pildun Kmren Blom</v>
      </c>
    </row>
    <row r="4620" ht="15.75" customHeight="1">
      <c r="A4620" s="1">
        <v>5789.0</v>
      </c>
      <c r="B4620" s="3" t="s">
        <v>13197</v>
      </c>
      <c r="C4620" s="3">
        <v>1.0</v>
      </c>
      <c r="D4620" s="3">
        <v>0.0</v>
      </c>
      <c r="E4620" s="3">
        <v>0.0</v>
      </c>
      <c r="F4620" s="3" t="s">
        <v>13198</v>
      </c>
      <c r="G4620" s="3">
        <v>1.0</v>
      </c>
      <c r="H4620" s="3">
        <v>0.0</v>
      </c>
      <c r="I4620" s="3" t="s">
        <v>13</v>
      </c>
      <c r="J4620" s="3" t="s">
        <v>13199</v>
      </c>
      <c r="K4620" s="3" t="s">
        <v>614</v>
      </c>
      <c r="L4620" s="3" t="str">
        <f>IFERROR(__xludf.DUMMYFUNCTION("GOOGLETRANSLATE(F4620,""id"",""en"")"),"Because Spain is a golden generation before being able to talk a lot of pildun even though it only passed the quarter -finals of the semi -finals ever championed Euro also did not need to compare with Portugal Seb")</f>
        <v>Because Spain is a golden generation before being able to talk a lot of pildun even though it only passed the quarter -finals of the semi -finals ever championed Euro also did not need to compare with Portugal Seb</v>
      </c>
    </row>
    <row r="4621" ht="15.75" customHeight="1">
      <c r="A4621" s="1">
        <v>5791.0</v>
      </c>
      <c r="B4621" s="3" t="s">
        <v>13200</v>
      </c>
      <c r="C4621" s="3">
        <v>1.0</v>
      </c>
      <c r="D4621" s="3">
        <v>0.0</v>
      </c>
      <c r="E4621" s="3">
        <v>0.0</v>
      </c>
      <c r="F4621" s="3" t="s">
        <v>13201</v>
      </c>
      <c r="G4621" s="3">
        <v>1.0</v>
      </c>
      <c r="H4621" s="3">
        <v>0.0</v>
      </c>
      <c r="I4621" s="3" t="s">
        <v>13</v>
      </c>
      <c r="J4621" s="3" t="s">
        <v>13202</v>
      </c>
      <c r="K4621" s="3" t="s">
        <v>437</v>
      </c>
      <c r="L4621" s="3" t="str">
        <f>IFERROR(__xludf.DUMMYFUNCTION("GOOGLETRANSLATE(F4621,""id"",""en"")"),"I mean Gasuka but at least the important match of the final pildun follows or know this he is bodoamat already feel special again wqwqwq")</f>
        <v>I mean Gasuka but at least the important match of the final pildun follows or know this he is bodoamat already feel special again wqwqwq</v>
      </c>
    </row>
    <row r="4622" ht="15.75" customHeight="1">
      <c r="A4622" s="1">
        <v>5792.0</v>
      </c>
      <c r="B4622" s="3" t="s">
        <v>13203</v>
      </c>
      <c r="C4622" s="3">
        <v>0.0</v>
      </c>
      <c r="D4622" s="3">
        <v>0.0</v>
      </c>
      <c r="E4622" s="3">
        <v>0.0</v>
      </c>
      <c r="F4622" s="3" t="s">
        <v>13204</v>
      </c>
      <c r="G4622" s="3">
        <v>1.0</v>
      </c>
      <c r="H4622" s="3">
        <v>0.0</v>
      </c>
      <c r="I4622" s="3" t="s">
        <v>13</v>
      </c>
      <c r="J4622" s="3" t="s">
        <v>13205</v>
      </c>
      <c r="K4622" s="3" t="s">
        <v>75</v>
      </c>
      <c r="L4622" s="3" t="str">
        <f>IFERROR(__xludf.DUMMYFUNCTION("GOOGLETRANSLATE(F4622,""id"",""en"")"),"The opinion is that many times say this is the best pildun final they have ever watched")</f>
        <v>The opinion is that many times say this is the best pildun final they have ever watched</v>
      </c>
    </row>
    <row r="4623" ht="15.75" customHeight="1">
      <c r="A4623" s="1">
        <v>5793.0</v>
      </c>
      <c r="B4623" s="3" t="s">
        <v>13206</v>
      </c>
      <c r="C4623" s="3">
        <v>0.0</v>
      </c>
      <c r="D4623" s="3">
        <v>0.0</v>
      </c>
      <c r="E4623" s="3">
        <v>0.0</v>
      </c>
      <c r="F4623" s="3" t="s">
        <v>13207</v>
      </c>
      <c r="G4623" s="3">
        <v>1.0</v>
      </c>
      <c r="H4623" s="3">
        <v>0.0</v>
      </c>
      <c r="I4623" s="3" t="s">
        <v>13</v>
      </c>
      <c r="J4623" s="3" t="s">
        <v>13208</v>
      </c>
      <c r="K4623" s="3" t="s">
        <v>244</v>
      </c>
      <c r="L4623" s="3" t="str">
        <f>IFERROR(__xludf.DUMMYFUNCTION("GOOGLETRANSLATE(F4623,""id"",""en"")"),"want to elclasico the final pildun kek if the national team is still still watching the national team")</f>
        <v>want to elclasico the final pildun kek if the national team is still still watching the national team</v>
      </c>
    </row>
    <row r="4624" ht="15.75" customHeight="1">
      <c r="A4624" s="1">
        <v>5794.0</v>
      </c>
      <c r="B4624" s="3" t="s">
        <v>13209</v>
      </c>
      <c r="C4624" s="3">
        <v>0.0</v>
      </c>
      <c r="D4624" s="3">
        <v>0.0</v>
      </c>
      <c r="E4624" s="3">
        <v>1.0</v>
      </c>
      <c r="F4624" s="3" t="s">
        <v>13210</v>
      </c>
      <c r="G4624" s="3">
        <v>0.6666666666666666</v>
      </c>
      <c r="H4624" s="3">
        <v>0.08333333333333333</v>
      </c>
      <c r="I4624" s="3" t="s">
        <v>48</v>
      </c>
      <c r="J4624" s="3" t="s">
        <v>13211</v>
      </c>
      <c r="K4624" s="3" t="s">
        <v>75</v>
      </c>
      <c r="L4624" s="3" t="str">
        <f>IFERROR(__xludf.DUMMYFUNCTION("GOOGLETRANSLATE(F4624,""id"",""en"")"),"coman ndek the final pildun limp won but instead play fight")</f>
        <v>coman ndek the final pildun limp won but instead play fight</v>
      </c>
    </row>
    <row r="4625" ht="15.75" customHeight="1">
      <c r="A4625" s="1">
        <v>5795.0</v>
      </c>
      <c r="B4625" s="3" t="s">
        <v>13212</v>
      </c>
      <c r="C4625" s="3">
        <v>5.0</v>
      </c>
      <c r="D4625" s="3">
        <v>1.0</v>
      </c>
      <c r="E4625" s="3">
        <v>7.0</v>
      </c>
      <c r="F4625" s="3" t="s">
        <v>13213</v>
      </c>
      <c r="G4625" s="3">
        <v>0.95</v>
      </c>
      <c r="H4625" s="3">
        <v>-0.4</v>
      </c>
      <c r="I4625" s="3" t="s">
        <v>179</v>
      </c>
      <c r="J4625" s="3" t="s">
        <v>13214</v>
      </c>
      <c r="K4625" s="3" t="s">
        <v>437</v>
      </c>
      <c r="L4625" s="3" t="str">
        <f>IFERROR(__xludf.DUMMYFUNCTION("GOOGLETRANSLATE(F4625,""id"",""en"")"),"Enek Mestine, right when the final nobar pilduun pdhl is exciting, how come I will even feel the push rank and then")</f>
        <v>Enek Mestine, right when the final nobar pilduun pdhl is exciting, how come I will even feel the push rank and then</v>
      </c>
    </row>
    <row r="4626" ht="15.75" customHeight="1">
      <c r="A4626" s="1">
        <v>5796.0</v>
      </c>
      <c r="B4626" s="3" t="s">
        <v>13215</v>
      </c>
      <c r="C4626" s="3">
        <v>1.0</v>
      </c>
      <c r="D4626" s="3">
        <v>0.0</v>
      </c>
      <c r="E4626" s="3">
        <v>2.0</v>
      </c>
      <c r="F4626" s="3" t="s">
        <v>13216</v>
      </c>
      <c r="G4626" s="3">
        <v>1.0</v>
      </c>
      <c r="H4626" s="3">
        <v>0.0</v>
      </c>
      <c r="I4626" s="3" t="s">
        <v>13</v>
      </c>
      <c r="J4626" s="3" t="s">
        <v>13217</v>
      </c>
      <c r="K4626" s="3" t="s">
        <v>240</v>
      </c>
      <c r="L4626" s="3" t="str">
        <f>IFERROR(__xludf.DUMMYFUNCTION("GOOGLETRANSLATE(F4626,""id"",""en"")"),"the name is final losing where there is a happy time but not changed the facts of mbappe already champions in the age of the year")</f>
        <v>the name is final losing where there is a happy time but not changed the facts of mbappe already champions in the age of the year</v>
      </c>
    </row>
    <row r="4627" ht="15.75" customHeight="1">
      <c r="A4627" s="1">
        <v>5797.0</v>
      </c>
      <c r="B4627" s="3" t="s">
        <v>13218</v>
      </c>
      <c r="C4627" s="3">
        <v>7.0</v>
      </c>
      <c r="D4627" s="3">
        <v>5.0</v>
      </c>
      <c r="E4627" s="3">
        <v>146.0</v>
      </c>
      <c r="F4627" s="3" t="s">
        <v>13219</v>
      </c>
      <c r="G4627" s="3">
        <v>1.0</v>
      </c>
      <c r="H4627" s="3">
        <v>0.0</v>
      </c>
      <c r="I4627" s="3" t="s">
        <v>13</v>
      </c>
      <c r="J4627" s="3" t="s">
        <v>13220</v>
      </c>
      <c r="K4627" s="3" t="s">
        <v>286</v>
      </c>
      <c r="L4627" s="3" t="str">
        <f>IFERROR(__xludf.DUMMYFUNCTION("GOOGLETRANSLATE(F4627,""id"",""en"")"),"From already not respecting, people since this photo takes the imagination, just losing the final injury, the possibility of not joining the pildun and there is a person asking for a photo not in the mood because it is polite.")</f>
        <v>From already not respecting, people since this photo takes the imagination, just losing the final injury, the possibility of not joining the pildun and there is a person asking for a photo not in the mood because it is polite.</v>
      </c>
    </row>
    <row r="4628" ht="15.75" customHeight="1">
      <c r="A4628" s="1">
        <v>5798.0</v>
      </c>
      <c r="B4628" s="3" t="s">
        <v>13221</v>
      </c>
      <c r="C4628" s="3">
        <v>1.0</v>
      </c>
      <c r="D4628" s="3">
        <v>0.0</v>
      </c>
      <c r="E4628" s="3">
        <v>0.0</v>
      </c>
      <c r="F4628" s="3" t="s">
        <v>13222</v>
      </c>
      <c r="G4628" s="3">
        <v>1.0</v>
      </c>
      <c r="H4628" s="3">
        <v>0.0</v>
      </c>
      <c r="I4628" s="3" t="s">
        <v>13</v>
      </c>
      <c r="J4628" s="3" t="s">
        <v>13223</v>
      </c>
      <c r="K4628" s="3" t="s">
        <v>54</v>
      </c>
      <c r="L4628" s="3" t="str">
        <f>IFERROR(__xludf.DUMMYFUNCTION("GOOGLETRANSLATE(F4628,""id"",""en"")"),"France French who can't move from the final pildun")</f>
        <v>France French who can't move from the final pildun</v>
      </c>
    </row>
    <row r="4629" ht="15.75" customHeight="1">
      <c r="A4629" s="1">
        <v>5799.0</v>
      </c>
      <c r="B4629" s="3" t="s">
        <v>13224</v>
      </c>
      <c r="C4629" s="3">
        <v>0.0</v>
      </c>
      <c r="D4629" s="3">
        <v>0.0</v>
      </c>
      <c r="E4629" s="3">
        <v>0.0</v>
      </c>
      <c r="F4629" s="3" t="s">
        <v>13225</v>
      </c>
      <c r="G4629" s="3">
        <v>0.6666666666666666</v>
      </c>
      <c r="H4629" s="3">
        <v>0.08333333333333333</v>
      </c>
      <c r="I4629" s="3" t="s">
        <v>48</v>
      </c>
      <c r="J4629" s="3" t="s">
        <v>13226</v>
      </c>
      <c r="K4629" s="3" t="s">
        <v>75</v>
      </c>
      <c r="L4629" s="3" t="str">
        <f>IFERROR(__xludf.DUMMYFUNCTION("GOOGLETRANSLATE(F4629,""id"",""en"")"),"It also makes sense that once playing PILDUN let alone the final immediately become the captain of the time")</f>
        <v>It also makes sense that once playing PILDUN let alone the final immediately become the captain of the time</v>
      </c>
    </row>
    <row r="4630" ht="15.75" customHeight="1">
      <c r="A4630" s="1">
        <v>5800.0</v>
      </c>
      <c r="B4630" s="3" t="s">
        <v>13227</v>
      </c>
      <c r="C4630" s="3">
        <v>0.0</v>
      </c>
      <c r="D4630" s="3">
        <v>0.0</v>
      </c>
      <c r="E4630" s="3">
        <v>0.0</v>
      </c>
      <c r="F4630" s="3" t="s">
        <v>13228</v>
      </c>
      <c r="G4630" s="3">
        <v>1.0</v>
      </c>
      <c r="H4630" s="3">
        <v>0.0</v>
      </c>
      <c r="I4630" s="3" t="s">
        <v>13</v>
      </c>
      <c r="J4630" s="3" t="s">
        <v>13229</v>
      </c>
      <c r="K4630" s="3" t="s">
        <v>644</v>
      </c>
      <c r="L4630" s="3" t="str">
        <f>IFERROR(__xludf.DUMMYFUNCTION("GOOGLETRANSLATE(F4630,""id"",""en"")"),"should buy this before the Kumarin Pilduun Final")</f>
        <v>should buy this before the Kumarin Pilduun Final</v>
      </c>
    </row>
    <row r="4631" ht="15.75" customHeight="1">
      <c r="A4631" s="1">
        <v>5801.0</v>
      </c>
      <c r="B4631" s="3" t="s">
        <v>13230</v>
      </c>
      <c r="C4631" s="3">
        <v>0.0</v>
      </c>
      <c r="D4631" s="3">
        <v>0.0</v>
      </c>
      <c r="E4631" s="3">
        <v>0.0</v>
      </c>
      <c r="F4631" s="3" t="s">
        <v>13231</v>
      </c>
      <c r="G4631" s="3">
        <v>1.0</v>
      </c>
      <c r="H4631" s="3">
        <v>0.0</v>
      </c>
      <c r="I4631" s="3" t="s">
        <v>13</v>
      </c>
      <c r="J4631" s="3" t="s">
        <v>13232</v>
      </c>
      <c r="K4631" s="3" t="s">
        <v>15</v>
      </c>
      <c r="L4631" s="3" t="str">
        <f>IFERROR(__xludf.DUMMYFUNCTION("GOOGLETRANSLATE(F4631,""id"",""en"")"),"Anyway, one world must know if you like the ball and watch the final pildun")</f>
        <v>Anyway, one world must know if you like the ball and watch the final pildun</v>
      </c>
    </row>
    <row r="4632" ht="15.75" customHeight="1">
      <c r="A4632" s="1">
        <v>5802.0</v>
      </c>
      <c r="B4632" s="3" t="s">
        <v>13233</v>
      </c>
      <c r="C4632" s="3">
        <v>0.0</v>
      </c>
      <c r="D4632" s="3">
        <v>0.0</v>
      </c>
      <c r="E4632" s="3">
        <v>0.0</v>
      </c>
      <c r="F4632" s="3" t="s">
        <v>13234</v>
      </c>
      <c r="G4632" s="3">
        <v>1.0</v>
      </c>
      <c r="H4632" s="3">
        <v>0.0</v>
      </c>
      <c r="I4632" s="3" t="s">
        <v>13</v>
      </c>
      <c r="J4632" s="3" t="s">
        <v>13235</v>
      </c>
      <c r="K4632" s="3" t="s">
        <v>510</v>
      </c>
      <c r="L4632" s="3" t="str">
        <f>IFERROR(__xludf.DUMMYFUNCTION("GOOGLETRANSLATE(F4632,""id"",""en"")"),"The effect of the Pilduun Jersey Messi sold out all over the world even before the kick off final")</f>
        <v>The effect of the Pilduun Jersey Messi sold out all over the world even before the kick off final</v>
      </c>
    </row>
    <row r="4633" ht="15.75" customHeight="1">
      <c r="A4633" s="1">
        <v>5803.0</v>
      </c>
      <c r="B4633" s="3" t="s">
        <v>13236</v>
      </c>
      <c r="C4633" s="3">
        <v>14.0</v>
      </c>
      <c r="D4633" s="3">
        <v>0.0</v>
      </c>
      <c r="E4633" s="3">
        <v>7.0</v>
      </c>
      <c r="F4633" s="3" t="s">
        <v>13237</v>
      </c>
      <c r="G4633" s="3">
        <v>1.0</v>
      </c>
      <c r="H4633" s="3">
        <v>0.0</v>
      </c>
      <c r="I4633" s="3" t="s">
        <v>13</v>
      </c>
      <c r="J4633" s="3" t="s">
        <v>13238</v>
      </c>
      <c r="K4633" s="3" t="s">
        <v>1552</v>
      </c>
      <c r="L4633" s="3" t="str">
        <f>IFERROR(__xludf.DUMMYFUNCTION("GOOGLETRANSLATE(F4633,""id"",""en"")"),"Mbappe Years Udh Competing Final Pilduun Year Still Slipping Boy Year")</f>
        <v>Mbappe Years Udh Competing Final Pilduun Year Still Slipping Boy Year</v>
      </c>
    </row>
    <row r="4634" ht="15.75" customHeight="1">
      <c r="A4634" s="1">
        <v>5804.0</v>
      </c>
      <c r="B4634" s="3" t="s">
        <v>13239</v>
      </c>
      <c r="C4634" s="3">
        <v>0.0</v>
      </c>
      <c r="D4634" s="3">
        <v>0.0</v>
      </c>
      <c r="E4634" s="3">
        <v>1.0</v>
      </c>
      <c r="F4634" s="3" t="s">
        <v>13240</v>
      </c>
      <c r="G4634" s="3">
        <v>1.0</v>
      </c>
      <c r="H4634" s="3">
        <v>0.0</v>
      </c>
      <c r="I4634" s="3" t="s">
        <v>13</v>
      </c>
      <c r="J4634" s="3" t="s">
        <v>13241</v>
      </c>
      <c r="K4634" s="3" t="s">
        <v>15</v>
      </c>
      <c r="L4634" s="3" t="str">
        <f>IFERROR(__xludf.DUMMYFUNCTION("GOOGLETRANSLATE(F4634,""id"",""en"")"),"how come there is no video tiktok he is ready to watch the final pildun")</f>
        <v>how come there is no video tiktok he is ready to watch the final pildun</v>
      </c>
    </row>
    <row r="4635" ht="15.75" customHeight="1">
      <c r="A4635" s="1">
        <v>5805.0</v>
      </c>
      <c r="B4635" s="3" t="s">
        <v>13242</v>
      </c>
      <c r="C4635" s="3">
        <v>2.0</v>
      </c>
      <c r="D4635" s="3">
        <v>0.0</v>
      </c>
      <c r="E4635" s="3">
        <v>0.0</v>
      </c>
      <c r="F4635" s="3" t="s">
        <v>13243</v>
      </c>
      <c r="G4635" s="3">
        <v>1.0</v>
      </c>
      <c r="H4635" s="3">
        <v>0.0</v>
      </c>
      <c r="I4635" s="3" t="s">
        <v>13</v>
      </c>
      <c r="J4635" s="3" t="s">
        <v>13244</v>
      </c>
      <c r="K4635" s="3" t="s">
        <v>31</v>
      </c>
      <c r="L4635" s="3" t="str">
        <f>IFERROR(__xludf.DUMMYFUNCTION("GOOGLETRANSLATE(F4635,""id"",""en"")"),"it turns out that the final of YGY settings")</f>
        <v>it turns out that the final of YGY settings</v>
      </c>
    </row>
    <row r="4636" ht="15.75" customHeight="1">
      <c r="A4636" s="1">
        <v>5806.0</v>
      </c>
      <c r="B4636" s="3" t="s">
        <v>13245</v>
      </c>
      <c r="C4636" s="3">
        <v>0.0</v>
      </c>
      <c r="D4636" s="3">
        <v>0.0</v>
      </c>
      <c r="E4636" s="3">
        <v>0.0</v>
      </c>
      <c r="F4636" s="3" t="s">
        <v>13246</v>
      </c>
      <c r="G4636" s="3">
        <v>1.0</v>
      </c>
      <c r="H4636" s="3">
        <v>0.0</v>
      </c>
      <c r="I4636" s="3" t="s">
        <v>13</v>
      </c>
      <c r="J4636" s="3" t="s">
        <v>13247</v>
      </c>
      <c r="K4636" s="3" t="s">
        <v>240</v>
      </c>
      <c r="L4636" s="3" t="str">
        <f>IFERROR(__xludf.DUMMYFUNCTION("GOOGLETRANSLATE(F4636,""id"",""en"")"),"The shape is still the same sow and a straight sequin is the duration of working on it a day remembering the pair is really because while looking at the final pildun")</f>
        <v>The shape is still the same sow and a straight sequin is the duration of working on it a day remembering the pair is really because while looking at the final pildun</v>
      </c>
    </row>
    <row r="4637" ht="15.75" customHeight="1">
      <c r="A4637" s="1">
        <v>5807.0</v>
      </c>
      <c r="B4637" s="3" t="s">
        <v>13248</v>
      </c>
      <c r="C4637" s="3">
        <v>1.0</v>
      </c>
      <c r="D4637" s="3">
        <v>0.0</v>
      </c>
      <c r="E4637" s="3">
        <v>2.0</v>
      </c>
      <c r="F4637" s="3" t="s">
        <v>13249</v>
      </c>
      <c r="G4637" s="3">
        <v>0.5</v>
      </c>
      <c r="H4637" s="3">
        <v>0.0</v>
      </c>
      <c r="I4637" s="3" t="s">
        <v>13</v>
      </c>
      <c r="J4637" s="3" t="s">
        <v>13250</v>
      </c>
      <c r="K4637" s="3" t="s">
        <v>50</v>
      </c>
      <c r="L4637" s="3" t="str">
        <f>IFERROR(__xludf.DUMMYFUNCTION("GOOGLETRANSLATE(F4637,""id"",""en"")"),"Luckily TVKU PAS FINAL PILDUN DEJEUK BECOME ACHIED DIGITAL ANALOALS")</f>
        <v>Luckily TVKU PAS FINAL PILDUN DEJEUK BECOME ACHIED DIGITAL ANALOALS</v>
      </c>
    </row>
    <row r="4638" ht="15.75" customHeight="1">
      <c r="A4638" s="1">
        <v>5808.0</v>
      </c>
      <c r="B4638" s="3" t="s">
        <v>13251</v>
      </c>
      <c r="C4638" s="3">
        <v>19.0</v>
      </c>
      <c r="D4638" s="3">
        <v>0.0</v>
      </c>
      <c r="E4638" s="3">
        <v>41.0</v>
      </c>
      <c r="F4638" s="3" t="s">
        <v>13252</v>
      </c>
      <c r="G4638" s="3">
        <v>0.6</v>
      </c>
      <c r="H4638" s="3">
        <v>-0.25</v>
      </c>
      <c r="I4638" s="3" t="s">
        <v>179</v>
      </c>
      <c r="J4638" s="3" t="s">
        <v>13253</v>
      </c>
      <c r="K4638" s="3" t="s">
        <v>584</v>
      </c>
      <c r="L4638" s="3" t="str">
        <f>IFERROR(__xludf.DUMMYFUNCTION("GOOGLETRANSLATE(F4638,""id"",""en"")"),"Even the final role is arguably useless conceding three times and according to me the first conceded that is that difficult to be anticipated even though it is Save him the final minute is very useful but the period of defending the performance of two goa"&amp;"lkeepers on the Jag")</f>
        <v>Even the final role is arguably useless conceding three times and according to me the first conceded that is that difficult to be anticipated even though it is Save him the final minute is very useful but the period of defending the performance of two goalkeepers on the Jag</v>
      </c>
    </row>
    <row r="4639" ht="15.75" customHeight="1">
      <c r="A4639" s="1">
        <v>5809.0</v>
      </c>
      <c r="B4639" s="3" t="s">
        <v>13254</v>
      </c>
      <c r="C4639" s="3">
        <v>0.0</v>
      </c>
      <c r="D4639" s="3">
        <v>0.0</v>
      </c>
      <c r="E4639" s="3">
        <v>0.0</v>
      </c>
      <c r="F4639" s="3" t="s">
        <v>13255</v>
      </c>
      <c r="G4639" s="3">
        <v>1.0</v>
      </c>
      <c r="H4639" s="3">
        <v>0.0</v>
      </c>
      <c r="I4639" s="3" t="s">
        <v>13</v>
      </c>
      <c r="J4639" s="3" t="s">
        <v>13256</v>
      </c>
      <c r="K4639" s="3" t="s">
        <v>3671</v>
      </c>
      <c r="L4639" s="3" t="str">
        <f>IFERROR(__xludf.DUMMYFUNCTION("GOOGLETRANSLATE(F4639,""id"",""en"")"),"Emg already stupid to say when Indonesia is pilingun and just going on stupid, I think the instant messi wants to be able to be able to make the Copa many times and fail to be instant.")</f>
        <v>Emg already stupid to say when Indonesia is pilingun and just going on stupid, I think the instant messi wants to be able to be able to make the Copa many times and fail to be instant.</v>
      </c>
    </row>
    <row r="4640" ht="15.75" customHeight="1">
      <c r="A4640" s="1">
        <v>5810.0</v>
      </c>
      <c r="B4640" s="3" t="s">
        <v>13257</v>
      </c>
      <c r="C4640" s="3">
        <v>0.0</v>
      </c>
      <c r="D4640" s="3">
        <v>0.0</v>
      </c>
      <c r="E4640" s="3">
        <v>0.0</v>
      </c>
      <c r="F4640" s="3" t="s">
        <v>13258</v>
      </c>
      <c r="G4640" s="3">
        <v>1.0</v>
      </c>
      <c r="H4640" s="3">
        <v>0.0</v>
      </c>
      <c r="I4640" s="3" t="s">
        <v>13</v>
      </c>
      <c r="J4640" s="3" t="s">
        <v>13259</v>
      </c>
      <c r="K4640" s="3" t="s">
        <v>27</v>
      </c>
      <c r="L4640" s="3" t="str">
        <f>IFERROR(__xludf.DUMMYFUNCTION("GOOGLETRANSLATE(F4640,""id"",""en"")"),"goalkeeper alus saharitaeun oge anying mbappe tea geus meunang pildun tiheula when the final kamari hattrick jeung martinez teu can hold a strange mbappe penalty")</f>
        <v>goalkeeper alus saharitaeun oge anying mbappe tea geus meunang pildun tiheula when the final kamari hattrick jeung martinez teu can hold a strange mbappe penalty</v>
      </c>
    </row>
    <row r="4641" ht="15.75" customHeight="1">
      <c r="A4641" s="1">
        <v>5811.0</v>
      </c>
      <c r="B4641" s="3" t="s">
        <v>13260</v>
      </c>
      <c r="C4641" s="3">
        <v>0.0</v>
      </c>
      <c r="D4641" s="3">
        <v>0.0</v>
      </c>
      <c r="E4641" s="3">
        <v>0.0</v>
      </c>
      <c r="F4641" s="3" t="s">
        <v>13261</v>
      </c>
      <c r="G4641" s="3">
        <v>1.0</v>
      </c>
      <c r="H4641" s="3">
        <v>0.0</v>
      </c>
      <c r="I4641" s="3" t="s">
        <v>13</v>
      </c>
      <c r="J4641" s="3" t="s">
        <v>13262</v>
      </c>
      <c r="K4641" s="3" t="s">
        <v>348</v>
      </c>
      <c r="L4641" s="3" t="str">
        <f>IFERROR(__xludf.DUMMYFUNCTION("GOOGLETRANSLATE(F4641,""id"",""en"")"),"Wow, I should do this and that during the final Pilduun, Sis, GPP, the discount in the Story, a social relationship between humans")</f>
        <v>Wow, I should do this and that during the final Pilduun, Sis, GPP, the discount in the Story, a social relationship between humans</v>
      </c>
    </row>
    <row r="4642" ht="15.75" customHeight="1">
      <c r="A4642" s="1">
        <v>5812.0</v>
      </c>
      <c r="B4642" s="3" t="s">
        <v>13263</v>
      </c>
      <c r="C4642" s="3">
        <v>0.0</v>
      </c>
      <c r="D4642" s="3">
        <v>0.0</v>
      </c>
      <c r="E4642" s="3">
        <v>6.0</v>
      </c>
      <c r="F4642" s="3" t="s">
        <v>13264</v>
      </c>
      <c r="G4642" s="3">
        <v>1.0</v>
      </c>
      <c r="H4642" s="3">
        <v>0.0</v>
      </c>
      <c r="I4642" s="3" t="s">
        <v>13</v>
      </c>
      <c r="J4642" s="3" t="s">
        <v>13265</v>
      </c>
      <c r="K4642" s="3" t="s">
        <v>127</v>
      </c>
      <c r="L4642" s="3" t="str">
        <f>IFERROR(__xludf.DUMMYFUNCTION("GOOGLETRANSLATE(F4642,""id"",""en"")"),"I thought he was possessed because he was just dazed until I wanted to take it to the house of the cleric, it turned out that he was stressed out")</f>
        <v>I thought he was possessed because he was just dazed until I wanted to take it to the house of the cleric, it turned out that he was stressed out</v>
      </c>
    </row>
    <row r="4643" ht="15.75" customHeight="1">
      <c r="A4643" s="1">
        <v>5813.0</v>
      </c>
      <c r="B4643" s="3" t="s">
        <v>13266</v>
      </c>
      <c r="C4643" s="3">
        <v>1.0</v>
      </c>
      <c r="D4643" s="3">
        <v>0.0</v>
      </c>
      <c r="E4643" s="3">
        <v>0.0</v>
      </c>
      <c r="F4643" s="3" t="s">
        <v>13267</v>
      </c>
      <c r="G4643" s="3">
        <v>1.0</v>
      </c>
      <c r="H4643" s="3">
        <v>0.0</v>
      </c>
      <c r="I4643" s="3" t="s">
        <v>13</v>
      </c>
      <c r="J4643" s="3" t="s">
        <v>13268</v>
      </c>
      <c r="K4643" s="3" t="s">
        <v>1854</v>
      </c>
      <c r="L4643" s="3" t="str">
        <f>IFERROR(__xludf.DUMMYFUNCTION("GOOGLETRANSLATE(F4643,""id"",""en"")"),"Yep, it's true that the practice for the UCL shootout is not underneath, the class is bgt tchouameni already able to perform the final pildun at its young age, this is still a long journey, the champion is still long")</f>
        <v>Yep, it's true that the practice for the UCL shootout is not underneath, the class is bgt tchouameni already able to perform the final pildun at its young age, this is still a long journey, the champion is still long</v>
      </c>
    </row>
    <row r="4644" ht="15.75" customHeight="1">
      <c r="A4644" s="1">
        <v>5814.0</v>
      </c>
      <c r="B4644" s="3" t="s">
        <v>13269</v>
      </c>
      <c r="C4644" s="3">
        <v>2.0</v>
      </c>
      <c r="D4644" s="3">
        <v>0.0</v>
      </c>
      <c r="E4644" s="3">
        <v>0.0</v>
      </c>
      <c r="F4644" s="3" t="s">
        <v>13270</v>
      </c>
      <c r="G4644" s="3">
        <v>1.0</v>
      </c>
      <c r="H4644" s="3">
        <v>0.0</v>
      </c>
      <c r="I4644" s="3" t="s">
        <v>13</v>
      </c>
      <c r="J4644" s="3" t="s">
        <v>13271</v>
      </c>
      <c r="K4644" s="3" t="s">
        <v>31</v>
      </c>
      <c r="L4644" s="3" t="str">
        <f>IFERROR(__xludf.DUMMYFUNCTION("GOOGLETRANSLATE(F4644,""id"",""en"")"),"This is the final night of the Pilduun yesterday")</f>
        <v>This is the final night of the Pilduun yesterday</v>
      </c>
    </row>
    <row r="4645" ht="15.75" customHeight="1">
      <c r="A4645" s="1">
        <v>5815.0</v>
      </c>
      <c r="B4645" s="3" t="s">
        <v>13272</v>
      </c>
      <c r="C4645" s="3">
        <v>4.0</v>
      </c>
      <c r="D4645" s="3">
        <v>0.0</v>
      </c>
      <c r="E4645" s="3">
        <v>0.0</v>
      </c>
      <c r="F4645" s="3" t="s">
        <v>13273</v>
      </c>
      <c r="G4645" s="3">
        <v>0.7333333333333334</v>
      </c>
      <c r="H4645" s="3">
        <v>-0.06666666666666667</v>
      </c>
      <c r="I4645" s="3" t="s">
        <v>179</v>
      </c>
      <c r="J4645" s="3" t="s">
        <v>13274</v>
      </c>
      <c r="K4645" s="3" t="s">
        <v>2023</v>
      </c>
      <c r="L4645" s="3" t="str">
        <f>IFERROR(__xludf.DUMMYFUNCTION("GOOGLETRANSLATE(F4645,""id"",""en"")"),"at least at least thought to be a personal trophy of trophy what is a trophy team without Argentina Messi where can arrive final without Messi Argentina already Pilduun Copa")</f>
        <v>at least at least thought to be a personal trophy of trophy what is a trophy team without Argentina Messi where can arrive final without Messi Argentina already Pilduun Copa</v>
      </c>
    </row>
    <row r="4646" ht="15.75" customHeight="1">
      <c r="A4646" s="1">
        <v>5816.0</v>
      </c>
      <c r="B4646" s="3" t="s">
        <v>13275</v>
      </c>
      <c r="C4646" s="3">
        <v>2.0</v>
      </c>
      <c r="D4646" s="3">
        <v>0.0</v>
      </c>
      <c r="E4646" s="3">
        <v>6.0</v>
      </c>
      <c r="F4646" s="3" t="s">
        <v>13276</v>
      </c>
      <c r="G4646" s="3">
        <v>0.95</v>
      </c>
      <c r="H4646" s="3">
        <v>0.1</v>
      </c>
      <c r="I4646" s="3" t="s">
        <v>48</v>
      </c>
      <c r="J4646" s="3" t="s">
        <v>13277</v>
      </c>
      <c r="K4646" s="3" t="s">
        <v>1699</v>
      </c>
      <c r="L4646" s="3" t="str">
        <f>IFERROR(__xludf.DUMMYFUNCTION("GOOGLETRANSLATE(F4646,""id"",""en"")"),"Emi Jago Absolutely he was a bgt of he held a mbappe doll because before Pildun or Pilduun long before the Mbappe final there was an Europe statement had a long quality above Latin America")</f>
        <v>Emi Jago Absolutely he was a bgt of he held a mbappe doll because before Pildun or Pilduun long before the Mbappe final there was an Europe statement had a long quality above Latin America</v>
      </c>
    </row>
    <row r="4647" ht="15.75" customHeight="1">
      <c r="A4647" s="1">
        <v>5817.0</v>
      </c>
      <c r="B4647" s="3" t="s">
        <v>13278</v>
      </c>
      <c r="C4647" s="3">
        <v>0.0</v>
      </c>
      <c r="D4647" s="3">
        <v>0.0</v>
      </c>
      <c r="E4647" s="3">
        <v>1.0</v>
      </c>
      <c r="F4647" s="3" t="s">
        <v>13279</v>
      </c>
      <c r="G4647" s="3">
        <v>0.6</v>
      </c>
      <c r="H4647" s="3">
        <v>0.4333333333333333</v>
      </c>
      <c r="I4647" s="3" t="s">
        <v>48</v>
      </c>
      <c r="J4647" s="3" t="s">
        <v>13280</v>
      </c>
      <c r="K4647" s="3" t="s">
        <v>215</v>
      </c>
      <c r="L4647" s="3" t="str">
        <f>IFERROR(__xludf.DUMMYFUNCTION("GOOGLETRANSLATE(F4647,""id"",""en"")"),"Best Performance World Cup from I once watched Oliver Kahn Pildun, one of the goalkeepers until the Golden Ball won even won from Ronaldo Brazil, unfortunately when the final didi even lost")</f>
        <v>Best Performance World Cup from I once watched Oliver Kahn Pildun, one of the goalkeepers until the Golden Ball won even won from Ronaldo Brazil, unfortunately when the final didi even lost</v>
      </c>
    </row>
    <row r="4648" ht="15.75" customHeight="1">
      <c r="A4648" s="1">
        <v>5818.0</v>
      </c>
      <c r="B4648" s="3" t="s">
        <v>13281</v>
      </c>
      <c r="C4648" s="3">
        <v>0.0</v>
      </c>
      <c r="D4648" s="3">
        <v>0.0</v>
      </c>
      <c r="E4648" s="3">
        <v>0.0</v>
      </c>
      <c r="F4648" s="3" t="s">
        <v>13282</v>
      </c>
      <c r="G4648" s="3">
        <v>1.0</v>
      </c>
      <c r="H4648" s="3">
        <v>0.0</v>
      </c>
      <c r="I4648" s="3" t="s">
        <v>13</v>
      </c>
      <c r="J4648" s="3" t="s">
        <v>13283</v>
      </c>
      <c r="K4648" s="3" t="s">
        <v>27</v>
      </c>
      <c r="L4648" s="3" t="str">
        <f>IFERROR(__xludf.DUMMYFUNCTION("GOOGLETRANSLATE(F4648,""id"",""en"")"),"With so many main players injured so that they don't compete in the Pildun and the players who are dominated by young people, Mbappe, it is only natural that the French people remain proud of their teams even though they lost to the final")</f>
        <v>With so many main players injured so that they don't compete in the Pildun and the players who are dominated by young people, Mbappe, it is only natural that the French people remain proud of their teams even though they lost to the final</v>
      </c>
    </row>
    <row r="4649" ht="15.75" customHeight="1">
      <c r="A4649" s="1">
        <v>5819.0</v>
      </c>
      <c r="B4649" s="3" t="s">
        <v>13284</v>
      </c>
      <c r="C4649" s="3">
        <v>1.0</v>
      </c>
      <c r="D4649" s="3">
        <v>0.0</v>
      </c>
      <c r="E4649" s="3">
        <v>0.0</v>
      </c>
      <c r="F4649" s="3" t="s">
        <v>13285</v>
      </c>
      <c r="G4649" s="3">
        <v>1.0</v>
      </c>
      <c r="H4649" s="3">
        <v>0.0</v>
      </c>
      <c r="I4649" s="3" t="s">
        <v>13</v>
      </c>
      <c r="J4649" s="3" t="s">
        <v>13286</v>
      </c>
      <c r="K4649" s="3" t="s">
        <v>286</v>
      </c>
      <c r="L4649" s="3" t="str">
        <f>IFERROR(__xludf.DUMMYFUNCTION("GOOGLETRANSLATE(F4649,""id"",""en"")"),"the same as a man likes the ball in the sense of following the gatau who is the champion of the previous pildun who is a good at supporting which team etc. we are watching the final yesterday because it is fun")</f>
        <v>the same as a man likes the ball in the sense of following the gatau who is the champion of the previous pildun who is a good at supporting which team etc. we are watching the final yesterday because it is fun</v>
      </c>
    </row>
    <row r="4650" ht="15.75" customHeight="1">
      <c r="A4650" s="1">
        <v>5820.0</v>
      </c>
      <c r="B4650" s="3" t="s">
        <v>13287</v>
      </c>
      <c r="C4650" s="3">
        <v>0.0</v>
      </c>
      <c r="D4650" s="3">
        <v>0.0</v>
      </c>
      <c r="E4650" s="3">
        <v>0.0</v>
      </c>
      <c r="F4650" s="3" t="s">
        <v>13288</v>
      </c>
      <c r="G4650" s="3">
        <v>0.5555555555555556</v>
      </c>
      <c r="H4650" s="3">
        <v>0.3666666666666667</v>
      </c>
      <c r="I4650" s="3" t="s">
        <v>48</v>
      </c>
      <c r="J4650" s="3" t="s">
        <v>13289</v>
      </c>
      <c r="K4650" s="3" t="s">
        <v>308</v>
      </c>
      <c r="L4650" s="3" t="str">
        <f>IFERROR(__xludf.DUMMYFUNCTION("GOOGLETRANSLATE(F4650,""id"",""en"")"),"League and Madrid just won especially with Sevilla Villareal Top Easy Ckup playing league Farmers League just win balloons often what are the EPLs that the team has made")</f>
        <v>League and Madrid just won especially with Sevilla Villareal Top Easy Ckup playing league Farmers League just win balloons often what are the EPLs that the team has made</v>
      </c>
    </row>
    <row r="4651" ht="15.75" customHeight="1">
      <c r="A4651" s="1">
        <v>5821.0</v>
      </c>
      <c r="B4651" s="3" t="s">
        <v>13290</v>
      </c>
      <c r="C4651" s="3">
        <v>1.0</v>
      </c>
      <c r="D4651" s="3">
        <v>0.0</v>
      </c>
      <c r="E4651" s="3">
        <v>0.0</v>
      </c>
      <c r="F4651" s="3" t="s">
        <v>13291</v>
      </c>
      <c r="G4651" s="3">
        <v>1.0</v>
      </c>
      <c r="H4651" s="3">
        <v>0.0</v>
      </c>
      <c r="I4651" s="3" t="s">
        <v>13</v>
      </c>
      <c r="J4651" s="3" t="s">
        <v>13292</v>
      </c>
      <c r="K4651" s="3" t="s">
        <v>41</v>
      </c>
      <c r="L4651" s="3" t="str">
        <f>IFERROR(__xludf.DUMMYFUNCTION("GOOGLETRANSLATE(F4651,""id"",""en"")"),"after watching the final pildun clay this quality is drastically decreased")</f>
        <v>after watching the final pildun clay this quality is drastically decreased</v>
      </c>
    </row>
    <row r="4652" ht="15.75" customHeight="1">
      <c r="A4652" s="1">
        <v>5822.0</v>
      </c>
      <c r="B4652" s="3" t="s">
        <v>13293</v>
      </c>
      <c r="C4652" s="3">
        <v>1.0</v>
      </c>
      <c r="D4652" s="3">
        <v>0.0</v>
      </c>
      <c r="E4652" s="3">
        <v>0.0</v>
      </c>
      <c r="F4652" s="3" t="s">
        <v>13294</v>
      </c>
      <c r="G4652" s="3">
        <v>1.0</v>
      </c>
      <c r="H4652" s="3">
        <v>0.0</v>
      </c>
      <c r="I4652" s="3" t="s">
        <v>13</v>
      </c>
      <c r="J4652" s="3" t="s">
        <v>13295</v>
      </c>
      <c r="K4652" s="3" t="s">
        <v>50</v>
      </c>
      <c r="L4652" s="3" t="str">
        <f>IFERROR(__xludf.DUMMYFUNCTION("GOOGLETRANSLATE(F4652,""id"",""en"")"),"Fofanaa Achievement Unggul Iki Fofana Cup Goate of the quarter -finals")</f>
        <v>Fofanaa Achievement Unggul Iki Fofana Cup Goate of the quarter -finals</v>
      </c>
    </row>
    <row r="4653" ht="15.75" customHeight="1">
      <c r="A4653" s="1">
        <v>5823.0</v>
      </c>
      <c r="B4653" s="3" t="s">
        <v>13296</v>
      </c>
      <c r="C4653" s="3">
        <v>0.0</v>
      </c>
      <c r="D4653" s="3">
        <v>0.0</v>
      </c>
      <c r="E4653" s="3">
        <v>0.0</v>
      </c>
      <c r="F4653" s="3" t="s">
        <v>13297</v>
      </c>
      <c r="G4653" s="3">
        <v>1.0</v>
      </c>
      <c r="H4653" s="3">
        <v>0.0</v>
      </c>
      <c r="I4653" s="3" t="s">
        <v>13</v>
      </c>
      <c r="J4653" s="3" t="s">
        <v>13298</v>
      </c>
      <c r="K4653" s="3" t="s">
        <v>41</v>
      </c>
      <c r="L4653" s="3" t="str">
        <f>IFERROR(__xludf.DUMMYFUNCTION("GOOGLETRANSLATE(F4653,""id"",""en"")"),"I really didn't follow the ball but the final of the pildun yesterday")</f>
        <v>I really didn't follow the ball but the final of the pildun yesterday</v>
      </c>
    </row>
    <row r="4654" ht="15.75" customHeight="1">
      <c r="A4654" s="1">
        <v>5824.0</v>
      </c>
      <c r="B4654" s="3" t="s">
        <v>13299</v>
      </c>
      <c r="C4654" s="3">
        <v>0.0</v>
      </c>
      <c r="D4654" s="3">
        <v>0.0</v>
      </c>
      <c r="E4654" s="3">
        <v>0.0</v>
      </c>
      <c r="F4654" s="3" t="s">
        <v>13300</v>
      </c>
      <c r="G4654" s="3">
        <v>1.0</v>
      </c>
      <c r="H4654" s="3">
        <v>0.0</v>
      </c>
      <c r="I4654" s="3" t="s">
        <v>13</v>
      </c>
      <c r="J4654" s="3" t="s">
        <v>13301</v>
      </c>
      <c r="K4654" s="3" t="s">
        <v>1912</v>
      </c>
      <c r="L4654" s="3" t="str">
        <f>IFERROR(__xludf.DUMMYFUNCTION("GOOGLETRANSLATE(F4654,""id"",""en"")"),"It's a bit horrified to see the gambling on the final pildun yesterday, it's clear that I was aware that he was eaten, he would have a haram money, there would be a reply, it was used to eat the money using the goods and then the item was still haram")</f>
        <v>It's a bit horrified to see the gambling on the final pildun yesterday, it's clear that I was aware that he was eaten, he would have a haram money, there would be a reply, it was used to eat the money using the goods and then the item was still haram</v>
      </c>
    </row>
    <row r="4655" ht="15.75" customHeight="1">
      <c r="A4655" s="1">
        <v>5825.0</v>
      </c>
      <c r="B4655" s="3" t="s">
        <v>13302</v>
      </c>
      <c r="C4655" s="3">
        <v>1.0</v>
      </c>
      <c r="D4655" s="3">
        <v>0.0</v>
      </c>
      <c r="E4655" s="3">
        <v>0.0</v>
      </c>
      <c r="F4655" s="3" t="s">
        <v>13303</v>
      </c>
      <c r="G4655" s="3">
        <v>1.0</v>
      </c>
      <c r="H4655" s="3">
        <v>0.0</v>
      </c>
      <c r="I4655" s="3" t="s">
        <v>13</v>
      </c>
      <c r="J4655" s="3" t="s">
        <v>13304</v>
      </c>
      <c r="K4655" s="3" t="s">
        <v>644</v>
      </c>
      <c r="L4655" s="3" t="str">
        <f>IFERROR(__xludf.DUMMYFUNCTION("GOOGLETRANSLATE(F4655,""id"",""en"")"),"Watch the final of the pildun hahahah")</f>
        <v>Watch the final of the pildun hahahah</v>
      </c>
    </row>
    <row r="4656" ht="15.75" customHeight="1">
      <c r="A4656" s="1">
        <v>5826.0</v>
      </c>
      <c r="B4656" s="3" t="s">
        <v>13305</v>
      </c>
      <c r="C4656" s="3">
        <v>1.0</v>
      </c>
      <c r="D4656" s="3">
        <v>0.0</v>
      </c>
      <c r="E4656" s="3">
        <v>7.0</v>
      </c>
      <c r="F4656" s="3" t="s">
        <v>13306</v>
      </c>
      <c r="G4656" s="3">
        <v>1.0</v>
      </c>
      <c r="H4656" s="3">
        <v>0.0</v>
      </c>
      <c r="I4656" s="3" t="s">
        <v>13</v>
      </c>
      <c r="J4656" s="3" t="s">
        <v>13307</v>
      </c>
      <c r="K4656" s="3" t="s">
        <v>675</v>
      </c>
      <c r="L4656" s="3" t="str">
        <f>IFERROR(__xludf.DUMMYFUNCTION("GOOGLETRANSLATE(F4656,""id"",""en"")"),"Kriyep Mbappe is right, the Latin country, the champion of Pilduun, only Argentina, Brazil and Uruguay Europe, French Italian, Germany, Germany and Spanish, not to mention the European team often enter the Dutch final final")</f>
        <v>Kriyep Mbappe is right, the Latin country, the champion of Pilduun, only Argentina, Brazil and Uruguay Europe, French Italian, Germany, Germany and Spanish, not to mention the European team often enter the Dutch final final</v>
      </c>
    </row>
    <row r="4657" ht="15.75" customHeight="1">
      <c r="A4657" s="1">
        <v>5827.0</v>
      </c>
      <c r="B4657" s="3" t="s">
        <v>13308</v>
      </c>
      <c r="C4657" s="3">
        <v>0.0</v>
      </c>
      <c r="D4657" s="3">
        <v>0.0</v>
      </c>
      <c r="E4657" s="3">
        <v>0.0</v>
      </c>
      <c r="F4657" s="3" t="s">
        <v>13309</v>
      </c>
      <c r="G4657" s="3">
        <v>1.0</v>
      </c>
      <c r="H4657" s="3">
        <v>0.0</v>
      </c>
      <c r="I4657" s="3" t="s">
        <v>13</v>
      </c>
      <c r="J4657" s="3" t="s">
        <v>13310</v>
      </c>
      <c r="K4657" s="3" t="s">
        <v>883</v>
      </c>
      <c r="L4657" s="3" t="str">
        <f>IFERROR(__xludf.DUMMYFUNCTION("GOOGLETRANSLATE(F4657,""id"",""en"")"),"but the account next to the French defender contributed the most pilduun now Ibrahima Konate France lost to the final because he played him from the beginning of the final")</f>
        <v>but the account next to the French defender contributed the most pilduun now Ibrahima Konate France lost to the final because he played him from the beginning of the final</v>
      </c>
    </row>
    <row r="4658" ht="15.75" customHeight="1">
      <c r="A4658" s="1">
        <v>5828.0</v>
      </c>
      <c r="B4658" s="3" t="s">
        <v>13311</v>
      </c>
      <c r="C4658" s="3">
        <v>0.0</v>
      </c>
      <c r="D4658" s="3">
        <v>0.0</v>
      </c>
      <c r="E4658" s="3">
        <v>0.0</v>
      </c>
      <c r="F4658" s="3" t="s">
        <v>13312</v>
      </c>
      <c r="G4658" s="3">
        <v>1.0</v>
      </c>
      <c r="H4658" s="3">
        <v>0.0</v>
      </c>
      <c r="I4658" s="3" t="s">
        <v>13</v>
      </c>
      <c r="J4658" s="3" t="s">
        <v>13313</v>
      </c>
      <c r="K4658" s="3" t="s">
        <v>123</v>
      </c>
      <c r="L4658" s="3" t="str">
        <f>IFERROR(__xludf.DUMMYFUNCTION("GOOGLETRANSLATE(F4658,""id"",""en"")"),"it is true that Cil when Agen lost the final of the Copa American final pilduun that was bullied after the abisan was Messi")</f>
        <v>it is true that Cil when Agen lost the final of the Copa American final pilduun that was bullied after the abisan was Messi</v>
      </c>
    </row>
    <row r="4659" ht="15.75" customHeight="1">
      <c r="A4659" s="1">
        <v>5829.0</v>
      </c>
      <c r="B4659" s="3" t="s">
        <v>13314</v>
      </c>
      <c r="C4659" s="3">
        <v>0.0</v>
      </c>
      <c r="D4659" s="3">
        <v>0.0</v>
      </c>
      <c r="E4659" s="3">
        <v>0.0</v>
      </c>
      <c r="F4659" s="3" t="s">
        <v>13315</v>
      </c>
      <c r="G4659" s="3">
        <v>0.75</v>
      </c>
      <c r="H4659" s="3">
        <v>0.25</v>
      </c>
      <c r="I4659" s="3" t="s">
        <v>48</v>
      </c>
      <c r="J4659" s="3" t="s">
        <v>13316</v>
      </c>
      <c r="K4659" s="3" t="s">
        <v>657</v>
      </c>
      <c r="L4659" s="3" t="str">
        <f>IFERROR(__xludf.DUMMYFUNCTION("GOOGLETRANSLATE(F4659,""id"",""en"")"),"When the final is called the age of only the year, but it has become the top scorrer pildun the next day")</f>
        <v>When the final is called the age of only the year, but it has become the top scorrer pildun the next day</v>
      </c>
    </row>
    <row r="4660" ht="15.75" customHeight="1">
      <c r="A4660" s="1">
        <v>5830.0</v>
      </c>
      <c r="B4660" s="3" t="s">
        <v>13317</v>
      </c>
      <c r="C4660" s="3">
        <v>0.0</v>
      </c>
      <c r="D4660" s="3">
        <v>0.0</v>
      </c>
      <c r="E4660" s="3">
        <v>0.0</v>
      </c>
      <c r="F4660" s="3" t="s">
        <v>13318</v>
      </c>
      <c r="G4660" s="3">
        <v>1.0</v>
      </c>
      <c r="H4660" s="3">
        <v>0.0</v>
      </c>
      <c r="I4660" s="3" t="s">
        <v>13</v>
      </c>
      <c r="J4660" s="3" t="s">
        <v>13319</v>
      </c>
      <c r="K4660" s="3" t="s">
        <v>644</v>
      </c>
      <c r="L4660" s="3" t="str">
        <f>IFERROR(__xludf.DUMMYFUNCTION("GOOGLETRANSLATE(F4660,""id"",""en"")"),"The Final Pildun yesterday")</f>
        <v>The Final Pildun yesterday</v>
      </c>
    </row>
    <row r="4661" ht="15.75" customHeight="1">
      <c r="A4661" s="1">
        <v>5831.0</v>
      </c>
      <c r="B4661" s="3" t="s">
        <v>13320</v>
      </c>
      <c r="C4661" s="3">
        <v>0.0</v>
      </c>
      <c r="D4661" s="3">
        <v>0.0</v>
      </c>
      <c r="E4661" s="3">
        <v>0.0</v>
      </c>
      <c r="F4661" s="3" t="s">
        <v>13321</v>
      </c>
      <c r="G4661" s="3">
        <v>1.0</v>
      </c>
      <c r="H4661" s="3">
        <v>0.0</v>
      </c>
      <c r="I4661" s="3" t="s">
        <v>13</v>
      </c>
      <c r="J4661" s="3" t="s">
        <v>13322</v>
      </c>
      <c r="K4661" s="3" t="s">
        <v>19</v>
      </c>
      <c r="L4661" s="3" t="str">
        <f>IFERROR(__xludf.DUMMYFUNCTION("GOOGLETRANSLATE(F4661,""id"",""en"")"),"From the group stage, it's already very exciting even though I accept it if the pildun is saved with the final match")</f>
        <v>From the group stage, it's already very exciting even though I accept it if the pildun is saved with the final match</v>
      </c>
    </row>
    <row r="4662" ht="15.75" customHeight="1">
      <c r="A4662" s="1">
        <v>5832.0</v>
      </c>
      <c r="B4662" s="3" t="s">
        <v>13323</v>
      </c>
      <c r="C4662" s="3">
        <v>0.0</v>
      </c>
      <c r="D4662" s="3">
        <v>0.0</v>
      </c>
      <c r="E4662" s="3">
        <v>0.0</v>
      </c>
      <c r="F4662" s="3" t="s">
        <v>13324</v>
      </c>
      <c r="G4662" s="3">
        <v>1.0</v>
      </c>
      <c r="H4662" s="3">
        <v>0.0</v>
      </c>
      <c r="I4662" s="3" t="s">
        <v>13</v>
      </c>
      <c r="J4662" s="3" t="s">
        <v>13325</v>
      </c>
      <c r="K4662" s="3" t="s">
        <v>19</v>
      </c>
      <c r="L4662" s="3" t="str">
        <f>IFERROR(__xludf.DUMMYFUNCTION("GOOGLETRANSLATE(F4662,""id"",""en"")"),"Yakan he said before the pildun begins, he bacot")</f>
        <v>Yakan he said before the pildun begins, he bacot</v>
      </c>
    </row>
    <row r="4663" ht="15.75" customHeight="1">
      <c r="A4663" s="1">
        <v>5833.0</v>
      </c>
      <c r="B4663" s="3" t="s">
        <v>13326</v>
      </c>
      <c r="C4663" s="3">
        <v>0.0</v>
      </c>
      <c r="D4663" s="3">
        <v>0.0</v>
      </c>
      <c r="E4663" s="3">
        <v>1.0</v>
      </c>
      <c r="F4663" s="3" t="s">
        <v>13327</v>
      </c>
      <c r="G4663" s="3">
        <v>1.0</v>
      </c>
      <c r="H4663" s="3">
        <v>0.0</v>
      </c>
      <c r="I4663" s="3" t="s">
        <v>13</v>
      </c>
      <c r="J4663" s="3" t="s">
        <v>13328</v>
      </c>
      <c r="K4663" s="3" t="s">
        <v>2735</v>
      </c>
      <c r="L4663" s="3" t="str">
        <f>IFERROR(__xludf.DUMMYFUNCTION("GOOGLETRANSLATE(F4663,""id"",""en"")"),"Ishowspeed by Fyp first times seeing his reaction remains funny when watching the final pildun especially he will be Ronaldo fans will support France and Brons when Argentina he wears a jersey with the final layer of Argentine jersey he uses when Argentin"&amp;"a wins auto lemes")</f>
        <v>Ishowspeed by Fyp first times seeing his reaction remains funny when watching the final pildun especially he will be Ronaldo fans will support France and Brons when Argentina he wears a jersey with the final layer of Argentine jersey he uses when Argentina wins auto lemes</v>
      </c>
    </row>
    <row r="4664" ht="15.75" customHeight="1">
      <c r="A4664" s="1">
        <v>5834.0</v>
      </c>
      <c r="B4664" s="3" t="s">
        <v>13329</v>
      </c>
      <c r="C4664" s="3">
        <v>1.0</v>
      </c>
      <c r="D4664" s="3">
        <v>0.0</v>
      </c>
      <c r="E4664" s="3">
        <v>1.0</v>
      </c>
      <c r="F4664" s="3" t="s">
        <v>13330</v>
      </c>
      <c r="G4664" s="3">
        <v>1.0</v>
      </c>
      <c r="H4664" s="3">
        <v>0.0</v>
      </c>
      <c r="I4664" s="3" t="s">
        <v>13</v>
      </c>
      <c r="J4664" s="3" t="s">
        <v>13331</v>
      </c>
      <c r="K4664" s="3" t="s">
        <v>1912</v>
      </c>
      <c r="L4664" s="3" t="str">
        <f>IFERROR(__xludf.DUMMYFUNCTION("GOOGLETRANSLATE(F4664,""id"",""en"")"),"yes, so big, seeing cwe pretending to understand the ball pdhal, just because he saw the final pildun kmaren only because the players were handsome if the skedar joined the problem of the problem")</f>
        <v>yes, so big, seeing cwe pretending to understand the ball pdhal, just because he saw the final pildun kmaren only because the players were handsome if the skedar joined the problem of the problem</v>
      </c>
    </row>
    <row r="4665" ht="15.75" customHeight="1">
      <c r="A4665" s="1">
        <v>5835.0</v>
      </c>
      <c r="B4665" s="3" t="s">
        <v>13332</v>
      </c>
      <c r="C4665" s="3">
        <v>1.0</v>
      </c>
      <c r="D4665" s="3">
        <v>0.0</v>
      </c>
      <c r="E4665" s="3">
        <v>0.0</v>
      </c>
      <c r="F4665" s="3" t="s">
        <v>13333</v>
      </c>
      <c r="G4665" s="3">
        <v>1.0</v>
      </c>
      <c r="H4665" s="3">
        <v>0.0</v>
      </c>
      <c r="I4665" s="3" t="s">
        <v>13</v>
      </c>
      <c r="J4665" s="3" t="s">
        <v>13334</v>
      </c>
      <c r="K4665" s="3" t="s">
        <v>215</v>
      </c>
      <c r="L4665" s="3" t="str">
        <f>IFERROR(__xludf.DUMMYFUNCTION("GOOGLETRANSLATE(F4665,""id"",""en"")"),"Great where from where Uruguay entered the final of the new year champion, there was a pildun before, now what is it dead to losing anyways, what is the minister")</f>
        <v>Great where from where Uruguay entered the final of the new year champion, there was a pildun before, now what is it dead to losing anyways, what is the minister</v>
      </c>
    </row>
    <row r="4666" ht="15.75" customHeight="1">
      <c r="A4666" s="1">
        <v>5836.0</v>
      </c>
      <c r="B4666" s="3" t="s">
        <v>13335</v>
      </c>
      <c r="C4666" s="3">
        <v>0.0</v>
      </c>
      <c r="D4666" s="3">
        <v>0.0</v>
      </c>
      <c r="E4666" s="3">
        <v>0.0</v>
      </c>
      <c r="F4666" s="3" t="s">
        <v>13336</v>
      </c>
      <c r="G4666" s="3">
        <v>1.0</v>
      </c>
      <c r="H4666" s="3">
        <v>0.0</v>
      </c>
      <c r="I4666" s="3" t="s">
        <v>13</v>
      </c>
      <c r="J4666" s="3" t="s">
        <v>13337</v>
      </c>
      <c r="K4666" s="3" t="s">
        <v>484</v>
      </c>
      <c r="L4666" s="3" t="str">
        <f>IFERROR(__xludf.DUMMYFUNCTION("GOOGLETRANSLATE(F4666,""id"",""en"")"),"Imagine before losing to the final it feels really euphorians to make this Pildun special because Messi is final and there is a defending champion")</f>
        <v>Imagine before losing to the final it feels really euphorians to make this Pildun special because Messi is final and there is a defending champion</v>
      </c>
    </row>
    <row r="4667" ht="15.75" customHeight="1">
      <c r="A4667" s="1">
        <v>5837.0</v>
      </c>
      <c r="B4667" s="3" t="s">
        <v>13338</v>
      </c>
      <c r="C4667" s="3">
        <v>1.0</v>
      </c>
      <c r="D4667" s="3">
        <v>0.0</v>
      </c>
      <c r="E4667" s="3">
        <v>0.0</v>
      </c>
      <c r="F4667" s="3" t="s">
        <v>13339</v>
      </c>
      <c r="G4667" s="3">
        <v>1.0</v>
      </c>
      <c r="H4667" s="3">
        <v>0.0</v>
      </c>
      <c r="I4667" s="3" t="s">
        <v>13</v>
      </c>
      <c r="J4667" s="3" t="s">
        <v>13340</v>
      </c>
      <c r="K4667" s="3" t="s">
        <v>31</v>
      </c>
      <c r="L4667" s="3" t="str">
        <f>IFERROR(__xludf.DUMMYFUNCTION("GOOGLETRANSLATE(F4667,""id"",""en"")"),"That's what Mbappe felt Pas Final Pildun")</f>
        <v>That's what Mbappe felt Pas Final Pildun</v>
      </c>
    </row>
    <row r="4668" ht="15.75" customHeight="1">
      <c r="A4668" s="1">
        <v>5838.0</v>
      </c>
      <c r="B4668" s="3" t="s">
        <v>13341</v>
      </c>
      <c r="C4668" s="3">
        <v>1.0</v>
      </c>
      <c r="D4668" s="3">
        <v>0.0</v>
      </c>
      <c r="E4668" s="3">
        <v>1.0</v>
      </c>
      <c r="F4668" s="3" t="s">
        <v>13342</v>
      </c>
      <c r="G4668" s="3">
        <v>1.0</v>
      </c>
      <c r="H4668" s="3">
        <v>0.0</v>
      </c>
      <c r="I4668" s="3" t="s">
        <v>13</v>
      </c>
      <c r="J4668" s="3" t="s">
        <v>13343</v>
      </c>
      <c r="K4668" s="3" t="s">
        <v>215</v>
      </c>
      <c r="L4668" s="3" t="str">
        <f>IFERROR(__xludf.DUMMYFUNCTION("GOOGLETRANSLATE(F4668,""id"",""en"")"),"When Argentina escaped until the final it was also thought because the quality of ordinary Argen players I still remember the final at that time the dawn and nobar at the neighbor's house as a result Messi failed")</f>
        <v>When Argentina escaped until the final it was also thought because the quality of ordinary Argen players I still remember the final at that time the dawn and nobar at the neighbor's house as a result Messi failed</v>
      </c>
    </row>
    <row r="4669" ht="15.75" customHeight="1">
      <c r="A4669" s="1">
        <v>5839.0</v>
      </c>
      <c r="B4669" s="3" t="s">
        <v>13344</v>
      </c>
      <c r="C4669" s="3">
        <v>0.0</v>
      </c>
      <c r="D4669" s="3">
        <v>0.0</v>
      </c>
      <c r="E4669" s="3">
        <v>0.0</v>
      </c>
      <c r="F4669" s="3" t="s">
        <v>13345</v>
      </c>
      <c r="G4669" s="3">
        <v>1.0</v>
      </c>
      <c r="H4669" s="3">
        <v>0.0</v>
      </c>
      <c r="I4669" s="3" t="s">
        <v>13</v>
      </c>
      <c r="J4669" s="3" t="s">
        <v>13346</v>
      </c>
      <c r="K4669" s="3" t="s">
        <v>54</v>
      </c>
      <c r="L4669" s="3" t="str">
        <f>IFERROR(__xludf.DUMMYFUNCTION("GOOGLETRANSLATE(F4669,""id"",""en"")"),"The final pildun was won by Maria not scoring a goal")</f>
        <v>The final pildun was won by Maria not scoring a goal</v>
      </c>
    </row>
    <row r="4670" ht="15.75" customHeight="1">
      <c r="A4670" s="1">
        <v>5840.0</v>
      </c>
      <c r="B4670" s="3" t="s">
        <v>13347</v>
      </c>
      <c r="C4670" s="3">
        <v>0.0</v>
      </c>
      <c r="D4670" s="3">
        <v>0.0</v>
      </c>
      <c r="E4670" s="3">
        <v>0.0</v>
      </c>
      <c r="F4670" s="3" t="s">
        <v>13348</v>
      </c>
      <c r="G4670" s="3">
        <v>1.0</v>
      </c>
      <c r="H4670" s="3">
        <v>0.0</v>
      </c>
      <c r="I4670" s="3" t="s">
        <v>13</v>
      </c>
      <c r="J4670" s="3" t="s">
        <v>13349</v>
      </c>
      <c r="K4670" s="3" t="s">
        <v>633</v>
      </c>
      <c r="L4670" s="3" t="str">
        <f>IFERROR(__xludf.DUMMYFUNCTION("GOOGLETRANSLATE(F4670,""id"",""en"")"),"This puki bru is the age but I want to play the final pildun msih dudok smbel burn solar because of the micerin when the invoice caer kimak kimak")</f>
        <v>This puki bru is the age but I want to play the final pildun msih dudok smbel burn solar because of the micerin when the invoice caer kimak kimak</v>
      </c>
    </row>
    <row r="4671" ht="15.75" customHeight="1">
      <c r="A4671" s="1">
        <v>5841.0</v>
      </c>
      <c r="B4671" s="3" t="s">
        <v>13350</v>
      </c>
      <c r="C4671" s="3">
        <v>1.0</v>
      </c>
      <c r="D4671" s="3">
        <v>0.0</v>
      </c>
      <c r="E4671" s="3">
        <v>0.0</v>
      </c>
      <c r="F4671" s="3" t="s">
        <v>13351</v>
      </c>
      <c r="G4671" s="3">
        <v>1.0</v>
      </c>
      <c r="H4671" s="3">
        <v>0.0</v>
      </c>
      <c r="I4671" s="3" t="s">
        <v>13</v>
      </c>
      <c r="J4671" s="3" t="s">
        <v>13352</v>
      </c>
      <c r="K4671" s="3" t="s">
        <v>15</v>
      </c>
      <c r="L4671" s="3" t="str">
        <f>IFERROR(__xludf.DUMMYFUNCTION("GOOGLETRANSLATE(F4671,""id"",""en"")"),"new feelings when the final of the maren pildun talking about mbappe")</f>
        <v>new feelings when the final of the maren pildun talking about mbappe</v>
      </c>
    </row>
    <row r="4672" ht="15.75" customHeight="1">
      <c r="A4672" s="1">
        <v>5842.0</v>
      </c>
      <c r="B4672" s="3" t="s">
        <v>13353</v>
      </c>
      <c r="C4672" s="3">
        <v>0.0</v>
      </c>
      <c r="D4672" s="3">
        <v>0.0</v>
      </c>
      <c r="E4672" s="3">
        <v>0.0</v>
      </c>
      <c r="F4672" s="3" t="s">
        <v>13354</v>
      </c>
      <c r="G4672" s="3">
        <v>0.5555555555555555</v>
      </c>
      <c r="H4672" s="3">
        <v>0.1111111111111111</v>
      </c>
      <c r="I4672" s="3" t="s">
        <v>48</v>
      </c>
      <c r="J4672" s="3" t="s">
        <v>13355</v>
      </c>
      <c r="K4672" s="3" t="s">
        <v>765</v>
      </c>
      <c r="L4672" s="3" t="str">
        <f>IFERROR(__xludf.DUMMYFUNCTION("GOOGLETRANSLATE(F4672,""id"",""en"")"),"Jesper Blomqvist doesn't enter the flop, I think he was bought in the year just for his backup giggs and when he played, he could still perform well, unfortunately after the final champion he was injured and the year of playing was finally sold he was not"&amp;" because")</f>
        <v>Jesper Blomqvist doesn't enter the flop, I think he was bought in the year just for his backup giggs and when he played, he could still perform well, unfortunately after the final champion he was injured and the year of playing was finally sold he was not because</v>
      </c>
    </row>
    <row r="4673" ht="15.75" customHeight="1">
      <c r="A4673" s="1">
        <v>5843.0</v>
      </c>
      <c r="B4673" s="3" t="s">
        <v>13356</v>
      </c>
      <c r="C4673" s="3">
        <v>1.0</v>
      </c>
      <c r="D4673" s="3">
        <v>0.0</v>
      </c>
      <c r="E4673" s="3">
        <v>0.0</v>
      </c>
      <c r="F4673" s="3" t="s">
        <v>13357</v>
      </c>
      <c r="G4673" s="3">
        <v>1.0</v>
      </c>
      <c r="H4673" s="3">
        <v>0.0</v>
      </c>
      <c r="I4673" s="3" t="s">
        <v>13</v>
      </c>
      <c r="J4673" s="3" t="s">
        <v>13358</v>
      </c>
      <c r="K4673" s="3" t="s">
        <v>19</v>
      </c>
      <c r="L4673" s="3" t="str">
        <f>IFERROR(__xludf.DUMMYFUNCTION("GOOGLETRANSLATE(F4673,""id"",""en"")"),"how do you do it a day before the final pildun account is hit by what to do")</f>
        <v>how do you do it a day before the final pildun account is hit by what to do</v>
      </c>
    </row>
    <row r="4674" ht="15.75" customHeight="1">
      <c r="A4674" s="1">
        <v>5844.0</v>
      </c>
      <c r="B4674" s="3" t="s">
        <v>13359</v>
      </c>
      <c r="C4674" s="3">
        <v>1.0</v>
      </c>
      <c r="D4674" s="3">
        <v>0.0</v>
      </c>
      <c r="E4674" s="3">
        <v>0.0</v>
      </c>
      <c r="F4674" s="3" t="s">
        <v>13360</v>
      </c>
      <c r="G4674" s="3">
        <v>0.7</v>
      </c>
      <c r="H4674" s="3">
        <v>0.2</v>
      </c>
      <c r="I4674" s="3" t="s">
        <v>48</v>
      </c>
      <c r="J4674" s="3" t="s">
        <v>13361</v>
      </c>
      <c r="K4674" s="3" t="s">
        <v>997</v>
      </c>
      <c r="L4674" s="3" t="str">
        <f>IFERROR(__xludf.DUMMYFUNCTION("GOOGLETRANSLATE(F4674,""id"",""en"")"),"Redsindo is actually still okay until the mnit org he is prepared for the final, how come the dybala is fit because it is played by the minute and acuna just a good crossing wing -back")</f>
        <v>Redsindo is actually still okay until the mnit org he is prepared for the final, how come the dybala is fit because it is played by the minute and acuna just a good crossing wing -back</v>
      </c>
    </row>
    <row r="4675" ht="15.75" customHeight="1">
      <c r="A4675" s="1">
        <v>5845.0</v>
      </c>
      <c r="B4675" s="3" t="s">
        <v>13362</v>
      </c>
      <c r="C4675" s="3">
        <v>0.0</v>
      </c>
      <c r="D4675" s="3">
        <v>0.0</v>
      </c>
      <c r="E4675" s="3">
        <v>0.0</v>
      </c>
      <c r="F4675" s="3" t="s">
        <v>13363</v>
      </c>
      <c r="G4675" s="3">
        <v>1.0</v>
      </c>
      <c r="H4675" s="3">
        <v>0.0</v>
      </c>
      <c r="I4675" s="3" t="s">
        <v>13</v>
      </c>
      <c r="J4675" s="3" t="s">
        <v>13364</v>
      </c>
      <c r="K4675" s="3" t="s">
        <v>50</v>
      </c>
      <c r="L4675" s="3" t="str">
        <f>IFERROR(__xludf.DUMMYFUNCTION("GOOGLETRANSLATE(F4675,""id"",""en"")"),"loss of fangs but can be pilduun entering the final losing more penalties with the burden of Mah Benzema France")</f>
        <v>loss of fangs but can be pilduun entering the final losing more penalties with the burden of Mah Benzema France</v>
      </c>
    </row>
    <row r="4676" ht="15.75" customHeight="1">
      <c r="A4676" s="1">
        <v>5846.0</v>
      </c>
      <c r="B4676" s="3" t="s">
        <v>13365</v>
      </c>
      <c r="C4676" s="3">
        <v>0.0</v>
      </c>
      <c r="D4676" s="3">
        <v>0.0</v>
      </c>
      <c r="E4676" s="3">
        <v>0.0</v>
      </c>
      <c r="F4676" s="3" t="s">
        <v>13365</v>
      </c>
      <c r="G4676" s="3">
        <v>1.0</v>
      </c>
      <c r="H4676" s="3">
        <v>0.0</v>
      </c>
      <c r="I4676" s="3" t="s">
        <v>13</v>
      </c>
      <c r="J4676" s="3" t="s">
        <v>13366</v>
      </c>
      <c r="K4676" s="3" t="s">
        <v>2117</v>
      </c>
      <c r="L4676" s="3" t="str">
        <f>IFERROR(__xludf.DUMMYFUNCTION("GOOGLETRANSLATE(F4676,""id"",""en"")"),"KGN FINAL PILDUN")</f>
        <v>KGN FINAL PILDUN</v>
      </c>
    </row>
    <row r="4677" ht="15.75" customHeight="1">
      <c r="A4677" s="1">
        <v>5847.0</v>
      </c>
      <c r="B4677" s="3" t="s">
        <v>13367</v>
      </c>
      <c r="C4677" s="3">
        <v>0.0</v>
      </c>
      <c r="D4677" s="3">
        <v>0.0</v>
      </c>
      <c r="E4677" s="3">
        <v>0.0</v>
      </c>
      <c r="F4677" s="3" t="s">
        <v>13368</v>
      </c>
      <c r="G4677" s="3">
        <v>1.0</v>
      </c>
      <c r="H4677" s="3">
        <v>0.0</v>
      </c>
      <c r="I4677" s="3" t="s">
        <v>13</v>
      </c>
      <c r="J4677" s="3" t="s">
        <v>13369</v>
      </c>
      <c r="K4677" s="3" t="s">
        <v>15</v>
      </c>
      <c r="L4677" s="3" t="str">
        <f>IFERROR(__xludf.DUMMYFUNCTION("GOOGLETRANSLATE(F4677,""id"",""en"")"),"my husband is working while watching the final pildun at home too")</f>
        <v>my husband is working while watching the final pildun at home too</v>
      </c>
    </row>
    <row r="4678" ht="15.75" customHeight="1">
      <c r="A4678" s="1">
        <v>5848.0</v>
      </c>
      <c r="B4678" s="3" t="s">
        <v>13370</v>
      </c>
      <c r="C4678" s="3">
        <v>9.0</v>
      </c>
      <c r="D4678" s="3">
        <v>0.0</v>
      </c>
      <c r="E4678" s="3">
        <v>7.0</v>
      </c>
      <c r="F4678" s="3" t="s">
        <v>13371</v>
      </c>
      <c r="G4678" s="3">
        <v>1.0</v>
      </c>
      <c r="H4678" s="3">
        <v>0.0</v>
      </c>
      <c r="I4678" s="3" t="s">
        <v>13</v>
      </c>
      <c r="J4678" s="3" t="s">
        <v>13372</v>
      </c>
      <c r="K4678" s="3" t="s">
        <v>463</v>
      </c>
      <c r="L4678" s="3" t="str">
        <f>IFERROR(__xludf.DUMMYFUNCTION("GOOGLETRANSLATE(F4678,""id"",""en"")"),"There is one thing for people to forget that the curse of the world champion does not pass the group and France phases until the final, don't get the next PILDUN, Argentina does not pass the group phase like Germany and Spain")</f>
        <v>There is one thing for people to forget that the curse of the world champion does not pass the group and France phases until the final, don't get the next PILDUN, Argentina does not pass the group phase like Germany and Spain</v>
      </c>
    </row>
    <row r="4679" ht="15.75" customHeight="1">
      <c r="A4679" s="1">
        <v>5849.0</v>
      </c>
      <c r="B4679" s="3" t="s">
        <v>13373</v>
      </c>
      <c r="C4679" s="3">
        <v>0.0</v>
      </c>
      <c r="D4679" s="3">
        <v>0.0</v>
      </c>
      <c r="E4679" s="3">
        <v>0.0</v>
      </c>
      <c r="F4679" s="3" t="s">
        <v>13374</v>
      </c>
      <c r="G4679" s="3">
        <v>1.0</v>
      </c>
      <c r="H4679" s="3">
        <v>0.0</v>
      </c>
      <c r="I4679" s="3" t="s">
        <v>13</v>
      </c>
      <c r="J4679" s="3" t="s">
        <v>13375</v>
      </c>
      <c r="K4679" s="3" t="s">
        <v>426</v>
      </c>
      <c r="L4679" s="3" t="str">
        <f>IFERROR(__xludf.DUMMYFUNCTION("GOOGLETRANSLATE(F4679,""id"",""en"")"),"Julid is very, this account is very hot here, Messi can be a pildun and dodo GBS Messi entered the final, see the trophy, hold the kiss, lift the hooray of the dodo, it doesn't prn.")</f>
        <v>Julid is very, this account is very hot here, Messi can be a pildun and dodo GBS Messi entered the final, see the trophy, hold the kiss, lift the hooray of the dodo, it doesn't prn.</v>
      </c>
    </row>
    <row r="4680" ht="15.75" customHeight="1">
      <c r="A4680" s="1">
        <v>5850.0</v>
      </c>
      <c r="B4680" s="3" t="s">
        <v>13376</v>
      </c>
      <c r="C4680" s="3">
        <v>0.0</v>
      </c>
      <c r="D4680" s="3">
        <v>0.0</v>
      </c>
      <c r="E4680" s="3">
        <v>0.0</v>
      </c>
      <c r="F4680" s="3" t="s">
        <v>13377</v>
      </c>
      <c r="G4680" s="3">
        <v>0.5333333333333333</v>
      </c>
      <c r="H4680" s="3">
        <v>0.0</v>
      </c>
      <c r="I4680" s="3" t="s">
        <v>13</v>
      </c>
      <c r="J4680" s="3" t="s">
        <v>13378</v>
      </c>
      <c r="K4680" s="3" t="s">
        <v>2735</v>
      </c>
      <c r="L4680" s="3" t="str">
        <f>IFERROR(__xludf.DUMMYFUNCTION("GOOGLETRANSLATE(F4680,""id"",""en"")"),"After being said to be like this, my friend made a story when the final was the pildun yesterday, I just like me, just answer, it's a long time ago, if I really need it if I like it, if I like the public.")</f>
        <v>After being said to be like this, my friend made a story when the final was the pildun yesterday, I just like me, just answer, it's a long time ago, if I really need it if I like it, if I like the public.</v>
      </c>
    </row>
    <row r="4681" ht="15.75" customHeight="1">
      <c r="A4681" s="1">
        <v>5851.0</v>
      </c>
      <c r="B4681" s="3" t="s">
        <v>13379</v>
      </c>
      <c r="C4681" s="3">
        <v>0.0</v>
      </c>
      <c r="D4681" s="3">
        <v>0.0</v>
      </c>
      <c r="E4681" s="3">
        <v>0.0</v>
      </c>
      <c r="F4681" s="3" t="s">
        <v>13380</v>
      </c>
      <c r="G4681" s="3">
        <v>1.0</v>
      </c>
      <c r="H4681" s="3">
        <v>0.0</v>
      </c>
      <c r="I4681" s="3" t="s">
        <v>13</v>
      </c>
      <c r="J4681" s="3" t="s">
        <v>13381</v>
      </c>
      <c r="K4681" s="3" t="s">
        <v>15</v>
      </c>
      <c r="L4681" s="3" t="str">
        <f>IFERROR(__xludf.DUMMYFUNCTION("GOOGLETRANSLATE(F4681,""id"",""en"")"),"The day before the final but I already posted the pildun of the news")</f>
        <v>The day before the final but I already posted the pildun of the news</v>
      </c>
    </row>
    <row r="4682" ht="15.75" customHeight="1">
      <c r="A4682" s="1">
        <v>5852.0</v>
      </c>
      <c r="B4682" s="3" t="s">
        <v>13382</v>
      </c>
      <c r="C4682" s="3">
        <v>0.0</v>
      </c>
      <c r="D4682" s="3">
        <v>0.0</v>
      </c>
      <c r="E4682" s="3">
        <v>0.0</v>
      </c>
      <c r="F4682" s="3" t="s">
        <v>13383</v>
      </c>
      <c r="G4682" s="3">
        <v>0.825</v>
      </c>
      <c r="H4682" s="3">
        <v>0.175</v>
      </c>
      <c r="I4682" s="3" t="s">
        <v>48</v>
      </c>
      <c r="J4682" s="3" t="s">
        <v>13384</v>
      </c>
      <c r="K4682" s="3" t="s">
        <v>82</v>
      </c>
      <c r="L4682" s="3" t="str">
        <f>IFERROR(__xludf.DUMMYFUNCTION("GOOGLETRANSLATE(F4682,""id"",""en"")"),"This is the final of what PILDUN NEEDS A SIGN SIGE SIGHT")</f>
        <v>This is the final of what PILDUN NEEDS A SIGN SIGE SIGHT</v>
      </c>
    </row>
    <row r="4683" ht="15.75" customHeight="1">
      <c r="A4683" s="1">
        <v>5853.0</v>
      </c>
      <c r="B4683" s="3" t="s">
        <v>13385</v>
      </c>
      <c r="C4683" s="3">
        <v>0.0</v>
      </c>
      <c r="D4683" s="3">
        <v>0.0</v>
      </c>
      <c r="E4683" s="3">
        <v>0.0</v>
      </c>
      <c r="F4683" s="3" t="s">
        <v>13386</v>
      </c>
      <c r="G4683" s="3">
        <v>1.0</v>
      </c>
      <c r="H4683" s="3">
        <v>0.0</v>
      </c>
      <c r="I4683" s="3" t="s">
        <v>13</v>
      </c>
      <c r="J4683" s="3" t="s">
        <v>13387</v>
      </c>
      <c r="K4683" s="3" t="s">
        <v>82</v>
      </c>
      <c r="L4683" s="3" t="str">
        <f>IFERROR(__xludf.DUMMYFUNCTION("GOOGLETRANSLATE(F4683,""id"",""en"")"),"instant solution to watch the re -broadcast of the final pildun")</f>
        <v>instant solution to watch the re -broadcast of the final pildun</v>
      </c>
    </row>
    <row r="4684" ht="15.75" customHeight="1">
      <c r="A4684" s="1">
        <v>5854.0</v>
      </c>
      <c r="B4684" s="3" t="s">
        <v>13388</v>
      </c>
      <c r="C4684" s="3">
        <v>0.0</v>
      </c>
      <c r="D4684" s="3">
        <v>0.0</v>
      </c>
      <c r="E4684" s="3">
        <v>1.0</v>
      </c>
      <c r="F4684" s="3" t="s">
        <v>13389</v>
      </c>
      <c r="G4684" s="3">
        <v>1.0</v>
      </c>
      <c r="H4684" s="3">
        <v>0.0</v>
      </c>
      <c r="I4684" s="3" t="s">
        <v>13</v>
      </c>
      <c r="J4684" s="3" t="s">
        <v>13390</v>
      </c>
      <c r="K4684" s="3" t="s">
        <v>54</v>
      </c>
      <c r="L4684" s="3" t="str">
        <f>IFERROR(__xludf.DUMMYFUNCTION("GOOGLETRANSLATE(F4684,""id"",""en"")"),"Nobar Final Pildun with Richarlison Casemiro")</f>
        <v>Nobar Final Pildun with Richarlison Casemiro</v>
      </c>
    </row>
    <row r="4685" ht="15.75" customHeight="1">
      <c r="A4685" s="1">
        <v>5855.0</v>
      </c>
      <c r="B4685" s="3" t="s">
        <v>13391</v>
      </c>
      <c r="C4685" s="3">
        <v>0.0</v>
      </c>
      <c r="D4685" s="3">
        <v>0.0</v>
      </c>
      <c r="E4685" s="3">
        <v>1.0</v>
      </c>
      <c r="F4685" s="3" t="s">
        <v>13392</v>
      </c>
      <c r="G4685" s="3">
        <v>0.5333333333333333</v>
      </c>
      <c r="H4685" s="3">
        <v>0.6666666666666666</v>
      </c>
      <c r="I4685" s="3" t="s">
        <v>48</v>
      </c>
      <c r="J4685" s="3" t="s">
        <v>13393</v>
      </c>
      <c r="K4685" s="3" t="s">
        <v>135</v>
      </c>
      <c r="L4685" s="3" t="str">
        <f>IFERROR(__xludf.DUMMYFUNCTION("GOOGLETRANSLATE(F4685,""id"",""en"")"),"The Best Final World Cup Qatar The Best Euphoria World Cup South Africa Merch Pildun Minimarket Ges Siga Marjan Jeng Kurma in Rea Fasting")</f>
        <v>The Best Final World Cup Qatar The Best Euphoria World Cup South Africa Merch Pildun Minimarket Ges Siga Marjan Jeng Kurma in Rea Fasting</v>
      </c>
    </row>
    <row r="4686" ht="15.75" customHeight="1">
      <c r="A4686" s="1">
        <v>5856.0</v>
      </c>
      <c r="B4686" s="3" t="s">
        <v>13394</v>
      </c>
      <c r="C4686" s="3">
        <v>0.0</v>
      </c>
      <c r="D4686" s="3">
        <v>0.0</v>
      </c>
      <c r="E4686" s="3">
        <v>0.0</v>
      </c>
      <c r="F4686" s="3" t="s">
        <v>13395</v>
      </c>
      <c r="G4686" s="3">
        <v>1.0</v>
      </c>
      <c r="H4686" s="3">
        <v>0.0</v>
      </c>
      <c r="I4686" s="3" t="s">
        <v>13</v>
      </c>
      <c r="J4686" s="3" t="s">
        <v>13396</v>
      </c>
      <c r="K4686" s="3" t="s">
        <v>82</v>
      </c>
      <c r="L4686" s="3" t="str">
        <f>IFERROR(__xludf.DUMMYFUNCTION("GOOGLETRANSLATE(F4686,""id"",""en"")"),"just like messi just right when the final pildun is")</f>
        <v>just like messi just right when the final pildun is</v>
      </c>
    </row>
    <row r="4687" ht="15.75" customHeight="1">
      <c r="A4687" s="1">
        <v>5857.0</v>
      </c>
      <c r="B4687" s="3" t="s">
        <v>13397</v>
      </c>
      <c r="C4687" s="3">
        <v>0.0</v>
      </c>
      <c r="D4687" s="3">
        <v>0.0</v>
      </c>
      <c r="E4687" s="3">
        <v>0.0</v>
      </c>
      <c r="F4687" s="3" t="s">
        <v>13398</v>
      </c>
      <c r="G4687" s="3">
        <v>1.0</v>
      </c>
      <c r="H4687" s="3">
        <v>0.0</v>
      </c>
      <c r="I4687" s="3" t="s">
        <v>13</v>
      </c>
      <c r="J4687" s="3" t="s">
        <v>13399</v>
      </c>
      <c r="K4687" s="3" t="s">
        <v>54</v>
      </c>
      <c r="L4687" s="3" t="str">
        <f>IFERROR(__xludf.DUMMYFUNCTION("GOOGLETRANSLATE(F4687,""id"",""en"")"),"lack of fun")</f>
        <v>lack of fun</v>
      </c>
    </row>
    <row r="4688" ht="15.75" customHeight="1">
      <c r="A4688" s="1">
        <v>5858.0</v>
      </c>
      <c r="B4688" s="3" t="s">
        <v>13400</v>
      </c>
      <c r="C4688" s="3">
        <v>1.0</v>
      </c>
      <c r="D4688" s="3">
        <v>0.0</v>
      </c>
      <c r="E4688" s="3">
        <v>0.0</v>
      </c>
      <c r="F4688" s="3" t="s">
        <v>13401</v>
      </c>
      <c r="G4688" s="3">
        <v>1.0</v>
      </c>
      <c r="H4688" s="3">
        <v>0.0</v>
      </c>
      <c r="I4688" s="3" t="s">
        <v>13</v>
      </c>
      <c r="J4688" s="3" t="s">
        <v>13402</v>
      </c>
      <c r="K4688" s="3" t="s">
        <v>41</v>
      </c>
      <c r="L4688" s="3" t="str">
        <f>IFERROR(__xludf.DUMMYFUNCTION("GOOGLETRANSLATE(F4688,""id"",""en"")"),"just want to remember if France loses the final Pilduun who knows forgot")</f>
        <v>just want to remember if France loses the final Pilduun who knows forgot</v>
      </c>
    </row>
    <row r="4689" ht="15.75" customHeight="1">
      <c r="A4689" s="1">
        <v>5859.0</v>
      </c>
      <c r="B4689" s="3" t="s">
        <v>13403</v>
      </c>
      <c r="C4689" s="3">
        <v>0.0</v>
      </c>
      <c r="D4689" s="3">
        <v>0.0</v>
      </c>
      <c r="E4689" s="3">
        <v>1.0</v>
      </c>
      <c r="F4689" s="3" t="s">
        <v>13404</v>
      </c>
      <c r="G4689" s="3">
        <v>1.0</v>
      </c>
      <c r="H4689" s="3">
        <v>0.0</v>
      </c>
      <c r="I4689" s="3" t="s">
        <v>13</v>
      </c>
      <c r="J4689" s="3" t="s">
        <v>13405</v>
      </c>
      <c r="K4689" s="3" t="s">
        <v>823</v>
      </c>
      <c r="L4689" s="3" t="str">
        <f>IFERROR(__xludf.DUMMYFUNCTION("GOOGLETRANSLATE(F4689,""id"",""en"")"),"Thaha Zidane is only a Xavi Iniesta Ramos who wins the BDO Final Pildun, only anyone is also the same achievement, their only achievement is what Messi achieved with BDO who is more UCL PILDUN COPA still slow")</f>
        <v>Thaha Zidane is only a Xavi Iniesta Ramos who wins the BDO Final Pildun, only anyone is also the same achievement, their only achievement is what Messi achieved with BDO who is more UCL PILDUN COPA still slow</v>
      </c>
    </row>
    <row r="4690" ht="15.75" customHeight="1">
      <c r="A4690" s="1">
        <v>5860.0</v>
      </c>
      <c r="B4690" s="3" t="s">
        <v>13406</v>
      </c>
      <c r="C4690" s="3">
        <v>0.0</v>
      </c>
      <c r="D4690" s="3">
        <v>0.0</v>
      </c>
      <c r="E4690" s="3">
        <v>0.0</v>
      </c>
      <c r="F4690" s="3" t="s">
        <v>13407</v>
      </c>
      <c r="G4690" s="3">
        <v>1.0</v>
      </c>
      <c r="H4690" s="3">
        <v>0.0</v>
      </c>
      <c r="I4690" s="3" t="s">
        <v>13</v>
      </c>
      <c r="J4690" s="3" t="s">
        <v>13408</v>
      </c>
      <c r="K4690" s="3" t="s">
        <v>1699</v>
      </c>
      <c r="L4690" s="3" t="str">
        <f>IFERROR(__xludf.DUMMYFUNCTION("GOOGLETRANSLATE(F4690,""id"",""en"")"),"Goyy if you make a handball enemy player in the penalty box in the Auto active hand we can get a penalty of the Final Pildun Kmarin then Pinalti France Dua DPT Handballny Montiel Argentine Player")</f>
        <v>Goyy if you make a handball enemy player in the penalty box in the Auto active hand we can get a penalty of the Final Pildun Kmarin then Pinalti France Dua DPT Handballny Montiel Argentine Player</v>
      </c>
    </row>
    <row r="4691" ht="15.75" customHeight="1">
      <c r="A4691" s="1">
        <v>5861.0</v>
      </c>
      <c r="B4691" s="3" t="s">
        <v>13409</v>
      </c>
      <c r="C4691" s="3">
        <v>0.0</v>
      </c>
      <c r="D4691" s="3">
        <v>0.0</v>
      </c>
      <c r="E4691" s="3">
        <v>1.0</v>
      </c>
      <c r="F4691" s="3" t="s">
        <v>13410</v>
      </c>
      <c r="G4691" s="3">
        <v>1.0</v>
      </c>
      <c r="H4691" s="3">
        <v>0.0</v>
      </c>
      <c r="I4691" s="3" t="s">
        <v>13</v>
      </c>
      <c r="J4691" s="3" t="s">
        <v>13411</v>
      </c>
      <c r="K4691" s="3" t="s">
        <v>974</v>
      </c>
      <c r="L4691" s="3" t="str">
        <f>IFERROR(__xludf.DUMMYFUNCTION("GOOGLETRANSLATE(F4691,""id"",""en"")"),"Yes, I know that hurt is really painful, but I have been hungry in the middle of the night, I keep finding the last noodles and eggs when the noodles have been cooked to enter the eggs.")</f>
        <v>Yes, I know that hurt is really painful, but I have been hungry in the middle of the night, I keep finding the last noodles and eggs when the noodles have been cooked to enter the eggs.</v>
      </c>
    </row>
    <row r="4692" ht="15.75" customHeight="1">
      <c r="A4692" s="1">
        <v>5862.0</v>
      </c>
      <c r="B4692" s="3" t="s">
        <v>13412</v>
      </c>
      <c r="C4692" s="3">
        <v>0.0</v>
      </c>
      <c r="D4692" s="3">
        <v>0.0</v>
      </c>
      <c r="E4692" s="3">
        <v>0.0</v>
      </c>
      <c r="F4692" s="3" t="s">
        <v>13413</v>
      </c>
      <c r="G4692" s="3">
        <v>1.0</v>
      </c>
      <c r="H4692" s="3">
        <v>0.0</v>
      </c>
      <c r="I4692" s="3" t="s">
        <v>13</v>
      </c>
      <c r="J4692" s="3" t="s">
        <v>13414</v>
      </c>
      <c r="K4692" s="3" t="s">
        <v>644</v>
      </c>
      <c r="L4692" s="3" t="str">
        <f>IFERROR(__xludf.DUMMYFUNCTION("GOOGLETRANSLATE(F4692,""id"",""en"")"),"That's Maren again watching the final pildun")</f>
        <v>That's Maren again watching the final pildun</v>
      </c>
    </row>
    <row r="4693" ht="15.75" customHeight="1">
      <c r="A4693" s="1">
        <v>5863.0</v>
      </c>
      <c r="B4693" s="3" t="s">
        <v>13415</v>
      </c>
      <c r="C4693" s="3">
        <v>0.0</v>
      </c>
      <c r="D4693" s="3">
        <v>0.0</v>
      </c>
      <c r="E4693" s="3">
        <v>0.0</v>
      </c>
      <c r="F4693" s="3" t="s">
        <v>13416</v>
      </c>
      <c r="G4693" s="3">
        <v>1.0</v>
      </c>
      <c r="H4693" s="3">
        <v>0.0</v>
      </c>
      <c r="I4693" s="3" t="s">
        <v>13</v>
      </c>
      <c r="J4693" s="3" t="s">
        <v>13417</v>
      </c>
      <c r="K4693" s="3" t="s">
        <v>3346</v>
      </c>
      <c r="L4693" s="3" t="str">
        <f>IFERROR(__xludf.DUMMYFUNCTION("GOOGLETRANSLATE(F4693,""id"",""en"")"),"This nobar after Nobar Final Pildun became the same as Nobar until dawn hahahahah Gokil Gokilllll")</f>
        <v>This nobar after Nobar Final Pildun became the same as Nobar until dawn hahahahah Gokil Gokilllll</v>
      </c>
    </row>
    <row r="4694" ht="15.75" customHeight="1">
      <c r="A4694" s="1">
        <v>5864.0</v>
      </c>
      <c r="B4694" s="3" t="s">
        <v>13418</v>
      </c>
      <c r="C4694" s="3">
        <v>0.0</v>
      </c>
      <c r="D4694" s="3">
        <v>0.0</v>
      </c>
      <c r="E4694" s="3">
        <v>0.0</v>
      </c>
      <c r="F4694" s="3" t="s">
        <v>13419</v>
      </c>
      <c r="G4694" s="3">
        <v>1.0</v>
      </c>
      <c r="H4694" s="3">
        <v>0.0</v>
      </c>
      <c r="I4694" s="3" t="s">
        <v>13</v>
      </c>
      <c r="J4694" s="3" t="s">
        <v>13420</v>
      </c>
      <c r="K4694" s="3" t="s">
        <v>123</v>
      </c>
      <c r="L4694" s="3" t="str">
        <f>IFERROR(__xludf.DUMMYFUNCTION("GOOGLETRANSLATE(F4694,""id"",""en"")"),"my account is after lock and just returned before the bus pilduun can go back and forth to tweet mbappe so maybe that's the cause")</f>
        <v>my account is after lock and just returned before the bus pilduun can go back and forth to tweet mbappe so maybe that's the cause</v>
      </c>
    </row>
    <row r="4695" ht="15.75" customHeight="1">
      <c r="A4695" s="1">
        <v>5865.0</v>
      </c>
      <c r="B4695" s="3" t="s">
        <v>13421</v>
      </c>
      <c r="C4695" s="3">
        <v>1.0</v>
      </c>
      <c r="D4695" s="3">
        <v>3.0</v>
      </c>
      <c r="E4695" s="3">
        <v>16.0</v>
      </c>
      <c r="F4695" s="3" t="s">
        <v>13422</v>
      </c>
      <c r="G4695" s="3">
        <v>1.0</v>
      </c>
      <c r="H4695" s="3">
        <v>0.0</v>
      </c>
      <c r="I4695" s="3" t="s">
        <v>13</v>
      </c>
      <c r="J4695" s="3" t="s">
        <v>13423</v>
      </c>
      <c r="K4695" s="3" t="s">
        <v>644</v>
      </c>
      <c r="L4695" s="3" t="str">
        <f>IFERROR(__xludf.DUMMYFUNCTION("GOOGLETRANSLATE(F4695,""id"",""en"")"),"BOCIL WATCHING FINAL PILDUN")</f>
        <v>BOCIL WATCHING FINAL PILDUN</v>
      </c>
    </row>
    <row r="4696" ht="15.75" customHeight="1">
      <c r="A4696" s="1">
        <v>5866.0</v>
      </c>
      <c r="B4696" s="3" t="s">
        <v>13424</v>
      </c>
      <c r="C4696" s="3">
        <v>0.0</v>
      </c>
      <c r="D4696" s="3">
        <v>0.0</v>
      </c>
      <c r="E4696" s="3">
        <v>0.0</v>
      </c>
      <c r="F4696" s="3" t="s">
        <v>13425</v>
      </c>
      <c r="G4696" s="3">
        <v>1.0</v>
      </c>
      <c r="H4696" s="3">
        <v>0.0</v>
      </c>
      <c r="I4696" s="3" t="s">
        <v>13</v>
      </c>
      <c r="J4696" s="3" t="s">
        <v>13426</v>
      </c>
      <c r="K4696" s="3" t="s">
        <v>477</v>
      </c>
      <c r="L4696" s="3" t="str">
        <f>IFERROR(__xludf.DUMMYFUNCTION("GOOGLETRANSLATE(F4696,""id"",""en"")"),"how come people can be the final pildun of money to lack")</f>
        <v>how come people can be the final pildun of money to lack</v>
      </c>
    </row>
    <row r="4697" ht="15.75" customHeight="1">
      <c r="A4697" s="1">
        <v>5867.0</v>
      </c>
      <c r="B4697" s="3" t="s">
        <v>13427</v>
      </c>
      <c r="C4697" s="3">
        <v>1.0</v>
      </c>
      <c r="D4697" s="3">
        <v>0.0</v>
      </c>
      <c r="E4697" s="3">
        <v>0.0</v>
      </c>
      <c r="F4697" s="3" t="s">
        <v>13428</v>
      </c>
      <c r="G4697" s="3">
        <v>1.0</v>
      </c>
      <c r="H4697" s="3">
        <v>0.0</v>
      </c>
      <c r="I4697" s="3" t="s">
        <v>13</v>
      </c>
      <c r="J4697" s="3" t="s">
        <v>13429</v>
      </c>
      <c r="K4697" s="3" t="s">
        <v>19</v>
      </c>
      <c r="L4697" s="3" t="str">
        <f>IFERROR(__xludf.DUMMYFUNCTION("GOOGLETRANSLATE(F4697,""id"",""en"")"),"csy, sis, bro, you can get a bonus of the final pildun stori bonus, please")</f>
        <v>csy, sis, bro, you can get a bonus of the final pildun stori bonus, please</v>
      </c>
    </row>
    <row r="4698" ht="15.75" customHeight="1">
      <c r="A4698" s="1">
        <v>5868.0</v>
      </c>
      <c r="B4698" s="3" t="s">
        <v>13430</v>
      </c>
      <c r="C4698" s="3">
        <v>0.0</v>
      </c>
      <c r="D4698" s="3">
        <v>0.0</v>
      </c>
      <c r="E4698" s="3">
        <v>0.0</v>
      </c>
      <c r="F4698" s="3" t="s">
        <v>13431</v>
      </c>
      <c r="G4698" s="3">
        <v>0.875</v>
      </c>
      <c r="H4698" s="3">
        <v>0.0</v>
      </c>
      <c r="I4698" s="3" t="s">
        <v>13</v>
      </c>
      <c r="J4698" s="3" t="s">
        <v>13432</v>
      </c>
      <c r="K4698" s="3" t="s">
        <v>2215</v>
      </c>
      <c r="L4698" s="3" t="str">
        <f>IFERROR(__xludf.DUMMYFUNCTION("GOOGLETRANSLATE(F4698,""id"",""en"")"),"The final pildun yesterday watched billions")</f>
        <v>The final pildun yesterday watched billions</v>
      </c>
    </row>
    <row r="4699" ht="15.75" customHeight="1">
      <c r="A4699" s="1">
        <v>5869.0</v>
      </c>
      <c r="B4699" s="3" t="s">
        <v>13433</v>
      </c>
      <c r="C4699" s="3">
        <v>0.0</v>
      </c>
      <c r="D4699" s="3">
        <v>0.0</v>
      </c>
      <c r="E4699" s="3">
        <v>2.0</v>
      </c>
      <c r="F4699" s="3" t="s">
        <v>13434</v>
      </c>
      <c r="G4699" s="3">
        <v>0.7777777777777777</v>
      </c>
      <c r="H4699" s="3">
        <v>0.3555555555555556</v>
      </c>
      <c r="I4699" s="3" t="s">
        <v>48</v>
      </c>
      <c r="J4699" s="3" t="s">
        <v>13435</v>
      </c>
      <c r="K4699" s="3" t="s">
        <v>215</v>
      </c>
      <c r="L4699" s="3" t="str">
        <f>IFERROR(__xludf.DUMMYFUNCTION("GOOGLETRANSLATE(F4699,""id"",""en"")"),"depending on he plays Dimna, if he wants to be sharper, he has to move the club, the latest news, mbappe, I want to pull out the most ideal Madrid, he must think twice about seeing him the final pildun in my view")</f>
        <v>depending on he plays Dimna, if he wants to be sharper, he has to move the club, the latest news, mbappe, I want to pull out the most ideal Madrid, he must think twice about seeing him the final pildun in my view</v>
      </c>
    </row>
    <row r="4700" ht="15.75" customHeight="1">
      <c r="A4700" s="1">
        <v>5870.0</v>
      </c>
      <c r="B4700" s="3" t="s">
        <v>13436</v>
      </c>
      <c r="C4700" s="3">
        <v>0.0</v>
      </c>
      <c r="D4700" s="3">
        <v>0.0</v>
      </c>
      <c r="E4700" s="3">
        <v>0.0</v>
      </c>
      <c r="F4700" s="3" t="s">
        <v>13437</v>
      </c>
      <c r="G4700" s="3">
        <v>1.0</v>
      </c>
      <c r="H4700" s="3">
        <v>0.0</v>
      </c>
      <c r="I4700" s="3" t="s">
        <v>13</v>
      </c>
      <c r="J4700" s="3" t="s">
        <v>13438</v>
      </c>
      <c r="K4700" s="3" t="s">
        <v>123</v>
      </c>
      <c r="L4700" s="3" t="str">
        <f>IFERROR(__xludf.DUMMYFUNCTION("GOOGLETRANSLATE(F4700,""id"",""en"")"),"I after watching the final of the pildun doi watched the problem because he had to sleep under the wake he accepted if he won Argentina and said the settings wkwk")</f>
        <v>I after watching the final of the pildun doi watched the problem because he had to sleep under the wake he accepted if he won Argentina and said the settings wkwk</v>
      </c>
    </row>
    <row r="4701" ht="15.75" customHeight="1">
      <c r="A4701" s="1">
        <v>5871.0</v>
      </c>
      <c r="B4701" s="3" t="s">
        <v>13439</v>
      </c>
      <c r="C4701" s="3">
        <v>1.0</v>
      </c>
      <c r="D4701" s="3">
        <v>2.0</v>
      </c>
      <c r="E4701" s="3">
        <v>23.0</v>
      </c>
      <c r="F4701" s="3" t="s">
        <v>13440</v>
      </c>
      <c r="G4701" s="3">
        <v>1.0</v>
      </c>
      <c r="H4701" s="3">
        <v>0.0</v>
      </c>
      <c r="I4701" s="3" t="s">
        <v>13</v>
      </c>
      <c r="J4701" s="3" t="s">
        <v>13441</v>
      </c>
      <c r="K4701" s="3" t="s">
        <v>240</v>
      </c>
      <c r="L4701" s="3" t="str">
        <f>IFERROR(__xludf.DUMMYFUNCTION("GOOGLETRANSLATE(F4701,""id"",""en"")"),"This is really bad like Indo loses against Philina Final Pilduun Kali Persib Player Post Happy Daisuke Sato")</f>
        <v>This is really bad like Indo loses against Philina Final Pilduun Kali Persib Player Post Happy Daisuke Sato</v>
      </c>
    </row>
    <row r="4702" ht="15.75" customHeight="1">
      <c r="A4702" s="1">
        <v>5872.0</v>
      </c>
      <c r="B4702" s="3" t="s">
        <v>13442</v>
      </c>
      <c r="C4702" s="3">
        <v>1.0</v>
      </c>
      <c r="D4702" s="3">
        <v>0.0</v>
      </c>
      <c r="E4702" s="3">
        <v>0.0</v>
      </c>
      <c r="F4702" s="3" t="s">
        <v>13443</v>
      </c>
      <c r="G4702" s="3">
        <v>1.0</v>
      </c>
      <c r="H4702" s="3">
        <v>0.0</v>
      </c>
      <c r="I4702" s="3" t="s">
        <v>13</v>
      </c>
      <c r="J4702" s="3" t="s">
        <v>13444</v>
      </c>
      <c r="K4702" s="3" t="s">
        <v>31</v>
      </c>
      <c r="L4702" s="3" t="str">
        <f>IFERROR(__xludf.DUMMYFUNCTION("GOOGLETRANSLATE(F4702,""id"",""en"")"),"For whatever sake I just found out yesterday the final pildun")</f>
        <v>For whatever sake I just found out yesterday the final pildun</v>
      </c>
    </row>
    <row r="4703" ht="15.75" customHeight="1">
      <c r="A4703" s="1">
        <v>5873.0</v>
      </c>
      <c r="B4703" s="3" t="s">
        <v>13445</v>
      </c>
      <c r="C4703" s="3">
        <v>0.0</v>
      </c>
      <c r="D4703" s="3">
        <v>0.0</v>
      </c>
      <c r="E4703" s="3">
        <v>0.0</v>
      </c>
      <c r="F4703" s="3" t="s">
        <v>13446</v>
      </c>
      <c r="G4703" s="3">
        <v>1.0</v>
      </c>
      <c r="H4703" s="3">
        <v>0.0</v>
      </c>
      <c r="I4703" s="3" t="s">
        <v>13</v>
      </c>
      <c r="J4703" s="3" t="s">
        <v>13447</v>
      </c>
      <c r="K4703" s="3" t="s">
        <v>75</v>
      </c>
      <c r="L4703" s="3" t="str">
        <f>IFERROR(__xludf.DUMMYFUNCTION("GOOGLETRANSLATE(F4703,""id"",""en"")"),"can just be the final pildun so a story for our children if it turns out to be happy the ball")</f>
        <v>can just be the final pildun so a story for our children if it turns out to be happy the ball</v>
      </c>
    </row>
    <row r="4704" ht="15.75" customHeight="1">
      <c r="A4704" s="1">
        <v>5874.0</v>
      </c>
      <c r="B4704" s="3" t="s">
        <v>13448</v>
      </c>
      <c r="C4704" s="3">
        <v>1.0</v>
      </c>
      <c r="D4704" s="3">
        <v>0.0</v>
      </c>
      <c r="E4704" s="3">
        <v>3.0</v>
      </c>
      <c r="F4704" s="3" t="s">
        <v>13449</v>
      </c>
      <c r="G4704" s="3">
        <v>1.0</v>
      </c>
      <c r="H4704" s="3">
        <v>0.0</v>
      </c>
      <c r="I4704" s="3" t="s">
        <v>13</v>
      </c>
      <c r="J4704" s="3" t="s">
        <v>13450</v>
      </c>
      <c r="K4704" s="3" t="s">
        <v>23</v>
      </c>
      <c r="L4704" s="3" t="str">
        <f>IFERROR(__xludf.DUMMYFUNCTION("GOOGLETRANSLATE(F4704,""id"",""en"")"),"When I nobar the final I said tomorrow the wallpaper I changed using a photo of Messi lifting the real pildun trophy and Alhamdulillah came true from this this")</f>
        <v>When I nobar the final I said tomorrow the wallpaper I changed using a photo of Messi lifting the real pildun trophy and Alhamdulillah came true from this this</v>
      </c>
    </row>
    <row r="4705" ht="15.75" customHeight="1">
      <c r="A4705" s="1">
        <v>5875.0</v>
      </c>
      <c r="B4705" s="3" t="s">
        <v>13451</v>
      </c>
      <c r="C4705" s="3">
        <v>1.0</v>
      </c>
      <c r="D4705" s="3">
        <v>0.0</v>
      </c>
      <c r="E4705" s="3">
        <v>0.0</v>
      </c>
      <c r="F4705" s="3" t="s">
        <v>13452</v>
      </c>
      <c r="G4705" s="3">
        <v>1.0</v>
      </c>
      <c r="H4705" s="3">
        <v>0.0</v>
      </c>
      <c r="I4705" s="3" t="s">
        <v>13</v>
      </c>
      <c r="J4705" s="3" t="s">
        <v>13453</v>
      </c>
      <c r="K4705" s="3" t="s">
        <v>54</v>
      </c>
      <c r="L4705" s="3" t="str">
        <f>IFERROR(__xludf.DUMMYFUNCTION("GOOGLETRANSLATE(F4705,""id"",""en"")"),"Father chatted with the final pildun")</f>
        <v>Father chatted with the final pildun</v>
      </c>
    </row>
    <row r="4706" ht="15.75" customHeight="1">
      <c r="A4706" s="1">
        <v>5876.0</v>
      </c>
      <c r="B4706" s="3" t="s">
        <v>13454</v>
      </c>
      <c r="C4706" s="3">
        <v>0.0</v>
      </c>
      <c r="D4706" s="3">
        <v>0.0</v>
      </c>
      <c r="E4706" s="3">
        <v>1.0</v>
      </c>
      <c r="F4706" s="3" t="s">
        <v>13455</v>
      </c>
      <c r="G4706" s="3">
        <v>1.0</v>
      </c>
      <c r="H4706" s="3">
        <v>0.0</v>
      </c>
      <c r="I4706" s="3" t="s">
        <v>13</v>
      </c>
      <c r="J4706" s="3" t="s">
        <v>13456</v>
      </c>
      <c r="K4706" s="3" t="s">
        <v>456</v>
      </c>
      <c r="L4706" s="3" t="str">
        <f>IFERROR(__xludf.DUMMYFUNCTION("GOOGLETRANSLATE(F4706,""id"",""en"")"),"Kortoa Times are still lent by ATMs, it's good that he is one of the actors to make ATM champions and final UCL that year and Dichelsea immediately champions EPL Conte era even though they began to drop somewhat and finally bought by Madrid to finish the "&amp;"pildu")</f>
        <v>Kortoa Times are still lent by ATMs, it's good that he is one of the actors to make ATM champions and final UCL that year and Dichelsea immediately champions EPL Conte era even though they began to drop somewhat and finally bought by Madrid to finish the pildu</v>
      </c>
    </row>
    <row r="4707" ht="15.75" customHeight="1">
      <c r="A4707" s="1">
        <v>5877.0</v>
      </c>
      <c r="B4707" s="3" t="s">
        <v>13457</v>
      </c>
      <c r="C4707" s="3">
        <v>0.0</v>
      </c>
      <c r="D4707" s="3">
        <v>0.0</v>
      </c>
      <c r="E4707" s="3">
        <v>1.0</v>
      </c>
      <c r="F4707" s="3" t="s">
        <v>13458</v>
      </c>
      <c r="G4707" s="3">
        <v>1.0</v>
      </c>
      <c r="H4707" s="3">
        <v>0.0</v>
      </c>
      <c r="I4707" s="3" t="s">
        <v>13</v>
      </c>
      <c r="J4707" s="3" t="s">
        <v>13459</v>
      </c>
      <c r="K4707" s="3" t="s">
        <v>31</v>
      </c>
      <c r="L4707" s="3" t="str">
        <f>IFERROR(__xludf.DUMMYFUNCTION("GOOGLETRANSLATE(F4707,""id"",""en"")"),"when you want to watch the final pildun you have to work")</f>
        <v>when you want to watch the final pildun you have to work</v>
      </c>
    </row>
    <row r="4708" ht="15.75" customHeight="1">
      <c r="A4708" s="1">
        <v>5878.0</v>
      </c>
      <c r="B4708" s="3" t="s">
        <v>13460</v>
      </c>
      <c r="C4708" s="3">
        <v>1.0</v>
      </c>
      <c r="D4708" s="3">
        <v>0.0</v>
      </c>
      <c r="E4708" s="3">
        <v>0.0</v>
      </c>
      <c r="F4708" s="3" t="s">
        <v>13461</v>
      </c>
      <c r="G4708" s="3">
        <v>1.0</v>
      </c>
      <c r="H4708" s="3">
        <v>0.0</v>
      </c>
      <c r="I4708" s="3" t="s">
        <v>13</v>
      </c>
      <c r="J4708" s="3" t="s">
        <v>13462</v>
      </c>
      <c r="K4708" s="3" t="s">
        <v>491</v>
      </c>
      <c r="L4708" s="3" t="str">
        <f>IFERROR(__xludf.DUMMYFUNCTION("GOOGLETRANSLATE(F4708,""id"",""en"")"),"There must be a country club support me too if watching football besides Liverpool is also sleepy, I just watch the final only")</f>
        <v>There must be a country club support me too if watching football besides Liverpool is also sleepy, I just watch the final only</v>
      </c>
    </row>
    <row r="4709" ht="15.75" customHeight="1">
      <c r="A4709" s="1">
        <v>5879.0</v>
      </c>
      <c r="B4709" s="3" t="s">
        <v>13463</v>
      </c>
      <c r="C4709" s="3">
        <v>1.0</v>
      </c>
      <c r="D4709" s="3">
        <v>0.0</v>
      </c>
      <c r="E4709" s="3">
        <v>1.0</v>
      </c>
      <c r="F4709" s="3" t="s">
        <v>13464</v>
      </c>
      <c r="G4709" s="3">
        <v>0.6666666666666666</v>
      </c>
      <c r="H4709" s="3">
        <v>0.08333333333333333</v>
      </c>
      <c r="I4709" s="3" t="s">
        <v>48</v>
      </c>
      <c r="J4709" s="3" t="s">
        <v>13465</v>
      </c>
      <c r="K4709" s="3" t="s">
        <v>1942</v>
      </c>
      <c r="L4709" s="3" t="str">
        <f>IFERROR(__xludf.DUMMYFUNCTION("GOOGLETRANSLATE(F4709,""id"",""en"")"),"that just won once the idol had won or not stupid let alone the champion of the play of the play final, never stupid Dicky Udh Outside Reason was already proud again with his giggling I know to entertain myself don't be ashamed of myself Block")</f>
        <v>that just won once the idol had won or not stupid let alone the champion of the play of the play final, never stupid Dicky Udh Outside Reason was already proud again with his giggling I know to entertain myself don't be ashamed of myself Block</v>
      </c>
    </row>
    <row r="4710" ht="15.75" customHeight="1">
      <c r="A4710" s="1">
        <v>5880.0</v>
      </c>
      <c r="B4710" s="3" t="s">
        <v>13466</v>
      </c>
      <c r="C4710" s="3">
        <v>0.0</v>
      </c>
      <c r="D4710" s="3">
        <v>0.0</v>
      </c>
      <c r="E4710" s="3">
        <v>2.0</v>
      </c>
      <c r="F4710" s="3" t="s">
        <v>13467</v>
      </c>
      <c r="G4710" s="3">
        <v>1.0</v>
      </c>
      <c r="H4710" s="3">
        <v>0.0</v>
      </c>
      <c r="I4710" s="3" t="s">
        <v>13</v>
      </c>
      <c r="J4710" s="3" t="s">
        <v>13468</v>
      </c>
      <c r="K4710" s="3" t="s">
        <v>123</v>
      </c>
      <c r="L4710" s="3" t="str">
        <f>IFERROR(__xludf.DUMMYFUNCTION("GOOGLETRANSLATE(F4710,""id"",""en"")"),"Penaldo how let alone win the pildun feeling the final pildun never never fans Emyu Penyepong Ronaldo's squares")</f>
        <v>Penaldo how let alone win the pildun feeling the final pildun never never fans Emyu Penyepong Ronaldo's squares</v>
      </c>
    </row>
    <row r="4711" ht="15.75" customHeight="1">
      <c r="A4711" s="1">
        <v>5881.0</v>
      </c>
      <c r="B4711" s="3" t="s">
        <v>13469</v>
      </c>
      <c r="C4711" s="3">
        <v>0.0</v>
      </c>
      <c r="D4711" s="3">
        <v>0.0</v>
      </c>
      <c r="E4711" s="3">
        <v>1.0</v>
      </c>
      <c r="F4711" s="3" t="s">
        <v>13470</v>
      </c>
      <c r="G4711" s="3">
        <v>1.0</v>
      </c>
      <c r="H4711" s="3">
        <v>0.0</v>
      </c>
      <c r="I4711" s="3" t="s">
        <v>13</v>
      </c>
      <c r="J4711" s="3" t="s">
        <v>13471</v>
      </c>
      <c r="K4711" s="3" t="s">
        <v>31</v>
      </c>
      <c r="L4711" s="3" t="str">
        <f>IFERROR(__xludf.DUMMYFUNCTION("GOOGLETRANSLATE(F4711,""id"",""en"")"),"Final Pilduun French Argentina")</f>
        <v>Final Pilduun French Argentina</v>
      </c>
    </row>
    <row r="4712" ht="15.75" customHeight="1">
      <c r="A4712" s="1">
        <v>5882.0</v>
      </c>
      <c r="B4712" s="3" t="s">
        <v>13472</v>
      </c>
      <c r="C4712" s="3">
        <v>1.0</v>
      </c>
      <c r="D4712" s="3">
        <v>2.0</v>
      </c>
      <c r="E4712" s="3">
        <v>7.0</v>
      </c>
      <c r="F4712" s="3" t="s">
        <v>13473</v>
      </c>
      <c r="G4712" s="3">
        <v>0.6</v>
      </c>
      <c r="H4712" s="3">
        <v>0.1</v>
      </c>
      <c r="I4712" s="3" t="s">
        <v>48</v>
      </c>
      <c r="J4712" s="3" t="s">
        <v>13474</v>
      </c>
      <c r="K4712" s="3" t="s">
        <v>149</v>
      </c>
      <c r="L4712" s="3" t="str">
        <f>IFERROR(__xludf.DUMMYFUNCTION("GOOGLETRANSLATE(F4712,""id"",""en"")"),"as a ball poster and can play a very happy ball nonbar final yesterday at the same time watching pundit soccer directly before only listening to podcasts only thanks")</f>
        <v>as a ball poster and can play a very happy ball nonbar final yesterday at the same time watching pundit soccer directly before only listening to podcasts only thanks</v>
      </c>
    </row>
    <row r="4713" ht="15.75" customHeight="1">
      <c r="A4713" s="1">
        <v>5883.0</v>
      </c>
      <c r="B4713" s="3" t="s">
        <v>13475</v>
      </c>
      <c r="C4713" s="3">
        <v>0.0</v>
      </c>
      <c r="D4713" s="3">
        <v>0.0</v>
      </c>
      <c r="E4713" s="3">
        <v>1.0</v>
      </c>
      <c r="F4713" s="3" t="s">
        <v>13476</v>
      </c>
      <c r="G4713" s="3">
        <v>0.0</v>
      </c>
      <c r="H4713" s="3">
        <v>0.0</v>
      </c>
      <c r="I4713" s="3" t="s">
        <v>13</v>
      </c>
      <c r="J4713" s="3" t="s">
        <v>13477</v>
      </c>
      <c r="K4713" s="3" t="s">
        <v>1810</v>
      </c>
      <c r="L4713" s="3" t="str">
        <f>IFERROR(__xludf.DUMMYFUNCTION("GOOGLETRANSLATE(F4713,""id"",""en"")"),"This is a coincidence that I also think about it, but I think that Jot deliberately took Saturday to lose the hype of the pildun because the jketi debuted on the concert and then the concert was also in the end of the long schedule")</f>
        <v>This is a coincidence that I also think about it, but I think that Jot deliberately took Saturday to lose the hype of the pildun because the jketi debuted on the concert and then the concert was also in the end of the long schedule</v>
      </c>
    </row>
    <row r="4714" ht="15.75" customHeight="1">
      <c r="A4714" s="1">
        <v>5884.0</v>
      </c>
      <c r="B4714" s="3" t="s">
        <v>13478</v>
      </c>
      <c r="C4714" s="3">
        <v>0.0</v>
      </c>
      <c r="D4714" s="3">
        <v>0.0</v>
      </c>
      <c r="E4714" s="3">
        <v>0.0</v>
      </c>
      <c r="F4714" s="3" t="s">
        <v>13479</v>
      </c>
      <c r="G4714" s="3">
        <v>1.0</v>
      </c>
      <c r="H4714" s="3">
        <v>0.0</v>
      </c>
      <c r="I4714" s="3" t="s">
        <v>13</v>
      </c>
      <c r="J4714" s="3" t="s">
        <v>13480</v>
      </c>
      <c r="K4714" s="3" t="s">
        <v>657</v>
      </c>
      <c r="L4714" s="3" t="str">
        <f>IFERROR(__xludf.DUMMYFUNCTION("GOOGLETRANSLATE(F4714,""id"",""en"")"),"already passed through the true trophy pildun will return and the re -final match there is another discussion")</f>
        <v>already passed through the true trophy pildun will return and the re -final match there is another discussion</v>
      </c>
    </row>
    <row r="4715" ht="15.75" customHeight="1">
      <c r="A4715" s="1">
        <v>5885.0</v>
      </c>
      <c r="B4715" s="3" t="s">
        <v>13481</v>
      </c>
      <c r="C4715" s="3">
        <v>0.0</v>
      </c>
      <c r="D4715" s="3">
        <v>0.0</v>
      </c>
      <c r="E4715" s="3">
        <v>0.0</v>
      </c>
      <c r="F4715" s="3" t="s">
        <v>13482</v>
      </c>
      <c r="G4715" s="3">
        <v>1.0</v>
      </c>
      <c r="H4715" s="3">
        <v>0.0</v>
      </c>
      <c r="I4715" s="3" t="s">
        <v>13</v>
      </c>
      <c r="J4715" s="3" t="s">
        <v>13483</v>
      </c>
      <c r="K4715" s="3" t="s">
        <v>682</v>
      </c>
      <c r="L4715" s="3" t="str">
        <f>IFERROR(__xludf.DUMMYFUNCTION("GOOGLETRANSLATE(F4715,""id"",""en"")"),"Want to score a big team against the big team want Hatrick to want quatrick, how many tricks want Crisno haven't brought his country until the final pildun let alone win, thankfully he retired so he was tired of waiting for his country until the final")</f>
        <v>Want to score a big team against the big team want Hatrick to want quatrick, how many tricks want Crisno haven't brought his country until the final pildun let alone win, thankfully he retired so he was tired of waiting for his country until the final</v>
      </c>
    </row>
    <row r="4716" ht="15.75" customHeight="1">
      <c r="A4716" s="1">
        <v>5886.0</v>
      </c>
      <c r="B4716" s="3" t="s">
        <v>13484</v>
      </c>
      <c r="C4716" s="3">
        <v>1.0</v>
      </c>
      <c r="D4716" s="3">
        <v>0.0</v>
      </c>
      <c r="E4716" s="3">
        <v>2.0</v>
      </c>
      <c r="F4716" s="3" t="s">
        <v>13485</v>
      </c>
      <c r="G4716" s="3">
        <v>1.0</v>
      </c>
      <c r="H4716" s="3">
        <v>0.0</v>
      </c>
      <c r="I4716" s="3" t="s">
        <v>13</v>
      </c>
      <c r="J4716" s="3" t="s">
        <v>13486</v>
      </c>
      <c r="K4716" s="3" t="s">
        <v>823</v>
      </c>
      <c r="L4716" s="3" t="str">
        <f>IFERROR(__xludf.DUMMYFUNCTION("GOOGLETRANSLATE(F4716,""id"",""en"")"),"Asisst goals in the pildun qualifications were defended by Messi when removing the chances of the pildun and became one of the actors in Messi Final's goal even though it was not good at the Pildun but Lautaro remained the best for the future of Argen")</f>
        <v>Asisst goals in the pildun qualifications were defended by Messi when removing the chances of the pildun and became one of the actors in Messi Final's goal even though it was not good at the Pildun but Lautaro remained the best for the future of Argen</v>
      </c>
    </row>
    <row r="4717" ht="15.75" customHeight="1">
      <c r="A4717" s="1">
        <v>5887.0</v>
      </c>
      <c r="B4717" s="3" t="s">
        <v>13487</v>
      </c>
      <c r="C4717" s="3">
        <v>0.0</v>
      </c>
      <c r="D4717" s="3">
        <v>0.0</v>
      </c>
      <c r="E4717" s="3">
        <v>0.0</v>
      </c>
      <c r="F4717" s="3" t="s">
        <v>13488</v>
      </c>
      <c r="G4717" s="3">
        <v>1.0</v>
      </c>
      <c r="H4717" s="3">
        <v>0.0</v>
      </c>
      <c r="I4717" s="3" t="s">
        <v>13</v>
      </c>
      <c r="J4717" s="3" t="s">
        <v>13489</v>
      </c>
      <c r="K4717" s="3" t="s">
        <v>31</v>
      </c>
      <c r="L4717" s="3" t="str">
        <f>IFERROR(__xludf.DUMMYFUNCTION("GOOGLETRANSLATE(F4717,""id"",""en"")"),"work but fit the same as the final pildun")</f>
        <v>work but fit the same as the final pildun</v>
      </c>
    </row>
    <row r="4718" ht="15.75" customHeight="1">
      <c r="A4718" s="1">
        <v>5888.0</v>
      </c>
      <c r="B4718" s="3" t="s">
        <v>13490</v>
      </c>
      <c r="C4718" s="3">
        <v>0.0</v>
      </c>
      <c r="D4718" s="3">
        <v>0.0</v>
      </c>
      <c r="E4718" s="3">
        <v>0.0</v>
      </c>
      <c r="F4718" s="3" t="s">
        <v>13491</v>
      </c>
      <c r="G4718" s="3">
        <v>1.0</v>
      </c>
      <c r="H4718" s="3">
        <v>0.0</v>
      </c>
      <c r="I4718" s="3" t="s">
        <v>13</v>
      </c>
      <c r="J4718" s="3" t="s">
        <v>13492</v>
      </c>
      <c r="K4718" s="3" t="s">
        <v>15</v>
      </c>
      <c r="L4718" s="3" t="str">
        <f>IFERROR(__xludf.DUMMYFUNCTION("GOOGLETRANSLATE(F4718,""id"",""en"")"),"Tai every final team will prepare it to be Pilduun UCL Euro")</f>
        <v>Tai every final team will prepare it to be Pilduun UCL Euro</v>
      </c>
    </row>
    <row r="4719" ht="15.75" customHeight="1">
      <c r="A4719" s="1">
        <v>5889.0</v>
      </c>
      <c r="B4719" s="3" t="s">
        <v>13493</v>
      </c>
      <c r="C4719" s="3">
        <v>0.0</v>
      </c>
      <c r="D4719" s="3">
        <v>0.0</v>
      </c>
      <c r="E4719" s="3">
        <v>0.0</v>
      </c>
      <c r="F4719" s="3" t="s">
        <v>13494</v>
      </c>
      <c r="G4719" s="3">
        <v>1.0</v>
      </c>
      <c r="H4719" s="3">
        <v>0.0</v>
      </c>
      <c r="I4719" s="3" t="s">
        <v>13</v>
      </c>
      <c r="J4719" s="3" t="s">
        <v>13495</v>
      </c>
      <c r="K4719" s="3" t="s">
        <v>31</v>
      </c>
      <c r="L4719" s="3" t="str">
        <f>IFERROR(__xludf.DUMMYFUNCTION("GOOGLETRANSLATE(F4719,""id"",""en"")"),"Yesterday at the evening of the final pildun")</f>
        <v>Yesterday at the evening of the final pildun</v>
      </c>
    </row>
    <row r="4720" ht="15.75" customHeight="1">
      <c r="A4720" s="1">
        <v>5890.0</v>
      </c>
      <c r="B4720" s="3" t="s">
        <v>13496</v>
      </c>
      <c r="C4720" s="3">
        <v>0.0</v>
      </c>
      <c r="D4720" s="3">
        <v>0.0</v>
      </c>
      <c r="E4720" s="3">
        <v>0.0</v>
      </c>
      <c r="F4720" s="3" t="s">
        <v>13497</v>
      </c>
      <c r="G4720" s="3">
        <v>1.0</v>
      </c>
      <c r="H4720" s="3">
        <v>0.0</v>
      </c>
      <c r="I4720" s="3" t="s">
        <v>13</v>
      </c>
      <c r="J4720" s="3" t="s">
        <v>13498</v>
      </c>
      <c r="K4720" s="3" t="s">
        <v>82</v>
      </c>
      <c r="L4720" s="3" t="str">
        <f>IFERROR(__xludf.DUMMYFUNCTION("GOOGLETRANSLATE(F4720,""id"",""en"")"),"calm min, the American Pildun is the Final Italian ration")</f>
        <v>calm min, the American Pildun is the Final Italian ration</v>
      </c>
    </row>
    <row r="4721" ht="15.75" customHeight="1">
      <c r="A4721" s="1">
        <v>5891.0</v>
      </c>
      <c r="B4721" s="3" t="s">
        <v>13499</v>
      </c>
      <c r="C4721" s="3">
        <v>2.0</v>
      </c>
      <c r="D4721" s="3">
        <v>0.0</v>
      </c>
      <c r="E4721" s="3">
        <v>0.0</v>
      </c>
      <c r="F4721" s="3" t="s">
        <v>13500</v>
      </c>
      <c r="G4721" s="3">
        <v>1.0</v>
      </c>
      <c r="H4721" s="3">
        <v>0.0</v>
      </c>
      <c r="I4721" s="3" t="s">
        <v>13</v>
      </c>
      <c r="J4721" s="3" t="s">
        <v>13501</v>
      </c>
      <c r="K4721" s="3" t="s">
        <v>2117</v>
      </c>
      <c r="L4721" s="3" t="str">
        <f>IFERROR(__xludf.DUMMYFUNCTION("GOOGLETRANSLATE(F4721,""id"",""en"")"),"Watch the final of the pildun")</f>
        <v>Watch the final of the pildun</v>
      </c>
    </row>
    <row r="4722" ht="15.75" customHeight="1">
      <c r="A4722" s="1">
        <v>5892.0</v>
      </c>
      <c r="B4722" s="3" t="s">
        <v>13502</v>
      </c>
      <c r="C4722" s="3">
        <v>1.0</v>
      </c>
      <c r="D4722" s="3">
        <v>0.0</v>
      </c>
      <c r="E4722" s="3">
        <v>0.0</v>
      </c>
      <c r="F4722" s="3" t="s">
        <v>13503</v>
      </c>
      <c r="G4722" s="3">
        <v>1.0</v>
      </c>
      <c r="H4722" s="3">
        <v>0.0</v>
      </c>
      <c r="I4722" s="3" t="s">
        <v>13</v>
      </c>
      <c r="J4722" s="3" t="s">
        <v>13504</v>
      </c>
      <c r="K4722" s="3" t="s">
        <v>510</v>
      </c>
      <c r="L4722" s="3" t="str">
        <f>IFERROR(__xludf.DUMMYFUNCTION("GOOGLETRANSLATE(F4722,""id"",""en"")"),"Dodo can also be keknya as well as being the eldest player in the pioneer from the group phase to the final bench")</f>
        <v>Dodo can also be keknya as well as being the eldest player in the pioneer from the group phase to the final bench</v>
      </c>
    </row>
    <row r="4723" ht="15.75" customHeight="1">
      <c r="A4723" s="1">
        <v>5893.0</v>
      </c>
      <c r="B4723" s="3" t="s">
        <v>13505</v>
      </c>
      <c r="C4723" s="3">
        <v>0.0</v>
      </c>
      <c r="D4723" s="3">
        <v>0.0</v>
      </c>
      <c r="E4723" s="3">
        <v>0.0</v>
      </c>
      <c r="F4723" s="3" t="s">
        <v>13506</v>
      </c>
      <c r="G4723" s="3">
        <v>1.0</v>
      </c>
      <c r="H4723" s="3">
        <v>0.0</v>
      </c>
      <c r="I4723" s="3" t="s">
        <v>13</v>
      </c>
      <c r="J4723" s="3" t="s">
        <v>13507</v>
      </c>
      <c r="K4723" s="3" t="s">
        <v>1293</v>
      </c>
      <c r="L4723" s="3" t="str">
        <f>IFERROR(__xludf.DUMMYFUNCTION("GOOGLETRANSLATE(F4723,""id"",""en"")"),"It could be the sabotage of the father yesterday could not watch the final pildun because the channel usually to watch it is missing so that it is told to stream pay hihhh")</f>
        <v>It could be the sabotage of the father yesterday could not watch the final pildun because the channel usually to watch it is missing so that it is told to stream pay hihhh</v>
      </c>
    </row>
    <row r="4724" ht="15.75" customHeight="1">
      <c r="A4724" s="1">
        <v>5894.0</v>
      </c>
      <c r="B4724" s="3" t="s">
        <v>13508</v>
      </c>
      <c r="C4724" s="3">
        <v>0.0</v>
      </c>
      <c r="D4724" s="3">
        <v>0.0</v>
      </c>
      <c r="E4724" s="3">
        <v>0.0</v>
      </c>
      <c r="F4724" s="3" t="s">
        <v>13509</v>
      </c>
      <c r="G4724" s="3">
        <v>1.0</v>
      </c>
      <c r="H4724" s="3">
        <v>0.0</v>
      </c>
      <c r="I4724" s="3" t="s">
        <v>13</v>
      </c>
      <c r="J4724" s="3" t="s">
        <v>13510</v>
      </c>
      <c r="K4724" s="3" t="s">
        <v>27</v>
      </c>
      <c r="L4724" s="3" t="str">
        <f>IFERROR(__xludf.DUMMYFUNCTION("GOOGLETRANSLATE(F4724,""id"",""en"")"),"Njiirrr is really a conspiracy when the final pildun yesterday the channel usually you watch it suddenly lost to be told to stream.")</f>
        <v>Njiirrr is really a conspiracy when the final pildun yesterday the channel usually you watch it suddenly lost to be told to stream.</v>
      </c>
    </row>
    <row r="4725" ht="15.75" customHeight="1">
      <c r="A4725" s="1">
        <v>5895.0</v>
      </c>
      <c r="B4725" s="3" t="s">
        <v>13511</v>
      </c>
      <c r="C4725" s="3">
        <v>0.0</v>
      </c>
      <c r="D4725" s="3">
        <v>0.0</v>
      </c>
      <c r="E4725" s="3">
        <v>0.0</v>
      </c>
      <c r="F4725" s="3" t="s">
        <v>13512</v>
      </c>
      <c r="G4725" s="3">
        <v>0.6625000000000001</v>
      </c>
      <c r="H4725" s="3">
        <v>0.2625</v>
      </c>
      <c r="I4725" s="3" t="s">
        <v>48</v>
      </c>
      <c r="J4725" s="3" t="s">
        <v>13513</v>
      </c>
      <c r="K4725" s="3" t="s">
        <v>13514</v>
      </c>
      <c r="L4725" s="3" t="str">
        <f>IFERROR(__xludf.DUMMYFUNCTION("GOOGLETRANSLATE(F4725,""id"",""en"")"),"The final trend of the Pildun karitan likes to be impromptu ball follows that all Argentina full smile block stupid deck deck deck noh reality gambling hdp draw mnit drew etc. full smile all all all hold Argentina full smile")</f>
        <v>The final trend of the Pildun karitan likes to be impromptu ball follows that all Argentina full smile block stupid deck deck deck noh reality gambling hdp draw mnit drew etc. full smile all all all hold Argentina full smile</v>
      </c>
    </row>
    <row r="4726" ht="15.75" customHeight="1">
      <c r="A4726" s="1">
        <v>5896.0</v>
      </c>
      <c r="B4726" s="3" t="s">
        <v>13515</v>
      </c>
      <c r="C4726" s="3">
        <v>1.0</v>
      </c>
      <c r="D4726" s="3">
        <v>0.0</v>
      </c>
      <c r="E4726" s="3">
        <v>0.0</v>
      </c>
      <c r="F4726" s="3" t="s">
        <v>13516</v>
      </c>
      <c r="G4726" s="3">
        <v>1.0</v>
      </c>
      <c r="H4726" s="3">
        <v>0.0</v>
      </c>
      <c r="I4726" s="3" t="s">
        <v>13</v>
      </c>
      <c r="J4726" s="3" t="s">
        <v>13517</v>
      </c>
      <c r="K4726" s="3" t="s">
        <v>41</v>
      </c>
      <c r="L4726" s="3" t="str">
        <f>IFERROR(__xludf.DUMMYFUNCTION("GOOGLETRANSLATE(F4726,""id"",""en"")"),"hhhhh yesterday led the final ball date dated there was an impromptu pildun")</f>
        <v>hhhhh yesterday led the final ball date dated there was an impromptu pildun</v>
      </c>
    </row>
    <row r="4727" ht="15.75" customHeight="1">
      <c r="A4727" s="1">
        <v>5897.0</v>
      </c>
      <c r="B4727" s="3" t="s">
        <v>13518</v>
      </c>
      <c r="C4727" s="3">
        <v>0.0</v>
      </c>
      <c r="D4727" s="3">
        <v>0.0</v>
      </c>
      <c r="E4727" s="3">
        <v>0.0</v>
      </c>
      <c r="F4727" s="3" t="s">
        <v>13519</v>
      </c>
      <c r="G4727" s="3">
        <v>1.0</v>
      </c>
      <c r="H4727" s="3">
        <v>0.0</v>
      </c>
      <c r="I4727" s="3" t="s">
        <v>13</v>
      </c>
      <c r="J4727" s="3" t="s">
        <v>13520</v>
      </c>
      <c r="K4727" s="3" t="s">
        <v>860</v>
      </c>
      <c r="L4727" s="3" t="str">
        <f>IFERROR(__xludf.DUMMYFUNCTION("GOOGLETRANSLATE(F4727,""id"",""en"")"),"I was surprised by the people who said the final pildun settings until even won the settings, they saw the final matching, how to attack each other")</f>
        <v>I was surprised by the people who said the final pildun settings until even won the settings, they saw the final matching, how to attack each other</v>
      </c>
    </row>
    <row r="4728" ht="15.75" customHeight="1">
      <c r="A4728" s="1">
        <v>5898.0</v>
      </c>
      <c r="B4728" s="3" t="s">
        <v>13521</v>
      </c>
      <c r="C4728" s="3">
        <v>1.0</v>
      </c>
      <c r="D4728" s="3">
        <v>0.0</v>
      </c>
      <c r="E4728" s="3">
        <v>0.0</v>
      </c>
      <c r="F4728" s="3" t="s">
        <v>13522</v>
      </c>
      <c r="G4728" s="3">
        <v>1.0</v>
      </c>
      <c r="H4728" s="3">
        <v>0.0</v>
      </c>
      <c r="I4728" s="3" t="s">
        <v>13</v>
      </c>
      <c r="J4728" s="3" t="s">
        <v>13523</v>
      </c>
      <c r="K4728" s="3" t="s">
        <v>82</v>
      </c>
      <c r="L4728" s="3" t="str">
        <f>IFERROR(__xludf.DUMMYFUNCTION("GOOGLETRANSLATE(F4728,""id"",""en"")"),"Lastly, when you're the final, you disappeared")</f>
        <v>Lastly, when you're the final, you disappeared</v>
      </c>
    </row>
    <row r="4729" ht="15.75" customHeight="1">
      <c r="A4729" s="1">
        <v>5899.0</v>
      </c>
      <c r="B4729" s="3" t="s">
        <v>13524</v>
      </c>
      <c r="C4729" s="3">
        <v>0.0</v>
      </c>
      <c r="D4729" s="3">
        <v>0.0</v>
      </c>
      <c r="E4729" s="3">
        <v>0.0</v>
      </c>
      <c r="F4729" s="3" t="s">
        <v>13525</v>
      </c>
      <c r="G4729" s="3">
        <v>0.5266666666666666</v>
      </c>
      <c r="H4729" s="3">
        <v>0.09333333333333334</v>
      </c>
      <c r="I4729" s="3" t="s">
        <v>48</v>
      </c>
      <c r="J4729" s="3" t="s">
        <v>13526</v>
      </c>
      <c r="K4729" s="3" t="s">
        <v>1854</v>
      </c>
      <c r="L4729" s="3" t="str">
        <f>IFERROR(__xludf.DUMMYFUNCTION("GOOGLETRANSLATE(F4729,""id"",""en"")"),"Normal Pildun is only a host country's strange schedule for day and afternoon for the sake of normal europe overalls just lift the trophy when the sky is not too dark because the final playing the Russian clock is not magnificent and")</f>
        <v>Normal Pildun is only a host country's strange schedule for day and afternoon for the sake of normal europe overalls just lift the trophy when the sky is not too dark because the final playing the Russian clock is not magnificent and</v>
      </c>
    </row>
    <row r="4730" ht="15.75" customHeight="1">
      <c r="A4730" s="1">
        <v>5900.0</v>
      </c>
      <c r="B4730" s="3" t="s">
        <v>13527</v>
      </c>
      <c r="C4730" s="3">
        <v>0.0</v>
      </c>
      <c r="D4730" s="3">
        <v>0.0</v>
      </c>
      <c r="E4730" s="3">
        <v>0.0</v>
      </c>
      <c r="F4730" s="3" t="s">
        <v>13528</v>
      </c>
      <c r="G4730" s="3">
        <v>1.0</v>
      </c>
      <c r="H4730" s="3">
        <v>0.0</v>
      </c>
      <c r="I4730" s="3" t="s">
        <v>13</v>
      </c>
      <c r="J4730" s="3" t="s">
        <v>13529</v>
      </c>
      <c r="K4730" s="3" t="s">
        <v>1421</v>
      </c>
      <c r="L4730" s="3" t="str">
        <f>IFERROR(__xludf.DUMMYFUNCTION("GOOGLETRANSLATE(F4730,""id"",""en"")"),"All French Final Pilduun and All Amin Final Pildun yaa")</f>
        <v>All French Final Pilduun and All Amin Final Pildun yaa</v>
      </c>
    </row>
    <row r="4731" ht="15.75" customHeight="1">
      <c r="A4731" s="1">
        <v>5901.0</v>
      </c>
      <c r="B4731" s="3" t="s">
        <v>13530</v>
      </c>
      <c r="C4731" s="3">
        <v>0.0</v>
      </c>
      <c r="D4731" s="3">
        <v>0.0</v>
      </c>
      <c r="E4731" s="3">
        <v>0.0</v>
      </c>
      <c r="F4731" s="3" t="s">
        <v>13531</v>
      </c>
      <c r="G4731" s="3">
        <v>1.0</v>
      </c>
      <c r="H4731" s="3">
        <v>0.0</v>
      </c>
      <c r="I4731" s="3" t="s">
        <v>13</v>
      </c>
      <c r="J4731" s="3" t="s">
        <v>13532</v>
      </c>
      <c r="K4731" s="3" t="s">
        <v>54</v>
      </c>
      <c r="L4731" s="3" t="str">
        <f>IFERROR(__xludf.DUMMYFUNCTION("GOOGLETRANSLATE(F4731,""id"",""en"")"),"demean day only from the final pildun")</f>
        <v>demean day only from the final pildun</v>
      </c>
    </row>
    <row r="4732" ht="15.75" customHeight="1">
      <c r="A4732" s="1">
        <v>5902.0</v>
      </c>
      <c r="B4732" s="3" t="s">
        <v>13533</v>
      </c>
      <c r="C4732" s="3">
        <v>0.0</v>
      </c>
      <c r="D4732" s="3">
        <v>0.0</v>
      </c>
      <c r="E4732" s="3">
        <v>0.0</v>
      </c>
      <c r="F4732" s="3" t="s">
        <v>13534</v>
      </c>
      <c r="G4732" s="3">
        <v>0.8</v>
      </c>
      <c r="H4732" s="3">
        <v>-0.05</v>
      </c>
      <c r="I4732" s="3" t="s">
        <v>179</v>
      </c>
      <c r="J4732" s="3" t="s">
        <v>13535</v>
      </c>
      <c r="K4732" s="3" t="s">
        <v>15</v>
      </c>
      <c r="L4732" s="3" t="str">
        <f>IFERROR(__xludf.DUMMYFUNCTION("GOOGLETRANSLATE(F4732,""id"",""en"")"),"At least the idol has entered the final pildun first, wkwk")</f>
        <v>At least the idol has entered the final pildun first, wkwk</v>
      </c>
    </row>
    <row r="4733" ht="15.75" customHeight="1">
      <c r="A4733" s="1">
        <v>5903.0</v>
      </c>
      <c r="B4733" s="3" t="s">
        <v>13536</v>
      </c>
      <c r="C4733" s="3">
        <v>0.0</v>
      </c>
      <c r="D4733" s="3">
        <v>0.0</v>
      </c>
      <c r="E4733" s="3">
        <v>0.0</v>
      </c>
      <c r="F4733" s="3" t="s">
        <v>13537</v>
      </c>
      <c r="G4733" s="3">
        <v>1.0</v>
      </c>
      <c r="H4733" s="3">
        <v>0.0</v>
      </c>
      <c r="I4733" s="3" t="s">
        <v>13</v>
      </c>
      <c r="J4733" s="3" t="s">
        <v>13538</v>
      </c>
      <c r="K4733" s="3" t="s">
        <v>75</v>
      </c>
      <c r="L4733" s="3" t="str">
        <f>IFERROR(__xludf.DUMMYFUNCTION("GOOGLETRANSLATE(F4733,""id"",""en"")"),"Very nervous looking at once taking the final penalty of Pilduun ajggg wkwkwkw")</f>
        <v>Very nervous looking at once taking the final penalty of Pilduun ajggg wkwkwkw</v>
      </c>
    </row>
    <row r="4734" ht="15.75" customHeight="1">
      <c r="A4734" s="1">
        <v>5904.0</v>
      </c>
      <c r="B4734" s="3" t="s">
        <v>13539</v>
      </c>
      <c r="C4734" s="3">
        <v>0.0</v>
      </c>
      <c r="D4734" s="3">
        <v>0.0</v>
      </c>
      <c r="E4734" s="3">
        <v>1.0</v>
      </c>
      <c r="F4734" s="3" t="s">
        <v>13540</v>
      </c>
      <c r="G4734" s="3">
        <v>1.0</v>
      </c>
      <c r="H4734" s="3">
        <v>0.0</v>
      </c>
      <c r="I4734" s="3" t="s">
        <v>13</v>
      </c>
      <c r="J4734" s="3" t="s">
        <v>13541</v>
      </c>
      <c r="K4734" s="3" t="s">
        <v>31</v>
      </c>
      <c r="L4734" s="3" t="str">
        <f>IFERROR(__xludf.DUMMYFUNCTION("GOOGLETRANSLATE(F4734,""id"",""en"")"),"VOICE OF THE FINAL OF THE FINAL PILDUN")</f>
        <v>VOICE OF THE FINAL OF THE FINAL PILDUN</v>
      </c>
    </row>
    <row r="4735" ht="15.75" customHeight="1">
      <c r="A4735" s="1">
        <v>5905.0</v>
      </c>
      <c r="B4735" s="3" t="s">
        <v>13542</v>
      </c>
      <c r="C4735" s="3">
        <v>1.0</v>
      </c>
      <c r="D4735" s="3">
        <v>0.0</v>
      </c>
      <c r="E4735" s="3">
        <v>1.0</v>
      </c>
      <c r="F4735" s="3" t="s">
        <v>13543</v>
      </c>
      <c r="G4735" s="3">
        <v>1.0</v>
      </c>
      <c r="H4735" s="3">
        <v>0.0</v>
      </c>
      <c r="I4735" s="3" t="s">
        <v>13</v>
      </c>
      <c r="J4735" s="3" t="s">
        <v>13544</v>
      </c>
      <c r="K4735" s="3" t="s">
        <v>41</v>
      </c>
      <c r="L4735" s="3" t="str">
        <f>IFERROR(__xludf.DUMMYFUNCTION("GOOGLETRANSLATE(F4735,""id"",""en"")"),"Arga Iza is suspicious of you betting the Final Pilduun Hanz and your friend")</f>
        <v>Arga Iza is suspicious of you betting the Final Pilduun Hanz and your friend</v>
      </c>
    </row>
    <row r="4736" ht="15.75" customHeight="1">
      <c r="A4736" s="1">
        <v>5906.0</v>
      </c>
      <c r="B4736" s="3" t="s">
        <v>13545</v>
      </c>
      <c r="C4736" s="3">
        <v>0.0</v>
      </c>
      <c r="D4736" s="3">
        <v>0.0</v>
      </c>
      <c r="E4736" s="3">
        <v>0.0</v>
      </c>
      <c r="F4736" s="3" t="s">
        <v>13546</v>
      </c>
      <c r="G4736" s="3">
        <v>1.0</v>
      </c>
      <c r="H4736" s="3">
        <v>0.0</v>
      </c>
      <c r="I4736" s="3" t="s">
        <v>13</v>
      </c>
      <c r="J4736" s="3" t="s">
        <v>13547</v>
      </c>
      <c r="K4736" s="3" t="s">
        <v>1824</v>
      </c>
      <c r="L4736" s="3" t="str">
        <f>IFERROR(__xludf.DUMMYFUNCTION("GOOGLETRANSLATE(F4736,""id"",""en"")"),"Going to Chinatown Buy Samurai Indah Samurai Movers of Koh Final Pildun Already After Happy Activities Monday Minimal Want to Know What Profile Numbers already in Immawan Immawati All FYI Medkom DPD IMM Central Java")</f>
        <v>Going to Chinatown Buy Samurai Indah Samurai Movers of Koh Final Pildun Already After Happy Activities Monday Minimal Want to Know What Profile Numbers already in Immawan Immawati All FYI Medkom DPD IMM Central Java</v>
      </c>
    </row>
    <row r="4737" ht="15.75" customHeight="1">
      <c r="A4737" s="1">
        <v>5907.0</v>
      </c>
      <c r="B4737" s="3" t="s">
        <v>13548</v>
      </c>
      <c r="C4737" s="3">
        <v>0.0</v>
      </c>
      <c r="D4737" s="3">
        <v>0.0</v>
      </c>
      <c r="E4737" s="3">
        <v>0.0</v>
      </c>
      <c r="F4737" s="3" t="s">
        <v>13549</v>
      </c>
      <c r="G4737" s="3">
        <v>0.8</v>
      </c>
      <c r="H4737" s="3">
        <v>-0.15</v>
      </c>
      <c r="I4737" s="3" t="s">
        <v>179</v>
      </c>
      <c r="J4737" s="3" t="s">
        <v>13550</v>
      </c>
      <c r="K4737" s="3" t="s">
        <v>31</v>
      </c>
      <c r="L4737" s="3" t="str">
        <f>IFERROR(__xludf.DUMMYFUNCTION("GOOGLETRANSLATE(F4737,""id"",""en"")"),"still ringing ngiang final pildun duh")</f>
        <v>still ringing ngiang final pildun duh</v>
      </c>
    </row>
    <row r="4738" ht="15.75" customHeight="1">
      <c r="A4738" s="1">
        <v>5908.0</v>
      </c>
      <c r="B4738" s="3" t="s">
        <v>13551</v>
      </c>
      <c r="C4738" s="3">
        <v>1.0</v>
      </c>
      <c r="D4738" s="3">
        <v>0.0</v>
      </c>
      <c r="E4738" s="3">
        <v>0.0</v>
      </c>
      <c r="F4738" s="3" t="s">
        <v>13552</v>
      </c>
      <c r="G4738" s="3">
        <v>1.0</v>
      </c>
      <c r="H4738" s="3">
        <v>0.0</v>
      </c>
      <c r="I4738" s="3" t="s">
        <v>13</v>
      </c>
      <c r="J4738" s="3" t="s">
        <v>13553</v>
      </c>
      <c r="K4738" s="3" t="s">
        <v>82</v>
      </c>
      <c r="L4738" s="3" t="str">
        <f>IFERROR(__xludf.DUMMYFUNCTION("GOOGLETRANSLATE(F4738,""id"",""en"")"),"Bestboy there is our dongg, friend, hooray the final pildun yesterday")</f>
        <v>Bestboy there is our dongg, friend, hooray the final pildun yesterday</v>
      </c>
    </row>
    <row r="4739" ht="15.75" customHeight="1">
      <c r="A4739" s="1">
        <v>5909.0</v>
      </c>
      <c r="B4739" s="3" t="s">
        <v>13554</v>
      </c>
      <c r="C4739" s="3">
        <v>1.0</v>
      </c>
      <c r="D4739" s="3">
        <v>0.0</v>
      </c>
      <c r="E4739" s="3">
        <v>1.0</v>
      </c>
      <c r="F4739" s="3" t="s">
        <v>13555</v>
      </c>
      <c r="G4739" s="3">
        <v>1.0</v>
      </c>
      <c r="H4739" s="3">
        <v>0.0</v>
      </c>
      <c r="I4739" s="3" t="s">
        <v>13</v>
      </c>
      <c r="J4739" s="3" t="s">
        <v>13556</v>
      </c>
      <c r="K4739" s="3" t="s">
        <v>695</v>
      </c>
      <c r="L4739" s="3" t="str">
        <f>IFERROR(__xludf.DUMMYFUNCTION("GOOGLETRANSLATE(F4739,""id"",""en"")"),"so curious like the final of the KMren Pildun when the Argentina French penalties are there, there are some who managed")</f>
        <v>so curious like the final of the KMren Pildun when the Argentina French penalties are there, there are some who managed</v>
      </c>
    </row>
    <row r="4740" ht="15.75" customHeight="1">
      <c r="A4740" s="1">
        <v>5910.0</v>
      </c>
      <c r="B4740" s="3" t="s">
        <v>13557</v>
      </c>
      <c r="C4740" s="3">
        <v>1.0</v>
      </c>
      <c r="D4740" s="3">
        <v>0.0</v>
      </c>
      <c r="E4740" s="3">
        <v>2.0</v>
      </c>
      <c r="F4740" s="3" t="s">
        <v>13558</v>
      </c>
      <c r="G4740" s="3">
        <v>1.0</v>
      </c>
      <c r="H4740" s="3">
        <v>0.0</v>
      </c>
      <c r="I4740" s="3" t="s">
        <v>13</v>
      </c>
      <c r="J4740" s="3" t="s">
        <v>13559</v>
      </c>
      <c r="K4740" s="3" t="s">
        <v>41</v>
      </c>
      <c r="L4740" s="3" t="str">
        <f>IFERROR(__xludf.DUMMYFUNCTION("GOOGLETRANSLATE(F4740,""id"",""en"")"),"if you want to watch the re -broadcast of the final pildun pildun, where is the commentary")</f>
        <v>if you want to watch the re -broadcast of the final pildun pildun, where is the commentary</v>
      </c>
    </row>
    <row r="4741" ht="15.75" customHeight="1">
      <c r="A4741" s="1">
        <v>5911.0</v>
      </c>
      <c r="B4741" s="3" t="s">
        <v>13560</v>
      </c>
      <c r="C4741" s="3">
        <v>0.0</v>
      </c>
      <c r="D4741" s="3">
        <v>0.0</v>
      </c>
      <c r="E4741" s="3">
        <v>0.0</v>
      </c>
      <c r="F4741" s="3" t="s">
        <v>13561</v>
      </c>
      <c r="G4741" s="3">
        <v>1.0</v>
      </c>
      <c r="H4741" s="3">
        <v>0.0</v>
      </c>
      <c r="I4741" s="3" t="s">
        <v>13</v>
      </c>
      <c r="J4741" s="3" t="s">
        <v>13562</v>
      </c>
      <c r="K4741" s="3" t="s">
        <v>123</v>
      </c>
      <c r="L4741" s="3" t="str">
        <f>IFERROR(__xludf.DUMMYFUNCTION("GOOGLETRANSLATE(F4741,""id"",""en"")"),"The public is treated to the final match of the pildun very, the epic is forgotten that King Emyu King Barsa is waiting for us in the year")</f>
        <v>The public is treated to the final match of the pildun very, the epic is forgotten that King Emyu King Barsa is waiting for us in the year</v>
      </c>
    </row>
    <row r="4742" ht="15.75" customHeight="1">
      <c r="A4742" s="1">
        <v>5912.0</v>
      </c>
      <c r="B4742" s="3" t="s">
        <v>13563</v>
      </c>
      <c r="C4742" s="3">
        <v>1.0</v>
      </c>
      <c r="D4742" s="3">
        <v>0.0</v>
      </c>
      <c r="E4742" s="3">
        <v>0.0</v>
      </c>
      <c r="F4742" s="3" t="s">
        <v>13564</v>
      </c>
      <c r="G4742" s="3">
        <v>1.0</v>
      </c>
      <c r="H4742" s="3">
        <v>0.0</v>
      </c>
      <c r="I4742" s="3" t="s">
        <v>13</v>
      </c>
      <c r="J4742" s="3" t="s">
        <v>13565</v>
      </c>
      <c r="K4742" s="3" t="s">
        <v>54</v>
      </c>
      <c r="L4742" s="3" t="str">
        <f>IFERROR(__xludf.DUMMYFUNCTION("GOOGLETRANSLATE(F4742,""id"",""en"")"),"Archie Friend Ngehype Final Pildun Kmarenn")</f>
        <v>Archie Friend Ngehype Final Pildun Kmarenn</v>
      </c>
    </row>
    <row r="4743" ht="15.75" customHeight="1">
      <c r="A4743" s="1">
        <v>5913.0</v>
      </c>
      <c r="B4743" s="3" t="s">
        <v>13566</v>
      </c>
      <c r="C4743" s="3">
        <v>1.0</v>
      </c>
      <c r="D4743" s="3">
        <v>0.0</v>
      </c>
      <c r="E4743" s="3">
        <v>7.0</v>
      </c>
      <c r="F4743" s="3" t="s">
        <v>13567</v>
      </c>
      <c r="G4743" s="3">
        <v>1.0</v>
      </c>
      <c r="H4743" s="3">
        <v>0.0</v>
      </c>
      <c r="I4743" s="3" t="s">
        <v>13</v>
      </c>
      <c r="J4743" s="3" t="s">
        <v>13568</v>
      </c>
      <c r="K4743" s="3" t="s">
        <v>127</v>
      </c>
      <c r="L4743" s="3" t="str">
        <f>IFERROR(__xludf.DUMMYFUNCTION("GOOGLETRANSLATE(F4743,""id"",""en"")"),"Javier Chicharito Hernandez Gacor Pildun became the mainstay of Ferguson duet with Rooney won the Premier League and translucent Champions League final")</f>
        <v>Javier Chicharito Hernandez Gacor Pildun became the mainstay of Ferguson duet with Rooney won the Premier League and translucent Champions League final</v>
      </c>
    </row>
    <row r="4744" ht="15.75" customHeight="1">
      <c r="A4744" s="1">
        <v>5914.0</v>
      </c>
      <c r="B4744" s="3" t="s">
        <v>13569</v>
      </c>
      <c r="C4744" s="3">
        <v>1.0</v>
      </c>
      <c r="D4744" s="3">
        <v>0.0</v>
      </c>
      <c r="E4744" s="3">
        <v>6.0</v>
      </c>
      <c r="F4744" s="3" t="s">
        <v>13570</v>
      </c>
      <c r="G4744" s="3">
        <v>1.0</v>
      </c>
      <c r="H4744" s="3">
        <v>0.0</v>
      </c>
      <c r="I4744" s="3" t="s">
        <v>13</v>
      </c>
      <c r="J4744" s="3" t="s">
        <v>13571</v>
      </c>
      <c r="K4744" s="3" t="s">
        <v>19</v>
      </c>
      <c r="L4744" s="3" t="str">
        <f>IFERROR(__xludf.DUMMYFUNCTION("GOOGLETRANSLATE(F4744,""id"",""en"")"),"Retirement back to bring the champion Ronaldo piledun just stuck the quarter -finals carried by PFFTT")</f>
        <v>Retirement back to bring the champion Ronaldo piledun just stuck the quarter -finals carried by PFFTT</v>
      </c>
    </row>
    <row r="4745" ht="15.75" customHeight="1">
      <c r="A4745" s="1">
        <v>5915.0</v>
      </c>
      <c r="B4745" s="3" t="s">
        <v>13572</v>
      </c>
      <c r="C4745" s="3">
        <v>0.0</v>
      </c>
      <c r="D4745" s="3">
        <v>0.0</v>
      </c>
      <c r="E4745" s="3">
        <v>0.0</v>
      </c>
      <c r="F4745" s="3" t="s">
        <v>13573</v>
      </c>
      <c r="G4745" s="3">
        <v>1.0</v>
      </c>
      <c r="H4745" s="3">
        <v>0.0</v>
      </c>
      <c r="I4745" s="3" t="s">
        <v>13</v>
      </c>
      <c r="J4745" s="3" t="s">
        <v>13574</v>
      </c>
      <c r="K4745" s="3" t="s">
        <v>54</v>
      </c>
      <c r="L4745" s="3" t="str">
        <f>IFERROR(__xludf.DUMMYFUNCTION("GOOGLETRANSLATE(F4745,""id"",""en"")"),"so have lost the final pildun bro")</f>
        <v>so have lost the final pildun bro</v>
      </c>
    </row>
    <row r="4746" ht="15.75" customHeight="1">
      <c r="A4746" s="1">
        <v>5916.0</v>
      </c>
      <c r="B4746" s="3" t="s">
        <v>13575</v>
      </c>
      <c r="C4746" s="3">
        <v>0.0</v>
      </c>
      <c r="D4746" s="3">
        <v>0.0</v>
      </c>
      <c r="E4746" s="3">
        <v>0.0</v>
      </c>
      <c r="F4746" s="3" t="s">
        <v>13576</v>
      </c>
      <c r="G4746" s="3">
        <v>1.0</v>
      </c>
      <c r="H4746" s="3">
        <v>0.0</v>
      </c>
      <c r="I4746" s="3" t="s">
        <v>13</v>
      </c>
      <c r="J4746" s="3" t="s">
        <v>13577</v>
      </c>
      <c r="K4746" s="3" t="s">
        <v>127</v>
      </c>
      <c r="L4746" s="3" t="str">
        <f>IFERROR(__xludf.DUMMYFUNCTION("GOOGLETRANSLATE(F4746,""id"",""en"")"),"wkwkwk instead there is a post so he said from the pile of the year brp yak there must always be an inter final player both champions or runners")</f>
        <v>wkwkwk instead there is a post so he said from the pile of the year brp yak there must always be an inter final player both champions or runners</v>
      </c>
    </row>
    <row r="4747" ht="15.75" customHeight="1">
      <c r="A4747" s="1">
        <v>5917.0</v>
      </c>
      <c r="B4747" s="3" t="s">
        <v>13578</v>
      </c>
      <c r="C4747" s="3">
        <v>0.0</v>
      </c>
      <c r="D4747" s="3">
        <v>0.0</v>
      </c>
      <c r="E4747" s="3">
        <v>1.0</v>
      </c>
      <c r="F4747" s="3" t="s">
        <v>13579</v>
      </c>
      <c r="G4747" s="3">
        <v>1.0</v>
      </c>
      <c r="H4747" s="3">
        <v>0.0</v>
      </c>
      <c r="I4747" s="3" t="s">
        <v>13</v>
      </c>
      <c r="J4747" s="3" t="s">
        <v>13580</v>
      </c>
      <c r="K4747" s="3" t="s">
        <v>15</v>
      </c>
      <c r="L4747" s="3" t="str">
        <f>IFERROR(__xludf.DUMMYFUNCTION("GOOGLETRANSLATE(F4747,""id"",""en"")"),"The story will be if Messi is still Barca Trs Final Pildun Spain")</f>
        <v>The story will be if Messi is still Barca Trs Final Pildun Spain</v>
      </c>
    </row>
    <row r="4748" ht="15.75" customHeight="1">
      <c r="A4748" s="1">
        <v>5918.0</v>
      </c>
      <c r="B4748" s="3" t="s">
        <v>13581</v>
      </c>
      <c r="C4748" s="3">
        <v>0.0</v>
      </c>
      <c r="D4748" s="3">
        <v>0.0</v>
      </c>
      <c r="E4748" s="3">
        <v>0.0</v>
      </c>
      <c r="F4748" s="3" t="s">
        <v>13582</v>
      </c>
      <c r="G4748" s="3">
        <v>1.0</v>
      </c>
      <c r="H4748" s="3">
        <v>0.0</v>
      </c>
      <c r="I4748" s="3" t="s">
        <v>13</v>
      </c>
      <c r="J4748" s="3" t="s">
        <v>13583</v>
      </c>
      <c r="K4748" s="3" t="s">
        <v>13584</v>
      </c>
      <c r="L4748" s="3" t="str">
        <f>IFERROR(__xludf.DUMMYFUNCTION("GOOGLETRANSLATE(F4748,""id"",""en"")"),"I was so very thinking that the final pildun watched the final of the pildun watching with the Final Adek Pildun Nobar One Pondok Final Pildun watching with college friends Final Pildun watching with")</f>
        <v>I was so very thinking that the final pildun watched the final of the pildun watching with the Final Adek Pildun Nobar One Pondok Final Pildun watching with college friends Final Pildun watching with</v>
      </c>
    </row>
    <row r="4749" ht="15.75" customHeight="1">
      <c r="A4749" s="1">
        <v>5919.0</v>
      </c>
      <c r="B4749" s="3" t="s">
        <v>13585</v>
      </c>
      <c r="C4749" s="3">
        <v>1.0</v>
      </c>
      <c r="D4749" s="3">
        <v>0.0</v>
      </c>
      <c r="E4749" s="3">
        <v>0.0</v>
      </c>
      <c r="F4749" s="3" t="s">
        <v>13586</v>
      </c>
      <c r="G4749" s="3">
        <v>0.6666666666666666</v>
      </c>
      <c r="H4749" s="3">
        <v>0.08333333333333333</v>
      </c>
      <c r="I4749" s="3" t="s">
        <v>48</v>
      </c>
      <c r="J4749" s="3" t="s">
        <v>13587</v>
      </c>
      <c r="K4749" s="3" t="s">
        <v>13588</v>
      </c>
      <c r="L4749" s="3" t="str">
        <f>IFERROR(__xludf.DUMMYFUNCTION("GOOGLETRANSLATE(F4749,""id"",""en"")"),"During the final Pilduun yesterday Argentina France was very exciting tense and tightening and raging nodes well, the country played a feeling of turbulent feeling when I scored a goal for Argentia.")</f>
        <v>During the final Pilduun yesterday Argentina France was very exciting tense and tightening and raging nodes well, the country played a feeling of turbulent feeling when I scored a goal for Argentia.</v>
      </c>
    </row>
    <row r="4750" ht="15.75" customHeight="1">
      <c r="A4750" s="1">
        <v>5920.0</v>
      </c>
      <c r="B4750" s="3" t="s">
        <v>13589</v>
      </c>
      <c r="C4750" s="3">
        <v>1.0</v>
      </c>
      <c r="D4750" s="3">
        <v>0.0</v>
      </c>
      <c r="E4750" s="3">
        <v>0.0</v>
      </c>
      <c r="F4750" s="3" t="s">
        <v>13590</v>
      </c>
      <c r="G4750" s="3">
        <v>0.7777777777777777</v>
      </c>
      <c r="H4750" s="3">
        <v>0.05555555555555555</v>
      </c>
      <c r="I4750" s="3" t="s">
        <v>48</v>
      </c>
      <c r="J4750" s="3" t="s">
        <v>13591</v>
      </c>
      <c r="K4750" s="3" t="s">
        <v>4281</v>
      </c>
      <c r="L4750" s="3" t="str">
        <f>IFERROR(__xludf.DUMMYFUNCTION("GOOGLETRANSLATE(F4750,""id"",""en"")"),"The story of Pilduun yesterday actually supported the German Britain France just because the German British instead of focusing on playing football instead the campaign of Yaudalaa was lazy to see Maroco unexpected")</f>
        <v>The story of Pilduun yesterday actually supported the German Britain France just because the German British instead of focusing on playing football instead the campaign of Yaudalaa was lazy to see Maroco unexpected</v>
      </c>
    </row>
    <row r="4751" ht="15.75" customHeight="1">
      <c r="A4751" s="1">
        <v>5921.0</v>
      </c>
      <c r="B4751" s="3" t="s">
        <v>13592</v>
      </c>
      <c r="C4751" s="3">
        <v>0.0</v>
      </c>
      <c r="D4751" s="3">
        <v>0.0</v>
      </c>
      <c r="E4751" s="3">
        <v>0.0</v>
      </c>
      <c r="F4751" s="3" t="s">
        <v>13593</v>
      </c>
      <c r="G4751" s="3">
        <v>1.0</v>
      </c>
      <c r="H4751" s="3">
        <v>0.0</v>
      </c>
      <c r="I4751" s="3" t="s">
        <v>13</v>
      </c>
      <c r="J4751" s="3" t="s">
        <v>13594</v>
      </c>
      <c r="K4751" s="3" t="s">
        <v>94</v>
      </c>
      <c r="L4751" s="3" t="str">
        <f>IFERROR(__xludf.DUMMYFUNCTION("GOOGLETRANSLATE(F4751,""id"",""en"")"),"Finally, amateur fans began to disappear from the veranda still about the pildun for ciwi posting about the pildun I knew you were just a cafe with crush, so that you were commented on watching the final you also supported the club heleh I know your mind")</f>
        <v>Finally, amateur fans began to disappear from the veranda still about the pildun for ciwi posting about the pildun I knew you were just a cafe with crush, so that you were commented on watching the final you also supported the club heleh I know your mind</v>
      </c>
    </row>
    <row r="4752" ht="15.75" customHeight="1">
      <c r="A4752" s="1">
        <v>5922.0</v>
      </c>
      <c r="B4752" s="3" t="s">
        <v>13595</v>
      </c>
      <c r="C4752" s="3">
        <v>6.0</v>
      </c>
      <c r="D4752" s="3">
        <v>8.0</v>
      </c>
      <c r="E4752" s="3">
        <v>58.0</v>
      </c>
      <c r="F4752" s="3" t="s">
        <v>13596</v>
      </c>
      <c r="G4752" s="3">
        <v>1.0</v>
      </c>
      <c r="H4752" s="3">
        <v>0.0</v>
      </c>
      <c r="I4752" s="3" t="s">
        <v>13</v>
      </c>
      <c r="J4752" s="3" t="s">
        <v>13597</v>
      </c>
      <c r="K4752" s="3" t="s">
        <v>41</v>
      </c>
      <c r="L4752" s="3" t="str">
        <f>IFERROR(__xludf.DUMMYFUNCTION("GOOGLETRANSLATE(F4752,""id"",""en"")"),"hardline fans and reportedly already decorated long before the final pildun")</f>
        <v>hardline fans and reportedly already decorated long before the final pildun</v>
      </c>
    </row>
    <row r="4753" ht="15.75" customHeight="1">
      <c r="A4753" s="1">
        <v>5923.0</v>
      </c>
      <c r="B4753" s="3" t="s">
        <v>13598</v>
      </c>
      <c r="C4753" s="3">
        <v>0.0</v>
      </c>
      <c r="D4753" s="3">
        <v>0.0</v>
      </c>
      <c r="E4753" s="3">
        <v>0.0</v>
      </c>
      <c r="F4753" s="3" t="s">
        <v>13599</v>
      </c>
      <c r="G4753" s="3">
        <v>1.0</v>
      </c>
      <c r="H4753" s="3">
        <v>0.0</v>
      </c>
      <c r="I4753" s="3" t="s">
        <v>13</v>
      </c>
      <c r="J4753" s="3" t="s">
        <v>13600</v>
      </c>
      <c r="K4753" s="3" t="s">
        <v>725</v>
      </c>
      <c r="L4753" s="3" t="str">
        <f>IFERROR(__xludf.DUMMYFUNCTION("GOOGLETRANSLATE(F4753,""id"",""en"")"),"Rame about many of the most sudden soccer politicians after the final pildun nanggepin, just stay quiet again, how come the poster or flyer needs to be distributed again, right?")</f>
        <v>Rame about many of the most sudden soccer politicians after the final pildun nanggepin, just stay quiet again, how come the poster or flyer needs to be distributed again, right?</v>
      </c>
    </row>
    <row r="4754" ht="15.75" customHeight="1">
      <c r="A4754" s="1">
        <v>5924.0</v>
      </c>
      <c r="B4754" s="3" t="s">
        <v>13601</v>
      </c>
      <c r="C4754" s="3">
        <v>0.0</v>
      </c>
      <c r="D4754" s="3">
        <v>0.0</v>
      </c>
      <c r="E4754" s="3">
        <v>0.0</v>
      </c>
      <c r="F4754" s="3" t="s">
        <v>13602</v>
      </c>
      <c r="G4754" s="3">
        <v>1.0</v>
      </c>
      <c r="H4754" s="3">
        <v>0.0</v>
      </c>
      <c r="I4754" s="3" t="s">
        <v>13</v>
      </c>
      <c r="J4754" s="3" t="s">
        <v>13603</v>
      </c>
      <c r="K4754" s="3" t="s">
        <v>15</v>
      </c>
      <c r="L4754" s="3" t="str">
        <f>IFERROR(__xludf.DUMMYFUNCTION("GOOGLETRANSLATE(F4754,""id"",""en"")"),"staying up late the headaches of headaches just now")</f>
        <v>staying up late the headaches of headaches just now</v>
      </c>
    </row>
    <row r="4755" ht="15.75" customHeight="1">
      <c r="A4755" s="1">
        <v>5925.0</v>
      </c>
      <c r="B4755" s="3" t="s">
        <v>13604</v>
      </c>
      <c r="C4755" s="3">
        <v>0.0</v>
      </c>
      <c r="D4755" s="3">
        <v>0.0</v>
      </c>
      <c r="E4755" s="3">
        <v>0.0</v>
      </c>
      <c r="F4755" s="3" t="s">
        <v>13605</v>
      </c>
      <c r="G4755" s="3">
        <v>1.0</v>
      </c>
      <c r="H4755" s="3">
        <v>0.0</v>
      </c>
      <c r="I4755" s="3" t="s">
        <v>13</v>
      </c>
      <c r="J4755" s="3" t="s">
        <v>13606</v>
      </c>
      <c r="K4755" s="3" t="s">
        <v>2117</v>
      </c>
      <c r="L4755" s="3" t="str">
        <f>IFERROR(__xludf.DUMMYFUNCTION("GOOGLETRANSLATE(F4755,""id"",""en"")"),"don't see the final pildun")</f>
        <v>don't see the final pildun</v>
      </c>
    </row>
    <row r="4756" ht="15.75" customHeight="1">
      <c r="A4756" s="1">
        <v>5926.0</v>
      </c>
      <c r="B4756" s="3" t="s">
        <v>13607</v>
      </c>
      <c r="C4756" s="3">
        <v>0.0</v>
      </c>
      <c r="D4756" s="3">
        <v>0.0</v>
      </c>
      <c r="E4756" s="3">
        <v>0.0</v>
      </c>
      <c r="F4756" s="3" t="s">
        <v>13608</v>
      </c>
      <c r="G4756" s="3">
        <v>1.0</v>
      </c>
      <c r="H4756" s="3">
        <v>0.0</v>
      </c>
      <c r="I4756" s="3" t="s">
        <v>13</v>
      </c>
      <c r="J4756" s="3" t="s">
        <v>13609</v>
      </c>
      <c r="K4756" s="3" t="s">
        <v>974</v>
      </c>
      <c r="L4756" s="3" t="str">
        <f>IFERROR(__xludf.DUMMYFUNCTION("GOOGLETRANSLATE(F4756,""id"",""en"")"),"The story yesterday couldn't sleep, Bujk Kartar, watching the final of the pildun with the security of the Hansip post complex.")</f>
        <v>The story yesterday couldn't sleep, Bujk Kartar, watching the final of the pildun with the security of the Hansip post complex.</v>
      </c>
    </row>
    <row r="4757" ht="15.75" customHeight="1">
      <c r="A4757" s="1">
        <v>5927.0</v>
      </c>
      <c r="B4757" s="3" t="s">
        <v>13610</v>
      </c>
      <c r="C4757" s="3">
        <v>0.0</v>
      </c>
      <c r="D4757" s="3">
        <v>0.0</v>
      </c>
      <c r="E4757" s="3">
        <v>0.0</v>
      </c>
      <c r="F4757" s="3" t="s">
        <v>13611</v>
      </c>
      <c r="G4757" s="3">
        <v>1.0</v>
      </c>
      <c r="H4757" s="3">
        <v>0.0</v>
      </c>
      <c r="I4757" s="3" t="s">
        <v>13</v>
      </c>
      <c r="J4757" s="3" t="s">
        <v>13612</v>
      </c>
      <c r="K4757" s="3" t="s">
        <v>75</v>
      </c>
      <c r="L4757" s="3" t="str">
        <f>IFERROR(__xludf.DUMMYFUNCTION("GOOGLETRANSLATE(F4757,""id"",""en"")"),"Aje's final legs have never been like a kiss the pildun trophy")</f>
        <v>Aje's final legs have never been like a kiss the pildun trophy</v>
      </c>
    </row>
    <row r="4758" ht="15.75" customHeight="1">
      <c r="A4758" s="1">
        <v>5928.0</v>
      </c>
      <c r="B4758" s="3" t="s">
        <v>13613</v>
      </c>
      <c r="C4758" s="3">
        <v>0.0</v>
      </c>
      <c r="D4758" s="3">
        <v>0.0</v>
      </c>
      <c r="E4758" s="3">
        <v>1.0</v>
      </c>
      <c r="F4758" s="3" t="s">
        <v>13614</v>
      </c>
      <c r="G4758" s="3">
        <v>1.0</v>
      </c>
      <c r="H4758" s="3">
        <v>0.0</v>
      </c>
      <c r="I4758" s="3" t="s">
        <v>13</v>
      </c>
      <c r="J4758" s="3" t="s">
        <v>13615</v>
      </c>
      <c r="K4758" s="3" t="s">
        <v>31</v>
      </c>
      <c r="L4758" s="3" t="str">
        <f>IFERROR(__xludf.DUMMYFUNCTION("GOOGLETRANSLATE(F4758,""id"",""en"")"),"The prediction pildun final is right")</f>
        <v>The prediction pildun final is right</v>
      </c>
    </row>
    <row r="4759" ht="15.75" customHeight="1">
      <c r="A4759" s="1">
        <v>5929.0</v>
      </c>
      <c r="B4759" s="3" t="s">
        <v>13616</v>
      </c>
      <c r="C4759" s="3">
        <v>1.0</v>
      </c>
      <c r="D4759" s="3">
        <v>0.0</v>
      </c>
      <c r="E4759" s="3">
        <v>1.0</v>
      </c>
      <c r="F4759" s="3" t="s">
        <v>13617</v>
      </c>
      <c r="G4759" s="3">
        <v>1.0</v>
      </c>
      <c r="H4759" s="3">
        <v>0.0</v>
      </c>
      <c r="I4759" s="3" t="s">
        <v>13</v>
      </c>
      <c r="J4759" s="3" t="s">
        <v>13618</v>
      </c>
      <c r="K4759" s="3" t="s">
        <v>75</v>
      </c>
      <c r="L4759" s="3" t="str">
        <f>IFERROR(__xludf.DUMMYFUNCTION("GOOGLETRANSLATE(F4759,""id"",""en"")"),"Zee white collar sweaters who use the final nobar pilduun min")</f>
        <v>Zee white collar sweaters who use the final nobar pilduun min</v>
      </c>
    </row>
    <row r="4760" ht="15.75" customHeight="1">
      <c r="A4760" s="1">
        <v>5930.0</v>
      </c>
      <c r="B4760" s="3" t="s">
        <v>13619</v>
      </c>
      <c r="C4760" s="3">
        <v>0.0</v>
      </c>
      <c r="D4760" s="3">
        <v>0.0</v>
      </c>
      <c r="E4760" s="3">
        <v>0.0</v>
      </c>
      <c r="F4760" s="3" t="s">
        <v>13620</v>
      </c>
      <c r="G4760" s="3">
        <v>0.65</v>
      </c>
      <c r="H4760" s="3">
        <v>0.1</v>
      </c>
      <c r="I4760" s="3" t="s">
        <v>48</v>
      </c>
      <c r="J4760" s="3" t="s">
        <v>13621</v>
      </c>
      <c r="K4760" s="3" t="s">
        <v>11009</v>
      </c>
      <c r="L4760" s="3" t="str">
        <f>IFERROR(__xludf.DUMMYFUNCTION("GOOGLETRANSLATE(F4760,""id"",""en"")"),"I also like the ball when there is a national team when there is a final until the final, sometimes watching the pildun match first when you still have a barcelona real madrid, I watch btw, I used to say a girl, why I like the ball.")</f>
        <v>I also like the ball when there is a national team when there is a final until the final, sometimes watching the pildun match first when you still have a barcelona real madrid, I watch btw, I used to say a girl, why I like the ball.</v>
      </c>
    </row>
    <row r="4761" ht="15.75" customHeight="1">
      <c r="A4761" s="1">
        <v>5931.0</v>
      </c>
      <c r="B4761" s="3" t="s">
        <v>13622</v>
      </c>
      <c r="C4761" s="3">
        <v>0.0</v>
      </c>
      <c r="D4761" s="3">
        <v>0.0</v>
      </c>
      <c r="E4761" s="3">
        <v>0.0</v>
      </c>
      <c r="F4761" s="3" t="s">
        <v>13623</v>
      </c>
      <c r="G4761" s="3">
        <v>1.0</v>
      </c>
      <c r="H4761" s="3">
        <v>0.0</v>
      </c>
      <c r="I4761" s="3" t="s">
        <v>13</v>
      </c>
      <c r="J4761" s="3" t="s">
        <v>13624</v>
      </c>
      <c r="K4761" s="3" t="s">
        <v>3671</v>
      </c>
      <c r="L4761" s="3" t="str">
        <f>IFERROR(__xludf.DUMMYFUNCTION("GOOGLETRANSLATE(F4761,""id"",""en"")"),"Yes, yeah, I just realized Messi, right?")</f>
        <v>Yes, yeah, I just realized Messi, right?</v>
      </c>
    </row>
    <row r="4762" ht="15.75" customHeight="1">
      <c r="A4762" s="1">
        <v>5932.0</v>
      </c>
      <c r="B4762" s="3" t="s">
        <v>13625</v>
      </c>
      <c r="C4762" s="3">
        <v>0.0</v>
      </c>
      <c r="D4762" s="3">
        <v>0.0</v>
      </c>
      <c r="E4762" s="3">
        <v>1.0</v>
      </c>
      <c r="F4762" s="3" t="s">
        <v>13626</v>
      </c>
      <c r="G4762" s="3">
        <v>1.0</v>
      </c>
      <c r="H4762" s="3">
        <v>0.0</v>
      </c>
      <c r="I4762" s="3" t="s">
        <v>13</v>
      </c>
      <c r="J4762" s="3" t="s">
        <v>13627</v>
      </c>
      <c r="K4762" s="3" t="s">
        <v>1970</v>
      </c>
      <c r="L4762" s="3" t="str">
        <f>IFERROR(__xludf.DUMMYFUNCTION("GOOGLETRANSLATE(F4762,""id"",""en"")"),"Describe Messi with the word it is difficult because the achievement of how many are enough to show mesi stunning actions of Messi, the field is enough to prove all of the peaks")</f>
        <v>Describe Messi with the word it is difficult because the achievement of how many are enough to show mesi stunning actions of Messi, the field is enough to prove all of the peaks</v>
      </c>
    </row>
    <row r="4763" ht="15.75" customHeight="1">
      <c r="A4763" s="1">
        <v>5933.0</v>
      </c>
      <c r="B4763" s="3" t="s">
        <v>13628</v>
      </c>
      <c r="C4763" s="3">
        <v>0.0</v>
      </c>
      <c r="D4763" s="3">
        <v>0.0</v>
      </c>
      <c r="E4763" s="3">
        <v>0.0</v>
      </c>
      <c r="F4763" s="3" t="s">
        <v>13629</v>
      </c>
      <c r="G4763" s="3">
        <v>0.7</v>
      </c>
      <c r="H4763" s="3">
        <v>0.1</v>
      </c>
      <c r="I4763" s="3" t="s">
        <v>48</v>
      </c>
      <c r="J4763" s="3" t="s">
        <v>13630</v>
      </c>
      <c r="K4763" s="3" t="s">
        <v>2907</v>
      </c>
      <c r="L4763" s="3" t="str">
        <f>IFERROR(__xludf.DUMMYFUNCTION("GOOGLETRANSLATE(F4763,""id"",""en"")"),"from Pilduun Learning to see the hypocrisy of people who initially support what the final is to support what hahaha")</f>
        <v>from Pilduun Learning to see the hypocrisy of people who initially support what the final is to support what hahaha</v>
      </c>
    </row>
    <row r="4764" ht="15.75" customHeight="1">
      <c r="A4764" s="1">
        <v>5934.0</v>
      </c>
      <c r="B4764" s="3" t="s">
        <v>13631</v>
      </c>
      <c r="C4764" s="3">
        <v>1.0</v>
      </c>
      <c r="D4764" s="3">
        <v>0.0</v>
      </c>
      <c r="E4764" s="3">
        <v>0.0</v>
      </c>
      <c r="F4764" s="3" t="s">
        <v>13632</v>
      </c>
      <c r="G4764" s="3">
        <v>1.0</v>
      </c>
      <c r="H4764" s="3">
        <v>0.0</v>
      </c>
      <c r="I4764" s="3" t="s">
        <v>13</v>
      </c>
      <c r="J4764" s="3" t="s">
        <v>13633</v>
      </c>
      <c r="K4764" s="3" t="s">
        <v>41</v>
      </c>
      <c r="L4764" s="3" t="str">
        <f>IFERROR(__xludf.DUMMYFUNCTION("GOOGLETRANSLATE(F4764,""id"",""en"")"),"ido look at the players should be a hat trick when the final pildun")</f>
        <v>ido look at the players should be a hat trick when the final pildun</v>
      </c>
    </row>
    <row r="4765" ht="15.75" customHeight="1">
      <c r="A4765" s="1">
        <v>5935.0</v>
      </c>
      <c r="B4765" s="3" t="s">
        <v>13634</v>
      </c>
      <c r="C4765" s="3">
        <v>1.0</v>
      </c>
      <c r="D4765" s="3">
        <v>0.0</v>
      </c>
      <c r="E4765" s="3">
        <v>0.0</v>
      </c>
      <c r="F4765" s="3" t="s">
        <v>13635</v>
      </c>
      <c r="G4765" s="3">
        <v>1.0</v>
      </c>
      <c r="H4765" s="3">
        <v>0.0</v>
      </c>
      <c r="I4765" s="3" t="s">
        <v>13</v>
      </c>
      <c r="J4765" s="3" t="s">
        <v>13636</v>
      </c>
      <c r="K4765" s="3" t="s">
        <v>82</v>
      </c>
      <c r="L4765" s="3" t="str">
        <f>IFERROR(__xludf.DUMMYFUNCTION("GOOGLETRANSLATE(F4765,""id"",""en"")"),"As a result of watching the final Pilduun, you have to check the heart safely or not")</f>
        <v>As a result of watching the final Pilduun, you have to check the heart safely or not</v>
      </c>
    </row>
    <row r="4766" ht="15.75" customHeight="1">
      <c r="A4766" s="1">
        <v>5936.0</v>
      </c>
      <c r="B4766" s="3" t="s">
        <v>13637</v>
      </c>
      <c r="C4766" s="3">
        <v>0.0</v>
      </c>
      <c r="D4766" s="3">
        <v>0.0</v>
      </c>
      <c r="E4766" s="3">
        <v>2.0</v>
      </c>
      <c r="F4766" s="3" t="s">
        <v>13638</v>
      </c>
      <c r="G4766" s="3">
        <v>0.8</v>
      </c>
      <c r="H4766" s="3">
        <v>-0.05</v>
      </c>
      <c r="I4766" s="3" t="s">
        <v>179</v>
      </c>
      <c r="J4766" s="3" t="s">
        <v>13639</v>
      </c>
      <c r="K4766" s="3" t="s">
        <v>54</v>
      </c>
      <c r="L4766" s="3" t="str">
        <f>IFERROR(__xludf.DUMMYFUNCTION("GOOGLETRANSLATE(F4766,""id"",""en"")"),"Minimum entering the first Pilduun Final Adick")</f>
        <v>Minimum entering the first Pilduun Final Adick</v>
      </c>
    </row>
    <row r="4767" ht="15.75" customHeight="1">
      <c r="A4767" s="1">
        <v>5937.0</v>
      </c>
      <c r="B4767" s="3" t="s">
        <v>13640</v>
      </c>
      <c r="C4767" s="3">
        <v>1.0</v>
      </c>
      <c r="D4767" s="3">
        <v>0.0</v>
      </c>
      <c r="E4767" s="3">
        <v>0.0</v>
      </c>
      <c r="F4767" s="3" t="s">
        <v>13641</v>
      </c>
      <c r="G4767" s="3">
        <v>1.0</v>
      </c>
      <c r="H4767" s="3">
        <v>0.0</v>
      </c>
      <c r="I4767" s="3" t="s">
        <v>13</v>
      </c>
      <c r="J4767" s="3" t="s">
        <v>13642</v>
      </c>
      <c r="K4767" s="3" t="s">
        <v>1045</v>
      </c>
      <c r="L4767" s="3" t="str">
        <f>IFERROR(__xludf.DUMMYFUNCTION("GOOGLETRANSLATE(F4767,""id"",""en"")"),"Cromagnon even though the Pildun is a lot of controversy for the word exciting word because the Tusbool national team enters the final and now it says it's fun because the favorite Tusbool national team is just stuck the same group phase kek Edi")</f>
        <v>Cromagnon even though the Pildun is a lot of controversy for the word exciting word because the Tusbool national team enters the final and now it says it's fun because the favorite Tusbool national team is just stuck the same group phase kek Edi</v>
      </c>
    </row>
    <row r="4768" ht="15.75" customHeight="1">
      <c r="A4768" s="1">
        <v>5938.0</v>
      </c>
      <c r="B4768" s="3" t="s">
        <v>13643</v>
      </c>
      <c r="C4768" s="3">
        <v>0.0</v>
      </c>
      <c r="D4768" s="3">
        <v>0.0</v>
      </c>
      <c r="E4768" s="3">
        <v>0.0</v>
      </c>
      <c r="F4768" s="3" t="s">
        <v>13644</v>
      </c>
      <c r="G4768" s="3">
        <v>1.0</v>
      </c>
      <c r="H4768" s="3">
        <v>0.0</v>
      </c>
      <c r="I4768" s="3" t="s">
        <v>13</v>
      </c>
      <c r="J4768" s="3" t="s">
        <v>13645</v>
      </c>
      <c r="K4768" s="3" t="s">
        <v>244</v>
      </c>
      <c r="L4768" s="3" t="str">
        <f>IFERROR(__xludf.DUMMYFUNCTION("GOOGLETRANSLATE(F4768,""id"",""en"")"),"Ng shaking eggs for sure or shake milkshake like a person when the final betting bet yesterday")</f>
        <v>Ng shaking eggs for sure or shake milkshake like a person when the final betting bet yesterday</v>
      </c>
    </row>
    <row r="4769" ht="15.75" customHeight="1">
      <c r="A4769" s="1">
        <v>5939.0</v>
      </c>
      <c r="B4769" s="3" t="s">
        <v>13646</v>
      </c>
      <c r="C4769" s="3">
        <v>0.0</v>
      </c>
      <c r="D4769" s="3">
        <v>0.0</v>
      </c>
      <c r="E4769" s="3">
        <v>1.0</v>
      </c>
      <c r="F4769" s="3" t="s">
        <v>13647</v>
      </c>
      <c r="G4769" s="3">
        <v>1.0</v>
      </c>
      <c r="H4769" s="3">
        <v>0.0</v>
      </c>
      <c r="I4769" s="3" t="s">
        <v>13</v>
      </c>
      <c r="J4769" s="3" t="s">
        <v>13648</v>
      </c>
      <c r="K4769" s="3" t="s">
        <v>123</v>
      </c>
      <c r="L4769" s="3" t="str">
        <f>IFERROR(__xludf.DUMMYFUNCTION("GOOGLETRANSLATE(F4769,""id"",""en"")"),"All -cheers in the final nobar pildun so they exclaimed and until now it feels the effect of the throat")</f>
        <v>All -cheers in the final nobar pildun so they exclaimed and until now it feels the effect of the throat</v>
      </c>
    </row>
    <row r="4770" ht="15.75" customHeight="1">
      <c r="A4770" s="1">
        <v>5940.0</v>
      </c>
      <c r="B4770" s="3" t="s">
        <v>13649</v>
      </c>
      <c r="C4770" s="3">
        <v>0.0</v>
      </c>
      <c r="D4770" s="3">
        <v>0.0</v>
      </c>
      <c r="E4770" s="3">
        <v>0.0</v>
      </c>
      <c r="F4770" s="3" t="s">
        <v>13650</v>
      </c>
      <c r="G4770" s="3">
        <v>1.0</v>
      </c>
      <c r="H4770" s="3">
        <v>0.0</v>
      </c>
      <c r="I4770" s="3" t="s">
        <v>13</v>
      </c>
      <c r="J4770" s="3" t="s">
        <v>13651</v>
      </c>
      <c r="K4770" s="3" t="s">
        <v>765</v>
      </c>
      <c r="L4770" s="3" t="str">
        <f>IFERROR(__xludf.DUMMYFUNCTION("GOOGLETRANSLATE(F4770,""id"",""en"")"),"The name Raul Lemos suddenly became the topic of Twitter viral on Monday in December the tweet about Raul Lemos turned out to appear during the final pildun because it was considered similar to French player Kylian Mbappe")</f>
        <v>The name Raul Lemos suddenly became the topic of Twitter viral on Monday in December the tweet about Raul Lemos turned out to appear during the final pildun because it was considered similar to French player Kylian Mbappe</v>
      </c>
    </row>
    <row r="4771" ht="15.75" customHeight="1">
      <c r="A4771" s="1">
        <v>5941.0</v>
      </c>
      <c r="B4771" s="3" t="s">
        <v>13652</v>
      </c>
      <c r="C4771" s="3">
        <v>1.0</v>
      </c>
      <c r="D4771" s="3">
        <v>0.0</v>
      </c>
      <c r="E4771" s="3">
        <v>0.0</v>
      </c>
      <c r="F4771" s="3" t="s">
        <v>13653</v>
      </c>
      <c r="G4771" s="3">
        <v>1.0</v>
      </c>
      <c r="H4771" s="3">
        <v>0.0</v>
      </c>
      <c r="I4771" s="3" t="s">
        <v>13</v>
      </c>
      <c r="J4771" s="3" t="s">
        <v>13654</v>
      </c>
      <c r="K4771" s="3" t="s">
        <v>510</v>
      </c>
      <c r="L4771" s="3" t="str">
        <f>IFERROR(__xludf.DUMMYFUNCTION("GOOGLETRANSLATE(F4771,""id"",""en"")"),"already yesterday I made guess the final score of the two people who were immediately sent by the following, waiting for the following opportunity")</f>
        <v>already yesterday I made guess the final score of the two people who were immediately sent by the following, waiting for the following opportunity</v>
      </c>
    </row>
    <row r="4772" ht="15.75" customHeight="1">
      <c r="A4772" s="1">
        <v>5942.0</v>
      </c>
      <c r="B4772" s="3" t="s">
        <v>13655</v>
      </c>
      <c r="C4772" s="3">
        <v>0.0</v>
      </c>
      <c r="D4772" s="3">
        <v>0.0</v>
      </c>
      <c r="E4772" s="3">
        <v>0.0</v>
      </c>
      <c r="F4772" s="3" t="s">
        <v>13656</v>
      </c>
      <c r="G4772" s="3">
        <v>1.0</v>
      </c>
      <c r="H4772" s="3">
        <v>0.0</v>
      </c>
      <c r="I4772" s="3" t="s">
        <v>13</v>
      </c>
      <c r="J4772" s="3" t="s">
        <v>13657</v>
      </c>
      <c r="K4772" s="3" t="s">
        <v>11862</v>
      </c>
      <c r="L4772" s="3" t="str">
        <f>IFERROR(__xludf.DUMMYFUNCTION("GOOGLETRANSLATE(F4772,""id"",""en"")"),"Remember the final of the pildun yesterday, one place to support Argentina, only I am Argentina, I shouted, France, France, shouted a lot and in my all until finally Argentina won.")</f>
        <v>Remember the final of the pildun yesterday, one place to support Argentina, only I am Argentina, I shouted, France, France, shouted a lot and in my all until finally Argentina won.</v>
      </c>
    </row>
    <row r="4773" ht="15.75" customHeight="1">
      <c r="A4773" s="1">
        <v>5943.0</v>
      </c>
      <c r="B4773" s="3" t="s">
        <v>13658</v>
      </c>
      <c r="C4773" s="3">
        <v>0.0</v>
      </c>
      <c r="D4773" s="3">
        <v>0.0</v>
      </c>
      <c r="E4773" s="3">
        <v>0.0</v>
      </c>
      <c r="F4773" s="3" t="s">
        <v>13659</v>
      </c>
      <c r="G4773" s="3">
        <v>1.0</v>
      </c>
      <c r="H4773" s="3">
        <v>0.0</v>
      </c>
      <c r="I4773" s="3" t="s">
        <v>13</v>
      </c>
      <c r="J4773" s="3" t="s">
        <v>13660</v>
      </c>
      <c r="K4773" s="3" t="s">
        <v>433</v>
      </c>
      <c r="L4773" s="3" t="str">
        <f>IFERROR(__xludf.DUMMYFUNCTION("GOOGLETRANSLATE(F4773,""id"",""en"")"),"The Serbi Final Pilduun with Ilmi is a picture he cried because of mbappe when it")</f>
        <v>The Serbi Final Pilduun with Ilmi is a picture he cried because of mbappe when it</v>
      </c>
    </row>
    <row r="4774" ht="15.75" customHeight="1">
      <c r="A4774" s="1">
        <v>5944.0</v>
      </c>
      <c r="B4774" s="3" t="s">
        <v>13661</v>
      </c>
      <c r="C4774" s="3">
        <v>0.0</v>
      </c>
      <c r="D4774" s="3">
        <v>0.0</v>
      </c>
      <c r="E4774" s="3">
        <v>0.0</v>
      </c>
      <c r="F4774" s="3" t="s">
        <v>13662</v>
      </c>
      <c r="G4774" s="3">
        <v>1.0</v>
      </c>
      <c r="H4774" s="3">
        <v>0.0</v>
      </c>
      <c r="I4774" s="3" t="s">
        <v>13</v>
      </c>
      <c r="J4774" s="3" t="s">
        <v>13663</v>
      </c>
      <c r="K4774" s="3" t="s">
        <v>1265</v>
      </c>
      <c r="L4774" s="3" t="str">
        <f>IFERROR(__xludf.DUMMYFUNCTION("GOOGLETRANSLATE(F4774,""id"",""en"")"),"Evidently the Indonesian team is unbeaten by any semi -final team and the final pildun yesterday")</f>
        <v>Evidently the Indonesian team is unbeaten by any semi -final team and the final pildun yesterday</v>
      </c>
    </row>
    <row r="4775" ht="15.75" customHeight="1">
      <c r="A4775" s="1">
        <v>5945.0</v>
      </c>
      <c r="B4775" s="3" t="s">
        <v>13664</v>
      </c>
      <c r="C4775" s="3">
        <v>1.0</v>
      </c>
      <c r="D4775" s="3">
        <v>0.0</v>
      </c>
      <c r="E4775" s="3">
        <v>0.0</v>
      </c>
      <c r="F4775" s="3" t="s">
        <v>13665</v>
      </c>
      <c r="G4775" s="3">
        <v>0.8</v>
      </c>
      <c r="H4775" s="3">
        <v>-0.15</v>
      </c>
      <c r="I4775" s="3" t="s">
        <v>179</v>
      </c>
      <c r="J4775" s="3" t="s">
        <v>13666</v>
      </c>
      <c r="K4775" s="3" t="s">
        <v>1335</v>
      </c>
      <c r="L4775" s="3" t="str">
        <f>IFERROR(__xludf.DUMMYFUNCTION("GOOGLETRANSLATE(F4775,""id"",""en"")"),"duh wrong server tika final pildun tika")</f>
        <v>duh wrong server tika final pildun tika</v>
      </c>
    </row>
    <row r="4776" ht="15.75" customHeight="1">
      <c r="A4776" s="1">
        <v>5946.0</v>
      </c>
      <c r="B4776" s="3" t="s">
        <v>13667</v>
      </c>
      <c r="C4776" s="3">
        <v>1.0</v>
      </c>
      <c r="D4776" s="3">
        <v>0.0</v>
      </c>
      <c r="E4776" s="3">
        <v>0.0</v>
      </c>
      <c r="F4776" s="3" t="s">
        <v>13668</v>
      </c>
      <c r="G4776" s="3">
        <v>1.0</v>
      </c>
      <c r="H4776" s="3">
        <v>0.0</v>
      </c>
      <c r="I4776" s="3" t="s">
        <v>13</v>
      </c>
      <c r="J4776" s="3" t="s">
        <v>13669</v>
      </c>
      <c r="K4776" s="3" t="s">
        <v>15</v>
      </c>
      <c r="L4776" s="3" t="str">
        <f>IFERROR(__xludf.DUMMYFUNCTION("GOOGLETRANSLATE(F4776,""id"",""en"")"),"I joined the space during the final pildun wkwkkw")</f>
        <v>I joined the space during the final pildun wkwkkw</v>
      </c>
    </row>
    <row r="4777" ht="15.75" customHeight="1">
      <c r="A4777" s="1">
        <v>5947.0</v>
      </c>
      <c r="B4777" s="3" t="s">
        <v>13670</v>
      </c>
      <c r="C4777" s="3">
        <v>0.0</v>
      </c>
      <c r="D4777" s="3">
        <v>0.0</v>
      </c>
      <c r="E4777" s="3">
        <v>0.0</v>
      </c>
      <c r="F4777" s="3" t="s">
        <v>13671</v>
      </c>
      <c r="G4777" s="3">
        <v>1.0</v>
      </c>
      <c r="H4777" s="3">
        <v>0.0</v>
      </c>
      <c r="I4777" s="3" t="s">
        <v>13</v>
      </c>
      <c r="J4777" s="3" t="s">
        <v>13672</v>
      </c>
      <c r="K4777" s="3" t="s">
        <v>31</v>
      </c>
      <c r="L4777" s="3" t="str">
        <f>IFERROR(__xludf.DUMMYFUNCTION("GOOGLETRANSLATE(F4777,""id"",""en"")"),"agree this is the best Pildun Final ever existed")</f>
        <v>agree this is the best Pildun Final ever existed</v>
      </c>
    </row>
    <row r="4778" ht="15.75" customHeight="1">
      <c r="A4778" s="1">
        <v>5948.0</v>
      </c>
      <c r="B4778" s="3" t="s">
        <v>13673</v>
      </c>
      <c r="C4778" s="3">
        <v>1.0</v>
      </c>
      <c r="D4778" s="3">
        <v>0.0</v>
      </c>
      <c r="E4778" s="3">
        <v>1.0</v>
      </c>
      <c r="F4778" s="3" t="s">
        <v>13674</v>
      </c>
      <c r="G4778" s="3">
        <v>1.0</v>
      </c>
      <c r="H4778" s="3">
        <v>0.0</v>
      </c>
      <c r="I4778" s="3" t="s">
        <v>13</v>
      </c>
      <c r="J4778" s="3" t="s">
        <v>13675</v>
      </c>
      <c r="K4778" s="3" t="s">
        <v>477</v>
      </c>
      <c r="L4778" s="3" t="str">
        <f>IFERROR(__xludf.DUMMYFUNCTION("GOOGLETRANSLATE(F4778,""id"",""en"")"),"Think people miss the final pildun sereru")</f>
        <v>Think people miss the final pildun sereru</v>
      </c>
    </row>
    <row r="4779" ht="15.75" customHeight="1">
      <c r="A4779" s="1">
        <v>5949.0</v>
      </c>
      <c r="B4779" s="3" t="s">
        <v>13676</v>
      </c>
      <c r="C4779" s="3">
        <v>1.0</v>
      </c>
      <c r="D4779" s="3">
        <v>0.0</v>
      </c>
      <c r="E4779" s="3">
        <v>0.0</v>
      </c>
      <c r="F4779" s="3" t="s">
        <v>13677</v>
      </c>
      <c r="G4779" s="3">
        <v>1.0</v>
      </c>
      <c r="H4779" s="3">
        <v>0.0</v>
      </c>
      <c r="I4779" s="3" t="s">
        <v>13</v>
      </c>
      <c r="J4779" s="3" t="s">
        <v>13678</v>
      </c>
      <c r="K4779" s="3" t="s">
        <v>699</v>
      </c>
      <c r="L4779" s="3" t="str">
        <f>IFERROR(__xludf.DUMMYFUNCTION("GOOGLETRANSLATE(F4779,""id"",""en"")"),"Cromagnon is stupid, he uses a comparison with the pildun again, the champion team is in semi and the basic finals")</f>
        <v>Cromagnon is stupid, he uses a comparison with the pildun again, the champion team is in semi and the basic finals</v>
      </c>
    </row>
    <row r="4780" ht="15.75" customHeight="1">
      <c r="A4780" s="1">
        <v>5950.0</v>
      </c>
      <c r="B4780" s="3" t="s">
        <v>13679</v>
      </c>
      <c r="C4780" s="3">
        <v>0.0</v>
      </c>
      <c r="D4780" s="3">
        <v>0.0</v>
      </c>
      <c r="E4780" s="3">
        <v>0.0</v>
      </c>
      <c r="F4780" s="3" t="s">
        <v>13680</v>
      </c>
      <c r="G4780" s="3">
        <v>1.0</v>
      </c>
      <c r="H4780" s="3">
        <v>0.0</v>
      </c>
      <c r="I4780" s="3" t="s">
        <v>13</v>
      </c>
      <c r="J4780" s="3" t="s">
        <v>13681</v>
      </c>
      <c r="K4780" s="3" t="s">
        <v>13682</v>
      </c>
      <c r="L4780" s="3" t="str">
        <f>IFERROR(__xludf.DUMMYFUNCTION("GOOGLETRANSLATE(F4780,""id"",""en"")"),"Bang Maren, Sunday I Nobar Final Pilduun I happened to be with my friend there was a betting bet on France and until the extra time was really happy, he was really a shame to be the material until now, sir")</f>
        <v>Bang Maren, Sunday I Nobar Final Pilduun I happened to be with my friend there was a betting bet on France and until the extra time was really happy, he was really a shame to be the material until now, sir</v>
      </c>
    </row>
    <row r="4781" ht="15.75" customHeight="1">
      <c r="A4781" s="1">
        <v>5951.0</v>
      </c>
      <c r="B4781" s="3" t="s">
        <v>13683</v>
      </c>
      <c r="C4781" s="3">
        <v>1.0</v>
      </c>
      <c r="D4781" s="3">
        <v>0.0</v>
      </c>
      <c r="E4781" s="3">
        <v>0.0</v>
      </c>
      <c r="F4781" s="3" t="s">
        <v>13684</v>
      </c>
      <c r="G4781" s="3">
        <v>1.0</v>
      </c>
      <c r="H4781" s="3">
        <v>0.0</v>
      </c>
      <c r="I4781" s="3" t="s">
        <v>13</v>
      </c>
      <c r="J4781" s="3" t="s">
        <v>13685</v>
      </c>
      <c r="K4781" s="3" t="s">
        <v>188</v>
      </c>
      <c r="L4781" s="3" t="str">
        <f>IFERROR(__xludf.DUMMYFUNCTION("GOOGLETRANSLATE(F4781,""id"",""en"")"),"There will be one of your friends who have participated in the ball but when the Pilduun Bugek is the one who understands the ball I lazy to be Snob, but this is worth the same as Digat.")</f>
        <v>There will be one of your friends who have participated in the ball but when the Pilduun Bugek is the one who understands the ball I lazy to be Snob, but this is worth the same as Digat.</v>
      </c>
    </row>
    <row r="4782" ht="15.75" customHeight="1">
      <c r="A4782" s="1">
        <v>5952.0</v>
      </c>
      <c r="B4782" s="3" t="s">
        <v>13686</v>
      </c>
      <c r="C4782" s="3">
        <v>1.0</v>
      </c>
      <c r="D4782" s="3">
        <v>0.0</v>
      </c>
      <c r="E4782" s="3">
        <v>3.0</v>
      </c>
      <c r="F4782" s="3" t="s">
        <v>13687</v>
      </c>
      <c r="G4782" s="3">
        <v>1.0</v>
      </c>
      <c r="H4782" s="3">
        <v>0.0</v>
      </c>
      <c r="I4782" s="3" t="s">
        <v>13</v>
      </c>
      <c r="J4782" s="3" t="s">
        <v>13688</v>
      </c>
      <c r="K4782" s="3" t="s">
        <v>584</v>
      </c>
      <c r="L4782" s="3" t="str">
        <f>IFERROR(__xludf.DUMMYFUNCTION("GOOGLETRANSLATE(F4782,""id"",""en"")"),"Doyy is indeed so that the position can be above the football team of other countries, take the calculation only from the finals of the World Cup only protest and FIFA Croatia, how come under England enter the semifinals")</f>
        <v>Doyy is indeed so that the position can be above the football team of other countries, take the calculation only from the finals of the World Cup only protest and FIFA Croatia, how come under England enter the semifinals</v>
      </c>
    </row>
    <row r="4783" ht="15.75" customHeight="1">
      <c r="A4783" s="1">
        <v>5953.0</v>
      </c>
      <c r="B4783" s="3" t="s">
        <v>13689</v>
      </c>
      <c r="C4783" s="3">
        <v>0.0</v>
      </c>
      <c r="D4783" s="3">
        <v>0.0</v>
      </c>
      <c r="E4783" s="3">
        <v>0.0</v>
      </c>
      <c r="F4783" s="3" t="s">
        <v>13690</v>
      </c>
      <c r="G4783" s="3">
        <v>1.0</v>
      </c>
      <c r="H4783" s="3">
        <v>0.0</v>
      </c>
      <c r="I4783" s="3" t="s">
        <v>13</v>
      </c>
      <c r="J4783" s="3" t="s">
        <v>13691</v>
      </c>
      <c r="K4783" s="3" t="s">
        <v>54</v>
      </c>
      <c r="L4783" s="3" t="str">
        <f>IFERROR(__xludf.DUMMYFUNCTION("GOOGLETRANSLATE(F4783,""id"",""en"")"),"Final Pildun hasn't finished waiting for Chinol updates")</f>
        <v>Final Pildun hasn't finished waiting for Chinol updates</v>
      </c>
    </row>
    <row r="4784" ht="15.75" customHeight="1">
      <c r="A4784" s="1">
        <v>5954.0</v>
      </c>
      <c r="B4784" s="3" t="s">
        <v>13692</v>
      </c>
      <c r="C4784" s="3">
        <v>0.0</v>
      </c>
      <c r="D4784" s="3">
        <v>0.0</v>
      </c>
      <c r="E4784" s="3">
        <v>0.0</v>
      </c>
      <c r="F4784" s="3" t="s">
        <v>13693</v>
      </c>
      <c r="G4784" s="3">
        <v>1.0</v>
      </c>
      <c r="H4784" s="3">
        <v>0.0</v>
      </c>
      <c r="I4784" s="3" t="s">
        <v>13</v>
      </c>
      <c r="J4784" s="3" t="s">
        <v>13694</v>
      </c>
      <c r="K4784" s="3" t="s">
        <v>433</v>
      </c>
      <c r="L4784" s="3" t="str">
        <f>IFERROR(__xludf.DUMMYFUNCTION("GOOGLETRANSLATE(F4784,""id"",""en"")"),"Try to imagine if all of us only the dream of Messi mes mes wake up we watch the final Pilduun Dutch Uruguay")</f>
        <v>Try to imagine if all of us only the dream of Messi mes mes wake up we watch the final Pilduun Dutch Uruguay</v>
      </c>
    </row>
    <row r="4785" ht="15.75" customHeight="1">
      <c r="A4785" s="1">
        <v>5955.0</v>
      </c>
      <c r="B4785" s="3" t="s">
        <v>13695</v>
      </c>
      <c r="C4785" s="3">
        <v>0.0</v>
      </c>
      <c r="D4785" s="3">
        <v>0.0</v>
      </c>
      <c r="E4785" s="3">
        <v>0.0</v>
      </c>
      <c r="F4785" s="3" t="s">
        <v>13696</v>
      </c>
      <c r="G4785" s="3">
        <v>1.0</v>
      </c>
      <c r="H4785" s="3">
        <v>0.0</v>
      </c>
      <c r="I4785" s="3" t="s">
        <v>13</v>
      </c>
      <c r="J4785" s="3" t="s">
        <v>13697</v>
      </c>
      <c r="K4785" s="3" t="s">
        <v>433</v>
      </c>
      <c r="L4785" s="3" t="str">
        <f>IFERROR(__xludf.DUMMYFUNCTION("GOOGLETRANSLATE(F4785,""id"",""en"")"),"Yes, she insulted Zidane's mother and made Zidane angry so the red card so it ruined the excitement of the final pildun")</f>
        <v>Yes, she insulted Zidane's mother and made Zidane angry so the red card so it ruined the excitement of the final pildun</v>
      </c>
    </row>
    <row r="4786" ht="15.75" customHeight="1">
      <c r="A4786" s="1">
        <v>5956.0</v>
      </c>
      <c r="B4786" s="3" t="s">
        <v>13698</v>
      </c>
      <c r="C4786" s="3">
        <v>0.0</v>
      </c>
      <c r="D4786" s="3">
        <v>0.0</v>
      </c>
      <c r="E4786" s="3">
        <v>0.0</v>
      </c>
      <c r="F4786" s="3" t="s">
        <v>13699</v>
      </c>
      <c r="G4786" s="3">
        <v>1.0</v>
      </c>
      <c r="H4786" s="3">
        <v>0.0</v>
      </c>
      <c r="I4786" s="3" t="s">
        <v>13</v>
      </c>
      <c r="J4786" s="3" t="s">
        <v>13700</v>
      </c>
      <c r="K4786" s="3" t="s">
        <v>2454</v>
      </c>
      <c r="L4786" s="3" t="str">
        <f>IFERROR(__xludf.DUMMYFUNCTION("GOOGLETRANSLATE(F4786,""id"",""en"")"),"here there are many victims because of the pilduun there is a dead fall when the Brazilian parade wins there is the last gebuk kmrin when there is a fight in a drunken condition, one")</f>
        <v>here there are many victims because of the pilduun there is a dead fall when the Brazilian parade wins there is the last gebuk kmrin when there is a fight in a drunken condition, one</v>
      </c>
    </row>
    <row r="4787" ht="15.75" customHeight="1">
      <c r="A4787" s="1">
        <v>5957.0</v>
      </c>
      <c r="B4787" s="3" t="s">
        <v>13701</v>
      </c>
      <c r="C4787" s="3">
        <v>0.0</v>
      </c>
      <c r="D4787" s="3">
        <v>0.0</v>
      </c>
      <c r="E4787" s="3">
        <v>1.0</v>
      </c>
      <c r="F4787" s="3" t="s">
        <v>13702</v>
      </c>
      <c r="G4787" s="3">
        <v>1.0</v>
      </c>
      <c r="H4787" s="3">
        <v>0.0</v>
      </c>
      <c r="I4787" s="3" t="s">
        <v>13</v>
      </c>
      <c r="J4787" s="3" t="s">
        <v>13703</v>
      </c>
      <c r="K4787" s="3" t="s">
        <v>123</v>
      </c>
      <c r="L4787" s="3" t="str">
        <f>IFERROR(__xludf.DUMMYFUNCTION("GOOGLETRANSLATE(F4787,""id"",""en"")"),"Naturally, the first rim joined the pildun and continued to enter the final ehh even when the final failed to kick the penalties")</f>
        <v>Naturally, the first rim joined the pildun and continued to enter the final ehh even when the final failed to kick the penalties</v>
      </c>
    </row>
    <row r="4788" ht="15.75" customHeight="1">
      <c r="A4788" s="1">
        <v>5958.0</v>
      </c>
      <c r="B4788" s="3" t="s">
        <v>13704</v>
      </c>
      <c r="C4788" s="3">
        <v>103.0</v>
      </c>
      <c r="D4788" s="3">
        <v>4.0</v>
      </c>
      <c r="E4788" s="3">
        <v>59.0</v>
      </c>
      <c r="F4788" s="3" t="s">
        <v>13705</v>
      </c>
      <c r="G4788" s="3">
        <v>1.0</v>
      </c>
      <c r="H4788" s="3">
        <v>0.0</v>
      </c>
      <c r="I4788" s="3" t="s">
        <v>13</v>
      </c>
      <c r="J4788" s="3" t="s">
        <v>13706</v>
      </c>
      <c r="K4788" s="3" t="s">
        <v>27</v>
      </c>
      <c r="L4788" s="3" t="str">
        <f>IFERROR(__xludf.DUMMYFUNCTION("GOOGLETRANSLATE(F4788,""id"",""en"")"),"permoro did not just watch the final pildun taun pisan my girlfriend mowel mbe me until saiki njaluk sepuro I was confused kudu piye tulung solusine record")</f>
        <v>permoro did not just watch the final pildun taun pisan my girlfriend mowel mbe me until saiki njaluk sepuro I was confused kudu piye tulung solusine record</v>
      </c>
    </row>
    <row r="4789" ht="15.75" customHeight="1">
      <c r="A4789" s="1">
        <v>5959.0</v>
      </c>
      <c r="B4789" s="3" t="s">
        <v>13707</v>
      </c>
      <c r="C4789" s="3">
        <v>0.0</v>
      </c>
      <c r="D4789" s="3">
        <v>0.0</v>
      </c>
      <c r="E4789" s="3">
        <v>0.0</v>
      </c>
      <c r="F4789" s="3" t="s">
        <v>13708</v>
      </c>
      <c r="G4789" s="3">
        <v>1.0</v>
      </c>
      <c r="H4789" s="3">
        <v>0.0</v>
      </c>
      <c r="I4789" s="3" t="s">
        <v>13</v>
      </c>
      <c r="J4789" s="3" t="s">
        <v>13709</v>
      </c>
      <c r="K4789" s="3" t="s">
        <v>433</v>
      </c>
      <c r="L4789" s="3" t="str">
        <f>IFERROR(__xludf.DUMMYFUNCTION("GOOGLETRANSLATE(F4789,""id"",""en"")"),"Papah Aing Final Pildun already last day was still discussed until this afternoon with Mas Mas Warteg")</f>
        <v>Papah Aing Final Pildun already last day was still discussed until this afternoon with Mas Mas Warteg</v>
      </c>
    </row>
    <row r="4790" ht="15.75" customHeight="1">
      <c r="A4790" s="1">
        <v>5960.0</v>
      </c>
      <c r="B4790" s="3" t="s">
        <v>13710</v>
      </c>
      <c r="C4790" s="3">
        <v>0.0</v>
      </c>
      <c r="D4790" s="3">
        <v>0.0</v>
      </c>
      <c r="E4790" s="3">
        <v>0.0</v>
      </c>
      <c r="F4790" s="3" t="s">
        <v>13711</v>
      </c>
      <c r="G4790" s="3">
        <v>1.0</v>
      </c>
      <c r="H4790" s="3">
        <v>0.0</v>
      </c>
      <c r="I4790" s="3" t="s">
        <v>13</v>
      </c>
      <c r="J4790" s="3" t="s">
        <v>13712</v>
      </c>
      <c r="K4790" s="3" t="s">
        <v>71</v>
      </c>
      <c r="L4790" s="3" t="str">
        <f>IFERROR(__xludf.DUMMYFUNCTION("GOOGLETRANSLATE(F4790,""id"",""en"")"),"Lionel Messi Khanzzzz followed Pilduun, Kmrin, when the final was very sure that Argentina would pick up the Cup")</f>
        <v>Lionel Messi Khanzzzz followed Pilduun, Kmrin, when the final was very sure that Argentina would pick up the Cup</v>
      </c>
    </row>
    <row r="4791" ht="15.75" customHeight="1">
      <c r="A4791" s="1">
        <v>5961.0</v>
      </c>
      <c r="B4791" s="3" t="s">
        <v>13713</v>
      </c>
      <c r="C4791" s="3">
        <v>1.0</v>
      </c>
      <c r="D4791" s="3">
        <v>0.0</v>
      </c>
      <c r="E4791" s="3">
        <v>0.0</v>
      </c>
      <c r="F4791" s="3" t="s">
        <v>13714</v>
      </c>
      <c r="G4791" s="3">
        <v>1.0</v>
      </c>
      <c r="H4791" s="3">
        <v>0.0</v>
      </c>
      <c r="I4791" s="3" t="s">
        <v>13</v>
      </c>
      <c r="J4791" s="3" t="s">
        <v>13715</v>
      </c>
      <c r="K4791" s="3" t="s">
        <v>15</v>
      </c>
      <c r="L4791" s="3" t="str">
        <f>IFERROR(__xludf.DUMMYFUNCTION("GOOGLETRANSLATE(F4791,""id"",""en"")"),"Delicious to get a pildun medal just a sub -district head during the final wkwkwkkwk")</f>
        <v>Delicious to get a pildun medal just a sub -district head during the final wkwkwkkwk</v>
      </c>
    </row>
    <row r="4792" ht="15.75" customHeight="1">
      <c r="A4792" s="1">
        <v>5962.0</v>
      </c>
      <c r="B4792" s="3" t="s">
        <v>13716</v>
      </c>
      <c r="C4792" s="3">
        <v>0.0</v>
      </c>
      <c r="D4792" s="3">
        <v>0.0</v>
      </c>
      <c r="E4792" s="3">
        <v>0.0</v>
      </c>
      <c r="F4792" s="3" t="s">
        <v>13717</v>
      </c>
      <c r="G4792" s="3">
        <v>1.0</v>
      </c>
      <c r="H4792" s="3">
        <v>0.0</v>
      </c>
      <c r="I4792" s="3" t="s">
        <v>13</v>
      </c>
      <c r="J4792" s="3" t="s">
        <v>13718</v>
      </c>
      <c r="K4792" s="3" t="s">
        <v>510</v>
      </c>
      <c r="L4792" s="3" t="str">
        <f>IFERROR(__xludf.DUMMYFUNCTION("GOOGLETRANSLATE(F4792,""id"",""en"")"),"Cardigan former Nobar Final Pildun then still full of cigarette smells if you smell you can get scolded")</f>
        <v>Cardigan former Nobar Final Pildun then still full of cigarette smells if you smell you can get scolded</v>
      </c>
    </row>
    <row r="4793" ht="15.75" customHeight="1">
      <c r="A4793" s="1">
        <v>5963.0</v>
      </c>
      <c r="B4793" s="3" t="s">
        <v>13719</v>
      </c>
      <c r="C4793" s="3">
        <v>0.0</v>
      </c>
      <c r="D4793" s="3">
        <v>1.0</v>
      </c>
      <c r="E4793" s="3">
        <v>1.0</v>
      </c>
      <c r="F4793" s="3" t="s">
        <v>13720</v>
      </c>
      <c r="G4793" s="3">
        <v>0.3333333333333333</v>
      </c>
      <c r="H4793" s="3">
        <v>0.0</v>
      </c>
      <c r="I4793" s="3" t="s">
        <v>13</v>
      </c>
      <c r="J4793" s="3" t="s">
        <v>13721</v>
      </c>
      <c r="K4793" s="3" t="s">
        <v>1335</v>
      </c>
      <c r="L4793" s="3" t="str">
        <f>IFERROR(__xludf.DUMMYFUNCTION("GOOGLETRANSLATE(F4793,""id"",""en"")"),"agree dos if this is back back the final pildun is not easy")</f>
        <v>agree dos if this is back back the final pildun is not easy</v>
      </c>
    </row>
    <row r="4794" ht="15.75" customHeight="1">
      <c r="A4794" s="1">
        <v>5964.0</v>
      </c>
      <c r="B4794" s="3" t="s">
        <v>13722</v>
      </c>
      <c r="C4794" s="3">
        <v>1.0</v>
      </c>
      <c r="D4794" s="3">
        <v>0.0</v>
      </c>
      <c r="E4794" s="3">
        <v>0.0</v>
      </c>
      <c r="F4794" s="3" t="s">
        <v>13723</v>
      </c>
      <c r="G4794" s="3">
        <v>1.0</v>
      </c>
      <c r="H4794" s="3">
        <v>0.0</v>
      </c>
      <c r="I4794" s="3" t="s">
        <v>13</v>
      </c>
      <c r="J4794" s="3" t="s">
        <v>13724</v>
      </c>
      <c r="K4794" s="3" t="s">
        <v>54</v>
      </c>
      <c r="L4794" s="3" t="str">
        <f>IFERROR(__xludf.DUMMYFUNCTION("GOOGLETRANSLATE(F4794,""id"",""en"")"),"Only grudges with Materazzi Final Pildun")</f>
        <v>Only grudges with Materazzi Final Pildun</v>
      </c>
    </row>
    <row r="4795" ht="15.75" customHeight="1">
      <c r="A4795" s="1">
        <v>5965.0</v>
      </c>
      <c r="B4795" s="3" t="s">
        <v>13725</v>
      </c>
      <c r="C4795" s="3">
        <v>0.0</v>
      </c>
      <c r="D4795" s="3">
        <v>0.0</v>
      </c>
      <c r="E4795" s="3">
        <v>0.0</v>
      </c>
      <c r="F4795" s="3" t="s">
        <v>13726</v>
      </c>
      <c r="G4795" s="3">
        <v>1.0</v>
      </c>
      <c r="H4795" s="3">
        <v>0.0</v>
      </c>
      <c r="I4795" s="3" t="s">
        <v>13</v>
      </c>
      <c r="J4795" s="3" t="s">
        <v>13727</v>
      </c>
      <c r="K4795" s="3" t="s">
        <v>1854</v>
      </c>
      <c r="L4795" s="3" t="str">
        <f>IFERROR(__xludf.DUMMYFUNCTION("GOOGLETRANSLATE(F4795,""id"",""en"")"),"Upload content about Final Social Media Pildun You may be created in the form of a video to make it more interesting for caption as attractive as possible by using IndiHome keywords and Hastags Make sure the caption and content are appropriate not to UPL")</f>
        <v>Upload content about Final Social Media Pildun You may be created in the form of a video to make it more interesting for caption as attractive as possible by using IndiHome keywords and Hastags Make sure the caption and content are appropriate not to UPL</v>
      </c>
    </row>
    <row r="4796" ht="15.75" customHeight="1">
      <c r="A4796" s="1">
        <v>5966.0</v>
      </c>
      <c r="B4796" s="3" t="s">
        <v>13728</v>
      </c>
      <c r="C4796" s="3">
        <v>0.0</v>
      </c>
      <c r="D4796" s="3">
        <v>0.0</v>
      </c>
      <c r="E4796" s="3">
        <v>0.0</v>
      </c>
      <c r="F4796" s="3" t="s">
        <v>13729</v>
      </c>
      <c r="G4796" s="3">
        <v>1.0</v>
      </c>
      <c r="H4796" s="3">
        <v>0.0</v>
      </c>
      <c r="I4796" s="3" t="s">
        <v>13</v>
      </c>
      <c r="J4796" s="3" t="s">
        <v>13730</v>
      </c>
      <c r="K4796" s="3" t="s">
        <v>19</v>
      </c>
      <c r="L4796" s="3" t="str">
        <f>IFERROR(__xludf.DUMMYFUNCTION("GOOGLETRANSLATE(F4796,""id"",""en"")"),"Hi Eatnow Lovers no one skipped the office yesterday, right yesterday, the state was finished")</f>
        <v>Hi Eatnow Lovers no one skipped the office yesterday, right yesterday, the state was finished</v>
      </c>
    </row>
    <row r="4797" ht="15.75" customHeight="1">
      <c r="A4797" s="1">
        <v>5967.0</v>
      </c>
      <c r="B4797" s="3" t="s">
        <v>13731</v>
      </c>
      <c r="C4797" s="3">
        <v>0.0</v>
      </c>
      <c r="D4797" s="3">
        <v>0.0</v>
      </c>
      <c r="E4797" s="3">
        <v>0.0</v>
      </c>
      <c r="F4797" s="3" t="s">
        <v>13732</v>
      </c>
      <c r="G4797" s="3">
        <v>1.0</v>
      </c>
      <c r="H4797" s="3">
        <v>-0.25</v>
      </c>
      <c r="I4797" s="3" t="s">
        <v>179</v>
      </c>
      <c r="J4797" s="3" t="s">
        <v>13733</v>
      </c>
      <c r="K4797" s="3" t="s">
        <v>184</v>
      </c>
      <c r="L4797" s="3" t="str">
        <f>IFERROR(__xludf.DUMMYFUNCTION("GOOGLETRANSLATE(F4797,""id"",""en"")"),"Tumben, so the final pildun tofu tofu is very sad, the hero loses is usually still santuyy until this sad, especially seeing mbappe appears with his face sad")</f>
        <v>Tumben, so the final pildun tofu tofu is very sad, the hero loses is usually still santuyy until this sad, especially seeing mbappe appears with his face sad</v>
      </c>
    </row>
    <row r="4798" ht="15.75" customHeight="1">
      <c r="A4798" s="1">
        <v>5968.0</v>
      </c>
      <c r="B4798" s="3" t="s">
        <v>13734</v>
      </c>
      <c r="C4798" s="3">
        <v>0.0</v>
      </c>
      <c r="D4798" s="3">
        <v>0.0</v>
      </c>
      <c r="E4798" s="3">
        <v>0.0</v>
      </c>
      <c r="F4798" s="3" t="s">
        <v>13735</v>
      </c>
      <c r="G4798" s="3">
        <v>1.0</v>
      </c>
      <c r="H4798" s="3">
        <v>0.0</v>
      </c>
      <c r="I4798" s="3" t="s">
        <v>13</v>
      </c>
      <c r="J4798" s="3" t="s">
        <v>13736</v>
      </c>
      <c r="K4798" s="3" t="s">
        <v>50</v>
      </c>
      <c r="L4798" s="3" t="str">
        <f>IFERROR(__xludf.DUMMYFUNCTION("GOOGLETRANSLATE(F4798,""id"",""en"")"),"because of seeing the re -broadcast of the final pildun until it's finished with mbappe")</f>
        <v>because of seeing the re -broadcast of the final pildun until it's finished with mbappe</v>
      </c>
    </row>
    <row r="4799" ht="15.75" customHeight="1">
      <c r="A4799" s="1">
        <v>5969.0</v>
      </c>
      <c r="B4799" s="3" t="s">
        <v>13737</v>
      </c>
      <c r="C4799" s="3">
        <v>0.0</v>
      </c>
      <c r="D4799" s="3">
        <v>0.0</v>
      </c>
      <c r="E4799" s="3">
        <v>6.0</v>
      </c>
      <c r="F4799" s="3" t="s">
        <v>13738</v>
      </c>
      <c r="G4799" s="3">
        <v>1.0</v>
      </c>
      <c r="H4799" s="3">
        <v>0.0</v>
      </c>
      <c r="I4799" s="3" t="s">
        <v>13</v>
      </c>
      <c r="J4799" s="3" t="s">
        <v>13739</v>
      </c>
      <c r="K4799" s="3" t="s">
        <v>13740</v>
      </c>
      <c r="L4799" s="3" t="str">
        <f>IFERROR(__xludf.DUMMYFUNCTION("GOOGLETRANSLATE(F4799,""id"",""en"")"),"Haters Gona Haters Dos Fans are now the beggar beggar to become pretentious wise paktu messi want to retire because the final time failed to win the trophy they were busy bullying Messi when the Copa trophy was still able")</f>
        <v>Haters Gona Haters Dos Fans are now the beggar beggar to become pretentious wise paktu messi want to retire because the final time failed to win the trophy they were busy bullying Messi when the Copa trophy was still able</v>
      </c>
    </row>
    <row r="4800" ht="15.75" customHeight="1">
      <c r="A4800" s="1">
        <v>5970.0</v>
      </c>
      <c r="B4800" s="3" t="s">
        <v>13741</v>
      </c>
      <c r="C4800" s="3">
        <v>0.0</v>
      </c>
      <c r="D4800" s="3">
        <v>0.0</v>
      </c>
      <c r="E4800" s="3">
        <v>1.0</v>
      </c>
      <c r="F4800" s="3" t="s">
        <v>13742</v>
      </c>
      <c r="G4800" s="3">
        <v>0.65</v>
      </c>
      <c r="H4800" s="3">
        <v>0.1</v>
      </c>
      <c r="I4800" s="3" t="s">
        <v>48</v>
      </c>
      <c r="J4800" s="3" t="s">
        <v>13743</v>
      </c>
      <c r="K4800" s="3" t="s">
        <v>1428</v>
      </c>
      <c r="L4800" s="3" t="str">
        <f>IFERROR(__xludf.DUMMYFUNCTION("GOOGLETRANSLATE(F4800,""id"",""en"")"),"Real Madrid fans why angry blg aguero tacky etc. from the beginning of the pildun only messi sleeping alone the room of PDHL every room there was a bed it turned out that before the Aguero final was asked to scaloni to accompany Messi because they mem the"&amp;"m")</f>
        <v>Real Madrid fans why angry blg aguero tacky etc. from the beginning of the pildun only messi sleeping alone the room of PDHL every room there was a bed it turned out that before the Aguero final was asked to scaloni to accompany Messi because they mem them</v>
      </c>
    </row>
    <row r="4801" ht="15.75" customHeight="1">
      <c r="A4801" s="1">
        <v>5971.0</v>
      </c>
      <c r="B4801" s="3" t="s">
        <v>13744</v>
      </c>
      <c r="C4801" s="3">
        <v>0.0</v>
      </c>
      <c r="D4801" s="3">
        <v>0.0</v>
      </c>
      <c r="E4801" s="3">
        <v>0.0</v>
      </c>
      <c r="F4801" s="3" t="s">
        <v>13745</v>
      </c>
      <c r="G4801" s="3">
        <v>1.0</v>
      </c>
      <c r="H4801" s="3">
        <v>0.0</v>
      </c>
      <c r="I4801" s="3" t="s">
        <v>13</v>
      </c>
      <c r="J4801" s="3" t="s">
        <v>13746</v>
      </c>
      <c r="K4801" s="3" t="s">
        <v>58</v>
      </c>
      <c r="L4801" s="3" t="str">
        <f>IFERROR(__xludf.DUMMYFUNCTION("GOOGLETRANSLATE(F4801,""id"",""en"")"),"Final Pildun was one of FIFA's best final parties during the World Cup event")</f>
        <v>Final Pildun was one of FIFA's best final parties during the World Cup event</v>
      </c>
    </row>
    <row r="4802" ht="15.75" customHeight="1">
      <c r="A4802" s="1">
        <v>5972.0</v>
      </c>
      <c r="B4802" s="3" t="s">
        <v>13747</v>
      </c>
      <c r="C4802" s="3">
        <v>0.0</v>
      </c>
      <c r="D4802" s="3">
        <v>1.0</v>
      </c>
      <c r="E4802" s="3">
        <v>0.0</v>
      </c>
      <c r="F4802" s="3" t="s">
        <v>13748</v>
      </c>
      <c r="G4802" s="3">
        <v>0.5555555555555555</v>
      </c>
      <c r="H4802" s="3">
        <v>0.1111111111111111</v>
      </c>
      <c r="I4802" s="3" t="s">
        <v>48</v>
      </c>
      <c r="J4802" s="3" t="s">
        <v>13749</v>
      </c>
      <c r="K4802" s="3" t="s">
        <v>205</v>
      </c>
      <c r="L4802" s="3" t="str">
        <f>IFERROR(__xludf.DUMMYFUNCTION("GOOGLETRANSLATE(F4802,""id"",""en"")"),"Molina Benzema Mna wants to be injured, she is willing to play the end of Madrid's match before Pildun because of focusing on her injury so that you can play at least a large semi -final")</f>
        <v>Molina Benzema Mna wants to be injured, she is willing to play the end of Madrid's match before Pildun because of focusing on her injury so that you can play at least a large semi -final</v>
      </c>
    </row>
    <row r="4803" ht="15.75" customHeight="1">
      <c r="A4803" s="1">
        <v>5973.0</v>
      </c>
      <c r="B4803" s="3" t="s">
        <v>13750</v>
      </c>
      <c r="C4803" s="3">
        <v>0.0</v>
      </c>
      <c r="D4803" s="3">
        <v>0.0</v>
      </c>
      <c r="E4803" s="3">
        <v>0.0</v>
      </c>
      <c r="F4803" s="3" t="s">
        <v>13751</v>
      </c>
      <c r="G4803" s="3">
        <v>1.0</v>
      </c>
      <c r="H4803" s="3">
        <v>0.0</v>
      </c>
      <c r="I4803" s="3" t="s">
        <v>13</v>
      </c>
      <c r="J4803" s="3" t="s">
        <v>13752</v>
      </c>
      <c r="K4803" s="3" t="s">
        <v>1061</v>
      </c>
      <c r="L4803" s="3" t="str">
        <f>IFERROR(__xludf.DUMMYFUNCTION("GOOGLETRANSLATE(F4803,""id"",""en"")"),"because of the week's night, I saw the final of my sleeping schedule.")</f>
        <v>because of the week's night, I saw the final of my sleeping schedule.</v>
      </c>
    </row>
    <row r="4804" ht="15.75" customHeight="1">
      <c r="A4804" s="1">
        <v>5974.0</v>
      </c>
      <c r="B4804" s="3" t="s">
        <v>13753</v>
      </c>
      <c r="C4804" s="3">
        <v>1.0</v>
      </c>
      <c r="D4804" s="3">
        <v>0.0</v>
      </c>
      <c r="E4804" s="3">
        <v>0.0</v>
      </c>
      <c r="F4804" s="3" t="s">
        <v>13754</v>
      </c>
      <c r="G4804" s="3">
        <v>1.0</v>
      </c>
      <c r="H4804" s="3">
        <v>0.0</v>
      </c>
      <c r="I4804" s="3" t="s">
        <v>13</v>
      </c>
      <c r="J4804" s="3" t="s">
        <v>13755</v>
      </c>
      <c r="K4804" s="3" t="s">
        <v>35</v>
      </c>
      <c r="L4804" s="3" t="str">
        <f>IFERROR(__xludf.DUMMYFUNCTION("GOOGLETRANSLATE(F4804,""id"",""en"")"),"not aware that the Frenchman can be the final of the Pildun because it doesn't do it.")</f>
        <v>not aware that the Frenchman can be the final of the Pildun because it doesn't do it.</v>
      </c>
    </row>
    <row r="4805" ht="15.75" customHeight="1">
      <c r="A4805" s="1">
        <v>5975.0</v>
      </c>
      <c r="B4805" s="3" t="s">
        <v>13756</v>
      </c>
      <c r="C4805" s="3">
        <v>1.0</v>
      </c>
      <c r="D4805" s="3">
        <v>0.0</v>
      </c>
      <c r="E4805" s="3">
        <v>1.0</v>
      </c>
      <c r="F4805" s="3" t="s">
        <v>13757</v>
      </c>
      <c r="G4805" s="3">
        <v>0.5</v>
      </c>
      <c r="H4805" s="3">
        <v>0.0</v>
      </c>
      <c r="I4805" s="3" t="s">
        <v>13</v>
      </c>
      <c r="J4805" s="3" t="s">
        <v>13758</v>
      </c>
      <c r="K4805" s="3" t="s">
        <v>433</v>
      </c>
      <c r="L4805" s="3" t="str">
        <f>IFERROR(__xludf.DUMMYFUNCTION("GOOGLETRANSLATE(F4805,""id"",""en"")"),"a time when the Nobar Final Pildun if still given the next breath")</f>
        <v>a time when the Nobar Final Pildun if still given the next breath</v>
      </c>
    </row>
    <row r="4806" ht="15.75" customHeight="1">
      <c r="A4806" s="1">
        <v>5976.0</v>
      </c>
      <c r="B4806" s="3" t="s">
        <v>13759</v>
      </c>
      <c r="C4806" s="3">
        <v>0.0</v>
      </c>
      <c r="D4806" s="3">
        <v>0.0</v>
      </c>
      <c r="E4806" s="3">
        <v>1.0</v>
      </c>
      <c r="F4806" s="3" t="s">
        <v>13760</v>
      </c>
      <c r="G4806" s="3">
        <v>0.775</v>
      </c>
      <c r="H4806" s="3">
        <v>0.175</v>
      </c>
      <c r="I4806" s="3" t="s">
        <v>48</v>
      </c>
      <c r="J4806" s="3" t="s">
        <v>13761</v>
      </c>
      <c r="K4806" s="3" t="s">
        <v>71</v>
      </c>
      <c r="L4806" s="3" t="str">
        <f>IFERROR(__xludf.DUMMYFUNCTION("GOOGLETRANSLATE(F4806,""id"",""en"")"),"Paulo Dybala Full Smiles After Argentina's Victory over France The Sports World Cup Final Party")</f>
        <v>Paulo Dybala Full Smiles After Argentina's Victory over France The Sports World Cup Final Party</v>
      </c>
    </row>
    <row r="4807" ht="15.75" customHeight="1">
      <c r="A4807" s="1">
        <v>5977.0</v>
      </c>
      <c r="B4807" s="3" t="s">
        <v>13762</v>
      </c>
      <c r="C4807" s="3">
        <v>0.0</v>
      </c>
      <c r="D4807" s="3">
        <v>0.0</v>
      </c>
      <c r="E4807" s="3">
        <v>0.0</v>
      </c>
      <c r="F4807" s="3" t="s">
        <v>13763</v>
      </c>
      <c r="G4807" s="3">
        <v>0.75</v>
      </c>
      <c r="H4807" s="3">
        <v>-0.25</v>
      </c>
      <c r="I4807" s="3" t="s">
        <v>179</v>
      </c>
      <c r="J4807" s="3" t="s">
        <v>13764</v>
      </c>
      <c r="K4807" s="3" t="s">
        <v>215</v>
      </c>
      <c r="L4807" s="3" t="str">
        <f>IFERROR(__xludf.DUMMYFUNCTION("GOOGLETRANSLATE(F4807,""id"",""en"")"),"Random once again Miting with the Director of TBTB wants to discuss the final of the pildun yesterday Bdw Messi got a trophy but mbappe et al can win the hearts of all football lovers around the world except fanatical Messi and Aregentina scores that they"&amp;" should be supposed to")</f>
        <v>Random once again Miting with the Director of TBTB wants to discuss the final of the pildun yesterday Bdw Messi got a trophy but mbappe et al can win the hearts of all football lovers around the world except fanatical Messi and Aregentina scores that they should be supposed to</v>
      </c>
    </row>
    <row r="4808" ht="15.75" customHeight="1">
      <c r="A4808" s="1">
        <v>5978.0</v>
      </c>
      <c r="B4808" s="3" t="s">
        <v>13765</v>
      </c>
      <c r="C4808" s="3">
        <v>1.0</v>
      </c>
      <c r="D4808" s="3">
        <v>2.0</v>
      </c>
      <c r="E4808" s="3">
        <v>13.0</v>
      </c>
      <c r="F4808" s="3" t="s">
        <v>13766</v>
      </c>
      <c r="G4808" s="3">
        <v>1.0</v>
      </c>
      <c r="H4808" s="3">
        <v>0.0</v>
      </c>
      <c r="I4808" s="3" t="s">
        <v>13</v>
      </c>
      <c r="J4808" s="3" t="s">
        <v>13767</v>
      </c>
      <c r="K4808" s="3" t="s">
        <v>240</v>
      </c>
      <c r="L4808" s="3" t="str">
        <f>IFERROR(__xludf.DUMMYFUNCTION("GOOGLETRANSLATE(F4808,""id"",""en"")"),"Come on, Maduraaaaaaa Final Pildun has finished today, focus on our focus to Squad Sapeh Kerrab who will show his best appearance again Cong")</f>
        <v>Come on, Maduraaaaaaa Final Pildun has finished today, focus on our focus to Squad Sapeh Kerrab who will show his best appearance again Cong</v>
      </c>
    </row>
    <row r="4809" ht="15.75" customHeight="1">
      <c r="A4809" s="1">
        <v>5979.0</v>
      </c>
      <c r="B4809" s="3" t="s">
        <v>13768</v>
      </c>
      <c r="C4809" s="3">
        <v>1.0</v>
      </c>
      <c r="D4809" s="3">
        <v>0.0</v>
      </c>
      <c r="E4809" s="3">
        <v>1.0</v>
      </c>
      <c r="F4809" s="3" t="s">
        <v>13769</v>
      </c>
      <c r="G4809" s="3">
        <v>1.0</v>
      </c>
      <c r="H4809" s="3">
        <v>0.0</v>
      </c>
      <c r="I4809" s="3" t="s">
        <v>13</v>
      </c>
      <c r="J4809" s="3" t="s">
        <v>13770</v>
      </c>
      <c r="K4809" s="3" t="s">
        <v>31</v>
      </c>
      <c r="L4809" s="3" t="str">
        <f>IFERROR(__xludf.DUMMYFUNCTION("GOOGLETRANSLATE(F4809,""id"",""en"")"),"It must be sad again to cry over the final of the pildun yesterday")</f>
        <v>It must be sad again to cry over the final of the pildun yesterday</v>
      </c>
    </row>
    <row r="4810" ht="15.75" customHeight="1">
      <c r="A4810" s="1">
        <v>5980.0</v>
      </c>
      <c r="B4810" s="3" t="s">
        <v>13771</v>
      </c>
      <c r="C4810" s="3">
        <v>0.0</v>
      </c>
      <c r="D4810" s="3">
        <v>0.0</v>
      </c>
      <c r="E4810" s="3">
        <v>0.0</v>
      </c>
      <c r="F4810" s="3" t="s">
        <v>13772</v>
      </c>
      <c r="G4810" s="3">
        <v>1.0</v>
      </c>
      <c r="H4810" s="3">
        <v>0.0</v>
      </c>
      <c r="I4810" s="3" t="s">
        <v>13</v>
      </c>
      <c r="J4810" s="3" t="s">
        <v>13773</v>
      </c>
      <c r="K4810" s="3" t="s">
        <v>232</v>
      </c>
      <c r="L4810" s="3" t="str">
        <f>IFERROR(__xludf.DUMMYFUNCTION("GOOGLETRANSLATE(F4810,""id"",""en"")"),"Mbappe today, last year when the final was still in the year, when Mbappe was in the age of the year, when it was the champion of the mbappe pilduun, it was not a foundation of the team because the French squad was far more more")</f>
        <v>Mbappe today, last year when the final was still in the year, when Mbappe was in the age of the year, when it was the champion of the mbappe pilduun, it was not a foundation of the team because the French squad was far more more</v>
      </c>
    </row>
    <row r="4811" ht="15.75" customHeight="1">
      <c r="A4811" s="1">
        <v>5981.0</v>
      </c>
      <c r="B4811" s="3" t="s">
        <v>13774</v>
      </c>
      <c r="C4811" s="3">
        <v>0.0</v>
      </c>
      <c r="D4811" s="3">
        <v>0.0</v>
      </c>
      <c r="E4811" s="3">
        <v>3.0</v>
      </c>
      <c r="F4811" s="3" t="s">
        <v>13775</v>
      </c>
      <c r="G4811" s="3">
        <v>1.0</v>
      </c>
      <c r="H4811" s="3">
        <v>0.0</v>
      </c>
      <c r="I4811" s="3" t="s">
        <v>13</v>
      </c>
      <c r="J4811" s="3" t="s">
        <v>13776</v>
      </c>
      <c r="K4811" s="3" t="s">
        <v>75</v>
      </c>
      <c r="L4811" s="3" t="str">
        <f>IFERROR(__xludf.DUMMYFUNCTION("GOOGLETRANSLATE(F4811,""id"",""en"")"),"Varane said that even though we entered the club's final, the club's starter was still Captain Maguwayer")</f>
        <v>Varane said that even though we entered the club's final, the club's starter was still Captain Maguwayer</v>
      </c>
    </row>
    <row r="4812" ht="15.75" customHeight="1">
      <c r="A4812" s="1">
        <v>5982.0</v>
      </c>
      <c r="B4812" s="3" t="s">
        <v>13777</v>
      </c>
      <c r="C4812" s="3">
        <v>0.0</v>
      </c>
      <c r="D4812" s="3">
        <v>0.0</v>
      </c>
      <c r="E4812" s="3">
        <v>0.0</v>
      </c>
      <c r="F4812" s="3" t="s">
        <v>13778</v>
      </c>
      <c r="G4812" s="3">
        <v>0.8666666666666667</v>
      </c>
      <c r="H4812" s="3">
        <v>-0.03333333333333333</v>
      </c>
      <c r="I4812" s="3" t="s">
        <v>179</v>
      </c>
      <c r="J4812" s="3" t="s">
        <v>13779</v>
      </c>
      <c r="K4812" s="3" t="s">
        <v>614</v>
      </c>
      <c r="L4812" s="3" t="str">
        <f>IFERROR(__xludf.DUMMYFUNCTION("GOOGLETRANSLATE(F4812,""id"",""en"")"),"Poor the team there are no representatives for world champions, not only until the final, hopefully players from the milan city club can consistently send the representatives")</f>
        <v>Poor the team there are no representatives for world champions, not only until the final, hopefully players from the milan city club can consistently send the representatives</v>
      </c>
    </row>
    <row r="4813" ht="15.75" customHeight="1">
      <c r="A4813" s="1">
        <v>5983.0</v>
      </c>
      <c r="B4813" s="3" t="s">
        <v>13780</v>
      </c>
      <c r="C4813" s="3">
        <v>1.0</v>
      </c>
      <c r="D4813" s="3">
        <v>0.0</v>
      </c>
      <c r="E4813" s="3">
        <v>1.0</v>
      </c>
      <c r="F4813" s="3" t="s">
        <v>13781</v>
      </c>
      <c r="G4813" s="3">
        <v>0.775</v>
      </c>
      <c r="H4813" s="3">
        <v>0.175</v>
      </c>
      <c r="I4813" s="3" t="s">
        <v>48</v>
      </c>
      <c r="J4813" s="3" t="s">
        <v>13782</v>
      </c>
      <c r="K4813" s="3" t="s">
        <v>3721</v>
      </c>
      <c r="L4813" s="3" t="str">
        <f>IFERROR(__xludf.DUMMYFUNCTION("GOOGLETRANSLATE(F4813,""id"",""en"")"),"That's why the final yesterday was a very full drama mbappe still glowing a few mbappe mbappe mads crazy when competing the event rich entering the elite world nay if jogging or swimming the smartwatch uses there is fashion")</f>
        <v>That's why the final yesterday was a very full drama mbappe still glowing a few mbappe mbappe mads crazy when competing the event rich entering the elite world nay if jogging or swimming the smartwatch uses there is fashion</v>
      </c>
    </row>
    <row r="4814" ht="15.75" customHeight="1">
      <c r="A4814" s="1">
        <v>5984.0</v>
      </c>
      <c r="B4814" s="3" t="s">
        <v>13783</v>
      </c>
      <c r="C4814" s="3">
        <v>2.0</v>
      </c>
      <c r="D4814" s="3">
        <v>0.0</v>
      </c>
      <c r="E4814" s="3">
        <v>0.0</v>
      </c>
      <c r="F4814" s="3" t="s">
        <v>13784</v>
      </c>
      <c r="G4814" s="3">
        <v>1.0</v>
      </c>
      <c r="H4814" s="3">
        <v>0.0</v>
      </c>
      <c r="I4814" s="3" t="s">
        <v>13</v>
      </c>
      <c r="J4814" s="3" t="s">
        <v>13785</v>
      </c>
      <c r="K4814" s="3" t="s">
        <v>15</v>
      </c>
      <c r="L4814" s="3" t="str">
        <f>IFERROR(__xludf.DUMMYFUNCTION("GOOGLETRANSLATE(F4814,""id"",""en"")"),"I can't imagine that Indonesia will enter the semi -finals")</f>
        <v>I can't imagine that Indonesia will enter the semi -finals</v>
      </c>
    </row>
    <row r="4815" ht="15.75" customHeight="1">
      <c r="A4815" s="1">
        <v>5985.0</v>
      </c>
      <c r="B4815" s="3" t="s">
        <v>13786</v>
      </c>
      <c r="C4815" s="3">
        <v>0.0</v>
      </c>
      <c r="D4815" s="3">
        <v>0.0</v>
      </c>
      <c r="E4815" s="3">
        <v>1.0</v>
      </c>
      <c r="F4815" s="3" t="s">
        <v>13787</v>
      </c>
      <c r="G4815" s="3">
        <v>0.6666666666666666</v>
      </c>
      <c r="H4815" s="3">
        <v>0.08333333333333333</v>
      </c>
      <c r="I4815" s="3" t="s">
        <v>48</v>
      </c>
      <c r="J4815" s="3" t="s">
        <v>13788</v>
      </c>
      <c r="K4815" s="3" t="s">
        <v>192</v>
      </c>
      <c r="L4815" s="3" t="str">
        <f>IFERROR(__xludf.DUMMYFUNCTION("GOOGLETRANSLATE(F4815,""id"",""en"")"),"Ouch Neti Mbapee Wid he is the best player throughout Pilduun, right a ball without finalty mkny, the best Peman is the best to medal him for Ronaldo when dpn Ronaldo plays again when he looks at the final game")</f>
        <v>Ouch Neti Mbapee Wid he is the best player throughout Pilduun, right a ball without finalty mkny, the best Peman is the best to medal him for Ronaldo when dpn Ronaldo plays again when he looks at the final game</v>
      </c>
    </row>
    <row r="4816" ht="15.75" customHeight="1">
      <c r="A4816" s="1">
        <v>5986.0</v>
      </c>
      <c r="B4816" s="3" t="s">
        <v>13789</v>
      </c>
      <c r="C4816" s="3">
        <v>2.0</v>
      </c>
      <c r="D4816" s="3">
        <v>1.0</v>
      </c>
      <c r="E4816" s="3">
        <v>12.0</v>
      </c>
      <c r="F4816" s="3" t="s">
        <v>13790</v>
      </c>
      <c r="G4816" s="3">
        <v>1.0</v>
      </c>
      <c r="H4816" s="3">
        <v>0.0</v>
      </c>
      <c r="I4816" s="3" t="s">
        <v>13</v>
      </c>
      <c r="J4816" s="3" t="s">
        <v>13791</v>
      </c>
      <c r="K4816" s="3" t="s">
        <v>71</v>
      </c>
      <c r="L4816" s="3" t="str">
        <f>IFERROR(__xludf.DUMMYFUNCTION("GOOGLETRANSLATE(F4816,""id"",""en"")"),"Just like saying the worst Qatar Pilduun is suitable because the middle of the season is just right at the beginning but watched to the final")</f>
        <v>Just like saying the worst Qatar Pilduun is suitable because the middle of the season is just right at the beginning but watched to the final</v>
      </c>
    </row>
    <row r="4817" ht="15.75" customHeight="1">
      <c r="A4817" s="1">
        <v>5987.0</v>
      </c>
      <c r="B4817" s="3" t="s">
        <v>13792</v>
      </c>
      <c r="C4817" s="3">
        <v>0.0</v>
      </c>
      <c r="D4817" s="3">
        <v>0.0</v>
      </c>
      <c r="E4817" s="3">
        <v>1.0</v>
      </c>
      <c r="F4817" s="3" t="s">
        <v>13793</v>
      </c>
      <c r="G4817" s="3">
        <v>1.0</v>
      </c>
      <c r="H4817" s="3">
        <v>0.0</v>
      </c>
      <c r="I4817" s="3" t="s">
        <v>13</v>
      </c>
      <c r="J4817" s="3" t="s">
        <v>13794</v>
      </c>
      <c r="K4817" s="3" t="s">
        <v>348</v>
      </c>
      <c r="L4817" s="3" t="str">
        <f>IFERROR(__xludf.DUMMYFUNCTION("GOOGLETRANSLATE(F4817,""id"",""en"")"),"this is eenaaak serialiiyus, it is also funny, I give it up and for this price worthit under the gojek message for nmnin watching the final pildun too, okayhh")</f>
        <v>this is eenaaak serialiiyus, it is also funny, I give it up and for this price worthit under the gojek message for nmnin watching the final pildun too, okayhh</v>
      </c>
    </row>
    <row r="4818" ht="15.75" customHeight="1">
      <c r="A4818" s="1">
        <v>5988.0</v>
      </c>
      <c r="B4818" s="3" t="s">
        <v>13795</v>
      </c>
      <c r="C4818" s="3">
        <v>0.0</v>
      </c>
      <c r="D4818" s="3">
        <v>0.0</v>
      </c>
      <c r="E4818" s="3">
        <v>13.0</v>
      </c>
      <c r="F4818" s="3" t="s">
        <v>13796</v>
      </c>
      <c r="G4818" s="3">
        <v>1.0</v>
      </c>
      <c r="H4818" s="3">
        <v>0.0</v>
      </c>
      <c r="I4818" s="3" t="s">
        <v>13</v>
      </c>
      <c r="J4818" s="3" t="s">
        <v>13797</v>
      </c>
      <c r="K4818" s="3" t="s">
        <v>71</v>
      </c>
      <c r="L4818" s="3" t="str">
        <f>IFERROR(__xludf.DUMMYFUNCTION("GOOGLETRANSLATE(F4818,""id"",""en"")"),"Don't be surprised, I usually talk about it, right?")</f>
        <v>Don't be surprised, I usually talk about it, right?</v>
      </c>
    </row>
    <row r="4819" ht="15.75" customHeight="1">
      <c r="A4819" s="1">
        <v>5989.0</v>
      </c>
      <c r="B4819" s="3" t="s">
        <v>13798</v>
      </c>
      <c r="C4819" s="3">
        <v>0.0</v>
      </c>
      <c r="D4819" s="3">
        <v>0.0</v>
      </c>
      <c r="E4819" s="3">
        <v>0.0</v>
      </c>
      <c r="F4819" s="3" t="s">
        <v>13799</v>
      </c>
      <c r="G4819" s="3">
        <v>1.0</v>
      </c>
      <c r="H4819" s="3">
        <v>0.0</v>
      </c>
      <c r="I4819" s="3" t="s">
        <v>13</v>
      </c>
      <c r="J4819" s="3" t="s">
        <v>13800</v>
      </c>
      <c r="K4819" s="3" t="s">
        <v>883</v>
      </c>
      <c r="L4819" s="3" t="str">
        <f>IFERROR(__xludf.DUMMYFUNCTION("GOOGLETRANSLATE(F4819,""id"",""en"")"),"Enjoy the final, just don't talk a lot using corruption with all Indonesia anyways, there is a pioneer, how come it's so busy")</f>
        <v>Enjoy the final, just don't talk a lot using corruption with all Indonesia anyways, there is a pioneer, how come it's so busy</v>
      </c>
    </row>
    <row r="4820" ht="15.75" customHeight="1">
      <c r="A4820" s="1">
        <v>5990.0</v>
      </c>
      <c r="B4820" s="3" t="s">
        <v>13801</v>
      </c>
      <c r="C4820" s="3">
        <v>0.0</v>
      </c>
      <c r="D4820" s="3">
        <v>0.0</v>
      </c>
      <c r="E4820" s="3">
        <v>0.0</v>
      </c>
      <c r="F4820" s="3" t="s">
        <v>13802</v>
      </c>
      <c r="G4820" s="3">
        <v>1.0</v>
      </c>
      <c r="H4820" s="3">
        <v>0.0</v>
      </c>
      <c r="I4820" s="3" t="s">
        <v>13</v>
      </c>
      <c r="J4820" s="3" t="s">
        <v>13803</v>
      </c>
      <c r="K4820" s="3" t="s">
        <v>41</v>
      </c>
      <c r="L4820" s="3" t="str">
        <f>IFERROR(__xludf.DUMMYFUNCTION("GOOGLETRANSLATE(F4820,""id"",""en"")"),"I think I'm off again, I still talk a lot")</f>
        <v>I think I'm off again, I still talk a lot</v>
      </c>
    </row>
    <row r="4821" ht="15.75" customHeight="1">
      <c r="A4821" s="1">
        <v>5991.0</v>
      </c>
      <c r="B4821" s="3" t="s">
        <v>13804</v>
      </c>
      <c r="C4821" s="3">
        <v>0.0</v>
      </c>
      <c r="D4821" s="3">
        <v>0.0</v>
      </c>
      <c r="E4821" s="3">
        <v>40.0</v>
      </c>
      <c r="F4821" s="3" t="s">
        <v>13805</v>
      </c>
      <c r="G4821" s="3">
        <v>1.0</v>
      </c>
      <c r="H4821" s="3">
        <v>0.0</v>
      </c>
      <c r="I4821" s="3" t="s">
        <v>13</v>
      </c>
      <c r="J4821" s="3" t="s">
        <v>13806</v>
      </c>
      <c r="K4821" s="3" t="s">
        <v>1854</v>
      </c>
      <c r="L4821" s="3" t="str">
        <f>IFERROR(__xludf.DUMMYFUNCTION("GOOGLETRANSLATE(F4821,""id"",""en"")"),"Mas, I overslept when I watched the final pildun style, I want to follow the hype of the hype, it's tired of being too sleepy when I wake up when I get a penalty kick")</f>
        <v>Mas, I overslept when I watched the final pildun style, I want to follow the hype of the hype, it's tired of being too sleepy when I wake up when I get a penalty kick</v>
      </c>
    </row>
    <row r="4822" ht="15.75" customHeight="1">
      <c r="A4822" s="1">
        <v>5992.0</v>
      </c>
      <c r="B4822" s="3" t="s">
        <v>13807</v>
      </c>
      <c r="C4822" s="3">
        <v>0.0</v>
      </c>
      <c r="D4822" s="3">
        <v>0.0</v>
      </c>
      <c r="E4822" s="3">
        <v>1.0</v>
      </c>
      <c r="F4822" s="3" t="s">
        <v>13808</v>
      </c>
      <c r="G4822" s="3">
        <v>1.0</v>
      </c>
      <c r="H4822" s="3">
        <v>0.0</v>
      </c>
      <c r="I4822" s="3" t="s">
        <v>13</v>
      </c>
      <c r="J4822" s="3" t="s">
        <v>13809</v>
      </c>
      <c r="K4822" s="3" t="s">
        <v>3497</v>
      </c>
      <c r="L4822" s="3" t="str">
        <f>IFERROR(__xludf.DUMMYFUNCTION("GOOGLETRANSLATE(F4822,""id"",""en"")"),"the remaining nobar final pildun")</f>
        <v>the remaining nobar final pildun</v>
      </c>
    </row>
    <row r="4823" ht="15.75" customHeight="1">
      <c r="A4823" s="1">
        <v>5993.0</v>
      </c>
      <c r="B4823" s="3" t="s">
        <v>13810</v>
      </c>
      <c r="C4823" s="3">
        <v>1.0</v>
      </c>
      <c r="D4823" s="3">
        <v>0.0</v>
      </c>
      <c r="E4823" s="3">
        <v>0.0</v>
      </c>
      <c r="F4823" s="3" t="s">
        <v>13811</v>
      </c>
      <c r="G4823" s="3">
        <v>1.0</v>
      </c>
      <c r="H4823" s="3">
        <v>0.0</v>
      </c>
      <c r="I4823" s="3" t="s">
        <v>13</v>
      </c>
      <c r="J4823" s="3" t="s">
        <v>13812</v>
      </c>
      <c r="K4823" s="3" t="s">
        <v>244</v>
      </c>
      <c r="L4823" s="3" t="str">
        <f>IFERROR(__xludf.DUMMYFUNCTION("GOOGLETRANSLATE(F4823,""id"",""en"")"),"I think there are only the final Pildun, how many matches from the stage to the final")</f>
        <v>I think there are only the final Pildun, how many matches from the stage to the final</v>
      </c>
    </row>
    <row r="4824" ht="15.75" customHeight="1">
      <c r="A4824" s="1">
        <v>5994.0</v>
      </c>
      <c r="B4824" s="3" t="s">
        <v>13813</v>
      </c>
      <c r="C4824" s="3">
        <v>1.0</v>
      </c>
      <c r="D4824" s="3">
        <v>0.0</v>
      </c>
      <c r="E4824" s="3">
        <v>0.0</v>
      </c>
      <c r="F4824" s="3" t="s">
        <v>13814</v>
      </c>
      <c r="G4824" s="3">
        <v>1.0</v>
      </c>
      <c r="H4824" s="3">
        <v>0.0</v>
      </c>
      <c r="I4824" s="3" t="s">
        <v>13</v>
      </c>
      <c r="J4824" s="3" t="s">
        <v>13815</v>
      </c>
      <c r="K4824" s="3" t="s">
        <v>54</v>
      </c>
      <c r="L4824" s="3" t="str">
        <f>IFERROR(__xludf.DUMMYFUNCTION("GOOGLETRANSLATE(F4824,""id"",""en"")"),"Cendols Kira Maen Pildun Final Gtu")</f>
        <v>Cendols Kira Maen Pildun Final Gtu</v>
      </c>
    </row>
    <row r="4825" ht="15.75" customHeight="1">
      <c r="A4825" s="1">
        <v>5995.0</v>
      </c>
      <c r="B4825" s="3" t="s">
        <v>13816</v>
      </c>
      <c r="C4825" s="3">
        <v>0.0</v>
      </c>
      <c r="D4825" s="3">
        <v>0.0</v>
      </c>
      <c r="E4825" s="3">
        <v>0.0</v>
      </c>
      <c r="F4825" s="3" t="s">
        <v>13817</v>
      </c>
      <c r="G4825" s="3">
        <v>1.0</v>
      </c>
      <c r="H4825" s="3">
        <v>0.0</v>
      </c>
      <c r="I4825" s="3" t="s">
        <v>13</v>
      </c>
      <c r="J4825" s="3" t="s">
        <v>13818</v>
      </c>
      <c r="K4825" s="3" t="s">
        <v>31</v>
      </c>
      <c r="L4825" s="3" t="str">
        <f>IFERROR(__xludf.DUMMYFUNCTION("GOOGLETRANSLATE(F4825,""id"",""en"")"),"watching the final pildun overslept")</f>
        <v>watching the final pildun overslept</v>
      </c>
    </row>
    <row r="4826" ht="15.75" customHeight="1">
      <c r="A4826" s="1">
        <v>5996.0</v>
      </c>
      <c r="B4826" s="3" t="s">
        <v>13819</v>
      </c>
      <c r="C4826" s="3">
        <v>1.0</v>
      </c>
      <c r="D4826" s="3">
        <v>0.0</v>
      </c>
      <c r="E4826" s="3">
        <v>0.0</v>
      </c>
      <c r="F4826" s="3" t="s">
        <v>13820</v>
      </c>
      <c r="G4826" s="3">
        <v>1.0</v>
      </c>
      <c r="H4826" s="3">
        <v>0.0</v>
      </c>
      <c r="I4826" s="3" t="s">
        <v>13</v>
      </c>
      <c r="J4826" s="3" t="s">
        <v>13821</v>
      </c>
      <c r="K4826" s="3" t="s">
        <v>54</v>
      </c>
      <c r="L4826" s="3" t="str">
        <f>IFERROR(__xludf.DUMMYFUNCTION("GOOGLETRANSLATE(F4826,""id"",""en"")"),"I think I will play a direct pildun")</f>
        <v>I think I will play a direct pildun</v>
      </c>
    </row>
    <row r="4827" ht="15.75" customHeight="1">
      <c r="A4827" s="1">
        <v>5997.0</v>
      </c>
      <c r="B4827" s="3" t="s">
        <v>13822</v>
      </c>
      <c r="C4827" s="3">
        <v>0.0</v>
      </c>
      <c r="D4827" s="3">
        <v>0.0</v>
      </c>
      <c r="E4827" s="3">
        <v>1.0</v>
      </c>
      <c r="F4827" s="3" t="s">
        <v>13823</v>
      </c>
      <c r="G4827" s="3">
        <v>0.6</v>
      </c>
      <c r="H4827" s="3">
        <v>-0.05</v>
      </c>
      <c r="I4827" s="3" t="s">
        <v>179</v>
      </c>
      <c r="J4827" s="3" t="s">
        <v>13824</v>
      </c>
      <c r="K4827" s="3" t="s">
        <v>1824</v>
      </c>
      <c r="L4827" s="3" t="str">
        <f>IFERROR(__xludf.DUMMYFUNCTION("GOOGLETRANSLATE(F4827,""id"",""en"")"),"Positive things can be taken to watch the final of the mbappe stamina pildun very extraordinary attitude of calm and patient mbappe cool really really mentally the winner of Messi who remains productive at the age is no longer young to the mageran soul to"&amp;" help panic and your compound")</f>
        <v>Positive things can be taken to watch the final of the mbappe stamina pildun very extraordinary attitude of calm and patient mbappe cool really really mentally the winner of Messi who remains productive at the age is no longer young to the mageran soul to help panic and your compound</v>
      </c>
    </row>
    <row r="4828" ht="15.75" customHeight="1">
      <c r="A4828" s="1">
        <v>5998.0</v>
      </c>
      <c r="B4828" s="3" t="s">
        <v>13825</v>
      </c>
      <c r="C4828" s="3">
        <v>1.0</v>
      </c>
      <c r="D4828" s="3">
        <v>0.0</v>
      </c>
      <c r="E4828" s="3">
        <v>0.0</v>
      </c>
      <c r="F4828" s="3" t="s">
        <v>13826</v>
      </c>
      <c r="G4828" s="3">
        <v>1.0</v>
      </c>
      <c r="H4828" s="3">
        <v>0.0</v>
      </c>
      <c r="I4828" s="3" t="s">
        <v>13</v>
      </c>
      <c r="J4828" s="3" t="s">
        <v>13827</v>
      </c>
      <c r="K4828" s="3" t="s">
        <v>1428</v>
      </c>
      <c r="L4828" s="3" t="str">
        <f>IFERROR(__xludf.DUMMYFUNCTION("GOOGLETRANSLATE(F4828,""id"",""en"")"),"But this Pildun is unpredictable and even a surprise and exciting match from the group phase to the final and everyone is very hype because you are waiting for a surprise especially so if you say it's just helped the final wrong")</f>
        <v>But this Pildun is unpredictable and even a surprise and exciting match from the group phase to the final and everyone is very hype because you are waiting for a surprise especially so if you say it's just helped the final wrong</v>
      </c>
    </row>
    <row r="4829" ht="15.75" customHeight="1">
      <c r="A4829" s="1">
        <v>5999.0</v>
      </c>
      <c r="B4829" s="3" t="s">
        <v>13828</v>
      </c>
      <c r="C4829" s="3">
        <v>0.0</v>
      </c>
      <c r="D4829" s="3">
        <v>0.0</v>
      </c>
      <c r="E4829" s="3">
        <v>0.0</v>
      </c>
      <c r="F4829" s="3" t="s">
        <v>13829</v>
      </c>
      <c r="G4829" s="3">
        <v>1.0</v>
      </c>
      <c r="H4829" s="3">
        <v>0.0</v>
      </c>
      <c r="I4829" s="3" t="s">
        <v>13</v>
      </c>
      <c r="J4829" s="3" t="s">
        <v>13830</v>
      </c>
      <c r="K4829" s="3" t="s">
        <v>240</v>
      </c>
      <c r="L4829" s="3" t="str">
        <f>IFERROR(__xludf.DUMMYFUNCTION("GOOGLETRANSLATE(F4829,""id"",""en"")"),"the effect of Sunday night watching the final pildun and after that only sleeping at yesterday's time after maghrib directly auto.")</f>
        <v>the effect of Sunday night watching the final pildun and after that only sleeping at yesterday's time after maghrib directly auto.</v>
      </c>
    </row>
    <row r="4830" ht="15.75" customHeight="1">
      <c r="A4830" s="1">
        <v>6000.0</v>
      </c>
      <c r="B4830" s="3" t="s">
        <v>13831</v>
      </c>
      <c r="C4830" s="3">
        <v>0.0</v>
      </c>
      <c r="D4830" s="3">
        <v>0.0</v>
      </c>
      <c r="E4830" s="3">
        <v>0.0</v>
      </c>
      <c r="F4830" s="3" t="s">
        <v>13832</v>
      </c>
      <c r="G4830" s="3">
        <v>1.0</v>
      </c>
      <c r="H4830" s="3">
        <v>0.0</v>
      </c>
      <c r="I4830" s="3" t="s">
        <v>13</v>
      </c>
      <c r="J4830" s="3" t="s">
        <v>13833</v>
      </c>
      <c r="K4830" s="3" t="s">
        <v>765</v>
      </c>
      <c r="L4830" s="3" t="str">
        <f>IFERROR(__xludf.DUMMYFUNCTION("GOOGLETRANSLATE(F4830,""id"",""en"")"),"Making Ronaldo Messi Final will definitely benefit FIFA if you really want to set it better to set it like this if the setting of the players is the most fanbase players especially the rivalry lasts more decades of traffic")</f>
        <v>Making Ronaldo Messi Final will definitely benefit FIFA if you really want to set it better to set it like this if the setting of the players is the most fanbase players especially the rivalry lasts more decades of traffic</v>
      </c>
    </row>
    <row r="4831" ht="15.75" customHeight="1">
      <c r="A4831" s="1">
        <v>6001.0</v>
      </c>
      <c r="B4831" s="3" t="s">
        <v>13834</v>
      </c>
      <c r="C4831" s="3">
        <v>0.0</v>
      </c>
      <c r="D4831" s="3">
        <v>0.0</v>
      </c>
      <c r="E4831" s="3">
        <v>0.0</v>
      </c>
      <c r="F4831" s="3" t="s">
        <v>13835</v>
      </c>
      <c r="G4831" s="3">
        <v>1.0</v>
      </c>
      <c r="H4831" s="3">
        <v>0.0</v>
      </c>
      <c r="I4831" s="3" t="s">
        <v>13</v>
      </c>
      <c r="J4831" s="3" t="s">
        <v>13836</v>
      </c>
      <c r="K4831" s="3" t="s">
        <v>15</v>
      </c>
      <c r="L4831" s="3" t="str">
        <f>IFERROR(__xludf.DUMMYFUNCTION("GOOGLETRANSLATE(F4831,""id"",""en"")"),"Fakmen always seemed to see the post reactipn final pildun")</f>
        <v>Fakmen always seemed to see the post reactipn final pildun</v>
      </c>
    </row>
    <row r="4832" ht="15.75" customHeight="1">
      <c r="A4832" s="1">
        <v>6002.0</v>
      </c>
      <c r="B4832" s="3" t="s">
        <v>13837</v>
      </c>
      <c r="C4832" s="3">
        <v>0.0</v>
      </c>
      <c r="D4832" s="3">
        <v>0.0</v>
      </c>
      <c r="E4832" s="3">
        <v>2.0</v>
      </c>
      <c r="F4832" s="3" t="s">
        <v>13838</v>
      </c>
      <c r="G4832" s="3">
        <v>1.0</v>
      </c>
      <c r="H4832" s="3">
        <v>0.3333333333333333</v>
      </c>
      <c r="I4832" s="3" t="s">
        <v>48</v>
      </c>
      <c r="J4832" s="3" t="s">
        <v>13839</v>
      </c>
      <c r="K4832" s="3" t="s">
        <v>730</v>
      </c>
      <c r="L4832" s="3" t="str">
        <f>IFERROR(__xludf.DUMMYFUNCTION("GOOGLETRANSLATE(F4832,""id"",""en"")"),"but you never try you never know the final pildun failed successively in the final of the Copa America Lost Confidence Retirement Self -Copa America Finalists Finalists World Cup Lionel Andres Messi Greatest All Time")</f>
        <v>but you never try you never know the final pildun failed successively in the final of the Copa America Lost Confidence Retirement Self -Copa America Finalists Finalists World Cup Lionel Andres Messi Greatest All Time</v>
      </c>
    </row>
    <row r="4833" ht="15.75" customHeight="1">
      <c r="A4833" s="1">
        <v>6003.0</v>
      </c>
      <c r="B4833" s="3" t="s">
        <v>13840</v>
      </c>
      <c r="C4833" s="3">
        <v>0.0</v>
      </c>
      <c r="D4833" s="3">
        <v>0.0</v>
      </c>
      <c r="E4833" s="3">
        <v>0.0</v>
      </c>
      <c r="F4833" s="3" t="s">
        <v>13841</v>
      </c>
      <c r="G4833" s="3">
        <v>1.0</v>
      </c>
      <c r="H4833" s="3">
        <v>0.0</v>
      </c>
      <c r="I4833" s="3" t="s">
        <v>13</v>
      </c>
      <c r="J4833" s="3" t="s">
        <v>13842</v>
      </c>
      <c r="K4833" s="3" t="s">
        <v>19</v>
      </c>
      <c r="L4833" s="3" t="str">
        <f>IFERROR(__xludf.DUMMYFUNCTION("GOOGLETRANSLATE(F4833,""id"",""en"")"),"From the beginning of the pildun to the final, just see highlights, but it was not as attractive as other activities besides work and family")</f>
        <v>From the beginning of the pildun to the final, just see highlights, but it was not as attractive as other activities besides work and family</v>
      </c>
    </row>
    <row r="4834" ht="15.75" customHeight="1">
      <c r="A4834" s="1">
        <v>6004.0</v>
      </c>
      <c r="B4834" s="3" t="s">
        <v>13843</v>
      </c>
      <c r="C4834" s="3">
        <v>0.0</v>
      </c>
      <c r="D4834" s="3">
        <v>0.0</v>
      </c>
      <c r="E4834" s="3">
        <v>2.0</v>
      </c>
      <c r="F4834" s="3" t="s">
        <v>13844</v>
      </c>
      <c r="G4834" s="3">
        <v>1.0</v>
      </c>
      <c r="H4834" s="3">
        <v>0.0</v>
      </c>
      <c r="I4834" s="3" t="s">
        <v>13</v>
      </c>
      <c r="J4834" s="3" t="s">
        <v>13845</v>
      </c>
      <c r="K4834" s="3" t="s">
        <v>15</v>
      </c>
      <c r="L4834" s="3" t="str">
        <f>IFERROR(__xludf.DUMMYFUNCTION("GOOGLETRANSLATE(F4834,""id"",""en"")"),"Watching the Final Doang said that this year's pildun was very exciting")</f>
        <v>Watching the Final Doang said that this year's pildun was very exciting</v>
      </c>
    </row>
    <row r="4835" ht="15.75" customHeight="1">
      <c r="A4835" s="1">
        <v>6005.0</v>
      </c>
      <c r="B4835" s="3" t="s">
        <v>13846</v>
      </c>
      <c r="C4835" s="3">
        <v>0.0</v>
      </c>
      <c r="D4835" s="3">
        <v>0.0</v>
      </c>
      <c r="E4835" s="3">
        <v>0.0</v>
      </c>
      <c r="F4835" s="3" t="s">
        <v>13847</v>
      </c>
      <c r="G4835" s="3">
        <v>1.0</v>
      </c>
      <c r="H4835" s="3">
        <v>0.0</v>
      </c>
      <c r="I4835" s="3" t="s">
        <v>13</v>
      </c>
      <c r="J4835" s="3" t="s">
        <v>13848</v>
      </c>
      <c r="K4835" s="3" t="s">
        <v>90</v>
      </c>
      <c r="L4835" s="3" t="str">
        <f>IFERROR(__xludf.DUMMYFUNCTION("GOOGLETRANSLATE(F4835,""id"",""en"")"),"wkwk kmaren videos when the final pildun is a severe disturbance really yuuuu is really emotion")</f>
        <v>wkwk kmaren videos when the final pildun is a severe disturbance really yuuuu is really emotion</v>
      </c>
    </row>
    <row r="4836" ht="15.75" customHeight="1">
      <c r="A4836" s="1">
        <v>6006.0</v>
      </c>
      <c r="B4836" s="3" t="s">
        <v>13849</v>
      </c>
      <c r="C4836" s="3">
        <v>2.0</v>
      </c>
      <c r="D4836" s="3">
        <v>0.0</v>
      </c>
      <c r="E4836" s="3">
        <v>0.0</v>
      </c>
      <c r="F4836" s="3" t="s">
        <v>13850</v>
      </c>
      <c r="G4836" s="3">
        <v>1.0</v>
      </c>
      <c r="H4836" s="3">
        <v>0.0</v>
      </c>
      <c r="I4836" s="3" t="s">
        <v>13</v>
      </c>
      <c r="J4836" s="3" t="s">
        <v>13851</v>
      </c>
      <c r="K4836" s="3" t="s">
        <v>58</v>
      </c>
      <c r="L4836" s="3" t="str">
        <f>IFERROR(__xludf.DUMMYFUNCTION("GOOGLETRANSLATE(F4836,""id"",""en"")"),"Just saying an opinion, how come the match is a lot of exciting he said as if this pilduun was only the final")</f>
        <v>Just saying an opinion, how come the match is a lot of exciting he said as if this pilduun was only the final</v>
      </c>
    </row>
    <row r="4837" ht="15.75" customHeight="1">
      <c r="A4837" s="1">
        <v>6007.0</v>
      </c>
      <c r="B4837" s="3" t="s">
        <v>13852</v>
      </c>
      <c r="C4837" s="3">
        <v>0.0</v>
      </c>
      <c r="D4837" s="3">
        <v>0.0</v>
      </c>
      <c r="E4837" s="3">
        <v>0.0</v>
      </c>
      <c r="F4837" s="3" t="s">
        <v>13853</v>
      </c>
      <c r="G4837" s="3">
        <v>0.9</v>
      </c>
      <c r="H4837" s="3">
        <v>0.2666666666666667</v>
      </c>
      <c r="I4837" s="3" t="s">
        <v>48</v>
      </c>
      <c r="J4837" s="3" t="s">
        <v>13854</v>
      </c>
      <c r="K4837" s="3" t="s">
        <v>27</v>
      </c>
      <c r="L4837" s="3" t="str">
        <f>IFERROR(__xludf.DUMMYFUNCTION("GOOGLETRANSLATE(F4837,""id"",""en"")"),"thought it was the champion of LOL Argentina with Messi and I felt the final failure of the Copa American Final Fibal Pilduun if the Aki said hard worth it would not betray")</f>
        <v>thought it was the champion of LOL Argentina with Messi and I felt the final failure of the Copa American Final Fibal Pilduun if the Aki said hard worth it would not betray</v>
      </c>
    </row>
    <row r="4838" ht="15.75" customHeight="1">
      <c r="A4838" s="1">
        <v>6008.0</v>
      </c>
      <c r="B4838" s="3" t="s">
        <v>13855</v>
      </c>
      <c r="C4838" s="3">
        <v>0.0</v>
      </c>
      <c r="D4838" s="3">
        <v>0.0</v>
      </c>
      <c r="E4838" s="3">
        <v>6.0</v>
      </c>
      <c r="F4838" s="3" t="s">
        <v>13856</v>
      </c>
      <c r="G4838" s="3">
        <v>1.0</v>
      </c>
      <c r="H4838" s="3">
        <v>0.0</v>
      </c>
      <c r="I4838" s="3" t="s">
        <v>13</v>
      </c>
      <c r="J4838" s="3" t="s">
        <v>13857</v>
      </c>
      <c r="K4838" s="3" t="s">
        <v>899</v>
      </c>
      <c r="L4838" s="3" t="str">
        <f>IFERROR(__xludf.DUMMYFUNCTION("GOOGLETRANSLATE(F4838,""id"",""en"")"),"Positive things can be taken to watch the final pildun stamina mbappe very extraordinary remain calm and patient and the soul of the winner of mbappe cool really Messi who remains productive in old age.")</f>
        <v>Positive things can be taken to watch the final pildun stamina mbappe very extraordinary remain calm and patient and the soul of the winner of mbappe cool really Messi who remains productive in old age.</v>
      </c>
    </row>
    <row r="4839" ht="15.75" customHeight="1">
      <c r="A4839" s="1">
        <v>6009.0</v>
      </c>
      <c r="B4839" s="3" t="s">
        <v>13858</v>
      </c>
      <c r="C4839" s="3">
        <v>1.0</v>
      </c>
      <c r="D4839" s="3">
        <v>0.0</v>
      </c>
      <c r="E4839" s="3">
        <v>0.0</v>
      </c>
      <c r="F4839" s="3" t="s">
        <v>13859</v>
      </c>
      <c r="G4839" s="3">
        <v>1.0</v>
      </c>
      <c r="H4839" s="3">
        <v>0.0</v>
      </c>
      <c r="I4839" s="3" t="s">
        <v>13</v>
      </c>
      <c r="J4839" s="3" t="s">
        <v>13860</v>
      </c>
      <c r="K4839" s="3" t="s">
        <v>1335</v>
      </c>
      <c r="L4839" s="3" t="str">
        <f>IFERROR(__xludf.DUMMYFUNCTION("GOOGLETRANSLATE(F4839,""id"",""en"")"),"Woah just found out that the Pildun Final Hattrick was just this mbappe")</f>
        <v>Woah just found out that the Pildun Final Hattrick was just this mbappe</v>
      </c>
    </row>
    <row r="4840" ht="15.75" customHeight="1">
      <c r="A4840" s="1">
        <v>6010.0</v>
      </c>
      <c r="B4840" s="3" t="s">
        <v>13861</v>
      </c>
      <c r="C4840" s="3">
        <v>1.0</v>
      </c>
      <c r="D4840" s="3">
        <v>0.0</v>
      </c>
      <c r="E4840" s="3">
        <v>0.0</v>
      </c>
      <c r="F4840" s="3" t="s">
        <v>13862</v>
      </c>
      <c r="G4840" s="3">
        <v>0.0</v>
      </c>
      <c r="H4840" s="3">
        <v>0.0</v>
      </c>
      <c r="I4840" s="3" t="s">
        <v>13</v>
      </c>
      <c r="J4840" s="3" t="s">
        <v>13863</v>
      </c>
      <c r="K4840" s="3" t="s">
        <v>205</v>
      </c>
      <c r="L4840" s="3" t="str">
        <f>IFERROR(__xludf.DUMMYFUNCTION("GOOGLETRANSLATE(F4840,""id"",""en"")"),"Fix see the facts of the block before the golden generation began to emerge Portugal wanting to enter the Pildun it was difficult to contribute to the breakthrough of the Portuguese national team or euro time")</f>
        <v>Fix see the facts of the block before the golden generation began to emerge Portugal wanting to enter the Pildun it was difficult to contribute to the breakthrough of the Portuguese national team or euro time</v>
      </c>
    </row>
    <row r="4841" ht="15.75" customHeight="1">
      <c r="A4841" s="1">
        <v>6011.0</v>
      </c>
      <c r="B4841" s="3" t="s">
        <v>13864</v>
      </c>
      <c r="C4841" s="3">
        <v>0.0</v>
      </c>
      <c r="D4841" s="3">
        <v>0.0</v>
      </c>
      <c r="E4841" s="3">
        <v>0.0</v>
      </c>
      <c r="F4841" s="3" t="s">
        <v>13865</v>
      </c>
      <c r="G4841" s="3">
        <v>0.775</v>
      </c>
      <c r="H4841" s="3">
        <v>0.175</v>
      </c>
      <c r="I4841" s="3" t="s">
        <v>48</v>
      </c>
      <c r="J4841" s="3" t="s">
        <v>13866</v>
      </c>
      <c r="K4841" s="3" t="s">
        <v>433</v>
      </c>
      <c r="L4841" s="3" t="str">
        <f>IFERROR(__xludf.DUMMYFUNCTION("GOOGLETRANSLATE(F4841,""id"",""en"")"),"It was the first time I watched a full soccer from the beginning to the end because of the final of the pildun yesterday")</f>
        <v>It was the first time I watched a full soccer from the beginning to the end because of the final of the pildun yesterday</v>
      </c>
    </row>
    <row r="4842" ht="15.75" customHeight="1">
      <c r="A4842" s="1">
        <v>6012.0</v>
      </c>
      <c r="B4842" s="3" t="s">
        <v>13867</v>
      </c>
      <c r="C4842" s="3">
        <v>1.0</v>
      </c>
      <c r="D4842" s="3">
        <v>0.0</v>
      </c>
      <c r="E4842" s="3">
        <v>1.0</v>
      </c>
      <c r="F4842" s="3" t="s">
        <v>13868</v>
      </c>
      <c r="G4842" s="3">
        <v>1.0</v>
      </c>
      <c r="H4842" s="3">
        <v>0.0</v>
      </c>
      <c r="I4842" s="3" t="s">
        <v>13</v>
      </c>
      <c r="J4842" s="3" t="s">
        <v>13869</v>
      </c>
      <c r="K4842" s="3" t="s">
        <v>725</v>
      </c>
      <c r="L4842" s="3" t="str">
        <f>IFERROR(__xludf.DUMMYFUNCTION("GOOGLETRANSLATE(F4842,""id"",""en"")"),"Last night when I watched the final Pildun exciting, not because I watched it because Sobirin was arrogant abizz, it was true that the team was supported by losing wkwkwk to be kicked to want to deact socialized a week, I didn't have a friend like this")</f>
        <v>Last night when I watched the final Pildun exciting, not because I watched it because Sobirin was arrogant abizz, it was true that the team was supported by losing wkwkwk to be kicked to want to deact socialized a week, I didn't have a friend like this</v>
      </c>
    </row>
    <row r="4843" ht="15.75" customHeight="1">
      <c r="A4843" s="1">
        <v>6013.0</v>
      </c>
      <c r="B4843" s="3" t="s">
        <v>13870</v>
      </c>
      <c r="C4843" s="3">
        <v>0.0</v>
      </c>
      <c r="D4843" s="3">
        <v>0.0</v>
      </c>
      <c r="E4843" s="3">
        <v>0.0</v>
      </c>
      <c r="F4843" s="3" t="s">
        <v>13871</v>
      </c>
      <c r="G4843" s="3">
        <v>1.0</v>
      </c>
      <c r="H4843" s="3">
        <v>0.0</v>
      </c>
      <c r="I4843" s="3" t="s">
        <v>13</v>
      </c>
      <c r="J4843" s="3" t="s">
        <v>13872</v>
      </c>
      <c r="K4843" s="3" t="s">
        <v>15</v>
      </c>
      <c r="L4843" s="3" t="str">
        <f>IFERROR(__xludf.DUMMYFUNCTION("GOOGLETRANSLATE(F4843,""id"",""en"")"),"This was late yesterday, the final pildun was tense when mbappe ngegolin")</f>
        <v>This was late yesterday, the final pildun was tense when mbappe ngegolin</v>
      </c>
    </row>
    <row r="4844" ht="15.75" customHeight="1">
      <c r="A4844" s="1">
        <v>6014.0</v>
      </c>
      <c r="B4844" s="3" t="s">
        <v>13873</v>
      </c>
      <c r="C4844" s="3">
        <v>1.0</v>
      </c>
      <c r="D4844" s="3">
        <v>1.0</v>
      </c>
      <c r="E4844" s="3">
        <v>1.0</v>
      </c>
      <c r="F4844" s="3" t="s">
        <v>13874</v>
      </c>
      <c r="G4844" s="3">
        <v>0.0</v>
      </c>
      <c r="H4844" s="3">
        <v>0.0</v>
      </c>
      <c r="I4844" s="3" t="s">
        <v>13</v>
      </c>
      <c r="J4844" s="3" t="s">
        <v>13875</v>
      </c>
      <c r="K4844" s="3" t="s">
        <v>456</v>
      </c>
      <c r="L4844" s="3" t="str">
        <f>IFERROR(__xludf.DUMMYFUNCTION("GOOGLETRANSLATE(F4844,""id"",""en"")"),"then yesterday at the beginning of the pilduun training session he was injured in a light injury to the same as deschamp, the name still entered the squad, right?")</f>
        <v>then yesterday at the beginning of the pilduun training session he was injured in a light injury to the same as deschamp, the name still entered the squad, right?</v>
      </c>
    </row>
    <row r="4845" ht="15.75" customHeight="1">
      <c r="A4845" s="1">
        <v>6015.0</v>
      </c>
      <c r="B4845" s="3" t="s">
        <v>13876</v>
      </c>
      <c r="C4845" s="3">
        <v>0.0</v>
      </c>
      <c r="D4845" s="3">
        <v>0.0</v>
      </c>
      <c r="E4845" s="3">
        <v>0.0</v>
      </c>
      <c r="F4845" s="3" t="s">
        <v>13877</v>
      </c>
      <c r="G4845" s="3">
        <v>1.0</v>
      </c>
      <c r="H4845" s="3">
        <v>0.0</v>
      </c>
      <c r="I4845" s="3" t="s">
        <v>13</v>
      </c>
      <c r="J4845" s="3" t="s">
        <v>13878</v>
      </c>
      <c r="K4845" s="3" t="s">
        <v>2117</v>
      </c>
      <c r="L4845" s="3" t="str">
        <f>IFERROR(__xludf.DUMMYFUNCTION("GOOGLETRANSLATE(F4845,""id"",""en"")"),"the final pildun yesterday wkwk")</f>
        <v>the final pildun yesterday wkwk</v>
      </c>
    </row>
    <row r="4846" ht="15.75" customHeight="1">
      <c r="A4846" s="1">
        <v>6016.0</v>
      </c>
      <c r="B4846" s="3" t="s">
        <v>13879</v>
      </c>
      <c r="C4846" s="3">
        <v>0.0</v>
      </c>
      <c r="D4846" s="3">
        <v>0.0</v>
      </c>
      <c r="E4846" s="3">
        <v>0.0</v>
      </c>
      <c r="F4846" s="3" t="s">
        <v>13880</v>
      </c>
      <c r="G4846" s="3">
        <v>1.0</v>
      </c>
      <c r="H4846" s="3">
        <v>0.0</v>
      </c>
      <c r="I4846" s="3" t="s">
        <v>13</v>
      </c>
      <c r="J4846" s="3" t="s">
        <v>13881</v>
      </c>
      <c r="K4846" s="3" t="s">
        <v>8160</v>
      </c>
      <c r="L4846" s="3" t="str">
        <f>IFERROR(__xludf.DUMMYFUNCTION("GOOGLETRANSLATE(F4846,""id"",""en"")"),"I have sent a let's take here before the Messi Dybala Argentina Penalty Mbappe Madrid Higuain France All France in the final Ronaldo Dembele Pilduun Drake Narnia Japan Ehsan Susanti")</f>
        <v>I have sent a let's take here before the Messi Dybala Argentina Penalty Mbappe Madrid Higuain France All France in the final Ronaldo Dembele Pilduun Drake Narnia Japan Ehsan Susanti</v>
      </c>
    </row>
    <row r="4847" ht="15.75" customHeight="1">
      <c r="A4847" s="1">
        <v>6017.0</v>
      </c>
      <c r="B4847" s="3" t="s">
        <v>13882</v>
      </c>
      <c r="C4847" s="3">
        <v>0.0</v>
      </c>
      <c r="D4847" s="3">
        <v>1.0</v>
      </c>
      <c r="E4847" s="3">
        <v>4.0</v>
      </c>
      <c r="F4847" s="3" t="s">
        <v>13883</v>
      </c>
      <c r="G4847" s="3">
        <v>0.5555555555555555</v>
      </c>
      <c r="H4847" s="3">
        <v>0.1111111111111111</v>
      </c>
      <c r="I4847" s="3" t="s">
        <v>48</v>
      </c>
      <c r="J4847" s="3" t="s">
        <v>13884</v>
      </c>
      <c r="K4847" s="3" t="s">
        <v>266</v>
      </c>
      <c r="L4847" s="3" t="str">
        <f>IFERROR(__xludf.DUMMYFUNCTION("GOOGLETRANSLATE(F4847,""id"",""en"")"),"Inshed out by Madrid fans because it was considered Sndgaja playing to recover when he was pil, ahead of the pildun, his intention was in the intention")</f>
        <v>Inshed out by Madrid fans because it was considered Sndgaja playing to recover when he was pil, ahead of the pildun, his intention was in the intention</v>
      </c>
    </row>
    <row r="4848" ht="15.75" customHeight="1">
      <c r="A4848" s="1">
        <v>6018.0</v>
      </c>
      <c r="B4848" s="3" t="s">
        <v>13885</v>
      </c>
      <c r="C4848" s="3">
        <v>1.0</v>
      </c>
      <c r="D4848" s="3">
        <v>0.0</v>
      </c>
      <c r="E4848" s="3">
        <v>0.0</v>
      </c>
      <c r="F4848" s="3" t="s">
        <v>13886</v>
      </c>
      <c r="G4848" s="3">
        <v>1.0</v>
      </c>
      <c r="H4848" s="3">
        <v>0.0</v>
      </c>
      <c r="I4848" s="3" t="s">
        <v>13</v>
      </c>
      <c r="J4848" s="3" t="s">
        <v>13887</v>
      </c>
      <c r="K4848" s="3" t="s">
        <v>358</v>
      </c>
      <c r="L4848" s="3" t="str">
        <f>IFERROR(__xludf.DUMMYFUNCTION("GOOGLETRANSLATE(F4848,""id"",""en"")"),"The trip home late in the afternoon when there was the French French Croatian World Cup final.")</f>
        <v>The trip home late in the afternoon when there was the French French Croatian World Cup final.</v>
      </c>
    </row>
    <row r="4849" ht="15.75" customHeight="1">
      <c r="A4849" s="1">
        <v>6019.0</v>
      </c>
      <c r="B4849" s="3" t="s">
        <v>13888</v>
      </c>
      <c r="C4849" s="3">
        <v>1.0</v>
      </c>
      <c r="D4849" s="3">
        <v>0.0</v>
      </c>
      <c r="E4849" s="3">
        <v>0.0</v>
      </c>
      <c r="F4849" s="3" t="s">
        <v>13889</v>
      </c>
      <c r="G4849" s="3">
        <v>1.0</v>
      </c>
      <c r="H4849" s="3">
        <v>0.0</v>
      </c>
      <c r="I4849" s="3" t="s">
        <v>13</v>
      </c>
      <c r="J4849" s="3" t="s">
        <v>13890</v>
      </c>
      <c r="K4849" s="3" t="s">
        <v>215</v>
      </c>
      <c r="L4849" s="3" t="str">
        <f>IFERROR(__xludf.DUMMYFUNCTION("GOOGLETRANSLATE(F4849,""id"",""en"")"),"I repeat as an Argentina fan, I will definitely watch the football only this Pildun Final, I will definitely know that the behavior")</f>
        <v>I repeat as an Argentina fan, I will definitely watch the football only this Pildun Final, I will definitely know that the behavior</v>
      </c>
    </row>
    <row r="4850" ht="15.75" customHeight="1">
      <c r="A4850" s="1">
        <v>6020.0</v>
      </c>
      <c r="B4850" s="3" t="s">
        <v>13891</v>
      </c>
      <c r="C4850" s="3">
        <v>0.0</v>
      </c>
      <c r="D4850" s="3">
        <v>0.0</v>
      </c>
      <c r="E4850" s="3">
        <v>0.0</v>
      </c>
      <c r="F4850" s="3" t="s">
        <v>13892</v>
      </c>
      <c r="G4850" s="3">
        <v>1.0</v>
      </c>
      <c r="H4850" s="3">
        <v>0.0</v>
      </c>
      <c r="I4850" s="3" t="s">
        <v>13</v>
      </c>
      <c r="J4850" s="3" t="s">
        <v>13893</v>
      </c>
      <c r="K4850" s="3" t="s">
        <v>82</v>
      </c>
      <c r="L4850" s="3" t="str">
        <f>IFERROR(__xludf.DUMMYFUNCTION("GOOGLETRANSLATE(F4850,""id"",""en"")"),"still can't move the final of the HFF Pilduun Final")</f>
        <v>still can't move the final of the HFF Pilduun Final</v>
      </c>
    </row>
    <row r="4851" ht="15.75" customHeight="1">
      <c r="A4851" s="1">
        <v>6021.0</v>
      </c>
      <c r="B4851" s="3" t="s">
        <v>13894</v>
      </c>
      <c r="C4851" s="3">
        <v>2.0</v>
      </c>
      <c r="D4851" s="3">
        <v>0.0</v>
      </c>
      <c r="E4851" s="3">
        <v>0.0</v>
      </c>
      <c r="F4851" s="3" t="s">
        <v>13895</v>
      </c>
      <c r="G4851" s="3">
        <v>0.5</v>
      </c>
      <c r="H4851" s="3">
        <v>0.0</v>
      </c>
      <c r="I4851" s="3" t="s">
        <v>13</v>
      </c>
      <c r="J4851" s="3" t="s">
        <v>13896</v>
      </c>
      <c r="K4851" s="3" t="s">
        <v>942</v>
      </c>
      <c r="L4851" s="3" t="str">
        <f>IFERROR(__xludf.DUMMYFUNCTION("GOOGLETRANSLATE(F4851,""id"",""en"")"),"Ziman Without Benz Francis Back Back Final Pildun As if losing the final play was bad")</f>
        <v>Ziman Without Benz Francis Back Back Final Pildun As if losing the final play was bad</v>
      </c>
    </row>
    <row r="4852" ht="15.75" customHeight="1">
      <c r="A4852" s="1">
        <v>6022.0</v>
      </c>
      <c r="B4852" s="3" t="s">
        <v>13897</v>
      </c>
      <c r="C4852" s="3">
        <v>0.0</v>
      </c>
      <c r="D4852" s="3">
        <v>0.0</v>
      </c>
      <c r="E4852" s="3">
        <v>0.0</v>
      </c>
      <c r="F4852" s="3" t="s">
        <v>13898</v>
      </c>
      <c r="G4852" s="3">
        <v>0.8</v>
      </c>
      <c r="H4852" s="3">
        <v>-0.05</v>
      </c>
      <c r="I4852" s="3" t="s">
        <v>179</v>
      </c>
      <c r="J4852" s="3" t="s">
        <v>13899</v>
      </c>
      <c r="K4852" s="3" t="s">
        <v>50</v>
      </c>
      <c r="L4852" s="3" t="str">
        <f>IFERROR(__xludf.DUMMYFUNCTION("GOOGLETRANSLATE(F4852,""id"",""en"")"),"at least the final pildun then sir, don't bother the world trophy")</f>
        <v>at least the final pildun then sir, don't bother the world trophy</v>
      </c>
    </row>
    <row r="4853" ht="15.75" customHeight="1">
      <c r="A4853" s="1">
        <v>6023.0</v>
      </c>
      <c r="B4853" s="3" t="s">
        <v>13900</v>
      </c>
      <c r="C4853" s="3">
        <v>1.0</v>
      </c>
      <c r="D4853" s="3">
        <v>0.0</v>
      </c>
      <c r="E4853" s="3">
        <v>0.0</v>
      </c>
      <c r="F4853" s="3" t="s">
        <v>13901</v>
      </c>
      <c r="G4853" s="3">
        <v>1.0</v>
      </c>
      <c r="H4853" s="3">
        <v>0.0</v>
      </c>
      <c r="I4853" s="3" t="s">
        <v>13</v>
      </c>
      <c r="J4853" s="3" t="s">
        <v>13902</v>
      </c>
      <c r="K4853" s="3" t="s">
        <v>1097</v>
      </c>
      <c r="L4853" s="3" t="str">
        <f>IFERROR(__xludf.DUMMYFUNCTION("GOOGLETRANSLATE(F4853,""id"",""en"")"),"Redsindo This Wkt Final Copa America Min BKN Final Pildun")</f>
        <v>Redsindo This Wkt Final Copa America Min BKN Final Pildun</v>
      </c>
    </row>
    <row r="4854" ht="15.75" customHeight="1">
      <c r="A4854" s="1">
        <v>6024.0</v>
      </c>
      <c r="B4854" s="3" t="s">
        <v>13903</v>
      </c>
      <c r="C4854" s="3">
        <v>0.0</v>
      </c>
      <c r="D4854" s="3">
        <v>0.0</v>
      </c>
      <c r="E4854" s="3">
        <v>0.0</v>
      </c>
      <c r="F4854" s="3" t="s">
        <v>13904</v>
      </c>
      <c r="G4854" s="3">
        <v>0.8666666666666667</v>
      </c>
      <c r="H4854" s="3">
        <v>0.05555555555555556</v>
      </c>
      <c r="I4854" s="3" t="s">
        <v>48</v>
      </c>
      <c r="J4854" s="3" t="s">
        <v>13905</v>
      </c>
      <c r="K4854" s="3" t="s">
        <v>1854</v>
      </c>
      <c r="L4854" s="3" t="str">
        <f>IFERROR(__xludf.DUMMYFUNCTION("GOOGLETRANSLATE(F4854,""id"",""en"")"),"TBH yesterday was the first pildun final that I watched from the beginning to the end and amazingly dramatic the point when was rigged and stated lmao but it was really exciting")</f>
        <v>TBH yesterday was the first pildun final that I watched from the beginning to the end and amazingly dramatic the point when was rigged and stated lmao but it was really exciting</v>
      </c>
    </row>
    <row r="4855" ht="15.75" customHeight="1">
      <c r="A4855" s="1">
        <v>6025.0</v>
      </c>
      <c r="B4855" s="3" t="s">
        <v>13906</v>
      </c>
      <c r="C4855" s="3">
        <v>1.0</v>
      </c>
      <c r="D4855" s="3">
        <v>0.0</v>
      </c>
      <c r="E4855" s="3">
        <v>0.0</v>
      </c>
      <c r="F4855" s="3" t="s">
        <v>13907</v>
      </c>
      <c r="G4855" s="3">
        <v>1.0</v>
      </c>
      <c r="H4855" s="3">
        <v>0.0</v>
      </c>
      <c r="I4855" s="3" t="s">
        <v>13</v>
      </c>
      <c r="J4855" s="3" t="s">
        <v>13908</v>
      </c>
      <c r="K4855" s="3" t="s">
        <v>1366</v>
      </c>
      <c r="L4855" s="3" t="str">
        <f>IFERROR(__xludf.DUMMYFUNCTION("GOOGLETRANSLATE(F4855,""id"",""en"")"),"Remember this afternoon there was a girl who worked maybe because the final Pilduun was joined in asking about Messi until it was sparked by Messi's question that Islam was not Islam who Ronaldo I just answered Bambang Pamungkas")</f>
        <v>Remember this afternoon there was a girl who worked maybe because the final Pilduun was joined in asking about Messi until it was sparked by Messi's question that Islam was not Islam who Ronaldo I just answered Bambang Pamungkas</v>
      </c>
    </row>
    <row r="4856" ht="15.75" customHeight="1">
      <c r="A4856" s="1">
        <v>6026.0</v>
      </c>
      <c r="B4856" s="3" t="s">
        <v>13909</v>
      </c>
      <c r="C4856" s="3">
        <v>2.0</v>
      </c>
      <c r="D4856" s="3">
        <v>0.0</v>
      </c>
      <c r="E4856" s="3">
        <v>0.0</v>
      </c>
      <c r="F4856" s="3" t="s">
        <v>13910</v>
      </c>
      <c r="G4856" s="3">
        <v>1.0</v>
      </c>
      <c r="H4856" s="3">
        <v>0.0</v>
      </c>
      <c r="I4856" s="3" t="s">
        <v>13</v>
      </c>
      <c r="J4856" s="3" t="s">
        <v>13911</v>
      </c>
      <c r="K4856" s="3" t="s">
        <v>19</v>
      </c>
      <c r="L4856" s="3" t="str">
        <f>IFERROR(__xludf.DUMMYFUNCTION("GOOGLETRANSLATE(F4856,""id"",""en"")"),"His name is also a human being, but I watched the final of the pildun keinget mosquito mosquitoes akdjajzjsksk")</f>
        <v>His name is also a human being, but I watched the final of the pildun keinget mosquito mosquitoes akdjajzjsksk</v>
      </c>
    </row>
    <row r="4857" ht="15.75" customHeight="1">
      <c r="A4857" s="1">
        <v>6027.0</v>
      </c>
      <c r="B4857" s="3" t="s">
        <v>13912</v>
      </c>
      <c r="C4857" s="3">
        <v>0.0</v>
      </c>
      <c r="D4857" s="3">
        <v>0.0</v>
      </c>
      <c r="E4857" s="3">
        <v>1.0</v>
      </c>
      <c r="F4857" s="3" t="s">
        <v>13913</v>
      </c>
      <c r="G4857" s="3">
        <v>1.0</v>
      </c>
      <c r="H4857" s="3">
        <v>0.0</v>
      </c>
      <c r="I4857" s="3" t="s">
        <v>13</v>
      </c>
      <c r="J4857" s="3" t="s">
        <v>13914</v>
      </c>
      <c r="K4857" s="3" t="s">
        <v>41</v>
      </c>
      <c r="L4857" s="3" t="str">
        <f>IFERROR(__xludf.DUMMYFUNCTION("GOOGLETRANSLATE(F4857,""id"",""en"")"),"still not moved from the nobar final of the pildun last night see you again")</f>
        <v>still not moved from the nobar final of the pildun last night see you again</v>
      </c>
    </row>
    <row r="4858" ht="15.75" customHeight="1">
      <c r="A4858" s="1">
        <v>6028.0</v>
      </c>
      <c r="B4858" s="3" t="s">
        <v>13915</v>
      </c>
      <c r="C4858" s="3">
        <v>0.0</v>
      </c>
      <c r="D4858" s="3">
        <v>0.0</v>
      </c>
      <c r="E4858" s="3">
        <v>0.0</v>
      </c>
      <c r="F4858" s="3" t="s">
        <v>13916</v>
      </c>
      <c r="G4858" s="3">
        <v>1.0</v>
      </c>
      <c r="H4858" s="3">
        <v>0.0</v>
      </c>
      <c r="I4858" s="3" t="s">
        <v>13</v>
      </c>
      <c r="J4858" s="3" t="s">
        <v>13917</v>
      </c>
      <c r="K4858" s="3" t="s">
        <v>286</v>
      </c>
      <c r="L4858" s="3" t="str">
        <f>IFERROR(__xludf.DUMMYFUNCTION("GOOGLETRANSLATE(F4858,""id"",""en"")"),"Adims Cromagnon Cute agreed that the dense schedule for the players was not optimal and injured that made a scene and raised mah Messi fans and fans Ronaldo social media.")</f>
        <v>Adims Cromagnon Cute agreed that the dense schedule for the players was not optimal and injured that made a scene and raised mah Messi fans and fans Ronaldo social media.</v>
      </c>
    </row>
    <row r="4859" ht="15.75" customHeight="1">
      <c r="A4859" s="1">
        <v>6029.0</v>
      </c>
      <c r="B4859" s="3" t="s">
        <v>13918</v>
      </c>
      <c r="C4859" s="3">
        <v>0.0</v>
      </c>
      <c r="D4859" s="3">
        <v>0.0</v>
      </c>
      <c r="E4859" s="3">
        <v>0.0</v>
      </c>
      <c r="F4859" s="3" t="s">
        <v>13919</v>
      </c>
      <c r="G4859" s="3">
        <v>1.0</v>
      </c>
      <c r="H4859" s="3">
        <v>0.0</v>
      </c>
      <c r="I4859" s="3" t="s">
        <v>13</v>
      </c>
      <c r="J4859" s="3" t="s">
        <v>13920</v>
      </c>
      <c r="K4859" s="3" t="s">
        <v>13921</v>
      </c>
      <c r="L4859" s="3" t="str">
        <f>IFERROR(__xludf.DUMMYFUNCTION("GOOGLETRANSLATE(F4859,""id"",""en"")"),"What's wrong with Barca Posting Messi Barca also joined the former times the former team could win the champion of the final pildun and it was a proud psti, so Barca had to be cool, so I care about the victory of Messi.")</f>
        <v>What's wrong with Barca Posting Messi Barca also joined the former times the former team could win the champion of the final pildun and it was a proud psti, so Barca had to be cool, so I care about the victory of Messi.</v>
      </c>
    </row>
    <row r="4860" ht="15.75" customHeight="1">
      <c r="A4860" s="1">
        <v>6030.0</v>
      </c>
      <c r="B4860" s="3" t="s">
        <v>13922</v>
      </c>
      <c r="C4860" s="3">
        <v>0.0</v>
      </c>
      <c r="D4860" s="3">
        <v>0.0</v>
      </c>
      <c r="E4860" s="3">
        <v>0.0</v>
      </c>
      <c r="F4860" s="3" t="s">
        <v>13923</v>
      </c>
      <c r="G4860" s="3">
        <v>1.0</v>
      </c>
      <c r="H4860" s="3">
        <v>0.0</v>
      </c>
      <c r="I4860" s="3" t="s">
        <v>13</v>
      </c>
      <c r="J4860" s="3" t="s">
        <v>13924</v>
      </c>
      <c r="K4860" s="3" t="s">
        <v>695</v>
      </c>
      <c r="L4860" s="3" t="str">
        <f>IFERROR(__xludf.DUMMYFUNCTION("GOOGLETRANSLATE(F4860,""id"",""en"")"),"I used to have a pildun in the beginning of the beginning, I was able to path the Link Link, just miss the moment this time, this was really unlucky watching")</f>
        <v>I used to have a pildun in the beginning of the beginning, I was able to path the Link Link, just miss the moment this time, this was really unlucky watching</v>
      </c>
    </row>
    <row r="4861" ht="15.75" customHeight="1">
      <c r="A4861" s="1">
        <v>6031.0</v>
      </c>
      <c r="B4861" s="3" t="s">
        <v>13925</v>
      </c>
      <c r="C4861" s="3">
        <v>1.0</v>
      </c>
      <c r="D4861" s="3">
        <v>0.0</v>
      </c>
      <c r="E4861" s="3">
        <v>0.0</v>
      </c>
      <c r="F4861" s="3" t="s">
        <v>13926</v>
      </c>
      <c r="G4861" s="3">
        <v>1.0</v>
      </c>
      <c r="H4861" s="3">
        <v>0.0</v>
      </c>
      <c r="I4861" s="3" t="s">
        <v>13</v>
      </c>
      <c r="J4861" s="3" t="s">
        <v>13927</v>
      </c>
      <c r="K4861" s="3" t="s">
        <v>50</v>
      </c>
      <c r="L4861" s="3" t="str">
        <f>IFERROR(__xludf.DUMMYFUNCTION("GOOGLETRANSLATE(F4861,""id"",""en"")"),"cool from running out of watching the final pildun until now just sleeping hours only")</f>
        <v>cool from running out of watching the final pildun until now just sleeping hours only</v>
      </c>
    </row>
    <row r="4862" ht="15.75" customHeight="1">
      <c r="A4862" s="1">
        <v>6032.0</v>
      </c>
      <c r="B4862" s="3" t="s">
        <v>13928</v>
      </c>
      <c r="C4862" s="3">
        <v>1.0</v>
      </c>
      <c r="D4862" s="3">
        <v>0.0</v>
      </c>
      <c r="E4862" s="3">
        <v>0.0</v>
      </c>
      <c r="F4862" s="3" t="s">
        <v>13929</v>
      </c>
      <c r="G4862" s="3">
        <v>1.0</v>
      </c>
      <c r="H4862" s="3">
        <v>0.0</v>
      </c>
      <c r="I4862" s="3" t="s">
        <v>13</v>
      </c>
      <c r="J4862" s="3" t="s">
        <v>13930</v>
      </c>
      <c r="K4862" s="3" t="s">
        <v>952</v>
      </c>
      <c r="L4862" s="3" t="str">
        <f>IFERROR(__xludf.DUMMYFUNCTION("GOOGLETRANSLATE(F4862,""id"",""en"")"),"last night was hard to watch the final pildun tonight shortness of breath watching")</f>
        <v>last night was hard to watch the final pildun tonight shortness of breath watching</v>
      </c>
    </row>
    <row r="4863" ht="15.75" customHeight="1">
      <c r="A4863" s="1">
        <v>6033.0</v>
      </c>
      <c r="B4863" s="3" t="s">
        <v>13931</v>
      </c>
      <c r="C4863" s="3">
        <v>0.0</v>
      </c>
      <c r="D4863" s="3">
        <v>0.0</v>
      </c>
      <c r="E4863" s="3">
        <v>0.0</v>
      </c>
      <c r="F4863" s="3" t="s">
        <v>13932</v>
      </c>
      <c r="G4863" s="3">
        <v>1.0</v>
      </c>
      <c r="H4863" s="3">
        <v>0.0</v>
      </c>
      <c r="I4863" s="3" t="s">
        <v>13</v>
      </c>
      <c r="J4863" s="3" t="s">
        <v>13933</v>
      </c>
      <c r="K4863" s="3" t="s">
        <v>495</v>
      </c>
      <c r="L4863" s="3" t="str">
        <f>IFERROR(__xludf.DUMMYFUNCTION("GOOGLETRANSLATE(F4863,""id"",""en"")"),"I don't follow the development of football, but after the final Pildun, I want to open Twitter to see the funny content of the community.")</f>
        <v>I don't follow the development of football, but after the final Pildun, I want to open Twitter to see the funny content of the community.</v>
      </c>
    </row>
    <row r="4864" ht="15.75" customHeight="1">
      <c r="A4864" s="1">
        <v>6034.0</v>
      </c>
      <c r="B4864" s="3" t="s">
        <v>13934</v>
      </c>
      <c r="C4864" s="3">
        <v>0.0</v>
      </c>
      <c r="D4864" s="3">
        <v>0.0</v>
      </c>
      <c r="E4864" s="3">
        <v>1.0</v>
      </c>
      <c r="F4864" s="3" t="s">
        <v>13935</v>
      </c>
      <c r="G4864" s="3">
        <v>0.6666666666666666</v>
      </c>
      <c r="H4864" s="3">
        <v>0.08333333333333333</v>
      </c>
      <c r="I4864" s="3" t="s">
        <v>48</v>
      </c>
      <c r="J4864" s="3" t="s">
        <v>13936</v>
      </c>
      <c r="K4864" s="3" t="s">
        <v>3882</v>
      </c>
      <c r="L4864" s="3" t="str">
        <f>IFERROR(__xludf.DUMMYFUNCTION("GOOGLETRANSLATE(F4864,""id"",""en"")"),"I hope to be able to watch Agen Brazil Final Pildun Sayang Brazil home first clearly the hope is that he is just happy, when against France, Argen wins, but unfortunately the match I didn't have time to watch because when I wanted to play I was sleeping b"&amp;"ecause I was already sleepy")</f>
        <v>I hope to be able to watch Agen Brazil Final Pildun Sayang Brazil home first clearly the hope is that he is just happy, when against France, Argen wins, but unfortunately the match I didn't have time to watch because when I wanted to play I was sleeping because I was already sleepy</v>
      </c>
    </row>
    <row r="4865" ht="15.75" customHeight="1">
      <c r="A4865" s="1">
        <v>6035.0</v>
      </c>
      <c r="B4865" s="3" t="s">
        <v>13937</v>
      </c>
      <c r="C4865" s="3">
        <v>0.0</v>
      </c>
      <c r="D4865" s="3">
        <v>0.0</v>
      </c>
      <c r="E4865" s="3">
        <v>0.0</v>
      </c>
      <c r="F4865" s="3" t="s">
        <v>13938</v>
      </c>
      <c r="G4865" s="3">
        <v>1.0</v>
      </c>
      <c r="H4865" s="3">
        <v>0.0</v>
      </c>
      <c r="I4865" s="3" t="s">
        <v>13</v>
      </c>
      <c r="J4865" s="3" t="s">
        <v>13939</v>
      </c>
      <c r="K4865" s="3" t="s">
        <v>899</v>
      </c>
      <c r="L4865" s="3" t="str">
        <f>IFERROR(__xludf.DUMMYFUNCTION("GOOGLETRANSLATE(F4865,""id"",""en"")"),"Final Pildun Ter Kerennn Supports Argentina from the Batistuta Riqeulme Aimar Crespo era until the Messi era from the beginning was offered an older brother from the Messi newspaper to use Barca number until now Respect Full with Leo")</f>
        <v>Final Pildun Ter Kerennn Supports Argentina from the Batistuta Riqeulme Aimar Crespo era until the Messi era from the beginning was offered an older brother from the Messi newspaper to use Barca number until now Respect Full with Leo</v>
      </c>
    </row>
    <row r="4866" ht="15.75" customHeight="1">
      <c r="A4866" s="1">
        <v>6036.0</v>
      </c>
      <c r="B4866" s="3" t="s">
        <v>13940</v>
      </c>
      <c r="C4866" s="3">
        <v>2.0</v>
      </c>
      <c r="D4866" s="3">
        <v>2.0</v>
      </c>
      <c r="E4866" s="3">
        <v>2.0</v>
      </c>
      <c r="F4866" s="3" t="s">
        <v>13941</v>
      </c>
      <c r="G4866" s="3">
        <v>1.0</v>
      </c>
      <c r="H4866" s="3">
        <v>0.0</v>
      </c>
      <c r="I4866" s="3" t="s">
        <v>13</v>
      </c>
      <c r="J4866" s="3" t="s">
        <v>13942</v>
      </c>
      <c r="K4866" s="3" t="s">
        <v>236</v>
      </c>
      <c r="L4866" s="3" t="str">
        <f>IFERROR(__xludf.DUMMYFUNCTION("GOOGLETRANSLATE(F4866,""id"",""en"")"),"Try inviting neighbor's wife, let alone the final of the AFF Final Pildun, Gasssss")</f>
        <v>Try inviting neighbor's wife, let alone the final of the AFF Final Pildun, Gasssss</v>
      </c>
    </row>
    <row r="4867" ht="15.75" customHeight="1">
      <c r="A4867" s="1">
        <v>6037.0</v>
      </c>
      <c r="B4867" s="3" t="s">
        <v>13943</v>
      </c>
      <c r="C4867" s="3">
        <v>1.0</v>
      </c>
      <c r="D4867" s="3">
        <v>0.0</v>
      </c>
      <c r="E4867" s="3">
        <v>0.0</v>
      </c>
      <c r="F4867" s="3" t="s">
        <v>13944</v>
      </c>
      <c r="G4867" s="3">
        <v>1.0</v>
      </c>
      <c r="H4867" s="3">
        <v>0.0</v>
      </c>
      <c r="I4867" s="3" t="s">
        <v>13</v>
      </c>
      <c r="J4867" s="3" t="s">
        <v>13945</v>
      </c>
      <c r="K4867" s="3" t="s">
        <v>184</v>
      </c>
      <c r="L4867" s="3" t="str">
        <f>IFERROR(__xludf.DUMMYFUNCTION("GOOGLETRANSLATE(F4867,""id"",""en"")"),"FIK SII DON'T BE FAR EUSEBIO DEH SQUAD ARCE FIGO AM CAN BE PLACE TO SEMI FINAL PILDUN WITH SQUAD BEFORE than now")</f>
        <v>FIK SII DON'T BE FAR EUSEBIO DEH SQUAD ARCE FIGO AM CAN BE PLACE TO SEMI FINAL PILDUN WITH SQUAD BEFORE than now</v>
      </c>
    </row>
    <row r="4868" ht="15.75" customHeight="1">
      <c r="A4868" s="1">
        <v>6038.0</v>
      </c>
      <c r="B4868" s="3" t="s">
        <v>13946</v>
      </c>
      <c r="C4868" s="3">
        <v>0.0</v>
      </c>
      <c r="D4868" s="3">
        <v>0.0</v>
      </c>
      <c r="E4868" s="3">
        <v>0.0</v>
      </c>
      <c r="F4868" s="3" t="s">
        <v>13947</v>
      </c>
      <c r="G4868" s="3">
        <v>1.0</v>
      </c>
      <c r="H4868" s="3">
        <v>0.0</v>
      </c>
      <c r="I4868" s="3" t="s">
        <v>13</v>
      </c>
      <c r="J4868" s="3" t="s">
        <v>13948</v>
      </c>
      <c r="K4868" s="3" t="s">
        <v>41</v>
      </c>
      <c r="L4868" s="3" t="str">
        <f>IFERROR(__xludf.DUMMYFUNCTION("GOOGLETRANSLATE(F4868,""id"",""en"")"),"the effect of the final of the final pildun today is a lot of money")</f>
        <v>the effect of the final of the final pildun today is a lot of money</v>
      </c>
    </row>
    <row r="4869" ht="15.75" customHeight="1">
      <c r="A4869" s="1">
        <v>6039.0</v>
      </c>
      <c r="B4869" s="3" t="s">
        <v>13949</v>
      </c>
      <c r="C4869" s="3">
        <v>18.0</v>
      </c>
      <c r="D4869" s="3">
        <v>0.0</v>
      </c>
      <c r="E4869" s="3">
        <v>0.0</v>
      </c>
      <c r="F4869" s="3" t="s">
        <v>13950</v>
      </c>
      <c r="G4869" s="3">
        <v>1.0</v>
      </c>
      <c r="H4869" s="3">
        <v>0.0</v>
      </c>
      <c r="I4869" s="3" t="s">
        <v>13</v>
      </c>
      <c r="J4869" s="3" t="s">
        <v>13951</v>
      </c>
      <c r="K4869" s="3" t="s">
        <v>1097</v>
      </c>
      <c r="L4869" s="3" t="str">
        <f>IFERROR(__xludf.DUMMYFUNCTION("GOOGLETRANSLATE(F4869,""id"",""en"")"),"Yesterday the final Pildun where you won who knows the difference")</f>
        <v>Yesterday the final Pildun where you won who knows the difference</v>
      </c>
    </row>
    <row r="4870" ht="15.75" customHeight="1">
      <c r="A4870" s="1">
        <v>6040.0</v>
      </c>
      <c r="B4870" s="3" t="s">
        <v>13952</v>
      </c>
      <c r="C4870" s="3">
        <v>0.0</v>
      </c>
      <c r="D4870" s="3">
        <v>0.0</v>
      </c>
      <c r="E4870" s="3">
        <v>0.0</v>
      </c>
      <c r="F4870" s="3" t="s">
        <v>13953</v>
      </c>
      <c r="G4870" s="3">
        <v>1.0</v>
      </c>
      <c r="H4870" s="3">
        <v>0.0</v>
      </c>
      <c r="I4870" s="3" t="s">
        <v>13</v>
      </c>
      <c r="J4870" s="3" t="s">
        <v>13954</v>
      </c>
      <c r="K4870" s="3" t="s">
        <v>240</v>
      </c>
      <c r="L4870" s="3" t="str">
        <f>IFERROR(__xludf.DUMMYFUNCTION("GOOGLETRANSLATE(F4870,""id"",""en"")"),"after the anter go home and then go out alone riding Maxim, I will follow it, it turns out he even watched the final pildun")</f>
        <v>after the anter go home and then go out alone riding Maxim, I will follow it, it turns out he even watched the final pildun</v>
      </c>
    </row>
    <row r="4871" ht="15.75" customHeight="1">
      <c r="A4871" s="1">
        <v>6041.0</v>
      </c>
      <c r="B4871" s="3" t="s">
        <v>13955</v>
      </c>
      <c r="C4871" s="3">
        <v>2.0</v>
      </c>
      <c r="D4871" s="3">
        <v>0.0</v>
      </c>
      <c r="E4871" s="3">
        <v>1.0</v>
      </c>
      <c r="F4871" s="3" t="s">
        <v>13956</v>
      </c>
      <c r="G4871" s="3">
        <v>1.0</v>
      </c>
      <c r="H4871" s="3">
        <v>0.0</v>
      </c>
      <c r="I4871" s="3" t="s">
        <v>13</v>
      </c>
      <c r="J4871" s="3" t="s">
        <v>13957</v>
      </c>
      <c r="K4871" s="3" t="s">
        <v>1912</v>
      </c>
      <c r="L4871" s="3" t="str">
        <f>IFERROR(__xludf.DUMMYFUNCTION("GOOGLETRANSLATE(F4871,""id"",""en"")"),"The story is, I want to watch the final of the pildun, RMH, because I have to chat forgot to stop by Alfa to buy drinks with food, even though there is a food and drink at all")</f>
        <v>The story is, I want to watch the final of the pildun, RMH, because I have to chat forgot to stop by Alfa to buy drinks with food, even though there is a food and drink at all</v>
      </c>
    </row>
    <row r="4872" ht="15.75" customHeight="1">
      <c r="A4872" s="1">
        <v>6042.0</v>
      </c>
      <c r="B4872" s="3" t="s">
        <v>13958</v>
      </c>
      <c r="C4872" s="3">
        <v>1.0</v>
      </c>
      <c r="D4872" s="3">
        <v>0.0</v>
      </c>
      <c r="E4872" s="3">
        <v>1.0</v>
      </c>
      <c r="F4872" s="3" t="s">
        <v>13959</v>
      </c>
      <c r="G4872" s="3">
        <v>1.0</v>
      </c>
      <c r="H4872" s="3">
        <v>0.0</v>
      </c>
      <c r="I4872" s="3" t="s">
        <v>13</v>
      </c>
      <c r="J4872" s="3" t="s">
        <v>13960</v>
      </c>
      <c r="K4872" s="3" t="s">
        <v>765</v>
      </c>
      <c r="L4872" s="3" t="str">
        <f>IFERROR(__xludf.DUMMYFUNCTION("GOOGLETRANSLATE(F4872,""id"",""en"")"),"Alpan Redsindo Factory, if the comparison continues to age, when the year is the deck, don't be many reasons for accepting the fact that the facts are the final pait of the pildun.")</f>
        <v>Alpan Redsindo Factory, if the comparison continues to age, when the year is the deck, don't be many reasons for accepting the fact that the facts are the final pait of the pildun.</v>
      </c>
    </row>
    <row r="4873" ht="15.75" customHeight="1">
      <c r="A4873" s="1">
        <v>6043.0</v>
      </c>
      <c r="B4873" s="3" t="s">
        <v>13961</v>
      </c>
      <c r="C4873" s="3">
        <v>0.0</v>
      </c>
      <c r="D4873" s="3">
        <v>0.0</v>
      </c>
      <c r="E4873" s="3">
        <v>0.0</v>
      </c>
      <c r="F4873" s="3" t="s">
        <v>13962</v>
      </c>
      <c r="G4873" s="3">
        <v>1.0</v>
      </c>
      <c r="H4873" s="3">
        <v>0.0</v>
      </c>
      <c r="I4873" s="3" t="s">
        <v>13</v>
      </c>
      <c r="J4873" s="3" t="s">
        <v>13963</v>
      </c>
      <c r="K4873" s="3" t="s">
        <v>54</v>
      </c>
      <c r="L4873" s="3" t="str">
        <f>IFERROR(__xludf.DUMMYFUNCTION("GOOGLETRANSLATE(F4873,""id"",""en"")"),"hashtag all there is a video all except the final pildun")</f>
        <v>hashtag all there is a video all except the final pildun</v>
      </c>
    </row>
    <row r="4874" ht="15.75" customHeight="1">
      <c r="A4874" s="1">
        <v>6044.0</v>
      </c>
      <c r="B4874" s="3" t="s">
        <v>13964</v>
      </c>
      <c r="C4874" s="3">
        <v>0.0</v>
      </c>
      <c r="D4874" s="3">
        <v>0.0</v>
      </c>
      <c r="E4874" s="3">
        <v>0.0</v>
      </c>
      <c r="F4874" s="3" t="s">
        <v>13965</v>
      </c>
      <c r="G4874" s="3">
        <v>1.0</v>
      </c>
      <c r="H4874" s="3">
        <v>0.0</v>
      </c>
      <c r="I4874" s="3" t="s">
        <v>13</v>
      </c>
      <c r="J4874" s="3" t="s">
        <v>13966</v>
      </c>
      <c r="K4874" s="3" t="s">
        <v>82</v>
      </c>
      <c r="L4874" s="3" t="str">
        <f>IFERROR(__xludf.DUMMYFUNCTION("GOOGLETRANSLATE(F4874,""id"",""en"")"),"enjoying the final pildun even appeared news like this")</f>
        <v>enjoying the final pildun even appeared news like this</v>
      </c>
    </row>
    <row r="4875" ht="15.75" customHeight="1">
      <c r="A4875" s="1">
        <v>6045.0</v>
      </c>
      <c r="B4875" s="3" t="s">
        <v>13967</v>
      </c>
      <c r="C4875" s="3">
        <v>0.0</v>
      </c>
      <c r="D4875" s="3">
        <v>0.0</v>
      </c>
      <c r="E4875" s="3">
        <v>1.0</v>
      </c>
      <c r="F4875" s="3" t="s">
        <v>13968</v>
      </c>
      <c r="G4875" s="3">
        <v>1.0</v>
      </c>
      <c r="H4875" s="3">
        <v>0.0</v>
      </c>
      <c r="I4875" s="3" t="s">
        <v>13</v>
      </c>
      <c r="J4875" s="3" t="s">
        <v>13969</v>
      </c>
      <c r="K4875" s="3" t="s">
        <v>2013</v>
      </c>
      <c r="L4875" s="3" t="str">
        <f>IFERROR(__xludf.DUMMYFUNCTION("GOOGLETRANSLATE(F4875,""id"",""en"")"),"Acho if the debate is so don't bring statistics to the champion of Messi, the first age of Messi is the first person to score")</f>
        <v>Acho if the debate is so don't bring statistics to the champion of Messi, the first age of Messi is the first person to score</v>
      </c>
    </row>
    <row r="4876" ht="15.75" customHeight="1">
      <c r="A4876" s="1">
        <v>6046.0</v>
      </c>
      <c r="B4876" s="3" t="s">
        <v>13970</v>
      </c>
      <c r="C4876" s="3">
        <v>0.0</v>
      </c>
      <c r="D4876" s="3">
        <v>0.0</v>
      </c>
      <c r="E4876" s="3">
        <v>0.0</v>
      </c>
      <c r="F4876" s="3" t="s">
        <v>13971</v>
      </c>
      <c r="G4876" s="3">
        <v>1.0</v>
      </c>
      <c r="H4876" s="3">
        <v>0.0</v>
      </c>
      <c r="I4876" s="3" t="s">
        <v>13</v>
      </c>
      <c r="J4876" s="3" t="s">
        <v>13972</v>
      </c>
      <c r="K4876" s="3" t="s">
        <v>82</v>
      </c>
      <c r="L4876" s="3" t="str">
        <f>IFERROR(__xludf.DUMMYFUNCTION("GOOGLETRANSLATE(F4876,""id"",""en"")"),"Bang, you haven't got a serious transfers")</f>
        <v>Bang, you haven't got a serious transfers</v>
      </c>
    </row>
    <row r="4877" ht="15.75" customHeight="1">
      <c r="A4877" s="1">
        <v>6047.0</v>
      </c>
      <c r="B4877" s="3" t="s">
        <v>13973</v>
      </c>
      <c r="C4877" s="3">
        <v>0.0</v>
      </c>
      <c r="D4877" s="3">
        <v>0.0</v>
      </c>
      <c r="E4877" s="3">
        <v>0.0</v>
      </c>
      <c r="F4877" s="3" t="s">
        <v>13974</v>
      </c>
      <c r="G4877" s="3">
        <v>0.7</v>
      </c>
      <c r="H4877" s="3">
        <v>0.05</v>
      </c>
      <c r="I4877" s="3" t="s">
        <v>48</v>
      </c>
      <c r="J4877" s="3" t="s">
        <v>13975</v>
      </c>
      <c r="K4877" s="3" t="s">
        <v>510</v>
      </c>
      <c r="L4877" s="3" t="str">
        <f>IFERROR(__xludf.DUMMYFUNCTION("GOOGLETRANSLATE(F4877,""id"",""en"")"),"The final effect of Kmrin's epic jdi gamon forgot that this fifa pilduun yr this was finished yesterday")</f>
        <v>The final effect of Kmrin's epic jdi gamon forgot that this fifa pilduun yr this was finished yesterday</v>
      </c>
    </row>
    <row r="4878" ht="15.75" customHeight="1">
      <c r="A4878" s="1">
        <v>6048.0</v>
      </c>
      <c r="B4878" s="3" t="s">
        <v>13976</v>
      </c>
      <c r="C4878" s="3">
        <v>0.0</v>
      </c>
      <c r="D4878" s="3">
        <v>0.0</v>
      </c>
      <c r="E4878" s="3">
        <v>0.0</v>
      </c>
      <c r="F4878" s="3" t="s">
        <v>13977</v>
      </c>
      <c r="G4878" s="3">
        <v>1.0</v>
      </c>
      <c r="H4878" s="3">
        <v>0.0</v>
      </c>
      <c r="I4878" s="3" t="s">
        <v>13</v>
      </c>
      <c r="J4878" s="3" t="s">
        <v>13978</v>
      </c>
      <c r="K4878" s="3" t="s">
        <v>1293</v>
      </c>
      <c r="L4878" s="3" t="str">
        <f>IFERROR(__xludf.DUMMYFUNCTION("GOOGLETRANSLATE(F4878,""id"",""en"")"),"Football IBI BALIH Final Pildun exciting Gati Kanti Ilang Kiapu Jani Balih Sagetan League Ngicir Mebalih")</f>
        <v>Football IBI BALIH Final Pildun exciting Gati Kanti Ilang Kiapu Jani Balih Sagetan League Ngicir Mebalih</v>
      </c>
    </row>
    <row r="4879" ht="15.75" customHeight="1">
      <c r="A4879" s="1">
        <v>6049.0</v>
      </c>
      <c r="B4879" s="3" t="s">
        <v>13979</v>
      </c>
      <c r="C4879" s="3">
        <v>1.0</v>
      </c>
      <c r="D4879" s="3">
        <v>0.0</v>
      </c>
      <c r="E4879" s="3">
        <v>0.0</v>
      </c>
      <c r="F4879" s="3" t="s">
        <v>13980</v>
      </c>
      <c r="G4879" s="3">
        <v>1.0</v>
      </c>
      <c r="H4879" s="3">
        <v>0.0</v>
      </c>
      <c r="I4879" s="3" t="s">
        <v>13</v>
      </c>
      <c r="J4879" s="3" t="s">
        <v>13981</v>
      </c>
      <c r="K4879" s="3" t="s">
        <v>1912</v>
      </c>
      <c r="L4879" s="3" t="str">
        <f>IFERROR(__xludf.DUMMYFUNCTION("GOOGLETRANSLATE(F4879,""id"",""en"")"),"In terms of infrastructure, it is said that this is the grandest Pilduun seems to have the most surprises after some big teams lost to ordinary teams especially the final match maybe all will agree that this is the final match of the pildun")</f>
        <v>In terms of infrastructure, it is said that this is the grandest Pilduun seems to have the most surprises after some big teams lost to ordinary teams especially the final match maybe all will agree that this is the final match of the pildun</v>
      </c>
    </row>
    <row r="4880" ht="15.75" customHeight="1">
      <c r="A4880" s="1">
        <v>6050.0</v>
      </c>
      <c r="B4880" s="3" t="s">
        <v>13982</v>
      </c>
      <c r="C4880" s="3">
        <v>0.0</v>
      </c>
      <c r="D4880" s="3">
        <v>0.0</v>
      </c>
      <c r="E4880" s="3">
        <v>0.0</v>
      </c>
      <c r="F4880" s="3" t="s">
        <v>13983</v>
      </c>
      <c r="G4880" s="3">
        <v>1.0</v>
      </c>
      <c r="H4880" s="3">
        <v>0.0</v>
      </c>
      <c r="I4880" s="3" t="s">
        <v>13</v>
      </c>
      <c r="J4880" s="3" t="s">
        <v>13984</v>
      </c>
      <c r="K4880" s="3" t="s">
        <v>82</v>
      </c>
      <c r="L4880" s="3" t="str">
        <f>IFERROR(__xludf.DUMMYFUNCTION("GOOGLETRANSLATE(F4880,""id"",""en"")"),"Argentina Nagita Nagita's Nobar Final Nobar Final")</f>
        <v>Argentina Nagita Nagita's Nobar Final Nobar Final</v>
      </c>
    </row>
    <row r="4881" ht="15.75" customHeight="1">
      <c r="A4881" s="1">
        <v>6051.0</v>
      </c>
      <c r="B4881" s="3" t="s">
        <v>13985</v>
      </c>
      <c r="C4881" s="3">
        <v>0.0</v>
      </c>
      <c r="D4881" s="3">
        <v>0.0</v>
      </c>
      <c r="E4881" s="3">
        <v>0.0</v>
      </c>
      <c r="F4881" s="3" t="s">
        <v>13986</v>
      </c>
      <c r="G4881" s="3">
        <v>1.0</v>
      </c>
      <c r="H4881" s="3">
        <v>0.0</v>
      </c>
      <c r="I4881" s="3" t="s">
        <v>13</v>
      </c>
      <c r="J4881" s="3" t="s">
        <v>13987</v>
      </c>
      <c r="K4881" s="3" t="s">
        <v>82</v>
      </c>
      <c r="L4881" s="3" t="str">
        <f>IFERROR(__xludf.DUMMYFUNCTION("GOOGLETRANSLATE(F4881,""id"",""en"")"),"Very crowded this year's final piledun until watching wkwk")</f>
        <v>Very crowded this year's final piledun until watching wkwk</v>
      </c>
    </row>
    <row r="4882" ht="15.75" customHeight="1">
      <c r="A4882" s="1">
        <v>6052.0</v>
      </c>
      <c r="B4882" s="3" t="s">
        <v>13988</v>
      </c>
      <c r="C4882" s="3">
        <v>0.0</v>
      </c>
      <c r="D4882" s="3">
        <v>0.0</v>
      </c>
      <c r="E4882" s="3">
        <v>0.0</v>
      </c>
      <c r="F4882" s="3" t="s">
        <v>13989</v>
      </c>
      <c r="G4882" s="3">
        <v>1.0</v>
      </c>
      <c r="H4882" s="3">
        <v>0.0</v>
      </c>
      <c r="I4882" s="3" t="s">
        <v>13</v>
      </c>
      <c r="J4882" s="3" t="s">
        <v>13990</v>
      </c>
      <c r="K4882" s="3" t="s">
        <v>123</v>
      </c>
      <c r="L4882" s="3" t="str">
        <f>IFERROR(__xludf.DUMMYFUNCTION("GOOGLETRANSLATE(F4882,""id"",""en"")"),"Rise up with the euro final defeat and then champion Uero after the results of the bad pildun champion Nation League")</f>
        <v>Rise up with the euro final defeat and then champion Uero after the results of the bad pildun champion Nation League</v>
      </c>
    </row>
    <row r="4883" ht="15.75" customHeight="1">
      <c r="A4883" s="1">
        <v>6053.0</v>
      </c>
      <c r="B4883" s="3" t="s">
        <v>13991</v>
      </c>
      <c r="C4883" s="3">
        <v>0.0</v>
      </c>
      <c r="D4883" s="3">
        <v>0.0</v>
      </c>
      <c r="E4883" s="3">
        <v>1.0</v>
      </c>
      <c r="F4883" s="3" t="s">
        <v>13992</v>
      </c>
      <c r="G4883" s="3">
        <v>1.0</v>
      </c>
      <c r="H4883" s="3">
        <v>0.0</v>
      </c>
      <c r="I4883" s="3" t="s">
        <v>13</v>
      </c>
      <c r="J4883" s="3" t="s">
        <v>13993</v>
      </c>
      <c r="K4883" s="3" t="s">
        <v>348</v>
      </c>
      <c r="L4883" s="3" t="str">
        <f>IFERROR(__xludf.DUMMYFUNCTION("GOOGLETRANSLATE(F4883,""id"",""en"")"),"Dih I even dated while nobar together, times passing the final of the pildun once even though the nobar is through Vidcall because the LDR fighter")</f>
        <v>Dih I even dated while nobar together, times passing the final of the pildun once even though the nobar is through Vidcall because the LDR fighter</v>
      </c>
    </row>
    <row r="4884" ht="15.75" customHeight="1">
      <c r="A4884" s="1">
        <v>6054.0</v>
      </c>
      <c r="B4884" s="3" t="s">
        <v>13994</v>
      </c>
      <c r="C4884" s="3">
        <v>1.0</v>
      </c>
      <c r="D4884" s="3">
        <v>61.0</v>
      </c>
      <c r="E4884" s="3">
        <v>168.0</v>
      </c>
      <c r="F4884" s="3" t="s">
        <v>13995</v>
      </c>
      <c r="G4884" s="3">
        <v>0.55</v>
      </c>
      <c r="H4884" s="3">
        <v>-0.1</v>
      </c>
      <c r="I4884" s="3" t="s">
        <v>179</v>
      </c>
      <c r="J4884" s="3" t="s">
        <v>13996</v>
      </c>
      <c r="K4884" s="3" t="s">
        <v>15</v>
      </c>
      <c r="L4884" s="3" t="str">
        <f>IFERROR(__xludf.DUMMYFUNCTION("GOOGLETRANSLATE(F4884,""id"",""en"")"),"FEW Tweets Fanfic Drama Different Champion Final Pildun")</f>
        <v>FEW Tweets Fanfic Drama Different Champion Final Pildun</v>
      </c>
    </row>
    <row r="4885" ht="15.75" customHeight="1">
      <c r="A4885" s="1">
        <v>6055.0</v>
      </c>
      <c r="B4885" s="3" t="s">
        <v>13997</v>
      </c>
      <c r="C4885" s="3">
        <v>1.0</v>
      </c>
      <c r="D4885" s="3">
        <v>0.0</v>
      </c>
      <c r="E4885" s="3">
        <v>0.0</v>
      </c>
      <c r="F4885" s="3" t="s">
        <v>13998</v>
      </c>
      <c r="G4885" s="3">
        <v>1.0</v>
      </c>
      <c r="H4885" s="3">
        <v>0.0</v>
      </c>
      <c r="I4885" s="3" t="s">
        <v>13</v>
      </c>
      <c r="J4885" s="3" t="s">
        <v>13999</v>
      </c>
      <c r="K4885" s="3" t="s">
        <v>31</v>
      </c>
      <c r="L4885" s="3" t="str">
        <f>IFERROR(__xludf.DUMMYFUNCTION("GOOGLETRANSLATE(F4885,""id"",""en"")"),"as large as the Final Pildun Football Field")</f>
        <v>as large as the Final Pildun Football Field</v>
      </c>
    </row>
    <row r="4886" ht="15.75" customHeight="1">
      <c r="A4886" s="1">
        <v>6056.0</v>
      </c>
      <c r="B4886" s="3" t="s">
        <v>14000</v>
      </c>
      <c r="C4886" s="3">
        <v>0.0</v>
      </c>
      <c r="D4886" s="3">
        <v>0.0</v>
      </c>
      <c r="E4886" s="3">
        <v>0.0</v>
      </c>
      <c r="F4886" s="3" t="s">
        <v>14001</v>
      </c>
      <c r="G4886" s="3">
        <v>1.0</v>
      </c>
      <c r="H4886" s="3">
        <v>0.0</v>
      </c>
      <c r="I4886" s="3" t="s">
        <v>13</v>
      </c>
      <c r="J4886" s="3" t="s">
        <v>14002</v>
      </c>
      <c r="K4886" s="3" t="s">
        <v>1729</v>
      </c>
      <c r="L4886" s="3" t="str">
        <f>IFERROR(__xludf.DUMMYFUNCTION("GOOGLETRANSLATE(F4886,""id"",""en"")"),"wow, I didn't watch the pildun yesterday when I saw Bimo, I asked to play lazy too, there was no Italy lately bored with the universe of the mesdo, but I didn't feel the fun of local football especially and the political material")</f>
        <v>wow, I didn't watch the pildun yesterday when I saw Bimo, I asked to play lazy too, there was no Italy lately bored with the universe of the mesdo, but I didn't feel the fun of local football especially and the political material</v>
      </c>
    </row>
    <row r="4887" ht="15.75" customHeight="1">
      <c r="A4887" s="1">
        <v>6057.0</v>
      </c>
      <c r="B4887" s="3" t="s">
        <v>14003</v>
      </c>
      <c r="C4887" s="3">
        <v>1.0</v>
      </c>
      <c r="D4887" s="3">
        <v>0.0</v>
      </c>
      <c r="E4887" s="3">
        <v>0.0</v>
      </c>
      <c r="F4887" s="3" t="s">
        <v>14004</v>
      </c>
      <c r="G4887" s="3">
        <v>1.0</v>
      </c>
      <c r="H4887" s="3">
        <v>0.0</v>
      </c>
      <c r="I4887" s="3" t="s">
        <v>13</v>
      </c>
      <c r="J4887" s="3" t="s">
        <v>14005</v>
      </c>
      <c r="K4887" s="3" t="s">
        <v>3519</v>
      </c>
      <c r="L4887" s="3" t="str">
        <f>IFERROR(__xludf.DUMMYFUNCTION("GOOGLETRANSLATE(F4887,""id"",""en"")"),"some notes regarding this year's pildun this year I asked why this year's pildun was held by the month of December, why was the edition before and finally answered early this morning Mary and Messah the nickname Messi Final was held by Kurleb a week from "&amp;"Christmas")</f>
        <v>some notes regarding this year's pildun this year I asked why this year's pildun was held by the month of December, why was the edition before and finally answered early this morning Mary and Messah the nickname Messi Final was held by Kurleb a week from Christmas</v>
      </c>
    </row>
    <row r="4888" ht="15.75" customHeight="1">
      <c r="A4888" s="1">
        <v>6058.0</v>
      </c>
      <c r="B4888" s="3" t="s">
        <v>14006</v>
      </c>
      <c r="C4888" s="3">
        <v>0.0</v>
      </c>
      <c r="D4888" s="3">
        <v>0.0</v>
      </c>
      <c r="E4888" s="3">
        <v>0.0</v>
      </c>
      <c r="F4888" s="3" t="s">
        <v>14007</v>
      </c>
      <c r="G4888" s="3">
        <v>1.0</v>
      </c>
      <c r="H4888" s="3">
        <v>0.0</v>
      </c>
      <c r="I4888" s="3" t="s">
        <v>13</v>
      </c>
      <c r="J4888" s="3" t="s">
        <v>14008</v>
      </c>
      <c r="K4888" s="3" t="s">
        <v>31</v>
      </c>
      <c r="L4888" s="3" t="str">
        <f>IFERROR(__xludf.DUMMYFUNCTION("GOOGLETRANSLATE(F4888,""id"",""en"")"),"I was so watching the final pildun fell asleep")</f>
        <v>I was so watching the final pildun fell asleep</v>
      </c>
    </row>
    <row r="4889" ht="15.75" customHeight="1">
      <c r="A4889" s="1">
        <v>6059.0</v>
      </c>
      <c r="B4889" s="3" t="s">
        <v>14009</v>
      </c>
      <c r="C4889" s="3">
        <v>15.0</v>
      </c>
      <c r="D4889" s="3">
        <v>2.0</v>
      </c>
      <c r="E4889" s="3">
        <v>7.0</v>
      </c>
      <c r="F4889" s="3" t="s">
        <v>14010</v>
      </c>
      <c r="G4889" s="3">
        <v>1.0</v>
      </c>
      <c r="H4889" s="3">
        <v>0.0</v>
      </c>
      <c r="I4889" s="3" t="s">
        <v>13</v>
      </c>
      <c r="J4889" s="3" t="s">
        <v>14011</v>
      </c>
      <c r="K4889" s="3" t="s">
        <v>614</v>
      </c>
      <c r="L4889" s="3" t="str">
        <f>IFERROR(__xludf.DUMMYFUNCTION("GOOGLETRANSLATE(F4889,""id"",""en"")"),"Because the calculated score is the minute Congrats for you to be the winner of the Arg Fra Pilduun Final Score how supporters are still in the France, hehehe")</f>
        <v>Because the calculated score is the minute Congrats for you to be the winner of the Arg Fra Pilduun Final Score how supporters are still in the France, hehehe</v>
      </c>
    </row>
    <row r="4890" ht="15.75" customHeight="1">
      <c r="A4890" s="1">
        <v>6060.0</v>
      </c>
      <c r="B4890" s="3" t="s">
        <v>14012</v>
      </c>
      <c r="C4890" s="3">
        <v>1.0</v>
      </c>
      <c r="D4890" s="3">
        <v>0.0</v>
      </c>
      <c r="E4890" s="3">
        <v>0.0</v>
      </c>
      <c r="F4890" s="3" t="s">
        <v>14013</v>
      </c>
      <c r="G4890" s="3">
        <v>1.0</v>
      </c>
      <c r="H4890" s="3">
        <v>0.0</v>
      </c>
      <c r="I4890" s="3" t="s">
        <v>13</v>
      </c>
      <c r="J4890" s="3" t="s">
        <v>14014</v>
      </c>
      <c r="K4890" s="3" t="s">
        <v>7907</v>
      </c>
      <c r="L4890" s="3" t="str">
        <f>IFERROR(__xludf.DUMMYFUNCTION("GOOGLETRANSLATE(F4890,""id"",""en"")"),"Hello Twitter Eeee I think today I have a pretty interesting story for the first defeat of France Final Pildun I regret that France did not come out as champion Oiya I still as a hardliners' fans, just another reason, why did I champion France")</f>
        <v>Hello Twitter Eeee I think today I have a pretty interesting story for the first defeat of France Final Pildun I regret that France did not come out as champion Oiya I still as a hardliners' fans, just another reason, why did I champion France</v>
      </c>
    </row>
    <row r="4891" ht="15.75" customHeight="1">
      <c r="A4891" s="1">
        <v>6061.0</v>
      </c>
      <c r="B4891" s="3" t="s">
        <v>14015</v>
      </c>
      <c r="C4891" s="3">
        <v>0.0</v>
      </c>
      <c r="D4891" s="3">
        <v>0.0</v>
      </c>
      <c r="E4891" s="3">
        <v>0.0</v>
      </c>
      <c r="F4891" s="3" t="s">
        <v>14016</v>
      </c>
      <c r="G4891" s="3">
        <v>1.0</v>
      </c>
      <c r="H4891" s="3">
        <v>0.0</v>
      </c>
      <c r="I4891" s="3" t="s">
        <v>13</v>
      </c>
      <c r="J4891" s="3" t="s">
        <v>14017</v>
      </c>
      <c r="K4891" s="3" t="s">
        <v>644</v>
      </c>
      <c r="L4891" s="3" t="str">
        <f>IFERROR(__xludf.DUMMYFUNCTION("GOOGLETRANSLATE(F4891,""id"",""en"")"),"Final Impact of Zzzzzzzz Pildun")</f>
        <v>Final Impact of Zzzzzzzz Pildun</v>
      </c>
    </row>
    <row r="4892" ht="15.75" customHeight="1">
      <c r="A4892" s="1">
        <v>6062.0</v>
      </c>
      <c r="B4892" s="3" t="s">
        <v>14018</v>
      </c>
      <c r="C4892" s="3">
        <v>1.0</v>
      </c>
      <c r="D4892" s="3">
        <v>0.0</v>
      </c>
      <c r="E4892" s="3">
        <v>1.0</v>
      </c>
      <c r="F4892" s="3" t="s">
        <v>14019</v>
      </c>
      <c r="G4892" s="3">
        <v>1.0</v>
      </c>
      <c r="H4892" s="3">
        <v>0.0</v>
      </c>
      <c r="I4892" s="3" t="s">
        <v>13</v>
      </c>
      <c r="J4892" s="3" t="s">
        <v>14020</v>
      </c>
      <c r="K4892" s="3" t="s">
        <v>433</v>
      </c>
      <c r="L4892" s="3" t="str">
        <f>IFERROR(__xludf.DUMMYFUNCTION("GOOGLETRANSLATE(F4892,""id"",""en"")"),"Renyang watching the final pildun together then they shouted with then crying when Messi won")</f>
        <v>Renyang watching the final pildun together then they shouted with then crying when Messi won</v>
      </c>
    </row>
    <row r="4893" ht="15.75" customHeight="1">
      <c r="A4893" s="1">
        <v>6063.0</v>
      </c>
      <c r="B4893" s="3" t="s">
        <v>14021</v>
      </c>
      <c r="C4893" s="3">
        <v>2.0</v>
      </c>
      <c r="D4893" s="3">
        <v>5.0</v>
      </c>
      <c r="E4893" s="3">
        <v>13.0</v>
      </c>
      <c r="F4893" s="3" t="s">
        <v>14022</v>
      </c>
      <c r="G4893" s="3">
        <v>1.0</v>
      </c>
      <c r="H4893" s="3">
        <v>0.0</v>
      </c>
      <c r="I4893" s="3" t="s">
        <v>13</v>
      </c>
      <c r="J4893" s="3" t="s">
        <v>14023</v>
      </c>
      <c r="K4893" s="3" t="s">
        <v>54</v>
      </c>
      <c r="L4893" s="3" t="str">
        <f>IFERROR(__xludf.DUMMYFUNCTION("GOOGLETRANSLATE(F4893,""id"",""en"")"),"SERBA SERBI Final Pildun BTS SomeTweet")</f>
        <v>SERBA SERBI Final Pildun BTS SomeTweet</v>
      </c>
    </row>
    <row r="4894" ht="15.75" customHeight="1">
      <c r="A4894" s="1">
        <v>6064.0</v>
      </c>
      <c r="B4894" s="3" t="s">
        <v>14024</v>
      </c>
      <c r="C4894" s="3">
        <v>0.0</v>
      </c>
      <c r="D4894" s="3">
        <v>0.0</v>
      </c>
      <c r="E4894" s="3">
        <v>0.0</v>
      </c>
      <c r="F4894" s="3" t="s">
        <v>14025</v>
      </c>
      <c r="G4894" s="3">
        <v>1.0</v>
      </c>
      <c r="H4894" s="3">
        <v>0.0</v>
      </c>
      <c r="I4894" s="3" t="s">
        <v>13</v>
      </c>
      <c r="J4894" s="3" t="s">
        <v>14026</v>
      </c>
      <c r="K4894" s="3" t="s">
        <v>35</v>
      </c>
      <c r="L4894" s="3" t="str">
        <f>IFERROR(__xludf.DUMMYFUNCTION("GOOGLETRANSLATE(F4894,""id"",""en"")"),"because of the final pildun last night MHS entered class for the Plongo Final Examination")</f>
        <v>because of the final pildun last night MHS entered class for the Plongo Final Examination</v>
      </c>
    </row>
    <row r="4895" ht="15.75" customHeight="1">
      <c r="A4895" s="1">
        <v>6065.0</v>
      </c>
      <c r="B4895" s="3" t="s">
        <v>14027</v>
      </c>
      <c r="C4895" s="3">
        <v>0.0</v>
      </c>
      <c r="D4895" s="3">
        <v>0.0</v>
      </c>
      <c r="E4895" s="3">
        <v>0.0</v>
      </c>
      <c r="F4895" s="3" t="s">
        <v>14028</v>
      </c>
      <c r="G4895" s="3">
        <v>1.0</v>
      </c>
      <c r="H4895" s="3">
        <v>0.0</v>
      </c>
      <c r="I4895" s="3" t="s">
        <v>13</v>
      </c>
      <c r="J4895" s="3" t="s">
        <v>14029</v>
      </c>
      <c r="K4895" s="3" t="s">
        <v>477</v>
      </c>
      <c r="L4895" s="3" t="str">
        <f>IFERROR(__xludf.DUMMYFUNCTION("GOOGLETRANSLATE(F4895,""id"",""en"")"),"The final broadcast of the pildun is the test but the deg is still the same")</f>
        <v>The final broadcast of the pildun is the test but the deg is still the same</v>
      </c>
    </row>
    <row r="4896" ht="15.75" customHeight="1">
      <c r="A4896" s="1">
        <v>6066.0</v>
      </c>
      <c r="B4896" s="3" t="s">
        <v>14030</v>
      </c>
      <c r="C4896" s="3">
        <v>0.0</v>
      </c>
      <c r="D4896" s="3">
        <v>0.0</v>
      </c>
      <c r="E4896" s="3">
        <v>0.0</v>
      </c>
      <c r="F4896" s="3" t="s">
        <v>14031</v>
      </c>
      <c r="G4896" s="3">
        <v>1.0</v>
      </c>
      <c r="H4896" s="3">
        <v>0.0</v>
      </c>
      <c r="I4896" s="3" t="s">
        <v>13</v>
      </c>
      <c r="J4896" s="3" t="s">
        <v>14032</v>
      </c>
      <c r="K4896" s="3" t="s">
        <v>54</v>
      </c>
      <c r="L4896" s="3" t="str">
        <f>IFERROR(__xludf.DUMMYFUNCTION("GOOGLETRANSLATE(F4896,""id"",""en"")"),"Watch this pildun yr this is excited when the final")</f>
        <v>Watch this pildun yr this is excited when the final</v>
      </c>
    </row>
    <row r="4897" ht="15.75" customHeight="1">
      <c r="A4897" s="1">
        <v>6067.0</v>
      </c>
      <c r="B4897" s="3" t="s">
        <v>14033</v>
      </c>
      <c r="C4897" s="3">
        <v>0.0</v>
      </c>
      <c r="D4897" s="3">
        <v>0.0</v>
      </c>
      <c r="E4897" s="3">
        <v>0.0</v>
      </c>
      <c r="F4897" s="3" t="s">
        <v>14034</v>
      </c>
      <c r="G4897" s="3">
        <v>1.0</v>
      </c>
      <c r="H4897" s="3">
        <v>0.0</v>
      </c>
      <c r="I4897" s="3" t="s">
        <v>13</v>
      </c>
      <c r="J4897" s="3" t="s">
        <v>14035</v>
      </c>
      <c r="K4897" s="3" t="s">
        <v>903</v>
      </c>
      <c r="L4897" s="3" t="str">
        <f>IFERROR(__xludf.DUMMYFUNCTION("GOOGLETRANSLATE(F4897,""id"",""en"")"),"Acho Holds the World Cup Bro just passed first if you say the benchmark bro, the beginning of the person on the debate of who the true goat between Zidane and Ronaldo until the final of Ronaldo")</f>
        <v>Acho Holds the World Cup Bro just passed first if you say the benchmark bro, the beginning of the person on the debate of who the true goat between Zidane and Ronaldo until the final of Ronaldo</v>
      </c>
    </row>
    <row r="4898" ht="15.75" customHeight="1">
      <c r="A4898" s="1">
        <v>6068.0</v>
      </c>
      <c r="B4898" s="3" t="s">
        <v>14036</v>
      </c>
      <c r="C4898" s="3">
        <v>0.0</v>
      </c>
      <c r="D4898" s="3">
        <v>0.0</v>
      </c>
      <c r="E4898" s="3">
        <v>1.0</v>
      </c>
      <c r="F4898" s="3" t="s">
        <v>14037</v>
      </c>
      <c r="G4898" s="3">
        <v>0.7</v>
      </c>
      <c r="H4898" s="3">
        <v>0.1</v>
      </c>
      <c r="I4898" s="3" t="s">
        <v>48</v>
      </c>
      <c r="J4898" s="3" t="s">
        <v>14038</v>
      </c>
      <c r="K4898" s="3" t="s">
        <v>19</v>
      </c>
      <c r="L4898" s="3" t="str">
        <f>IFERROR(__xludf.DUMMYFUNCTION("GOOGLETRANSLATE(F4898,""id"",""en"")"),"This Whole Damn Meme Final Pildun Just Cant Nangis Bgt Mulu Mulu")</f>
        <v>This Whole Damn Meme Final Pildun Just Cant Nangis Bgt Mulu Mulu</v>
      </c>
    </row>
    <row r="4899" ht="15.75" customHeight="1">
      <c r="A4899" s="1">
        <v>6069.0</v>
      </c>
      <c r="B4899" s="3" t="s">
        <v>14039</v>
      </c>
      <c r="C4899" s="3">
        <v>0.0</v>
      </c>
      <c r="D4899" s="3">
        <v>0.0</v>
      </c>
      <c r="E4899" s="3">
        <v>0.0</v>
      </c>
      <c r="F4899" s="3" t="s">
        <v>14040</v>
      </c>
      <c r="G4899" s="3">
        <v>1.0</v>
      </c>
      <c r="H4899" s="3">
        <v>0.0</v>
      </c>
      <c r="I4899" s="3" t="s">
        <v>13</v>
      </c>
      <c r="J4899" s="3" t="s">
        <v>14041</v>
      </c>
      <c r="K4899" s="3" t="s">
        <v>322</v>
      </c>
      <c r="L4899" s="3" t="str">
        <f>IFERROR(__xludf.DUMMYFUNCTION("GOOGLETRANSLATE(F4899,""id"",""en"")"),"how many final pildun scores last night")</f>
        <v>how many final pildun scores last night</v>
      </c>
    </row>
    <row r="4900" ht="15.75" customHeight="1">
      <c r="A4900" s="1">
        <v>6070.0</v>
      </c>
      <c r="B4900" s="3" t="s">
        <v>14042</v>
      </c>
      <c r="C4900" s="3">
        <v>0.0</v>
      </c>
      <c r="D4900" s="3">
        <v>0.0</v>
      </c>
      <c r="E4900" s="3">
        <v>0.0</v>
      </c>
      <c r="F4900" s="3" t="s">
        <v>14043</v>
      </c>
      <c r="G4900" s="3">
        <v>0.6666666666666666</v>
      </c>
      <c r="H4900" s="3">
        <v>0.08333333333333333</v>
      </c>
      <c r="I4900" s="3" t="s">
        <v>48</v>
      </c>
      <c r="J4900" s="3" t="s">
        <v>14044</v>
      </c>
      <c r="K4900" s="3" t="s">
        <v>31</v>
      </c>
      <c r="L4900" s="3" t="str">
        <f>IFERROR(__xludf.DUMMYFUNCTION("GOOGLETRANSLATE(F4900,""id"",""en"")"),"Moreover, the contribution of goals and play finals")</f>
        <v>Moreover, the contribution of goals and play finals</v>
      </c>
    </row>
    <row r="4901" ht="15.75" customHeight="1">
      <c r="A4901" s="1">
        <v>6071.0</v>
      </c>
      <c r="B4901" s="3" t="s">
        <v>14045</v>
      </c>
      <c r="C4901" s="3">
        <v>1.0</v>
      </c>
      <c r="D4901" s="3">
        <v>0.0</v>
      </c>
      <c r="E4901" s="3">
        <v>1.0</v>
      </c>
      <c r="F4901" s="3" t="s">
        <v>14046</v>
      </c>
      <c r="G4901" s="3">
        <v>1.0</v>
      </c>
      <c r="H4901" s="3">
        <v>0.0</v>
      </c>
      <c r="I4901" s="3" t="s">
        <v>13</v>
      </c>
      <c r="J4901" s="3" t="s">
        <v>14047</v>
      </c>
      <c r="K4901" s="3" t="s">
        <v>50</v>
      </c>
      <c r="L4901" s="3" t="str">
        <f>IFERROR(__xludf.DUMMYFUNCTION("GOOGLETRANSLATE(F4901,""id"",""en"")"),"Still thinking about this from the morning, this brother can know the exact date of the final pildun from the year and then")</f>
        <v>Still thinking about this from the morning, this brother can know the exact date of the final pildun from the year and then</v>
      </c>
    </row>
    <row r="4902" ht="15.75" customHeight="1">
      <c r="A4902" s="1">
        <v>6072.0</v>
      </c>
      <c r="B4902" s="3" t="s">
        <v>14048</v>
      </c>
      <c r="C4902" s="3">
        <v>1.0</v>
      </c>
      <c r="D4902" s="3">
        <v>0.0</v>
      </c>
      <c r="E4902" s="3">
        <v>0.0</v>
      </c>
      <c r="F4902" s="3" t="s">
        <v>14049</v>
      </c>
      <c r="G4902" s="3">
        <v>1.0</v>
      </c>
      <c r="H4902" s="3">
        <v>0.0</v>
      </c>
      <c r="I4902" s="3" t="s">
        <v>13</v>
      </c>
      <c r="J4902" s="3" t="s">
        <v>14050</v>
      </c>
      <c r="K4902" s="3" t="s">
        <v>41</v>
      </c>
      <c r="L4902" s="3" t="str">
        <f>IFERROR(__xludf.DUMMYFUNCTION("GOOGLETRANSLATE(F4902,""id"",""en"")"),"Iss is really really the Final Pildun Terepic last night")</f>
        <v>Iss is really really the Final Pildun Terepic last night</v>
      </c>
    </row>
    <row r="4903" ht="15.75" customHeight="1">
      <c r="A4903" s="1">
        <v>6073.0</v>
      </c>
      <c r="B4903" s="3" t="s">
        <v>14051</v>
      </c>
      <c r="C4903" s="3">
        <v>0.0</v>
      </c>
      <c r="D4903" s="3">
        <v>0.0</v>
      </c>
      <c r="E4903" s="3">
        <v>0.0</v>
      </c>
      <c r="F4903" s="3" t="s">
        <v>14052</v>
      </c>
      <c r="G4903" s="3">
        <v>1.0</v>
      </c>
      <c r="H4903" s="3">
        <v>0.0</v>
      </c>
      <c r="I4903" s="3" t="s">
        <v>13</v>
      </c>
      <c r="J4903" s="3" t="s">
        <v>14053</v>
      </c>
      <c r="K4903" s="3" t="s">
        <v>19</v>
      </c>
      <c r="L4903" s="3" t="str">
        <f>IFERROR(__xludf.DUMMYFUNCTION("GOOGLETRANSLATE(F4903,""id"",""en"")"),"The night after the nobar final pile of the morning is already like the fasting month is quiet beneerrr")</f>
        <v>The night after the nobar final pile of the morning is already like the fasting month is quiet beneerrr</v>
      </c>
    </row>
    <row r="4904" ht="15.75" customHeight="1">
      <c r="A4904" s="1">
        <v>6074.0</v>
      </c>
      <c r="B4904" s="3" t="s">
        <v>14054</v>
      </c>
      <c r="C4904" s="3">
        <v>0.0</v>
      </c>
      <c r="D4904" s="3">
        <v>0.0</v>
      </c>
      <c r="E4904" s="3">
        <v>0.0</v>
      </c>
      <c r="F4904" s="3" t="s">
        <v>14055</v>
      </c>
      <c r="G4904" s="3">
        <v>1.0</v>
      </c>
      <c r="H4904" s="3">
        <v>0.0</v>
      </c>
      <c r="I4904" s="3" t="s">
        <v>13</v>
      </c>
      <c r="J4904" s="3" t="s">
        <v>14056</v>
      </c>
      <c r="K4904" s="3" t="s">
        <v>433</v>
      </c>
      <c r="L4904" s="3" t="str">
        <f>IFERROR(__xludf.DUMMYFUNCTION("GOOGLETRANSLATE(F4904,""id"",""en"")"),"Wow, my package until I bought a tool for the nobar final pildun instead of samoe until tai")</f>
        <v>Wow, my package until I bought a tool for the nobar final pildun instead of samoe until tai</v>
      </c>
    </row>
    <row r="4905" ht="15.75" customHeight="1">
      <c r="A4905" s="1">
        <v>6075.0</v>
      </c>
      <c r="B4905" s="3" t="s">
        <v>14057</v>
      </c>
      <c r="C4905" s="3">
        <v>0.0</v>
      </c>
      <c r="D4905" s="3">
        <v>0.0</v>
      </c>
      <c r="E4905" s="3">
        <v>0.0</v>
      </c>
      <c r="F4905" s="3" t="s">
        <v>14058</v>
      </c>
      <c r="G4905" s="3">
        <v>1.0</v>
      </c>
      <c r="H4905" s="3">
        <v>0.0</v>
      </c>
      <c r="I4905" s="3" t="s">
        <v>13</v>
      </c>
      <c r="J4905" s="3" t="s">
        <v>14059</v>
      </c>
      <c r="K4905" s="3" t="s">
        <v>41</v>
      </c>
      <c r="L4905" s="3" t="str">
        <f>IFERROR(__xludf.DUMMYFUNCTION("GOOGLETRANSLATE(F4905,""id"",""en"")"),"Is I just supporting Germany on the final pildun")</f>
        <v>Is I just supporting Germany on the final pildun</v>
      </c>
    </row>
    <row r="4906" ht="15.75" customHeight="1">
      <c r="A4906" s="1">
        <v>6076.0</v>
      </c>
      <c r="B4906" s="3" t="s">
        <v>14060</v>
      </c>
      <c r="C4906" s="3">
        <v>1.0</v>
      </c>
      <c r="D4906" s="3">
        <v>0.0</v>
      </c>
      <c r="E4906" s="3">
        <v>0.0</v>
      </c>
      <c r="F4906" s="3" t="s">
        <v>14061</v>
      </c>
      <c r="G4906" s="3">
        <v>1.0</v>
      </c>
      <c r="H4906" s="3">
        <v>0.0</v>
      </c>
      <c r="I4906" s="3" t="s">
        <v>13</v>
      </c>
      <c r="J4906" s="3" t="s">
        <v>14062</v>
      </c>
      <c r="K4906" s="3" t="s">
        <v>1293</v>
      </c>
      <c r="L4906" s="3" t="str">
        <f>IFERROR(__xludf.DUMMYFUNCTION("GOOGLETRANSLATE(F4906,""id"",""en"")"),"Today the final futsal he came late as usual but well, the problem was after watching the final pildun so it was natural")</f>
        <v>Today the final futsal he came late as usual but well, the problem was after watching the final pildun so it was natural</v>
      </c>
    </row>
    <row r="4907" ht="15.75" customHeight="1">
      <c r="A4907" s="1">
        <v>6077.0</v>
      </c>
      <c r="B4907" s="3" t="s">
        <v>14063</v>
      </c>
      <c r="C4907" s="3">
        <v>1.0</v>
      </c>
      <c r="D4907" s="3">
        <v>0.0</v>
      </c>
      <c r="E4907" s="3">
        <v>1.0</v>
      </c>
      <c r="F4907" s="3" t="s">
        <v>14064</v>
      </c>
      <c r="G4907" s="3">
        <v>1.0</v>
      </c>
      <c r="H4907" s="3">
        <v>0.0</v>
      </c>
      <c r="I4907" s="3" t="s">
        <v>13</v>
      </c>
      <c r="J4907" s="3" t="s">
        <v>14065</v>
      </c>
      <c r="K4907" s="3" t="s">
        <v>1293</v>
      </c>
      <c r="L4907" s="3" t="str">
        <f>IFERROR(__xludf.DUMMYFUNCTION("GOOGLETRANSLATE(F4907,""id"",""en"")"),"Haduuhh, so much that the Qatar road is as easy as going to the stall in front of the house, the gift is really after the final piledun thanks for the apdet")</f>
        <v>Haduuhh, so much that the Qatar road is as easy as going to the stall in front of the house, the gift is really after the final piledun thanks for the apdet</v>
      </c>
    </row>
    <row r="4908" ht="15.75" customHeight="1">
      <c r="A4908" s="1">
        <v>6078.0</v>
      </c>
      <c r="B4908" s="3" t="s">
        <v>14066</v>
      </c>
      <c r="C4908" s="3">
        <v>0.0</v>
      </c>
      <c r="D4908" s="3">
        <v>0.0</v>
      </c>
      <c r="E4908" s="3">
        <v>0.0</v>
      </c>
      <c r="F4908" s="3" t="s">
        <v>14067</v>
      </c>
      <c r="G4908" s="3">
        <v>1.0</v>
      </c>
      <c r="H4908" s="3">
        <v>0.0</v>
      </c>
      <c r="I4908" s="3" t="s">
        <v>13</v>
      </c>
      <c r="J4908" s="3" t="s">
        <v>14068</v>
      </c>
      <c r="K4908" s="3" t="s">
        <v>437</v>
      </c>
      <c r="L4908" s="3" t="str">
        <f>IFERROR(__xludf.DUMMYFUNCTION("GOOGLETRANSLATE(F4908,""id"",""en"")"),"From the beginning of the pildun, many referees see Var, why did the Argentina final.")</f>
        <v>From the beginning of the pildun, many referees see Var, why did the Argentina final.</v>
      </c>
    </row>
    <row r="4909" ht="15.75" customHeight="1">
      <c r="A4909" s="1">
        <v>6079.0</v>
      </c>
      <c r="B4909" s="3" t="s">
        <v>14069</v>
      </c>
      <c r="C4909" s="3">
        <v>1.0</v>
      </c>
      <c r="D4909" s="3">
        <v>0.0</v>
      </c>
      <c r="E4909" s="3">
        <v>0.0</v>
      </c>
      <c r="F4909" s="3" t="s">
        <v>14070</v>
      </c>
      <c r="G4909" s="3">
        <v>1.0</v>
      </c>
      <c r="H4909" s="3">
        <v>0.0</v>
      </c>
      <c r="I4909" s="3" t="s">
        <v>13</v>
      </c>
      <c r="J4909" s="3" t="s">
        <v>14071</v>
      </c>
      <c r="K4909" s="3" t="s">
        <v>1912</v>
      </c>
      <c r="L4909" s="3" t="str">
        <f>IFERROR(__xludf.DUMMYFUNCTION("GOOGLETRANSLATE(F4909,""id"",""en"")"),"many say that Pilduun is set fifa focused on looking for Arabic money even though if it is picked up if the final is setting by Argentina Portugal is even more crowded.")</f>
        <v>many say that Pilduun is set fifa focused on looking for Arabic money even though if it is picked up if the final is setting by Argentina Portugal is even more crowded.</v>
      </c>
    </row>
    <row r="4910" ht="15.75" customHeight="1">
      <c r="A4910" s="1">
        <v>6080.0</v>
      </c>
      <c r="B4910" s="3" t="s">
        <v>14072</v>
      </c>
      <c r="C4910" s="3">
        <v>1.0</v>
      </c>
      <c r="D4910" s="3">
        <v>0.0</v>
      </c>
      <c r="E4910" s="3">
        <v>1.0</v>
      </c>
      <c r="F4910" s="3" t="s">
        <v>14073</v>
      </c>
      <c r="G4910" s="3">
        <v>1.0</v>
      </c>
      <c r="H4910" s="3">
        <v>0.0</v>
      </c>
      <c r="I4910" s="3" t="s">
        <v>13</v>
      </c>
      <c r="J4910" s="3" t="s">
        <v>14074</v>
      </c>
      <c r="K4910" s="3" t="s">
        <v>31</v>
      </c>
      <c r="L4910" s="3" t="str">
        <f>IFERROR(__xludf.DUMMYFUNCTION("GOOGLETRANSLATE(F4910,""id"",""en"")"),"The final night of the Pildun there is a human type")</f>
        <v>The final night of the Pildun there is a human type</v>
      </c>
    </row>
    <row r="4911" ht="15.75" customHeight="1">
      <c r="A4911" s="1">
        <v>6081.0</v>
      </c>
      <c r="B4911" s="3" t="s">
        <v>14075</v>
      </c>
      <c r="C4911" s="3">
        <v>0.0</v>
      </c>
      <c r="D4911" s="3">
        <v>0.0</v>
      </c>
      <c r="E4911" s="3">
        <v>0.0</v>
      </c>
      <c r="F4911" s="3" t="s">
        <v>14076</v>
      </c>
      <c r="G4911" s="3">
        <v>1.0</v>
      </c>
      <c r="H4911" s="3">
        <v>0.0</v>
      </c>
      <c r="I4911" s="3" t="s">
        <v>13</v>
      </c>
      <c r="J4911" s="3" t="s">
        <v>14077</v>
      </c>
      <c r="K4911" s="3" t="s">
        <v>3519</v>
      </c>
      <c r="L4911" s="3" t="str">
        <f>IFERROR(__xludf.DUMMYFUNCTION("GOOGLETRANSLATE(F4911,""id"",""en"")"),"France losing does not mean that they are not good they have been good at playing, rarely champions before it succeeded until the final was cool, but the Argentine team now is also more compact where the coach is also smart Argentina")</f>
        <v>France losing does not mean that they are not good they have been good at playing, rarely champions before it succeeded until the final was cool, but the Argentine team now is also more compact where the coach is also smart Argentina</v>
      </c>
    </row>
    <row r="4912" ht="15.75" customHeight="1">
      <c r="A4912" s="1">
        <v>6082.0</v>
      </c>
      <c r="B4912" s="3" t="s">
        <v>14078</v>
      </c>
      <c r="C4912" s="3">
        <v>1.0</v>
      </c>
      <c r="D4912" s="3">
        <v>0.0</v>
      </c>
      <c r="E4912" s="3">
        <v>0.0</v>
      </c>
      <c r="F4912" s="3" t="s">
        <v>14079</v>
      </c>
      <c r="G4912" s="3">
        <v>1.0</v>
      </c>
      <c r="H4912" s="3">
        <v>0.0</v>
      </c>
      <c r="I4912" s="3" t="s">
        <v>13</v>
      </c>
      <c r="J4912" s="3" t="s">
        <v>14080</v>
      </c>
      <c r="K4912" s="3" t="s">
        <v>82</v>
      </c>
      <c r="L4912" s="3" t="str">
        <f>IFERROR(__xludf.DUMMYFUNCTION("GOOGLETRANSLATE(F4912,""id"",""en"")"),"the same as the final pildun's final, who won the wkwk")</f>
        <v>the same as the final pildun's final, who won the wkwk</v>
      </c>
    </row>
    <row r="4913" ht="15.75" customHeight="1">
      <c r="A4913" s="1">
        <v>6083.0</v>
      </c>
      <c r="B4913" s="3" t="s">
        <v>14081</v>
      </c>
      <c r="C4913" s="3">
        <v>0.0</v>
      </c>
      <c r="D4913" s="3">
        <v>0.0</v>
      </c>
      <c r="E4913" s="3">
        <v>0.0</v>
      </c>
      <c r="F4913" s="3" t="s">
        <v>14082</v>
      </c>
      <c r="G4913" s="3">
        <v>1.0</v>
      </c>
      <c r="H4913" s="3">
        <v>0.0</v>
      </c>
      <c r="I4913" s="3" t="s">
        <v>13</v>
      </c>
      <c r="J4913" s="3" t="s">
        <v>14083</v>
      </c>
      <c r="K4913" s="3" t="s">
        <v>31</v>
      </c>
      <c r="L4913" s="3" t="str">
        <f>IFERROR(__xludf.DUMMYFUNCTION("GOOGLETRANSLATE(F4913,""id"",""en"")"),"Final Pilduun Final Bnget")</f>
        <v>Final Pilduun Final Bnget</v>
      </c>
    </row>
    <row r="4914" ht="15.75" customHeight="1">
      <c r="A4914" s="1">
        <v>6084.0</v>
      </c>
      <c r="B4914" s="3" t="s">
        <v>14084</v>
      </c>
      <c r="C4914" s="3">
        <v>0.0</v>
      </c>
      <c r="D4914" s="3">
        <v>0.0</v>
      </c>
      <c r="E4914" s="3">
        <v>0.0</v>
      </c>
      <c r="F4914" s="3" t="s">
        <v>14085</v>
      </c>
      <c r="G4914" s="3">
        <v>1.0</v>
      </c>
      <c r="H4914" s="3">
        <v>0.0</v>
      </c>
      <c r="I4914" s="3" t="s">
        <v>13</v>
      </c>
      <c r="J4914" s="3" t="s">
        <v>14086</v>
      </c>
      <c r="K4914" s="3" t="s">
        <v>657</v>
      </c>
      <c r="L4914" s="3" t="str">
        <f>IFERROR(__xludf.DUMMYFUNCTION("GOOGLETRANSLATE(F4914,""id"",""en"")"),"Last night, I was tweeting the final match of the pildun but invited to chat first")</f>
        <v>Last night, I was tweeting the final match of the pildun but invited to chat first</v>
      </c>
    </row>
    <row r="4915" ht="15.75" customHeight="1">
      <c r="A4915" s="1">
        <v>6085.0</v>
      </c>
      <c r="B4915" s="3" t="s">
        <v>14087</v>
      </c>
      <c r="C4915" s="3">
        <v>0.0</v>
      </c>
      <c r="D4915" s="3">
        <v>0.0</v>
      </c>
      <c r="E4915" s="3">
        <v>0.0</v>
      </c>
      <c r="F4915" s="3" t="s">
        <v>14088</v>
      </c>
      <c r="G4915" s="3">
        <v>1.0</v>
      </c>
      <c r="H4915" s="3">
        <v>0.0</v>
      </c>
      <c r="I4915" s="3" t="s">
        <v>13</v>
      </c>
      <c r="J4915" s="3" t="s">
        <v>14089</v>
      </c>
      <c r="K4915" s="3" t="s">
        <v>1265</v>
      </c>
      <c r="L4915" s="3" t="str">
        <f>IFERROR(__xludf.DUMMYFUNCTION("GOOGLETRANSLATE(F4915,""id"",""en"")"),"NGACEng because I saw a sexy girl because it print the Hattrick Final Pildun")</f>
        <v>NGACEng because I saw a sexy girl because it print the Hattrick Final Pildun</v>
      </c>
    </row>
    <row r="4916" ht="15.75" customHeight="1">
      <c r="A4916" s="1">
        <v>6086.0</v>
      </c>
      <c r="B4916" s="3" t="s">
        <v>14090</v>
      </c>
      <c r="C4916" s="3">
        <v>0.0</v>
      </c>
      <c r="D4916" s="3">
        <v>0.0</v>
      </c>
      <c r="E4916" s="3">
        <v>0.0</v>
      </c>
      <c r="F4916" s="3" t="s">
        <v>14091</v>
      </c>
      <c r="G4916" s="3">
        <v>1.0</v>
      </c>
      <c r="H4916" s="3">
        <v>0.0</v>
      </c>
      <c r="I4916" s="3" t="s">
        <v>13</v>
      </c>
      <c r="J4916" s="3" t="s">
        <v>14092</v>
      </c>
      <c r="K4916" s="3" t="s">
        <v>240</v>
      </c>
      <c r="L4916" s="3" t="str">
        <f>IFERROR(__xludf.DUMMYFUNCTION("GOOGLETRANSLATE(F4916,""id"",""en"")"),"monitored Mr. Gweh already repeated the final of the pildun kmren psti will be a few times repeated until when")</f>
        <v>monitored Mr. Gweh already repeated the final of the pildun kmren psti will be a few times repeated until when</v>
      </c>
    </row>
    <row r="4917" ht="15.75" customHeight="1">
      <c r="A4917" s="1">
        <v>6087.0</v>
      </c>
      <c r="B4917" s="3" t="s">
        <v>14093</v>
      </c>
      <c r="C4917" s="3">
        <v>1.0</v>
      </c>
      <c r="D4917" s="3">
        <v>0.0</v>
      </c>
      <c r="E4917" s="3">
        <v>0.0</v>
      </c>
      <c r="F4917" s="3" t="s">
        <v>14094</v>
      </c>
      <c r="G4917" s="3">
        <v>1.0</v>
      </c>
      <c r="H4917" s="3">
        <v>0.0</v>
      </c>
      <c r="I4917" s="3" t="s">
        <v>13</v>
      </c>
      <c r="J4917" s="3" t="s">
        <v>14095</v>
      </c>
      <c r="K4917" s="3" t="s">
        <v>50</v>
      </c>
      <c r="L4917" s="3" t="str">
        <f>IFERROR(__xludf.DUMMYFUNCTION("GOOGLETRANSLATE(F4917,""id"",""en"")"),"Not watching the final pildun it turns out it's okay or not upset or regret Anyway Congratulations Argentina Supporters")</f>
        <v>Not watching the final pildun it turns out it's okay or not upset or regret Anyway Congratulations Argentina Supporters</v>
      </c>
    </row>
    <row r="4918" ht="15.75" customHeight="1">
      <c r="A4918" s="1">
        <v>6088.0</v>
      </c>
      <c r="B4918" s="3" t="s">
        <v>14096</v>
      </c>
      <c r="C4918" s="3">
        <v>0.0</v>
      </c>
      <c r="D4918" s="3">
        <v>0.0</v>
      </c>
      <c r="E4918" s="3">
        <v>0.0</v>
      </c>
      <c r="F4918" s="3" t="s">
        <v>14097</v>
      </c>
      <c r="G4918" s="3">
        <v>1.0</v>
      </c>
      <c r="H4918" s="3">
        <v>0.0</v>
      </c>
      <c r="I4918" s="3" t="s">
        <v>13</v>
      </c>
      <c r="J4918" s="3" t="s">
        <v>14098</v>
      </c>
      <c r="K4918" s="3" t="s">
        <v>50</v>
      </c>
      <c r="L4918" s="3" t="str">
        <f>IFERROR(__xludf.DUMMYFUNCTION("GOOGLETRANSLATE(F4918,""id"",""en"")"),"The subscription of the video through IndiHome Nobar Final Pildun is very lively")</f>
        <v>The subscription of the video through IndiHome Nobar Final Pildun is very lively</v>
      </c>
    </row>
    <row r="4919" ht="15.75" customHeight="1">
      <c r="A4919" s="1">
        <v>6089.0</v>
      </c>
      <c r="B4919" s="3" t="s">
        <v>14099</v>
      </c>
      <c r="C4919" s="3">
        <v>2.0</v>
      </c>
      <c r="D4919" s="3">
        <v>0.0</v>
      </c>
      <c r="E4919" s="3">
        <v>0.0</v>
      </c>
      <c r="F4919" s="3" t="s">
        <v>14100</v>
      </c>
      <c r="G4919" s="3">
        <v>1.0</v>
      </c>
      <c r="H4919" s="3">
        <v>0.0</v>
      </c>
      <c r="I4919" s="3" t="s">
        <v>13</v>
      </c>
      <c r="J4919" s="3" t="s">
        <v>14101</v>
      </c>
      <c r="K4919" s="3" t="s">
        <v>1428</v>
      </c>
      <c r="L4919" s="3" t="str">
        <f>IFERROR(__xludf.DUMMYFUNCTION("GOOGLETRANSLATE(F4919,""id"",""en"")"),"Okay this is Messi Prime Squad like this far behind Germany can bring the final pildun squad now relatively better Messi can until the champion continues how Portugal squad")</f>
        <v>Okay this is Messi Prime Squad like this far behind Germany can bring the final pildun squad now relatively better Messi can until the champion continues how Portugal squad</v>
      </c>
    </row>
    <row r="4920" ht="15.75" customHeight="1">
      <c r="A4920" s="1">
        <v>6090.0</v>
      </c>
      <c r="B4920" s="3" t="s">
        <v>14102</v>
      </c>
      <c r="C4920" s="3">
        <v>0.0</v>
      </c>
      <c r="D4920" s="3">
        <v>0.0</v>
      </c>
      <c r="E4920" s="3">
        <v>0.0</v>
      </c>
      <c r="F4920" s="3" t="s">
        <v>14103</v>
      </c>
      <c r="G4920" s="3">
        <v>1.0</v>
      </c>
      <c r="H4920" s="3">
        <v>0.0</v>
      </c>
      <c r="I4920" s="3" t="s">
        <v>13</v>
      </c>
      <c r="J4920" s="3" t="s">
        <v>14104</v>
      </c>
      <c r="K4920" s="3" t="s">
        <v>23</v>
      </c>
      <c r="L4920" s="3" t="str">
        <f>IFERROR(__xludf.DUMMYFUNCTION("GOOGLETRANSLATE(F4920,""id"",""en"")"),"hurry up and pioneled up even though the euphorians are less than the pildun beforehand it turns out that this time it can be offered an interesting match from the group phase to the final")</f>
        <v>hurry up and pioneled up even though the euphorians are less than the pildun beforehand it turns out that this time it can be offered an interesting match from the group phase to the final</v>
      </c>
    </row>
    <row r="4921" ht="15.75" customHeight="1">
      <c r="A4921" s="1">
        <v>6091.0</v>
      </c>
      <c r="B4921" s="3" t="s">
        <v>14105</v>
      </c>
      <c r="C4921" s="3">
        <v>0.0</v>
      </c>
      <c r="D4921" s="3">
        <v>0.0</v>
      </c>
      <c r="E4921" s="3">
        <v>0.0</v>
      </c>
      <c r="F4921" s="3" t="s">
        <v>14106</v>
      </c>
      <c r="G4921" s="3">
        <v>1.0</v>
      </c>
      <c r="H4921" s="3">
        <v>0.0</v>
      </c>
      <c r="I4921" s="3" t="s">
        <v>13</v>
      </c>
      <c r="J4921" s="3" t="s">
        <v>14107</v>
      </c>
      <c r="K4921" s="3" t="s">
        <v>2610</v>
      </c>
      <c r="L4921" s="3" t="str">
        <f>IFERROR(__xludf.DUMMYFUNCTION("GOOGLETRANSLATE(F4921,""id"",""en"")"),"I have sent a let's take here before the Argentina Penalty Mbappe Madrid Higuain French all France Dima France Dima Ronaldo Demble Pilduun Drake Narnia Japan's final")</f>
        <v>I have sent a let's take here before the Argentina Penalty Mbappe Madrid Higuain French all France Dima France Dima Ronaldo Demble Pilduun Drake Narnia Japan's final</v>
      </c>
    </row>
    <row r="4922" ht="15.75" customHeight="1">
      <c r="A4922" s="1">
        <v>6092.0</v>
      </c>
      <c r="B4922" s="3" t="s">
        <v>14108</v>
      </c>
      <c r="C4922" s="3">
        <v>1.0</v>
      </c>
      <c r="D4922" s="3">
        <v>0.0</v>
      </c>
      <c r="E4922" s="3">
        <v>0.0</v>
      </c>
      <c r="F4922" s="3" t="s">
        <v>14109</v>
      </c>
      <c r="G4922" s="3">
        <v>1.0</v>
      </c>
      <c r="H4922" s="3">
        <v>0.0</v>
      </c>
      <c r="I4922" s="3" t="s">
        <v>13</v>
      </c>
      <c r="J4922" s="3" t="s">
        <v>14110</v>
      </c>
      <c r="K4922" s="3" t="s">
        <v>41</v>
      </c>
      <c r="L4922" s="3" t="str">
        <f>IFERROR(__xludf.DUMMYFUNCTION("GOOGLETRANSLATE(F4922,""id"",""en"")"),"that's the notes right when the final of the pildun wksmakakwkak")</f>
        <v>that's the notes right when the final of the pildun wksmakakwkak</v>
      </c>
    </row>
    <row r="4923" ht="15.75" customHeight="1">
      <c r="A4923" s="1">
        <v>6093.0</v>
      </c>
      <c r="B4923" s="3" t="s">
        <v>14111</v>
      </c>
      <c r="C4923" s="3">
        <v>0.0</v>
      </c>
      <c r="D4923" s="3">
        <v>0.0</v>
      </c>
      <c r="E4923" s="3">
        <v>0.0</v>
      </c>
      <c r="F4923" s="3" t="s">
        <v>14112</v>
      </c>
      <c r="G4923" s="3">
        <v>1.0</v>
      </c>
      <c r="H4923" s="3">
        <v>0.0</v>
      </c>
      <c r="I4923" s="3" t="s">
        <v>13</v>
      </c>
      <c r="J4923" s="3" t="s">
        <v>14113</v>
      </c>
      <c r="K4923" s="3" t="s">
        <v>433</v>
      </c>
      <c r="L4923" s="3" t="str">
        <f>IFERROR(__xludf.DUMMYFUNCTION("GOOGLETRANSLATE(F4923,""id"",""en"")"),"a bit regretted by the late Pildun, right when I was final yesterday, I was very exciting")</f>
        <v>a bit regretted by the late Pildun, right when I was final yesterday, I was very exciting</v>
      </c>
    </row>
    <row r="4924" ht="15.75" customHeight="1">
      <c r="A4924" s="1">
        <v>6094.0</v>
      </c>
      <c r="B4924" s="3" t="s">
        <v>14114</v>
      </c>
      <c r="C4924" s="3">
        <v>1.0</v>
      </c>
      <c r="D4924" s="3">
        <v>0.0</v>
      </c>
      <c r="E4924" s="3">
        <v>0.0</v>
      </c>
      <c r="F4924" s="3" t="s">
        <v>14115</v>
      </c>
      <c r="G4924" s="3">
        <v>0.8333333333333334</v>
      </c>
      <c r="H4924" s="3">
        <v>0.06666666666666667</v>
      </c>
      <c r="I4924" s="3" t="s">
        <v>48</v>
      </c>
      <c r="J4924" s="3" t="s">
        <v>14116</v>
      </c>
      <c r="K4924" s="3" t="s">
        <v>2907</v>
      </c>
      <c r="L4924" s="3" t="str">
        <f>IFERROR(__xludf.DUMMYFUNCTION("GOOGLETRANSLATE(F4924,""id"",""en"")"),"Rich Dembele, the club once entered the final turn to enter the final of the pildun making a penalty against hahahaha")</f>
        <v>Rich Dembele, the club once entered the final turn to enter the final of the pildun making a penalty against hahahaha</v>
      </c>
    </row>
    <row r="4925" ht="15.75" customHeight="1">
      <c r="A4925" s="1">
        <v>6095.0</v>
      </c>
      <c r="B4925" s="3" t="s">
        <v>14117</v>
      </c>
      <c r="C4925" s="3">
        <v>2.0</v>
      </c>
      <c r="D4925" s="3">
        <v>1.0</v>
      </c>
      <c r="E4925" s="3">
        <v>2.0</v>
      </c>
      <c r="F4925" s="3" t="s">
        <v>14118</v>
      </c>
      <c r="G4925" s="3">
        <v>1.0</v>
      </c>
      <c r="H4925" s="3">
        <v>0.0</v>
      </c>
      <c r="I4925" s="3" t="s">
        <v>13</v>
      </c>
      <c r="J4925" s="3" t="s">
        <v>14119</v>
      </c>
      <c r="K4925" s="3" t="s">
        <v>41</v>
      </c>
      <c r="L4925" s="3" t="str">
        <f>IFERROR(__xludf.DUMMYFUNCTION("GOOGLETRANSLATE(F4925,""id"",""en"")"),"Middle Agent City Monitoring Rame Night Ndor Pildun Night")</f>
        <v>Middle Agent City Monitoring Rame Night Ndor Pildun Night</v>
      </c>
    </row>
    <row r="4926" ht="15.75" customHeight="1">
      <c r="A4926" s="1">
        <v>6096.0</v>
      </c>
      <c r="B4926" s="3" t="s">
        <v>14120</v>
      </c>
      <c r="C4926" s="3">
        <v>0.0</v>
      </c>
      <c r="D4926" s="3">
        <v>0.0</v>
      </c>
      <c r="E4926" s="3">
        <v>1.0</v>
      </c>
      <c r="F4926" s="3" t="s">
        <v>14121</v>
      </c>
      <c r="G4926" s="3">
        <v>1.0</v>
      </c>
      <c r="H4926" s="3">
        <v>0.0</v>
      </c>
      <c r="I4926" s="3" t="s">
        <v>13</v>
      </c>
      <c r="J4926" s="3" t="s">
        <v>14122</v>
      </c>
      <c r="K4926" s="3" t="s">
        <v>127</v>
      </c>
      <c r="L4926" s="3" t="str">
        <f>IFERROR(__xludf.DUMMYFUNCTION("GOOGLETRANSLATE(F4926,""id"",""en"")"),"waa pildun shouted the final entirely this time it was very exciting to watch the entire world cup from the first year of being held")</f>
        <v>waa pildun shouted the final entirely this time it was very exciting to watch the entire world cup from the first year of being held</v>
      </c>
    </row>
    <row r="4927" ht="15.75" customHeight="1">
      <c r="A4927" s="1">
        <v>6097.0</v>
      </c>
      <c r="B4927" s="3" t="s">
        <v>14123</v>
      </c>
      <c r="C4927" s="3">
        <v>0.0</v>
      </c>
      <c r="D4927" s="3">
        <v>0.0</v>
      </c>
      <c r="E4927" s="3">
        <v>0.0</v>
      </c>
      <c r="F4927" s="3" t="s">
        <v>14124</v>
      </c>
      <c r="G4927" s="3">
        <v>1.0</v>
      </c>
      <c r="H4927" s="3">
        <v>0.0</v>
      </c>
      <c r="I4927" s="3" t="s">
        <v>13</v>
      </c>
      <c r="J4927" s="3" t="s">
        <v>14125</v>
      </c>
      <c r="K4927" s="3" t="s">
        <v>82</v>
      </c>
      <c r="L4927" s="3" t="str">
        <f>IFERROR(__xludf.DUMMYFUNCTION("GOOGLETRANSLATE(F4927,""id"",""en"")"),"right the final pildun ampe morning gimane sleep")</f>
        <v>right the final pildun ampe morning gimane sleep</v>
      </c>
    </row>
    <row r="4928" ht="15.75" customHeight="1">
      <c r="A4928" s="1">
        <v>6098.0</v>
      </c>
      <c r="B4928" s="3" t="s">
        <v>14126</v>
      </c>
      <c r="C4928" s="3">
        <v>1.0</v>
      </c>
      <c r="D4928" s="3">
        <v>0.0</v>
      </c>
      <c r="E4928" s="3">
        <v>1.0</v>
      </c>
      <c r="F4928" s="3" t="s">
        <v>14127</v>
      </c>
      <c r="G4928" s="3">
        <v>1.0</v>
      </c>
      <c r="H4928" s="3">
        <v>0.0</v>
      </c>
      <c r="I4928" s="3" t="s">
        <v>13</v>
      </c>
      <c r="J4928" s="3" t="s">
        <v>14128</v>
      </c>
      <c r="K4928" s="3" t="s">
        <v>41</v>
      </c>
      <c r="L4928" s="3" t="str">
        <f>IFERROR(__xludf.DUMMYFUNCTION("GOOGLETRANSLATE(F4928,""id"",""en"")"),"really okay thesis and lbh journal is difficult than the final pildun")</f>
        <v>really okay thesis and lbh journal is difficult than the final pildun</v>
      </c>
    </row>
    <row r="4929" ht="15.75" customHeight="1">
      <c r="A4929" s="1">
        <v>6099.0</v>
      </c>
      <c r="B4929" s="3" t="s">
        <v>14129</v>
      </c>
      <c r="C4929" s="3">
        <v>0.0</v>
      </c>
      <c r="D4929" s="3">
        <v>0.0</v>
      </c>
      <c r="E4929" s="3">
        <v>0.0</v>
      </c>
      <c r="F4929" s="3" t="s">
        <v>14130</v>
      </c>
      <c r="G4929" s="3">
        <v>1.0</v>
      </c>
      <c r="H4929" s="3">
        <v>0.0</v>
      </c>
      <c r="I4929" s="3" t="s">
        <v>13</v>
      </c>
      <c r="J4929" s="3" t="s">
        <v>14131</v>
      </c>
      <c r="K4929" s="3" t="s">
        <v>50</v>
      </c>
      <c r="L4929" s="3" t="str">
        <f>IFERROR(__xludf.DUMMYFUNCTION("GOOGLETRANSLATE(F4929,""id"",""en"")"),"When I was watching the pildun smalem, I just found out this morning Messi entered the final")</f>
        <v>When I was watching the pildun smalem, I just found out this morning Messi entered the final</v>
      </c>
    </row>
    <row r="4930" ht="15.75" customHeight="1">
      <c r="A4930" s="1">
        <v>6100.0</v>
      </c>
      <c r="B4930" s="3" t="s">
        <v>14132</v>
      </c>
      <c r="C4930" s="3">
        <v>0.0</v>
      </c>
      <c r="D4930" s="3">
        <v>0.0</v>
      </c>
      <c r="E4930" s="3">
        <v>0.0</v>
      </c>
      <c r="F4930" s="3" t="s">
        <v>14133</v>
      </c>
      <c r="G4930" s="3">
        <v>1.0</v>
      </c>
      <c r="H4930" s="3">
        <v>0.0</v>
      </c>
      <c r="I4930" s="3" t="s">
        <v>13</v>
      </c>
      <c r="J4930" s="3" t="s">
        <v>14134</v>
      </c>
      <c r="K4930" s="3" t="s">
        <v>2907</v>
      </c>
      <c r="L4930" s="3" t="str">
        <f>IFERROR(__xludf.DUMMYFUNCTION("GOOGLETRANSLATE(F4930,""id"",""en"")"),"Supports Argentina, only people racist support the support of the African national team.")</f>
        <v>Supports Argentina, only people racist support the support of the African national team.</v>
      </c>
    </row>
    <row r="4931" ht="15.75" customHeight="1">
      <c r="A4931" s="1">
        <v>6101.0</v>
      </c>
      <c r="B4931" s="3" t="s">
        <v>14135</v>
      </c>
      <c r="C4931" s="3">
        <v>0.0</v>
      </c>
      <c r="D4931" s="3">
        <v>0.0</v>
      </c>
      <c r="E4931" s="3">
        <v>1.0</v>
      </c>
      <c r="F4931" s="3" t="s">
        <v>14136</v>
      </c>
      <c r="G4931" s="3">
        <v>0.65</v>
      </c>
      <c r="H4931" s="3">
        <v>0.1</v>
      </c>
      <c r="I4931" s="3" t="s">
        <v>48</v>
      </c>
      <c r="J4931" s="3" t="s">
        <v>14137</v>
      </c>
      <c r="K4931" s="3" t="s">
        <v>41</v>
      </c>
      <c r="L4931" s="3" t="str">
        <f>IFERROR(__xludf.DUMMYFUNCTION("GOOGLETRANSLATE(F4931,""id"",""en"")"),"haha he didn't watch the final pildun this time all fake French players")</f>
        <v>haha he didn't watch the final pildun this time all fake French players</v>
      </c>
    </row>
    <row r="4932" ht="15.75" customHeight="1">
      <c r="A4932" s="1">
        <v>6102.0</v>
      </c>
      <c r="B4932" s="3" t="s">
        <v>14138</v>
      </c>
      <c r="C4932" s="3">
        <v>0.0</v>
      </c>
      <c r="D4932" s="3">
        <v>0.0</v>
      </c>
      <c r="E4932" s="3">
        <v>0.0</v>
      </c>
      <c r="F4932" s="3" t="s">
        <v>14139</v>
      </c>
      <c r="G4932" s="3">
        <v>1.0</v>
      </c>
      <c r="H4932" s="3">
        <v>0.0</v>
      </c>
      <c r="I4932" s="3" t="s">
        <v>13</v>
      </c>
      <c r="J4932" s="3" t="s">
        <v>14140</v>
      </c>
      <c r="K4932" s="3" t="s">
        <v>31</v>
      </c>
      <c r="L4932" s="3" t="str">
        <f>IFERROR(__xludf.DUMMYFUNCTION("GOOGLETRANSLATE(F4932,""id"",""en"")"),"Nobar Final Argentina France")</f>
        <v>Nobar Final Argentina France</v>
      </c>
    </row>
    <row r="4933" ht="15.75" customHeight="1">
      <c r="A4933" s="1">
        <v>6103.0</v>
      </c>
      <c r="B4933" s="3" t="s">
        <v>14141</v>
      </c>
      <c r="C4933" s="3">
        <v>0.0</v>
      </c>
      <c r="D4933" s="3">
        <v>0.0</v>
      </c>
      <c r="E4933" s="3">
        <v>0.0</v>
      </c>
      <c r="F4933" s="3" t="s">
        <v>14142</v>
      </c>
      <c r="G4933" s="3">
        <v>0.8</v>
      </c>
      <c r="H4933" s="3">
        <v>-0.15</v>
      </c>
      <c r="I4933" s="3" t="s">
        <v>179</v>
      </c>
      <c r="J4933" s="3" t="s">
        <v>14143</v>
      </c>
      <c r="K4933" s="3" t="s">
        <v>15</v>
      </c>
      <c r="L4933" s="3" t="str">
        <f>IFERROR(__xludf.DUMMYFUNCTION("GOOGLETRANSLATE(F4933,""id"",""en"")"),"nobar pildun routine when the final even hurts duh")</f>
        <v>nobar pildun routine when the final even hurts duh</v>
      </c>
    </row>
    <row r="4934" ht="15.75" customHeight="1">
      <c r="A4934" s="1">
        <v>6104.0</v>
      </c>
      <c r="B4934" s="3" t="s">
        <v>14144</v>
      </c>
      <c r="C4934" s="3">
        <v>1.0</v>
      </c>
      <c r="D4934" s="3">
        <v>0.0</v>
      </c>
      <c r="E4934" s="3">
        <v>1.0</v>
      </c>
      <c r="F4934" s="3" t="s">
        <v>14145</v>
      </c>
      <c r="G4934" s="3">
        <v>1.0</v>
      </c>
      <c r="H4934" s="3">
        <v>0.0</v>
      </c>
      <c r="I4934" s="3" t="s">
        <v>13</v>
      </c>
      <c r="J4934" s="3" t="s">
        <v>14146</v>
      </c>
      <c r="K4934" s="3" t="s">
        <v>477</v>
      </c>
      <c r="L4934" s="3" t="str">
        <f>IFERROR(__xludf.DUMMYFUNCTION("GOOGLETRANSLATE(F4934,""id"",""en"")"),"There is a hidden message from Kang from the presence of Kang Elon Final Pildun")</f>
        <v>There is a hidden message from Kang from the presence of Kang Elon Final Pildun</v>
      </c>
    </row>
    <row r="4935" ht="15.75" customHeight="1">
      <c r="A4935" s="1">
        <v>6105.0</v>
      </c>
      <c r="B4935" s="3" t="s">
        <v>14147</v>
      </c>
      <c r="C4935" s="3">
        <v>0.0</v>
      </c>
      <c r="D4935" s="3">
        <v>0.0</v>
      </c>
      <c r="E4935" s="3">
        <v>0.0</v>
      </c>
      <c r="F4935" s="3" t="s">
        <v>14148</v>
      </c>
      <c r="G4935" s="3">
        <v>1.0</v>
      </c>
      <c r="H4935" s="3">
        <v>0.0</v>
      </c>
      <c r="I4935" s="3" t="s">
        <v>13</v>
      </c>
      <c r="J4935" s="3" t="s">
        <v>14149</v>
      </c>
      <c r="K4935" s="3" t="s">
        <v>15</v>
      </c>
      <c r="L4935" s="3" t="str">
        <f>IFERROR(__xludf.DUMMYFUNCTION("GOOGLETRANSLATE(F4935,""id"",""en"")"),"Pilduun Junior Final Meet Nigeria Jon Obi Mikel")</f>
        <v>Pilduun Junior Final Meet Nigeria Jon Obi Mikel</v>
      </c>
    </row>
    <row r="4936" ht="15.75" customHeight="1">
      <c r="A4936" s="1">
        <v>6106.0</v>
      </c>
      <c r="B4936" s="3" t="s">
        <v>14150</v>
      </c>
      <c r="C4936" s="3">
        <v>0.0</v>
      </c>
      <c r="D4936" s="3">
        <v>0.0</v>
      </c>
      <c r="E4936" s="3">
        <v>1.0</v>
      </c>
      <c r="F4936" s="3" t="s">
        <v>14151</v>
      </c>
      <c r="G4936" s="3">
        <v>1.0</v>
      </c>
      <c r="H4936" s="3">
        <v>0.0</v>
      </c>
      <c r="I4936" s="3" t="s">
        <v>13</v>
      </c>
      <c r="J4936" s="3" t="s">
        <v>14152</v>
      </c>
      <c r="K4936" s="3" t="s">
        <v>273</v>
      </c>
      <c r="L4936" s="3" t="str">
        <f>IFERROR(__xludf.DUMMYFUNCTION("GOOGLETRANSLATE(F4936,""id"",""en"")"),"Very exciting a lot of surprises also when the final Kemrin already guessing will win Argentina hehe right France has won the past pildun but unfortunately I can't watch until the final gegara doesn't have a STB so I can't watch hehe")</f>
        <v>Very exciting a lot of surprises also when the final Kemrin already guessing will win Argentina hehe right France has won the past pildun but unfortunately I can't watch until the final gegara doesn't have a STB so I can't watch hehe</v>
      </c>
    </row>
    <row r="4937" ht="15.75" customHeight="1">
      <c r="A4937" s="1">
        <v>6107.0</v>
      </c>
      <c r="B4937" s="3" t="s">
        <v>14153</v>
      </c>
      <c r="C4937" s="3">
        <v>2.0</v>
      </c>
      <c r="D4937" s="3">
        <v>1.0</v>
      </c>
      <c r="E4937" s="3">
        <v>19.0</v>
      </c>
      <c r="F4937" s="3" t="s">
        <v>14154</v>
      </c>
      <c r="G4937" s="3">
        <v>1.0</v>
      </c>
      <c r="H4937" s="3">
        <v>0.0</v>
      </c>
      <c r="I4937" s="3" t="s">
        <v>13</v>
      </c>
      <c r="J4937" s="3" t="s">
        <v>14155</v>
      </c>
      <c r="K4937" s="3" t="s">
        <v>135</v>
      </c>
      <c r="L4937" s="3" t="str">
        <f>IFERROR(__xludf.DUMMYFUNCTION("GOOGLETRANSLATE(F4937,""id"",""en"")"),"Mbappe Mode Pilduun mah I admit that it is more goat than Ronaldo Messi Pildun mode, just join the two -final Pildun, the final goal has scored the Hattrick Final goal goal")</f>
        <v>Mbappe Mode Pilduun mah I admit that it is more goat than Ronaldo Messi Pildun mode, just join the two -final Pildun, the final goal has scored the Hattrick Final goal goal</v>
      </c>
    </row>
    <row r="4938" ht="15.75" customHeight="1">
      <c r="A4938" s="1">
        <v>6108.0</v>
      </c>
      <c r="B4938" s="3" t="s">
        <v>14156</v>
      </c>
      <c r="C4938" s="3">
        <v>0.0</v>
      </c>
      <c r="D4938" s="3">
        <v>0.0</v>
      </c>
      <c r="E4938" s="3">
        <v>11.0</v>
      </c>
      <c r="F4938" s="3" t="s">
        <v>14157</v>
      </c>
      <c r="G4938" s="3">
        <v>1.0</v>
      </c>
      <c r="H4938" s="3">
        <v>0.0</v>
      </c>
      <c r="I4938" s="3" t="s">
        <v>13</v>
      </c>
      <c r="J4938" s="3" t="s">
        <v>14158</v>
      </c>
      <c r="K4938" s="3" t="s">
        <v>1097</v>
      </c>
      <c r="L4938" s="3" t="str">
        <f>IFERROR(__xludf.DUMMYFUNCTION("GOOGLETRANSLATE(F4938,""id"",""en"")"),"watching the final pildun feels like watching FTV SCTV when you know Freemason")</f>
        <v>watching the final pildun feels like watching FTV SCTV when you know Freemason</v>
      </c>
    </row>
    <row r="4939" ht="15.75" customHeight="1">
      <c r="A4939" s="1">
        <v>6109.0</v>
      </c>
      <c r="B4939" s="3" t="s">
        <v>14159</v>
      </c>
      <c r="C4939" s="3">
        <v>0.0</v>
      </c>
      <c r="D4939" s="3">
        <v>0.0</v>
      </c>
      <c r="E4939" s="3">
        <v>0.0</v>
      </c>
      <c r="F4939" s="3" t="s">
        <v>14160</v>
      </c>
      <c r="G4939" s="3">
        <v>1.0</v>
      </c>
      <c r="H4939" s="3">
        <v>0.0</v>
      </c>
      <c r="I4939" s="3" t="s">
        <v>13</v>
      </c>
      <c r="J4939" s="3" t="s">
        <v>14161</v>
      </c>
      <c r="K4939" s="3" t="s">
        <v>127</v>
      </c>
      <c r="L4939" s="3" t="str">
        <f>IFERROR(__xludf.DUMMYFUNCTION("GOOGLETRANSLATE(F4939,""id"",""en"")"),"It's okay, you guys write the settings for the pildun, especially the final of the night, but the typing is not crying while we are crying, we are sad")</f>
        <v>It's okay, you guys write the settings for the pildun, especially the final of the night, but the typing is not crying while we are crying, we are sad</v>
      </c>
    </row>
    <row r="4940" ht="15.75" customHeight="1">
      <c r="A4940" s="1">
        <v>6110.0</v>
      </c>
      <c r="B4940" s="3" t="s">
        <v>14162</v>
      </c>
      <c r="C4940" s="3">
        <v>0.0</v>
      </c>
      <c r="D4940" s="3">
        <v>0.0</v>
      </c>
      <c r="E4940" s="3">
        <v>0.0</v>
      </c>
      <c r="F4940" s="3" t="s">
        <v>14163</v>
      </c>
      <c r="G4940" s="3">
        <v>1.0</v>
      </c>
      <c r="H4940" s="3">
        <v>0.0</v>
      </c>
      <c r="I4940" s="3" t="s">
        <v>13</v>
      </c>
      <c r="J4940" s="3" t="s">
        <v>14164</v>
      </c>
      <c r="K4940" s="3" t="s">
        <v>104</v>
      </c>
      <c r="L4940" s="3" t="str">
        <f>IFERROR(__xludf.DUMMYFUNCTION("GOOGLETRANSLATE(F4940,""id"",""en"")"),"Touched to be able to feel watching the final of Messi Argentina national team from the last Copa Finallisima Pilduun until the motorcycle of Messi's hangout is only a final specialist from Pilduun to Copa and finally now can reach it all")</f>
        <v>Touched to be able to feel watching the final of Messi Argentina national team from the last Copa Finallisima Pilduun until the motorcycle of Messi's hangout is only a final specialist from Pilduun to Copa and finally now can reach it all</v>
      </c>
    </row>
    <row r="4941" ht="15.75" customHeight="1">
      <c r="A4941" s="1">
        <v>6111.0</v>
      </c>
      <c r="B4941" s="3" t="s">
        <v>14165</v>
      </c>
      <c r="C4941" s="3">
        <v>1.0</v>
      </c>
      <c r="D4941" s="3">
        <v>0.0</v>
      </c>
      <c r="E4941" s="3">
        <v>0.0</v>
      </c>
      <c r="F4941" s="3" t="s">
        <v>14166</v>
      </c>
      <c r="G4941" s="3">
        <v>1.0</v>
      </c>
      <c r="H4941" s="3">
        <v>0.0</v>
      </c>
      <c r="I4941" s="3" t="s">
        <v>13</v>
      </c>
      <c r="J4941" s="3" t="s">
        <v>14167</v>
      </c>
      <c r="K4941" s="3" t="s">
        <v>322</v>
      </c>
      <c r="L4941" s="3" t="str">
        <f>IFERROR(__xludf.DUMMYFUNCTION("GOOGLETRANSLATE(F4941,""id"",""en"")"),"Pilduun knows what you know you know my final")</f>
        <v>Pilduun knows what you know you know my final</v>
      </c>
    </row>
    <row r="4942" ht="15.75" customHeight="1">
      <c r="A4942" s="1">
        <v>6112.0</v>
      </c>
      <c r="B4942" s="3" t="s">
        <v>14168</v>
      </c>
      <c r="C4942" s="3">
        <v>0.0</v>
      </c>
      <c r="D4942" s="3">
        <v>0.0</v>
      </c>
      <c r="E4942" s="3">
        <v>0.0</v>
      </c>
      <c r="F4942" s="3" t="s">
        <v>14169</v>
      </c>
      <c r="G4942" s="3">
        <v>1.0</v>
      </c>
      <c r="H4942" s="3">
        <v>0.0</v>
      </c>
      <c r="I4942" s="3" t="s">
        <v>13</v>
      </c>
      <c r="J4942" s="3" t="s">
        <v>14170</v>
      </c>
      <c r="K4942" s="3" t="s">
        <v>71</v>
      </c>
      <c r="L4942" s="3" t="str">
        <f>IFERROR(__xludf.DUMMYFUNCTION("GOOGLETRANSLATE(F4942,""id"",""en"")"),"Qotd today is everyone, especially Ciwi, suddenly Sipaling knows the ball even though watching the final")</f>
        <v>Qotd today is everyone, especially Ciwi, suddenly Sipaling knows the ball even though watching the final</v>
      </c>
    </row>
    <row r="4943" ht="15.75" customHeight="1">
      <c r="A4943" s="1">
        <v>6113.0</v>
      </c>
      <c r="B4943" s="3" t="s">
        <v>14171</v>
      </c>
      <c r="C4943" s="3">
        <v>1.0</v>
      </c>
      <c r="D4943" s="3">
        <v>0.0</v>
      </c>
      <c r="E4943" s="3">
        <v>0.0</v>
      </c>
      <c r="F4943" s="3" t="s">
        <v>14172</v>
      </c>
      <c r="G4943" s="3">
        <v>1.0</v>
      </c>
      <c r="H4943" s="3">
        <v>0.0</v>
      </c>
      <c r="I4943" s="3" t="s">
        <v>13</v>
      </c>
      <c r="J4943" s="3" t="s">
        <v>14173</v>
      </c>
      <c r="K4943" s="3" t="s">
        <v>15</v>
      </c>
      <c r="L4943" s="3" t="str">
        <f>IFERROR(__xludf.DUMMYFUNCTION("GOOGLETRANSLATE(F4943,""id"",""en"")"),"Mbappe was very prominent to burn the hatrick of the final pildun last night")</f>
        <v>Mbappe was very prominent to burn the hatrick of the final pildun last night</v>
      </c>
    </row>
    <row r="4944" ht="15.75" customHeight="1">
      <c r="A4944" s="1">
        <v>6114.0</v>
      </c>
      <c r="B4944" s="3" t="s">
        <v>14174</v>
      </c>
      <c r="C4944" s="3">
        <v>0.0</v>
      </c>
      <c r="D4944" s="3">
        <v>0.0</v>
      </c>
      <c r="E4944" s="3">
        <v>0.0</v>
      </c>
      <c r="F4944" s="3" t="s">
        <v>14175</v>
      </c>
      <c r="G4944" s="3">
        <v>1.0</v>
      </c>
      <c r="H4944" s="3">
        <v>0.0</v>
      </c>
      <c r="I4944" s="3" t="s">
        <v>13</v>
      </c>
      <c r="J4944" s="3" t="s">
        <v>14176</v>
      </c>
      <c r="K4944" s="3" t="s">
        <v>2117</v>
      </c>
      <c r="L4944" s="3" t="str">
        <f>IFERROR(__xludf.DUMMYFUNCTION("GOOGLETRANSLATE(F4944,""id"",""en"")"),"can't move from the final pildun")</f>
        <v>can't move from the final pildun</v>
      </c>
    </row>
    <row r="4945" ht="15.75" customHeight="1">
      <c r="A4945" s="1">
        <v>6115.0</v>
      </c>
      <c r="B4945" s="3" t="s">
        <v>14177</v>
      </c>
      <c r="C4945" s="3">
        <v>0.0</v>
      </c>
      <c r="D4945" s="3">
        <v>0.0</v>
      </c>
      <c r="E4945" s="3">
        <v>4.0</v>
      </c>
      <c r="F4945" s="3" t="s">
        <v>14178</v>
      </c>
      <c r="G4945" s="3">
        <v>1.0</v>
      </c>
      <c r="H4945" s="3">
        <v>0.0</v>
      </c>
      <c r="I4945" s="3" t="s">
        <v>13</v>
      </c>
      <c r="J4945" s="3" t="s">
        <v>14179</v>
      </c>
      <c r="K4945" s="3" t="s">
        <v>725</v>
      </c>
      <c r="L4945" s="3" t="str">
        <f>IFERROR(__xludf.DUMMYFUNCTION("GOOGLETRANSLATE(F4945,""id"",""en"")"),"Request Family Cemara Bangjan is excited by the final champion of the Xixixi Pilduun Final now it has won the pildun, how do you still want to apologize for it, so Nasa is because of the two different camps")</f>
        <v>Request Family Cemara Bangjan is excited by the final champion of the Xixixi Pilduun Final now it has won the pildun, how do you still want to apologize for it, so Nasa is because of the two different camps</v>
      </c>
    </row>
    <row r="4946" ht="15.75" customHeight="1">
      <c r="A4946" s="1">
        <v>6116.0</v>
      </c>
      <c r="B4946" s="3" t="s">
        <v>14180</v>
      </c>
      <c r="C4946" s="3">
        <v>0.0</v>
      </c>
      <c r="D4946" s="3">
        <v>0.0</v>
      </c>
      <c r="E4946" s="3">
        <v>0.0</v>
      </c>
      <c r="F4946" s="3" t="s">
        <v>14181</v>
      </c>
      <c r="G4946" s="3">
        <v>1.0</v>
      </c>
      <c r="H4946" s="3">
        <v>0.0</v>
      </c>
      <c r="I4946" s="3" t="s">
        <v>13</v>
      </c>
      <c r="J4946" s="3" t="s">
        <v>14182</v>
      </c>
      <c r="K4946" s="3" t="s">
        <v>31</v>
      </c>
      <c r="L4946" s="3" t="str">
        <f>IFERROR(__xludf.DUMMYFUNCTION("GOOGLETRANSLATE(F4946,""id"",""en"")"),"PILDUN invites not to enter the final")</f>
        <v>PILDUN invites not to enter the final</v>
      </c>
    </row>
    <row r="4947" ht="15.75" customHeight="1">
      <c r="A4947" s="1">
        <v>6117.0</v>
      </c>
      <c r="B4947" s="3" t="s">
        <v>14183</v>
      </c>
      <c r="C4947" s="3">
        <v>1.0</v>
      </c>
      <c r="D4947" s="3">
        <v>0.0</v>
      </c>
      <c r="E4947" s="3">
        <v>0.0</v>
      </c>
      <c r="F4947" s="3" t="s">
        <v>14184</v>
      </c>
      <c r="G4947" s="3">
        <v>1.0</v>
      </c>
      <c r="H4947" s="3">
        <v>0.0</v>
      </c>
      <c r="I4947" s="3" t="s">
        <v>13</v>
      </c>
      <c r="J4947" s="3" t="s">
        <v>14185</v>
      </c>
      <c r="K4947" s="3" t="s">
        <v>50</v>
      </c>
      <c r="L4947" s="3" t="str">
        <f>IFERROR(__xludf.DUMMYFUNCTION("GOOGLETRANSLATE(F4947,""id"",""en"")"),"Since I was ready, the boss could sleep late at the final period")</f>
        <v>Since I was ready, the boss could sleep late at the final period</v>
      </c>
    </row>
    <row r="4948" ht="15.75" customHeight="1">
      <c r="A4948" s="1">
        <v>6118.0</v>
      </c>
      <c r="B4948" s="3" t="s">
        <v>14186</v>
      </c>
      <c r="C4948" s="3">
        <v>0.0</v>
      </c>
      <c r="D4948" s="3">
        <v>0.0</v>
      </c>
      <c r="E4948" s="3">
        <v>0.0</v>
      </c>
      <c r="F4948" s="3" t="s">
        <v>14187</v>
      </c>
      <c r="G4948" s="3">
        <v>1.0</v>
      </c>
      <c r="H4948" s="3">
        <v>0.3</v>
      </c>
      <c r="I4948" s="3" t="s">
        <v>48</v>
      </c>
      <c r="J4948" s="3" t="s">
        <v>14188</v>
      </c>
      <c r="K4948" s="3" t="s">
        <v>484</v>
      </c>
      <c r="L4948" s="3" t="str">
        <f>IFERROR(__xludf.DUMMYFUNCTION("GOOGLETRANSLATE(F4948,""id"",""en"")"),"ogitu bang kiraiin there is a big group of semifinal turned out to be the only final pildun")</f>
        <v>ogitu bang kiraiin there is a big group of semifinal turned out to be the only final pildun</v>
      </c>
    </row>
    <row r="4949" ht="15.75" customHeight="1">
      <c r="A4949" s="1">
        <v>6119.0</v>
      </c>
      <c r="B4949" s="3" t="s">
        <v>14189</v>
      </c>
      <c r="C4949" s="3">
        <v>0.0</v>
      </c>
      <c r="D4949" s="3">
        <v>0.0</v>
      </c>
      <c r="E4949" s="3">
        <v>0.0</v>
      </c>
      <c r="F4949" s="3" t="s">
        <v>14190</v>
      </c>
      <c r="G4949" s="3">
        <v>1.0</v>
      </c>
      <c r="H4949" s="3">
        <v>0.0</v>
      </c>
      <c r="I4949" s="3" t="s">
        <v>13</v>
      </c>
      <c r="J4949" s="3" t="s">
        <v>14191</v>
      </c>
      <c r="K4949" s="3" t="s">
        <v>510</v>
      </c>
      <c r="L4949" s="3" t="str">
        <f>IFERROR(__xludf.DUMMYFUNCTION("GOOGLETRANSLATE(F4949,""id"",""en"")"),"who don't believe the final match is as high as it is really strange if you don't set the stadium, how do you want to start")</f>
        <v>who don't believe the final match is as high as it is really strange if you don't set the stadium, how do you want to start</v>
      </c>
    </row>
    <row r="4950" ht="15.75" customHeight="1">
      <c r="A4950" s="1">
        <v>6120.0</v>
      </c>
      <c r="B4950" s="3" t="s">
        <v>14192</v>
      </c>
      <c r="C4950" s="3">
        <v>0.0</v>
      </c>
      <c r="D4950" s="3">
        <v>0.0</v>
      </c>
      <c r="E4950" s="3">
        <v>0.0</v>
      </c>
      <c r="F4950" s="3" t="s">
        <v>14193</v>
      </c>
      <c r="G4950" s="3">
        <v>1.0</v>
      </c>
      <c r="H4950" s="3">
        <v>0.0</v>
      </c>
      <c r="I4950" s="3" t="s">
        <v>13</v>
      </c>
      <c r="J4950" s="3" t="s">
        <v>14194</v>
      </c>
      <c r="K4950" s="3" t="s">
        <v>41</v>
      </c>
      <c r="L4950" s="3" t="str">
        <f>IFERROR(__xludf.DUMMYFUNCTION("GOOGLETRANSLATE(F4950,""id"",""en"")"),"Final Hetrik after the last year of the Pildun Time Topskor still thinking")</f>
        <v>Final Hetrik after the last year of the Pildun Time Topskor still thinking</v>
      </c>
    </row>
    <row r="4951" ht="15.75" customHeight="1">
      <c r="A4951" s="1">
        <v>6121.0</v>
      </c>
      <c r="B4951" s="3" t="s">
        <v>14195</v>
      </c>
      <c r="C4951" s="3">
        <v>1.0</v>
      </c>
      <c r="D4951" s="3">
        <v>0.0</v>
      </c>
      <c r="E4951" s="3">
        <v>4.0</v>
      </c>
      <c r="F4951" s="3" t="s">
        <v>14196</v>
      </c>
      <c r="G4951" s="3">
        <v>1.0</v>
      </c>
      <c r="H4951" s="3">
        <v>0.0</v>
      </c>
      <c r="I4951" s="3" t="s">
        <v>13</v>
      </c>
      <c r="J4951" s="3" t="s">
        <v>14197</v>
      </c>
      <c r="K4951" s="3" t="s">
        <v>31</v>
      </c>
      <c r="L4951" s="3" t="str">
        <f>IFERROR(__xludf.DUMMYFUNCTION("GOOGLETRANSLATE(F4951,""id"",""en"")"),"Final emotions of Mayan Gacorrr")</f>
        <v>Final emotions of Mayan Gacorrr</v>
      </c>
    </row>
    <row r="4952" ht="15.75" customHeight="1">
      <c r="A4952" s="1">
        <v>6122.0</v>
      </c>
      <c r="B4952" s="3" t="s">
        <v>14198</v>
      </c>
      <c r="C4952" s="3">
        <v>0.0</v>
      </c>
      <c r="D4952" s="3">
        <v>0.0</v>
      </c>
      <c r="E4952" s="3">
        <v>0.0</v>
      </c>
      <c r="F4952" s="3" t="s">
        <v>14199</v>
      </c>
      <c r="G4952" s="3">
        <v>1.0</v>
      </c>
      <c r="H4952" s="3">
        <v>0.0</v>
      </c>
      <c r="I4952" s="3" t="s">
        <v>13</v>
      </c>
      <c r="J4952" s="3" t="s">
        <v>14200</v>
      </c>
      <c r="K4952" s="3" t="s">
        <v>15</v>
      </c>
      <c r="L4952" s="3" t="str">
        <f>IFERROR(__xludf.DUMMYFUNCTION("GOOGLETRANSLATE(F4952,""id"",""en"")"),"I just really should be the pildun just final")</f>
        <v>I just really should be the pildun just final</v>
      </c>
    </row>
    <row r="4953" ht="15.75" customHeight="1">
      <c r="A4953" s="1">
        <v>6123.0</v>
      </c>
      <c r="B4953" s="3" t="s">
        <v>14201</v>
      </c>
      <c r="C4953" s="3">
        <v>0.0</v>
      </c>
      <c r="D4953" s="3">
        <v>0.0</v>
      </c>
      <c r="E4953" s="3">
        <v>0.0</v>
      </c>
      <c r="F4953" s="3" t="s">
        <v>14202</v>
      </c>
      <c r="G4953" s="3">
        <v>0.8</v>
      </c>
      <c r="H4953" s="3">
        <v>-0.2</v>
      </c>
      <c r="I4953" s="3" t="s">
        <v>179</v>
      </c>
      <c r="J4953" s="3" t="s">
        <v>14203</v>
      </c>
      <c r="K4953" s="3" t="s">
        <v>50</v>
      </c>
      <c r="L4953" s="3" t="str">
        <f>IFERROR(__xludf.DUMMYFUNCTION("GOOGLETRANSLATE(F4953,""id"",""en"")"),"fuck the moment forgot to watch the final pildun because I think it's playing in the morning")</f>
        <v>fuck the moment forgot to watch the final pildun because I think it's playing in the morning</v>
      </c>
    </row>
    <row r="4954" ht="15.75" customHeight="1">
      <c r="A4954" s="1">
        <v>6124.0</v>
      </c>
      <c r="B4954" s="3" t="s">
        <v>14204</v>
      </c>
      <c r="C4954" s="3">
        <v>0.0</v>
      </c>
      <c r="D4954" s="3">
        <v>0.0</v>
      </c>
      <c r="E4954" s="3">
        <v>0.0</v>
      </c>
      <c r="F4954" s="3" t="s">
        <v>14205</v>
      </c>
      <c r="G4954" s="3">
        <v>1.0</v>
      </c>
      <c r="H4954" s="3">
        <v>0.0</v>
      </c>
      <c r="I4954" s="3" t="s">
        <v>13</v>
      </c>
      <c r="J4954" s="3" t="s">
        <v>14206</v>
      </c>
      <c r="K4954" s="3" t="s">
        <v>1097</v>
      </c>
      <c r="L4954" s="3" t="str">
        <f>IFERROR(__xludf.DUMMYFUNCTION("GOOGLETRANSLATE(F4954,""id"",""en"")"),"Pildun was originally accompanied and the previous pildun hype was closed with the final gokss")</f>
        <v>Pildun was originally accompanied and the previous pildun hype was closed with the final gokss</v>
      </c>
    </row>
    <row r="4955" ht="15.75" customHeight="1">
      <c r="A4955" s="1">
        <v>6125.0</v>
      </c>
      <c r="B4955" s="3" t="s">
        <v>14207</v>
      </c>
      <c r="C4955" s="3">
        <v>2.0</v>
      </c>
      <c r="D4955" s="3">
        <v>0.0</v>
      </c>
      <c r="E4955" s="3">
        <v>1.0</v>
      </c>
      <c r="F4955" s="3" t="s">
        <v>14208</v>
      </c>
      <c r="G4955" s="3">
        <v>1.0</v>
      </c>
      <c r="H4955" s="3">
        <v>0.0</v>
      </c>
      <c r="I4955" s="3" t="s">
        <v>13</v>
      </c>
      <c r="J4955" s="3" t="s">
        <v>14209</v>
      </c>
      <c r="K4955" s="3" t="s">
        <v>1414</v>
      </c>
      <c r="L4955" s="3" t="str">
        <f>IFERROR(__xludf.DUMMYFUNCTION("GOOGLETRANSLATE(F4955,""id"",""en"")"),"Like the first time because of Batigol Rome and Argentina Nistelrooy like the Netherlands and Roma Argentina Pilgo Dutch passed to support Argentina Batigol Golin against Nigeria continued")</f>
        <v>Like the first time because of Batigol Rome and Argentina Nistelrooy like the Netherlands and Roma Argentina Pilgo Dutch passed to support Argentina Batigol Golin against Nigeria continued</v>
      </c>
    </row>
    <row r="4956" ht="15.75" customHeight="1">
      <c r="A4956" s="1">
        <v>6126.0</v>
      </c>
      <c r="B4956" s="3" t="s">
        <v>14210</v>
      </c>
      <c r="C4956" s="3">
        <v>1.0</v>
      </c>
      <c r="D4956" s="3">
        <v>0.0</v>
      </c>
      <c r="E4956" s="3">
        <v>7.0</v>
      </c>
      <c r="F4956" s="3" t="s">
        <v>14211</v>
      </c>
      <c r="G4956" s="3">
        <v>1.0</v>
      </c>
      <c r="H4956" s="3">
        <v>0.0</v>
      </c>
      <c r="I4956" s="3" t="s">
        <v>13</v>
      </c>
      <c r="J4956" s="3" t="s">
        <v>14212</v>
      </c>
      <c r="K4956" s="3" t="s">
        <v>15</v>
      </c>
      <c r="L4956" s="3" t="str">
        <f>IFERROR(__xludf.DUMMYFUNCTION("GOOGLETRANSLATE(F4956,""id"",""en"")"),"Mbappe Final Pildun Champion Don't be compared to Ronaldo")</f>
        <v>Mbappe Final Pildun Champion Don't be compared to Ronaldo</v>
      </c>
    </row>
    <row r="4957" ht="15.75" customHeight="1">
      <c r="A4957" s="1">
        <v>6127.0</v>
      </c>
      <c r="B4957" s="3" t="s">
        <v>14213</v>
      </c>
      <c r="C4957" s="3">
        <v>0.0</v>
      </c>
      <c r="D4957" s="3">
        <v>0.0</v>
      </c>
      <c r="E4957" s="3">
        <v>0.0</v>
      </c>
      <c r="F4957" s="3" t="s">
        <v>14214</v>
      </c>
      <c r="G4957" s="3">
        <v>1.0</v>
      </c>
      <c r="H4957" s="3">
        <v>0.0</v>
      </c>
      <c r="I4957" s="3" t="s">
        <v>13</v>
      </c>
      <c r="J4957" s="3" t="s">
        <v>14215</v>
      </c>
      <c r="K4957" s="3" t="s">
        <v>14216</v>
      </c>
      <c r="L4957" s="3" t="str">
        <f>IFERROR(__xludf.DUMMYFUNCTION("GOOGLETRANSLATE(F4957,""id"",""en"")"),"The most successful percentage when entering the final final of the final final")</f>
        <v>The most successful percentage when entering the final final of the final final</v>
      </c>
    </row>
    <row r="4958" ht="15.75" customHeight="1">
      <c r="A4958" s="1">
        <v>6128.0</v>
      </c>
      <c r="B4958" s="3" t="s">
        <v>14217</v>
      </c>
      <c r="C4958" s="3">
        <v>0.0</v>
      </c>
      <c r="D4958" s="3">
        <v>0.0</v>
      </c>
      <c r="E4958" s="3">
        <v>0.0</v>
      </c>
      <c r="F4958" s="3" t="s">
        <v>14218</v>
      </c>
      <c r="G4958" s="3">
        <v>0.5444444444444444</v>
      </c>
      <c r="H4958" s="3">
        <v>0.3888888888888889</v>
      </c>
      <c r="I4958" s="3" t="s">
        <v>48</v>
      </c>
      <c r="J4958" s="3" t="s">
        <v>14219</v>
      </c>
      <c r="K4958" s="3" t="s">
        <v>27</v>
      </c>
      <c r="L4958" s="3" t="str">
        <f>IFERROR(__xludf.DUMMYFUNCTION("GOOGLETRANSLATE(F4958,""id"",""en"")"),"One more joined the school field nobar because it is a lot of euphoria nntn the final pildun bnran feels really the best experience for events that can't play soccer ball wkwk")</f>
        <v>One more joined the school field nobar because it is a lot of euphoria nntn the final pildun bnran feels really the best experience for events that can't play soccer ball wkwk</v>
      </c>
    </row>
    <row r="4959" ht="15.75" customHeight="1">
      <c r="A4959" s="1">
        <v>6129.0</v>
      </c>
      <c r="B4959" s="3" t="s">
        <v>14220</v>
      </c>
      <c r="C4959" s="3">
        <v>0.0</v>
      </c>
      <c r="D4959" s="3">
        <v>0.0</v>
      </c>
      <c r="E4959" s="3">
        <v>1.0</v>
      </c>
      <c r="F4959" s="3" t="s">
        <v>14221</v>
      </c>
      <c r="G4959" s="3">
        <v>0.8</v>
      </c>
      <c r="H4959" s="3">
        <v>-0.05</v>
      </c>
      <c r="I4959" s="3" t="s">
        <v>179</v>
      </c>
      <c r="J4959" s="3" t="s">
        <v>14222</v>
      </c>
      <c r="K4959" s="3" t="s">
        <v>75</v>
      </c>
      <c r="L4959" s="3" t="str">
        <f>IFERROR(__xludf.DUMMYFUNCTION("GOOGLETRANSLATE(F4959,""id"",""en"")"),"Time at least entered the first pildun final adick new bacod awokawok")</f>
        <v>Time at least entered the first pildun final adick new bacod awokawok</v>
      </c>
    </row>
    <row r="4960" ht="15.75" customHeight="1">
      <c r="A4960" s="1">
        <v>6130.0</v>
      </c>
      <c r="B4960" s="3" t="s">
        <v>14223</v>
      </c>
      <c r="C4960" s="3">
        <v>1.0</v>
      </c>
      <c r="D4960" s="3">
        <v>0.0</v>
      </c>
      <c r="E4960" s="3">
        <v>0.0</v>
      </c>
      <c r="F4960" s="3" t="s">
        <v>14224</v>
      </c>
      <c r="G4960" s="3">
        <v>1.0</v>
      </c>
      <c r="H4960" s="3">
        <v>0.0</v>
      </c>
      <c r="I4960" s="3" t="s">
        <v>13</v>
      </c>
      <c r="J4960" s="3" t="s">
        <v>14225</v>
      </c>
      <c r="K4960" s="3" t="s">
        <v>31</v>
      </c>
      <c r="L4960" s="3" t="str">
        <f>IFERROR(__xludf.DUMMYFUNCTION("GOOGLETRANSLATE(F4960,""id"",""en"")"),"a glimpse of the Final Pildun Conversation together")</f>
        <v>a glimpse of the Final Pildun Conversation together</v>
      </c>
    </row>
    <row r="4961" ht="15.75" customHeight="1">
      <c r="A4961" s="1">
        <v>6131.0</v>
      </c>
      <c r="B4961" s="3" t="s">
        <v>14226</v>
      </c>
      <c r="C4961" s="3">
        <v>0.0</v>
      </c>
      <c r="D4961" s="3">
        <v>0.0</v>
      </c>
      <c r="E4961" s="3">
        <v>0.0</v>
      </c>
      <c r="F4961" s="3" t="s">
        <v>14227</v>
      </c>
      <c r="G4961" s="3">
        <v>1.0</v>
      </c>
      <c r="H4961" s="3">
        <v>0.0</v>
      </c>
      <c r="I4961" s="3" t="s">
        <v>13</v>
      </c>
      <c r="J4961" s="3" t="s">
        <v>14228</v>
      </c>
      <c r="K4961" s="3" t="s">
        <v>14229</v>
      </c>
      <c r="L4961" s="3" t="str">
        <f>IFERROR(__xludf.DUMMYFUNCTION("GOOGLETRANSLATE(F4961,""id"",""en"")"),"Expectation of the transfer of the transfer of the final of the new pildun house reality, the transfer of the moving after watching the final of the pildun is also not")</f>
        <v>Expectation of the transfer of the transfer of the final of the new pildun house reality, the transfer of the moving after watching the final of the pildun is also not</v>
      </c>
    </row>
    <row r="4962" ht="15.75" customHeight="1">
      <c r="A4962" s="1">
        <v>6132.0</v>
      </c>
      <c r="B4962" s="3" t="s">
        <v>14230</v>
      </c>
      <c r="C4962" s="3">
        <v>0.0</v>
      </c>
      <c r="D4962" s="3">
        <v>0.0</v>
      </c>
      <c r="E4962" s="3">
        <v>0.0</v>
      </c>
      <c r="F4962" s="3" t="s">
        <v>14231</v>
      </c>
      <c r="G4962" s="3">
        <v>1.0</v>
      </c>
      <c r="H4962" s="3">
        <v>0.0</v>
      </c>
      <c r="I4962" s="3" t="s">
        <v>13</v>
      </c>
      <c r="J4962" s="3" t="s">
        <v>14232</v>
      </c>
      <c r="K4962" s="3" t="s">
        <v>135</v>
      </c>
      <c r="L4962" s="3" t="str">
        <f>IFERROR(__xludf.DUMMYFUNCTION("GOOGLETRANSLATE(F4962,""id"",""en"")"),"The first time I watched the euphoria Spain won the pildun even though it was still an EMG as a big family, Nobar Sjaksksjs could be frustrated and then could still watch the final pildun and Agen won")</f>
        <v>The first time I watched the euphoria Spain won the pildun even though it was still an EMG as a big family, Nobar Sjaksksjs could be frustrated and then could still watch the final pildun and Agen won</v>
      </c>
    </row>
    <row r="4963" ht="15.75" customHeight="1">
      <c r="A4963" s="1">
        <v>6133.0</v>
      </c>
      <c r="B4963" s="3" t="s">
        <v>14233</v>
      </c>
      <c r="C4963" s="3">
        <v>0.0</v>
      </c>
      <c r="D4963" s="3">
        <v>0.0</v>
      </c>
      <c r="E4963" s="3">
        <v>0.0</v>
      </c>
      <c r="F4963" s="3" t="s">
        <v>14233</v>
      </c>
      <c r="G4963" s="3">
        <v>1.0</v>
      </c>
      <c r="H4963" s="3">
        <v>0.0</v>
      </c>
      <c r="I4963" s="3" t="s">
        <v>13</v>
      </c>
      <c r="J4963" s="3" t="s">
        <v>14234</v>
      </c>
      <c r="K4963" s="3" t="s">
        <v>510</v>
      </c>
      <c r="L4963" s="3" t="str">
        <f>IFERROR(__xludf.DUMMYFUNCTION("GOOGLETRANSLATE(F4963,""id"",""en"")"),"disappointed there is no news for parents named his son Argentina or Messi or Qatar after the Pilduun Cup final")</f>
        <v>disappointed there is no news for parents named his son Argentina or Messi or Qatar after the Pilduun Cup final</v>
      </c>
    </row>
    <row r="4964" ht="15.75" customHeight="1">
      <c r="A4964" s="1">
        <v>6134.0</v>
      </c>
      <c r="B4964" s="3" t="s">
        <v>14235</v>
      </c>
      <c r="C4964" s="3">
        <v>0.0</v>
      </c>
      <c r="D4964" s="3">
        <v>0.0</v>
      </c>
      <c r="E4964" s="3">
        <v>1.0</v>
      </c>
      <c r="F4964" s="3" t="s">
        <v>14236</v>
      </c>
      <c r="G4964" s="3">
        <v>0.55</v>
      </c>
      <c r="H4964" s="3">
        <v>0.0</v>
      </c>
      <c r="I4964" s="3" t="s">
        <v>13</v>
      </c>
      <c r="J4964" s="3" t="s">
        <v>14237</v>
      </c>
      <c r="K4964" s="3" t="s">
        <v>1854</v>
      </c>
      <c r="L4964" s="3" t="str">
        <f>IFERROR(__xludf.DUMMYFUNCTION("GOOGLETRANSLATE(F4964,""id"",""en"")"),"The best match of my Pilduun is Argentina for Messi when France conceded Extra time, I hoped that Mbappe was ngegolin and the complete incident had been final entertainment this time plus Argentina champions Bagu reviews")</f>
        <v>The best match of my Pilduun is Argentina for Messi when France conceded Extra time, I hoped that Mbappe was ngegolin and the complete incident had been final entertainment this time plus Argentina champions Bagu reviews</v>
      </c>
    </row>
    <row r="4965" ht="15.75" customHeight="1">
      <c r="A4965" s="1">
        <v>6135.0</v>
      </c>
      <c r="B4965" s="3" t="s">
        <v>14238</v>
      </c>
      <c r="C4965" s="3">
        <v>0.0</v>
      </c>
      <c r="D4965" s="3">
        <v>0.0</v>
      </c>
      <c r="E4965" s="3">
        <v>1.0</v>
      </c>
      <c r="F4965" s="3" t="s">
        <v>14239</v>
      </c>
      <c r="G4965" s="3">
        <v>1.0</v>
      </c>
      <c r="H4965" s="3">
        <v>0.0</v>
      </c>
      <c r="I4965" s="3" t="s">
        <v>13</v>
      </c>
      <c r="J4965" s="3" t="s">
        <v>14240</v>
      </c>
      <c r="K4965" s="3" t="s">
        <v>495</v>
      </c>
      <c r="L4965" s="3" t="str">
        <f>IFERROR(__xludf.DUMMYFUNCTION("GOOGLETRANSLATE(F4965,""id"",""en"")"),"More loss to watch pilduun once is certainly a long life continues to be a pity if you miss the final last night cuyyyyy")</f>
        <v>More loss to watch pilduun once is certainly a long life continues to be a pity if you miss the final last night cuyyyyy</v>
      </c>
    </row>
    <row r="4966" ht="15.75" customHeight="1">
      <c r="A4966" s="1">
        <v>6136.0</v>
      </c>
      <c r="B4966" s="3" t="s">
        <v>14241</v>
      </c>
      <c r="C4966" s="3">
        <v>1.0</v>
      </c>
      <c r="D4966" s="3">
        <v>0.0</v>
      </c>
      <c r="E4966" s="3">
        <v>3.0</v>
      </c>
      <c r="F4966" s="3" t="s">
        <v>14242</v>
      </c>
      <c r="G4966" s="3">
        <v>1.0</v>
      </c>
      <c r="H4966" s="3">
        <v>-0.25</v>
      </c>
      <c r="I4966" s="3" t="s">
        <v>179</v>
      </c>
      <c r="J4966" s="3" t="s">
        <v>14243</v>
      </c>
      <c r="K4966" s="3" t="s">
        <v>286</v>
      </c>
      <c r="L4966" s="3" t="str">
        <f>IFERROR(__xludf.DUMMYFUNCTION("GOOGLETRANSLATE(F4966,""id"",""en"")"),"It's really good that I won't forget the fens dodog insults when Messi failed the final pildun until there were so many who were blasphemed for months now asking to be pity fens dodog sorry yee")</f>
        <v>It's really good that I won't forget the fens dodog insults when Messi failed the final pildun until there were so many who were blasphemed for months now asking to be pity fens dodog sorry yee</v>
      </c>
    </row>
    <row r="4967" ht="15.75" customHeight="1">
      <c r="A4967" s="1">
        <v>6137.0</v>
      </c>
      <c r="B4967" s="3" t="s">
        <v>14244</v>
      </c>
      <c r="C4967" s="3">
        <v>2.0</v>
      </c>
      <c r="D4967" s="3">
        <v>0.0</v>
      </c>
      <c r="E4967" s="3">
        <v>2.0</v>
      </c>
      <c r="F4967" s="3" t="s">
        <v>14245</v>
      </c>
      <c r="G4967" s="3">
        <v>1.0</v>
      </c>
      <c r="H4967" s="3">
        <v>0.0</v>
      </c>
      <c r="I4967" s="3" t="s">
        <v>13</v>
      </c>
      <c r="J4967" s="3" t="s">
        <v>14246</v>
      </c>
      <c r="K4967" s="3" t="s">
        <v>433</v>
      </c>
      <c r="L4967" s="3" t="str">
        <f>IFERROR(__xludf.DUMMYFUNCTION("GOOGLETRANSLATE(F4967,""id"",""en"")"),"Wow, this is the loss of me to guess the final of the pildun evening my account has fallen mba, I am my new new")</f>
        <v>Wow, this is the loss of me to guess the final of the pildun evening my account has fallen mba, I am my new new</v>
      </c>
    </row>
    <row r="4968" ht="15.75" customHeight="1">
      <c r="A4968" s="1">
        <v>6138.0</v>
      </c>
      <c r="B4968" s="3" t="s">
        <v>14247</v>
      </c>
      <c r="C4968" s="3">
        <v>0.0</v>
      </c>
      <c r="D4968" s="3">
        <v>0.0</v>
      </c>
      <c r="E4968" s="3">
        <v>0.0</v>
      </c>
      <c r="F4968" s="3" t="s">
        <v>14248</v>
      </c>
      <c r="G4968" s="3">
        <v>1.0</v>
      </c>
      <c r="H4968" s="3">
        <v>0.0</v>
      </c>
      <c r="I4968" s="3" t="s">
        <v>13</v>
      </c>
      <c r="J4968" s="3" t="s">
        <v>14249</v>
      </c>
      <c r="K4968" s="3" t="s">
        <v>15</v>
      </c>
      <c r="L4968" s="3" t="str">
        <f>IFERROR(__xludf.DUMMYFUNCTION("GOOGLETRANSLATE(F4968,""id"",""en"")"),"SEK PILDUN AJA VARANE WAITING FOR MUSSI MOVEMENTS During the Final")</f>
        <v>SEK PILDUN AJA VARANE WAITING FOR MUSSI MOVEMENTS During the Final</v>
      </c>
    </row>
    <row r="4969" ht="15.75" customHeight="1">
      <c r="A4969" s="1">
        <v>6139.0</v>
      </c>
      <c r="B4969" s="3" t="s">
        <v>14250</v>
      </c>
      <c r="C4969" s="3">
        <v>0.0</v>
      </c>
      <c r="D4969" s="3">
        <v>0.0</v>
      </c>
      <c r="E4969" s="3">
        <v>0.0</v>
      </c>
      <c r="F4969" s="3" t="s">
        <v>14251</v>
      </c>
      <c r="G4969" s="3">
        <v>1.0</v>
      </c>
      <c r="H4969" s="3">
        <v>0.0</v>
      </c>
      <c r="I4969" s="3" t="s">
        <v>13</v>
      </c>
      <c r="J4969" s="3" t="s">
        <v>14252</v>
      </c>
      <c r="K4969" s="3" t="s">
        <v>495</v>
      </c>
      <c r="L4969" s="3" t="str">
        <f>IFERROR(__xludf.DUMMYFUNCTION("GOOGLETRANSLATE(F4969,""id"",""en"")"),"Adek I suddenly know the final pildun asking to watch as a result buy a video because my parents understand bad")</f>
        <v>Adek I suddenly know the final pildun asking to watch as a result buy a video because my parents understand bad</v>
      </c>
    </row>
    <row r="4970" ht="15.75" customHeight="1">
      <c r="A4970" s="1">
        <v>6140.0</v>
      </c>
      <c r="B4970" s="3" t="s">
        <v>14253</v>
      </c>
      <c r="C4970" s="3">
        <v>0.0</v>
      </c>
      <c r="D4970" s="3">
        <v>0.0</v>
      </c>
      <c r="E4970" s="3">
        <v>0.0</v>
      </c>
      <c r="F4970" s="3" t="s">
        <v>14254</v>
      </c>
      <c r="G4970" s="3">
        <v>1.0</v>
      </c>
      <c r="H4970" s="3">
        <v>0.0</v>
      </c>
      <c r="I4970" s="3" t="s">
        <v>13</v>
      </c>
      <c r="J4970" s="3" t="s">
        <v>14255</v>
      </c>
      <c r="K4970" s="3" t="s">
        <v>2146</v>
      </c>
      <c r="L4970" s="3" t="str">
        <f>IFERROR(__xludf.DUMMYFUNCTION("GOOGLETRANSLATE(F4970,""id"",""en"")"),"Surely it's really sad that I have finished pling a magnificent stadium, a big match full of surprise Messi's appearance is beyond the beginning of the Dutch Argentine match then the final makes the heart exercise is really the best pildun during the cave"&amp;" of life")</f>
        <v>Surely it's really sad that I have finished pling a magnificent stadium, a big match full of surprise Messi's appearance is beyond the beginning of the Dutch Argentine match then the final makes the heart exercise is really the best pildun during the cave of life</v>
      </c>
    </row>
    <row r="4971" ht="15.75" customHeight="1">
      <c r="A4971" s="1">
        <v>6141.0</v>
      </c>
      <c r="B4971" s="3" t="s">
        <v>14256</v>
      </c>
      <c r="C4971" s="3">
        <v>0.0</v>
      </c>
      <c r="D4971" s="3">
        <v>0.0</v>
      </c>
      <c r="E4971" s="3">
        <v>0.0</v>
      </c>
      <c r="F4971" s="3" t="s">
        <v>14257</v>
      </c>
      <c r="G4971" s="3">
        <v>1.0</v>
      </c>
      <c r="H4971" s="3">
        <v>0.0</v>
      </c>
      <c r="I4971" s="3" t="s">
        <v>13</v>
      </c>
      <c r="J4971" s="3" t="s">
        <v>14258</v>
      </c>
      <c r="K4971" s="3" t="s">
        <v>499</v>
      </c>
      <c r="L4971" s="3" t="str">
        <f>IFERROR(__xludf.DUMMYFUNCTION("GOOGLETRANSLATE(F4971,""id"",""en"")"),"Heyy is the one who talks the final pildun already setting with FIFA, not thinking about what tired players run after the ball must be stabbed.")</f>
        <v>Heyy is the one who talks the final pildun already setting with FIFA, not thinking about what tired players run after the ball must be stabbed.</v>
      </c>
    </row>
    <row r="4972" ht="15.75" customHeight="1">
      <c r="A4972" s="1">
        <v>6142.0</v>
      </c>
      <c r="B4972" s="3" t="s">
        <v>14259</v>
      </c>
      <c r="C4972" s="3">
        <v>0.0</v>
      </c>
      <c r="D4972" s="3">
        <v>0.0</v>
      </c>
      <c r="E4972" s="3">
        <v>0.0</v>
      </c>
      <c r="F4972" s="3" t="s">
        <v>14260</v>
      </c>
      <c r="G4972" s="3">
        <v>0.8</v>
      </c>
      <c r="H4972" s="3">
        <v>-0.05</v>
      </c>
      <c r="I4972" s="3" t="s">
        <v>179</v>
      </c>
      <c r="J4972" s="3" t="s">
        <v>14261</v>
      </c>
      <c r="K4972" s="3" t="s">
        <v>54</v>
      </c>
      <c r="L4972" s="3" t="str">
        <f>IFERROR(__xludf.DUMMYFUNCTION("GOOGLETRANSLATE(F4972,""id"",""en"")"),"Minimum deck or enter the final")</f>
        <v>Minimum deck or enter the final</v>
      </c>
    </row>
    <row r="4973" ht="15.75" customHeight="1">
      <c r="A4973" s="1">
        <v>6143.0</v>
      </c>
      <c r="B4973" s="3" t="s">
        <v>14262</v>
      </c>
      <c r="C4973" s="3">
        <v>0.0</v>
      </c>
      <c r="D4973" s="3">
        <v>0.0</v>
      </c>
      <c r="E4973" s="3">
        <v>0.0</v>
      </c>
      <c r="F4973" s="3" t="s">
        <v>13726</v>
      </c>
      <c r="G4973" s="3">
        <v>1.0</v>
      </c>
      <c r="H4973" s="3">
        <v>0.0</v>
      </c>
      <c r="I4973" s="3" t="s">
        <v>13</v>
      </c>
      <c r="J4973" s="3" t="s">
        <v>13727</v>
      </c>
      <c r="K4973" s="3" t="s">
        <v>1854</v>
      </c>
      <c r="L4973" s="3" t="str">
        <f>IFERROR(__xludf.DUMMYFUNCTION("GOOGLETRANSLATE(F4973,""id"",""en"")"),"Upload content about Final Social Media Pildun You may be created in the form of a video to make it more interesting for caption as attractive as possible by using IndiHome keywords and Hastags Make sure the caption and content are appropriate not to UPL")</f>
        <v>Upload content about Final Social Media Pildun You may be created in the form of a video to make it more interesting for caption as attractive as possible by using IndiHome keywords and Hastags Make sure the caption and content are appropriate not to UPL</v>
      </c>
    </row>
    <row r="4974" ht="15.75" customHeight="1">
      <c r="A4974" s="1">
        <v>6144.0</v>
      </c>
      <c r="B4974" s="3" t="s">
        <v>14263</v>
      </c>
      <c r="C4974" s="3">
        <v>0.0</v>
      </c>
      <c r="D4974" s="3">
        <v>0.0</v>
      </c>
      <c r="E4974" s="3">
        <v>0.0</v>
      </c>
      <c r="F4974" s="3" t="s">
        <v>14264</v>
      </c>
      <c r="G4974" s="3">
        <v>1.0</v>
      </c>
      <c r="H4974" s="3">
        <v>0.0</v>
      </c>
      <c r="I4974" s="3" t="s">
        <v>13</v>
      </c>
      <c r="J4974" s="3" t="s">
        <v>14265</v>
      </c>
      <c r="K4974" s="3" t="s">
        <v>15</v>
      </c>
      <c r="L4974" s="3" t="str">
        <f>IFERROR(__xludf.DUMMYFUNCTION("GOOGLETRANSLATE(F4974,""id"",""en"")"),"When the final pildun still wait for Aing to go home overtime when the others watch")</f>
        <v>When the final pildun still wait for Aing to go home overtime when the others watch</v>
      </c>
    </row>
    <row r="4975" ht="15.75" customHeight="1">
      <c r="A4975" s="1">
        <v>6145.0</v>
      </c>
      <c r="B4975" s="3" t="s">
        <v>14266</v>
      </c>
      <c r="C4975" s="3">
        <v>1.0</v>
      </c>
      <c r="D4975" s="3">
        <v>0.0</v>
      </c>
      <c r="E4975" s="3">
        <v>0.0</v>
      </c>
      <c r="F4975" s="3" t="s">
        <v>14267</v>
      </c>
      <c r="G4975" s="3">
        <v>1.0</v>
      </c>
      <c r="H4975" s="3">
        <v>0.0</v>
      </c>
      <c r="I4975" s="3" t="s">
        <v>13</v>
      </c>
      <c r="J4975" s="3" t="s">
        <v>14268</v>
      </c>
      <c r="K4975" s="3" t="s">
        <v>15</v>
      </c>
      <c r="L4975" s="3" t="str">
        <f>IFERROR(__xludf.DUMMYFUNCTION("GOOGLETRANSLATE(F4975,""id"",""en"")"),"not really looking at the struggle to want the final pildun")</f>
        <v>not really looking at the struggle to want the final pildun</v>
      </c>
    </row>
    <row r="4976" ht="15.75" customHeight="1">
      <c r="A4976" s="1">
        <v>6146.0</v>
      </c>
      <c r="B4976" s="3" t="s">
        <v>14269</v>
      </c>
      <c r="C4976" s="3">
        <v>4.0</v>
      </c>
      <c r="D4976" s="3">
        <v>3.0</v>
      </c>
      <c r="E4976" s="3">
        <v>37.0</v>
      </c>
      <c r="F4976" s="3" t="s">
        <v>14270</v>
      </c>
      <c r="G4976" s="3">
        <v>1.0</v>
      </c>
      <c r="H4976" s="3">
        <v>0.0</v>
      </c>
      <c r="I4976" s="3" t="s">
        <v>13</v>
      </c>
      <c r="J4976" s="3" t="s">
        <v>14271</v>
      </c>
      <c r="K4976" s="3" t="s">
        <v>131</v>
      </c>
      <c r="L4976" s="3" t="str">
        <f>IFERROR(__xludf.DUMMYFUNCTION("GOOGLETRANSLATE(F4976,""id"",""en"")"),"I really watched the final round of football but I was happy that the champion was Argentina because Argentina refused the campaign")</f>
        <v>I really watched the final round of football but I was happy that the champion was Argentina because Argentina refused the campaign</v>
      </c>
    </row>
    <row r="4977" ht="15.75" customHeight="1">
      <c r="A4977" s="1">
        <v>6147.0</v>
      </c>
      <c r="B4977" s="3" t="s">
        <v>14272</v>
      </c>
      <c r="C4977" s="3">
        <v>8.0</v>
      </c>
      <c r="D4977" s="3">
        <v>0.0</v>
      </c>
      <c r="E4977" s="3">
        <v>2.0</v>
      </c>
      <c r="F4977" s="3" t="s">
        <v>14273</v>
      </c>
      <c r="G4977" s="3">
        <v>1.0</v>
      </c>
      <c r="H4977" s="3">
        <v>0.0</v>
      </c>
      <c r="I4977" s="3" t="s">
        <v>13</v>
      </c>
      <c r="J4977" s="3" t="s">
        <v>14274</v>
      </c>
      <c r="K4977" s="3" t="s">
        <v>765</v>
      </c>
      <c r="L4977" s="3" t="str">
        <f>IFERROR(__xludf.DUMMYFUNCTION("GOOGLETRANSLATE(F4977,""id"",""en"")"),"Maybe accustomed to analyzing based on data so that the final pildun uses the data and statistics of the two teams so the guess is right btw congrats kang really right euy prediksina")</f>
        <v>Maybe accustomed to analyzing based on data so that the final pildun uses the data and statistics of the two teams so the guess is right btw congrats kang really right euy prediksina</v>
      </c>
    </row>
    <row r="4978" ht="15.75" customHeight="1">
      <c r="A4978" s="1">
        <v>6148.0</v>
      </c>
      <c r="B4978" s="3" t="s">
        <v>14275</v>
      </c>
      <c r="C4978" s="3">
        <v>1.0</v>
      </c>
      <c r="D4978" s="3">
        <v>0.0</v>
      </c>
      <c r="E4978" s="3">
        <v>0.0</v>
      </c>
      <c r="F4978" s="3" t="s">
        <v>14276</v>
      </c>
      <c r="G4978" s="3">
        <v>0.7</v>
      </c>
      <c r="H4978" s="3">
        <v>-0.2</v>
      </c>
      <c r="I4978" s="3" t="s">
        <v>179</v>
      </c>
      <c r="J4978" s="3" t="s">
        <v>14277</v>
      </c>
      <c r="K4978" s="3" t="s">
        <v>127</v>
      </c>
      <c r="L4978" s="3" t="str">
        <f>IFERROR(__xludf.DUMMYFUNCTION("GOOGLETRANSLATE(F4978,""id"",""en"")"),"That's right before the final there were indeed some exciting games but for the case of FIFA, long before the Qatar Pildun began, I still remember their behavior")</f>
        <v>That's right before the final there were indeed some exciting games but for the case of FIFA, long before the Qatar Pildun began, I still remember their behavior</v>
      </c>
    </row>
    <row r="4979" ht="15.75" customHeight="1">
      <c r="A4979" s="1">
        <v>6149.0</v>
      </c>
      <c r="B4979" s="3" t="s">
        <v>14278</v>
      </c>
      <c r="C4979" s="3">
        <v>0.0</v>
      </c>
      <c r="D4979" s="3">
        <v>0.0</v>
      </c>
      <c r="E4979" s="3">
        <v>0.0</v>
      </c>
      <c r="F4979" s="3" t="s">
        <v>14279</v>
      </c>
      <c r="G4979" s="3">
        <v>1.0</v>
      </c>
      <c r="H4979" s="3">
        <v>0.0</v>
      </c>
      <c r="I4979" s="3" t="s">
        <v>13</v>
      </c>
      <c r="J4979" s="3" t="s">
        <v>14280</v>
      </c>
      <c r="K4979" s="3" t="s">
        <v>75</v>
      </c>
      <c r="L4979" s="3" t="str">
        <f>IFERROR(__xludf.DUMMYFUNCTION("GOOGLETRANSLATE(F4979,""id"",""en"")"),"This cool boss is cool, this coolest pioneer throughout the final century occurred")</f>
        <v>This cool boss is cool, this coolest pioneer throughout the final century occurred</v>
      </c>
    </row>
    <row r="4980" ht="15.75" customHeight="1">
      <c r="A4980" s="1">
        <v>6150.0</v>
      </c>
      <c r="B4980" s="3" t="s">
        <v>14281</v>
      </c>
      <c r="C4980" s="3">
        <v>0.0</v>
      </c>
      <c r="D4980" s="3">
        <v>0.0</v>
      </c>
      <c r="E4980" s="3">
        <v>0.0</v>
      </c>
      <c r="F4980" s="3" t="s">
        <v>14282</v>
      </c>
      <c r="G4980" s="3">
        <v>1.0</v>
      </c>
      <c r="H4980" s="3">
        <v>0.0</v>
      </c>
      <c r="I4980" s="3" t="s">
        <v>13</v>
      </c>
      <c r="J4980" s="3" t="s">
        <v>14283</v>
      </c>
      <c r="K4980" s="3" t="s">
        <v>131</v>
      </c>
      <c r="L4980" s="3" t="str">
        <f>IFERROR(__xludf.DUMMYFUNCTION("GOOGLETRANSLATE(F4980,""id"",""en"")"),"Consciously Birth is the last pildun watching with this BTW family friend also Final Final Pilduun was excited that I watched during my life.")</f>
        <v>Consciously Birth is the last pildun watching with this BTW family friend also Final Final Pilduun was excited that I watched during my life.</v>
      </c>
    </row>
    <row r="4981" ht="15.75" customHeight="1">
      <c r="A4981" s="1">
        <v>6151.0</v>
      </c>
      <c r="B4981" s="3" t="s">
        <v>14284</v>
      </c>
      <c r="C4981" s="3">
        <v>1.0</v>
      </c>
      <c r="D4981" s="3">
        <v>0.0</v>
      </c>
      <c r="E4981" s="3">
        <v>0.0</v>
      </c>
      <c r="F4981" s="3" t="s">
        <v>14285</v>
      </c>
      <c r="G4981" s="3">
        <v>1.0</v>
      </c>
      <c r="H4981" s="3">
        <v>0.0</v>
      </c>
      <c r="I4981" s="3" t="s">
        <v>13</v>
      </c>
      <c r="J4981" s="3" t="s">
        <v>14286</v>
      </c>
      <c r="K4981" s="3" t="s">
        <v>10770</v>
      </c>
      <c r="L4981" s="3" t="str">
        <f>IFERROR(__xludf.DUMMYFUNCTION("GOOGLETRANSLATE(F4981,""id"",""en"")"),"Last night when I watched the final pildun, I watched it alone in the second half of the streaming of the vidio error moving the room, you watched it through with doski until the game was finished maybe it was the last pildun nobar with doski before later"&amp;" together huhu again huhu")</f>
        <v>Last night when I watched the final pildun, I watched it alone in the second half of the streaming of the vidio error moving the room, you watched it through with doski until the game was finished maybe it was the last pildun nobar with doski before later together huhu again huhu</v>
      </c>
    </row>
    <row r="4982" ht="15.75" customHeight="1">
      <c r="A4982" s="1">
        <v>6152.0</v>
      </c>
      <c r="B4982" s="3" t="s">
        <v>14287</v>
      </c>
      <c r="C4982" s="3">
        <v>0.0</v>
      </c>
      <c r="D4982" s="3">
        <v>0.0</v>
      </c>
      <c r="E4982" s="3">
        <v>0.0</v>
      </c>
      <c r="F4982" s="3" t="s">
        <v>14288</v>
      </c>
      <c r="G4982" s="3">
        <v>1.0</v>
      </c>
      <c r="H4982" s="3">
        <v>0.0</v>
      </c>
      <c r="I4982" s="3" t="s">
        <v>13</v>
      </c>
      <c r="J4982" s="3" t="s">
        <v>14289</v>
      </c>
      <c r="K4982" s="3" t="s">
        <v>149</v>
      </c>
      <c r="L4982" s="3" t="str">
        <f>IFERROR(__xludf.DUMMYFUNCTION("GOOGLETRANSLATE(F4982,""id"",""en"")"),"This Final Worldcup was excited throughout the history of agreed, we celebrate this by inviting the people of Nobar LSG with Hiro and enjoying the worldcup with the sensation package of access to pildun")</f>
        <v>This Final Worldcup was excited throughout the history of agreed, we celebrate this by inviting the people of Nobar LSG with Hiro and enjoying the worldcup with the sensation package of access to pildun</v>
      </c>
    </row>
    <row r="4983" ht="15.75" customHeight="1">
      <c r="A4983" s="1">
        <v>6153.0</v>
      </c>
      <c r="B4983" s="3" t="s">
        <v>14290</v>
      </c>
      <c r="C4983" s="3">
        <v>0.0</v>
      </c>
      <c r="D4983" s="3">
        <v>0.0</v>
      </c>
      <c r="E4983" s="3">
        <v>0.0</v>
      </c>
      <c r="F4983" s="3" t="s">
        <v>14291</v>
      </c>
      <c r="G4983" s="3">
        <v>1.0</v>
      </c>
      <c r="H4983" s="3">
        <v>0.0</v>
      </c>
      <c r="I4983" s="3" t="s">
        <v>13</v>
      </c>
      <c r="J4983" s="3" t="s">
        <v>14292</v>
      </c>
      <c r="K4983" s="3" t="s">
        <v>644</v>
      </c>
      <c r="L4983" s="3" t="str">
        <f>IFERROR(__xludf.DUMMYFUNCTION("GOOGLETRANSLATE(F4983,""id"",""en"")"),"Prepare Final Pildun Bgg")</f>
        <v>Prepare Final Pildun Bgg</v>
      </c>
    </row>
    <row r="4984" ht="15.75" customHeight="1">
      <c r="A4984" s="1">
        <v>6154.0</v>
      </c>
      <c r="B4984" s="3" t="s">
        <v>14293</v>
      </c>
      <c r="C4984" s="3">
        <v>0.0</v>
      </c>
      <c r="D4984" s="3">
        <v>0.0</v>
      </c>
      <c r="E4984" s="3">
        <v>2.0</v>
      </c>
      <c r="F4984" s="3" t="s">
        <v>14294</v>
      </c>
      <c r="G4984" s="3">
        <v>1.0</v>
      </c>
      <c r="H4984" s="3">
        <v>0.0</v>
      </c>
      <c r="I4984" s="3" t="s">
        <v>13</v>
      </c>
      <c r="J4984" s="3" t="s">
        <v>14295</v>
      </c>
      <c r="K4984" s="3" t="s">
        <v>127</v>
      </c>
      <c r="L4984" s="3" t="str">
        <f>IFERROR(__xludf.DUMMYFUNCTION("GOOGLETRANSLATE(F4984,""id"",""en"")"),"well, I still think I think like this, I just like the final when I like to win Spanish, why is the name Euphoria")</f>
        <v>well, I still think I think like this, I just like the final when I like to win Spanish, why is the name Euphoria</v>
      </c>
    </row>
    <row r="4985" ht="15.75" customHeight="1">
      <c r="A4985" s="1">
        <v>6155.0</v>
      </c>
      <c r="B4985" s="3" t="s">
        <v>14296</v>
      </c>
      <c r="C4985" s="3">
        <v>1.0</v>
      </c>
      <c r="D4985" s="3">
        <v>0.0</v>
      </c>
      <c r="E4985" s="3">
        <v>0.0</v>
      </c>
      <c r="F4985" s="3" t="s">
        <v>14297</v>
      </c>
      <c r="G4985" s="3">
        <v>1.0</v>
      </c>
      <c r="H4985" s="3">
        <v>0.0</v>
      </c>
      <c r="I4985" s="3" t="s">
        <v>13</v>
      </c>
      <c r="J4985" s="3" t="s">
        <v>14298</v>
      </c>
      <c r="K4985" s="3" t="s">
        <v>1428</v>
      </c>
      <c r="L4985" s="3" t="str">
        <f>IFERROR(__xludf.DUMMYFUNCTION("GOOGLETRANSLATE(F4985,""id"",""en"")"),"Penyepong Dodo Reading Comprehensive is ugly stupid, clearly clear pildun qatar and the final object of fifa fifa fifa corrupt degrees where the location of Agegen is passed to learn to read again stupid")</f>
        <v>Penyepong Dodo Reading Comprehensive is ugly stupid, clearly clear pildun qatar and the final object of fifa fifa fifa corrupt degrees where the location of Agegen is passed to learn to read again stupid</v>
      </c>
    </row>
    <row r="4986" ht="15.75" customHeight="1">
      <c r="A4986" s="1">
        <v>6156.0</v>
      </c>
      <c r="B4986" s="3" t="s">
        <v>14299</v>
      </c>
      <c r="C4986" s="3">
        <v>0.0</v>
      </c>
      <c r="D4986" s="3">
        <v>0.0</v>
      </c>
      <c r="E4986" s="3">
        <v>1.0</v>
      </c>
      <c r="F4986" s="3" t="s">
        <v>14300</v>
      </c>
      <c r="G4986" s="3">
        <v>1.0</v>
      </c>
      <c r="H4986" s="3">
        <v>0.0</v>
      </c>
      <c r="I4986" s="3" t="s">
        <v>13</v>
      </c>
      <c r="J4986" s="3" t="s">
        <v>14301</v>
      </c>
      <c r="K4986" s="3" t="s">
        <v>1335</v>
      </c>
      <c r="L4986" s="3" t="str">
        <f>IFERROR(__xludf.DUMMYFUNCTION("GOOGLETRANSLATE(F4986,""id"",""en"")"),"Exciting also watching pildun even though only watching the final hehe")</f>
        <v>Exciting also watching pildun even though only watching the final hehe</v>
      </c>
    </row>
    <row r="4987" ht="15.75" customHeight="1">
      <c r="A4987" s="1">
        <v>6157.0</v>
      </c>
      <c r="B4987" s="3" t="s">
        <v>14302</v>
      </c>
      <c r="C4987" s="3">
        <v>0.0</v>
      </c>
      <c r="D4987" s="3">
        <v>0.0</v>
      </c>
      <c r="E4987" s="3">
        <v>0.0</v>
      </c>
      <c r="F4987" s="3" t="s">
        <v>14303</v>
      </c>
      <c r="G4987" s="3">
        <v>1.0</v>
      </c>
      <c r="H4987" s="3">
        <v>0.0</v>
      </c>
      <c r="I4987" s="3" t="s">
        <v>13</v>
      </c>
      <c r="J4987" s="3" t="s">
        <v>14304</v>
      </c>
      <c r="K4987" s="3" t="s">
        <v>27</v>
      </c>
      <c r="L4987" s="3" t="str">
        <f>IFERROR(__xludf.DUMMYFUNCTION("GOOGLETRANSLATE(F4987,""id"",""en"")"),"The final of the Pildun last night was actually planned to be the mbappe training event so that it was officially a goat of the next era, just waiting for the inauguration and submission of the position by the current chairman of the goat")</f>
        <v>The final of the Pildun last night was actually planned to be the mbappe training event so that it was officially a goat of the next era, just waiting for the inauguration and submission of the position by the current chairman of the goat</v>
      </c>
    </row>
    <row r="4988" ht="15.75" customHeight="1">
      <c r="A4988" s="1">
        <v>6158.0</v>
      </c>
      <c r="B4988" s="3" t="s">
        <v>14305</v>
      </c>
      <c r="C4988" s="3">
        <v>1.0</v>
      </c>
      <c r="D4988" s="3">
        <v>0.0</v>
      </c>
      <c r="E4988" s="3">
        <v>0.0</v>
      </c>
      <c r="F4988" s="3" t="s">
        <v>14306</v>
      </c>
      <c r="G4988" s="3">
        <v>1.0</v>
      </c>
      <c r="H4988" s="3">
        <v>0.0</v>
      </c>
      <c r="I4988" s="3" t="s">
        <v>13</v>
      </c>
      <c r="J4988" s="3" t="s">
        <v>14307</v>
      </c>
      <c r="K4988" s="3" t="s">
        <v>433</v>
      </c>
      <c r="L4988" s="3" t="str">
        <f>IFERROR(__xludf.DUMMYFUNCTION("GOOGLETRANSLATE(F4988,""id"",""en"")"),"stress after watching the final pildun intention to be stored for byegerin the mind is even more stressed")</f>
        <v>stress after watching the final pildun intention to be stored for byegerin the mind is even more stressed</v>
      </c>
    </row>
    <row r="4989" ht="15.75" customHeight="1">
      <c r="A4989" s="1">
        <v>6159.0</v>
      </c>
      <c r="B4989" s="3" t="s">
        <v>14308</v>
      </c>
      <c r="C4989" s="3">
        <v>1.0</v>
      </c>
      <c r="D4989" s="3">
        <v>0.0</v>
      </c>
      <c r="E4989" s="3">
        <v>5.0</v>
      </c>
      <c r="F4989" s="3" t="s">
        <v>14309</v>
      </c>
      <c r="G4989" s="3">
        <v>1.0</v>
      </c>
      <c r="H4989" s="3">
        <v>-0.25</v>
      </c>
      <c r="I4989" s="3" t="s">
        <v>179</v>
      </c>
      <c r="J4989" s="3" t="s">
        <v>14310</v>
      </c>
      <c r="K4989" s="3" t="s">
        <v>1854</v>
      </c>
      <c r="L4989" s="3" t="str">
        <f>IFERROR(__xludf.DUMMYFUNCTION("GOOGLETRANSLATE(F4989,""id"",""en"")"),"What are you doing crying, this year's final, I am also a jagoin of Argentina because from the mentality, you are ready to be sorry you have to use the account, you have to use the account only for war")</f>
        <v>What are you doing crying, this year's final, I am also a jagoin of Argentina because from the mentality, you are ready to be sorry you have to use the account, you have to use the account only for war</v>
      </c>
    </row>
    <row r="4990" ht="15.75" customHeight="1">
      <c r="A4990" s="1">
        <v>6160.0</v>
      </c>
      <c r="B4990" s="3" t="s">
        <v>14311</v>
      </c>
      <c r="C4990" s="3">
        <v>2.0</v>
      </c>
      <c r="D4990" s="3">
        <v>2.0</v>
      </c>
      <c r="E4990" s="3">
        <v>17.0</v>
      </c>
      <c r="F4990" s="3" t="s">
        <v>14312</v>
      </c>
      <c r="G4990" s="3">
        <v>0.6888888888888888</v>
      </c>
      <c r="H4990" s="3">
        <v>0.0</v>
      </c>
      <c r="I4990" s="3" t="s">
        <v>13</v>
      </c>
      <c r="J4990" s="3" t="s">
        <v>14313</v>
      </c>
      <c r="K4990" s="3" t="s">
        <v>584</v>
      </c>
      <c r="L4990" s="3" t="str">
        <f>IFERROR(__xludf.DUMMYFUNCTION("GOOGLETRANSLATE(F4990,""id"",""en"")"),"The Last Dance Messi Talking about the World Cup Final was once dicated by the pool at dawn in the morning of West Java, it rained with the final of the Argentina")</f>
        <v>The Last Dance Messi Talking about the World Cup Final was once dicated by the pool at dawn in the morning of West Java, it rained with the final of the Argentina</v>
      </c>
    </row>
    <row r="4991" ht="15.75" customHeight="1">
      <c r="A4991" s="1">
        <v>6161.0</v>
      </c>
      <c r="B4991" s="3" t="s">
        <v>14314</v>
      </c>
      <c r="C4991" s="3">
        <v>1.0</v>
      </c>
      <c r="D4991" s="3">
        <v>0.0</v>
      </c>
      <c r="E4991" s="3">
        <v>1.0</v>
      </c>
      <c r="F4991" s="3" t="s">
        <v>14315</v>
      </c>
      <c r="G4991" s="3">
        <v>1.0</v>
      </c>
      <c r="H4991" s="3">
        <v>0.0</v>
      </c>
      <c r="I4991" s="3" t="s">
        <v>13</v>
      </c>
      <c r="J4991" s="3" t="s">
        <v>14316</v>
      </c>
      <c r="K4991" s="3" t="s">
        <v>184</v>
      </c>
      <c r="L4991" s="3" t="str">
        <f>IFERROR(__xludf.DUMMYFUNCTION("GOOGLETRANSLATE(F4991,""id"",""en"")"),"Mbappe my age has won the Golden Shoe Pildun with French Final Tahun and I'm here watching him using an illegal website")</f>
        <v>Mbappe my age has won the Golden Shoe Pildun with French Final Tahun and I'm here watching him using an illegal website</v>
      </c>
    </row>
    <row r="4992" ht="15.75" customHeight="1">
      <c r="A4992" s="1">
        <v>6162.0</v>
      </c>
      <c r="B4992" s="3" t="s">
        <v>14317</v>
      </c>
      <c r="C4992" s="3">
        <v>1.0</v>
      </c>
      <c r="D4992" s="3">
        <v>0.0</v>
      </c>
      <c r="E4992" s="3">
        <v>3.0</v>
      </c>
      <c r="F4992" s="3" t="s">
        <v>14318</v>
      </c>
      <c r="G4992" s="3">
        <v>1.0</v>
      </c>
      <c r="H4992" s="3">
        <v>0.0</v>
      </c>
      <c r="I4992" s="3" t="s">
        <v>13</v>
      </c>
      <c r="J4992" s="3" t="s">
        <v>14319</v>
      </c>
      <c r="K4992" s="3" t="s">
        <v>1518</v>
      </c>
      <c r="L4992" s="3" t="str">
        <f>IFERROR(__xludf.DUMMYFUNCTION("GOOGLETRANSLATE(F4992,""id"",""en"")"),"The moment of excitement of the Argentine people when his team -champion was the final world champion of the Pilduun football last night was no exception the players of Ben Urdapilleta with the joy of Juan IMHOFF and others looked happy")</f>
        <v>The moment of excitement of the Argentine people when his team -champion was the final world champion of the Pilduun football last night was no exception the players of Ben Urdapilleta with the joy of Juan IMHOFF and others looked happy</v>
      </c>
    </row>
    <row r="4993" ht="15.75" customHeight="1">
      <c r="A4993" s="1">
        <v>6163.0</v>
      </c>
      <c r="B4993" s="3" t="s">
        <v>14320</v>
      </c>
      <c r="C4993" s="3">
        <v>1.0</v>
      </c>
      <c r="D4993" s="3">
        <v>0.0</v>
      </c>
      <c r="E4993" s="3">
        <v>0.0</v>
      </c>
      <c r="F4993" s="3" t="s">
        <v>14321</v>
      </c>
      <c r="G4993" s="3">
        <v>1.0</v>
      </c>
      <c r="H4993" s="3">
        <v>0.0</v>
      </c>
      <c r="I4993" s="3" t="s">
        <v>13</v>
      </c>
      <c r="J4993" s="3" t="s">
        <v>14322</v>
      </c>
      <c r="K4993" s="3" t="s">
        <v>19</v>
      </c>
      <c r="L4993" s="3" t="str">
        <f>IFERROR(__xludf.DUMMYFUNCTION("GOOGLETRANSLATE(F4993,""id"",""en"")"),"This pildun can be repeated again, aka very exciting this year, the beginning of the final surprise let alone.")</f>
        <v>This pildun can be repeated again, aka very exciting this year, the beginning of the final surprise let alone.</v>
      </c>
    </row>
    <row r="4994" ht="15.75" customHeight="1">
      <c r="A4994" s="1">
        <v>6164.0</v>
      </c>
      <c r="B4994" s="3" t="s">
        <v>14323</v>
      </c>
      <c r="C4994" s="3">
        <v>1.0</v>
      </c>
      <c r="D4994" s="3">
        <v>0.0</v>
      </c>
      <c r="E4994" s="3">
        <v>0.0</v>
      </c>
      <c r="F4994" s="3" t="s">
        <v>14324</v>
      </c>
      <c r="G4994" s="3">
        <v>0.8</v>
      </c>
      <c r="H4994" s="3">
        <v>-0.05</v>
      </c>
      <c r="I4994" s="3" t="s">
        <v>179</v>
      </c>
      <c r="J4994" s="3" t="s">
        <v>14325</v>
      </c>
      <c r="K4994" s="3" t="s">
        <v>82</v>
      </c>
      <c r="L4994" s="3" t="str">
        <f>IFERROR(__xludf.DUMMYFUNCTION("GOOGLETRANSLATE(F4994,""id"",""en"")"),"at least mah gatidur right after the final pildun rits")</f>
        <v>at least mah gatidur right after the final pildun rits</v>
      </c>
    </row>
    <row r="4995" ht="15.75" customHeight="1">
      <c r="A4995" s="1">
        <v>6165.0</v>
      </c>
      <c r="B4995" s="3" t="s">
        <v>14326</v>
      </c>
      <c r="C4995" s="3">
        <v>0.0</v>
      </c>
      <c r="D4995" s="3">
        <v>0.0</v>
      </c>
      <c r="E4995" s="3">
        <v>0.0</v>
      </c>
      <c r="F4995" s="3" t="s">
        <v>14327</v>
      </c>
      <c r="G4995" s="3">
        <v>1.0</v>
      </c>
      <c r="H4995" s="3">
        <v>0.0</v>
      </c>
      <c r="I4995" s="3" t="s">
        <v>13</v>
      </c>
      <c r="J4995" s="3" t="s">
        <v>14328</v>
      </c>
      <c r="K4995" s="3" t="s">
        <v>184</v>
      </c>
      <c r="L4995" s="3" t="str">
        <f>IFERROR(__xludf.DUMMYFUNCTION("GOOGLETRANSLATE(F4995,""id"",""en"")"),"Same with the first Kang watching the Dutch Argentina Pilduun Final Mario Kempes at that time watching the grandparents' house still use accu")</f>
        <v>Same with the first Kang watching the Dutch Argentina Pilduun Final Mario Kempes at that time watching the grandparents' house still use accu</v>
      </c>
    </row>
    <row r="4996" ht="15.75" customHeight="1">
      <c r="A4996" s="1">
        <v>6166.0</v>
      </c>
      <c r="B4996" s="3" t="s">
        <v>14329</v>
      </c>
      <c r="C4996" s="3">
        <v>0.0</v>
      </c>
      <c r="D4996" s="3">
        <v>0.0</v>
      </c>
      <c r="E4996" s="3">
        <v>0.0</v>
      </c>
      <c r="F4996" s="3" t="s">
        <v>14330</v>
      </c>
      <c r="G4996" s="3">
        <v>1.0</v>
      </c>
      <c r="H4996" s="3">
        <v>0.0</v>
      </c>
      <c r="I4996" s="3" t="s">
        <v>13</v>
      </c>
      <c r="J4996" s="3" t="s">
        <v>14331</v>
      </c>
      <c r="K4996" s="3" t="s">
        <v>82</v>
      </c>
      <c r="L4996" s="3" t="str">
        <f>IFERROR(__xludf.DUMMYFUNCTION("GOOGLETRANSLATE(F4996,""id"",""en"")"),"PILDUN HELP SAME FINAL WATCHED FROM SIGNING")</f>
        <v>PILDUN HELP SAME FINAL WATCHED FROM SIGNING</v>
      </c>
    </row>
    <row r="4997" ht="15.75" customHeight="1">
      <c r="A4997" s="1">
        <v>6167.0</v>
      </c>
      <c r="B4997" s="3" t="s">
        <v>14332</v>
      </c>
      <c r="C4997" s="3">
        <v>1.0</v>
      </c>
      <c r="D4997" s="3">
        <v>0.0</v>
      </c>
      <c r="E4997" s="3">
        <v>0.0</v>
      </c>
      <c r="F4997" s="3" t="s">
        <v>14333</v>
      </c>
      <c r="G4997" s="3">
        <v>1.0</v>
      </c>
      <c r="H4997" s="3">
        <v>0.0</v>
      </c>
      <c r="I4997" s="3" t="s">
        <v>13</v>
      </c>
      <c r="J4997" s="3" t="s">
        <v>14334</v>
      </c>
      <c r="K4997" s="3" t="s">
        <v>240</v>
      </c>
      <c r="L4997" s="3" t="str">
        <f>IFERROR(__xludf.DUMMYFUNCTION("GOOGLETRANSLATE(F4997,""id"",""en"")"),"Watching the final of the pildun mah kaga earlier already the most staying up alias turu up until I go down")</f>
        <v>Watching the final of the pildun mah kaga earlier already the most staying up alias turu up until I go down</v>
      </c>
    </row>
    <row r="4998" ht="15.75" customHeight="1">
      <c r="A4998" s="1">
        <v>6168.0</v>
      </c>
      <c r="B4998" s="3" t="s">
        <v>14335</v>
      </c>
      <c r="C4998" s="3">
        <v>0.0</v>
      </c>
      <c r="D4998" s="3">
        <v>0.0</v>
      </c>
      <c r="E4998" s="3">
        <v>0.0</v>
      </c>
      <c r="F4998" s="3" t="s">
        <v>14336</v>
      </c>
      <c r="G4998" s="3">
        <v>1.0</v>
      </c>
      <c r="H4998" s="3">
        <v>0.0</v>
      </c>
      <c r="I4998" s="3" t="s">
        <v>13</v>
      </c>
      <c r="J4998" s="3" t="s">
        <v>14337</v>
      </c>
      <c r="K4998" s="3" t="s">
        <v>54</v>
      </c>
      <c r="L4998" s="3" t="str">
        <f>IFERROR(__xludf.DUMMYFUNCTION("GOOGLETRANSLATE(F4998,""id"",""en"")"),"if this pilduun is setting, why not just find it and the final so that the duel is between")</f>
        <v>if this pilduun is setting, why not just find it and the final so that the duel is between</v>
      </c>
    </row>
    <row r="4999" ht="15.75" customHeight="1">
      <c r="A4999" s="1">
        <v>6169.0</v>
      </c>
      <c r="B4999" s="3" t="s">
        <v>14338</v>
      </c>
      <c r="C4999" s="3">
        <v>0.0</v>
      </c>
      <c r="D4999" s="3">
        <v>0.0</v>
      </c>
      <c r="E4999" s="3">
        <v>0.0</v>
      </c>
      <c r="F4999" s="3" t="s">
        <v>14339</v>
      </c>
      <c r="G4999" s="3">
        <v>1.0</v>
      </c>
      <c r="H4999" s="3">
        <v>0.0</v>
      </c>
      <c r="I4999" s="3" t="s">
        <v>13</v>
      </c>
      <c r="J4999" s="3" t="s">
        <v>14340</v>
      </c>
      <c r="K4999" s="3" t="s">
        <v>131</v>
      </c>
      <c r="L4999" s="3" t="str">
        <f>IFERROR(__xludf.DUMMYFUNCTION("GOOGLETRANSLATE(F4999,""id"",""en"")"),"Monday nguantok pooLoll after the day back during sleeping hours more than sleeping hours plus have to see the final pildun finished night hours")</f>
        <v>Monday nguantok pooLoll after the day back during sleeping hours more than sleeping hours plus have to see the final pildun finished night hours</v>
      </c>
    </row>
    <row r="5000" ht="15.75" customHeight="1">
      <c r="A5000" s="1">
        <v>6170.0</v>
      </c>
      <c r="B5000" s="3" t="s">
        <v>14341</v>
      </c>
      <c r="C5000" s="3">
        <v>0.0</v>
      </c>
      <c r="D5000" s="3">
        <v>0.0</v>
      </c>
      <c r="E5000" s="3">
        <v>0.0</v>
      </c>
      <c r="F5000" s="3" t="s">
        <v>14342</v>
      </c>
      <c r="G5000" s="3">
        <v>1.0</v>
      </c>
      <c r="H5000" s="3">
        <v>0.0</v>
      </c>
      <c r="I5000" s="3" t="s">
        <v>13</v>
      </c>
      <c r="J5000" s="3" t="s">
        <v>14343</v>
      </c>
      <c r="K5000" s="3" t="s">
        <v>273</v>
      </c>
      <c r="L5000" s="3" t="str">
        <f>IFERROR(__xludf.DUMMYFUNCTION("GOOGLETRANSLATE(F5000,""id"",""en"")"),"Boda is very wanting to set the kek want to set it for the unusually delicious pildun final watching the boy from a long arrogant boy.")</f>
        <v>Boda is very wanting to set the kek want to set it for the unusually delicious pildun final watching the boy from a long arrogant boy.</v>
      </c>
    </row>
    <row r="5001" ht="15.75" customHeight="1">
      <c r="A5001" s="1">
        <v>6171.0</v>
      </c>
      <c r="B5001" s="3" t="s">
        <v>14344</v>
      </c>
      <c r="C5001" s="3">
        <v>0.0</v>
      </c>
      <c r="D5001" s="3">
        <v>0.0</v>
      </c>
      <c r="E5001" s="3">
        <v>0.0</v>
      </c>
      <c r="F5001" s="3" t="s">
        <v>14345</v>
      </c>
      <c r="G5001" s="3">
        <v>0.635</v>
      </c>
      <c r="H5001" s="3">
        <v>0.065</v>
      </c>
      <c r="I5001" s="3" t="s">
        <v>48</v>
      </c>
      <c r="J5001" s="3" t="s">
        <v>14346</v>
      </c>
      <c r="K5001" s="3" t="s">
        <v>910</v>
      </c>
      <c r="L5001" s="3" t="str">
        <f>IFERROR(__xludf.DUMMYFUNCTION("GOOGLETRANSLATE(F5001,""id"",""en"")"),"Speechless is really progressing ARGEN game until the final is the best game during the battlefield, the strategy is used from Mid Block to High Pressing successfully tanging the French Obok is also one of the pilduun matches.")</f>
        <v>Speechless is really progressing ARGEN game until the final is the best game during the battlefield, the strategy is used from Mid Block to High Pressing successfully tanging the French Obok is also one of the pilduun matches.</v>
      </c>
    </row>
    <row r="5002" ht="15.75" customHeight="1">
      <c r="A5002" s="1">
        <v>6172.0</v>
      </c>
      <c r="B5002" s="3" t="s">
        <v>14347</v>
      </c>
      <c r="C5002" s="3">
        <v>0.0</v>
      </c>
      <c r="D5002" s="3">
        <v>0.0</v>
      </c>
      <c r="E5002" s="3">
        <v>0.0</v>
      </c>
      <c r="F5002" s="3" t="s">
        <v>14348</v>
      </c>
      <c r="G5002" s="3">
        <v>1.0</v>
      </c>
      <c r="H5002" s="3">
        <v>0.0</v>
      </c>
      <c r="I5002" s="3" t="s">
        <v>13</v>
      </c>
      <c r="J5002" s="3" t="s">
        <v>14349</v>
      </c>
      <c r="K5002" s="3" t="s">
        <v>244</v>
      </c>
      <c r="L5002" s="3" t="str">
        <f>IFERROR(__xludf.DUMMYFUNCTION("GOOGLETRANSLATE(F5002,""id"",""en"")"),"Let me clarify again Messi failed the Final Pildun Bang Dodo ever failed")</f>
        <v>Let me clarify again Messi failed the Final Pildun Bang Dodo ever failed</v>
      </c>
    </row>
    <row r="5003" ht="15.75" customHeight="1">
      <c r="A5003" s="1">
        <v>6173.0</v>
      </c>
      <c r="B5003" s="3" t="s">
        <v>14350</v>
      </c>
      <c r="C5003" s="3">
        <v>0.0</v>
      </c>
      <c r="D5003" s="3">
        <v>0.0</v>
      </c>
      <c r="E5003" s="3">
        <v>0.0</v>
      </c>
      <c r="F5003" s="3" t="s">
        <v>14351</v>
      </c>
      <c r="G5003" s="3">
        <v>1.0</v>
      </c>
      <c r="H5003" s="3">
        <v>0.0</v>
      </c>
      <c r="I5003" s="3" t="s">
        <v>13</v>
      </c>
      <c r="J5003" s="3" t="s">
        <v>14352</v>
      </c>
      <c r="K5003" s="3" t="s">
        <v>54</v>
      </c>
      <c r="L5003" s="3" t="str">
        <f>IFERROR(__xludf.DUMMYFUNCTION("GOOGLETRANSLATE(F5003,""id"",""en"")"),"I regret it yesterday watching the final pildun")</f>
        <v>I regret it yesterday watching the final pildun</v>
      </c>
    </row>
    <row r="5004" ht="15.75" customHeight="1">
      <c r="A5004" s="1">
        <v>6174.0</v>
      </c>
      <c r="B5004" s="3" t="s">
        <v>14353</v>
      </c>
      <c r="C5004" s="3">
        <v>1.0</v>
      </c>
      <c r="D5004" s="3">
        <v>0.0</v>
      </c>
      <c r="E5004" s="3">
        <v>0.0</v>
      </c>
      <c r="F5004" s="3" t="s">
        <v>14354</v>
      </c>
      <c r="G5004" s="3">
        <v>0.55</v>
      </c>
      <c r="H5004" s="3">
        <v>0.25</v>
      </c>
      <c r="I5004" s="3" t="s">
        <v>48</v>
      </c>
      <c r="J5004" s="3" t="s">
        <v>14355</v>
      </c>
      <c r="K5004" s="3" t="s">
        <v>13682</v>
      </c>
      <c r="L5004" s="3" t="str">
        <f>IFERROR(__xludf.DUMMYFUNCTION("GOOGLETRANSLATE(F5004,""id"",""en"")"),"It feels really mood, I depend on Argentina and Messi during this Pildun, his smile their important, so when there is a setting before the final starts, I will be very upset")</f>
        <v>It feels really mood, I depend on Argentina and Messi during this Pildun, his smile their important, so when there is a setting before the final starts, I will be very upset</v>
      </c>
    </row>
    <row r="5005" ht="15.75" customHeight="1">
      <c r="A5005" s="1">
        <v>6175.0</v>
      </c>
      <c r="B5005" s="3" t="s">
        <v>14356</v>
      </c>
      <c r="C5005" s="3">
        <v>0.0</v>
      </c>
      <c r="D5005" s="3">
        <v>0.0</v>
      </c>
      <c r="E5005" s="3">
        <v>0.0</v>
      </c>
      <c r="F5005" s="3" t="s">
        <v>14357</v>
      </c>
      <c r="G5005" s="3">
        <v>1.0</v>
      </c>
      <c r="H5005" s="3">
        <v>0.0</v>
      </c>
      <c r="I5005" s="3" t="s">
        <v>13</v>
      </c>
      <c r="J5005" s="3" t="s">
        <v>14358</v>
      </c>
      <c r="K5005" s="3" t="s">
        <v>75</v>
      </c>
      <c r="L5005" s="3" t="str">
        <f>IFERROR(__xludf.DUMMYFUNCTION("GOOGLETRANSLATE(F5005,""id"",""en"")"),"Bismillah Final Pildun Worldcup Tonight Supports Francis The Champion is because there is Islam")</f>
        <v>Bismillah Final Pildun Worldcup Tonight Supports Francis The Champion is because there is Islam</v>
      </c>
    </row>
    <row r="5006" ht="15.75" customHeight="1">
      <c r="A5006" s="1">
        <v>6176.0</v>
      </c>
      <c r="B5006" s="3" t="s">
        <v>14359</v>
      </c>
      <c r="C5006" s="3">
        <v>0.0</v>
      </c>
      <c r="D5006" s="3">
        <v>0.0</v>
      </c>
      <c r="E5006" s="3">
        <v>4.0</v>
      </c>
      <c r="F5006" s="3" t="s">
        <v>14360</v>
      </c>
      <c r="G5006" s="3">
        <v>1.0</v>
      </c>
      <c r="H5006" s="3">
        <v>0.0</v>
      </c>
      <c r="I5006" s="3" t="s">
        <v>13</v>
      </c>
      <c r="J5006" s="3" t="s">
        <v>14361</v>
      </c>
      <c r="K5006" s="3" t="s">
        <v>205</v>
      </c>
      <c r="L5006" s="3" t="str">
        <f>IFERROR(__xludf.DUMMYFUNCTION("GOOGLETRANSLATE(F5006,""id"",""en"")"),"Actually, it's not just exciting last night because the final is a lot of enthusiasm for the community who idolizes whether or not you want to know who the winner is this pildun, so it is so exciting")</f>
        <v>Actually, it's not just exciting last night because the final is a lot of enthusiasm for the community who idolizes whether or not you want to know who the winner is this pildun, so it is so exciting</v>
      </c>
    </row>
    <row r="5007" ht="15.75" customHeight="1">
      <c r="A5007" s="1">
        <v>6177.0</v>
      </c>
      <c r="B5007" s="3" t="s">
        <v>14362</v>
      </c>
      <c r="C5007" s="3">
        <v>1.0</v>
      </c>
      <c r="D5007" s="3">
        <v>0.0</v>
      </c>
      <c r="E5007" s="3">
        <v>0.0</v>
      </c>
      <c r="F5007" s="3" t="s">
        <v>14363</v>
      </c>
      <c r="G5007" s="3">
        <v>1.0</v>
      </c>
      <c r="H5007" s="3">
        <v>0.0</v>
      </c>
      <c r="I5007" s="3" t="s">
        <v>13</v>
      </c>
      <c r="J5007" s="3" t="s">
        <v>14364</v>
      </c>
      <c r="K5007" s="3" t="s">
        <v>2146</v>
      </c>
      <c r="L5007" s="3" t="str">
        <f>IFERROR(__xludf.DUMMYFUNCTION("GOOGLETRANSLATE(F5007,""id"",""en"")"),"Weve watched the final of the pildun last night because of the baby sleeping on the baby's goal and the score so the husband shouted the living room there was a scene from the neighbor of Nobar, the child was immediately shocked and woke up there grumbled"&amp;" Yunus directly the room and asked for sorry")</f>
        <v>Weve watched the final of the pildun last night because of the baby sleeping on the baby's goal and the score so the husband shouted the living room there was a scene from the neighbor of Nobar, the child was immediately shocked and woke up there grumbled Yunus directly the room and asked for sorry</v>
      </c>
    </row>
    <row r="5008" ht="15.75" customHeight="1">
      <c r="A5008" s="1">
        <v>6178.0</v>
      </c>
      <c r="B5008" s="3" t="s">
        <v>14365</v>
      </c>
      <c r="C5008" s="3">
        <v>0.0</v>
      </c>
      <c r="D5008" s="3">
        <v>0.0</v>
      </c>
      <c r="E5008" s="3">
        <v>0.0</v>
      </c>
      <c r="F5008" s="3" t="s">
        <v>14366</v>
      </c>
      <c r="G5008" s="3">
        <v>1.0</v>
      </c>
      <c r="H5008" s="3">
        <v>0.0</v>
      </c>
      <c r="I5008" s="3" t="s">
        <v>13</v>
      </c>
      <c r="J5008" s="3" t="s">
        <v>14367</v>
      </c>
      <c r="K5008" s="3" t="s">
        <v>50</v>
      </c>
      <c r="L5008" s="3" t="str">
        <f>IFERROR(__xludf.DUMMYFUNCTION("GOOGLETRANSLATE(F5008,""id"",""en"")"),"HAPPENED GAVE Question Yesterday the Final Pildun Kubu Where Mas Asked That")</f>
        <v>HAPPENED GAVE Question Yesterday the Final Pildun Kubu Where Mas Asked That</v>
      </c>
    </row>
    <row r="5009" ht="15.75" customHeight="1">
      <c r="A5009" s="1">
        <v>6179.0</v>
      </c>
      <c r="B5009" s="3" t="s">
        <v>14368</v>
      </c>
      <c r="C5009" s="3">
        <v>1.0</v>
      </c>
      <c r="D5009" s="3">
        <v>0.0</v>
      </c>
      <c r="E5009" s="3">
        <v>0.0</v>
      </c>
      <c r="F5009" s="3" t="s">
        <v>14369</v>
      </c>
      <c r="G5009" s="3">
        <v>1.0</v>
      </c>
      <c r="H5009" s="3">
        <v>0.0</v>
      </c>
      <c r="I5009" s="3" t="s">
        <v>13</v>
      </c>
      <c r="J5009" s="3" t="s">
        <v>14370</v>
      </c>
      <c r="K5009" s="3" t="s">
        <v>82</v>
      </c>
      <c r="L5009" s="3" t="str">
        <f>IFERROR(__xludf.DUMMYFUNCTION("GOOGLETRANSLATE(F5009,""id"",""en"")"),"Askrl Final Pildun Last night there was a re -broadcast")</f>
        <v>Askrl Final Pildun Last night there was a re -broadcast</v>
      </c>
    </row>
    <row r="5010" ht="15.75" customHeight="1">
      <c r="A5010" s="1">
        <v>6180.0</v>
      </c>
      <c r="B5010" s="3" t="s">
        <v>14371</v>
      </c>
      <c r="C5010" s="3">
        <v>0.0</v>
      </c>
      <c r="D5010" s="3">
        <v>0.0</v>
      </c>
      <c r="E5010" s="3">
        <v>1.0</v>
      </c>
      <c r="F5010" s="3" t="s">
        <v>14372</v>
      </c>
      <c r="G5010" s="3">
        <v>0.6</v>
      </c>
      <c r="H5010" s="3">
        <v>-0.05</v>
      </c>
      <c r="I5010" s="3" t="s">
        <v>179</v>
      </c>
      <c r="J5010" s="3" t="s">
        <v>14373</v>
      </c>
      <c r="K5010" s="3" t="s">
        <v>27</v>
      </c>
      <c r="L5010" s="3" t="str">
        <f>IFERROR(__xludf.DUMMYFUNCTION("GOOGLETRANSLATE(F5010,""id"",""en"")"),"The problem is that Dembele Kouse is threatened when the final pildun hopefully their mentality is strong, especially Dembele because if he can't be a curiosity because of the fataldl match of his career, his career is crushed apart")</f>
        <v>The problem is that Dembele Kouse is threatened when the final pildun hopefully their mentality is strong, especially Dembele because if he can't be a curiosity because of the fataldl match of his career, his career is crushed apart</v>
      </c>
    </row>
    <row r="5011" ht="15.75" customHeight="1">
      <c r="A5011" s="1">
        <v>6181.0</v>
      </c>
      <c r="B5011" s="3" t="s">
        <v>14374</v>
      </c>
      <c r="C5011" s="3">
        <v>1.0</v>
      </c>
      <c r="D5011" s="3">
        <v>1.0</v>
      </c>
      <c r="E5011" s="3">
        <v>10.0</v>
      </c>
      <c r="F5011" s="3" t="s">
        <v>14375</v>
      </c>
      <c r="G5011" s="3">
        <v>0.7</v>
      </c>
      <c r="H5011" s="3">
        <v>0.05</v>
      </c>
      <c r="I5011" s="3" t="s">
        <v>48</v>
      </c>
      <c r="J5011" s="3" t="s">
        <v>14376</v>
      </c>
      <c r="K5011" s="3" t="s">
        <v>13588</v>
      </c>
      <c r="L5011" s="3" t="str">
        <f>IFERROR(__xludf.DUMMYFUNCTION("GOOGLETRANSLATE(F5011,""id"",""en"")"),"For the rich people, I know, just Ronaldo and Messi from a small cave, the moment, the moment, really made the hazy bombay, the first time watching the pildun, he was right until the end was immediately presented with the final match of the epic earlier")</f>
        <v>For the rich people, I know, just Ronaldo and Messi from a small cave, the moment, the moment, really made the hazy bombay, the first time watching the pildun, he was right until the end was immediately presented with the final match of the epic earlier</v>
      </c>
    </row>
    <row r="5012" ht="15.75" customHeight="1">
      <c r="A5012" s="1">
        <v>6182.0</v>
      </c>
      <c r="B5012" s="3" t="s">
        <v>14377</v>
      </c>
      <c r="C5012" s="3">
        <v>1.0</v>
      </c>
      <c r="D5012" s="3">
        <v>0.0</v>
      </c>
      <c r="E5012" s="3">
        <v>0.0</v>
      </c>
      <c r="F5012" s="3" t="s">
        <v>14378</v>
      </c>
      <c r="G5012" s="3">
        <v>1.0</v>
      </c>
      <c r="H5012" s="3">
        <v>0.0</v>
      </c>
      <c r="I5012" s="3" t="s">
        <v>13</v>
      </c>
      <c r="J5012" s="3" t="s">
        <v>14379</v>
      </c>
      <c r="K5012" s="3" t="s">
        <v>41</v>
      </c>
      <c r="L5012" s="3" t="str">
        <f>IFERROR(__xludf.DUMMYFUNCTION("GOOGLETRANSLATE(F5012,""id"",""en"")"),"really forgot the war arctic ticket because of the final pildun blokkkk")</f>
        <v>really forgot the war arctic ticket because of the final pildun blokkkk</v>
      </c>
    </row>
    <row r="5013" ht="15.75" customHeight="1">
      <c r="A5013" s="1">
        <v>6183.0</v>
      </c>
      <c r="B5013" s="3" t="s">
        <v>14380</v>
      </c>
      <c r="C5013" s="3">
        <v>1.0</v>
      </c>
      <c r="D5013" s="3">
        <v>0.0</v>
      </c>
      <c r="E5013" s="3">
        <v>0.0</v>
      </c>
      <c r="F5013" s="3" t="s">
        <v>14381</v>
      </c>
      <c r="G5013" s="3">
        <v>1.0</v>
      </c>
      <c r="H5013" s="3">
        <v>0.0</v>
      </c>
      <c r="I5013" s="3" t="s">
        <v>13</v>
      </c>
      <c r="J5013" s="3" t="s">
        <v>14382</v>
      </c>
      <c r="K5013" s="3" t="s">
        <v>50</v>
      </c>
      <c r="L5013" s="3" t="str">
        <f>IFERROR(__xludf.DUMMYFUNCTION("GOOGLETRANSLATE(F5013,""id"",""en"")"),"Crazy, my Chancellor turned out to be Qatar immediately watched the final pildun initially believed but there was a video")</f>
        <v>Crazy, my Chancellor turned out to be Qatar immediately watched the final pildun initially believed but there was a video</v>
      </c>
    </row>
    <row r="5014" ht="15.75" customHeight="1">
      <c r="A5014" s="1">
        <v>6184.0</v>
      </c>
      <c r="B5014" s="3" t="s">
        <v>14383</v>
      </c>
      <c r="C5014" s="3">
        <v>0.0</v>
      </c>
      <c r="D5014" s="3">
        <v>0.0</v>
      </c>
      <c r="E5014" s="3">
        <v>0.0</v>
      </c>
      <c r="F5014" s="3" t="s">
        <v>14384</v>
      </c>
      <c r="G5014" s="3">
        <v>1.0</v>
      </c>
      <c r="H5014" s="3">
        <v>0.0</v>
      </c>
      <c r="I5014" s="3" t="s">
        <v>13</v>
      </c>
      <c r="J5014" s="3" t="s">
        <v>14385</v>
      </c>
      <c r="K5014" s="3" t="s">
        <v>3456</v>
      </c>
      <c r="L5014" s="3" t="str">
        <f>IFERROR(__xludf.DUMMYFUNCTION("GOOGLETRANSLATE(F5014,""id"",""en"")"),"Until he was hurt and cried during the final pildun because of Gotze hoped that the Copa America was full yesterday and could also be just Dodo fans, and were not satisfied if they had not received the World Cup and Now the Time Procailer the Mouths the H"&amp;"aters")</f>
        <v>Until he was hurt and cried during the final pildun because of Gotze hoped that the Copa America was full yesterday and could also be just Dodo fans, and were not satisfied if they had not received the World Cup and Now the Time Procailer the Mouths the Haters</v>
      </c>
    </row>
    <row r="5015" ht="15.75" customHeight="1">
      <c r="A5015" s="1">
        <v>6185.0</v>
      </c>
      <c r="B5015" s="3" t="s">
        <v>14386</v>
      </c>
      <c r="C5015" s="3">
        <v>0.0</v>
      </c>
      <c r="D5015" s="3">
        <v>0.0</v>
      </c>
      <c r="E5015" s="3">
        <v>0.0</v>
      </c>
      <c r="F5015" s="3" t="s">
        <v>14387</v>
      </c>
      <c r="G5015" s="3">
        <v>0.65</v>
      </c>
      <c r="H5015" s="3">
        <v>0.5</v>
      </c>
      <c r="I5015" s="3" t="s">
        <v>48</v>
      </c>
      <c r="J5015" s="3" t="s">
        <v>14388</v>
      </c>
      <c r="K5015" s="3" t="s">
        <v>1045</v>
      </c>
      <c r="L5015" s="3" t="str">
        <f>IFERROR(__xludf.DUMMYFUNCTION("GOOGLETRANSLATE(F5015,""id"",""en"")"),"Messi The Best Football Player The World finally perfects the acquisition of the trophy in his career Goat Goat remember when watching the final pildun nyesek really today he finally got it today")</f>
        <v>Messi The Best Football Player The World finally perfects the acquisition of the trophy in his career Goat Goat remember when watching the final pildun nyesek really today he finally got it today</v>
      </c>
    </row>
    <row r="5016" ht="15.75" customHeight="1">
      <c r="A5016" s="1">
        <v>6186.0</v>
      </c>
      <c r="B5016" s="3" t="s">
        <v>14389</v>
      </c>
      <c r="C5016" s="3">
        <v>0.0</v>
      </c>
      <c r="D5016" s="3">
        <v>0.0</v>
      </c>
      <c r="E5016" s="3">
        <v>0.0</v>
      </c>
      <c r="F5016" s="3" t="s">
        <v>14390</v>
      </c>
      <c r="G5016" s="3">
        <v>1.0</v>
      </c>
      <c r="H5016" s="3">
        <v>0.0</v>
      </c>
      <c r="I5016" s="3" t="s">
        <v>13</v>
      </c>
      <c r="J5016" s="3" t="s">
        <v>14391</v>
      </c>
      <c r="K5016" s="3" t="s">
        <v>123</v>
      </c>
      <c r="L5016" s="3" t="str">
        <f>IFERROR(__xludf.DUMMYFUNCTION("GOOGLETRANSLATE(F5016,""id"",""en"")"),"the intention of watching the final of the male pildun but instead watching until he feels dejavu with my friend first yha")</f>
        <v>the intention of watching the final of the male pildun but instead watching until he feels dejavu with my friend first yha</v>
      </c>
    </row>
    <row r="5017" ht="15.75" customHeight="1">
      <c r="A5017" s="1">
        <v>6187.0</v>
      </c>
      <c r="B5017" s="3" t="s">
        <v>14392</v>
      </c>
      <c r="C5017" s="3">
        <v>0.0</v>
      </c>
      <c r="D5017" s="3">
        <v>0.0</v>
      </c>
      <c r="E5017" s="3">
        <v>0.0</v>
      </c>
      <c r="F5017" s="3" t="s">
        <v>14393</v>
      </c>
      <c r="G5017" s="3">
        <v>1.0</v>
      </c>
      <c r="H5017" s="3">
        <v>0.0</v>
      </c>
      <c r="I5017" s="3" t="s">
        <v>13</v>
      </c>
      <c r="J5017" s="3" t="s">
        <v>14394</v>
      </c>
      <c r="K5017" s="3" t="s">
        <v>54</v>
      </c>
      <c r="L5017" s="3" t="str">
        <f>IFERROR(__xludf.DUMMYFUNCTION("GOOGLETRANSLATE(F5017,""id"",""en"")"),"Understandably Akeh Wong Poseng Mari Final Pildun")</f>
        <v>Understandably Akeh Wong Poseng Mari Final Pildun</v>
      </c>
    </row>
    <row r="5018" ht="15.75" customHeight="1">
      <c r="A5018" s="1">
        <v>6188.0</v>
      </c>
      <c r="B5018" s="3" t="s">
        <v>14395</v>
      </c>
      <c r="C5018" s="3">
        <v>1.0</v>
      </c>
      <c r="D5018" s="3">
        <v>0.0</v>
      </c>
      <c r="E5018" s="3">
        <v>0.0</v>
      </c>
      <c r="F5018" s="3" t="s">
        <v>14396</v>
      </c>
      <c r="G5018" s="3">
        <v>0.6833333333333332</v>
      </c>
      <c r="H5018" s="3">
        <v>0.1621212121212121</v>
      </c>
      <c r="I5018" s="3" t="s">
        <v>48</v>
      </c>
      <c r="J5018" s="3" t="s">
        <v>14397</v>
      </c>
      <c r="K5018" s="3" t="s">
        <v>50</v>
      </c>
      <c r="L5018" s="3" t="str">
        <f>IFERROR(__xludf.DUMMYFUNCTION("GOOGLETRANSLATE(F5018,""id"",""en"")"),"Boyoken Goro Dadi Admin Streaming Live Commentary Final Pildun Full Luar")</f>
        <v>Boyoken Goro Dadi Admin Streaming Live Commentary Final Pildun Full Luar</v>
      </c>
    </row>
    <row r="5019" ht="15.75" customHeight="1">
      <c r="A5019" s="1">
        <v>6189.0</v>
      </c>
      <c r="B5019" s="3" t="s">
        <v>14398</v>
      </c>
      <c r="C5019" s="3">
        <v>0.0</v>
      </c>
      <c r="D5019" s="3">
        <v>0.0</v>
      </c>
      <c r="E5019" s="3">
        <v>0.0</v>
      </c>
      <c r="F5019" s="3" t="s">
        <v>14399</v>
      </c>
      <c r="G5019" s="3">
        <v>1.0</v>
      </c>
      <c r="H5019" s="3">
        <v>0.0</v>
      </c>
      <c r="I5019" s="3" t="s">
        <v>13</v>
      </c>
      <c r="J5019" s="3" t="s">
        <v>14400</v>
      </c>
      <c r="K5019" s="3" t="s">
        <v>19</v>
      </c>
      <c r="L5019" s="3" t="str">
        <f>IFERROR(__xludf.DUMMYFUNCTION("GOOGLETRANSLATE(F5019,""id"",""en"")"),"Buy Tipi for the sake of the final pildun's final, but I haven't come until this day")</f>
        <v>Buy Tipi for the sake of the final pildun's final, but I haven't come until this day</v>
      </c>
    </row>
    <row r="5020" ht="15.75" customHeight="1">
      <c r="A5020" s="1">
        <v>6190.0</v>
      </c>
      <c r="B5020" s="3" t="s">
        <v>14401</v>
      </c>
      <c r="C5020" s="3">
        <v>0.0</v>
      </c>
      <c r="D5020" s="3">
        <v>0.0</v>
      </c>
      <c r="E5020" s="3">
        <v>0.0</v>
      </c>
      <c r="F5020" s="3" t="s">
        <v>14402</v>
      </c>
      <c r="G5020" s="3">
        <v>1.0</v>
      </c>
      <c r="H5020" s="3">
        <v>0.0</v>
      </c>
      <c r="I5020" s="3" t="s">
        <v>13</v>
      </c>
      <c r="J5020" s="3" t="s">
        <v>14403</v>
      </c>
      <c r="K5020" s="3" t="s">
        <v>41</v>
      </c>
      <c r="L5020" s="3" t="str">
        <f>IFERROR(__xludf.DUMMYFUNCTION("GOOGLETRANSLATE(F5020,""id"",""en"")"),"Believe me I pass the final of the Pildun once a year for inauguration")</f>
        <v>Believe me I pass the final of the Pildun once a year for inauguration</v>
      </c>
    </row>
    <row r="5021" ht="15.75" customHeight="1">
      <c r="A5021" s="1">
        <v>6191.0</v>
      </c>
      <c r="B5021" s="3" t="s">
        <v>14404</v>
      </c>
      <c r="C5021" s="3">
        <v>0.0</v>
      </c>
      <c r="D5021" s="3">
        <v>0.0</v>
      </c>
      <c r="E5021" s="3">
        <v>2.0</v>
      </c>
      <c r="F5021" s="3" t="s">
        <v>14405</v>
      </c>
      <c r="G5021" s="3">
        <v>0.7</v>
      </c>
      <c r="H5021" s="3">
        <v>0.05</v>
      </c>
      <c r="I5021" s="3" t="s">
        <v>48</v>
      </c>
      <c r="J5021" s="3" t="s">
        <v>14406</v>
      </c>
      <c r="K5021" s="3" t="s">
        <v>31</v>
      </c>
      <c r="L5021" s="3" t="str">
        <f>IFERROR(__xludf.DUMMYFUNCTION("GOOGLETRANSLATE(F5021,""id"",""en"")"),"Epic BGT Final Pildun last night")</f>
        <v>Epic BGT Final Pildun last night</v>
      </c>
    </row>
    <row r="5022" ht="15.75" customHeight="1">
      <c r="A5022" s="1">
        <v>6192.0</v>
      </c>
      <c r="B5022" s="3" t="s">
        <v>14407</v>
      </c>
      <c r="C5022" s="3">
        <v>0.0</v>
      </c>
      <c r="D5022" s="3">
        <v>0.0</v>
      </c>
      <c r="E5022" s="3">
        <v>0.0</v>
      </c>
      <c r="F5022" s="3" t="s">
        <v>14408</v>
      </c>
      <c r="G5022" s="3">
        <v>0.7244444444444443</v>
      </c>
      <c r="H5022" s="3">
        <v>0.02222222222222222</v>
      </c>
      <c r="I5022" s="3" t="s">
        <v>48</v>
      </c>
      <c r="J5022" s="3" t="s">
        <v>14409</v>
      </c>
      <c r="K5022" s="3" t="s">
        <v>228</v>
      </c>
      <c r="L5022" s="3" t="str">
        <f>IFERROR(__xludf.DUMMYFUNCTION("GOOGLETRANSLATE(F5022,""id"",""en"")"),"Honestly, Unexpected Pildun from the country out to large until the performance of the country is declining this time but entered the semi -finals is really exciting, the best finals are really the best heart exercises like pildu")</f>
        <v>Honestly, Unexpected Pildun from the country out to large until the performance of the country is declining this time but entered the semi -finals is really exciting, the best finals are really the best heart exercises like pildu</v>
      </c>
    </row>
    <row r="5023" ht="15.75" customHeight="1">
      <c r="A5023" s="1">
        <v>6193.0</v>
      </c>
      <c r="B5023" s="3" t="s">
        <v>14410</v>
      </c>
      <c r="C5023" s="3">
        <v>0.0</v>
      </c>
      <c r="D5023" s="3">
        <v>0.0</v>
      </c>
      <c r="E5023" s="3">
        <v>0.0</v>
      </c>
      <c r="F5023" s="3" t="s">
        <v>14411</v>
      </c>
      <c r="G5023" s="3">
        <v>1.0</v>
      </c>
      <c r="H5023" s="3">
        <v>0.0</v>
      </c>
      <c r="I5023" s="3" t="s">
        <v>13</v>
      </c>
      <c r="J5023" s="3" t="s">
        <v>14412</v>
      </c>
      <c r="K5023" s="3" t="s">
        <v>31</v>
      </c>
      <c r="L5023" s="3" t="str">
        <f>IFERROR(__xludf.DUMMYFUNCTION("GOOGLETRANSLATE(F5023,""id"",""en"")"),"Dagdigdug is more than the Ajnirrrrrrrrrrrrrrrrrrrrrrrrrilian")</f>
        <v>Dagdigdug is more than the Ajnirrrrrrrrrrrrrrrrrrrrrrrrrilian</v>
      </c>
    </row>
    <row r="5024" ht="15.75" customHeight="1">
      <c r="A5024" s="1">
        <v>6194.0</v>
      </c>
      <c r="B5024" s="3" t="s">
        <v>14413</v>
      </c>
      <c r="C5024" s="3">
        <v>0.0</v>
      </c>
      <c r="D5024" s="3">
        <v>0.0</v>
      </c>
      <c r="E5024" s="3">
        <v>0.0</v>
      </c>
      <c r="F5024" s="3" t="s">
        <v>14413</v>
      </c>
      <c r="G5024" s="3">
        <v>0.7</v>
      </c>
      <c r="H5024" s="3">
        <v>0.1</v>
      </c>
      <c r="I5024" s="3" t="s">
        <v>48</v>
      </c>
      <c r="J5024" s="3" t="s">
        <v>14414</v>
      </c>
      <c r="K5024" s="3" t="s">
        <v>75</v>
      </c>
      <c r="L5024" s="3" t="str">
        <f>IFERROR(__xludf.DUMMYFUNCTION("GOOGLETRANSLATE(F5024,""id"",""en"")"),"because the final pildun is more exciting than your whole existence mbak")</f>
        <v>because the final pildun is more exciting than your whole existence mbak</v>
      </c>
    </row>
    <row r="5025" ht="15.75" customHeight="1">
      <c r="A5025" s="1">
        <v>6195.0</v>
      </c>
      <c r="B5025" s="3" t="s">
        <v>14415</v>
      </c>
      <c r="C5025" s="3">
        <v>0.0</v>
      </c>
      <c r="D5025" s="3">
        <v>0.0</v>
      </c>
      <c r="E5025" s="3">
        <v>0.0</v>
      </c>
      <c r="F5025" s="3" t="s">
        <v>14416</v>
      </c>
      <c r="G5025" s="3">
        <v>1.0</v>
      </c>
      <c r="H5025" s="3">
        <v>0.0</v>
      </c>
      <c r="I5025" s="3" t="s">
        <v>13</v>
      </c>
      <c r="J5025" s="3" t="s">
        <v>14417</v>
      </c>
      <c r="K5025" s="3" t="s">
        <v>510</v>
      </c>
      <c r="L5025" s="3" t="str">
        <f>IFERROR(__xludf.DUMMYFUNCTION("GOOGLETRANSLATE(F5025,""id"",""en"")"),"Redsindo is honest from the beginning of finding a scuad of Qatar Pildun, but until the final of the SMALAM Final match there is no CMIIW")</f>
        <v>Redsindo is honest from the beginning of finding a scuad of Qatar Pildun, but until the final of the SMALAM Final match there is no CMIIW</v>
      </c>
    </row>
    <row r="5026" ht="15.75" customHeight="1">
      <c r="A5026" s="1">
        <v>6196.0</v>
      </c>
      <c r="B5026" s="3" t="s">
        <v>14418</v>
      </c>
      <c r="C5026" s="3">
        <v>0.0</v>
      </c>
      <c r="D5026" s="3">
        <v>0.0</v>
      </c>
      <c r="E5026" s="3">
        <v>0.0</v>
      </c>
      <c r="F5026" s="3" t="s">
        <v>14418</v>
      </c>
      <c r="G5026" s="3">
        <v>1.0</v>
      </c>
      <c r="H5026" s="3">
        <v>0.0</v>
      </c>
      <c r="I5026" s="3" t="s">
        <v>13</v>
      </c>
      <c r="J5026" s="3" t="s">
        <v>14419</v>
      </c>
      <c r="K5026" s="3" t="s">
        <v>54</v>
      </c>
      <c r="L5026" s="3" t="str">
        <f>IFERROR(__xludf.DUMMYFUNCTION("GOOGLETRANSLATE(F5026,""id"",""en"")"),"Final Pildun is pretty good for heart exercises")</f>
        <v>Final Pildun is pretty good for heart exercises</v>
      </c>
    </row>
    <row r="5027" ht="15.75" customHeight="1">
      <c r="A5027" s="1">
        <v>6197.0</v>
      </c>
      <c r="B5027" s="3" t="s">
        <v>14420</v>
      </c>
      <c r="C5027" s="3">
        <v>0.0</v>
      </c>
      <c r="D5027" s="3">
        <v>0.0</v>
      </c>
      <c r="E5027" s="3">
        <v>0.0</v>
      </c>
      <c r="F5027" s="3" t="s">
        <v>13726</v>
      </c>
      <c r="G5027" s="3">
        <v>1.0</v>
      </c>
      <c r="H5027" s="3">
        <v>0.0</v>
      </c>
      <c r="I5027" s="3" t="s">
        <v>13</v>
      </c>
      <c r="J5027" s="3" t="s">
        <v>13727</v>
      </c>
      <c r="K5027" s="3" t="s">
        <v>1854</v>
      </c>
      <c r="L5027" s="3" t="str">
        <f>IFERROR(__xludf.DUMMYFUNCTION("GOOGLETRANSLATE(F5027,""id"",""en"")"),"Upload content about Final Social Media Pildun You may be created in the form of a video to make it more interesting for caption as attractive as possible by using IndiHome keywords and Hastags Make sure the caption and content are appropriate not to UPL")</f>
        <v>Upload content about Final Social Media Pildun You may be created in the form of a video to make it more interesting for caption as attractive as possible by using IndiHome keywords and Hastags Make sure the caption and content are appropriate not to UPL</v>
      </c>
    </row>
    <row r="5028" ht="15.75" customHeight="1">
      <c r="A5028" s="1">
        <v>6198.0</v>
      </c>
      <c r="B5028" s="3" t="s">
        <v>14421</v>
      </c>
      <c r="C5028" s="3">
        <v>0.0</v>
      </c>
      <c r="D5028" s="3">
        <v>0.0</v>
      </c>
      <c r="E5028" s="3">
        <v>0.0</v>
      </c>
      <c r="F5028" s="3" t="s">
        <v>14422</v>
      </c>
      <c r="G5028" s="3">
        <v>1.0</v>
      </c>
      <c r="H5028" s="3">
        <v>0.0</v>
      </c>
      <c r="I5028" s="3" t="s">
        <v>13</v>
      </c>
      <c r="J5028" s="3" t="s">
        <v>14423</v>
      </c>
      <c r="K5028" s="3" t="s">
        <v>433</v>
      </c>
      <c r="L5028" s="3" t="str">
        <f>IFERROR(__xludf.DUMMYFUNCTION("GOOGLETRANSLATE(F5028,""id"",""en"")"),"what final has been a pioneh edition of the final, a lot of goals should be final like this")</f>
        <v>what final has been a pioneh edition of the final, a lot of goals should be final like this</v>
      </c>
    </row>
    <row r="5029" ht="15.75" customHeight="1">
      <c r="A5029" s="1">
        <v>6199.0</v>
      </c>
      <c r="B5029" s="3" t="s">
        <v>14424</v>
      </c>
      <c r="C5029" s="3">
        <v>0.0</v>
      </c>
      <c r="D5029" s="3">
        <v>0.0</v>
      </c>
      <c r="E5029" s="3">
        <v>0.0</v>
      </c>
      <c r="F5029" s="3" t="s">
        <v>14425</v>
      </c>
      <c r="G5029" s="3">
        <v>0.775</v>
      </c>
      <c r="H5029" s="3">
        <v>0.175</v>
      </c>
      <c r="I5029" s="3" t="s">
        <v>48</v>
      </c>
      <c r="J5029" s="3" t="s">
        <v>14426</v>
      </c>
      <c r="K5029" s="3" t="s">
        <v>633</v>
      </c>
      <c r="L5029" s="3" t="str">
        <f>IFERROR(__xludf.DUMMYFUNCTION("GOOGLETRANSLATE(F5029,""id"",""en"")"),"once watched full pildun until the end of the match last night when the final before it was never settled until I skip it, yeah, it's sleepy")</f>
        <v>once watched full pildun until the end of the match last night when the final before it was never settled until I skip it, yeah, it's sleepy</v>
      </c>
    </row>
    <row r="5030" ht="15.75" customHeight="1">
      <c r="A5030" s="1">
        <v>6200.0</v>
      </c>
      <c r="B5030" s="3" t="s">
        <v>14427</v>
      </c>
      <c r="C5030" s="3">
        <v>0.0</v>
      </c>
      <c r="D5030" s="3">
        <v>0.0</v>
      </c>
      <c r="E5030" s="3">
        <v>0.0</v>
      </c>
      <c r="F5030" s="3" t="s">
        <v>14428</v>
      </c>
      <c r="G5030" s="3">
        <v>1.0</v>
      </c>
      <c r="H5030" s="3">
        <v>0.0</v>
      </c>
      <c r="I5030" s="3" t="s">
        <v>13</v>
      </c>
      <c r="J5030" s="3" t="s">
        <v>14429</v>
      </c>
      <c r="K5030" s="3" t="s">
        <v>71</v>
      </c>
      <c r="L5030" s="3" t="str">
        <f>IFERROR(__xludf.DUMMYFUNCTION("GOOGLETRANSLATE(F5030,""id"",""en"")"),"I watched the final pildun but why did it feel sorry for Mbappe, unfortunately, Sliweran was grandiose")</f>
        <v>I watched the final pildun but why did it feel sorry for Mbappe, unfortunately, Sliweran was grandiose</v>
      </c>
    </row>
    <row r="5031" ht="15.75" customHeight="1">
      <c r="A5031" s="1">
        <v>6201.0</v>
      </c>
      <c r="B5031" s="3" t="s">
        <v>14430</v>
      </c>
      <c r="C5031" s="3">
        <v>0.0</v>
      </c>
      <c r="D5031" s="3">
        <v>0.0</v>
      </c>
      <c r="E5031" s="3">
        <v>0.0</v>
      </c>
      <c r="F5031" s="3" t="s">
        <v>14431</v>
      </c>
      <c r="G5031" s="3">
        <v>1.0</v>
      </c>
      <c r="H5031" s="3">
        <v>0.0</v>
      </c>
      <c r="I5031" s="3" t="s">
        <v>13</v>
      </c>
      <c r="J5031" s="3" t="s">
        <v>14432</v>
      </c>
      <c r="K5031" s="3" t="s">
        <v>437</v>
      </c>
      <c r="L5031" s="3" t="str">
        <f>IFERROR(__xludf.DUMMYFUNCTION("GOOGLETRANSLATE(F5031,""id"",""en"")"),"as long as the final clay the pildun earlier night the French president was like the role of Oppa oppa President Drakor")</f>
        <v>as long as the final clay the pildun earlier night the French president was like the role of Oppa oppa President Drakor</v>
      </c>
    </row>
    <row r="5032" ht="15.75" customHeight="1">
      <c r="A5032" s="1">
        <v>6202.0</v>
      </c>
      <c r="B5032" s="3" t="s">
        <v>14433</v>
      </c>
      <c r="C5032" s="3">
        <v>50.0</v>
      </c>
      <c r="D5032" s="3">
        <v>0.0</v>
      </c>
      <c r="E5032" s="3">
        <v>6.0</v>
      </c>
      <c r="F5032" s="3" t="s">
        <v>14434</v>
      </c>
      <c r="G5032" s="3">
        <v>1.0</v>
      </c>
      <c r="H5032" s="3">
        <v>0.0</v>
      </c>
      <c r="I5032" s="3" t="s">
        <v>13</v>
      </c>
      <c r="J5032" s="3" t="s">
        <v>14435</v>
      </c>
      <c r="K5032" s="3" t="s">
        <v>41</v>
      </c>
      <c r="L5032" s="3" t="str">
        <f>IFERROR(__xludf.DUMMYFUNCTION("GOOGLETRANSLATE(F5032,""id"",""en"")"),"Watching the final pildun is the reason what is fond of the ball is sleepy")</f>
        <v>Watching the final pildun is the reason what is fond of the ball is sleepy</v>
      </c>
    </row>
    <row r="5033" ht="15.75" customHeight="1">
      <c r="A5033" s="1">
        <v>6203.0</v>
      </c>
      <c r="B5033" s="3" t="s">
        <v>14436</v>
      </c>
      <c r="C5033" s="3">
        <v>1.0</v>
      </c>
      <c r="D5033" s="3">
        <v>0.0</v>
      </c>
      <c r="E5033" s="3">
        <v>0.0</v>
      </c>
      <c r="F5033" s="3" t="s">
        <v>14437</v>
      </c>
      <c r="G5033" s="3">
        <v>1.0</v>
      </c>
      <c r="H5033" s="3">
        <v>0.0</v>
      </c>
      <c r="I5033" s="3" t="s">
        <v>13</v>
      </c>
      <c r="J5033" s="3" t="s">
        <v>14438</v>
      </c>
      <c r="K5033" s="3" t="s">
        <v>236</v>
      </c>
      <c r="L5033" s="3" t="str">
        <f>IFERROR(__xludf.DUMMYFUNCTION("GOOGLETRANSLATE(F5033,""id"",""en"")"),"Final Pildun exciting compared to the previous edition of the EMG team deserved Final")</f>
        <v>Final Pildun exciting compared to the previous edition of the EMG team deserved Final</v>
      </c>
    </row>
    <row r="5034" ht="15.75" customHeight="1">
      <c r="A5034" s="1">
        <v>6204.0</v>
      </c>
      <c r="B5034" s="3" t="s">
        <v>14439</v>
      </c>
      <c r="C5034" s="3">
        <v>0.0</v>
      </c>
      <c r="D5034" s="3">
        <v>0.0</v>
      </c>
      <c r="E5034" s="3">
        <v>1.0</v>
      </c>
      <c r="F5034" s="3" t="s">
        <v>14440</v>
      </c>
      <c r="G5034" s="3">
        <v>1.0</v>
      </c>
      <c r="H5034" s="3">
        <v>0.0</v>
      </c>
      <c r="I5034" s="3" t="s">
        <v>13</v>
      </c>
      <c r="J5034" s="3" t="s">
        <v>14441</v>
      </c>
      <c r="K5034" s="3" t="s">
        <v>657</v>
      </c>
      <c r="L5034" s="3" t="str">
        <f>IFERROR(__xludf.DUMMYFUNCTION("GOOGLETRANSLATE(F5034,""id"",""en"")"),"Messi Champion Pildun and Mbape Print Hetrik Final and Get the Best Golden Shoes in Cool Negotiations")</f>
        <v>Messi Champion Pildun and Mbape Print Hetrik Final and Get the Best Golden Shoes in Cool Negotiations</v>
      </c>
    </row>
    <row r="5035" ht="15.75" customHeight="1">
      <c r="A5035" s="1">
        <v>6205.0</v>
      </c>
      <c r="B5035" s="3" t="s">
        <v>14442</v>
      </c>
      <c r="C5035" s="3">
        <v>0.0</v>
      </c>
      <c r="D5035" s="3">
        <v>0.0</v>
      </c>
      <c r="E5035" s="3">
        <v>0.0</v>
      </c>
      <c r="F5035" s="3" t="s">
        <v>14443</v>
      </c>
      <c r="G5035" s="3">
        <v>1.0</v>
      </c>
      <c r="H5035" s="3">
        <v>0.0</v>
      </c>
      <c r="I5035" s="3" t="s">
        <v>13</v>
      </c>
      <c r="J5035" s="3" t="s">
        <v>14444</v>
      </c>
      <c r="K5035" s="3" t="s">
        <v>82</v>
      </c>
      <c r="L5035" s="3" t="str">
        <f>IFERROR(__xludf.DUMMYFUNCTION("GOOGLETRANSLATE(F5035,""id"",""en"")"),"doi doang can already look the pildun final penalty")</f>
        <v>doi doang can already look the pildun final penalty</v>
      </c>
    </row>
    <row r="5036" ht="15.75" customHeight="1">
      <c r="A5036" s="1">
        <v>6206.0</v>
      </c>
      <c r="B5036" s="3" t="s">
        <v>14445</v>
      </c>
      <c r="C5036" s="3">
        <v>1.0</v>
      </c>
      <c r="D5036" s="3">
        <v>3.0</v>
      </c>
      <c r="E5036" s="3">
        <v>7.0</v>
      </c>
      <c r="F5036" s="3" t="s">
        <v>14446</v>
      </c>
      <c r="G5036" s="3">
        <v>1.0</v>
      </c>
      <c r="H5036" s="3">
        <v>0.0</v>
      </c>
      <c r="I5036" s="3" t="s">
        <v>13</v>
      </c>
      <c r="J5036" s="3" t="s">
        <v>14447</v>
      </c>
      <c r="K5036" s="3" t="s">
        <v>1699</v>
      </c>
      <c r="L5036" s="3" t="str">
        <f>IFERROR(__xludf.DUMMYFUNCTION("GOOGLETRANSLATE(F5036,""id"",""en"")"),"Time champion why why is Gabole arrogant deck really penaldog many bacot pildun gaperna until final deck especially fans hadehhhh already songong a lot of stupid bacot too")</f>
        <v>Time champion why why is Gabole arrogant deck really penaldog many bacot pildun gaperna until final deck especially fans hadehhhh already songong a lot of stupid bacot too</v>
      </c>
    </row>
    <row r="5037" ht="15.75" customHeight="1">
      <c r="A5037" s="1">
        <v>6207.0</v>
      </c>
      <c r="B5037" s="3" t="s">
        <v>14448</v>
      </c>
      <c r="C5037" s="3">
        <v>0.0</v>
      </c>
      <c r="D5037" s="3">
        <v>0.0</v>
      </c>
      <c r="E5037" s="3">
        <v>0.0</v>
      </c>
      <c r="F5037" s="3" t="s">
        <v>14449</v>
      </c>
      <c r="G5037" s="3">
        <v>1.0</v>
      </c>
      <c r="H5037" s="3">
        <v>0.0</v>
      </c>
      <c r="I5037" s="3" t="s">
        <v>13</v>
      </c>
      <c r="J5037" s="3" t="s">
        <v>14450</v>
      </c>
      <c r="K5037" s="3" t="s">
        <v>644</v>
      </c>
      <c r="L5037" s="3" t="str">
        <f>IFERROR(__xludf.DUMMYFUNCTION("GOOGLETRANSLATE(F5037,""id"",""en"")"),"Final Madun Cup Pildun")</f>
        <v>Final Madun Cup Pildun</v>
      </c>
    </row>
    <row r="5038" ht="15.75" customHeight="1">
      <c r="A5038" s="1">
        <v>6208.0</v>
      </c>
      <c r="B5038" s="3" t="s">
        <v>14451</v>
      </c>
      <c r="C5038" s="3">
        <v>0.0</v>
      </c>
      <c r="D5038" s="3">
        <v>0.0</v>
      </c>
      <c r="E5038" s="3">
        <v>0.0</v>
      </c>
      <c r="F5038" s="3" t="s">
        <v>14452</v>
      </c>
      <c r="G5038" s="3">
        <v>1.0</v>
      </c>
      <c r="H5038" s="3">
        <v>0.0</v>
      </c>
      <c r="I5038" s="3" t="s">
        <v>13</v>
      </c>
      <c r="J5038" s="3" t="s">
        <v>14453</v>
      </c>
      <c r="K5038" s="3" t="s">
        <v>699</v>
      </c>
      <c r="L5038" s="3" t="str">
        <f>IFERROR(__xludf.DUMMYFUNCTION("GOOGLETRANSLATE(F5038,""id"",""en"")"),"If you are corrupt, you know, bro, for the pildun, because it's the final, there are many fun matches, even the matches are said")</f>
        <v>If you are corrupt, you know, bro, for the pildun, because it's the final, there are many fun matches, even the matches are said</v>
      </c>
    </row>
    <row r="5039" ht="15.75" customHeight="1">
      <c r="A5039" s="1">
        <v>6209.0</v>
      </c>
      <c r="B5039" s="3" t="s">
        <v>14454</v>
      </c>
      <c r="C5039" s="3">
        <v>0.0</v>
      </c>
      <c r="D5039" s="3">
        <v>0.0</v>
      </c>
      <c r="E5039" s="3">
        <v>4.0</v>
      </c>
      <c r="F5039" s="3" t="s">
        <v>14455</v>
      </c>
      <c r="G5039" s="3">
        <v>1.0</v>
      </c>
      <c r="H5039" s="3">
        <v>0.0</v>
      </c>
      <c r="I5039" s="3" t="s">
        <v>13</v>
      </c>
      <c r="J5039" s="3" t="s">
        <v>14456</v>
      </c>
      <c r="K5039" s="3" t="s">
        <v>1414</v>
      </c>
      <c r="L5039" s="3" t="str">
        <f>IFERROR(__xludf.DUMMYFUNCTION("GOOGLETRANSLATE(F5039,""id"",""en"")"),"It's really strange that stupid opinion ngatin Pilduun Qatar is the final, but watching Brazil Croatia watching Arabic Argentina Watch Morocco Belgium Watching Dutch Argentina Watching English French Watching Mending Diem")</f>
        <v>It's really strange that stupid opinion ngatin Pilduun Qatar is the final, but watching Brazil Croatia watching Arabic Argentina Watch Morocco Belgium Watching Dutch Argentina Watching English French Watching Mending Diem</v>
      </c>
    </row>
    <row r="5040" ht="15.75" customHeight="1">
      <c r="A5040" s="1">
        <v>6210.0</v>
      </c>
      <c r="B5040" s="3" t="s">
        <v>14457</v>
      </c>
      <c r="C5040" s="3">
        <v>0.0</v>
      </c>
      <c r="D5040" s="3">
        <v>0.0</v>
      </c>
      <c r="E5040" s="3">
        <v>0.0</v>
      </c>
      <c r="F5040" s="3" t="s">
        <v>14458</v>
      </c>
      <c r="G5040" s="3">
        <v>1.0</v>
      </c>
      <c r="H5040" s="3">
        <v>0.0</v>
      </c>
      <c r="I5040" s="3" t="s">
        <v>13</v>
      </c>
      <c r="J5040" s="3" t="s">
        <v>14459</v>
      </c>
      <c r="K5040" s="3" t="s">
        <v>633</v>
      </c>
      <c r="L5040" s="3" t="str">
        <f>IFERROR(__xludf.DUMMYFUNCTION("GOOGLETRANSLATE(F5040,""id"",""en"")"),"the effect of watching the final pildun after the hours of the time set already wake up again when the lunch breaks can not sleep soundly sleepy a bit dizzy")</f>
        <v>the effect of watching the final pildun after the hours of the time set already wake up again when the lunch breaks can not sleep soundly sleepy a bit dizzy</v>
      </c>
    </row>
    <row r="5041" ht="15.75" customHeight="1">
      <c r="A5041" s="1">
        <v>6211.0</v>
      </c>
      <c r="B5041" s="3" t="s">
        <v>14460</v>
      </c>
      <c r="C5041" s="3">
        <v>85.0</v>
      </c>
      <c r="D5041" s="3">
        <v>1.0</v>
      </c>
      <c r="E5041" s="3">
        <v>77.0</v>
      </c>
      <c r="F5041" s="3" t="s">
        <v>14461</v>
      </c>
      <c r="G5041" s="3">
        <v>0.65</v>
      </c>
      <c r="H5041" s="3">
        <v>0.0</v>
      </c>
      <c r="I5041" s="3" t="s">
        <v>13</v>
      </c>
      <c r="J5041" s="3" t="s">
        <v>14462</v>
      </c>
      <c r="K5041" s="3" t="s">
        <v>205</v>
      </c>
      <c r="L5041" s="3" t="str">
        <f>IFERROR(__xludf.DUMMYFUNCTION("GOOGLETRANSLATE(F5041,""id"",""en"")"),"Contains Pair Ushiten Drama Final Pildun Where Tendou Stan For France While Ushijima Stan For Argentina Want to be Short Nii Drop")</f>
        <v>Contains Pair Ushiten Drama Final Pildun Where Tendou Stan For France While Ushijima Stan For Argentina Want to be Short Nii Drop</v>
      </c>
    </row>
    <row r="5042" ht="15.75" customHeight="1">
      <c r="A5042" s="1">
        <v>6212.0</v>
      </c>
      <c r="B5042" s="3" t="s">
        <v>14463</v>
      </c>
      <c r="C5042" s="3">
        <v>0.0</v>
      </c>
      <c r="D5042" s="3">
        <v>0.0</v>
      </c>
      <c r="E5042" s="3">
        <v>0.0</v>
      </c>
      <c r="F5042" s="3" t="s">
        <v>14464</v>
      </c>
      <c r="G5042" s="3">
        <v>1.0</v>
      </c>
      <c r="H5042" s="3">
        <v>0.0</v>
      </c>
      <c r="I5042" s="3" t="s">
        <v>13</v>
      </c>
      <c r="J5042" s="3" t="s">
        <v>14465</v>
      </c>
      <c r="K5042" s="3" t="s">
        <v>71</v>
      </c>
      <c r="L5042" s="3" t="str">
        <f>IFERROR(__xludf.DUMMYFUNCTION("GOOGLETRANSLATE(F5042,""id"",""en"")"),"In the beginning before the implementation was normal, it wasn't like the first time it turned out to start the group phase to the final final")</f>
        <v>In the beginning before the implementation was normal, it wasn't like the first time it turned out to start the group phase to the final final</v>
      </c>
    </row>
    <row r="5043" ht="15.75" customHeight="1">
      <c r="A5043" s="1">
        <v>6213.0</v>
      </c>
      <c r="B5043" s="3" t="s">
        <v>14466</v>
      </c>
      <c r="C5043" s="3">
        <v>0.0</v>
      </c>
      <c r="D5043" s="3">
        <v>0.0</v>
      </c>
      <c r="E5043" s="3">
        <v>0.0</v>
      </c>
      <c r="F5043" s="3" t="s">
        <v>14467</v>
      </c>
      <c r="G5043" s="3">
        <v>1.0</v>
      </c>
      <c r="H5043" s="3">
        <v>0.0</v>
      </c>
      <c r="I5043" s="3" t="s">
        <v>13</v>
      </c>
      <c r="J5043" s="3" t="s">
        <v>14468</v>
      </c>
      <c r="K5043" s="3" t="s">
        <v>215</v>
      </c>
      <c r="L5043" s="3" t="str">
        <f>IFERROR(__xludf.DUMMYFUNCTION("GOOGLETRANSLATE(F5043,""id"",""en"")"),"disagree with the words pildun qatar really helped the final like this if watching from the beginning of the tournament until the final there is a lot of excitement, many unexpected")</f>
        <v>disagree with the words pildun qatar really helped the final like this if watching from the beginning of the tournament until the final there is a lot of excitement, many unexpected</v>
      </c>
    </row>
    <row r="5044" ht="15.75" customHeight="1">
      <c r="A5044" s="1">
        <v>6214.0</v>
      </c>
      <c r="B5044" s="3" t="s">
        <v>14469</v>
      </c>
      <c r="C5044" s="3">
        <v>0.0</v>
      </c>
      <c r="D5044" s="3">
        <v>0.0</v>
      </c>
      <c r="E5044" s="3">
        <v>0.0</v>
      </c>
      <c r="F5044" s="3" t="s">
        <v>14470</v>
      </c>
      <c r="G5044" s="3">
        <v>1.0</v>
      </c>
      <c r="H5044" s="3">
        <v>0.0</v>
      </c>
      <c r="I5044" s="3" t="s">
        <v>13</v>
      </c>
      <c r="J5044" s="3" t="s">
        <v>14471</v>
      </c>
      <c r="K5044" s="3" t="s">
        <v>127</v>
      </c>
      <c r="L5044" s="3" t="str">
        <f>IFERROR(__xludf.DUMMYFUNCTION("GOOGLETRANSLATE(F5044,""id"",""en"")"),"ABCX already bang so Suju after finishing the concert still see the final pildun while checking the ticket is sorry to swear")</f>
        <v>ABCX already bang so Suju after finishing the concert still see the final pildun while checking the ticket is sorry to swear</v>
      </c>
    </row>
    <row r="5045" ht="15.75" customHeight="1">
      <c r="A5045" s="1">
        <v>6215.0</v>
      </c>
      <c r="B5045" s="3" t="s">
        <v>14472</v>
      </c>
      <c r="C5045" s="3">
        <v>1.0</v>
      </c>
      <c r="D5045" s="3">
        <v>0.0</v>
      </c>
      <c r="E5045" s="3">
        <v>0.0</v>
      </c>
      <c r="F5045" s="3" t="s">
        <v>14473</v>
      </c>
      <c r="G5045" s="3">
        <v>1.0</v>
      </c>
      <c r="H5045" s="3">
        <v>0.0</v>
      </c>
      <c r="I5045" s="3" t="s">
        <v>13</v>
      </c>
      <c r="J5045" s="3" t="s">
        <v>14474</v>
      </c>
      <c r="K5045" s="3" t="s">
        <v>71</v>
      </c>
      <c r="L5045" s="3" t="str">
        <f>IFERROR(__xludf.DUMMYFUNCTION("GOOGLETRANSLATE(F5045,""id"",""en"")"),"Okay, the final effect of Pilduun is monitored by many people running away")</f>
        <v>Okay, the final effect of Pilduun is monitored by many people running away</v>
      </c>
    </row>
    <row r="5046" ht="15.75" customHeight="1">
      <c r="A5046" s="1">
        <v>6216.0</v>
      </c>
      <c r="B5046" s="3" t="s">
        <v>14475</v>
      </c>
      <c r="C5046" s="3">
        <v>0.0</v>
      </c>
      <c r="D5046" s="3">
        <v>0.0</v>
      </c>
      <c r="E5046" s="3">
        <v>1.0</v>
      </c>
      <c r="F5046" s="3" t="s">
        <v>14476</v>
      </c>
      <c r="G5046" s="3">
        <v>1.0</v>
      </c>
      <c r="H5046" s="3">
        <v>0.0</v>
      </c>
      <c r="I5046" s="3" t="s">
        <v>13</v>
      </c>
      <c r="J5046" s="3" t="s">
        <v>14477</v>
      </c>
      <c r="K5046" s="3" t="s">
        <v>3977</v>
      </c>
      <c r="L5046" s="3" t="str">
        <f>IFERROR(__xludf.DUMMYFUNCTION("GOOGLETRANSLATE(F5046,""id"",""en"")"),"France has entered the final and there is a possibility of champions even though it is only natural that Croatia is also disappointed when the final pildun must be disappointed to fail the champion while the Croatia is now disappointed when it fails to be"&amp;" final so the opportunity to get a medal")</f>
        <v>France has entered the final and there is a possibility of champions even though it is only natural that Croatia is also disappointed when the final pildun must be disappointed to fail the champion while the Croatia is now disappointed when it fails to be final so the opportunity to get a medal</v>
      </c>
    </row>
    <row r="5047" ht="15.75" customHeight="1">
      <c r="A5047" s="1">
        <v>6217.0</v>
      </c>
      <c r="B5047" s="3" t="s">
        <v>14478</v>
      </c>
      <c r="C5047" s="3">
        <v>0.0</v>
      </c>
      <c r="D5047" s="3">
        <v>0.0</v>
      </c>
      <c r="E5047" s="3">
        <v>0.0</v>
      </c>
      <c r="F5047" s="3" t="s">
        <v>14479</v>
      </c>
      <c r="G5047" s="3">
        <v>1.0</v>
      </c>
      <c r="H5047" s="3">
        <v>0.0</v>
      </c>
      <c r="I5047" s="3" t="s">
        <v>13</v>
      </c>
      <c r="J5047" s="3" t="s">
        <v>14480</v>
      </c>
      <c r="K5047" s="3" t="s">
        <v>2215</v>
      </c>
      <c r="L5047" s="3" t="str">
        <f>IFERROR(__xludf.DUMMYFUNCTION("GOOGLETRANSLATE(F5047,""id"",""en"")"),"Iwan Bule just contributed to the victory of Argentina Final Pildun especially the AFF who raised the first thropy Iwan Bule")</f>
        <v>Iwan Bule just contributed to the victory of Argentina Final Pildun especially the AFF who raised the first thropy Iwan Bule</v>
      </c>
    </row>
    <row r="5048" ht="15.75" customHeight="1">
      <c r="A5048" s="1">
        <v>6218.0</v>
      </c>
      <c r="B5048" s="3" t="s">
        <v>14481</v>
      </c>
      <c r="C5048" s="3">
        <v>0.0</v>
      </c>
      <c r="D5048" s="3">
        <v>0.0</v>
      </c>
      <c r="E5048" s="3">
        <v>1.0</v>
      </c>
      <c r="F5048" s="3" t="s">
        <v>14482</v>
      </c>
      <c r="G5048" s="3">
        <v>1.0</v>
      </c>
      <c r="H5048" s="3">
        <v>0.0</v>
      </c>
      <c r="I5048" s="3" t="s">
        <v>13</v>
      </c>
      <c r="J5048" s="3" t="s">
        <v>14483</v>
      </c>
      <c r="K5048" s="3" t="s">
        <v>15</v>
      </c>
      <c r="L5048" s="3" t="str">
        <f>IFERROR(__xludf.DUMMYFUNCTION("GOOGLETRANSLATE(F5048,""id"",""en"")"),"Final Pildun Tahun once Karo Bojone Iso Bendino")</f>
        <v>Final Pildun Tahun once Karo Bojone Iso Bendino</v>
      </c>
    </row>
    <row r="5049" ht="15.75" customHeight="1">
      <c r="A5049" s="1">
        <v>6219.0</v>
      </c>
      <c r="B5049" s="3" t="s">
        <v>14484</v>
      </c>
      <c r="C5049" s="3">
        <v>0.0</v>
      </c>
      <c r="D5049" s="3">
        <v>0.0</v>
      </c>
      <c r="E5049" s="3">
        <v>0.0</v>
      </c>
      <c r="F5049" s="3" t="s">
        <v>14485</v>
      </c>
      <c r="G5049" s="3">
        <v>0.7</v>
      </c>
      <c r="H5049" s="3">
        <v>0.05</v>
      </c>
      <c r="I5049" s="3" t="s">
        <v>48</v>
      </c>
      <c r="J5049" s="3" t="s">
        <v>14486</v>
      </c>
      <c r="K5049" s="3" t="s">
        <v>574</v>
      </c>
      <c r="L5049" s="3" t="str">
        <f>IFERROR(__xludf.DUMMYFUNCTION("GOOGLETRANSLATE(F5049,""id"",""en"")"),"Defend it for a month out of the night because watching Pildun is now finished, thank you, thank you, the honesty -cup is the most epic final during my oath watching the ball")</f>
        <v>Defend it for a month out of the night because watching Pildun is now finished, thank you, thank you, the honesty -cup is the most epic final during my oath watching the ball</v>
      </c>
    </row>
    <row r="5050" ht="15.75" customHeight="1">
      <c r="A5050" s="1">
        <v>6220.0</v>
      </c>
      <c r="B5050" s="3" t="s">
        <v>14487</v>
      </c>
      <c r="C5050" s="3">
        <v>0.0</v>
      </c>
      <c r="D5050" s="3">
        <v>0.0</v>
      </c>
      <c r="E5050" s="3">
        <v>0.0</v>
      </c>
      <c r="F5050" s="3" t="s">
        <v>14488</v>
      </c>
      <c r="G5050" s="3">
        <v>1.0</v>
      </c>
      <c r="H5050" s="3">
        <v>0.0</v>
      </c>
      <c r="I5050" s="3" t="s">
        <v>13</v>
      </c>
      <c r="J5050" s="3" t="s">
        <v>14489</v>
      </c>
      <c r="K5050" s="3" t="s">
        <v>942</v>
      </c>
      <c r="L5050" s="3" t="str">
        <f>IFERROR(__xludf.DUMMYFUNCTION("GOOGLETRANSLATE(F5050,""id"",""en"")"),"That Hattrick Mbappe is the first Hattrick Final Pilduun not wrong, min quality just decreases, min")</f>
        <v>That Hattrick Mbappe is the first Hattrick Final Pilduun not wrong, min quality just decreases, min</v>
      </c>
    </row>
    <row r="5051" ht="15.75" customHeight="1">
      <c r="A5051" s="1">
        <v>6221.0</v>
      </c>
      <c r="B5051" s="3" t="s">
        <v>14490</v>
      </c>
      <c r="C5051" s="3">
        <v>1.0</v>
      </c>
      <c r="D5051" s="3">
        <v>0.0</v>
      </c>
      <c r="E5051" s="3">
        <v>1.0</v>
      </c>
      <c r="F5051" s="3" t="s">
        <v>14491</v>
      </c>
      <c r="G5051" s="3">
        <v>0.85</v>
      </c>
      <c r="H5051" s="3">
        <v>0.025</v>
      </c>
      <c r="I5051" s="3" t="s">
        <v>48</v>
      </c>
      <c r="J5051" s="3" t="s">
        <v>14492</v>
      </c>
      <c r="K5051" s="3" t="s">
        <v>1847</v>
      </c>
      <c r="L5051" s="3" t="str">
        <f>IFERROR(__xludf.DUMMYFUNCTION("GOOGLETRANSLATE(F5051,""id"",""en"")"),"The final help of the Qatar Pilduun has been exciting since Arab won against Argentina Japan champions Group Ngalah Spanish and German Mulangin South Korea passed the Moroccan Knockout Round until the semi -final of the magic goalkeeper Bonou Livakovic Em"&amp;"i Martinez and closed with Final Epic")</f>
        <v>The final help of the Qatar Pilduun has been exciting since Arab won against Argentina Japan champions Group Ngalah Spanish and German Mulangin South Korea passed the Moroccan Knockout Round until the semi -final of the magic goalkeeper Bonou Livakovic Emi Martinez and closed with Final Epic</v>
      </c>
    </row>
    <row r="5052" ht="15.75" customHeight="1">
      <c r="A5052" s="1">
        <v>6222.0</v>
      </c>
      <c r="B5052" s="3" t="s">
        <v>14493</v>
      </c>
      <c r="C5052" s="3">
        <v>1.0</v>
      </c>
      <c r="D5052" s="3">
        <v>0.0</v>
      </c>
      <c r="E5052" s="3">
        <v>10.0</v>
      </c>
      <c r="F5052" s="3" t="s">
        <v>14494</v>
      </c>
      <c r="G5052" s="3">
        <v>1.0</v>
      </c>
      <c r="H5052" s="3">
        <v>0.0</v>
      </c>
      <c r="I5052" s="3" t="s">
        <v>13</v>
      </c>
      <c r="J5052" s="3" t="s">
        <v>14495</v>
      </c>
      <c r="K5052" s="3" t="s">
        <v>41</v>
      </c>
      <c r="L5052" s="3" t="str">
        <f>IFERROR(__xludf.DUMMYFUNCTION("GOOGLETRANSLATE(F5052,""id"",""en"")"),"Agree if it is the final of the World Cup.")</f>
        <v>Agree if it is the final of the World Cup.</v>
      </c>
    </row>
    <row r="5053" ht="15.75" customHeight="1">
      <c r="A5053" s="1">
        <v>6223.0</v>
      </c>
      <c r="B5053" s="3" t="s">
        <v>14496</v>
      </c>
      <c r="C5053" s="3">
        <v>0.0</v>
      </c>
      <c r="D5053" s="3">
        <v>0.0</v>
      </c>
      <c r="E5053" s="3">
        <v>0.0</v>
      </c>
      <c r="F5053" s="3" t="s">
        <v>14497</v>
      </c>
      <c r="G5053" s="3">
        <v>0.65</v>
      </c>
      <c r="H5053" s="3">
        <v>0.1</v>
      </c>
      <c r="I5053" s="3" t="s">
        <v>48</v>
      </c>
      <c r="J5053" s="3" t="s">
        <v>14498</v>
      </c>
      <c r="K5053" s="3" t="s">
        <v>240</v>
      </c>
      <c r="L5053" s="3" t="str">
        <f>IFERROR(__xludf.DUMMYFUNCTION("GOOGLETRANSLATE(F5053,""id"",""en"")"),"recently watching the final pildun hero loses but still happy to see Messi to be the real goat congrats Argentina")</f>
        <v>recently watching the final pildun hero loses but still happy to see Messi to be the real goat congrats Argentina</v>
      </c>
    </row>
    <row r="5054" ht="15.75" customHeight="1">
      <c r="A5054" s="1">
        <v>6224.0</v>
      </c>
      <c r="B5054" s="3" t="s">
        <v>14499</v>
      </c>
      <c r="C5054" s="3">
        <v>1.0</v>
      </c>
      <c r="D5054" s="3">
        <v>0.0</v>
      </c>
      <c r="E5054" s="3">
        <v>1.0</v>
      </c>
      <c r="F5054" s="3" t="s">
        <v>14500</v>
      </c>
      <c r="G5054" s="3">
        <v>1.0</v>
      </c>
      <c r="H5054" s="3">
        <v>0.0</v>
      </c>
      <c r="I5054" s="3" t="s">
        <v>13</v>
      </c>
      <c r="J5054" s="3" t="s">
        <v>14501</v>
      </c>
      <c r="K5054" s="3" t="s">
        <v>54</v>
      </c>
      <c r="L5054" s="3" t="str">
        <f>IFERROR(__xludf.DUMMYFUNCTION("GOOGLETRANSLATE(F5054,""id"",""en"")"),"Qatar Pilduun Help Final Dont Think")</f>
        <v>Qatar Pilduun Help Final Dont Think</v>
      </c>
    </row>
    <row r="5055" ht="15.75" customHeight="1">
      <c r="A5055" s="1">
        <v>6225.0</v>
      </c>
      <c r="B5055" s="3" t="s">
        <v>14502</v>
      </c>
      <c r="C5055" s="3">
        <v>3.0</v>
      </c>
      <c r="D5055" s="3">
        <v>14.0</v>
      </c>
      <c r="E5055" s="3">
        <v>75.0</v>
      </c>
      <c r="F5055" s="3" t="s">
        <v>14503</v>
      </c>
      <c r="G5055" s="3">
        <v>1.0</v>
      </c>
      <c r="H5055" s="3">
        <v>0.0</v>
      </c>
      <c r="I5055" s="3" t="s">
        <v>13</v>
      </c>
      <c r="J5055" s="3" t="s">
        <v>14504</v>
      </c>
      <c r="K5055" s="3" t="s">
        <v>765</v>
      </c>
      <c r="L5055" s="3" t="str">
        <f>IFERROR(__xludf.DUMMYFUNCTION("GOOGLETRANSLATE(F5055,""id"",""en"")"),"Pildun madness of a crazy minute at the same time tiring the World Cup Final is one of the best finals that Argentina has ever been champion Lionel Messi was happy to see the discussion this time together")</f>
        <v>Pildun madness of a crazy minute at the same time tiring the World Cup Final is one of the best finals that Argentina has ever been champion Lionel Messi was happy to see the discussion this time together</v>
      </c>
    </row>
    <row r="5056" ht="15.75" customHeight="1">
      <c r="A5056" s="1">
        <v>6226.0</v>
      </c>
      <c r="B5056" s="3" t="s">
        <v>14505</v>
      </c>
      <c r="C5056" s="3">
        <v>0.0</v>
      </c>
      <c r="D5056" s="3">
        <v>0.0</v>
      </c>
      <c r="E5056" s="3">
        <v>1.0</v>
      </c>
      <c r="F5056" s="3" t="s">
        <v>14506</v>
      </c>
      <c r="G5056" s="3">
        <v>1.0</v>
      </c>
      <c r="H5056" s="3">
        <v>0.0</v>
      </c>
      <c r="I5056" s="3" t="s">
        <v>13</v>
      </c>
      <c r="J5056" s="3" t="s">
        <v>14507</v>
      </c>
      <c r="K5056" s="3" t="s">
        <v>31</v>
      </c>
      <c r="L5056" s="3" t="str">
        <f>IFERROR(__xludf.DUMMYFUNCTION("GOOGLETRANSLATE(F5056,""id"",""en"")"),"SMLM TDR GENERA FINAL PILDUN")</f>
        <v>SMLM TDR GENERA FINAL PILDUN</v>
      </c>
    </row>
    <row r="5057" ht="15.75" customHeight="1">
      <c r="A5057" s="1">
        <v>6227.0</v>
      </c>
      <c r="B5057" s="3" t="s">
        <v>14508</v>
      </c>
      <c r="C5057" s="3">
        <v>1.0</v>
      </c>
      <c r="D5057" s="3">
        <v>0.0</v>
      </c>
      <c r="E5057" s="3">
        <v>0.0</v>
      </c>
      <c r="F5057" s="3" t="s">
        <v>14509</v>
      </c>
      <c r="G5057" s="3">
        <v>0.6</v>
      </c>
      <c r="H5057" s="3">
        <v>0.5</v>
      </c>
      <c r="I5057" s="3" t="s">
        <v>48</v>
      </c>
      <c r="J5057" s="3" t="s">
        <v>14510</v>
      </c>
      <c r="K5057" s="3" t="s">
        <v>499</v>
      </c>
      <c r="L5057" s="3" t="str">
        <f>IFERROR(__xludf.DUMMYFUNCTION("GOOGLETRANSLATE(F5057,""id"",""en"")"),"This opinion this time is bad, just honest, I just saw this pildun, this is the final helping because it is mostly people in the best world cup")</f>
        <v>This opinion this time is bad, just honest, I just saw this pildun, this is the final helping because it is mostly people in the best world cup</v>
      </c>
    </row>
    <row r="5058" ht="15.75" customHeight="1">
      <c r="A5058" s="1">
        <v>6228.0</v>
      </c>
      <c r="B5058" s="3" t="s">
        <v>14511</v>
      </c>
      <c r="C5058" s="3">
        <v>0.0</v>
      </c>
      <c r="D5058" s="3">
        <v>0.0</v>
      </c>
      <c r="E5058" s="3">
        <v>0.0</v>
      </c>
      <c r="F5058" s="3" t="s">
        <v>14512</v>
      </c>
      <c r="G5058" s="3">
        <v>1.0</v>
      </c>
      <c r="H5058" s="3">
        <v>0.0</v>
      </c>
      <c r="I5058" s="3" t="s">
        <v>13</v>
      </c>
      <c r="J5058" s="3" t="s">
        <v>14513</v>
      </c>
      <c r="K5058" s="3" t="s">
        <v>503</v>
      </c>
      <c r="L5058" s="3" t="str">
        <f>IFERROR(__xludf.DUMMYFUNCTION("GOOGLETRANSLATE(F5058,""id"",""en"")"),"Almost all of this Pilduun match is exciting except the best boring semifinals are the final round of the Argentine surprise to lose Arabic German opponents Cameron Serbia is closed with the most difficult pildun crazy final forgotten the best")</f>
        <v>Almost all of this Pilduun match is exciting except the best boring semifinals are the final round of the Argentine surprise to lose Arabic German opponents Cameron Serbia is closed with the most difficult pildun crazy final forgotten the best</v>
      </c>
    </row>
    <row r="5059" ht="15.75" customHeight="1">
      <c r="A5059" s="1">
        <v>6229.0</v>
      </c>
      <c r="B5059" s="3" t="s">
        <v>14514</v>
      </c>
      <c r="C5059" s="3">
        <v>1.0</v>
      </c>
      <c r="D5059" s="3">
        <v>0.0</v>
      </c>
      <c r="E5059" s="3">
        <v>0.0</v>
      </c>
      <c r="F5059" s="3" t="s">
        <v>14515</v>
      </c>
      <c r="G5059" s="3">
        <v>1.0</v>
      </c>
      <c r="H5059" s="3">
        <v>0.0</v>
      </c>
      <c r="I5059" s="3" t="s">
        <v>13</v>
      </c>
      <c r="J5059" s="3" t="s">
        <v>14516</v>
      </c>
      <c r="K5059" s="3" t="s">
        <v>456</v>
      </c>
      <c r="L5059" s="3" t="str">
        <f>IFERROR(__xludf.DUMMYFUNCTION("GOOGLETRANSLATE(F5059,""id"",""en"")"),"The last time I watched the final world cup crazy when again the Bali school vacation watched the ride on the bus especially when it was the champion of Italian Yup the Final Football Fan Final was also dramatic and finally felt the madness of the final o"&amp;"f the pildun last night")</f>
        <v>The last time I watched the final world cup crazy when again the Bali school vacation watched the ride on the bus especially when it was the champion of Italian Yup the Final Football Fan Final was also dramatic and finally felt the madness of the final of the pildun last night</v>
      </c>
    </row>
    <row r="5060" ht="15.75" customHeight="1">
      <c r="A5060" s="1">
        <v>6230.0</v>
      </c>
      <c r="B5060" s="3" t="s">
        <v>14517</v>
      </c>
      <c r="C5060" s="3">
        <v>0.0</v>
      </c>
      <c r="D5060" s="3">
        <v>0.0</v>
      </c>
      <c r="E5060" s="3">
        <v>0.0</v>
      </c>
      <c r="F5060" s="3" t="s">
        <v>14518</v>
      </c>
      <c r="G5060" s="3">
        <v>1.0</v>
      </c>
      <c r="H5060" s="3">
        <v>0.0</v>
      </c>
      <c r="I5060" s="3" t="s">
        <v>13</v>
      </c>
      <c r="J5060" s="3" t="s">
        <v>14519</v>
      </c>
      <c r="K5060" s="3" t="s">
        <v>54</v>
      </c>
      <c r="L5060" s="3" t="str">
        <f>IFERROR(__xludf.DUMMYFUNCTION("GOOGLETRANSLATE(F5060,""id"",""en"")"),"Sorry, the final pildun has been a dog")</f>
        <v>Sorry, the final pildun has been a dog</v>
      </c>
    </row>
    <row r="5061" ht="15.75" customHeight="1">
      <c r="A5061" s="1">
        <v>6231.0</v>
      </c>
      <c r="B5061" s="3" t="s">
        <v>14520</v>
      </c>
      <c r="C5061" s="3">
        <v>0.0</v>
      </c>
      <c r="D5061" s="3">
        <v>0.0</v>
      </c>
      <c r="E5061" s="3">
        <v>0.0</v>
      </c>
      <c r="F5061" s="3" t="s">
        <v>14521</v>
      </c>
      <c r="G5061" s="3">
        <v>1.0</v>
      </c>
      <c r="H5061" s="3">
        <v>0.0</v>
      </c>
      <c r="I5061" s="3" t="s">
        <v>13</v>
      </c>
      <c r="J5061" s="3" t="s">
        <v>14522</v>
      </c>
      <c r="K5061" s="3" t="s">
        <v>695</v>
      </c>
      <c r="L5061" s="3" t="str">
        <f>IFERROR(__xludf.DUMMYFUNCTION("GOOGLETRANSLATE(F5061,""id"",""en"")"),"suspicious that my child is a bet on a bet because of the final pildun yesterday, oiya, sister, you're going to bet on, just sit and drink smoothie")</f>
        <v>suspicious that my child is a bet on a bet because of the final pildun yesterday, oiya, sister, you're going to bet on, just sit and drink smoothie</v>
      </c>
    </row>
    <row r="5062" ht="15.75" customHeight="1">
      <c r="A5062" s="1">
        <v>6232.0</v>
      </c>
      <c r="B5062" s="3" t="s">
        <v>14523</v>
      </c>
      <c r="C5062" s="3">
        <v>1.0</v>
      </c>
      <c r="D5062" s="3">
        <v>0.0</v>
      </c>
      <c r="E5062" s="3">
        <v>0.0</v>
      </c>
      <c r="F5062" s="3" t="s">
        <v>14524</v>
      </c>
      <c r="G5062" s="3">
        <v>1.0</v>
      </c>
      <c r="H5062" s="3">
        <v>0.0</v>
      </c>
      <c r="I5062" s="3" t="s">
        <v>13</v>
      </c>
      <c r="J5062" s="3" t="s">
        <v>14525</v>
      </c>
      <c r="K5062" s="3" t="s">
        <v>54</v>
      </c>
      <c r="L5062" s="3" t="str">
        <f>IFERROR(__xludf.DUMMYFUNCTION("GOOGLETRANSLATE(F5062,""id"",""en"")"),"Don't disturb the final pilduun, investor")</f>
        <v>Don't disturb the final pilduun, investor</v>
      </c>
    </row>
    <row r="5063" ht="15.75" customHeight="1">
      <c r="A5063" s="1">
        <v>6233.0</v>
      </c>
      <c r="B5063" s="3" t="s">
        <v>14526</v>
      </c>
      <c r="C5063" s="3">
        <v>0.0</v>
      </c>
      <c r="D5063" s="3">
        <v>0.0</v>
      </c>
      <c r="E5063" s="3">
        <v>0.0</v>
      </c>
      <c r="F5063" s="3" t="s">
        <v>14527</v>
      </c>
      <c r="G5063" s="3">
        <v>1.0</v>
      </c>
      <c r="H5063" s="3">
        <v>0.0</v>
      </c>
      <c r="I5063" s="3" t="s">
        <v>13</v>
      </c>
      <c r="J5063" s="3" t="s">
        <v>14528</v>
      </c>
      <c r="K5063" s="3" t="s">
        <v>50</v>
      </c>
      <c r="L5063" s="3" t="str">
        <f>IFERROR(__xludf.DUMMYFUNCTION("GOOGLETRANSLATE(F5063,""id"",""en"")"),"The Final Pilduun was extraordinarily full of dramatic actions of Messi and Mbappe very fantastic")</f>
        <v>The Final Pilduun was extraordinarily full of dramatic actions of Messi and Mbappe very fantastic</v>
      </c>
    </row>
    <row r="5064" ht="15.75" customHeight="1">
      <c r="A5064" s="1">
        <v>6234.0</v>
      </c>
      <c r="B5064" s="3" t="s">
        <v>14529</v>
      </c>
      <c r="C5064" s="3">
        <v>0.0</v>
      </c>
      <c r="D5064" s="3">
        <v>0.0</v>
      </c>
      <c r="E5064" s="3">
        <v>1.0</v>
      </c>
      <c r="F5064" s="3" t="s">
        <v>14530</v>
      </c>
      <c r="G5064" s="3">
        <v>0.75</v>
      </c>
      <c r="H5064" s="3">
        <v>0.25</v>
      </c>
      <c r="I5064" s="3" t="s">
        <v>48</v>
      </c>
      <c r="J5064" s="3" t="s">
        <v>14531</v>
      </c>
      <c r="K5064" s="3" t="s">
        <v>75</v>
      </c>
      <c r="L5064" s="3" t="str">
        <f>IFERROR(__xludf.DUMMYFUNCTION("GOOGLETRANSLATE(F5064,""id"",""en"")"),"But at night the referees are really topping the final pildun")</f>
        <v>But at night the referees are really topping the final pildun</v>
      </c>
    </row>
    <row r="5065" ht="15.75" customHeight="1">
      <c r="A5065" s="1">
        <v>6235.0</v>
      </c>
      <c r="B5065" s="3" t="s">
        <v>14532</v>
      </c>
      <c r="C5065" s="3">
        <v>0.0</v>
      </c>
      <c r="D5065" s="3">
        <v>0.0</v>
      </c>
      <c r="E5065" s="3">
        <v>0.0</v>
      </c>
      <c r="F5065" s="3" t="s">
        <v>14533</v>
      </c>
      <c r="G5065" s="3">
        <v>0.5714285714285714</v>
      </c>
      <c r="H5065" s="3">
        <v>0.1428571428571429</v>
      </c>
      <c r="I5065" s="3" t="s">
        <v>48</v>
      </c>
      <c r="J5065" s="3" t="s">
        <v>14534</v>
      </c>
      <c r="K5065" s="3" t="s">
        <v>27</v>
      </c>
      <c r="L5065" s="3" t="str">
        <f>IFERROR(__xludf.DUMMYFUNCTION("GOOGLETRANSLATE(F5065,""id"",""en"")"),"just overhaled, bang, actually the talent must be admitted that the age of the Final Hatrick Final Pilduun is really the single carrying UCL and the one more, you can enter the category of Goat")</f>
        <v>just overhaled, bang, actually the talent must be admitted that the age of the Final Hatrick Final Pilduun is really the single carrying UCL and the one more, you can enter the category of Goat</v>
      </c>
    </row>
    <row r="5066" ht="15.75" customHeight="1">
      <c r="A5066" s="1">
        <v>6236.0</v>
      </c>
      <c r="B5066" s="3" t="s">
        <v>14535</v>
      </c>
      <c r="C5066" s="3">
        <v>0.0</v>
      </c>
      <c r="D5066" s="3">
        <v>0.0</v>
      </c>
      <c r="E5066" s="3">
        <v>0.0</v>
      </c>
      <c r="F5066" s="3" t="s">
        <v>14536</v>
      </c>
      <c r="G5066" s="3">
        <v>1.0</v>
      </c>
      <c r="H5066" s="3">
        <v>0.0</v>
      </c>
      <c r="I5066" s="3" t="s">
        <v>13</v>
      </c>
      <c r="J5066" s="3" t="s">
        <v>14537</v>
      </c>
      <c r="K5066" s="3" t="s">
        <v>41</v>
      </c>
      <c r="L5066" s="3" t="str">
        <f>IFERROR(__xludf.DUMMYFUNCTION("GOOGLETRANSLATE(F5066,""id"",""en"")"),"You just don't have to chat and discuss the final pildun")</f>
        <v>You just don't have to chat and discuss the final pildun</v>
      </c>
    </row>
    <row r="5067" ht="15.75" customHeight="1">
      <c r="A5067" s="1">
        <v>6237.0</v>
      </c>
      <c r="B5067" s="3" t="s">
        <v>14538</v>
      </c>
      <c r="C5067" s="3">
        <v>0.0</v>
      </c>
      <c r="D5067" s="3">
        <v>0.0</v>
      </c>
      <c r="E5067" s="3">
        <v>0.0</v>
      </c>
      <c r="F5067" s="3" t="s">
        <v>14539</v>
      </c>
      <c r="G5067" s="3">
        <v>1.0</v>
      </c>
      <c r="H5067" s="3">
        <v>0.0</v>
      </c>
      <c r="I5067" s="3" t="s">
        <v>13</v>
      </c>
      <c r="J5067" s="3" t="s">
        <v>14540</v>
      </c>
      <c r="K5067" s="3" t="s">
        <v>54</v>
      </c>
      <c r="L5067" s="3" t="str">
        <f>IFERROR(__xludf.DUMMYFUNCTION("GOOGLETRANSLATE(F5067,""id"",""en"")"),"Final Pildun last night like mbappe everybody")</f>
        <v>Final Pildun last night like mbappe everybody</v>
      </c>
    </row>
    <row r="5068" ht="15.75" customHeight="1">
      <c r="A5068" s="1">
        <v>6238.0</v>
      </c>
      <c r="B5068" s="3" t="s">
        <v>14541</v>
      </c>
      <c r="C5068" s="3">
        <v>1.0</v>
      </c>
      <c r="D5068" s="3">
        <v>0.0</v>
      </c>
      <c r="E5068" s="3">
        <v>0.0</v>
      </c>
      <c r="F5068" s="3" t="s">
        <v>14542</v>
      </c>
      <c r="G5068" s="3">
        <v>0.611111111111111</v>
      </c>
      <c r="H5068" s="3">
        <v>0.2222222222222222</v>
      </c>
      <c r="I5068" s="3" t="s">
        <v>48</v>
      </c>
      <c r="J5068" s="3" t="s">
        <v>14543</v>
      </c>
      <c r="K5068" s="3" t="s">
        <v>1699</v>
      </c>
      <c r="L5068" s="3" t="str">
        <f>IFERROR(__xludf.DUMMYFUNCTION("GOOGLETRANSLATE(F5068,""id"",""en"")"),"Starting to watch the final of the pildun from later and last night yes the most exciting two teams to play open squad the two teams were inhabited by top stars and the score was chasing")</f>
        <v>Starting to watch the final of the pildun from later and last night yes the most exciting two teams to play open squad the two teams were inhabited by top stars and the score was chasing</v>
      </c>
    </row>
    <row r="5069" ht="15.75" customHeight="1">
      <c r="A5069" s="1">
        <v>6239.0</v>
      </c>
      <c r="B5069" s="3" t="s">
        <v>14544</v>
      </c>
      <c r="C5069" s="3">
        <v>0.0</v>
      </c>
      <c r="D5069" s="3">
        <v>2.0</v>
      </c>
      <c r="E5069" s="3">
        <v>11.0</v>
      </c>
      <c r="F5069" s="3" t="s">
        <v>14545</v>
      </c>
      <c r="G5069" s="3">
        <v>1.0</v>
      </c>
      <c r="H5069" s="3">
        <v>0.0</v>
      </c>
      <c r="I5069" s="3" t="s">
        <v>13</v>
      </c>
      <c r="J5069" s="3" t="s">
        <v>14546</v>
      </c>
      <c r="K5069" s="3" t="s">
        <v>184</v>
      </c>
      <c r="L5069" s="3" t="str">
        <f>IFERROR(__xludf.DUMMYFUNCTION("GOOGLETRANSLATE(F5069,""id"",""en"")"),"UCL doesn't have a pioneer, I don't have any fault, what's wrong, what's the coyy boy to lose the world's biggest finals, too, it's quite silent")</f>
        <v>UCL doesn't have a pioneer, I don't have any fault, what's wrong, what's the coyy boy to lose the world's biggest finals, too, it's quite silent</v>
      </c>
    </row>
    <row r="5070" ht="15.75" customHeight="1">
      <c r="A5070" s="1">
        <v>6240.0</v>
      </c>
      <c r="B5070" s="3" t="s">
        <v>14547</v>
      </c>
      <c r="C5070" s="3">
        <v>0.0</v>
      </c>
      <c r="D5070" s="3">
        <v>0.0</v>
      </c>
      <c r="E5070" s="3">
        <v>0.0</v>
      </c>
      <c r="F5070" s="3" t="s">
        <v>14548</v>
      </c>
      <c r="G5070" s="3">
        <v>1.0</v>
      </c>
      <c r="H5070" s="3">
        <v>0.0</v>
      </c>
      <c r="I5070" s="3" t="s">
        <v>13</v>
      </c>
      <c r="J5070" s="3" t="s">
        <v>14549</v>
      </c>
      <c r="K5070" s="3" t="s">
        <v>1293</v>
      </c>
      <c r="L5070" s="3" t="str">
        <f>IFERROR(__xludf.DUMMYFUNCTION("GOOGLETRANSLATE(F5070,""id"",""en"")"),"last night the final pildun with my friends, so funny")</f>
        <v>last night the final pildun with my friends, so funny</v>
      </c>
    </row>
    <row r="5071" ht="15.75" customHeight="1">
      <c r="A5071" s="1">
        <v>6241.0</v>
      </c>
      <c r="B5071" s="3" t="s">
        <v>14550</v>
      </c>
      <c r="C5071" s="3">
        <v>0.0</v>
      </c>
      <c r="D5071" s="3">
        <v>0.0</v>
      </c>
      <c r="E5071" s="3">
        <v>0.0</v>
      </c>
      <c r="F5071" s="3" t="s">
        <v>14551</v>
      </c>
      <c r="G5071" s="3">
        <v>1.0</v>
      </c>
      <c r="H5071" s="3">
        <v>0.0</v>
      </c>
      <c r="I5071" s="3" t="s">
        <v>13</v>
      </c>
      <c r="J5071" s="3" t="s">
        <v>14552</v>
      </c>
      <c r="K5071" s="3" t="s">
        <v>54</v>
      </c>
      <c r="L5071" s="3" t="str">
        <f>IFERROR(__xludf.DUMMYFUNCTION("GOOGLETRANSLATE(F5071,""id"",""en"")"),"Tranding usually the contents of all the final pilduun")</f>
        <v>Tranding usually the contents of all the final pilduun</v>
      </c>
    </row>
    <row r="5072" ht="15.75" customHeight="1">
      <c r="A5072" s="1">
        <v>6242.0</v>
      </c>
      <c r="B5072" s="3" t="s">
        <v>14553</v>
      </c>
      <c r="C5072" s="3">
        <v>0.0</v>
      </c>
      <c r="D5072" s="3">
        <v>0.0</v>
      </c>
      <c r="E5072" s="3">
        <v>0.0</v>
      </c>
      <c r="F5072" s="3" t="s">
        <v>14554</v>
      </c>
      <c r="G5072" s="3">
        <v>1.0</v>
      </c>
      <c r="H5072" s="3">
        <v>0.0</v>
      </c>
      <c r="I5072" s="3" t="s">
        <v>13</v>
      </c>
      <c r="J5072" s="3" t="s">
        <v>14555</v>
      </c>
      <c r="K5072" s="3" t="s">
        <v>1912</v>
      </c>
      <c r="L5072" s="3" t="str">
        <f>IFERROR(__xludf.DUMMYFUNCTION("GOOGLETRANSLATE(F5072,""id"",""en"")"),"Bhuakakakkkk, right, right, it looks like the original stupid, discussing the pildun cmn, there is a giroud with Theo, so the French team trash is the final of the stupid Final, I can feel sorry for the stupid meant.")</f>
        <v>Bhuakakakkkk, right, right, it looks like the original stupid, discussing the pildun cmn, there is a giroud with Theo, so the French team trash is the final of the stupid Final, I can feel sorry for the stupid meant.</v>
      </c>
    </row>
    <row r="5073" ht="15.75" customHeight="1">
      <c r="A5073" s="1">
        <v>6243.0</v>
      </c>
      <c r="B5073" s="3" t="s">
        <v>14556</v>
      </c>
      <c r="C5073" s="3">
        <v>0.0</v>
      </c>
      <c r="D5073" s="3">
        <v>0.0</v>
      </c>
      <c r="E5073" s="3">
        <v>0.0</v>
      </c>
      <c r="F5073" s="3" t="s">
        <v>14557</v>
      </c>
      <c r="G5073" s="3">
        <v>1.0</v>
      </c>
      <c r="H5073" s="3">
        <v>0.0</v>
      </c>
      <c r="I5073" s="3" t="s">
        <v>13</v>
      </c>
      <c r="J5073" s="3" t="s">
        <v>14558</v>
      </c>
      <c r="K5073" s="3" t="s">
        <v>71</v>
      </c>
      <c r="L5073" s="3" t="str">
        <f>IFERROR(__xludf.DUMMYFUNCTION("GOOGLETRANSLATE(F5073,""id"",""en"")"),"Time, CBA, see the old age of FIA, what year can BSA Portugal Final")</f>
        <v>Time, CBA, see the old age of FIA, what year can BSA Portugal Final</v>
      </c>
    </row>
    <row r="5074" ht="15.75" customHeight="1">
      <c r="A5074" s="1">
        <v>6244.0</v>
      </c>
      <c r="B5074" s="3" t="s">
        <v>14559</v>
      </c>
      <c r="C5074" s="3">
        <v>4.0</v>
      </c>
      <c r="D5074" s="3">
        <v>2.0</v>
      </c>
      <c r="E5074" s="3">
        <v>44.0</v>
      </c>
      <c r="F5074" s="3" t="s">
        <v>14560</v>
      </c>
      <c r="G5074" s="3">
        <v>1.0</v>
      </c>
      <c r="H5074" s="3">
        <v>0.0</v>
      </c>
      <c r="I5074" s="3" t="s">
        <v>13</v>
      </c>
      <c r="J5074" s="3" t="s">
        <v>14561</v>
      </c>
      <c r="K5074" s="3" t="s">
        <v>90</v>
      </c>
      <c r="L5074" s="3" t="str">
        <f>IFERROR(__xludf.DUMMYFUNCTION("GOOGLETRANSLATE(F5074,""id"",""en"")"),"Yes, FIFA is corrupt, but if the Qatar Pildun case is only the final help, it's a lot of mistakes.")</f>
        <v>Yes, FIFA is corrupt, but if the Qatar Pildun case is only the final help, it's a lot of mistakes.</v>
      </c>
    </row>
    <row r="5075" ht="15.75" customHeight="1">
      <c r="A5075" s="1">
        <v>6245.0</v>
      </c>
      <c r="B5075" s="3" t="s">
        <v>14562</v>
      </c>
      <c r="C5075" s="3">
        <v>0.0</v>
      </c>
      <c r="D5075" s="3">
        <v>0.0</v>
      </c>
      <c r="E5075" s="3">
        <v>0.0</v>
      </c>
      <c r="F5075" s="3" t="s">
        <v>14563</v>
      </c>
      <c r="G5075" s="3">
        <v>1.0</v>
      </c>
      <c r="H5075" s="3">
        <v>0.0</v>
      </c>
      <c r="I5075" s="3" t="s">
        <v>13</v>
      </c>
      <c r="J5075" s="3" t="s">
        <v>14564</v>
      </c>
      <c r="K5075" s="3" t="s">
        <v>657</v>
      </c>
      <c r="L5075" s="3" t="str">
        <f>IFERROR(__xludf.DUMMYFUNCTION("GOOGLETRANSLATE(F5075,""id"",""en"")"),"I think among my friends only upload the euphoria of the final pildun how to understand and follow the ball too")</f>
        <v>I think among my friends only upload the euphoria of the final pildun how to understand and follow the ball too</v>
      </c>
    </row>
    <row r="5076" ht="15.75" customHeight="1">
      <c r="A5076" s="1">
        <v>6246.0</v>
      </c>
      <c r="B5076" s="3" t="s">
        <v>14565</v>
      </c>
      <c r="C5076" s="3">
        <v>1.0</v>
      </c>
      <c r="D5076" s="3">
        <v>0.0</v>
      </c>
      <c r="E5076" s="3">
        <v>0.0</v>
      </c>
      <c r="F5076" s="3" t="s">
        <v>14566</v>
      </c>
      <c r="G5076" s="3">
        <v>1.0</v>
      </c>
      <c r="H5076" s="3">
        <v>0.0</v>
      </c>
      <c r="I5076" s="3" t="s">
        <v>13</v>
      </c>
      <c r="J5076" s="3" t="s">
        <v>14567</v>
      </c>
      <c r="K5076" s="3" t="s">
        <v>11618</v>
      </c>
      <c r="L5076" s="3" t="str">
        <f>IFERROR(__xludf.DUMMYFUNCTION("GOOGLETRANSLATE(F5076,""id"",""en"")"),"And until this year's Pilduun statement was helped with the final of my finger because I just realized that the Still Exist Pildun was the Final Ramed last night, why was the hard -line fans become a ketrigger and I didn't accept it.")</f>
        <v>And until this year's Pilduun statement was helped with the final of my finger because I just realized that the Still Exist Pildun was the Final Ramed last night, why was the hard -line fans become a ketrigger and I didn't accept it.</v>
      </c>
    </row>
    <row r="5077" ht="15.75" customHeight="1">
      <c r="A5077" s="1">
        <v>6247.0</v>
      </c>
      <c r="B5077" s="3" t="s">
        <v>14568</v>
      </c>
      <c r="C5077" s="3">
        <v>2.0</v>
      </c>
      <c r="D5077" s="3">
        <v>0.0</v>
      </c>
      <c r="E5077" s="3">
        <v>0.0</v>
      </c>
      <c r="F5077" s="3" t="s">
        <v>14569</v>
      </c>
      <c r="G5077" s="3">
        <v>1.0</v>
      </c>
      <c r="H5077" s="3">
        <v>0.0</v>
      </c>
      <c r="I5077" s="3" t="s">
        <v>13</v>
      </c>
      <c r="J5077" s="3" t="s">
        <v>14570</v>
      </c>
      <c r="K5077" s="3" t="s">
        <v>14571</v>
      </c>
      <c r="L5077" s="3" t="str">
        <f>IFERROR(__xludf.DUMMYFUNCTION("GOOGLETRANSLATE(F5077,""id"",""en"")"),"Final Pildun")</f>
        <v>Final Pildun</v>
      </c>
    </row>
    <row r="5078" ht="15.75" customHeight="1">
      <c r="A5078" s="1">
        <v>6248.0</v>
      </c>
      <c r="B5078" s="3" t="s">
        <v>14572</v>
      </c>
      <c r="C5078" s="3">
        <v>0.0</v>
      </c>
      <c r="D5078" s="3">
        <v>0.0</v>
      </c>
      <c r="E5078" s="3">
        <v>0.0</v>
      </c>
      <c r="F5078" s="3" t="s">
        <v>14573</v>
      </c>
      <c r="G5078" s="3">
        <v>1.0</v>
      </c>
      <c r="H5078" s="3">
        <v>0.0</v>
      </c>
      <c r="I5078" s="3" t="s">
        <v>13</v>
      </c>
      <c r="J5078" s="3" t="s">
        <v>14574</v>
      </c>
      <c r="K5078" s="3" t="s">
        <v>1293</v>
      </c>
      <c r="L5078" s="3" t="str">
        <f>IFERROR(__xludf.DUMMYFUNCTION("GOOGLETRANSLATE(F5078,""id"",""en"")"),"here for the strangest netizens Klean wondering, how come the ball is like the ball because this is the final plus the pile of the year")</f>
        <v>here for the strangest netizens Klean wondering, how come the ball is like the ball because this is the final plus the pile of the year</v>
      </c>
    </row>
    <row r="5079" ht="15.75" customHeight="1">
      <c r="A5079" s="1">
        <v>6249.0</v>
      </c>
      <c r="B5079" s="3" t="s">
        <v>14575</v>
      </c>
      <c r="C5079" s="3">
        <v>1.0</v>
      </c>
      <c r="D5079" s="3">
        <v>0.0</v>
      </c>
      <c r="E5079" s="3">
        <v>1.0</v>
      </c>
      <c r="F5079" s="3" t="s">
        <v>14576</v>
      </c>
      <c r="G5079" s="3">
        <v>1.0</v>
      </c>
      <c r="H5079" s="3">
        <v>0.0</v>
      </c>
      <c r="I5079" s="3" t="s">
        <v>13</v>
      </c>
      <c r="J5079" s="3" t="s">
        <v>14577</v>
      </c>
      <c r="K5079" s="3" t="s">
        <v>603</v>
      </c>
      <c r="L5079" s="3" t="str">
        <f>IFERROR(__xludf.DUMMYFUNCTION("GOOGLETRANSLATE(F5079,""id"",""en"")"),"wkwk guy I also asked Haechan to support who Grgr I told Haechan to watch the final of the haechan pildun instead of being able to tell the score")</f>
        <v>wkwk guy I also asked Haechan to support who Grgr I told Haechan to watch the final of the haechan pildun instead of being able to tell the score</v>
      </c>
    </row>
    <row r="5080" ht="15.75" customHeight="1">
      <c r="A5080" s="1">
        <v>6250.0</v>
      </c>
      <c r="B5080" s="3" t="s">
        <v>14578</v>
      </c>
      <c r="C5080" s="3">
        <v>0.0</v>
      </c>
      <c r="D5080" s="3">
        <v>0.0</v>
      </c>
      <c r="E5080" s="3">
        <v>0.0</v>
      </c>
      <c r="F5080" s="3" t="s">
        <v>14579</v>
      </c>
      <c r="G5080" s="3">
        <v>1.0</v>
      </c>
      <c r="H5080" s="3">
        <v>0.0</v>
      </c>
      <c r="I5080" s="3" t="s">
        <v>13</v>
      </c>
      <c r="J5080" s="3" t="s">
        <v>14580</v>
      </c>
      <c r="K5080" s="3" t="s">
        <v>15</v>
      </c>
      <c r="L5080" s="3" t="str">
        <f>IFERROR(__xludf.DUMMYFUNCTION("GOOGLETRANSLATE(F5080,""id"",""en"")"),"so watching pildun don't fit the final stupid")</f>
        <v>so watching pildun don't fit the final stupid</v>
      </c>
    </row>
    <row r="5081" ht="15.75" customHeight="1">
      <c r="A5081" s="1">
        <v>6251.0</v>
      </c>
      <c r="B5081" s="3" t="s">
        <v>14581</v>
      </c>
      <c r="C5081" s="3">
        <v>54.0</v>
      </c>
      <c r="D5081" s="3">
        <v>58.0</v>
      </c>
      <c r="E5081" s="3">
        <v>491.0</v>
      </c>
      <c r="F5081" s="3" t="s">
        <v>14582</v>
      </c>
      <c r="G5081" s="3">
        <v>1.0</v>
      </c>
      <c r="H5081" s="3">
        <v>0.0</v>
      </c>
      <c r="I5081" s="3" t="s">
        <v>13</v>
      </c>
      <c r="J5081" s="3" t="s">
        <v>14583</v>
      </c>
      <c r="K5081" s="3" t="s">
        <v>90</v>
      </c>
      <c r="L5081" s="3" t="str">
        <f>IFERROR(__xludf.DUMMYFUNCTION("GOOGLETRANSLATE(F5081,""id"",""en"")"),"It's the most correct Messi who won last night this young man, including Saliba, there is still plenty of time to win the final pildun later")</f>
        <v>It's the most correct Messi who won last night this young man, including Saliba, there is still plenty of time to win the final pildun later</v>
      </c>
    </row>
    <row r="5082" ht="15.75" customHeight="1">
      <c r="A5082" s="1">
        <v>6252.0</v>
      </c>
      <c r="B5082" s="3" t="s">
        <v>14584</v>
      </c>
      <c r="C5082" s="3">
        <v>0.0</v>
      </c>
      <c r="D5082" s="3">
        <v>0.0</v>
      </c>
      <c r="E5082" s="3">
        <v>2.0</v>
      </c>
      <c r="F5082" s="3" t="s">
        <v>14585</v>
      </c>
      <c r="G5082" s="3">
        <v>0.4</v>
      </c>
      <c r="H5082" s="3">
        <v>0.0</v>
      </c>
      <c r="I5082" s="3" t="s">
        <v>13</v>
      </c>
      <c r="J5082" s="3" t="s">
        <v>14586</v>
      </c>
      <c r="K5082" s="3" t="s">
        <v>1157</v>
      </c>
      <c r="L5082" s="3" t="str">
        <f>IFERROR(__xludf.DUMMYFUNCTION("GOOGLETRANSLATE(F5082,""id"",""en"")"),"Argentina naturally won the solid team of compact in terms of different games in Portugal High School MSIH high ego of the players from the game against Morocco still dispose")</f>
        <v>Argentina naturally won the solid team of compact in terms of different games in Portugal High School MSIH high ego of the players from the game against Morocco still dispose</v>
      </c>
    </row>
    <row r="5083" ht="15.75" customHeight="1">
      <c r="A5083" s="1">
        <v>6253.0</v>
      </c>
      <c r="B5083" s="3" t="s">
        <v>14587</v>
      </c>
      <c r="C5083" s="3">
        <v>0.0</v>
      </c>
      <c r="D5083" s="3">
        <v>0.0</v>
      </c>
      <c r="E5083" s="3">
        <v>0.0</v>
      </c>
      <c r="F5083" s="3" t="s">
        <v>14588</v>
      </c>
      <c r="G5083" s="3">
        <v>0.8333333333333333</v>
      </c>
      <c r="H5083" s="3">
        <v>0.175</v>
      </c>
      <c r="I5083" s="3" t="s">
        <v>48</v>
      </c>
      <c r="J5083" s="3" t="s">
        <v>14589</v>
      </c>
      <c r="K5083" s="3" t="s">
        <v>149</v>
      </c>
      <c r="L5083" s="3" t="str">
        <f>IFERROR(__xludf.DUMMYFUNCTION("GOOGLETRANSLATE(F5083,""id"",""en"")"),"Disclaimer used to be an opinion but of course in this match there must be a losing party and the party wins so that the final result answers the lose penalty not bad penalty is not easy especially the final pildun")</f>
        <v>Disclaimer used to be an opinion but of course in this match there must be a losing party and the party wins so that the final result answers the lose penalty not bad penalty is not easy especially the final pildun</v>
      </c>
    </row>
    <row r="5084" ht="15.75" customHeight="1">
      <c r="A5084" s="1">
        <v>6254.0</v>
      </c>
      <c r="B5084" s="3" t="s">
        <v>14590</v>
      </c>
      <c r="C5084" s="3">
        <v>0.0</v>
      </c>
      <c r="D5084" s="3">
        <v>0.0</v>
      </c>
      <c r="E5084" s="3">
        <v>0.0</v>
      </c>
      <c r="F5084" s="3" t="s">
        <v>14591</v>
      </c>
      <c r="G5084" s="3">
        <v>1.0</v>
      </c>
      <c r="H5084" s="3">
        <v>0.0</v>
      </c>
      <c r="I5084" s="3" t="s">
        <v>13</v>
      </c>
      <c r="J5084" s="3" t="s">
        <v>14592</v>
      </c>
      <c r="K5084" s="3" t="s">
        <v>491</v>
      </c>
      <c r="L5084" s="3" t="str">
        <f>IFERROR(__xludf.DUMMYFUNCTION("GOOGLETRANSLATE(F5084,""id"",""en"")"),"Adjem Final Pragmatic Pildun Everyone doesn't dare to attack the most boring final different like yesterday's crazy anyway")</f>
        <v>Adjem Final Pragmatic Pildun Everyone doesn't dare to attack the most boring final different like yesterday's crazy anyway</v>
      </c>
    </row>
    <row r="5085" ht="15.75" customHeight="1">
      <c r="A5085" s="1">
        <v>6255.0</v>
      </c>
      <c r="B5085" s="3" t="s">
        <v>14593</v>
      </c>
      <c r="C5085" s="3">
        <v>0.0</v>
      </c>
      <c r="D5085" s="3">
        <v>6.0</v>
      </c>
      <c r="E5085" s="3">
        <v>22.0</v>
      </c>
      <c r="F5085" s="3" t="s">
        <v>14594</v>
      </c>
      <c r="G5085" s="3">
        <v>1.0</v>
      </c>
      <c r="H5085" s="3">
        <v>0.0</v>
      </c>
      <c r="I5085" s="3" t="s">
        <v>13</v>
      </c>
      <c r="J5085" s="3" t="s">
        <v>14595</v>
      </c>
      <c r="K5085" s="3" t="s">
        <v>1157</v>
      </c>
      <c r="L5085" s="3" t="str">
        <f>IFERROR(__xludf.DUMMYFUNCTION("GOOGLETRANSLATE(F5085,""id"",""en"")"),"Sorry, sir, but Saudi Arabia defeated Argentina Japan defeating Spain and Germany to win the Group Group of Hell of Hell of South Korea Ngunin Portugal Tunisia beat France and Morocco until the semi -finals continue")</f>
        <v>Sorry, sir, but Saudi Arabia defeated Argentina Japan defeating Spain and Germany to win the Group Group of Hell of Hell of South Korea Ngunin Portugal Tunisia beat France and Morocco until the semi -finals continue</v>
      </c>
    </row>
    <row r="5086" ht="15.75" customHeight="1">
      <c r="A5086" s="1">
        <v>6256.0</v>
      </c>
      <c r="B5086" s="3" t="s">
        <v>14596</v>
      </c>
      <c r="C5086" s="3">
        <v>0.0</v>
      </c>
      <c r="D5086" s="3">
        <v>0.0</v>
      </c>
      <c r="E5086" s="3">
        <v>1.0</v>
      </c>
      <c r="F5086" s="3" t="s">
        <v>14597</v>
      </c>
      <c r="G5086" s="3">
        <v>1.0</v>
      </c>
      <c r="H5086" s="3">
        <v>0.0</v>
      </c>
      <c r="I5086" s="3" t="s">
        <v>13</v>
      </c>
      <c r="J5086" s="3" t="s">
        <v>14598</v>
      </c>
      <c r="K5086" s="3" t="s">
        <v>19</v>
      </c>
      <c r="L5086" s="3" t="str">
        <f>IFERROR(__xludf.DUMMYFUNCTION("GOOGLETRANSLATE(F5086,""id"",""en"")"),"who stayed up all night watching the final pildun let's work again, remember the wife's children if there is")</f>
        <v>who stayed up all night watching the final pildun let's work again, remember the wife's children if there is</v>
      </c>
    </row>
    <row r="5087" ht="15.75" customHeight="1">
      <c r="A5087" s="1">
        <v>6257.0</v>
      </c>
      <c r="B5087" s="3" t="s">
        <v>14599</v>
      </c>
      <c r="C5087" s="3">
        <v>0.0</v>
      </c>
      <c r="D5087" s="3">
        <v>0.0</v>
      </c>
      <c r="E5087" s="3">
        <v>0.0</v>
      </c>
      <c r="F5087" s="3" t="s">
        <v>14600</v>
      </c>
      <c r="G5087" s="3">
        <v>0.75</v>
      </c>
      <c r="H5087" s="3">
        <v>0.25</v>
      </c>
      <c r="I5087" s="3" t="s">
        <v>48</v>
      </c>
      <c r="J5087" s="3" t="s">
        <v>14601</v>
      </c>
      <c r="K5087" s="3" t="s">
        <v>903</v>
      </c>
      <c r="L5087" s="3" t="str">
        <f>IFERROR(__xludf.DUMMYFUNCTION("GOOGLETRANSLATE(F5087,""id"",""en"")"),"Now it is Messi's turn to help Mbappe for UCL champions in the age of the year already get the euro Hattrick Final Pildun Top Pildun Top Pilduun What Player")</f>
        <v>Now it is Messi's turn to help Mbappe for UCL champions in the age of the year already get the euro Hattrick Final Pildun Top Pildun Top Pilduun What Player</v>
      </c>
    </row>
    <row r="5088" ht="15.75" customHeight="1">
      <c r="A5088" s="1">
        <v>6258.0</v>
      </c>
      <c r="B5088" s="3" t="s">
        <v>14602</v>
      </c>
      <c r="C5088" s="3">
        <v>0.0</v>
      </c>
      <c r="D5088" s="3">
        <v>0.0</v>
      </c>
      <c r="E5088" s="3">
        <v>0.0</v>
      </c>
      <c r="F5088" s="3" t="s">
        <v>14603</v>
      </c>
      <c r="G5088" s="3">
        <v>1.0</v>
      </c>
      <c r="H5088" s="3">
        <v>0.0</v>
      </c>
      <c r="I5088" s="3" t="s">
        <v>13</v>
      </c>
      <c r="J5088" s="3" t="s">
        <v>14604</v>
      </c>
      <c r="K5088" s="3" t="s">
        <v>633</v>
      </c>
      <c r="L5088" s="3" t="str">
        <f>IFERROR(__xludf.DUMMYFUNCTION("GOOGLETRANSLATE(F5088,""id"",""en"")"),"Besides this, Messi entered the Final Which Favorite Barcelona in the era of children aged years like using a barcelona jersey and joined in the pioness")</f>
        <v>Besides this, Messi entered the Final Which Favorite Barcelona in the era of children aged years like using a barcelona jersey and joined in the pioness</v>
      </c>
    </row>
    <row r="5089" ht="15.75" customHeight="1">
      <c r="A5089" s="1">
        <v>6259.0</v>
      </c>
      <c r="B5089" s="3" t="s">
        <v>14605</v>
      </c>
      <c r="C5089" s="3">
        <v>1.0</v>
      </c>
      <c r="D5089" s="3">
        <v>1.0</v>
      </c>
      <c r="E5089" s="3">
        <v>0.0</v>
      </c>
      <c r="F5089" s="3" t="s">
        <v>14606</v>
      </c>
      <c r="G5089" s="3">
        <v>1.0</v>
      </c>
      <c r="H5089" s="3">
        <v>0.0</v>
      </c>
      <c r="I5089" s="3" t="s">
        <v>13</v>
      </c>
      <c r="J5089" s="3" t="s">
        <v>14607</v>
      </c>
      <c r="K5089" s="3" t="s">
        <v>41</v>
      </c>
      <c r="L5089" s="3" t="str">
        <f>IFERROR(__xludf.DUMMYFUNCTION("GOOGLETRANSLATE(F5089,""id"",""en"")"),"Forget for a moment the final pildun we have to focus this afternoon to make it joint")</f>
        <v>Forget for a moment the final pildun we have to focus this afternoon to make it joint</v>
      </c>
    </row>
    <row r="5090" ht="15.75" customHeight="1">
      <c r="A5090" s="1">
        <v>6260.0</v>
      </c>
      <c r="B5090" s="3" t="s">
        <v>14608</v>
      </c>
      <c r="C5090" s="3">
        <v>0.0</v>
      </c>
      <c r="D5090" s="3">
        <v>1.0</v>
      </c>
      <c r="E5090" s="3">
        <v>0.0</v>
      </c>
      <c r="F5090" s="3" t="s">
        <v>14609</v>
      </c>
      <c r="G5090" s="3">
        <v>1.0</v>
      </c>
      <c r="H5090" s="3">
        <v>0.0</v>
      </c>
      <c r="I5090" s="3" t="s">
        <v>13</v>
      </c>
      <c r="J5090" s="3" t="s">
        <v>14610</v>
      </c>
      <c r="K5090" s="3" t="s">
        <v>15</v>
      </c>
      <c r="L5090" s="3" t="str">
        <f>IFERROR(__xludf.DUMMYFUNCTION("GOOGLETRANSLATE(F5090,""id"",""en"")"),"he exclaimed the final nobar of the mountains")</f>
        <v>he exclaimed the final nobar of the mountains</v>
      </c>
    </row>
    <row r="5091" ht="15.75" customHeight="1">
      <c r="A5091" s="1">
        <v>6261.0</v>
      </c>
      <c r="B5091" s="3" t="s">
        <v>14611</v>
      </c>
      <c r="C5091" s="3">
        <v>1.0</v>
      </c>
      <c r="D5091" s="3">
        <v>2.0</v>
      </c>
      <c r="E5091" s="3">
        <v>8.0</v>
      </c>
      <c r="F5091" s="3" t="s">
        <v>14612</v>
      </c>
      <c r="G5091" s="3">
        <v>1.0</v>
      </c>
      <c r="H5091" s="3">
        <v>0.0</v>
      </c>
      <c r="I5091" s="3" t="s">
        <v>13</v>
      </c>
      <c r="J5091" s="3" t="s">
        <v>14613</v>
      </c>
      <c r="K5091" s="3" t="s">
        <v>58</v>
      </c>
      <c r="L5091" s="3" t="str">
        <f>IFERROR(__xludf.DUMMYFUNCTION("GOOGLETRANSLATE(F5091,""id"",""en"")"),"Just imagine that other countries won the pildun that the big parade imagined that if you entered the pildun finals, we could get along with the DPR")</f>
        <v>Just imagine that other countries won the pildun that the big parade imagined that if you entered the pildun finals, we could get along with the DPR</v>
      </c>
    </row>
    <row r="5092" ht="15.75" customHeight="1">
      <c r="A5092" s="1">
        <v>6262.0</v>
      </c>
      <c r="B5092" s="3" t="s">
        <v>14614</v>
      </c>
      <c r="C5092" s="3">
        <v>0.0</v>
      </c>
      <c r="D5092" s="3">
        <v>0.0</v>
      </c>
      <c r="E5092" s="3">
        <v>0.0</v>
      </c>
      <c r="F5092" s="3" t="s">
        <v>14615</v>
      </c>
      <c r="G5092" s="3">
        <v>1.0</v>
      </c>
      <c r="H5092" s="3">
        <v>0.0</v>
      </c>
      <c r="I5092" s="3" t="s">
        <v>13</v>
      </c>
      <c r="J5092" s="3" t="s">
        <v>14616</v>
      </c>
      <c r="K5092" s="3" t="s">
        <v>1265</v>
      </c>
      <c r="L5092" s="3" t="str">
        <f>IFERROR(__xludf.DUMMYFUNCTION("GOOGLETRANSLATE(F5092,""id"",""en"")"),"there is a fight because of the final pildun there is a happy smile of the final pilduun core, just enjoy the show")</f>
        <v>there is a fight because of the final pildun there is a happy smile of the final pilduun core, just enjoy the show</v>
      </c>
    </row>
    <row r="5093" ht="15.75" customHeight="1">
      <c r="A5093" s="1">
        <v>6263.0</v>
      </c>
      <c r="B5093" s="3" t="s">
        <v>14617</v>
      </c>
      <c r="C5093" s="3">
        <v>0.0</v>
      </c>
      <c r="D5093" s="3">
        <v>0.0</v>
      </c>
      <c r="E5093" s="3">
        <v>0.0</v>
      </c>
      <c r="F5093" s="3" t="s">
        <v>14618</v>
      </c>
      <c r="G5093" s="3">
        <v>1.0</v>
      </c>
      <c r="H5093" s="3">
        <v>0.0</v>
      </c>
      <c r="I5093" s="3" t="s">
        <v>13</v>
      </c>
      <c r="J5093" s="3" t="s">
        <v>14619</v>
      </c>
      <c r="K5093" s="3" t="s">
        <v>682</v>
      </c>
      <c r="L5093" s="3" t="str">
        <f>IFERROR(__xludf.DUMMYFUNCTION("GOOGLETRANSLATE(F5093,""id"",""en"")"),"Exol Argentina Rayain Victory with Power Power Songs Power Has Diplay Pilduun Then Kai Argentina Prediction France Brazil Passed the final from the question of fans then Kai Hype Pildun Messi might be the reason Mantab")</f>
        <v>Exol Argentina Rayain Victory with Power Power Songs Power Has Diplay Pilduun Then Kai Argentina Prediction France Brazil Passed the final from the question of fans then Kai Hype Pildun Messi might be the reason Mantab</v>
      </c>
    </row>
    <row r="5094" ht="15.75" customHeight="1">
      <c r="A5094" s="1">
        <v>6264.0</v>
      </c>
      <c r="B5094" s="3" t="s">
        <v>14620</v>
      </c>
      <c r="C5094" s="3">
        <v>1.0</v>
      </c>
      <c r="D5094" s="3">
        <v>1.0</v>
      </c>
      <c r="E5094" s="3">
        <v>19.0</v>
      </c>
      <c r="F5094" s="3" t="s">
        <v>14621</v>
      </c>
      <c r="G5094" s="3">
        <v>0.6071428571428571</v>
      </c>
      <c r="H5094" s="3">
        <v>-0.03571428571428571</v>
      </c>
      <c r="I5094" s="3" t="s">
        <v>179</v>
      </c>
      <c r="J5094" s="3" t="s">
        <v>14622</v>
      </c>
      <c r="K5094" s="3" t="s">
        <v>75</v>
      </c>
      <c r="L5094" s="3" t="str">
        <f>IFERROR(__xludf.DUMMYFUNCTION("GOOGLETRANSLATE(F5094,""id"",""en"")"),"the remaining nobar kopdar final pildun with single partner last night")</f>
        <v>the remaining nobar kopdar final pildun with single partner last night</v>
      </c>
    </row>
    <row r="5095" ht="15.75" customHeight="1">
      <c r="A5095" s="1">
        <v>6265.0</v>
      </c>
      <c r="B5095" s="3" t="s">
        <v>14623</v>
      </c>
      <c r="C5095" s="3">
        <v>0.0</v>
      </c>
      <c r="D5095" s="3">
        <v>0.0</v>
      </c>
      <c r="E5095" s="3">
        <v>0.0</v>
      </c>
      <c r="F5095" s="3" t="s">
        <v>14624</v>
      </c>
      <c r="G5095" s="3">
        <v>1.0</v>
      </c>
      <c r="H5095" s="3">
        <v>0.0</v>
      </c>
      <c r="I5095" s="3" t="s">
        <v>13</v>
      </c>
      <c r="J5095" s="3" t="s">
        <v>14625</v>
      </c>
      <c r="K5095" s="3" t="s">
        <v>1349</v>
      </c>
      <c r="L5095" s="3" t="str">
        <f>IFERROR(__xludf.DUMMYFUNCTION("GOOGLETRANSLATE(F5095,""id"",""en"")"),"Euphoria Final Pilduun Crazy Girls Without Gender Twitter Igs Regarding Pilduun All Gile Gile Gile")</f>
        <v>Euphoria Final Pilduun Crazy Girls Without Gender Twitter Igs Regarding Pilduun All Gile Gile Gile</v>
      </c>
    </row>
    <row r="5096" ht="15.75" customHeight="1">
      <c r="A5096" s="1">
        <v>6266.0</v>
      </c>
      <c r="B5096" s="3" t="s">
        <v>14626</v>
      </c>
      <c r="C5096" s="3">
        <v>0.0</v>
      </c>
      <c r="D5096" s="3">
        <v>0.0</v>
      </c>
      <c r="E5096" s="3">
        <v>0.0</v>
      </c>
      <c r="F5096" s="3" t="s">
        <v>14627</v>
      </c>
      <c r="G5096" s="3">
        <v>1.0</v>
      </c>
      <c r="H5096" s="3">
        <v>0.0</v>
      </c>
      <c r="I5096" s="3" t="s">
        <v>13</v>
      </c>
      <c r="J5096" s="3" t="s">
        <v>14628</v>
      </c>
      <c r="K5096" s="3" t="s">
        <v>15</v>
      </c>
      <c r="L5096" s="3" t="str">
        <f>IFERROR(__xludf.DUMMYFUNCTION("GOOGLETRANSLATE(F5096,""id"",""en"")"),"The most cool gokillll mbappe pildun final is really coy")</f>
        <v>The most cool gokillll mbappe pildun final is really coy</v>
      </c>
    </row>
    <row r="5097" ht="15.75" customHeight="1">
      <c r="A5097" s="1">
        <v>6267.0</v>
      </c>
      <c r="B5097" s="3" t="s">
        <v>14629</v>
      </c>
      <c r="C5097" s="3">
        <v>1.0</v>
      </c>
      <c r="D5097" s="3">
        <v>0.0</v>
      </c>
      <c r="E5097" s="3">
        <v>0.0</v>
      </c>
      <c r="F5097" s="3" t="s">
        <v>14630</v>
      </c>
      <c r="G5097" s="3">
        <v>0.5666666666666667</v>
      </c>
      <c r="H5097" s="3">
        <v>-0.03333333333333333</v>
      </c>
      <c r="I5097" s="3" t="s">
        <v>179</v>
      </c>
      <c r="J5097" s="3" t="s">
        <v>14631</v>
      </c>
      <c r="K5097" s="3" t="s">
        <v>8160</v>
      </c>
      <c r="L5097" s="3" t="str">
        <f>IFERROR(__xludf.DUMMYFUNCTION("GOOGLETRANSLATE(F5097,""id"",""en"")"),"First Week Physical and Mental Rest then Nton Ball Until Final Pildun Worries Ocean because I stayed up hhhh think rest well enough time time get another job wish luck")</f>
        <v>First Week Physical and Mental Rest then Nton Ball Until Final Pildun Worries Ocean because I stayed up hhhh think rest well enough time time get another job wish luck</v>
      </c>
    </row>
    <row r="5098" ht="15.75" customHeight="1">
      <c r="A5098" s="1">
        <v>6268.0</v>
      </c>
      <c r="B5098" s="3" t="s">
        <v>14632</v>
      </c>
      <c r="C5098" s="3">
        <v>1.0</v>
      </c>
      <c r="D5098" s="3">
        <v>0.0</v>
      </c>
      <c r="E5098" s="3">
        <v>0.0</v>
      </c>
      <c r="F5098" s="3" t="s">
        <v>14633</v>
      </c>
      <c r="G5098" s="3">
        <v>1.0</v>
      </c>
      <c r="H5098" s="3">
        <v>0.0</v>
      </c>
      <c r="I5098" s="3" t="s">
        <v>13</v>
      </c>
      <c r="J5098" s="3" t="s">
        <v>14634</v>
      </c>
      <c r="K5098" s="3" t="s">
        <v>495</v>
      </c>
      <c r="L5098" s="3" t="str">
        <f>IFERROR(__xludf.DUMMYFUNCTION("GOOGLETRANSLATE(F5098,""id"",""en"")"),"Aguero's cool pretentious to be a fan and entered the roster for Pildun and Die Mocking Boys in the Final Final")</f>
        <v>Aguero's cool pretentious to be a fan and entered the roster for Pildun and Die Mocking Boys in the Final Final</v>
      </c>
    </row>
    <row r="5099" ht="15.75" customHeight="1">
      <c r="A5099" s="1">
        <v>6269.0</v>
      </c>
      <c r="B5099" s="3" t="s">
        <v>14635</v>
      </c>
      <c r="C5099" s="3">
        <v>0.0</v>
      </c>
      <c r="D5099" s="3">
        <v>0.0</v>
      </c>
      <c r="E5099" s="3">
        <v>0.0</v>
      </c>
      <c r="F5099" s="3" t="s">
        <v>14636</v>
      </c>
      <c r="G5099" s="3">
        <v>1.0</v>
      </c>
      <c r="H5099" s="3">
        <v>0.0</v>
      </c>
      <c r="I5099" s="3" t="s">
        <v>13</v>
      </c>
      <c r="J5099" s="3" t="s">
        <v>14637</v>
      </c>
      <c r="K5099" s="3" t="s">
        <v>41</v>
      </c>
      <c r="L5099" s="3" t="str">
        <f>IFERROR(__xludf.DUMMYFUNCTION("GOOGLETRANSLATE(F5099,""id"",""en"")"),"This is not mistaken Argentina Final Fighting People This Pilduun or Anime Isekai")</f>
        <v>This is not mistaken Argentina Final Fighting People This Pilduun or Anime Isekai</v>
      </c>
    </row>
    <row r="5100" ht="15.75" customHeight="1">
      <c r="A5100" s="1">
        <v>6270.0</v>
      </c>
      <c r="B5100" s="3" t="s">
        <v>14638</v>
      </c>
      <c r="C5100" s="3">
        <v>0.0</v>
      </c>
      <c r="D5100" s="3">
        <v>0.0</v>
      </c>
      <c r="E5100" s="3">
        <v>0.0</v>
      </c>
      <c r="F5100" s="3" t="s">
        <v>14639</v>
      </c>
      <c r="G5100" s="3">
        <v>0.95</v>
      </c>
      <c r="H5100" s="3">
        <v>0.35</v>
      </c>
      <c r="I5100" s="3" t="s">
        <v>48</v>
      </c>
      <c r="J5100" s="3" t="s">
        <v>14640</v>
      </c>
      <c r="K5100" s="3" t="s">
        <v>695</v>
      </c>
      <c r="L5100" s="3" t="str">
        <f>IFERROR(__xludf.DUMMYFUNCTION("GOOGLETRANSLATE(F5100,""id"",""en"")"),"Iyadeh the most superior wkwk anyways, it's up to each individual, want to nghype when the final pildun or right from the beginning, also enjoyed it.")</f>
        <v>Iyadeh the most superior wkwk anyways, it's up to each individual, want to nghype when the final pildun or right from the beginning, also enjoyed it.</v>
      </c>
    </row>
    <row r="5101" ht="15.75" customHeight="1">
      <c r="A5101" s="1">
        <v>6271.0</v>
      </c>
      <c r="B5101" s="3" t="s">
        <v>14641</v>
      </c>
      <c r="C5101" s="3">
        <v>0.0</v>
      </c>
      <c r="D5101" s="3">
        <v>0.0</v>
      </c>
      <c r="E5101" s="3">
        <v>0.0</v>
      </c>
      <c r="F5101" s="3" t="s">
        <v>14642</v>
      </c>
      <c r="G5101" s="3">
        <v>0.6666666666666666</v>
      </c>
      <c r="H5101" s="3">
        <v>0.08333333333333333</v>
      </c>
      <c r="I5101" s="3" t="s">
        <v>48</v>
      </c>
      <c r="J5101" s="3" t="s">
        <v>14643</v>
      </c>
      <c r="K5101" s="3" t="s">
        <v>1280</v>
      </c>
      <c r="L5101" s="3" t="str">
        <f>IFERROR(__xludf.DUMMYFUNCTION("GOOGLETRANSLATE(F5101,""id"",""en"")"),"still young, still, just achieved this mbappe, he has already held the record of the final hat trick, the champion of the Pilduun has been champions and the best young players, the Pilduun let, hopefully his career is long and then playing is good")</f>
        <v>still young, still, just achieved this mbappe, he has already held the record of the final hat trick, the champion of the Pilduun has been champions and the best young players, the Pilduun let, hopefully his career is long and then playing is good</v>
      </c>
    </row>
    <row r="5102" ht="15.75" customHeight="1">
      <c r="A5102" s="1">
        <v>6272.0</v>
      </c>
      <c r="B5102" s="3" t="s">
        <v>14644</v>
      </c>
      <c r="C5102" s="3">
        <v>0.0</v>
      </c>
      <c r="D5102" s="3">
        <v>0.0</v>
      </c>
      <c r="E5102" s="3">
        <v>0.0</v>
      </c>
      <c r="F5102" s="3" t="s">
        <v>14645</v>
      </c>
      <c r="G5102" s="3">
        <v>0.6916666666666667</v>
      </c>
      <c r="H5102" s="3">
        <v>0.05000000000000001</v>
      </c>
      <c r="I5102" s="3" t="s">
        <v>48</v>
      </c>
      <c r="J5102" s="3" t="s">
        <v>14646</v>
      </c>
      <c r="K5102" s="3" t="s">
        <v>695</v>
      </c>
      <c r="L5102" s="3" t="str">
        <f>IFERROR(__xludf.DUMMYFUNCTION("GOOGLETRANSLATE(F5102,""id"",""en"")"),"This is Clear Handball French first before the second penalty of Mbappe but apart from the controversy of the final pildun last night, who was caught who was watching while patting the table")</f>
        <v>This is Clear Handball French first before the second penalty of Mbappe but apart from the controversy of the final pildun last night, who was caught who was watching while patting the table</v>
      </c>
    </row>
    <row r="5103" ht="15.75" customHeight="1">
      <c r="A5103" s="1">
        <v>6273.0</v>
      </c>
      <c r="B5103" s="3" t="s">
        <v>14647</v>
      </c>
      <c r="C5103" s="3">
        <v>0.0</v>
      </c>
      <c r="D5103" s="3">
        <v>0.0</v>
      </c>
      <c r="E5103" s="3">
        <v>0.0</v>
      </c>
      <c r="F5103" s="3" t="s">
        <v>14648</v>
      </c>
      <c r="G5103" s="3">
        <v>1.0</v>
      </c>
      <c r="H5103" s="3">
        <v>0.0</v>
      </c>
      <c r="I5103" s="3" t="s">
        <v>13</v>
      </c>
      <c r="J5103" s="3" t="s">
        <v>14649</v>
      </c>
      <c r="K5103" s="3" t="s">
        <v>1479</v>
      </c>
      <c r="L5103" s="3" t="str">
        <f>IFERROR(__xludf.DUMMYFUNCTION("GOOGLETRANSLATE(F5103,""id"",""en"")"),"Mbappe became the first person to make the Hattrick of the Final Pildun match or there was a player who had previously been a Pilduun final hat trick too")</f>
        <v>Mbappe became the first person to make the Hattrick of the Final Pildun match or there was a player who had previously been a Pilduun final hat trick too</v>
      </c>
    </row>
    <row r="5104" ht="15.75" customHeight="1">
      <c r="A5104" s="1">
        <v>6274.0</v>
      </c>
      <c r="B5104" s="3" t="s">
        <v>14650</v>
      </c>
      <c r="C5104" s="3">
        <v>4.0</v>
      </c>
      <c r="D5104" s="3">
        <v>13.0</v>
      </c>
      <c r="E5104" s="3">
        <v>82.0</v>
      </c>
      <c r="F5104" s="3" t="s">
        <v>14651</v>
      </c>
      <c r="G5104" s="3">
        <v>1.0</v>
      </c>
      <c r="H5104" s="3">
        <v>0.0</v>
      </c>
      <c r="I5104" s="3" t="s">
        <v>13</v>
      </c>
      <c r="J5104" s="3" t="s">
        <v>14652</v>
      </c>
      <c r="K5104" s="3" t="s">
        <v>188</v>
      </c>
      <c r="L5104" s="3" t="str">
        <f>IFERROR(__xludf.DUMMYFUNCTION("GOOGLETRANSLATE(F5104,""id"",""en"")"),"Qatar Pilduun has been exciting since Saudi Arabia has almost been a long time Messi Group Stage and even matches with the final results, just intense British, for example, FIFA is corrupt, but the Qatar Pilduun is only the final help of the dont think")</f>
        <v>Qatar Pilduun has been exciting since Saudi Arabia has almost been a long time Messi Group Stage and even matches with the final results, just intense British, for example, FIFA is corrupt, but the Qatar Pilduun is only the final help of the dont think</v>
      </c>
    </row>
    <row r="5105" ht="15.75" customHeight="1">
      <c r="A5105" s="1">
        <v>6275.0</v>
      </c>
      <c r="B5105" s="3" t="s">
        <v>14653</v>
      </c>
      <c r="C5105" s="3">
        <v>0.0</v>
      </c>
      <c r="D5105" s="3">
        <v>0.0</v>
      </c>
      <c r="E5105" s="3">
        <v>0.0</v>
      </c>
      <c r="F5105" s="3" t="s">
        <v>14654</v>
      </c>
      <c r="G5105" s="3">
        <v>1.0</v>
      </c>
      <c r="H5105" s="3">
        <v>0.0</v>
      </c>
      <c r="I5105" s="3" t="s">
        <v>13</v>
      </c>
      <c r="J5105" s="3" t="s">
        <v>14655</v>
      </c>
      <c r="K5105" s="3" t="s">
        <v>644</v>
      </c>
      <c r="L5105" s="3" t="str">
        <f>IFERROR(__xludf.DUMMYFUNCTION("GOOGLETRANSLATE(F5105,""id"",""en"")"),"exciting the final of this year")</f>
        <v>exciting the final of this year</v>
      </c>
    </row>
    <row r="5106" ht="15.75" customHeight="1">
      <c r="A5106" s="1">
        <v>6276.0</v>
      </c>
      <c r="B5106" s="3" t="s">
        <v>14656</v>
      </c>
      <c r="C5106" s="3">
        <v>0.0</v>
      </c>
      <c r="D5106" s="3">
        <v>0.0</v>
      </c>
      <c r="E5106" s="3">
        <v>0.0</v>
      </c>
      <c r="F5106" s="3" t="s">
        <v>14657</v>
      </c>
      <c r="G5106" s="3">
        <v>1.0</v>
      </c>
      <c r="H5106" s="3">
        <v>0.0</v>
      </c>
      <c r="I5106" s="3" t="s">
        <v>13</v>
      </c>
      <c r="J5106" s="3" t="s">
        <v>14658</v>
      </c>
      <c r="K5106" s="3" t="s">
        <v>644</v>
      </c>
      <c r="L5106" s="3" t="str">
        <f>IFERROR(__xludf.DUMMYFUNCTION("GOOGLETRANSLATE(F5106,""id"",""en"")"),"Final Corner Corner CMN")</f>
        <v>Final Corner Corner CMN</v>
      </c>
    </row>
    <row r="5107" ht="15.75" customHeight="1">
      <c r="A5107" s="1">
        <v>6277.0</v>
      </c>
      <c r="B5107" s="3" t="s">
        <v>14659</v>
      </c>
      <c r="C5107" s="3">
        <v>1.0</v>
      </c>
      <c r="D5107" s="3">
        <v>4.0</v>
      </c>
      <c r="E5107" s="3">
        <v>15.0</v>
      </c>
      <c r="F5107" s="3" t="s">
        <v>14660</v>
      </c>
      <c r="G5107" s="3">
        <v>1.0</v>
      </c>
      <c r="H5107" s="3">
        <v>0.0</v>
      </c>
      <c r="I5107" s="3" t="s">
        <v>13</v>
      </c>
      <c r="J5107" s="3" t="s">
        <v>14661</v>
      </c>
      <c r="K5107" s="3" t="s">
        <v>1097</v>
      </c>
      <c r="L5107" s="3" t="str">
        <f>IFERROR(__xludf.DUMMYFUNCTION("GOOGLETRANSLATE(F5107,""id"",""en"")"),"indeed the call to pildun kemane is the final call of SUCA")</f>
        <v>indeed the call to pildun kemane is the final call of SUCA</v>
      </c>
    </row>
    <row r="5108" ht="15.75" customHeight="1">
      <c r="A5108" s="1">
        <v>6278.0</v>
      </c>
      <c r="B5108" s="3" t="s">
        <v>14662</v>
      </c>
      <c r="C5108" s="3">
        <v>0.0</v>
      </c>
      <c r="D5108" s="3">
        <v>0.0</v>
      </c>
      <c r="E5108" s="3">
        <v>0.0</v>
      </c>
      <c r="F5108" s="3" t="s">
        <v>14663</v>
      </c>
      <c r="G5108" s="3">
        <v>0.875</v>
      </c>
      <c r="H5108" s="3">
        <v>0.0</v>
      </c>
      <c r="I5108" s="3" t="s">
        <v>13</v>
      </c>
      <c r="J5108" s="3" t="s">
        <v>14664</v>
      </c>
      <c r="K5108" s="3" t="s">
        <v>82</v>
      </c>
      <c r="L5108" s="3" t="str">
        <f>IFERROR(__xludf.DUMMYFUNCTION("GOOGLETRANSLATE(F5108,""id"",""en"")"),"Total Share of Final Pildun SCTV Indosiar Tapak")</f>
        <v>Total Share of Final Pildun SCTV Indosiar Tapak</v>
      </c>
    </row>
    <row r="5109" ht="15.75" customHeight="1">
      <c r="A5109" s="1">
        <v>6279.0</v>
      </c>
      <c r="B5109" s="3" t="s">
        <v>14665</v>
      </c>
      <c r="C5109" s="3">
        <v>0.0</v>
      </c>
      <c r="D5109" s="3">
        <v>0.0</v>
      </c>
      <c r="E5109" s="3">
        <v>0.0</v>
      </c>
      <c r="F5109" s="3" t="s">
        <v>14666</v>
      </c>
      <c r="G5109" s="3">
        <v>1.0</v>
      </c>
      <c r="H5109" s="3">
        <v>0.05</v>
      </c>
      <c r="I5109" s="3" t="s">
        <v>48</v>
      </c>
      <c r="J5109" s="3" t="s">
        <v>14667</v>
      </c>
      <c r="K5109" s="3" t="s">
        <v>510</v>
      </c>
      <c r="L5109" s="3" t="str">
        <f>IFERROR(__xludf.DUMMYFUNCTION("GOOGLETRANSLATE(F5109,""id"",""en"")"),"Infinity initially accompanied my father to watch the final pildun turned out to be the original wow wow")</f>
        <v>Infinity initially accompanied my father to watch the final pildun turned out to be the original wow wow</v>
      </c>
    </row>
    <row r="5110" ht="15.75" customHeight="1">
      <c r="A5110" s="1">
        <v>6280.0</v>
      </c>
      <c r="B5110" s="3" t="s">
        <v>14668</v>
      </c>
      <c r="C5110" s="3">
        <v>0.0</v>
      </c>
      <c r="D5110" s="3">
        <v>0.0</v>
      </c>
      <c r="E5110" s="3">
        <v>0.0</v>
      </c>
      <c r="F5110" s="3" t="s">
        <v>14669</v>
      </c>
      <c r="G5110" s="3">
        <v>1.0</v>
      </c>
      <c r="H5110" s="3">
        <v>0.0</v>
      </c>
      <c r="I5110" s="3" t="s">
        <v>13</v>
      </c>
      <c r="J5110" s="3" t="s">
        <v>14670</v>
      </c>
      <c r="K5110" s="3" t="s">
        <v>75</v>
      </c>
      <c r="L5110" s="3" t="str">
        <f>IFERROR(__xludf.DUMMYFUNCTION("GOOGLETRANSLATE(F5110,""id"",""en"")"),"Very bacoted to see the final pildun is the dripada stand cringe")</f>
        <v>Very bacoted to see the final pildun is the dripada stand cringe</v>
      </c>
    </row>
    <row r="5111" ht="15.75" customHeight="1">
      <c r="A5111" s="1">
        <v>6281.0</v>
      </c>
      <c r="B5111" s="3" t="s">
        <v>14671</v>
      </c>
      <c r="C5111" s="3">
        <v>0.0</v>
      </c>
      <c r="D5111" s="3">
        <v>0.0</v>
      </c>
      <c r="E5111" s="3">
        <v>0.0</v>
      </c>
      <c r="F5111" s="3" t="s">
        <v>14672</v>
      </c>
      <c r="G5111" s="3">
        <v>1.0</v>
      </c>
      <c r="H5111" s="3">
        <v>0.0</v>
      </c>
      <c r="I5111" s="3" t="s">
        <v>13</v>
      </c>
      <c r="J5111" s="3" t="s">
        <v>14673</v>
      </c>
      <c r="K5111" s="3" t="s">
        <v>31</v>
      </c>
      <c r="L5111" s="3" t="str">
        <f>IFERROR(__xludf.DUMMYFUNCTION("GOOGLETRANSLATE(F5111,""id"",""en"")"),"Yes, yes, last night")</f>
        <v>Yes, yes, last night</v>
      </c>
    </row>
    <row r="5112" ht="15.75" customHeight="1">
      <c r="A5112" s="1">
        <v>6282.0</v>
      </c>
      <c r="B5112" s="3" t="s">
        <v>14674</v>
      </c>
      <c r="C5112" s="3">
        <v>0.0</v>
      </c>
      <c r="D5112" s="3">
        <v>0.0</v>
      </c>
      <c r="E5112" s="3">
        <v>0.0</v>
      </c>
      <c r="F5112" s="3" t="s">
        <v>14675</v>
      </c>
      <c r="G5112" s="3">
        <v>1.0</v>
      </c>
      <c r="H5112" s="3">
        <v>0.0</v>
      </c>
      <c r="I5112" s="3" t="s">
        <v>13</v>
      </c>
      <c r="J5112" s="3" t="s">
        <v>14676</v>
      </c>
      <c r="K5112" s="3" t="s">
        <v>1045</v>
      </c>
      <c r="L5112" s="3" t="str">
        <f>IFERROR(__xludf.DUMMYFUNCTION("GOOGLETRANSLATE(F5112,""id"",""en"")"),"btw forgot this tweet last night thanks to the final pildun last night night the road was quiet and traffic jams aka people on the nobar every time the cafe was the nobar person, all the nobar people")</f>
        <v>btw forgot this tweet last night thanks to the final pildun last night night the road was quiet and traffic jams aka people on the nobar every time the cafe was the nobar person, all the nobar people</v>
      </c>
    </row>
    <row r="5113" ht="15.75" customHeight="1">
      <c r="A5113" s="1">
        <v>6283.0</v>
      </c>
      <c r="B5113" s="3" t="s">
        <v>14677</v>
      </c>
      <c r="C5113" s="3">
        <v>0.0</v>
      </c>
      <c r="D5113" s="3">
        <v>0.0</v>
      </c>
      <c r="E5113" s="3">
        <v>1.0</v>
      </c>
      <c r="F5113" s="3" t="s">
        <v>14678</v>
      </c>
      <c r="G5113" s="3">
        <v>1.0</v>
      </c>
      <c r="H5113" s="3">
        <v>0.0</v>
      </c>
      <c r="I5113" s="3" t="s">
        <v>13</v>
      </c>
      <c r="J5113" s="3" t="s">
        <v>14679</v>
      </c>
      <c r="K5113" s="3" t="s">
        <v>433</v>
      </c>
      <c r="L5113" s="3" t="str">
        <f>IFERROR(__xludf.DUMMYFUNCTION("GOOGLETRANSLATE(F5113,""id"",""en"")"),"It used to be a cool critical beginning but now it was caught caught not participating in the pildun from the beginning watching it only")</f>
        <v>It used to be a cool critical beginning but now it was caught caught not participating in the pildun from the beginning watching it only</v>
      </c>
    </row>
    <row r="5114" ht="15.75" customHeight="1">
      <c r="A5114" s="1">
        <v>6284.0</v>
      </c>
      <c r="B5114" s="3" t="s">
        <v>14680</v>
      </c>
      <c r="C5114" s="3">
        <v>0.0</v>
      </c>
      <c r="D5114" s="3">
        <v>0.0</v>
      </c>
      <c r="E5114" s="3">
        <v>0.0</v>
      </c>
      <c r="F5114" s="3" t="s">
        <v>14681</v>
      </c>
      <c r="G5114" s="3">
        <v>1.0</v>
      </c>
      <c r="H5114" s="3">
        <v>0.0</v>
      </c>
      <c r="I5114" s="3" t="s">
        <v>13</v>
      </c>
      <c r="J5114" s="3" t="s">
        <v>14682</v>
      </c>
      <c r="K5114" s="3" t="s">
        <v>725</v>
      </c>
      <c r="L5114" s="3" t="str">
        <f>IFERROR(__xludf.DUMMYFUNCTION("GOOGLETRANSLATE(F5114,""id"",""en"")"),"Redsindo, that's why everyone follows the development of the club he loves but the different pylets of the Festive Period story are more like the final UCL maybe some players are willing to exchange the scores for the champion for the trophy")</f>
        <v>Redsindo, that's why everyone follows the development of the club he loves but the different pylets of the Festive Period story are more like the final UCL maybe some players are willing to exchange the scores for the champion for the trophy</v>
      </c>
    </row>
    <row r="5115" ht="15.75" customHeight="1">
      <c r="A5115" s="1">
        <v>6285.0</v>
      </c>
      <c r="B5115" s="3" t="s">
        <v>14683</v>
      </c>
      <c r="C5115" s="3">
        <v>0.0</v>
      </c>
      <c r="D5115" s="3">
        <v>0.0</v>
      </c>
      <c r="E5115" s="3">
        <v>0.0</v>
      </c>
      <c r="F5115" s="3" t="s">
        <v>14684</v>
      </c>
      <c r="G5115" s="3">
        <v>1.0</v>
      </c>
      <c r="H5115" s="3">
        <v>0.0</v>
      </c>
      <c r="I5115" s="3" t="s">
        <v>13</v>
      </c>
      <c r="J5115" s="3" t="s">
        <v>14685</v>
      </c>
      <c r="K5115" s="3" t="s">
        <v>19</v>
      </c>
      <c r="L5115" s="3" t="str">
        <f>IFERROR(__xludf.DUMMYFUNCTION("GOOGLETRANSLATE(F5115,""id"",""en"")"),"Good morning, a cafe residents who are office even though they are lacking sleeping after watching the final pildun")</f>
        <v>Good morning, a cafe residents who are office even though they are lacking sleeping after watching the final pildun</v>
      </c>
    </row>
    <row r="5116" ht="15.75" customHeight="1">
      <c r="A5116" s="1">
        <v>6286.0</v>
      </c>
      <c r="B5116" s="3" t="s">
        <v>14686</v>
      </c>
      <c r="C5116" s="3">
        <v>0.0</v>
      </c>
      <c r="D5116" s="3">
        <v>0.0</v>
      </c>
      <c r="E5116" s="3">
        <v>0.0</v>
      </c>
      <c r="F5116" s="3" t="s">
        <v>14687</v>
      </c>
      <c r="G5116" s="3">
        <v>1.0</v>
      </c>
      <c r="H5116" s="3">
        <v>0.0</v>
      </c>
      <c r="I5116" s="3" t="s">
        <v>13</v>
      </c>
      <c r="J5116" s="3" t="s">
        <v>14688</v>
      </c>
      <c r="K5116" s="3" t="s">
        <v>54</v>
      </c>
      <c r="L5116" s="3" t="str">
        <f>IFERROR(__xludf.DUMMYFUNCTION("GOOGLETRANSLATE(F5116,""id"",""en"")"),"last night stayed up watching the final pildun not yet awake")</f>
        <v>last night stayed up watching the final pildun not yet awake</v>
      </c>
    </row>
    <row r="5117" ht="15.75" customHeight="1">
      <c r="A5117" s="1">
        <v>6287.0</v>
      </c>
      <c r="B5117" s="3" t="s">
        <v>14689</v>
      </c>
      <c r="C5117" s="3">
        <v>0.0</v>
      </c>
      <c r="D5117" s="3">
        <v>0.0</v>
      </c>
      <c r="E5117" s="3">
        <v>0.0</v>
      </c>
      <c r="F5117" s="3" t="s">
        <v>14690</v>
      </c>
      <c r="G5117" s="3">
        <v>1.0</v>
      </c>
      <c r="H5117" s="3">
        <v>0.0</v>
      </c>
      <c r="I5117" s="3" t="s">
        <v>13</v>
      </c>
      <c r="J5117" s="3" t="s">
        <v>14691</v>
      </c>
      <c r="K5117" s="3" t="s">
        <v>19</v>
      </c>
      <c r="L5117" s="3" t="str">
        <f>IFERROR(__xludf.DUMMYFUNCTION("GOOGLETRANSLATE(F5117,""id"",""en"")"),"apasi pigs watching the final pildun jam only not left dead")</f>
        <v>apasi pigs watching the final pildun jam only not left dead</v>
      </c>
    </row>
    <row r="5118" ht="15.75" customHeight="1">
      <c r="A5118" s="1">
        <v>6288.0</v>
      </c>
      <c r="B5118" s="3" t="s">
        <v>14692</v>
      </c>
      <c r="C5118" s="3">
        <v>0.0</v>
      </c>
      <c r="D5118" s="3">
        <v>0.0</v>
      </c>
      <c r="E5118" s="3">
        <v>0.0</v>
      </c>
      <c r="F5118" s="3" t="s">
        <v>14693</v>
      </c>
      <c r="G5118" s="3">
        <v>0.7000000000000001</v>
      </c>
      <c r="H5118" s="3">
        <v>0.2121212121212121</v>
      </c>
      <c r="I5118" s="3" t="s">
        <v>48</v>
      </c>
      <c r="J5118" s="3" t="s">
        <v>14694</v>
      </c>
      <c r="K5118" s="3" t="s">
        <v>437</v>
      </c>
      <c r="L5118" s="3" t="str">
        <f>IFERROR(__xludf.DUMMYFUNCTION("GOOGLETRANSLATE(F5118,""id"",""en"")"),"So loud friends, the story of the Live Streaming Final Pildun has been watching it for a long time, but it turns out that love streaming wkwkwk")</f>
        <v>So loud friends, the story of the Live Streaming Final Pildun has been watching it for a long time, but it turns out that love streaming wkwkwk</v>
      </c>
    </row>
    <row r="5119" ht="15.75" customHeight="1">
      <c r="A5119" s="1">
        <v>6289.0</v>
      </c>
      <c r="B5119" s="3" t="s">
        <v>14695</v>
      </c>
      <c r="C5119" s="3">
        <v>0.0</v>
      </c>
      <c r="D5119" s="3">
        <v>0.0</v>
      </c>
      <c r="E5119" s="3">
        <v>0.0</v>
      </c>
      <c r="F5119" s="3" t="s">
        <v>14696</v>
      </c>
      <c r="G5119" s="3">
        <v>1.0</v>
      </c>
      <c r="H5119" s="3">
        <v>0.0</v>
      </c>
      <c r="I5119" s="3" t="s">
        <v>13</v>
      </c>
      <c r="J5119" s="3" t="s">
        <v>14697</v>
      </c>
      <c r="K5119" s="3" t="s">
        <v>54</v>
      </c>
      <c r="L5119" s="3" t="str">
        <f>IFERROR(__xludf.DUMMYFUNCTION("GOOGLETRANSLATE(F5119,""id"",""en"")"),"The votes run out of the state of watching the final pildun")</f>
        <v>The votes run out of the state of watching the final pildun</v>
      </c>
    </row>
    <row r="5120" ht="15.75" customHeight="1">
      <c r="A5120" s="1">
        <v>6290.0</v>
      </c>
      <c r="B5120" s="3" t="s">
        <v>14698</v>
      </c>
      <c r="C5120" s="3">
        <v>0.0</v>
      </c>
      <c r="D5120" s="3">
        <v>0.0</v>
      </c>
      <c r="E5120" s="3">
        <v>0.0</v>
      </c>
      <c r="F5120" s="3" t="s">
        <v>14699</v>
      </c>
      <c r="G5120" s="3">
        <v>0.6666666666666666</v>
      </c>
      <c r="H5120" s="3">
        <v>0.03333333333333333</v>
      </c>
      <c r="I5120" s="3" t="s">
        <v>48</v>
      </c>
      <c r="J5120" s="3" t="s">
        <v>14700</v>
      </c>
      <c r="K5120" s="3" t="s">
        <v>2454</v>
      </c>
      <c r="L5120" s="3" t="str">
        <f>IFERROR(__xludf.DUMMYFUNCTION("GOOGLETRANSLATE(F5120,""id"",""en"")"),"Hilariously just from the group phase, I already looked unexpected, how come Japan could lose the Spain German not to pass Morocco until the Dutch semi -final had to swallow to lose Pinalty and the others were very exciting compared to the previous Pildun"&amp;" I had watched")</f>
        <v>Hilariously just from the group phase, I already looked unexpected, how come Japan could lose the Spain German not to pass Morocco until the Dutch semi -final had to swallow to lose Pinalty and the others were very exciting compared to the previous Pildun I had watched</v>
      </c>
    </row>
    <row r="5121" ht="15.75" customHeight="1">
      <c r="A5121" s="1">
        <v>6291.0</v>
      </c>
      <c r="B5121" s="3" t="s">
        <v>14701</v>
      </c>
      <c r="C5121" s="3">
        <v>1.0</v>
      </c>
      <c r="D5121" s="3">
        <v>0.0</v>
      </c>
      <c r="E5121" s="3">
        <v>0.0</v>
      </c>
      <c r="F5121" s="3" t="s">
        <v>14702</v>
      </c>
      <c r="G5121" s="3">
        <v>0.5</v>
      </c>
      <c r="H5121" s="3">
        <v>0.0</v>
      </c>
      <c r="I5121" s="3" t="s">
        <v>13</v>
      </c>
      <c r="J5121" s="3" t="s">
        <v>14703</v>
      </c>
      <c r="K5121" s="3" t="s">
        <v>510</v>
      </c>
      <c r="L5121" s="3" t="str">
        <f>IFERROR(__xludf.DUMMYFUNCTION("GOOGLETRANSLATE(F5121,""id"",""en"")"),"I've been tired of carrying the country, but we just lose next pildun we are final again kylian syg with Uruguay later")</f>
        <v>I've been tired of carrying the country, but we just lose next pildun we are final again kylian syg with Uruguay later</v>
      </c>
    </row>
    <row r="5122" ht="15.75" customHeight="1">
      <c r="A5122" s="1">
        <v>6292.0</v>
      </c>
      <c r="B5122" s="3" t="s">
        <v>14704</v>
      </c>
      <c r="C5122" s="3">
        <v>1.0</v>
      </c>
      <c r="D5122" s="3">
        <v>0.0</v>
      </c>
      <c r="E5122" s="3">
        <v>0.0</v>
      </c>
      <c r="F5122" s="3" t="s">
        <v>14705</v>
      </c>
      <c r="G5122" s="3">
        <v>1.0</v>
      </c>
      <c r="H5122" s="3">
        <v>0.0</v>
      </c>
      <c r="I5122" s="3" t="s">
        <v>13</v>
      </c>
      <c r="J5122" s="3" t="s">
        <v>14706</v>
      </c>
      <c r="K5122" s="3" t="s">
        <v>15</v>
      </c>
      <c r="L5122" s="3" t="str">
        <f>IFERROR(__xludf.DUMMYFUNCTION("GOOGLETRANSLATE(F5122,""id"",""en"")"),"ASELIIII WFH KLI YAK GRGR last night")</f>
        <v>ASELIIII WFH KLI YAK GRGR last night</v>
      </c>
    </row>
    <row r="5123" ht="15.75" customHeight="1">
      <c r="A5123" s="1">
        <v>6293.0</v>
      </c>
      <c r="B5123" s="3" t="s">
        <v>14707</v>
      </c>
      <c r="C5123" s="3">
        <v>0.0</v>
      </c>
      <c r="D5123" s="3">
        <v>0.0</v>
      </c>
      <c r="E5123" s="3">
        <v>1.0</v>
      </c>
      <c r="F5123" s="3" t="s">
        <v>14707</v>
      </c>
      <c r="G5123" s="3">
        <v>1.0</v>
      </c>
      <c r="H5123" s="3">
        <v>0.0</v>
      </c>
      <c r="I5123" s="3" t="s">
        <v>13</v>
      </c>
      <c r="J5123" s="3" t="s">
        <v>14708</v>
      </c>
      <c r="K5123" s="3" t="s">
        <v>31</v>
      </c>
      <c r="L5123" s="3" t="str">
        <f>IFERROR(__xludf.DUMMYFUNCTION("GOOGLETRANSLATE(F5123,""id"",""en"")"),"just found out last night the final pildun tea")</f>
        <v>just found out last night the final pildun tea</v>
      </c>
    </row>
    <row r="5124" ht="15.75" customHeight="1">
      <c r="A5124" s="1">
        <v>6294.0</v>
      </c>
      <c r="B5124" s="3" t="s">
        <v>14709</v>
      </c>
      <c r="C5124" s="3">
        <v>0.0</v>
      </c>
      <c r="D5124" s="3">
        <v>0.0</v>
      </c>
      <c r="E5124" s="3">
        <v>0.0</v>
      </c>
      <c r="F5124" s="3" t="s">
        <v>14710</v>
      </c>
      <c r="G5124" s="3">
        <v>1.0</v>
      </c>
      <c r="H5124" s="3">
        <v>0.0</v>
      </c>
      <c r="I5124" s="3" t="s">
        <v>13</v>
      </c>
      <c r="J5124" s="3" t="s">
        <v>14711</v>
      </c>
      <c r="K5124" s="3" t="s">
        <v>13921</v>
      </c>
      <c r="L5124" s="3" t="str">
        <f>IFERROR(__xludf.DUMMYFUNCTION("GOOGLETRANSLATE(F5124,""id"",""en"")"),"smlm, the husband of the husband sulking, but he is Argentina because he idolizes Messi and I fun when AGGA is superior, it's exciting if there is a drama series, it must be exciting")</f>
        <v>smlm, the husband of the husband sulking, but he is Argentina because he idolizes Messi and I fun when AGGA is superior, it's exciting if there is a drama series, it must be exciting</v>
      </c>
    </row>
    <row r="5125" ht="15.75" customHeight="1">
      <c r="A5125" s="1">
        <v>6295.0</v>
      </c>
      <c r="B5125" s="3" t="s">
        <v>14712</v>
      </c>
      <c r="C5125" s="3">
        <v>0.0</v>
      </c>
      <c r="D5125" s="3">
        <v>0.0</v>
      </c>
      <c r="E5125" s="3">
        <v>0.0</v>
      </c>
      <c r="F5125" s="3" t="s">
        <v>14713</v>
      </c>
      <c r="G5125" s="3">
        <v>1.0</v>
      </c>
      <c r="H5125" s="3">
        <v>0.0</v>
      </c>
      <c r="I5125" s="3" t="s">
        <v>13</v>
      </c>
      <c r="J5125" s="3" t="s">
        <v>14714</v>
      </c>
      <c r="K5125" s="3" t="s">
        <v>1293</v>
      </c>
      <c r="L5125" s="3" t="str">
        <f>IFERROR(__xludf.DUMMYFUNCTION("GOOGLETRANSLATE(F5125,""id"",""en"")"),"It's really cool, people are busy discussing the final of the pildun last night so it's a bit regretful because I sleep quickly")</f>
        <v>It's really cool, people are busy discussing the final of the pildun last night so it's a bit regretful because I sleep quickly</v>
      </c>
    </row>
    <row r="5126" ht="15.75" customHeight="1">
      <c r="A5126" s="1">
        <v>6296.0</v>
      </c>
      <c r="B5126" s="3" t="s">
        <v>14715</v>
      </c>
      <c r="C5126" s="3">
        <v>3.0</v>
      </c>
      <c r="D5126" s="3">
        <v>0.0</v>
      </c>
      <c r="E5126" s="3">
        <v>14.0</v>
      </c>
      <c r="F5126" s="3" t="s">
        <v>14716</v>
      </c>
      <c r="G5126" s="3">
        <v>1.0</v>
      </c>
      <c r="H5126" s="3">
        <v>0.0</v>
      </c>
      <c r="I5126" s="3" t="s">
        <v>13</v>
      </c>
      <c r="J5126" s="3" t="s">
        <v>14717</v>
      </c>
      <c r="K5126" s="3" t="s">
        <v>4784</v>
      </c>
      <c r="L5126" s="3" t="str">
        <f>IFERROR(__xludf.DUMMYFUNCTION("GOOGLETRANSLATE(F5126,""id"",""en"")"),"Dodolovers Said Opening Let's take the Final First First and Arabsaudi to lose Portugal Fix Pildun already set semi -final more and more here more if this is all set on the final already Fix Setin")</f>
        <v>Dodolovers Said Opening Let's take the Final First First and Arabsaudi to lose Portugal Fix Pildun already set semi -final more and more here more if this is all set on the final already Fix Setin</v>
      </c>
    </row>
    <row r="5127" ht="15.75" customHeight="1">
      <c r="A5127" s="1">
        <v>6297.0</v>
      </c>
      <c r="B5127" s="3" t="s">
        <v>14718</v>
      </c>
      <c r="C5127" s="3">
        <v>0.0</v>
      </c>
      <c r="D5127" s="3">
        <v>0.0</v>
      </c>
      <c r="E5127" s="3">
        <v>1.0</v>
      </c>
      <c r="F5127" s="3" t="s">
        <v>14719</v>
      </c>
      <c r="G5127" s="3">
        <v>1.0</v>
      </c>
      <c r="H5127" s="3">
        <v>0.0</v>
      </c>
      <c r="I5127" s="3" t="s">
        <v>13</v>
      </c>
      <c r="J5127" s="3" t="s">
        <v>14720</v>
      </c>
      <c r="K5127" s="3" t="s">
        <v>9318</v>
      </c>
      <c r="L5127" s="3" t="str">
        <f>IFERROR(__xludf.DUMMYFUNCTION("GOOGLETRANSLATE(F5127,""id"",""en"")"),"Hebooh riot Monday morning, where are you still sleepy after watching the morning pildun final already asign here and there input dashboard ehh e -mail out and forget the password until this afternoon monitored not logged and dicted by people first sabaar"&amp;" ya Bunda Bundaaa")</f>
        <v>Hebooh riot Monday morning, where are you still sleepy after watching the morning pildun final already asign here and there input dashboard ehh e -mail out and forget the password until this afternoon monitored not logged and dicted by people first sabaar ya Bunda Bundaaa</v>
      </c>
    </row>
    <row r="5128" ht="15.75" customHeight="1">
      <c r="A5128" s="1">
        <v>6298.0</v>
      </c>
      <c r="B5128" s="3" t="s">
        <v>14721</v>
      </c>
      <c r="C5128" s="3">
        <v>0.0</v>
      </c>
      <c r="D5128" s="3">
        <v>0.0</v>
      </c>
      <c r="E5128" s="3">
        <v>3.0</v>
      </c>
      <c r="F5128" s="3" t="s">
        <v>14722</v>
      </c>
      <c r="G5128" s="3">
        <v>1.0</v>
      </c>
      <c r="H5128" s="3">
        <v>0.0</v>
      </c>
      <c r="I5128" s="3" t="s">
        <v>13</v>
      </c>
      <c r="J5128" s="3" t="s">
        <v>14723</v>
      </c>
      <c r="K5128" s="3" t="s">
        <v>35</v>
      </c>
      <c r="L5128" s="3" t="str">
        <f>IFERROR(__xludf.DUMMYFUNCTION("GOOGLETRANSLATE(F5128,""id"",""en"")"),"After watching the final pildun tonight, turn on the Malaysian Sandbox regulatory Aehin Hour organized by")</f>
        <v>After watching the final pildun tonight, turn on the Malaysian Sandbox regulatory Aehin Hour organized by</v>
      </c>
    </row>
    <row r="5129" ht="15.75" customHeight="1">
      <c r="A5129" s="1">
        <v>6299.0</v>
      </c>
      <c r="B5129" s="3" t="s">
        <v>14724</v>
      </c>
      <c r="C5129" s="3">
        <v>1.0</v>
      </c>
      <c r="D5129" s="3">
        <v>0.0</v>
      </c>
      <c r="E5129" s="3">
        <v>2.0</v>
      </c>
      <c r="F5129" s="3" t="s">
        <v>14725</v>
      </c>
      <c r="G5129" s="3">
        <v>0.8333333333333334</v>
      </c>
      <c r="H5129" s="3">
        <v>0.1666666666666667</v>
      </c>
      <c r="I5129" s="3" t="s">
        <v>48</v>
      </c>
      <c r="J5129" s="3" t="s">
        <v>14726</v>
      </c>
      <c r="K5129" s="3" t="s">
        <v>426</v>
      </c>
      <c r="L5129" s="3" t="str">
        <f>IFERROR(__xludf.DUMMYFUNCTION("GOOGLETRANSLATE(F5129,""id"",""en"")"),"Lawas Comments Melon Dongo like this, see the Dutch penalty quarter final, who is the Argentina Final goal, making the Chance Create share who added Lautaro is the Argentina top score during the qualification")</f>
        <v>Lawas Comments Melon Dongo like this, see the Dutch penalty quarter final, who is the Argentina Final goal, making the Chance Create share who added Lautaro is the Argentina top score during the qualification</v>
      </c>
    </row>
    <row r="5130" ht="15.75" customHeight="1">
      <c r="A5130" s="1">
        <v>6300.0</v>
      </c>
      <c r="B5130" s="3" t="s">
        <v>14727</v>
      </c>
      <c r="C5130" s="3">
        <v>0.0</v>
      </c>
      <c r="D5130" s="3">
        <v>0.0</v>
      </c>
      <c r="E5130" s="3">
        <v>0.0</v>
      </c>
      <c r="F5130" s="3" t="s">
        <v>14728</v>
      </c>
      <c r="G5130" s="3">
        <v>1.0</v>
      </c>
      <c r="H5130" s="3">
        <v>0.0</v>
      </c>
      <c r="I5130" s="3" t="s">
        <v>13</v>
      </c>
      <c r="J5130" s="3" t="s">
        <v>14729</v>
      </c>
      <c r="K5130" s="3" t="s">
        <v>358</v>
      </c>
      <c r="L5130" s="3" t="str">
        <f>IFERROR(__xludf.DUMMYFUNCTION("GOOGLETRANSLATE(F5130,""id"",""en"")"),"Sosoan League audience Sosoan naked Final Pilduun Ugly the audience league still likes to be losing if you lose how come Sie Mniez's comment")</f>
        <v>Sosoan League audience Sosoan naked Final Pilduun Ugly the audience league still likes to be losing if you lose how come Sie Mniez's comment</v>
      </c>
    </row>
    <row r="5131" ht="15.75" customHeight="1">
      <c r="A5131" s="1">
        <v>6301.0</v>
      </c>
      <c r="B5131" s="3" t="s">
        <v>14730</v>
      </c>
      <c r="C5131" s="3">
        <v>1.0</v>
      </c>
      <c r="D5131" s="3">
        <v>0.0</v>
      </c>
      <c r="E5131" s="3">
        <v>0.0</v>
      </c>
      <c r="F5131" s="3" t="s">
        <v>14731</v>
      </c>
      <c r="G5131" s="3">
        <v>0.55</v>
      </c>
      <c r="H5131" s="3">
        <v>0.0</v>
      </c>
      <c r="I5131" s="3" t="s">
        <v>13</v>
      </c>
      <c r="J5131" s="3" t="s">
        <v>14732</v>
      </c>
      <c r="K5131" s="3" t="s">
        <v>15</v>
      </c>
      <c r="L5131" s="3" t="str">
        <f>IFERROR(__xludf.DUMMYFUNCTION("GOOGLETRANSLATE(F5131,""id"",""en"")"),"This week's blue lock episode seems to describe the final pildun")</f>
        <v>This week's blue lock episode seems to describe the final pildun</v>
      </c>
    </row>
    <row r="5132" ht="15.75" customHeight="1">
      <c r="A5132" s="1">
        <v>6302.0</v>
      </c>
      <c r="B5132" s="3" t="s">
        <v>14733</v>
      </c>
      <c r="C5132" s="3">
        <v>0.0</v>
      </c>
      <c r="D5132" s="3">
        <v>0.0</v>
      </c>
      <c r="E5132" s="3">
        <v>1.0</v>
      </c>
      <c r="F5132" s="3" t="s">
        <v>14734</v>
      </c>
      <c r="G5132" s="3">
        <v>1.0</v>
      </c>
      <c r="H5132" s="3">
        <v>0.0</v>
      </c>
      <c r="I5132" s="3" t="s">
        <v>13</v>
      </c>
      <c r="J5132" s="3" t="s">
        <v>14735</v>
      </c>
      <c r="K5132" s="3" t="s">
        <v>19</v>
      </c>
      <c r="L5132" s="3" t="str">
        <f>IFERROR(__xludf.DUMMYFUNCTION("GOOGLETRANSLATE(F5132,""id"",""en"")"),"Sleeping Jam Final State Pildun Fajr must wake up to cook then the office wkwk")</f>
        <v>Sleeping Jam Final State Pildun Fajr must wake up to cook then the office wkwk</v>
      </c>
    </row>
    <row r="5133" ht="15.75" customHeight="1">
      <c r="A5133" s="1">
        <v>6303.0</v>
      </c>
      <c r="B5133" s="3" t="s">
        <v>14736</v>
      </c>
      <c r="C5133" s="3">
        <v>2.0</v>
      </c>
      <c r="D5133" s="3">
        <v>0.0</v>
      </c>
      <c r="E5133" s="3">
        <v>0.0</v>
      </c>
      <c r="F5133" s="3" t="s">
        <v>14737</v>
      </c>
      <c r="G5133" s="3">
        <v>1.0</v>
      </c>
      <c r="H5133" s="3">
        <v>0.0</v>
      </c>
      <c r="I5133" s="3" t="s">
        <v>13</v>
      </c>
      <c r="J5133" s="3" t="s">
        <v>14738</v>
      </c>
      <c r="K5133" s="3" t="s">
        <v>184</v>
      </c>
      <c r="L5133" s="3" t="str">
        <f>IFERROR(__xludf.DUMMYFUNCTION("GOOGLETRANSLATE(F5133,""id"",""en"")"),"Final Pildun Ter Debest last night was moved to be happy if I understand the ball and miss this final match Fix will regret for life")</f>
        <v>Final Pildun Ter Debest last night was moved to be happy if I understand the ball and miss this final match Fix will regret for life</v>
      </c>
    </row>
    <row r="5134" ht="15.75" customHeight="1">
      <c r="A5134" s="1">
        <v>6304.0</v>
      </c>
      <c r="B5134" s="3" t="s">
        <v>14739</v>
      </c>
      <c r="C5134" s="3">
        <v>0.0</v>
      </c>
      <c r="D5134" s="3">
        <v>0.0</v>
      </c>
      <c r="E5134" s="3">
        <v>0.0</v>
      </c>
      <c r="F5134" s="3" t="s">
        <v>14740</v>
      </c>
      <c r="G5134" s="3">
        <v>1.0</v>
      </c>
      <c r="H5134" s="3">
        <v>0.0</v>
      </c>
      <c r="I5134" s="3" t="s">
        <v>13</v>
      </c>
      <c r="J5134" s="3" t="s">
        <v>14741</v>
      </c>
      <c r="K5134" s="3" t="s">
        <v>54</v>
      </c>
      <c r="L5134" s="3" t="str">
        <f>IFERROR(__xludf.DUMMYFUNCTION("GOOGLETRANSLATE(F5134,""id"",""en"")"),"the definition of fighting alone is the final pildun")</f>
        <v>the definition of fighting alone is the final pildun</v>
      </c>
    </row>
    <row r="5135" ht="15.75" customHeight="1">
      <c r="A5135" s="1">
        <v>6305.0</v>
      </c>
      <c r="B5135" s="3" t="s">
        <v>14742</v>
      </c>
      <c r="C5135" s="3">
        <v>1.0</v>
      </c>
      <c r="D5135" s="3">
        <v>0.0</v>
      </c>
      <c r="E5135" s="3">
        <v>0.0</v>
      </c>
      <c r="F5135" s="3" t="s">
        <v>14743</v>
      </c>
      <c r="G5135" s="3">
        <v>1.0</v>
      </c>
      <c r="H5135" s="3">
        <v>0.0</v>
      </c>
      <c r="I5135" s="3" t="s">
        <v>13</v>
      </c>
      <c r="J5135" s="3" t="s">
        <v>14744</v>
      </c>
      <c r="K5135" s="3" t="s">
        <v>50</v>
      </c>
      <c r="L5135" s="3" t="str">
        <f>IFERROR(__xludf.DUMMYFUNCTION("GOOGLETRANSLATE(F5135,""id"",""en"")"),"I have watched the final pildun, how many times, mba until the rate is that much")</f>
        <v>I have watched the final pildun, how many times, mba until the rate is that much</v>
      </c>
    </row>
    <row r="5136" ht="15.75" customHeight="1">
      <c r="A5136" s="1">
        <v>6306.0</v>
      </c>
      <c r="B5136" s="3" t="s">
        <v>14745</v>
      </c>
      <c r="C5136" s="3">
        <v>0.0</v>
      </c>
      <c r="D5136" s="3">
        <v>0.0</v>
      </c>
      <c r="E5136" s="3">
        <v>0.0</v>
      </c>
      <c r="F5136" s="3" t="s">
        <v>14746</v>
      </c>
      <c r="G5136" s="3">
        <v>1.0</v>
      </c>
      <c r="H5136" s="3">
        <v>0.0</v>
      </c>
      <c r="I5136" s="3" t="s">
        <v>13</v>
      </c>
      <c r="J5136" s="3" t="s">
        <v>14747</v>
      </c>
      <c r="K5136" s="3" t="s">
        <v>15</v>
      </c>
      <c r="L5136" s="3" t="str">
        <f>IFERROR(__xludf.DUMMYFUNCTION("GOOGLETRANSLATE(F5136,""id"",""en"")"),"Kober Ndelok Final Pildun soale murrrussssss until lemes")</f>
        <v>Kober Ndelok Final Pildun soale murrrussssss until lemes</v>
      </c>
    </row>
    <row r="5137" ht="15.75" customHeight="1">
      <c r="A5137" s="1">
        <v>6307.0</v>
      </c>
      <c r="B5137" s="3" t="s">
        <v>14748</v>
      </c>
      <c r="C5137" s="3">
        <v>1.0</v>
      </c>
      <c r="D5137" s="3">
        <v>0.0</v>
      </c>
      <c r="E5137" s="3">
        <v>1.0</v>
      </c>
      <c r="F5137" s="3" t="s">
        <v>14749</v>
      </c>
      <c r="G5137" s="3">
        <v>1.0</v>
      </c>
      <c r="H5137" s="3">
        <v>0.0</v>
      </c>
      <c r="I5137" s="3" t="s">
        <v>13</v>
      </c>
      <c r="J5137" s="3" t="s">
        <v>14750</v>
      </c>
      <c r="K5137" s="3" t="s">
        <v>4281</v>
      </c>
      <c r="L5137" s="3" t="str">
        <f>IFERROR(__xludf.DUMMYFUNCTION("GOOGLETRANSLATE(F5137,""id"",""en"")"),"Behind that, I have experienced the name of Rungkad Euro Kmaren Utg, the final I won from there, I haven't read the Bola Negara market, the result is that this pildun is the victory of my victory, there is a match of the pildun wins.")</f>
        <v>Behind that, I have experienced the name of Rungkad Euro Kmaren Utg, the final I won from there, I haven't read the Bola Negara market, the result is that this pildun is the victory of my victory, there is a match of the pildun wins.</v>
      </c>
    </row>
    <row r="5138" ht="15.75" customHeight="1">
      <c r="A5138" s="1">
        <v>6308.0</v>
      </c>
      <c r="B5138" s="3" t="s">
        <v>14751</v>
      </c>
      <c r="C5138" s="3">
        <v>0.0</v>
      </c>
      <c r="D5138" s="3">
        <v>0.0</v>
      </c>
      <c r="E5138" s="3">
        <v>0.0</v>
      </c>
      <c r="F5138" s="3" t="s">
        <v>14752</v>
      </c>
      <c r="G5138" s="3">
        <v>1.0</v>
      </c>
      <c r="H5138" s="3">
        <v>0.0</v>
      </c>
      <c r="I5138" s="3" t="s">
        <v>13</v>
      </c>
      <c r="J5138" s="3" t="s">
        <v>14753</v>
      </c>
      <c r="K5138" s="3" t="s">
        <v>244</v>
      </c>
      <c r="L5138" s="3" t="str">
        <f>IFERROR(__xludf.DUMMYFUNCTION("GOOGLETRANSLATE(F5138,""id"",""en"")"),"These people at the office complained about him to run out of the Nobar Final Pildun, yeah, I also wkwk")</f>
        <v>These people at the office complained about him to run out of the Nobar Final Pildun, yeah, I also wkwk</v>
      </c>
    </row>
    <row r="5139" ht="15.75" customHeight="1">
      <c r="A5139" s="1">
        <v>6309.0</v>
      </c>
      <c r="B5139" s="3" t="s">
        <v>14754</v>
      </c>
      <c r="C5139" s="3">
        <v>1.0</v>
      </c>
      <c r="D5139" s="3">
        <v>0.0</v>
      </c>
      <c r="E5139" s="3">
        <v>0.0</v>
      </c>
      <c r="F5139" s="3" t="s">
        <v>14755</v>
      </c>
      <c r="G5139" s="3">
        <v>1.0</v>
      </c>
      <c r="H5139" s="3">
        <v>0.0</v>
      </c>
      <c r="I5139" s="3" t="s">
        <v>13</v>
      </c>
      <c r="J5139" s="3" t="s">
        <v>14756</v>
      </c>
      <c r="K5139" s="3" t="s">
        <v>3456</v>
      </c>
      <c r="L5139" s="3" t="str">
        <f>IFERROR(__xludf.DUMMYFUNCTION("GOOGLETRANSLATE(F5139,""id"",""en"")"),"Last night, the final pildun was actually neutral, a little leaning a little france when the round lost to turn off with a friend said who knows the plot twist when dawn knew the argent won full of drama which uses a penalties to regret it, woiii not ntn")</f>
        <v>Last night, the final pildun was actually neutral, a little leaning a little france when the round lost to turn off with a friend said who knows the plot twist when dawn knew the argent won full of drama which uses a penalties to regret it, woiii not ntn</v>
      </c>
    </row>
    <row r="5140" ht="15.75" customHeight="1">
      <c r="A5140" s="1">
        <v>6310.0</v>
      </c>
      <c r="B5140" s="3" t="s">
        <v>14757</v>
      </c>
      <c r="C5140" s="3">
        <v>0.0</v>
      </c>
      <c r="D5140" s="3">
        <v>0.0</v>
      </c>
      <c r="E5140" s="3">
        <v>0.0</v>
      </c>
      <c r="F5140" s="3" t="s">
        <v>14758</v>
      </c>
      <c r="G5140" s="3">
        <v>1.0</v>
      </c>
      <c r="H5140" s="3">
        <v>0.0</v>
      </c>
      <c r="I5140" s="3" t="s">
        <v>13</v>
      </c>
      <c r="J5140" s="3" t="s">
        <v>14759</v>
      </c>
      <c r="K5140" s="3" t="s">
        <v>491</v>
      </c>
      <c r="L5140" s="3" t="str">
        <f>IFERROR(__xludf.DUMMYFUNCTION("GOOGLETRANSLATE(F5140,""id"",""en"")"),"now it's really sleepy because of watching the final pildun already skip skincare night watching France Etaunya lost")</f>
        <v>now it's really sleepy because of watching the final pildun already skip skincare night watching France Etaunya lost</v>
      </c>
    </row>
    <row r="5141" ht="15.75" customHeight="1">
      <c r="A5141" s="1">
        <v>6311.0</v>
      </c>
      <c r="B5141" s="3" t="s">
        <v>14760</v>
      </c>
      <c r="C5141" s="3">
        <v>0.0</v>
      </c>
      <c r="D5141" s="3">
        <v>0.0</v>
      </c>
      <c r="E5141" s="3">
        <v>0.0</v>
      </c>
      <c r="F5141" s="3" t="s">
        <v>14761</v>
      </c>
      <c r="G5141" s="3">
        <v>1.0</v>
      </c>
      <c r="H5141" s="3">
        <v>0.0</v>
      </c>
      <c r="I5141" s="3" t="s">
        <v>13</v>
      </c>
      <c r="J5141" s="3" t="s">
        <v>14762</v>
      </c>
      <c r="K5141" s="3" t="s">
        <v>15</v>
      </c>
      <c r="L5141" s="3" t="str">
        <f>IFERROR(__xludf.DUMMYFUNCTION("GOOGLETRANSLATE(F5141,""id"",""en"")"),"no other nobar Final Pilduun Wiken all day's husband")</f>
        <v>no other nobar Final Pilduun Wiken all day's husband</v>
      </c>
    </row>
    <row r="5142" ht="15.75" customHeight="1">
      <c r="A5142" s="1">
        <v>6312.0</v>
      </c>
      <c r="B5142" s="3" t="s">
        <v>14763</v>
      </c>
      <c r="C5142" s="3">
        <v>0.0</v>
      </c>
      <c r="D5142" s="3">
        <v>0.0</v>
      </c>
      <c r="E5142" s="3">
        <v>0.0</v>
      </c>
      <c r="F5142" s="3" t="s">
        <v>14764</v>
      </c>
      <c r="G5142" s="3">
        <v>0.7</v>
      </c>
      <c r="H5142" s="3">
        <v>0.1</v>
      </c>
      <c r="I5142" s="3" t="s">
        <v>48</v>
      </c>
      <c r="J5142" s="3" t="s">
        <v>14765</v>
      </c>
      <c r="K5142" s="3" t="s">
        <v>50</v>
      </c>
      <c r="L5142" s="3" t="str">
        <f>IFERROR(__xludf.DUMMYFUNCTION("GOOGLETRANSLATE(F5142,""id"",""en"")"),"hahaha what do you do the nnton final pildun until the Argentina championship coup")</f>
        <v>hahaha what do you do the nnton final pildun until the Argentina championship coup</v>
      </c>
    </row>
    <row r="5143" ht="15.75" customHeight="1">
      <c r="A5143" s="1">
        <v>6313.0</v>
      </c>
      <c r="B5143" s="3" t="s">
        <v>14766</v>
      </c>
      <c r="C5143" s="3">
        <v>0.0</v>
      </c>
      <c r="D5143" s="3">
        <v>0.0</v>
      </c>
      <c r="E5143" s="3">
        <v>0.0</v>
      </c>
      <c r="F5143" s="3" t="s">
        <v>14767</v>
      </c>
      <c r="G5143" s="3">
        <v>0.7</v>
      </c>
      <c r="H5143" s="3">
        <v>-0.1333333333333333</v>
      </c>
      <c r="I5143" s="3" t="s">
        <v>179</v>
      </c>
      <c r="J5143" s="3" t="s">
        <v>14768</v>
      </c>
      <c r="K5143" s="3" t="s">
        <v>675</v>
      </c>
      <c r="L5143" s="3" t="str">
        <f>IFERROR(__xludf.DUMMYFUNCTION("GOOGLETRANSLATE(F5143,""id"",""en"")"),"Favoritin Messi from the beginning of Pilduun Min Entertainment Adrenaline Rush Tense Dramatic Name during the final game Magical Messi Pulga Deserves One The Goat Football Mission")</f>
        <v>Favoritin Messi from the beginning of Pilduun Min Entertainment Adrenaline Rush Tense Dramatic Name during the final game Magical Messi Pulga Deserves One The Goat Football Mission</v>
      </c>
    </row>
    <row r="5144" ht="15.75" customHeight="1">
      <c r="A5144" s="1">
        <v>6314.0</v>
      </c>
      <c r="B5144" s="3" t="s">
        <v>14769</v>
      </c>
      <c r="C5144" s="3">
        <v>0.0</v>
      </c>
      <c r="D5144" s="3">
        <v>0.0</v>
      </c>
      <c r="E5144" s="3">
        <v>0.0</v>
      </c>
      <c r="F5144" s="3" t="s">
        <v>14770</v>
      </c>
      <c r="G5144" s="3">
        <v>1.0</v>
      </c>
      <c r="H5144" s="3">
        <v>0.0</v>
      </c>
      <c r="I5144" s="3" t="s">
        <v>13</v>
      </c>
      <c r="J5144" s="3" t="s">
        <v>14771</v>
      </c>
      <c r="K5144" s="3" t="s">
        <v>82</v>
      </c>
      <c r="L5144" s="3" t="str">
        <f>IFERROR(__xludf.DUMMYFUNCTION("GOOGLETRANSLATE(F5144,""id"",""en"")"),"You missed the most exciting Pilduun Final")</f>
        <v>You missed the most exciting Pilduun Final</v>
      </c>
    </row>
    <row r="5145" ht="15.75" customHeight="1">
      <c r="A5145" s="1">
        <v>6315.0</v>
      </c>
      <c r="B5145" s="3" t="s">
        <v>14772</v>
      </c>
      <c r="C5145" s="3">
        <v>0.0</v>
      </c>
      <c r="D5145" s="3">
        <v>0.0</v>
      </c>
      <c r="E5145" s="3">
        <v>0.0</v>
      </c>
      <c r="F5145" s="3" t="s">
        <v>14773</v>
      </c>
      <c r="G5145" s="3">
        <v>0.55</v>
      </c>
      <c r="H5145" s="3">
        <v>0.15</v>
      </c>
      <c r="I5145" s="3" t="s">
        <v>48</v>
      </c>
      <c r="J5145" s="3" t="s">
        <v>14774</v>
      </c>
      <c r="K5145" s="3" t="s">
        <v>41</v>
      </c>
      <c r="L5145" s="3" t="str">
        <f>IFERROR(__xludf.DUMMYFUNCTION("GOOGLETRANSLATE(F5145,""id"",""en"")"),"but the final pildun last night was very worth watching xixixi")</f>
        <v>but the final pildun last night was very worth watching xixixi</v>
      </c>
    </row>
    <row r="5146" ht="15.75" customHeight="1">
      <c r="A5146" s="1">
        <v>6316.0</v>
      </c>
      <c r="B5146" s="3" t="s">
        <v>14775</v>
      </c>
      <c r="C5146" s="3">
        <v>1.0</v>
      </c>
      <c r="D5146" s="3">
        <v>0.0</v>
      </c>
      <c r="E5146" s="3">
        <v>0.0</v>
      </c>
      <c r="F5146" s="3" t="s">
        <v>14776</v>
      </c>
      <c r="G5146" s="3">
        <v>1.0</v>
      </c>
      <c r="H5146" s="3">
        <v>0.0</v>
      </c>
      <c r="I5146" s="3" t="s">
        <v>13</v>
      </c>
      <c r="J5146" s="3" t="s">
        <v>14777</v>
      </c>
      <c r="K5146" s="3" t="s">
        <v>266</v>
      </c>
      <c r="L5146" s="3" t="str">
        <f>IFERROR(__xludf.DUMMYFUNCTION("GOOGLETRANSLATE(F5146,""id"",""en"")"),"This is the most climax football scenario for Messi's supporters, there are too many failures in the failure of Messi to lose the final pildun losing Copa America many times until the lowest point is retirement of photos of crying Messi and back again")</f>
        <v>This is the most climax football scenario for Messi's supporters, there are too many failures in the failure of Messi to lose the final pildun losing Copa America many times until the lowest point is retirement of photos of crying Messi and back again</v>
      </c>
    </row>
    <row r="5147" ht="15.75" customHeight="1">
      <c r="A5147" s="1">
        <v>6317.0</v>
      </c>
      <c r="B5147" s="3" t="s">
        <v>14778</v>
      </c>
      <c r="C5147" s="3">
        <v>0.0</v>
      </c>
      <c r="D5147" s="3">
        <v>0.0</v>
      </c>
      <c r="E5147" s="3">
        <v>0.0</v>
      </c>
      <c r="F5147" s="3" t="s">
        <v>14779</v>
      </c>
      <c r="G5147" s="3">
        <v>1.0</v>
      </c>
      <c r="H5147" s="3">
        <v>0.0</v>
      </c>
      <c r="I5147" s="3" t="s">
        <v>13</v>
      </c>
      <c r="J5147" s="3" t="s">
        <v>14780</v>
      </c>
      <c r="K5147" s="3" t="s">
        <v>82</v>
      </c>
      <c r="L5147" s="3" t="str">
        <f>IFERROR(__xludf.DUMMYFUNCTION("GOOGLETRANSLATE(F5147,""id"",""en"")"),"like watching football only the final pildun is me")</f>
        <v>like watching football only the final pildun is me</v>
      </c>
    </row>
    <row r="5148" ht="15.75" customHeight="1">
      <c r="A5148" s="1">
        <v>6318.0</v>
      </c>
      <c r="B5148" s="3" t="s">
        <v>14781</v>
      </c>
      <c r="C5148" s="3">
        <v>1.0</v>
      </c>
      <c r="D5148" s="3">
        <v>0.0</v>
      </c>
      <c r="E5148" s="3">
        <v>0.0</v>
      </c>
      <c r="F5148" s="3" t="s">
        <v>14782</v>
      </c>
      <c r="G5148" s="3">
        <v>1.0</v>
      </c>
      <c r="H5148" s="3">
        <v>0.0</v>
      </c>
      <c r="I5148" s="3" t="s">
        <v>13</v>
      </c>
      <c r="J5148" s="3" t="s">
        <v>14783</v>
      </c>
      <c r="K5148" s="3" t="s">
        <v>50</v>
      </c>
      <c r="L5148" s="3" t="str">
        <f>IFERROR(__xludf.DUMMYFUNCTION("GOOGLETRANSLATE(F5148,""id"",""en"")"),"Cok Mbappe Hattrick Final Hattrick Pildun Tahun before lifting another trophy")</f>
        <v>Cok Mbappe Hattrick Final Hattrick Pildun Tahun before lifting another trophy</v>
      </c>
    </row>
    <row r="5149" ht="15.75" customHeight="1">
      <c r="A5149" s="1">
        <v>6319.0</v>
      </c>
      <c r="B5149" s="3" t="s">
        <v>14784</v>
      </c>
      <c r="C5149" s="3">
        <v>0.0</v>
      </c>
      <c r="D5149" s="3">
        <v>0.0</v>
      </c>
      <c r="E5149" s="3">
        <v>0.0</v>
      </c>
      <c r="F5149" s="3" t="s">
        <v>14785</v>
      </c>
      <c r="G5149" s="3">
        <v>1.0</v>
      </c>
      <c r="H5149" s="3">
        <v>0.0</v>
      </c>
      <c r="I5149" s="3" t="s">
        <v>13</v>
      </c>
      <c r="J5149" s="3" t="s">
        <v>14786</v>
      </c>
      <c r="K5149" s="3" t="s">
        <v>82</v>
      </c>
      <c r="L5149" s="3" t="str">
        <f>IFERROR(__xludf.DUMMYFUNCTION("GOOGLETRANSLATE(F5149,""id"",""en"")"),"UAS does not need to watch the final pildun number one")</f>
        <v>UAS does not need to watch the final pildun number one</v>
      </c>
    </row>
    <row r="5150" ht="15.75" customHeight="1">
      <c r="A5150" s="1">
        <v>6320.0</v>
      </c>
      <c r="B5150" s="3" t="s">
        <v>14787</v>
      </c>
      <c r="C5150" s="3">
        <v>0.0</v>
      </c>
      <c r="D5150" s="3">
        <v>0.0</v>
      </c>
      <c r="E5150" s="3">
        <v>0.0</v>
      </c>
      <c r="F5150" s="3" t="s">
        <v>14788</v>
      </c>
      <c r="G5150" s="3">
        <v>1.0</v>
      </c>
      <c r="H5150" s="3">
        <v>0.0</v>
      </c>
      <c r="I5150" s="3" t="s">
        <v>13</v>
      </c>
      <c r="J5150" s="3" t="s">
        <v>14789</v>
      </c>
      <c r="K5150" s="3" t="s">
        <v>477</v>
      </c>
      <c r="L5150" s="3" t="str">
        <f>IFERROR(__xludf.DUMMYFUNCTION("GOOGLETRANSLATE(F5150,""id"",""en"")"),"Even though I won the best TTP pildun because I lost the final pildun")</f>
        <v>Even though I won the best TTP pildun because I lost the final pildun</v>
      </c>
    </row>
    <row r="5151" ht="15.75" customHeight="1">
      <c r="A5151" s="1">
        <v>6321.0</v>
      </c>
      <c r="B5151" s="3" t="s">
        <v>14790</v>
      </c>
      <c r="C5151" s="3">
        <v>0.0</v>
      </c>
      <c r="D5151" s="3">
        <v>0.0</v>
      </c>
      <c r="E5151" s="3">
        <v>0.0</v>
      </c>
      <c r="F5151" s="3" t="s">
        <v>14791</v>
      </c>
      <c r="G5151" s="3">
        <v>1.0</v>
      </c>
      <c r="H5151" s="3">
        <v>0.0</v>
      </c>
      <c r="I5151" s="3" t="s">
        <v>13</v>
      </c>
      <c r="J5151" s="3" t="s">
        <v>14792</v>
      </c>
      <c r="K5151" s="3" t="s">
        <v>1097</v>
      </c>
      <c r="L5151" s="3" t="str">
        <f>IFERROR(__xludf.DUMMYFUNCTION("GOOGLETRANSLATE(F5151,""id"",""en"")"),"Even though I won the best TTP pildun because I lost the final pildun")</f>
        <v>Even though I won the best TTP pildun because I lost the final pildun</v>
      </c>
    </row>
    <row r="5152" ht="15.75" customHeight="1">
      <c r="A5152" s="1">
        <v>6322.0</v>
      </c>
      <c r="B5152" s="3" t="s">
        <v>14793</v>
      </c>
      <c r="C5152" s="3">
        <v>1.0</v>
      </c>
      <c r="D5152" s="3">
        <v>0.0</v>
      </c>
      <c r="E5152" s="3">
        <v>0.0</v>
      </c>
      <c r="F5152" s="3" t="s">
        <v>14794</v>
      </c>
      <c r="G5152" s="3">
        <v>0.7000000000000001</v>
      </c>
      <c r="H5152" s="3">
        <v>0.06666666666666667</v>
      </c>
      <c r="I5152" s="3" t="s">
        <v>48</v>
      </c>
      <c r="J5152" s="3" t="s">
        <v>14795</v>
      </c>
      <c r="K5152" s="3" t="s">
        <v>3882</v>
      </c>
      <c r="L5152" s="3" t="str">
        <f>IFERROR(__xludf.DUMMYFUNCTION("GOOGLETRANSLATE(F5152,""id"",""en"")"),"Time Aiwkwkwkwkwkwk Minimum Balloon Door Golden Boot Motm World Cup MVP World Cup Masok Final plus champion Pilduun new deck want to nudge Messi believes Penaldog wants to nudging Messi Gatakut ashamed again Ajjeng")</f>
        <v>Time Aiwkwkwkwkwkwk Minimum Balloon Door Golden Boot Motm World Cup MVP World Cup Masok Final plus champion Pilduun new deck want to nudge Messi believes Penaldog wants to nudging Messi Gatakut ashamed again Ajjeng</v>
      </c>
    </row>
    <row r="5153" ht="15.75" customHeight="1">
      <c r="A5153" s="1">
        <v>6323.0</v>
      </c>
      <c r="B5153" s="3" t="s">
        <v>14796</v>
      </c>
      <c r="C5153" s="3">
        <v>1.0</v>
      </c>
      <c r="D5153" s="3">
        <v>0.0</v>
      </c>
      <c r="E5153" s="3">
        <v>0.0</v>
      </c>
      <c r="F5153" s="3" t="s">
        <v>14797</v>
      </c>
      <c r="G5153" s="3">
        <v>1.0</v>
      </c>
      <c r="H5153" s="3">
        <v>0.0</v>
      </c>
      <c r="I5153" s="3" t="s">
        <v>13</v>
      </c>
      <c r="J5153" s="3" t="s">
        <v>14798</v>
      </c>
      <c r="K5153" s="3" t="s">
        <v>82</v>
      </c>
      <c r="L5153" s="3" t="str">
        <f>IFERROR(__xludf.DUMMYFUNCTION("GOOGLETRANSLATE(F5153,""id"",""en"")"),"yes after joining the closing ceremony of the final pildun")</f>
        <v>yes after joining the closing ceremony of the final pildun</v>
      </c>
    </row>
    <row r="5154" ht="15.75" customHeight="1">
      <c r="A5154" s="1">
        <v>6324.0</v>
      </c>
      <c r="B5154" s="3" t="s">
        <v>14799</v>
      </c>
      <c r="C5154" s="3">
        <v>1.0</v>
      </c>
      <c r="D5154" s="3">
        <v>0.0</v>
      </c>
      <c r="E5154" s="3">
        <v>0.0</v>
      </c>
      <c r="F5154" s="3" t="s">
        <v>14800</v>
      </c>
      <c r="G5154" s="3">
        <v>1.0</v>
      </c>
      <c r="H5154" s="3">
        <v>0.0</v>
      </c>
      <c r="I5154" s="3" t="s">
        <v>13</v>
      </c>
      <c r="J5154" s="3" t="s">
        <v>14801</v>
      </c>
      <c r="K5154" s="3" t="s">
        <v>644</v>
      </c>
      <c r="L5154" s="3" t="str">
        <f>IFERROR(__xludf.DUMMYFUNCTION("GOOGLETRANSLATE(F5154,""id"",""en"")"),"The final pildun is also a rain of goals")</f>
        <v>The final pildun is also a rain of goals</v>
      </c>
    </row>
    <row r="5155" ht="15.75" customHeight="1">
      <c r="A5155" s="1">
        <v>6325.0</v>
      </c>
      <c r="B5155" s="3" t="s">
        <v>14802</v>
      </c>
      <c r="C5155" s="3">
        <v>0.0</v>
      </c>
      <c r="D5155" s="3">
        <v>0.0</v>
      </c>
      <c r="E5155" s="3">
        <v>0.0</v>
      </c>
      <c r="F5155" s="3" t="s">
        <v>14803</v>
      </c>
      <c r="G5155" s="3">
        <v>1.0</v>
      </c>
      <c r="H5155" s="3">
        <v>0.0</v>
      </c>
      <c r="I5155" s="3" t="s">
        <v>13</v>
      </c>
      <c r="J5155" s="3" t="s">
        <v>14804</v>
      </c>
      <c r="K5155" s="3" t="s">
        <v>215</v>
      </c>
      <c r="L5155" s="3" t="str">
        <f>IFERROR(__xludf.DUMMYFUNCTION("GOOGLETRANSLATE(F5155,""id"",""en"")"),"Padahall Agen Well Deserve Bngt Pilduun this time since losing the Arabs, it was quite stable until the final was also amazed")</f>
        <v>Padahall Agen Well Deserve Bngt Pilduun this time since losing the Arabs, it was quite stable until the final was also amazed</v>
      </c>
    </row>
    <row r="5156" ht="15.75" customHeight="1">
      <c r="A5156" s="1">
        <v>6326.0</v>
      </c>
      <c r="B5156" s="3" t="s">
        <v>14805</v>
      </c>
      <c r="C5156" s="3">
        <v>0.0</v>
      </c>
      <c r="D5156" s="3">
        <v>0.0</v>
      </c>
      <c r="E5156" s="3">
        <v>0.0</v>
      </c>
      <c r="F5156" s="3" t="s">
        <v>14806</v>
      </c>
      <c r="G5156" s="3">
        <v>1.0</v>
      </c>
      <c r="H5156" s="3">
        <v>0.0</v>
      </c>
      <c r="I5156" s="3" t="s">
        <v>13</v>
      </c>
      <c r="J5156" s="3" t="s">
        <v>14807</v>
      </c>
      <c r="K5156" s="3" t="s">
        <v>75</v>
      </c>
      <c r="L5156" s="3" t="str">
        <f>IFERROR(__xludf.DUMMYFUNCTION("GOOGLETRANSLATE(F5156,""id"",""en"")"),"The final Pilduun Emg Cool Tibnya again see Messi's goal re -broadcast")</f>
        <v>The final Pilduun Emg Cool Tibnya again see Messi's goal re -broadcast</v>
      </c>
    </row>
    <row r="5157" ht="15.75" customHeight="1">
      <c r="A5157" s="1">
        <v>6327.0</v>
      </c>
      <c r="B5157" s="3" t="s">
        <v>14808</v>
      </c>
      <c r="C5157" s="3">
        <v>0.0</v>
      </c>
      <c r="D5157" s="3">
        <v>0.0</v>
      </c>
      <c r="E5157" s="3">
        <v>0.0</v>
      </c>
      <c r="F5157" s="3" t="s">
        <v>14809</v>
      </c>
      <c r="G5157" s="3">
        <v>0.6666666666666666</v>
      </c>
      <c r="H5157" s="3">
        <v>0.08333333333333333</v>
      </c>
      <c r="I5157" s="3" t="s">
        <v>48</v>
      </c>
      <c r="J5157" s="3" t="s">
        <v>14810</v>
      </c>
      <c r="K5157" s="3" t="s">
        <v>437</v>
      </c>
      <c r="L5157" s="3" t="str">
        <f>IFERROR(__xludf.DUMMYFUNCTION("GOOGLETRANSLATE(F5157,""id"",""en"")"),"LFC is good, this is good watching the Final Pildun exciting and enjoyable to be enjoyed back again the English League Jan until playing awesome")</f>
        <v>LFC is good, this is good watching the Final Pildun exciting and enjoyable to be enjoyed back again the English League Jan until playing awesome</v>
      </c>
    </row>
    <row r="5158" ht="15.75" customHeight="1">
      <c r="A5158" s="1">
        <v>6328.0</v>
      </c>
      <c r="B5158" s="3" t="s">
        <v>14811</v>
      </c>
      <c r="C5158" s="3">
        <v>0.0</v>
      </c>
      <c r="D5158" s="3">
        <v>0.0</v>
      </c>
      <c r="E5158" s="3">
        <v>0.0</v>
      </c>
      <c r="F5158" s="3" t="s">
        <v>14812</v>
      </c>
      <c r="G5158" s="3">
        <v>0.5888888888888889</v>
      </c>
      <c r="H5158" s="3">
        <v>0.1444444444444445</v>
      </c>
      <c r="I5158" s="3" t="s">
        <v>48</v>
      </c>
      <c r="J5158" s="3" t="s">
        <v>14813</v>
      </c>
      <c r="K5158" s="3" t="s">
        <v>184</v>
      </c>
      <c r="L5158" s="3" t="str">
        <f>IFERROR(__xludf.DUMMYFUNCTION("GOOGLETRANSLATE(F5158,""id"",""en"")"),"ahiya kmrn watching this while waiting for the final of the super hilarious pildun and the action is really good")</f>
        <v>ahiya kmrn watching this while waiting for the final of the super hilarious pildun and the action is really good</v>
      </c>
    </row>
    <row r="5159" ht="15.75" customHeight="1">
      <c r="A5159" s="1">
        <v>6329.0</v>
      </c>
      <c r="B5159" s="3" t="s">
        <v>14814</v>
      </c>
      <c r="C5159" s="3">
        <v>0.0</v>
      </c>
      <c r="D5159" s="3">
        <v>0.0</v>
      </c>
      <c r="E5159" s="3">
        <v>0.0</v>
      </c>
      <c r="F5159" s="3" t="s">
        <v>14815</v>
      </c>
      <c r="G5159" s="3">
        <v>1.0</v>
      </c>
      <c r="H5159" s="3">
        <v>0.0</v>
      </c>
      <c r="I5159" s="3" t="s">
        <v>13</v>
      </c>
      <c r="J5159" s="3" t="s">
        <v>14816</v>
      </c>
      <c r="K5159" s="3" t="s">
        <v>54</v>
      </c>
      <c r="L5159" s="3" t="str">
        <f>IFERROR(__xludf.DUMMYFUNCTION("GOOGLETRANSLATE(F5159,""id"",""en"")"),"The final pildun last night supports who min")</f>
        <v>The final pildun last night supports who min</v>
      </c>
    </row>
    <row r="5160" ht="15.75" customHeight="1">
      <c r="A5160" s="1">
        <v>6330.0</v>
      </c>
      <c r="B5160" s="3" t="s">
        <v>14817</v>
      </c>
      <c r="C5160" s="3">
        <v>0.0</v>
      </c>
      <c r="D5160" s="3">
        <v>0.0</v>
      </c>
      <c r="E5160" s="3">
        <v>0.0</v>
      </c>
      <c r="F5160" s="3" t="s">
        <v>14818</v>
      </c>
      <c r="G5160" s="3">
        <v>1.0</v>
      </c>
      <c r="H5160" s="3">
        <v>0.0</v>
      </c>
      <c r="I5160" s="3" t="s">
        <v>13</v>
      </c>
      <c r="J5160" s="3" t="s">
        <v>14819</v>
      </c>
      <c r="K5160" s="3" t="s">
        <v>82</v>
      </c>
      <c r="L5160" s="3" t="str">
        <f>IFERROR(__xludf.DUMMYFUNCTION("GOOGLETRANSLATE(F5160,""id"",""en"")"),"sluggish sleepy ggr watching the final pildun last night")</f>
        <v>sluggish sleepy ggr watching the final pildun last night</v>
      </c>
    </row>
    <row r="5161" ht="15.75" customHeight="1">
      <c r="A5161" s="1">
        <v>6331.0</v>
      </c>
      <c r="B5161" s="3" t="s">
        <v>14820</v>
      </c>
      <c r="C5161" s="3">
        <v>1.0</v>
      </c>
      <c r="D5161" s="3">
        <v>0.0</v>
      </c>
      <c r="E5161" s="3">
        <v>1.0</v>
      </c>
      <c r="F5161" s="3" t="s">
        <v>14821</v>
      </c>
      <c r="G5161" s="3">
        <v>1.0</v>
      </c>
      <c r="H5161" s="3">
        <v>0.0</v>
      </c>
      <c r="I5161" s="3" t="s">
        <v>13</v>
      </c>
      <c r="J5161" s="3" t="s">
        <v>14822</v>
      </c>
      <c r="K5161" s="3" t="s">
        <v>123</v>
      </c>
      <c r="L5161" s="3" t="str">
        <f>IFERROR(__xludf.DUMMYFUNCTION("GOOGLETRANSLATE(F5161,""id"",""en"")"),"Loneee yes, bro, I admit that the pedri has entered the final pildun, the losing cuanmani is forgiven")</f>
        <v>Loneee yes, bro, I admit that the pedri has entered the final pildun, the losing cuanmani is forgiven</v>
      </c>
    </row>
    <row r="5162" ht="15.75" customHeight="1">
      <c r="A5162" s="1">
        <v>6332.0</v>
      </c>
      <c r="B5162" s="3" t="s">
        <v>14823</v>
      </c>
      <c r="C5162" s="3">
        <v>1.0</v>
      </c>
      <c r="D5162" s="3">
        <v>0.0</v>
      </c>
      <c r="E5162" s="3">
        <v>0.0</v>
      </c>
      <c r="F5162" s="3" t="s">
        <v>14824</v>
      </c>
      <c r="G5162" s="3">
        <v>1.0</v>
      </c>
      <c r="H5162" s="3">
        <v>0.0</v>
      </c>
      <c r="I5162" s="3" t="s">
        <v>13</v>
      </c>
      <c r="J5162" s="3" t="s">
        <v>14825</v>
      </c>
      <c r="K5162" s="3" t="s">
        <v>1061</v>
      </c>
      <c r="L5162" s="3" t="str">
        <f>IFERROR(__xludf.DUMMYFUNCTION("GOOGLETRANSLATE(F5162,""id"",""en"")"),"How cool is Kai, I guess from the year and then this pildun entered the final between the French Argentina Brazil and among him, he entered the idol of Messi there, there also won the night crying he cried")</f>
        <v>How cool is Kai, I guess from the year and then this pildun entered the final between the French Argentina Brazil and among him, he entered the idol of Messi there, there also won the night crying he cried</v>
      </c>
    </row>
    <row r="5163" ht="15.75" customHeight="1">
      <c r="A5163" s="1">
        <v>6333.0</v>
      </c>
      <c r="B5163" s="3" t="s">
        <v>14826</v>
      </c>
      <c r="C5163" s="3">
        <v>1.0</v>
      </c>
      <c r="D5163" s="3">
        <v>0.0</v>
      </c>
      <c r="E5163" s="3">
        <v>0.0</v>
      </c>
      <c r="F5163" s="3" t="s">
        <v>14827</v>
      </c>
      <c r="G5163" s="3">
        <v>1.0</v>
      </c>
      <c r="H5163" s="3">
        <v>0.0</v>
      </c>
      <c r="I5163" s="3" t="s">
        <v>13</v>
      </c>
      <c r="J5163" s="3" t="s">
        <v>14828</v>
      </c>
      <c r="K5163" s="3" t="s">
        <v>236</v>
      </c>
      <c r="L5163" s="3" t="str">
        <f>IFERROR(__xludf.DUMMYFUNCTION("GOOGLETRANSLATE(F5163,""id"",""en"")"),"I watched the fancam jiakh fancam guesung last night compared to the final pildun")</f>
        <v>I watched the fancam jiakh fancam guesung last night compared to the final pildun</v>
      </c>
    </row>
    <row r="5164" ht="15.75" customHeight="1">
      <c r="A5164" s="1">
        <v>6334.0</v>
      </c>
      <c r="B5164" s="3" t="s">
        <v>14829</v>
      </c>
      <c r="C5164" s="3">
        <v>0.0</v>
      </c>
      <c r="D5164" s="3">
        <v>0.0</v>
      </c>
      <c r="E5164" s="3">
        <v>0.0</v>
      </c>
      <c r="F5164" s="3" t="s">
        <v>14830</v>
      </c>
      <c r="G5164" s="3">
        <v>1.0</v>
      </c>
      <c r="H5164" s="3">
        <v>0.0</v>
      </c>
      <c r="I5164" s="3" t="s">
        <v>13</v>
      </c>
      <c r="J5164" s="3" t="s">
        <v>14831</v>
      </c>
      <c r="K5164" s="3" t="s">
        <v>75</v>
      </c>
      <c r="L5164" s="3" t="str">
        <f>IFERROR(__xludf.DUMMYFUNCTION("GOOGLETRANSLATE(F5164,""id"",""en"")"),"It's also delicious, the Final Pildun is neutral too deg, anyone wins join in happy")</f>
        <v>It's also delicious, the Final Pildun is neutral too deg, anyone wins join in happy</v>
      </c>
    </row>
    <row r="5165" ht="15.75" customHeight="1">
      <c r="A5165" s="1">
        <v>6335.0</v>
      </c>
      <c r="B5165" s="3" t="s">
        <v>14832</v>
      </c>
      <c r="C5165" s="3">
        <v>1.0</v>
      </c>
      <c r="D5165" s="3">
        <v>0.0</v>
      </c>
      <c r="E5165" s="3">
        <v>0.0</v>
      </c>
      <c r="F5165" s="3" t="s">
        <v>14833</v>
      </c>
      <c r="G5165" s="3">
        <v>1.0</v>
      </c>
      <c r="H5165" s="3">
        <v>0.0</v>
      </c>
      <c r="I5165" s="3" t="s">
        <v>13</v>
      </c>
      <c r="J5165" s="3" t="s">
        <v>14834</v>
      </c>
      <c r="K5165" s="3" t="s">
        <v>449</v>
      </c>
      <c r="L5165" s="3" t="str">
        <f>IFERROR(__xludf.DUMMYFUNCTION("GOOGLETRANSLATE(F5165,""id"",""en"")"),"This Paul I feel the stage fright because he is pressed a little directly falling even though what is the one who is only natural that it is the final of the cold hand pildun feet geter.")</f>
        <v>This Paul I feel the stage fright because he is pressed a little directly falling even though what is the one who is only natural that it is the final of the cold hand pildun feet geter.</v>
      </c>
    </row>
    <row r="5166" ht="15.75" customHeight="1">
      <c r="A5166" s="1">
        <v>6336.0</v>
      </c>
      <c r="B5166" s="3" t="s">
        <v>14835</v>
      </c>
      <c r="C5166" s="3">
        <v>0.0</v>
      </c>
      <c r="D5166" s="3">
        <v>0.0</v>
      </c>
      <c r="E5166" s="3">
        <v>0.0</v>
      </c>
      <c r="F5166" s="3" t="s">
        <v>14836</v>
      </c>
      <c r="G5166" s="3">
        <v>1.0</v>
      </c>
      <c r="H5166" s="3">
        <v>0.0</v>
      </c>
      <c r="I5166" s="3" t="s">
        <v>13</v>
      </c>
      <c r="J5166" s="3" t="s">
        <v>14837</v>
      </c>
      <c r="K5166" s="3" t="s">
        <v>54</v>
      </c>
      <c r="L5166" s="3" t="str">
        <f>IFERROR(__xludf.DUMMYFUNCTION("GOOGLETRANSLATE(F5166,""id"",""en"")"),"The Best Final Party Since Watching Pildun")</f>
        <v>The Best Final Party Since Watching Pildun</v>
      </c>
    </row>
    <row r="5167" ht="15.75" customHeight="1">
      <c r="A5167" s="1">
        <v>6337.0</v>
      </c>
      <c r="B5167" s="3" t="s">
        <v>14838</v>
      </c>
      <c r="C5167" s="3">
        <v>0.0</v>
      </c>
      <c r="D5167" s="3">
        <v>0.0</v>
      </c>
      <c r="E5167" s="3">
        <v>0.0</v>
      </c>
      <c r="F5167" s="3" t="s">
        <v>14839</v>
      </c>
      <c r="G5167" s="3">
        <v>1.0</v>
      </c>
      <c r="H5167" s="3">
        <v>0.0</v>
      </c>
      <c r="I5167" s="3" t="s">
        <v>13</v>
      </c>
      <c r="J5167" s="3" t="s">
        <v>14840</v>
      </c>
      <c r="K5167" s="3" t="s">
        <v>54</v>
      </c>
      <c r="L5167" s="3" t="str">
        <f>IFERROR(__xludf.DUMMYFUNCTION("GOOGLETRANSLATE(F5167,""id"",""en"")"),"Ferdy Sambo last night watched the final pildun or not")</f>
        <v>Ferdy Sambo last night watched the final pildun or not</v>
      </c>
    </row>
    <row r="5168" ht="15.75" customHeight="1">
      <c r="A5168" s="1">
        <v>6338.0</v>
      </c>
      <c r="B5168" s="3" t="s">
        <v>14841</v>
      </c>
      <c r="C5168" s="3">
        <v>0.0</v>
      </c>
      <c r="D5168" s="3">
        <v>0.0</v>
      </c>
      <c r="E5168" s="3">
        <v>0.0</v>
      </c>
      <c r="F5168" s="3" t="s">
        <v>14842</v>
      </c>
      <c r="G5168" s="3">
        <v>0.4583333333333333</v>
      </c>
      <c r="H5168" s="3">
        <v>0.1166666666666667</v>
      </c>
      <c r="I5168" s="3" t="s">
        <v>48</v>
      </c>
      <c r="J5168" s="3" t="s">
        <v>14843</v>
      </c>
      <c r="K5168" s="3" t="s">
        <v>657</v>
      </c>
      <c r="L5168" s="3" t="str">
        <f>IFERROR(__xludf.DUMMYFUNCTION("GOOGLETRANSLATE(F5168,""id"",""en"")"),"French players played last night many Golden Age Pildun entered the final again KEK KEK NEXT WORLD CUP")</f>
        <v>French players played last night many Golden Age Pildun entered the final again KEK KEK NEXT WORLD CUP</v>
      </c>
    </row>
    <row r="5169" ht="15.75" customHeight="1">
      <c r="A5169" s="1">
        <v>6339.0</v>
      </c>
      <c r="B5169" s="3" t="s">
        <v>14844</v>
      </c>
      <c r="C5169" s="3">
        <v>0.0</v>
      </c>
      <c r="D5169" s="3">
        <v>0.0</v>
      </c>
      <c r="E5169" s="3">
        <v>0.0</v>
      </c>
      <c r="F5169" s="3" t="s">
        <v>14845</v>
      </c>
      <c r="G5169" s="3">
        <v>1.0</v>
      </c>
      <c r="H5169" s="3">
        <v>0.0</v>
      </c>
      <c r="I5169" s="3" t="s">
        <v>13</v>
      </c>
      <c r="J5169" s="3" t="s">
        <v>14846</v>
      </c>
      <c r="K5169" s="3" t="s">
        <v>510</v>
      </c>
      <c r="L5169" s="3" t="str">
        <f>IFERROR(__xludf.DUMMYFUNCTION("GOOGLETRANSLATE(F5169,""id"",""en"")"),"The final Pilduun is the most exciting Qatar year and we are shown the spectacle is not boring the end of the long whistle sounded")</f>
        <v>The final Pilduun is the most exciting Qatar year and we are shown the spectacle is not boring the end of the long whistle sounded</v>
      </c>
    </row>
    <row r="5170" ht="15.75" customHeight="1">
      <c r="A5170" s="1">
        <v>6340.0</v>
      </c>
      <c r="B5170" s="3" t="s">
        <v>14847</v>
      </c>
      <c r="C5170" s="3">
        <v>0.0</v>
      </c>
      <c r="D5170" s="3">
        <v>0.0</v>
      </c>
      <c r="E5170" s="3">
        <v>0.0</v>
      </c>
      <c r="F5170" s="3" t="s">
        <v>14848</v>
      </c>
      <c r="G5170" s="3">
        <v>1.0</v>
      </c>
      <c r="H5170" s="3">
        <v>0.0</v>
      </c>
      <c r="I5170" s="3" t="s">
        <v>13</v>
      </c>
      <c r="J5170" s="3" t="s">
        <v>14849</v>
      </c>
      <c r="K5170" s="3" t="s">
        <v>41</v>
      </c>
      <c r="L5170" s="3" t="str">
        <f>IFERROR(__xludf.DUMMYFUNCTION("GOOGLETRANSLATE(F5170,""id"",""en"")"),"After the final of the pildun last night, it looks like a sudden rich")</f>
        <v>After the final of the pildun last night, it looks like a sudden rich</v>
      </c>
    </row>
    <row r="5171" ht="15.75" customHeight="1">
      <c r="A5171" s="1">
        <v>6341.0</v>
      </c>
      <c r="B5171" s="3" t="s">
        <v>14850</v>
      </c>
      <c r="C5171" s="3">
        <v>0.0</v>
      </c>
      <c r="D5171" s="3">
        <v>0.0</v>
      </c>
      <c r="E5171" s="3">
        <v>0.0</v>
      </c>
      <c r="F5171" s="3" t="s">
        <v>14851</v>
      </c>
      <c r="G5171" s="3">
        <v>1.0</v>
      </c>
      <c r="H5171" s="3">
        <v>0.0</v>
      </c>
      <c r="I5171" s="3" t="s">
        <v>13</v>
      </c>
      <c r="J5171" s="3" t="s">
        <v>14852</v>
      </c>
      <c r="K5171" s="3" t="s">
        <v>54</v>
      </c>
      <c r="L5171" s="3" t="str">
        <f>IFERROR(__xludf.DUMMYFUNCTION("GOOGLETRANSLATE(F5171,""id"",""en"")"),"I am a girl too, this mmf, this is the final pildun")</f>
        <v>I am a girl too, this mmf, this is the final pildun</v>
      </c>
    </row>
    <row r="5172" ht="15.75" customHeight="1">
      <c r="A5172" s="1">
        <v>6342.0</v>
      </c>
      <c r="B5172" s="3" t="s">
        <v>14853</v>
      </c>
      <c r="C5172" s="3">
        <v>0.0</v>
      </c>
      <c r="D5172" s="3">
        <v>0.0</v>
      </c>
      <c r="E5172" s="3">
        <v>1.0</v>
      </c>
      <c r="F5172" s="3" t="s">
        <v>14854</v>
      </c>
      <c r="G5172" s="3">
        <v>1.0</v>
      </c>
      <c r="H5172" s="3">
        <v>0.0</v>
      </c>
      <c r="I5172" s="3" t="s">
        <v>13</v>
      </c>
      <c r="J5172" s="3" t="s">
        <v>14855</v>
      </c>
      <c r="K5172" s="3" t="s">
        <v>1335</v>
      </c>
      <c r="L5172" s="3" t="str">
        <f>IFERROR(__xludf.DUMMYFUNCTION("GOOGLETRANSLATE(F5172,""id"",""en"")"),"More crowded Pilduun Final than Final SUCA CARE")</f>
        <v>More crowded Pilduun Final than Final SUCA CARE</v>
      </c>
    </row>
    <row r="5173" ht="15.75" customHeight="1">
      <c r="A5173" s="1">
        <v>6343.0</v>
      </c>
      <c r="B5173" s="3" t="s">
        <v>14856</v>
      </c>
      <c r="C5173" s="3">
        <v>0.0</v>
      </c>
      <c r="D5173" s="3">
        <v>0.0</v>
      </c>
      <c r="E5173" s="3">
        <v>0.0</v>
      </c>
      <c r="F5173" s="3" t="s">
        <v>14857</v>
      </c>
      <c r="G5173" s="3">
        <v>1.0</v>
      </c>
      <c r="H5173" s="3">
        <v>0.0</v>
      </c>
      <c r="I5173" s="3" t="s">
        <v>13</v>
      </c>
      <c r="J5173" s="3" t="s">
        <v>14858</v>
      </c>
      <c r="K5173" s="3" t="s">
        <v>123</v>
      </c>
      <c r="L5173" s="3" t="str">
        <f>IFERROR(__xludf.DUMMYFUNCTION("GOOGLETRANSLATE(F5173,""id"",""en"")"),"Naturally, if France loses the final pildun because the France player is not a native of European, most of the players are imported from Africa")</f>
        <v>Naturally, if France loses the final pildun because the France player is not a native of European, most of the players are imported from Africa</v>
      </c>
    </row>
    <row r="5174" ht="15.75" customHeight="1">
      <c r="A5174" s="1">
        <v>6344.0</v>
      </c>
      <c r="B5174" s="3" t="s">
        <v>14859</v>
      </c>
      <c r="C5174" s="3">
        <v>0.0</v>
      </c>
      <c r="D5174" s="3">
        <v>0.0</v>
      </c>
      <c r="E5174" s="3">
        <v>0.0</v>
      </c>
      <c r="F5174" s="3" t="s">
        <v>14860</v>
      </c>
      <c r="G5174" s="3">
        <v>1.0</v>
      </c>
      <c r="H5174" s="3">
        <v>0.0</v>
      </c>
      <c r="I5174" s="3" t="s">
        <v>13</v>
      </c>
      <c r="J5174" s="3" t="s">
        <v>14861</v>
      </c>
      <c r="K5174" s="3" t="s">
        <v>477</v>
      </c>
      <c r="L5174" s="3" t="str">
        <f>IFERROR(__xludf.DUMMYFUNCTION("GOOGLETRANSLATE(F5174,""id"",""en"")"),"The final pildun is more exciting from the final of SUCA, Bang")</f>
        <v>The final pildun is more exciting from the final of SUCA, Bang</v>
      </c>
    </row>
    <row r="5175" ht="15.75" customHeight="1">
      <c r="A5175" s="1">
        <v>6345.0</v>
      </c>
      <c r="B5175" s="3" t="s">
        <v>14862</v>
      </c>
      <c r="C5175" s="3">
        <v>0.0</v>
      </c>
      <c r="D5175" s="3">
        <v>0.0</v>
      </c>
      <c r="E5175" s="3">
        <v>0.0</v>
      </c>
      <c r="F5175" s="3" t="s">
        <v>14863</v>
      </c>
      <c r="G5175" s="3">
        <v>0.75</v>
      </c>
      <c r="H5175" s="3">
        <v>0.06818181818181818</v>
      </c>
      <c r="I5175" s="3" t="s">
        <v>48</v>
      </c>
      <c r="J5175" s="3" t="s">
        <v>14864</v>
      </c>
      <c r="K5175" s="3" t="s">
        <v>374</v>
      </c>
      <c r="L5175" s="3" t="str">
        <f>IFERROR(__xludf.DUMMYFUNCTION("GOOGLETRANSLATE(F5175,""id"",""en"")"),"instead of fomo or what I just watched the Live Final Deda pildun match and it turned out to be exciting to regret why I just watched huhu I thought football")</f>
        <v>instead of fomo or what I just watched the Live Final Deda pildun match and it turned out to be exciting to regret why I just watched huhu I thought football</v>
      </c>
    </row>
    <row r="5176" ht="15.75" customHeight="1">
      <c r="A5176" s="1">
        <v>6346.0</v>
      </c>
      <c r="B5176" s="3" t="s">
        <v>14865</v>
      </c>
      <c r="C5176" s="3">
        <v>0.0</v>
      </c>
      <c r="D5176" s="3">
        <v>0.0</v>
      </c>
      <c r="E5176" s="3">
        <v>0.0</v>
      </c>
      <c r="F5176" s="3" t="s">
        <v>14866</v>
      </c>
      <c r="G5176" s="3">
        <v>1.0</v>
      </c>
      <c r="H5176" s="3">
        <v>0.0</v>
      </c>
      <c r="I5176" s="3" t="s">
        <v>13</v>
      </c>
      <c r="J5176" s="3" t="s">
        <v>14867</v>
      </c>
      <c r="K5176" s="3" t="s">
        <v>15</v>
      </c>
      <c r="L5176" s="3" t="str">
        <f>IFERROR(__xludf.DUMMYFUNCTION("GOOGLETRANSLATE(F5176,""id"",""en"")"),"The tension rose earlier was the final night of the pildun that followed")</f>
        <v>The tension rose earlier was the final night of the pildun that followed</v>
      </c>
    </row>
    <row r="5177" ht="15.75" customHeight="1">
      <c r="A5177" s="1">
        <v>6347.0</v>
      </c>
      <c r="B5177" s="3" t="s">
        <v>14868</v>
      </c>
      <c r="C5177" s="3">
        <v>0.0</v>
      </c>
      <c r="D5177" s="3">
        <v>0.0</v>
      </c>
      <c r="E5177" s="3">
        <v>0.0</v>
      </c>
      <c r="F5177" s="3" t="s">
        <v>14869</v>
      </c>
      <c r="G5177" s="3">
        <v>1.0</v>
      </c>
      <c r="H5177" s="3">
        <v>0.0</v>
      </c>
      <c r="I5177" s="3" t="s">
        <v>13</v>
      </c>
      <c r="J5177" s="3" t="s">
        <v>14870</v>
      </c>
      <c r="K5177" s="3" t="s">
        <v>75</v>
      </c>
      <c r="L5177" s="3" t="str">
        <f>IFERROR(__xludf.DUMMYFUNCTION("GOOGLETRANSLATE(F5177,""id"",""en"")"),"Jalin Silaturahmi and guard Kamtibmas Batuaji Police Station Holds Nobar Final Pildun")</f>
        <v>Jalin Silaturahmi and guard Kamtibmas Batuaji Police Station Holds Nobar Final Pildun</v>
      </c>
    </row>
    <row r="5178" ht="15.75" customHeight="1">
      <c r="A5178" s="1">
        <v>6348.0</v>
      </c>
      <c r="B5178" s="3" t="s">
        <v>14871</v>
      </c>
      <c r="C5178" s="3">
        <v>0.0</v>
      </c>
      <c r="D5178" s="3">
        <v>0.0</v>
      </c>
      <c r="E5178" s="3">
        <v>0.0</v>
      </c>
      <c r="F5178" s="3" t="s">
        <v>14872</v>
      </c>
      <c r="G5178" s="3">
        <v>1.0</v>
      </c>
      <c r="H5178" s="3">
        <v>0.0</v>
      </c>
      <c r="I5178" s="3" t="s">
        <v>13</v>
      </c>
      <c r="J5178" s="3" t="s">
        <v>14873</v>
      </c>
      <c r="K5178" s="3" t="s">
        <v>41</v>
      </c>
      <c r="L5178" s="3" t="str">
        <f>IFERROR(__xludf.DUMMYFUNCTION("GOOGLETRANSLATE(F5178,""id"",""en"")"),"I'm waiting for the data how much is the Pildun Hihi Final Money Valuation")</f>
        <v>I'm waiting for the data how much is the Pildun Hihi Final Money Valuation</v>
      </c>
    </row>
    <row r="5179" ht="15.75" customHeight="1">
      <c r="A5179" s="1">
        <v>6349.0</v>
      </c>
      <c r="B5179" s="3" t="s">
        <v>14874</v>
      </c>
      <c r="C5179" s="3">
        <v>0.0</v>
      </c>
      <c r="D5179" s="3">
        <v>0.0</v>
      </c>
      <c r="E5179" s="3">
        <v>0.0</v>
      </c>
      <c r="F5179" s="3" t="s">
        <v>14875</v>
      </c>
      <c r="G5179" s="3">
        <v>1.0</v>
      </c>
      <c r="H5179" s="3">
        <v>0.0</v>
      </c>
      <c r="I5179" s="3" t="s">
        <v>13</v>
      </c>
      <c r="J5179" s="3" t="s">
        <v>14876</v>
      </c>
      <c r="K5179" s="3" t="s">
        <v>19</v>
      </c>
      <c r="L5179" s="3" t="str">
        <f>IFERROR(__xludf.DUMMYFUNCTION("GOOGLETRANSLATE(F5179,""id"",""en"")"),"The effect of the last night watching the final pildun this Monday is extraordinarily heavy eyes profitable")</f>
        <v>The effect of the last night watching the final pildun this Monday is extraordinarily heavy eyes profitable</v>
      </c>
    </row>
    <row r="5180" ht="15.75" customHeight="1">
      <c r="A5180" s="1">
        <v>6350.0</v>
      </c>
      <c r="B5180" s="3" t="s">
        <v>14877</v>
      </c>
      <c r="C5180" s="3">
        <v>0.0</v>
      </c>
      <c r="D5180" s="3">
        <v>0.0</v>
      </c>
      <c r="E5180" s="3">
        <v>1.0</v>
      </c>
      <c r="F5180" s="3" t="s">
        <v>14878</v>
      </c>
      <c r="G5180" s="3">
        <v>0.8</v>
      </c>
      <c r="H5180" s="3">
        <v>-0.05</v>
      </c>
      <c r="I5180" s="3" t="s">
        <v>179</v>
      </c>
      <c r="J5180" s="3" t="s">
        <v>14879</v>
      </c>
      <c r="K5180" s="3" t="s">
        <v>15</v>
      </c>
      <c r="L5180" s="3" t="str">
        <f>IFERROR(__xludf.DUMMYFUNCTION("GOOGLETRANSLATE(F5180,""id"",""en"")"),"old if you want the final pildun there is a minimum of the Inter player")</f>
        <v>old if you want the final pildun there is a minimum of the Inter player</v>
      </c>
    </row>
    <row r="5181" ht="15.75" customHeight="1">
      <c r="A5181" s="1">
        <v>6351.0</v>
      </c>
      <c r="B5181" s="3" t="s">
        <v>14880</v>
      </c>
      <c r="C5181" s="3">
        <v>0.0</v>
      </c>
      <c r="D5181" s="3">
        <v>0.0</v>
      </c>
      <c r="E5181" s="3">
        <v>0.0</v>
      </c>
      <c r="F5181" s="3" t="s">
        <v>14881</v>
      </c>
      <c r="G5181" s="3">
        <v>1.0</v>
      </c>
      <c r="H5181" s="3">
        <v>0.0</v>
      </c>
      <c r="I5181" s="3" t="s">
        <v>13</v>
      </c>
      <c r="J5181" s="3" t="s">
        <v>14882</v>
      </c>
      <c r="K5181" s="3" t="s">
        <v>41</v>
      </c>
      <c r="L5181" s="3" t="str">
        <f>IFERROR(__xludf.DUMMYFUNCTION("GOOGLETRANSLATE(F5181,""id"",""en"")"),"Bah gambling is wisdom, when it comes to drake if you enter the final if you champion the pildun")</f>
        <v>Bah gambling is wisdom, when it comes to drake if you enter the final if you champion the pildun</v>
      </c>
    </row>
    <row r="5182" ht="15.75" customHeight="1">
      <c r="A5182" s="1">
        <v>6352.0</v>
      </c>
      <c r="B5182" s="3" t="s">
        <v>14883</v>
      </c>
      <c r="C5182" s="3">
        <v>0.0</v>
      </c>
      <c r="D5182" s="3">
        <v>0.0</v>
      </c>
      <c r="E5182" s="3">
        <v>0.0</v>
      </c>
      <c r="F5182" s="3" t="s">
        <v>14884</v>
      </c>
      <c r="G5182" s="3">
        <v>1.0</v>
      </c>
      <c r="H5182" s="3">
        <v>0.0</v>
      </c>
      <c r="I5182" s="3" t="s">
        <v>13</v>
      </c>
      <c r="J5182" s="3" t="s">
        <v>14885</v>
      </c>
      <c r="K5182" s="3" t="s">
        <v>50</v>
      </c>
      <c r="L5182" s="3" t="str">
        <f>IFERROR(__xludf.DUMMYFUNCTION("GOOGLETRANSLATE(F5182,""id"",""en"")"),"Opo Mek I am a resident of the TWITERIYA JAMAAH SING NDELOK FINAL PILDUN")</f>
        <v>Opo Mek I am a resident of the TWITERIYA JAMAAH SING NDELOK FINAL PILDUN</v>
      </c>
    </row>
    <row r="5183" ht="15.75" customHeight="1">
      <c r="A5183" s="1">
        <v>6353.0</v>
      </c>
      <c r="B5183" s="3" t="s">
        <v>14886</v>
      </c>
      <c r="C5183" s="3">
        <v>0.0</v>
      </c>
      <c r="D5183" s="3">
        <v>0.0</v>
      </c>
      <c r="E5183" s="3">
        <v>0.0</v>
      </c>
      <c r="F5183" s="3" t="s">
        <v>14887</v>
      </c>
      <c r="G5183" s="3">
        <v>1.0</v>
      </c>
      <c r="H5183" s="3">
        <v>0.0</v>
      </c>
      <c r="I5183" s="3" t="s">
        <v>13</v>
      </c>
      <c r="J5183" s="3" t="s">
        <v>14888</v>
      </c>
      <c r="K5183" s="3" t="s">
        <v>31</v>
      </c>
      <c r="L5183" s="3" t="str">
        <f>IFERROR(__xludf.DUMMYFUNCTION("GOOGLETRANSLATE(F5183,""id"",""en"")"),"still ringing ngiang atmosphere of the final pildun")</f>
        <v>still ringing ngiang atmosphere of the final pildun</v>
      </c>
    </row>
    <row r="5184" ht="15.75" customHeight="1">
      <c r="A5184" s="1">
        <v>6354.0</v>
      </c>
      <c r="B5184" s="3" t="s">
        <v>14889</v>
      </c>
      <c r="C5184" s="3">
        <v>0.0</v>
      </c>
      <c r="D5184" s="3">
        <v>0.0</v>
      </c>
      <c r="E5184" s="3">
        <v>1.0</v>
      </c>
      <c r="F5184" s="3" t="s">
        <v>14890</v>
      </c>
      <c r="G5184" s="3">
        <v>1.0</v>
      </c>
      <c r="H5184" s="3">
        <v>0.0</v>
      </c>
      <c r="I5184" s="3" t="s">
        <v>13</v>
      </c>
      <c r="J5184" s="3" t="s">
        <v>14891</v>
      </c>
      <c r="K5184" s="3" t="s">
        <v>322</v>
      </c>
      <c r="L5184" s="3" t="str">
        <f>IFERROR(__xludf.DUMMYFUNCTION("GOOGLETRANSLATE(F5184,""id"",""en"")"),"The final call for pilduun is rather than the final of SUCA")</f>
        <v>The final call for pilduun is rather than the final of SUCA</v>
      </c>
    </row>
    <row r="5185" ht="15.75" customHeight="1">
      <c r="A5185" s="1">
        <v>6355.0</v>
      </c>
      <c r="B5185" s="3" t="s">
        <v>14892</v>
      </c>
      <c r="C5185" s="3">
        <v>0.0</v>
      </c>
      <c r="D5185" s="3">
        <v>0.0</v>
      </c>
      <c r="E5185" s="3">
        <v>0.0</v>
      </c>
      <c r="F5185" s="3" t="s">
        <v>14893</v>
      </c>
      <c r="G5185" s="3">
        <v>1.0</v>
      </c>
      <c r="H5185" s="3">
        <v>0.0</v>
      </c>
      <c r="I5185" s="3" t="s">
        <v>13</v>
      </c>
      <c r="J5185" s="3" t="s">
        <v>14894</v>
      </c>
      <c r="K5185" s="3" t="s">
        <v>903</v>
      </c>
      <c r="L5185" s="3" t="str">
        <f>IFERROR(__xludf.DUMMYFUNCTION("GOOGLETRANSLATE(F5185,""id"",""en"")"),"Towards the final many Argentina residents both Muslim and non -Muslim spontaneously entered into the mosque while praying that his prayer was in the grace of Allah Argentina")</f>
        <v>Towards the final many Argentina residents both Muslim and non -Muslim spontaneously entered into the mosque while praying that his prayer was in the grace of Allah Argentina</v>
      </c>
    </row>
    <row r="5186" ht="15.75" customHeight="1">
      <c r="A5186" s="1">
        <v>6356.0</v>
      </c>
      <c r="B5186" s="3" t="s">
        <v>14895</v>
      </c>
      <c r="C5186" s="3">
        <v>0.0</v>
      </c>
      <c r="D5186" s="3">
        <v>0.0</v>
      </c>
      <c r="E5186" s="3">
        <v>0.0</v>
      </c>
      <c r="F5186" s="3" t="s">
        <v>14896</v>
      </c>
      <c r="G5186" s="3">
        <v>1.0</v>
      </c>
      <c r="H5186" s="3">
        <v>0.0</v>
      </c>
      <c r="I5186" s="3" t="s">
        <v>13</v>
      </c>
      <c r="J5186" s="3" t="s">
        <v>14897</v>
      </c>
      <c r="K5186" s="3" t="s">
        <v>75</v>
      </c>
      <c r="L5186" s="3" t="str">
        <f>IFERROR(__xludf.DUMMYFUNCTION("GOOGLETRANSLATE(F5186,""id"",""en"")"),"Entering the time of the section to repeat the final pildun match last night")</f>
        <v>Entering the time of the section to repeat the final pildun match last night</v>
      </c>
    </row>
    <row r="5187" ht="15.75" customHeight="1">
      <c r="A5187" s="1">
        <v>6357.0</v>
      </c>
      <c r="B5187" s="3" t="s">
        <v>14898</v>
      </c>
      <c r="C5187" s="3">
        <v>1.0</v>
      </c>
      <c r="D5187" s="3">
        <v>0.0</v>
      </c>
      <c r="E5187" s="3">
        <v>0.0</v>
      </c>
      <c r="F5187" s="3" t="s">
        <v>14899</v>
      </c>
      <c r="G5187" s="3">
        <v>1.0</v>
      </c>
      <c r="H5187" s="3">
        <v>0.0</v>
      </c>
      <c r="I5187" s="3" t="s">
        <v>13</v>
      </c>
      <c r="J5187" s="3" t="s">
        <v>14900</v>
      </c>
      <c r="K5187" s="3" t="s">
        <v>127</v>
      </c>
      <c r="L5187" s="3" t="str">
        <f>IFERROR(__xludf.DUMMYFUNCTION("GOOGLETRANSLATE(F5187,""id"",""en"")"),"indeed, this level, sir, I was chatting with Kite, I didn't find engagement or how the ego deschamps was final")</f>
        <v>indeed, this level, sir, I was chatting with Kite, I didn't find engagement or how the ego deschamps was final</v>
      </c>
    </row>
    <row r="5188" ht="15.75" customHeight="1">
      <c r="A5188" s="1">
        <v>6358.0</v>
      </c>
      <c r="B5188" s="3" t="s">
        <v>14901</v>
      </c>
      <c r="C5188" s="3">
        <v>0.0</v>
      </c>
      <c r="D5188" s="3">
        <v>0.0</v>
      </c>
      <c r="E5188" s="3">
        <v>0.0</v>
      </c>
      <c r="F5188" s="3" t="s">
        <v>14902</v>
      </c>
      <c r="G5188" s="3">
        <v>1.0</v>
      </c>
      <c r="H5188" s="3">
        <v>0.0</v>
      </c>
      <c r="I5188" s="3" t="s">
        <v>13</v>
      </c>
      <c r="J5188" s="3" t="s">
        <v>14903</v>
      </c>
      <c r="K5188" s="3" t="s">
        <v>244</v>
      </c>
      <c r="L5188" s="3" t="str">
        <f>IFERROR(__xludf.DUMMYFUNCTION("GOOGLETRANSLATE(F5188,""id"",""en"")"),"France Agegen Final is hostage throughout watching pildun unfortunately opening the final Oranda")</f>
        <v>France Agegen Final is hostage throughout watching pildun unfortunately opening the final Oranda</v>
      </c>
    </row>
    <row r="5189" ht="15.75" customHeight="1">
      <c r="A5189" s="1">
        <v>6359.0</v>
      </c>
      <c r="B5189" s="3" t="s">
        <v>14904</v>
      </c>
      <c r="C5189" s="3">
        <v>0.0</v>
      </c>
      <c r="D5189" s="3">
        <v>0.0</v>
      </c>
      <c r="E5189" s="3">
        <v>0.0</v>
      </c>
      <c r="F5189" s="3" t="s">
        <v>14905</v>
      </c>
      <c r="G5189" s="3">
        <v>1.0</v>
      </c>
      <c r="H5189" s="3">
        <v>0.0</v>
      </c>
      <c r="I5189" s="3" t="s">
        <v>13</v>
      </c>
      <c r="J5189" s="3" t="s">
        <v>14906</v>
      </c>
      <c r="K5189" s="3" t="s">
        <v>1061</v>
      </c>
      <c r="L5189" s="3" t="str">
        <f>IFERROR(__xludf.DUMMYFUNCTION("GOOGLETRANSLATE(F5189,""id"",""en"")"),"I was so experiencing to watch Persib to buy the package first, the video was complicated, there were many dramas of the audience, how much the server was bad, especially this was the final of the PILDUN FINAL FINAL SCTV Final")</f>
        <v>I was so experiencing to watch Persib to buy the package first, the video was complicated, there were many dramas of the audience, how much the server was bad, especially this was the final of the PILDUN FINAL FINAL SCTV Final</v>
      </c>
    </row>
    <row r="5190" ht="15.75" customHeight="1">
      <c r="A5190" s="1">
        <v>6360.0</v>
      </c>
      <c r="B5190" s="3" t="s">
        <v>14907</v>
      </c>
      <c r="C5190" s="3">
        <v>1.0</v>
      </c>
      <c r="D5190" s="3">
        <v>0.0</v>
      </c>
      <c r="E5190" s="3">
        <v>0.0</v>
      </c>
      <c r="F5190" s="3" t="s">
        <v>14908</v>
      </c>
      <c r="G5190" s="3">
        <v>1.0</v>
      </c>
      <c r="H5190" s="3">
        <v>0.0</v>
      </c>
      <c r="I5190" s="3" t="s">
        <v>13</v>
      </c>
      <c r="J5190" s="3" t="s">
        <v>14909</v>
      </c>
      <c r="K5190" s="3" t="s">
        <v>899</v>
      </c>
      <c r="L5190" s="3" t="str">
        <f>IFERROR(__xludf.DUMMYFUNCTION("GOOGLETRANSLATE(F5190,""id"",""en"")"),"If it's wrong when he is tweeting this, the final date of the pildun has come out and has fixed until now the date has changed and maybe he is just a supporter of Argentina Messi Messi Taun is also the same duel to be a goat make sense")</f>
        <v>If it's wrong when he is tweeting this, the final date of the pildun has come out and has fixed until now the date has changed and maybe he is just a supporter of Argentina Messi Messi Taun is also the same duel to be a goat make sense</v>
      </c>
    </row>
    <row r="5191" ht="15.75" customHeight="1">
      <c r="A5191" s="1">
        <v>6361.0</v>
      </c>
      <c r="B5191" s="3" t="s">
        <v>14910</v>
      </c>
      <c r="C5191" s="3">
        <v>0.0</v>
      </c>
      <c r="D5191" s="3">
        <v>0.0</v>
      </c>
      <c r="E5191" s="3">
        <v>1.0</v>
      </c>
      <c r="F5191" s="3" t="s">
        <v>14911</v>
      </c>
      <c r="G5191" s="3">
        <v>0.875</v>
      </c>
      <c r="H5191" s="3">
        <v>-0.15</v>
      </c>
      <c r="I5191" s="3" t="s">
        <v>179</v>
      </c>
      <c r="J5191" s="3" t="s">
        <v>14912</v>
      </c>
      <c r="K5191" s="3" t="s">
        <v>699</v>
      </c>
      <c r="L5191" s="3" t="str">
        <f>IFERROR(__xludf.DUMMYFUNCTION("GOOGLETRANSLATE(F5191,""id"",""en"")"),"Gausa hopes that many of the edgy people must always be the most different and controversial most besides the final last night ever watched people")</f>
        <v>Gausa hopes that many of the edgy people must always be the most different and controversial most besides the final last night ever watched people</v>
      </c>
    </row>
    <row r="5192" ht="15.75" customHeight="1">
      <c r="A5192" s="1">
        <v>6362.0</v>
      </c>
      <c r="B5192" s="3" t="s">
        <v>14913</v>
      </c>
      <c r="C5192" s="3">
        <v>2.0</v>
      </c>
      <c r="D5192" s="3">
        <v>0.0</v>
      </c>
      <c r="E5192" s="3">
        <v>0.0</v>
      </c>
      <c r="F5192" s="3" t="s">
        <v>14913</v>
      </c>
      <c r="G5192" s="3">
        <v>1.0</v>
      </c>
      <c r="H5192" s="3">
        <v>0.0</v>
      </c>
      <c r="I5192" s="3" t="s">
        <v>13</v>
      </c>
      <c r="J5192" s="3" t="s">
        <v>14914</v>
      </c>
      <c r="K5192" s="3" t="s">
        <v>50</v>
      </c>
      <c r="L5192" s="3" t="str">
        <f>IFERROR(__xludf.DUMMYFUNCTION("GOOGLETRANSLATE(F5192,""id"",""en"")"),"It could be God, I will watch the best Pilduun Final because it is not the end")</f>
        <v>It could be God, I will watch the best Pilduun Final because it is not the end</v>
      </c>
    </row>
    <row r="5193" ht="15.75" customHeight="1">
      <c r="A5193" s="1">
        <v>6363.0</v>
      </c>
      <c r="B5193" s="3" t="s">
        <v>14915</v>
      </c>
      <c r="C5193" s="3">
        <v>1.0</v>
      </c>
      <c r="D5193" s="3">
        <v>2.0</v>
      </c>
      <c r="E5193" s="3">
        <v>3.0</v>
      </c>
      <c r="F5193" s="3" t="s">
        <v>14916</v>
      </c>
      <c r="G5193" s="3">
        <v>1.0</v>
      </c>
      <c r="H5193" s="3">
        <v>0.0</v>
      </c>
      <c r="I5193" s="3" t="s">
        <v>13</v>
      </c>
      <c r="J5193" s="3" t="s">
        <v>14917</v>
      </c>
      <c r="K5193" s="3" t="s">
        <v>15</v>
      </c>
      <c r="L5193" s="3" t="str">
        <f>IFERROR(__xludf.DUMMYFUNCTION("GOOGLETRANSLATE(F5193,""id"",""en"")"),"Morning Sis, I WTS Final Ticket Pildun Day if you are interested")</f>
        <v>Morning Sis, I WTS Final Ticket Pildun Day if you are interested</v>
      </c>
    </row>
    <row r="5194" ht="15.75" customHeight="1">
      <c r="A5194" s="1">
        <v>6364.0</v>
      </c>
      <c r="B5194" s="3" t="s">
        <v>14918</v>
      </c>
      <c r="C5194" s="3">
        <v>0.0</v>
      </c>
      <c r="D5194" s="3">
        <v>0.0</v>
      </c>
      <c r="E5194" s="3">
        <v>0.0</v>
      </c>
      <c r="F5194" s="3" t="s">
        <v>14919</v>
      </c>
      <c r="G5194" s="3">
        <v>1.0</v>
      </c>
      <c r="H5194" s="3">
        <v>0.0</v>
      </c>
      <c r="I5194" s="3" t="s">
        <v>13</v>
      </c>
      <c r="J5194" s="3" t="s">
        <v>14920</v>
      </c>
      <c r="K5194" s="3" t="s">
        <v>184</v>
      </c>
      <c r="L5194" s="3" t="str">
        <f>IFERROR(__xludf.DUMMYFUNCTION("GOOGLETRANSLATE(F5194,""id"",""en"")"),"Morning, empty roads are very unnatural for Monday, the time is late in the end of the final because of the final pildun")</f>
        <v>Morning, empty roads are very unnatural for Monday, the time is late in the end of the final because of the final pildun</v>
      </c>
    </row>
    <row r="5195" ht="15.75" customHeight="1">
      <c r="A5195" s="1">
        <v>6365.0</v>
      </c>
      <c r="B5195" s="3" t="s">
        <v>14921</v>
      </c>
      <c r="C5195" s="3">
        <v>0.0</v>
      </c>
      <c r="D5195" s="3">
        <v>2.0</v>
      </c>
      <c r="E5195" s="3">
        <v>1.0</v>
      </c>
      <c r="F5195" s="3" t="s">
        <v>14922</v>
      </c>
      <c r="G5195" s="3">
        <v>1.0</v>
      </c>
      <c r="H5195" s="3">
        <v>0.0</v>
      </c>
      <c r="I5195" s="3" t="s">
        <v>13</v>
      </c>
      <c r="J5195" s="3" t="s">
        <v>14923</v>
      </c>
      <c r="K5195" s="3" t="s">
        <v>41</v>
      </c>
      <c r="L5195" s="3" t="str">
        <f>IFERROR(__xludf.DUMMYFUNCTION("GOOGLETRANSLATE(F5195,""id"",""en"")"),"The final pildun last night was very chaotic heartbeat until regular")</f>
        <v>The final pildun last night was very chaotic heartbeat until regular</v>
      </c>
    </row>
    <row r="5196" ht="15.75" customHeight="1">
      <c r="A5196" s="1">
        <v>6366.0</v>
      </c>
      <c r="B5196" s="3" t="s">
        <v>14924</v>
      </c>
      <c r="C5196" s="3">
        <v>1.0</v>
      </c>
      <c r="D5196" s="3">
        <v>0.0</v>
      </c>
      <c r="E5196" s="3">
        <v>0.0</v>
      </c>
      <c r="F5196" s="3" t="s">
        <v>14925</v>
      </c>
      <c r="G5196" s="3">
        <v>1.0</v>
      </c>
      <c r="H5196" s="3">
        <v>0.0</v>
      </c>
      <c r="I5196" s="3" t="s">
        <v>13</v>
      </c>
      <c r="J5196" s="3" t="s">
        <v>14926</v>
      </c>
      <c r="K5196" s="3" t="s">
        <v>715</v>
      </c>
      <c r="L5196" s="3" t="str">
        <f>IFERROR(__xludf.DUMMYFUNCTION("GOOGLETRANSLATE(F5196,""id"",""en"")"),"unconsciously that the final pildun finally brought a dichotomy of my family group finally my family group toxic was also a pic containing one example")</f>
        <v>unconsciously that the final pildun finally brought a dichotomy of my family group finally my family group toxic was also a pic containing one example</v>
      </c>
    </row>
    <row r="5197" ht="15.75" customHeight="1">
      <c r="A5197" s="1">
        <v>6367.0</v>
      </c>
      <c r="B5197" s="3" t="s">
        <v>14927</v>
      </c>
      <c r="C5197" s="3">
        <v>0.0</v>
      </c>
      <c r="D5197" s="3">
        <v>0.0</v>
      </c>
      <c r="E5197" s="3">
        <v>0.0</v>
      </c>
      <c r="F5197" s="3" t="s">
        <v>14928</v>
      </c>
      <c r="G5197" s="3">
        <v>1.0</v>
      </c>
      <c r="H5197" s="3">
        <v>0.0</v>
      </c>
      <c r="I5197" s="3" t="s">
        <v>13</v>
      </c>
      <c r="J5197" s="3" t="s">
        <v>14929</v>
      </c>
      <c r="K5197" s="3" t="s">
        <v>123</v>
      </c>
      <c r="L5197" s="3" t="str">
        <f>IFERROR(__xludf.DUMMYFUNCTION("GOOGLETRANSLATE(F5197,""id"",""en"")"),"guess the champion of the final pildun win may be the goods but Monmaap why is it winning the cheapest price rather than losing")</f>
        <v>guess the champion of the final pildun win may be the goods but Monmaap why is it winning the cheapest price rather than losing</v>
      </c>
    </row>
    <row r="5198" ht="15.75" customHeight="1">
      <c r="A5198" s="1">
        <v>6368.0</v>
      </c>
      <c r="B5198" s="3" t="s">
        <v>14930</v>
      </c>
      <c r="C5198" s="3">
        <v>1.0</v>
      </c>
      <c r="D5198" s="3">
        <v>1.0</v>
      </c>
      <c r="E5198" s="3">
        <v>0.0</v>
      </c>
      <c r="F5198" s="3" t="s">
        <v>14931</v>
      </c>
      <c r="G5198" s="3">
        <v>0.7666666666666666</v>
      </c>
      <c r="H5198" s="3">
        <v>0.3333333333333333</v>
      </c>
      <c r="I5198" s="3" t="s">
        <v>48</v>
      </c>
      <c r="J5198" s="3" t="s">
        <v>14932</v>
      </c>
      <c r="K5198" s="3" t="s">
        <v>1097</v>
      </c>
      <c r="L5198" s="3" t="str">
        <f>IFERROR(__xludf.DUMMYFUNCTION("GOOGLETRANSLATE(F5198,""id"",""en"")"),"one of the moments of the Final Shitpost Pildun Best Final Ever")</f>
        <v>one of the moments of the Final Shitpost Pildun Best Final Ever</v>
      </c>
    </row>
    <row r="5199" ht="15.75" customHeight="1">
      <c r="A5199" s="1">
        <v>6369.0</v>
      </c>
      <c r="B5199" s="3" t="s">
        <v>14933</v>
      </c>
      <c r="C5199" s="3">
        <v>0.0</v>
      </c>
      <c r="D5199" s="3">
        <v>0.0</v>
      </c>
      <c r="E5199" s="3">
        <v>0.0</v>
      </c>
      <c r="F5199" s="3" t="s">
        <v>14934</v>
      </c>
      <c r="G5199" s="3">
        <v>1.0</v>
      </c>
      <c r="H5199" s="3">
        <v>0.225</v>
      </c>
      <c r="I5199" s="3" t="s">
        <v>48</v>
      </c>
      <c r="J5199" s="3" t="s">
        <v>14935</v>
      </c>
      <c r="K5199" s="3" t="s">
        <v>1479</v>
      </c>
      <c r="L5199" s="3" t="str">
        <f>IFERROR(__xludf.DUMMYFUNCTION("GOOGLETRANSLATE(F5199,""id"",""en"")"),"Since I first watched the year Pilduun there was no final tension and as interesting as the final was right")</f>
        <v>Since I first watched the year Pilduun there was no final tension and as interesting as the final was right</v>
      </c>
    </row>
    <row r="5200" ht="15.75" customHeight="1">
      <c r="A5200" s="1">
        <v>6370.0</v>
      </c>
      <c r="B5200" s="3" t="s">
        <v>14936</v>
      </c>
      <c r="C5200" s="3">
        <v>1.0</v>
      </c>
      <c r="D5200" s="3">
        <v>0.0</v>
      </c>
      <c r="E5200" s="3">
        <v>1.0</v>
      </c>
      <c r="F5200" s="3" t="s">
        <v>14937</v>
      </c>
      <c r="G5200" s="3">
        <v>1.0</v>
      </c>
      <c r="H5200" s="3">
        <v>0.0</v>
      </c>
      <c r="I5200" s="3" t="s">
        <v>13</v>
      </c>
      <c r="J5200" s="3" t="s">
        <v>14938</v>
      </c>
      <c r="K5200" s="3" t="s">
        <v>123</v>
      </c>
      <c r="L5200" s="3" t="str">
        <f>IFERROR(__xludf.DUMMYFUNCTION("GOOGLETRANSLATE(F5200,""id"",""en"")"),"Tibra Miiin Dugika Hilap Aya Final Pildun Becomes Kangge Abdi Football is Persib Sanes Pildun")</f>
        <v>Tibra Miiin Dugika Hilap Aya Final Pildun Becomes Kangge Abdi Football is Persib Sanes Pildun</v>
      </c>
    </row>
    <row r="5201" ht="15.75" customHeight="1">
      <c r="A5201" s="1">
        <v>6371.0</v>
      </c>
      <c r="B5201" s="3" t="s">
        <v>14939</v>
      </c>
      <c r="C5201" s="3">
        <v>1.0</v>
      </c>
      <c r="D5201" s="3">
        <v>0.0</v>
      </c>
      <c r="E5201" s="3">
        <v>0.0</v>
      </c>
      <c r="F5201" s="3" t="s">
        <v>14940</v>
      </c>
      <c r="G5201" s="3">
        <v>1.0</v>
      </c>
      <c r="H5201" s="3">
        <v>0.0</v>
      </c>
      <c r="I5201" s="3" t="s">
        <v>13</v>
      </c>
      <c r="J5201" s="3" t="s">
        <v>14941</v>
      </c>
      <c r="K5201" s="3" t="s">
        <v>1469</v>
      </c>
      <c r="L5201" s="3" t="str">
        <f>IFERROR(__xludf.DUMMYFUNCTION("GOOGLETRANSLATE(F5201,""id"",""en"")"),"But at the beginning of the pildun we chose the country that could enter the final then the true Aldi doang wkwk the country of choice he entered the final")</f>
        <v>But at the beginning of the pildun we chose the country that could enter the final then the true Aldi doang wkwk the country of choice he entered the final</v>
      </c>
    </row>
    <row r="5202" ht="15.75" customHeight="1">
      <c r="A5202" s="1">
        <v>6372.0</v>
      </c>
      <c r="B5202" s="3" t="s">
        <v>14942</v>
      </c>
      <c r="C5202" s="3">
        <v>2.0</v>
      </c>
      <c r="D5202" s="3">
        <v>0.0</v>
      </c>
      <c r="E5202" s="3">
        <v>1.0</v>
      </c>
      <c r="F5202" s="3" t="s">
        <v>14943</v>
      </c>
      <c r="G5202" s="3">
        <v>0.75</v>
      </c>
      <c r="H5202" s="3">
        <v>0.25</v>
      </c>
      <c r="I5202" s="3" t="s">
        <v>48</v>
      </c>
      <c r="J5202" s="3" t="s">
        <v>14944</v>
      </c>
      <c r="K5202" s="3" t="s">
        <v>823</v>
      </c>
      <c r="L5202" s="3" t="str">
        <f>IFERROR(__xludf.DUMMYFUNCTION("GOOGLETRANSLATE(F5202,""id"",""en"")"),"The first time Nobar again this year just when the final UCL is really a lot of people who prefer watching from each of them but this is because force majeure also continues nobar again when this pildun is the same, it turns out it seems like a nobar at h"&amp;"ome just at home")</f>
        <v>The first time Nobar again this year just when the final UCL is really a lot of people who prefer watching from each of them but this is because force majeure also continues nobar again when this pildun is the same, it turns out it seems like a nobar at home just at home</v>
      </c>
    </row>
    <row r="5203" ht="15.75" customHeight="1">
      <c r="A5203" s="1">
        <v>6373.0</v>
      </c>
      <c r="B5203" s="3" t="s">
        <v>14945</v>
      </c>
      <c r="C5203" s="3">
        <v>1.0</v>
      </c>
      <c r="D5203" s="3">
        <v>0.0</v>
      </c>
      <c r="E5203" s="3">
        <v>0.0</v>
      </c>
      <c r="F5203" s="3" t="s">
        <v>14946</v>
      </c>
      <c r="G5203" s="3">
        <v>1.0</v>
      </c>
      <c r="H5203" s="3">
        <v>0.0</v>
      </c>
      <c r="I5203" s="3" t="s">
        <v>13</v>
      </c>
      <c r="J5203" s="3" t="s">
        <v>14947</v>
      </c>
      <c r="K5203" s="3" t="s">
        <v>244</v>
      </c>
      <c r="L5203" s="3" t="str">
        <f>IFERROR(__xludf.DUMMYFUNCTION("GOOGLETRANSLATE(F5203,""id"",""en"")"),"Apart from who was the champion of the pildun last night was the final final")</f>
        <v>Apart from who was the champion of the pildun last night was the final final</v>
      </c>
    </row>
    <row r="5204" ht="15.75" customHeight="1">
      <c r="A5204" s="1">
        <v>6374.0</v>
      </c>
      <c r="B5204" s="3" t="s">
        <v>14948</v>
      </c>
      <c r="C5204" s="3">
        <v>0.0</v>
      </c>
      <c r="D5204" s="3">
        <v>0.0</v>
      </c>
      <c r="E5204" s="3">
        <v>1.0</v>
      </c>
      <c r="F5204" s="3" t="s">
        <v>14949</v>
      </c>
      <c r="G5204" s="3">
        <v>0.7</v>
      </c>
      <c r="H5204" s="3">
        <v>0.05</v>
      </c>
      <c r="I5204" s="3" t="s">
        <v>48</v>
      </c>
      <c r="J5204" s="3" t="s">
        <v>14950</v>
      </c>
      <c r="K5204" s="3" t="s">
        <v>23</v>
      </c>
      <c r="L5204" s="3" t="str">
        <f>IFERROR(__xludf.DUMMYFUNCTION("GOOGLETRANSLATE(F5204,""id"",""en"")"),"If you don't like GPP, I followed the pildun, not the obligation, but just miss the epic moment because the final last night was the final of the best epic bgt")</f>
        <v>If you don't like GPP, I followed the pildun, not the obligation, but just miss the epic moment because the final last night was the final of the best epic bgt</v>
      </c>
    </row>
    <row r="5205" ht="15.75" customHeight="1">
      <c r="A5205" s="1">
        <v>6375.0</v>
      </c>
      <c r="B5205" s="3" t="s">
        <v>14951</v>
      </c>
      <c r="C5205" s="3">
        <v>0.0</v>
      </c>
      <c r="D5205" s="3">
        <v>0.0</v>
      </c>
      <c r="E5205" s="3">
        <v>0.0</v>
      </c>
      <c r="F5205" s="3" t="s">
        <v>14952</v>
      </c>
      <c r="G5205" s="3">
        <v>1.0</v>
      </c>
      <c r="H5205" s="3">
        <v>0.0</v>
      </c>
      <c r="I5205" s="3" t="s">
        <v>13</v>
      </c>
      <c r="J5205" s="3" t="s">
        <v>14953</v>
      </c>
      <c r="K5205" s="3" t="s">
        <v>499</v>
      </c>
      <c r="L5205" s="3" t="str">
        <f>IFERROR(__xludf.DUMMYFUNCTION("GOOGLETRANSLATE(F5205,""id"",""en"")"),"I have sent a let's take here before the Messi Dybala Argentina Penalty Mbappe Madrid Higuain France All France Dimaria Ronaldo Dembele Pildun Drake")</f>
        <v>I have sent a let's take here before the Messi Dybala Argentina Penalty Mbappe Madrid Higuain France All France Dimaria Ronaldo Dembele Pildun Drake</v>
      </c>
    </row>
    <row r="5206" ht="15.75" customHeight="1">
      <c r="A5206" s="1">
        <v>6376.0</v>
      </c>
      <c r="B5206" s="3" t="s">
        <v>14954</v>
      </c>
      <c r="C5206" s="3">
        <v>0.0</v>
      </c>
      <c r="D5206" s="3">
        <v>0.0</v>
      </c>
      <c r="E5206" s="3">
        <v>1.0</v>
      </c>
      <c r="F5206" s="3" t="s">
        <v>14955</v>
      </c>
      <c r="G5206" s="3">
        <v>1.0</v>
      </c>
      <c r="H5206" s="3">
        <v>0.0</v>
      </c>
      <c r="I5206" s="3" t="s">
        <v>13</v>
      </c>
      <c r="J5206" s="3" t="s">
        <v>14956</v>
      </c>
      <c r="K5206" s="3" t="s">
        <v>184</v>
      </c>
      <c r="L5206" s="3" t="str">
        <f>IFERROR(__xludf.DUMMYFUNCTION("GOOGLETRANSLATE(F5206,""id"",""en"")"),"Monday Morning Edition Sleepy Effects of Bgadang Final Pildun Ulang Hurna Turum Meet Morning and Afternoon Gasskan Lur Dinsosnakertrans Jombang")</f>
        <v>Monday Morning Edition Sleepy Effects of Bgadang Final Pildun Ulang Hurna Turum Meet Morning and Afternoon Gasskan Lur Dinsosnakertrans Jombang</v>
      </c>
    </row>
    <row r="5207" ht="15.75" customHeight="1">
      <c r="A5207" s="1">
        <v>6377.0</v>
      </c>
      <c r="B5207" s="3" t="s">
        <v>14957</v>
      </c>
      <c r="C5207" s="3">
        <v>0.0</v>
      </c>
      <c r="D5207" s="3">
        <v>0.0</v>
      </c>
      <c r="E5207" s="3">
        <v>0.0</v>
      </c>
      <c r="F5207" s="3" t="s">
        <v>14958</v>
      </c>
      <c r="G5207" s="3">
        <v>1.0</v>
      </c>
      <c r="H5207" s="3">
        <v>0.0</v>
      </c>
      <c r="I5207" s="3" t="s">
        <v>13</v>
      </c>
      <c r="J5207" s="3" t="s">
        <v>14959</v>
      </c>
      <c r="K5207" s="3" t="s">
        <v>240</v>
      </c>
      <c r="L5207" s="3" t="str">
        <f>IFERROR(__xludf.DUMMYFUNCTION("GOOGLETRANSLATE(F5207,""id"",""en"")"),"Fahrudin Wong, the Ministry of Sok, understands the ball, Iku Mas clearly discusses the final eee pildun connecting hadeeh")</f>
        <v>Fahrudin Wong, the Ministry of Sok, understands the ball, Iku Mas clearly discusses the final eee pildun connecting hadeeh</v>
      </c>
    </row>
    <row r="5208" ht="15.75" customHeight="1">
      <c r="A5208" s="1">
        <v>6378.0</v>
      </c>
      <c r="B5208" s="3" t="s">
        <v>14960</v>
      </c>
      <c r="C5208" s="3">
        <v>8.0</v>
      </c>
      <c r="D5208" s="3">
        <v>0.0</v>
      </c>
      <c r="E5208" s="3">
        <v>53.0</v>
      </c>
      <c r="F5208" s="3" t="s">
        <v>14961</v>
      </c>
      <c r="G5208" s="3">
        <v>1.0</v>
      </c>
      <c r="H5208" s="3">
        <v>0.0</v>
      </c>
      <c r="I5208" s="3" t="s">
        <v>13</v>
      </c>
      <c r="J5208" s="3" t="s">
        <v>14962</v>
      </c>
      <c r="K5208" s="3" t="s">
        <v>41</v>
      </c>
      <c r="L5208" s="3" t="str">
        <f>IFERROR(__xludf.DUMMYFUNCTION("GOOGLETRANSLATE(F5208,""id"",""en"")"),"There are also already years of not having felt the final let alone lift the tropy pildun")</f>
        <v>There are also already years of not having felt the final let alone lift the tropy pildun</v>
      </c>
    </row>
    <row r="5209" ht="15.75" customHeight="1">
      <c r="A5209" s="1">
        <v>6379.0</v>
      </c>
      <c r="B5209" s="3" t="s">
        <v>14963</v>
      </c>
      <c r="C5209" s="3">
        <v>1.0</v>
      </c>
      <c r="D5209" s="3">
        <v>0.0</v>
      </c>
      <c r="E5209" s="3">
        <v>0.0</v>
      </c>
      <c r="F5209" s="3" t="s">
        <v>14964</v>
      </c>
      <c r="G5209" s="3">
        <v>1.0</v>
      </c>
      <c r="H5209" s="3">
        <v>0.0</v>
      </c>
      <c r="I5209" s="3" t="s">
        <v>13</v>
      </c>
      <c r="J5209" s="3" t="s">
        <v>14965</v>
      </c>
      <c r="K5209" s="3" t="s">
        <v>41</v>
      </c>
      <c r="L5209" s="3" t="str">
        <f>IFERROR(__xludf.DUMMYFUNCTION("GOOGLETRANSLATE(F5209,""id"",""en"")"),"The final pildun last night was very exciting, it turned out that the guy was ngantukkkkkkkk")</f>
        <v>The final pildun last night was very exciting, it turned out that the guy was ngantukkkkkkkk</v>
      </c>
    </row>
    <row r="5210" ht="15.75" customHeight="1">
      <c r="A5210" s="1">
        <v>6380.0</v>
      </c>
      <c r="B5210" s="3" t="s">
        <v>14966</v>
      </c>
      <c r="C5210" s="3">
        <v>1.0</v>
      </c>
      <c r="D5210" s="3">
        <v>0.0</v>
      </c>
      <c r="E5210" s="3">
        <v>0.0</v>
      </c>
      <c r="F5210" s="3" t="s">
        <v>14967</v>
      </c>
      <c r="G5210" s="3">
        <v>0.7999999999999999</v>
      </c>
      <c r="H5210" s="3">
        <v>0.03333333333333333</v>
      </c>
      <c r="I5210" s="3" t="s">
        <v>48</v>
      </c>
      <c r="J5210" s="3" t="s">
        <v>14968</v>
      </c>
      <c r="K5210" s="3" t="s">
        <v>286</v>
      </c>
      <c r="L5210" s="3" t="str">
        <f>IFERROR(__xludf.DUMMYFUNCTION("GOOGLETRANSLATE(F5210,""id"",""en"")"),"After losing money and feeling being played with this online gambling game, there is still a hype left because the heart and mind have chosen Argentina since the day before the final closed with the victory of the e -epic final Argentina so far")</f>
        <v>After losing money and feeling being played with this online gambling game, there is still a hype left because the heart and mind have chosen Argentina since the day before the final closed with the victory of the e -epic final Argentina so far</v>
      </c>
    </row>
    <row r="5211" ht="15.75" customHeight="1">
      <c r="A5211" s="1">
        <v>6381.0</v>
      </c>
      <c r="B5211" s="3" t="s">
        <v>14969</v>
      </c>
      <c r="C5211" s="3">
        <v>1.0</v>
      </c>
      <c r="D5211" s="3">
        <v>0.0</v>
      </c>
      <c r="E5211" s="3">
        <v>0.0</v>
      </c>
      <c r="F5211" s="3" t="s">
        <v>14970</v>
      </c>
      <c r="G5211" s="3">
        <v>1.0</v>
      </c>
      <c r="H5211" s="3">
        <v>0.0</v>
      </c>
      <c r="I5211" s="3" t="s">
        <v>13</v>
      </c>
      <c r="J5211" s="3" t="s">
        <v>14971</v>
      </c>
      <c r="K5211" s="3" t="s">
        <v>54</v>
      </c>
      <c r="L5211" s="3" t="str">
        <f>IFERROR(__xludf.DUMMYFUNCTION("GOOGLETRANSLATE(F5211,""id"",""en"")"),"First time since watching the final pildun")</f>
        <v>First time since watching the final pildun</v>
      </c>
    </row>
    <row r="5212" ht="15.75" customHeight="1">
      <c r="A5212" s="1">
        <v>6382.0</v>
      </c>
      <c r="B5212" s="3" t="s">
        <v>14972</v>
      </c>
      <c r="C5212" s="3">
        <v>0.0</v>
      </c>
      <c r="D5212" s="3">
        <v>0.0</v>
      </c>
      <c r="E5212" s="3">
        <v>0.0</v>
      </c>
      <c r="F5212" s="3" t="s">
        <v>14973</v>
      </c>
      <c r="G5212" s="3">
        <v>0.0</v>
      </c>
      <c r="H5212" s="3">
        <v>0.0</v>
      </c>
      <c r="I5212" s="3" t="s">
        <v>13</v>
      </c>
      <c r="J5212" s="3" t="s">
        <v>14974</v>
      </c>
      <c r="K5212" s="3" t="s">
        <v>286</v>
      </c>
      <c r="L5212" s="3" t="str">
        <f>IFERROR(__xludf.DUMMYFUNCTION("GOOGLETRANSLATE(F5212,""id"",""en"")"),"More stupid stupid stupid Bernando Bruno Cancelo Ruben Dias Leao thought from the small team from the big team all the stupid pdhl here that Ronaldo said from the first Argentina Squad is too good too")</f>
        <v>More stupid stupid stupid Bernando Bruno Cancelo Ruben Dias Leao thought from the small team from the big team all the stupid pdhl here that Ronaldo said from the first Argentina Squad is too good too</v>
      </c>
    </row>
    <row r="5213" ht="15.75" customHeight="1">
      <c r="A5213" s="1">
        <v>6383.0</v>
      </c>
      <c r="B5213" s="3" t="s">
        <v>14975</v>
      </c>
      <c r="C5213" s="3">
        <v>0.0</v>
      </c>
      <c r="D5213" s="3">
        <v>0.0</v>
      </c>
      <c r="E5213" s="3">
        <v>0.0</v>
      </c>
      <c r="F5213" s="3" t="s">
        <v>14976</v>
      </c>
      <c r="G5213" s="3">
        <v>1.0</v>
      </c>
      <c r="H5213" s="3">
        <v>0.0</v>
      </c>
      <c r="I5213" s="3" t="s">
        <v>13</v>
      </c>
      <c r="J5213" s="3" t="s">
        <v>14977</v>
      </c>
      <c r="K5213" s="3" t="s">
        <v>657</v>
      </c>
      <c r="L5213" s="3" t="str">
        <f>IFERROR(__xludf.DUMMYFUNCTION("GOOGLETRANSLATE(F5213,""id"",""en"")"),"Yesterday the car was adrift of the warderly, Mr.ku wanted to go to the final of the pildun, my pilem was a grip")</f>
        <v>Yesterday the car was adrift of the warderly, Mr.ku wanted to go to the final of the pildun, my pilem was a grip</v>
      </c>
    </row>
    <row r="5214" ht="15.75" customHeight="1">
      <c r="A5214" s="1">
        <v>6384.0</v>
      </c>
      <c r="B5214" s="3" t="s">
        <v>14978</v>
      </c>
      <c r="C5214" s="3">
        <v>0.0</v>
      </c>
      <c r="D5214" s="3">
        <v>0.0</v>
      </c>
      <c r="E5214" s="3">
        <v>0.0</v>
      </c>
      <c r="F5214" s="3" t="s">
        <v>14979</v>
      </c>
      <c r="G5214" s="3">
        <v>1.0</v>
      </c>
      <c r="H5214" s="3">
        <v>0.0</v>
      </c>
      <c r="I5214" s="3" t="s">
        <v>13</v>
      </c>
      <c r="J5214" s="3" t="s">
        <v>14980</v>
      </c>
      <c r="K5214" s="3" t="s">
        <v>7160</v>
      </c>
      <c r="L5214" s="3" t="str">
        <f>IFERROR(__xludf.DUMMYFUNCTION("GOOGLETRANSLATE(F5214,""id"",""en"")"),"Best Final Best Pildun")</f>
        <v>Best Final Best Pildun</v>
      </c>
    </row>
    <row r="5215" ht="15.75" customHeight="1">
      <c r="A5215" s="1">
        <v>6385.0</v>
      </c>
      <c r="B5215" s="3" t="s">
        <v>14981</v>
      </c>
      <c r="C5215" s="3">
        <v>2.0</v>
      </c>
      <c r="D5215" s="3">
        <v>0.0</v>
      </c>
      <c r="E5215" s="3">
        <v>1.0</v>
      </c>
      <c r="F5215" s="3" t="s">
        <v>14982</v>
      </c>
      <c r="G5215" s="3">
        <v>1.0</v>
      </c>
      <c r="H5215" s="3">
        <v>0.0</v>
      </c>
      <c r="I5215" s="3" t="s">
        <v>13</v>
      </c>
      <c r="J5215" s="3" t="s">
        <v>14983</v>
      </c>
      <c r="K5215" s="3" t="s">
        <v>41</v>
      </c>
      <c r="L5215" s="3" t="str">
        <f>IFERROR(__xludf.DUMMYFUNCTION("GOOGLETRANSLATE(F5215,""id"",""en"")"),"All Final Pildun I don't parlay NBA Capital Wae")</f>
        <v>All Final Pildun I don't parlay NBA Capital Wae</v>
      </c>
    </row>
    <row r="5216" ht="15.75" customHeight="1">
      <c r="A5216" s="1">
        <v>6386.0</v>
      </c>
      <c r="B5216" s="3" t="s">
        <v>14984</v>
      </c>
      <c r="C5216" s="3">
        <v>0.0</v>
      </c>
      <c r="D5216" s="3">
        <v>0.0</v>
      </c>
      <c r="E5216" s="3">
        <v>0.0</v>
      </c>
      <c r="F5216" s="3" t="s">
        <v>14985</v>
      </c>
      <c r="G5216" s="3">
        <v>1.0</v>
      </c>
      <c r="H5216" s="3">
        <v>0.0</v>
      </c>
      <c r="I5216" s="3" t="s">
        <v>13</v>
      </c>
      <c r="J5216" s="3" t="s">
        <v>14986</v>
      </c>
      <c r="K5216" s="3" t="s">
        <v>495</v>
      </c>
      <c r="L5216" s="3" t="str">
        <f>IFERROR(__xludf.DUMMYFUNCTION("GOOGLETRANSLATE(F5216,""id"",""en"")"),"said Ayang when Nobar Final Pilduun Space that resistant to the first time to remember this is our first World Cup while holding my hand with a romantic pretentious")</f>
        <v>said Ayang when Nobar Final Pilduun Space that resistant to the first time to remember this is our first World Cup while holding my hand with a romantic pretentious</v>
      </c>
    </row>
    <row r="5217" ht="15.75" customHeight="1">
      <c r="A5217" s="1">
        <v>6387.0</v>
      </c>
      <c r="B5217" s="3" t="s">
        <v>14987</v>
      </c>
      <c r="C5217" s="3">
        <v>2.0</v>
      </c>
      <c r="D5217" s="3">
        <v>0.0</v>
      </c>
      <c r="E5217" s="3">
        <v>2.0</v>
      </c>
      <c r="F5217" s="3" t="s">
        <v>14988</v>
      </c>
      <c r="G5217" s="3">
        <v>1.0</v>
      </c>
      <c r="H5217" s="3">
        <v>0.0</v>
      </c>
      <c r="I5217" s="3" t="s">
        <v>13</v>
      </c>
      <c r="J5217" s="3" t="s">
        <v>14989</v>
      </c>
      <c r="K5217" s="3" t="s">
        <v>123</v>
      </c>
      <c r="L5217" s="3" t="str">
        <f>IFERROR(__xludf.DUMMYFUNCTION("GOOGLETRANSLATE(F5217,""id"",""en"")"),"From the beginning, there was also a lot of exciting plot twist and the drama was also exciting so it was rather not right if I said the final helped")</f>
        <v>From the beginning, there was also a lot of exciting plot twist and the drama was also exciting so it was rather not right if I said the final helped</v>
      </c>
    </row>
    <row r="5218" ht="15.75" customHeight="1">
      <c r="A5218" s="1">
        <v>6388.0</v>
      </c>
      <c r="B5218" s="3" t="s">
        <v>14990</v>
      </c>
      <c r="C5218" s="3">
        <v>1.0</v>
      </c>
      <c r="D5218" s="3">
        <v>0.0</v>
      </c>
      <c r="E5218" s="3">
        <v>2.0</v>
      </c>
      <c r="F5218" s="3" t="s">
        <v>14991</v>
      </c>
      <c r="G5218" s="3">
        <v>1.0</v>
      </c>
      <c r="H5218" s="3">
        <v>0.0</v>
      </c>
      <c r="I5218" s="3" t="s">
        <v>13</v>
      </c>
      <c r="J5218" s="3" t="s">
        <v>14992</v>
      </c>
      <c r="K5218" s="3" t="s">
        <v>2146</v>
      </c>
      <c r="L5218" s="3" t="str">
        <f>IFERROR(__xludf.DUMMYFUNCTION("GOOGLETRANSLATE(F5218,""id"",""en"")"),"staying up late watching the final pildun wake up late, not shopping, not cooked bumer, just come, oh, buk, buk, not mantune, dead, know, I don't have a bad son, because I haven't prepared breakfast for his beloved child and his favorite grandchildren")</f>
        <v>staying up late watching the final pildun wake up late, not shopping, not cooked bumer, just come, oh, buk, buk, not mantune, dead, know, I don't have a bad son, because I haven't prepared breakfast for his beloved child and his favorite grandchildren</v>
      </c>
    </row>
    <row r="5219" ht="15.75" customHeight="1">
      <c r="A5219" s="1">
        <v>6389.0</v>
      </c>
      <c r="B5219" s="3" t="s">
        <v>14993</v>
      </c>
      <c r="C5219" s="3">
        <v>1.0</v>
      </c>
      <c r="D5219" s="3">
        <v>0.0</v>
      </c>
      <c r="E5219" s="3">
        <v>53.0</v>
      </c>
      <c r="F5219" s="3" t="s">
        <v>14994</v>
      </c>
      <c r="G5219" s="3">
        <v>1.0</v>
      </c>
      <c r="H5219" s="3">
        <v>0.0</v>
      </c>
      <c r="I5219" s="3" t="s">
        <v>13</v>
      </c>
      <c r="J5219" s="3" t="s">
        <v>14995</v>
      </c>
      <c r="K5219" s="3" t="s">
        <v>1854</v>
      </c>
      <c r="L5219" s="3" t="str">
        <f>IFERROR(__xludf.DUMMYFUNCTION("GOOGLETRANSLATE(F5219,""id"",""en"")"),"Bang watching from the beginning first then make a statement if you watch only the final, like this from the opening of the Knock Out group phase until the final is all successful than the pildun before before")</f>
        <v>Bang watching from the beginning first then make a statement if you watch only the final, like this from the opening of the Knock Out group phase until the final is all successful than the pildun before before</v>
      </c>
    </row>
    <row r="5220" ht="15.75" customHeight="1">
      <c r="A5220" s="1">
        <v>6390.0</v>
      </c>
      <c r="B5220" s="3" t="s">
        <v>14996</v>
      </c>
      <c r="C5220" s="3">
        <v>80.0</v>
      </c>
      <c r="D5220" s="3">
        <v>186.0</v>
      </c>
      <c r="E5220" s="3">
        <v>4722.0</v>
      </c>
      <c r="F5220" s="3" t="s">
        <v>14997</v>
      </c>
      <c r="G5220" s="3">
        <v>1.0</v>
      </c>
      <c r="H5220" s="3">
        <v>0.0</v>
      </c>
      <c r="I5220" s="3" t="s">
        <v>13</v>
      </c>
      <c r="J5220" s="3" t="s">
        <v>14998</v>
      </c>
      <c r="K5220" s="3" t="s">
        <v>50</v>
      </c>
      <c r="L5220" s="3" t="str">
        <f>IFERROR(__xludf.DUMMYFUNCTION("GOOGLETRANSLATE(F5220,""id"",""en"")"),"Guys show your idol who was wary of watching the final pildun earlier")</f>
        <v>Guys show your idol who was wary of watching the final pildun earlier</v>
      </c>
    </row>
    <row r="5221" ht="15.75" customHeight="1">
      <c r="A5221" s="1">
        <v>6391.0</v>
      </c>
      <c r="B5221" s="3" t="s">
        <v>14999</v>
      </c>
      <c r="C5221" s="3">
        <v>0.0</v>
      </c>
      <c r="D5221" s="3">
        <v>0.0</v>
      </c>
      <c r="E5221" s="3">
        <v>0.0</v>
      </c>
      <c r="F5221" s="3" t="s">
        <v>15000</v>
      </c>
      <c r="G5221" s="3">
        <v>1.0</v>
      </c>
      <c r="H5221" s="3">
        <v>0.0</v>
      </c>
      <c r="I5221" s="3" t="s">
        <v>13</v>
      </c>
      <c r="J5221" s="3" t="s">
        <v>15001</v>
      </c>
      <c r="K5221" s="3" t="s">
        <v>31</v>
      </c>
      <c r="L5221" s="3" t="str">
        <f>IFERROR(__xludf.DUMMYFUNCTION("GOOGLETRANSLATE(F5221,""id"",""en"")"),"the best final in the history of pildun")</f>
        <v>the best final in the history of pildun</v>
      </c>
    </row>
    <row r="5222" ht="15.75" customHeight="1">
      <c r="A5222" s="1">
        <v>6392.0</v>
      </c>
      <c r="B5222" s="3" t="s">
        <v>15002</v>
      </c>
      <c r="C5222" s="3">
        <v>0.0</v>
      </c>
      <c r="D5222" s="3">
        <v>1.0</v>
      </c>
      <c r="E5222" s="3">
        <v>1.0</v>
      </c>
      <c r="F5222" s="3" t="s">
        <v>15003</v>
      </c>
      <c r="G5222" s="3">
        <v>1.0</v>
      </c>
      <c r="H5222" s="3">
        <v>-0.1333333333333333</v>
      </c>
      <c r="I5222" s="3" t="s">
        <v>179</v>
      </c>
      <c r="J5222" s="3" t="s">
        <v>15004</v>
      </c>
      <c r="K5222" s="3" t="s">
        <v>192</v>
      </c>
      <c r="L5222" s="3" t="str">
        <f>IFERROR(__xludf.DUMMYFUNCTION("GOOGLETRANSLATE(F5222,""id"",""en"")"),"helping to be very final like this sorry pildun qatar at the beginning of the good unexpected games plot twist unexpectedly and the final last night the closing perfect blunder is only because the issue of human rights is the initial Qatar in the implemen"&amp;"tation of the championship losing")</f>
        <v>helping to be very final like this sorry pildun qatar at the beginning of the good unexpected games plot twist unexpectedly and the final last night the closing perfect blunder is only because the issue of human rights is the initial Qatar in the implementation of the championship losing</v>
      </c>
    </row>
    <row r="5223" ht="15.75" customHeight="1">
      <c r="A5223" s="1">
        <v>6393.0</v>
      </c>
      <c r="B5223" s="3" t="s">
        <v>15005</v>
      </c>
      <c r="C5223" s="3">
        <v>0.0</v>
      </c>
      <c r="D5223" s="3">
        <v>0.0</v>
      </c>
      <c r="E5223" s="3">
        <v>0.0</v>
      </c>
      <c r="F5223" s="3" t="s">
        <v>15006</v>
      </c>
      <c r="G5223" s="3">
        <v>1.0</v>
      </c>
      <c r="H5223" s="3">
        <v>0.0</v>
      </c>
      <c r="I5223" s="3" t="s">
        <v>13</v>
      </c>
      <c r="J5223" s="3" t="s">
        <v>15007</v>
      </c>
      <c r="K5223" s="3" t="s">
        <v>477</v>
      </c>
      <c r="L5223" s="3" t="str">
        <f>IFERROR(__xludf.DUMMYFUNCTION("GOOGLETRANSLATE(F5223,""id"",""en"")"),"Follow Samsek Pildun Tweets Final Funny Funny")</f>
        <v>Follow Samsek Pildun Tweets Final Funny Funny</v>
      </c>
    </row>
    <row r="5224" ht="15.75" customHeight="1">
      <c r="A5224" s="1">
        <v>6394.0</v>
      </c>
      <c r="B5224" s="3" t="s">
        <v>15008</v>
      </c>
      <c r="C5224" s="3">
        <v>1.0</v>
      </c>
      <c r="D5224" s="3">
        <v>0.0</v>
      </c>
      <c r="E5224" s="3">
        <v>6.0</v>
      </c>
      <c r="F5224" s="3" t="s">
        <v>15009</v>
      </c>
      <c r="G5224" s="3">
        <v>1.0</v>
      </c>
      <c r="H5224" s="3">
        <v>0.0</v>
      </c>
      <c r="I5224" s="3" t="s">
        <v>13</v>
      </c>
      <c r="J5224" s="3" t="s">
        <v>15010</v>
      </c>
      <c r="K5224" s="3" t="s">
        <v>23</v>
      </c>
      <c r="L5224" s="3" t="str">
        <f>IFERROR(__xludf.DUMMYFUNCTION("GOOGLETRANSLATE(F5224,""id"",""en"")"),"Messi really goat bang pildun can be bullied after retiring the national team and back again still being bullied can be the final classalissima has become superior again then")</f>
        <v>Messi really goat bang pildun can be bullied after retiring the national team and back again still being bullied can be the final classalissima has become superior again then</v>
      </c>
    </row>
    <row r="5225" ht="15.75" customHeight="1">
      <c r="A5225" s="1">
        <v>6395.0</v>
      </c>
      <c r="B5225" s="3" t="s">
        <v>15011</v>
      </c>
      <c r="C5225" s="3">
        <v>0.0</v>
      </c>
      <c r="D5225" s="3">
        <v>0.0</v>
      </c>
      <c r="E5225" s="3">
        <v>0.0</v>
      </c>
      <c r="F5225" s="3" t="s">
        <v>15012</v>
      </c>
      <c r="G5225" s="3">
        <v>1.0</v>
      </c>
      <c r="H5225" s="3">
        <v>0.0</v>
      </c>
      <c r="I5225" s="3" t="s">
        <v>13</v>
      </c>
      <c r="J5225" s="3" t="s">
        <v>15013</v>
      </c>
      <c r="K5225" s="3" t="s">
        <v>82</v>
      </c>
      <c r="L5225" s="3" t="str">
        <f>IFERROR(__xludf.DUMMYFUNCTION("GOOGLETRANSLATE(F5225,""id"",""en"")"),"After the final pildun last night I know which Messi")</f>
        <v>After the final pildun last night I know which Messi</v>
      </c>
    </row>
    <row r="5226" ht="15.75" customHeight="1">
      <c r="A5226" s="1">
        <v>6396.0</v>
      </c>
      <c r="B5226" s="3" t="s">
        <v>15014</v>
      </c>
      <c r="C5226" s="3">
        <v>0.0</v>
      </c>
      <c r="D5226" s="3">
        <v>7.0</v>
      </c>
      <c r="E5226" s="3">
        <v>47.0</v>
      </c>
      <c r="F5226" s="3" t="s">
        <v>15015</v>
      </c>
      <c r="G5226" s="3">
        <v>1.0</v>
      </c>
      <c r="H5226" s="3">
        <v>0.0</v>
      </c>
      <c r="I5226" s="3" t="s">
        <v>13</v>
      </c>
      <c r="J5226" s="3" t="s">
        <v>15016</v>
      </c>
      <c r="K5226" s="3" t="s">
        <v>41</v>
      </c>
      <c r="L5226" s="3" t="str">
        <f>IFERROR(__xludf.DUMMYFUNCTION("GOOGLETRANSLATE(F5226,""id"",""en"")"),"the spirit of Monday to stay up late watching the final pildun")</f>
        <v>the spirit of Monday to stay up late watching the final pildun</v>
      </c>
    </row>
    <row r="5227" ht="15.75" customHeight="1">
      <c r="A5227" s="1">
        <v>6397.0</v>
      </c>
      <c r="B5227" s="3" t="s">
        <v>15017</v>
      </c>
      <c r="C5227" s="3">
        <v>1.0</v>
      </c>
      <c r="D5227" s="3">
        <v>0.0</v>
      </c>
      <c r="E5227" s="3">
        <v>0.0</v>
      </c>
      <c r="F5227" s="3" t="s">
        <v>15018</v>
      </c>
      <c r="G5227" s="3">
        <v>1.0</v>
      </c>
      <c r="H5227" s="3">
        <v>0.0</v>
      </c>
      <c r="I5227" s="3" t="s">
        <v>13</v>
      </c>
      <c r="J5227" s="3" t="s">
        <v>15019</v>
      </c>
      <c r="K5227" s="3" t="s">
        <v>1097</v>
      </c>
      <c r="L5227" s="3" t="str">
        <f>IFERROR(__xludf.DUMMYFUNCTION("GOOGLETRANSLATE(F5227,""id"",""en"")"),"Social Social Full with Messi with the Final Pildun Sam Mbappe")</f>
        <v>Social Social Full with Messi with the Final Pildun Sam Mbappe</v>
      </c>
    </row>
    <row r="5228" ht="15.75" customHeight="1">
      <c r="A5228" s="1">
        <v>6398.0</v>
      </c>
      <c r="B5228" s="3" t="s">
        <v>15020</v>
      </c>
      <c r="C5228" s="3">
        <v>1.0</v>
      </c>
      <c r="D5228" s="3">
        <v>0.0</v>
      </c>
      <c r="E5228" s="3">
        <v>0.0</v>
      </c>
      <c r="F5228" s="3" t="s">
        <v>15021</v>
      </c>
      <c r="G5228" s="3">
        <v>1.0</v>
      </c>
      <c r="H5228" s="3">
        <v>0.0</v>
      </c>
      <c r="I5228" s="3" t="s">
        <v>13</v>
      </c>
      <c r="J5228" s="3" t="s">
        <v>15022</v>
      </c>
      <c r="K5228" s="3" t="s">
        <v>510</v>
      </c>
      <c r="L5228" s="3" t="str">
        <f>IFERROR(__xludf.DUMMYFUNCTION("GOOGLETRANSLATE(F5228,""id"",""en"")"),"Usually Messi is the backbone of Barca and Argen last night is the final of the epic")</f>
        <v>Usually Messi is the backbone of Barca and Argen last night is the final of the epic</v>
      </c>
    </row>
    <row r="5229" ht="15.75" customHeight="1">
      <c r="A5229" s="1">
        <v>6399.0</v>
      </c>
      <c r="B5229" s="3" t="s">
        <v>15023</v>
      </c>
      <c r="C5229" s="3">
        <v>0.0</v>
      </c>
      <c r="D5229" s="3">
        <v>0.0</v>
      </c>
      <c r="E5229" s="3">
        <v>0.0</v>
      </c>
      <c r="F5229" s="3" t="s">
        <v>15024</v>
      </c>
      <c r="G5229" s="3">
        <v>0.7166666666666667</v>
      </c>
      <c r="H5229" s="3">
        <v>0.2666666666666667</v>
      </c>
      <c r="I5229" s="3" t="s">
        <v>48</v>
      </c>
      <c r="J5229" s="3" t="s">
        <v>15025</v>
      </c>
      <c r="K5229" s="3" t="s">
        <v>657</v>
      </c>
      <c r="L5229" s="3" t="str">
        <f>IFERROR(__xludf.DUMMYFUNCTION("GOOGLETRANSLATE(F5229,""id"",""en"")"),"Anjeeng Total Win Two -digit Dong Dong Parahh Wkwkwkk Final Pildun Hoki Mulu has stopped gambling dot")</f>
        <v>Anjeeng Total Win Two -digit Dong Dong Parahh Wkwkwkk Final Pildun Hoki Mulu has stopped gambling dot</v>
      </c>
    </row>
    <row r="5230" ht="15.75" customHeight="1">
      <c r="A5230" s="1">
        <v>6400.0</v>
      </c>
      <c r="B5230" s="3" t="s">
        <v>15026</v>
      </c>
      <c r="C5230" s="3">
        <v>0.0</v>
      </c>
      <c r="D5230" s="3">
        <v>0.0</v>
      </c>
      <c r="E5230" s="3">
        <v>0.0</v>
      </c>
      <c r="F5230" s="3" t="s">
        <v>15027</v>
      </c>
      <c r="G5230" s="3">
        <v>1.0</v>
      </c>
      <c r="H5230" s="3">
        <v>0.0</v>
      </c>
      <c r="I5230" s="3" t="s">
        <v>13</v>
      </c>
      <c r="J5230" s="3" t="s">
        <v>15028</v>
      </c>
      <c r="K5230" s="3" t="s">
        <v>82</v>
      </c>
      <c r="L5230" s="3" t="str">
        <f>IFERROR(__xludf.DUMMYFUNCTION("GOOGLETRANSLATE(F5230,""id"",""en"")"),"The World Cup Final is interesting compared to the previous pildun")</f>
        <v>The World Cup Final is interesting compared to the previous pildun</v>
      </c>
    </row>
    <row r="5231" ht="15.75" customHeight="1">
      <c r="A5231" s="1">
        <v>6401.0</v>
      </c>
      <c r="B5231" s="3" t="s">
        <v>15029</v>
      </c>
      <c r="C5231" s="3">
        <v>0.0</v>
      </c>
      <c r="D5231" s="3">
        <v>0.0</v>
      </c>
      <c r="E5231" s="3">
        <v>0.0</v>
      </c>
      <c r="F5231" s="3" t="s">
        <v>15030</v>
      </c>
      <c r="G5231" s="3">
        <v>1.0</v>
      </c>
      <c r="H5231" s="3">
        <v>0.0</v>
      </c>
      <c r="I5231" s="3" t="s">
        <v>13</v>
      </c>
      <c r="J5231" s="3" t="s">
        <v>15031</v>
      </c>
      <c r="K5231" s="3" t="s">
        <v>6592</v>
      </c>
      <c r="L5231" s="3" t="str">
        <f>IFERROR(__xludf.DUMMYFUNCTION("GOOGLETRANSLATE(F5231,""id"",""en"")"),"This is the final goat of the pildun and Messi is valid if the goat pildun is still")</f>
        <v>This is the final goat of the pildun and Messi is valid if the goat pildun is still</v>
      </c>
    </row>
    <row r="5232" ht="15.75" customHeight="1">
      <c r="A5232" s="1">
        <v>6402.0</v>
      </c>
      <c r="B5232" s="3" t="s">
        <v>15032</v>
      </c>
      <c r="C5232" s="3">
        <v>0.0</v>
      </c>
      <c r="D5232" s="3">
        <v>0.0</v>
      </c>
      <c r="E5232" s="3">
        <v>0.0</v>
      </c>
      <c r="F5232" s="3" t="s">
        <v>15033</v>
      </c>
      <c r="G5232" s="3">
        <v>0.75</v>
      </c>
      <c r="H5232" s="3">
        <v>-0.25</v>
      </c>
      <c r="I5232" s="3" t="s">
        <v>179</v>
      </c>
      <c r="J5232" s="3" t="s">
        <v>15034</v>
      </c>
      <c r="K5232" s="3" t="s">
        <v>82</v>
      </c>
      <c r="L5232" s="3" t="str">
        <f>IFERROR(__xludf.DUMMYFUNCTION("GOOGLETRANSLATE(F5232,""id"",""en"")"),"My dream is random so after watching the final pildun")</f>
        <v>My dream is random so after watching the final pildun</v>
      </c>
    </row>
    <row r="5233" ht="15.75" customHeight="1">
      <c r="A5233" s="1">
        <v>6403.0</v>
      </c>
      <c r="B5233" s="3" t="s">
        <v>15035</v>
      </c>
      <c r="C5233" s="3">
        <v>0.0</v>
      </c>
      <c r="D5233" s="3">
        <v>0.0</v>
      </c>
      <c r="E5233" s="3">
        <v>0.0</v>
      </c>
      <c r="F5233" s="3" t="s">
        <v>15036</v>
      </c>
      <c r="G5233" s="3">
        <v>0.65</v>
      </c>
      <c r="H5233" s="3">
        <v>0.0</v>
      </c>
      <c r="I5233" s="3" t="s">
        <v>13</v>
      </c>
      <c r="J5233" s="3" t="s">
        <v>15037</v>
      </c>
      <c r="K5233" s="3" t="s">
        <v>215</v>
      </c>
      <c r="L5233" s="3" t="str">
        <f>IFERROR(__xludf.DUMMYFUNCTION("GOOGLETRANSLATE(F5233,""id"",""en"")"),"For some people believe this time the Pilduun is deliberately setting the final of ARGEN France because there is a great player Messi Mbape the same club, namely PSG and it looks like there will be a separation of clubs for personal and soccer virality it"&amp;"self")</f>
        <v>For some people believe this time the Pilduun is deliberately setting the final of ARGEN France because there is a great player Messi Mbape the same club, namely PSG and it looks like there will be a separation of clubs for personal and soccer virality itself</v>
      </c>
    </row>
    <row r="5234" ht="15.75" customHeight="1">
      <c r="A5234" s="1">
        <v>6404.0</v>
      </c>
      <c r="B5234" s="3" t="s">
        <v>15038</v>
      </c>
      <c r="C5234" s="3">
        <v>0.0</v>
      </c>
      <c r="D5234" s="3">
        <v>0.0</v>
      </c>
      <c r="E5234" s="3">
        <v>0.0</v>
      </c>
      <c r="F5234" s="3" t="s">
        <v>15039</v>
      </c>
      <c r="G5234" s="3">
        <v>1.0</v>
      </c>
      <c r="H5234" s="3">
        <v>0.0</v>
      </c>
      <c r="I5234" s="3" t="s">
        <v>13</v>
      </c>
      <c r="J5234" s="3" t="s">
        <v>15040</v>
      </c>
      <c r="K5234" s="3" t="s">
        <v>14571</v>
      </c>
      <c r="L5234" s="3" t="str">
        <f>IFERROR(__xludf.DUMMYFUNCTION("GOOGLETRANSLATE(F5234,""id"",""en"")"),"Final Pildun")</f>
        <v>Final Pildun</v>
      </c>
    </row>
    <row r="5235" ht="15.75" customHeight="1">
      <c r="A5235" s="1">
        <v>6405.0</v>
      </c>
      <c r="B5235" s="3" t="s">
        <v>15041</v>
      </c>
      <c r="C5235" s="3">
        <v>0.0</v>
      </c>
      <c r="D5235" s="3">
        <v>0.0</v>
      </c>
      <c r="E5235" s="3">
        <v>0.0</v>
      </c>
      <c r="F5235" s="3" t="s">
        <v>15042</v>
      </c>
      <c r="G5235" s="3">
        <v>1.0</v>
      </c>
      <c r="H5235" s="3">
        <v>0.0</v>
      </c>
      <c r="I5235" s="3" t="s">
        <v>13</v>
      </c>
      <c r="J5235" s="3" t="s">
        <v>15043</v>
      </c>
      <c r="K5235" s="3" t="s">
        <v>82</v>
      </c>
      <c r="L5235" s="3" t="str">
        <f>IFERROR(__xludf.DUMMYFUNCTION("GOOGLETRANSLATE(F5235,""id"",""en"")"),"watching the final pildun feels riding a roller coaster")</f>
        <v>watching the final pildun feels riding a roller coaster</v>
      </c>
    </row>
    <row r="5236" ht="15.75" customHeight="1">
      <c r="A5236" s="1">
        <v>6406.0</v>
      </c>
      <c r="B5236" s="3" t="s">
        <v>15044</v>
      </c>
      <c r="C5236" s="3">
        <v>0.0</v>
      </c>
      <c r="D5236" s="3">
        <v>0.0</v>
      </c>
      <c r="E5236" s="3">
        <v>0.0</v>
      </c>
      <c r="F5236" s="3" t="s">
        <v>15045</v>
      </c>
      <c r="G5236" s="3">
        <v>1.0</v>
      </c>
      <c r="H5236" s="3">
        <v>0.0</v>
      </c>
      <c r="I5236" s="3" t="s">
        <v>13</v>
      </c>
      <c r="J5236" s="3" t="s">
        <v>15046</v>
      </c>
      <c r="K5236" s="3" t="s">
        <v>35</v>
      </c>
      <c r="L5236" s="3" t="str">
        <f>IFERROR(__xludf.DUMMYFUNCTION("GOOGLETRANSLATE(F5236,""id"",""en"")"),"Moment Ter Deg Deg Final Pildun When Pakde Maria was replaced")</f>
        <v>Moment Ter Deg Deg Final Pildun When Pakde Maria was replaced</v>
      </c>
    </row>
    <row r="5237" ht="15.75" customHeight="1">
      <c r="A5237" s="1">
        <v>6407.0</v>
      </c>
      <c r="B5237" s="3" t="s">
        <v>15047</v>
      </c>
      <c r="C5237" s="3">
        <v>1.0</v>
      </c>
      <c r="D5237" s="3">
        <v>0.0</v>
      </c>
      <c r="E5237" s="3">
        <v>0.0</v>
      </c>
      <c r="F5237" s="3" t="s">
        <v>15048</v>
      </c>
      <c r="G5237" s="3">
        <v>0.875</v>
      </c>
      <c r="H5237" s="3">
        <v>0.1875</v>
      </c>
      <c r="I5237" s="3" t="s">
        <v>48</v>
      </c>
      <c r="J5237" s="3" t="s">
        <v>15049</v>
      </c>
      <c r="K5237" s="3" t="s">
        <v>1097</v>
      </c>
      <c r="L5237" s="3" t="str">
        <f>IFERROR(__xludf.DUMMYFUNCTION("GOOGLETRANSLATE(F5237,""id"",""en"")"),"Last night watched Reborn Rich while accompanying men to watch the final pildun")</f>
        <v>Last night watched Reborn Rich while accompanying men to watch the final pildun</v>
      </c>
    </row>
    <row r="5238" ht="15.75" customHeight="1">
      <c r="A5238" s="1">
        <v>6408.0</v>
      </c>
      <c r="B5238" s="3" t="s">
        <v>15050</v>
      </c>
      <c r="C5238" s="3">
        <v>0.0</v>
      </c>
      <c r="D5238" s="3">
        <v>0.0</v>
      </c>
      <c r="E5238" s="3">
        <v>0.0</v>
      </c>
      <c r="F5238" s="3" t="s">
        <v>15051</v>
      </c>
      <c r="G5238" s="3">
        <v>1.0</v>
      </c>
      <c r="H5238" s="3">
        <v>0.0</v>
      </c>
      <c r="I5238" s="3" t="s">
        <v>13</v>
      </c>
      <c r="J5238" s="3" t="s">
        <v>15052</v>
      </c>
      <c r="K5238" s="3" t="s">
        <v>75</v>
      </c>
      <c r="L5238" s="3" t="str">
        <f>IFERROR(__xludf.DUMMYFUNCTION("GOOGLETRANSLATE(F5238,""id"",""en"")"),"Today the streets are very smooth, people are on leave because there is a final pildun")</f>
        <v>Today the streets are very smooth, people are on leave because there is a final pildun</v>
      </c>
    </row>
    <row r="5239" ht="15.75" customHeight="1">
      <c r="A5239" s="1">
        <v>6409.0</v>
      </c>
      <c r="B5239" s="3" t="s">
        <v>15053</v>
      </c>
      <c r="C5239" s="3">
        <v>0.0</v>
      </c>
      <c r="D5239" s="3">
        <v>0.0</v>
      </c>
      <c r="E5239" s="3">
        <v>0.0</v>
      </c>
      <c r="F5239" s="3" t="s">
        <v>15054</v>
      </c>
      <c r="G5239" s="3">
        <v>0.65</v>
      </c>
      <c r="H5239" s="3">
        <v>0.1</v>
      </c>
      <c r="I5239" s="3" t="s">
        <v>48</v>
      </c>
      <c r="J5239" s="3" t="s">
        <v>15055</v>
      </c>
      <c r="K5239" s="3" t="s">
        <v>75</v>
      </c>
      <c r="L5239" s="3" t="str">
        <f>IFERROR(__xludf.DUMMYFUNCTION("GOOGLETRANSLATE(F5239,""id"",""en"")"),"The final pildun instead did sleep from the real emg clock")</f>
        <v>The final pildun instead did sleep from the real emg clock</v>
      </c>
    </row>
    <row r="5240" ht="15.75" customHeight="1">
      <c r="A5240" s="1">
        <v>6410.0</v>
      </c>
      <c r="B5240" s="3" t="s">
        <v>15056</v>
      </c>
      <c r="C5240" s="3">
        <v>0.0</v>
      </c>
      <c r="D5240" s="3">
        <v>0.0</v>
      </c>
      <c r="E5240" s="3">
        <v>0.0</v>
      </c>
      <c r="F5240" s="3" t="s">
        <v>15057</v>
      </c>
      <c r="G5240" s="3">
        <v>0.5833333333333333</v>
      </c>
      <c r="H5240" s="3">
        <v>0.2666666666666667</v>
      </c>
      <c r="I5240" s="3" t="s">
        <v>48</v>
      </c>
      <c r="J5240" s="3" t="s">
        <v>15058</v>
      </c>
      <c r="K5240" s="3" t="s">
        <v>1897</v>
      </c>
      <c r="L5240" s="3" t="str">
        <f>IFERROR(__xludf.DUMMYFUNCTION("GOOGLETRANSLATE(F5240,""id"",""en"")"),"Everyone watched the final of the pildun nha puput puser this morning last night, the fuss was not asking for his asking to be carried and kept on the boro.")</f>
        <v>Everyone watched the final of the pildun nha puput puser this morning last night, the fuss was not asking for his asking to be carried and kept on the boro.</v>
      </c>
    </row>
    <row r="5241" ht="15.75" customHeight="1">
      <c r="A5241" s="1">
        <v>6411.0</v>
      </c>
      <c r="B5241" s="3" t="s">
        <v>15059</v>
      </c>
      <c r="C5241" s="3">
        <v>0.0</v>
      </c>
      <c r="D5241" s="3">
        <v>0.0</v>
      </c>
      <c r="E5241" s="3">
        <v>1.0</v>
      </c>
      <c r="F5241" s="3" t="s">
        <v>15060</v>
      </c>
      <c r="G5241" s="3">
        <v>1.0</v>
      </c>
      <c r="H5241" s="3">
        <v>0.0</v>
      </c>
      <c r="I5241" s="3" t="s">
        <v>13</v>
      </c>
      <c r="J5241" s="3" t="s">
        <v>15061</v>
      </c>
      <c r="K5241" s="3" t="s">
        <v>1293</v>
      </c>
      <c r="L5241" s="3" t="str">
        <f>IFERROR(__xludf.DUMMYFUNCTION("GOOGLETRANSLATE(F5241,""id"",""en"")"),"Night after the final pildun lgsg nntn alchemy is excited until mules mumet clay the love story of the org laen")</f>
        <v>Night after the final pildun lgsg nntn alchemy is excited until mules mumet clay the love story of the org laen</v>
      </c>
    </row>
    <row r="5242" ht="15.75" customHeight="1">
      <c r="A5242" s="1">
        <v>6412.0</v>
      </c>
      <c r="B5242" s="3" t="s">
        <v>15062</v>
      </c>
      <c r="C5242" s="3">
        <v>0.0</v>
      </c>
      <c r="D5242" s="3">
        <v>0.0</v>
      </c>
      <c r="E5242" s="3">
        <v>2.0</v>
      </c>
      <c r="F5242" s="3" t="s">
        <v>15063</v>
      </c>
      <c r="G5242" s="3">
        <v>0.7</v>
      </c>
      <c r="H5242" s="3">
        <v>0.05</v>
      </c>
      <c r="I5242" s="3" t="s">
        <v>48</v>
      </c>
      <c r="J5242" s="3" t="s">
        <v>15064</v>
      </c>
      <c r="K5242" s="3" t="s">
        <v>71</v>
      </c>
      <c r="L5242" s="3" t="str">
        <f>IFERROR(__xludf.DUMMYFUNCTION("GOOGLETRANSLATE(F5242,""id"",""en"")"),"Admit Final Pilduun last night made Degdegan even though I worked on the same time the ball was very epic")</f>
        <v>Admit Final Pilduun last night made Degdegan even though I worked on the same time the ball was very epic</v>
      </c>
    </row>
    <row r="5243" ht="15.75" customHeight="1">
      <c r="A5243" s="1">
        <v>6413.0</v>
      </c>
      <c r="B5243" s="3" t="s">
        <v>15065</v>
      </c>
      <c r="C5243" s="3">
        <v>0.0</v>
      </c>
      <c r="D5243" s="3">
        <v>0.0</v>
      </c>
      <c r="E5243" s="3">
        <v>1.0</v>
      </c>
      <c r="F5243" s="3" t="s">
        <v>15066</v>
      </c>
      <c r="G5243" s="3">
        <v>1.0</v>
      </c>
      <c r="H5243" s="3">
        <v>0.0</v>
      </c>
      <c r="I5243" s="3" t="s">
        <v>13</v>
      </c>
      <c r="J5243" s="3" t="s">
        <v>15067</v>
      </c>
      <c r="K5243" s="3" t="s">
        <v>15</v>
      </c>
      <c r="L5243" s="3" t="str">
        <f>IFERROR(__xludf.DUMMYFUNCTION("GOOGLETRANSLATE(F5243,""id"",""en"")"),"After the final pildun emerged Emyu Barca would be less crowded")</f>
        <v>After the final pildun emerged Emyu Barca would be less crowded</v>
      </c>
    </row>
    <row r="5244" ht="15.75" customHeight="1">
      <c r="A5244" s="1">
        <v>6414.0</v>
      </c>
      <c r="B5244" s="3" t="s">
        <v>15068</v>
      </c>
      <c r="C5244" s="3">
        <v>0.0</v>
      </c>
      <c r="D5244" s="3">
        <v>0.0</v>
      </c>
      <c r="E5244" s="3">
        <v>0.0</v>
      </c>
      <c r="F5244" s="3" t="s">
        <v>15069</v>
      </c>
      <c r="G5244" s="3">
        <v>1.0</v>
      </c>
      <c r="H5244" s="3">
        <v>0.0</v>
      </c>
      <c r="I5244" s="3" t="s">
        <v>13</v>
      </c>
      <c r="J5244" s="3" t="s">
        <v>15070</v>
      </c>
      <c r="K5244" s="3" t="s">
        <v>510</v>
      </c>
      <c r="L5244" s="3" t="str">
        <f>IFERROR(__xludf.DUMMYFUNCTION("GOOGLETRANSLATE(F5244,""id"",""en"")"),"Indonesia can enter Pilduun defeating Brazil Zerman Argentina but when it's the final losing against Thailand")</f>
        <v>Indonesia can enter Pilduun defeating Brazil Zerman Argentina but when it's the final losing against Thailand</v>
      </c>
    </row>
    <row r="5245" ht="15.75" customHeight="1">
      <c r="A5245" s="1">
        <v>6415.0</v>
      </c>
      <c r="B5245" s="3" t="s">
        <v>15071</v>
      </c>
      <c r="C5245" s="3">
        <v>0.0</v>
      </c>
      <c r="D5245" s="3">
        <v>0.0</v>
      </c>
      <c r="E5245" s="3">
        <v>1.0</v>
      </c>
      <c r="F5245" s="3" t="s">
        <v>15072</v>
      </c>
      <c r="G5245" s="3">
        <v>1.0</v>
      </c>
      <c r="H5245" s="3">
        <v>0.0</v>
      </c>
      <c r="I5245" s="3" t="s">
        <v>13</v>
      </c>
      <c r="J5245" s="3" t="s">
        <v>15073</v>
      </c>
      <c r="K5245" s="3" t="s">
        <v>205</v>
      </c>
      <c r="L5245" s="3" t="str">
        <f>IFERROR(__xludf.DUMMYFUNCTION("GOOGLETRANSLATE(F5245,""id"",""en"")"),"It is clear that the World Cup once in the year, you can meet the same every day, very very loss if the final pildun is missed just to meet the prics of njs")</f>
        <v>It is clear that the World Cup once in the year, you can meet the same every day, very very loss if the final pildun is missed just to meet the prics of njs</v>
      </c>
    </row>
    <row r="5246" ht="15.75" customHeight="1">
      <c r="A5246" s="1">
        <v>6416.0</v>
      </c>
      <c r="B5246" s="3" t="s">
        <v>15074</v>
      </c>
      <c r="C5246" s="3">
        <v>0.0</v>
      </c>
      <c r="D5246" s="3">
        <v>0.0</v>
      </c>
      <c r="E5246" s="3">
        <v>0.0</v>
      </c>
      <c r="F5246" s="3" t="s">
        <v>15075</v>
      </c>
      <c r="G5246" s="3">
        <v>1.0</v>
      </c>
      <c r="H5246" s="3">
        <v>0.0</v>
      </c>
      <c r="I5246" s="3" t="s">
        <v>13</v>
      </c>
      <c r="J5246" s="3" t="s">
        <v>15076</v>
      </c>
      <c r="K5246" s="3" t="s">
        <v>477</v>
      </c>
      <c r="L5246" s="3" t="str">
        <f>IFERROR(__xludf.DUMMYFUNCTION("GOOGLETRANSLATE(F5246,""id"",""en"")"),"Funny funny it's really a tweet about the final pildun")</f>
        <v>Funny funny it's really a tweet about the final pildun</v>
      </c>
    </row>
    <row r="5247" ht="15.75" customHeight="1">
      <c r="A5247" s="1">
        <v>6417.0</v>
      </c>
      <c r="B5247" s="3" t="s">
        <v>15077</v>
      </c>
      <c r="C5247" s="3">
        <v>0.0</v>
      </c>
      <c r="D5247" s="3">
        <v>0.0</v>
      </c>
      <c r="E5247" s="3">
        <v>0.0</v>
      </c>
      <c r="F5247" s="3" t="s">
        <v>15078</v>
      </c>
      <c r="G5247" s="3">
        <v>1.0</v>
      </c>
      <c r="H5247" s="3">
        <v>0.0</v>
      </c>
      <c r="I5247" s="3" t="s">
        <v>13</v>
      </c>
      <c r="J5247" s="3" t="s">
        <v>15079</v>
      </c>
      <c r="K5247" s="3" t="s">
        <v>82</v>
      </c>
      <c r="L5247" s="3" t="str">
        <f>IFERROR(__xludf.DUMMYFUNCTION("GOOGLETRANSLATE(F5247,""id"",""en"")"),"wow, I missed the final pildun, it seems exciting even though")</f>
        <v>wow, I missed the final pildun, it seems exciting even though</v>
      </c>
    </row>
    <row r="5248" ht="15.75" customHeight="1">
      <c r="A5248" s="1">
        <v>6418.0</v>
      </c>
      <c r="B5248" s="3" t="s">
        <v>15080</v>
      </c>
      <c r="C5248" s="3">
        <v>0.0</v>
      </c>
      <c r="D5248" s="3">
        <v>0.0</v>
      </c>
      <c r="E5248" s="3">
        <v>0.0</v>
      </c>
      <c r="F5248" s="3" t="s">
        <v>15081</v>
      </c>
      <c r="G5248" s="3">
        <v>0.5</v>
      </c>
      <c r="H5248" s="3">
        <v>0.0</v>
      </c>
      <c r="I5248" s="3" t="s">
        <v>13</v>
      </c>
      <c r="J5248" s="3" t="s">
        <v>15082</v>
      </c>
      <c r="K5248" s="3" t="s">
        <v>19</v>
      </c>
      <c r="L5248" s="3" t="str">
        <f>IFERROR(__xludf.DUMMYFUNCTION("GOOGLETRANSLATE(F5248,""id"",""en"")"),"This is similar to the final events of the pildun last night Alanne Classical Jak Hikaru has not defeated Magnus")</f>
        <v>This is similar to the final events of the pildun last night Alanne Classical Jak Hikaru has not defeated Magnus</v>
      </c>
    </row>
    <row r="5249" ht="15.75" customHeight="1">
      <c r="A5249" s="1">
        <v>6419.0</v>
      </c>
      <c r="B5249" s="3" t="s">
        <v>15083</v>
      </c>
      <c r="C5249" s="3">
        <v>1.0</v>
      </c>
      <c r="D5249" s="3">
        <v>1.0</v>
      </c>
      <c r="E5249" s="3">
        <v>0.0</v>
      </c>
      <c r="F5249" s="3" t="s">
        <v>15084</v>
      </c>
      <c r="G5249" s="3">
        <v>0.875</v>
      </c>
      <c r="H5249" s="3">
        <v>0.1875</v>
      </c>
      <c r="I5249" s="3" t="s">
        <v>48</v>
      </c>
      <c r="J5249" s="3" t="s">
        <v>15085</v>
      </c>
      <c r="K5249" s="3" t="s">
        <v>236</v>
      </c>
      <c r="L5249" s="3" t="str">
        <f>IFERROR(__xludf.DUMMYFUNCTION("GOOGLETRANSLATE(F5249,""id"",""en"")"),"Monday morning activities watching highlight final pildun watching reborn rich")</f>
        <v>Monday morning activities watching highlight final pildun watching reborn rich</v>
      </c>
    </row>
    <row r="5250" ht="15.75" customHeight="1">
      <c r="A5250" s="1">
        <v>6420.0</v>
      </c>
      <c r="B5250" s="3" t="s">
        <v>15086</v>
      </c>
      <c r="C5250" s="3">
        <v>1.0</v>
      </c>
      <c r="D5250" s="3">
        <v>0.0</v>
      </c>
      <c r="E5250" s="3">
        <v>0.0</v>
      </c>
      <c r="F5250" s="3" t="s">
        <v>15087</v>
      </c>
      <c r="G5250" s="3">
        <v>1.0</v>
      </c>
      <c r="H5250" s="3">
        <v>0.0</v>
      </c>
      <c r="I5250" s="3" t="s">
        <v>13</v>
      </c>
      <c r="J5250" s="3" t="s">
        <v>15088</v>
      </c>
      <c r="K5250" s="3" t="s">
        <v>2013</v>
      </c>
      <c r="L5250" s="3" t="str">
        <f>IFERROR(__xludf.DUMMYFUNCTION("GOOGLETRANSLATE(F5250,""id"",""en"")"),"When the Agen team was again cuk and again, ARGEN wasn't right when the final Pilduun was the final Coppa, which was also unlucky where the opponent was in succession and only lost all of them.")</f>
        <v>When the Agen team was again cuk and again, ARGEN wasn't right when the final Pilduun was the final Coppa, which was also unlucky where the opponent was in succession and only lost all of them.</v>
      </c>
    </row>
    <row r="5251" ht="15.75" customHeight="1">
      <c r="A5251" s="1">
        <v>6421.0</v>
      </c>
      <c r="B5251" s="3" t="s">
        <v>15089</v>
      </c>
      <c r="C5251" s="3">
        <v>280.0</v>
      </c>
      <c r="D5251" s="3">
        <v>2.0</v>
      </c>
      <c r="E5251" s="3">
        <v>86.0</v>
      </c>
      <c r="F5251" s="3" t="s">
        <v>15090</v>
      </c>
      <c r="G5251" s="3">
        <v>1.0</v>
      </c>
      <c r="H5251" s="3">
        <v>0.0</v>
      </c>
      <c r="I5251" s="3" t="s">
        <v>13</v>
      </c>
      <c r="J5251" s="3" t="s">
        <v>15091</v>
      </c>
      <c r="K5251" s="3" t="s">
        <v>1293</v>
      </c>
      <c r="L5251" s="3" t="str">
        <f>IFERROR(__xludf.DUMMYFUNCTION("GOOGLETRANSLATE(F5251,""id"",""en"")"),"Askrl is I just a girl who doesn't follow the final of the pildun last night I lie down and definitely teased by a friend of the guy hanging out")</f>
        <v>Askrl is I just a girl who doesn't follow the final of the pildun last night I lie down and definitely teased by a friend of the guy hanging out</v>
      </c>
    </row>
    <row r="5252" ht="15.75" customHeight="1">
      <c r="A5252" s="1">
        <v>6422.0</v>
      </c>
      <c r="B5252" s="3" t="s">
        <v>15092</v>
      </c>
      <c r="C5252" s="3">
        <v>0.0</v>
      </c>
      <c r="D5252" s="3">
        <v>0.0</v>
      </c>
      <c r="E5252" s="3">
        <v>0.0</v>
      </c>
      <c r="F5252" s="3" t="s">
        <v>15093</v>
      </c>
      <c r="G5252" s="3">
        <v>1.0</v>
      </c>
      <c r="H5252" s="3">
        <v>0.0</v>
      </c>
      <c r="I5252" s="3" t="s">
        <v>13</v>
      </c>
      <c r="J5252" s="3" t="s">
        <v>15094</v>
      </c>
      <c r="K5252" s="3" t="s">
        <v>50</v>
      </c>
      <c r="L5252" s="3" t="str">
        <f>IFERROR(__xludf.DUMMYFUNCTION("GOOGLETRANSLATE(F5252,""id"",""en"")"),"But what is the story of the age of the year to be a goal from the Pildun and Final Hattrick against Argentina")</f>
        <v>But what is the story of the age of the year to be a goal from the Pildun and Final Hattrick against Argentina</v>
      </c>
    </row>
    <row r="5253" ht="15.75" customHeight="1">
      <c r="A5253" s="1">
        <v>6423.0</v>
      </c>
      <c r="B5253" s="3" t="s">
        <v>15095</v>
      </c>
      <c r="C5253" s="3">
        <v>1.0</v>
      </c>
      <c r="D5253" s="3">
        <v>0.0</v>
      </c>
      <c r="E5253" s="3">
        <v>1.0</v>
      </c>
      <c r="F5253" s="3" t="s">
        <v>15096</v>
      </c>
      <c r="G5253" s="3">
        <v>1.0</v>
      </c>
      <c r="H5253" s="3">
        <v>0.0</v>
      </c>
      <c r="I5253" s="3" t="s">
        <v>13</v>
      </c>
      <c r="J5253" s="3" t="s">
        <v>15097</v>
      </c>
      <c r="K5253" s="3" t="s">
        <v>71</v>
      </c>
      <c r="L5253" s="3" t="str">
        <f>IFERROR(__xludf.DUMMYFUNCTION("GOOGLETRANSLATE(F5253,""id"",""en"")"),"I just when Argentina arrived at the final pildun already good, it was good to make bad luck")</f>
        <v>I just when Argentina arrived at the final pildun already good, it was good to make bad luck</v>
      </c>
    </row>
    <row r="5254" ht="15.75" customHeight="1">
      <c r="A5254" s="1">
        <v>6424.0</v>
      </c>
      <c r="B5254" s="3" t="s">
        <v>15098</v>
      </c>
      <c r="C5254" s="3">
        <v>1.0</v>
      </c>
      <c r="D5254" s="3">
        <v>0.0</v>
      </c>
      <c r="E5254" s="3">
        <v>0.0</v>
      </c>
      <c r="F5254" s="3" t="s">
        <v>15099</v>
      </c>
      <c r="G5254" s="3">
        <v>1.0</v>
      </c>
      <c r="H5254" s="3">
        <v>0.0</v>
      </c>
      <c r="I5254" s="3" t="s">
        <v>13</v>
      </c>
      <c r="J5254" s="3" t="s">
        <v>15100</v>
      </c>
      <c r="K5254" s="3" t="s">
        <v>123</v>
      </c>
      <c r="L5254" s="3" t="str">
        <f>IFERROR(__xludf.DUMMYFUNCTION("GOOGLETRANSLATE(F5254,""id"",""en"")"),"tbtb keinget a lot of vendors who invite nobar final pildun sorry sister my father do not mean the ball")</f>
        <v>tbtb keinget a lot of vendors who invite nobar final pildun sorry sister my father do not mean the ball</v>
      </c>
    </row>
    <row r="5255" ht="15.75" customHeight="1">
      <c r="A5255" s="1">
        <v>6425.0</v>
      </c>
      <c r="B5255" s="3" t="s">
        <v>15101</v>
      </c>
      <c r="C5255" s="3">
        <v>0.0</v>
      </c>
      <c r="D5255" s="3">
        <v>0.0</v>
      </c>
      <c r="E5255" s="3">
        <v>1.0</v>
      </c>
      <c r="F5255" s="3" t="s">
        <v>15102</v>
      </c>
      <c r="G5255" s="3">
        <v>1.0</v>
      </c>
      <c r="H5255" s="3">
        <v>0.0</v>
      </c>
      <c r="I5255" s="3" t="s">
        <v>13</v>
      </c>
      <c r="J5255" s="3" t="s">
        <v>15103</v>
      </c>
      <c r="K5255" s="3" t="s">
        <v>71</v>
      </c>
      <c r="L5255" s="3" t="str">
        <f>IFERROR(__xludf.DUMMYFUNCTION("GOOGLETRANSLATE(F5255,""id"",""en"")"),"I really exclaimed my boss because of my work so I got the Final Pilduun Final Ticket for What privilej")</f>
        <v>I really exclaimed my boss because of my work so I got the Final Pilduun Final Ticket for What privilej</v>
      </c>
    </row>
    <row r="5256" ht="15.75" customHeight="1">
      <c r="A5256" s="1">
        <v>6426.0</v>
      </c>
      <c r="B5256" s="3" t="s">
        <v>15104</v>
      </c>
      <c r="C5256" s="3">
        <v>0.0</v>
      </c>
      <c r="D5256" s="3">
        <v>0.0</v>
      </c>
      <c r="E5256" s="3">
        <v>0.0</v>
      </c>
      <c r="F5256" s="3" t="s">
        <v>15105</v>
      </c>
      <c r="G5256" s="3">
        <v>1.0</v>
      </c>
      <c r="H5256" s="3">
        <v>0.0</v>
      </c>
      <c r="I5256" s="3" t="s">
        <v>13</v>
      </c>
      <c r="J5256" s="3" t="s">
        <v>15106</v>
      </c>
      <c r="K5256" s="3" t="s">
        <v>15</v>
      </c>
      <c r="L5256" s="3" t="str">
        <f>IFERROR(__xludf.DUMMYFUNCTION("GOOGLETRANSLATE(F5256,""id"",""en"")"),"MSUP Wishlist Nnton Final Pildun Pcar Thn LGI")</f>
        <v>MSUP Wishlist Nnton Final Pildun Pcar Thn LGI</v>
      </c>
    </row>
    <row r="5257" ht="15.75" customHeight="1">
      <c r="A5257" s="1">
        <v>6427.0</v>
      </c>
      <c r="B5257" s="3" t="s">
        <v>15107</v>
      </c>
      <c r="C5257" s="3">
        <v>0.0</v>
      </c>
      <c r="D5257" s="3">
        <v>0.0</v>
      </c>
      <c r="E5257" s="3">
        <v>0.0</v>
      </c>
      <c r="F5257" s="3" t="s">
        <v>15108</v>
      </c>
      <c r="G5257" s="3">
        <v>1.0</v>
      </c>
      <c r="H5257" s="3">
        <v>0.0</v>
      </c>
      <c r="I5257" s="3" t="s">
        <v>13</v>
      </c>
      <c r="J5257" s="3" t="s">
        <v>15109</v>
      </c>
      <c r="K5257" s="3" t="s">
        <v>19</v>
      </c>
      <c r="L5257" s="3" t="str">
        <f>IFERROR(__xludf.DUMMYFUNCTION("GOOGLETRANSLATE(F5257,""id"",""en"")"),"Even though I have never watched a ball nobar before, it feels like the final pildun is the most exciting match")</f>
        <v>Even though I have never watched a ball nobar before, it feels like the final pildun is the most exciting match</v>
      </c>
    </row>
    <row r="5258" ht="15.75" customHeight="1">
      <c r="A5258" s="1">
        <v>6428.0</v>
      </c>
      <c r="B5258" s="3" t="s">
        <v>15110</v>
      </c>
      <c r="C5258" s="3">
        <v>0.0</v>
      </c>
      <c r="D5258" s="3">
        <v>0.0</v>
      </c>
      <c r="E5258" s="3">
        <v>1.0</v>
      </c>
      <c r="F5258" s="3" t="s">
        <v>15111</v>
      </c>
      <c r="G5258" s="3">
        <v>1.0</v>
      </c>
      <c r="H5258" s="3">
        <v>0.0</v>
      </c>
      <c r="I5258" s="3" t="s">
        <v>13</v>
      </c>
      <c r="J5258" s="3" t="s">
        <v>15112</v>
      </c>
      <c r="K5258" s="3" t="s">
        <v>131</v>
      </c>
      <c r="L5258" s="3" t="str">
        <f>IFERROR(__xludf.DUMMYFUNCTION("GOOGLETRANSLATE(F5258,""id"",""en"")"),"Morning Papa Explain the final results of the pildun last night mama even though mama understands the funny balls just hear it healthy always, daddy mom")</f>
        <v>Morning Papa Explain the final results of the pildun last night mama even though mama understands the funny balls just hear it healthy always, daddy mom</v>
      </c>
    </row>
    <row r="5259" ht="15.75" customHeight="1">
      <c r="A5259" s="1">
        <v>6429.0</v>
      </c>
      <c r="B5259" s="3" t="s">
        <v>15113</v>
      </c>
      <c r="C5259" s="3">
        <v>0.0</v>
      </c>
      <c r="D5259" s="3">
        <v>0.0</v>
      </c>
      <c r="E5259" s="3">
        <v>0.0</v>
      </c>
      <c r="F5259" s="3" t="s">
        <v>15114</v>
      </c>
      <c r="G5259" s="3">
        <v>1.0</v>
      </c>
      <c r="H5259" s="3">
        <v>0.0</v>
      </c>
      <c r="I5259" s="3" t="s">
        <v>13</v>
      </c>
      <c r="J5259" s="3" t="s">
        <v>15115</v>
      </c>
      <c r="K5259" s="3" t="s">
        <v>41</v>
      </c>
      <c r="L5259" s="3" t="str">
        <f>IFERROR(__xludf.DUMMYFUNCTION("GOOGLETRANSLATE(F5259,""id"",""en"")"),"Wlopun Rungkad last night the Final of the Best Pildun of All Time")</f>
        <v>Wlopun Rungkad last night the Final of the Best Pildun of All Time</v>
      </c>
    </row>
    <row r="5260" ht="15.75" customHeight="1">
      <c r="A5260" s="1">
        <v>6430.0</v>
      </c>
      <c r="B5260" s="3" t="s">
        <v>15116</v>
      </c>
      <c r="C5260" s="3">
        <v>7.0</v>
      </c>
      <c r="D5260" s="3">
        <v>15.0</v>
      </c>
      <c r="E5260" s="3">
        <v>109.0</v>
      </c>
      <c r="F5260" s="3" t="s">
        <v>15117</v>
      </c>
      <c r="G5260" s="3">
        <v>0.55</v>
      </c>
      <c r="H5260" s="3">
        <v>0.0</v>
      </c>
      <c r="I5260" s="3" t="s">
        <v>13</v>
      </c>
      <c r="J5260" s="3" t="s">
        <v>15118</v>
      </c>
      <c r="K5260" s="3" t="s">
        <v>94</v>
      </c>
      <c r="L5260" s="3" t="str">
        <f>IFERROR(__xludf.DUMMYFUNCTION("GOOGLETRANSLATE(F5260,""id"",""en"")"),"Respect Ronaldo, yes, the fans are still remembering me Messi failed the Copa America Final Final until the photo of his cry made the meme for many years the nickname Messiun was campaigned for Dodo Lovers now Messi already won WOR")</f>
        <v>Respect Ronaldo, yes, the fans are still remembering me Messi failed the Copa America Final Final until the photo of his cry made the meme for many years the nickname Messiun was campaigned for Dodo Lovers now Messi already won WOR</v>
      </c>
    </row>
    <row r="5261" ht="15.75" customHeight="1">
      <c r="A5261" s="1">
        <v>6431.0</v>
      </c>
      <c r="B5261" s="3" t="s">
        <v>15119</v>
      </c>
      <c r="C5261" s="3">
        <v>0.0</v>
      </c>
      <c r="D5261" s="3">
        <v>0.0</v>
      </c>
      <c r="E5261" s="3">
        <v>0.0</v>
      </c>
      <c r="F5261" s="3" t="s">
        <v>15120</v>
      </c>
      <c r="G5261" s="3">
        <v>1.0</v>
      </c>
      <c r="H5261" s="3">
        <v>0.0</v>
      </c>
      <c r="I5261" s="3" t="s">
        <v>13</v>
      </c>
      <c r="J5261" s="3" t="s">
        <v>15121</v>
      </c>
      <c r="K5261" s="3" t="s">
        <v>695</v>
      </c>
      <c r="L5261" s="3" t="str">
        <f>IFERROR(__xludf.DUMMYFUNCTION("GOOGLETRANSLATE(F5261,""id"",""en"")"),"Exciting last night the World Cup Final Unfortunately I like the last ball to follow the Pilduun in South Africa")</f>
        <v>Exciting last night the World Cup Final Unfortunately I like the last ball to follow the Pilduun in South Africa</v>
      </c>
    </row>
    <row r="5262" ht="15.75" customHeight="1">
      <c r="A5262" s="1">
        <v>6432.0</v>
      </c>
      <c r="B5262" s="3" t="s">
        <v>15122</v>
      </c>
      <c r="C5262" s="3">
        <v>2.0</v>
      </c>
      <c r="D5262" s="3">
        <v>0.0</v>
      </c>
      <c r="E5262" s="3">
        <v>3.0</v>
      </c>
      <c r="F5262" s="3" t="s">
        <v>15123</v>
      </c>
      <c r="G5262" s="3">
        <v>1.0</v>
      </c>
      <c r="H5262" s="3">
        <v>0.0</v>
      </c>
      <c r="I5262" s="3" t="s">
        <v>13</v>
      </c>
      <c r="J5262" s="3" t="s">
        <v>15124</v>
      </c>
      <c r="K5262" s="3" t="s">
        <v>1465</v>
      </c>
      <c r="L5262" s="3" t="str">
        <f>IFERROR(__xludf.DUMMYFUNCTION("GOOGLETRANSLATE(F5262,""id"",""en"")"),"This afternoon they were invited to watch the final of the Pildun Coffee Shop but I refused several times watching the Coffee Shop in fact the club that I supported ended tragic this was not khurofat this was just Istiqro Naqis Congratulations for Messi f"&amp;"or his World Cup")</f>
        <v>This afternoon they were invited to watch the final of the Pildun Coffee Shop but I refused several times watching the Coffee Shop in fact the club that I supported ended tragic this was not khurofat this was just Istiqro Naqis Congratulations for Messi for his World Cup</v>
      </c>
    </row>
    <row r="5263" ht="15.75" customHeight="1">
      <c r="A5263" s="1">
        <v>6433.0</v>
      </c>
      <c r="B5263" s="3" t="s">
        <v>15125</v>
      </c>
      <c r="C5263" s="3">
        <v>0.0</v>
      </c>
      <c r="D5263" s="3">
        <v>0.0</v>
      </c>
      <c r="E5263" s="3">
        <v>0.0</v>
      </c>
      <c r="F5263" s="3" t="s">
        <v>15126</v>
      </c>
      <c r="G5263" s="3">
        <v>1.0</v>
      </c>
      <c r="H5263" s="3">
        <v>0.0</v>
      </c>
      <c r="I5263" s="3" t="s">
        <v>13</v>
      </c>
      <c r="J5263" s="3" t="s">
        <v>15127</v>
      </c>
      <c r="K5263" s="3" t="s">
        <v>236</v>
      </c>
      <c r="L5263" s="3" t="str">
        <f>IFERROR(__xludf.DUMMYFUNCTION("GOOGLETRANSLATE(F5263,""id"",""en"")"),"The final was caught in the Best Final Pildun event after Liverpool Milan Champions Cup")</f>
        <v>The final was caught in the Best Final Pildun event after Liverpool Milan Champions Cup</v>
      </c>
    </row>
    <row r="5264" ht="15.75" customHeight="1">
      <c r="A5264" s="1">
        <v>6434.0</v>
      </c>
      <c r="B5264" s="3" t="s">
        <v>15128</v>
      </c>
      <c r="C5264" s="3">
        <v>0.0</v>
      </c>
      <c r="D5264" s="3">
        <v>0.0</v>
      </c>
      <c r="E5264" s="3">
        <v>2.0</v>
      </c>
      <c r="F5264" s="3" t="s">
        <v>15129</v>
      </c>
      <c r="G5264" s="3">
        <v>1.0</v>
      </c>
      <c r="H5264" s="3">
        <v>0.0</v>
      </c>
      <c r="I5264" s="3" t="s">
        <v>13</v>
      </c>
      <c r="J5264" s="3" t="s">
        <v>15130</v>
      </c>
      <c r="K5264" s="3" t="s">
        <v>228</v>
      </c>
      <c r="L5264" s="3" t="str">
        <f>IFERROR(__xludf.DUMMYFUNCTION("GOOGLETRANSLATE(F5264,""id"",""en"")"),"Maybe he watched the final of the pildun last night maybe he suddenly suddenly amnesia suddenly dodo and soccer might be sure to be reversed to know France, the position was even losing the penalty of his overtime")</f>
        <v>Maybe he watched the final of the pildun last night maybe he suddenly suddenly amnesia suddenly dodo and soccer might be sure to be reversed to know France, the position was even losing the penalty of his overtime</v>
      </c>
    </row>
    <row r="5265" ht="15.75" customHeight="1">
      <c r="A5265" s="1">
        <v>6435.0</v>
      </c>
      <c r="B5265" s="3" t="s">
        <v>15131</v>
      </c>
      <c r="C5265" s="3">
        <v>1.0</v>
      </c>
      <c r="D5265" s="3">
        <v>0.0</v>
      </c>
      <c r="E5265" s="3">
        <v>0.0</v>
      </c>
      <c r="F5265" s="3" t="s">
        <v>15132</v>
      </c>
      <c r="G5265" s="3">
        <v>1.0</v>
      </c>
      <c r="H5265" s="3">
        <v>0.0</v>
      </c>
      <c r="I5265" s="3" t="s">
        <v>13</v>
      </c>
      <c r="J5265" s="3" t="s">
        <v>15133</v>
      </c>
      <c r="K5265" s="3" t="s">
        <v>127</v>
      </c>
      <c r="L5265" s="3" t="str">
        <f>IFERROR(__xludf.DUMMYFUNCTION("GOOGLETRANSLATE(F5265,""id"",""en"")"),"oooo so the final pildun was so exciting, we see we see the second half of sleep because of sleepiness")</f>
        <v>oooo so the final pildun was so exciting, we see we see the second half of sleep because of sleepiness</v>
      </c>
    </row>
    <row r="5266" ht="15.75" customHeight="1">
      <c r="A5266" s="1">
        <v>6436.0</v>
      </c>
      <c r="B5266" s="3" t="s">
        <v>15134</v>
      </c>
      <c r="C5266" s="3">
        <v>0.0</v>
      </c>
      <c r="D5266" s="3">
        <v>0.0</v>
      </c>
      <c r="E5266" s="3">
        <v>0.0</v>
      </c>
      <c r="F5266" s="3" t="s">
        <v>15135</v>
      </c>
      <c r="G5266" s="3">
        <v>0.3333333333333333</v>
      </c>
      <c r="H5266" s="3">
        <v>0.0</v>
      </c>
      <c r="I5266" s="3" t="s">
        <v>13</v>
      </c>
      <c r="J5266" s="3" t="s">
        <v>15136</v>
      </c>
      <c r="K5266" s="3" t="s">
        <v>795</v>
      </c>
      <c r="L5266" s="3" t="str">
        <f>IFERROR(__xludf.DUMMYFUNCTION("GOOGLETRANSLATE(F5266,""id"",""en"")"),"The French federation is targeted if the champion is rather extreme because there is a kind of curse, right?")</f>
        <v>The French federation is targeted if the champion is rather extreme because there is a kind of curse, right?</v>
      </c>
    </row>
    <row r="5267" ht="15.75" customHeight="1">
      <c r="A5267" s="1">
        <v>6437.0</v>
      </c>
      <c r="B5267" s="3" t="s">
        <v>15137</v>
      </c>
      <c r="C5267" s="3">
        <v>0.0</v>
      </c>
      <c r="D5267" s="3">
        <v>0.0</v>
      </c>
      <c r="E5267" s="3">
        <v>0.0</v>
      </c>
      <c r="F5267" s="3" t="s">
        <v>15138</v>
      </c>
      <c r="G5267" s="3">
        <v>1.0</v>
      </c>
      <c r="H5267" s="3">
        <v>0.0</v>
      </c>
      <c r="I5267" s="3" t="s">
        <v>13</v>
      </c>
      <c r="J5267" s="3" t="s">
        <v>15139</v>
      </c>
      <c r="K5267" s="3" t="s">
        <v>236</v>
      </c>
      <c r="L5267" s="3" t="str">
        <f>IFERROR(__xludf.DUMMYFUNCTION("GOOGLETRANSLATE(F5267,""id"",""en"")"),"Good morning, the soul of a sleepy worker soul after watching the final pildun")</f>
        <v>Good morning, the soul of a sleepy worker soul after watching the final pildun</v>
      </c>
    </row>
    <row r="5268" ht="15.75" customHeight="1">
      <c r="A5268" s="1">
        <v>6438.0</v>
      </c>
      <c r="B5268" s="3" t="s">
        <v>15140</v>
      </c>
      <c r="C5268" s="3">
        <v>0.0</v>
      </c>
      <c r="D5268" s="3">
        <v>0.0</v>
      </c>
      <c r="E5268" s="3">
        <v>0.0</v>
      </c>
      <c r="F5268" s="3" t="s">
        <v>15141</v>
      </c>
      <c r="G5268" s="3">
        <v>1.0</v>
      </c>
      <c r="H5268" s="3">
        <v>0.0</v>
      </c>
      <c r="I5268" s="3" t="s">
        <v>13</v>
      </c>
      <c r="J5268" s="3" t="s">
        <v>15142</v>
      </c>
      <c r="K5268" s="3" t="s">
        <v>71</v>
      </c>
      <c r="L5268" s="3" t="str">
        <f>IFERROR(__xludf.DUMMYFUNCTION("GOOGLETRANSLATE(F5268,""id"",""en"")"),"Morning does not become jogging because of staying up late with the final pildun bismillah nnti in the afternoon the weather is good yyyy")</f>
        <v>Morning does not become jogging because of staying up late with the final pildun bismillah nnti in the afternoon the weather is good yyyy</v>
      </c>
    </row>
    <row r="5269" ht="15.75" customHeight="1">
      <c r="A5269" s="1">
        <v>6439.0</v>
      </c>
      <c r="B5269" s="3" t="s">
        <v>15143</v>
      </c>
      <c r="C5269" s="3">
        <v>0.0</v>
      </c>
      <c r="D5269" s="3">
        <v>0.0</v>
      </c>
      <c r="E5269" s="3">
        <v>0.0</v>
      </c>
      <c r="F5269" s="3" t="s">
        <v>15144</v>
      </c>
      <c r="G5269" s="3">
        <v>1.0</v>
      </c>
      <c r="H5269" s="3">
        <v>0.0</v>
      </c>
      <c r="I5269" s="3" t="s">
        <v>13</v>
      </c>
      <c r="J5269" s="3" t="s">
        <v>15145</v>
      </c>
      <c r="K5269" s="3" t="s">
        <v>1970</v>
      </c>
      <c r="L5269" s="3" t="str">
        <f>IFERROR(__xludf.DUMMYFUNCTION("GOOGLETRANSLATE(F5269,""id"",""en"")"),"Last day I was asked the World Cup Final to hold who between Argentina France was due to the world of Pilduun Reflexes Argentina because of the Keinget Oikawa After Timeskip")</f>
        <v>Last day I was asked the World Cup Final to hold who between Argentina France was due to the world of Pilduun Reflexes Argentina because of the Keinget Oikawa After Timeskip</v>
      </c>
    </row>
    <row r="5270" ht="15.75" customHeight="1">
      <c r="A5270" s="1">
        <v>6440.0</v>
      </c>
      <c r="B5270" s="3" t="s">
        <v>15146</v>
      </c>
      <c r="C5270" s="3">
        <v>0.0</v>
      </c>
      <c r="D5270" s="3">
        <v>0.0</v>
      </c>
      <c r="E5270" s="3">
        <v>0.0</v>
      </c>
      <c r="F5270" s="3" t="s">
        <v>15147</v>
      </c>
      <c r="G5270" s="3">
        <v>1.0</v>
      </c>
      <c r="H5270" s="3">
        <v>0.0</v>
      </c>
      <c r="I5270" s="3" t="s">
        <v>13</v>
      </c>
      <c r="J5270" s="3" t="s">
        <v>15148</v>
      </c>
      <c r="K5270" s="3" t="s">
        <v>15</v>
      </c>
      <c r="L5270" s="3" t="str">
        <f>IFERROR(__xludf.DUMMYFUNCTION("GOOGLETRANSLATE(F5270,""id"",""en"")"),"Urip Iku Abot Eating Keturon Pas Final Pildun")</f>
        <v>Urip Iku Abot Eating Keturon Pas Final Pildun</v>
      </c>
    </row>
    <row r="5271" ht="15.75" customHeight="1">
      <c r="A5271" s="1">
        <v>6441.0</v>
      </c>
      <c r="B5271" s="3" t="s">
        <v>15149</v>
      </c>
      <c r="C5271" s="3">
        <v>0.0</v>
      </c>
      <c r="D5271" s="3">
        <v>0.0</v>
      </c>
      <c r="E5271" s="3">
        <v>0.0</v>
      </c>
      <c r="F5271" s="3" t="s">
        <v>15150</v>
      </c>
      <c r="G5271" s="3">
        <v>1.0</v>
      </c>
      <c r="H5271" s="3">
        <v>0.45</v>
      </c>
      <c r="I5271" s="3" t="s">
        <v>48</v>
      </c>
      <c r="J5271" s="3" t="s">
        <v>15151</v>
      </c>
      <c r="K5271" s="3" t="s">
        <v>71</v>
      </c>
      <c r="L5271" s="3" t="str">
        <f>IFERROR(__xludf.DUMMYFUNCTION("GOOGLETRANSLATE(F5271,""id"",""en"")"),"From yesterday, the ideal final prediction of the final prediction continued to hope that Argentina won even though I didn't like the ball")</f>
        <v>From yesterday, the ideal final prediction of the final prediction continued to hope that Argentina won even though I didn't like the ball</v>
      </c>
    </row>
    <row r="5272" ht="15.75" customHeight="1">
      <c r="A5272" s="1">
        <v>6442.0</v>
      </c>
      <c r="B5272" s="3" t="s">
        <v>15152</v>
      </c>
      <c r="C5272" s="3">
        <v>1.0</v>
      </c>
      <c r="D5272" s="3">
        <v>0.0</v>
      </c>
      <c r="E5272" s="3">
        <v>0.0</v>
      </c>
      <c r="F5272" s="3" t="s">
        <v>15153</v>
      </c>
      <c r="G5272" s="3">
        <v>1.0</v>
      </c>
      <c r="H5272" s="3">
        <v>0.0</v>
      </c>
      <c r="I5272" s="3" t="s">
        <v>13</v>
      </c>
      <c r="J5272" s="3" t="s">
        <v>15154</v>
      </c>
      <c r="K5272" s="3" t="s">
        <v>71</v>
      </c>
      <c r="L5272" s="3" t="str">
        <f>IFERROR(__xludf.DUMMYFUNCTION("GOOGLETRANSLATE(F5272,""id"",""en"")"),"weh really fast jem already lebak tulus in wfh without all after the final pildun last night")</f>
        <v>weh really fast jem already lebak tulus in wfh without all after the final pildun last night</v>
      </c>
    </row>
    <row r="5273" ht="15.75" customHeight="1">
      <c r="A5273" s="1">
        <v>6443.0</v>
      </c>
      <c r="B5273" s="3" t="s">
        <v>15155</v>
      </c>
      <c r="C5273" s="3">
        <v>0.0</v>
      </c>
      <c r="D5273" s="3">
        <v>0.0</v>
      </c>
      <c r="E5273" s="3">
        <v>0.0</v>
      </c>
      <c r="F5273" s="3" t="s">
        <v>15156</v>
      </c>
      <c r="G5273" s="3">
        <v>1.0</v>
      </c>
      <c r="H5273" s="3">
        <v>0.0</v>
      </c>
      <c r="I5273" s="3" t="s">
        <v>13</v>
      </c>
      <c r="J5273" s="3" t="s">
        <v>15157</v>
      </c>
      <c r="K5273" s="3" t="s">
        <v>82</v>
      </c>
      <c r="L5273" s="3" t="str">
        <f>IFERROR(__xludf.DUMMYFUNCTION("GOOGLETRANSLATE(F5273,""id"",""en"")"),"please don't invite me to chat about the final pildun")</f>
        <v>please don't invite me to chat about the final pildun</v>
      </c>
    </row>
    <row r="5274" ht="15.75" customHeight="1">
      <c r="A5274" s="1">
        <v>6444.0</v>
      </c>
      <c r="B5274" s="3" t="s">
        <v>15158</v>
      </c>
      <c r="C5274" s="3">
        <v>0.0</v>
      </c>
      <c r="D5274" s="3">
        <v>0.0</v>
      </c>
      <c r="E5274" s="3">
        <v>0.0</v>
      </c>
      <c r="F5274" s="3" t="s">
        <v>15159</v>
      </c>
      <c r="G5274" s="3">
        <v>1.0</v>
      </c>
      <c r="H5274" s="3">
        <v>0.0</v>
      </c>
      <c r="I5274" s="3" t="s">
        <v>13</v>
      </c>
      <c r="J5274" s="3" t="s">
        <v>15160</v>
      </c>
      <c r="K5274" s="3" t="s">
        <v>54</v>
      </c>
      <c r="L5274" s="3" t="str">
        <f>IFERROR(__xludf.DUMMYFUNCTION("GOOGLETRANSLATE(F5274,""id"",""en"")"),"very loss of the final pildun last night")</f>
        <v>very loss of the final pildun last night</v>
      </c>
    </row>
    <row r="5275" ht="15.75" customHeight="1">
      <c r="A5275" s="1">
        <v>6445.0</v>
      </c>
      <c r="B5275" s="3" t="s">
        <v>15161</v>
      </c>
      <c r="C5275" s="3">
        <v>0.0</v>
      </c>
      <c r="D5275" s="3">
        <v>0.0</v>
      </c>
      <c r="E5275" s="3">
        <v>0.0</v>
      </c>
      <c r="F5275" s="3" t="s">
        <v>15162</v>
      </c>
      <c r="G5275" s="3">
        <v>1.0</v>
      </c>
      <c r="H5275" s="3">
        <v>0.0</v>
      </c>
      <c r="I5275" s="3" t="s">
        <v>13</v>
      </c>
      <c r="J5275" s="3" t="s">
        <v>15163</v>
      </c>
      <c r="K5275" s="3" t="s">
        <v>41</v>
      </c>
      <c r="L5275" s="3" t="str">
        <f>IFERROR(__xludf.DUMMYFUNCTION("GOOGLETRANSLATE(F5275,""id"",""en"")"),"Wow, it turns out that last night the Idol and Actor Nnton Final Pildun")</f>
        <v>Wow, it turns out that last night the Idol and Actor Nnton Final Pildun</v>
      </c>
    </row>
    <row r="5276" ht="15.75" customHeight="1">
      <c r="A5276" s="1">
        <v>6446.0</v>
      </c>
      <c r="B5276" s="3" t="s">
        <v>15164</v>
      </c>
      <c r="C5276" s="3">
        <v>0.0</v>
      </c>
      <c r="D5276" s="3">
        <v>0.0</v>
      </c>
      <c r="E5276" s="3">
        <v>0.0</v>
      </c>
      <c r="F5276" s="3" t="s">
        <v>15165</v>
      </c>
      <c r="G5276" s="3">
        <v>1.0</v>
      </c>
      <c r="H5276" s="3">
        <v>0.0</v>
      </c>
      <c r="I5276" s="3" t="s">
        <v>13</v>
      </c>
      <c r="J5276" s="3" t="s">
        <v>15166</v>
      </c>
      <c r="K5276" s="3" t="s">
        <v>23</v>
      </c>
      <c r="L5276" s="3" t="str">
        <f>IFERROR(__xludf.DUMMYFUNCTION("GOOGLETRANSLATE(F5276,""id"",""en"")"),"How do you do it every four years, where is the existence of the final, it's also a unfortunately if the euphorian skip is really true, because the Pildun this time")</f>
        <v>How do you do it every four years, where is the existence of the final, it's also a unfortunately if the euphorian skip is really true, because the Pildun this time</v>
      </c>
    </row>
    <row r="5277" ht="15.75" customHeight="1">
      <c r="A5277" s="1">
        <v>6447.0</v>
      </c>
      <c r="B5277" s="3" t="s">
        <v>15167</v>
      </c>
      <c r="C5277" s="3">
        <v>0.0</v>
      </c>
      <c r="D5277" s="3">
        <v>0.0</v>
      </c>
      <c r="E5277" s="3">
        <v>0.0</v>
      </c>
      <c r="F5277" s="3" t="s">
        <v>15168</v>
      </c>
      <c r="G5277" s="3">
        <v>1.0</v>
      </c>
      <c r="H5277" s="3">
        <v>0.0</v>
      </c>
      <c r="I5277" s="3" t="s">
        <v>13</v>
      </c>
      <c r="J5277" s="3" t="s">
        <v>15169</v>
      </c>
      <c r="K5277" s="3" t="s">
        <v>82</v>
      </c>
      <c r="L5277" s="3" t="str">
        <f>IFERROR(__xludf.DUMMYFUNCTION("GOOGLETRANSLATE(F5277,""id"",""en"")"),"there is just waiting for the final results of the final pildun last night")</f>
        <v>there is just waiting for the final results of the final pildun last night</v>
      </c>
    </row>
    <row r="5278" ht="15.75" customHeight="1">
      <c r="A5278" s="1">
        <v>6448.0</v>
      </c>
      <c r="B5278" s="3" t="s">
        <v>15170</v>
      </c>
      <c r="C5278" s="3">
        <v>0.0</v>
      </c>
      <c r="D5278" s="3">
        <v>0.0</v>
      </c>
      <c r="E5278" s="3">
        <v>0.0</v>
      </c>
      <c r="F5278" s="3" t="s">
        <v>15171</v>
      </c>
      <c r="G5278" s="3">
        <v>1.0</v>
      </c>
      <c r="H5278" s="3">
        <v>0.0</v>
      </c>
      <c r="I5278" s="3" t="s">
        <v>13</v>
      </c>
      <c r="J5278" s="3" t="s">
        <v>15172</v>
      </c>
      <c r="K5278" s="3" t="s">
        <v>358</v>
      </c>
      <c r="L5278" s="3" t="str">
        <f>IFERROR(__xludf.DUMMYFUNCTION("GOOGLETRANSLATE(F5278,""id"",""en"")"),"for brother, brother, the jaklingko angkot driver who took part in watching the final of the pildun while the way home I waited for your promise to treat me to eat me")</f>
        <v>for brother, brother, the jaklingko angkot driver who took part in watching the final of the pildun while the way home I waited for your promise to treat me to eat me</v>
      </c>
    </row>
    <row r="5279" ht="15.75" customHeight="1">
      <c r="A5279" s="1">
        <v>6449.0</v>
      </c>
      <c r="B5279" s="3" t="s">
        <v>15173</v>
      </c>
      <c r="C5279" s="3">
        <v>3.0</v>
      </c>
      <c r="D5279" s="3">
        <v>0.0</v>
      </c>
      <c r="E5279" s="3">
        <v>0.0</v>
      </c>
      <c r="F5279" s="3" t="s">
        <v>15174</v>
      </c>
      <c r="G5279" s="3">
        <v>1.0</v>
      </c>
      <c r="H5279" s="3">
        <v>0.0</v>
      </c>
      <c r="I5279" s="3" t="s">
        <v>13</v>
      </c>
      <c r="J5279" s="3" t="s">
        <v>15175</v>
      </c>
      <c r="K5279" s="3" t="s">
        <v>19</v>
      </c>
      <c r="L5279" s="3" t="str">
        <f>IFERROR(__xludf.DUMMYFUNCTION("GOOGLETRANSLATE(F5279,""id"",""en"")"),"cool winning the final betting of the pildun last night the prize was treated for life")</f>
        <v>cool winning the final betting of the pildun last night the prize was treated for life</v>
      </c>
    </row>
    <row r="5280" ht="15.75" customHeight="1">
      <c r="A5280" s="1">
        <v>6450.0</v>
      </c>
      <c r="B5280" s="3" t="s">
        <v>15176</v>
      </c>
      <c r="C5280" s="3">
        <v>0.0</v>
      </c>
      <c r="D5280" s="3">
        <v>0.0</v>
      </c>
      <c r="E5280" s="3">
        <v>1.0</v>
      </c>
      <c r="F5280" s="3" t="s">
        <v>15177</v>
      </c>
      <c r="G5280" s="3">
        <v>1.0</v>
      </c>
      <c r="H5280" s="3">
        <v>0.0</v>
      </c>
      <c r="I5280" s="3" t="s">
        <v>13</v>
      </c>
      <c r="J5280" s="3" t="s">
        <v>15178</v>
      </c>
      <c r="K5280" s="3" t="s">
        <v>41</v>
      </c>
      <c r="L5280" s="3" t="str">
        <f>IFERROR(__xludf.DUMMYFUNCTION("GOOGLETRANSLATE(F5280,""id"",""en"")"),"How do you get the final betting of you last night, including those who lost or win")</f>
        <v>How do you get the final betting of you last night, including those who lost or win</v>
      </c>
    </row>
    <row r="5281" ht="15.75" customHeight="1">
      <c r="A5281" s="1">
        <v>6451.0</v>
      </c>
      <c r="B5281" s="3" t="s">
        <v>15179</v>
      </c>
      <c r="C5281" s="3">
        <v>0.0</v>
      </c>
      <c r="D5281" s="3">
        <v>0.0</v>
      </c>
      <c r="E5281" s="3">
        <v>0.0</v>
      </c>
      <c r="F5281" s="3" t="s">
        <v>15180</v>
      </c>
      <c r="G5281" s="3">
        <v>1.0</v>
      </c>
      <c r="H5281" s="3">
        <v>0.0</v>
      </c>
      <c r="I5281" s="3" t="s">
        <v>13</v>
      </c>
      <c r="J5281" s="3" t="s">
        <v>15181</v>
      </c>
      <c r="K5281" s="3" t="s">
        <v>75</v>
      </c>
      <c r="L5281" s="3" t="str">
        <f>IFERROR(__xludf.DUMMYFUNCTION("GOOGLETRANSLATE(F5281,""id"",""en"")"),"I just remembered the final Pildun last night even watched a jammed fiction connect")</f>
        <v>I just remembered the final Pildun last night even watched a jammed fiction connect</v>
      </c>
    </row>
    <row r="5282" ht="15.75" customHeight="1">
      <c r="A5282" s="1">
        <v>6452.0</v>
      </c>
      <c r="B5282" s="3" t="s">
        <v>15182</v>
      </c>
      <c r="C5282" s="3">
        <v>1.0</v>
      </c>
      <c r="D5282" s="3">
        <v>0.0</v>
      </c>
      <c r="E5282" s="3">
        <v>0.0</v>
      </c>
      <c r="F5282" s="3" t="s">
        <v>15183</v>
      </c>
      <c r="G5282" s="3">
        <v>1.0</v>
      </c>
      <c r="H5282" s="3">
        <v>0.0</v>
      </c>
      <c r="I5282" s="3" t="s">
        <v>13</v>
      </c>
      <c r="J5282" s="3" t="s">
        <v>15184</v>
      </c>
      <c r="K5282" s="3" t="s">
        <v>883</v>
      </c>
      <c r="L5282" s="3" t="str">
        <f>IFERROR(__xludf.DUMMYFUNCTION("GOOGLETRANSLATE(F5282,""id"",""en"")"),"then the pildun has arrived until where yeah, I have followed the final of the month, but it turns out that tonight the final scroll continues to sleep")</f>
        <v>then the pildun has arrived until where yeah, I have followed the final of the month, but it turns out that tonight the final scroll continues to sleep</v>
      </c>
    </row>
    <row r="5283" ht="15.75" customHeight="1">
      <c r="A5283" s="1">
        <v>6453.0</v>
      </c>
      <c r="B5283" s="3" t="s">
        <v>15185</v>
      </c>
      <c r="C5283" s="3">
        <v>0.0</v>
      </c>
      <c r="D5283" s="3">
        <v>0.0</v>
      </c>
      <c r="E5283" s="3">
        <v>0.0</v>
      </c>
      <c r="F5283" s="3" t="s">
        <v>15186</v>
      </c>
      <c r="G5283" s="3">
        <v>1.0</v>
      </c>
      <c r="H5283" s="3">
        <v>0.0</v>
      </c>
      <c r="I5283" s="3" t="s">
        <v>13</v>
      </c>
      <c r="J5283" s="3" t="s">
        <v>15187</v>
      </c>
      <c r="K5283" s="3" t="s">
        <v>71</v>
      </c>
      <c r="L5283" s="3" t="str">
        <f>IFERROR(__xludf.DUMMYFUNCTION("GOOGLETRANSLATE(F5283,""id"",""en"")"),"Sangking exciting Final Pildun Iki until I don't know Argentina for Mbappe later Dangdut League Reply")</f>
        <v>Sangking exciting Final Pildun Iki until I don't know Argentina for Mbappe later Dangdut League Reply</v>
      </c>
    </row>
    <row r="5284" ht="15.75" customHeight="1">
      <c r="A5284" s="1">
        <v>6454.0</v>
      </c>
      <c r="B5284" s="3" t="s">
        <v>15188</v>
      </c>
      <c r="C5284" s="3">
        <v>0.0</v>
      </c>
      <c r="D5284" s="3">
        <v>0.0</v>
      </c>
      <c r="E5284" s="3">
        <v>0.0</v>
      </c>
      <c r="F5284" s="3" t="s">
        <v>15189</v>
      </c>
      <c r="G5284" s="3">
        <v>1.0</v>
      </c>
      <c r="H5284" s="3">
        <v>0.0</v>
      </c>
      <c r="I5284" s="3" t="s">
        <v>13</v>
      </c>
      <c r="J5284" s="3" t="s">
        <v>15190</v>
      </c>
      <c r="K5284" s="3" t="s">
        <v>19</v>
      </c>
      <c r="L5284" s="3" t="str">
        <f>IFERROR(__xludf.DUMMYFUNCTION("GOOGLETRANSLATE(F5284,""id"",""en"")"),"Because the final of Depok Sawangan Jakarta Antasari is already running like Sunday morning")</f>
        <v>Because the final of Depok Sawangan Jakarta Antasari is already running like Sunday morning</v>
      </c>
    </row>
    <row r="5285" ht="15.75" customHeight="1">
      <c r="A5285" s="1">
        <v>6455.0</v>
      </c>
      <c r="B5285" s="3" t="s">
        <v>15191</v>
      </c>
      <c r="C5285" s="3">
        <v>0.0</v>
      </c>
      <c r="D5285" s="3">
        <v>0.0</v>
      </c>
      <c r="E5285" s="3">
        <v>0.0</v>
      </c>
      <c r="F5285" s="3" t="s">
        <v>15192</v>
      </c>
      <c r="G5285" s="3">
        <v>1.0</v>
      </c>
      <c r="H5285" s="3">
        <v>0.0</v>
      </c>
      <c r="I5285" s="3" t="s">
        <v>13</v>
      </c>
      <c r="J5285" s="3" t="s">
        <v>15193</v>
      </c>
      <c r="K5285" s="3" t="s">
        <v>75</v>
      </c>
      <c r="L5285" s="3" t="str">
        <f>IFERROR(__xludf.DUMMYFUNCTION("GOOGLETRANSLATE(F5285,""id"",""en"")"),"it's just morning to watch the final pildun tired")</f>
        <v>it's just morning to watch the final pildun tired</v>
      </c>
    </row>
    <row r="5286" ht="15.75" customHeight="1">
      <c r="A5286" s="1">
        <v>6456.0</v>
      </c>
      <c r="B5286" s="3" t="s">
        <v>15194</v>
      </c>
      <c r="C5286" s="3">
        <v>2.0</v>
      </c>
      <c r="D5286" s="3">
        <v>1.0</v>
      </c>
      <c r="E5286" s="3">
        <v>1.0</v>
      </c>
      <c r="F5286" s="3" t="s">
        <v>15195</v>
      </c>
      <c r="G5286" s="3">
        <v>1.0</v>
      </c>
      <c r="H5286" s="3">
        <v>0.0</v>
      </c>
      <c r="I5286" s="3" t="s">
        <v>13</v>
      </c>
      <c r="J5286" s="3" t="s">
        <v>15196</v>
      </c>
      <c r="K5286" s="3" t="s">
        <v>2117</v>
      </c>
      <c r="L5286" s="3" t="str">
        <f>IFERROR(__xludf.DUMMYFUNCTION("GOOGLETRANSLATE(F5286,""id"",""en"")"),"on the final leave of the pildun")</f>
        <v>on the final leave of the pildun</v>
      </c>
    </row>
    <row r="5287" ht="15.75" customHeight="1">
      <c r="A5287" s="1">
        <v>6457.0</v>
      </c>
      <c r="B5287" s="3" t="s">
        <v>15197</v>
      </c>
      <c r="C5287" s="3">
        <v>1.0</v>
      </c>
      <c r="D5287" s="3">
        <v>0.0</v>
      </c>
      <c r="E5287" s="3">
        <v>0.0</v>
      </c>
      <c r="F5287" s="3" t="s">
        <v>15198</v>
      </c>
      <c r="G5287" s="3">
        <v>1.0</v>
      </c>
      <c r="H5287" s="3">
        <v>0.0</v>
      </c>
      <c r="I5287" s="3" t="s">
        <v>13</v>
      </c>
      <c r="J5287" s="3" t="s">
        <v>15199</v>
      </c>
      <c r="K5287" s="3" t="s">
        <v>41</v>
      </c>
      <c r="L5287" s="3" t="str">
        <f>IFERROR(__xludf.DUMMYFUNCTION("GOOGLETRANSLATE(F5287,""id"",""en"")"),"Pass the driving test try to lose the final pildun last night")</f>
        <v>Pass the driving test try to lose the final pildun last night</v>
      </c>
    </row>
    <row r="5288" ht="15.75" customHeight="1">
      <c r="A5288" s="1">
        <v>6458.0</v>
      </c>
      <c r="B5288" s="3" t="s">
        <v>15200</v>
      </c>
      <c r="C5288" s="3">
        <v>0.0</v>
      </c>
      <c r="D5288" s="3">
        <v>0.0</v>
      </c>
      <c r="E5288" s="3">
        <v>0.0</v>
      </c>
      <c r="F5288" s="3" t="s">
        <v>15201</v>
      </c>
      <c r="G5288" s="3">
        <v>1.0</v>
      </c>
      <c r="H5288" s="3">
        <v>0.0</v>
      </c>
      <c r="I5288" s="3" t="s">
        <v>13</v>
      </c>
      <c r="J5288" s="3" t="s">
        <v>15202</v>
      </c>
      <c r="K5288" s="3" t="s">
        <v>54</v>
      </c>
      <c r="L5288" s="3" t="str">
        <f>IFERROR(__xludf.DUMMYFUNCTION("GOOGLETRANSLATE(F5288,""id"",""en"")"),"Pilduun Final Monday Morning")</f>
        <v>Pilduun Final Monday Morning</v>
      </c>
    </row>
    <row r="5289" ht="15.75" customHeight="1">
      <c r="A5289" s="1">
        <v>6459.0</v>
      </c>
      <c r="B5289" s="3" t="s">
        <v>15203</v>
      </c>
      <c r="C5289" s="3">
        <v>1.0</v>
      </c>
      <c r="D5289" s="3">
        <v>0.0</v>
      </c>
      <c r="E5289" s="3">
        <v>1.0</v>
      </c>
      <c r="F5289" s="3" t="s">
        <v>15204</v>
      </c>
      <c r="G5289" s="3">
        <v>1.0</v>
      </c>
      <c r="H5289" s="3">
        <v>0.0</v>
      </c>
      <c r="I5289" s="3" t="s">
        <v>13</v>
      </c>
      <c r="J5289" s="3" t="s">
        <v>15205</v>
      </c>
      <c r="K5289" s="3" t="s">
        <v>215</v>
      </c>
      <c r="L5289" s="3" t="str">
        <f>IFERROR(__xludf.DUMMYFUNCTION("GOOGLETRANSLATE(F5289,""id"",""en"")"),"This is the first PILDUN event to present a different portrait of Islam whether alleged by the western world of Europa and the final final party full of tension and adrenaline to end the debate between Messi and Ronaldo Fix Messi is the legend")</f>
        <v>This is the first PILDUN event to present a different portrait of Islam whether alleged by the western world of Europa and the final final party full of tension and adrenaline to end the debate between Messi and Ronaldo Fix Messi is the legend</v>
      </c>
    </row>
    <row r="5290" ht="15.75" customHeight="1">
      <c r="A5290" s="1">
        <v>6460.0</v>
      </c>
      <c r="B5290" s="3" t="s">
        <v>15206</v>
      </c>
      <c r="C5290" s="3">
        <v>1.0</v>
      </c>
      <c r="D5290" s="3">
        <v>0.0</v>
      </c>
      <c r="E5290" s="3">
        <v>1.0</v>
      </c>
      <c r="F5290" s="3" t="s">
        <v>15207</v>
      </c>
      <c r="G5290" s="3">
        <v>1.0</v>
      </c>
      <c r="H5290" s="3">
        <v>0.0</v>
      </c>
      <c r="I5290" s="3" t="s">
        <v>13</v>
      </c>
      <c r="J5290" s="3" t="s">
        <v>15208</v>
      </c>
      <c r="K5290" s="3" t="s">
        <v>31</v>
      </c>
      <c r="L5290" s="3" t="str">
        <f>IFERROR(__xludf.DUMMYFUNCTION("GOOGLETRANSLATE(F5290,""id"",""en"")"),"agree because of the final of African Argentina")</f>
        <v>agree because of the final of African Argentina</v>
      </c>
    </row>
    <row r="5291" ht="15.75" customHeight="1">
      <c r="A5291" s="1">
        <v>6461.0</v>
      </c>
      <c r="B5291" s="3" t="s">
        <v>15209</v>
      </c>
      <c r="C5291" s="3">
        <v>0.0</v>
      </c>
      <c r="D5291" s="3">
        <v>0.0</v>
      </c>
      <c r="E5291" s="3">
        <v>1.0</v>
      </c>
      <c r="F5291" s="3" t="s">
        <v>15210</v>
      </c>
      <c r="G5291" s="3">
        <v>1.0</v>
      </c>
      <c r="H5291" s="3">
        <v>0.0</v>
      </c>
      <c r="I5291" s="3" t="s">
        <v>13</v>
      </c>
      <c r="J5291" s="3" t="s">
        <v>15211</v>
      </c>
      <c r="K5291" s="3" t="s">
        <v>15212</v>
      </c>
      <c r="L5291" s="3" t="str">
        <f>IFERROR(__xludf.DUMMYFUNCTION("GOOGLETRANSLATE(F5291,""id"",""en"")"),"Last night I watched the final Pilduun feeling that had been mixed with the first half of the second half of the second half wanting to cry for the first time to be lethargic, the second time was initially enthusiastic after Mbappe's penalty instead wante"&amp;"d to pray all night with all of you because of Messi")</f>
        <v>Last night I watched the final Pilduun feeling that had been mixed with the first half of the second half of the second half wanting to cry for the first time to be lethargic, the second time was initially enthusiastic after Mbappe's penalty instead wanted to pray all night with all of you because of Messi</v>
      </c>
    </row>
    <row r="5292" ht="15.75" customHeight="1">
      <c r="A5292" s="1">
        <v>6462.0</v>
      </c>
      <c r="B5292" s="3" t="s">
        <v>15213</v>
      </c>
      <c r="C5292" s="3">
        <v>0.0</v>
      </c>
      <c r="D5292" s="3">
        <v>0.0</v>
      </c>
      <c r="E5292" s="3">
        <v>2.0</v>
      </c>
      <c r="F5292" s="3" t="s">
        <v>15214</v>
      </c>
      <c r="G5292" s="3">
        <v>1.0</v>
      </c>
      <c r="H5292" s="3">
        <v>0.0</v>
      </c>
      <c r="I5292" s="3" t="s">
        <v>13</v>
      </c>
      <c r="J5292" s="3" t="s">
        <v>15215</v>
      </c>
      <c r="K5292" s="3" t="s">
        <v>644</v>
      </c>
      <c r="L5292" s="3" t="str">
        <f>IFERROR(__xludf.DUMMYFUNCTION("GOOGLETRANSLATE(F5292,""id"",""en"")"),"the final rating of the debate")</f>
        <v>the final rating of the debate</v>
      </c>
    </row>
    <row r="5293" ht="15.75" customHeight="1">
      <c r="A5293" s="1">
        <v>6463.0</v>
      </c>
      <c r="B5293" s="3" t="s">
        <v>15216</v>
      </c>
      <c r="C5293" s="3">
        <v>0.0</v>
      </c>
      <c r="D5293" s="3">
        <v>0.0</v>
      </c>
      <c r="E5293" s="3">
        <v>0.0</v>
      </c>
      <c r="F5293" s="3" t="s">
        <v>15217</v>
      </c>
      <c r="G5293" s="3">
        <v>1.0</v>
      </c>
      <c r="H5293" s="3">
        <v>0.0</v>
      </c>
      <c r="I5293" s="3" t="s">
        <v>13</v>
      </c>
      <c r="J5293" s="3" t="s">
        <v>15218</v>
      </c>
      <c r="K5293" s="3" t="s">
        <v>644</v>
      </c>
      <c r="L5293" s="3" t="str">
        <f>IFERROR(__xludf.DUMMYFUNCTION("GOOGLETRANSLATE(F5293,""id"",""en"")"),"after watching the final pildun")</f>
        <v>after watching the final pildun</v>
      </c>
    </row>
    <row r="5294" ht="15.75" customHeight="1">
      <c r="A5294" s="1">
        <v>6464.0</v>
      </c>
      <c r="B5294" s="3" t="s">
        <v>15219</v>
      </c>
      <c r="C5294" s="3">
        <v>1.0</v>
      </c>
      <c r="D5294" s="3">
        <v>0.0</v>
      </c>
      <c r="E5294" s="3">
        <v>0.0</v>
      </c>
      <c r="F5294" s="3" t="s">
        <v>15220</v>
      </c>
      <c r="G5294" s="3">
        <v>1.0</v>
      </c>
      <c r="H5294" s="3">
        <v>0.0</v>
      </c>
      <c r="I5294" s="3" t="s">
        <v>13</v>
      </c>
      <c r="J5294" s="3" t="s">
        <v>15221</v>
      </c>
      <c r="K5294" s="3" t="s">
        <v>31</v>
      </c>
      <c r="L5294" s="3" t="str">
        <f>IFERROR(__xludf.DUMMYFUNCTION("GOOGLETRANSLATE(F5294,""id"",""en"")"),"FULLL DONG FINAL PILDUN KETURON")</f>
        <v>FULLL DONG FINAL PILDUN KETURON</v>
      </c>
    </row>
    <row r="5295" ht="15.75" customHeight="1">
      <c r="A5295" s="1">
        <v>6465.0</v>
      </c>
      <c r="B5295" s="3" t="s">
        <v>15222</v>
      </c>
      <c r="C5295" s="3">
        <v>0.0</v>
      </c>
      <c r="D5295" s="3">
        <v>0.0</v>
      </c>
      <c r="E5295" s="3">
        <v>1.0</v>
      </c>
      <c r="F5295" s="3" t="s">
        <v>15223</v>
      </c>
      <c r="G5295" s="3">
        <v>0.0</v>
      </c>
      <c r="H5295" s="3">
        <v>0.0</v>
      </c>
      <c r="I5295" s="3" t="s">
        <v>13</v>
      </c>
      <c r="J5295" s="3" t="s">
        <v>15224</v>
      </c>
      <c r="K5295" s="3" t="s">
        <v>41</v>
      </c>
      <c r="L5295" s="3" t="str">
        <f>IFERROR(__xludf.DUMMYFUNCTION("GOOGLETRANSLATE(F5295,""id"",""en"")"),"Anti -climax match for France in the performance of the next results of the Pilduun may be possible")</f>
        <v>Anti -climax match for France in the performance of the next results of the Pilduun may be possible</v>
      </c>
    </row>
    <row r="5296" ht="15.75" customHeight="1">
      <c r="A5296" s="1">
        <v>6466.0</v>
      </c>
      <c r="B5296" s="3" t="s">
        <v>15225</v>
      </c>
      <c r="C5296" s="3">
        <v>0.0</v>
      </c>
      <c r="D5296" s="3">
        <v>0.0</v>
      </c>
      <c r="E5296" s="3">
        <v>0.0</v>
      </c>
      <c r="F5296" s="3" t="s">
        <v>15226</v>
      </c>
      <c r="G5296" s="3">
        <v>1.0</v>
      </c>
      <c r="H5296" s="3">
        <v>0.0</v>
      </c>
      <c r="I5296" s="3" t="s">
        <v>13</v>
      </c>
      <c r="J5296" s="3" t="s">
        <v>15227</v>
      </c>
      <c r="K5296" s="3" t="s">
        <v>82</v>
      </c>
      <c r="L5296" s="3" t="str">
        <f>IFERROR(__xludf.DUMMYFUNCTION("GOOGLETRANSLATE(F5296,""id"",""en"")"),"Final Effects of Pilduun Buset Gembrong Lain Jaya")</f>
        <v>Final Effects of Pilduun Buset Gembrong Lain Jaya</v>
      </c>
    </row>
    <row r="5297" ht="15.75" customHeight="1">
      <c r="A5297" s="1">
        <v>6467.0</v>
      </c>
      <c r="B5297" s="3" t="s">
        <v>15228</v>
      </c>
      <c r="C5297" s="3">
        <v>1.0</v>
      </c>
      <c r="D5297" s="3">
        <v>0.0</v>
      </c>
      <c r="E5297" s="3">
        <v>0.0</v>
      </c>
      <c r="F5297" s="3" t="s">
        <v>15229</v>
      </c>
      <c r="G5297" s="3">
        <v>1.0</v>
      </c>
      <c r="H5297" s="3">
        <v>0.0</v>
      </c>
      <c r="I5297" s="3" t="s">
        <v>13</v>
      </c>
      <c r="J5297" s="3" t="s">
        <v>15230</v>
      </c>
      <c r="K5297" s="3" t="s">
        <v>240</v>
      </c>
      <c r="L5297" s="3" t="str">
        <f>IFERROR(__xludf.DUMMYFUNCTION("GOOGLETRANSLATE(F5297,""id"",""en"")"),"Gosh, next week, apparently the brain will run out of the final of the pildun, then what do you enter quickly for")</f>
        <v>Gosh, next week, apparently the brain will run out of the final of the pildun, then what do you enter quickly for</v>
      </c>
    </row>
    <row r="5298" ht="15.75" customHeight="1">
      <c r="A5298" s="1">
        <v>6468.0</v>
      </c>
      <c r="B5298" s="3" t="s">
        <v>15231</v>
      </c>
      <c r="C5298" s="3">
        <v>1.0</v>
      </c>
      <c r="D5298" s="3">
        <v>0.0</v>
      </c>
      <c r="E5298" s="3">
        <v>0.0</v>
      </c>
      <c r="F5298" s="3" t="s">
        <v>15232</v>
      </c>
      <c r="G5298" s="3">
        <v>0.7</v>
      </c>
      <c r="H5298" s="3">
        <v>0.1</v>
      </c>
      <c r="I5298" s="3" t="s">
        <v>48</v>
      </c>
      <c r="J5298" s="3" t="s">
        <v>15233</v>
      </c>
      <c r="K5298" s="3" t="s">
        <v>54</v>
      </c>
      <c r="L5298" s="3" t="str">
        <f>IFERROR(__xludf.DUMMYFUNCTION("GOOGLETRANSLATE(F5298,""id"",""en"")"),"I guess the Pildun is the final cmn hahaha")</f>
        <v>I guess the Pildun is the final cmn hahaha</v>
      </c>
    </row>
    <row r="5299" ht="15.75" customHeight="1">
      <c r="A5299" s="1">
        <v>6469.0</v>
      </c>
      <c r="B5299" s="3" t="s">
        <v>15234</v>
      </c>
      <c r="C5299" s="3">
        <v>1.0</v>
      </c>
      <c r="D5299" s="3">
        <v>0.0</v>
      </c>
      <c r="E5299" s="3">
        <v>0.0</v>
      </c>
      <c r="F5299" s="3" t="s">
        <v>15235</v>
      </c>
      <c r="G5299" s="3">
        <v>1.0</v>
      </c>
      <c r="H5299" s="3">
        <v>0.0</v>
      </c>
      <c r="I5299" s="3" t="s">
        <v>13</v>
      </c>
      <c r="J5299" s="3" t="s">
        <v>15236</v>
      </c>
      <c r="K5299" s="3" t="s">
        <v>1317</v>
      </c>
      <c r="L5299" s="3" t="str">
        <f>IFERROR(__xludf.DUMMYFUNCTION("GOOGLETRANSLATE(F5299,""id"",""en"")"),"Yes, until the final Pildun is still updated igs pdhl, I have watched all the IGS guys, the contents of the pilduun have")</f>
        <v>Yes, until the final Pildun is still updated igs pdhl, I have watched all the IGS guys, the contents of the pilduun have</v>
      </c>
    </row>
    <row r="5300" ht="15.75" customHeight="1">
      <c r="A5300" s="1">
        <v>6470.0</v>
      </c>
      <c r="B5300" s="3" t="s">
        <v>15237</v>
      </c>
      <c r="C5300" s="3">
        <v>0.0</v>
      </c>
      <c r="D5300" s="3">
        <v>0.0</v>
      </c>
      <c r="E5300" s="3">
        <v>0.0</v>
      </c>
      <c r="F5300" s="3" t="s">
        <v>15238</v>
      </c>
      <c r="G5300" s="3">
        <v>1.0</v>
      </c>
      <c r="H5300" s="3">
        <v>0.0</v>
      </c>
      <c r="I5300" s="3" t="s">
        <v>13</v>
      </c>
      <c r="J5300" s="3" t="s">
        <v>15239</v>
      </c>
      <c r="K5300" s="3" t="s">
        <v>82</v>
      </c>
      <c r="L5300" s="3" t="str">
        <f>IFERROR(__xludf.DUMMYFUNCTION("GOOGLETRANSLATE(F5300,""id"",""en"")"),"Husband Watching Final Pilduun Wife Why Sleep")</f>
        <v>Husband Watching Final Pilduun Wife Why Sleep</v>
      </c>
    </row>
    <row r="5301" ht="15.75" customHeight="1">
      <c r="A5301" s="1">
        <v>6471.0</v>
      </c>
      <c r="B5301" s="3" t="s">
        <v>15240</v>
      </c>
      <c r="C5301" s="3">
        <v>0.0</v>
      </c>
      <c r="D5301" s="3">
        <v>0.0</v>
      </c>
      <c r="E5301" s="3">
        <v>0.0</v>
      </c>
      <c r="F5301" s="3" t="s">
        <v>15241</v>
      </c>
      <c r="G5301" s="3">
        <v>1.0</v>
      </c>
      <c r="H5301" s="3">
        <v>0.0</v>
      </c>
      <c r="I5301" s="3" t="s">
        <v>13</v>
      </c>
      <c r="J5301" s="3" t="s">
        <v>15242</v>
      </c>
      <c r="K5301" s="3" t="s">
        <v>71</v>
      </c>
      <c r="L5301" s="3" t="str">
        <f>IFERROR(__xludf.DUMMYFUNCTION("GOOGLETRANSLATE(F5301,""id"",""en"")"),"The initial predictions of Pildun were indeed Argentina winning because the chase of Messi retired this year only Portugal could not enter the final")</f>
        <v>The initial predictions of Pildun were indeed Argentina winning because the chase of Messi retired this year only Portugal could not enter the final</v>
      </c>
    </row>
    <row r="5302" ht="15.75" customHeight="1">
      <c r="A5302" s="1">
        <v>6472.0</v>
      </c>
      <c r="B5302" s="3" t="s">
        <v>15243</v>
      </c>
      <c r="C5302" s="3">
        <v>0.0</v>
      </c>
      <c r="D5302" s="3">
        <v>0.0</v>
      </c>
      <c r="E5302" s="3">
        <v>0.0</v>
      </c>
      <c r="F5302" s="3" t="s">
        <v>15243</v>
      </c>
      <c r="G5302" s="3">
        <v>1.0</v>
      </c>
      <c r="H5302" s="3">
        <v>0.0</v>
      </c>
      <c r="I5302" s="3" t="s">
        <v>13</v>
      </c>
      <c r="J5302" s="3" t="s">
        <v>15244</v>
      </c>
      <c r="K5302" s="3" t="s">
        <v>54</v>
      </c>
      <c r="L5302" s="3" t="str">
        <f>IFERROR(__xludf.DUMMYFUNCTION("GOOGLETRANSLATE(F5302,""id"",""en"")"),"sad really can't watch the final pildun")</f>
        <v>sad really can't watch the final pildun</v>
      </c>
    </row>
    <row r="5303" ht="15.75" customHeight="1">
      <c r="A5303" s="1">
        <v>6473.0</v>
      </c>
      <c r="B5303" s="3" t="s">
        <v>15245</v>
      </c>
      <c r="C5303" s="3">
        <v>0.0</v>
      </c>
      <c r="D5303" s="3">
        <v>0.0</v>
      </c>
      <c r="E5303" s="3">
        <v>0.0</v>
      </c>
      <c r="F5303" s="3" t="s">
        <v>15246</v>
      </c>
      <c r="G5303" s="3">
        <v>0.65</v>
      </c>
      <c r="H5303" s="3">
        <v>0.5</v>
      </c>
      <c r="I5303" s="3" t="s">
        <v>48</v>
      </c>
      <c r="J5303" s="3" t="s">
        <v>15247</v>
      </c>
      <c r="K5303" s="3" t="s">
        <v>71</v>
      </c>
      <c r="L5303" s="3" t="str">
        <f>IFERROR(__xludf.DUMMYFUNCTION("GOOGLETRANSLATE(F5303,""id"",""en"")"),"Best Pildun Starting from the Ter Plot Twist Stage Group until the Final which was shouted by the rating of ratings")</f>
        <v>Best Pildun Starting from the Ter Plot Twist Stage Group until the Final which was shouted by the rating of ratings</v>
      </c>
    </row>
    <row r="5304" ht="15.75" customHeight="1">
      <c r="A5304" s="1">
        <v>6474.0</v>
      </c>
      <c r="B5304" s="3" t="s">
        <v>15248</v>
      </c>
      <c r="C5304" s="3">
        <v>0.0</v>
      </c>
      <c r="D5304" s="3">
        <v>0.0</v>
      </c>
      <c r="E5304" s="3">
        <v>2.0</v>
      </c>
      <c r="F5304" s="3" t="s">
        <v>15249</v>
      </c>
      <c r="G5304" s="3">
        <v>1.0</v>
      </c>
      <c r="H5304" s="3">
        <v>0.0</v>
      </c>
      <c r="I5304" s="3" t="s">
        <v>13</v>
      </c>
      <c r="J5304" s="3" t="s">
        <v>15250</v>
      </c>
      <c r="K5304" s="3" t="s">
        <v>437</v>
      </c>
      <c r="L5304" s="3" t="str">
        <f>IFERROR(__xludf.DUMMYFUNCTION("GOOGLETRANSLATE(F5304,""id"",""en"")"),"The classy moment of Qatar is able to slip the value of Islam in the Pildun with the professional Arab state able to stand out the extraordinary final")</f>
        <v>The classy moment of Qatar is able to slip the value of Islam in the Pildun with the professional Arab state able to stand out the extraordinary final</v>
      </c>
    </row>
    <row r="5305" ht="15.75" customHeight="1">
      <c r="A5305" s="1">
        <v>6475.0</v>
      </c>
      <c r="B5305" s="3" t="s">
        <v>15251</v>
      </c>
      <c r="C5305" s="3">
        <v>0.0</v>
      </c>
      <c r="D5305" s="3">
        <v>0.0</v>
      </c>
      <c r="E5305" s="3">
        <v>0.0</v>
      </c>
      <c r="F5305" s="3" t="s">
        <v>15252</v>
      </c>
      <c r="G5305" s="3">
        <v>1.0</v>
      </c>
      <c r="H5305" s="3">
        <v>0.0</v>
      </c>
      <c r="I5305" s="3" t="s">
        <v>13</v>
      </c>
      <c r="J5305" s="3" t="s">
        <v>15253</v>
      </c>
      <c r="K5305" s="3" t="s">
        <v>510</v>
      </c>
      <c r="L5305" s="3" t="str">
        <f>IFERROR(__xludf.DUMMYFUNCTION("GOOGLETRANSLATE(F5305,""id"",""en"")"),"I once watched pildun just when the final and looked at it, I was sad")</f>
        <v>I once watched pildun just when the final and looked at it, I was sad</v>
      </c>
    </row>
    <row r="5306" ht="15.75" customHeight="1">
      <c r="A5306" s="1">
        <v>6476.0</v>
      </c>
      <c r="B5306" s="3" t="s">
        <v>15254</v>
      </c>
      <c r="C5306" s="3">
        <v>0.0</v>
      </c>
      <c r="D5306" s="3">
        <v>0.0</v>
      </c>
      <c r="E5306" s="3">
        <v>0.0</v>
      </c>
      <c r="F5306" s="3" t="s">
        <v>15255</v>
      </c>
      <c r="G5306" s="3">
        <v>1.0</v>
      </c>
      <c r="H5306" s="3">
        <v>0.0</v>
      </c>
      <c r="I5306" s="3" t="s">
        <v>13</v>
      </c>
      <c r="J5306" s="3" t="s">
        <v>15256</v>
      </c>
      <c r="K5306" s="3" t="s">
        <v>41</v>
      </c>
      <c r="L5306" s="3" t="str">
        <f>IFERROR(__xludf.DUMMYFUNCTION("GOOGLETRANSLATE(F5306,""id"",""en"")"),"I was shocked at night, what the hell was there a final of the pildun anjir")</f>
        <v>I was shocked at night, what the hell was there a final of the pildun anjir</v>
      </c>
    </row>
    <row r="5307" ht="15.75" customHeight="1">
      <c r="A5307" s="1">
        <v>6477.0</v>
      </c>
      <c r="B5307" s="3" t="s">
        <v>15257</v>
      </c>
      <c r="C5307" s="3">
        <v>1.0</v>
      </c>
      <c r="D5307" s="3">
        <v>0.0</v>
      </c>
      <c r="E5307" s="3">
        <v>0.0</v>
      </c>
      <c r="F5307" s="3" t="s">
        <v>15258</v>
      </c>
      <c r="G5307" s="3">
        <v>1.0</v>
      </c>
      <c r="H5307" s="3">
        <v>0.0</v>
      </c>
      <c r="I5307" s="3" t="s">
        <v>13</v>
      </c>
      <c r="J5307" s="3" t="s">
        <v>15259</v>
      </c>
      <c r="K5307" s="3" t="s">
        <v>1345</v>
      </c>
      <c r="L5307" s="3" t="str">
        <f>IFERROR(__xludf.DUMMYFUNCTION("GOOGLETRANSLATE(F5307,""id"",""en"")"),"People in talking about the final pildun pildun except the Akhowat")</f>
        <v>People in talking about the final pildun pildun except the Akhowat</v>
      </c>
    </row>
    <row r="5308" ht="15.75" customHeight="1">
      <c r="A5308" s="1">
        <v>6478.0</v>
      </c>
      <c r="B5308" s="3" t="s">
        <v>15260</v>
      </c>
      <c r="C5308" s="3">
        <v>1.0</v>
      </c>
      <c r="D5308" s="3">
        <v>0.0</v>
      </c>
      <c r="E5308" s="3">
        <v>1.0</v>
      </c>
      <c r="F5308" s="3" t="s">
        <v>15261</v>
      </c>
      <c r="G5308" s="3">
        <v>1.0</v>
      </c>
      <c r="H5308" s="3">
        <v>0.0</v>
      </c>
      <c r="I5308" s="3" t="s">
        <v>13</v>
      </c>
      <c r="J5308" s="3" t="s">
        <v>15262</v>
      </c>
      <c r="K5308" s="3" t="s">
        <v>15</v>
      </c>
      <c r="L5308" s="3" t="str">
        <f>IFERROR(__xludf.DUMMYFUNCTION("GOOGLETRANSLATE(F5308,""id"",""en"")"),"Duren, if the recovery day means the restrictions for the final pildun")</f>
        <v>Duren, if the recovery day means the restrictions for the final pildun</v>
      </c>
    </row>
    <row r="5309" ht="15.75" customHeight="1">
      <c r="A5309" s="1">
        <v>6479.0</v>
      </c>
      <c r="B5309" s="3" t="s">
        <v>15263</v>
      </c>
      <c r="C5309" s="3">
        <v>1.0</v>
      </c>
      <c r="D5309" s="3">
        <v>0.0</v>
      </c>
      <c r="E5309" s="3">
        <v>0.0</v>
      </c>
      <c r="F5309" s="3" t="s">
        <v>15264</v>
      </c>
      <c r="G5309" s="3">
        <v>1.0</v>
      </c>
      <c r="H5309" s="3">
        <v>0.0</v>
      </c>
      <c r="I5309" s="3" t="s">
        <v>13</v>
      </c>
      <c r="J5309" s="3" t="s">
        <v>15265</v>
      </c>
      <c r="K5309" s="3" t="s">
        <v>71</v>
      </c>
      <c r="L5309" s="3" t="str">
        <f>IFERROR(__xludf.DUMMYFUNCTION("GOOGLETRANSLATE(F5309,""id"",""en"")"),"This is Monday, it's true that the streets are quiet in the late time after staying up late watching the final pildun")</f>
        <v>This is Monday, it's true that the streets are quiet in the late time after staying up late watching the final pildun</v>
      </c>
    </row>
    <row r="5310" ht="15.75" customHeight="1">
      <c r="A5310" s="1">
        <v>6480.0</v>
      </c>
      <c r="B5310" s="3" t="s">
        <v>15266</v>
      </c>
      <c r="C5310" s="3">
        <v>1.0</v>
      </c>
      <c r="D5310" s="3">
        <v>0.0</v>
      </c>
      <c r="E5310" s="3">
        <v>0.0</v>
      </c>
      <c r="F5310" s="3" t="s">
        <v>15267</v>
      </c>
      <c r="G5310" s="3">
        <v>0.8</v>
      </c>
      <c r="H5310" s="3">
        <v>0.35</v>
      </c>
      <c r="I5310" s="3" t="s">
        <v>48</v>
      </c>
      <c r="J5310" s="3" t="s">
        <v>15268</v>
      </c>
      <c r="K5310" s="3" t="s">
        <v>58</v>
      </c>
      <c r="L5310" s="3" t="str">
        <f>IFERROR(__xludf.DUMMYFUNCTION("GOOGLETRANSLATE(F5310,""id"",""en"")"),"Good Morning Djiwa Djiwa who is lacking sleeping GRGR watched the final pildun this morning wkwkw")</f>
        <v>Good Morning Djiwa Djiwa who is lacking sleeping GRGR watched the final pildun this morning wkwkw</v>
      </c>
    </row>
    <row r="5311" ht="15.75" customHeight="1">
      <c r="A5311" s="1">
        <v>6481.0</v>
      </c>
      <c r="B5311" s="3" t="s">
        <v>15269</v>
      </c>
      <c r="C5311" s="3">
        <v>0.0</v>
      </c>
      <c r="D5311" s="3">
        <v>0.0</v>
      </c>
      <c r="E5311" s="3">
        <v>2.0</v>
      </c>
      <c r="F5311" s="3" t="s">
        <v>15270</v>
      </c>
      <c r="G5311" s="3">
        <v>1.0</v>
      </c>
      <c r="H5311" s="3">
        <v>0.0</v>
      </c>
      <c r="I5311" s="3" t="s">
        <v>13</v>
      </c>
      <c r="J5311" s="3" t="s">
        <v>15271</v>
      </c>
      <c r="K5311" s="3" t="s">
        <v>54</v>
      </c>
      <c r="L5311" s="3" t="str">
        <f>IFERROR(__xludf.DUMMYFUNCTION("GOOGLETRANSLATE(F5311,""id"",""en"")"),"Chat Mesi Mamah After the Final Pildun")</f>
        <v>Chat Mesi Mamah After the Final Pildun</v>
      </c>
    </row>
    <row r="5312" ht="15.75" customHeight="1">
      <c r="A5312" s="1">
        <v>6482.0</v>
      </c>
      <c r="B5312" s="3" t="s">
        <v>15272</v>
      </c>
      <c r="C5312" s="3">
        <v>0.0</v>
      </c>
      <c r="D5312" s="3">
        <v>0.0</v>
      </c>
      <c r="E5312" s="3">
        <v>1.0</v>
      </c>
      <c r="F5312" s="3" t="s">
        <v>15273</v>
      </c>
      <c r="G5312" s="3">
        <v>1.0</v>
      </c>
      <c r="H5312" s="3">
        <v>0.0</v>
      </c>
      <c r="I5312" s="3" t="s">
        <v>13</v>
      </c>
      <c r="J5312" s="3" t="s">
        <v>15274</v>
      </c>
      <c r="K5312" s="3" t="s">
        <v>657</v>
      </c>
      <c r="L5312" s="3" t="str">
        <f>IFERROR(__xludf.DUMMYFUNCTION("GOOGLETRANSLATE(F5312,""id"",""en"")"),"bwat who lost a home car motorcycle and even changed religion because of the final pildun, hopefully it will be given fortitude and patience")</f>
        <v>bwat who lost a home car motorcycle and even changed religion because of the final pildun, hopefully it will be given fortitude and patience</v>
      </c>
    </row>
    <row r="5313" ht="15.75" customHeight="1">
      <c r="A5313" s="1">
        <v>6483.0</v>
      </c>
      <c r="B5313" s="3" t="s">
        <v>15275</v>
      </c>
      <c r="C5313" s="3">
        <v>0.0</v>
      </c>
      <c r="D5313" s="3">
        <v>0.0</v>
      </c>
      <c r="E5313" s="3">
        <v>0.0</v>
      </c>
      <c r="F5313" s="3" t="s">
        <v>15276</v>
      </c>
      <c r="G5313" s="3">
        <v>1.0</v>
      </c>
      <c r="H5313" s="3">
        <v>0.0</v>
      </c>
      <c r="I5313" s="3" t="s">
        <v>13</v>
      </c>
      <c r="J5313" s="3" t="s">
        <v>15277</v>
      </c>
      <c r="K5313" s="3" t="s">
        <v>82</v>
      </c>
      <c r="L5313" s="3" t="str">
        <f>IFERROR(__xludf.DUMMYFUNCTION("GOOGLETRANSLATE(F5313,""id"",""en"")"),"The final of the pildun emg is that")</f>
        <v>The final of the pildun emg is that</v>
      </c>
    </row>
    <row r="5314" ht="15.75" customHeight="1">
      <c r="A5314" s="1">
        <v>6484.0</v>
      </c>
      <c r="B5314" s="3" t="s">
        <v>15278</v>
      </c>
      <c r="C5314" s="3">
        <v>0.0</v>
      </c>
      <c r="D5314" s="3">
        <v>0.0</v>
      </c>
      <c r="E5314" s="3">
        <v>0.0</v>
      </c>
      <c r="F5314" s="3" t="s">
        <v>15279</v>
      </c>
      <c r="G5314" s="3">
        <v>1.0</v>
      </c>
      <c r="H5314" s="3">
        <v>0.0</v>
      </c>
      <c r="I5314" s="3" t="s">
        <v>13</v>
      </c>
      <c r="J5314" s="3" t="s">
        <v>15280</v>
      </c>
      <c r="K5314" s="3" t="s">
        <v>308</v>
      </c>
      <c r="L5314" s="3" t="str">
        <f>IFERROR(__xludf.DUMMYFUNCTION("GOOGLETRANSLATE(F5314,""id"",""en"")"),"Kadung Mesesangi Buy Messi Argentina Jersey Final Pilduun Hate Messi Sbnr if the club is the seneng oath first goat Argentina before it was made a big club again")</f>
        <v>Kadung Mesesangi Buy Messi Argentina Jersey Final Pilduun Hate Messi Sbnr if the club is the seneng oath first goat Argentina before it was made a big club again</v>
      </c>
    </row>
    <row r="5315" ht="15.75" customHeight="1">
      <c r="A5315" s="1">
        <v>6485.0</v>
      </c>
      <c r="B5315" s="3" t="s">
        <v>15281</v>
      </c>
      <c r="C5315" s="3">
        <v>0.0</v>
      </c>
      <c r="D5315" s="3">
        <v>0.0</v>
      </c>
      <c r="E5315" s="3">
        <v>6.0</v>
      </c>
      <c r="F5315" s="3" t="s">
        <v>15282</v>
      </c>
      <c r="G5315" s="3">
        <v>1.0</v>
      </c>
      <c r="H5315" s="3">
        <v>0.0</v>
      </c>
      <c r="I5315" s="3" t="s">
        <v>13</v>
      </c>
      <c r="J5315" s="3" t="s">
        <v>15283</v>
      </c>
      <c r="K5315" s="3" t="s">
        <v>1045</v>
      </c>
      <c r="L5315" s="3" t="str">
        <f>IFERROR(__xludf.DUMMYFUNCTION("GOOGLETRANSLATE(F5315,""id"",""en"")"),"wake up late because after watching the final pildun doesn't disappoint, hehe kanggoin just cook lightning and the children have not woken up so that they are already off too hehe good morning friends tweetland friends are enthusiastic about remembering b"&amp;"reakfast")</f>
        <v>wake up late because after watching the final pildun doesn't disappoint, hehe kanggoin just cook lightning and the children have not woken up so that they are already off too hehe good morning friends tweetland friends are enthusiastic about remembering breakfast</v>
      </c>
    </row>
    <row r="5316" ht="15.75" customHeight="1">
      <c r="A5316" s="1">
        <v>6486.0</v>
      </c>
      <c r="B5316" s="3" t="s">
        <v>15284</v>
      </c>
      <c r="C5316" s="3">
        <v>0.0</v>
      </c>
      <c r="D5316" s="3">
        <v>0.0</v>
      </c>
      <c r="E5316" s="3">
        <v>0.0</v>
      </c>
      <c r="F5316" s="3" t="s">
        <v>15285</v>
      </c>
      <c r="G5316" s="3">
        <v>0.775</v>
      </c>
      <c r="H5316" s="3">
        <v>0.175</v>
      </c>
      <c r="I5316" s="3" t="s">
        <v>48</v>
      </c>
      <c r="J5316" s="3" t="s">
        <v>15286</v>
      </c>
      <c r="K5316" s="3" t="s">
        <v>433</v>
      </c>
      <c r="L5316" s="3" t="str">
        <f>IFERROR(__xludf.DUMMYFUNCTION("GOOGLETRANSLATE(F5316,""id"",""en"")"),"Alhamdulillah, Argentina won Rafathar full smile was blamed again because wearing Argentina jersey when watching the final pildun")</f>
        <v>Alhamdulillah, Argentina won Rafathar full smile was blamed again because wearing Argentina jersey when watching the final pildun</v>
      </c>
    </row>
    <row r="5317" ht="15.75" customHeight="1">
      <c r="A5317" s="1">
        <v>6487.0</v>
      </c>
      <c r="B5317" s="3" t="s">
        <v>15287</v>
      </c>
      <c r="C5317" s="3">
        <v>1.0</v>
      </c>
      <c r="D5317" s="3">
        <v>0.0</v>
      </c>
      <c r="E5317" s="3">
        <v>0.0</v>
      </c>
      <c r="F5317" s="3" t="s">
        <v>15288</v>
      </c>
      <c r="G5317" s="3">
        <v>1.0</v>
      </c>
      <c r="H5317" s="3">
        <v>0.0</v>
      </c>
      <c r="I5317" s="3" t="s">
        <v>13</v>
      </c>
      <c r="J5317" s="3" t="s">
        <v>15289</v>
      </c>
      <c r="K5317" s="3" t="s">
        <v>54</v>
      </c>
      <c r="L5317" s="3" t="str">
        <f>IFERROR(__xludf.DUMMYFUNCTION("GOOGLETRANSLATE(F5317,""id"",""en"")"),"Morning Chat Office Discussing the Final Pilduun")</f>
        <v>Morning Chat Office Discussing the Final Pilduun</v>
      </c>
    </row>
    <row r="5318" ht="15.75" customHeight="1">
      <c r="A5318" s="1">
        <v>6488.0</v>
      </c>
      <c r="B5318" s="3" t="s">
        <v>15290</v>
      </c>
      <c r="C5318" s="3">
        <v>0.0</v>
      </c>
      <c r="D5318" s="3">
        <v>0.0</v>
      </c>
      <c r="E5318" s="3">
        <v>0.0</v>
      </c>
      <c r="F5318" s="3" t="s">
        <v>15291</v>
      </c>
      <c r="G5318" s="3">
        <v>1.0</v>
      </c>
      <c r="H5318" s="3">
        <v>0.0</v>
      </c>
      <c r="I5318" s="3" t="s">
        <v>13</v>
      </c>
      <c r="J5318" s="3" t="s">
        <v>15292</v>
      </c>
      <c r="K5318" s="3" t="s">
        <v>75</v>
      </c>
      <c r="L5318" s="3" t="str">
        <f>IFERROR(__xludf.DUMMYFUNCTION("GOOGLETRANSLATE(F5318,""id"",""en"")"),"The weak person is the ones who work in the afternoon because they have been watching the final of the pildun")</f>
        <v>The weak person is the ones who work in the afternoon because they have been watching the final of the pildun</v>
      </c>
    </row>
    <row r="5319" ht="15.75" customHeight="1">
      <c r="A5319" s="1">
        <v>6489.0</v>
      </c>
      <c r="B5319" s="3" t="s">
        <v>15293</v>
      </c>
      <c r="C5319" s="3">
        <v>0.0</v>
      </c>
      <c r="D5319" s="3">
        <v>0.0</v>
      </c>
      <c r="E5319" s="3">
        <v>0.0</v>
      </c>
      <c r="F5319" s="3" t="s">
        <v>15294</v>
      </c>
      <c r="G5319" s="3">
        <v>1.0</v>
      </c>
      <c r="H5319" s="3">
        <v>0.0</v>
      </c>
      <c r="I5319" s="3" t="s">
        <v>13</v>
      </c>
      <c r="J5319" s="3" t="s">
        <v>15295</v>
      </c>
      <c r="K5319" s="3" t="s">
        <v>2117</v>
      </c>
      <c r="L5319" s="3" t="str">
        <f>IFERROR(__xludf.DUMMYFUNCTION("GOOGLETRANSLATE(F5319,""id"",""en"")"),"Hattrick Final Pildun")</f>
        <v>Hattrick Final Pildun</v>
      </c>
    </row>
    <row r="5320" ht="15.75" customHeight="1">
      <c r="A5320" s="1">
        <v>6490.0</v>
      </c>
      <c r="B5320" s="3" t="s">
        <v>15296</v>
      </c>
      <c r="C5320" s="3">
        <v>0.0</v>
      </c>
      <c r="D5320" s="3">
        <v>0.0</v>
      </c>
      <c r="E5320" s="3">
        <v>0.0</v>
      </c>
      <c r="F5320" s="3" t="s">
        <v>15297</v>
      </c>
      <c r="G5320" s="3">
        <v>1.0</v>
      </c>
      <c r="H5320" s="3">
        <v>0.0</v>
      </c>
      <c r="I5320" s="3" t="s">
        <v>13</v>
      </c>
      <c r="J5320" s="3" t="s">
        <v>15298</v>
      </c>
      <c r="K5320" s="3" t="s">
        <v>3156</v>
      </c>
      <c r="L5320" s="3" t="str">
        <f>IFERROR(__xludf.DUMMYFUNCTION("GOOGLETRANSLATE(F5320,""id"",""en"")"),"The reason for watching the final pildun is because they are curious about Dybala, the reason for supporting Messi is because Neymar is the reason for not like MBAPPE because it is hostile to Neymar")</f>
        <v>The reason for watching the final pildun is because they are curious about Dybala, the reason for supporting Messi is because Neymar is the reason for not like MBAPPE because it is hostile to Neymar</v>
      </c>
    </row>
    <row r="5321" ht="15.75" customHeight="1">
      <c r="A5321" s="1">
        <v>6491.0</v>
      </c>
      <c r="B5321" s="3" t="s">
        <v>15299</v>
      </c>
      <c r="C5321" s="3">
        <v>0.0</v>
      </c>
      <c r="D5321" s="3">
        <v>0.0</v>
      </c>
      <c r="E5321" s="3">
        <v>0.0</v>
      </c>
      <c r="F5321" s="3" t="s">
        <v>15300</v>
      </c>
      <c r="G5321" s="3">
        <v>0.77</v>
      </c>
      <c r="H5321" s="3">
        <v>0.33</v>
      </c>
      <c r="I5321" s="3" t="s">
        <v>48</v>
      </c>
      <c r="J5321" s="3" t="s">
        <v>15301</v>
      </c>
      <c r="K5321" s="3" t="s">
        <v>437</v>
      </c>
      <c r="L5321" s="3" t="str">
        <f>IFERROR(__xludf.DUMMYFUNCTION("GOOGLETRANSLATE(F5321,""id"",""en"")"),"First this season watching the full eagles game because watching the final of the Pildun Fair Trade Witnessing Messi Legendary Moment")</f>
        <v>First this season watching the full eagles game because watching the final of the Pildun Fair Trade Witnessing Messi Legendary Moment</v>
      </c>
    </row>
    <row r="5322" ht="15.75" customHeight="1">
      <c r="A5322" s="1">
        <v>6492.0</v>
      </c>
      <c r="B5322" s="3" t="s">
        <v>15302</v>
      </c>
      <c r="C5322" s="3">
        <v>1.0</v>
      </c>
      <c r="D5322" s="3">
        <v>0.0</v>
      </c>
      <c r="E5322" s="3">
        <v>0.0</v>
      </c>
      <c r="F5322" s="3" t="s">
        <v>15303</v>
      </c>
      <c r="G5322" s="3">
        <v>1.0</v>
      </c>
      <c r="H5322" s="3">
        <v>0.0</v>
      </c>
      <c r="I5322" s="3" t="s">
        <v>13</v>
      </c>
      <c r="J5322" s="3" t="s">
        <v>15304</v>
      </c>
      <c r="K5322" s="3" t="s">
        <v>54</v>
      </c>
      <c r="L5322" s="3" t="str">
        <f>IFERROR(__xludf.DUMMYFUNCTION("GOOGLETRANSLATE(F5322,""id"",""en"")"),"MPABBE HATTRINK STAGE Final Pilduun Gokil")</f>
        <v>MPABBE HATTRINK STAGE Final Pilduun Gokil</v>
      </c>
    </row>
    <row r="5323" ht="15.75" customHeight="1">
      <c r="A5323" s="1">
        <v>6493.0</v>
      </c>
      <c r="B5323" s="3" t="s">
        <v>15305</v>
      </c>
      <c r="C5323" s="3">
        <v>1.0</v>
      </c>
      <c r="D5323" s="3">
        <v>0.0</v>
      </c>
      <c r="E5323" s="3">
        <v>0.0</v>
      </c>
      <c r="F5323" s="3" t="s">
        <v>15306</v>
      </c>
      <c r="G5323" s="3">
        <v>1.0</v>
      </c>
      <c r="H5323" s="3">
        <v>0.0</v>
      </c>
      <c r="I5323" s="3" t="s">
        <v>13</v>
      </c>
      <c r="J5323" s="3" t="s">
        <v>15307</v>
      </c>
      <c r="K5323" s="3" t="s">
        <v>510</v>
      </c>
      <c r="L5323" s="3" t="str">
        <f>IFERROR(__xludf.DUMMYFUNCTION("GOOGLETRANSLATE(F5323,""id"",""en"")"),"I don't understand PILDUN, instead of Argentina, I have lost to Arabic, how come I can advance to the finals of curiosity or")</f>
        <v>I don't understand PILDUN, instead of Argentina, I have lost to Arabic, how come I can advance to the finals of curiosity or</v>
      </c>
    </row>
    <row r="5324" ht="15.75" customHeight="1">
      <c r="A5324" s="1">
        <v>6494.0</v>
      </c>
      <c r="B5324" s="3" t="s">
        <v>15308</v>
      </c>
      <c r="C5324" s="3">
        <v>0.0</v>
      </c>
      <c r="D5324" s="3">
        <v>1.0</v>
      </c>
      <c r="E5324" s="3">
        <v>1.0</v>
      </c>
      <c r="F5324" s="3" t="s">
        <v>15309</v>
      </c>
      <c r="G5324" s="3">
        <v>1.0</v>
      </c>
      <c r="H5324" s="3">
        <v>0.0</v>
      </c>
      <c r="I5324" s="3" t="s">
        <v>13</v>
      </c>
      <c r="J5324" s="3" t="s">
        <v>15310</v>
      </c>
      <c r="K5324" s="3" t="s">
        <v>15311</v>
      </c>
      <c r="L5324" s="3" t="str">
        <f>IFERROR(__xludf.DUMMYFUNCTION("GOOGLETRANSLATE(F5324,""id"",""en"")"),"watching the final pildun watching the final pildun")</f>
        <v>watching the final pildun watching the final pildun</v>
      </c>
    </row>
    <row r="5325" ht="15.75" customHeight="1">
      <c r="A5325" s="1">
        <v>6495.0</v>
      </c>
      <c r="B5325" s="3" t="s">
        <v>15312</v>
      </c>
      <c r="C5325" s="3">
        <v>0.0</v>
      </c>
      <c r="D5325" s="3">
        <v>0.0</v>
      </c>
      <c r="E5325" s="3">
        <v>0.0</v>
      </c>
      <c r="F5325" s="3" t="s">
        <v>15313</v>
      </c>
      <c r="G5325" s="3">
        <v>1.0</v>
      </c>
      <c r="H5325" s="3">
        <v>0.0</v>
      </c>
      <c r="I5325" s="3" t="s">
        <v>13</v>
      </c>
      <c r="J5325" s="3" t="s">
        <v>15314</v>
      </c>
      <c r="K5325" s="3" t="s">
        <v>127</v>
      </c>
      <c r="L5325" s="3" t="str">
        <f>IFERROR(__xludf.DUMMYFUNCTION("GOOGLETRANSLATE(F5325,""id"",""en"")"),"The final Pildun is the most stubborn lack of sleep so when the minute has lost your memory of getting up, it's time to watch the highlights")</f>
        <v>The final Pildun is the most stubborn lack of sleep so when the minute has lost your memory of getting up, it's time to watch the highlights</v>
      </c>
    </row>
    <row r="5326" ht="15.75" customHeight="1">
      <c r="A5326" s="1">
        <v>6496.0</v>
      </c>
      <c r="B5326" s="3" t="s">
        <v>15315</v>
      </c>
      <c r="C5326" s="3">
        <v>2.0</v>
      </c>
      <c r="D5326" s="3">
        <v>1.0</v>
      </c>
      <c r="E5326" s="3">
        <v>9.0</v>
      </c>
      <c r="F5326" s="3" t="s">
        <v>15316</v>
      </c>
      <c r="G5326" s="3">
        <v>0.7777777777777777</v>
      </c>
      <c r="H5326" s="3">
        <v>0.05555555555555555</v>
      </c>
      <c r="I5326" s="3" t="s">
        <v>48</v>
      </c>
      <c r="J5326" s="3" t="s">
        <v>15317</v>
      </c>
      <c r="K5326" s="3" t="s">
        <v>603</v>
      </c>
      <c r="L5326" s="3" t="str">
        <f>IFERROR(__xludf.DUMMYFUNCTION("GOOGLETRANSLATE(F5326,""id"",""en"")"),"I really played the final, but before entering the final, I tried to be very hard, Bang, Bang, caught the Argentine defense in front of the main fort.")</f>
        <v>I really played the final, but before entering the final, I tried to be very hard, Bang, Bang, caught the Argentine defense in front of the main fort.</v>
      </c>
    </row>
    <row r="5327" ht="15.75" customHeight="1">
      <c r="A5327" s="1">
        <v>6497.0</v>
      </c>
      <c r="B5327" s="3" t="s">
        <v>15318</v>
      </c>
      <c r="C5327" s="3">
        <v>0.0</v>
      </c>
      <c r="D5327" s="3">
        <v>0.0</v>
      </c>
      <c r="E5327" s="3">
        <v>3.0</v>
      </c>
      <c r="F5327" s="3" t="s">
        <v>15319</v>
      </c>
      <c r="G5327" s="3">
        <v>1.0</v>
      </c>
      <c r="H5327" s="3">
        <v>0.0</v>
      </c>
      <c r="I5327" s="3" t="s">
        <v>13</v>
      </c>
      <c r="J5327" s="3" t="s">
        <v>15320</v>
      </c>
      <c r="K5327" s="3" t="s">
        <v>695</v>
      </c>
      <c r="L5327" s="3" t="str">
        <f>IFERROR(__xludf.DUMMYFUNCTION("GOOGLETRANSLATE(F5327,""id"",""en"")"),"Moment with many people about the Pildun Qatar, I don't want it because the blabla is not starting to start with the final")</f>
        <v>Moment with many people about the Pildun Qatar, I don't want it because the blabla is not starting to start with the final</v>
      </c>
    </row>
    <row r="5328" ht="15.75" customHeight="1">
      <c r="A5328" s="1">
        <v>6498.0</v>
      </c>
      <c r="B5328" s="3" t="s">
        <v>15321</v>
      </c>
      <c r="C5328" s="3">
        <v>0.0</v>
      </c>
      <c r="D5328" s="3">
        <v>0.0</v>
      </c>
      <c r="E5328" s="3">
        <v>0.0</v>
      </c>
      <c r="F5328" s="3" t="s">
        <v>15322</v>
      </c>
      <c r="G5328" s="3">
        <v>1.0</v>
      </c>
      <c r="H5328" s="3">
        <v>0.0</v>
      </c>
      <c r="I5328" s="3" t="s">
        <v>13</v>
      </c>
      <c r="J5328" s="3" t="s">
        <v>15323</v>
      </c>
      <c r="K5328" s="3" t="s">
        <v>54</v>
      </c>
      <c r="L5328" s="3" t="str">
        <f>IFERROR(__xludf.DUMMYFUNCTION("GOOGLETRANSLATE(F5328,""id"",""en"")"),"Jongin watched the funny pildun final")</f>
        <v>Jongin watched the funny pildun final</v>
      </c>
    </row>
    <row r="5329" ht="15.75" customHeight="1">
      <c r="A5329" s="1">
        <v>6499.0</v>
      </c>
      <c r="B5329" s="3" t="s">
        <v>15324</v>
      </c>
      <c r="C5329" s="3">
        <v>0.0</v>
      </c>
      <c r="D5329" s="3">
        <v>0.0</v>
      </c>
      <c r="E5329" s="3">
        <v>0.0</v>
      </c>
      <c r="F5329" s="3" t="s">
        <v>15325</v>
      </c>
      <c r="G5329" s="3">
        <v>1.0</v>
      </c>
      <c r="H5329" s="3">
        <v>0.0</v>
      </c>
      <c r="I5329" s="3" t="s">
        <v>13</v>
      </c>
      <c r="J5329" s="3" t="s">
        <v>15326</v>
      </c>
      <c r="K5329" s="3" t="s">
        <v>15</v>
      </c>
      <c r="L5329" s="3" t="str">
        <f>IFERROR(__xludf.DUMMYFUNCTION("GOOGLETRANSLATE(F5329,""id"",""en"")"),"Bahloul ia Maap Typo Tirane while watching the final pildun")</f>
        <v>Bahloul ia Maap Typo Tirane while watching the final pildun</v>
      </c>
    </row>
    <row r="5330" ht="15.75" customHeight="1">
      <c r="A5330" s="1">
        <v>6500.0</v>
      </c>
      <c r="B5330" s="3" t="s">
        <v>15327</v>
      </c>
      <c r="C5330" s="3">
        <v>0.0</v>
      </c>
      <c r="D5330" s="3">
        <v>0.0</v>
      </c>
      <c r="E5330" s="3">
        <v>0.0</v>
      </c>
      <c r="F5330" s="3" t="s">
        <v>15328</v>
      </c>
      <c r="G5330" s="3">
        <v>1.0</v>
      </c>
      <c r="H5330" s="3">
        <v>0.0</v>
      </c>
      <c r="I5330" s="3" t="s">
        <v>13</v>
      </c>
      <c r="J5330" s="3" t="s">
        <v>15329</v>
      </c>
      <c r="K5330" s="3" t="s">
        <v>644</v>
      </c>
      <c r="L5330" s="3" t="str">
        <f>IFERROR(__xludf.DUMMYFUNCTION("GOOGLETRANSLATE(F5330,""id"",""en"")"),"Bang Nobar Final Pildun")</f>
        <v>Bang Nobar Final Pildun</v>
      </c>
    </row>
    <row r="5331" ht="15.75" customHeight="1">
      <c r="A5331" s="1">
        <v>6501.0</v>
      </c>
      <c r="B5331" s="3" t="s">
        <v>15330</v>
      </c>
      <c r="C5331" s="3">
        <v>0.0</v>
      </c>
      <c r="D5331" s="3">
        <v>0.0</v>
      </c>
      <c r="E5331" s="3">
        <v>0.0</v>
      </c>
      <c r="F5331" s="3" t="s">
        <v>15331</v>
      </c>
      <c r="G5331" s="3">
        <v>0.6666666666666666</v>
      </c>
      <c r="H5331" s="3">
        <v>0.08333333333333333</v>
      </c>
      <c r="I5331" s="3" t="s">
        <v>48</v>
      </c>
      <c r="J5331" s="3" t="s">
        <v>15332</v>
      </c>
      <c r="K5331" s="3" t="s">
        <v>75</v>
      </c>
      <c r="L5331" s="3" t="str">
        <f>IFERROR(__xludf.DUMMYFUNCTION("GOOGLETRANSLATE(F5331,""id"",""en"")"),"Before Pilduun, there was an imagination of playing final against Messi Doi instead losing big")</f>
        <v>Before Pilduun, there was an imagination of playing final against Messi Doi instead losing big</v>
      </c>
    </row>
    <row r="5332" ht="15.75" customHeight="1">
      <c r="A5332" s="1">
        <v>6502.0</v>
      </c>
      <c r="B5332" s="3" t="s">
        <v>15333</v>
      </c>
      <c r="C5332" s="3">
        <v>11.0</v>
      </c>
      <c r="D5332" s="3">
        <v>34.0</v>
      </c>
      <c r="E5332" s="3">
        <v>226.0</v>
      </c>
      <c r="F5332" s="3" t="s">
        <v>15334</v>
      </c>
      <c r="G5332" s="3">
        <v>1.0</v>
      </c>
      <c r="H5332" s="3">
        <v>0.0</v>
      </c>
      <c r="I5332" s="3" t="s">
        <v>13</v>
      </c>
      <c r="J5332" s="3" t="s">
        <v>15335</v>
      </c>
      <c r="K5332" s="3" t="s">
        <v>149</v>
      </c>
      <c r="L5332" s="3" t="str">
        <f>IFERROR(__xludf.DUMMYFUNCTION("GOOGLETRANSLATE(F5332,""id"",""en"")"),"Muchas Gracias Content Tweet Monday morning Mr. Band Teng after Nobar and Final Betting Andreas Jordy Arg Martin Vian Frn")</f>
        <v>Muchas Gracias Content Tweet Monday morning Mr. Band Teng after Nobar and Final Betting Andreas Jordy Arg Martin Vian Frn</v>
      </c>
    </row>
    <row r="5333" ht="15.75" customHeight="1">
      <c r="A5333" s="1">
        <v>6503.0</v>
      </c>
      <c r="B5333" s="3" t="s">
        <v>15336</v>
      </c>
      <c r="C5333" s="3">
        <v>1.0</v>
      </c>
      <c r="D5333" s="3">
        <v>0.0</v>
      </c>
      <c r="E5333" s="3">
        <v>0.0</v>
      </c>
      <c r="F5333" s="3" t="s">
        <v>15337</v>
      </c>
      <c r="G5333" s="3">
        <v>1.0</v>
      </c>
      <c r="H5333" s="3">
        <v>0.0</v>
      </c>
      <c r="I5333" s="3" t="s">
        <v>13</v>
      </c>
      <c r="J5333" s="3" t="s">
        <v>15338</v>
      </c>
      <c r="K5333" s="3" t="s">
        <v>123</v>
      </c>
      <c r="L5333" s="3" t="str">
        <f>IFERROR(__xludf.DUMMYFUNCTION("GOOGLETRANSLATE(F5333,""id"",""en"")"),"yeah, I never followed the pildun's turn last night to follow because the final turned out to be exclaimed to regret watching the beginning")</f>
        <v>yeah, I never followed the pildun's turn last night to follow because the final turned out to be exclaimed to regret watching the beginning</v>
      </c>
    </row>
    <row r="5334" ht="15.75" customHeight="1">
      <c r="A5334" s="1">
        <v>6504.0</v>
      </c>
      <c r="B5334" s="3" t="s">
        <v>15339</v>
      </c>
      <c r="C5334" s="3">
        <v>1.0</v>
      </c>
      <c r="D5334" s="3">
        <v>0.0</v>
      </c>
      <c r="E5334" s="3">
        <v>1.0</v>
      </c>
      <c r="F5334" s="3" t="s">
        <v>15340</v>
      </c>
      <c r="G5334" s="3">
        <v>1.0</v>
      </c>
      <c r="H5334" s="3">
        <v>0.0</v>
      </c>
      <c r="I5334" s="3" t="s">
        <v>13</v>
      </c>
      <c r="J5334" s="3" t="s">
        <v>15341</v>
      </c>
      <c r="K5334" s="3" t="s">
        <v>31</v>
      </c>
      <c r="L5334" s="3" t="str">
        <f>IFERROR(__xludf.DUMMYFUNCTION("GOOGLETRANSLATE(F5334,""id"",""en"")"),"Final Pilduun Teroke with Rungkad Different")</f>
        <v>Final Pilduun Teroke with Rungkad Different</v>
      </c>
    </row>
    <row r="5335" ht="15.75" customHeight="1">
      <c r="A5335" s="1">
        <v>6505.0</v>
      </c>
      <c r="B5335" s="3" t="s">
        <v>15342</v>
      </c>
      <c r="C5335" s="3">
        <v>0.0</v>
      </c>
      <c r="D5335" s="3">
        <v>0.0</v>
      </c>
      <c r="E5335" s="3">
        <v>0.0</v>
      </c>
      <c r="F5335" s="3" t="s">
        <v>15343</v>
      </c>
      <c r="G5335" s="3">
        <v>1.0</v>
      </c>
      <c r="H5335" s="3">
        <v>0.0</v>
      </c>
      <c r="I5335" s="3" t="s">
        <v>13</v>
      </c>
      <c r="J5335" s="3" t="s">
        <v>15344</v>
      </c>
      <c r="K5335" s="3" t="s">
        <v>15345</v>
      </c>
      <c r="L5335" s="3" t="str">
        <f>IFERROR(__xludf.DUMMYFUNCTION("GOOGLETRANSLATE(F5335,""id"",""en"")"),"Deg Deg with DEG DEG FINAL PILDUN")</f>
        <v>Deg Deg with DEG DEG FINAL PILDUN</v>
      </c>
    </row>
    <row r="5336" ht="15.75" customHeight="1">
      <c r="A5336" s="1">
        <v>6506.0</v>
      </c>
      <c r="B5336" s="3" t="s">
        <v>15346</v>
      </c>
      <c r="C5336" s="3">
        <v>0.0</v>
      </c>
      <c r="D5336" s="3">
        <v>0.0</v>
      </c>
      <c r="E5336" s="3">
        <v>4.0</v>
      </c>
      <c r="F5336" s="3" t="s">
        <v>15347</v>
      </c>
      <c r="G5336" s="3">
        <v>0.6375</v>
      </c>
      <c r="H5336" s="3">
        <v>0.0</v>
      </c>
      <c r="I5336" s="3" t="s">
        <v>13</v>
      </c>
      <c r="J5336" s="3" t="s">
        <v>15348</v>
      </c>
      <c r="K5336" s="3" t="s">
        <v>433</v>
      </c>
      <c r="L5336" s="3" t="str">
        <f>IFERROR(__xludf.DUMMYFUNCTION("GOOGLETRANSLATE(F5336,""id"",""en"")"),"Very satisfied with the final Pilduun What Game Congrats Argentina Goat Messi Great Game France")</f>
        <v>Very satisfied with the final Pilduun What Game Congrats Argentina Goat Messi Great Game France</v>
      </c>
    </row>
    <row r="5337" ht="15.75" customHeight="1">
      <c r="A5337" s="1">
        <v>6507.0</v>
      </c>
      <c r="B5337" s="3" t="s">
        <v>15349</v>
      </c>
      <c r="C5337" s="3">
        <v>0.0</v>
      </c>
      <c r="D5337" s="3">
        <v>0.0</v>
      </c>
      <c r="E5337" s="3">
        <v>0.0</v>
      </c>
      <c r="F5337" s="3" t="s">
        <v>15350</v>
      </c>
      <c r="G5337" s="3">
        <v>0.7666666666666666</v>
      </c>
      <c r="H5337" s="3">
        <v>0.3333333333333333</v>
      </c>
      <c r="I5337" s="3" t="s">
        <v>48</v>
      </c>
      <c r="J5337" s="3" t="s">
        <v>15351</v>
      </c>
      <c r="K5337" s="3" t="s">
        <v>308</v>
      </c>
      <c r="L5337" s="3" t="str">
        <f>IFERROR(__xludf.DUMMYFUNCTION("GOOGLETRANSLATE(F5337,""id"",""en"")"),"First watching pildun until now the Pildun is the Best full of surprises the preliminary round until the final party is delicious watching the previous pildun final pildun cos boring")</f>
        <v>First watching pildun until now the Pildun is the Best full of surprises the preliminary round until the final party is delicious watching the previous pildun final pildun cos boring</v>
      </c>
    </row>
    <row r="5338" ht="15.75" customHeight="1">
      <c r="A5338" s="1">
        <v>6508.0</v>
      </c>
      <c r="B5338" s="3" t="s">
        <v>15352</v>
      </c>
      <c r="C5338" s="3">
        <v>0.0</v>
      </c>
      <c r="D5338" s="3">
        <v>0.0</v>
      </c>
      <c r="E5338" s="3">
        <v>0.0</v>
      </c>
      <c r="F5338" s="3" t="s">
        <v>15353</v>
      </c>
      <c r="G5338" s="3">
        <v>1.0</v>
      </c>
      <c r="H5338" s="3">
        <v>0.0</v>
      </c>
      <c r="I5338" s="3" t="s">
        <v>13</v>
      </c>
      <c r="J5338" s="3" t="s">
        <v>15354</v>
      </c>
      <c r="K5338" s="3" t="s">
        <v>50</v>
      </c>
      <c r="L5338" s="3" t="str">
        <f>IFERROR(__xludf.DUMMYFUNCTION("GOOGLETRANSLATE(F5338,""id"",""en"")"),"Admittedly this is the most crowded final of the Pildun ever watched by Congratulations Entertainment Value BRRRRRRRRRRRRRRRRRRRRRRRRRRRRRRRRRRRRRRRRRRRRRRRRRRRR")</f>
        <v>Admittedly this is the most crowded final of the Pildun ever watched by Congratulations Entertainment Value BRRRRRRRRRRRRRRRRRRRRRRRRRRRRRRRRRRRRRRRRRRRRRRRRRRRR</v>
      </c>
    </row>
    <row r="5339" ht="15.75" customHeight="1">
      <c r="A5339" s="1">
        <v>6509.0</v>
      </c>
      <c r="B5339" s="3" t="s">
        <v>15355</v>
      </c>
      <c r="C5339" s="3">
        <v>1.0</v>
      </c>
      <c r="D5339" s="3">
        <v>0.0</v>
      </c>
      <c r="E5339" s="3">
        <v>0.0</v>
      </c>
      <c r="F5339" s="3" t="s">
        <v>15356</v>
      </c>
      <c r="G5339" s="3">
        <v>1.0</v>
      </c>
      <c r="H5339" s="3">
        <v>0.0</v>
      </c>
      <c r="I5339" s="3" t="s">
        <v>13</v>
      </c>
      <c r="J5339" s="3" t="s">
        <v>15357</v>
      </c>
      <c r="K5339" s="3" t="s">
        <v>3346</v>
      </c>
      <c r="L5339" s="3" t="str">
        <f>IFERROR(__xludf.DUMMYFUNCTION("GOOGLETRANSLATE(F5339,""id"",""en"")"),"I want to see the Messi Ronaldo Final Pildun, it turns out that I see Messi Ronaldo fans")</f>
        <v>I want to see the Messi Ronaldo Final Pildun, it turns out that I see Messi Ronaldo fans</v>
      </c>
    </row>
    <row r="5340" ht="15.75" customHeight="1">
      <c r="A5340" s="1">
        <v>6510.0</v>
      </c>
      <c r="B5340" s="3" t="s">
        <v>15358</v>
      </c>
      <c r="C5340" s="3">
        <v>0.0</v>
      </c>
      <c r="D5340" s="3">
        <v>0.0</v>
      </c>
      <c r="E5340" s="3">
        <v>0.0</v>
      </c>
      <c r="F5340" s="3" t="s">
        <v>15359</v>
      </c>
      <c r="G5340" s="3">
        <v>1.0</v>
      </c>
      <c r="H5340" s="3">
        <v>0.0</v>
      </c>
      <c r="I5340" s="3" t="s">
        <v>13</v>
      </c>
      <c r="J5340" s="3" t="s">
        <v>15360</v>
      </c>
      <c r="K5340" s="3" t="s">
        <v>883</v>
      </c>
      <c r="L5340" s="3" t="str">
        <f>IFERROR(__xludf.DUMMYFUNCTION("GOOGLETRANSLATE(F5340,""id"",""en"")"),"Obviously when to watch the final pildun feels riding a rollercoaster from a tense panic, panicked again and even checking the BPM arriving at the time.")</f>
        <v>Obviously when to watch the final pildun feels riding a rollercoaster from a tense panic, panicked again and even checking the BPM arriving at the time.</v>
      </c>
    </row>
    <row r="5341" ht="15.75" customHeight="1">
      <c r="A5341" s="1">
        <v>6511.0</v>
      </c>
      <c r="B5341" s="3" t="s">
        <v>15361</v>
      </c>
      <c r="C5341" s="3">
        <v>0.0</v>
      </c>
      <c r="D5341" s="3">
        <v>0.0</v>
      </c>
      <c r="E5341" s="3">
        <v>0.0</v>
      </c>
      <c r="F5341" s="3" t="s">
        <v>15362</v>
      </c>
      <c r="G5341" s="3">
        <v>1.0</v>
      </c>
      <c r="H5341" s="3">
        <v>0.0</v>
      </c>
      <c r="I5341" s="3" t="s">
        <v>13</v>
      </c>
      <c r="J5341" s="3" t="s">
        <v>15363</v>
      </c>
      <c r="K5341" s="3" t="s">
        <v>104</v>
      </c>
      <c r="L5341" s="3" t="str">
        <f>IFERROR(__xludf.DUMMYFUNCTION("GOOGLETRANSLATE(F5341,""id"",""en"")"),"This is what people don't like about Messi's fans they forget that Messi Messi is already the best to remember the heroes of the victory of all actually in the Pildun, especially the final, don't just messa Messi, my Messi fans and")</f>
        <v>This is what people don't like about Messi's fans they forget that Messi Messi is already the best to remember the heroes of the victory of all actually in the Pildun, especially the final, don't just messa Messi, my Messi fans and</v>
      </c>
    </row>
    <row r="5342" ht="15.75" customHeight="1">
      <c r="A5342" s="1">
        <v>6512.0</v>
      </c>
      <c r="B5342" s="3" t="s">
        <v>15364</v>
      </c>
      <c r="C5342" s="3">
        <v>0.0</v>
      </c>
      <c r="D5342" s="3">
        <v>0.0</v>
      </c>
      <c r="E5342" s="3">
        <v>0.0</v>
      </c>
      <c r="F5342" s="3" t="s">
        <v>15365</v>
      </c>
      <c r="G5342" s="3">
        <v>1.0</v>
      </c>
      <c r="H5342" s="3">
        <v>0.0</v>
      </c>
      <c r="I5342" s="3" t="s">
        <v>13</v>
      </c>
      <c r="J5342" s="3" t="s">
        <v>15366</v>
      </c>
      <c r="K5342" s="3" t="s">
        <v>41</v>
      </c>
      <c r="L5342" s="3" t="str">
        <f>IFERROR(__xludf.DUMMYFUNCTION("GOOGLETRANSLATE(F5342,""id"",""en"")"),"but the original is relieved sattt to live dead")</f>
        <v>but the original is relieved sattt to live dead</v>
      </c>
    </row>
    <row r="5343" ht="15.75" customHeight="1">
      <c r="A5343" s="1">
        <v>6513.0</v>
      </c>
      <c r="B5343" s="3" t="s">
        <v>15367</v>
      </c>
      <c r="C5343" s="3">
        <v>0.0</v>
      </c>
      <c r="D5343" s="3">
        <v>0.0</v>
      </c>
      <c r="E5343" s="3">
        <v>1.0</v>
      </c>
      <c r="F5343" s="3" t="s">
        <v>15368</v>
      </c>
      <c r="G5343" s="3">
        <v>0.0</v>
      </c>
      <c r="H5343" s="3">
        <v>0.0</v>
      </c>
      <c r="I5343" s="3" t="s">
        <v>13</v>
      </c>
      <c r="J5343" s="3" t="s">
        <v>15369</v>
      </c>
      <c r="K5343" s="3" t="s">
        <v>467</v>
      </c>
      <c r="L5343" s="3" t="str">
        <f>IFERROR(__xludf.DUMMYFUNCTION("GOOGLETRANSLATE(F5343,""id"",""en"")"),"It was Argentina's turn to be given a Pinalty that was said to be cheating with Pinalty Argentina")</f>
        <v>It was Argentina's turn to be given a Pinalty that was said to be cheating with Pinalty Argentina</v>
      </c>
    </row>
    <row r="5344" ht="15.75" customHeight="1">
      <c r="A5344" s="1">
        <v>6514.0</v>
      </c>
      <c r="B5344" s="3" t="s">
        <v>15370</v>
      </c>
      <c r="C5344" s="3">
        <v>7.0</v>
      </c>
      <c r="D5344" s="3">
        <v>13.0</v>
      </c>
      <c r="E5344" s="3">
        <v>109.0</v>
      </c>
      <c r="F5344" s="3" t="s">
        <v>15371</v>
      </c>
      <c r="G5344" s="3">
        <v>0.0</v>
      </c>
      <c r="H5344" s="3">
        <v>0.0</v>
      </c>
      <c r="I5344" s="3" t="s">
        <v>13</v>
      </c>
      <c r="J5344" s="3" t="s">
        <v>15372</v>
      </c>
      <c r="K5344" s="3" t="s">
        <v>9802</v>
      </c>
      <c r="L5344" s="3" t="str">
        <f>IFERROR(__xludf.DUMMYFUNCTION("GOOGLETRANSLATE(F5344,""id"",""en"")"),"well, if Argentina can be a penalty considering cheating France's turn to consider Argentina to lose Arab's opponent to win Poland Mexico Australia without the help of a penalty against Dutch French fighting fate")</f>
        <v>well, if Argentina can be a penalty considering cheating France's turn to consider Argentina to lose Arab's opponent to win Poland Mexico Australia without the help of a penalty against Dutch French fighting fate</v>
      </c>
    </row>
    <row r="5345" ht="15.75" customHeight="1">
      <c r="A5345" s="1">
        <v>6515.0</v>
      </c>
      <c r="B5345" s="3" t="s">
        <v>15373</v>
      </c>
      <c r="C5345" s="3">
        <v>0.0</v>
      </c>
      <c r="D5345" s="3">
        <v>0.0</v>
      </c>
      <c r="E5345" s="3">
        <v>0.0</v>
      </c>
      <c r="F5345" s="3" t="s">
        <v>15374</v>
      </c>
      <c r="G5345" s="3">
        <v>0.0</v>
      </c>
      <c r="H5345" s="3">
        <v>0.0</v>
      </c>
      <c r="I5345" s="3" t="s">
        <v>13</v>
      </c>
      <c r="J5345" s="3" t="s">
        <v>15375</v>
      </c>
      <c r="K5345" s="3" t="s">
        <v>35</v>
      </c>
      <c r="L5345" s="3" t="str">
        <f>IFERROR(__xludf.DUMMYFUNCTION("GOOGLETRANSLATE(F5345,""id"",""en"")"),"Is it because Argentina can be a penalty saying cheating with France, how come the penalty champion is deemed worthy")</f>
        <v>Is it because Argentina can be a penalty saying cheating with France, how come the penalty champion is deemed worthy</v>
      </c>
    </row>
    <row r="5346" ht="15.75" customHeight="1">
      <c r="A5346" s="1">
        <v>6516.0</v>
      </c>
      <c r="B5346" s="3" t="s">
        <v>15376</v>
      </c>
      <c r="C5346" s="3">
        <v>26.0</v>
      </c>
      <c r="D5346" s="3">
        <v>3.0</v>
      </c>
      <c r="E5346" s="3">
        <v>28.0</v>
      </c>
      <c r="F5346" s="3" t="s">
        <v>15377</v>
      </c>
      <c r="G5346" s="3">
        <v>0.0</v>
      </c>
      <c r="H5346" s="3">
        <v>0.0</v>
      </c>
      <c r="I5346" s="3" t="s">
        <v>13</v>
      </c>
      <c r="J5346" s="3" t="s">
        <v>15378</v>
      </c>
      <c r="K5346" s="3" t="s">
        <v>240</v>
      </c>
      <c r="L5346" s="3" t="str">
        <f>IFERROR(__xludf.DUMMYFUNCTION("GOOGLETRANSLATE(F5346,""id"",""en"")"),"French people make an online petition for the Mesopinions page they want the match to be repeated because the referee is considered to cheat your comments")</f>
        <v>French people make an online petition for the Mesopinions page they want the match to be repeated because the referee is considered to cheat your comments</v>
      </c>
    </row>
    <row r="5347" ht="15.75" customHeight="1">
      <c r="A5347" s="1">
        <v>6517.0</v>
      </c>
      <c r="B5347" s="3" t="s">
        <v>15379</v>
      </c>
      <c r="C5347" s="3">
        <v>0.0</v>
      </c>
      <c r="D5347" s="3">
        <v>0.0</v>
      </c>
      <c r="E5347" s="3">
        <v>0.0</v>
      </c>
      <c r="F5347" s="3" t="s">
        <v>15380</v>
      </c>
      <c r="G5347" s="3">
        <v>0.0</v>
      </c>
      <c r="H5347" s="3">
        <v>0.0</v>
      </c>
      <c r="I5347" s="3" t="s">
        <v>13</v>
      </c>
      <c r="J5347" s="3" t="s">
        <v>15381</v>
      </c>
      <c r="K5347" s="3" t="s">
        <v>35</v>
      </c>
      <c r="L5347" s="3" t="str">
        <f>IFERROR(__xludf.DUMMYFUNCTION("GOOGLETRANSLATE(F5347,""id"",""en"")"),"Hay, friends, Argentina is cheating but it's already happens, let Argentina celebrate the victory according to them")</f>
        <v>Hay, friends, Argentina is cheating but it's already happens, let Argentina celebrate the victory according to them</v>
      </c>
    </row>
    <row r="5348" ht="15.75" customHeight="1">
      <c r="A5348" s="1">
        <v>6518.0</v>
      </c>
      <c r="B5348" s="3" t="s">
        <v>15382</v>
      </c>
      <c r="C5348" s="3">
        <v>0.0</v>
      </c>
      <c r="D5348" s="3">
        <v>0.0</v>
      </c>
      <c r="E5348" s="3">
        <v>0.0</v>
      </c>
      <c r="F5348" s="3" t="s">
        <v>15383</v>
      </c>
      <c r="G5348" s="3">
        <v>0.0</v>
      </c>
      <c r="H5348" s="3">
        <v>0.0</v>
      </c>
      <c r="I5348" s="3" t="s">
        <v>13</v>
      </c>
      <c r="J5348" s="3" t="s">
        <v>15384</v>
      </c>
      <c r="K5348" s="3" t="s">
        <v>82</v>
      </c>
      <c r="L5348" s="3" t="str">
        <f>IFERROR(__xludf.DUMMYFUNCTION("GOOGLETRANSLATE(F5348,""id"",""en"")"),"Argentine national team accused of cheating the Qatar World Cup")</f>
        <v>Argentine national team accused of cheating the Qatar World Cup</v>
      </c>
    </row>
    <row r="5349" ht="15.75" customHeight="1">
      <c r="A5349" s="1">
        <v>6519.0</v>
      </c>
      <c r="B5349" s="3" t="s">
        <v>15385</v>
      </c>
      <c r="C5349" s="3">
        <v>0.0</v>
      </c>
      <c r="D5349" s="3">
        <v>0.0</v>
      </c>
      <c r="E5349" s="3">
        <v>0.0</v>
      </c>
      <c r="F5349" s="3" t="s">
        <v>15386</v>
      </c>
      <c r="G5349" s="3">
        <v>0.0</v>
      </c>
      <c r="H5349" s="3">
        <v>0.0</v>
      </c>
      <c r="I5349" s="3" t="s">
        <v>13</v>
      </c>
      <c r="J5349" s="3" t="s">
        <v>15387</v>
      </c>
      <c r="K5349" s="3" t="s">
        <v>19</v>
      </c>
      <c r="L5349" s="3" t="str">
        <f>IFERROR(__xludf.DUMMYFUNCTION("GOOGLETRANSLATE(F5349,""id"",""en"")"),"Pandit Mesiko accuses Argentina to become a World Cup champion with cheating, some who deliberately want to win Messi")</f>
        <v>Pandit Mesiko accuses Argentina to become a World Cup champion with cheating, some who deliberately want to win Messi</v>
      </c>
    </row>
    <row r="5350" ht="15.75" customHeight="1">
      <c r="A5350" s="1">
        <v>6520.0</v>
      </c>
      <c r="B5350" s="3" t="s">
        <v>15388</v>
      </c>
      <c r="C5350" s="3">
        <v>0.0</v>
      </c>
      <c r="D5350" s="3">
        <v>0.0</v>
      </c>
      <c r="E5350" s="3">
        <v>0.0</v>
      </c>
      <c r="F5350" s="3" t="s">
        <v>15389</v>
      </c>
      <c r="G5350" s="3">
        <v>0.0</v>
      </c>
      <c r="H5350" s="3">
        <v>0.0</v>
      </c>
      <c r="I5350" s="3" t="s">
        <v>13</v>
      </c>
      <c r="J5350" s="3" t="s">
        <v>15390</v>
      </c>
      <c r="K5350" s="3" t="s">
        <v>82</v>
      </c>
      <c r="L5350" s="3" t="str">
        <f>IFERROR(__xludf.DUMMYFUNCTION("GOOGLETRANSLATE(F5350,""id"",""en"")"),"Argentina was accused of cheating the World Cup through com")</f>
        <v>Argentina was accused of cheating the World Cup through com</v>
      </c>
    </row>
    <row r="5351" ht="15.75" customHeight="1">
      <c r="A5351" s="1">
        <v>6521.0</v>
      </c>
      <c r="B5351" s="3" t="s">
        <v>15391</v>
      </c>
      <c r="C5351" s="3">
        <v>0.0</v>
      </c>
      <c r="D5351" s="3">
        <v>0.0</v>
      </c>
      <c r="E5351" s="3">
        <v>5.0</v>
      </c>
      <c r="F5351" s="3" t="s">
        <v>15392</v>
      </c>
      <c r="G5351" s="3">
        <v>0.0</v>
      </c>
      <c r="H5351" s="3">
        <v>0.0</v>
      </c>
      <c r="I5351" s="3" t="s">
        <v>13</v>
      </c>
      <c r="J5351" s="3" t="s">
        <v>15393</v>
      </c>
      <c r="K5351" s="3" t="s">
        <v>942</v>
      </c>
      <c r="L5351" s="3" t="str">
        <f>IFERROR(__xludf.DUMMYFUNCTION("GOOGLETRANSLATE(F5351,""id"",""en"")"),"Nadhir is very cheating before Argentina Handball players are French players already handball first")</f>
        <v>Nadhir is very cheating before Argentina Handball players are French players already handball first</v>
      </c>
    </row>
    <row r="5352" ht="15.75" customHeight="1">
      <c r="A5352" s="1">
        <v>6523.0</v>
      </c>
      <c r="B5352" s="3" t="s">
        <v>15394</v>
      </c>
      <c r="C5352" s="3">
        <v>0.0</v>
      </c>
      <c r="D5352" s="3">
        <v>0.0</v>
      </c>
      <c r="E5352" s="3">
        <v>0.0</v>
      </c>
      <c r="F5352" s="3" t="s">
        <v>15395</v>
      </c>
      <c r="G5352" s="3">
        <v>1.0</v>
      </c>
      <c r="H5352" s="3">
        <v>0.0</v>
      </c>
      <c r="I5352" s="3" t="s">
        <v>13</v>
      </c>
      <c r="J5352" s="3" t="s">
        <v>15396</v>
      </c>
      <c r="K5352" s="3" t="s">
        <v>71</v>
      </c>
      <c r="L5352" s="3" t="str">
        <f>IFERROR(__xludf.DUMMYFUNCTION("GOOGLETRANSLATE(F5352,""id"",""en"")"),"The photo of Theo Hernandez Rules should hold the trophy, the final Giroud should have been set for the Argentina Referee Cheating Xixixixi")</f>
        <v>The photo of Theo Hernandez Rules should hold the trophy, the final Giroud should have been set for the Argentina Referee Cheating Xixixixi</v>
      </c>
    </row>
    <row r="5353" ht="15.75" customHeight="1">
      <c r="A5353" s="1">
        <v>6524.0</v>
      </c>
      <c r="B5353" s="3" t="s">
        <v>15397</v>
      </c>
      <c r="C5353" s="3">
        <v>0.0</v>
      </c>
      <c r="D5353" s="3">
        <v>0.0</v>
      </c>
      <c r="E5353" s="3">
        <v>0.0</v>
      </c>
      <c r="F5353" s="3" t="s">
        <v>15398</v>
      </c>
      <c r="G5353" s="3">
        <v>0.0</v>
      </c>
      <c r="H5353" s="3">
        <v>0.0</v>
      </c>
      <c r="I5353" s="3" t="s">
        <v>13</v>
      </c>
      <c r="J5353" s="3" t="s">
        <v>15399</v>
      </c>
      <c r="K5353" s="3" t="s">
        <v>437</v>
      </c>
      <c r="L5353" s="3" t="str">
        <f>IFERROR(__xludf.DUMMYFUNCTION("GOOGLETRANSLATE(F5353,""id"",""en"")"),"Blng Argentina wins Most of the fans, it turns out that the fans of his brain are all that can recognize the success of the rival")</f>
        <v>Blng Argentina wins Most of the fans, it turns out that the fans of his brain are all that can recognize the success of the rival</v>
      </c>
    </row>
    <row r="5354" ht="15.75" customHeight="1">
      <c r="A5354" s="1">
        <v>6525.0</v>
      </c>
      <c r="B5354" s="3" t="s">
        <v>15400</v>
      </c>
      <c r="C5354" s="3">
        <v>0.0</v>
      </c>
      <c r="D5354" s="3">
        <v>0.0</v>
      </c>
      <c r="E5354" s="3">
        <v>0.0</v>
      </c>
      <c r="F5354" s="3" t="s">
        <v>15401</v>
      </c>
      <c r="G5354" s="3">
        <v>0.0</v>
      </c>
      <c r="H5354" s="3">
        <v>0.0</v>
      </c>
      <c r="I5354" s="3" t="s">
        <v>13</v>
      </c>
      <c r="J5354" s="3" t="s">
        <v>15402</v>
      </c>
      <c r="K5354" s="3" t="s">
        <v>4814</v>
      </c>
      <c r="L5354" s="3" t="str">
        <f>IFERROR(__xludf.DUMMYFUNCTION("GOOGLETRANSLATE(F5354,""id"",""en"")"),"Argentine people have Italian DNA Mother Maradona Italian Italians have a grip of the art of playing soccer cheating called furbizia written by gianluca vialli, the book Italian Job is not wrong if it is called having a cheating DNA.")</f>
        <v>Argentine people have Italian DNA Mother Maradona Italian Italians have a grip of the art of playing soccer cheating called furbizia written by gianluca vialli, the book Italian Job is not wrong if it is called having a cheating DNA.</v>
      </c>
    </row>
    <row r="5355" ht="15.75" customHeight="1">
      <c r="A5355" s="1">
        <v>6526.0</v>
      </c>
      <c r="B5355" s="3" t="s">
        <v>15403</v>
      </c>
      <c r="C5355" s="3">
        <v>1.0</v>
      </c>
      <c r="D5355" s="3">
        <v>0.0</v>
      </c>
      <c r="E5355" s="3">
        <v>0.0</v>
      </c>
      <c r="F5355" s="3" t="s">
        <v>15404</v>
      </c>
      <c r="G5355" s="3">
        <v>0.0</v>
      </c>
      <c r="H5355" s="3">
        <v>0.0</v>
      </c>
      <c r="I5355" s="3" t="s">
        <v>13</v>
      </c>
      <c r="J5355" s="3" t="s">
        <v>15405</v>
      </c>
      <c r="K5355" s="3" t="s">
        <v>3819</v>
      </c>
      <c r="L5355" s="3" t="str">
        <f>IFERROR(__xludf.DUMMYFUNCTION("GOOGLETRANSLATE(F5355,""id"",""en"")"),"laaah cheating iki jenenge lek arabic arabic Araba, we wes mas, I chose Arabic, not less than half a half mas, Ancen, I am uwonge")</f>
        <v>laaah cheating iki jenenge lek arabic arabic Araba, we wes mas, I chose Arabic, not less than half a half mas, Ancen, I am uwonge</v>
      </c>
    </row>
    <row r="5356" ht="15.75" customHeight="1">
      <c r="A5356" s="1">
        <v>6527.0</v>
      </c>
      <c r="B5356" s="3" t="s">
        <v>15406</v>
      </c>
      <c r="C5356" s="3">
        <v>1.0</v>
      </c>
      <c r="D5356" s="3">
        <v>0.0</v>
      </c>
      <c r="E5356" s="3">
        <v>0.0</v>
      </c>
      <c r="F5356" s="3" t="s">
        <v>15407</v>
      </c>
      <c r="G5356" s="3">
        <v>0.0</v>
      </c>
      <c r="H5356" s="3">
        <v>0.0</v>
      </c>
      <c r="I5356" s="3" t="s">
        <v>13</v>
      </c>
      <c r="J5356" s="3" t="s">
        <v>15408</v>
      </c>
      <c r="K5356" s="3" t="s">
        <v>942</v>
      </c>
      <c r="L5356" s="3" t="str">
        <f>IFERROR(__xludf.DUMMYFUNCTION("GOOGLETRANSLATE(F5356,""id"",""en"")"),"Don't be rich in Kadrun, his brain, Mr. Jokowi, wins, said that Argentina's cheat wins said the referee cheats")</f>
        <v>Don't be rich in Kadrun, his brain, Mr. Jokowi, wins, said that Argentina's cheat wins said the referee cheats</v>
      </c>
    </row>
    <row r="5357" ht="15.75" customHeight="1">
      <c r="A5357" s="1">
        <v>6528.0</v>
      </c>
      <c r="B5357" s="3" t="s">
        <v>15409</v>
      </c>
      <c r="C5357" s="3">
        <v>1.0</v>
      </c>
      <c r="D5357" s="3">
        <v>0.0</v>
      </c>
      <c r="E5357" s="3">
        <v>0.0</v>
      </c>
      <c r="F5357" s="3" t="s">
        <v>15410</v>
      </c>
      <c r="G5357" s="3">
        <v>0.0</v>
      </c>
      <c r="H5357" s="3">
        <v>0.0</v>
      </c>
      <c r="I5357" s="3" t="s">
        <v>13</v>
      </c>
      <c r="J5357" s="3" t="s">
        <v>15411</v>
      </c>
      <c r="K5357" s="3" t="s">
        <v>491</v>
      </c>
      <c r="L5357" s="3" t="str">
        <f>IFERROR(__xludf.DUMMYFUNCTION("GOOGLETRANSLATE(F5357,""id"",""en"")"),"I was my father's house Ancrit Blio said that Argentina won cheating I was hurt, I wanted to argue but reluctant")</f>
        <v>I was my father's house Ancrit Blio said that Argentina won cheating I was hurt, I wanted to argue but reluctant</v>
      </c>
    </row>
    <row r="5358" ht="15.75" customHeight="1">
      <c r="A5358" s="1">
        <v>6529.0</v>
      </c>
      <c r="B5358" s="3" t="s">
        <v>15412</v>
      </c>
      <c r="C5358" s="3">
        <v>0.0</v>
      </c>
      <c r="D5358" s="3">
        <v>0.0</v>
      </c>
      <c r="E5358" s="3">
        <v>0.0</v>
      </c>
      <c r="F5358" s="3" t="s">
        <v>15413</v>
      </c>
      <c r="G5358" s="3">
        <v>0.0</v>
      </c>
      <c r="H5358" s="3">
        <v>0.0</v>
      </c>
      <c r="I5358" s="3" t="s">
        <v>13</v>
      </c>
      <c r="J5358" s="3" t="s">
        <v>15414</v>
      </c>
      <c r="K5358" s="3" t="s">
        <v>903</v>
      </c>
      <c r="L5358" s="3" t="str">
        <f>IFERROR(__xludf.DUMMYFUNCTION("GOOGLETRANSLATE(F5358,""id"",""en"")"),"Time Human is a material creature to cheat or not the historical facts of Argentina Champion Hands of Satan Maradona can be changed the fact he champions nuding or not the sultan is still worshiped where the earth is there Pia")</f>
        <v>Time Human is a material creature to cheat or not the historical facts of Argentina Champion Hands of Satan Maradona can be changed the fact he champions nuding or not the sultan is still worshiped where the earth is there Pia</v>
      </c>
    </row>
    <row r="5359" ht="15.75" customHeight="1">
      <c r="A5359" s="1">
        <v>6530.0</v>
      </c>
      <c r="B5359" s="3" t="s">
        <v>15415</v>
      </c>
      <c r="C5359" s="3">
        <v>0.0</v>
      </c>
      <c r="D5359" s="3">
        <v>0.0</v>
      </c>
      <c r="E5359" s="3">
        <v>0.0</v>
      </c>
      <c r="F5359" s="3" t="s">
        <v>15416</v>
      </c>
      <c r="G5359" s="3">
        <v>1.0</v>
      </c>
      <c r="H5359" s="3">
        <v>0.0</v>
      </c>
      <c r="I5359" s="3" t="s">
        <v>13</v>
      </c>
      <c r="J5359" s="3" t="s">
        <v>15417</v>
      </c>
      <c r="K5359" s="3" t="s">
        <v>54</v>
      </c>
      <c r="L5359" s="3" t="str">
        <f>IFERROR(__xludf.DUMMYFUNCTION("GOOGLETRANSLATE(F5359,""id"",""en"")"),"Why is Argentina Portugal just final if it's really cheating settings")</f>
        <v>Why is Argentina Portugal just final if it's really cheating settings</v>
      </c>
    </row>
    <row r="5360" ht="15.75" customHeight="1">
      <c r="A5360" s="1">
        <v>6531.0</v>
      </c>
      <c r="B5360" s="3" t="s">
        <v>15418</v>
      </c>
      <c r="C5360" s="3">
        <v>0.0</v>
      </c>
      <c r="D5360" s="3">
        <v>1.0</v>
      </c>
      <c r="E5360" s="3">
        <v>2.0</v>
      </c>
      <c r="F5360" s="3" t="s">
        <v>15419</v>
      </c>
      <c r="G5360" s="3">
        <v>0.0</v>
      </c>
      <c r="H5360" s="3">
        <v>0.0</v>
      </c>
      <c r="I5360" s="3" t="s">
        <v>13</v>
      </c>
      <c r="J5360" s="3" t="s">
        <v>15420</v>
      </c>
      <c r="K5360" s="3" t="s">
        <v>584</v>
      </c>
      <c r="L5360" s="3" t="str">
        <f>IFERROR(__xludf.DUMMYFUNCTION("GOOGLETRANSLATE(F5360,""id"",""en"")"),"It's better to compete if you are afraid of losing later there will be so many reasons for the KPU referee Supervisor of the Bawaslu match is considered unfair that other presidential candidates are accused of cheating and do not want to accept defeat let"&amp;"'s learn to supporters")</f>
        <v>It's better to compete if you are afraid of losing later there will be so many reasons for the KPU referee Supervisor of the Bawaslu match is considered unfair that other presidential candidates are accused of cheating and do not want to accept defeat let's learn to supporters</v>
      </c>
    </row>
    <row r="5361" ht="15.75" customHeight="1">
      <c r="A5361" s="1">
        <v>6532.0</v>
      </c>
      <c r="B5361" s="3" t="s">
        <v>15421</v>
      </c>
      <c r="C5361" s="3">
        <v>0.0</v>
      </c>
      <c r="D5361" s="3">
        <v>0.0</v>
      </c>
      <c r="E5361" s="3">
        <v>11.0</v>
      </c>
      <c r="F5361" s="3" t="s">
        <v>15422</v>
      </c>
      <c r="G5361" s="3">
        <v>0.3333333333333333</v>
      </c>
      <c r="H5361" s="3">
        <v>0.1666666666666667</v>
      </c>
      <c r="I5361" s="3" t="s">
        <v>48</v>
      </c>
      <c r="J5361" s="3" t="s">
        <v>15423</v>
      </c>
      <c r="K5361" s="3" t="s">
        <v>3721</v>
      </c>
      <c r="L5361" s="3" t="str">
        <f>IFERROR(__xludf.DUMMYFUNCTION("GOOGLETRANSLATE(F5361,""id"",""en"")"),"wkwkwkwk bang cuyff refused to play at that time the rumors were more directional cruyff who boycotted the Argentina president at that time because of the issue of human rights he was vocal before it was about that, then he was open to the sound")</f>
        <v>wkwkwkwk bang cuyff refused to play at that time the rumors were more directional cruyff who boycotted the Argentina president at that time because of the issue of human rights he was vocal before it was about that, then he was open to the sound</v>
      </c>
    </row>
    <row r="5362" ht="15.75" customHeight="1">
      <c r="A5362" s="1">
        <v>6533.0</v>
      </c>
      <c r="B5362" s="3" t="s">
        <v>15424</v>
      </c>
      <c r="C5362" s="3">
        <v>62.0</v>
      </c>
      <c r="D5362" s="3">
        <v>1.0</v>
      </c>
      <c r="E5362" s="3">
        <v>12.0</v>
      </c>
      <c r="F5362" s="3" t="s">
        <v>15425</v>
      </c>
      <c r="G5362" s="3">
        <v>0.0</v>
      </c>
      <c r="H5362" s="3">
        <v>0.0</v>
      </c>
      <c r="I5362" s="3" t="s">
        <v>13</v>
      </c>
      <c r="J5362" s="3" t="s">
        <v>15426</v>
      </c>
      <c r="K5362" s="3" t="s">
        <v>131</v>
      </c>
      <c r="L5362" s="3" t="str">
        <f>IFERROR(__xludf.DUMMYFUNCTION("GOOGLETRANSLATE(F5362,""id"",""en"")"),"I win, but winning with a cheating route, how about the settings, but still respect for Argentina Vamos Messi Ronaldo Messi All Time")</f>
        <v>I win, but winning with a cheating route, how about the settings, but still respect for Argentina Vamos Messi Ronaldo Messi All Time</v>
      </c>
    </row>
    <row r="5363" ht="15.75" customHeight="1">
      <c r="A5363" s="1">
        <v>6534.0</v>
      </c>
      <c r="B5363" s="3" t="s">
        <v>15427</v>
      </c>
      <c r="C5363" s="3">
        <v>1.0</v>
      </c>
      <c r="D5363" s="3">
        <v>0.0</v>
      </c>
      <c r="E5363" s="3">
        <v>0.0</v>
      </c>
      <c r="F5363" s="3" t="s">
        <v>15428</v>
      </c>
      <c r="G5363" s="3">
        <v>0.0</v>
      </c>
      <c r="H5363" s="3">
        <v>0.0</v>
      </c>
      <c r="I5363" s="3" t="s">
        <v>13</v>
      </c>
      <c r="J5363" s="3" t="s">
        <v>15429</v>
      </c>
      <c r="K5363" s="3" t="s">
        <v>614</v>
      </c>
      <c r="L5363" s="3" t="str">
        <f>IFERROR(__xludf.DUMMYFUNCTION("GOOGLETRANSLATE(F5363,""id"",""en"")"),"That's called Respect Goblok so I want to go on Argentina cheating while the match has finished the trash banged the thought of the thought of the thoughts from the beginning Respect Messi and ngebacod then realized it")</f>
        <v>That's called Respect Goblok so I want to go on Argentina cheating while the match has finished the trash banged the thought of the thought of the thoughts from the beginning Respect Messi and ngebacod then realized it</v>
      </c>
    </row>
    <row r="5364" ht="15.75" customHeight="1">
      <c r="A5364" s="1">
        <v>6535.0</v>
      </c>
      <c r="B5364" s="3" t="s">
        <v>15430</v>
      </c>
      <c r="C5364" s="3">
        <v>3.0</v>
      </c>
      <c r="D5364" s="3">
        <v>1.0</v>
      </c>
      <c r="E5364" s="3">
        <v>5.0</v>
      </c>
      <c r="F5364" s="3" t="s">
        <v>15431</v>
      </c>
      <c r="G5364" s="3">
        <v>0.0</v>
      </c>
      <c r="H5364" s="3">
        <v>0.0</v>
      </c>
      <c r="I5364" s="3" t="s">
        <v>13</v>
      </c>
      <c r="J5364" s="3" t="s">
        <v>15432</v>
      </c>
      <c r="K5364" s="3" t="s">
        <v>240</v>
      </c>
      <c r="L5364" s="3" t="str">
        <f>IFERROR(__xludf.DUMMYFUNCTION("GOOGLETRANSLATE(F5364,""id"",""en"")"),"yak right cuy who just champion cheating when I was against the Dutch I remember that cruyf just didn't go to Argentina to choose")</f>
        <v>yak right cuy who just champion cheating when I was against the Dutch I remember that cruyf just didn't go to Argentina to choose</v>
      </c>
    </row>
    <row r="5365" ht="15.75" customHeight="1">
      <c r="A5365" s="1">
        <v>6536.0</v>
      </c>
      <c r="B5365" s="3" t="s">
        <v>15433</v>
      </c>
      <c r="C5365" s="3">
        <v>1.0</v>
      </c>
      <c r="D5365" s="3">
        <v>0.0</v>
      </c>
      <c r="E5365" s="3">
        <v>0.0</v>
      </c>
      <c r="F5365" s="3" t="s">
        <v>15434</v>
      </c>
      <c r="G5365" s="3">
        <v>0.3333333333333333</v>
      </c>
      <c r="H5365" s="3">
        <v>0.1666666666666667</v>
      </c>
      <c r="I5365" s="3" t="s">
        <v>48</v>
      </c>
      <c r="J5365" s="3" t="s">
        <v>15435</v>
      </c>
      <c r="K5365" s="3" t="s">
        <v>644</v>
      </c>
      <c r="L5365" s="3" t="str">
        <f>IFERROR(__xludf.DUMMYFUNCTION("GOOGLETRANSLATE(F5365,""id"",""en"")"),"Cheating is Argentina playing shaman")</f>
        <v>Cheating is Argentina playing shaman</v>
      </c>
    </row>
    <row r="5366" ht="15.75" customHeight="1">
      <c r="A5366" s="1">
        <v>6537.0</v>
      </c>
      <c r="B5366" s="3" t="s">
        <v>15436</v>
      </c>
      <c r="C5366" s="3">
        <v>0.0</v>
      </c>
      <c r="D5366" s="3">
        <v>0.0</v>
      </c>
      <c r="E5366" s="3">
        <v>0.0</v>
      </c>
      <c r="F5366" s="3" t="s">
        <v>15437</v>
      </c>
      <c r="G5366" s="3">
        <v>0.0</v>
      </c>
      <c r="H5366" s="3">
        <v>0.0</v>
      </c>
      <c r="I5366" s="3" t="s">
        <v>13</v>
      </c>
      <c r="J5366" s="3" t="s">
        <v>15438</v>
      </c>
      <c r="K5366" s="3" t="s">
        <v>149</v>
      </c>
      <c r="L5366" s="3" t="str">
        <f>IFERROR(__xludf.DUMMYFUNCTION("GOOGLETRANSLATE(F5366,""id"",""en"")"),"The fortune has been arranged in such a way that you want to fight until cheating too, if it's not the time, you can't get it, I think that the motivator responds")</f>
        <v>The fortune has been arranged in such a way that you want to fight until cheating too, if it's not the time, you can't get it, I think that the motivator responds</v>
      </c>
    </row>
    <row r="5367" ht="15.75" customHeight="1">
      <c r="A5367" s="1">
        <v>6538.0</v>
      </c>
      <c r="B5367" s="3" t="s">
        <v>15439</v>
      </c>
      <c r="C5367" s="3">
        <v>0.0</v>
      </c>
      <c r="D5367" s="3">
        <v>0.0</v>
      </c>
      <c r="E5367" s="3">
        <v>0.0</v>
      </c>
      <c r="F5367" s="3" t="s">
        <v>15440</v>
      </c>
      <c r="G5367" s="3">
        <v>0.0</v>
      </c>
      <c r="H5367" s="3">
        <v>0.0</v>
      </c>
      <c r="I5367" s="3" t="s">
        <v>13</v>
      </c>
      <c r="J5367" s="3" t="s">
        <v>15441</v>
      </c>
      <c r="K5367" s="3" t="s">
        <v>433</v>
      </c>
      <c r="L5367" s="3" t="str">
        <f>IFERROR(__xludf.DUMMYFUNCTION("GOOGLETRANSLATE(F5367,""id"",""en"")"),"Instead of Maradona who deliberately cheated making handball to win mending Messi who deserves to be God for Argentine people")</f>
        <v>Instead of Maradona who deliberately cheated making handball to win mending Messi who deserves to be God for Argentine people</v>
      </c>
    </row>
    <row r="5368" ht="15.75" customHeight="1">
      <c r="A5368" s="1">
        <v>6539.0</v>
      </c>
      <c r="B5368" s="3" t="s">
        <v>15442</v>
      </c>
      <c r="C5368" s="3">
        <v>0.0</v>
      </c>
      <c r="D5368" s="3">
        <v>0.0</v>
      </c>
      <c r="E5368" s="3">
        <v>0.0</v>
      </c>
      <c r="F5368" s="3" t="s">
        <v>15443</v>
      </c>
      <c r="G5368" s="3">
        <v>0.0</v>
      </c>
      <c r="H5368" s="3">
        <v>0.0</v>
      </c>
      <c r="I5368" s="3" t="s">
        <v>13</v>
      </c>
      <c r="J5368" s="3" t="s">
        <v>15444</v>
      </c>
      <c r="K5368" s="3" t="s">
        <v>644</v>
      </c>
      <c r="L5368" s="3" t="str">
        <f>IFERROR(__xludf.DUMMYFUNCTION("GOOGLETRANSLATE(F5368,""id"",""en"")"),"Cheating Argentina Using Mage")</f>
        <v>Cheating Argentina Using Mage</v>
      </c>
    </row>
    <row r="5369" ht="15.75" customHeight="1">
      <c r="A5369" s="1">
        <v>6540.0</v>
      </c>
      <c r="B5369" s="3" t="s">
        <v>15445</v>
      </c>
      <c r="C5369" s="3">
        <v>0.0</v>
      </c>
      <c r="D5369" s="3">
        <v>2.0</v>
      </c>
      <c r="E5369" s="3">
        <v>6.0</v>
      </c>
      <c r="F5369" s="3" t="s">
        <v>15446</v>
      </c>
      <c r="G5369" s="3">
        <v>0.0</v>
      </c>
      <c r="H5369" s="3">
        <v>0.0</v>
      </c>
      <c r="I5369" s="3" t="s">
        <v>13</v>
      </c>
      <c r="J5369" s="3" t="s">
        <v>15447</v>
      </c>
      <c r="K5369" s="3" t="s">
        <v>82</v>
      </c>
      <c r="L5369" s="3" t="str">
        <f>IFERROR(__xludf.DUMMYFUNCTION("GOOGLETRANSLATE(F5369,""id"",""en"")"),"Messi is cheating all of him he wins Congrats Argentina")</f>
        <v>Messi is cheating all of him he wins Congrats Argentina</v>
      </c>
    </row>
    <row r="5370" ht="15.75" customHeight="1">
      <c r="A5370" s="1">
        <v>6541.0</v>
      </c>
      <c r="B5370" s="3" t="s">
        <v>15448</v>
      </c>
      <c r="C5370" s="3">
        <v>0.0</v>
      </c>
      <c r="D5370" s="3">
        <v>0.0</v>
      </c>
      <c r="E5370" s="3">
        <v>1.0</v>
      </c>
      <c r="F5370" s="3" t="s">
        <v>15449</v>
      </c>
      <c r="G5370" s="3">
        <v>0.0</v>
      </c>
      <c r="H5370" s="3">
        <v>0.0</v>
      </c>
      <c r="I5370" s="3" t="s">
        <v>13</v>
      </c>
      <c r="J5370" s="3" t="s">
        <v>15450</v>
      </c>
      <c r="K5370" s="3" t="s">
        <v>58</v>
      </c>
      <c r="L5370" s="3" t="str">
        <f>IFERROR(__xludf.DUMMYFUNCTION("GOOGLETRANSLATE(F5370,""id"",""en"")"),"The point is Messi and Argentina cheat, then tomorrow I tell me now I am sleepy Bobo")</f>
        <v>The point is Messi and Argentina cheat, then tomorrow I tell me now I am sleepy Bobo</v>
      </c>
    </row>
    <row r="5371" ht="15.75" customHeight="1">
      <c r="A5371" s="1">
        <v>6542.0</v>
      </c>
      <c r="B5371" s="3" t="s">
        <v>15451</v>
      </c>
      <c r="C5371" s="3">
        <v>0.0</v>
      </c>
      <c r="D5371" s="3">
        <v>0.0</v>
      </c>
      <c r="E5371" s="3">
        <v>0.0</v>
      </c>
      <c r="F5371" s="3" t="s">
        <v>15452</v>
      </c>
      <c r="G5371" s="3">
        <v>0.3178571428571428</v>
      </c>
      <c r="H5371" s="3">
        <v>0.1428571428571428</v>
      </c>
      <c r="I5371" s="3" t="s">
        <v>48</v>
      </c>
      <c r="J5371" s="3" t="s">
        <v>15453</v>
      </c>
      <c r="K5371" s="3" t="s">
        <v>883</v>
      </c>
      <c r="L5371" s="3" t="str">
        <f>IFERROR(__xludf.DUMMYFUNCTION("GOOGLETRANSLATE(F5371,""id"",""en"")"),"Funny Tumblr There is an ugly Argentina French says his referee cheats all attacking the President of FIFA ugly Qatar and ngunit about Human Right again")</f>
        <v>Funny Tumblr There is an ugly Argentina French says his referee cheats all attacking the President of FIFA ugly Qatar and ngunit about Human Right again</v>
      </c>
    </row>
    <row r="5372" ht="15.75" customHeight="1">
      <c r="A5372" s="1">
        <v>6543.0</v>
      </c>
      <c r="B5372" s="3" t="s">
        <v>15454</v>
      </c>
      <c r="C5372" s="3">
        <v>0.0</v>
      </c>
      <c r="D5372" s="3">
        <v>0.0</v>
      </c>
      <c r="E5372" s="3">
        <v>0.0</v>
      </c>
      <c r="F5372" s="3" t="s">
        <v>15455</v>
      </c>
      <c r="G5372" s="3">
        <v>0.0</v>
      </c>
      <c r="H5372" s="3">
        <v>0.0</v>
      </c>
      <c r="I5372" s="3" t="s">
        <v>13</v>
      </c>
      <c r="J5372" s="3" t="s">
        <v>15456</v>
      </c>
      <c r="K5372" s="3" t="s">
        <v>358</v>
      </c>
      <c r="L5372" s="3" t="str">
        <f>IFERROR(__xludf.DUMMYFUNCTION("GOOGLETRANSLATE(F5372,""id"",""en"")"),"Maradona Alam The grave is proud of his juniors if he won the way to cheat this time Argentina was cheated even though the ending was still winning")</f>
        <v>Maradona Alam The grave is proud of his juniors if he won the way to cheat this time Argentina was cheated even though the ending was still winning</v>
      </c>
    </row>
    <row r="5373" ht="15.75" customHeight="1">
      <c r="A5373" s="1">
        <v>6544.0</v>
      </c>
      <c r="B5373" s="3" t="s">
        <v>15457</v>
      </c>
      <c r="C5373" s="3">
        <v>1.0</v>
      </c>
      <c r="D5373" s="3">
        <v>0.0</v>
      </c>
      <c r="E5373" s="3">
        <v>0.0</v>
      </c>
      <c r="F5373" s="3" t="s">
        <v>15458</v>
      </c>
      <c r="G5373" s="3">
        <v>0.0</v>
      </c>
      <c r="H5373" s="3">
        <v>0.0</v>
      </c>
      <c r="I5373" s="3" t="s">
        <v>13</v>
      </c>
      <c r="J5373" s="3" t="s">
        <v>15459</v>
      </c>
      <c r="K5373" s="3" t="s">
        <v>82</v>
      </c>
      <c r="L5373" s="3" t="str">
        <f>IFERROR(__xludf.DUMMYFUNCTION("GOOGLETRANSLATE(F5373,""id"",""en"")"),"When Argentina's penalties are cheating using the goalkeeper")</f>
        <v>When Argentina's penalties are cheating using the goalkeeper</v>
      </c>
    </row>
    <row r="5374" ht="15.75" customHeight="1">
      <c r="A5374" s="1">
        <v>6545.0</v>
      </c>
      <c r="B5374" s="3" t="s">
        <v>15460</v>
      </c>
      <c r="C5374" s="3">
        <v>0.0</v>
      </c>
      <c r="D5374" s="3">
        <v>0.0</v>
      </c>
      <c r="E5374" s="3">
        <v>0.0</v>
      </c>
      <c r="F5374" s="3" t="s">
        <v>15461</v>
      </c>
      <c r="G5374" s="3">
        <v>0.0</v>
      </c>
      <c r="H5374" s="3">
        <v>0.0</v>
      </c>
      <c r="I5374" s="3" t="s">
        <v>13</v>
      </c>
      <c r="J5374" s="3" t="s">
        <v>15462</v>
      </c>
      <c r="K5374" s="3" t="s">
        <v>644</v>
      </c>
      <c r="L5374" s="3" t="str">
        <f>IFERROR(__xludf.DUMMYFUNCTION("GOOGLETRANSLATE(F5374,""id"",""en"")"),"Argentina cheats want to know")</f>
        <v>Argentina cheats want to know</v>
      </c>
    </row>
    <row r="5375" ht="15.75" customHeight="1">
      <c r="A5375" s="1">
        <v>6546.0</v>
      </c>
      <c r="B5375" s="3" t="s">
        <v>15463</v>
      </c>
      <c r="C5375" s="3">
        <v>0.0</v>
      </c>
      <c r="D5375" s="3">
        <v>0.0</v>
      </c>
      <c r="E5375" s="3">
        <v>0.0</v>
      </c>
      <c r="F5375" s="3" t="s">
        <v>15464</v>
      </c>
      <c r="G5375" s="3">
        <v>0.0</v>
      </c>
      <c r="H5375" s="3">
        <v>0.0</v>
      </c>
      <c r="I5375" s="3" t="s">
        <v>13</v>
      </c>
      <c r="J5375" s="3" t="s">
        <v>15465</v>
      </c>
      <c r="K5375" s="3" t="s">
        <v>644</v>
      </c>
      <c r="L5375" s="3" t="str">
        <f>IFERROR(__xludf.DUMMYFUNCTION("GOOGLETRANSLATE(F5375,""id"",""en"")"),"Only Argentina can win great")</f>
        <v>Only Argentina can win great</v>
      </c>
    </row>
    <row r="5376" ht="15.75" customHeight="1">
      <c r="A5376" s="1">
        <v>6547.0</v>
      </c>
      <c r="B5376" s="3" t="s">
        <v>15466</v>
      </c>
      <c r="C5376" s="3">
        <v>0.0</v>
      </c>
      <c r="D5376" s="3">
        <v>0.0</v>
      </c>
      <c r="E5376" s="3">
        <v>0.0</v>
      </c>
      <c r="F5376" s="3" t="s">
        <v>15467</v>
      </c>
      <c r="G5376" s="3">
        <v>0.0</v>
      </c>
      <c r="H5376" s="3">
        <v>0.0</v>
      </c>
      <c r="I5376" s="3" t="s">
        <v>13</v>
      </c>
      <c r="J5376" s="3" t="s">
        <v>15468</v>
      </c>
      <c r="K5376" s="3" t="s">
        <v>510</v>
      </c>
      <c r="L5376" s="3" t="str">
        <f>IFERROR(__xludf.DUMMYFUNCTION("GOOGLETRANSLATE(F5376,""id"",""en"")"),"Argentina will definitely learn malls first using a laser to attack France players huh cheating")</f>
        <v>Argentina will definitely learn malls first using a laser to attack France players huh cheating</v>
      </c>
    </row>
    <row r="5377" ht="15.75" customHeight="1">
      <c r="A5377" s="1">
        <v>6548.0</v>
      </c>
      <c r="B5377" s="3" t="s">
        <v>15469</v>
      </c>
      <c r="C5377" s="3">
        <v>0.0</v>
      </c>
      <c r="D5377" s="3">
        <v>0.0</v>
      </c>
      <c r="E5377" s="3">
        <v>0.0</v>
      </c>
      <c r="F5377" s="3" t="s">
        <v>15470</v>
      </c>
      <c r="G5377" s="3">
        <v>0.0</v>
      </c>
      <c r="H5377" s="3">
        <v>0.0</v>
      </c>
      <c r="I5377" s="3" t="s">
        <v>13</v>
      </c>
      <c r="J5377" s="3" t="s">
        <v>15471</v>
      </c>
      <c r="K5377" s="3" t="s">
        <v>54</v>
      </c>
      <c r="L5377" s="3" t="str">
        <f>IFERROR(__xludf.DUMMYFUNCTION("GOOGLETRANSLATE(F5377,""id"",""en"")"),"Argentina deliberately played his heart so that it was said to be cheating")</f>
        <v>Argentina deliberately played his heart so that it was said to be cheating</v>
      </c>
    </row>
    <row r="5378" ht="15.75" customHeight="1">
      <c r="A5378" s="1">
        <v>6549.0</v>
      </c>
      <c r="B5378" s="3" t="s">
        <v>15472</v>
      </c>
      <c r="C5378" s="3">
        <v>2.0</v>
      </c>
      <c r="D5378" s="3">
        <v>0.0</v>
      </c>
      <c r="E5378" s="3">
        <v>0.0</v>
      </c>
      <c r="F5378" s="3" t="s">
        <v>15473</v>
      </c>
      <c r="G5378" s="3">
        <v>0.0</v>
      </c>
      <c r="H5378" s="3">
        <v>0.0</v>
      </c>
      <c r="I5378" s="3" t="s">
        <v>13</v>
      </c>
      <c r="J5378" s="3" t="s">
        <v>15474</v>
      </c>
      <c r="K5378" s="3" t="s">
        <v>899</v>
      </c>
      <c r="L5378" s="3" t="str">
        <f>IFERROR(__xludf.DUMMYFUNCTION("GOOGLETRANSLATE(F5378,""id"",""en"")"),"Argentina's penalty was once reducing because of the minimal contact from Dembele, even just hit the hand swinging, the answer to the question of the question until here why the penalty affected")</f>
        <v>Argentina's penalty was once reducing because of the minimal contact from Dembele, even just hit the hand swinging, the answer to the question of the question until here why the penalty affected</v>
      </c>
    </row>
    <row r="5379" ht="15.75" customHeight="1">
      <c r="A5379" s="1">
        <v>6550.0</v>
      </c>
      <c r="B5379" s="3" t="s">
        <v>15475</v>
      </c>
      <c r="C5379" s="3">
        <v>0.0</v>
      </c>
      <c r="D5379" s="3">
        <v>0.0</v>
      </c>
      <c r="E5379" s="3">
        <v>0.0</v>
      </c>
      <c r="F5379" s="3" t="s">
        <v>15476</v>
      </c>
      <c r="G5379" s="3">
        <v>0.0</v>
      </c>
      <c r="H5379" s="3">
        <v>0.0</v>
      </c>
      <c r="I5379" s="3" t="s">
        <v>13</v>
      </c>
      <c r="J5379" s="3" t="s">
        <v>15477</v>
      </c>
      <c r="K5379" s="3" t="s">
        <v>2117</v>
      </c>
      <c r="L5379" s="3" t="str">
        <f>IFERROR(__xludf.DUMMYFUNCTION("GOOGLETRANSLATE(F5379,""id"",""en"")"),"Argentina cheating is there")</f>
        <v>Argentina cheating is there</v>
      </c>
    </row>
    <row r="5380" ht="15.75" customHeight="1">
      <c r="A5380" s="1">
        <v>6551.0</v>
      </c>
      <c r="B5380" s="3" t="s">
        <v>15478</v>
      </c>
      <c r="C5380" s="3">
        <v>0.0</v>
      </c>
      <c r="D5380" s="3">
        <v>0.0</v>
      </c>
      <c r="E5380" s="3">
        <v>0.0</v>
      </c>
      <c r="F5380" s="3" t="s">
        <v>15479</v>
      </c>
      <c r="G5380" s="3">
        <v>0.0</v>
      </c>
      <c r="H5380" s="3">
        <v>0.0</v>
      </c>
      <c r="I5380" s="3" t="s">
        <v>13</v>
      </c>
      <c r="J5380" s="3" t="s">
        <v>15480</v>
      </c>
      <c r="K5380" s="3" t="s">
        <v>2215</v>
      </c>
      <c r="L5380" s="3" t="str">
        <f>IFERROR(__xludf.DUMMYFUNCTION("GOOGLETRANSLATE(F5380,""id"",""en"")"),"If Argentina wins I win bets pdhl Argentina toy cheating spoiled a little fall that is the strength of people in")</f>
        <v>If Argentina wins I win bets pdhl Argentina toy cheating spoiled a little fall that is the strength of people in</v>
      </c>
    </row>
    <row r="5381" ht="15.75" customHeight="1">
      <c r="A5381" s="1">
        <v>6552.0</v>
      </c>
      <c r="B5381" s="3" t="s">
        <v>15481</v>
      </c>
      <c r="C5381" s="3">
        <v>0.0</v>
      </c>
      <c r="D5381" s="3">
        <v>0.0</v>
      </c>
      <c r="E5381" s="3">
        <v>0.0</v>
      </c>
      <c r="F5381" s="3" t="s">
        <v>15482</v>
      </c>
      <c r="G5381" s="3">
        <v>0.0</v>
      </c>
      <c r="H5381" s="3">
        <v>0.0</v>
      </c>
      <c r="I5381" s="3" t="s">
        <v>13</v>
      </c>
      <c r="J5381" s="3" t="s">
        <v>15483</v>
      </c>
      <c r="K5381" s="3" t="s">
        <v>82</v>
      </c>
      <c r="L5381" s="3" t="str">
        <f>IFERROR(__xludf.DUMMYFUNCTION("GOOGLETRANSLATE(F5381,""id"",""en"")"),"Argentina has been from the beginning of the winning tournament to cheat")</f>
        <v>Argentina has been from the beginning of the winning tournament to cheat</v>
      </c>
    </row>
    <row r="5382" ht="15.75" customHeight="1">
      <c r="A5382" s="1">
        <v>6553.0</v>
      </c>
      <c r="B5382" s="3" t="s">
        <v>15484</v>
      </c>
      <c r="C5382" s="3">
        <v>0.0</v>
      </c>
      <c r="D5382" s="3">
        <v>0.0</v>
      </c>
      <c r="E5382" s="3">
        <v>0.0</v>
      </c>
      <c r="F5382" s="3" t="s">
        <v>15485</v>
      </c>
      <c r="G5382" s="3">
        <v>0.0</v>
      </c>
      <c r="H5382" s="3">
        <v>0.0</v>
      </c>
      <c r="I5382" s="3" t="s">
        <v>13</v>
      </c>
      <c r="J5382" s="3" t="s">
        <v>15486</v>
      </c>
      <c r="K5382" s="3" t="s">
        <v>31</v>
      </c>
      <c r="L5382" s="3" t="str">
        <f>IFERROR(__xludf.DUMMYFUNCTION("GOOGLETRANSLATE(F5382,""id"",""en"")"),"Cheating Argentina Bring Our Lady")</f>
        <v>Cheating Argentina Bring Our Lady</v>
      </c>
    </row>
    <row r="5383" ht="15.75" customHeight="1">
      <c r="A5383" s="1">
        <v>6554.0</v>
      </c>
      <c r="B5383" s="3" t="s">
        <v>15487</v>
      </c>
      <c r="C5383" s="3">
        <v>0.0</v>
      </c>
      <c r="D5383" s="3">
        <v>0.0</v>
      </c>
      <c r="E5383" s="3">
        <v>0.0</v>
      </c>
      <c r="F5383" s="3" t="s">
        <v>15488</v>
      </c>
      <c r="G5383" s="3">
        <v>0.0</v>
      </c>
      <c r="H5383" s="3">
        <v>0.0</v>
      </c>
      <c r="I5383" s="3" t="s">
        <v>13</v>
      </c>
      <c r="J5383" s="3" t="s">
        <v>15489</v>
      </c>
      <c r="K5383" s="3" t="s">
        <v>82</v>
      </c>
      <c r="L5383" s="3" t="str">
        <f>IFERROR(__xludf.DUMMYFUNCTION("GOOGLETRANSLATE(F5383,""id"",""en"")"),"This cheats this Argentina, the enemy of SSB is not given the ball")</f>
        <v>This cheats this Argentina, the enemy of SSB is not given the ball</v>
      </c>
    </row>
    <row r="5384" ht="15.75" customHeight="1">
      <c r="A5384" s="1">
        <v>6555.0</v>
      </c>
      <c r="B5384" s="3" t="s">
        <v>15490</v>
      </c>
      <c r="C5384" s="3">
        <v>9.0</v>
      </c>
      <c r="D5384" s="3">
        <v>3.0</v>
      </c>
      <c r="E5384" s="3">
        <v>30.0</v>
      </c>
      <c r="F5384" s="3" t="s">
        <v>15491</v>
      </c>
      <c r="G5384" s="3">
        <v>0.2444444444444445</v>
      </c>
      <c r="H5384" s="3">
        <v>-0.1277777777777778</v>
      </c>
      <c r="I5384" s="3" t="s">
        <v>179</v>
      </c>
      <c r="J5384" s="3" t="s">
        <v>15492</v>
      </c>
      <c r="K5384" s="3" t="s">
        <v>1970</v>
      </c>
      <c r="L5384" s="3" t="str">
        <f>IFERROR(__xludf.DUMMYFUNCTION("GOOGLETRANSLATE(F5384,""id"",""en"")"),"This is what happened exactly like Argentina Croatia Penaltina got a cheating penalty then Croatia Down mental finally they have been excited, hopefully France TTP focuses on defeating this cheating team")</f>
        <v>This is what happened exactly like Argentina Croatia Penaltina got a cheating penalty then Croatia Down mental finally they have been excited, hopefully France TTP focuses on defeating this cheating team</v>
      </c>
    </row>
    <row r="5385" ht="15.75" customHeight="1">
      <c r="A5385" s="1">
        <v>6556.0</v>
      </c>
      <c r="B5385" s="3" t="s">
        <v>15493</v>
      </c>
      <c r="C5385" s="3">
        <v>0.0</v>
      </c>
      <c r="D5385" s="3">
        <v>0.0</v>
      </c>
      <c r="E5385" s="3">
        <v>0.0</v>
      </c>
      <c r="F5385" s="3" t="s">
        <v>15494</v>
      </c>
      <c r="G5385" s="3">
        <v>0.0</v>
      </c>
      <c r="H5385" s="3">
        <v>0.0</v>
      </c>
      <c r="I5385" s="3" t="s">
        <v>13</v>
      </c>
      <c r="J5385" s="3" t="s">
        <v>15495</v>
      </c>
      <c r="K5385" s="3" t="s">
        <v>644</v>
      </c>
      <c r="L5385" s="3" t="str">
        <f>IFERROR(__xludf.DUMMYFUNCTION("GOOGLETRANSLATE(F5385,""id"",""en"")"),"Argentina Cheat Dog Lebay")</f>
        <v>Argentina Cheat Dog Lebay</v>
      </c>
    </row>
    <row r="5386" ht="15.75" customHeight="1">
      <c r="A5386" s="1">
        <v>6557.0</v>
      </c>
      <c r="B5386" s="3" t="s">
        <v>15496</v>
      </c>
      <c r="C5386" s="3">
        <v>1.0</v>
      </c>
      <c r="D5386" s="3">
        <v>0.0</v>
      </c>
      <c r="E5386" s="3">
        <v>2.0</v>
      </c>
      <c r="F5386" s="3" t="s">
        <v>15497</v>
      </c>
      <c r="G5386" s="3">
        <v>0.75</v>
      </c>
      <c r="H5386" s="3">
        <v>0.06818181818181818</v>
      </c>
      <c r="I5386" s="3" t="s">
        <v>48</v>
      </c>
      <c r="J5386" s="3" t="s">
        <v>15498</v>
      </c>
      <c r="K5386" s="3" t="s">
        <v>1518</v>
      </c>
      <c r="L5386" s="3" t="str">
        <f>IFERROR(__xludf.DUMMYFUNCTION("GOOGLETRANSLATE(F5386,""id"",""en"")"),"Jokowi Leader Successfully Mbappe Messi France Argentina Final Live Streaming World Cup Qatar Champion Bobo Amanda Zahra Pinalti Goal Diving Cheat")</f>
        <v>Jokowi Leader Successfully Mbappe Messi France Argentina Final Live Streaming World Cup Qatar Champion Bobo Amanda Zahra Pinalti Goal Diving Cheat</v>
      </c>
    </row>
    <row r="5387" ht="15.75" customHeight="1">
      <c r="A5387" s="1">
        <v>6558.0</v>
      </c>
      <c r="B5387" s="3" t="s">
        <v>15499</v>
      </c>
      <c r="C5387" s="3">
        <v>0.0</v>
      </c>
      <c r="D5387" s="3">
        <v>0.0</v>
      </c>
      <c r="E5387" s="3">
        <v>0.0</v>
      </c>
      <c r="F5387" s="3" t="s">
        <v>15500</v>
      </c>
      <c r="G5387" s="3">
        <v>0.3333333333333333</v>
      </c>
      <c r="H5387" s="3">
        <v>0.1666666666666667</v>
      </c>
      <c r="I5387" s="3" t="s">
        <v>48</v>
      </c>
      <c r="J5387" s="3" t="s">
        <v>15501</v>
      </c>
      <c r="K5387" s="3" t="s">
        <v>31</v>
      </c>
      <c r="L5387" s="3" t="str">
        <f>IFERROR(__xludf.DUMMYFUNCTION("GOOGLETRANSLATE(F5387,""id"",""en"")"),"Argentina Cheating Dick Main Body")</f>
        <v>Argentina Cheating Dick Main Body</v>
      </c>
    </row>
    <row r="5388" ht="15.75" customHeight="1">
      <c r="A5388" s="1">
        <v>6559.0</v>
      </c>
      <c r="B5388" s="3" t="s">
        <v>15502</v>
      </c>
      <c r="C5388" s="3">
        <v>0.0</v>
      </c>
      <c r="D5388" s="3">
        <v>0.0</v>
      </c>
      <c r="E5388" s="3">
        <v>0.0</v>
      </c>
      <c r="F5388" s="3" t="s">
        <v>15503</v>
      </c>
      <c r="G5388" s="3">
        <v>0.0</v>
      </c>
      <c r="H5388" s="3">
        <v>0.0</v>
      </c>
      <c r="I5388" s="3" t="s">
        <v>13</v>
      </c>
      <c r="J5388" s="3" t="s">
        <v>15504</v>
      </c>
      <c r="K5388" s="3" t="s">
        <v>2117</v>
      </c>
      <c r="L5388" s="3" t="str">
        <f>IFERROR(__xludf.DUMMYFUNCTION("GOOGLETRANSLATE(F5388,""id"",""en"")"),"Argentina cheat brooo")</f>
        <v>Argentina cheat brooo</v>
      </c>
    </row>
    <row r="5389" ht="15.75" customHeight="1">
      <c r="A5389" s="1">
        <v>6560.0</v>
      </c>
      <c r="B5389" s="3" t="s">
        <v>15505</v>
      </c>
      <c r="C5389" s="3">
        <v>0.0</v>
      </c>
      <c r="D5389" s="3">
        <v>0.0</v>
      </c>
      <c r="E5389" s="3">
        <v>0.0</v>
      </c>
      <c r="F5389" s="3" t="s">
        <v>15506</v>
      </c>
      <c r="G5389" s="3">
        <v>0.0</v>
      </c>
      <c r="H5389" s="3">
        <v>0.0</v>
      </c>
      <c r="I5389" s="3" t="s">
        <v>13</v>
      </c>
      <c r="J5389" s="3" t="s">
        <v>15507</v>
      </c>
      <c r="K5389" s="3" t="s">
        <v>644</v>
      </c>
      <c r="L5389" s="3" t="str">
        <f>IFERROR(__xludf.DUMMYFUNCTION("GOOGLETRANSLATE(F5389,""id"",""en"")"),"Cheating France, don't Argentina")</f>
        <v>Cheating France, don't Argentina</v>
      </c>
    </row>
    <row r="5390" ht="15.75" customHeight="1">
      <c r="A5390" s="1">
        <v>6561.0</v>
      </c>
      <c r="B5390" s="3" t="s">
        <v>15508</v>
      </c>
      <c r="C5390" s="3">
        <v>0.0</v>
      </c>
      <c r="D5390" s="3">
        <v>0.0</v>
      </c>
      <c r="E5390" s="3">
        <v>1.0</v>
      </c>
      <c r="F5390" s="3" t="s">
        <v>15509</v>
      </c>
      <c r="G5390" s="3">
        <v>0.0</v>
      </c>
      <c r="H5390" s="3">
        <v>0.0</v>
      </c>
      <c r="I5390" s="3" t="s">
        <v>13</v>
      </c>
      <c r="J5390" s="3" t="s">
        <v>15510</v>
      </c>
      <c r="K5390" s="3" t="s">
        <v>795</v>
      </c>
      <c r="L5390" s="3" t="str">
        <f>IFERROR(__xludf.DUMMYFUNCTION("GOOGLETRANSLATE(F5390,""id"",""en"")"),"Argentina is made smoothly, Messi, Messi, Messi is really good at a dog but FIFA cheats FIFA GAADIL Messi Goat Ronaldo and GOAT")</f>
        <v>Argentina is made smoothly, Messi, Messi, Messi is really good at a dog but FIFA cheats FIFA GAADIL Messi Goat Ronaldo and GOAT</v>
      </c>
    </row>
    <row r="5391" ht="15.75" customHeight="1">
      <c r="A5391" s="1">
        <v>6562.0</v>
      </c>
      <c r="B5391" s="3" t="s">
        <v>15511</v>
      </c>
      <c r="C5391" s="3">
        <v>0.0</v>
      </c>
      <c r="D5391" s="3">
        <v>0.0</v>
      </c>
      <c r="E5391" s="3">
        <v>1.0</v>
      </c>
      <c r="F5391" s="3" t="s">
        <v>15512</v>
      </c>
      <c r="G5391" s="3">
        <v>0.0</v>
      </c>
      <c r="H5391" s="3">
        <v>0.0</v>
      </c>
      <c r="I5391" s="3" t="s">
        <v>13</v>
      </c>
      <c r="J5391" s="3" t="s">
        <v>15513</v>
      </c>
      <c r="K5391" s="3" t="s">
        <v>437</v>
      </c>
      <c r="L5391" s="3" t="str">
        <f>IFERROR(__xludf.DUMMYFUNCTION("GOOGLETRANSLATE(F5391,""id"",""en"")"),"Don't see the legs, I see that your hands are active, anyway, Argentina is also the champion, it's still not very acceptable")</f>
        <v>Don't see the legs, I see that your hands are active, anyway, Argentina is also the champion, it's still not very acceptable</v>
      </c>
    </row>
    <row r="5392" ht="15.75" customHeight="1">
      <c r="A5392" s="1">
        <v>6563.0</v>
      </c>
      <c r="B5392" s="3" t="s">
        <v>15514</v>
      </c>
      <c r="C5392" s="3">
        <v>0.0</v>
      </c>
      <c r="D5392" s="3">
        <v>0.0</v>
      </c>
      <c r="E5392" s="3">
        <v>0.0</v>
      </c>
      <c r="F5392" s="3" t="s">
        <v>15515</v>
      </c>
      <c r="G5392" s="3">
        <v>0.0</v>
      </c>
      <c r="H5392" s="3">
        <v>0.0</v>
      </c>
      <c r="I5392" s="3" t="s">
        <v>13</v>
      </c>
      <c r="J5392" s="3" t="s">
        <v>15516</v>
      </c>
      <c r="K5392" s="3" t="s">
        <v>54</v>
      </c>
      <c r="L5392" s="3" t="str">
        <f>IFERROR(__xludf.DUMMYFUNCTION("GOOGLETRANSLATE(F5392,""id"",""en"")"),"Higuita is Pumpido Bringing Argentina World Champion")</f>
        <v>Higuita is Pumpido Bringing Argentina World Champion</v>
      </c>
    </row>
    <row r="5393" ht="15.75" customHeight="1">
      <c r="A5393" s="1">
        <v>6564.0</v>
      </c>
      <c r="B5393" s="3" t="s">
        <v>15517</v>
      </c>
      <c r="C5393" s="3">
        <v>0.0</v>
      </c>
      <c r="D5393" s="3">
        <v>0.0</v>
      </c>
      <c r="E5393" s="3">
        <v>1.0</v>
      </c>
      <c r="F5393" s="3" t="s">
        <v>15518</v>
      </c>
      <c r="G5393" s="3">
        <v>0.0</v>
      </c>
      <c r="H5393" s="3">
        <v>0.0</v>
      </c>
      <c r="I5393" s="3" t="s">
        <v>13</v>
      </c>
      <c r="J5393" s="3" t="s">
        <v>15519</v>
      </c>
      <c r="K5393" s="3" t="s">
        <v>75</v>
      </c>
      <c r="L5393" s="3" t="str">
        <f>IFERROR(__xludf.DUMMYFUNCTION("GOOGLETRANSLATE(F5393,""id"",""en"")"),"Sheet brought world champions for Argentina not Messi Njing but FIFA")</f>
        <v>Sheet brought world champions for Argentina not Messi Njing but FIFA</v>
      </c>
    </row>
    <row r="5394" ht="15.75" customHeight="1">
      <c r="A5394" s="1">
        <v>6565.0</v>
      </c>
      <c r="B5394" s="3" t="s">
        <v>15520</v>
      </c>
      <c r="C5394" s="3">
        <v>2.0</v>
      </c>
      <c r="D5394" s="3">
        <v>0.0</v>
      </c>
      <c r="E5394" s="3">
        <v>0.0</v>
      </c>
      <c r="F5394" s="3" t="s">
        <v>15521</v>
      </c>
      <c r="G5394" s="3">
        <v>1.0</v>
      </c>
      <c r="H5394" s="3">
        <v>0.0</v>
      </c>
      <c r="I5394" s="3" t="s">
        <v>13</v>
      </c>
      <c r="J5394" s="3" t="s">
        <v>15522</v>
      </c>
      <c r="K5394" s="3" t="s">
        <v>584</v>
      </c>
      <c r="L5394" s="3" t="str">
        <f>IFERROR(__xludf.DUMMYFUNCTION("GOOGLETRANSLATE(F5394,""id"",""en"")"),"The EDITS STATISTICS THAT IS A YEAR DEK SO THAT RONALDO's Prime With UCL HATTRINK TREBLE YEAR EURO CHAMPIONS while PESSI BACA ROMA FAILED Final penalty against Chili Garbage Players Make Argentina Snall")</f>
        <v>The EDITS STATISTICS THAT IS A YEAR DEK SO THAT RONALDO's Prime With UCL HATTRINK TREBLE YEAR EURO CHAMPIONS while PESSI BACA ROMA FAILED Final penalty against Chili Garbage Players Make Argentina Snall</v>
      </c>
    </row>
    <row r="5395" ht="15.75" customHeight="1">
      <c r="A5395" s="1">
        <v>6566.0</v>
      </c>
      <c r="B5395" s="3" t="s">
        <v>15523</v>
      </c>
      <c r="C5395" s="3">
        <v>0.0</v>
      </c>
      <c r="D5395" s="3">
        <v>0.0</v>
      </c>
      <c r="E5395" s="3">
        <v>0.0</v>
      </c>
      <c r="F5395" s="3" t="s">
        <v>15524</v>
      </c>
      <c r="G5395" s="3">
        <v>0.0</v>
      </c>
      <c r="H5395" s="3">
        <v>0.0</v>
      </c>
      <c r="I5395" s="3" t="s">
        <v>13</v>
      </c>
      <c r="J5395" s="3" t="s">
        <v>15525</v>
      </c>
      <c r="K5395" s="3" t="s">
        <v>765</v>
      </c>
      <c r="L5395" s="3" t="str">
        <f>IFERROR(__xludf.DUMMYFUNCTION("GOOGLETRANSLATE(F5395,""id"",""en"")"),"The national level alone is the trophy of the champion of the Runer award, Messi has Dodo having a runer title with his country.")</f>
        <v>The national level alone is the trophy of the champion of the Runer award, Messi has Dodo having a runer title with his country.</v>
      </c>
    </row>
    <row r="5396" ht="15.75" customHeight="1">
      <c r="A5396" s="1">
        <v>6567.0</v>
      </c>
      <c r="B5396" s="3" t="s">
        <v>15526</v>
      </c>
      <c r="C5396" s="3">
        <v>152.0</v>
      </c>
      <c r="D5396" s="3">
        <v>325.0</v>
      </c>
      <c r="E5396" s="3">
        <v>2752.0</v>
      </c>
      <c r="F5396" s="3" t="s">
        <v>15527</v>
      </c>
      <c r="G5396" s="3">
        <v>0.0</v>
      </c>
      <c r="H5396" s="3">
        <v>0.0</v>
      </c>
      <c r="I5396" s="3" t="s">
        <v>13</v>
      </c>
      <c r="J5396" s="3" t="s">
        <v>15528</v>
      </c>
      <c r="K5396" s="3" t="s">
        <v>657</v>
      </c>
      <c r="L5396" s="3" t="str">
        <f>IFERROR(__xludf.DUMMYFUNCTION("GOOGLETRANSLATE(F5396,""id"",""en"")"),"Leaked Adidas will release a special jersey for Argentina inspired by Bisht used by Messi during the celebration of the World Cup title")</f>
        <v>Leaked Adidas will release a special jersey for Argentina inspired by Bisht used by Messi during the celebration of the World Cup title</v>
      </c>
    </row>
    <row r="5397" ht="15.75" customHeight="1">
      <c r="A5397" s="1">
        <v>6568.0</v>
      </c>
      <c r="B5397" s="3" t="s">
        <v>15529</v>
      </c>
      <c r="C5397" s="3">
        <v>0.0</v>
      </c>
      <c r="D5397" s="3">
        <v>0.0</v>
      </c>
      <c r="E5397" s="3">
        <v>0.0</v>
      </c>
      <c r="F5397" s="3" t="s">
        <v>15530</v>
      </c>
      <c r="G5397" s="3">
        <v>0.5</v>
      </c>
      <c r="H5397" s="3">
        <v>0.2</v>
      </c>
      <c r="I5397" s="3" t="s">
        <v>48</v>
      </c>
      <c r="J5397" s="3" t="s">
        <v>15531</v>
      </c>
      <c r="K5397" s="3" t="s">
        <v>31</v>
      </c>
      <c r="L5397" s="3" t="str">
        <f>IFERROR(__xludf.DUMMYFUNCTION("GOOGLETRANSLATE(F5397,""id"",""en"")"),"Argentina is the champion settings hahahaha")</f>
        <v>Argentina is the champion settings hahahaha</v>
      </c>
    </row>
    <row r="5398" ht="15.75" customHeight="1">
      <c r="A5398" s="1">
        <v>6569.0</v>
      </c>
      <c r="B5398" s="3" t="s">
        <v>15532</v>
      </c>
      <c r="C5398" s="3">
        <v>0.0</v>
      </c>
      <c r="D5398" s="3">
        <v>0.0</v>
      </c>
      <c r="E5398" s="3">
        <v>0.0</v>
      </c>
      <c r="F5398" s="3" t="s">
        <v>15533</v>
      </c>
      <c r="G5398" s="3">
        <v>0.3888888888888888</v>
      </c>
      <c r="H5398" s="3">
        <v>0.2777777777777777</v>
      </c>
      <c r="I5398" s="3" t="s">
        <v>48</v>
      </c>
      <c r="J5398" s="3" t="s">
        <v>15534</v>
      </c>
      <c r="K5398" s="3" t="s">
        <v>205</v>
      </c>
      <c r="L5398" s="3" t="str">
        <f>IFERROR(__xludf.DUMMYFUNCTION("GOOGLETRANSLATE(F5398,""id"",""en"")"),"One of the reasons why Argentina can win, because most of the players play European macem Messi Maria Enzo Emi if they don't play Europe, they are not as good as now, wkwkwk")</f>
        <v>One of the reasons why Argentina can win, because most of the players play European macem Messi Maria Enzo Emi if they don't play Europe, they are not as good as now, wkwkwk</v>
      </c>
    </row>
    <row r="5399" ht="15.75" customHeight="1">
      <c r="A5399" s="1">
        <v>6570.0</v>
      </c>
      <c r="B5399" s="3" t="s">
        <v>15535</v>
      </c>
      <c r="C5399" s="3">
        <v>0.0</v>
      </c>
      <c r="D5399" s="3">
        <v>0.0</v>
      </c>
      <c r="E5399" s="3">
        <v>0.0</v>
      </c>
      <c r="F5399" s="3" t="s">
        <v>15536</v>
      </c>
      <c r="G5399" s="3">
        <v>0.0</v>
      </c>
      <c r="H5399" s="3">
        <v>0.0</v>
      </c>
      <c r="I5399" s="3" t="s">
        <v>13</v>
      </c>
      <c r="J5399" s="3" t="s">
        <v>15537</v>
      </c>
      <c r="K5399" s="3" t="s">
        <v>82</v>
      </c>
      <c r="L5399" s="3" t="str">
        <f>IFERROR(__xludf.DUMMYFUNCTION("GOOGLETRANSLATE(F5399,""id"",""en"")"),"Celebration Emiliano Martinez Coreng The Success of Argentina Champion")</f>
        <v>Celebration Emiliano Martinez Coreng The Success of Argentina Champion</v>
      </c>
    </row>
    <row r="5400" ht="15.75" customHeight="1">
      <c r="A5400" s="1">
        <v>6571.0</v>
      </c>
      <c r="B5400" s="3" t="s">
        <v>15538</v>
      </c>
      <c r="C5400" s="3">
        <v>0.0</v>
      </c>
      <c r="D5400" s="3">
        <v>0.0</v>
      </c>
      <c r="E5400" s="3">
        <v>0.0</v>
      </c>
      <c r="F5400" s="3" t="s">
        <v>15539</v>
      </c>
      <c r="G5400" s="3">
        <v>0.0</v>
      </c>
      <c r="H5400" s="3">
        <v>0.0</v>
      </c>
      <c r="I5400" s="3" t="s">
        <v>13</v>
      </c>
      <c r="J5400" s="3" t="s">
        <v>15540</v>
      </c>
      <c r="K5400" s="3" t="s">
        <v>31</v>
      </c>
      <c r="L5400" s="3" t="str">
        <f>IFERROR(__xludf.DUMMYFUNCTION("GOOGLETRANSLATE(F5400,""id"",""en"")"),"still waiting for Hakimi whether Post Merry Christmas")</f>
        <v>still waiting for Hakimi whether Post Merry Christmas</v>
      </c>
    </row>
    <row r="5401" ht="15.75" customHeight="1">
      <c r="A5401" s="1">
        <v>6572.0</v>
      </c>
      <c r="B5401" s="3" t="s">
        <v>15541</v>
      </c>
      <c r="C5401" s="3">
        <v>0.0</v>
      </c>
      <c r="D5401" s="3">
        <v>0.0</v>
      </c>
      <c r="E5401" s="3">
        <v>0.0</v>
      </c>
      <c r="F5401" s="3" t="s">
        <v>15542</v>
      </c>
      <c r="G5401" s="3">
        <v>0.0</v>
      </c>
      <c r="H5401" s="3">
        <v>0.0</v>
      </c>
      <c r="I5401" s="3" t="s">
        <v>13</v>
      </c>
      <c r="J5401" s="3" t="s">
        <v>15543</v>
      </c>
      <c r="K5401" s="3" t="s">
        <v>31</v>
      </c>
      <c r="L5401" s="3" t="str">
        <f>IFERROR(__xludf.DUMMYFUNCTION("GOOGLETRANSLATE(F5401,""id"",""en"")"),"Christmas Less Perfect Without Wrong Post")</f>
        <v>Christmas Less Perfect Without Wrong Post</v>
      </c>
    </row>
    <row r="5402" ht="15.75" customHeight="1">
      <c r="A5402" s="1">
        <v>6573.0</v>
      </c>
      <c r="B5402" s="3" t="s">
        <v>15544</v>
      </c>
      <c r="C5402" s="3">
        <v>0.0</v>
      </c>
      <c r="D5402" s="3">
        <v>0.0</v>
      </c>
      <c r="E5402" s="3">
        <v>1.0</v>
      </c>
      <c r="F5402" s="3" t="s">
        <v>15545</v>
      </c>
      <c r="G5402" s="3">
        <v>0.0</v>
      </c>
      <c r="H5402" s="3">
        <v>0.0</v>
      </c>
      <c r="I5402" s="3" t="s">
        <v>13</v>
      </c>
      <c r="J5402" s="3" t="s">
        <v>15546</v>
      </c>
      <c r="K5402" s="3" t="s">
        <v>2117</v>
      </c>
      <c r="L5402" s="3" t="str">
        <f>IFERROR(__xludf.DUMMYFUNCTION("GOOGLETRANSLATE(F5402,""id"",""en"")"),"Argentina Hooray")</f>
        <v>Argentina Hooray</v>
      </c>
    </row>
    <row r="5403" ht="15.75" customHeight="1">
      <c r="A5403" s="1">
        <v>6574.0</v>
      </c>
      <c r="B5403" s="3" t="s">
        <v>15547</v>
      </c>
      <c r="C5403" s="3">
        <v>0.0</v>
      </c>
      <c r="D5403" s="3">
        <v>0.0</v>
      </c>
      <c r="E5403" s="3">
        <v>0.0</v>
      </c>
      <c r="F5403" s="3" t="s">
        <v>15548</v>
      </c>
      <c r="G5403" s="3">
        <v>0.0</v>
      </c>
      <c r="H5403" s="3">
        <v>0.0</v>
      </c>
      <c r="I5403" s="3" t="s">
        <v>13</v>
      </c>
      <c r="J5403" s="3" t="s">
        <v>15549</v>
      </c>
      <c r="K5403" s="3" t="s">
        <v>15</v>
      </c>
      <c r="L5403" s="3" t="str">
        <f>IFERROR(__xludf.DUMMYFUNCTION("GOOGLETRANSLATE(F5403,""id"",""en"")"),"That's the Stupid Argentine Country Celebration Welcoming the World Cup Champion")</f>
        <v>That's the Stupid Argentine Country Celebration Welcoming the World Cup Champion</v>
      </c>
    </row>
    <row r="5404" ht="15.75" customHeight="1">
      <c r="A5404" s="1">
        <v>6575.0</v>
      </c>
      <c r="B5404" s="3" t="s">
        <v>15550</v>
      </c>
      <c r="C5404" s="3">
        <v>1.0</v>
      </c>
      <c r="D5404" s="3">
        <v>0.0</v>
      </c>
      <c r="E5404" s="3">
        <v>0.0</v>
      </c>
      <c r="F5404" s="3" t="s">
        <v>15551</v>
      </c>
      <c r="G5404" s="3">
        <v>0.0</v>
      </c>
      <c r="H5404" s="3">
        <v>0.0</v>
      </c>
      <c r="I5404" s="3" t="s">
        <v>13</v>
      </c>
      <c r="J5404" s="3" t="s">
        <v>15552</v>
      </c>
      <c r="K5404" s="3" t="s">
        <v>765</v>
      </c>
      <c r="L5404" s="3" t="str">
        <f>IFERROR(__xludf.DUMMYFUNCTION("GOOGLETRANSLATE(F5404,""id"",""en"")"),"If you see it, it looks like Druen if you don't use donkeys and camel -upgrades with technology, I don't go to Qatar to watch football but I know the champion is Argentina but don't upgarde Druen on the pilgrimage")</f>
        <v>If you see it, it looks like Druen if you don't use donkeys and camel -upgrades with technology, I don't go to Qatar to watch football but I know the champion is Argentina but don't upgarde Druen on the pilgrimage</v>
      </c>
    </row>
    <row r="5405" ht="15.75" customHeight="1">
      <c r="A5405" s="1">
        <v>6576.0</v>
      </c>
      <c r="B5405" s="3" t="s">
        <v>15553</v>
      </c>
      <c r="C5405" s="3">
        <v>0.0</v>
      </c>
      <c r="D5405" s="3">
        <v>0.0</v>
      </c>
      <c r="E5405" s="3">
        <v>0.0</v>
      </c>
      <c r="F5405" s="3" t="s">
        <v>15554</v>
      </c>
      <c r="G5405" s="3">
        <v>0.0</v>
      </c>
      <c r="H5405" s="3">
        <v>0.0</v>
      </c>
      <c r="I5405" s="3" t="s">
        <v>13</v>
      </c>
      <c r="J5405" s="3" t="s">
        <v>15555</v>
      </c>
      <c r="K5405" s="3" t="s">
        <v>2610</v>
      </c>
      <c r="L5405" s="3" t="str">
        <f>IFERROR(__xludf.DUMMYFUNCTION("GOOGLETRANSLATE(F5405,""id"",""en"")"),"A week still floating Kyak is really Argentina champions after many times they see they fall up and down and finally succeeded in becoming a witness of the competition they passed through the trophy in the period of the years")</f>
        <v>A week still floating Kyak is really Argentina champions after many times they see they fall up and down and finally succeeded in becoming a witness of the competition they passed through the trophy in the period of the years</v>
      </c>
    </row>
    <row r="5406" ht="15.75" customHeight="1">
      <c r="A5406" s="1">
        <v>6577.0</v>
      </c>
      <c r="B5406" s="3" t="s">
        <v>15556</v>
      </c>
      <c r="C5406" s="3">
        <v>0.0</v>
      </c>
      <c r="D5406" s="3">
        <v>0.0</v>
      </c>
      <c r="E5406" s="3">
        <v>0.0</v>
      </c>
      <c r="F5406" s="3" t="s">
        <v>15557</v>
      </c>
      <c r="G5406" s="3">
        <v>0.0</v>
      </c>
      <c r="H5406" s="3">
        <v>0.0</v>
      </c>
      <c r="I5406" s="3" t="s">
        <v>13</v>
      </c>
      <c r="J5406" s="3" t="s">
        <v>15558</v>
      </c>
      <c r="K5406" s="3" t="s">
        <v>90</v>
      </c>
      <c r="L5406" s="3" t="str">
        <f>IFERROR(__xludf.DUMMYFUNCTION("GOOGLETRANSLATE(F5406,""id"",""en"")"),"Min, if you want a hoax, at least the edits first, put on the tweet, Mr. Anies is the atmosphere of the city of Buenos Aries Raya Argentina World Cup champions")</f>
        <v>Min, if you want a hoax, at least the edits first, put on the tweet, Mr. Anies is the atmosphere of the city of Buenos Aries Raya Argentina World Cup champions</v>
      </c>
    </row>
    <row r="5407" ht="15.75" customHeight="1">
      <c r="A5407" s="1">
        <v>6578.0</v>
      </c>
      <c r="B5407" s="3" t="s">
        <v>15559</v>
      </c>
      <c r="C5407" s="3">
        <v>0.0</v>
      </c>
      <c r="D5407" s="3">
        <v>0.0</v>
      </c>
      <c r="E5407" s="3">
        <v>0.0</v>
      </c>
      <c r="F5407" s="3" t="s">
        <v>15560</v>
      </c>
      <c r="G5407" s="3">
        <v>0.0</v>
      </c>
      <c r="H5407" s="3">
        <v>0.0</v>
      </c>
      <c r="I5407" s="3" t="s">
        <v>13</v>
      </c>
      <c r="J5407" s="3" t="s">
        <v>15561</v>
      </c>
      <c r="K5407" s="3" t="s">
        <v>3497</v>
      </c>
      <c r="L5407" s="3" t="str">
        <f>IFERROR(__xludf.DUMMYFUNCTION("GOOGLETRANSLATE(F5407,""id"",""en"")"),"Listen to Argentina World Champion")</f>
        <v>Listen to Argentina World Champion</v>
      </c>
    </row>
    <row r="5408" ht="15.75" customHeight="1">
      <c r="A5408" s="1">
        <v>6579.0</v>
      </c>
      <c r="B5408" s="3" t="s">
        <v>15562</v>
      </c>
      <c r="C5408" s="3">
        <v>0.0</v>
      </c>
      <c r="D5408" s="3">
        <v>0.0</v>
      </c>
      <c r="E5408" s="3">
        <v>1.0</v>
      </c>
      <c r="F5408" s="3" t="s">
        <v>15563</v>
      </c>
      <c r="G5408" s="3">
        <v>0.0</v>
      </c>
      <c r="H5408" s="3">
        <v>0.0</v>
      </c>
      <c r="I5408" s="3" t="s">
        <v>13</v>
      </c>
      <c r="J5408" s="3" t="s">
        <v>15564</v>
      </c>
      <c r="K5408" s="3" t="s">
        <v>75</v>
      </c>
      <c r="L5408" s="3" t="str">
        <f>IFERROR(__xludf.DUMMYFUNCTION("GOOGLETRANSLATE(F5408,""id"",""en"")"),"Argentina Champion Lose French Hurt Dodo Fans are very very disconnected")</f>
        <v>Argentina Champion Lose French Hurt Dodo Fans are very very disconnected</v>
      </c>
    </row>
    <row r="5409" ht="15.75" customHeight="1">
      <c r="A5409" s="1">
        <v>6580.0</v>
      </c>
      <c r="B5409" s="3" t="s">
        <v>15565</v>
      </c>
      <c r="C5409" s="3">
        <v>0.0</v>
      </c>
      <c r="D5409" s="3">
        <v>0.0</v>
      </c>
      <c r="E5409" s="3">
        <v>0.0</v>
      </c>
      <c r="F5409" s="3" t="s">
        <v>15566</v>
      </c>
      <c r="G5409" s="3">
        <v>0.0</v>
      </c>
      <c r="H5409" s="3">
        <v>0.0</v>
      </c>
      <c r="I5409" s="3" t="s">
        <v>13</v>
      </c>
      <c r="J5409" s="3" t="s">
        <v>15567</v>
      </c>
      <c r="K5409" s="3" t="s">
        <v>19</v>
      </c>
      <c r="L5409" s="3" t="str">
        <f>IFERROR(__xludf.DUMMYFUNCTION("GOOGLETRANSLATE(F5409,""id"",""en"")"),"Novak Djokovic Sanjung Lionel Messi after carrying the Argentine national team champions of the World Cup")</f>
        <v>Novak Djokovic Sanjung Lionel Messi after carrying the Argentine national team champions of the World Cup</v>
      </c>
    </row>
    <row r="5410" ht="15.75" customHeight="1">
      <c r="A5410" s="1">
        <v>6581.0</v>
      </c>
      <c r="B5410" s="3" t="s">
        <v>15568</v>
      </c>
      <c r="C5410" s="3">
        <v>0.0</v>
      </c>
      <c r="D5410" s="3">
        <v>0.0</v>
      </c>
      <c r="E5410" s="3">
        <v>17.0</v>
      </c>
      <c r="F5410" s="3" t="s">
        <v>15569</v>
      </c>
      <c r="G5410" s="3">
        <v>0.0</v>
      </c>
      <c r="H5410" s="3">
        <v>0.0</v>
      </c>
      <c r="I5410" s="3" t="s">
        <v>13</v>
      </c>
      <c r="J5410" s="3" t="s">
        <v>15570</v>
      </c>
      <c r="K5410" s="3" t="s">
        <v>463</v>
      </c>
      <c r="L5410" s="3" t="str">
        <f>IFERROR(__xludf.DUMMYFUNCTION("GOOGLETRANSLATE(F5410,""id"",""en"")"),"Spanish champion Vibes will lose the same when Argentina champions' love of Argentine players and extraordinary support from Argentine supporters, especially Messi, are aligned with Maradona.")</f>
        <v>Spanish champion Vibes will lose the same when Argentina champions' love of Argentine players and extraordinary support from Argentine supporters, especially Messi, are aligned with Maradona.</v>
      </c>
    </row>
    <row r="5411" ht="15.75" customHeight="1">
      <c r="A5411" s="1">
        <v>6582.0</v>
      </c>
      <c r="B5411" s="3" t="s">
        <v>15571</v>
      </c>
      <c r="C5411" s="3">
        <v>0.0</v>
      </c>
      <c r="D5411" s="3">
        <v>0.0</v>
      </c>
      <c r="E5411" s="3">
        <v>0.0</v>
      </c>
      <c r="F5411" s="3" t="s">
        <v>15572</v>
      </c>
      <c r="G5411" s="3">
        <v>0.0</v>
      </c>
      <c r="H5411" s="3">
        <v>0.0</v>
      </c>
      <c r="I5411" s="3" t="s">
        <v>13</v>
      </c>
      <c r="J5411" s="3" t="s">
        <v>15573</v>
      </c>
      <c r="K5411" s="3" t="s">
        <v>510</v>
      </c>
      <c r="L5411" s="3" t="str">
        <f>IFERROR(__xludf.DUMMYFUNCTION("GOOGLETRANSLATE(F5411,""id"",""en"")"),"French media still has not received Argentina status as their World Cup champion even aggressively criticizing the referee's decision")</f>
        <v>French media still has not received Argentina status as their World Cup champion even aggressively criticizing the referee's decision</v>
      </c>
    </row>
    <row r="5412" ht="15.75" customHeight="1">
      <c r="A5412" s="1">
        <v>6583.0</v>
      </c>
      <c r="B5412" s="3" t="s">
        <v>15574</v>
      </c>
      <c r="C5412" s="3">
        <v>2.0</v>
      </c>
      <c r="D5412" s="3">
        <v>0.0</v>
      </c>
      <c r="E5412" s="3">
        <v>0.0</v>
      </c>
      <c r="F5412" s="3" t="s">
        <v>15575</v>
      </c>
      <c r="G5412" s="3">
        <v>0.0</v>
      </c>
      <c r="H5412" s="3">
        <v>0.0</v>
      </c>
      <c r="I5412" s="3" t="s">
        <v>13</v>
      </c>
      <c r="J5412" s="3" t="s">
        <v>15576</v>
      </c>
      <c r="K5412" s="3" t="s">
        <v>495</v>
      </c>
      <c r="L5412" s="3" t="str">
        <f>IFERROR(__xludf.DUMMYFUNCTION("GOOGLETRANSLATE(F5412,""id"",""en"")"),"Week Anniversary Lisandro Mart Nez and Argentina World champion and champion also turned out that the fans survived Egi winning the Hooray Tournament")</f>
        <v>Week Anniversary Lisandro Mart Nez and Argentina World champion and champion also turned out that the fans survived Egi winning the Hooray Tournament</v>
      </c>
    </row>
    <row r="5413" ht="15.75" customHeight="1">
      <c r="A5413" s="1">
        <v>6584.0</v>
      </c>
      <c r="B5413" s="3" t="s">
        <v>15577</v>
      </c>
      <c r="C5413" s="3">
        <v>1.0</v>
      </c>
      <c r="D5413" s="3">
        <v>3.0</v>
      </c>
      <c r="E5413" s="3">
        <v>15.0</v>
      </c>
      <c r="F5413" s="3" t="s">
        <v>15578</v>
      </c>
      <c r="G5413" s="3">
        <v>0.0</v>
      </c>
      <c r="H5413" s="3">
        <v>0.0</v>
      </c>
      <c r="I5413" s="3" t="s">
        <v>13</v>
      </c>
      <c r="J5413" s="3" t="s">
        <v>15579</v>
      </c>
      <c r="K5413" s="3" t="s">
        <v>35</v>
      </c>
      <c r="L5413" s="3" t="str">
        <f>IFERROR(__xludf.DUMMYFUNCTION("GOOGLETRANSLATE(F5413,""id"",""en"")"),"Waiting for who the world champion turns out that the thread succeeded in Argentina and the All France Rungkad")</f>
        <v>Waiting for who the world champion turns out that the thread succeeded in Argentina and the All France Rungkad</v>
      </c>
    </row>
    <row r="5414" ht="15.75" customHeight="1">
      <c r="A5414" s="1">
        <v>6585.0</v>
      </c>
      <c r="B5414" s="3" t="s">
        <v>15580</v>
      </c>
      <c r="C5414" s="3">
        <v>0.0</v>
      </c>
      <c r="D5414" s="3">
        <v>0.0</v>
      </c>
      <c r="E5414" s="3">
        <v>0.0</v>
      </c>
      <c r="F5414" s="3" t="s">
        <v>15581</v>
      </c>
      <c r="G5414" s="3">
        <v>0.0</v>
      </c>
      <c r="H5414" s="3">
        <v>0.0</v>
      </c>
      <c r="I5414" s="3" t="s">
        <v>13</v>
      </c>
      <c r="J5414" s="3" t="s">
        <v>15582</v>
      </c>
      <c r="K5414" s="3" t="s">
        <v>1304</v>
      </c>
      <c r="L5414" s="3" t="str">
        <f>IFERROR(__xludf.DUMMYFUNCTION("GOOGLETRANSLATE(F5414,""id"",""en"")"),"Messi is full of imagination, the more you close the chances of champion of imagination Messi is increasingly becoming and what can prevent the imagination of destiny and the imagination has conspiring to win Argentina")</f>
        <v>Messi is full of imagination, the more you close the chances of champion of imagination Messi is increasingly becoming and what can prevent the imagination of destiny and the imagination has conspiring to win Argentina</v>
      </c>
    </row>
    <row r="5415" ht="15.75" customHeight="1">
      <c r="A5415" s="1">
        <v>6586.0</v>
      </c>
      <c r="B5415" s="3" t="s">
        <v>15583</v>
      </c>
      <c r="C5415" s="3">
        <v>0.0</v>
      </c>
      <c r="D5415" s="3">
        <v>0.0</v>
      </c>
      <c r="E5415" s="3">
        <v>13.0</v>
      </c>
      <c r="F5415" s="3" t="s">
        <v>15584</v>
      </c>
      <c r="G5415" s="3">
        <v>0.0</v>
      </c>
      <c r="H5415" s="3">
        <v>0.0</v>
      </c>
      <c r="I5415" s="3" t="s">
        <v>13</v>
      </c>
      <c r="J5415" s="3" t="s">
        <v>15585</v>
      </c>
      <c r="K5415" s="3" t="s">
        <v>1045</v>
      </c>
      <c r="L5415" s="3" t="str">
        <f>IFERROR(__xludf.DUMMYFUNCTION("GOOGLETRANSLATE(F5415,""id"",""en"")"),"Just met the penaldongo stalls goal, he commented the point, he didn't accept it if Argentina champions before it could be bale through comments now, it can't be bale, really, a dongo stupid pen, dodolopers")</f>
        <v>Just met the penaldongo stalls goal, he commented the point, he didn't accept it if Argentina champions before it could be bale through comments now, it can't be bale, really, a dongo stupid pen, dodolopers</v>
      </c>
    </row>
    <row r="5416" ht="15.75" customHeight="1">
      <c r="A5416" s="1">
        <v>6587.0</v>
      </c>
      <c r="B5416" s="3" t="s">
        <v>15586</v>
      </c>
      <c r="C5416" s="3">
        <v>1.0</v>
      </c>
      <c r="D5416" s="3">
        <v>0.0</v>
      </c>
      <c r="E5416" s="3">
        <v>0.0</v>
      </c>
      <c r="F5416" s="3" t="s">
        <v>15587</v>
      </c>
      <c r="G5416" s="3">
        <v>0.0</v>
      </c>
      <c r="H5416" s="3">
        <v>0.0</v>
      </c>
      <c r="I5416" s="3" t="s">
        <v>13</v>
      </c>
      <c r="J5416" s="3" t="s">
        <v>15588</v>
      </c>
      <c r="K5416" s="3" t="s">
        <v>31</v>
      </c>
      <c r="L5416" s="3" t="str">
        <f>IFERROR(__xludf.DUMMYFUNCTION("GOOGLETRANSLATE(F5416,""id"",""en"")"),"ABI Argentina Picnic Celebrating Champion")</f>
        <v>ABI Argentina Picnic Celebrating Champion</v>
      </c>
    </row>
    <row r="5417" ht="15.75" customHeight="1">
      <c r="A5417" s="1">
        <v>6588.0</v>
      </c>
      <c r="B5417" s="3" t="s">
        <v>15589</v>
      </c>
      <c r="C5417" s="3">
        <v>1.0</v>
      </c>
      <c r="D5417" s="3">
        <v>0.0</v>
      </c>
      <c r="E5417" s="3">
        <v>0.0</v>
      </c>
      <c r="F5417" s="3" t="s">
        <v>15590</v>
      </c>
      <c r="G5417" s="3">
        <v>0.0</v>
      </c>
      <c r="H5417" s="3">
        <v>0.0</v>
      </c>
      <c r="I5417" s="3" t="s">
        <v>13</v>
      </c>
      <c r="J5417" s="3" t="s">
        <v>15591</v>
      </c>
      <c r="K5417" s="3" t="s">
        <v>82</v>
      </c>
      <c r="L5417" s="3" t="str">
        <f>IFERROR(__xludf.DUMMYFUNCTION("GOOGLETRANSLATE(F5417,""id"",""en"")"),"just want to tell Pis Argentina champion pildun")</f>
        <v>just want to tell Pis Argentina champion pildun</v>
      </c>
    </row>
    <row r="5418" ht="15.75" customHeight="1">
      <c r="A5418" s="1">
        <v>6589.0</v>
      </c>
      <c r="B5418" s="3" t="s">
        <v>15592</v>
      </c>
      <c r="C5418" s="3">
        <v>3.0</v>
      </c>
      <c r="D5418" s="3">
        <v>0.0</v>
      </c>
      <c r="E5418" s="3">
        <v>12.0</v>
      </c>
      <c r="F5418" s="3" t="s">
        <v>15593</v>
      </c>
      <c r="G5418" s="3">
        <v>0.0</v>
      </c>
      <c r="H5418" s="3">
        <v>0.0</v>
      </c>
      <c r="I5418" s="3" t="s">
        <v>13</v>
      </c>
      <c r="J5418" s="3" t="s">
        <v>15594</v>
      </c>
      <c r="K5418" s="3" t="s">
        <v>644</v>
      </c>
      <c r="L5418" s="3" t="str">
        <f>IFERROR(__xludf.DUMMYFUNCTION("GOOGLETRANSLATE(F5418,""id"",""en"")"),"Celebrating Argentina Champion Pildun")</f>
        <v>Celebrating Argentina Champion Pildun</v>
      </c>
    </row>
    <row r="5419" ht="15.75" customHeight="1">
      <c r="A5419" s="1">
        <v>6590.0</v>
      </c>
      <c r="B5419" s="3" t="s">
        <v>15595</v>
      </c>
      <c r="C5419" s="3">
        <v>0.0</v>
      </c>
      <c r="D5419" s="3">
        <v>0.0</v>
      </c>
      <c r="E5419" s="3">
        <v>0.0</v>
      </c>
      <c r="F5419" s="3" t="s">
        <v>15596</v>
      </c>
      <c r="G5419" s="3">
        <v>0.0</v>
      </c>
      <c r="H5419" s="3">
        <v>0.0</v>
      </c>
      <c r="I5419" s="3" t="s">
        <v>13</v>
      </c>
      <c r="J5419" s="3" t="s">
        <v>15597</v>
      </c>
      <c r="K5419" s="3" t="s">
        <v>644</v>
      </c>
      <c r="L5419" s="3" t="str">
        <f>IFERROR(__xludf.DUMMYFUNCTION("GOOGLETRANSLATE(F5419,""id"",""en"")"),"Without Maria Argentina won't be able to win")</f>
        <v>Without Maria Argentina won't be able to win</v>
      </c>
    </row>
    <row r="5420" ht="15.75" customHeight="1">
      <c r="A5420" s="1">
        <v>6591.0</v>
      </c>
      <c r="B5420" s="3" t="s">
        <v>15598</v>
      </c>
      <c r="C5420" s="3">
        <v>0.0</v>
      </c>
      <c r="D5420" s="3">
        <v>0.0</v>
      </c>
      <c r="E5420" s="3">
        <v>0.0</v>
      </c>
      <c r="F5420" s="3" t="s">
        <v>15599</v>
      </c>
      <c r="G5420" s="3">
        <v>0.0</v>
      </c>
      <c r="H5420" s="3">
        <v>0.0</v>
      </c>
      <c r="I5420" s="3" t="s">
        <v>13</v>
      </c>
      <c r="J5420" s="3" t="s">
        <v>15600</v>
      </c>
      <c r="K5420" s="3" t="s">
        <v>31</v>
      </c>
      <c r="L5420" s="3" t="str">
        <f>IFERROR(__xludf.DUMMYFUNCTION("GOOGLETRANSLATE(F5420,""id"",""en"")"),"Min December Mah Argentina Not Champion")</f>
        <v>Min December Mah Argentina Not Champion</v>
      </c>
    </row>
    <row r="5421" ht="15.75" customHeight="1">
      <c r="A5421" s="1">
        <v>6592.0</v>
      </c>
      <c r="B5421" s="3" t="s">
        <v>15601</v>
      </c>
      <c r="C5421" s="3">
        <v>0.0</v>
      </c>
      <c r="D5421" s="3">
        <v>0.0</v>
      </c>
      <c r="E5421" s="3">
        <v>3.0</v>
      </c>
      <c r="F5421" s="3" t="s">
        <v>15566</v>
      </c>
      <c r="G5421" s="3">
        <v>0.0</v>
      </c>
      <c r="H5421" s="3">
        <v>0.0</v>
      </c>
      <c r="I5421" s="3" t="s">
        <v>13</v>
      </c>
      <c r="J5421" s="3" t="s">
        <v>15567</v>
      </c>
      <c r="K5421" s="3" t="s">
        <v>19</v>
      </c>
      <c r="L5421" s="3" t="str">
        <f>IFERROR(__xludf.DUMMYFUNCTION("GOOGLETRANSLATE(F5421,""id"",""en"")"),"Novak Djokovic Sanjung Lionel Messi after carrying the Argentine national team champions of the World Cup")</f>
        <v>Novak Djokovic Sanjung Lionel Messi after carrying the Argentine national team champions of the World Cup</v>
      </c>
    </row>
    <row r="5422" ht="15.75" customHeight="1">
      <c r="A5422" s="1">
        <v>6593.0</v>
      </c>
      <c r="B5422" s="3" t="s">
        <v>15602</v>
      </c>
      <c r="C5422" s="3">
        <v>2.0</v>
      </c>
      <c r="D5422" s="3">
        <v>0.0</v>
      </c>
      <c r="E5422" s="3">
        <v>1.0</v>
      </c>
      <c r="F5422" s="3" t="s">
        <v>15603</v>
      </c>
      <c r="G5422" s="3">
        <v>0.0</v>
      </c>
      <c r="H5422" s="3">
        <v>0.0</v>
      </c>
      <c r="I5422" s="3" t="s">
        <v>13</v>
      </c>
      <c r="J5422" s="3" t="s">
        <v>15604</v>
      </c>
      <c r="K5422" s="3" t="s">
        <v>50</v>
      </c>
      <c r="L5422" s="3" t="str">
        <f>IFERROR(__xludf.DUMMYFUNCTION("GOOGLETRANSLATE(F5422,""id"",""en"")"),"At that time Spain also did not have a history of the Argentina World Cup championship")</f>
        <v>At that time Spain also did not have a history of the Argentina World Cup championship</v>
      </c>
    </row>
    <row r="5423" ht="15.75" customHeight="1">
      <c r="A5423" s="1">
        <v>6594.0</v>
      </c>
      <c r="B5423" s="3" t="s">
        <v>15605</v>
      </c>
      <c r="C5423" s="3">
        <v>0.0</v>
      </c>
      <c r="D5423" s="3">
        <v>0.0</v>
      </c>
      <c r="E5423" s="3">
        <v>0.0</v>
      </c>
      <c r="F5423" s="3" t="s">
        <v>15606</v>
      </c>
      <c r="G5423" s="3">
        <v>0.0</v>
      </c>
      <c r="H5423" s="3">
        <v>0.0</v>
      </c>
      <c r="I5423" s="3" t="s">
        <v>13</v>
      </c>
      <c r="J5423" s="3" t="s">
        <v>15607</v>
      </c>
      <c r="K5423" s="3" t="s">
        <v>1335</v>
      </c>
      <c r="L5423" s="3" t="str">
        <f>IFERROR(__xludf.DUMMYFUNCTION("GOOGLETRANSLATE(F5423,""id"",""en"")"),"Deni Asking Seriously Fajar Also Answer Seriously Situation")</f>
        <v>Deni Asking Seriously Fajar Also Answer Seriously Situation</v>
      </c>
    </row>
    <row r="5424" ht="15.75" customHeight="1">
      <c r="A5424" s="1">
        <v>6595.0</v>
      </c>
      <c r="B5424" s="3" t="s">
        <v>15608</v>
      </c>
      <c r="C5424" s="3">
        <v>1.0</v>
      </c>
      <c r="D5424" s="3">
        <v>0.0</v>
      </c>
      <c r="E5424" s="3">
        <v>0.0</v>
      </c>
      <c r="F5424" s="3" t="s">
        <v>15609</v>
      </c>
      <c r="G5424" s="3">
        <v>0.6</v>
      </c>
      <c r="H5424" s="3">
        <v>-0.4</v>
      </c>
      <c r="I5424" s="3" t="s">
        <v>179</v>
      </c>
      <c r="J5424" s="3" t="s">
        <v>15610</v>
      </c>
      <c r="K5424" s="3" t="s">
        <v>765</v>
      </c>
      <c r="L5424" s="3" t="str">
        <f>IFERROR(__xludf.DUMMYFUNCTION("GOOGLETRANSLATE(F5424,""id"",""en"")"),"WHT the fuck mennn Mario camping with the first Argentina World Cup champion said that I shined in Ronaldo's fans, I know that I joined the debate, which is also high school.")</f>
        <v>WHT the fuck mennn Mario camping with the first Argentina World Cup champion said that I shined in Ronaldo's fans, I know that I joined the debate, which is also high school.</v>
      </c>
    </row>
    <row r="5425" ht="15.75" customHeight="1">
      <c r="A5425" s="1">
        <v>6596.0</v>
      </c>
      <c r="B5425" s="3" t="s">
        <v>15611</v>
      </c>
      <c r="C5425" s="3">
        <v>0.0</v>
      </c>
      <c r="D5425" s="3">
        <v>0.0</v>
      </c>
      <c r="E5425" s="3">
        <v>0.0</v>
      </c>
      <c r="F5425" s="3" t="s">
        <v>15612</v>
      </c>
      <c r="G5425" s="3">
        <v>0.0</v>
      </c>
      <c r="H5425" s="3">
        <v>0.0</v>
      </c>
      <c r="I5425" s="3" t="s">
        <v>13</v>
      </c>
      <c r="J5425" s="3" t="s">
        <v>15613</v>
      </c>
      <c r="K5425" s="3" t="s">
        <v>54</v>
      </c>
      <c r="L5425" s="3" t="str">
        <f>IFERROR(__xludf.DUMMYFUNCTION("GOOGLETRANSLATE(F5425,""id"",""en"")"),"Congratulations on Argentina World Cup Champion")</f>
        <v>Congratulations on Argentina World Cup Champion</v>
      </c>
    </row>
    <row r="5426" ht="15.75" customHeight="1">
      <c r="A5426" s="1">
        <v>6597.0</v>
      </c>
      <c r="B5426" s="3" t="s">
        <v>15614</v>
      </c>
      <c r="C5426" s="3">
        <v>0.0</v>
      </c>
      <c r="D5426" s="3">
        <v>0.0</v>
      </c>
      <c r="E5426" s="3">
        <v>0.0</v>
      </c>
      <c r="F5426" s="3" t="s">
        <v>15615</v>
      </c>
      <c r="G5426" s="3">
        <v>0.3</v>
      </c>
      <c r="H5426" s="3">
        <v>0.2</v>
      </c>
      <c r="I5426" s="3" t="s">
        <v>48</v>
      </c>
      <c r="J5426" s="3" t="s">
        <v>15616</v>
      </c>
      <c r="K5426" s="3" t="s">
        <v>1097</v>
      </c>
      <c r="L5426" s="3" t="str">
        <f>IFERROR(__xludf.DUMMYFUNCTION("GOOGLETRANSLATE(F5426,""id"",""en"")"),"From Real Madrid Champions League Champion to Argentina World Champion Visit")</f>
        <v>From Real Madrid Champions League Champion to Argentina World Champion Visit</v>
      </c>
    </row>
    <row r="5427" ht="15.75" customHeight="1">
      <c r="A5427" s="1">
        <v>6598.0</v>
      </c>
      <c r="B5427" s="3" t="s">
        <v>15617</v>
      </c>
      <c r="C5427" s="3">
        <v>0.0</v>
      </c>
      <c r="D5427" s="3">
        <v>0.0</v>
      </c>
      <c r="E5427" s="3">
        <v>0.0</v>
      </c>
      <c r="F5427" s="3" t="s">
        <v>15618</v>
      </c>
      <c r="G5427" s="3">
        <v>0.0</v>
      </c>
      <c r="H5427" s="3">
        <v>0.0</v>
      </c>
      <c r="I5427" s="3" t="s">
        <v>13</v>
      </c>
      <c r="J5427" s="3" t="s">
        <v>15619</v>
      </c>
      <c r="K5427" s="3" t="s">
        <v>50</v>
      </c>
      <c r="L5427" s="3" t="str">
        <f>IFERROR(__xludf.DUMMYFUNCTION("GOOGLETRANSLATE(F5427,""id"",""en"")"),"After the world champion Lionel Messi's face will be printed in Argentina")</f>
        <v>After the world champion Lionel Messi's face will be printed in Argentina</v>
      </c>
    </row>
    <row r="5428" ht="15.75" customHeight="1">
      <c r="A5428" s="1">
        <v>6599.0</v>
      </c>
      <c r="B5428" s="3" t="s">
        <v>15620</v>
      </c>
      <c r="C5428" s="3">
        <v>76.0</v>
      </c>
      <c r="D5428" s="3">
        <v>16.0</v>
      </c>
      <c r="E5428" s="3">
        <v>421.0</v>
      </c>
      <c r="F5428" s="3" t="s">
        <v>15621</v>
      </c>
      <c r="G5428" s="3">
        <v>0.0</v>
      </c>
      <c r="H5428" s="3">
        <v>0.0</v>
      </c>
      <c r="I5428" s="3" t="s">
        <v>13</v>
      </c>
      <c r="J5428" s="3" t="s">
        <v>15622</v>
      </c>
      <c r="K5428" s="3" t="s">
        <v>495</v>
      </c>
      <c r="L5428" s="3" t="str">
        <f>IFERROR(__xludf.DUMMYFUNCTION("GOOGLETRANSLATE(F5428,""id"",""en"")"),"Emiliano Martinez bullying Kylian Mbappe after bringing Argentina the world cup champion was considered too far by the boss of Unai Emery Klik")</f>
        <v>Emiliano Martinez bullying Kylian Mbappe after bringing Argentina the world cup champion was considered too far by the boss of Unai Emery Klik</v>
      </c>
    </row>
    <row r="5429" ht="15.75" customHeight="1">
      <c r="A5429" s="1">
        <v>6600.0</v>
      </c>
      <c r="B5429" s="3" t="s">
        <v>15623</v>
      </c>
      <c r="C5429" s="3">
        <v>0.0</v>
      </c>
      <c r="D5429" s="3">
        <v>1.0</v>
      </c>
      <c r="E5429" s="3">
        <v>10.0</v>
      </c>
      <c r="F5429" s="3" t="s">
        <v>15624</v>
      </c>
      <c r="G5429" s="3">
        <v>0.0</v>
      </c>
      <c r="H5429" s="3">
        <v>0.0</v>
      </c>
      <c r="I5429" s="3" t="s">
        <v>13</v>
      </c>
      <c r="J5429" s="3" t="s">
        <v>15625</v>
      </c>
      <c r="K5429" s="3" t="s">
        <v>50</v>
      </c>
      <c r="L5429" s="3" t="str">
        <f>IFERROR(__xludf.DUMMYFUNCTION("GOOGLETRANSLATE(F5429,""id"",""en"")"),"Viera calls the act of Emiliano Martinez stupid after bringing Argentina to the World Cup championship")</f>
        <v>Viera calls the act of Emiliano Martinez stupid after bringing Argentina to the World Cup championship</v>
      </c>
    </row>
    <row r="5430" ht="15.75" customHeight="1">
      <c r="A5430" s="1">
        <v>6601.0</v>
      </c>
      <c r="B5430" s="3" t="s">
        <v>15626</v>
      </c>
      <c r="C5430" s="3">
        <v>2.0</v>
      </c>
      <c r="D5430" s="3">
        <v>4.0</v>
      </c>
      <c r="E5430" s="3">
        <v>51.0</v>
      </c>
      <c r="F5430" s="3" t="s">
        <v>15627</v>
      </c>
      <c r="G5430" s="3">
        <v>0.0</v>
      </c>
      <c r="H5430" s="3">
        <v>0.0</v>
      </c>
      <c r="I5430" s="3" t="s">
        <v>13</v>
      </c>
      <c r="J5430" s="3" t="s">
        <v>15628</v>
      </c>
      <c r="K5430" s="3" t="s">
        <v>495</v>
      </c>
      <c r="L5430" s="3" t="str">
        <f>IFERROR(__xludf.DUMMYFUNCTION("GOOGLETRANSLATE(F5430,""id"",""en"")"),"The moment of Christmas celebration from several Argentine world champion squads Leo Messi Angel Maria Dibu Martinez and Alexis Mac Allister")</f>
        <v>The moment of Christmas celebration from several Argentine world champion squads Leo Messi Angel Maria Dibu Martinez and Alexis Mac Allister</v>
      </c>
    </row>
    <row r="5431" ht="15.75" customHeight="1">
      <c r="A5431" s="1">
        <v>6602.0</v>
      </c>
      <c r="B5431" s="3" t="s">
        <v>15629</v>
      </c>
      <c r="C5431" s="3">
        <v>0.0</v>
      </c>
      <c r="D5431" s="3">
        <v>0.0</v>
      </c>
      <c r="E5431" s="3">
        <v>0.0</v>
      </c>
      <c r="F5431" s="3" t="s">
        <v>15630</v>
      </c>
      <c r="G5431" s="3">
        <v>0.0</v>
      </c>
      <c r="H5431" s="3">
        <v>0.0</v>
      </c>
      <c r="I5431" s="3" t="s">
        <v>13</v>
      </c>
      <c r="J5431" s="3" t="s">
        <v>15631</v>
      </c>
      <c r="K5431" s="3" t="s">
        <v>1628</v>
      </c>
      <c r="L5431" s="3" t="str">
        <f>IFERROR(__xludf.DUMMYFUNCTION("GOOGLETRANSLATE(F5431,""id"",""en"")"),"Congratulations without any meaning, instead of being a hypocrite, it means that a mere false tolerance is that Francis said congratulations to Argentina, meaning to justify and believe in the greatness of the champion and the meaning of Mey too")</f>
        <v>Congratulations without any meaning, instead of being a hypocrite, it means that a mere false tolerance is that Francis said congratulations to Argentina, meaning to justify and believe in the greatness of the champion and the meaning of Mey too</v>
      </c>
    </row>
    <row r="5432" ht="15.75" customHeight="1">
      <c r="A5432" s="1">
        <v>6603.0</v>
      </c>
      <c r="B5432" s="3" t="s">
        <v>15632</v>
      </c>
      <c r="C5432" s="3">
        <v>0.0</v>
      </c>
      <c r="D5432" s="3">
        <v>0.0</v>
      </c>
      <c r="E5432" s="3">
        <v>0.0</v>
      </c>
      <c r="F5432" s="3" t="s">
        <v>15633</v>
      </c>
      <c r="G5432" s="3">
        <v>0.0</v>
      </c>
      <c r="H5432" s="3">
        <v>0.0</v>
      </c>
      <c r="I5432" s="3" t="s">
        <v>13</v>
      </c>
      <c r="J5432" s="3" t="s">
        <v>15634</v>
      </c>
      <c r="K5432" s="3" t="s">
        <v>50</v>
      </c>
      <c r="L5432" s="3" t="str">
        <f>IFERROR(__xludf.DUMMYFUNCTION("GOOGLETRANSLATE(F5432,""id"",""en"")"),"Angel Maria captures the success of the Argentine national team champions of the World Cup with a tattoo")</f>
        <v>Angel Maria captures the success of the Argentine national team champions of the World Cup with a tattoo</v>
      </c>
    </row>
    <row r="5433" ht="15.75" customHeight="1">
      <c r="A5433" s="1">
        <v>6604.0</v>
      </c>
      <c r="B5433" s="3" t="s">
        <v>15635</v>
      </c>
      <c r="C5433" s="3">
        <v>0.0</v>
      </c>
      <c r="D5433" s="3">
        <v>4.0</v>
      </c>
      <c r="E5433" s="3">
        <v>8.0</v>
      </c>
      <c r="F5433" s="3" t="s">
        <v>15636</v>
      </c>
      <c r="G5433" s="3">
        <v>1.0</v>
      </c>
      <c r="H5433" s="3">
        <v>0.0</v>
      </c>
      <c r="I5433" s="3" t="s">
        <v>13</v>
      </c>
      <c r="J5433" s="3" t="s">
        <v>15637</v>
      </c>
      <c r="K5433" s="3" t="s">
        <v>633</v>
      </c>
      <c r="L5433" s="3" t="str">
        <f>IFERROR(__xludf.DUMMYFUNCTION("GOOGLETRANSLATE(F5433,""id"",""en"")"),"Trezeguet who used to defend the French national team was sad to see Les Bleus losing the final but was happy")</f>
        <v>Trezeguet who used to defend the French national team was sad to see Les Bleus losing the final but was happy</v>
      </c>
    </row>
    <row r="5434" ht="15.75" customHeight="1">
      <c r="A5434" s="1">
        <v>6605.0</v>
      </c>
      <c r="B5434" s="3" t="s">
        <v>15638</v>
      </c>
      <c r="C5434" s="3">
        <v>1.0</v>
      </c>
      <c r="D5434" s="3">
        <v>0.0</v>
      </c>
      <c r="E5434" s="3">
        <v>1.0</v>
      </c>
      <c r="F5434" s="3" t="s">
        <v>15639</v>
      </c>
      <c r="G5434" s="3">
        <v>0.0</v>
      </c>
      <c r="H5434" s="3">
        <v>0.0</v>
      </c>
      <c r="I5434" s="3" t="s">
        <v>13</v>
      </c>
      <c r="J5434" s="3" t="s">
        <v>15640</v>
      </c>
      <c r="K5434" s="3" t="s">
        <v>123</v>
      </c>
      <c r="L5434" s="3" t="str">
        <f>IFERROR(__xludf.DUMMYFUNCTION("GOOGLETRANSLATE(F5434,""id"",""en"")"),"Uwu Georgina yesterday said that Fernando Santos was hit by Ronaldo's sap already fixed Argentina's eyes")</f>
        <v>Uwu Georgina yesterday said that Fernando Santos was hit by Ronaldo's sap already fixed Argentina's eyes</v>
      </c>
    </row>
    <row r="5435" ht="15.75" customHeight="1">
      <c r="A5435" s="1">
        <v>6606.0</v>
      </c>
      <c r="B5435" s="3" t="s">
        <v>15641</v>
      </c>
      <c r="C5435" s="3">
        <v>0.0</v>
      </c>
      <c r="D5435" s="3">
        <v>0.0</v>
      </c>
      <c r="E5435" s="3">
        <v>8.0</v>
      </c>
      <c r="F5435" s="3" t="s">
        <v>15642</v>
      </c>
      <c r="G5435" s="3">
        <v>0.3333333333333333</v>
      </c>
      <c r="H5435" s="3">
        <v>0.1666666666666667</v>
      </c>
      <c r="I5435" s="3" t="s">
        <v>48</v>
      </c>
      <c r="J5435" s="3" t="s">
        <v>15643</v>
      </c>
      <c r="K5435" s="3" t="s">
        <v>433</v>
      </c>
      <c r="L5435" s="3" t="str">
        <f>IFERROR(__xludf.DUMMYFUNCTION("GOOGLETRANSLATE(F5435,""id"",""en"")"),"Angel Maria has brought Argentina World Cup champions are now Juventus also hopes Maria can continue to play well")</f>
        <v>Angel Maria has brought Argentina World Cup champions are now Juventus also hopes Maria can continue to play well</v>
      </c>
    </row>
    <row r="5436" ht="15.75" customHeight="1">
      <c r="A5436" s="1">
        <v>6607.0</v>
      </c>
      <c r="B5436" s="3" t="s">
        <v>15644</v>
      </c>
      <c r="C5436" s="3">
        <v>0.0</v>
      </c>
      <c r="D5436" s="3">
        <v>0.0</v>
      </c>
      <c r="E5436" s="3">
        <v>0.0</v>
      </c>
      <c r="F5436" s="3" t="s">
        <v>15645</v>
      </c>
      <c r="G5436" s="3">
        <v>0.0</v>
      </c>
      <c r="H5436" s="3">
        <v>0.0</v>
      </c>
      <c r="I5436" s="3" t="s">
        <v>13</v>
      </c>
      <c r="J5436" s="3" t="s">
        <v>15646</v>
      </c>
      <c r="K5436" s="3" t="s">
        <v>1097</v>
      </c>
      <c r="L5436" s="3" t="str">
        <f>IFERROR(__xludf.DUMMYFUNCTION("GOOGLETRANSLATE(F5436,""id"",""en"")"),"Min Argentina World Champion Date Great Date Has Been Celebrated")</f>
        <v>Min Argentina World Champion Date Great Date Has Been Celebrated</v>
      </c>
    </row>
    <row r="5437" ht="15.75" customHeight="1">
      <c r="A5437" s="1">
        <v>6608.0</v>
      </c>
      <c r="B5437" s="3" t="s">
        <v>15647</v>
      </c>
      <c r="C5437" s="3">
        <v>0.0</v>
      </c>
      <c r="D5437" s="3">
        <v>1.0</v>
      </c>
      <c r="E5437" s="3">
        <v>4.0</v>
      </c>
      <c r="F5437" s="3" t="s">
        <v>15648</v>
      </c>
      <c r="G5437" s="3">
        <v>0.0</v>
      </c>
      <c r="H5437" s="3">
        <v>0.0</v>
      </c>
      <c r="I5437" s="3" t="s">
        <v>13</v>
      </c>
      <c r="J5437" s="3" t="s">
        <v>15649</v>
      </c>
      <c r="K5437" s="3" t="s">
        <v>675</v>
      </c>
      <c r="L5437" s="3" t="str">
        <f>IFERROR(__xludf.DUMMYFUNCTION("GOOGLETRANSLATE(F5437,""id"",""en"")"),"The magnificent closure of the closing opening party became Qatar's sweet record as the host of the World Cup Lionel Messi finally ended the waiting of Argentina champions for his first year as well as the title of his first World Cup")</f>
        <v>The magnificent closure of the closing opening party became Qatar's sweet record as the host of the World Cup Lionel Messi finally ended the waiting of Argentina champions for his first year as well as the title of his first World Cup</v>
      </c>
    </row>
    <row r="5438" ht="15.75" customHeight="1">
      <c r="A5438" s="1">
        <v>6609.0</v>
      </c>
      <c r="B5438" s="3" t="s">
        <v>15650</v>
      </c>
      <c r="C5438" s="3">
        <v>1.0</v>
      </c>
      <c r="D5438" s="3">
        <v>1.0</v>
      </c>
      <c r="E5438" s="3">
        <v>0.0</v>
      </c>
      <c r="F5438" s="3" t="s">
        <v>15651</v>
      </c>
      <c r="G5438" s="3">
        <v>0.0</v>
      </c>
      <c r="H5438" s="3">
        <v>0.0</v>
      </c>
      <c r="I5438" s="3" t="s">
        <v>13</v>
      </c>
      <c r="J5438" s="3" t="s">
        <v>15652</v>
      </c>
      <c r="K5438" s="3" t="s">
        <v>1045</v>
      </c>
      <c r="L5438" s="3" t="str">
        <f>IFERROR(__xludf.DUMMYFUNCTION("GOOGLETRANSLATE(F5438,""id"",""en"")"),"Albiceleste is really Min, if later the AFF champion will be happy, but it's good to be normal, but if you reach Indonesia, the new Asian Cup champion I will be very happy to be Argentina's world cup champion this year")</f>
        <v>Albiceleste is really Min, if later the AFF champion will be happy, but it's good to be normal, but if you reach Indonesia, the new Asian Cup champion I will be very happy to be Argentina's world cup champion this year</v>
      </c>
    </row>
    <row r="5439" ht="15.75" customHeight="1">
      <c r="A5439" s="1">
        <v>6610.0</v>
      </c>
      <c r="B5439" s="3" t="s">
        <v>15653</v>
      </c>
      <c r="C5439" s="3">
        <v>0.0</v>
      </c>
      <c r="D5439" s="3">
        <v>0.0</v>
      </c>
      <c r="E5439" s="3">
        <v>0.0</v>
      </c>
      <c r="F5439" s="3" t="s">
        <v>15654</v>
      </c>
      <c r="G5439" s="3">
        <v>0.0</v>
      </c>
      <c r="H5439" s="3">
        <v>0.0</v>
      </c>
      <c r="I5439" s="3" t="s">
        <v>13</v>
      </c>
      <c r="J5439" s="3" t="s">
        <v>15655</v>
      </c>
      <c r="K5439" s="3" t="s">
        <v>15</v>
      </c>
      <c r="L5439" s="3" t="str">
        <f>IFERROR(__xludf.DUMMYFUNCTION("GOOGLETRANSLATE(F5439,""id"",""en"")"),"Messi has champions Argentina, it's time to again support Germany but not to support LGBT")</f>
        <v>Messi has champions Argentina, it's time to again support Germany but not to support LGBT</v>
      </c>
    </row>
    <row r="5440" ht="15.75" customHeight="1">
      <c r="A5440" s="1">
        <v>6611.0</v>
      </c>
      <c r="B5440" s="3" t="s">
        <v>15656</v>
      </c>
      <c r="C5440" s="3">
        <v>0.0</v>
      </c>
      <c r="D5440" s="3">
        <v>0.0</v>
      </c>
      <c r="E5440" s="3">
        <v>2.0</v>
      </c>
      <c r="F5440" s="3" t="s">
        <v>15657</v>
      </c>
      <c r="G5440" s="3">
        <v>0.0</v>
      </c>
      <c r="H5440" s="3">
        <v>0.0</v>
      </c>
      <c r="I5440" s="3" t="s">
        <v>13</v>
      </c>
      <c r="J5440" s="3" t="s">
        <v>15658</v>
      </c>
      <c r="K5440" s="3" t="s">
        <v>41</v>
      </c>
      <c r="L5440" s="3" t="str">
        <f>IFERROR(__xludf.DUMMYFUNCTION("GOOGLETRANSLATE(F5440,""id"",""en"")"),"The celebration of Emiliano Martinez is considered a stain in the celebration of the Argentine title")</f>
        <v>The celebration of Emiliano Martinez is considered a stain in the celebration of the Argentine title</v>
      </c>
    </row>
    <row r="5441" ht="15.75" customHeight="1">
      <c r="A5441" s="1">
        <v>6612.0</v>
      </c>
      <c r="B5441" s="3" t="s">
        <v>15659</v>
      </c>
      <c r="C5441" s="3">
        <v>0.0</v>
      </c>
      <c r="D5441" s="3">
        <v>0.0</v>
      </c>
      <c r="E5441" s="3">
        <v>0.0</v>
      </c>
      <c r="F5441" s="3" t="s">
        <v>15660</v>
      </c>
      <c r="G5441" s="3">
        <v>0.0</v>
      </c>
      <c r="H5441" s="3">
        <v>0.0</v>
      </c>
      <c r="I5441" s="3" t="s">
        <v>13</v>
      </c>
      <c r="J5441" s="3" t="s">
        <v>15661</v>
      </c>
      <c r="K5441" s="3" t="s">
        <v>15662</v>
      </c>
      <c r="L5441" s="3" t="str">
        <f>IFERROR(__xludf.DUMMYFUNCTION("GOOGLETRANSLATE(F5441,""id"",""en"")"),"Are you aware that Ronaldo is also the world champion of Ronaldo Georgina Rodriguez is an Argentine Grout Green Georgina is a close relative")</f>
        <v>Are you aware that Ronaldo is also the world champion of Ronaldo Georgina Rodriguez is an Argentine Grout Green Georgina is a close relative</v>
      </c>
    </row>
    <row r="5442" ht="15.75" customHeight="1">
      <c r="A5442" s="1">
        <v>6613.0</v>
      </c>
      <c r="B5442" s="3" t="s">
        <v>15663</v>
      </c>
      <c r="C5442" s="3">
        <v>0.0</v>
      </c>
      <c r="D5442" s="3">
        <v>0.0</v>
      </c>
      <c r="E5442" s="3">
        <v>0.0</v>
      </c>
      <c r="F5442" s="3" t="s">
        <v>15664</v>
      </c>
      <c r="G5442" s="3">
        <v>0.25</v>
      </c>
      <c r="H5442" s="3">
        <v>0.0</v>
      </c>
      <c r="I5442" s="3" t="s">
        <v>13</v>
      </c>
      <c r="J5442" s="3" t="s">
        <v>15665</v>
      </c>
      <c r="K5442" s="3" t="s">
        <v>71</v>
      </c>
      <c r="L5442" s="3" t="str">
        <f>IFERROR(__xludf.DUMMYFUNCTION("GOOGLETRANSLATE(F5442,""id"",""en"")"),"Champion World Cup of Bank Central Argentina will monetize the image of Lionel Messi on Peso Day banknotes")</f>
        <v>Champion World Cup of Bank Central Argentina will monetize the image of Lionel Messi on Peso Day banknotes</v>
      </c>
    </row>
    <row r="5443" ht="15.75" customHeight="1">
      <c r="A5443" s="1">
        <v>6614.0</v>
      </c>
      <c r="B5443" s="3" t="s">
        <v>15666</v>
      </c>
      <c r="C5443" s="3">
        <v>0.0</v>
      </c>
      <c r="D5443" s="3">
        <v>0.0</v>
      </c>
      <c r="E5443" s="3">
        <v>4.0</v>
      </c>
      <c r="F5443" s="3" t="s">
        <v>15642</v>
      </c>
      <c r="G5443" s="3">
        <v>0.3333333333333333</v>
      </c>
      <c r="H5443" s="3">
        <v>0.1666666666666667</v>
      </c>
      <c r="I5443" s="3" t="s">
        <v>48</v>
      </c>
      <c r="J5443" s="3" t="s">
        <v>15643</v>
      </c>
      <c r="K5443" s="3" t="s">
        <v>433</v>
      </c>
      <c r="L5443" s="3" t="str">
        <f>IFERROR(__xludf.DUMMYFUNCTION("GOOGLETRANSLATE(F5443,""id"",""en"")"),"Angel Maria has brought Argentina World Cup champions are now Juventus also hopes Maria can continue to play well")</f>
        <v>Angel Maria has brought Argentina World Cup champions are now Juventus also hopes Maria can continue to play well</v>
      </c>
    </row>
    <row r="5444" ht="15.75" customHeight="1">
      <c r="A5444" s="1">
        <v>6615.0</v>
      </c>
      <c r="B5444" s="3" t="s">
        <v>15667</v>
      </c>
      <c r="C5444" s="3">
        <v>0.0</v>
      </c>
      <c r="D5444" s="3">
        <v>0.0</v>
      </c>
      <c r="E5444" s="3">
        <v>1.0</v>
      </c>
      <c r="F5444" s="3" t="s">
        <v>15668</v>
      </c>
      <c r="G5444" s="3">
        <v>0.0</v>
      </c>
      <c r="H5444" s="3">
        <v>0.0</v>
      </c>
      <c r="I5444" s="3" t="s">
        <v>13</v>
      </c>
      <c r="J5444" s="3" t="s">
        <v>15669</v>
      </c>
      <c r="K5444" s="3" t="s">
        <v>695</v>
      </c>
      <c r="L5444" s="3" t="str">
        <f>IFERROR(__xludf.DUMMYFUNCTION("GOOGLETRANSLATE(F5444,""id"",""en"")"),"Olasis of that picture of Argentine welcomed the victory of his soccer team to become the World Cup world champion yesterday how come it was recognized by the residents of Pangkep outrageous")</f>
        <v>Olasis of that picture of Argentine welcomed the victory of his soccer team to become the World Cup world champion yesterday how come it was recognized by the residents of Pangkep outrageous</v>
      </c>
    </row>
    <row r="5445" ht="15.75" customHeight="1">
      <c r="A5445" s="1">
        <v>6616.0</v>
      </c>
      <c r="B5445" s="3" t="s">
        <v>15670</v>
      </c>
      <c r="C5445" s="3">
        <v>0.0</v>
      </c>
      <c r="D5445" s="3">
        <v>0.0</v>
      </c>
      <c r="E5445" s="3">
        <v>0.0</v>
      </c>
      <c r="F5445" s="3" t="s">
        <v>15671</v>
      </c>
      <c r="G5445" s="3">
        <v>0.0</v>
      </c>
      <c r="H5445" s="3">
        <v>0.0</v>
      </c>
      <c r="I5445" s="3" t="s">
        <v>13</v>
      </c>
      <c r="J5445" s="3" t="s">
        <v>15672</v>
      </c>
      <c r="K5445" s="3" t="s">
        <v>15</v>
      </c>
      <c r="L5445" s="3" t="str">
        <f>IFERROR(__xludf.DUMMYFUNCTION("GOOGLETRANSLATE(F5445,""id"",""en"")"),"Feeling Cringe seeing Argentina Champion Mickey Mouse Cup")</f>
        <v>Feeling Cringe seeing Argentina Champion Mickey Mouse Cup</v>
      </c>
    </row>
    <row r="5446" ht="15.75" customHeight="1">
      <c r="A5446" s="1">
        <v>6617.0</v>
      </c>
      <c r="B5446" s="3" t="s">
        <v>15673</v>
      </c>
      <c r="C5446" s="3">
        <v>0.0</v>
      </c>
      <c r="D5446" s="3">
        <v>0.0</v>
      </c>
      <c r="E5446" s="3">
        <v>0.0</v>
      </c>
      <c r="F5446" s="3" t="s">
        <v>15674</v>
      </c>
      <c r="G5446" s="3">
        <v>0.0</v>
      </c>
      <c r="H5446" s="3">
        <v>0.0</v>
      </c>
      <c r="I5446" s="3" t="s">
        <v>13</v>
      </c>
      <c r="J5446" s="3" t="s">
        <v>15675</v>
      </c>
      <c r="K5446" s="3" t="s">
        <v>699</v>
      </c>
      <c r="L5446" s="3" t="str">
        <f>IFERROR(__xludf.DUMMYFUNCTION("GOOGLETRANSLATE(F5446,""id"",""en"")"),"Min great, Anies is tweeting on December but the video of Argentina is the World Cup championship on December how can you upload videos that haven't happened")</f>
        <v>Min great, Anies is tweeting on December but the video of Argentina is the World Cup championship on December how can you upload videos that haven't happened</v>
      </c>
    </row>
    <row r="5447" ht="15.75" customHeight="1">
      <c r="A5447" s="1">
        <v>6618.0</v>
      </c>
      <c r="B5447" s="3" t="s">
        <v>15676</v>
      </c>
      <c r="C5447" s="3">
        <v>0.0</v>
      </c>
      <c r="D5447" s="3">
        <v>0.0</v>
      </c>
      <c r="E5447" s="3">
        <v>0.0</v>
      </c>
      <c r="F5447" s="3" t="s">
        <v>15677</v>
      </c>
      <c r="G5447" s="3">
        <v>0.0</v>
      </c>
      <c r="H5447" s="3">
        <v>0.0</v>
      </c>
      <c r="I5447" s="3" t="s">
        <v>13</v>
      </c>
      <c r="J5447" s="3" t="s">
        <v>15678</v>
      </c>
      <c r="K5447" s="3" t="s">
        <v>15</v>
      </c>
      <c r="L5447" s="3" t="str">
        <f>IFERROR(__xludf.DUMMYFUNCTION("GOOGLETRANSLATE(F5447,""id"",""en"")"),"Trezeguet sad France failed to win but happy Argentina Champion")</f>
        <v>Trezeguet sad France failed to win but happy Argentina Champion</v>
      </c>
    </row>
    <row r="5448" ht="15.75" customHeight="1">
      <c r="A5448" s="1">
        <v>6619.0</v>
      </c>
      <c r="B5448" s="3" t="s">
        <v>15679</v>
      </c>
      <c r="C5448" s="3">
        <v>0.0</v>
      </c>
      <c r="D5448" s="3">
        <v>0.0</v>
      </c>
      <c r="E5448" s="3">
        <v>4.0</v>
      </c>
      <c r="F5448" s="3" t="s">
        <v>15636</v>
      </c>
      <c r="G5448" s="3">
        <v>1.0</v>
      </c>
      <c r="H5448" s="3">
        <v>0.0</v>
      </c>
      <c r="I5448" s="3" t="s">
        <v>13</v>
      </c>
      <c r="J5448" s="3" t="s">
        <v>15637</v>
      </c>
      <c r="K5448" s="3" t="s">
        <v>633</v>
      </c>
      <c r="L5448" s="3" t="str">
        <f>IFERROR(__xludf.DUMMYFUNCTION("GOOGLETRANSLATE(F5448,""id"",""en"")"),"Trezeguet who used to defend the French national team was sad to see Les Bleus losing the final but was happy")</f>
        <v>Trezeguet who used to defend the French national team was sad to see Les Bleus losing the final but was happy</v>
      </c>
    </row>
    <row r="5449" ht="15.75" customHeight="1">
      <c r="A5449" s="1">
        <v>6620.0</v>
      </c>
      <c r="B5449" s="3" t="s">
        <v>15680</v>
      </c>
      <c r="C5449" s="3">
        <v>0.0</v>
      </c>
      <c r="D5449" s="3">
        <v>0.0</v>
      </c>
      <c r="E5449" s="3">
        <v>0.0</v>
      </c>
      <c r="F5449" s="3" t="s">
        <v>15636</v>
      </c>
      <c r="G5449" s="3">
        <v>1.0</v>
      </c>
      <c r="H5449" s="3">
        <v>0.0</v>
      </c>
      <c r="I5449" s="3" t="s">
        <v>13</v>
      </c>
      <c r="J5449" s="3" t="s">
        <v>15637</v>
      </c>
      <c r="K5449" s="3" t="s">
        <v>633</v>
      </c>
      <c r="L5449" s="3" t="str">
        <f>IFERROR(__xludf.DUMMYFUNCTION("GOOGLETRANSLATE(F5449,""id"",""en"")"),"Trezeguet who used to defend the French national team was sad to see Les Bleus losing the final but was happy")</f>
        <v>Trezeguet who used to defend the French national team was sad to see Les Bleus losing the final but was happy</v>
      </c>
    </row>
    <row r="5450" ht="15.75" customHeight="1">
      <c r="A5450" s="1">
        <v>6621.0</v>
      </c>
      <c r="B5450" s="3" t="s">
        <v>15681</v>
      </c>
      <c r="C5450" s="3">
        <v>0.0</v>
      </c>
      <c r="D5450" s="3">
        <v>0.0</v>
      </c>
      <c r="E5450" s="3">
        <v>1.0</v>
      </c>
      <c r="F5450" s="3" t="s">
        <v>15682</v>
      </c>
      <c r="G5450" s="3">
        <v>0.0</v>
      </c>
      <c r="H5450" s="3">
        <v>0.0</v>
      </c>
      <c r="I5450" s="3" t="s">
        <v>13</v>
      </c>
      <c r="J5450" s="3" t="s">
        <v>15683</v>
      </c>
      <c r="K5450" s="3" t="s">
        <v>41</v>
      </c>
      <c r="L5450" s="3" t="str">
        <f>IFERROR(__xludf.DUMMYFUNCTION("GOOGLETRANSLATE(F5450,""id"",""en"")"),"Febriyant Suitable Tumbal Logi means Kek Maradona Died Argentina Champion")</f>
        <v>Febriyant Suitable Tumbal Logi means Kek Maradona Died Argentina Champion</v>
      </c>
    </row>
    <row r="5451" ht="15.75" customHeight="1">
      <c r="A5451" s="1">
        <v>6622.0</v>
      </c>
      <c r="B5451" s="3" t="s">
        <v>15684</v>
      </c>
      <c r="C5451" s="3">
        <v>0.0</v>
      </c>
      <c r="D5451" s="3">
        <v>0.0</v>
      </c>
      <c r="E5451" s="3">
        <v>0.0</v>
      </c>
      <c r="F5451" s="3" t="s">
        <v>15685</v>
      </c>
      <c r="G5451" s="3">
        <v>0.0</v>
      </c>
      <c r="H5451" s="3">
        <v>0.0</v>
      </c>
      <c r="I5451" s="3" t="s">
        <v>13</v>
      </c>
      <c r="J5451" s="3" t="s">
        <v>15686</v>
      </c>
      <c r="K5451" s="3" t="s">
        <v>574</v>
      </c>
      <c r="L5451" s="3" t="str">
        <f>IFERROR(__xludf.DUMMYFUNCTION("GOOGLETRANSLATE(F5451,""id"",""en"")"),"Because Giroud, his grandmother's grandmother, is originally a good Italian, it is friendly, because they also give the opportunity for his grandchildren Argentina to champion the pildun by accidentally not passing the Qatar the theory is really not old")</f>
        <v>Because Giroud, his grandmother's grandmother, is originally a good Italian, it is friendly, because they also give the opportunity for his grandchildren Argentina to champion the pildun by accidentally not passing the Qatar the theory is really not old</v>
      </c>
    </row>
    <row r="5452" ht="15.75" customHeight="1">
      <c r="A5452" s="1">
        <v>6623.0</v>
      </c>
      <c r="B5452" s="3" t="s">
        <v>15687</v>
      </c>
      <c r="C5452" s="3">
        <v>1.0</v>
      </c>
      <c r="D5452" s="3">
        <v>0.0</v>
      </c>
      <c r="E5452" s="3">
        <v>0.0</v>
      </c>
      <c r="F5452" s="3" t="s">
        <v>15688</v>
      </c>
      <c r="G5452" s="3">
        <v>0.0</v>
      </c>
      <c r="H5452" s="3">
        <v>0.0</v>
      </c>
      <c r="I5452" s="3" t="s">
        <v>13</v>
      </c>
      <c r="J5452" s="3" t="s">
        <v>15689</v>
      </c>
      <c r="K5452" s="3" t="s">
        <v>240</v>
      </c>
      <c r="L5452" s="3" t="str">
        <f>IFERROR(__xludf.DUMMYFUNCTION("GOOGLETRANSLATE(F5452,""id"",""en"")"),"Permdi Min, you were originally a victim of Grub Cebong Editing See a photo dated December that date Argentina was not yet champion")</f>
        <v>Permdi Min, you were originally a victim of Grub Cebong Editing See a photo dated December that date Argentina was not yet champion</v>
      </c>
    </row>
    <row r="5453" ht="15.75" customHeight="1">
      <c r="A5453" s="1">
        <v>6624.0</v>
      </c>
      <c r="B5453" s="3" t="s">
        <v>15690</v>
      </c>
      <c r="C5453" s="3">
        <v>0.0</v>
      </c>
      <c r="D5453" s="3">
        <v>0.0</v>
      </c>
      <c r="E5453" s="3">
        <v>0.0</v>
      </c>
      <c r="F5453" s="3" t="s">
        <v>15691</v>
      </c>
      <c r="G5453" s="3">
        <v>0.0</v>
      </c>
      <c r="H5453" s="3">
        <v>0.0</v>
      </c>
      <c r="I5453" s="3" t="s">
        <v>13</v>
      </c>
      <c r="J5453" s="3" t="s">
        <v>15692</v>
      </c>
      <c r="K5453" s="3" t="s">
        <v>82</v>
      </c>
      <c r="L5453" s="3" t="str">
        <f>IFERROR(__xludf.DUMMYFUNCTION("GOOGLETRANSLATE(F5453,""id"",""en"")"),"Min stupid again the date of Argentina is not yet champion Eboong Goblok")</f>
        <v>Min stupid again the date of Argentina is not yet champion Eboong Goblok</v>
      </c>
    </row>
    <row r="5454" ht="15.75" customHeight="1">
      <c r="A5454" s="1">
        <v>6625.0</v>
      </c>
      <c r="B5454" s="3" t="s">
        <v>15693</v>
      </c>
      <c r="C5454" s="3">
        <v>0.0</v>
      </c>
      <c r="D5454" s="3">
        <v>0.0</v>
      </c>
      <c r="E5454" s="3">
        <v>5.0</v>
      </c>
      <c r="F5454" s="3" t="s">
        <v>15694</v>
      </c>
      <c r="G5454" s="3">
        <v>0.4</v>
      </c>
      <c r="H5454" s="3">
        <v>-0.2</v>
      </c>
      <c r="I5454" s="3" t="s">
        <v>179</v>
      </c>
      <c r="J5454" s="3" t="s">
        <v>15695</v>
      </c>
      <c r="K5454" s="3" t="s">
        <v>41</v>
      </c>
      <c r="L5454" s="3" t="str">
        <f>IFERROR(__xludf.DUMMYFUNCTION("GOOGLETRANSLATE(F5454,""id"",""en"")"),"Febriyant usually lgsg champions like Argentina when Maradona Dead")</f>
        <v>Febriyant usually lgsg champions like Argentina when Maradona Dead</v>
      </c>
    </row>
    <row r="5455" ht="15.75" customHeight="1">
      <c r="A5455" s="1">
        <v>6626.0</v>
      </c>
      <c r="B5455" s="3" t="s">
        <v>15696</v>
      </c>
      <c r="C5455" s="3">
        <v>0.0</v>
      </c>
      <c r="D5455" s="3">
        <v>0.0</v>
      </c>
      <c r="E5455" s="3">
        <v>0.0</v>
      </c>
      <c r="F5455" s="3" t="s">
        <v>15697</v>
      </c>
      <c r="G5455" s="3">
        <v>0.0</v>
      </c>
      <c r="H5455" s="3">
        <v>0.0</v>
      </c>
      <c r="I5455" s="3" t="s">
        <v>13</v>
      </c>
      <c r="J5455" s="3" t="s">
        <v>15698</v>
      </c>
      <c r="K5455" s="3" t="s">
        <v>27</v>
      </c>
      <c r="L5455" s="3" t="str">
        <f>IFERROR(__xludf.DUMMYFUNCTION("GOOGLETRANSLATE(F5455,""id"",""en"")"),"Desnug Holds More Yearshhhhhhhhhhhhhhhhhh also before Messi Argentina TPI TPI TPI when Messi All Needs the Process of Portugal Before Their Tropy Processing")</f>
        <v>Desnug Holds More Yearshhhhhhhhhhhhhhhhhh also before Messi Argentina TPI TPI TPI when Messi All Needs the Process of Portugal Before Their Tropy Processing</v>
      </c>
    </row>
    <row r="5456" ht="15.75" customHeight="1">
      <c r="A5456" s="1">
        <v>6627.0</v>
      </c>
      <c r="B5456" s="3" t="s">
        <v>15699</v>
      </c>
      <c r="C5456" s="3">
        <v>1.0</v>
      </c>
      <c r="D5456" s="3">
        <v>1.0</v>
      </c>
      <c r="E5456" s="3">
        <v>1.0</v>
      </c>
      <c r="F5456" s="3" t="s">
        <v>15700</v>
      </c>
      <c r="G5456" s="3">
        <v>0.4</v>
      </c>
      <c r="H5456" s="3">
        <v>0.65</v>
      </c>
      <c r="I5456" s="3" t="s">
        <v>48</v>
      </c>
      <c r="J5456" s="3" t="s">
        <v>15701</v>
      </c>
      <c r="K5456" s="3" t="s">
        <v>603</v>
      </c>
      <c r="L5456" s="3" t="str">
        <f>IFERROR(__xludf.DUMMYFUNCTION("GOOGLETRANSLATE(F5456,""id"",""en"")"),"I don't know why Golden Gloves was given to Argentine goalkeeper somewhat disagreeing because I think the best Moroccan goalkeeper even though I am a supporter of France, but I admit that the Moroccan goalkeeper is the champion")</f>
        <v>I don't know why Golden Gloves was given to Argentine goalkeeper somewhat disagreeing because I think the best Moroccan goalkeeper even though I am a supporter of France, but I admit that the Moroccan goalkeeper is the champion</v>
      </c>
    </row>
    <row r="5457" ht="15.75" customHeight="1">
      <c r="A5457" s="1">
        <v>6628.0</v>
      </c>
      <c r="B5457" s="3" t="s">
        <v>15702</v>
      </c>
      <c r="C5457" s="3">
        <v>0.0</v>
      </c>
      <c r="D5457" s="3">
        <v>0.0</v>
      </c>
      <c r="E5457" s="3">
        <v>0.0</v>
      </c>
      <c r="F5457" s="3" t="s">
        <v>15703</v>
      </c>
      <c r="G5457" s="3">
        <v>0.3333333333333333</v>
      </c>
      <c r="H5457" s="3">
        <v>0.1666666666666667</v>
      </c>
      <c r="I5457" s="3" t="s">
        <v>48</v>
      </c>
      <c r="J5457" s="3" t="s">
        <v>15704</v>
      </c>
      <c r="K5457" s="3" t="s">
        <v>8160</v>
      </c>
      <c r="L5457" s="3" t="str">
        <f>IFERROR(__xludf.DUMMYFUNCTION("GOOGLETRANSLATE(F5457,""id"",""en"")"),"Lah talking about yourself, the logic is used by Argentina when Pak Anies has a time machine, a clear photo of Sukmadi is not hard to play Twitter, embarrassed")</f>
        <v>Lah talking about yourself, the logic is used by Argentina when Pak Anies has a time machine, a clear photo of Sukmadi is not hard to play Twitter, embarrassed</v>
      </c>
    </row>
    <row r="5458" ht="15.75" customHeight="1">
      <c r="A5458" s="1">
        <v>6629.0</v>
      </c>
      <c r="B5458" s="3" t="s">
        <v>15705</v>
      </c>
      <c r="C5458" s="3">
        <v>1.0</v>
      </c>
      <c r="D5458" s="3">
        <v>0.0</v>
      </c>
      <c r="E5458" s="3">
        <v>0.0</v>
      </c>
      <c r="F5458" s="3" t="s">
        <v>15706</v>
      </c>
      <c r="G5458" s="3">
        <v>0.0</v>
      </c>
      <c r="H5458" s="3">
        <v>0.0</v>
      </c>
      <c r="I5458" s="3" t="s">
        <v>13</v>
      </c>
      <c r="J5458" s="3" t="s">
        <v>15707</v>
      </c>
      <c r="K5458" s="3" t="s">
        <v>184</v>
      </c>
      <c r="L5458" s="3" t="str">
        <f>IFERROR(__xludf.DUMMYFUNCTION("GOOGLETRANSLATE(F5458,""id"",""en"")"),"using your logic that the name of the synchronous account is Pak Anies, this time traveler has got a photo of the championship celebration before Argentina is a great champion right")</f>
        <v>using your logic that the name of the synchronous account is Pak Anies, this time traveler has got a photo of the championship celebration before Argentina is a great champion right</v>
      </c>
    </row>
    <row r="5459" ht="15.75" customHeight="1">
      <c r="A5459" s="1">
        <v>6630.0</v>
      </c>
      <c r="B5459" s="3" t="s">
        <v>15708</v>
      </c>
      <c r="C5459" s="3">
        <v>0.0</v>
      </c>
      <c r="D5459" s="3">
        <v>0.0</v>
      </c>
      <c r="E5459" s="3">
        <v>0.0</v>
      </c>
      <c r="F5459" s="3" t="s">
        <v>15709</v>
      </c>
      <c r="G5459" s="3">
        <v>0.4</v>
      </c>
      <c r="H5459" s="3">
        <v>0.2</v>
      </c>
      <c r="I5459" s="3" t="s">
        <v>48</v>
      </c>
      <c r="J5459" s="3" t="s">
        <v>15710</v>
      </c>
      <c r="K5459" s="3" t="s">
        <v>441</v>
      </c>
      <c r="L5459" s="3" t="str">
        <f>IFERROR(__xludf.DUMMYFUNCTION("GOOGLETRANSLATE(F5459,""id"",""en"")"),"hahaha is very easy to be lied to whether it's too often lied to Argentina in the date of the championship, the champion is really good")</f>
        <v>hahaha is very easy to be lied to whether it's too often lied to Argentina in the date of the championship, the champion is really good</v>
      </c>
    </row>
    <row r="5460" ht="15.75" customHeight="1">
      <c r="A5460" s="1">
        <v>6631.0</v>
      </c>
      <c r="B5460" s="3" t="s">
        <v>15711</v>
      </c>
      <c r="C5460" s="3">
        <v>12.0</v>
      </c>
      <c r="D5460" s="3">
        <v>4.0</v>
      </c>
      <c r="E5460" s="3">
        <v>45.0</v>
      </c>
      <c r="F5460" s="3" t="s">
        <v>15712</v>
      </c>
      <c r="G5460" s="3">
        <v>0.0</v>
      </c>
      <c r="H5460" s="3">
        <v>0.0</v>
      </c>
      <c r="I5460" s="3" t="s">
        <v>13</v>
      </c>
      <c r="J5460" s="3" t="s">
        <v>15713</v>
      </c>
      <c r="K5460" s="3" t="s">
        <v>426</v>
      </c>
      <c r="L5460" s="3" t="str">
        <f>IFERROR(__xludf.DUMMYFUNCTION("GOOGLETRANSLATE(F5460,""id"",""en"")"),"NATO ARGENTINA ADVANTAGE NATO NATO's face to the chairman of the federation of several tattooed supporters with the picture of Chiqui Tapia President AFA is reasonable for the title for the senior team in less than this year Argentina, you know")</f>
        <v>NATO ARGENTINA ADVANTAGE NATO NATO's face to the chairman of the federation of several tattooed supporters with the picture of Chiqui Tapia President AFA is reasonable for the title for the senior team in less than this year Argentina, you know</v>
      </c>
    </row>
    <row r="5461" ht="15.75" customHeight="1">
      <c r="A5461" s="1">
        <v>6632.0</v>
      </c>
      <c r="B5461" s="3" t="s">
        <v>15714</v>
      </c>
      <c r="C5461" s="3">
        <v>1.0</v>
      </c>
      <c r="D5461" s="3">
        <v>0.0</v>
      </c>
      <c r="E5461" s="3">
        <v>0.0</v>
      </c>
      <c r="F5461" s="3" t="s">
        <v>15715</v>
      </c>
      <c r="G5461" s="3">
        <v>0.0</v>
      </c>
      <c r="H5461" s="3">
        <v>0.0</v>
      </c>
      <c r="I5461" s="3" t="s">
        <v>13</v>
      </c>
      <c r="J5461" s="3" t="s">
        <v>15716</v>
      </c>
      <c r="K5461" s="3" t="s">
        <v>520</v>
      </c>
      <c r="L5461" s="3" t="str">
        <f>IFERROR(__xludf.DUMMYFUNCTION("GOOGLETRANSLATE(F5461,""id"",""en"")"),"Goblog org knows that Argentina citizen org goblog knows that Argentina is just a champion, just thinking it can be not like it or not, don't think you think you are strong")</f>
        <v>Goblog org knows that Argentina citizen org goblog knows that Argentina is just a champion, just thinking it can be not like it or not, don't think you think you are strong</v>
      </c>
    </row>
    <row r="5462" ht="15.75" customHeight="1">
      <c r="A5462" s="1">
        <v>6633.0</v>
      </c>
      <c r="B5462" s="3" t="s">
        <v>15717</v>
      </c>
      <c r="C5462" s="3">
        <v>0.0</v>
      </c>
      <c r="D5462" s="3">
        <v>0.0</v>
      </c>
      <c r="E5462" s="3">
        <v>0.0</v>
      </c>
      <c r="F5462" s="3" t="s">
        <v>15718</v>
      </c>
      <c r="G5462" s="3">
        <v>0.0</v>
      </c>
      <c r="H5462" s="3">
        <v>0.0</v>
      </c>
      <c r="I5462" s="3" t="s">
        <v>13</v>
      </c>
      <c r="J5462" s="3" t="s">
        <v>15719</v>
      </c>
      <c r="K5462" s="3" t="s">
        <v>765</v>
      </c>
      <c r="L5462" s="3" t="str">
        <f>IFERROR(__xludf.DUMMYFUNCTION("GOOGLETRANSLATE(F5462,""id"",""en"")"),"Great indeed the Ministry of Finance is not only a bonus problem but until the Minister of Finance staff dare to offend political issues regarding Argentina who are the world champion also champions of debt loans.")</f>
        <v>Great indeed the Ministry of Finance is not only a bonus problem but until the Minister of Finance staff dare to offend political issues regarding Argentina who are the world champion also champions of debt loans.</v>
      </c>
    </row>
    <row r="5463" ht="15.75" customHeight="1">
      <c r="A5463" s="1">
        <v>6634.0</v>
      </c>
      <c r="B5463" s="3" t="s">
        <v>15720</v>
      </c>
      <c r="C5463" s="3">
        <v>0.0</v>
      </c>
      <c r="D5463" s="3">
        <v>0.0</v>
      </c>
      <c r="E5463" s="3">
        <v>8.0</v>
      </c>
      <c r="F5463" s="3" t="s">
        <v>15642</v>
      </c>
      <c r="G5463" s="3">
        <v>0.3333333333333333</v>
      </c>
      <c r="H5463" s="3">
        <v>0.1666666666666667</v>
      </c>
      <c r="I5463" s="3" t="s">
        <v>48</v>
      </c>
      <c r="J5463" s="3" t="s">
        <v>15643</v>
      </c>
      <c r="K5463" s="3" t="s">
        <v>433</v>
      </c>
      <c r="L5463" s="3" t="str">
        <f>IFERROR(__xludf.DUMMYFUNCTION("GOOGLETRANSLATE(F5463,""id"",""en"")"),"Angel Maria has brought Argentina World Cup champions are now Juventus also hopes Maria can continue to play well")</f>
        <v>Angel Maria has brought Argentina World Cup champions are now Juventus also hopes Maria can continue to play well</v>
      </c>
    </row>
    <row r="5464" ht="15.75" customHeight="1">
      <c r="A5464" s="1">
        <v>6635.0</v>
      </c>
      <c r="B5464" s="3" t="s">
        <v>15721</v>
      </c>
      <c r="C5464" s="3">
        <v>0.0</v>
      </c>
      <c r="D5464" s="3">
        <v>0.0</v>
      </c>
      <c r="E5464" s="3">
        <v>0.0</v>
      </c>
      <c r="F5464" s="3" t="s">
        <v>15722</v>
      </c>
      <c r="G5464" s="3">
        <v>0.0</v>
      </c>
      <c r="H5464" s="3">
        <v>0.0</v>
      </c>
      <c r="I5464" s="3" t="s">
        <v>13</v>
      </c>
      <c r="J5464" s="3" t="s">
        <v>15723</v>
      </c>
      <c r="K5464" s="3" t="s">
        <v>236</v>
      </c>
      <c r="L5464" s="3" t="str">
        <f>IFERROR(__xludf.DUMMYFUNCTION("GOOGLETRANSLATE(F5464,""id"",""en"")"),"Portrait people are easily fooled by Argentina the champions are advanced on the championship")</f>
        <v>Portrait people are easily fooled by Argentina the champions are advanced on the championship</v>
      </c>
    </row>
    <row r="5465" ht="15.75" customHeight="1">
      <c r="A5465" s="1">
        <v>6637.0</v>
      </c>
      <c r="B5465" s="3" t="s">
        <v>15724</v>
      </c>
      <c r="C5465" s="3">
        <v>0.0</v>
      </c>
      <c r="D5465" s="3">
        <v>0.0</v>
      </c>
      <c r="E5465" s="3">
        <v>0.0</v>
      </c>
      <c r="F5465" s="3" t="s">
        <v>15725</v>
      </c>
      <c r="G5465" s="3">
        <v>0.0</v>
      </c>
      <c r="H5465" s="3">
        <v>0.0</v>
      </c>
      <c r="I5465" s="3" t="s">
        <v>13</v>
      </c>
      <c r="J5465" s="3" t="s">
        <v>15726</v>
      </c>
      <c r="K5465" s="3" t="s">
        <v>1628</v>
      </c>
      <c r="L5465" s="3" t="str">
        <f>IFERROR(__xludf.DUMMYFUNCTION("GOOGLETRANSLATE(F5465,""id"",""en"")"),"Jkt still believes that the hoax is said to be the most NKRI, he said that it was smart in the logic of being used by Argentina, the championship on the date of the post on")</f>
        <v>Jkt still believes that the hoax is said to be the most NKRI, he said that it was smart in the logic of being used by Argentina, the championship on the date of the post on</v>
      </c>
    </row>
    <row r="5466" ht="15.75" customHeight="1">
      <c r="A5466" s="1">
        <v>6638.0</v>
      </c>
      <c r="B5466" s="3" t="s">
        <v>15727</v>
      </c>
      <c r="C5466" s="3">
        <v>0.0</v>
      </c>
      <c r="D5466" s="3">
        <v>0.0</v>
      </c>
      <c r="E5466" s="3">
        <v>0.0</v>
      </c>
      <c r="F5466" s="3" t="s">
        <v>15728</v>
      </c>
      <c r="G5466" s="3">
        <v>0.0</v>
      </c>
      <c r="H5466" s="3">
        <v>0.0</v>
      </c>
      <c r="I5466" s="3" t="s">
        <v>13</v>
      </c>
      <c r="J5466" s="3" t="s">
        <v>15729</v>
      </c>
      <c r="K5466" s="3" t="s">
        <v>3612</v>
      </c>
      <c r="L5466" s="3" t="str">
        <f>IFERROR(__xludf.DUMMYFUNCTION("GOOGLETRANSLATE(F5466,""id"",""en"")"),"Aleanoam was fooled once easily fooled by his brain using again Argentina champions on the date of the post on")</f>
        <v>Aleanoam was fooled once easily fooled by his brain using again Argentina champions on the date of the post on</v>
      </c>
    </row>
    <row r="5467" ht="15.75" customHeight="1">
      <c r="A5467" s="1">
        <v>6639.0</v>
      </c>
      <c r="B5467" s="3" t="s">
        <v>15730</v>
      </c>
      <c r="C5467" s="3">
        <v>0.0</v>
      </c>
      <c r="D5467" s="3">
        <v>0.0</v>
      </c>
      <c r="E5467" s="3">
        <v>0.0</v>
      </c>
      <c r="F5467" s="3" t="s">
        <v>15731</v>
      </c>
      <c r="G5467" s="3">
        <v>0.0</v>
      </c>
      <c r="H5467" s="3">
        <v>0.0</v>
      </c>
      <c r="I5467" s="3" t="s">
        <v>13</v>
      </c>
      <c r="J5467" s="3" t="s">
        <v>15732</v>
      </c>
      <c r="K5467" s="3" t="s">
        <v>3896</v>
      </c>
      <c r="L5467" s="3" t="str">
        <f>IFERROR(__xludf.DUMMYFUNCTION("GOOGLETRANSLATE(F5467,""id"",""en"")"),"Once fooled, it is very easy to be fooled by his brain to use again Argentina championship on the date of the post on a clear photo of the patch, how come it's really easy to be fooled")</f>
        <v>Once fooled, it is very easy to be fooled by his brain to use again Argentina championship on the date of the post on a clear photo of the patch, how come it's really easy to be fooled</v>
      </c>
    </row>
    <row r="5468" ht="15.75" customHeight="1">
      <c r="A5468" s="1">
        <v>6640.0</v>
      </c>
      <c r="B5468" s="3" t="s">
        <v>15733</v>
      </c>
      <c r="C5468" s="3">
        <v>0.0</v>
      </c>
      <c r="D5468" s="3">
        <v>0.0</v>
      </c>
      <c r="E5468" s="3">
        <v>0.0</v>
      </c>
      <c r="F5468" s="3" t="s">
        <v>15734</v>
      </c>
      <c r="G5468" s="3">
        <v>0.0</v>
      </c>
      <c r="H5468" s="3">
        <v>0.0</v>
      </c>
      <c r="I5468" s="3" t="s">
        <v>13</v>
      </c>
      <c r="J5468" s="3" t="s">
        <v>15735</v>
      </c>
      <c r="K5468" s="3" t="s">
        <v>15736</v>
      </c>
      <c r="L5468" s="3" t="str">
        <f>IFERROR(__xludf.DUMMYFUNCTION("GOOGLETRANSLATE(F5468,""id"",""en"")"),"Once fooled, it is very easy to be fooled by Argentina, the championship on the date of the post on a clear patch.")</f>
        <v>Once fooled, it is very easy to be fooled by Argentina, the championship on the date of the post on a clear patch.</v>
      </c>
    </row>
    <row r="5469" ht="15.75" customHeight="1">
      <c r="A5469" s="1">
        <v>6641.0</v>
      </c>
      <c r="B5469" s="3" t="s">
        <v>15737</v>
      </c>
      <c r="C5469" s="3">
        <v>0.0</v>
      </c>
      <c r="D5469" s="3">
        <v>0.0</v>
      </c>
      <c r="E5469" s="3">
        <v>0.0</v>
      </c>
      <c r="F5469" s="3" t="s">
        <v>15738</v>
      </c>
      <c r="G5469" s="3">
        <v>0.0</v>
      </c>
      <c r="H5469" s="3">
        <v>0.0</v>
      </c>
      <c r="I5469" s="3" t="s">
        <v>13</v>
      </c>
      <c r="J5469" s="3" t="s">
        <v>15739</v>
      </c>
      <c r="K5469" s="3" t="s">
        <v>484</v>
      </c>
      <c r="L5469" s="3" t="str">
        <f>IFERROR(__xludf.DUMMYFUNCTION("GOOGLETRANSLATE(F5469,""id"",""en"")"),"It is said that there is an easy person to be fooled by thinking about Argentina, the championship date is the post on")</f>
        <v>It is said that there is an easy person to be fooled by thinking about Argentina, the championship date is the post on</v>
      </c>
    </row>
    <row r="5470" ht="15.75" customHeight="1">
      <c r="A5470" s="1">
        <v>6642.0</v>
      </c>
      <c r="B5470" s="3" t="s">
        <v>15740</v>
      </c>
      <c r="C5470" s="3">
        <v>0.0</v>
      </c>
      <c r="D5470" s="3">
        <v>0.0</v>
      </c>
      <c r="E5470" s="3">
        <v>0.0</v>
      </c>
      <c r="F5470" s="3" t="s">
        <v>15741</v>
      </c>
      <c r="G5470" s="3">
        <v>0.0</v>
      </c>
      <c r="H5470" s="3">
        <v>0.0</v>
      </c>
      <c r="I5470" s="3" t="s">
        <v>13</v>
      </c>
      <c r="J5470" s="3" t="s">
        <v>15742</v>
      </c>
      <c r="K5470" s="3" t="s">
        <v>41</v>
      </c>
      <c r="L5470" s="3" t="str">
        <f>IFERROR(__xludf.DUMMYFUNCTION("GOOGLETRANSLATE(F5470,""id"",""en"")"),"A week ago Ketar hoped that Argentina would become a world champion")</f>
        <v>A week ago Ketar hoped that Argentina would become a world champion</v>
      </c>
    </row>
    <row r="5471" ht="15.75" customHeight="1">
      <c r="A5471" s="1">
        <v>6643.0</v>
      </c>
      <c r="B5471" s="3" t="s">
        <v>15743</v>
      </c>
      <c r="C5471" s="3">
        <v>0.0</v>
      </c>
      <c r="D5471" s="3">
        <v>0.0</v>
      </c>
      <c r="E5471" s="3">
        <v>0.0</v>
      </c>
      <c r="F5471" s="3" t="s">
        <v>15744</v>
      </c>
      <c r="G5471" s="3">
        <v>0.0</v>
      </c>
      <c r="H5471" s="3">
        <v>0.0</v>
      </c>
      <c r="I5471" s="3" t="s">
        <v>13</v>
      </c>
      <c r="J5471" s="3" t="s">
        <v>15745</v>
      </c>
      <c r="K5471" s="3" t="s">
        <v>510</v>
      </c>
      <c r="L5471" s="3" t="str">
        <f>IFERROR(__xludf.DUMMYFUNCTION("GOOGLETRANSLATE(F5471,""id"",""en"")"),"Sipaling NKRI thinks Argentina is the champion in date, because it's often lied to consciously")</f>
        <v>Sipaling NKRI thinks Argentina is the champion in date, because it's often lied to consciously</v>
      </c>
    </row>
    <row r="5472" ht="15.75" customHeight="1">
      <c r="A5472" s="1">
        <v>6644.0</v>
      </c>
      <c r="B5472" s="3" t="s">
        <v>15746</v>
      </c>
      <c r="C5472" s="3">
        <v>0.0</v>
      </c>
      <c r="D5472" s="3">
        <v>0.0</v>
      </c>
      <c r="E5472" s="3">
        <v>0.0</v>
      </c>
      <c r="F5472" s="3" t="s">
        <v>15747</v>
      </c>
      <c r="G5472" s="3">
        <v>0.0</v>
      </c>
      <c r="H5472" s="3">
        <v>0.0</v>
      </c>
      <c r="I5472" s="3" t="s">
        <v>13</v>
      </c>
      <c r="J5472" s="3" t="s">
        <v>15748</v>
      </c>
      <c r="K5472" s="3" t="s">
        <v>240</v>
      </c>
      <c r="L5472" s="3" t="str">
        <f>IFERROR(__xludf.DUMMYFUNCTION("GOOGLETRANSLATE(F5472,""id"",""en"")"),"Basha has checked the original post of logic using Argentina champions on December")</f>
        <v>Basha has checked the original post of logic using Argentina champions on December</v>
      </c>
    </row>
    <row r="5473" ht="15.75" customHeight="1">
      <c r="A5473" s="1">
        <v>6645.0</v>
      </c>
      <c r="B5473" s="3" t="s">
        <v>15749</v>
      </c>
      <c r="C5473" s="3">
        <v>0.0</v>
      </c>
      <c r="D5473" s="3">
        <v>0.0</v>
      </c>
      <c r="E5473" s="3">
        <v>0.0</v>
      </c>
      <c r="F5473" s="3" t="s">
        <v>15750</v>
      </c>
      <c r="G5473" s="3">
        <v>0.0</v>
      </c>
      <c r="H5473" s="3">
        <v>0.0</v>
      </c>
      <c r="I5473" s="3" t="s">
        <v>13</v>
      </c>
      <c r="J5473" s="3" t="s">
        <v>15751</v>
      </c>
      <c r="K5473" s="3" t="s">
        <v>41</v>
      </c>
      <c r="L5473" s="3" t="str">
        <f>IFERROR(__xludf.DUMMYFUNCTION("GOOGLETRANSLATE(F5473,""id"",""en"")"),"how come you are easily fooled to think about Argentina already champions")</f>
        <v>how come you are easily fooled to think about Argentina already champions</v>
      </c>
    </row>
    <row r="5474" ht="15.75" customHeight="1">
      <c r="A5474" s="1">
        <v>6646.0</v>
      </c>
      <c r="B5474" s="3" t="s">
        <v>15752</v>
      </c>
      <c r="C5474" s="3">
        <v>0.0</v>
      </c>
      <c r="D5474" s="3">
        <v>0.0</v>
      </c>
      <c r="E5474" s="3">
        <v>0.0</v>
      </c>
      <c r="F5474" s="3" t="s">
        <v>15753</v>
      </c>
      <c r="G5474" s="3">
        <v>0.0</v>
      </c>
      <c r="H5474" s="3">
        <v>0.0</v>
      </c>
      <c r="I5474" s="3" t="s">
        <v>13</v>
      </c>
      <c r="J5474" s="3" t="s">
        <v>15754</v>
      </c>
      <c r="K5474" s="3" t="s">
        <v>127</v>
      </c>
      <c r="L5474" s="3" t="str">
        <f>IFERROR(__xludf.DUMMYFUNCTION("GOOGLETRANSLATE(F5474,""id"",""en"")"),"Crosscheck used to be the original tweet sipaling tornin bnr clearly fooled by the Argentina patch image on the championship")</f>
        <v>Crosscheck used to be the original tweet sipaling tornin bnr clearly fooled by the Argentina patch image on the championship</v>
      </c>
    </row>
    <row r="5475" ht="15.75" customHeight="1">
      <c r="A5475" s="1">
        <v>6647.0</v>
      </c>
      <c r="B5475" s="3" t="s">
        <v>15755</v>
      </c>
      <c r="C5475" s="3">
        <v>0.0</v>
      </c>
      <c r="D5475" s="3">
        <v>0.0</v>
      </c>
      <c r="E5475" s="3">
        <v>0.0</v>
      </c>
      <c r="F5475" s="3" t="s">
        <v>15756</v>
      </c>
      <c r="G5475" s="3">
        <v>0.0</v>
      </c>
      <c r="H5475" s="3">
        <v>0.0</v>
      </c>
      <c r="I5475" s="3" t="s">
        <v>13</v>
      </c>
      <c r="J5475" s="3" t="s">
        <v>15757</v>
      </c>
      <c r="K5475" s="3" t="s">
        <v>614</v>
      </c>
      <c r="L5475" s="3" t="str">
        <f>IFERROR(__xludf.DUMMYFUNCTION("GOOGLETRANSLATE(F5475,""id"",""en"")"),"Min, Jokowi's era, the peak of the glory of a goblok tweet, only capital scrnshotan edited, the original tweet was in December Argentina had not won but many believed")</f>
        <v>Min, Jokowi's era, the peak of the glory of a goblok tweet, only capital scrnshotan edited, the original tweet was in December Argentina had not won but many believed</v>
      </c>
    </row>
    <row r="5476" ht="15.75" customHeight="1">
      <c r="A5476" s="1">
        <v>6648.0</v>
      </c>
      <c r="B5476" s="3" t="s">
        <v>15758</v>
      </c>
      <c r="C5476" s="3">
        <v>0.0</v>
      </c>
      <c r="D5476" s="3">
        <v>0.0</v>
      </c>
      <c r="E5476" s="3">
        <v>0.0</v>
      </c>
      <c r="F5476" s="3" t="s">
        <v>15759</v>
      </c>
      <c r="G5476" s="3">
        <v>0.0</v>
      </c>
      <c r="H5476" s="3">
        <v>0.0</v>
      </c>
      <c r="I5476" s="3" t="s">
        <v>13</v>
      </c>
      <c r="J5476" s="3" t="s">
        <v>15760</v>
      </c>
      <c r="K5476" s="3" t="s">
        <v>82</v>
      </c>
      <c r="L5476" s="3" t="str">
        <f>IFERROR(__xludf.DUMMYFUNCTION("GOOGLETRANSLATE(F5476,""id"",""en"")"),"Never mind goat accept the reality of the world champion Argentina")</f>
        <v>Never mind goat accept the reality of the world champion Argentina</v>
      </c>
    </row>
    <row r="5477" ht="15.75" customHeight="1">
      <c r="A5477" s="1">
        <v>6649.0</v>
      </c>
      <c r="B5477" s="3" t="s">
        <v>15761</v>
      </c>
      <c r="C5477" s="3">
        <v>1.0</v>
      </c>
      <c r="D5477" s="3">
        <v>0.0</v>
      </c>
      <c r="E5477" s="3">
        <v>0.0</v>
      </c>
      <c r="F5477" s="3" t="s">
        <v>15762</v>
      </c>
      <c r="G5477" s="3">
        <v>0.0</v>
      </c>
      <c r="H5477" s="3">
        <v>0.0</v>
      </c>
      <c r="I5477" s="3" t="s">
        <v>13</v>
      </c>
      <c r="J5477" s="3" t="s">
        <v>15763</v>
      </c>
      <c r="K5477" s="3" t="s">
        <v>6674</v>
      </c>
      <c r="L5477" s="3" t="str">
        <f>IFERROR(__xludf.DUMMYFUNCTION("GOOGLETRANSLATE(F5477,""id"",""en"")"),"sorry sorry if there are we can win hiks, don't bring Argentina, don't like it")</f>
        <v>sorry sorry if there are we can win hiks, don't bring Argentina, don't like it</v>
      </c>
    </row>
    <row r="5478" ht="15.75" customHeight="1">
      <c r="A5478" s="1">
        <v>6650.0</v>
      </c>
      <c r="B5478" s="3" t="s">
        <v>15764</v>
      </c>
      <c r="C5478" s="3">
        <v>0.0</v>
      </c>
      <c r="D5478" s="3">
        <v>0.0</v>
      </c>
      <c r="E5478" s="3">
        <v>0.0</v>
      </c>
      <c r="F5478" s="3" t="s">
        <v>15765</v>
      </c>
      <c r="G5478" s="3">
        <v>0.0</v>
      </c>
      <c r="H5478" s="3">
        <v>0.0</v>
      </c>
      <c r="I5478" s="3" t="s">
        <v>13</v>
      </c>
      <c r="J5478" s="3" t="s">
        <v>15766</v>
      </c>
      <c r="K5478" s="3" t="s">
        <v>15</v>
      </c>
      <c r="L5478" s="3" t="str">
        <f>IFERROR(__xludf.DUMMYFUNCTION("GOOGLETRANSLATE(F5478,""id"",""en"")"),"Polka Problem KNPA Iri Argentina Champion World Cup")</f>
        <v>Polka Problem KNPA Iri Argentina Champion World Cup</v>
      </c>
    </row>
    <row r="5479" ht="15.75" customHeight="1">
      <c r="A5479" s="1">
        <v>6651.0</v>
      </c>
      <c r="B5479" s="3" t="s">
        <v>15767</v>
      </c>
      <c r="C5479" s="3">
        <v>2.0</v>
      </c>
      <c r="D5479" s="3">
        <v>0.0</v>
      </c>
      <c r="E5479" s="3">
        <v>10.0</v>
      </c>
      <c r="F5479" s="3" t="s">
        <v>15768</v>
      </c>
      <c r="G5479" s="3">
        <v>0.0</v>
      </c>
      <c r="H5479" s="3">
        <v>0.0</v>
      </c>
      <c r="I5479" s="3" t="s">
        <v>13</v>
      </c>
      <c r="J5479" s="3" t="s">
        <v>15769</v>
      </c>
      <c r="K5479" s="3" t="s">
        <v>90</v>
      </c>
      <c r="L5479" s="3" t="str">
        <f>IFERROR(__xludf.DUMMYFUNCTION("GOOGLETRANSLATE(F5479,""id"",""en"")"),"Still excited about the famous chef Salt Bae who took part in the Argentine celebration of the Latest World Cup Champion, there was Lionel Messi's gesture who didn't like him")</f>
        <v>Still excited about the famous chef Salt Bae who took part in the Argentine celebration of the Latest World Cup Champion, there was Lionel Messi's gesture who didn't like him</v>
      </c>
    </row>
    <row r="5480" ht="15.75" customHeight="1">
      <c r="A5480" s="1">
        <v>6652.0</v>
      </c>
      <c r="B5480" s="3" t="s">
        <v>15770</v>
      </c>
      <c r="C5480" s="3">
        <v>5.0</v>
      </c>
      <c r="D5480" s="3">
        <v>29.0</v>
      </c>
      <c r="E5480" s="3">
        <v>95.0</v>
      </c>
      <c r="F5480" s="3" t="s">
        <v>15771</v>
      </c>
      <c r="G5480" s="3">
        <v>1.0</v>
      </c>
      <c r="H5480" s="3">
        <v>-0.8</v>
      </c>
      <c r="I5480" s="3" t="s">
        <v>179</v>
      </c>
      <c r="J5480" s="3" t="s">
        <v>15772</v>
      </c>
      <c r="K5480" s="3" t="s">
        <v>1887</v>
      </c>
      <c r="L5480" s="3" t="str">
        <f>IFERROR(__xludf.DUMMYFUNCTION("GOOGLETRANSLATE(F5480,""id"",""en"")"),"Factors Outside the field Making Argentina Anceo champion in roommate Messi Paul Bodyguard Paredes Admin Group No more Mesa Chica Choose Campus So Base Camp Not a Favorite Steak Hotel Menu from Antonia Farias")</f>
        <v>Factors Outside the field Making Argentina Anceo champion in roommate Messi Paul Bodyguard Paredes Admin Group No more Mesa Chica Choose Campus So Base Camp Not a Favorite Steak Hotel Menu from Antonia Farias</v>
      </c>
    </row>
    <row r="5481" ht="15.75" customHeight="1">
      <c r="A5481" s="1">
        <v>6653.0</v>
      </c>
      <c r="B5481" s="3" t="s">
        <v>15773</v>
      </c>
      <c r="C5481" s="3">
        <v>1.0</v>
      </c>
      <c r="D5481" s="3">
        <v>1.0</v>
      </c>
      <c r="E5481" s="3">
        <v>8.0</v>
      </c>
      <c r="F5481" s="3" t="s">
        <v>15642</v>
      </c>
      <c r="G5481" s="3">
        <v>0.3333333333333333</v>
      </c>
      <c r="H5481" s="3">
        <v>0.1666666666666667</v>
      </c>
      <c r="I5481" s="3" t="s">
        <v>48</v>
      </c>
      <c r="J5481" s="3" t="s">
        <v>15643</v>
      </c>
      <c r="K5481" s="3" t="s">
        <v>433</v>
      </c>
      <c r="L5481" s="3" t="str">
        <f>IFERROR(__xludf.DUMMYFUNCTION("GOOGLETRANSLATE(F5481,""id"",""en"")"),"Angel Maria has brought Argentina World Cup champions are now Juventus also hopes Maria can continue to play well")</f>
        <v>Angel Maria has brought Argentina World Cup champions are now Juventus also hopes Maria can continue to play well</v>
      </c>
    </row>
    <row r="5482" ht="15.75" customHeight="1">
      <c r="A5482" s="1">
        <v>6654.0</v>
      </c>
      <c r="B5482" s="3" t="s">
        <v>15774</v>
      </c>
      <c r="C5482" s="3">
        <v>0.0</v>
      </c>
      <c r="D5482" s="3">
        <v>1.0</v>
      </c>
      <c r="E5482" s="3">
        <v>2.0</v>
      </c>
      <c r="F5482" s="3" t="s">
        <v>15768</v>
      </c>
      <c r="G5482" s="3">
        <v>0.0</v>
      </c>
      <c r="H5482" s="3">
        <v>0.0</v>
      </c>
      <c r="I5482" s="3" t="s">
        <v>13</v>
      </c>
      <c r="J5482" s="3" t="s">
        <v>15769</v>
      </c>
      <c r="K5482" s="3" t="s">
        <v>90</v>
      </c>
      <c r="L5482" s="3" t="str">
        <f>IFERROR(__xludf.DUMMYFUNCTION("GOOGLETRANSLATE(F5482,""id"",""en"")"),"Still excited about the famous chef Salt Bae who took part in the Argentine celebration of the Latest World Cup Champion, there was Lionel Messi's gesture who didn't like him")</f>
        <v>Still excited about the famous chef Salt Bae who took part in the Argentine celebration of the Latest World Cup Champion, there was Lionel Messi's gesture who didn't like him</v>
      </c>
    </row>
    <row r="5483" ht="15.75" customHeight="1">
      <c r="A5483" s="1">
        <v>6655.0</v>
      </c>
      <c r="B5483" s="3" t="s">
        <v>15775</v>
      </c>
      <c r="C5483" s="3">
        <v>0.0</v>
      </c>
      <c r="D5483" s="3">
        <v>0.0</v>
      </c>
      <c r="E5483" s="3">
        <v>0.0</v>
      </c>
      <c r="F5483" s="3" t="s">
        <v>15776</v>
      </c>
      <c r="G5483" s="3">
        <v>0.3333333333333333</v>
      </c>
      <c r="H5483" s="3">
        <v>0.1666666666666667</v>
      </c>
      <c r="I5483" s="3" t="s">
        <v>48</v>
      </c>
      <c r="J5483" s="3" t="s">
        <v>15777</v>
      </c>
      <c r="K5483" s="3" t="s">
        <v>15</v>
      </c>
      <c r="L5483" s="3" t="str">
        <f>IFERROR(__xludf.DUMMYFUNCTION("GOOGLETRANSLATE(F5483,""id"",""en"")"),"Just the month of the Argentina World Cup champion will play qualifications")</f>
        <v>Just the month of the Argentina World Cup champion will play qualifications</v>
      </c>
    </row>
    <row r="5484" ht="15.75" customHeight="1">
      <c r="A5484" s="1">
        <v>6656.0</v>
      </c>
      <c r="B5484" s="3" t="s">
        <v>15778</v>
      </c>
      <c r="C5484" s="3">
        <v>0.0</v>
      </c>
      <c r="D5484" s="3">
        <v>0.0</v>
      </c>
      <c r="E5484" s="3">
        <v>0.0</v>
      </c>
      <c r="F5484" s="3" t="s">
        <v>15779</v>
      </c>
      <c r="G5484" s="3">
        <v>0.0</v>
      </c>
      <c r="H5484" s="3">
        <v>0.0</v>
      </c>
      <c r="I5484" s="3" t="s">
        <v>13</v>
      </c>
      <c r="J5484" s="3" t="s">
        <v>15780</v>
      </c>
      <c r="K5484" s="3" t="s">
        <v>19</v>
      </c>
      <c r="L5484" s="3" t="str">
        <f>IFERROR(__xludf.DUMMYFUNCTION("GOOGLETRANSLATE(F5484,""id"",""en"")"),"Min Hmm just found out that I was in December the World Cup has set your Argentina.")</f>
        <v>Min Hmm just found out that I was in December the World Cup has set your Argentina.</v>
      </c>
    </row>
    <row r="5485" ht="15.75" customHeight="1">
      <c r="A5485" s="1">
        <v>6657.0</v>
      </c>
      <c r="B5485" s="3" t="s">
        <v>15781</v>
      </c>
      <c r="C5485" s="3">
        <v>0.0</v>
      </c>
      <c r="D5485" s="3">
        <v>0.0</v>
      </c>
      <c r="E5485" s="3">
        <v>0.0</v>
      </c>
      <c r="F5485" s="3" t="s">
        <v>15782</v>
      </c>
      <c r="G5485" s="3">
        <v>0.0</v>
      </c>
      <c r="H5485" s="3">
        <v>0.0</v>
      </c>
      <c r="I5485" s="3" t="s">
        <v>13</v>
      </c>
      <c r="J5485" s="3" t="s">
        <v>15783</v>
      </c>
      <c r="K5485" s="3" t="s">
        <v>1699</v>
      </c>
      <c r="L5485" s="3" t="str">
        <f>IFERROR(__xludf.DUMMYFUNCTION("GOOGLETRANSLATE(F5485,""id"",""en"")"),"Although they did not have a World Cup trophy after Argentina champions as if the achievement of the World Cup trophy became very important, not one of Cristiano he was not born a big country football")</f>
        <v>Although they did not have a World Cup trophy after Argentina champions as if the achievement of the World Cup trophy became very important, not one of Cristiano he was not born a big country football</v>
      </c>
    </row>
    <row r="5486" ht="15.75" customHeight="1">
      <c r="A5486" s="1">
        <v>6658.0</v>
      </c>
      <c r="B5486" s="3" t="s">
        <v>15784</v>
      </c>
      <c r="C5486" s="3">
        <v>0.0</v>
      </c>
      <c r="D5486" s="3">
        <v>0.0</v>
      </c>
      <c r="E5486" s="3">
        <v>0.0</v>
      </c>
      <c r="F5486" s="3" t="s">
        <v>15785</v>
      </c>
      <c r="G5486" s="3">
        <v>0.0</v>
      </c>
      <c r="H5486" s="3">
        <v>0.0</v>
      </c>
      <c r="I5486" s="3" t="s">
        <v>13</v>
      </c>
      <c r="J5486" s="3" t="s">
        <v>15786</v>
      </c>
      <c r="K5486" s="3" t="s">
        <v>8160</v>
      </c>
      <c r="L5486" s="3" t="str">
        <f>IFERROR(__xludf.DUMMYFUNCTION("GOOGLETRANSLATE(F5486,""id"",""en"")"),"Mario Balls Online Gambling Trusted Asia Join Argentina World Cup Champion Alexis Mac Allister immediately became the target of giant Read more list Playing now Link")</f>
        <v>Mario Balls Online Gambling Trusted Asia Join Argentina World Cup Champion Alexis Mac Allister immediately became the target of giant Read more list Playing now Link</v>
      </c>
    </row>
    <row r="5487" ht="15.75" customHeight="1">
      <c r="A5487" s="1">
        <v>6659.0</v>
      </c>
      <c r="B5487" s="3" t="s">
        <v>15787</v>
      </c>
      <c r="C5487" s="3">
        <v>1.0</v>
      </c>
      <c r="D5487" s="3">
        <v>0.0</v>
      </c>
      <c r="E5487" s="3">
        <v>0.0</v>
      </c>
      <c r="F5487" s="3" t="s">
        <v>15788</v>
      </c>
      <c r="G5487" s="3">
        <v>0.0</v>
      </c>
      <c r="H5487" s="3">
        <v>0.0</v>
      </c>
      <c r="I5487" s="3" t="s">
        <v>13</v>
      </c>
      <c r="J5487" s="3" t="s">
        <v>15789</v>
      </c>
      <c r="K5487" s="3" t="s">
        <v>11862</v>
      </c>
      <c r="L5487" s="3" t="str">
        <f>IFERROR(__xludf.DUMMYFUNCTION("GOOGLETRANSLATE(F5487,""id"",""en"")"),"Messi world champion and as if Ronaldo is not what the media has a very large bias and nostalgic bias how could be Beckenbauer Cruyf or over Ronaldo before Argentina Champion people debated Messi and Ronaldo as and The Goat")</f>
        <v>Messi world champion and as if Ronaldo is not what the media has a very large bias and nostalgic bias how could be Beckenbauer Cruyf or over Ronaldo before Argentina Champion people debated Messi and Ronaldo as and The Goat</v>
      </c>
    </row>
    <row r="5488" ht="15.75" customHeight="1">
      <c r="A5488" s="1">
        <v>6661.0</v>
      </c>
      <c r="B5488" s="3" t="s">
        <v>15790</v>
      </c>
      <c r="C5488" s="3">
        <v>0.0</v>
      </c>
      <c r="D5488" s="3">
        <v>0.0</v>
      </c>
      <c r="E5488" s="3">
        <v>1.0</v>
      </c>
      <c r="F5488" s="3" t="s">
        <v>15791</v>
      </c>
      <c r="G5488" s="3">
        <v>0.0</v>
      </c>
      <c r="H5488" s="3">
        <v>0.0</v>
      </c>
      <c r="I5488" s="3" t="s">
        <v>13</v>
      </c>
      <c r="J5488" s="3" t="s">
        <v>15792</v>
      </c>
      <c r="K5488" s="3" t="s">
        <v>244</v>
      </c>
      <c r="L5488" s="3" t="str">
        <f>IFERROR(__xludf.DUMMYFUNCTION("GOOGLETRANSLATE(F5488,""id"",""en"")"),"Panji min stupid man's post December is Argentina Champion before December")</f>
        <v>Panji min stupid man's post December is Argentina Champion before December</v>
      </c>
    </row>
    <row r="5489" ht="15.75" customHeight="1">
      <c r="A5489" s="1">
        <v>6664.0</v>
      </c>
      <c r="B5489" s="3" t="s">
        <v>15793</v>
      </c>
      <c r="C5489" s="3">
        <v>0.0</v>
      </c>
      <c r="D5489" s="3">
        <v>0.0</v>
      </c>
      <c r="E5489" s="3">
        <v>0.0</v>
      </c>
      <c r="F5489" s="3" t="s">
        <v>15794</v>
      </c>
      <c r="G5489" s="3">
        <v>0.0</v>
      </c>
      <c r="H5489" s="3">
        <v>0.0</v>
      </c>
      <c r="I5489" s="3" t="s">
        <v>13</v>
      </c>
      <c r="J5489" s="3" t="s">
        <v>15795</v>
      </c>
      <c r="K5489" s="3" t="s">
        <v>19</v>
      </c>
      <c r="L5489" s="3" t="str">
        <f>IFERROR(__xludf.DUMMYFUNCTION("GOOGLETRANSLATE(F5489,""id"",""en"")"),"I don't really expect much with the Indonesian national team, important Argentina, my Mesi idol champion, raised the trophy")</f>
        <v>I don't really expect much with the Indonesian national team, important Argentina, my Mesi idol champion, raised the trophy</v>
      </c>
    </row>
    <row r="5490" ht="15.75" customHeight="1">
      <c r="A5490" s="1">
        <v>6665.0</v>
      </c>
      <c r="B5490" s="3" t="s">
        <v>15796</v>
      </c>
      <c r="C5490" s="3">
        <v>1.0</v>
      </c>
      <c r="D5490" s="3">
        <v>0.0</v>
      </c>
      <c r="E5490" s="3">
        <v>1.0</v>
      </c>
      <c r="F5490" s="3" t="s">
        <v>15768</v>
      </c>
      <c r="G5490" s="3">
        <v>0.0</v>
      </c>
      <c r="H5490" s="3">
        <v>0.0</v>
      </c>
      <c r="I5490" s="3" t="s">
        <v>13</v>
      </c>
      <c r="J5490" s="3" t="s">
        <v>15769</v>
      </c>
      <c r="K5490" s="3" t="s">
        <v>90</v>
      </c>
      <c r="L5490" s="3" t="str">
        <f>IFERROR(__xludf.DUMMYFUNCTION("GOOGLETRANSLATE(F5490,""id"",""en"")"),"Still excited about the famous chef Salt Bae who took part in the Argentine celebration of the Latest World Cup Champion, there was Lionel Messi's gesture who didn't like him")</f>
        <v>Still excited about the famous chef Salt Bae who took part in the Argentine celebration of the Latest World Cup Champion, there was Lionel Messi's gesture who didn't like him</v>
      </c>
    </row>
    <row r="5491" ht="15.75" customHeight="1">
      <c r="A5491" s="1">
        <v>6666.0</v>
      </c>
      <c r="B5491" s="3" t="s">
        <v>15797</v>
      </c>
      <c r="C5491" s="3">
        <v>0.0</v>
      </c>
      <c r="D5491" s="3">
        <v>1.0</v>
      </c>
      <c r="E5491" s="3">
        <v>2.0</v>
      </c>
      <c r="F5491" s="3" t="s">
        <v>15798</v>
      </c>
      <c r="G5491" s="3">
        <v>0.0</v>
      </c>
      <c r="H5491" s="3">
        <v>0.0</v>
      </c>
      <c r="I5491" s="3" t="s">
        <v>13</v>
      </c>
      <c r="J5491" s="3" t="s">
        <v>15799</v>
      </c>
      <c r="K5491" s="3" t="s">
        <v>1061</v>
      </c>
      <c r="L5491" s="3" t="str">
        <f>IFERROR(__xludf.DUMMYFUNCTION("GOOGLETRANSLATE(F5491,""id"",""en"")"),"Between the frenetic Argentina champions and the matter of migrant workers there, this content is invited to learn how to see the problem more completely and clear")</f>
        <v>Between the frenetic Argentina champions and the matter of migrant workers there, this content is invited to learn how to see the problem more completely and clear</v>
      </c>
    </row>
    <row r="5492" ht="15.75" customHeight="1">
      <c r="A5492" s="1">
        <v>6667.0</v>
      </c>
      <c r="B5492" s="3" t="s">
        <v>15800</v>
      </c>
      <c r="C5492" s="3">
        <v>0.0</v>
      </c>
      <c r="D5492" s="3">
        <v>0.0</v>
      </c>
      <c r="E5492" s="3">
        <v>2.0</v>
      </c>
      <c r="F5492" s="3" t="s">
        <v>15801</v>
      </c>
      <c r="G5492" s="3">
        <v>0.0</v>
      </c>
      <c r="H5492" s="3">
        <v>0.0</v>
      </c>
      <c r="I5492" s="3" t="s">
        <v>13</v>
      </c>
      <c r="J5492" s="3" t="s">
        <v>15802</v>
      </c>
      <c r="K5492" s="3" t="s">
        <v>58</v>
      </c>
      <c r="L5492" s="3" t="str">
        <f>IFERROR(__xludf.DUMMYFUNCTION("GOOGLETRANSLATE(F5492,""id"",""en"")"),"I'm not a Messi fan but I swear Ronaldo fans really accept Argentina champion wkwkwk")</f>
        <v>I'm not a Messi fan but I swear Ronaldo fans really accept Argentina champion wkwkwk</v>
      </c>
    </row>
    <row r="5493" ht="15.75" customHeight="1">
      <c r="A5493" s="1">
        <v>6668.0</v>
      </c>
      <c r="B5493" s="3" t="s">
        <v>15803</v>
      </c>
      <c r="C5493" s="3">
        <v>0.0</v>
      </c>
      <c r="D5493" s="3">
        <v>0.0</v>
      </c>
      <c r="E5493" s="3">
        <v>0.0</v>
      </c>
      <c r="F5493" s="3" t="s">
        <v>15804</v>
      </c>
      <c r="G5493" s="3">
        <v>0.0</v>
      </c>
      <c r="H5493" s="3">
        <v>0.0</v>
      </c>
      <c r="I5493" s="3" t="s">
        <v>13</v>
      </c>
      <c r="J5493" s="3" t="s">
        <v>15805</v>
      </c>
      <c r="K5493" s="3" t="s">
        <v>71</v>
      </c>
      <c r="L5493" s="3" t="str">
        <f>IFERROR(__xludf.DUMMYFUNCTION("GOOGLETRANSLATE(F5493,""id"",""en"")"),"Min Oiya Bonus Again to Add Your Kedunguan on December Argentina Not yet Champion World Cup Bong")</f>
        <v>Min Oiya Bonus Again to Add Your Kedunguan on December Argentina Not yet Champion World Cup Bong</v>
      </c>
    </row>
    <row r="5494" ht="15.75" customHeight="1">
      <c r="A5494" s="1">
        <v>6669.0</v>
      </c>
      <c r="B5494" s="3" t="s">
        <v>15806</v>
      </c>
      <c r="C5494" s="3">
        <v>0.0</v>
      </c>
      <c r="D5494" s="3">
        <v>0.0</v>
      </c>
      <c r="E5494" s="3">
        <v>0.0</v>
      </c>
      <c r="F5494" s="3" t="s">
        <v>15807</v>
      </c>
      <c r="G5494" s="3">
        <v>0.0</v>
      </c>
      <c r="H5494" s="3">
        <v>0.0</v>
      </c>
      <c r="I5494" s="3" t="s">
        <v>13</v>
      </c>
      <c r="J5494" s="3" t="s">
        <v>15808</v>
      </c>
      <c r="K5494" s="3" t="s">
        <v>1970</v>
      </c>
      <c r="L5494" s="3" t="str">
        <f>IFERROR(__xludf.DUMMYFUNCTION("GOOGLETRANSLATE(F5494,""id"",""en"")"),"Min, the account uses the Indonesian flag, spreading hoaxes, send in December while the photo of the Argentine celebration to become a world champion on December is caught in editing")</f>
        <v>Min, the account uses the Indonesian flag, spreading hoaxes, send in December while the photo of the Argentine celebration to become a world champion on December is caught in editing</v>
      </c>
    </row>
    <row r="5495" ht="15.75" customHeight="1">
      <c r="A5495" s="1">
        <v>6670.0</v>
      </c>
      <c r="B5495" s="3" t="s">
        <v>15809</v>
      </c>
      <c r="C5495" s="3">
        <v>0.0</v>
      </c>
      <c r="D5495" s="3">
        <v>0.0</v>
      </c>
      <c r="E5495" s="3">
        <v>1.0</v>
      </c>
      <c r="F5495" s="3" t="s">
        <v>15810</v>
      </c>
      <c r="G5495" s="3">
        <v>0.0</v>
      </c>
      <c r="H5495" s="3">
        <v>0.0</v>
      </c>
      <c r="I5495" s="3" t="s">
        <v>13</v>
      </c>
      <c r="J5495" s="3" t="s">
        <v>15811</v>
      </c>
      <c r="K5495" s="3" t="s">
        <v>899</v>
      </c>
      <c r="L5495" s="3" t="str">
        <f>IFERROR(__xludf.DUMMYFUNCTION("GOOGLETRANSLATE(F5495,""id"",""en"")"),"Min, apparently the brain can be changed if the brain is damaged what is the hope of stupid voters, obviously Anies posted the Dec Dec Photo Pangkep then min fox with a photo of the Argentine championship celebration, the Hoax post was still in")</f>
        <v>Min, apparently the brain can be changed if the brain is damaged what is the hope of stupid voters, obviously Anies posted the Dec Dec Photo Pangkep then min fox with a photo of the Argentine championship celebration, the Hoax post was still in</v>
      </c>
    </row>
    <row r="5496" ht="15.75" customHeight="1">
      <c r="A5496" s="1">
        <v>6671.0</v>
      </c>
      <c r="B5496" s="3" t="s">
        <v>15812</v>
      </c>
      <c r="C5496" s="3">
        <v>0.0</v>
      </c>
      <c r="D5496" s="3">
        <v>0.0</v>
      </c>
      <c r="E5496" s="3">
        <v>1.0</v>
      </c>
      <c r="F5496" s="3" t="s">
        <v>15813</v>
      </c>
      <c r="G5496" s="3">
        <v>0.0</v>
      </c>
      <c r="H5496" s="3">
        <v>0.0</v>
      </c>
      <c r="I5496" s="3" t="s">
        <v>13</v>
      </c>
      <c r="J5496" s="3" t="s">
        <v>15814</v>
      </c>
      <c r="K5496" s="3" t="s">
        <v>50</v>
      </c>
      <c r="L5496" s="3" t="str">
        <f>IFERROR(__xludf.DUMMYFUNCTION("GOOGLETRANSLATE(F5496,""id"",""en"")"),"Futaki Min Goblok is indeed the December Argentina December already champions the World Cup")</f>
        <v>Futaki Min Goblok is indeed the December Argentina December already champions the World Cup</v>
      </c>
    </row>
    <row r="5497" ht="15.75" customHeight="1">
      <c r="A5497" s="1">
        <v>6672.0</v>
      </c>
      <c r="B5497" s="3" t="s">
        <v>15815</v>
      </c>
      <c r="C5497" s="3">
        <v>0.0</v>
      </c>
      <c r="D5497" s="3">
        <v>0.0</v>
      </c>
      <c r="E5497" s="3">
        <v>0.0</v>
      </c>
      <c r="F5497" s="3" t="s">
        <v>15816</v>
      </c>
      <c r="G5497" s="3">
        <v>0.0</v>
      </c>
      <c r="H5497" s="3">
        <v>0.0</v>
      </c>
      <c r="I5497" s="3" t="s">
        <v>13</v>
      </c>
      <c r="J5497" s="3" t="s">
        <v>15817</v>
      </c>
      <c r="K5497" s="3" t="s">
        <v>491</v>
      </c>
      <c r="L5497" s="3" t="str">
        <f>IFERROR(__xludf.DUMMYFUNCTION("GOOGLETRANSLATE(F5497,""id"",""en"")"),"Ronaldo is clear that there are Brazil and Argentina the country originally from Goat Pele and Maradona Brazil is still the most championship country")</f>
        <v>Ronaldo is clear that there are Brazil and Argentina the country originally from Goat Pele and Maradona Brazil is still the most championship country</v>
      </c>
    </row>
    <row r="5498" ht="15.75" customHeight="1">
      <c r="A5498" s="1">
        <v>6673.0</v>
      </c>
      <c r="B5498" s="3" t="s">
        <v>15818</v>
      </c>
      <c r="C5498" s="3">
        <v>0.0</v>
      </c>
      <c r="D5498" s="3">
        <v>0.0</v>
      </c>
      <c r="E5498" s="3">
        <v>3.0</v>
      </c>
      <c r="F5498" s="3" t="s">
        <v>15819</v>
      </c>
      <c r="G5498" s="3">
        <v>0.0</v>
      </c>
      <c r="H5498" s="3">
        <v>0.0</v>
      </c>
      <c r="I5498" s="3" t="s">
        <v>13</v>
      </c>
      <c r="J5498" s="3" t="s">
        <v>15820</v>
      </c>
      <c r="K5498" s="3" t="s">
        <v>1479</v>
      </c>
      <c r="L5498" s="3" t="str">
        <f>IFERROR(__xludf.DUMMYFUNCTION("GOOGLETRANSLATE(F5498,""id"",""en"")"),"Min, this photo of Anies twitt on December twit on December Argentina is the champion December Ngehoaxx.")</f>
        <v>Min, this photo of Anies twitt on December twit on December Argentina is the champion December Ngehoaxx.</v>
      </c>
    </row>
    <row r="5499" ht="15.75" customHeight="1">
      <c r="A5499" s="1">
        <v>6674.0</v>
      </c>
      <c r="B5499" s="3" t="s">
        <v>15821</v>
      </c>
      <c r="C5499" s="3">
        <v>0.0</v>
      </c>
      <c r="D5499" s="3">
        <v>0.0</v>
      </c>
      <c r="E5499" s="3">
        <v>1.0</v>
      </c>
      <c r="F5499" s="3" t="s">
        <v>15822</v>
      </c>
      <c r="G5499" s="3">
        <v>0.0</v>
      </c>
      <c r="H5499" s="3">
        <v>0.0</v>
      </c>
      <c r="I5499" s="3" t="s">
        <v>13</v>
      </c>
      <c r="J5499" s="3" t="s">
        <v>15823</v>
      </c>
      <c r="K5499" s="3" t="s">
        <v>433</v>
      </c>
      <c r="L5499" s="3" t="str">
        <f>IFERROR(__xludf.DUMMYFUNCTION("GOOGLETRANSLATE(F5499,""id"",""en"")"),"Min, this is Editn elu rough Argentina, how many champions can stick to the event")</f>
        <v>Min, this is Editn elu rough Argentina, how many champions can stick to the event</v>
      </c>
    </row>
    <row r="5500" ht="15.75" customHeight="1">
      <c r="A5500" s="1">
        <v>6675.0</v>
      </c>
      <c r="B5500" s="3" t="s">
        <v>15824</v>
      </c>
      <c r="C5500" s="3">
        <v>0.0</v>
      </c>
      <c r="D5500" s="3">
        <v>0.0</v>
      </c>
      <c r="E5500" s="3">
        <v>0.0</v>
      </c>
      <c r="F5500" s="3" t="s">
        <v>15825</v>
      </c>
      <c r="G5500" s="3">
        <v>0.0</v>
      </c>
      <c r="H5500" s="3">
        <v>0.0</v>
      </c>
      <c r="I5500" s="3" t="s">
        <v>13</v>
      </c>
      <c r="J5500" s="3" t="s">
        <v>15826</v>
      </c>
      <c r="K5500" s="3" t="s">
        <v>644</v>
      </c>
      <c r="L5500" s="3" t="str">
        <f>IFERROR(__xludf.DUMMYFUNCTION("GOOGLETRANSLATE(F5500,""id"",""en"")"),"The seventh day of Argentina Champion")</f>
        <v>The seventh day of Argentina Champion</v>
      </c>
    </row>
    <row r="5501" ht="15.75" customHeight="1">
      <c r="A5501" s="1">
        <v>6676.0</v>
      </c>
      <c r="B5501" s="3" t="s">
        <v>15827</v>
      </c>
      <c r="C5501" s="3">
        <v>4.0</v>
      </c>
      <c r="D5501" s="3">
        <v>0.0</v>
      </c>
      <c r="E5501" s="3">
        <v>47.0</v>
      </c>
      <c r="F5501" s="3" t="s">
        <v>15828</v>
      </c>
      <c r="G5501" s="3">
        <v>0.0</v>
      </c>
      <c r="H5501" s="3">
        <v>0.0</v>
      </c>
      <c r="I5501" s="3" t="s">
        <v>13</v>
      </c>
      <c r="J5501" s="3" t="s">
        <v>15829</v>
      </c>
      <c r="K5501" s="3" t="s">
        <v>3052</v>
      </c>
      <c r="L5501" s="3" t="str">
        <f>IFERROR(__xludf.DUMMYFUNCTION("GOOGLETRANSLATE(F5501,""id"",""en"")"),"It is precisely Dodo know that Argentina will be a world champion to eat Macaron Argentine so that the dodo's girlfriend is Argentina")</f>
        <v>It is precisely Dodo know that Argentina will be a world champion to eat Macaron Argentine so that the dodo's girlfriend is Argentina</v>
      </c>
    </row>
    <row r="5502" ht="15.75" customHeight="1">
      <c r="A5502" s="1">
        <v>6677.0</v>
      </c>
      <c r="B5502" s="3" t="s">
        <v>15830</v>
      </c>
      <c r="C5502" s="3">
        <v>0.0</v>
      </c>
      <c r="D5502" s="3">
        <v>0.0</v>
      </c>
      <c r="E5502" s="3">
        <v>0.0</v>
      </c>
      <c r="F5502" s="3" t="s">
        <v>15831</v>
      </c>
      <c r="G5502" s="3">
        <v>0.0</v>
      </c>
      <c r="H5502" s="3">
        <v>0.0</v>
      </c>
      <c r="I5502" s="3" t="s">
        <v>13</v>
      </c>
      <c r="J5502" s="3" t="s">
        <v>15832</v>
      </c>
      <c r="K5502" s="3" t="s">
        <v>31</v>
      </c>
      <c r="L5502" s="3" t="str">
        <f>IFERROR(__xludf.DUMMYFUNCTION("GOOGLETRANSLATE(F5502,""id"",""en"")"),"Argentina Champion Dear Three Maskeeters")</f>
        <v>Argentina Champion Dear Three Maskeeters</v>
      </c>
    </row>
    <row r="5503" ht="15.75" customHeight="1">
      <c r="A5503" s="1">
        <v>6678.0</v>
      </c>
      <c r="B5503" s="3" t="s">
        <v>15833</v>
      </c>
      <c r="C5503" s="3">
        <v>0.0</v>
      </c>
      <c r="D5503" s="3">
        <v>0.0</v>
      </c>
      <c r="E5503" s="3">
        <v>6.0</v>
      </c>
      <c r="F5503" s="3" t="s">
        <v>15834</v>
      </c>
      <c r="G5503" s="3">
        <v>0.0</v>
      </c>
      <c r="H5503" s="3">
        <v>0.0</v>
      </c>
      <c r="I5503" s="3" t="s">
        <v>13</v>
      </c>
      <c r="J5503" s="3" t="s">
        <v>15835</v>
      </c>
      <c r="K5503" s="3" t="s">
        <v>184</v>
      </c>
      <c r="L5503" s="3" t="str">
        <f>IFERROR(__xludf.DUMMYFUNCTION("GOOGLETRANSLATE(F5503,""id"",""en"")"),"Min, the stupid flag account is complete, the date of Argentina has already trusted the champion forgot if supporters")</f>
        <v>Min, the stupid flag account is complete, the date of Argentina has already trusted the champion forgot if supporters</v>
      </c>
    </row>
    <row r="5504" ht="15.75" customHeight="1">
      <c r="A5504" s="1">
        <v>6679.0</v>
      </c>
      <c r="B5504" s="3" t="s">
        <v>15836</v>
      </c>
      <c r="C5504" s="3">
        <v>2.0</v>
      </c>
      <c r="D5504" s="3">
        <v>4.0</v>
      </c>
      <c r="E5504" s="3">
        <v>37.0</v>
      </c>
      <c r="F5504" s="3" t="s">
        <v>15837</v>
      </c>
      <c r="G5504" s="3">
        <v>0.0</v>
      </c>
      <c r="H5504" s="3">
        <v>0.0</v>
      </c>
      <c r="I5504" s="3" t="s">
        <v>13</v>
      </c>
      <c r="J5504" s="3" t="s">
        <v>15838</v>
      </c>
      <c r="K5504" s="3" t="s">
        <v>433</v>
      </c>
      <c r="L5504" s="3" t="str">
        <f>IFERROR(__xludf.DUMMYFUNCTION("GOOGLETRANSLATE(F5504,""id"",""en"")"),"New hair after Argentina champions from Enzo Fernandez Oooo so this is a white hair that thinks a lot")</f>
        <v>New hair after Argentina champions from Enzo Fernandez Oooo so this is a white hair that thinks a lot</v>
      </c>
    </row>
    <row r="5505" ht="15.75" customHeight="1">
      <c r="A5505" s="1">
        <v>6680.0</v>
      </c>
      <c r="B5505" s="3" t="s">
        <v>15839</v>
      </c>
      <c r="C5505" s="3">
        <v>0.0</v>
      </c>
      <c r="D5505" s="3">
        <v>0.0</v>
      </c>
      <c r="E5505" s="3">
        <v>0.0</v>
      </c>
      <c r="F5505" s="3" t="s">
        <v>15840</v>
      </c>
      <c r="G5505" s="3">
        <v>0.0</v>
      </c>
      <c r="H5505" s="3">
        <v>0.0</v>
      </c>
      <c r="I5505" s="3" t="s">
        <v>13</v>
      </c>
      <c r="J5505" s="3" t="s">
        <v>15841</v>
      </c>
      <c r="K5505" s="3" t="s">
        <v>477</v>
      </c>
      <c r="L5505" s="3" t="str">
        <f>IFERROR(__xludf.DUMMYFUNCTION("GOOGLETRANSLATE(F5505,""id"",""en"")"),"Ronaldo wants to nyepong Ronaldo and continue to win the Argentina")</f>
        <v>Ronaldo wants to nyepong Ronaldo and continue to win the Argentina</v>
      </c>
    </row>
    <row r="5506" ht="15.75" customHeight="1">
      <c r="A5506" s="1">
        <v>6681.0</v>
      </c>
      <c r="B5506" s="3" t="s">
        <v>15842</v>
      </c>
      <c r="C5506" s="3">
        <v>1.0</v>
      </c>
      <c r="D5506" s="3">
        <v>1.0</v>
      </c>
      <c r="E5506" s="3">
        <v>1.0</v>
      </c>
      <c r="F5506" s="3" t="s">
        <v>15843</v>
      </c>
      <c r="G5506" s="3">
        <v>0.0</v>
      </c>
      <c r="H5506" s="3">
        <v>0.0</v>
      </c>
      <c r="I5506" s="3" t="s">
        <v>13</v>
      </c>
      <c r="J5506" s="3" t="s">
        <v>15844</v>
      </c>
      <c r="K5506" s="3" t="s">
        <v>35</v>
      </c>
      <c r="L5506" s="3" t="str">
        <f>IFERROR(__xludf.DUMMYFUNCTION("GOOGLETRANSLATE(F5506,""id"",""en"")"),"Keplek was right yesterday I said happy Argentina Auto Soccer Champion Becomes an Argentine citizen")</f>
        <v>Keplek was right yesterday I said happy Argentina Auto Soccer Champion Becomes an Argentine citizen</v>
      </c>
    </row>
    <row r="5507" ht="15.75" customHeight="1">
      <c r="A5507" s="1">
        <v>6682.0</v>
      </c>
      <c r="B5507" s="3" t="s">
        <v>15845</v>
      </c>
      <c r="C5507" s="3">
        <v>1.0</v>
      </c>
      <c r="D5507" s="3">
        <v>2.0</v>
      </c>
      <c r="E5507" s="3">
        <v>4.0</v>
      </c>
      <c r="F5507" s="3" t="s">
        <v>15846</v>
      </c>
      <c r="G5507" s="3">
        <v>0.6666666666666666</v>
      </c>
      <c r="H5507" s="3">
        <v>0.3333333333333333</v>
      </c>
      <c r="I5507" s="3" t="s">
        <v>48</v>
      </c>
      <c r="J5507" s="3" t="s">
        <v>15847</v>
      </c>
      <c r="K5507" s="3" t="s">
        <v>903</v>
      </c>
      <c r="L5507" s="3" t="str">
        <f>IFERROR(__xludf.DUMMYFUNCTION("GOOGLETRANSLATE(F5507,""id"",""en"")"),"What is Super Ballon after Argentina won the Topic World Cup about the Super Ballon trophy associated with Lionel Messi the Captain of the team is busy being discussed here FIFA's photo")</f>
        <v>What is Super Ballon after Argentina won the Topic World Cup about the Super Ballon trophy associated with Lionel Messi the Captain of the team is busy being discussed here FIFA's photo</v>
      </c>
    </row>
    <row r="5508" ht="15.75" customHeight="1">
      <c r="A5508" s="1">
        <v>6683.0</v>
      </c>
      <c r="B5508" s="3" t="s">
        <v>15848</v>
      </c>
      <c r="C5508" s="3">
        <v>0.0</v>
      </c>
      <c r="D5508" s="3">
        <v>0.0</v>
      </c>
      <c r="E5508" s="3">
        <v>3.0</v>
      </c>
      <c r="F5508" s="3" t="s">
        <v>15849</v>
      </c>
      <c r="G5508" s="3">
        <v>0.0</v>
      </c>
      <c r="H5508" s="3">
        <v>0.0</v>
      </c>
      <c r="I5508" s="3" t="s">
        <v>13</v>
      </c>
      <c r="J5508" s="3" t="s">
        <v>15850</v>
      </c>
      <c r="K5508" s="3" t="s">
        <v>75</v>
      </c>
      <c r="L5508" s="3" t="str">
        <f>IFERROR(__xludf.DUMMYFUNCTION("GOOGLETRANSLATE(F5508,""id"",""en"")"),"When helping to win UCL spots more difficult than becoming world champions with Argentina")</f>
        <v>When helping to win UCL spots more difficult than becoming world champions with Argentina</v>
      </c>
    </row>
    <row r="5509" ht="15.75" customHeight="1">
      <c r="A5509" s="1">
        <v>6684.0</v>
      </c>
      <c r="B5509" s="3" t="s">
        <v>15851</v>
      </c>
      <c r="C5509" s="3">
        <v>0.0</v>
      </c>
      <c r="D5509" s="3">
        <v>0.0</v>
      </c>
      <c r="E5509" s="3">
        <v>0.0</v>
      </c>
      <c r="F5509" s="3" t="s">
        <v>15852</v>
      </c>
      <c r="G5509" s="3">
        <v>0.4</v>
      </c>
      <c r="H5509" s="3">
        <v>0.2</v>
      </c>
      <c r="I5509" s="3" t="s">
        <v>48</v>
      </c>
      <c r="J5509" s="3" t="s">
        <v>15853</v>
      </c>
      <c r="K5509" s="3" t="s">
        <v>903</v>
      </c>
      <c r="L5509" s="3" t="str">
        <f>IFERROR(__xludf.DUMMYFUNCTION("GOOGLETRANSLATE(F5509,""id"",""en"")"),"Min, not believe that the tadpole is stupid after reading your narrative it turns out that the fact is that the stupid stupid tadpole is Argentina, the world champion is Oon hahaha")</f>
        <v>Min, not believe that the tadpole is stupid after reading your narrative it turns out that the fact is that the stupid stupid tadpole is Argentina, the world champion is Oon hahaha</v>
      </c>
    </row>
    <row r="5510" ht="15.75" customHeight="1">
      <c r="A5510" s="1">
        <v>6685.0</v>
      </c>
      <c r="B5510" s="3" t="s">
        <v>15854</v>
      </c>
      <c r="C5510" s="3">
        <v>0.0</v>
      </c>
      <c r="D5510" s="3">
        <v>0.0</v>
      </c>
      <c r="E5510" s="3">
        <v>2.0</v>
      </c>
      <c r="F5510" s="3" t="s">
        <v>15855</v>
      </c>
      <c r="G5510" s="3">
        <v>0.0</v>
      </c>
      <c r="H5510" s="3">
        <v>0.0</v>
      </c>
      <c r="I5510" s="3" t="s">
        <v>13</v>
      </c>
      <c r="J5510" s="3" t="s">
        <v>15856</v>
      </c>
      <c r="K5510" s="3" t="s">
        <v>50</v>
      </c>
      <c r="L5510" s="3" t="str">
        <f>IFERROR(__xludf.DUMMYFUNCTION("GOOGLETRANSLATE(F5510,""id"",""en"")"),"Min Bloon is Argentina champions in the date of des stamped bong")</f>
        <v>Min Bloon is Argentina champions in the date of des stamped bong</v>
      </c>
    </row>
    <row r="5511" ht="15.75" customHeight="1">
      <c r="A5511" s="1">
        <v>6686.0</v>
      </c>
      <c r="B5511" s="3" t="s">
        <v>15857</v>
      </c>
      <c r="C5511" s="3">
        <v>5.0</v>
      </c>
      <c r="D5511" s="3">
        <v>0.0</v>
      </c>
      <c r="E5511" s="3">
        <v>4.0</v>
      </c>
      <c r="F5511" s="3" t="s">
        <v>15858</v>
      </c>
      <c r="G5511" s="3">
        <v>0.0</v>
      </c>
      <c r="H5511" s="3">
        <v>0.0</v>
      </c>
      <c r="I5511" s="3" t="s">
        <v>13</v>
      </c>
      <c r="J5511" s="3" t="s">
        <v>15859</v>
      </c>
      <c r="K5511" s="3" t="s">
        <v>15860</v>
      </c>
      <c r="L5511" s="3" t="str">
        <f>IFERROR(__xludf.DUMMYFUNCTION("GOOGLETRANSLATE(F5511,""id"",""en"")"),"So that Ronaldongo fans are ashamed of the Portuguese test fans not the world champion or European champion tradition but Ronaldongo changed its country to become European champions even though it was not a different tradition")</f>
        <v>So that Ronaldongo fans are ashamed of the Portuguese test fans not the world champion or European champion tradition but Ronaldongo changed its country to become European champions even though it was not a different tradition</v>
      </c>
    </row>
    <row r="5512" ht="15.75" customHeight="1">
      <c r="A5512" s="1">
        <v>6687.0</v>
      </c>
      <c r="B5512" s="3" t="s">
        <v>15861</v>
      </c>
      <c r="C5512" s="3">
        <v>0.0</v>
      </c>
      <c r="D5512" s="3">
        <v>0.0</v>
      </c>
      <c r="E5512" s="3">
        <v>1.0</v>
      </c>
      <c r="F5512" s="3" t="s">
        <v>15862</v>
      </c>
      <c r="G5512" s="3">
        <v>0.3333333333333333</v>
      </c>
      <c r="H5512" s="3">
        <v>0.1666666666666667</v>
      </c>
      <c r="I5512" s="3" t="s">
        <v>48</v>
      </c>
      <c r="J5512" s="3" t="s">
        <v>15863</v>
      </c>
      <c r="K5512" s="3" t="s">
        <v>19</v>
      </c>
      <c r="L5512" s="3" t="str">
        <f>IFERROR(__xludf.DUMMYFUNCTION("GOOGLETRANSLATE(F5512,""id"",""en"")"),"examples of big hockey players playing small clubs in the Argentina core squad and world champion")</f>
        <v>examples of big hockey players playing small clubs in the Argentina core squad and world champion</v>
      </c>
    </row>
    <row r="5513" ht="15.75" customHeight="1">
      <c r="A5513" s="1">
        <v>6688.0</v>
      </c>
      <c r="B5513" s="3" t="s">
        <v>15864</v>
      </c>
      <c r="C5513" s="3">
        <v>0.0</v>
      </c>
      <c r="D5513" s="3">
        <v>0.0</v>
      </c>
      <c r="E5513" s="3">
        <v>0.0</v>
      </c>
      <c r="F5513" s="3" t="s">
        <v>15865</v>
      </c>
      <c r="G5513" s="3">
        <v>0.0</v>
      </c>
      <c r="H5513" s="3">
        <v>0.0</v>
      </c>
      <c r="I5513" s="3" t="s">
        <v>13</v>
      </c>
      <c r="J5513" s="3" t="s">
        <v>15866</v>
      </c>
      <c r="K5513" s="3" t="s">
        <v>584</v>
      </c>
      <c r="L5513" s="3" t="str">
        <f>IFERROR(__xludf.DUMMYFUNCTION("GOOGLETRANSLATE(F5513,""id"",""en"")"),"Can Penyepong Dodog Pura All France Gamau see Messi lifting the pildun trophy if the neal is not working on the Berdean Leno Emil Gabakal called the Argentina national team to make a crucial save so that Argentina is champion")</f>
        <v>Can Penyepong Dodog Pura All France Gamau see Messi lifting the pildun trophy if the neal is not working on the Berdean Leno Emil Gabakal called the Argentina national team to make a crucial save so that Argentina is champion</v>
      </c>
    </row>
    <row r="5514" ht="15.75" customHeight="1">
      <c r="A5514" s="1">
        <v>6690.0</v>
      </c>
      <c r="B5514" s="3" t="s">
        <v>15867</v>
      </c>
      <c r="C5514" s="3">
        <v>0.0</v>
      </c>
      <c r="D5514" s="3">
        <v>0.0</v>
      </c>
      <c r="E5514" s="3">
        <v>0.0</v>
      </c>
      <c r="F5514" s="3" t="s">
        <v>15868</v>
      </c>
      <c r="G5514" s="3">
        <v>0.0</v>
      </c>
      <c r="H5514" s="3">
        <v>0.0</v>
      </c>
      <c r="I5514" s="3" t="s">
        <v>13</v>
      </c>
      <c r="J5514" s="3" t="s">
        <v>15869</v>
      </c>
      <c r="K5514" s="3" t="s">
        <v>510</v>
      </c>
      <c r="L5514" s="3" t="str">
        <f>IFERROR(__xludf.DUMMYFUNCTION("GOOGLETRANSLATE(F5514,""id"",""en"")"),"The World Cup Only the country once championed Brazilian Italy Germany Argentina Uruguay England French Spanish")</f>
        <v>The World Cup Only the country once championed Brazilian Italy Germany Argentina Uruguay England French Spanish</v>
      </c>
    </row>
    <row r="5515" ht="15.75" customHeight="1">
      <c r="A5515" s="1">
        <v>6691.0</v>
      </c>
      <c r="B5515" s="3" t="s">
        <v>15870</v>
      </c>
      <c r="C5515" s="3">
        <v>0.0</v>
      </c>
      <c r="D5515" s="3">
        <v>0.0</v>
      </c>
      <c r="E5515" s="3">
        <v>0.0</v>
      </c>
      <c r="F5515" s="3" t="s">
        <v>15871</v>
      </c>
      <c r="G5515" s="3">
        <v>0.0</v>
      </c>
      <c r="H5515" s="3">
        <v>0.0</v>
      </c>
      <c r="I5515" s="3" t="s">
        <v>13</v>
      </c>
      <c r="J5515" s="3" t="s">
        <v>15872</v>
      </c>
      <c r="K5515" s="3" t="s">
        <v>215</v>
      </c>
      <c r="L5515" s="3" t="str">
        <f>IFERROR(__xludf.DUMMYFUNCTION("GOOGLETRANSLATE(F5515,""id"",""en"")"),"Min, just stick to the photo, it's not wrong to go to school, so the buzzer is there anyway Argentina champions on December so I want to be ugly.")</f>
        <v>Min, just stick to the photo, it's not wrong to go to school, so the buzzer is there anyway Argentina champions on December so I want to be ugly.</v>
      </c>
    </row>
    <row r="5516" ht="15.75" customHeight="1">
      <c r="A5516" s="1">
        <v>6692.0</v>
      </c>
      <c r="B5516" s="3" t="s">
        <v>15873</v>
      </c>
      <c r="C5516" s="3">
        <v>0.0</v>
      </c>
      <c r="D5516" s="3">
        <v>0.0</v>
      </c>
      <c r="E5516" s="3">
        <v>0.0</v>
      </c>
      <c r="F5516" s="3" t="s">
        <v>15874</v>
      </c>
      <c r="G5516" s="3">
        <v>0.5399999999999999</v>
      </c>
      <c r="H5516" s="3">
        <v>0.16</v>
      </c>
      <c r="I5516" s="3" t="s">
        <v>48</v>
      </c>
      <c r="J5516" s="3" t="s">
        <v>15875</v>
      </c>
      <c r="K5516" s="3" t="s">
        <v>192</v>
      </c>
      <c r="L5516" s="3" t="str">
        <f>IFERROR(__xludf.DUMMYFUNCTION("GOOGLETRANSLATE(F5516,""id"",""en"")"),"I also hope that Vietnam champions of supporters here are high, it's very high, it's complete, there is a stadium, there is a nationalist stadium.")</f>
        <v>I also hope that Vietnam champions of supporters here are high, it's very high, it's complete, there is a stadium, there is a nationalist stadium.</v>
      </c>
    </row>
    <row r="5517" ht="15.75" customHeight="1">
      <c r="A5517" s="1">
        <v>6693.0</v>
      </c>
      <c r="B5517" s="3" t="s">
        <v>15876</v>
      </c>
      <c r="C5517" s="3">
        <v>0.0</v>
      </c>
      <c r="D5517" s="3">
        <v>0.0</v>
      </c>
      <c r="E5517" s="3">
        <v>3.0</v>
      </c>
      <c r="F5517" s="3" t="s">
        <v>15877</v>
      </c>
      <c r="G5517" s="3">
        <v>0.0</v>
      </c>
      <c r="H5517" s="3">
        <v>0.0</v>
      </c>
      <c r="I5517" s="3" t="s">
        <v>13</v>
      </c>
      <c r="J5517" s="3" t="s">
        <v>15878</v>
      </c>
      <c r="K5517" s="3" t="s">
        <v>491</v>
      </c>
      <c r="L5517" s="3" t="str">
        <f>IFERROR(__xludf.DUMMYFUNCTION("GOOGLETRANSLATE(F5517,""id"",""en"")"),"Siregar Min, please understand that the beginner editing is clearly different on December and Argentina Bru championship on December")</f>
        <v>Siregar Min, please understand that the beginner editing is clearly different on December and Argentina Bru championship on December</v>
      </c>
    </row>
    <row r="5518" ht="15.75" customHeight="1">
      <c r="A5518" s="1">
        <v>6694.0</v>
      </c>
      <c r="B5518" s="3" t="s">
        <v>15879</v>
      </c>
      <c r="C5518" s="3">
        <v>0.0</v>
      </c>
      <c r="D5518" s="3">
        <v>0.0</v>
      </c>
      <c r="E5518" s="3">
        <v>0.0</v>
      </c>
      <c r="F5518" s="3" t="s">
        <v>15880</v>
      </c>
      <c r="G5518" s="3">
        <v>0.0</v>
      </c>
      <c r="H5518" s="3">
        <v>0.0</v>
      </c>
      <c r="I5518" s="3" t="s">
        <v>13</v>
      </c>
      <c r="J5518" s="3" t="s">
        <v>15881</v>
      </c>
      <c r="K5518" s="3" t="s">
        <v>657</v>
      </c>
      <c r="L5518" s="3" t="str">
        <f>IFERROR(__xludf.DUMMYFUNCTION("GOOGLETRANSLATE(F5518,""id"",""en"")"),"Hopefully he can follow the footsteps of his father there is no word late Mark Schwarzer also used to shine EPL with Boro at the age of the year above")</f>
        <v>Hopefully he can follow the footsteps of his father there is no word late Mark Schwarzer also used to shine EPL with Boro at the age of the year above</v>
      </c>
    </row>
    <row r="5519" ht="15.75" customHeight="1">
      <c r="A5519" s="1">
        <v>6695.0</v>
      </c>
      <c r="B5519" s="3" t="s">
        <v>15882</v>
      </c>
      <c r="C5519" s="3">
        <v>0.0</v>
      </c>
      <c r="D5519" s="3">
        <v>0.0</v>
      </c>
      <c r="E5519" s="3">
        <v>0.0</v>
      </c>
      <c r="F5519" s="3" t="s">
        <v>15883</v>
      </c>
      <c r="G5519" s="3">
        <v>0.8</v>
      </c>
      <c r="H5519" s="3">
        <v>-0.8</v>
      </c>
      <c r="I5519" s="3" t="s">
        <v>179</v>
      </c>
      <c r="J5519" s="3" t="s">
        <v>15884</v>
      </c>
      <c r="K5519" s="3" t="s">
        <v>11862</v>
      </c>
      <c r="L5519" s="3" t="str">
        <f>IFERROR(__xludf.DUMMYFUNCTION("GOOGLETRANSLATE(F5519,""id"",""en"")"),"Min, min, the son, the child, the pimp, the contents of the head, only mucus, make you stupid, the Anies derivative posts the tweet, while Argentina is champion, then according to you, the idiot is more.")</f>
        <v>Min, min, the son, the child, the pimp, the contents of the head, only mucus, make you stupid, the Anies derivative posts the tweet, while Argentina is champion, then according to you, the idiot is more.</v>
      </c>
    </row>
    <row r="5520" ht="15.75" customHeight="1">
      <c r="A5520" s="1">
        <v>6696.0</v>
      </c>
      <c r="B5520" s="3" t="s">
        <v>15885</v>
      </c>
      <c r="C5520" s="3">
        <v>40.0</v>
      </c>
      <c r="D5520" s="3">
        <v>43.0</v>
      </c>
      <c r="E5520" s="3">
        <v>1050.0</v>
      </c>
      <c r="F5520" s="3" t="s">
        <v>15886</v>
      </c>
      <c r="G5520" s="3">
        <v>0.0</v>
      </c>
      <c r="H5520" s="3">
        <v>0.0</v>
      </c>
      <c r="I5520" s="3" t="s">
        <v>13</v>
      </c>
      <c r="J5520" s="3" t="s">
        <v>15887</v>
      </c>
      <c r="K5520" s="3" t="s">
        <v>71</v>
      </c>
      <c r="L5520" s="3" t="str">
        <f>IFERROR(__xludf.DUMMYFUNCTION("GOOGLETRANSLATE(F5520,""id"",""en"")"),"Remember the real Licha mission is to bring Manchester United Zone Champions League not to bring Argentina champions")</f>
        <v>Remember the real Licha mission is to bring Manchester United Zone Champions League not to bring Argentina champions</v>
      </c>
    </row>
    <row r="5521" ht="15.75" customHeight="1">
      <c r="A5521" s="1">
        <v>6697.0</v>
      </c>
      <c r="B5521" s="3" t="s">
        <v>15888</v>
      </c>
      <c r="C5521" s="3">
        <v>0.0</v>
      </c>
      <c r="D5521" s="3">
        <v>0.0</v>
      </c>
      <c r="E5521" s="3">
        <v>0.0</v>
      </c>
      <c r="F5521" s="3" t="s">
        <v>15889</v>
      </c>
      <c r="G5521" s="3">
        <v>0.0</v>
      </c>
      <c r="H5521" s="3">
        <v>0.0</v>
      </c>
      <c r="I5521" s="3" t="s">
        <v>13</v>
      </c>
      <c r="J5521" s="3" t="s">
        <v>15890</v>
      </c>
      <c r="K5521" s="3" t="s">
        <v>1041</v>
      </c>
      <c r="L5521" s="3" t="str">
        <f>IFERROR(__xludf.DUMMYFUNCTION("GOOGLETRANSLATE(F5521,""id"",""en"")"),"Argentine National Team Road Qatar Argentina national team's journey since the Copa America until before landing Doha was peeled in EPS not as a result of other all nothing series through many responsibilities because the world champion climax is not yet "&amp;"climax")</f>
        <v>Argentine National Team Road Qatar Argentina national team's journey since the Copa America until before landing Doha was peeled in EPS not as a result of other all nothing series through many responsibilities because the world champion climax is not yet climax</v>
      </c>
    </row>
    <row r="5522" ht="15.75" customHeight="1">
      <c r="A5522" s="1">
        <v>6698.0</v>
      </c>
      <c r="B5522" s="3" t="s">
        <v>15891</v>
      </c>
      <c r="C5522" s="3">
        <v>0.0</v>
      </c>
      <c r="D5522" s="3">
        <v>0.0</v>
      </c>
      <c r="E5522" s="3">
        <v>0.0</v>
      </c>
      <c r="F5522" s="3" t="s">
        <v>15892</v>
      </c>
      <c r="G5522" s="3">
        <v>0.4</v>
      </c>
      <c r="H5522" s="3">
        <v>-0.4</v>
      </c>
      <c r="I5522" s="3" t="s">
        <v>179</v>
      </c>
      <c r="J5522" s="3" t="s">
        <v>15893</v>
      </c>
      <c r="K5522" s="3" t="s">
        <v>82</v>
      </c>
      <c r="L5522" s="3" t="str">
        <f>IFERROR(__xludf.DUMMYFUNCTION("GOOGLETRANSLATE(F5522,""id"",""en"")"),"Argentina The first game was also bapuk first and then champions")</f>
        <v>Argentina The first game was also bapuk first and then champions</v>
      </c>
    </row>
    <row r="5523" ht="15.75" customHeight="1">
      <c r="A5523" s="1">
        <v>6699.0</v>
      </c>
      <c r="B5523" s="3" t="s">
        <v>15894</v>
      </c>
      <c r="C5523" s="3">
        <v>0.0</v>
      </c>
      <c r="D5523" s="3">
        <v>0.0</v>
      </c>
      <c r="E5523" s="3">
        <v>0.0</v>
      </c>
      <c r="F5523" s="3" t="s">
        <v>15895</v>
      </c>
      <c r="G5523" s="3">
        <v>0.0</v>
      </c>
      <c r="H5523" s="3">
        <v>0.0</v>
      </c>
      <c r="I5523" s="3" t="s">
        <v>13</v>
      </c>
      <c r="J5523" s="3" t="s">
        <v>15896</v>
      </c>
      <c r="K5523" s="3" t="s">
        <v>75</v>
      </c>
      <c r="L5523" s="3" t="str">
        <f>IFERROR(__xludf.DUMMYFUNCTION("GOOGLETRANSLATE(F5523,""id"",""en"")"),"Argentina lost Maradona but the party when Agen champion was a severe pilduun champion")</f>
        <v>Argentina lost Maradona but the party when Agen champion was a severe pilduun champion</v>
      </c>
    </row>
    <row r="5524" ht="15.75" customHeight="1">
      <c r="A5524" s="1">
        <v>6700.0</v>
      </c>
      <c r="B5524" s="3" t="s">
        <v>15897</v>
      </c>
      <c r="C5524" s="3">
        <v>0.0</v>
      </c>
      <c r="D5524" s="3">
        <v>0.0</v>
      </c>
      <c r="E5524" s="3">
        <v>1.0</v>
      </c>
      <c r="F5524" s="3" t="s">
        <v>15898</v>
      </c>
      <c r="G5524" s="3">
        <v>0.0</v>
      </c>
      <c r="H5524" s="3">
        <v>0.0</v>
      </c>
      <c r="I5524" s="3" t="s">
        <v>13</v>
      </c>
      <c r="J5524" s="3" t="s">
        <v>15899</v>
      </c>
      <c r="K5524" s="3" t="s">
        <v>54</v>
      </c>
      <c r="L5524" s="3" t="str">
        <f>IFERROR(__xludf.DUMMYFUNCTION("GOOGLETRANSLATE(F5524,""id"",""en"")"),"Min, December Argentina is already in the world champion")</f>
        <v>Min, December Argentina is already in the world champion</v>
      </c>
    </row>
    <row r="5525" ht="15.75" customHeight="1">
      <c r="A5525" s="1">
        <v>6701.0</v>
      </c>
      <c r="B5525" s="3" t="s">
        <v>15900</v>
      </c>
      <c r="C5525" s="3">
        <v>1.0</v>
      </c>
      <c r="D5525" s="3">
        <v>0.0</v>
      </c>
      <c r="E5525" s="3">
        <v>0.0</v>
      </c>
      <c r="F5525" s="3" t="s">
        <v>15901</v>
      </c>
      <c r="G5525" s="3">
        <v>0.0</v>
      </c>
      <c r="H5525" s="3">
        <v>0.0</v>
      </c>
      <c r="I5525" s="3" t="s">
        <v>13</v>
      </c>
      <c r="J5525" s="3" t="s">
        <v>15902</v>
      </c>
      <c r="K5525" s="3" t="s">
        <v>3497</v>
      </c>
      <c r="L5525" s="3" t="str">
        <f>IFERROR(__xludf.DUMMYFUNCTION("GOOGLETRANSLATE(F5525,""id"",""en"")"),"days still thought Argentina Champion")</f>
        <v>days still thought Argentina Champion</v>
      </c>
    </row>
    <row r="5526" ht="15.75" customHeight="1">
      <c r="A5526" s="1">
        <v>6702.0</v>
      </c>
      <c r="B5526" s="3" t="s">
        <v>15903</v>
      </c>
      <c r="C5526" s="3">
        <v>0.0</v>
      </c>
      <c r="D5526" s="3">
        <v>0.0</v>
      </c>
      <c r="E5526" s="3">
        <v>0.0</v>
      </c>
      <c r="F5526" s="3" t="s">
        <v>15904</v>
      </c>
      <c r="G5526" s="3">
        <v>0.0</v>
      </c>
      <c r="H5526" s="3">
        <v>0.0</v>
      </c>
      <c r="I5526" s="3" t="s">
        <v>13</v>
      </c>
      <c r="J5526" s="3" t="s">
        <v>15905</v>
      </c>
      <c r="K5526" s="3" t="s">
        <v>15</v>
      </c>
      <c r="L5526" s="3" t="str">
        <f>IFERROR(__xludf.DUMMYFUNCTION("GOOGLETRANSLATE(F5526,""id"",""en"")"),"World Cup Champion This is the Christmas message of the Argentine national team")</f>
        <v>World Cup Champion This is the Christmas message of the Argentine national team</v>
      </c>
    </row>
    <row r="5527" ht="15.75" customHeight="1">
      <c r="A5527" s="1">
        <v>6703.0</v>
      </c>
      <c r="B5527" s="3" t="s">
        <v>15906</v>
      </c>
      <c r="C5527" s="3">
        <v>1.0</v>
      </c>
      <c r="D5527" s="3">
        <v>0.0</v>
      </c>
      <c r="E5527" s="3">
        <v>0.0</v>
      </c>
      <c r="F5527" s="3" t="s">
        <v>15907</v>
      </c>
      <c r="G5527" s="3">
        <v>0.0</v>
      </c>
      <c r="H5527" s="3">
        <v>0.0</v>
      </c>
      <c r="I5527" s="3" t="s">
        <v>13</v>
      </c>
      <c r="J5527" s="3" t="s">
        <v>15908</v>
      </c>
      <c r="K5527" s="3" t="s">
        <v>54</v>
      </c>
      <c r="L5527" s="3" t="str">
        <f>IFERROR(__xludf.DUMMYFUNCTION("GOOGLETRANSLATE(F5527,""id"",""en"")"),"Aguero Changed Citizenship After Argentina World Champion")</f>
        <v>Aguero Changed Citizenship After Argentina World Champion</v>
      </c>
    </row>
    <row r="5528" ht="15.75" customHeight="1">
      <c r="A5528" s="1">
        <v>6704.0</v>
      </c>
      <c r="B5528" s="3" t="s">
        <v>15909</v>
      </c>
      <c r="C5528" s="3">
        <v>3.0</v>
      </c>
      <c r="D5528" s="3">
        <v>0.0</v>
      </c>
      <c r="E5528" s="3">
        <v>14.0</v>
      </c>
      <c r="F5528" s="3" t="s">
        <v>15910</v>
      </c>
      <c r="G5528" s="3">
        <v>1.0</v>
      </c>
      <c r="H5528" s="3">
        <v>0.8</v>
      </c>
      <c r="I5528" s="3" t="s">
        <v>48</v>
      </c>
      <c r="J5528" s="3" t="s">
        <v>15911</v>
      </c>
      <c r="K5528" s="3" t="s">
        <v>11862</v>
      </c>
      <c r="L5528" s="3" t="str">
        <f>IFERROR(__xludf.DUMMYFUNCTION("GOOGLETRANSLATE(F5528,""id"",""en"")"),"Even though I saw Liverpool league champions again after waiting for the year but unfortunately he hadn't seen Argentina world champion again after the year Argentina champions finally hahahah even though I don't like this one for you happy birthday dad")</f>
        <v>Even though I saw Liverpool league champions again after waiting for the year but unfortunately he hadn't seen Argentina world champion again after the year Argentina champions finally hahahah even though I don't like this one for you happy birthday dad</v>
      </c>
    </row>
    <row r="5529" ht="15.75" customHeight="1">
      <c r="A5529" s="1">
        <v>6705.0</v>
      </c>
      <c r="B5529" s="3" t="s">
        <v>15912</v>
      </c>
      <c r="C5529" s="3">
        <v>0.0</v>
      </c>
      <c r="D5529" s="3">
        <v>0.0</v>
      </c>
      <c r="E5529" s="3">
        <v>0.0</v>
      </c>
      <c r="F5529" s="3" t="s">
        <v>15913</v>
      </c>
      <c r="G5529" s="3">
        <v>0.0</v>
      </c>
      <c r="H5529" s="3">
        <v>0.0</v>
      </c>
      <c r="I5529" s="3" t="s">
        <v>13</v>
      </c>
      <c r="J5529" s="3" t="s">
        <v>15914</v>
      </c>
      <c r="K5529" s="3" t="s">
        <v>123</v>
      </c>
      <c r="L5529" s="3" t="str">
        <f>IFERROR(__xludf.DUMMYFUNCTION("GOOGLETRANSLATE(F5529,""id"",""en"")"),"It is up to you, you want to use it or not, do you say that the Argentine state to achieve the championship holds it.")</f>
        <v>It is up to you, you want to use it or not, do you say that the Argentine state to achieve the championship holds it.</v>
      </c>
    </row>
    <row r="5530" ht="15.75" customHeight="1">
      <c r="A5530" s="1">
        <v>6706.0</v>
      </c>
      <c r="B5530" s="3" t="s">
        <v>15915</v>
      </c>
      <c r="C5530" s="3">
        <v>0.0</v>
      </c>
      <c r="D5530" s="3">
        <v>0.0</v>
      </c>
      <c r="E5530" s="3">
        <v>0.0</v>
      </c>
      <c r="F5530" s="3" t="s">
        <v>15916</v>
      </c>
      <c r="G5530" s="3">
        <v>0.0</v>
      </c>
      <c r="H5530" s="3">
        <v>0.0</v>
      </c>
      <c r="I5530" s="3" t="s">
        <v>13</v>
      </c>
      <c r="J5530" s="3" t="s">
        <v>15917</v>
      </c>
      <c r="K5530" s="3" t="s">
        <v>31</v>
      </c>
      <c r="L5530" s="3" t="str">
        <f>IFERROR(__xludf.DUMMYFUNCTION("GOOGLETRANSLATE(F5530,""id"",""en"")"),"indeed the date of Argentina has champions")</f>
        <v>indeed the date of Argentina has champions</v>
      </c>
    </row>
    <row r="5531" ht="15.75" customHeight="1">
      <c r="A5531" s="1">
        <v>6707.0</v>
      </c>
      <c r="B5531" s="3" t="s">
        <v>15918</v>
      </c>
      <c r="C5531" s="3">
        <v>0.0</v>
      </c>
      <c r="D5531" s="3">
        <v>0.0</v>
      </c>
      <c r="E5531" s="3">
        <v>0.0</v>
      </c>
      <c r="F5531" s="3" t="s">
        <v>15919</v>
      </c>
      <c r="G5531" s="3">
        <v>0.0</v>
      </c>
      <c r="H5531" s="3">
        <v>0.0</v>
      </c>
      <c r="I5531" s="3" t="s">
        <v>13</v>
      </c>
      <c r="J5531" s="3" t="s">
        <v>15920</v>
      </c>
      <c r="K5531" s="3" t="s">
        <v>2610</v>
      </c>
      <c r="L5531" s="3" t="str">
        <f>IFERROR(__xludf.DUMMYFUNCTION("GOOGLETRANSLATE(F5531,""id"",""en"")"),"observed the ranks of jealousy hurt seeing Messi and Argentina champion Pilduun Awowowoowwk guessing the initials Kimnaldo Assist Korean Assist Cup Gold Bangu Awowoowowok")</f>
        <v>observed the ranks of jealousy hurt seeing Messi and Argentina champion Pilduun Awowowoowwk guessing the initials Kimnaldo Assist Korean Assist Cup Gold Bangu Awowoowowok</v>
      </c>
    </row>
    <row r="5532" ht="15.75" customHeight="1">
      <c r="A5532" s="1">
        <v>6708.0</v>
      </c>
      <c r="B5532" s="3" t="s">
        <v>15921</v>
      </c>
      <c r="C5532" s="3">
        <v>0.0</v>
      </c>
      <c r="D5532" s="3">
        <v>0.0</v>
      </c>
      <c r="E5532" s="3">
        <v>7.0</v>
      </c>
      <c r="F5532" s="3" t="s">
        <v>15922</v>
      </c>
      <c r="G5532" s="3">
        <v>0.0</v>
      </c>
      <c r="H5532" s="3">
        <v>0.0</v>
      </c>
      <c r="I5532" s="3" t="s">
        <v>13</v>
      </c>
      <c r="J5532" s="3" t="s">
        <v>15923</v>
      </c>
      <c r="K5532" s="3" t="s">
        <v>45</v>
      </c>
      <c r="L5532" s="3" t="str">
        <f>IFERROR(__xludf.DUMMYFUNCTION("GOOGLETRANSLATE(F5532,""id"",""en"")"),"Min, if you are stupid, don't be bought up by yourself, Argentina is the world cup champion, how many brains have to be used to think of humans and animals.")</f>
        <v>Min, if you are stupid, don't be bought up by yourself, Argentina is the world cup champion, how many brains have to be used to think of humans and animals.</v>
      </c>
    </row>
    <row r="5533" ht="15.75" customHeight="1">
      <c r="A5533" s="1">
        <v>6709.0</v>
      </c>
      <c r="B5533" s="3" t="s">
        <v>15924</v>
      </c>
      <c r="C5533" s="3">
        <v>3.0</v>
      </c>
      <c r="D5533" s="3">
        <v>3.0</v>
      </c>
      <c r="E5533" s="3">
        <v>19.0</v>
      </c>
      <c r="F5533" s="3" t="s">
        <v>15925</v>
      </c>
      <c r="G5533" s="3">
        <v>0.0</v>
      </c>
      <c r="H5533" s="3">
        <v>0.0</v>
      </c>
      <c r="I5533" s="3" t="s">
        <v>13</v>
      </c>
      <c r="J5533" s="3" t="s">
        <v>15926</v>
      </c>
      <c r="K5533" s="3" t="s">
        <v>50</v>
      </c>
      <c r="L5533" s="3" t="str">
        <f>IFERROR(__xludf.DUMMYFUNCTION("GOOGLETRANSLATE(F5533,""id"",""en"")"),"Argentina World Champion Napoli Scudetto Maradona Happy Heaven Good morning Edmundo")</f>
        <v>Argentina World Champion Napoli Scudetto Maradona Happy Heaven Good morning Edmundo</v>
      </c>
    </row>
    <row r="5534" ht="15.75" customHeight="1">
      <c r="A5534" s="1">
        <v>6710.0</v>
      </c>
      <c r="B5534" s="3" t="s">
        <v>15927</v>
      </c>
      <c r="C5534" s="3">
        <v>1.0</v>
      </c>
      <c r="D5534" s="3">
        <v>0.0</v>
      </c>
      <c r="E5534" s="3">
        <v>0.0</v>
      </c>
      <c r="F5534" s="3" t="s">
        <v>15928</v>
      </c>
      <c r="G5534" s="3">
        <v>0.0</v>
      </c>
      <c r="H5534" s="3">
        <v>0.0</v>
      </c>
      <c r="I5534" s="3" t="s">
        <v>13</v>
      </c>
      <c r="J5534" s="3" t="s">
        <v>15929</v>
      </c>
      <c r="K5534" s="3" t="s">
        <v>574</v>
      </c>
      <c r="L5534" s="3" t="str">
        <f>IFERROR(__xludf.DUMMYFUNCTION("GOOGLETRANSLATE(F5534,""id"",""en"")"),"Albiceleste is actually not because of the title of his champion but winning convincing him against Italy came again the World Cup champion was clearly visible from the existence of the squad then the Albiceleste account came in the language")</f>
        <v>Albiceleste is actually not because of the title of his champion but winning convincing him against Italy came again the World Cup champion was clearly visible from the existence of the squad then the Albiceleste account came in the language</v>
      </c>
    </row>
    <row r="5535" ht="15.75" customHeight="1">
      <c r="A5535" s="1">
        <v>6711.0</v>
      </c>
      <c r="B5535" s="3" t="s">
        <v>15930</v>
      </c>
      <c r="C5535" s="3">
        <v>0.0</v>
      </c>
      <c r="D5535" s="3">
        <v>0.0</v>
      </c>
      <c r="E5535" s="3">
        <v>0.0</v>
      </c>
      <c r="F5535" s="3" t="s">
        <v>15931</v>
      </c>
      <c r="G5535" s="3">
        <v>0.0</v>
      </c>
      <c r="H5535" s="3">
        <v>0.0</v>
      </c>
      <c r="I5535" s="3" t="s">
        <v>13</v>
      </c>
      <c r="J5535" s="3" t="s">
        <v>15932</v>
      </c>
      <c r="K5535" s="3" t="s">
        <v>8160</v>
      </c>
      <c r="L5535" s="3" t="str">
        <f>IFERROR(__xludf.DUMMYFUNCTION("GOOGLETRANSLATE(F5535,""id"",""en"")"),"disturbing from where Bacapres Koh likes to claim the crowd of outside the intention of the King Community and the Argentine World Champion Party if Indonesia leads by org org ngibul tnp ashamed of showing")</f>
        <v>disturbing from where Bacapres Koh likes to claim the crowd of outside the intention of the King Community and the Argentine World Champion Party if Indonesia leads by org org ngibul tnp ashamed of showing</v>
      </c>
    </row>
    <row r="5536" ht="15.75" customHeight="1">
      <c r="A5536" s="1">
        <v>6712.0</v>
      </c>
      <c r="B5536" s="3" t="s">
        <v>15933</v>
      </c>
      <c r="C5536" s="3">
        <v>0.0</v>
      </c>
      <c r="D5536" s="3">
        <v>0.0</v>
      </c>
      <c r="E5536" s="3">
        <v>0.0</v>
      </c>
      <c r="F5536" s="3" t="s">
        <v>15934</v>
      </c>
      <c r="G5536" s="3">
        <v>0.0</v>
      </c>
      <c r="H5536" s="3">
        <v>0.0</v>
      </c>
      <c r="I5536" s="3" t="s">
        <v>13</v>
      </c>
      <c r="J5536" s="3" t="s">
        <v>15935</v>
      </c>
      <c r="K5536" s="3" t="s">
        <v>41</v>
      </c>
      <c r="L5536" s="3" t="str">
        <f>IFERROR(__xludf.DUMMYFUNCTION("GOOGLETRANSLATE(F5536,""id"",""en"")"),"The most popular week Argentina champions until the Khofifah office was searched by the KPK")</f>
        <v>The most popular week Argentina champions until the Khofifah office was searched by the KPK</v>
      </c>
    </row>
    <row r="5537" ht="15.75" customHeight="1">
      <c r="A5537" s="1">
        <v>6713.0</v>
      </c>
      <c r="B5537" s="3" t="s">
        <v>15936</v>
      </c>
      <c r="C5537" s="3">
        <v>0.0</v>
      </c>
      <c r="D5537" s="3">
        <v>0.0</v>
      </c>
      <c r="E5537" s="3">
        <v>1.0</v>
      </c>
      <c r="F5537" s="3" t="s">
        <v>15937</v>
      </c>
      <c r="G5537" s="3">
        <v>1.0</v>
      </c>
      <c r="H5537" s="3">
        <v>0.0</v>
      </c>
      <c r="I5537" s="3" t="s">
        <v>13</v>
      </c>
      <c r="J5537" s="3" t="s">
        <v>15938</v>
      </c>
      <c r="K5537" s="3" t="s">
        <v>510</v>
      </c>
      <c r="L5537" s="3" t="str">
        <f>IFERROR(__xludf.DUMMYFUNCTION("GOOGLETRANSLATE(F5537,""id"",""en"")"),"Min Cok Bego on December Argentina has not entered the final let alone the brain champion is used, don't chew")</f>
        <v>Min Cok Bego on December Argentina has not entered the final let alone the brain champion is used, don't chew</v>
      </c>
    </row>
    <row r="5538" ht="15.75" customHeight="1">
      <c r="A5538" s="1">
        <v>6714.0</v>
      </c>
      <c r="B5538" s="3" t="s">
        <v>15939</v>
      </c>
      <c r="C5538" s="3">
        <v>0.0</v>
      </c>
      <c r="D5538" s="3">
        <v>1.0</v>
      </c>
      <c r="E5538" s="3">
        <v>7.0</v>
      </c>
      <c r="F5538" s="3" t="s">
        <v>15940</v>
      </c>
      <c r="G5538" s="3">
        <v>0.0</v>
      </c>
      <c r="H5538" s="3">
        <v>0.0</v>
      </c>
      <c r="I5538" s="3" t="s">
        <v>13</v>
      </c>
      <c r="J5538" s="3" t="s">
        <v>15941</v>
      </c>
      <c r="K5538" s="3" t="s">
        <v>19</v>
      </c>
      <c r="L5538" s="3" t="str">
        <f>IFERROR(__xludf.DUMMYFUNCTION("GOOGLETRANSLATE(F5538,""id"",""en"")"),"Min Des Argentina has champions and still looks a little old picture of learning to learn to edit it")</f>
        <v>Min Des Argentina has champions and still looks a little old picture of learning to learn to edit it</v>
      </c>
    </row>
    <row r="5539" ht="15.75" customHeight="1">
      <c r="A5539" s="1">
        <v>6715.0</v>
      </c>
      <c r="B5539" s="3" t="s">
        <v>15942</v>
      </c>
      <c r="C5539" s="3">
        <v>0.0</v>
      </c>
      <c r="D5539" s="3">
        <v>0.0</v>
      </c>
      <c r="E5539" s="3">
        <v>0.0</v>
      </c>
      <c r="F5539" s="3" t="s">
        <v>15943</v>
      </c>
      <c r="G5539" s="3">
        <v>0.0</v>
      </c>
      <c r="H5539" s="3">
        <v>0.0</v>
      </c>
      <c r="I5539" s="3" t="s">
        <v>13</v>
      </c>
      <c r="J5539" s="3" t="s">
        <v>15944</v>
      </c>
      <c r="K5539" s="3" t="s">
        <v>1045</v>
      </c>
      <c r="L5539" s="3" t="str">
        <f>IFERROR(__xludf.DUMMYFUNCTION("GOOGLETRANSLATE(F5539,""id"",""en"")"),"Min, Pak Dhe's supporters are really the average hoax pak Anies ngtweet, DES Argentina, champions, Pilduun, if you want to cheat smart")</f>
        <v>Min, Pak Dhe's supporters are really the average hoax pak Anies ngtweet, DES Argentina, champions, Pilduun, if you want to cheat smart</v>
      </c>
    </row>
    <row r="5540" ht="15.75" customHeight="1">
      <c r="A5540" s="1">
        <v>6716.0</v>
      </c>
      <c r="B5540" s="3" t="s">
        <v>15945</v>
      </c>
      <c r="C5540" s="3">
        <v>0.0</v>
      </c>
      <c r="D5540" s="3">
        <v>0.0</v>
      </c>
      <c r="E5540" s="3">
        <v>0.0</v>
      </c>
      <c r="F5540" s="3" t="s">
        <v>15946</v>
      </c>
      <c r="G5540" s="3">
        <v>0.0</v>
      </c>
      <c r="H5540" s="3">
        <v>0.0</v>
      </c>
      <c r="I5540" s="3" t="s">
        <v>13</v>
      </c>
      <c r="J5540" s="3" t="s">
        <v>15947</v>
      </c>
      <c r="K5540" s="3" t="s">
        <v>657</v>
      </c>
      <c r="L5540" s="3" t="str">
        <f>IFERROR(__xludf.DUMMYFUNCTION("GOOGLETRANSLATE(F5540,""id"",""en"")"),"The reason Lionel Messi will win the Ballon Dor trophy the success of the Argentine World Cup Champion")</f>
        <v>The reason Lionel Messi will win the Ballon Dor trophy the success of the Argentine World Cup Champion</v>
      </c>
    </row>
    <row r="5541" ht="15.75" customHeight="1">
      <c r="A5541" s="1">
        <v>6717.0</v>
      </c>
      <c r="B5541" s="3" t="s">
        <v>15948</v>
      </c>
      <c r="C5541" s="3">
        <v>1.0</v>
      </c>
      <c r="D5541" s="3">
        <v>0.0</v>
      </c>
      <c r="E5541" s="3">
        <v>0.0</v>
      </c>
      <c r="F5541" s="3" t="s">
        <v>15949</v>
      </c>
      <c r="G5541" s="3">
        <v>0.0</v>
      </c>
      <c r="H5541" s="3">
        <v>0.0</v>
      </c>
      <c r="I5541" s="3" t="s">
        <v>13</v>
      </c>
      <c r="J5541" s="3" t="s">
        <v>15950</v>
      </c>
      <c r="K5541" s="3" t="s">
        <v>54</v>
      </c>
      <c r="L5541" s="3" t="str">
        <f>IFERROR(__xludf.DUMMYFUNCTION("GOOGLETRANSLATE(F5541,""id"",""en"")"),"HRP SALT BAE Chairperson of PSSA Argentina")</f>
        <v>HRP SALT BAE Chairperson of PSSA Argentina</v>
      </c>
    </row>
    <row r="5542" ht="15.75" customHeight="1">
      <c r="A5542" s="1">
        <v>6718.0</v>
      </c>
      <c r="B5542" s="3" t="s">
        <v>15951</v>
      </c>
      <c r="C5542" s="3">
        <v>0.0</v>
      </c>
      <c r="D5542" s="3">
        <v>0.0</v>
      </c>
      <c r="E5542" s="3">
        <v>0.0</v>
      </c>
      <c r="F5542" s="3" t="s">
        <v>15952</v>
      </c>
      <c r="G5542" s="3">
        <v>0.0</v>
      </c>
      <c r="H5542" s="3">
        <v>0.0</v>
      </c>
      <c r="I5542" s="3" t="s">
        <v>13</v>
      </c>
      <c r="J5542" s="3" t="s">
        <v>15953</v>
      </c>
      <c r="K5542" s="3" t="s">
        <v>50</v>
      </c>
      <c r="L5542" s="3" t="str">
        <f>IFERROR(__xludf.DUMMYFUNCTION("GOOGLETRANSLATE(F5542,""id"",""en"")"),"Min, December Argentina is not yet a champion, bro, it's still a big one if you make a tweet so it's not ashamed")</f>
        <v>Min, December Argentina is not yet a champion, bro, it's still a big one if you make a tweet so it's not ashamed</v>
      </c>
    </row>
    <row r="5543" ht="15.75" customHeight="1">
      <c r="A5543" s="1">
        <v>6719.0</v>
      </c>
      <c r="B5543" s="3" t="s">
        <v>15954</v>
      </c>
      <c r="C5543" s="3">
        <v>0.0</v>
      </c>
      <c r="D5543" s="3">
        <v>0.0</v>
      </c>
      <c r="E5543" s="3">
        <v>1.0</v>
      </c>
      <c r="F5543" s="3" t="s">
        <v>15955</v>
      </c>
      <c r="G5543" s="3">
        <v>0.0</v>
      </c>
      <c r="H5543" s="3">
        <v>0.0</v>
      </c>
      <c r="I5543" s="3" t="s">
        <v>13</v>
      </c>
      <c r="J5543" s="3" t="s">
        <v>15956</v>
      </c>
      <c r="K5543" s="3" t="s">
        <v>19</v>
      </c>
      <c r="L5543" s="3" t="str">
        <f>IFERROR(__xludf.DUMMYFUNCTION("GOOGLETRANSLATE(F5543,""id"",""en"")"),"World Cup Champion Allegri hopes that Angel Maria will transmit the spirit of the Argentine national team Juventus")</f>
        <v>World Cup Champion Allegri hopes that Angel Maria will transmit the spirit of the Argentine national team Juventus</v>
      </c>
    </row>
    <row r="5544" ht="15.75" customHeight="1">
      <c r="A5544" s="1">
        <v>6720.0</v>
      </c>
      <c r="B5544" s="3" t="s">
        <v>15957</v>
      </c>
      <c r="C5544" s="3">
        <v>0.0</v>
      </c>
      <c r="D5544" s="3">
        <v>0.0</v>
      </c>
      <c r="E5544" s="3">
        <v>0.0</v>
      </c>
      <c r="F5544" s="3" t="s">
        <v>15958</v>
      </c>
      <c r="G5544" s="3">
        <v>0.0</v>
      </c>
      <c r="H5544" s="3">
        <v>0.0</v>
      </c>
      <c r="I5544" s="3" t="s">
        <v>13</v>
      </c>
      <c r="J5544" s="3" t="s">
        <v>15959</v>
      </c>
      <c r="K5544" s="3" t="s">
        <v>644</v>
      </c>
      <c r="L5544" s="3" t="str">
        <f>IFERROR(__xludf.DUMMYFUNCTION("GOOGLETRANSLATE(F5544,""id"",""en"")"),"Wingi Pas Argentina Champion")</f>
        <v>Wingi Pas Argentina Champion</v>
      </c>
    </row>
    <row r="5545" ht="15.75" customHeight="1">
      <c r="A5545" s="1">
        <v>6721.0</v>
      </c>
      <c r="B5545" s="3" t="s">
        <v>15960</v>
      </c>
      <c r="C5545" s="3">
        <v>0.0</v>
      </c>
      <c r="D5545" s="3">
        <v>0.0</v>
      </c>
      <c r="E5545" s="3">
        <v>0.0</v>
      </c>
      <c r="F5545" s="3" t="s">
        <v>15961</v>
      </c>
      <c r="G5545" s="3">
        <v>0.0</v>
      </c>
      <c r="H5545" s="3">
        <v>0.0</v>
      </c>
      <c r="I5545" s="3" t="s">
        <v>13</v>
      </c>
      <c r="J5545" s="3" t="s">
        <v>15962</v>
      </c>
      <c r="K5545" s="3" t="s">
        <v>682</v>
      </c>
      <c r="L5545" s="3" t="str">
        <f>IFERROR(__xludf.DUMMYFUNCTION("GOOGLETRANSLATE(F5545,""id"",""en"")"),"If the Argentine World Cup is champion, all the people hold Argentina, so the sultan is rich, surely you know who the champion still has there even a lot of all of the enemies")</f>
        <v>If the Argentine World Cup is champion, all the people hold Argentina, so the sultan is rich, surely you know who the champion still has there even a lot of all of the enemies</v>
      </c>
    </row>
    <row r="5546" ht="15.75" customHeight="1">
      <c r="A5546" s="1">
        <v>6722.0</v>
      </c>
      <c r="B5546" s="3" t="s">
        <v>15963</v>
      </c>
      <c r="C5546" s="3">
        <v>0.0</v>
      </c>
      <c r="D5546" s="3">
        <v>0.0</v>
      </c>
      <c r="E5546" s="3">
        <v>0.0</v>
      </c>
      <c r="F5546" s="3" t="s">
        <v>15964</v>
      </c>
      <c r="G5546" s="3">
        <v>0.4</v>
      </c>
      <c r="H5546" s="3">
        <v>-0.4</v>
      </c>
      <c r="I5546" s="3" t="s">
        <v>179</v>
      </c>
      <c r="J5546" s="3" t="s">
        <v>15965</v>
      </c>
      <c r="K5546" s="3" t="s">
        <v>903</v>
      </c>
      <c r="L5546" s="3" t="str">
        <f>IFERROR(__xludf.DUMMYFUNCTION("GOOGLETRANSLATE(F5546,""id"",""en"")"),"wkwk really I already know that the champion will be Argentina in the beginning of the pildun starting even the game FIFA Mobile champion makes the illustration of the Argentina champion and it turns out the reality of the dealer won big because it was pu"&amp;"t on ARGEN wkwk")</f>
        <v>wkwk really I already know that the champion will be Argentina in the beginning of the pildun starting even the game FIFA Mobile champion makes the illustration of the Argentina champion and it turns out the reality of the dealer won big because it was put on ARGEN wkwk</v>
      </c>
    </row>
    <row r="5547" ht="15.75" customHeight="1">
      <c r="A5547" s="1">
        <v>6723.0</v>
      </c>
      <c r="B5547" s="3" t="s">
        <v>15966</v>
      </c>
      <c r="C5547" s="3">
        <v>0.0</v>
      </c>
      <c r="D5547" s="3">
        <v>0.0</v>
      </c>
      <c r="E5547" s="3">
        <v>1.0</v>
      </c>
      <c r="F5547" s="3" t="s">
        <v>15967</v>
      </c>
      <c r="G5547" s="3">
        <v>0.0</v>
      </c>
      <c r="H5547" s="3">
        <v>0.0</v>
      </c>
      <c r="I5547" s="3" t="s">
        <v>13</v>
      </c>
      <c r="J5547" s="3" t="s">
        <v>15968</v>
      </c>
      <c r="K5547" s="3" t="s">
        <v>31</v>
      </c>
      <c r="L5547" s="3" t="str">
        <f>IFERROR(__xludf.DUMMYFUNCTION("GOOGLETRANSLATE(F5547,""id"",""en"")"),"December Argentina is not yet a champion Bong Cebong")</f>
        <v>December Argentina is not yet a champion Bong Cebong</v>
      </c>
    </row>
    <row r="5548" ht="15.75" customHeight="1">
      <c r="A5548" s="1">
        <v>6724.0</v>
      </c>
      <c r="B5548" s="3" t="s">
        <v>15969</v>
      </c>
      <c r="C5548" s="3">
        <v>0.0</v>
      </c>
      <c r="D5548" s="3">
        <v>0.0</v>
      </c>
      <c r="E5548" s="3">
        <v>0.0</v>
      </c>
      <c r="F5548" s="3" t="s">
        <v>15970</v>
      </c>
      <c r="G5548" s="3">
        <v>0.0</v>
      </c>
      <c r="H5548" s="3">
        <v>0.0</v>
      </c>
      <c r="I5548" s="3" t="s">
        <v>13</v>
      </c>
      <c r="J5548" s="3" t="s">
        <v>15971</v>
      </c>
      <c r="K5548" s="3" t="s">
        <v>484</v>
      </c>
      <c r="L5548" s="3" t="str">
        <f>IFERROR(__xludf.DUMMYFUNCTION("GOOGLETRANSLATE(F5548,""id"",""en"")"),"The champion is not Argentina Bangladesh they are more lively Argentinians themselves or indeed Bangladesh Bisaya only recognizes what other countries")</f>
        <v>The champion is not Argentina Bangladesh they are more lively Argentinians themselves or indeed Bangladesh Bisaya only recognizes what other countries</v>
      </c>
    </row>
    <row r="5549" ht="15.75" customHeight="1">
      <c r="A5549" s="1">
        <v>6725.0</v>
      </c>
      <c r="B5549" s="3" t="s">
        <v>15972</v>
      </c>
      <c r="C5549" s="3">
        <v>0.0</v>
      </c>
      <c r="D5549" s="3">
        <v>0.0</v>
      </c>
      <c r="E5549" s="3">
        <v>0.0</v>
      </c>
      <c r="F5549" s="3" t="s">
        <v>15973</v>
      </c>
      <c r="G5549" s="3">
        <v>0.0</v>
      </c>
      <c r="H5549" s="3">
        <v>0.0</v>
      </c>
      <c r="I5549" s="3" t="s">
        <v>13</v>
      </c>
      <c r="J5549" s="3" t="s">
        <v>15974</v>
      </c>
      <c r="K5549" s="3" t="s">
        <v>41</v>
      </c>
      <c r="L5549" s="3" t="str">
        <f>IFERROR(__xludf.DUMMYFUNCTION("GOOGLETRANSLATE(F5549,""id"",""en"")"),"Argentina Champion World Cup Angel Maria Captures her body trophy")</f>
        <v>Argentina Champion World Cup Angel Maria Captures her body trophy</v>
      </c>
    </row>
    <row r="5550" ht="15.75" customHeight="1">
      <c r="A5550" s="1">
        <v>6726.0</v>
      </c>
      <c r="B5550" s="3" t="s">
        <v>15975</v>
      </c>
      <c r="C5550" s="3">
        <v>0.0</v>
      </c>
      <c r="D5550" s="3">
        <v>0.0</v>
      </c>
      <c r="E5550" s="3">
        <v>0.0</v>
      </c>
      <c r="F5550" s="3" t="s">
        <v>15973</v>
      </c>
      <c r="G5550" s="3">
        <v>0.0</v>
      </c>
      <c r="H5550" s="3">
        <v>0.0</v>
      </c>
      <c r="I5550" s="3" t="s">
        <v>13</v>
      </c>
      <c r="J5550" s="3" t="s">
        <v>15974</v>
      </c>
      <c r="K5550" s="3" t="s">
        <v>41</v>
      </c>
      <c r="L5550" s="3" t="str">
        <f>IFERROR(__xludf.DUMMYFUNCTION("GOOGLETRANSLATE(F5550,""id"",""en"")"),"Argentina Champion World Cup Angel Maria Captures her body trophy")</f>
        <v>Argentina Champion World Cup Angel Maria Captures her body trophy</v>
      </c>
    </row>
    <row r="5551" ht="15.75" customHeight="1">
      <c r="A5551" s="1">
        <v>6727.0</v>
      </c>
      <c r="B5551" s="3" t="s">
        <v>15976</v>
      </c>
      <c r="C5551" s="3">
        <v>0.0</v>
      </c>
      <c r="D5551" s="3">
        <v>0.0</v>
      </c>
      <c r="E5551" s="3">
        <v>0.0</v>
      </c>
      <c r="F5551" s="3" t="s">
        <v>15977</v>
      </c>
      <c r="G5551" s="3">
        <v>0.0</v>
      </c>
      <c r="H5551" s="3">
        <v>0.0</v>
      </c>
      <c r="I5551" s="3" t="s">
        <v>13</v>
      </c>
      <c r="J5551" s="3" t="s">
        <v>15978</v>
      </c>
      <c r="K5551" s="3" t="s">
        <v>82</v>
      </c>
      <c r="L5551" s="3" t="str">
        <f>IFERROR(__xludf.DUMMYFUNCTION("GOOGLETRANSLATE(F5551,""id"",""en"")"),"BGSD Sipaling Blood Blood Brings Argentina Champion")</f>
        <v>BGSD Sipaling Blood Blood Brings Argentina Champion</v>
      </c>
    </row>
    <row r="5552" ht="15.75" customHeight="1">
      <c r="A5552" s="1">
        <v>6728.0</v>
      </c>
      <c r="B5552" s="3" t="s">
        <v>15979</v>
      </c>
      <c r="C5552" s="3">
        <v>0.0</v>
      </c>
      <c r="D5552" s="3">
        <v>0.0</v>
      </c>
      <c r="E5552" s="3">
        <v>0.0</v>
      </c>
      <c r="F5552" s="3" t="s">
        <v>15980</v>
      </c>
      <c r="G5552" s="3">
        <v>0.0</v>
      </c>
      <c r="H5552" s="3">
        <v>0.0</v>
      </c>
      <c r="I5552" s="3" t="s">
        <v>13</v>
      </c>
      <c r="J5552" s="3" t="s">
        <v>15981</v>
      </c>
      <c r="K5552" s="3" t="s">
        <v>27</v>
      </c>
      <c r="L5552" s="3" t="str">
        <f>IFERROR(__xludf.DUMMYFUNCTION("GOOGLETRANSLATE(F5552,""id"",""en"")"),"It's better to just sleep, mas and let the championship tahkhta be in the hands of Argentina because all the comments are weighty even though the effort is weighted by the prcuma.")</f>
        <v>It's better to just sleep, mas and let the championship tahkhta be in the hands of Argentina because all the comments are weighty even though the effort is weighted by the prcuma.</v>
      </c>
    </row>
    <row r="5553" ht="15.75" customHeight="1">
      <c r="A5553" s="1">
        <v>6729.0</v>
      </c>
      <c r="B5553" s="3" t="s">
        <v>15982</v>
      </c>
      <c r="C5553" s="3">
        <v>0.0</v>
      </c>
      <c r="D5553" s="3">
        <v>0.0</v>
      </c>
      <c r="E5553" s="3">
        <v>0.0</v>
      </c>
      <c r="F5553" s="3" t="s">
        <v>15983</v>
      </c>
      <c r="G5553" s="3">
        <v>0.0</v>
      </c>
      <c r="H5553" s="3">
        <v>0.0</v>
      </c>
      <c r="I5553" s="3" t="s">
        <v>13</v>
      </c>
      <c r="J5553" s="3" t="s">
        <v>15984</v>
      </c>
      <c r="K5553" s="3" t="s">
        <v>31</v>
      </c>
      <c r="L5553" s="3" t="str">
        <f>IFERROR(__xludf.DUMMYFUNCTION("GOOGLETRANSLATE(F5553,""id"",""en"")"),"wkwk affect the Argentina drill but the championship")</f>
        <v>wkwk affect the Argentina drill but the championship</v>
      </c>
    </row>
    <row r="5554" ht="15.75" customHeight="1">
      <c r="A5554" s="1">
        <v>6730.0</v>
      </c>
      <c r="B5554" s="3" t="s">
        <v>15985</v>
      </c>
      <c r="C5554" s="3">
        <v>0.0</v>
      </c>
      <c r="D5554" s="3">
        <v>0.0</v>
      </c>
      <c r="E5554" s="3">
        <v>2.0</v>
      </c>
      <c r="F5554" s="3" t="s">
        <v>15986</v>
      </c>
      <c r="G5554" s="3">
        <v>0.0</v>
      </c>
      <c r="H5554" s="3">
        <v>0.0</v>
      </c>
      <c r="I5554" s="3" t="s">
        <v>13</v>
      </c>
      <c r="J5554" s="3" t="s">
        <v>15987</v>
      </c>
      <c r="K5554" s="3" t="s">
        <v>71</v>
      </c>
      <c r="L5554" s="3" t="str">
        <f>IFERROR(__xludf.DUMMYFUNCTION("GOOGLETRANSLATE(F5554,""id"",""en"")"),"why is it crying cokkk the match is still left in the minute and Argentina still has a chance to change the player so the chance is the champion is still open")</f>
        <v>why is it crying cokkk the match is still left in the minute and Argentina still has a chance to change the player so the chance is the champion is still open</v>
      </c>
    </row>
    <row r="5555" ht="15.75" customHeight="1">
      <c r="A5555" s="1">
        <v>6731.0</v>
      </c>
      <c r="B5555" s="3" t="s">
        <v>15988</v>
      </c>
      <c r="C5555" s="3">
        <v>0.0</v>
      </c>
      <c r="D5555" s="3">
        <v>0.0</v>
      </c>
      <c r="E5555" s="3">
        <v>0.0</v>
      </c>
      <c r="F5555" s="3" t="s">
        <v>15989</v>
      </c>
      <c r="G5555" s="3">
        <v>0.0</v>
      </c>
      <c r="H5555" s="3">
        <v>0.0</v>
      </c>
      <c r="I5555" s="3" t="s">
        <v>13</v>
      </c>
      <c r="J5555" s="3" t="s">
        <v>15990</v>
      </c>
      <c r="K5555" s="3" t="s">
        <v>657</v>
      </c>
      <c r="L5555" s="3" t="str">
        <f>IFERROR(__xludf.DUMMYFUNCTION("GOOGLETRANSLATE(F5555,""id"",""en"")"),"Celebrating Argentina Champion Pildun Plus Kras said SLMT Christmas plus the main birthday of the Lord Jesus")</f>
        <v>Celebrating Argentina Champion Pildun Plus Kras said SLMT Christmas plus the main birthday of the Lord Jesus</v>
      </c>
    </row>
    <row r="5556" ht="15.75" customHeight="1">
      <c r="A5556" s="1">
        <v>6732.0</v>
      </c>
      <c r="B5556" s="3" t="s">
        <v>15991</v>
      </c>
      <c r="C5556" s="3">
        <v>1.0</v>
      </c>
      <c r="D5556" s="3">
        <v>0.0</v>
      </c>
      <c r="E5556" s="3">
        <v>0.0</v>
      </c>
      <c r="F5556" s="3" t="s">
        <v>15992</v>
      </c>
      <c r="G5556" s="3">
        <v>0.0</v>
      </c>
      <c r="H5556" s="3">
        <v>0.0</v>
      </c>
      <c r="I5556" s="3" t="s">
        <v>13</v>
      </c>
      <c r="J5556" s="3" t="s">
        <v>15993</v>
      </c>
      <c r="K5556" s="3" t="s">
        <v>3612</v>
      </c>
      <c r="L5556" s="3" t="str">
        <f>IFERROR(__xludf.DUMMYFUNCTION("GOOGLETRANSLATE(F5556,""id"",""en"")"),"Argentina Thousands of babies named Messi before Argentina champions pildun for the third time CMA thousands of Babies Messi is not dying")</f>
        <v>Argentina Thousands of babies named Messi before Argentina champions pildun for the third time CMA thousands of Babies Messi is not dying</v>
      </c>
    </row>
    <row r="5557" ht="15.75" customHeight="1">
      <c r="A5557" s="1">
        <v>6733.0</v>
      </c>
      <c r="B5557" s="3" t="s">
        <v>15994</v>
      </c>
      <c r="C5557" s="3">
        <v>0.0</v>
      </c>
      <c r="D5557" s="3">
        <v>0.0</v>
      </c>
      <c r="E5557" s="3">
        <v>0.0</v>
      </c>
      <c r="F5557" s="3" t="s">
        <v>15995</v>
      </c>
      <c r="G5557" s="3">
        <v>0.0</v>
      </c>
      <c r="H5557" s="3">
        <v>0.0</v>
      </c>
      <c r="I5557" s="3" t="s">
        <v>13</v>
      </c>
      <c r="J5557" s="3" t="s">
        <v>15996</v>
      </c>
      <c r="K5557" s="3" t="s">
        <v>2610</v>
      </c>
      <c r="L5557" s="3" t="str">
        <f>IFERROR(__xludf.DUMMYFUNCTION("GOOGLETRANSLATE(F5557,""id"",""en"")"),"Udhlah, O French supporters, just accept the fact that Argentina Kampium Copa America will defeat the Italian champion, Euro and now came out the World Cupa Sirik said the boss")</f>
        <v>Udhlah, O French supporters, just accept the fact that Argentina Kampium Copa America will defeat the Italian champion, Euro and now came out the World Cupa Sirik said the boss</v>
      </c>
    </row>
    <row r="5558" ht="15.75" customHeight="1">
      <c r="A5558" s="1">
        <v>6734.0</v>
      </c>
      <c r="B5558" s="3" t="s">
        <v>15997</v>
      </c>
      <c r="C5558" s="3">
        <v>0.0</v>
      </c>
      <c r="D5558" s="3">
        <v>0.0</v>
      </c>
      <c r="E5558" s="3">
        <v>0.0</v>
      </c>
      <c r="F5558" s="3" t="s">
        <v>15998</v>
      </c>
      <c r="G5558" s="3">
        <v>0.0</v>
      </c>
      <c r="H5558" s="3">
        <v>0.0</v>
      </c>
      <c r="I5558" s="3" t="s">
        <v>13</v>
      </c>
      <c r="J5558" s="3" t="s">
        <v>15999</v>
      </c>
      <c r="K5558" s="3" t="s">
        <v>31</v>
      </c>
      <c r="L5558" s="3" t="str">
        <f>IFERROR(__xludf.DUMMYFUNCTION("GOOGLETRANSLATE(F5558,""id"",""en"")"),"Rip Onot Argentina Wes Champion")</f>
        <v>Rip Onot Argentina Wes Champion</v>
      </c>
    </row>
    <row r="5559" ht="15.75" customHeight="1">
      <c r="A5559" s="1">
        <v>6735.0</v>
      </c>
      <c r="B5559" s="3" t="s">
        <v>16000</v>
      </c>
      <c r="C5559" s="3">
        <v>0.0</v>
      </c>
      <c r="D5559" s="3">
        <v>0.0</v>
      </c>
      <c r="E5559" s="3">
        <v>0.0</v>
      </c>
      <c r="F5559" s="3" t="s">
        <v>16001</v>
      </c>
      <c r="G5559" s="3">
        <v>0.0</v>
      </c>
      <c r="H5559" s="3">
        <v>0.0</v>
      </c>
      <c r="I5559" s="3" t="s">
        <v>13</v>
      </c>
      <c r="J5559" s="3" t="s">
        <v>16002</v>
      </c>
      <c r="K5559" s="3" t="s">
        <v>127</v>
      </c>
      <c r="L5559" s="3" t="str">
        <f>IFERROR(__xludf.DUMMYFUNCTION("GOOGLETRANSLATE(F5559,""id"",""en"")"),"The stupid has been a long time, I just think it seems when Podkes is with Morgan and is more clearly visible when Argentina is champion")</f>
        <v>The stupid has been a long time, I just think it seems when Podkes is with Morgan and is more clearly visible when Argentina is champion</v>
      </c>
    </row>
    <row r="5560" ht="15.75" customHeight="1">
      <c r="A5560" s="1">
        <v>6736.0</v>
      </c>
      <c r="B5560" s="3" t="s">
        <v>16003</v>
      </c>
      <c r="C5560" s="3">
        <v>2.0</v>
      </c>
      <c r="D5560" s="3">
        <v>0.0</v>
      </c>
      <c r="E5560" s="3">
        <v>0.0</v>
      </c>
      <c r="F5560" s="3" t="s">
        <v>16004</v>
      </c>
      <c r="G5560" s="3">
        <v>0.0</v>
      </c>
      <c r="H5560" s="3">
        <v>0.0</v>
      </c>
      <c r="I5560" s="3" t="s">
        <v>13</v>
      </c>
      <c r="J5560" s="3" t="s">
        <v>16005</v>
      </c>
      <c r="K5560" s="3" t="s">
        <v>192</v>
      </c>
      <c r="L5560" s="3" t="str">
        <f>IFERROR(__xludf.DUMMYFUNCTION("GOOGLETRANSLATE(F5560,""id"",""en"")"),"WKT Indonesia appeared Saudi and even his national team was not qualified but MLH had performed more than Indo, it means that even though HBS won from Argentina he lost to Mexico ever defeated the world championship seka")</f>
        <v>WKT Indonesia appeared Saudi and even his national team was not qualified but MLH had performed more than Indo, it means that even though HBS won from Argentina he lost to Mexico ever defeated the world championship seka</v>
      </c>
    </row>
    <row r="5561" ht="15.75" customHeight="1">
      <c r="A5561" s="1">
        <v>6737.0</v>
      </c>
      <c r="B5561" s="3" t="s">
        <v>16006</v>
      </c>
      <c r="C5561" s="3">
        <v>0.0</v>
      </c>
      <c r="D5561" s="3">
        <v>0.0</v>
      </c>
      <c r="E5561" s="3">
        <v>5.0</v>
      </c>
      <c r="F5561" s="3" t="s">
        <v>16007</v>
      </c>
      <c r="G5561" s="3">
        <v>0.0</v>
      </c>
      <c r="H5561" s="3">
        <v>0.0</v>
      </c>
      <c r="I5561" s="3" t="s">
        <v>13</v>
      </c>
      <c r="J5561" s="3" t="s">
        <v>16008</v>
      </c>
      <c r="K5561" s="3" t="s">
        <v>1912</v>
      </c>
      <c r="L5561" s="3" t="str">
        <f>IFERROR(__xludf.DUMMYFUNCTION("GOOGLETRANSLATE(F5561,""id"",""en"")"),"The Jember Ball Party has finished the penalty shootout between Argentina and France gave birth to a new world champion during the full day of the Jember square.")</f>
        <v>The Jember Ball Party has finished the penalty shootout between Argentina and France gave birth to a new world champion during the full day of the Jember square.</v>
      </c>
    </row>
    <row r="5562" ht="15.75" customHeight="1">
      <c r="A5562" s="1">
        <v>6738.0</v>
      </c>
      <c r="B5562" s="3" t="s">
        <v>16009</v>
      </c>
      <c r="C5562" s="3">
        <v>1.0</v>
      </c>
      <c r="D5562" s="3">
        <v>0.0</v>
      </c>
      <c r="E5562" s="3">
        <v>1.0</v>
      </c>
      <c r="F5562" s="3" t="s">
        <v>16010</v>
      </c>
      <c r="G5562" s="3">
        <v>0.0</v>
      </c>
      <c r="H5562" s="3">
        <v>0.0</v>
      </c>
      <c r="I5562" s="3" t="s">
        <v>13</v>
      </c>
      <c r="J5562" s="3" t="s">
        <v>16011</v>
      </c>
      <c r="K5562" s="3" t="s">
        <v>90</v>
      </c>
      <c r="L5562" s="3" t="str">
        <f>IFERROR(__xludf.DUMMYFUNCTION("GOOGLETRANSLATE(F5562,""id"",""en"")"),"Faida is really sad to see the profile of not crying if you are writing don Cry for Argentina now you become a world champion")</f>
        <v>Faida is really sad to see the profile of not crying if you are writing don Cry for Argentina now you become a world champion</v>
      </c>
    </row>
    <row r="5563" ht="15.75" customHeight="1">
      <c r="A5563" s="1">
        <v>6739.0</v>
      </c>
      <c r="B5563" s="3" t="s">
        <v>16012</v>
      </c>
      <c r="C5563" s="3">
        <v>0.0</v>
      </c>
      <c r="D5563" s="3">
        <v>0.0</v>
      </c>
      <c r="E5563" s="3">
        <v>0.0</v>
      </c>
      <c r="F5563" s="3" t="s">
        <v>16013</v>
      </c>
      <c r="G5563" s="3">
        <v>0.0</v>
      </c>
      <c r="H5563" s="3">
        <v>0.0</v>
      </c>
      <c r="I5563" s="3" t="s">
        <v>13</v>
      </c>
      <c r="J5563" s="3" t="s">
        <v>16014</v>
      </c>
      <c r="K5563" s="3" t="s">
        <v>41</v>
      </c>
      <c r="L5563" s="3" t="str">
        <f>IFERROR(__xludf.DUMMYFUNCTION("GOOGLETRANSLATE(F5563,""id"",""en"")"),"French legend revealed the dark side of Argentina World Cup champions")</f>
        <v>French legend revealed the dark side of Argentina World Cup champions</v>
      </c>
    </row>
    <row r="5564" ht="15.75" customHeight="1">
      <c r="A5564" s="1">
        <v>6740.0</v>
      </c>
      <c r="B5564" s="3" t="s">
        <v>16015</v>
      </c>
      <c r="C5564" s="3">
        <v>1.0</v>
      </c>
      <c r="D5564" s="3">
        <v>0.0</v>
      </c>
      <c r="E5564" s="3">
        <v>0.0</v>
      </c>
      <c r="F5564" s="3" t="s">
        <v>16016</v>
      </c>
      <c r="G5564" s="3">
        <v>0.0</v>
      </c>
      <c r="H5564" s="3">
        <v>0.0</v>
      </c>
      <c r="I5564" s="3" t="s">
        <v>13</v>
      </c>
      <c r="J5564" s="3" t="s">
        <v>16017</v>
      </c>
      <c r="K5564" s="3" t="s">
        <v>8160</v>
      </c>
      <c r="L5564" s="3" t="str">
        <f>IFERROR(__xludf.DUMMYFUNCTION("GOOGLETRANSLATE(F5564,""id"",""en"")"),"It's just that Argentina is special because the Messi factor is very selling, especially since many people get the edition, this can be an opportunity to get a champion jersey design despite the different number of stars and there is an additional WCC log"&amp;"o")</f>
        <v>It's just that Argentina is special because the Messi factor is very selling, especially since many people get the edition, this can be an opportunity to get a champion jersey design despite the different number of stars and there is an additional WCC logo</v>
      </c>
    </row>
    <row r="5565" ht="15.75" customHeight="1">
      <c r="A5565" s="1">
        <v>6741.0</v>
      </c>
      <c r="B5565" s="3" t="s">
        <v>16018</v>
      </c>
      <c r="C5565" s="3">
        <v>0.0</v>
      </c>
      <c r="D5565" s="3">
        <v>0.0</v>
      </c>
      <c r="E5565" s="3">
        <v>0.0</v>
      </c>
      <c r="F5565" s="3" t="s">
        <v>16019</v>
      </c>
      <c r="G5565" s="3">
        <v>0.0</v>
      </c>
      <c r="H5565" s="3">
        <v>0.0</v>
      </c>
      <c r="I5565" s="3" t="s">
        <v>13</v>
      </c>
      <c r="J5565" s="3" t="s">
        <v>16020</v>
      </c>
      <c r="K5565" s="3" t="s">
        <v>657</v>
      </c>
      <c r="L5565" s="3" t="str">
        <f>IFERROR(__xludf.DUMMYFUNCTION("GOOGLETRANSLATE(F5565,""id"",""en"")"),"It is said not stupid name but how easy you are lied to the jungle with an edited image on Argentina already champions, sir")</f>
        <v>It is said not stupid name but how easy you are lied to the jungle with an edited image on Argentina already champions, sir</v>
      </c>
    </row>
    <row r="5566" ht="15.75" customHeight="1">
      <c r="A5566" s="1">
        <v>6742.0</v>
      </c>
      <c r="B5566" s="3" t="s">
        <v>16021</v>
      </c>
      <c r="C5566" s="3">
        <v>2.0</v>
      </c>
      <c r="D5566" s="3">
        <v>0.0</v>
      </c>
      <c r="E5566" s="3">
        <v>1.0</v>
      </c>
      <c r="F5566" s="3" t="s">
        <v>16022</v>
      </c>
      <c r="G5566" s="3">
        <v>0.0</v>
      </c>
      <c r="H5566" s="3">
        <v>0.0</v>
      </c>
      <c r="I5566" s="3" t="s">
        <v>13</v>
      </c>
      <c r="J5566" s="3" t="s">
        <v>16023</v>
      </c>
      <c r="K5566" s="3" t="s">
        <v>883</v>
      </c>
      <c r="L5566" s="3" t="str">
        <f>IFERROR(__xludf.DUMMYFUNCTION("GOOGLETRANSLATE(F5566,""id"",""en"")"),"I know when you use Ava Ril I'm really happy not because of Argentina champions of the World Cup but because I can see Sundanese angels")</f>
        <v>I know when you use Ava Ril I'm really happy not because of Argentina champions of the World Cup but because I can see Sundanese angels</v>
      </c>
    </row>
    <row r="5567" ht="15.75" customHeight="1">
      <c r="A5567" s="1">
        <v>6743.0</v>
      </c>
      <c r="B5567" s="3" t="s">
        <v>16024</v>
      </c>
      <c r="C5567" s="3">
        <v>1.0</v>
      </c>
      <c r="D5567" s="3">
        <v>6.0</v>
      </c>
      <c r="E5567" s="3">
        <v>33.0</v>
      </c>
      <c r="F5567" s="3" t="s">
        <v>16025</v>
      </c>
      <c r="G5567" s="3">
        <v>0.0</v>
      </c>
      <c r="H5567" s="3">
        <v>0.0</v>
      </c>
      <c r="I5567" s="3" t="s">
        <v>13</v>
      </c>
      <c r="J5567" s="3" t="s">
        <v>16026</v>
      </c>
      <c r="K5567" s="3" t="s">
        <v>675</v>
      </c>
      <c r="L5567" s="3" t="str">
        <f>IFERROR(__xludf.DUMMYFUNCTION("GOOGLETRANSLATE(F5567,""id"",""en"")"),"Goodbye Santa Claus is no longer from now on, he wants Santa Lionel, he gives us the greatest gift Feliz Navidad to all colleagues who celebrate his gift this year came from Argentina who won the world championship")</f>
        <v>Goodbye Santa Claus is no longer from now on, he wants Santa Lionel, he gives us the greatest gift Feliz Navidad to all colleagues who celebrate his gift this year came from Argentina who won the world championship</v>
      </c>
    </row>
    <row r="5568" ht="15.75" customHeight="1">
      <c r="A5568" s="1">
        <v>6744.0</v>
      </c>
      <c r="B5568" s="3" t="s">
        <v>16027</v>
      </c>
      <c r="C5568" s="3">
        <v>0.0</v>
      </c>
      <c r="D5568" s="3">
        <v>0.0</v>
      </c>
      <c r="E5568" s="3">
        <v>0.0</v>
      </c>
      <c r="F5568" s="3" t="s">
        <v>16028</v>
      </c>
      <c r="G5568" s="3">
        <v>0.0</v>
      </c>
      <c r="H5568" s="3">
        <v>0.0</v>
      </c>
      <c r="I5568" s="3" t="s">
        <v>13</v>
      </c>
      <c r="J5568" s="3" t="s">
        <v>16029</v>
      </c>
      <c r="K5568" s="3" t="s">
        <v>54</v>
      </c>
      <c r="L5568" s="3" t="str">
        <f>IFERROR(__xludf.DUMMYFUNCTION("GOOGLETRANSLATE(F5568,""id"",""en"")"),"KEK Argentina World Cup Champion Settingan")</f>
        <v>KEK Argentina World Cup Champion Settingan</v>
      </c>
    </row>
    <row r="5569" ht="15.75" customHeight="1">
      <c r="A5569" s="1">
        <v>6745.0</v>
      </c>
      <c r="B5569" s="3" t="s">
        <v>16030</v>
      </c>
      <c r="C5569" s="3">
        <v>0.0</v>
      </c>
      <c r="D5569" s="3">
        <v>0.0</v>
      </c>
      <c r="E5569" s="3">
        <v>3.0</v>
      </c>
      <c r="F5569" s="3" t="s">
        <v>16031</v>
      </c>
      <c r="G5569" s="3">
        <v>0.0</v>
      </c>
      <c r="H5569" s="3">
        <v>0.0</v>
      </c>
      <c r="I5569" s="3" t="s">
        <v>13</v>
      </c>
      <c r="J5569" s="3" t="s">
        <v>16032</v>
      </c>
      <c r="K5569" s="3" t="s">
        <v>495</v>
      </c>
      <c r="L5569" s="3" t="str">
        <f>IFERROR(__xludf.DUMMYFUNCTION("GOOGLETRANSLATE(F5569,""id"",""en"")"),"Min Ohgh Argentina Champion on December Yak, the Hoks, the Hoks is increasingly clear, just fed the edits.")</f>
        <v>Min Ohgh Argentina Champion on December Yak, the Hoks, the Hoks is increasingly clear, just fed the edits.</v>
      </c>
    </row>
    <row r="5570" ht="15.75" customHeight="1">
      <c r="A5570" s="1">
        <v>6746.0</v>
      </c>
      <c r="B5570" s="3" t="s">
        <v>16033</v>
      </c>
      <c r="C5570" s="3">
        <v>1.0</v>
      </c>
      <c r="D5570" s="3">
        <v>0.0</v>
      </c>
      <c r="E5570" s="3">
        <v>0.0</v>
      </c>
      <c r="F5570" s="3" t="s">
        <v>16034</v>
      </c>
      <c r="G5570" s="3">
        <v>0.0</v>
      </c>
      <c r="H5570" s="3">
        <v>0.0</v>
      </c>
      <c r="I5570" s="3" t="s">
        <v>13</v>
      </c>
      <c r="J5570" s="3" t="s">
        <v>16035</v>
      </c>
      <c r="K5570" s="3" t="s">
        <v>644</v>
      </c>
      <c r="L5570" s="3" t="str">
        <f>IFERROR(__xludf.DUMMYFUNCTION("GOOGLETRANSLATE(F5570,""id"",""en"")"),"MasyaAllah brother beautifulkk beuttt")</f>
        <v>MasyaAllah brother beautifulkk beuttt</v>
      </c>
    </row>
    <row r="5571" ht="15.75" customHeight="1">
      <c r="A5571" s="1">
        <v>6747.0</v>
      </c>
      <c r="B5571" s="3" t="s">
        <v>16036</v>
      </c>
      <c r="C5571" s="3">
        <v>0.0</v>
      </c>
      <c r="D5571" s="3">
        <v>0.0</v>
      </c>
      <c r="E5571" s="3">
        <v>0.0</v>
      </c>
      <c r="F5571" s="3" t="s">
        <v>16037</v>
      </c>
      <c r="G5571" s="3">
        <v>0.0</v>
      </c>
      <c r="H5571" s="3">
        <v>0.0</v>
      </c>
      <c r="I5571" s="3" t="s">
        <v>13</v>
      </c>
      <c r="J5571" s="3" t="s">
        <v>16038</v>
      </c>
      <c r="K5571" s="3" t="s">
        <v>54</v>
      </c>
      <c r="L5571" s="3" t="str">
        <f>IFERROR(__xludf.DUMMYFUNCTION("GOOGLETRANSLATE(F5571,""id"",""en"")"),"Hundred Hyun Kannnnnnnnnnnnntt Tt Mantungannnnnn")</f>
        <v>Hundred Hyun Kannnnnnnnnnnnntt Tt Mantungannnnnn</v>
      </c>
    </row>
    <row r="5572" ht="15.75" customHeight="1">
      <c r="A5572" s="1">
        <v>6748.0</v>
      </c>
      <c r="B5572" s="3" t="s">
        <v>16039</v>
      </c>
      <c r="C5572" s="3">
        <v>1.0</v>
      </c>
      <c r="D5572" s="3">
        <v>0.0</v>
      </c>
      <c r="E5572" s="3">
        <v>1.0</v>
      </c>
      <c r="F5572" s="3" t="s">
        <v>16040</v>
      </c>
      <c r="G5572" s="3">
        <v>0.0</v>
      </c>
      <c r="H5572" s="3">
        <v>0.0</v>
      </c>
      <c r="I5572" s="3" t="s">
        <v>13</v>
      </c>
      <c r="J5572" s="3" t="s">
        <v>16041</v>
      </c>
      <c r="K5572" s="3" t="s">
        <v>1335</v>
      </c>
      <c r="L5572" s="3" t="str">
        <f>IFERROR(__xludf.DUMMYFUNCTION("GOOGLETRANSLATE(F5572,""id"",""en"")"),"Mentang Argentina All World Cup Champion About Argentina")</f>
        <v>Mentang Argentina All World Cup Champion About Argentina</v>
      </c>
    </row>
    <row r="5573" ht="15.75" customHeight="1">
      <c r="A5573" s="1">
        <v>6749.0</v>
      </c>
      <c r="B5573" s="3" t="s">
        <v>16042</v>
      </c>
      <c r="C5573" s="3">
        <v>0.0</v>
      </c>
      <c r="D5573" s="3">
        <v>0.0</v>
      </c>
      <c r="E5573" s="3">
        <v>0.0</v>
      </c>
      <c r="F5573" s="3" t="s">
        <v>16043</v>
      </c>
      <c r="G5573" s="3">
        <v>0.0</v>
      </c>
      <c r="H5573" s="3">
        <v>0.0</v>
      </c>
      <c r="I5573" s="3" t="s">
        <v>13</v>
      </c>
      <c r="J5573" s="3" t="s">
        <v>16044</v>
      </c>
      <c r="K5573" s="3" t="s">
        <v>348</v>
      </c>
      <c r="L5573" s="3" t="str">
        <f>IFERROR(__xludf.DUMMYFUNCTION("GOOGLETRANSLATE(F5573,""id"",""en"")"),"Look at the CFS Adidas post again, the production of Argentina Home Away design champion, but the wcc is in front of it, it's already spread the whole world, just wait")</f>
        <v>Look at the CFS Adidas post again, the production of Argentina Home Away design champion, but the wcc is in front of it, it's already spread the whole world, just wait</v>
      </c>
    </row>
    <row r="5574" ht="15.75" customHeight="1">
      <c r="A5574" s="1">
        <v>6750.0</v>
      </c>
      <c r="B5574" s="3" t="s">
        <v>16045</v>
      </c>
      <c r="C5574" s="3">
        <v>1.0</v>
      </c>
      <c r="D5574" s="3">
        <v>0.0</v>
      </c>
      <c r="E5574" s="3">
        <v>1.0</v>
      </c>
      <c r="F5574" s="3" t="s">
        <v>16046</v>
      </c>
      <c r="G5574" s="3">
        <v>0.0</v>
      </c>
      <c r="H5574" s="3">
        <v>0.0</v>
      </c>
      <c r="I5574" s="3" t="s">
        <v>13</v>
      </c>
      <c r="J5574" s="3" t="s">
        <v>16047</v>
      </c>
      <c r="K5574" s="3" t="s">
        <v>41</v>
      </c>
      <c r="L5574" s="3" t="str">
        <f>IFERROR(__xludf.DUMMYFUNCTION("GOOGLETRANSLATE(F5574,""id"",""en"")"),"Maybe this sank the news of Argentina as a soccer world champion")</f>
        <v>Maybe this sank the news of Argentina as a soccer world champion</v>
      </c>
    </row>
    <row r="5575" ht="15.75" customHeight="1">
      <c r="A5575" s="1">
        <v>6751.0</v>
      </c>
      <c r="B5575" s="3" t="s">
        <v>16048</v>
      </c>
      <c r="C5575" s="3">
        <v>0.0</v>
      </c>
      <c r="D5575" s="3">
        <v>0.0</v>
      </c>
      <c r="E5575" s="3">
        <v>0.0</v>
      </c>
      <c r="G5575" s="3">
        <v>0.0</v>
      </c>
      <c r="H5575" s="3">
        <v>0.0</v>
      </c>
      <c r="I5575" s="3" t="s">
        <v>13</v>
      </c>
      <c r="J5575" s="3" t="s">
        <v>16049</v>
      </c>
      <c r="K5575" s="3" t="s">
        <v>16050</v>
      </c>
      <c r="L5575" s="3" t="str">
        <f>IFERROR(__xludf.DUMMYFUNCTION("GOOGLETRANSLATE(F5575,""id"",""en"")"),"#VALUE!")</f>
        <v>#VALUE!</v>
      </c>
    </row>
    <row r="5576" ht="15.75" customHeight="1">
      <c r="A5576" s="1">
        <v>6752.0</v>
      </c>
      <c r="B5576" s="3" t="s">
        <v>16051</v>
      </c>
      <c r="C5576" s="3">
        <v>13.0</v>
      </c>
      <c r="D5576" s="3">
        <v>0.0</v>
      </c>
      <c r="E5576" s="3">
        <v>4.0</v>
      </c>
      <c r="F5576" s="3" t="s">
        <v>16052</v>
      </c>
      <c r="G5576" s="3">
        <v>0.0</v>
      </c>
      <c r="H5576" s="3">
        <v>0.0</v>
      </c>
      <c r="I5576" s="3" t="s">
        <v>13</v>
      </c>
      <c r="J5576" s="3" t="s">
        <v>16053</v>
      </c>
      <c r="K5576" s="3" t="s">
        <v>15</v>
      </c>
      <c r="L5576" s="3" t="str">
        <f>IFERROR(__xludf.DUMMYFUNCTION("GOOGLETRANSLATE(F5576,""id"",""en"")"),"There are two types of someone who won the Argentina Messi settings championship")</f>
        <v>There are two types of someone who won the Argentina Messi settings championship</v>
      </c>
    </row>
    <row r="5577" ht="15.75" customHeight="1">
      <c r="A5577" s="1">
        <v>6753.0</v>
      </c>
      <c r="B5577" s="3" t="s">
        <v>16054</v>
      </c>
      <c r="C5577" s="3">
        <v>0.0</v>
      </c>
      <c r="D5577" s="3">
        <v>0.0</v>
      </c>
      <c r="E5577" s="3">
        <v>0.0</v>
      </c>
      <c r="F5577" s="3" t="s">
        <v>16055</v>
      </c>
      <c r="G5577" s="3">
        <v>0.0</v>
      </c>
      <c r="H5577" s="3">
        <v>0.0</v>
      </c>
      <c r="I5577" s="3" t="s">
        <v>13</v>
      </c>
      <c r="J5577" s="3" t="s">
        <v>16056</v>
      </c>
      <c r="K5577" s="3" t="s">
        <v>14571</v>
      </c>
      <c r="L5577" s="3" t="str">
        <f>IFERROR(__xludf.DUMMYFUNCTION("GOOGLETRANSLATE(F5577,""id"",""en"")"),"Very tendentious")</f>
        <v>Very tendentious</v>
      </c>
    </row>
    <row r="5578" ht="15.75" customHeight="1">
      <c r="A5578" s="1">
        <v>6754.0</v>
      </c>
      <c r="B5578" s="3" t="s">
        <v>16057</v>
      </c>
      <c r="C5578" s="3">
        <v>0.0</v>
      </c>
      <c r="D5578" s="3">
        <v>0.0</v>
      </c>
      <c r="E5578" s="3">
        <v>0.0</v>
      </c>
      <c r="F5578" s="3" t="s">
        <v>16058</v>
      </c>
      <c r="G5578" s="3">
        <v>0.0</v>
      </c>
      <c r="H5578" s="3">
        <v>0.0</v>
      </c>
      <c r="I5578" s="3" t="s">
        <v>13</v>
      </c>
      <c r="J5578" s="3" t="s">
        <v>16059</v>
      </c>
      <c r="K5578" s="3" t="s">
        <v>322</v>
      </c>
      <c r="L5578" s="3" t="str">
        <f>IFERROR(__xludf.DUMMYFUNCTION("GOOGLETRANSLATE(F5578,""id"",""en"")"),"French Argentina Choose French Champion")</f>
        <v>French Argentina Choose French Champion</v>
      </c>
    </row>
    <row r="5579" ht="15.75" customHeight="1">
      <c r="A5579" s="1">
        <v>6755.0</v>
      </c>
      <c r="B5579" s="3" t="s">
        <v>16060</v>
      </c>
      <c r="C5579" s="3">
        <v>0.0</v>
      </c>
      <c r="D5579" s="3">
        <v>0.0</v>
      </c>
      <c r="E5579" s="3">
        <v>0.0</v>
      </c>
      <c r="F5579" s="3" t="s">
        <v>16061</v>
      </c>
      <c r="G5579" s="3">
        <v>0.0</v>
      </c>
      <c r="H5579" s="3">
        <v>0.0</v>
      </c>
      <c r="I5579" s="3" t="s">
        <v>13</v>
      </c>
      <c r="J5579" s="3" t="s">
        <v>16062</v>
      </c>
      <c r="K5579" s="3" t="s">
        <v>15</v>
      </c>
      <c r="L5579" s="3" t="str">
        <f>IFERROR(__xludf.DUMMYFUNCTION("GOOGLETRANSLATE(F5579,""id"",""en"")"),"so many come like Argentina champions")</f>
        <v>so many come like Argentina champions</v>
      </c>
    </row>
    <row r="5580" ht="15.75" customHeight="1">
      <c r="A5580" s="1">
        <v>6756.0</v>
      </c>
      <c r="B5580" s="3" t="s">
        <v>16063</v>
      </c>
      <c r="C5580" s="3">
        <v>0.0</v>
      </c>
      <c r="D5580" s="3">
        <v>0.0</v>
      </c>
      <c r="E5580" s="3">
        <v>5.0</v>
      </c>
      <c r="F5580" s="3" t="s">
        <v>16064</v>
      </c>
      <c r="G5580" s="3">
        <v>0.0</v>
      </c>
      <c r="H5580" s="3">
        <v>0.0</v>
      </c>
      <c r="I5580" s="3" t="s">
        <v>13</v>
      </c>
      <c r="J5580" s="3" t="s">
        <v>16065</v>
      </c>
      <c r="K5580" s="3" t="s">
        <v>695</v>
      </c>
      <c r="L5580" s="3" t="str">
        <f>IFERROR(__xludf.DUMMYFUNCTION("GOOGLETRANSLATE(F5580,""id"",""en"")"),"Emiliano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581" ht="15.75" customHeight="1">
      <c r="A5581" s="1">
        <v>6757.0</v>
      </c>
      <c r="B5581" s="3" t="s">
        <v>16066</v>
      </c>
      <c r="C5581" s="3">
        <v>0.0</v>
      </c>
      <c r="D5581" s="3">
        <v>0.0</v>
      </c>
      <c r="E5581" s="3">
        <v>0.0</v>
      </c>
      <c r="F5581" s="3" t="s">
        <v>16067</v>
      </c>
      <c r="G5581" s="3">
        <v>0.0</v>
      </c>
      <c r="H5581" s="3">
        <v>0.0</v>
      </c>
      <c r="I5581" s="3" t="s">
        <v>13</v>
      </c>
      <c r="J5581" s="3" t="s">
        <v>16068</v>
      </c>
      <c r="K5581" s="3" t="s">
        <v>75</v>
      </c>
      <c r="L5581" s="3" t="str">
        <f>IFERROR(__xludf.DUMMYFUNCTION("GOOGLETRANSLATE(F5581,""id"",""en"")"),"KMren Messi Chairman of PSSI Argentina after the same champion was promised PNS")</f>
        <v>KMren Messi Chairman of PSSI Argentina after the same champion was promised PNS</v>
      </c>
    </row>
    <row r="5582" ht="15.75" customHeight="1">
      <c r="A5582" s="1">
        <v>6758.0</v>
      </c>
      <c r="B5582" s="3" t="s">
        <v>16069</v>
      </c>
      <c r="C5582" s="3">
        <v>0.0</v>
      </c>
      <c r="D5582" s="3">
        <v>0.0</v>
      </c>
      <c r="E5582" s="3">
        <v>0.0</v>
      </c>
      <c r="F5582" s="3" t="s">
        <v>16070</v>
      </c>
      <c r="G5582" s="3">
        <v>0.0</v>
      </c>
      <c r="H5582" s="3">
        <v>0.0</v>
      </c>
      <c r="I5582" s="3" t="s">
        <v>13</v>
      </c>
      <c r="J5582" s="3" t="s">
        <v>16071</v>
      </c>
      <c r="K5582" s="3" t="s">
        <v>19</v>
      </c>
      <c r="L5582" s="3" t="str">
        <f>IFERROR(__xludf.DUMMYFUNCTION("GOOGLETRANSLATE(F5582,""id"",""en"")"),"Sergio Aguero is absorbing Argentina's aura who won the World Cup FIFA Qatar")</f>
        <v>Sergio Aguero is absorbing Argentina's aura who won the World Cup FIFA Qatar</v>
      </c>
    </row>
    <row r="5583" ht="15.75" customHeight="1">
      <c r="A5583" s="1">
        <v>6759.0</v>
      </c>
      <c r="B5583" s="3" t="s">
        <v>16072</v>
      </c>
      <c r="C5583" s="3">
        <v>1.0</v>
      </c>
      <c r="D5583" s="3">
        <v>0.0</v>
      </c>
      <c r="E5583" s="3">
        <v>1.0</v>
      </c>
      <c r="F5583" s="3" t="s">
        <v>16073</v>
      </c>
      <c r="G5583" s="3">
        <v>0.0</v>
      </c>
      <c r="H5583" s="3">
        <v>0.0</v>
      </c>
      <c r="I5583" s="3" t="s">
        <v>13</v>
      </c>
      <c r="J5583" s="3" t="s">
        <v>16074</v>
      </c>
      <c r="K5583" s="3" t="s">
        <v>942</v>
      </c>
      <c r="L5583" s="3" t="str">
        <f>IFERROR(__xludf.DUMMYFUNCTION("GOOGLETRANSLATE(F5583,""id"",""en"")"),"In the past week Argentina champion Emyu winning Indonesia won Persebaya win what week")</f>
        <v>In the past week Argentina champion Emyu winning Indonesia won Persebaya win what week</v>
      </c>
    </row>
    <row r="5584" ht="15.75" customHeight="1">
      <c r="A5584" s="1">
        <v>6760.0</v>
      </c>
      <c r="B5584" s="3" t="s">
        <v>16075</v>
      </c>
      <c r="C5584" s="3">
        <v>0.0</v>
      </c>
      <c r="D5584" s="3">
        <v>0.0</v>
      </c>
      <c r="E5584" s="3">
        <v>0.0</v>
      </c>
      <c r="F5584" s="3" t="s">
        <v>16076</v>
      </c>
      <c r="G5584" s="3">
        <v>0.0</v>
      </c>
      <c r="H5584" s="3">
        <v>0.0</v>
      </c>
      <c r="I5584" s="3" t="s">
        <v>13</v>
      </c>
      <c r="J5584" s="3" t="s">
        <v>16077</v>
      </c>
      <c r="K5584" s="3" t="s">
        <v>71</v>
      </c>
      <c r="L5584" s="3" t="str">
        <f>IFERROR(__xludf.DUMMYFUNCTION("GOOGLETRANSLATE(F5584,""id"",""en"")"),"Since Argentina the World Cup champion Dodo fans has become increasingly becoming a reason not to be made in mind")</f>
        <v>Since Argentina the World Cup champion Dodo fans has become increasingly becoming a reason not to be made in mind</v>
      </c>
    </row>
    <row r="5585" ht="15.75" customHeight="1">
      <c r="A5585" s="1">
        <v>6762.0</v>
      </c>
      <c r="B5585" s="3" t="s">
        <v>16078</v>
      </c>
      <c r="C5585" s="3">
        <v>0.0</v>
      </c>
      <c r="D5585" s="3">
        <v>0.0</v>
      </c>
      <c r="E5585" s="3">
        <v>0.0</v>
      </c>
      <c r="F5585" s="3" t="s">
        <v>16079</v>
      </c>
      <c r="G5585" s="3">
        <v>0.0</v>
      </c>
      <c r="H5585" s="3">
        <v>0.0</v>
      </c>
      <c r="I5585" s="3" t="s">
        <v>13</v>
      </c>
      <c r="J5585" s="3" t="s">
        <v>16080</v>
      </c>
      <c r="K5585" s="3" t="s">
        <v>90</v>
      </c>
      <c r="L5585" s="3" t="str">
        <f>IFERROR(__xludf.DUMMYFUNCTION("GOOGLETRANSLATE(F5585,""id"",""en"")"),"Min, you're so smart in December, Argentina is champion, use your mind and heart, you hate it, please, but don't scatter lies")</f>
        <v>Min, you're so smart in December, Argentina is champion, use your mind and heart, you hate it, please, but don't scatter lies</v>
      </c>
    </row>
    <row r="5586" ht="15.75" customHeight="1">
      <c r="A5586" s="1">
        <v>6763.0</v>
      </c>
      <c r="B5586" s="3" t="s">
        <v>16081</v>
      </c>
      <c r="C5586" s="3">
        <v>0.0</v>
      </c>
      <c r="D5586" s="3">
        <v>0.0</v>
      </c>
      <c r="E5586" s="3">
        <v>0.0</v>
      </c>
      <c r="F5586" s="3" t="s">
        <v>16082</v>
      </c>
      <c r="G5586" s="3">
        <v>0.0</v>
      </c>
      <c r="H5586" s="3">
        <v>0.0</v>
      </c>
      <c r="I5586" s="3" t="s">
        <v>13</v>
      </c>
      <c r="J5586" s="3" t="s">
        <v>16083</v>
      </c>
      <c r="K5586" s="3" t="s">
        <v>484</v>
      </c>
      <c r="L5586" s="3" t="str">
        <f>IFERROR(__xludf.DUMMYFUNCTION("GOOGLETRANSLATE(F5586,""id"",""en"")"),"The first time was France championed MEssi Argentina Selow even though Messi was like a god for the Argentine people")</f>
        <v>The first time was France championed MEssi Argentina Selow even though Messi was like a god for the Argentine people</v>
      </c>
    </row>
    <row r="5587" ht="15.75" customHeight="1">
      <c r="A5587" s="1">
        <v>6764.0</v>
      </c>
      <c r="B5587" s="3" t="s">
        <v>16084</v>
      </c>
      <c r="C5587" s="3">
        <v>0.0</v>
      </c>
      <c r="D5587" s="3">
        <v>0.0</v>
      </c>
      <c r="E5587" s="3">
        <v>0.0</v>
      </c>
      <c r="F5587" s="3" t="s">
        <v>16085</v>
      </c>
      <c r="G5587" s="3">
        <v>0.0</v>
      </c>
      <c r="H5587" s="3">
        <v>0.0</v>
      </c>
      <c r="I5587" s="3" t="s">
        <v>13</v>
      </c>
      <c r="J5587" s="3" t="s">
        <v>16086</v>
      </c>
      <c r="K5587" s="3" t="s">
        <v>82</v>
      </c>
      <c r="L5587" s="3" t="str">
        <f>IFERROR(__xludf.DUMMYFUNCTION("GOOGLETRANSLATE(F5587,""id"",""en"")"),"Min Goblok Argentina Champion Pilduun Dec")</f>
        <v>Min Goblok Argentina Champion Pilduun Dec</v>
      </c>
    </row>
    <row r="5588" ht="15.75" customHeight="1">
      <c r="A5588" s="1">
        <v>6765.0</v>
      </c>
      <c r="B5588" s="3" t="s">
        <v>16087</v>
      </c>
      <c r="C5588" s="3">
        <v>0.0</v>
      </c>
      <c r="D5588" s="3">
        <v>0.0</v>
      </c>
      <c r="E5588" s="3">
        <v>0.0</v>
      </c>
      <c r="F5588" s="3" t="s">
        <v>16088</v>
      </c>
      <c r="G5588" s="3">
        <v>0.0</v>
      </c>
      <c r="H5588" s="3">
        <v>0.0</v>
      </c>
      <c r="I5588" s="3" t="s">
        <v>13</v>
      </c>
      <c r="J5588" s="3" t="s">
        <v>16089</v>
      </c>
      <c r="K5588" s="3" t="s">
        <v>35</v>
      </c>
      <c r="L5588" s="3" t="str">
        <f>IFERROR(__xludf.DUMMYFUNCTION("GOOGLETRANSLATE(F5588,""id"",""en"")"),"Lha Brain says Argentina has set the champion and FIFA children how the brain is stupid")</f>
        <v>Lha Brain says Argentina has set the champion and FIFA children how the brain is stupid</v>
      </c>
    </row>
    <row r="5589" ht="15.75" customHeight="1">
      <c r="A5589" s="1">
        <v>6766.0</v>
      </c>
      <c r="B5589" s="3" t="s">
        <v>16090</v>
      </c>
      <c r="C5589" s="3">
        <v>3.0</v>
      </c>
      <c r="D5589" s="3">
        <v>9.0</v>
      </c>
      <c r="E5589" s="3">
        <v>46.0</v>
      </c>
      <c r="F5589" s="3" t="s">
        <v>16091</v>
      </c>
      <c r="G5589" s="3">
        <v>0.0</v>
      </c>
      <c r="H5589" s="3">
        <v>0.0</v>
      </c>
      <c r="I5589" s="3" t="s">
        <v>13</v>
      </c>
      <c r="J5589" s="3" t="s">
        <v>16092</v>
      </c>
      <c r="K5589" s="3" t="s">
        <v>192</v>
      </c>
      <c r="L5589" s="3" t="str">
        <f>IFERROR(__xludf.DUMMYFUNCTION("GOOGLETRANSLATE(F5589,""id"",""en"")"),"Feliz Cumple Ale Today Alexis Mac Allister Birthday, a player who gave his magical World Cup yesterday for Argentina to celebrate a birthday with a world title good luck and always happy Ale")</f>
        <v>Feliz Cumple Ale Today Alexis Mac Allister Birthday, a player who gave his magical World Cup yesterday for Argentina to celebrate a birthday with a world title good luck and always happy Ale</v>
      </c>
    </row>
    <row r="5590" ht="15.75" customHeight="1">
      <c r="A5590" s="1">
        <v>6767.0</v>
      </c>
      <c r="B5590" s="3" t="s">
        <v>16093</v>
      </c>
      <c r="C5590" s="3">
        <v>0.0</v>
      </c>
      <c r="D5590" s="3">
        <v>1.0</v>
      </c>
      <c r="E5590" s="3">
        <v>26.0</v>
      </c>
      <c r="F5590" s="3" t="s">
        <v>16094</v>
      </c>
      <c r="G5590" s="3">
        <v>0.0</v>
      </c>
      <c r="H5590" s="3">
        <v>0.0</v>
      </c>
      <c r="I5590" s="3" t="s">
        <v>13</v>
      </c>
      <c r="J5590" s="3" t="s">
        <v>16095</v>
      </c>
      <c r="K5590" s="3" t="s">
        <v>127</v>
      </c>
      <c r="L5590" s="3" t="str">
        <f>IFERROR(__xludf.DUMMYFUNCTION("GOOGLETRANSLATE(F5590,""id"",""en"")"),"One of the best football essays this year from the author of the country Matur Nuwun Cak three days after Argentina champions via")</f>
        <v>One of the best football essays this year from the author of the country Matur Nuwun Cak three days after Argentina champions via</v>
      </c>
    </row>
    <row r="5591" ht="15.75" customHeight="1">
      <c r="A5591" s="1">
        <v>6768.0</v>
      </c>
      <c r="B5591" s="3" t="s">
        <v>16096</v>
      </c>
      <c r="C5591" s="3">
        <v>18.0</v>
      </c>
      <c r="D5591" s="3">
        <v>34.0</v>
      </c>
      <c r="E5591" s="3">
        <v>745.0</v>
      </c>
      <c r="F5591" s="3" t="s">
        <v>16097</v>
      </c>
      <c r="G5591" s="3">
        <v>0.0</v>
      </c>
      <c r="H5591" s="3">
        <v>0.0</v>
      </c>
      <c r="I5591" s="3" t="s">
        <v>13</v>
      </c>
      <c r="J5591" s="3" t="s">
        <v>16098</v>
      </c>
      <c r="K5591" s="3" t="s">
        <v>172</v>
      </c>
      <c r="L5591" s="3" t="str">
        <f>IFERROR(__xludf.DUMMYFUNCTION("GOOGLETRANSLATE(F5591,""id"",""en"")"),"Ten Hag Licha is still celebrating the title Argentina, the crew understands where he is happy that he also has to remember the league on the league and the hard code again you are told to be hunted back lae")</f>
        <v>Ten Hag Licha is still celebrating the title Argentina, the crew understands where he is happy that he also has to remember the league on the league and the hard code again you are told to be hunted back lae</v>
      </c>
    </row>
    <row r="5592" ht="15.75" customHeight="1">
      <c r="A5592" s="1">
        <v>6769.0</v>
      </c>
      <c r="B5592" s="3" t="s">
        <v>16099</v>
      </c>
      <c r="C5592" s="3">
        <v>2.0</v>
      </c>
      <c r="D5592" s="3">
        <v>0.0</v>
      </c>
      <c r="E5592" s="3">
        <v>0.0</v>
      </c>
      <c r="F5592" s="3" t="s">
        <v>16100</v>
      </c>
      <c r="G5592" s="3">
        <v>0.0</v>
      </c>
      <c r="H5592" s="3">
        <v>0.0</v>
      </c>
      <c r="I5592" s="3" t="s">
        <v>13</v>
      </c>
      <c r="J5592" s="3" t="s">
        <v>16101</v>
      </c>
      <c r="K5592" s="3" t="s">
        <v>45</v>
      </c>
      <c r="L5592" s="3" t="str">
        <f>IFERROR(__xludf.DUMMYFUNCTION("GOOGLETRANSLATE(F5592,""id"",""en"")"),"Creameee Fans Argentina Pionel Pionel Pionel, really don't know yourself, you should be ashamed of your idol team champion because FIFA's help instead of bullying berating here and there as if your idol team is great")</f>
        <v>Creameee Fans Argentina Pionel Pionel Pionel, really don't know yourself, you should be ashamed of your idol team champion because FIFA's help instead of bullying berating here and there as if your idol team is great</v>
      </c>
    </row>
    <row r="5593" ht="15.75" customHeight="1">
      <c r="A5593" s="1">
        <v>6770.0</v>
      </c>
      <c r="B5593" s="3" t="s">
        <v>16102</v>
      </c>
      <c r="C5593" s="3">
        <v>0.0</v>
      </c>
      <c r="D5593" s="3">
        <v>0.0</v>
      </c>
      <c r="E5593" s="3">
        <v>0.0</v>
      </c>
      <c r="F5593" s="3" t="s">
        <v>16103</v>
      </c>
      <c r="G5593" s="3">
        <v>0.0</v>
      </c>
      <c r="H5593" s="3">
        <v>0.0</v>
      </c>
      <c r="I5593" s="3" t="s">
        <v>13</v>
      </c>
      <c r="J5593" s="3" t="s">
        <v>16104</v>
      </c>
      <c r="K5593" s="3" t="s">
        <v>14571</v>
      </c>
      <c r="L5593" s="3" t="str">
        <f>IFERROR(__xludf.DUMMYFUNCTION("GOOGLETRANSLATE(F5593,""id"",""en"")"),"Argentina Champion")</f>
        <v>Argentina Champion</v>
      </c>
    </row>
    <row r="5594" ht="15.75" customHeight="1">
      <c r="A5594" s="1">
        <v>6771.0</v>
      </c>
      <c r="B5594" s="3" t="s">
        <v>16105</v>
      </c>
      <c r="C5594" s="3">
        <v>0.0</v>
      </c>
      <c r="D5594" s="3">
        <v>0.0</v>
      </c>
      <c r="E5594" s="3">
        <v>0.0</v>
      </c>
      <c r="F5594" s="3" t="s">
        <v>16106</v>
      </c>
      <c r="G5594" s="3">
        <v>0.0</v>
      </c>
      <c r="H5594" s="3">
        <v>0.0</v>
      </c>
      <c r="I5594" s="3" t="s">
        <v>13</v>
      </c>
      <c r="J5594" s="3" t="s">
        <v>16107</v>
      </c>
      <c r="K5594" s="3" t="s">
        <v>19</v>
      </c>
      <c r="L5594" s="3" t="str">
        <f>IFERROR(__xludf.DUMMYFUNCTION("GOOGLETRANSLATE(F5594,""id"",""en"")"),"agree but the status of the champion remains Argentina exciting the game also wants to repeat the Moroccan French match")</f>
        <v>agree but the status of the champion remains Argentina exciting the game also wants to repeat the Moroccan French match</v>
      </c>
    </row>
    <row r="5595" ht="15.75" customHeight="1">
      <c r="A5595" s="1">
        <v>6772.0</v>
      </c>
      <c r="B5595" s="3" t="s">
        <v>16108</v>
      </c>
      <c r="C5595" s="3">
        <v>0.0</v>
      </c>
      <c r="D5595" s="3">
        <v>0.0</v>
      </c>
      <c r="E5595" s="3">
        <v>0.0</v>
      </c>
      <c r="F5595" s="3" t="s">
        <v>16109</v>
      </c>
      <c r="G5595" s="3">
        <v>0.0</v>
      </c>
      <c r="H5595" s="3">
        <v>0.0</v>
      </c>
      <c r="I5595" s="3" t="s">
        <v>13</v>
      </c>
      <c r="J5595" s="3" t="s">
        <v>16110</v>
      </c>
      <c r="K5595" s="3" t="s">
        <v>1097</v>
      </c>
      <c r="L5595" s="3" t="str">
        <f>IFERROR(__xludf.DUMMYFUNCTION("GOOGLETRANSLATE(F5595,""id"",""en"")"),"Messi World Champion Bang Dodo AFF Champion Gih Sono")</f>
        <v>Messi World Champion Bang Dodo AFF Champion Gih Sono</v>
      </c>
    </row>
    <row r="5596" ht="15.75" customHeight="1">
      <c r="A5596" s="1">
        <v>6773.0</v>
      </c>
      <c r="B5596" s="3" t="s">
        <v>16111</v>
      </c>
      <c r="C5596" s="3">
        <v>0.0</v>
      </c>
      <c r="D5596" s="3">
        <v>0.0</v>
      </c>
      <c r="E5596" s="3">
        <v>2.0</v>
      </c>
      <c r="F5596" s="3" t="s">
        <v>16112</v>
      </c>
      <c r="G5596" s="3">
        <v>0.0</v>
      </c>
      <c r="H5596" s="3">
        <v>0.0</v>
      </c>
      <c r="I5596" s="3" t="s">
        <v>13</v>
      </c>
      <c r="J5596" s="3" t="s">
        <v>16113</v>
      </c>
      <c r="K5596" s="3" t="s">
        <v>358</v>
      </c>
      <c r="L5596" s="3" t="str">
        <f>IFERROR(__xludf.DUMMYFUNCTION("GOOGLETRANSLATE(F5596,""id"",""en"")"),"Min Argentina World Champion Date How Many Anies made a tweet on how many do not be stupid so people feel sorry for the family")</f>
        <v>Min Argentina World Champion Date How Many Anies made a tweet on how many do not be stupid so people feel sorry for the family</v>
      </c>
    </row>
    <row r="5597" ht="15.75" customHeight="1">
      <c r="A5597" s="1">
        <v>6774.0</v>
      </c>
      <c r="B5597" s="3" t="s">
        <v>16114</v>
      </c>
      <c r="C5597" s="3">
        <v>0.0</v>
      </c>
      <c r="D5597" s="3">
        <v>0.0</v>
      </c>
      <c r="E5597" s="3">
        <v>6.0</v>
      </c>
      <c r="F5597" s="3" t="s">
        <v>16115</v>
      </c>
      <c r="G5597" s="3">
        <v>0.0</v>
      </c>
      <c r="H5597" s="3">
        <v>0.0</v>
      </c>
      <c r="I5597" s="3" t="s">
        <v>13</v>
      </c>
      <c r="J5597" s="3" t="s">
        <v>16116</v>
      </c>
      <c r="K5597" s="3" t="s">
        <v>437</v>
      </c>
      <c r="L5597" s="3" t="str">
        <f>IFERROR(__xludf.DUMMYFUNCTION("GOOGLETRANSLATE(F5597,""id"",""en"")"),"Hutagalung Min is Argentina, what date of the World Cup champion if you don't take you bear in the stupid")</f>
        <v>Hutagalung Min is Argentina, what date of the World Cup champion if you don't take you bear in the stupid</v>
      </c>
    </row>
    <row r="5598" ht="15.75" customHeight="1">
      <c r="A5598" s="1">
        <v>6775.0</v>
      </c>
      <c r="B5598" s="3" t="s">
        <v>16117</v>
      </c>
      <c r="C5598" s="3">
        <v>0.0</v>
      </c>
      <c r="D5598" s="3">
        <v>0.0</v>
      </c>
      <c r="E5598" s="3">
        <v>0.0</v>
      </c>
      <c r="F5598" s="3" t="s">
        <v>16118</v>
      </c>
      <c r="G5598" s="3">
        <v>0.0</v>
      </c>
      <c r="H5598" s="3">
        <v>0.0</v>
      </c>
      <c r="I5598" s="3" t="s">
        <v>13</v>
      </c>
      <c r="J5598" s="3" t="s">
        <v>16119</v>
      </c>
      <c r="K5598" s="3" t="s">
        <v>240</v>
      </c>
      <c r="L5598" s="3" t="str">
        <f>IFERROR(__xludf.DUMMYFUNCTION("GOOGLETRANSLATE(F5598,""id"",""en"")"),"Since the World Cup finished Argentina and Messi became a champion why there were so many fans of Cristiano Ronaldo who was stupid")</f>
        <v>Since the World Cup finished Argentina and Messi became a champion why there were so many fans of Cristiano Ronaldo who was stupid</v>
      </c>
    </row>
    <row r="5599" ht="15.75" customHeight="1">
      <c r="A5599" s="1">
        <v>6776.0</v>
      </c>
      <c r="B5599" s="3" t="s">
        <v>16120</v>
      </c>
      <c r="C5599" s="3">
        <v>1.0</v>
      </c>
      <c r="D5599" s="3">
        <v>0.0</v>
      </c>
      <c r="E5599" s="3">
        <v>0.0</v>
      </c>
      <c r="F5599" s="3" t="s">
        <v>16121</v>
      </c>
      <c r="G5599" s="3">
        <v>0.0</v>
      </c>
      <c r="H5599" s="3">
        <v>0.0</v>
      </c>
      <c r="I5599" s="3" t="s">
        <v>13</v>
      </c>
      <c r="J5599" s="3" t="s">
        <v>16122</v>
      </c>
      <c r="K5599" s="3" t="s">
        <v>1045</v>
      </c>
      <c r="L5599" s="3" t="str">
        <f>IFERROR(__xludf.DUMMYFUNCTION("GOOGLETRANSLATE(F5599,""id"",""en"")"),"It means that it is true that Mbappe demeans the Latin American ball if European countries are more advanced in football why the world champion Argentina is European champions also lose to Argentina BTW")</f>
        <v>It means that it is true that Mbappe demeans the Latin American ball if European countries are more advanced in football why the world champion Argentina is European champions also lose to Argentina BTW</v>
      </c>
    </row>
    <row r="5600" ht="15.75" customHeight="1">
      <c r="A5600" s="1">
        <v>6777.0</v>
      </c>
      <c r="B5600" s="3" t="s">
        <v>16123</v>
      </c>
      <c r="C5600" s="3">
        <v>1.0</v>
      </c>
      <c r="D5600" s="3">
        <v>0.0</v>
      </c>
      <c r="E5600" s="3">
        <v>0.0</v>
      </c>
      <c r="F5600" s="3" t="s">
        <v>16124</v>
      </c>
      <c r="G5600" s="3">
        <v>0.0</v>
      </c>
      <c r="H5600" s="3">
        <v>0.0</v>
      </c>
      <c r="I5600" s="3" t="s">
        <v>13</v>
      </c>
      <c r="J5600" s="3" t="s">
        <v>16125</v>
      </c>
      <c r="K5600" s="3" t="s">
        <v>11862</v>
      </c>
      <c r="L5600" s="3" t="str">
        <f>IFERROR(__xludf.DUMMYFUNCTION("GOOGLETRANSLATE(F5600,""id"",""en"")"),"Enzo Fernandez, this year's age player just won his first caps with Argentina, the last international break before the World Cup but Enzo managed to become one of the key players of the Argentine squad and succeeded in bringing Argentina to become world c"&amp;"hampion")</f>
        <v>Enzo Fernandez, this year's age player just won his first caps with Argentina, the last international break before the World Cup but Enzo managed to become one of the key players of the Argentine squad and succeeded in bringing Argentina to become world champion</v>
      </c>
    </row>
    <row r="5601" ht="15.75" customHeight="1">
      <c r="A5601" s="1">
        <v>6778.0</v>
      </c>
      <c r="B5601" s="3" t="s">
        <v>16126</v>
      </c>
      <c r="C5601" s="3">
        <v>0.0</v>
      </c>
      <c r="D5601" s="3">
        <v>0.0</v>
      </c>
      <c r="E5601" s="3">
        <v>0.0</v>
      </c>
      <c r="F5601" s="3" t="s">
        <v>16127</v>
      </c>
      <c r="G5601" s="3">
        <v>0.0</v>
      </c>
      <c r="H5601" s="3">
        <v>0.0</v>
      </c>
      <c r="I5601" s="3" t="s">
        <v>13</v>
      </c>
      <c r="J5601" s="3" t="s">
        <v>16128</v>
      </c>
      <c r="K5601" s="3" t="s">
        <v>433</v>
      </c>
      <c r="L5601" s="3" t="str">
        <f>IFERROR(__xludf.DUMMYFUNCTION("GOOGLETRANSLATE(F5601,""id"",""en"")"),"Ludiya continues, for example, I commented that Argentina won the world champion, what was presenting that I am an Argentine mass")</f>
        <v>Ludiya continues, for example, I commented that Argentina won the world champion, what was presenting that I am an Argentine mass</v>
      </c>
    </row>
    <row r="5602" ht="15.75" customHeight="1">
      <c r="A5602" s="1">
        <v>6779.0</v>
      </c>
      <c r="B5602" s="3" t="s">
        <v>16129</v>
      </c>
      <c r="C5602" s="3">
        <v>0.0</v>
      </c>
      <c r="D5602" s="3">
        <v>0.0</v>
      </c>
      <c r="E5602" s="3">
        <v>0.0</v>
      </c>
      <c r="F5602" s="3" t="s">
        <v>16129</v>
      </c>
      <c r="G5602" s="3">
        <v>0.0</v>
      </c>
      <c r="H5602" s="3">
        <v>0.0</v>
      </c>
      <c r="I5602" s="3" t="s">
        <v>13</v>
      </c>
      <c r="J5602" s="3" t="s">
        <v>16130</v>
      </c>
      <c r="K5602" s="3" t="s">
        <v>15</v>
      </c>
      <c r="L5602" s="3" t="str">
        <f>IFERROR(__xludf.DUMMYFUNCTION("GOOGLETRANSLATE(F5602,""id"",""en"")"),"The previous World Cup champion was not as a back as Argentina now")</f>
        <v>The previous World Cup champion was not as a back as Argentina now</v>
      </c>
    </row>
    <row r="5603" ht="15.75" customHeight="1">
      <c r="A5603" s="1">
        <v>6780.0</v>
      </c>
      <c r="B5603" s="3" t="s">
        <v>16131</v>
      </c>
      <c r="C5603" s="3">
        <v>0.0</v>
      </c>
      <c r="D5603" s="3">
        <v>0.0</v>
      </c>
      <c r="E5603" s="3">
        <v>0.0</v>
      </c>
      <c r="F5603" s="3" t="s">
        <v>16132</v>
      </c>
      <c r="G5603" s="3">
        <v>0.0</v>
      </c>
      <c r="H5603" s="3">
        <v>0.0</v>
      </c>
      <c r="I5603" s="3" t="s">
        <v>13</v>
      </c>
      <c r="J5603" s="3" t="s">
        <v>16133</v>
      </c>
      <c r="K5603" s="3" t="s">
        <v>510</v>
      </c>
      <c r="L5603" s="3" t="str">
        <f>IFERROR(__xludf.DUMMYFUNCTION("GOOGLETRANSLATE(F5603,""id"",""en"")"),"The story of Lionel Messi who was offered a Spanish national team before the World Cup champion with Argentina")</f>
        <v>The story of Lionel Messi who was offered a Spanish national team before the World Cup champion with Argentina</v>
      </c>
    </row>
    <row r="5604" ht="15.75" customHeight="1">
      <c r="A5604" s="1">
        <v>6781.0</v>
      </c>
      <c r="B5604" s="3" t="s">
        <v>16134</v>
      </c>
      <c r="C5604" s="3">
        <v>0.0</v>
      </c>
      <c r="D5604" s="3">
        <v>0.0</v>
      </c>
      <c r="E5604" s="3">
        <v>0.0</v>
      </c>
      <c r="F5604" s="3" t="s">
        <v>16135</v>
      </c>
      <c r="G5604" s="3">
        <v>0.0</v>
      </c>
      <c r="H5604" s="3">
        <v>0.0</v>
      </c>
      <c r="I5604" s="3" t="s">
        <v>13</v>
      </c>
      <c r="J5604" s="3" t="s">
        <v>16136</v>
      </c>
      <c r="K5604" s="3" t="s">
        <v>1469</v>
      </c>
      <c r="L5604" s="3" t="str">
        <f>IFERROR(__xludf.DUMMYFUNCTION("GOOGLETRANSLATE(F5604,""id"",""en"")"),"I want to tell millions of times, it's useless, he wants Argentina to win the Argentina to win, but we are looking for mistakes.")</f>
        <v>I want to tell millions of times, it's useless, he wants Argentina to win the Argentina to win, but we are looking for mistakes.</v>
      </c>
    </row>
    <row r="5605" ht="15.75" customHeight="1">
      <c r="A5605" s="1">
        <v>6782.0</v>
      </c>
      <c r="B5605" s="3" t="s">
        <v>16137</v>
      </c>
      <c r="C5605" s="3">
        <v>0.0</v>
      </c>
      <c r="D5605" s="3">
        <v>0.0</v>
      </c>
      <c r="E5605" s="3">
        <v>0.0</v>
      </c>
      <c r="F5605" s="3" t="s">
        <v>16138</v>
      </c>
      <c r="G5605" s="3">
        <v>0.0</v>
      </c>
      <c r="H5605" s="3">
        <v>0.0</v>
      </c>
      <c r="I5605" s="3" t="s">
        <v>13</v>
      </c>
      <c r="J5605" s="3" t="s">
        <v>16139</v>
      </c>
      <c r="K5605" s="3" t="s">
        <v>520</v>
      </c>
      <c r="L5605" s="3" t="str">
        <f>IFERROR(__xludf.DUMMYFUNCTION("GOOGLETRANSLATE(F5605,""id"",""en"")"),"Maybe Bang and the same as the world cup champions are the same from Brazil and Argentina, just waiting for when Ronaldo and Messi met")</f>
        <v>Maybe Bang and the same as the world cup champions are the same from Brazil and Argentina, just waiting for when Ronaldo and Messi met</v>
      </c>
    </row>
    <row r="5606" ht="15.75" customHeight="1">
      <c r="A5606" s="1">
        <v>6783.0</v>
      </c>
      <c r="B5606" s="3" t="s">
        <v>16140</v>
      </c>
      <c r="C5606" s="3">
        <v>73.0</v>
      </c>
      <c r="D5606" s="3">
        <v>82.0</v>
      </c>
      <c r="E5606" s="3">
        <v>330.0</v>
      </c>
      <c r="F5606" s="3" t="s">
        <v>16141</v>
      </c>
      <c r="G5606" s="3">
        <v>0.15</v>
      </c>
      <c r="H5606" s="3">
        <v>-0.2</v>
      </c>
      <c r="I5606" s="3" t="s">
        <v>179</v>
      </c>
      <c r="J5606" s="3" t="s">
        <v>16142</v>
      </c>
      <c r="K5606" s="3" t="s">
        <v>883</v>
      </c>
      <c r="L5606" s="3" t="str">
        <f>IFERROR(__xludf.DUMMYFUNCTION("GOOGLETRANSLATE(F5606,""id"",""en"")"),"Anies like this, Argentina, welcomed the world champion, Catut, reported that the residents of Pangkep Wan were stalled")</f>
        <v>Anies like this, Argentina, welcomed the world champion, Catut, reported that the residents of Pangkep Wan were stalled</v>
      </c>
    </row>
    <row r="5607" ht="15.75" customHeight="1">
      <c r="A5607" s="1">
        <v>6784.0</v>
      </c>
      <c r="B5607" s="3" t="s">
        <v>16143</v>
      </c>
      <c r="C5607" s="3">
        <v>0.0</v>
      </c>
      <c r="D5607" s="3">
        <v>0.0</v>
      </c>
      <c r="E5607" s="3">
        <v>0.0</v>
      </c>
      <c r="F5607" s="3" t="s">
        <v>16144</v>
      </c>
      <c r="G5607" s="3">
        <v>0.0</v>
      </c>
      <c r="H5607" s="3">
        <v>0.0</v>
      </c>
      <c r="I5607" s="3" t="s">
        <v>13</v>
      </c>
      <c r="J5607" s="3" t="s">
        <v>16145</v>
      </c>
      <c r="K5607" s="3" t="s">
        <v>240</v>
      </c>
      <c r="L5607" s="3" t="str">
        <f>IFERROR(__xludf.DUMMYFUNCTION("GOOGLETRANSLATE(F5607,""id"",""en"")"),"Edits I think the Anis Pangkep event on DES Argentina hasn't champions, we haven't been infected with the spread of false news")</f>
        <v>Edits I think the Anis Pangkep event on DES Argentina hasn't champions, we haven't been infected with the spread of false news</v>
      </c>
    </row>
    <row r="5608" ht="15.75" customHeight="1">
      <c r="A5608" s="1">
        <v>6785.0</v>
      </c>
      <c r="B5608" s="3" t="s">
        <v>16146</v>
      </c>
      <c r="C5608" s="3">
        <v>0.0</v>
      </c>
      <c r="D5608" s="3">
        <v>0.0</v>
      </c>
      <c r="E5608" s="3">
        <v>0.0</v>
      </c>
      <c r="F5608" s="3" t="s">
        <v>16147</v>
      </c>
      <c r="G5608" s="3">
        <v>0.0</v>
      </c>
      <c r="H5608" s="3">
        <v>0.0</v>
      </c>
      <c r="I5608" s="3" t="s">
        <v>13</v>
      </c>
      <c r="J5608" s="3" t="s">
        <v>16148</v>
      </c>
      <c r="K5608" s="3" t="s">
        <v>71</v>
      </c>
      <c r="L5608" s="3" t="str">
        <f>IFERROR(__xludf.DUMMYFUNCTION("GOOGLETRANSLATE(F5608,""id"",""en"")"),"French legend said the dark side of Argentina Champion World Cup CNN Indonesia Google Sports News")</f>
        <v>French legend said the dark side of Argentina Champion World Cup CNN Indonesia Google Sports News</v>
      </c>
    </row>
    <row r="5609" ht="15.75" customHeight="1">
      <c r="A5609" s="1">
        <v>6786.0</v>
      </c>
      <c r="B5609" s="3" t="s">
        <v>16149</v>
      </c>
      <c r="C5609" s="3">
        <v>0.0</v>
      </c>
      <c r="D5609" s="3">
        <v>0.0</v>
      </c>
      <c r="E5609" s="3">
        <v>0.0</v>
      </c>
      <c r="F5609" s="3" t="s">
        <v>16150</v>
      </c>
      <c r="G5609" s="3">
        <v>0.8</v>
      </c>
      <c r="H5609" s="3">
        <v>-0.8</v>
      </c>
      <c r="I5609" s="3" t="s">
        <v>179</v>
      </c>
      <c r="J5609" s="3" t="s">
        <v>16151</v>
      </c>
      <c r="K5609" s="3" t="s">
        <v>433</v>
      </c>
      <c r="L5609" s="3" t="str">
        <f>IFERROR(__xludf.DUMMYFUNCTION("GOOGLETRANSLATE(F5609,""id"",""en"")"),"Min tadong is the brain of Argentine idiots stupid auto donkey champion when Anies post when")</f>
        <v>Min tadong is the brain of Argentine idiots stupid auto donkey champion when Anies post when</v>
      </c>
    </row>
    <row r="5610" ht="15.75" customHeight="1">
      <c r="A5610" s="1">
        <v>6787.0</v>
      </c>
      <c r="B5610" s="3" t="s">
        <v>16152</v>
      </c>
      <c r="C5610" s="3">
        <v>0.0</v>
      </c>
      <c r="D5610" s="3">
        <v>0.0</v>
      </c>
      <c r="E5610" s="3">
        <v>0.0</v>
      </c>
      <c r="F5610" s="3" t="s">
        <v>16153</v>
      </c>
      <c r="G5610" s="3">
        <v>0.0</v>
      </c>
      <c r="H5610" s="3">
        <v>0.0</v>
      </c>
      <c r="I5610" s="3" t="s">
        <v>13</v>
      </c>
      <c r="J5610" s="3" t="s">
        <v>16154</v>
      </c>
      <c r="K5610" s="3" t="s">
        <v>41</v>
      </c>
      <c r="L5610" s="3" t="str">
        <f>IFERROR(__xludf.DUMMYFUNCTION("GOOGLETRANSLATE(F5610,""id"",""en"")"),"The dark side of Argentina is the World Cup Champion Revealed French Legend")</f>
        <v>The dark side of Argentina is the World Cup Champion Revealed French Legend</v>
      </c>
    </row>
    <row r="5611" ht="15.75" customHeight="1">
      <c r="A5611" s="1">
        <v>6788.0</v>
      </c>
      <c r="B5611" s="3" t="s">
        <v>16155</v>
      </c>
      <c r="C5611" s="3">
        <v>0.0</v>
      </c>
      <c r="D5611" s="3">
        <v>0.0</v>
      </c>
      <c r="E5611" s="3">
        <v>0.0</v>
      </c>
      <c r="F5611" s="3" t="s">
        <v>16156</v>
      </c>
      <c r="G5611" s="3">
        <v>0.0</v>
      </c>
      <c r="H5611" s="3">
        <v>0.0</v>
      </c>
      <c r="I5611" s="3" t="s">
        <v>13</v>
      </c>
      <c r="J5611" s="3" t="s">
        <v>16157</v>
      </c>
      <c r="K5611" s="3" t="s">
        <v>41</v>
      </c>
      <c r="L5611" s="3" t="str">
        <f>IFERROR(__xludf.DUMMYFUNCTION("GOOGLETRANSLATE(F5611,""id"",""en"")"),"Portugal fans after seeing the Worldcup Qatar Airways who won Argentina")</f>
        <v>Portugal fans after seeing the Worldcup Qatar Airways who won Argentina</v>
      </c>
    </row>
    <row r="5612" ht="15.75" customHeight="1">
      <c r="A5612" s="1">
        <v>6789.0</v>
      </c>
      <c r="B5612" s="3" t="s">
        <v>16158</v>
      </c>
      <c r="C5612" s="3">
        <v>0.0</v>
      </c>
      <c r="D5612" s="3">
        <v>0.0</v>
      </c>
      <c r="E5612" s="3">
        <v>0.0</v>
      </c>
      <c r="F5612" s="3" t="s">
        <v>16159</v>
      </c>
      <c r="G5612" s="3">
        <v>0.0</v>
      </c>
      <c r="H5612" s="3">
        <v>0.0</v>
      </c>
      <c r="I5612" s="3" t="s">
        <v>13</v>
      </c>
      <c r="J5612" s="3" t="s">
        <v>16160</v>
      </c>
      <c r="K5612" s="3" t="s">
        <v>54</v>
      </c>
      <c r="L5612" s="3" t="str">
        <f>IFERROR(__xludf.DUMMYFUNCTION("GOOGLETRANSLATE(F5612,""id"",""en"")"),"Accompanied by PPG and Argentina World Cup champions")</f>
        <v>Accompanied by PPG and Argentina World Cup champions</v>
      </c>
    </row>
    <row r="5613" ht="15.75" customHeight="1">
      <c r="A5613" s="1">
        <v>6790.0</v>
      </c>
      <c r="B5613" s="3" t="s">
        <v>16161</v>
      </c>
      <c r="C5613" s="3">
        <v>1.0</v>
      </c>
      <c r="D5613" s="3">
        <v>0.0</v>
      </c>
      <c r="E5613" s="3">
        <v>2.0</v>
      </c>
      <c r="F5613" s="3" t="s">
        <v>16162</v>
      </c>
      <c r="G5613" s="3">
        <v>1.0</v>
      </c>
      <c r="H5613" s="3">
        <v>0.0</v>
      </c>
      <c r="I5613" s="3" t="s">
        <v>13</v>
      </c>
      <c r="J5613" s="3" t="s">
        <v>16163</v>
      </c>
      <c r="K5613" s="3" t="s">
        <v>50</v>
      </c>
      <c r="L5613" s="3" t="str">
        <f>IFERROR(__xludf.DUMMYFUNCTION("GOOGLETRANSLATE(F5613,""id"",""en"")"),"Albiceleste is aware that every Argentina champion is Final always scoring Netherlands Germany and France goals")</f>
        <v>Albiceleste is aware that every Argentina champion is Final always scoring Netherlands Germany and France goals</v>
      </c>
    </row>
    <row r="5614" ht="15.75" customHeight="1">
      <c r="A5614" s="1">
        <v>6791.0</v>
      </c>
      <c r="B5614" s="3" t="s">
        <v>16164</v>
      </c>
      <c r="C5614" s="3">
        <v>0.0</v>
      </c>
      <c r="D5614" s="3">
        <v>0.0</v>
      </c>
      <c r="E5614" s="3">
        <v>0.0</v>
      </c>
      <c r="F5614" s="3" t="s">
        <v>16165</v>
      </c>
      <c r="G5614" s="3">
        <v>0.0</v>
      </c>
      <c r="H5614" s="3">
        <v>0.0</v>
      </c>
      <c r="I5614" s="3" t="s">
        <v>13</v>
      </c>
      <c r="J5614" s="3" t="s">
        <v>16166</v>
      </c>
      <c r="K5614" s="3" t="s">
        <v>192</v>
      </c>
      <c r="L5614" s="3" t="str">
        <f>IFERROR(__xludf.DUMMYFUNCTION("GOOGLETRANSLATE(F5614,""id"",""en"")"),"If the bastard, the congenital ngibul from the people, like that, Argentina, welcomed the arrival of the world champion, how could I be the heart to become a community")</f>
        <v>If the bastard, the congenital ngibul from the people, like that, Argentina, welcomed the arrival of the world champion, how could I be the heart to become a community</v>
      </c>
    </row>
    <row r="5615" ht="15.75" customHeight="1">
      <c r="A5615" s="1">
        <v>6792.0</v>
      </c>
      <c r="B5615" s="3" t="s">
        <v>16167</v>
      </c>
      <c r="C5615" s="3">
        <v>0.0</v>
      </c>
      <c r="D5615" s="3">
        <v>0.0</v>
      </c>
      <c r="E5615" s="3">
        <v>0.0</v>
      </c>
      <c r="F5615" s="3" t="s">
        <v>16147</v>
      </c>
      <c r="G5615" s="3">
        <v>0.0</v>
      </c>
      <c r="H5615" s="3">
        <v>0.0</v>
      </c>
      <c r="I5615" s="3" t="s">
        <v>13</v>
      </c>
      <c r="J5615" s="3" t="s">
        <v>16148</v>
      </c>
      <c r="K5615" s="3" t="s">
        <v>71</v>
      </c>
      <c r="L5615" s="3" t="str">
        <f>IFERROR(__xludf.DUMMYFUNCTION("GOOGLETRANSLATE(F5615,""id"",""en"")"),"French legend said the dark side of Argentina Champion World Cup CNN Indonesia Google Sports News")</f>
        <v>French legend said the dark side of Argentina Champion World Cup CNN Indonesia Google Sports News</v>
      </c>
    </row>
    <row r="5616" ht="15.75" customHeight="1">
      <c r="A5616" s="1">
        <v>6793.0</v>
      </c>
      <c r="B5616" s="3" t="s">
        <v>16168</v>
      </c>
      <c r="C5616" s="3">
        <v>0.0</v>
      </c>
      <c r="D5616" s="3">
        <v>0.0</v>
      </c>
      <c r="E5616" s="3">
        <v>0.0</v>
      </c>
      <c r="F5616" s="3" t="s">
        <v>16169</v>
      </c>
      <c r="G5616" s="3">
        <v>0.0</v>
      </c>
      <c r="H5616" s="3">
        <v>0.0</v>
      </c>
      <c r="I5616" s="3" t="s">
        <v>13</v>
      </c>
      <c r="J5616" s="3" t="s">
        <v>16170</v>
      </c>
      <c r="K5616" s="3" t="s">
        <v>50</v>
      </c>
      <c r="L5616" s="3" t="str">
        <f>IFERROR(__xludf.DUMMYFUNCTION("GOOGLETRANSLATE(F5616,""id"",""en"")"),"The champion whose behavior is tacky by teasing opponents, only Argentina is still very revenge with France")</f>
        <v>The champion whose behavior is tacky by teasing opponents, only Argentina is still very revenge with France</v>
      </c>
    </row>
    <row r="5617" ht="15.75" customHeight="1">
      <c r="A5617" s="1">
        <v>6794.0</v>
      </c>
      <c r="B5617" s="3" t="s">
        <v>16171</v>
      </c>
      <c r="C5617" s="3">
        <v>0.0</v>
      </c>
      <c r="D5617" s="3">
        <v>0.0</v>
      </c>
      <c r="E5617" s="3">
        <v>0.0</v>
      </c>
      <c r="F5617" s="3" t="s">
        <v>16172</v>
      </c>
      <c r="G5617" s="3">
        <v>0.0</v>
      </c>
      <c r="H5617" s="3">
        <v>0.0</v>
      </c>
      <c r="I5617" s="3" t="s">
        <v>13</v>
      </c>
      <c r="J5617" s="3" t="s">
        <v>16173</v>
      </c>
      <c r="K5617" s="3" t="s">
        <v>16174</v>
      </c>
      <c r="L5617" s="3" t="str">
        <f>IFERROR(__xludf.DUMMYFUNCTION("GOOGLETRANSLATE(F5617,""id"",""en"")"),"Zinedine")</f>
        <v>Zinedine</v>
      </c>
    </row>
    <row r="5618" ht="15.75" customHeight="1">
      <c r="A5618" s="1">
        <v>6795.0</v>
      </c>
      <c r="B5618" s="3" t="s">
        <v>16175</v>
      </c>
      <c r="C5618" s="3">
        <v>1.0</v>
      </c>
      <c r="D5618" s="3">
        <v>0.0</v>
      </c>
      <c r="E5618" s="3">
        <v>0.0</v>
      </c>
      <c r="F5618" s="3" t="s">
        <v>16176</v>
      </c>
      <c r="G5618" s="3">
        <v>0.4</v>
      </c>
      <c r="H5618" s="3">
        <v>-0.2</v>
      </c>
      <c r="I5618" s="3" t="s">
        <v>179</v>
      </c>
      <c r="J5618" s="3" t="s">
        <v>16177</v>
      </c>
      <c r="K5618" s="3" t="s">
        <v>4784</v>
      </c>
      <c r="L5618" s="3" t="str">
        <f>IFERROR(__xludf.DUMMYFUNCTION("GOOGLETRANSLATE(F5618,""id"",""en"")"),"Had lost to Saudi Arabia Argentina then rose to defeat Mexico with a score in the final match of the Argentine group stage successfully defeated Poland and sealing the status of group champions in the Round Argentina phase successfully defeated Australia "&amp;"with a score")</f>
        <v>Had lost to Saudi Arabia Argentina then rose to defeat Mexico with a score in the final match of the Argentine group stage successfully defeated Poland and sealing the status of group champions in the Round Argentina phase successfully defeated Australia with a score</v>
      </c>
    </row>
    <row r="5619" ht="15.75" customHeight="1">
      <c r="A5619" s="1">
        <v>6796.0</v>
      </c>
      <c r="B5619" s="3" t="s">
        <v>16178</v>
      </c>
      <c r="C5619" s="3">
        <v>1.0</v>
      </c>
      <c r="D5619" s="3">
        <v>0.0</v>
      </c>
      <c r="E5619" s="3">
        <v>0.0</v>
      </c>
      <c r="F5619" s="3" t="s">
        <v>16179</v>
      </c>
      <c r="G5619" s="3">
        <v>0.0</v>
      </c>
      <c r="H5619" s="3">
        <v>0.0</v>
      </c>
      <c r="I5619" s="3" t="s">
        <v>13</v>
      </c>
      <c r="J5619" s="3" t="s">
        <v>16180</v>
      </c>
      <c r="K5619" s="3" t="s">
        <v>456</v>
      </c>
      <c r="L5619" s="3" t="str">
        <f>IFERROR(__xludf.DUMMYFUNCTION("GOOGLETRANSLATE(F5619,""id"",""en"")"),"Lionel Scaloni coach who succeeded in bringing Argentina champions of the Qatar World Cup on December so the historic day for the Argentine national team Albiceleste the nickname of the Argentine national team successfully raised the World Cup trophy for "&amp;"the third time in history")</f>
        <v>Lionel Scaloni coach who succeeded in bringing Argentina champions of the Qatar World Cup on December so the historic day for the Argentine national team Albiceleste the nickname of the Argentine national team successfully raised the World Cup trophy for the third time in history</v>
      </c>
    </row>
    <row r="5620" ht="15.75" customHeight="1">
      <c r="A5620" s="1">
        <v>6797.0</v>
      </c>
      <c r="B5620" s="3" t="s">
        <v>16181</v>
      </c>
      <c r="C5620" s="3">
        <v>1.0</v>
      </c>
      <c r="D5620" s="3">
        <v>0.0</v>
      </c>
      <c r="E5620" s="3">
        <v>1.0</v>
      </c>
      <c r="F5620" s="3" t="s">
        <v>16182</v>
      </c>
      <c r="G5620" s="3">
        <v>0.0</v>
      </c>
      <c r="H5620" s="3">
        <v>0.0</v>
      </c>
      <c r="I5620" s="3" t="s">
        <v>13</v>
      </c>
      <c r="J5620" s="3" t="s">
        <v>16183</v>
      </c>
      <c r="K5620" s="3" t="s">
        <v>657</v>
      </c>
      <c r="L5620" s="3" t="str">
        <f>IFERROR(__xludf.DUMMYFUNCTION("GOOGLETRANSLATE(F5620,""id"",""en"")"),"wkwk kmren Argentina like that losing opponents Arabia finally champions World Cup NGAB NGAB normally netizens")</f>
        <v>wkwk kmren Argentina like that losing opponents Arabia finally champions World Cup NGAB NGAB normally netizens</v>
      </c>
    </row>
    <row r="5621" ht="15.75" customHeight="1">
      <c r="A5621" s="1">
        <v>6798.0</v>
      </c>
      <c r="B5621" s="3" t="s">
        <v>16184</v>
      </c>
      <c r="C5621" s="3">
        <v>0.0</v>
      </c>
      <c r="D5621" s="3">
        <v>0.0</v>
      </c>
      <c r="E5621" s="3">
        <v>0.0</v>
      </c>
      <c r="F5621" s="3" t="s">
        <v>16185</v>
      </c>
      <c r="G5621" s="3">
        <v>0.0</v>
      </c>
      <c r="H5621" s="3">
        <v>0.0</v>
      </c>
      <c r="I5621" s="3" t="s">
        <v>13</v>
      </c>
      <c r="J5621" s="3" t="s">
        <v>16186</v>
      </c>
      <c r="K5621" s="3" t="s">
        <v>510</v>
      </c>
      <c r="L5621" s="3" t="str">
        <f>IFERROR(__xludf.DUMMYFUNCTION("GOOGLETRANSLATE(F5621,""id"",""en"")"),"Enzo Fernandez made Manchester United and Liverpool elbow elbows after carrying Argentina World Cup champions")</f>
        <v>Enzo Fernandez made Manchester United and Liverpool elbow elbows after carrying Argentina World Cup champions</v>
      </c>
    </row>
    <row r="5622" ht="15.75" customHeight="1">
      <c r="A5622" s="1">
        <v>6799.0</v>
      </c>
      <c r="B5622" s="3" t="s">
        <v>16187</v>
      </c>
      <c r="C5622" s="3">
        <v>1.0</v>
      </c>
      <c r="D5622" s="3">
        <v>0.0</v>
      </c>
      <c r="E5622" s="3">
        <v>1.0</v>
      </c>
      <c r="F5622" s="3" t="s">
        <v>16188</v>
      </c>
      <c r="G5622" s="3">
        <v>0.0</v>
      </c>
      <c r="H5622" s="3">
        <v>0.0</v>
      </c>
      <c r="I5622" s="3" t="s">
        <v>13</v>
      </c>
      <c r="J5622" s="3" t="s">
        <v>16189</v>
      </c>
      <c r="K5622" s="3" t="s">
        <v>15</v>
      </c>
      <c r="L5622" s="3" t="str">
        <f>IFERROR(__xludf.DUMMYFUNCTION("GOOGLETRANSLATE(F5622,""id"",""en"")"),"Cuy Argentina Champion Lose Team Asia The First Ray")</f>
        <v>Cuy Argentina Champion Lose Team Asia The First Ray</v>
      </c>
    </row>
    <row r="5623" ht="15.75" customHeight="1">
      <c r="A5623" s="1">
        <v>6800.0</v>
      </c>
      <c r="B5623" s="3" t="s">
        <v>16190</v>
      </c>
      <c r="C5623" s="3">
        <v>0.0</v>
      </c>
      <c r="D5623" s="3">
        <v>0.0</v>
      </c>
      <c r="E5623" s="3">
        <v>0.0</v>
      </c>
      <c r="F5623" s="3" t="s">
        <v>16191</v>
      </c>
      <c r="G5623" s="3">
        <v>0.0</v>
      </c>
      <c r="H5623" s="3">
        <v>0.0</v>
      </c>
      <c r="I5623" s="3" t="s">
        <v>13</v>
      </c>
      <c r="J5623" s="3" t="s">
        <v>16192</v>
      </c>
      <c r="K5623" s="3" t="s">
        <v>1925</v>
      </c>
      <c r="L5623" s="3" t="str">
        <f>IFERROR(__xludf.DUMMYFUNCTION("GOOGLETRANSLATE(F5623,""id"",""en"")"),"Argentine national team winger Angel Maria showed off her new tattoo with a picture of the World Cup trophy, Understandably because Maria had just delivered Argentina World Cup champions")</f>
        <v>Argentine national team winger Angel Maria showed off her new tattoo with a picture of the World Cup trophy, Understandably because Maria had just delivered Argentina World Cup champions</v>
      </c>
    </row>
    <row r="5624" ht="15.75" customHeight="1">
      <c r="A5624" s="1">
        <v>6801.0</v>
      </c>
      <c r="B5624" s="3" t="s">
        <v>16193</v>
      </c>
      <c r="C5624" s="3">
        <v>0.0</v>
      </c>
      <c r="D5624" s="3">
        <v>0.0</v>
      </c>
      <c r="E5624" s="3">
        <v>0.0</v>
      </c>
      <c r="F5624" s="3" t="s">
        <v>16185</v>
      </c>
      <c r="G5624" s="3">
        <v>0.0</v>
      </c>
      <c r="H5624" s="3">
        <v>0.0</v>
      </c>
      <c r="I5624" s="3" t="s">
        <v>13</v>
      </c>
      <c r="J5624" s="3" t="s">
        <v>16186</v>
      </c>
      <c r="K5624" s="3" t="s">
        <v>510</v>
      </c>
      <c r="L5624" s="3" t="str">
        <f>IFERROR(__xludf.DUMMYFUNCTION("GOOGLETRANSLATE(F5624,""id"",""en"")"),"Enzo Fernandez made Manchester United and Liverpool elbow elbows after carrying Argentina World Cup champions")</f>
        <v>Enzo Fernandez made Manchester United and Liverpool elbow elbows after carrying Argentina World Cup champions</v>
      </c>
    </row>
    <row r="5625" ht="15.75" customHeight="1">
      <c r="A5625" s="1">
        <v>6802.0</v>
      </c>
      <c r="B5625" s="3" t="s">
        <v>16194</v>
      </c>
      <c r="C5625" s="3">
        <v>0.0</v>
      </c>
      <c r="D5625" s="3">
        <v>0.0</v>
      </c>
      <c r="E5625" s="3">
        <v>0.0</v>
      </c>
      <c r="F5625" s="3" t="s">
        <v>16064</v>
      </c>
      <c r="G5625" s="3">
        <v>0.0</v>
      </c>
      <c r="H5625" s="3">
        <v>0.0</v>
      </c>
      <c r="I5625" s="3" t="s">
        <v>13</v>
      </c>
      <c r="J5625" s="3" t="s">
        <v>16065</v>
      </c>
      <c r="K5625" s="3" t="s">
        <v>695</v>
      </c>
      <c r="L5625" s="3" t="str">
        <f>IFERROR(__xludf.DUMMYFUNCTION("GOOGLETRANSLATE(F5625,""id"",""en"")"),"Emiliano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626" ht="15.75" customHeight="1">
      <c r="A5626" s="1">
        <v>6803.0</v>
      </c>
      <c r="B5626" s="3" t="s">
        <v>16195</v>
      </c>
      <c r="C5626" s="3">
        <v>0.0</v>
      </c>
      <c r="D5626" s="3">
        <v>0.0</v>
      </c>
      <c r="E5626" s="3">
        <v>0.0</v>
      </c>
      <c r="F5626" s="3" t="s">
        <v>16196</v>
      </c>
      <c r="G5626" s="3">
        <v>0.0</v>
      </c>
      <c r="H5626" s="3">
        <v>0.0</v>
      </c>
      <c r="I5626" s="3" t="s">
        <v>13</v>
      </c>
      <c r="J5626" s="3" t="s">
        <v>16197</v>
      </c>
      <c r="K5626" s="3" t="s">
        <v>54</v>
      </c>
      <c r="L5626" s="3" t="str">
        <f>IFERROR(__xludf.DUMMYFUNCTION("GOOGLETRANSLATE(F5626,""id"",""en"")"),"running pretty because Argentina champions of the World Cup")</f>
        <v>running pretty because Argentina champions of the World Cup</v>
      </c>
    </row>
    <row r="5627" ht="15.75" customHeight="1">
      <c r="A5627" s="1">
        <v>6804.0</v>
      </c>
      <c r="B5627" s="3" t="s">
        <v>16198</v>
      </c>
      <c r="C5627" s="3">
        <v>0.0</v>
      </c>
      <c r="D5627" s="3">
        <v>0.0</v>
      </c>
      <c r="E5627" s="3">
        <v>0.0</v>
      </c>
      <c r="F5627" s="3" t="s">
        <v>16064</v>
      </c>
      <c r="G5627" s="3">
        <v>0.0</v>
      </c>
      <c r="H5627" s="3">
        <v>0.0</v>
      </c>
      <c r="I5627" s="3" t="s">
        <v>13</v>
      </c>
      <c r="J5627" s="3" t="s">
        <v>16065</v>
      </c>
      <c r="K5627" s="3" t="s">
        <v>695</v>
      </c>
      <c r="L5627" s="3" t="str">
        <f>IFERROR(__xludf.DUMMYFUNCTION("GOOGLETRANSLATE(F5627,""id"",""en"")"),"Emiliano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628" ht="15.75" customHeight="1">
      <c r="A5628" s="1">
        <v>6805.0</v>
      </c>
      <c r="B5628" s="3" t="s">
        <v>16199</v>
      </c>
      <c r="C5628" s="3">
        <v>8.0</v>
      </c>
      <c r="D5628" s="3">
        <v>4.0</v>
      </c>
      <c r="E5628" s="3">
        <v>19.0</v>
      </c>
      <c r="F5628" s="3" t="s">
        <v>16064</v>
      </c>
      <c r="G5628" s="3">
        <v>0.0</v>
      </c>
      <c r="H5628" s="3">
        <v>0.0</v>
      </c>
      <c r="I5628" s="3" t="s">
        <v>13</v>
      </c>
      <c r="J5628" s="3" t="s">
        <v>16065</v>
      </c>
      <c r="K5628" s="3" t="s">
        <v>695</v>
      </c>
      <c r="L5628" s="3" t="str">
        <f>IFERROR(__xludf.DUMMYFUNCTION("GOOGLETRANSLATE(F5628,""id"",""en"")"),"Emiliano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629" ht="15.75" customHeight="1">
      <c r="A5629" s="1">
        <v>6806.0</v>
      </c>
      <c r="B5629" s="3" t="s">
        <v>16200</v>
      </c>
      <c r="C5629" s="3">
        <v>0.0</v>
      </c>
      <c r="D5629" s="3">
        <v>0.0</v>
      </c>
      <c r="E5629" s="3">
        <v>0.0</v>
      </c>
      <c r="F5629" s="3" t="s">
        <v>16201</v>
      </c>
      <c r="G5629" s="3">
        <v>0.0</v>
      </c>
      <c r="H5629" s="3">
        <v>0.0</v>
      </c>
      <c r="I5629" s="3" t="s">
        <v>13</v>
      </c>
      <c r="J5629" s="3" t="s">
        <v>16202</v>
      </c>
      <c r="K5629" s="3" t="s">
        <v>71</v>
      </c>
      <c r="L5629" s="3" t="str">
        <f>IFERROR(__xludf.DUMMYFUNCTION("GOOGLETRANSLATE(F5629,""id"",""en"")"),"The story of Mario Gotze is excited to see Argentina World Cup champion Lionel Messi is the reason")</f>
        <v>The story of Mario Gotze is excited to see Argentina World Cup champion Lionel Messi is the reason</v>
      </c>
    </row>
    <row r="5630" ht="15.75" customHeight="1">
      <c r="A5630" s="1">
        <v>6807.0</v>
      </c>
      <c r="B5630" s="3" t="s">
        <v>16203</v>
      </c>
      <c r="C5630" s="3">
        <v>0.0</v>
      </c>
      <c r="D5630" s="3">
        <v>0.0</v>
      </c>
      <c r="E5630" s="3">
        <v>0.0</v>
      </c>
      <c r="F5630" s="3" t="s">
        <v>16204</v>
      </c>
      <c r="G5630" s="3">
        <v>0.0</v>
      </c>
      <c r="H5630" s="3">
        <v>0.0</v>
      </c>
      <c r="I5630" s="3" t="s">
        <v>13</v>
      </c>
      <c r="J5630" s="3" t="s">
        <v>16205</v>
      </c>
      <c r="K5630" s="3" t="s">
        <v>35</v>
      </c>
      <c r="L5630" s="3" t="str">
        <f>IFERROR(__xludf.DUMMYFUNCTION("GOOGLETRANSLATE(F5630,""id"",""en"")"),"I'm happy because Messi and Argentina won the World Cup champion I am also sad because you chose another")</f>
        <v>I'm happy because Messi and Argentina won the World Cup champion I am also sad because you chose another</v>
      </c>
    </row>
    <row r="5631" ht="15.75" customHeight="1">
      <c r="A5631" s="1">
        <v>6808.0</v>
      </c>
      <c r="B5631" s="3" t="s">
        <v>16206</v>
      </c>
      <c r="C5631" s="3">
        <v>0.0</v>
      </c>
      <c r="D5631" s="3">
        <v>0.0</v>
      </c>
      <c r="E5631" s="3">
        <v>0.0</v>
      </c>
      <c r="F5631" s="3" t="s">
        <v>16207</v>
      </c>
      <c r="G5631" s="3">
        <v>0.0</v>
      </c>
      <c r="H5631" s="3">
        <v>0.0</v>
      </c>
      <c r="I5631" s="3" t="s">
        <v>13</v>
      </c>
      <c r="J5631" s="3" t="s">
        <v>16208</v>
      </c>
      <c r="K5631" s="3" t="s">
        <v>15</v>
      </c>
      <c r="L5631" s="3" t="str">
        <f>IFERROR(__xludf.DUMMYFUNCTION("GOOGLETRANSLATE(F5631,""id"",""en"")"),"if there is happier than Argentina the World Cup champion may have it")</f>
        <v>if there is happier than Argentina the World Cup champion may have it</v>
      </c>
    </row>
    <row r="5632" ht="15.75" customHeight="1">
      <c r="A5632" s="1">
        <v>6809.0</v>
      </c>
      <c r="B5632" s="3" t="s">
        <v>16209</v>
      </c>
      <c r="C5632" s="3">
        <v>0.0</v>
      </c>
      <c r="D5632" s="3">
        <v>0.0</v>
      </c>
      <c r="E5632" s="3">
        <v>0.0</v>
      </c>
      <c r="F5632" s="3" t="s">
        <v>16210</v>
      </c>
      <c r="G5632" s="3">
        <v>0.0</v>
      </c>
      <c r="H5632" s="3">
        <v>0.0</v>
      </c>
      <c r="I5632" s="3" t="s">
        <v>13</v>
      </c>
      <c r="J5632" s="3" t="s">
        <v>16211</v>
      </c>
      <c r="K5632" s="3" t="s">
        <v>50</v>
      </c>
      <c r="L5632" s="3" t="str">
        <f>IFERROR(__xludf.DUMMYFUNCTION("GOOGLETRANSLATE(F5632,""id"",""en"")"),"Not Argentina Western Journalist said the Champion of the Qatar World Cup is via")</f>
        <v>Not Argentina Western Journalist said the Champion of the Qatar World Cup is via</v>
      </c>
    </row>
    <row r="5633" ht="15.75" customHeight="1">
      <c r="A5633" s="1">
        <v>6810.0</v>
      </c>
      <c r="B5633" s="3" t="s">
        <v>16212</v>
      </c>
      <c r="C5633" s="3">
        <v>0.0</v>
      </c>
      <c r="D5633" s="3">
        <v>0.0</v>
      </c>
      <c r="E5633" s="3">
        <v>0.0</v>
      </c>
      <c r="F5633" s="3" t="s">
        <v>16201</v>
      </c>
      <c r="G5633" s="3">
        <v>0.0</v>
      </c>
      <c r="H5633" s="3">
        <v>0.0</v>
      </c>
      <c r="I5633" s="3" t="s">
        <v>13</v>
      </c>
      <c r="J5633" s="3" t="s">
        <v>16202</v>
      </c>
      <c r="K5633" s="3" t="s">
        <v>71</v>
      </c>
      <c r="L5633" s="3" t="str">
        <f>IFERROR(__xludf.DUMMYFUNCTION("GOOGLETRANSLATE(F5633,""id"",""en"")"),"The story of Mario Gotze is excited to see Argentina World Cup champion Lionel Messi is the reason")</f>
        <v>The story of Mario Gotze is excited to see Argentina World Cup champion Lionel Messi is the reason</v>
      </c>
    </row>
    <row r="5634" ht="15.75" customHeight="1">
      <c r="A5634" s="1">
        <v>6811.0</v>
      </c>
      <c r="B5634" s="3" t="s">
        <v>16213</v>
      </c>
      <c r="C5634" s="3">
        <v>1.0</v>
      </c>
      <c r="D5634" s="3">
        <v>0.0</v>
      </c>
      <c r="E5634" s="3">
        <v>5.0</v>
      </c>
      <c r="F5634" s="3" t="s">
        <v>16214</v>
      </c>
      <c r="G5634" s="3">
        <v>0.0</v>
      </c>
      <c r="H5634" s="3">
        <v>0.0</v>
      </c>
      <c r="I5634" s="3" t="s">
        <v>13</v>
      </c>
      <c r="J5634" s="3" t="s">
        <v>16215</v>
      </c>
      <c r="K5634" s="3" t="s">
        <v>31</v>
      </c>
      <c r="L5634" s="3" t="str">
        <f>IFERROR(__xludf.DUMMYFUNCTION("GOOGLETRANSLATE(F5634,""id"",""en"")"),"Valdez Date Is Argentina Champion")</f>
        <v>Valdez Date Is Argentina Champion</v>
      </c>
    </row>
    <row r="5635" ht="15.75" customHeight="1">
      <c r="A5635" s="1">
        <v>6812.0</v>
      </c>
      <c r="B5635" s="3" t="s">
        <v>16216</v>
      </c>
      <c r="C5635" s="3">
        <v>0.0</v>
      </c>
      <c r="D5635" s="3">
        <v>0.0</v>
      </c>
      <c r="E5635" s="3">
        <v>0.0</v>
      </c>
      <c r="F5635" s="3" t="s">
        <v>16217</v>
      </c>
      <c r="G5635" s="3">
        <v>0.0</v>
      </c>
      <c r="H5635" s="3">
        <v>0.0</v>
      </c>
      <c r="I5635" s="3" t="s">
        <v>13</v>
      </c>
      <c r="J5635" s="3" t="s">
        <v>16218</v>
      </c>
      <c r="K5635" s="3" t="s">
        <v>50</v>
      </c>
      <c r="L5635" s="3" t="str">
        <f>IFERROR(__xludf.DUMMYFUNCTION("GOOGLETRANSLATE(F5635,""id"",""en"")"),"FIFA Investigates the Behavior of Salt Bae Celebration of Argentina World Cup Champion")</f>
        <v>FIFA Investigates the Behavior of Salt Bae Celebration of Argentina World Cup Champion</v>
      </c>
    </row>
    <row r="5636" ht="15.75" customHeight="1">
      <c r="A5636" s="1">
        <v>6813.0</v>
      </c>
      <c r="B5636" s="3" t="s">
        <v>16219</v>
      </c>
      <c r="C5636" s="3">
        <v>0.0</v>
      </c>
      <c r="D5636" s="3">
        <v>0.0</v>
      </c>
      <c r="E5636" s="3">
        <v>3.0</v>
      </c>
      <c r="F5636" s="3" t="s">
        <v>16013</v>
      </c>
      <c r="G5636" s="3">
        <v>0.0</v>
      </c>
      <c r="H5636" s="3">
        <v>0.0</v>
      </c>
      <c r="I5636" s="3" t="s">
        <v>13</v>
      </c>
      <c r="J5636" s="3" t="s">
        <v>16014</v>
      </c>
      <c r="K5636" s="3" t="s">
        <v>41</v>
      </c>
      <c r="L5636" s="3" t="str">
        <f>IFERROR(__xludf.DUMMYFUNCTION("GOOGLETRANSLATE(F5636,""id"",""en"")"),"French legend revealed the dark side of Argentina World Cup champions")</f>
        <v>French legend revealed the dark side of Argentina World Cup champions</v>
      </c>
    </row>
    <row r="5637" ht="15.75" customHeight="1">
      <c r="A5637" s="1">
        <v>6814.0</v>
      </c>
      <c r="B5637" s="3" t="s">
        <v>16220</v>
      </c>
      <c r="C5637" s="3">
        <v>0.0</v>
      </c>
      <c r="D5637" s="3">
        <v>0.0</v>
      </c>
      <c r="E5637" s="3">
        <v>0.0</v>
      </c>
      <c r="F5637" s="3" t="s">
        <v>16221</v>
      </c>
      <c r="G5637" s="3">
        <v>0.0</v>
      </c>
      <c r="H5637" s="3">
        <v>0.0</v>
      </c>
      <c r="I5637" s="3" t="s">
        <v>13</v>
      </c>
      <c r="J5637" s="3" t="s">
        <v>16222</v>
      </c>
      <c r="K5637" s="3" t="s">
        <v>15</v>
      </c>
      <c r="L5637" s="3" t="str">
        <f>IFERROR(__xludf.DUMMYFUNCTION("GOOGLETRANSLATE(F5637,""id"",""en"")"),"Important Predictions of French Argentina Precise Predictions It's time for Messi Champion")</f>
        <v>Important Predictions of French Argentina Precise Predictions It's time for Messi Champion</v>
      </c>
    </row>
    <row r="5638" ht="15.75" customHeight="1">
      <c r="A5638" s="1">
        <v>6815.0</v>
      </c>
      <c r="B5638" s="3" t="s">
        <v>16223</v>
      </c>
      <c r="C5638" s="3">
        <v>0.0</v>
      </c>
      <c r="D5638" s="3">
        <v>0.0</v>
      </c>
      <c r="E5638" s="3">
        <v>0.0</v>
      </c>
      <c r="F5638" s="3" t="s">
        <v>16224</v>
      </c>
      <c r="G5638" s="3">
        <v>0.0</v>
      </c>
      <c r="H5638" s="3">
        <v>0.0</v>
      </c>
      <c r="I5638" s="3" t="s">
        <v>13</v>
      </c>
      <c r="J5638" s="3" t="s">
        <v>16225</v>
      </c>
      <c r="K5638" s="3" t="s">
        <v>31</v>
      </c>
      <c r="L5638" s="3" t="str">
        <f>IFERROR(__xludf.DUMMYFUNCTION("GOOGLETRANSLATE(F5638,""id"",""en"")"),"Argentina's world champion and economy sink")</f>
        <v>Argentina's world champion and economy sink</v>
      </c>
    </row>
    <row r="5639" ht="15.75" customHeight="1">
      <c r="A5639" s="1">
        <v>6816.0</v>
      </c>
      <c r="B5639" s="3" t="s">
        <v>16226</v>
      </c>
      <c r="C5639" s="3">
        <v>2.0</v>
      </c>
      <c r="D5639" s="3">
        <v>0.0</v>
      </c>
      <c r="E5639" s="3">
        <v>10.0</v>
      </c>
      <c r="F5639" s="3" t="s">
        <v>16227</v>
      </c>
      <c r="G5639" s="3">
        <v>0.0</v>
      </c>
      <c r="H5639" s="3">
        <v>0.0</v>
      </c>
      <c r="I5639" s="3" t="s">
        <v>13</v>
      </c>
      <c r="J5639" s="3" t="s">
        <v>16228</v>
      </c>
      <c r="K5639" s="3" t="s">
        <v>165</v>
      </c>
      <c r="L5639" s="3" t="str">
        <f>IFERROR(__xludf.DUMMYFUNCTION("GOOGLETRANSLATE(F5639,""id"",""en"")"),"agree and support the behavior of this goalkeeper means the same if you become a winner, it will definitely be a championship person, it's free to behave, not to be as good as Ndas Dwe Happy Argentina for the champion of WLPN Adu Penalty is indeed worthy "&amp;"of championship")</f>
        <v>agree and support the behavior of this goalkeeper means the same if you become a winner, it will definitely be a championship person, it's free to behave, not to be as good as Ndas Dwe Happy Argentina for the champion of WLPN Adu Penalty is indeed worthy of championship</v>
      </c>
    </row>
    <row r="5640" ht="15.75" customHeight="1">
      <c r="A5640" s="1">
        <v>6817.0</v>
      </c>
      <c r="B5640" s="3" t="s">
        <v>16229</v>
      </c>
      <c r="C5640" s="3">
        <v>0.0</v>
      </c>
      <c r="D5640" s="3">
        <v>0.0</v>
      </c>
      <c r="E5640" s="3">
        <v>0.0</v>
      </c>
      <c r="F5640" s="3" t="s">
        <v>16230</v>
      </c>
      <c r="G5640" s="3">
        <v>0.0</v>
      </c>
      <c r="H5640" s="3">
        <v>0.0</v>
      </c>
      <c r="I5640" s="3" t="s">
        <v>13</v>
      </c>
      <c r="J5640" s="3" t="s">
        <v>16231</v>
      </c>
      <c r="K5640" s="3" t="s">
        <v>657</v>
      </c>
      <c r="L5640" s="3" t="str">
        <f>IFERROR(__xludf.DUMMYFUNCTION("GOOGLETRANSLATE(F5640,""id"",""en"")"),"Patrick Vieira Celebration Stupid Emi Martinez Damaged Essence of Argentina World Cup Google News Sports News")</f>
        <v>Patrick Vieira Celebration Stupid Emi Martinez Damaged Essence of Argentina World Cup Google News Sports News</v>
      </c>
    </row>
    <row r="5641" ht="15.75" customHeight="1">
      <c r="A5641" s="1">
        <v>6818.0</v>
      </c>
      <c r="B5641" s="3" t="s">
        <v>16232</v>
      </c>
      <c r="C5641" s="3">
        <v>1.0</v>
      </c>
      <c r="D5641" s="3">
        <v>0.0</v>
      </c>
      <c r="E5641" s="3">
        <v>1.0</v>
      </c>
      <c r="F5641" s="3" t="s">
        <v>16233</v>
      </c>
      <c r="G5641" s="3">
        <v>0.0</v>
      </c>
      <c r="H5641" s="3">
        <v>0.0</v>
      </c>
      <c r="I5641" s="3" t="s">
        <v>13</v>
      </c>
      <c r="J5641" s="3" t="s">
        <v>16234</v>
      </c>
      <c r="K5641" s="3" t="s">
        <v>484</v>
      </c>
      <c r="L5641" s="3" t="str">
        <f>IFERROR(__xludf.DUMMYFUNCTION("GOOGLETRANSLATE(F5641,""id"",""en"")"),"Age of SBY Argentina hasn't won the World Cup but the jkw can happen to the world even")</f>
        <v>Age of SBY Argentina hasn't won the World Cup but the jkw can happen to the world even</v>
      </c>
    </row>
    <row r="5642" ht="15.75" customHeight="1">
      <c r="A5642" s="1">
        <v>6819.0</v>
      </c>
      <c r="B5642" s="3" t="s">
        <v>16235</v>
      </c>
      <c r="C5642" s="3">
        <v>0.0</v>
      </c>
      <c r="D5642" s="3">
        <v>0.0</v>
      </c>
      <c r="E5642" s="3">
        <v>0.0</v>
      </c>
      <c r="F5642" s="3" t="s">
        <v>16236</v>
      </c>
      <c r="G5642" s="3">
        <v>0.0</v>
      </c>
      <c r="H5642" s="3">
        <v>0.0</v>
      </c>
      <c r="I5642" s="3" t="s">
        <v>13</v>
      </c>
      <c r="J5642" s="3" t="s">
        <v>16237</v>
      </c>
      <c r="K5642" s="3" t="s">
        <v>15</v>
      </c>
      <c r="L5642" s="3" t="str">
        <f>IFERROR(__xludf.DUMMYFUNCTION("GOOGLETRANSLATE(F5642,""id"",""en"")"),"Ronaldo, if the Argentina is repeated, it will still be a champion")</f>
        <v>Ronaldo, if the Argentina is repeated, it will still be a champion</v>
      </c>
    </row>
    <row r="5643" ht="15.75" customHeight="1">
      <c r="A5643" s="1">
        <v>6820.0</v>
      </c>
      <c r="B5643" s="3" t="s">
        <v>16238</v>
      </c>
      <c r="C5643" s="3">
        <v>0.0</v>
      </c>
      <c r="D5643" s="3">
        <v>0.0</v>
      </c>
      <c r="E5643" s="3">
        <v>0.0</v>
      </c>
      <c r="F5643" s="3" t="s">
        <v>16201</v>
      </c>
      <c r="G5643" s="3">
        <v>0.0</v>
      </c>
      <c r="H5643" s="3">
        <v>0.0</v>
      </c>
      <c r="I5643" s="3" t="s">
        <v>13</v>
      </c>
      <c r="J5643" s="3" t="s">
        <v>16202</v>
      </c>
      <c r="K5643" s="3" t="s">
        <v>71</v>
      </c>
      <c r="L5643" s="3" t="str">
        <f>IFERROR(__xludf.DUMMYFUNCTION("GOOGLETRANSLATE(F5643,""id"",""en"")"),"The story of Mario Gotze is excited to see Argentina World Cup champion Lionel Messi is the reason")</f>
        <v>The story of Mario Gotze is excited to see Argentina World Cup champion Lionel Messi is the reason</v>
      </c>
    </row>
    <row r="5644" ht="15.75" customHeight="1">
      <c r="A5644" s="1">
        <v>6821.0</v>
      </c>
      <c r="B5644" s="3" t="s">
        <v>16239</v>
      </c>
      <c r="C5644" s="3">
        <v>0.0</v>
      </c>
      <c r="D5644" s="3">
        <v>0.0</v>
      </c>
      <c r="E5644" s="3">
        <v>0.0</v>
      </c>
      <c r="F5644" s="3" t="s">
        <v>16230</v>
      </c>
      <c r="G5644" s="3">
        <v>0.0</v>
      </c>
      <c r="H5644" s="3">
        <v>0.0</v>
      </c>
      <c r="I5644" s="3" t="s">
        <v>13</v>
      </c>
      <c r="J5644" s="3" t="s">
        <v>16231</v>
      </c>
      <c r="K5644" s="3" t="s">
        <v>657</v>
      </c>
      <c r="L5644" s="3" t="str">
        <f>IFERROR(__xludf.DUMMYFUNCTION("GOOGLETRANSLATE(F5644,""id"",""en"")"),"Patrick Vieira Celebration Stupid Emi Martinez Damaged Essence of Argentina World Cup Google News Sports News")</f>
        <v>Patrick Vieira Celebration Stupid Emi Martinez Damaged Essence of Argentina World Cup Google News Sports News</v>
      </c>
    </row>
    <row r="5645" ht="15.75" customHeight="1">
      <c r="A5645" s="1">
        <v>6822.0</v>
      </c>
      <c r="B5645" s="3" t="s">
        <v>16240</v>
      </c>
      <c r="C5645" s="3">
        <v>0.0</v>
      </c>
      <c r="D5645" s="3">
        <v>0.0</v>
      </c>
      <c r="E5645" s="3">
        <v>0.0</v>
      </c>
      <c r="F5645" s="3" t="s">
        <v>16241</v>
      </c>
      <c r="G5645" s="3">
        <v>0.0</v>
      </c>
      <c r="H5645" s="3">
        <v>0.0</v>
      </c>
      <c r="I5645" s="3" t="s">
        <v>13</v>
      </c>
      <c r="J5645" s="3" t="s">
        <v>16242</v>
      </c>
      <c r="K5645" s="3" t="s">
        <v>23</v>
      </c>
      <c r="L5645" s="3" t="str">
        <f>IFERROR(__xludf.DUMMYFUNCTION("GOOGLETRANSLATE(F5645,""id"",""en"")"),"The name of the person who likes to lie is that there will be Argentina, there is no Kadrun Anies, celebrating the champion of the soccer world cup.")</f>
        <v>The name of the person who likes to lie is that there will be Argentina, there is no Kadrun Anies, celebrating the champion of the soccer world cup.</v>
      </c>
    </row>
    <row r="5646" ht="15.75" customHeight="1">
      <c r="A5646" s="1">
        <v>6823.0</v>
      </c>
      <c r="B5646" s="3" t="s">
        <v>16243</v>
      </c>
      <c r="C5646" s="3">
        <v>7.0</v>
      </c>
      <c r="D5646" s="3">
        <v>0.0</v>
      </c>
      <c r="E5646" s="3">
        <v>4.0</v>
      </c>
      <c r="F5646" s="3" t="s">
        <v>16244</v>
      </c>
      <c r="G5646" s="3">
        <v>0.15</v>
      </c>
      <c r="H5646" s="3">
        <v>-0.2</v>
      </c>
      <c r="I5646" s="3" t="s">
        <v>179</v>
      </c>
      <c r="J5646" s="3" t="s">
        <v>16245</v>
      </c>
      <c r="K5646" s="3" t="s">
        <v>165</v>
      </c>
      <c r="L5646" s="3" t="str">
        <f>IFERROR(__xludf.DUMMYFUNCTION("GOOGLETRANSLATE(F5646,""id"",""en"")"),"MIGN DO NOT FOLLOW HOPE HOAX Bro Argentina Photos Occurs date of TUIT WAN WAN GOT means that Argentina hasn't been a world champion, Cak Min, not an intruder of Khan BKN to plunge the NKRI account.")</f>
        <v>MIGN DO NOT FOLLOW HOPE HOAX Bro Argentina Photos Occurs date of TUIT WAN WAN GOT means that Argentina hasn't been a world champion, Cak Min, not an intruder of Khan BKN to plunge the NKRI account.</v>
      </c>
    </row>
    <row r="5647" ht="15.75" customHeight="1">
      <c r="A5647" s="1">
        <v>6824.0</v>
      </c>
      <c r="B5647" s="3" t="s">
        <v>16246</v>
      </c>
      <c r="C5647" s="3">
        <v>1.0</v>
      </c>
      <c r="D5647" s="3">
        <v>0.0</v>
      </c>
      <c r="E5647" s="3">
        <v>2.0</v>
      </c>
      <c r="F5647" s="3" t="s">
        <v>16247</v>
      </c>
      <c r="G5647" s="3">
        <v>0.4</v>
      </c>
      <c r="H5647" s="3">
        <v>0.1</v>
      </c>
      <c r="I5647" s="3" t="s">
        <v>48</v>
      </c>
      <c r="J5647" s="3" t="s">
        <v>16248</v>
      </c>
      <c r="K5647" s="3" t="s">
        <v>19</v>
      </c>
      <c r="L5647" s="3" t="str">
        <f>IFERROR(__xludf.DUMMYFUNCTION("GOOGLETRANSLATE(F5647,""id"",""en"")"),"The name of the player who is the jerk is really dangerous if you get a vital part of the person especially reflexive")</f>
        <v>The name of the player who is the jerk is really dangerous if you get a vital part of the person especially reflexive</v>
      </c>
    </row>
    <row r="5648" ht="15.75" customHeight="1">
      <c r="A5648" s="1">
        <v>6825.0</v>
      </c>
      <c r="B5648" s="3" t="s">
        <v>16249</v>
      </c>
      <c r="C5648" s="3">
        <v>4.0</v>
      </c>
      <c r="D5648" s="3">
        <v>0.0</v>
      </c>
      <c r="E5648" s="3">
        <v>31.0</v>
      </c>
      <c r="F5648" s="3" t="s">
        <v>16250</v>
      </c>
      <c r="G5648" s="3">
        <v>1.0</v>
      </c>
      <c r="H5648" s="3">
        <v>0.0</v>
      </c>
      <c r="I5648" s="3" t="s">
        <v>13</v>
      </c>
      <c r="J5648" s="3" t="s">
        <v>16251</v>
      </c>
      <c r="K5648" s="3" t="s">
        <v>1061</v>
      </c>
      <c r="L5648" s="3" t="str">
        <f>IFERROR(__xludf.DUMMYFUNCTION("GOOGLETRANSLATE(F5648,""id"",""en"")"),"casually France just yesterday champion now can backtoback the final again so runner cmn through a penal shootout already really great there is still another chance later if Argentina and Messi may indeed be the only opportunity")</f>
        <v>casually France just yesterday champion now can backtoback the final again so runner cmn through a penal shootout already really great there is still another chance later if Argentina and Messi may indeed be the only opportunity</v>
      </c>
    </row>
    <row r="5649" ht="15.75" customHeight="1">
      <c r="A5649" s="1">
        <v>6826.0</v>
      </c>
      <c r="B5649" s="3" t="s">
        <v>16252</v>
      </c>
      <c r="C5649" s="3">
        <v>0.0</v>
      </c>
      <c r="D5649" s="3">
        <v>0.0</v>
      </c>
      <c r="E5649" s="3">
        <v>1.0</v>
      </c>
      <c r="F5649" s="3" t="s">
        <v>16253</v>
      </c>
      <c r="G5649" s="3">
        <v>0.0</v>
      </c>
      <c r="H5649" s="3">
        <v>0.0</v>
      </c>
      <c r="I5649" s="3" t="s">
        <v>13</v>
      </c>
      <c r="J5649" s="3" t="s">
        <v>16254</v>
      </c>
      <c r="K5649" s="3" t="s">
        <v>1469</v>
      </c>
      <c r="L5649" s="3" t="str">
        <f>IFERROR(__xludf.DUMMYFUNCTION("GOOGLETRANSLATE(F5649,""id"",""en"")"),"the similarity of the Indonesian national team AFF Cup and the Argentina national team when the World Cup number champions brought Lionel Messi")</f>
        <v>the similarity of the Indonesian national team AFF Cup and the Argentina national team when the World Cup number champions brought Lionel Messi</v>
      </c>
    </row>
    <row r="5650" ht="15.75" customHeight="1">
      <c r="A5650" s="1">
        <v>6827.0</v>
      </c>
      <c r="B5650" s="3" t="s">
        <v>16255</v>
      </c>
      <c r="C5650" s="3">
        <v>0.0</v>
      </c>
      <c r="D5650" s="3">
        <v>0.0</v>
      </c>
      <c r="E5650" s="3">
        <v>0.0</v>
      </c>
      <c r="F5650" s="3" t="s">
        <v>16256</v>
      </c>
      <c r="G5650" s="3">
        <v>0.0</v>
      </c>
      <c r="H5650" s="3">
        <v>0.0</v>
      </c>
      <c r="I5650" s="3" t="s">
        <v>13</v>
      </c>
      <c r="J5650" s="3" t="s">
        <v>16257</v>
      </c>
      <c r="K5650" s="3" t="s">
        <v>16174</v>
      </c>
      <c r="L5650" s="3" t="str">
        <f>IFERROR(__xludf.DUMMYFUNCTION("GOOGLETRANSLATE(F5650,""id"",""en"")"),"sure")</f>
        <v>sure</v>
      </c>
    </row>
    <row r="5651" ht="15.75" customHeight="1">
      <c r="A5651" s="1">
        <v>6828.0</v>
      </c>
      <c r="B5651" s="3" t="s">
        <v>16258</v>
      </c>
      <c r="C5651" s="3">
        <v>0.0</v>
      </c>
      <c r="D5651" s="3">
        <v>0.0</v>
      </c>
      <c r="E5651" s="3">
        <v>0.0</v>
      </c>
      <c r="F5651" s="3" t="s">
        <v>16259</v>
      </c>
      <c r="G5651" s="3">
        <v>0.0</v>
      </c>
      <c r="H5651" s="3">
        <v>0.0</v>
      </c>
      <c r="I5651" s="3" t="s">
        <v>13</v>
      </c>
      <c r="J5651" s="3" t="s">
        <v>16260</v>
      </c>
      <c r="K5651" s="3" t="s">
        <v>50</v>
      </c>
      <c r="L5651" s="3" t="str">
        <f>IFERROR(__xludf.DUMMYFUNCTION("GOOGLETRANSLATE(F5651,""id"",""en"")"),"Although he was defeated by Saudi Arabia Argentina won the Qatar World Cup")</f>
        <v>Although he was defeated by Saudi Arabia Argentina won the Qatar World Cup</v>
      </c>
    </row>
    <row r="5652" ht="15.75" customHeight="1">
      <c r="A5652" s="1">
        <v>6830.0</v>
      </c>
      <c r="B5652" s="3" t="s">
        <v>16261</v>
      </c>
      <c r="C5652" s="3">
        <v>0.0</v>
      </c>
      <c r="D5652" s="3">
        <v>0.0</v>
      </c>
      <c r="E5652" s="3">
        <v>0.0</v>
      </c>
      <c r="F5652" s="3" t="s">
        <v>16262</v>
      </c>
      <c r="G5652" s="3">
        <v>0.0</v>
      </c>
      <c r="H5652" s="3">
        <v>0.0</v>
      </c>
      <c r="I5652" s="3" t="s">
        <v>13</v>
      </c>
      <c r="J5652" s="3" t="s">
        <v>16263</v>
      </c>
      <c r="K5652" s="3" t="s">
        <v>15</v>
      </c>
      <c r="L5652" s="3" t="str">
        <f>IFERROR(__xludf.DUMMYFUNCTION("GOOGLETRANSLATE(F5652,""id"",""en"")"),"Argentina's point is still champion, Gausa, bertangle")</f>
        <v>Argentina's point is still champion, Gausa, bertangle</v>
      </c>
    </row>
    <row r="5653" ht="15.75" customHeight="1">
      <c r="A5653" s="1">
        <v>6831.0</v>
      </c>
      <c r="B5653" s="3" t="s">
        <v>16264</v>
      </c>
      <c r="C5653" s="3">
        <v>1.0</v>
      </c>
      <c r="D5653" s="3">
        <v>2.0</v>
      </c>
      <c r="E5653" s="3">
        <v>7.0</v>
      </c>
      <c r="F5653" s="3" t="s">
        <v>16265</v>
      </c>
      <c r="G5653" s="3">
        <v>0.0</v>
      </c>
      <c r="H5653" s="3">
        <v>0.0</v>
      </c>
      <c r="I5653" s="3" t="s">
        <v>13</v>
      </c>
      <c r="J5653" s="3" t="s">
        <v>16266</v>
      </c>
      <c r="K5653" s="3" t="s">
        <v>1335</v>
      </c>
      <c r="L5653" s="3" t="str">
        <f>IFERROR(__xludf.DUMMYFUNCTION("GOOGLETRANSLATE(F5653,""id"",""en"")"),"Sing Argentina Champion Sing Ndem Ndeman Kerala")</f>
        <v>Sing Argentina Champion Sing Ndem Ndeman Kerala</v>
      </c>
    </row>
    <row r="5654" ht="15.75" customHeight="1">
      <c r="A5654" s="1">
        <v>6832.0</v>
      </c>
      <c r="B5654" s="3" t="s">
        <v>16267</v>
      </c>
      <c r="C5654" s="3">
        <v>0.0</v>
      </c>
      <c r="D5654" s="3">
        <v>1.0</v>
      </c>
      <c r="E5654" s="3">
        <v>4.0</v>
      </c>
      <c r="F5654" s="3" t="s">
        <v>16268</v>
      </c>
      <c r="G5654" s="3">
        <v>0.0</v>
      </c>
      <c r="H5654" s="3">
        <v>0.0</v>
      </c>
      <c r="I5654" s="3" t="s">
        <v>13</v>
      </c>
      <c r="J5654" s="3" t="s">
        <v>16269</v>
      </c>
      <c r="K5654" s="3" t="s">
        <v>6592</v>
      </c>
      <c r="L5654" s="3" t="str">
        <f>IFERROR(__xludf.DUMMYFUNCTION("GOOGLETRANSLATE(F5654,""id"",""en"")"),"Disgrace for Disgrace Pacis for Argentina Free Champion")</f>
        <v>Disgrace for Disgrace Pacis for Argentina Free Champion</v>
      </c>
    </row>
    <row r="5655" ht="15.75" customHeight="1">
      <c r="A5655" s="1">
        <v>6833.0</v>
      </c>
      <c r="B5655" s="3" t="s">
        <v>16270</v>
      </c>
      <c r="C5655" s="3">
        <v>0.0</v>
      </c>
      <c r="D5655" s="3">
        <v>0.0</v>
      </c>
      <c r="E5655" s="3">
        <v>0.0</v>
      </c>
      <c r="F5655" s="3" t="s">
        <v>16271</v>
      </c>
      <c r="G5655" s="3">
        <v>0.0</v>
      </c>
      <c r="H5655" s="3">
        <v>0.0</v>
      </c>
      <c r="I5655" s="3" t="s">
        <v>13</v>
      </c>
      <c r="J5655" s="3" t="s">
        <v>16272</v>
      </c>
      <c r="K5655" s="3" t="s">
        <v>127</v>
      </c>
      <c r="L5655" s="3" t="str">
        <f>IFERROR(__xludf.DUMMYFUNCTION("GOOGLETRANSLATE(F5655,""id"",""en"")"),"The Bisht robe used by Argentine national team captain Lionel Messi when the World Cup championship ceremony was offered by a rich lawyer from Oman")</f>
        <v>The Bisht robe used by Argentine national team captain Lionel Messi when the World Cup championship ceremony was offered by a rich lawyer from Oman</v>
      </c>
    </row>
    <row r="5656" ht="15.75" customHeight="1">
      <c r="A5656" s="1">
        <v>6834.0</v>
      </c>
      <c r="B5656" s="3" t="s">
        <v>16273</v>
      </c>
      <c r="C5656" s="3">
        <v>0.0</v>
      </c>
      <c r="D5656" s="3">
        <v>0.0</v>
      </c>
      <c r="E5656" s="3">
        <v>0.0</v>
      </c>
      <c r="F5656" s="3" t="s">
        <v>16274</v>
      </c>
      <c r="G5656" s="3">
        <v>1.0</v>
      </c>
      <c r="H5656" s="3">
        <v>0.0</v>
      </c>
      <c r="I5656" s="3" t="s">
        <v>13</v>
      </c>
      <c r="J5656" s="3" t="s">
        <v>16275</v>
      </c>
      <c r="K5656" s="3" t="s">
        <v>2215</v>
      </c>
      <c r="L5656" s="3" t="str">
        <f>IFERROR(__xludf.DUMMYFUNCTION("GOOGLETRANSLATE(F5656,""id"",""en"")"),"Min, the news is December while the final is December the photo of the celebration after Argentina, the champion of the slander is less sophisticated")</f>
        <v>Min, the news is December while the final is December the photo of the celebration after Argentina, the champion of the slander is less sophisticated</v>
      </c>
    </row>
    <row r="5657" ht="15.75" customHeight="1">
      <c r="A5657" s="1">
        <v>6835.0</v>
      </c>
      <c r="B5657" s="3" t="s">
        <v>16276</v>
      </c>
      <c r="C5657" s="3">
        <v>0.0</v>
      </c>
      <c r="D5657" s="3">
        <v>0.0</v>
      </c>
      <c r="E5657" s="3">
        <v>1.0</v>
      </c>
      <c r="F5657" s="3" t="s">
        <v>16277</v>
      </c>
      <c r="G5657" s="3">
        <v>0.0</v>
      </c>
      <c r="H5657" s="3">
        <v>0.0</v>
      </c>
      <c r="I5657" s="3" t="s">
        <v>13</v>
      </c>
      <c r="J5657" s="3" t="s">
        <v>16278</v>
      </c>
      <c r="K5657" s="3" t="s">
        <v>54</v>
      </c>
      <c r="L5657" s="3" t="str">
        <f>IFERROR(__xludf.DUMMYFUNCTION("GOOGLETRANSLATE(F5657,""id"",""en"")"),"Argentina Champion Tweet Date Written Date")</f>
        <v>Argentina Champion Tweet Date Written Date</v>
      </c>
    </row>
    <row r="5658" ht="15.75" customHeight="1">
      <c r="A5658" s="1">
        <v>6836.0</v>
      </c>
      <c r="B5658" s="3" t="s">
        <v>16279</v>
      </c>
      <c r="C5658" s="3">
        <v>0.0</v>
      </c>
      <c r="D5658" s="3">
        <v>0.0</v>
      </c>
      <c r="E5658" s="3">
        <v>0.0</v>
      </c>
      <c r="F5658" s="3" t="s">
        <v>16280</v>
      </c>
      <c r="G5658" s="3">
        <v>0.0</v>
      </c>
      <c r="H5658" s="3">
        <v>0.0</v>
      </c>
      <c r="I5658" s="3" t="s">
        <v>13</v>
      </c>
      <c r="J5658" s="3" t="s">
        <v>16281</v>
      </c>
      <c r="K5658" s="3" t="s">
        <v>82</v>
      </c>
      <c r="L5658" s="3" t="str">
        <f>IFERROR(__xludf.DUMMYFUNCTION("GOOGLETRANSLATE(F5658,""id"",""en"")"),"Vamos Argentina won the Qatar World Cup")</f>
        <v>Vamos Argentina won the Qatar World Cup</v>
      </c>
    </row>
    <row r="5659" ht="15.75" customHeight="1">
      <c r="A5659" s="1">
        <v>6837.0</v>
      </c>
      <c r="B5659" s="3" t="s">
        <v>16282</v>
      </c>
      <c r="C5659" s="3">
        <v>0.0</v>
      </c>
      <c r="D5659" s="3">
        <v>0.0</v>
      </c>
      <c r="E5659" s="3">
        <v>0.0</v>
      </c>
      <c r="F5659" s="3" t="s">
        <v>16283</v>
      </c>
      <c r="G5659" s="3">
        <v>0.0</v>
      </c>
      <c r="H5659" s="3">
        <v>0.0</v>
      </c>
      <c r="I5659" s="3" t="s">
        <v>13</v>
      </c>
      <c r="J5659" s="3" t="s">
        <v>16284</v>
      </c>
      <c r="K5659" s="3" t="s">
        <v>205</v>
      </c>
      <c r="L5659" s="3" t="str">
        <f>IFERROR(__xludf.DUMMYFUNCTION("GOOGLETRANSLATE(F5659,""id"",""en"")"),"Achmadi Welcoming the Argentina Team Champion Buono Aires Cup for Hoaxs KLU is the reception of Anis SPT so the Indonesian ruler can be destroyed by the nation and state of Indonesia")</f>
        <v>Achmadi Welcoming the Argentina Team Champion Buono Aires Cup for Hoaxs KLU is the reception of Anis SPT so the Indonesian ruler can be destroyed by the nation and state of Indonesia</v>
      </c>
    </row>
    <row r="5660" ht="15.75" customHeight="1">
      <c r="A5660" s="1">
        <v>6838.0</v>
      </c>
      <c r="B5660" s="3" t="s">
        <v>16285</v>
      </c>
      <c r="C5660" s="3">
        <v>0.0</v>
      </c>
      <c r="D5660" s="3">
        <v>0.0</v>
      </c>
      <c r="E5660" s="3">
        <v>0.0</v>
      </c>
      <c r="F5660" s="3" t="s">
        <v>16286</v>
      </c>
      <c r="G5660" s="3">
        <v>0.0</v>
      </c>
      <c r="H5660" s="3">
        <v>0.0</v>
      </c>
      <c r="I5660" s="3" t="s">
        <v>13</v>
      </c>
      <c r="J5660" s="3" t="s">
        <v>16287</v>
      </c>
      <c r="K5660" s="3" t="s">
        <v>633</v>
      </c>
      <c r="L5660" s="3" t="str">
        <f>IFERROR(__xludf.DUMMYFUNCTION("GOOGLETRANSLATE(F5660,""id"",""en"")"),"To appreciate his services the Argentine government has just issued a currency with Lionel Messi's face and Argentina squad during the celebration of the World Cup champion, we also Instagram Facebook")</f>
        <v>To appreciate his services the Argentine government has just issued a currency with Lionel Messi's face and Argentina squad during the celebration of the World Cup champion, we also Instagram Facebook</v>
      </c>
    </row>
    <row r="5661" ht="15.75" customHeight="1">
      <c r="A5661" s="1">
        <v>6839.0</v>
      </c>
      <c r="B5661" s="3" t="s">
        <v>16288</v>
      </c>
      <c r="C5661" s="3">
        <v>1.0</v>
      </c>
      <c r="D5661" s="3">
        <v>0.0</v>
      </c>
      <c r="E5661" s="3">
        <v>0.0</v>
      </c>
      <c r="F5661" s="3" t="s">
        <v>16289</v>
      </c>
      <c r="G5661" s="3">
        <v>0.0</v>
      </c>
      <c r="H5661" s="3">
        <v>0.0</v>
      </c>
      <c r="I5661" s="3" t="s">
        <v>13</v>
      </c>
      <c r="J5661" s="3" t="s">
        <v>16290</v>
      </c>
      <c r="K5661" s="3" t="s">
        <v>2117</v>
      </c>
      <c r="L5661" s="3" t="str">
        <f>IFERROR(__xludf.DUMMYFUNCTION("GOOGLETRANSLATE(F5661,""id"",""en"")"),"Argentina Sigana Champion")</f>
        <v>Argentina Sigana Champion</v>
      </c>
    </row>
    <row r="5662" ht="15.75" customHeight="1">
      <c r="A5662" s="1">
        <v>6840.0</v>
      </c>
      <c r="B5662" s="3" t="s">
        <v>16291</v>
      </c>
      <c r="C5662" s="3">
        <v>2.0</v>
      </c>
      <c r="D5662" s="3">
        <v>1.0</v>
      </c>
      <c r="E5662" s="3">
        <v>6.0</v>
      </c>
      <c r="F5662" s="3" t="s">
        <v>16292</v>
      </c>
      <c r="G5662" s="3">
        <v>0.0</v>
      </c>
      <c r="H5662" s="3">
        <v>0.0</v>
      </c>
      <c r="I5662" s="3" t="s">
        <v>13</v>
      </c>
      <c r="J5662" s="3" t="s">
        <v>16293</v>
      </c>
      <c r="K5662" s="3" t="s">
        <v>1925</v>
      </c>
      <c r="L5662" s="3" t="str">
        <f>IFERROR(__xludf.DUMMYFUNCTION("GOOGLETRANSLATE(F5662,""id"",""en"")"),"The people of Anies are trying to think for a moment the tweet Pak Anies Baswedan is listed on what date is the kisanak then Argentina champions are the pioneer")</f>
        <v>The people of Anies are trying to think for a moment the tweet Pak Anies Baswedan is listed on what date is the kisanak then Argentina champions are the pioneer</v>
      </c>
    </row>
    <row r="5663" ht="15.75" customHeight="1">
      <c r="A5663" s="1">
        <v>6841.0</v>
      </c>
      <c r="B5663" s="3" t="s">
        <v>16294</v>
      </c>
      <c r="C5663" s="3">
        <v>0.0</v>
      </c>
      <c r="D5663" s="3">
        <v>0.0</v>
      </c>
      <c r="E5663" s="3">
        <v>0.0</v>
      </c>
      <c r="F5663" s="3" t="s">
        <v>16295</v>
      </c>
      <c r="G5663" s="3">
        <v>0.0</v>
      </c>
      <c r="H5663" s="3">
        <v>0.0</v>
      </c>
      <c r="I5663" s="3" t="s">
        <v>13</v>
      </c>
      <c r="J5663" s="3" t="s">
        <v>16296</v>
      </c>
      <c r="K5663" s="3" t="s">
        <v>510</v>
      </c>
      <c r="L5663" s="3" t="str">
        <f>IFERROR(__xludf.DUMMYFUNCTION("GOOGLETRANSLATE(F5663,""id"",""en"")"),"Bekasi Summarecon, but it's hard if it's going to pick the sender, yeah, even though it is strong, stamina")</f>
        <v>Bekasi Summarecon, but it's hard if it's going to pick the sender, yeah, even though it is strong, stamina</v>
      </c>
    </row>
    <row r="5664" ht="15.75" customHeight="1">
      <c r="A5664" s="1">
        <v>6842.0</v>
      </c>
      <c r="B5664" s="3" t="s">
        <v>16297</v>
      </c>
      <c r="C5664" s="3">
        <v>0.0</v>
      </c>
      <c r="D5664" s="3">
        <v>0.0</v>
      </c>
      <c r="E5664" s="3">
        <v>0.0</v>
      </c>
      <c r="F5664" s="3" t="s">
        <v>16298</v>
      </c>
      <c r="G5664" s="3">
        <v>0.0</v>
      </c>
      <c r="H5664" s="3">
        <v>0.0</v>
      </c>
      <c r="I5664" s="3" t="s">
        <v>13</v>
      </c>
      <c r="J5664" s="3" t="s">
        <v>16299</v>
      </c>
      <c r="K5664" s="3" t="s">
        <v>1097</v>
      </c>
      <c r="L5664" s="3" t="str">
        <f>IFERROR(__xludf.DUMMYFUNCTION("GOOGLETRANSLATE(F5664,""id"",""en"")"),"If you find a girl like this or KRL, you may not be invited to get acquainted with a love")</f>
        <v>If you find a girl like this or KRL, you may not be invited to get acquainted with a love</v>
      </c>
    </row>
    <row r="5665" ht="15.75" customHeight="1">
      <c r="A5665" s="1">
        <v>6843.0</v>
      </c>
      <c r="B5665" s="3" t="s">
        <v>16300</v>
      </c>
      <c r="C5665" s="3">
        <v>0.0</v>
      </c>
      <c r="D5665" s="3">
        <v>0.0</v>
      </c>
      <c r="E5665" s="3">
        <v>0.0</v>
      </c>
      <c r="F5665" s="3" t="s">
        <v>16301</v>
      </c>
      <c r="G5665" s="3">
        <v>0.4666666666666666</v>
      </c>
      <c r="H5665" s="3">
        <v>-0.06666666666666667</v>
      </c>
      <c r="I5665" s="3" t="s">
        <v>179</v>
      </c>
      <c r="J5665" s="3" t="s">
        <v>16302</v>
      </c>
      <c r="K5665" s="3" t="s">
        <v>1317</v>
      </c>
      <c r="L5665" s="3" t="str">
        <f>IFERROR(__xludf.DUMMYFUNCTION("GOOGLETRANSLATE(F5665,""id"",""en"")"),"Although supporting France, but indeed Argentina is good, it is natural that the mental champion is not a mental drop champion, but France drops, but seeing the French squad, there are still many young people, you can get to the final again")</f>
        <v>Although supporting France, but indeed Argentina is good, it is natural that the mental champion is not a mental drop champion, but France drops, but seeing the French squad, there are still many young people, you can get to the final again</v>
      </c>
    </row>
    <row r="5666" ht="15.75" customHeight="1">
      <c r="A5666" s="1">
        <v>6844.0</v>
      </c>
      <c r="B5666" s="3" t="s">
        <v>16303</v>
      </c>
      <c r="C5666" s="3">
        <v>3.0</v>
      </c>
      <c r="D5666" s="3">
        <v>4.0</v>
      </c>
      <c r="E5666" s="3">
        <v>13.0</v>
      </c>
      <c r="F5666" s="3" t="s">
        <v>16304</v>
      </c>
      <c r="G5666" s="3">
        <v>0.0</v>
      </c>
      <c r="H5666" s="3">
        <v>0.0</v>
      </c>
      <c r="I5666" s="3" t="s">
        <v>13</v>
      </c>
      <c r="J5666" s="3" t="s">
        <v>16305</v>
      </c>
      <c r="K5666" s="3" t="s">
        <v>240</v>
      </c>
      <c r="L5666" s="3" t="str">
        <f>IFERROR(__xludf.DUMMYFUNCTION("GOOGLETRANSLATE(F5666,""id"",""en"")"),"Hobbies how come the slander is the tweet abw screenshoot continues to be overwrited")</f>
        <v>Hobbies how come the slander is the tweet abw screenshoot continues to be overwrited</v>
      </c>
    </row>
    <row r="5667" ht="15.75" customHeight="1">
      <c r="A5667" s="1">
        <v>6845.0</v>
      </c>
      <c r="B5667" s="3" t="s">
        <v>16306</v>
      </c>
      <c r="C5667" s="3">
        <v>0.0</v>
      </c>
      <c r="D5667" s="3">
        <v>0.0</v>
      </c>
      <c r="E5667" s="3">
        <v>0.0</v>
      </c>
      <c r="F5667" s="3" t="s">
        <v>16307</v>
      </c>
      <c r="G5667" s="3">
        <v>0.0</v>
      </c>
      <c r="H5667" s="3">
        <v>0.0</v>
      </c>
      <c r="I5667" s="3" t="s">
        <v>13</v>
      </c>
      <c r="J5667" s="3" t="s">
        <v>16308</v>
      </c>
      <c r="K5667" s="3" t="s">
        <v>2117</v>
      </c>
      <c r="L5667" s="3" t="str">
        <f>IFERROR(__xludf.DUMMYFUNCTION("GOOGLETRANSLATE(F5667,""id"",""en"")"),"Merry Christmas Father")</f>
        <v>Merry Christmas Father</v>
      </c>
    </row>
    <row r="5668" ht="15.75" customHeight="1">
      <c r="A5668" s="1">
        <v>6846.0</v>
      </c>
      <c r="B5668" s="3" t="s">
        <v>16309</v>
      </c>
      <c r="C5668" s="3">
        <v>0.0</v>
      </c>
      <c r="D5668" s="3">
        <v>0.0</v>
      </c>
      <c r="E5668" s="3">
        <v>0.0</v>
      </c>
      <c r="F5668" s="3" t="s">
        <v>16310</v>
      </c>
      <c r="G5668" s="3">
        <v>0.0</v>
      </c>
      <c r="H5668" s="3">
        <v>0.0</v>
      </c>
      <c r="I5668" s="3" t="s">
        <v>13</v>
      </c>
      <c r="J5668" s="3" t="s">
        <v>16311</v>
      </c>
      <c r="K5668" s="3" t="s">
        <v>2610</v>
      </c>
      <c r="L5668" s="3" t="str">
        <f>IFERROR(__xludf.DUMMYFUNCTION("GOOGLETRANSLATE(F5668,""id"",""en"")"),"I feel soon after the year for me a lot of sadness but fortunately all the sadness disappeared when Messi brought Argentina World Cup champions like raining a day removing the dry season for a year")</f>
        <v>I feel soon after the year for me a lot of sadness but fortunately all the sadness disappeared when Messi brought Argentina World Cup champions like raining a day removing the dry season for a year</v>
      </c>
    </row>
    <row r="5669" ht="15.75" customHeight="1">
      <c r="A5669" s="1">
        <v>6847.0</v>
      </c>
      <c r="B5669" s="3" t="s">
        <v>16312</v>
      </c>
      <c r="C5669" s="3">
        <v>4.0</v>
      </c>
      <c r="D5669" s="3">
        <v>4.0</v>
      </c>
      <c r="E5669" s="3">
        <v>38.0</v>
      </c>
      <c r="F5669" s="3" t="s">
        <v>16313</v>
      </c>
      <c r="G5669" s="3">
        <v>0.0</v>
      </c>
      <c r="H5669" s="3">
        <v>0.0</v>
      </c>
      <c r="I5669" s="3" t="s">
        <v>13</v>
      </c>
      <c r="J5669" s="3" t="s">
        <v>16314</v>
      </c>
      <c r="K5669" s="3" t="s">
        <v>695</v>
      </c>
      <c r="L5669" s="3" t="str">
        <f>IFERROR(__xludf.DUMMYFUNCTION("GOOGLETRANSLATE(F5669,""id"",""en"")"),"Oman passion expert offers Lionel Messi million million for the robes he wore after Argentina appeared to win the Qatar World Cup defeating France")</f>
        <v>Oman passion expert offers Lionel Messi million million for the robes he wore after Argentina appeared to win the Qatar World Cup defeating France</v>
      </c>
    </row>
    <row r="5670" ht="15.75" customHeight="1">
      <c r="A5670" s="1">
        <v>6848.0</v>
      </c>
      <c r="B5670" s="3" t="s">
        <v>16315</v>
      </c>
      <c r="C5670" s="3">
        <v>0.0</v>
      </c>
      <c r="D5670" s="3">
        <v>0.0</v>
      </c>
      <c r="E5670" s="3">
        <v>0.0</v>
      </c>
      <c r="F5670" s="3" t="s">
        <v>16316</v>
      </c>
      <c r="G5670" s="3">
        <v>0.0</v>
      </c>
      <c r="H5670" s="3">
        <v>0.0</v>
      </c>
      <c r="I5670" s="3" t="s">
        <v>13</v>
      </c>
      <c r="J5670" s="3" t="s">
        <v>16317</v>
      </c>
      <c r="K5670" s="3" t="s">
        <v>31</v>
      </c>
      <c r="L5670" s="3" t="str">
        <f>IFERROR(__xludf.DUMMYFUNCTION("GOOGLETRANSLATE(F5670,""id"",""en"")"),"ARGENTINA APP WORLD WORLD CUP")</f>
        <v>ARGENTINA APP WORLD WORLD CUP</v>
      </c>
    </row>
    <row r="5671" ht="15.75" customHeight="1">
      <c r="A5671" s="1">
        <v>6849.0</v>
      </c>
      <c r="B5671" s="3" t="s">
        <v>16318</v>
      </c>
      <c r="C5671" s="3">
        <v>0.0</v>
      </c>
      <c r="D5671" s="3">
        <v>0.0</v>
      </c>
      <c r="E5671" s="3">
        <v>0.0</v>
      </c>
      <c r="F5671" s="3" t="s">
        <v>16319</v>
      </c>
      <c r="G5671" s="3">
        <v>0.0</v>
      </c>
      <c r="H5671" s="3">
        <v>0.0</v>
      </c>
      <c r="I5671" s="3" t="s">
        <v>13</v>
      </c>
      <c r="J5671" s="3" t="s">
        <v>16320</v>
      </c>
      <c r="K5671" s="3" t="s">
        <v>75</v>
      </c>
      <c r="L5671" s="3" t="str">
        <f>IFERROR(__xludf.DUMMYFUNCTION("GOOGLETRANSLATE(F5671,""id"",""en"")"),"Indonesian international ball kaleidoscope passed the Argentine Asian Cup World Champion")</f>
        <v>Indonesian international ball kaleidoscope passed the Argentine Asian Cup World Champion</v>
      </c>
    </row>
    <row r="5672" ht="15.75" customHeight="1">
      <c r="A5672" s="1">
        <v>6851.0</v>
      </c>
      <c r="B5672" s="3" t="s">
        <v>16321</v>
      </c>
      <c r="C5672" s="3">
        <v>0.0</v>
      </c>
      <c r="D5672" s="3">
        <v>1.0</v>
      </c>
      <c r="E5672" s="3">
        <v>3.0</v>
      </c>
      <c r="F5672" s="3" t="s">
        <v>16322</v>
      </c>
      <c r="G5672" s="3">
        <v>0.0</v>
      </c>
      <c r="H5672" s="3">
        <v>0.0</v>
      </c>
      <c r="I5672" s="3" t="s">
        <v>13</v>
      </c>
      <c r="J5672" s="3" t="s">
        <v>16323</v>
      </c>
      <c r="K5672" s="3" t="s">
        <v>510</v>
      </c>
      <c r="L5672" s="3" t="str">
        <f>IFERROR(__xludf.DUMMYFUNCTION("GOOGLETRANSLATE(F5672,""id"",""en"")"),"Brighton Gives Additional Holidays for Alexis Mac Allister After Bringing Argentina World Cup Champion")</f>
        <v>Brighton Gives Additional Holidays for Alexis Mac Allister After Bringing Argentina World Cup Champion</v>
      </c>
    </row>
    <row r="5673" ht="15.75" customHeight="1">
      <c r="A5673" s="1">
        <v>6852.0</v>
      </c>
      <c r="B5673" s="3" t="s">
        <v>16324</v>
      </c>
      <c r="C5673" s="3">
        <v>10.0</v>
      </c>
      <c r="D5673" s="3">
        <v>6.0</v>
      </c>
      <c r="E5673" s="3">
        <v>108.0</v>
      </c>
      <c r="F5673" s="3" t="s">
        <v>16325</v>
      </c>
      <c r="G5673" s="3">
        <v>0.0</v>
      </c>
      <c r="H5673" s="3">
        <v>0.0</v>
      </c>
      <c r="I5673" s="3" t="s">
        <v>13</v>
      </c>
      <c r="J5673" s="3" t="s">
        <v>16326</v>
      </c>
      <c r="K5673" s="3" t="s">
        <v>510</v>
      </c>
      <c r="L5673" s="3" t="str">
        <f>IFERROR(__xludf.DUMMYFUNCTION("GOOGLETRANSLATE(F5673,""id"",""en"")"),"Patrick Vieira said that the celebration of goalkeeper Emiliano Martinez became a disgrace in the world title")</f>
        <v>Patrick Vieira said that the celebration of goalkeeper Emiliano Martinez became a disgrace in the world title</v>
      </c>
    </row>
    <row r="5674" ht="15.75" customHeight="1">
      <c r="A5674" s="1">
        <v>6853.0</v>
      </c>
      <c r="B5674" s="3" t="s">
        <v>16327</v>
      </c>
      <c r="C5674" s="3">
        <v>0.0</v>
      </c>
      <c r="D5674" s="3">
        <v>0.0</v>
      </c>
      <c r="E5674" s="3">
        <v>0.0</v>
      </c>
      <c r="F5674" s="3" t="s">
        <v>16328</v>
      </c>
      <c r="G5674" s="3">
        <v>0.0</v>
      </c>
      <c r="H5674" s="3">
        <v>0.0</v>
      </c>
      <c r="I5674" s="3" t="s">
        <v>13</v>
      </c>
      <c r="J5674" s="3" t="s">
        <v>16329</v>
      </c>
      <c r="K5674" s="3" t="s">
        <v>236</v>
      </c>
      <c r="L5674" s="3" t="str">
        <f>IFERROR(__xludf.DUMMYFUNCTION("GOOGLETRANSLATE(F5674,""id"",""en"")"),"YSF Anis Posting Argentina Date Champion Date Sprout That Is Your Thoughts")</f>
        <v>YSF Anis Posting Argentina Date Champion Date Sprout That Is Your Thoughts</v>
      </c>
    </row>
    <row r="5675" ht="15.75" customHeight="1">
      <c r="A5675" s="1">
        <v>6854.0</v>
      </c>
      <c r="B5675" s="3" t="s">
        <v>16330</v>
      </c>
      <c r="C5675" s="3">
        <v>3.0</v>
      </c>
      <c r="D5675" s="3">
        <v>0.0</v>
      </c>
      <c r="E5675" s="3">
        <v>13.0</v>
      </c>
      <c r="F5675" s="3" t="s">
        <v>16331</v>
      </c>
      <c r="G5675" s="3">
        <v>0.4545454545454545</v>
      </c>
      <c r="H5675" s="3">
        <v>0.1363636363636364</v>
      </c>
      <c r="I5675" s="3" t="s">
        <v>48</v>
      </c>
      <c r="J5675" s="3" t="s">
        <v>16332</v>
      </c>
      <c r="K5675" s="3" t="s">
        <v>1824</v>
      </c>
      <c r="L5675" s="3" t="str">
        <f>IFERROR(__xludf.DUMMYFUNCTION("GOOGLETRANSLATE(F5675,""id"",""en"")"),"Another Argentine Departure After Diego Valeri this time it was Maxi Moralez's turn as the legend of Argentina MLS who returned home hosted by the Racing Club for six years New York City he became part of the NYCFC squad champion MLS Albiceleste")</f>
        <v>Another Argentine Departure After Diego Valeri this time it was Maxi Moralez's turn as the legend of Argentina MLS who returned home hosted by the Racing Club for six years New York City he became part of the NYCFC squad champion MLS Albiceleste</v>
      </c>
    </row>
    <row r="5676" ht="15.75" customHeight="1">
      <c r="A5676" s="1">
        <v>6855.0</v>
      </c>
      <c r="B5676" s="3" t="s">
        <v>16333</v>
      </c>
      <c r="C5676" s="3">
        <v>0.0</v>
      </c>
      <c r="D5676" s="3">
        <v>0.0</v>
      </c>
      <c r="E5676" s="3">
        <v>0.0</v>
      </c>
      <c r="F5676" s="3" t="s">
        <v>16334</v>
      </c>
      <c r="G5676" s="3">
        <v>0.0</v>
      </c>
      <c r="H5676" s="3">
        <v>0.0</v>
      </c>
      <c r="I5676" s="3" t="s">
        <v>13</v>
      </c>
      <c r="J5676" s="3" t="s">
        <v>16335</v>
      </c>
      <c r="K5676" s="3" t="s">
        <v>477</v>
      </c>
      <c r="L5676" s="3" t="str">
        <f>IFERROR(__xludf.DUMMYFUNCTION("GOOGLETRANSLATE(F5676,""id"",""en"")"),"Anies Argentina was the champion on December Twet Dec")</f>
        <v>Anies Argentina was the champion on December Twet Dec</v>
      </c>
    </row>
    <row r="5677" ht="15.75" customHeight="1">
      <c r="A5677" s="1">
        <v>6856.0</v>
      </c>
      <c r="B5677" s="3" t="s">
        <v>16336</v>
      </c>
      <c r="C5677" s="3">
        <v>0.0</v>
      </c>
      <c r="D5677" s="3">
        <v>0.0</v>
      </c>
      <c r="E5677" s="3">
        <v>0.0</v>
      </c>
      <c r="F5677" s="3" t="s">
        <v>16337</v>
      </c>
      <c r="G5677" s="3">
        <v>0.3333333333333333</v>
      </c>
      <c r="H5677" s="3">
        <v>0.1666666666666667</v>
      </c>
      <c r="I5677" s="3" t="s">
        <v>48</v>
      </c>
      <c r="J5677" s="3" t="s">
        <v>16338</v>
      </c>
      <c r="K5677" s="3" t="s">
        <v>71</v>
      </c>
      <c r="L5677" s="3" t="str">
        <f>IFERROR(__xludf.DUMMYFUNCTION("GOOGLETRANSLATE(F5677,""id"",""en"")"),"Lhaa play like that, how come you want to win the boss, don't be the same as Argentina player Juh Mase")</f>
        <v>Lhaa play like that, how come you want to win the boss, don't be the same as Argentina player Juh Mase</v>
      </c>
    </row>
    <row r="5678" ht="15.75" customHeight="1">
      <c r="A5678" s="1">
        <v>6858.0</v>
      </c>
      <c r="B5678" s="3" t="s">
        <v>16339</v>
      </c>
      <c r="C5678" s="3">
        <v>0.0</v>
      </c>
      <c r="D5678" s="3">
        <v>0.0</v>
      </c>
      <c r="E5678" s="3">
        <v>0.0</v>
      </c>
      <c r="F5678" s="3" t="s">
        <v>16340</v>
      </c>
      <c r="G5678" s="3">
        <v>0.0</v>
      </c>
      <c r="H5678" s="3">
        <v>0.0</v>
      </c>
      <c r="I5678" s="3" t="s">
        <v>13</v>
      </c>
      <c r="J5678" s="3" t="s">
        <v>16341</v>
      </c>
      <c r="K5678" s="3" t="s">
        <v>228</v>
      </c>
      <c r="L5678" s="3" t="str">
        <f>IFERROR(__xludf.DUMMYFUNCTION("GOOGLETRANSLATE(F5678,""id"",""en"")"),"Min, the stupid Bong Anies, send a tweet on December Argentina when the World Cup champion will win on December at least the day later the first time edit the tweet Anies so that the other tadpole believes")</f>
        <v>Min, the stupid Bong Anies, send a tweet on December Argentina when the World Cup champion will win on December at least the day later the first time edit the tweet Anies so that the other tadpole believes</v>
      </c>
    </row>
    <row r="5679" ht="15.75" customHeight="1">
      <c r="A5679" s="1">
        <v>6859.0</v>
      </c>
      <c r="B5679" s="3" t="s">
        <v>16342</v>
      </c>
      <c r="C5679" s="3">
        <v>0.0</v>
      </c>
      <c r="D5679" s="3">
        <v>0.0</v>
      </c>
      <c r="E5679" s="3">
        <v>0.0</v>
      </c>
      <c r="F5679" s="3" t="s">
        <v>16343</v>
      </c>
      <c r="G5679" s="3">
        <v>0.0</v>
      </c>
      <c r="H5679" s="3">
        <v>0.0</v>
      </c>
      <c r="I5679" s="3" t="s">
        <v>13</v>
      </c>
      <c r="J5679" s="3" t="s">
        <v>16344</v>
      </c>
      <c r="K5679" s="3" t="s">
        <v>3497</v>
      </c>
      <c r="L5679" s="3" t="str">
        <f>IFERROR(__xludf.DUMMYFUNCTION("GOOGLETRANSLATE(F5679,""id"",""en"")"),"Argentina Champion Date Twit Date")</f>
        <v>Argentina Champion Date Twit Date</v>
      </c>
    </row>
    <row r="5680" ht="15.75" customHeight="1">
      <c r="A5680" s="1">
        <v>6860.0</v>
      </c>
      <c r="B5680" s="3" t="s">
        <v>16345</v>
      </c>
      <c r="C5680" s="3">
        <v>0.0</v>
      </c>
      <c r="D5680" s="3">
        <v>0.0</v>
      </c>
      <c r="E5680" s="3">
        <v>1.0</v>
      </c>
      <c r="F5680" s="3" t="s">
        <v>16346</v>
      </c>
      <c r="G5680" s="3">
        <v>0.0</v>
      </c>
      <c r="H5680" s="3">
        <v>0.0</v>
      </c>
      <c r="I5680" s="3" t="s">
        <v>13</v>
      </c>
      <c r="J5680" s="3" t="s">
        <v>16347</v>
      </c>
      <c r="K5680" s="3" t="s">
        <v>286</v>
      </c>
      <c r="L5680" s="3" t="str">
        <f>IFERROR(__xludf.DUMMYFUNCTION("GOOGLETRANSLATE(F5680,""id"",""en"")"),"POLRI Kebaya Merah Kebaya Ijo Gercep without Viral Reports Social Media Just Kanjuruhan Viral in the World Further Reasons for incomplete files There is also a responsibility from the police as the perpetrators of the implementing, not if")</f>
        <v>POLRI Kebaya Merah Kebaya Ijo Gercep without Viral Reports Social Media Just Kanjuruhan Viral in the World Further Reasons for incomplete files There is also a responsibility from the police as the perpetrators of the implementing, not if</v>
      </c>
    </row>
    <row r="5681" ht="15.75" customHeight="1">
      <c r="A5681" s="1">
        <v>6861.0</v>
      </c>
      <c r="B5681" s="3" t="s">
        <v>16348</v>
      </c>
      <c r="C5681" s="3">
        <v>1.0</v>
      </c>
      <c r="D5681" s="3">
        <v>0.0</v>
      </c>
      <c r="E5681" s="3">
        <v>0.0</v>
      </c>
      <c r="F5681" s="3" t="s">
        <v>16349</v>
      </c>
      <c r="G5681" s="3">
        <v>0.0</v>
      </c>
      <c r="H5681" s="3">
        <v>0.0</v>
      </c>
      <c r="I5681" s="3" t="s">
        <v>13</v>
      </c>
      <c r="J5681" s="3" t="s">
        <v>16350</v>
      </c>
      <c r="K5681" s="3" t="s">
        <v>16351</v>
      </c>
      <c r="L5681" s="3" t="str">
        <f>IFERROR(__xludf.DUMMYFUNCTION("GOOGLETRANSLATE(F5681,""id"",""en"")"),"FWC Saudi Arabian goalkeeper Argentina Starting with the letter of FWC Argentina Champion of the AFF World Cup Scorer Cambodia Indonesia goalkeeper with the AFF Indonesian letter champion AFF Cup")</f>
        <v>FWC Saudi Arabian goalkeeper Argentina Starting with the letter of FWC Argentina Champion of the AFF World Cup Scorer Cambodia Indonesia goalkeeper with the AFF Indonesian letter champion AFF Cup</v>
      </c>
    </row>
    <row r="5682" ht="15.75" customHeight="1">
      <c r="A5682" s="1">
        <v>6862.0</v>
      </c>
      <c r="B5682" s="3" t="s">
        <v>16352</v>
      </c>
      <c r="C5682" s="3">
        <v>1.0</v>
      </c>
      <c r="D5682" s="3">
        <v>0.0</v>
      </c>
      <c r="E5682" s="3">
        <v>0.0</v>
      </c>
      <c r="F5682" s="3" t="s">
        <v>16353</v>
      </c>
      <c r="G5682" s="3">
        <v>0.0</v>
      </c>
      <c r="H5682" s="3">
        <v>0.0</v>
      </c>
      <c r="I5682" s="3" t="s">
        <v>13</v>
      </c>
      <c r="J5682" s="3" t="s">
        <v>16354</v>
      </c>
      <c r="K5682" s="3" t="s">
        <v>16355</v>
      </c>
      <c r="L5682" s="3" t="str">
        <f>IFERROR(__xludf.DUMMYFUNCTION("GOOGLETRANSLATE(F5682,""id"",""en"")"),"FWC First Match Argentina Group ended with the score of FWC Argentina champion the AFF World Cup First match Indonesian group with the AFF Indonesia score champion AFF Cup")</f>
        <v>FWC First Match Argentina Group ended with the score of FWC Argentina champion the AFF World Cup First match Indonesian group with the AFF Indonesia score champion AFF Cup</v>
      </c>
    </row>
    <row r="5683" ht="15.75" customHeight="1">
      <c r="A5683" s="1">
        <v>6863.0</v>
      </c>
      <c r="B5683" s="3" t="s">
        <v>16356</v>
      </c>
      <c r="C5683" s="3">
        <v>0.0</v>
      </c>
      <c r="D5683" s="3">
        <v>0.0</v>
      </c>
      <c r="E5683" s="3">
        <v>0.0</v>
      </c>
      <c r="F5683" s="3" t="s">
        <v>16357</v>
      </c>
      <c r="G5683" s="3">
        <v>0.0</v>
      </c>
      <c r="H5683" s="3">
        <v>0.0</v>
      </c>
      <c r="I5683" s="3" t="s">
        <v>13</v>
      </c>
      <c r="J5683" s="3" t="s">
        <v>16358</v>
      </c>
      <c r="K5683" s="3" t="s">
        <v>860</v>
      </c>
      <c r="L5683" s="3" t="str">
        <f>IFERROR(__xludf.DUMMYFUNCTION("GOOGLETRANSLATE(F5683,""id"",""en"")"),"so you really make the hoaks using the anies pangkep sulsel, the date of the Argentina champion is clearly the photo you upload the hoaks")</f>
        <v>so you really make the hoaks using the anies pangkep sulsel, the date of the Argentina champion is clearly the photo you upload the hoaks</v>
      </c>
    </row>
    <row r="5684" ht="15.75" customHeight="1">
      <c r="A5684" s="1">
        <v>6864.0</v>
      </c>
      <c r="B5684" s="3" t="s">
        <v>16359</v>
      </c>
      <c r="C5684" s="3">
        <v>1.0</v>
      </c>
      <c r="D5684" s="3">
        <v>0.0</v>
      </c>
      <c r="E5684" s="3">
        <v>0.0</v>
      </c>
      <c r="F5684" s="3" t="s">
        <v>16360</v>
      </c>
      <c r="G5684" s="3">
        <v>0.0</v>
      </c>
      <c r="H5684" s="3">
        <v>0.0</v>
      </c>
      <c r="I5684" s="3" t="s">
        <v>13</v>
      </c>
      <c r="J5684" s="3" t="s">
        <v>16361</v>
      </c>
      <c r="K5684" s="3" t="s">
        <v>16362</v>
      </c>
      <c r="L5684" s="3" t="str">
        <f>IFERROR(__xludf.DUMMYFUNCTION("GOOGLETRANSLATE(F5684,""id"",""en"")"),"Argentina's first goal FWC was scored by Lionel Messi FWC Argentina champions of the AFF World Cup first goal scored by Egy Messi AFF Indonesia champion AFF Cup")</f>
        <v>Argentina's first goal FWC was scored by Lionel Messi FWC Argentina champions of the AFF World Cup first goal scored by Egy Messi AFF Indonesia champion AFF Cup</v>
      </c>
    </row>
    <row r="5685" ht="15.75" customHeight="1">
      <c r="A5685" s="1">
        <v>6865.0</v>
      </c>
      <c r="B5685" s="3" t="s">
        <v>16363</v>
      </c>
      <c r="C5685" s="3">
        <v>8.0</v>
      </c>
      <c r="D5685" s="3">
        <v>0.0</v>
      </c>
      <c r="E5685" s="3">
        <v>1.0</v>
      </c>
      <c r="F5685" s="3" t="s">
        <v>16364</v>
      </c>
      <c r="G5685" s="3">
        <v>0.0</v>
      </c>
      <c r="H5685" s="3">
        <v>0.0</v>
      </c>
      <c r="I5685" s="3" t="s">
        <v>13</v>
      </c>
      <c r="J5685" s="3" t="s">
        <v>16365</v>
      </c>
      <c r="K5685" s="3" t="s">
        <v>19</v>
      </c>
      <c r="L5685" s="3" t="str">
        <f>IFERROR(__xludf.DUMMYFUNCTION("GOOGLETRANSLATE(F5685,""id"",""en"")"),"Anis has finished the bright mindy in the public lying to the celebration of Argentina")</f>
        <v>Anis has finished the bright mindy in the public lying to the celebration of Argentina</v>
      </c>
    </row>
    <row r="5686" ht="15.75" customHeight="1">
      <c r="A5686" s="1">
        <v>6866.0</v>
      </c>
      <c r="B5686" s="3" t="s">
        <v>16366</v>
      </c>
      <c r="C5686" s="3">
        <v>1.0</v>
      </c>
      <c r="D5686" s="3">
        <v>0.0</v>
      </c>
      <c r="E5686" s="3">
        <v>0.0</v>
      </c>
      <c r="F5686" s="3" t="s">
        <v>16367</v>
      </c>
      <c r="G5686" s="3">
        <v>0.0</v>
      </c>
      <c r="H5686" s="3">
        <v>0.0</v>
      </c>
      <c r="I5686" s="3" t="s">
        <v>13</v>
      </c>
      <c r="J5686" s="3" t="s">
        <v>16368</v>
      </c>
      <c r="K5686" s="3" t="s">
        <v>16369</v>
      </c>
      <c r="L5686" s="3" t="str">
        <f>IFERROR(__xludf.DUMMYFUNCTION("GOOGLETRANSLATE(F5686,""id"",""en"")"),"Argentine FWC First Match Against Saudi Arabia Saudi Arabia goalkeeper became Man the Match FWC Argentina champion the Indonesian World Cup match against Cambodia Cambodian goalkeeper became Man The Match AFF Indonesia champion AFF Cup champion")</f>
        <v>Argentine FWC First Match Against Saudi Arabia Saudi Arabia goalkeeper became Man the Match FWC Argentina champion the Indonesian World Cup match against Cambodia Cambodian goalkeeper became Man The Match AFF Indonesia champion AFF Cup champion</v>
      </c>
    </row>
    <row r="5687" ht="15.75" customHeight="1">
      <c r="A5687" s="1">
        <v>6867.0</v>
      </c>
      <c r="B5687" s="3" t="s">
        <v>16370</v>
      </c>
      <c r="C5687" s="3">
        <v>0.0</v>
      </c>
      <c r="D5687" s="3">
        <v>0.0</v>
      </c>
      <c r="E5687" s="3">
        <v>0.0</v>
      </c>
      <c r="F5687" s="3" t="s">
        <v>16371</v>
      </c>
      <c r="G5687" s="3">
        <v>0.0</v>
      </c>
      <c r="H5687" s="3">
        <v>0.0</v>
      </c>
      <c r="I5687" s="3" t="s">
        <v>13</v>
      </c>
      <c r="J5687" s="3" t="s">
        <v>16372</v>
      </c>
      <c r="K5687" s="3" t="s">
        <v>31</v>
      </c>
      <c r="L5687" s="3" t="str">
        <f>IFERROR(__xludf.DUMMYFUNCTION("GOOGLETRANSLATE(F5687,""id"",""en"")"),"Argentina Time World Champion Wkwkwk")</f>
        <v>Argentina Time World Champion Wkwkwk</v>
      </c>
    </row>
    <row r="5688" ht="15.75" customHeight="1">
      <c r="A5688" s="1">
        <v>6868.0</v>
      </c>
      <c r="B5688" s="3" t="s">
        <v>16373</v>
      </c>
      <c r="C5688" s="3">
        <v>1.0</v>
      </c>
      <c r="D5688" s="3">
        <v>1.0</v>
      </c>
      <c r="E5688" s="3">
        <v>1.0</v>
      </c>
      <c r="F5688" s="3" t="s">
        <v>16374</v>
      </c>
      <c r="G5688" s="3">
        <v>0.0</v>
      </c>
      <c r="H5688" s="3">
        <v>0.0</v>
      </c>
      <c r="I5688" s="3" t="s">
        <v>13</v>
      </c>
      <c r="J5688" s="3" t="s">
        <v>16375</v>
      </c>
      <c r="K5688" s="3" t="s">
        <v>16376</v>
      </c>
      <c r="L5688" s="3" t="str">
        <f>IFERROR(__xludf.DUMMYFUNCTION("GOOGLETRANSLATE(F5688,""id"",""en"")"),"FWC Argentina performed less than the maximum match of the FWC Group Argentina Argentina World Cup champion AFF Indonesia performed less than the maximum match of the AFF Indonesian group champion AFF Cup")</f>
        <v>FWC Argentina performed less than the maximum match of the FWC Group Argentina Argentina World Cup champion AFF Indonesia performed less than the maximum match of the AFF Indonesian group champion AFF Cup</v>
      </c>
    </row>
    <row r="5689" ht="15.75" customHeight="1">
      <c r="A5689" s="1">
        <v>6869.0</v>
      </c>
      <c r="B5689" s="3" t="s">
        <v>16377</v>
      </c>
      <c r="C5689" s="3">
        <v>0.0</v>
      </c>
      <c r="D5689" s="3">
        <v>0.0</v>
      </c>
      <c r="E5689" s="3">
        <v>0.0</v>
      </c>
      <c r="F5689" s="3" t="s">
        <v>16378</v>
      </c>
      <c r="G5689" s="3">
        <v>0.0</v>
      </c>
      <c r="H5689" s="3">
        <v>0.0</v>
      </c>
      <c r="I5689" s="3" t="s">
        <v>13</v>
      </c>
      <c r="J5689" s="3" t="s">
        <v>16379</v>
      </c>
      <c r="K5689" s="3" t="s">
        <v>41</v>
      </c>
      <c r="L5689" s="3" t="str">
        <f>IFERROR(__xludf.DUMMYFUNCTION("GOOGLETRANSLATE(F5689,""id"",""en"")"),"calm Argentina also lost first match the first group ending championship")</f>
        <v>calm Argentina also lost first match the first group ending championship</v>
      </c>
    </row>
    <row r="5690" ht="15.75" customHeight="1">
      <c r="A5690" s="1">
        <v>6870.0</v>
      </c>
      <c r="B5690" s="3" t="s">
        <v>16380</v>
      </c>
      <c r="C5690" s="3">
        <v>0.0</v>
      </c>
      <c r="D5690" s="3">
        <v>4.0</v>
      </c>
      <c r="E5690" s="3">
        <v>0.0</v>
      </c>
      <c r="F5690" s="3" t="s">
        <v>16381</v>
      </c>
      <c r="G5690" s="3">
        <v>0.0</v>
      </c>
      <c r="H5690" s="3">
        <v>0.0</v>
      </c>
      <c r="I5690" s="3" t="s">
        <v>13</v>
      </c>
      <c r="J5690" s="3" t="s">
        <v>16382</v>
      </c>
      <c r="K5690" s="3" t="s">
        <v>15</v>
      </c>
      <c r="L5690" s="3" t="str">
        <f>IFERROR(__xludf.DUMMYFUNCTION("GOOGLETRANSLATE(F5690,""id"",""en"")"),"Argentina Champion World Cup Angel Maria Makes Jumbo Tattoos")</f>
        <v>Argentina Champion World Cup Angel Maria Makes Jumbo Tattoos</v>
      </c>
    </row>
    <row r="5691" ht="15.75" customHeight="1">
      <c r="A5691" s="1">
        <v>6871.0</v>
      </c>
      <c r="B5691" s="3" t="s">
        <v>16383</v>
      </c>
      <c r="C5691" s="3">
        <v>0.0</v>
      </c>
      <c r="D5691" s="3">
        <v>0.0</v>
      </c>
      <c r="E5691" s="3">
        <v>0.0</v>
      </c>
      <c r="F5691" s="3" t="s">
        <v>16381</v>
      </c>
      <c r="G5691" s="3">
        <v>0.0</v>
      </c>
      <c r="H5691" s="3">
        <v>0.0</v>
      </c>
      <c r="I5691" s="3" t="s">
        <v>13</v>
      </c>
      <c r="J5691" s="3" t="s">
        <v>16382</v>
      </c>
      <c r="K5691" s="3" t="s">
        <v>15</v>
      </c>
      <c r="L5691" s="3" t="str">
        <f>IFERROR(__xludf.DUMMYFUNCTION("GOOGLETRANSLATE(F5691,""id"",""en"")"),"Argentina Champion World Cup Angel Maria Makes Jumbo Tattoos")</f>
        <v>Argentina Champion World Cup Angel Maria Makes Jumbo Tattoos</v>
      </c>
    </row>
    <row r="5692" ht="15.75" customHeight="1">
      <c r="A5692" s="1">
        <v>6872.0</v>
      </c>
      <c r="B5692" s="3" t="s">
        <v>16384</v>
      </c>
      <c r="C5692" s="3">
        <v>1.0</v>
      </c>
      <c r="D5692" s="3">
        <v>3.0</v>
      </c>
      <c r="E5692" s="3">
        <v>20.0</v>
      </c>
      <c r="F5692" s="3" t="s">
        <v>16385</v>
      </c>
      <c r="G5692" s="3">
        <v>0.0</v>
      </c>
      <c r="H5692" s="3">
        <v>0.0</v>
      </c>
      <c r="I5692" s="3" t="s">
        <v>13</v>
      </c>
      <c r="J5692" s="3" t="s">
        <v>16386</v>
      </c>
      <c r="K5692" s="3" t="s">
        <v>374</v>
      </c>
      <c r="L5692" s="3" t="str">
        <f>IFERROR(__xludf.DUMMYFUNCTION("GOOGLETRANSLATE(F5692,""id"",""en"")"),"The encouragement of its main economic growth due to the increase in exports due to the high international spotlight while Argentina will tend to buy soybean wheat corn they imagine being offered by this Argentine soybean you know the world champion of th"&amp;"e soybean Messi")</f>
        <v>The encouragement of its main economic growth due to the increase in exports due to the high international spotlight while Argentina will tend to buy soybean wheat corn they imagine being offered by this Argentine soybean you know the world champion of the soybean Messi</v>
      </c>
    </row>
    <row r="5693" ht="15.75" customHeight="1">
      <c r="A5693" s="1">
        <v>6873.0</v>
      </c>
      <c r="B5693" s="3" t="s">
        <v>16387</v>
      </c>
      <c r="C5693" s="3">
        <v>1.0</v>
      </c>
      <c r="D5693" s="3">
        <v>2.0</v>
      </c>
      <c r="E5693" s="3">
        <v>14.0</v>
      </c>
      <c r="F5693" s="3" t="s">
        <v>16388</v>
      </c>
      <c r="G5693" s="3">
        <v>0.0</v>
      </c>
      <c r="H5693" s="3">
        <v>0.0</v>
      </c>
      <c r="I5693" s="3" t="s">
        <v>13</v>
      </c>
      <c r="J5693" s="3" t="s">
        <v>16389</v>
      </c>
      <c r="K5693" s="3" t="s">
        <v>1518</v>
      </c>
      <c r="L5693" s="3" t="str">
        <f>IFERROR(__xludf.DUMMYFUNCTION("GOOGLETRANSLATE(F5693,""id"",""en"")"),"But the champion certainly leads to better in addition to the prize of millions of Argentina will also get the encouragement of economic growth at least for the two quarters of the Mello is the same as Brazil experienced when winning the World Cup")</f>
        <v>But the champion certainly leads to better in addition to the prize of millions of Argentina will also get the encouragement of economic growth at least for the two quarters of the Mello is the same as Brazil experienced when winning the World Cup</v>
      </c>
    </row>
    <row r="5694" ht="15.75" customHeight="1">
      <c r="A5694" s="1">
        <v>6874.0</v>
      </c>
      <c r="B5694" s="3" t="s">
        <v>16390</v>
      </c>
      <c r="C5694" s="3">
        <v>1.0</v>
      </c>
      <c r="D5694" s="3">
        <v>2.0</v>
      </c>
      <c r="E5694" s="3">
        <v>22.0</v>
      </c>
      <c r="F5694" s="3" t="s">
        <v>16391</v>
      </c>
      <c r="G5694" s="3">
        <v>0.0</v>
      </c>
      <c r="H5694" s="3">
        <v>0.0</v>
      </c>
      <c r="I5694" s="3" t="s">
        <v>13</v>
      </c>
      <c r="J5694" s="3" t="s">
        <v>16392</v>
      </c>
      <c r="K5694" s="3" t="s">
        <v>426</v>
      </c>
      <c r="L5694" s="3" t="str">
        <f>IFERROR(__xludf.DUMMYFUNCTION("GOOGLETRANSLATE(F5694,""id"",""en"")"),"Regarding inflation there are interesting facts for the year they succeeded in champions Argentina always undergoing extraordinary inflation Bloomberg is certainly not Atik Gathuk we don't need to take an example, but football is truly an extraordinary co"&amp;"nsolation")</f>
        <v>Regarding inflation there are interesting facts for the year they succeeded in champions Argentina always undergoing extraordinary inflation Bloomberg is certainly not Atik Gathuk we don't need to take an example, but football is truly an extraordinary consolation</v>
      </c>
    </row>
    <row r="5695" ht="15.75" customHeight="1">
      <c r="A5695" s="1">
        <v>6875.0</v>
      </c>
      <c r="B5695" s="3" t="s">
        <v>16393</v>
      </c>
      <c r="C5695" s="3">
        <v>0.0</v>
      </c>
      <c r="D5695" s="3">
        <v>0.0</v>
      </c>
      <c r="E5695" s="3">
        <v>1.0</v>
      </c>
      <c r="F5695" s="3" t="s">
        <v>16394</v>
      </c>
      <c r="G5695" s="3">
        <v>0.0</v>
      </c>
      <c r="H5695" s="3">
        <v>0.0</v>
      </c>
      <c r="I5695" s="3" t="s">
        <v>13</v>
      </c>
      <c r="J5695" s="3" t="s">
        <v>16395</v>
      </c>
      <c r="K5695" s="3" t="s">
        <v>54</v>
      </c>
      <c r="L5695" s="3" t="str">
        <f>IFERROR(__xludf.DUMMYFUNCTION("GOOGLETRANSLATE(F5695,""id"",""en"")"),"Argentina Recipe for World Cup Champion")</f>
        <v>Argentina Recipe for World Cup Champion</v>
      </c>
    </row>
    <row r="5696" ht="15.75" customHeight="1">
      <c r="A5696" s="1">
        <v>6876.0</v>
      </c>
      <c r="B5696" s="3" t="s">
        <v>16396</v>
      </c>
      <c r="C5696" s="3">
        <v>0.0</v>
      </c>
      <c r="D5696" s="3">
        <v>0.0</v>
      </c>
      <c r="E5696" s="3">
        <v>1.0</v>
      </c>
      <c r="F5696" s="3" t="s">
        <v>16397</v>
      </c>
      <c r="G5696" s="3">
        <v>0.0</v>
      </c>
      <c r="H5696" s="3">
        <v>0.0</v>
      </c>
      <c r="I5696" s="3" t="s">
        <v>13</v>
      </c>
      <c r="J5696" s="3" t="s">
        <v>16398</v>
      </c>
      <c r="K5696" s="3" t="s">
        <v>31</v>
      </c>
      <c r="L5696" s="3" t="str">
        <f>IFERROR(__xludf.DUMMYFUNCTION("GOOGLETRANSLATE(F5696,""id"",""en"")"),"Argentina Recipe for World Cup Champion")</f>
        <v>Argentina Recipe for World Cup Champion</v>
      </c>
    </row>
    <row r="5697" ht="15.75" customHeight="1">
      <c r="A5697" s="1">
        <v>6877.0</v>
      </c>
      <c r="B5697" s="3" t="s">
        <v>16399</v>
      </c>
      <c r="C5697" s="3">
        <v>0.0</v>
      </c>
      <c r="D5697" s="3">
        <v>0.0</v>
      </c>
      <c r="E5697" s="3">
        <v>0.0</v>
      </c>
      <c r="F5697" s="3" t="s">
        <v>16400</v>
      </c>
      <c r="G5697" s="3">
        <v>0.2333333333333333</v>
      </c>
      <c r="H5697" s="3">
        <v>-0.25</v>
      </c>
      <c r="I5697" s="3" t="s">
        <v>179</v>
      </c>
      <c r="J5697" s="3" t="s">
        <v>16401</v>
      </c>
      <c r="K5697" s="3" t="s">
        <v>41</v>
      </c>
      <c r="L5697" s="3" t="str">
        <f>IFERROR(__xludf.DUMMYFUNCTION("GOOGLETRANSLATE(F5697,""id"",""en"")"),"The Mystery of a Girl Without the Clothes of the Argentine Parade World Cup Champion")</f>
        <v>The Mystery of a Girl Without the Clothes of the Argentine Parade World Cup Champion</v>
      </c>
    </row>
    <row r="5698" ht="15.75" customHeight="1">
      <c r="A5698" s="1">
        <v>6878.0</v>
      </c>
      <c r="B5698" s="3" t="s">
        <v>16402</v>
      </c>
      <c r="C5698" s="3">
        <v>1.0</v>
      </c>
      <c r="D5698" s="3">
        <v>0.0</v>
      </c>
      <c r="E5698" s="3">
        <v>2.0</v>
      </c>
      <c r="F5698" s="3" t="s">
        <v>16403</v>
      </c>
      <c r="G5698" s="3">
        <v>0.0</v>
      </c>
      <c r="H5698" s="3">
        <v>0.0</v>
      </c>
      <c r="I5698" s="3" t="s">
        <v>13</v>
      </c>
      <c r="J5698" s="3" t="s">
        <v>16404</v>
      </c>
      <c r="K5698" s="3" t="s">
        <v>19</v>
      </c>
      <c r="L5698" s="3" t="str">
        <f>IFERROR(__xludf.DUMMYFUNCTION("GOOGLETRANSLATE(F5698,""id"",""en"")"),"Ted even though one aspect of the champion is the analysis of the Argentine coaching team match")</f>
        <v>Ted even though one aspect of the champion is the analysis of the Argentine coaching team match</v>
      </c>
    </row>
    <row r="5699" ht="15.75" customHeight="1">
      <c r="A5699" s="1">
        <v>6879.0</v>
      </c>
      <c r="B5699" s="3" t="s">
        <v>16405</v>
      </c>
      <c r="C5699" s="3">
        <v>0.0</v>
      </c>
      <c r="D5699" s="3">
        <v>0.0</v>
      </c>
      <c r="E5699" s="3">
        <v>0.0</v>
      </c>
      <c r="F5699" s="3" t="s">
        <v>16400</v>
      </c>
      <c r="G5699" s="3">
        <v>0.2333333333333333</v>
      </c>
      <c r="H5699" s="3">
        <v>-0.25</v>
      </c>
      <c r="I5699" s="3" t="s">
        <v>179</v>
      </c>
      <c r="J5699" s="3" t="s">
        <v>16401</v>
      </c>
      <c r="K5699" s="3" t="s">
        <v>41</v>
      </c>
      <c r="L5699" s="3" t="str">
        <f>IFERROR(__xludf.DUMMYFUNCTION("GOOGLETRANSLATE(F5699,""id"",""en"")"),"The Mystery of a Girl Without the Clothes of the Argentine Parade World Cup Champion")</f>
        <v>The Mystery of a Girl Without the Clothes of the Argentine Parade World Cup Champion</v>
      </c>
    </row>
    <row r="5700" ht="15.75" customHeight="1">
      <c r="A5700" s="1">
        <v>6880.0</v>
      </c>
      <c r="B5700" s="3" t="s">
        <v>16406</v>
      </c>
      <c r="C5700" s="3">
        <v>0.0</v>
      </c>
      <c r="D5700" s="3">
        <v>0.0</v>
      </c>
      <c r="E5700" s="3">
        <v>0.0</v>
      </c>
      <c r="F5700" s="3" t="s">
        <v>16407</v>
      </c>
      <c r="G5700" s="3">
        <v>0.0</v>
      </c>
      <c r="H5700" s="3">
        <v>0.0</v>
      </c>
      <c r="I5700" s="3" t="s">
        <v>13</v>
      </c>
      <c r="J5700" s="3" t="s">
        <v>16408</v>
      </c>
      <c r="K5700" s="3" t="s">
        <v>82</v>
      </c>
      <c r="L5700" s="3" t="str">
        <f>IFERROR(__xludf.DUMMYFUNCTION("GOOGLETRANSLATE(F5700,""id"",""en"")"),"Argentina Ngk Can Champion World Cup Dunk Nyet")</f>
        <v>Argentina Ngk Can Champion World Cup Dunk Nyet</v>
      </c>
    </row>
    <row r="5701" ht="15.75" customHeight="1">
      <c r="A5701" s="1">
        <v>6881.0</v>
      </c>
      <c r="B5701" s="3" t="s">
        <v>16409</v>
      </c>
      <c r="C5701" s="3">
        <v>0.0</v>
      </c>
      <c r="D5701" s="3">
        <v>1.0</v>
      </c>
      <c r="E5701" s="3">
        <v>6.0</v>
      </c>
      <c r="F5701" s="3" t="s">
        <v>16410</v>
      </c>
      <c r="G5701" s="3">
        <v>0.0</v>
      </c>
      <c r="H5701" s="3">
        <v>0.0</v>
      </c>
      <c r="I5701" s="3" t="s">
        <v>13</v>
      </c>
      <c r="J5701" s="3" t="s">
        <v>16411</v>
      </c>
      <c r="K5701" s="3" t="s">
        <v>31</v>
      </c>
      <c r="L5701" s="3" t="str">
        <f>IFERROR(__xludf.DUMMYFUNCTION("GOOGLETRANSLATE(F5701,""id"",""en"")"),"Suitable Argentina Champion Indonesian Champion Also triumphantly")</f>
        <v>Suitable Argentina Champion Indonesian Champion Also triumphantly</v>
      </c>
    </row>
    <row r="5702" ht="15.75" customHeight="1">
      <c r="A5702" s="1">
        <v>6882.0</v>
      </c>
      <c r="B5702" s="3" t="s">
        <v>16412</v>
      </c>
      <c r="C5702" s="3">
        <v>0.0</v>
      </c>
      <c r="D5702" s="3">
        <v>0.0</v>
      </c>
      <c r="E5702" s="3">
        <v>0.0</v>
      </c>
      <c r="F5702" s="3" t="s">
        <v>16400</v>
      </c>
      <c r="G5702" s="3">
        <v>0.2333333333333333</v>
      </c>
      <c r="H5702" s="3">
        <v>-0.25</v>
      </c>
      <c r="I5702" s="3" t="s">
        <v>179</v>
      </c>
      <c r="J5702" s="3" t="s">
        <v>16401</v>
      </c>
      <c r="K5702" s="3" t="s">
        <v>41</v>
      </c>
      <c r="L5702" s="3" t="str">
        <f>IFERROR(__xludf.DUMMYFUNCTION("GOOGLETRANSLATE(F5702,""id"",""en"")"),"The Mystery of a Girl Without the Clothes of the Argentine Parade World Cup Champion")</f>
        <v>The Mystery of a Girl Without the Clothes of the Argentine Parade World Cup Champion</v>
      </c>
    </row>
    <row r="5703" ht="15.75" customHeight="1">
      <c r="A5703" s="1">
        <v>6883.0</v>
      </c>
      <c r="B5703" s="3" t="s">
        <v>16413</v>
      </c>
      <c r="C5703" s="3">
        <v>0.0</v>
      </c>
      <c r="D5703" s="3">
        <v>1.0</v>
      </c>
      <c r="E5703" s="3">
        <v>2.0</v>
      </c>
      <c r="F5703" s="3" t="s">
        <v>16414</v>
      </c>
      <c r="G5703" s="3">
        <v>0.0</v>
      </c>
      <c r="H5703" s="3">
        <v>0.0</v>
      </c>
      <c r="I5703" s="3" t="s">
        <v>13</v>
      </c>
      <c r="J5703" s="3" t="s">
        <v>16415</v>
      </c>
      <c r="K5703" s="3" t="s">
        <v>75</v>
      </c>
      <c r="L5703" s="3" t="str">
        <f>IFERROR(__xludf.DUMMYFUNCTION("GOOGLETRANSLATE(F5703,""id"",""en"")"),"The difference between Lionel Messi and Maradona when carrying the Argentine national team champions of the World Cup")</f>
        <v>The difference between Lionel Messi and Maradona when carrying the Argentine national team champions of the World Cup</v>
      </c>
    </row>
    <row r="5704" ht="15.75" customHeight="1">
      <c r="A5704" s="1">
        <v>6884.0</v>
      </c>
      <c r="B5704" s="3" t="s">
        <v>16416</v>
      </c>
      <c r="C5704" s="3">
        <v>0.0</v>
      </c>
      <c r="D5704" s="3">
        <v>0.0</v>
      </c>
      <c r="E5704" s="3">
        <v>2.0</v>
      </c>
      <c r="F5704" s="3" t="s">
        <v>16417</v>
      </c>
      <c r="G5704" s="3">
        <v>0.0</v>
      </c>
      <c r="H5704" s="3">
        <v>0.0</v>
      </c>
      <c r="I5704" s="3" t="s">
        <v>13</v>
      </c>
      <c r="J5704" s="3" t="s">
        <v>16418</v>
      </c>
      <c r="K5704" s="3" t="s">
        <v>240</v>
      </c>
      <c r="L5704" s="3" t="str">
        <f>IFERROR(__xludf.DUMMYFUNCTION("GOOGLETRANSLATE(F5704,""id"",""en"")"),"Emiliano Martinez is considered to be too far related to his celebrity when Argentina Champion World Cup Manager Aston Villa Unai Emery will advise him")</f>
        <v>Emiliano Martinez is considered to be too far related to his celebrity when Argentina Champion World Cup Manager Aston Villa Unai Emery will advise him</v>
      </c>
    </row>
    <row r="5705" ht="15.75" customHeight="1">
      <c r="A5705" s="1">
        <v>6885.0</v>
      </c>
      <c r="B5705" s="3" t="s">
        <v>16419</v>
      </c>
      <c r="C5705" s="3">
        <v>0.0</v>
      </c>
      <c r="D5705" s="3">
        <v>0.0</v>
      </c>
      <c r="E5705" s="3">
        <v>0.0</v>
      </c>
      <c r="F5705" s="3" t="s">
        <v>16420</v>
      </c>
      <c r="G5705" s="3">
        <v>0.0</v>
      </c>
      <c r="H5705" s="3">
        <v>0.0</v>
      </c>
      <c r="I5705" s="3" t="s">
        <v>13</v>
      </c>
      <c r="J5705" s="3" t="s">
        <v>16421</v>
      </c>
      <c r="K5705" s="3" t="s">
        <v>50</v>
      </c>
      <c r="L5705" s="3" t="str">
        <f>IFERROR(__xludf.DUMMYFUNCTION("GOOGLETRANSLATE(F5705,""id"",""en"")"),"While Argentina is already chaotic after the celebration of Buenos Aires champions want to be repeated too")</f>
        <v>While Argentina is already chaotic after the celebration of Buenos Aires champions want to be repeated too</v>
      </c>
    </row>
    <row r="5706" ht="15.75" customHeight="1">
      <c r="A5706" s="1">
        <v>6887.0</v>
      </c>
      <c r="B5706" s="3" t="s">
        <v>16422</v>
      </c>
      <c r="C5706" s="3">
        <v>0.0</v>
      </c>
      <c r="D5706" s="3">
        <v>0.0</v>
      </c>
      <c r="E5706" s="3">
        <v>0.0</v>
      </c>
      <c r="F5706" s="3" t="s">
        <v>16423</v>
      </c>
      <c r="G5706" s="3">
        <v>0.5</v>
      </c>
      <c r="H5706" s="3">
        <v>0.5</v>
      </c>
      <c r="I5706" s="3" t="s">
        <v>48</v>
      </c>
      <c r="J5706" s="3" t="s">
        <v>16424</v>
      </c>
      <c r="K5706" s="3" t="s">
        <v>58</v>
      </c>
      <c r="L5706" s="3" t="str">
        <f>IFERROR(__xludf.DUMMYFUNCTION("GOOGLETRANSLATE(F5706,""id"",""en"")"),"Proof of showing Lionel Messi should be the top scorer of the World Cup and be a determinant of Argentina Champion")</f>
        <v>Proof of showing Lionel Messi should be the top scorer of the World Cup and be a determinant of Argentina Champion</v>
      </c>
    </row>
    <row r="5707" ht="15.75" customHeight="1">
      <c r="A5707" s="1">
        <v>6888.0</v>
      </c>
      <c r="B5707" s="3" t="s">
        <v>16425</v>
      </c>
      <c r="C5707" s="3">
        <v>39.0</v>
      </c>
      <c r="D5707" s="3">
        <v>31.0</v>
      </c>
      <c r="E5707" s="3">
        <v>103.0</v>
      </c>
      <c r="F5707" s="3" t="s">
        <v>16426</v>
      </c>
      <c r="G5707" s="3">
        <v>0.0</v>
      </c>
      <c r="H5707" s="3">
        <v>0.0</v>
      </c>
      <c r="I5707" s="3" t="s">
        <v>13</v>
      </c>
      <c r="J5707" s="3" t="s">
        <v>16427</v>
      </c>
      <c r="K5707" s="3" t="s">
        <v>675</v>
      </c>
      <c r="L5707" s="3" t="str">
        <f>IFERROR(__xludf.DUMMYFUNCTION("GOOGLETRANSLATE(F5707,""id"",""en"")"),"If the buzzer is still still understandable this time, it will actually be that the crowd of the Argentine people welcomes his soccer team as a world champion of Qatar, it is claimed that the Pangkep community welcomed themselves")</f>
        <v>If the buzzer is still still understandable this time, it will actually be that the crowd of the Argentine people welcomes his soccer team as a world champion of Qatar, it is claimed that the Pangkep community welcomed themselves</v>
      </c>
    </row>
    <row r="5708" ht="15.75" customHeight="1">
      <c r="A5708" s="1">
        <v>6889.0</v>
      </c>
      <c r="B5708" s="3" t="s">
        <v>16428</v>
      </c>
      <c r="C5708" s="3">
        <v>0.0</v>
      </c>
      <c r="D5708" s="3">
        <v>0.0</v>
      </c>
      <c r="E5708" s="3">
        <v>1.0</v>
      </c>
      <c r="F5708" s="3" t="s">
        <v>16429</v>
      </c>
      <c r="G5708" s="3">
        <v>1.0</v>
      </c>
      <c r="H5708" s="3">
        <v>0.0</v>
      </c>
      <c r="I5708" s="3" t="s">
        <v>13</v>
      </c>
      <c r="J5708" s="3" t="s">
        <v>16430</v>
      </c>
      <c r="K5708" s="3" t="s">
        <v>149</v>
      </c>
      <c r="L5708" s="3" t="str">
        <f>IFERROR(__xludf.DUMMYFUNCTION("GOOGLETRANSLATE(F5708,""id"",""en"")"),"This is the celebration of Argentine because his team passed the final not the celebration of the news champion Fix Photo Anies Hoax anyways Tugu like the existence of Surabaya just dech if Indonesia")</f>
        <v>This is the celebration of Argentine because his team passed the final not the celebration of the news champion Fix Photo Anies Hoax anyways Tugu like the existence of Surabaya just dech if Indonesia</v>
      </c>
    </row>
    <row r="5709" ht="15.75" customHeight="1">
      <c r="A5709" s="1">
        <v>6890.0</v>
      </c>
      <c r="B5709" s="3" t="s">
        <v>16431</v>
      </c>
      <c r="C5709" s="3">
        <v>0.0</v>
      </c>
      <c r="D5709" s="3">
        <v>0.0</v>
      </c>
      <c r="E5709" s="3">
        <v>0.0</v>
      </c>
      <c r="F5709" s="3" t="s">
        <v>16432</v>
      </c>
      <c r="G5709" s="3">
        <v>0.0</v>
      </c>
      <c r="H5709" s="3">
        <v>0.0</v>
      </c>
      <c r="I5709" s="3" t="s">
        <v>13</v>
      </c>
      <c r="J5709" s="3" t="s">
        <v>16433</v>
      </c>
      <c r="K5709" s="3" t="s">
        <v>1335</v>
      </c>
      <c r="L5709" s="3" t="str">
        <f>IFERROR(__xludf.DUMMYFUNCTION("GOOGLETRANSLATE(F5709,""id"",""en"")"),"losing just losing Argentina deserves to be a champion")</f>
        <v>losing just losing Argentina deserves to be a champion</v>
      </c>
    </row>
    <row r="5710" ht="15.75" customHeight="1">
      <c r="A5710" s="1">
        <v>6891.0</v>
      </c>
      <c r="B5710" s="3" t="s">
        <v>16434</v>
      </c>
      <c r="C5710" s="3">
        <v>0.0</v>
      </c>
      <c r="D5710" s="3">
        <v>0.0</v>
      </c>
      <c r="E5710" s="3">
        <v>1.0</v>
      </c>
      <c r="F5710" s="3" t="s">
        <v>16435</v>
      </c>
      <c r="G5710" s="3">
        <v>0.0</v>
      </c>
      <c r="H5710" s="3">
        <v>0.0</v>
      </c>
      <c r="I5710" s="3" t="s">
        <v>13</v>
      </c>
      <c r="J5710" s="3" t="s">
        <v>16436</v>
      </c>
      <c r="K5710" s="3" t="s">
        <v>657</v>
      </c>
      <c r="L5710" s="3" t="str">
        <f>IFERROR(__xludf.DUMMYFUNCTION("GOOGLETRANSLATE(F5710,""id"",""en"")"),"The Best Betting Prediction of World Cup Champion Allegri hopes that Angel Maria will transmit the spirit of the Argentine national team Juventus")</f>
        <v>The Best Betting Prediction of World Cup Champion Allegri hopes that Angel Maria will transmit the spirit of the Argentine national team Juventus</v>
      </c>
    </row>
    <row r="5711" ht="15.75" customHeight="1">
      <c r="A5711" s="1">
        <v>6892.0</v>
      </c>
      <c r="B5711" s="3" t="s">
        <v>16437</v>
      </c>
      <c r="C5711" s="3">
        <v>1.0</v>
      </c>
      <c r="D5711" s="3">
        <v>0.0</v>
      </c>
      <c r="E5711" s="3">
        <v>0.0</v>
      </c>
      <c r="F5711" s="3" t="s">
        <v>16438</v>
      </c>
      <c r="G5711" s="3">
        <v>0.0</v>
      </c>
      <c r="H5711" s="3">
        <v>0.0</v>
      </c>
      <c r="I5711" s="3" t="s">
        <v>13</v>
      </c>
      <c r="J5711" s="3" t="s">
        <v>16439</v>
      </c>
      <c r="K5711" s="3" t="s">
        <v>75</v>
      </c>
      <c r="L5711" s="3" t="str">
        <f>IFERROR(__xludf.DUMMYFUNCTION("GOOGLETRANSLATE(F5711,""id"",""en"")"),"Tangi Worsnop is not if the other goalkeepers they can also win Messi carrying Argentina")</f>
        <v>Tangi Worsnop is not if the other goalkeepers they can also win Messi carrying Argentina</v>
      </c>
    </row>
    <row r="5712" ht="15.75" customHeight="1">
      <c r="A5712" s="1">
        <v>6893.0</v>
      </c>
      <c r="B5712" s="3" t="s">
        <v>16440</v>
      </c>
      <c r="C5712" s="3">
        <v>0.0</v>
      </c>
      <c r="D5712" s="3">
        <v>0.0</v>
      </c>
      <c r="E5712" s="3">
        <v>0.0</v>
      </c>
      <c r="F5712" s="3" t="s">
        <v>16441</v>
      </c>
      <c r="G5712" s="3">
        <v>0.0</v>
      </c>
      <c r="H5712" s="3">
        <v>0.0</v>
      </c>
      <c r="I5712" s="3" t="s">
        <v>13</v>
      </c>
      <c r="J5712" s="3" t="s">
        <v>16442</v>
      </c>
      <c r="K5712" s="3" t="s">
        <v>1097</v>
      </c>
      <c r="L5712" s="3" t="str">
        <f>IFERROR(__xludf.DUMMYFUNCTION("GOOGLETRANSLATE(F5712,""id"",""en"")"),"Gile ndro, it's not funny, Argentina is already a suction champion")</f>
        <v>Gile ndro, it's not funny, Argentina is already a suction champion</v>
      </c>
    </row>
    <row r="5713" ht="15.75" customHeight="1">
      <c r="A5713" s="1">
        <v>6894.0</v>
      </c>
      <c r="B5713" s="3" t="s">
        <v>16443</v>
      </c>
      <c r="C5713" s="3">
        <v>0.0</v>
      </c>
      <c r="D5713" s="3">
        <v>0.0</v>
      </c>
      <c r="E5713" s="3">
        <v>0.0</v>
      </c>
      <c r="F5713" s="3" t="s">
        <v>16444</v>
      </c>
      <c r="G5713" s="3">
        <v>0.0</v>
      </c>
      <c r="H5713" s="3">
        <v>0.0</v>
      </c>
      <c r="I5713" s="3" t="s">
        <v>13</v>
      </c>
      <c r="J5713" s="3" t="s">
        <v>16445</v>
      </c>
      <c r="K5713" s="3" t="s">
        <v>614</v>
      </c>
      <c r="L5713" s="3" t="str">
        <f>IFERROR(__xludf.DUMMYFUNCTION("GOOGLETRANSLATE(F5713,""id"",""en"")"),"Argentina Leo Messi just lost from Arabs during the opening match of the World Cup finally the Indonesian national team champion limp Tatih when winning Cambodia Ngapatat Opo")</f>
        <v>Argentina Leo Messi just lost from Arabs during the opening match of the World Cup finally the Indonesian national team champion limp Tatih when winning Cambodia Ngapatat Opo</v>
      </c>
    </row>
    <row r="5714" ht="15.75" customHeight="1">
      <c r="A5714" s="1">
        <v>6895.0</v>
      </c>
      <c r="B5714" s="3" t="s">
        <v>16446</v>
      </c>
      <c r="C5714" s="3">
        <v>0.0</v>
      </c>
      <c r="D5714" s="3">
        <v>0.0</v>
      </c>
      <c r="E5714" s="3">
        <v>4.0</v>
      </c>
      <c r="F5714" s="3" t="s">
        <v>16447</v>
      </c>
      <c r="G5714" s="3">
        <v>0.0</v>
      </c>
      <c r="H5714" s="3">
        <v>0.0</v>
      </c>
      <c r="I5714" s="3" t="s">
        <v>13</v>
      </c>
      <c r="J5714" s="3" t="s">
        <v>16448</v>
      </c>
      <c r="K5714" s="3" t="s">
        <v>19</v>
      </c>
      <c r="L5714" s="3" t="str">
        <f>IFERROR(__xludf.DUMMYFUNCTION("GOOGLETRANSLATE(F5714,""id"",""en"")"),"From the other universe, precisely the planet Gliese here Portugal World Champion and Argentina Runner Thank you")</f>
        <v>From the other universe, precisely the planet Gliese here Portugal World Champion and Argentina Runner Thank you</v>
      </c>
    </row>
    <row r="5715" ht="15.75" customHeight="1">
      <c r="A5715" s="1">
        <v>6896.0</v>
      </c>
      <c r="B5715" s="3" t="s">
        <v>16449</v>
      </c>
      <c r="C5715" s="3">
        <v>1.0</v>
      </c>
      <c r="D5715" s="3">
        <v>0.0</v>
      </c>
      <c r="E5715" s="3">
        <v>1.0</v>
      </c>
      <c r="F5715" s="3" t="s">
        <v>16450</v>
      </c>
      <c r="G5715" s="3">
        <v>0.3333333333333333</v>
      </c>
      <c r="H5715" s="3">
        <v>0.1666666666666667</v>
      </c>
      <c r="I5715" s="3" t="s">
        <v>48</v>
      </c>
      <c r="J5715" s="3" t="s">
        <v>16451</v>
      </c>
      <c r="K5715" s="3" t="s">
        <v>3245</v>
      </c>
      <c r="L5715" s="3" t="str">
        <f>IFERROR(__xludf.DUMMYFUNCTION("GOOGLETRANSLATE(F5715,""id"",""en"")"),"Info Playing Football After becoming World Cup Champion Emiliano Martinez will be a Manchester United goalkeeper there is a new gossip about the future of Emiliano Martinez, the Argentine national team goalkeeper is reported to be a serious target transfe"&amp;"r for Manchester")</f>
        <v>Info Playing Football After becoming World Cup Champion Emiliano Martinez will be a Manchester United goalkeeper there is a new gossip about the future of Emiliano Martinez, the Argentine national team goalkeeper is reported to be a serious target transfer for Manchester</v>
      </c>
    </row>
    <row r="5716" ht="15.75" customHeight="1">
      <c r="A5716" s="1">
        <v>6897.0</v>
      </c>
      <c r="B5716" s="3" t="s">
        <v>16452</v>
      </c>
      <c r="C5716" s="3">
        <v>5.0</v>
      </c>
      <c r="D5716" s="3">
        <v>3.0</v>
      </c>
      <c r="E5716" s="3">
        <v>69.0</v>
      </c>
      <c r="F5716" s="3" t="s">
        <v>16447</v>
      </c>
      <c r="G5716" s="3">
        <v>0.0</v>
      </c>
      <c r="H5716" s="3">
        <v>0.0</v>
      </c>
      <c r="I5716" s="3" t="s">
        <v>13</v>
      </c>
      <c r="J5716" s="3" t="s">
        <v>16448</v>
      </c>
      <c r="K5716" s="3" t="s">
        <v>19</v>
      </c>
      <c r="L5716" s="3" t="str">
        <f>IFERROR(__xludf.DUMMYFUNCTION("GOOGLETRANSLATE(F5716,""id"",""en"")"),"From the other universe, precisely the planet Gliese here Portugal World Champion and Argentina Runner Thank you")</f>
        <v>From the other universe, precisely the planet Gliese here Portugal World Champion and Argentina Runner Thank you</v>
      </c>
    </row>
    <row r="5717" ht="15.75" customHeight="1">
      <c r="A5717" s="1">
        <v>6899.0</v>
      </c>
      <c r="B5717" s="3" t="s">
        <v>16453</v>
      </c>
      <c r="C5717" s="3">
        <v>0.0</v>
      </c>
      <c r="D5717" s="3">
        <v>0.0</v>
      </c>
      <c r="E5717" s="3">
        <v>1.0</v>
      </c>
      <c r="F5717" s="3" t="s">
        <v>16454</v>
      </c>
      <c r="G5717" s="3">
        <v>0.0</v>
      </c>
      <c r="H5717" s="3">
        <v>0.0</v>
      </c>
      <c r="I5717" s="3" t="s">
        <v>13</v>
      </c>
      <c r="J5717" s="3" t="s">
        <v>16455</v>
      </c>
      <c r="K5717" s="3" t="s">
        <v>1061</v>
      </c>
      <c r="L5717" s="3" t="str">
        <f>IFERROR(__xludf.DUMMYFUNCTION("GOOGLETRANSLATE(F5717,""id"",""en"")"),"BKN is like that, if you know Argentina, the champion is set and it's fixed, why is the betting bets for all the Motorbike houses for all Argentina, the opportunity")</f>
        <v>BKN is like that, if you know Argentina, the champion is set and it's fixed, why is the betting bets for all the Motorbike houses for all Argentina, the opportunity</v>
      </c>
    </row>
    <row r="5718" ht="15.75" customHeight="1">
      <c r="A5718" s="1">
        <v>6900.0</v>
      </c>
      <c r="B5718" s="3" t="s">
        <v>16456</v>
      </c>
      <c r="C5718" s="3">
        <v>1.0</v>
      </c>
      <c r="D5718" s="3">
        <v>0.0</v>
      </c>
      <c r="E5718" s="3">
        <v>0.0</v>
      </c>
      <c r="F5718" s="3" t="s">
        <v>16457</v>
      </c>
      <c r="G5718" s="3">
        <v>0.0</v>
      </c>
      <c r="H5718" s="3">
        <v>0.0</v>
      </c>
      <c r="I5718" s="3" t="s">
        <v>13</v>
      </c>
      <c r="J5718" s="3" t="s">
        <v>16458</v>
      </c>
      <c r="K5718" s="3" t="s">
        <v>165</v>
      </c>
      <c r="L5718" s="3" t="str">
        <f>IFERROR(__xludf.DUMMYFUNCTION("GOOGLETRANSLATE(F5718,""id"",""en"")"),"He was hurt, bro, bro, I also wanted Argentina to champion the problem of the problem, soan wanted to fry Madrid using the PDHL championship champion, it didn't have a relationship and Messi was also not a player")</f>
        <v>He was hurt, bro, bro, I also wanted Argentina to champion the problem of the problem, soan wanted to fry Madrid using the PDHL championship champion, it didn't have a relationship and Messi was also not a player</v>
      </c>
    </row>
    <row r="5719" ht="15.75" customHeight="1">
      <c r="A5719" s="1">
        <v>6901.0</v>
      </c>
      <c r="B5719" s="3" t="s">
        <v>16459</v>
      </c>
      <c r="C5719" s="3">
        <v>0.0</v>
      </c>
      <c r="D5719" s="3">
        <v>0.0</v>
      </c>
      <c r="E5719" s="3">
        <v>0.0</v>
      </c>
      <c r="F5719" s="3" t="s">
        <v>16460</v>
      </c>
      <c r="G5719" s="3">
        <v>0.0</v>
      </c>
      <c r="H5719" s="3">
        <v>0.0</v>
      </c>
      <c r="I5719" s="3" t="s">
        <v>13</v>
      </c>
      <c r="J5719" s="3" t="s">
        <v>16461</v>
      </c>
      <c r="K5719" s="3" t="s">
        <v>510</v>
      </c>
      <c r="L5719" s="3" t="str">
        <f>IFERROR(__xludf.DUMMYFUNCTION("GOOGLETRANSLATE(F5719,""id"",""en"")"),"World Cup Champion Allegri hopes that Angel Maria will transmit the spirit of the Argentine national team Juventus Whatsapp")</f>
        <v>World Cup Champion Allegri hopes that Angel Maria will transmit the spirit of the Argentine national team Juventus Whatsapp</v>
      </c>
    </row>
    <row r="5720" ht="15.75" customHeight="1">
      <c r="A5720" s="1">
        <v>6902.0</v>
      </c>
      <c r="B5720" s="3" t="s">
        <v>16462</v>
      </c>
      <c r="C5720" s="3">
        <v>1.0</v>
      </c>
      <c r="D5720" s="3">
        <v>0.0</v>
      </c>
      <c r="E5720" s="3">
        <v>0.0</v>
      </c>
      <c r="F5720" s="3" t="s">
        <v>16463</v>
      </c>
      <c r="G5720" s="3">
        <v>0.0</v>
      </c>
      <c r="H5720" s="3">
        <v>0.0</v>
      </c>
      <c r="I5720" s="3" t="s">
        <v>13</v>
      </c>
      <c r="J5720" s="3" t="s">
        <v>16464</v>
      </c>
      <c r="K5720" s="3" t="s">
        <v>16465</v>
      </c>
      <c r="L5720" s="3" t="str">
        <f>IFERROR(__xludf.DUMMYFUNCTION("GOOGLETRANSLATE(F5720,""id"",""en"")"),"Later re -match then Argentina is champion again to make a petition again and then compete again and Argentina champions again make the petition again ask for a re -match until Argentina loses the point is not happy Argentina and especially not happy Mess"&amp;"i lifts Trophy")</f>
        <v>Later re -match then Argentina is champion again to make a petition again and then compete again and Argentina champions again make the petition again ask for a re -match until Argentina loses the point is not happy Argentina and especially not happy Messi lifts Trophy</v>
      </c>
    </row>
    <row r="5721" ht="15.75" customHeight="1">
      <c r="A5721" s="1">
        <v>6903.0</v>
      </c>
      <c r="B5721" s="3" t="s">
        <v>16466</v>
      </c>
      <c r="C5721" s="3">
        <v>0.0</v>
      </c>
      <c r="D5721" s="3">
        <v>0.0</v>
      </c>
      <c r="E5721" s="3">
        <v>0.0</v>
      </c>
      <c r="F5721" s="3" t="s">
        <v>16467</v>
      </c>
      <c r="G5721" s="3">
        <v>0.0</v>
      </c>
      <c r="H5721" s="3">
        <v>0.0</v>
      </c>
      <c r="I5721" s="3" t="s">
        <v>13</v>
      </c>
      <c r="J5721" s="3" t="s">
        <v>16468</v>
      </c>
      <c r="K5721" s="3" t="s">
        <v>657</v>
      </c>
      <c r="L5721" s="3" t="str">
        <f>IFERROR(__xludf.DUMMYFUNCTION("GOOGLETRANSLATE(F5721,""id"",""en"")"),"Bring Argentina World Cup Champion Emiliano Martinez is selling well ahead of the transfer market for all bolasport pages")</f>
        <v>Bring Argentina World Cup Champion Emiliano Martinez is selling well ahead of the transfer market for all bolasport pages</v>
      </c>
    </row>
    <row r="5722" ht="15.75" customHeight="1">
      <c r="A5722" s="1">
        <v>6904.0</v>
      </c>
      <c r="B5722" s="3" t="s">
        <v>16469</v>
      </c>
      <c r="C5722" s="3">
        <v>0.0</v>
      </c>
      <c r="D5722" s="3">
        <v>0.0</v>
      </c>
      <c r="E5722" s="3">
        <v>0.0</v>
      </c>
      <c r="F5722" s="3" t="s">
        <v>16470</v>
      </c>
      <c r="G5722" s="3">
        <v>0.0</v>
      </c>
      <c r="H5722" s="3">
        <v>0.0</v>
      </c>
      <c r="I5722" s="3" t="s">
        <v>13</v>
      </c>
      <c r="J5722" s="3" t="s">
        <v>16471</v>
      </c>
      <c r="K5722" s="3" t="s">
        <v>1097</v>
      </c>
      <c r="L5722" s="3" t="str">
        <f>IFERROR(__xludf.DUMMYFUNCTION("GOOGLETRANSLATE(F5722,""id"",""en"")"),"Believe it or not believe this shaman group claimed to guard Argentina as a champion")</f>
        <v>Believe it or not believe this shaman group claimed to guard Argentina as a champion</v>
      </c>
    </row>
    <row r="5723" ht="15.75" customHeight="1">
      <c r="A5723" s="1">
        <v>6905.0</v>
      </c>
      <c r="B5723" s="3" t="s">
        <v>16472</v>
      </c>
      <c r="C5723" s="3">
        <v>0.0</v>
      </c>
      <c r="D5723" s="3">
        <v>0.0</v>
      </c>
      <c r="E5723" s="3">
        <v>0.0</v>
      </c>
      <c r="F5723" s="3" t="s">
        <v>16473</v>
      </c>
      <c r="G5723" s="3">
        <v>0.0</v>
      </c>
      <c r="H5723" s="3">
        <v>0.0</v>
      </c>
      <c r="I5723" s="3" t="s">
        <v>13</v>
      </c>
      <c r="J5723" s="3" t="s">
        <v>16474</v>
      </c>
      <c r="K5723" s="3" t="s">
        <v>50</v>
      </c>
      <c r="L5723" s="3" t="str">
        <f>IFERROR(__xludf.DUMMYFUNCTION("GOOGLETRANSLATE(F5723,""id"",""en"")"),"Lionel Messi's new record after bringing Argentina to win the World Cup")</f>
        <v>Lionel Messi's new record after bringing Argentina to win the World Cup</v>
      </c>
    </row>
    <row r="5724" ht="15.75" customHeight="1">
      <c r="A5724" s="1">
        <v>6906.0</v>
      </c>
      <c r="B5724" s="3" t="s">
        <v>16475</v>
      </c>
      <c r="C5724" s="3">
        <v>0.0</v>
      </c>
      <c r="D5724" s="3">
        <v>0.0</v>
      </c>
      <c r="E5724" s="3">
        <v>0.0</v>
      </c>
      <c r="F5724" s="3" t="s">
        <v>16467</v>
      </c>
      <c r="G5724" s="3">
        <v>0.0</v>
      </c>
      <c r="H5724" s="3">
        <v>0.0</v>
      </c>
      <c r="I5724" s="3" t="s">
        <v>13</v>
      </c>
      <c r="J5724" s="3" t="s">
        <v>16468</v>
      </c>
      <c r="K5724" s="3" t="s">
        <v>657</v>
      </c>
      <c r="L5724" s="3" t="str">
        <f>IFERROR(__xludf.DUMMYFUNCTION("GOOGLETRANSLATE(F5724,""id"",""en"")"),"Bring Argentina World Cup Champion Emiliano Martinez is selling well ahead of the transfer market for all bolasport pages")</f>
        <v>Bring Argentina World Cup Champion Emiliano Martinez is selling well ahead of the transfer market for all bolasport pages</v>
      </c>
    </row>
    <row r="5725" ht="15.75" customHeight="1">
      <c r="A5725" s="1">
        <v>6907.0</v>
      </c>
      <c r="B5725" s="3" t="s">
        <v>16476</v>
      </c>
      <c r="C5725" s="3">
        <v>9.0</v>
      </c>
      <c r="D5725" s="3">
        <v>7.0</v>
      </c>
      <c r="E5725" s="3">
        <v>12.0</v>
      </c>
      <c r="F5725" s="3" t="s">
        <v>16477</v>
      </c>
      <c r="G5725" s="3">
        <v>0.0</v>
      </c>
      <c r="H5725" s="3">
        <v>0.0</v>
      </c>
      <c r="I5725" s="3" t="s">
        <v>13</v>
      </c>
      <c r="J5725" s="3" t="s">
        <v>16478</v>
      </c>
      <c r="K5725" s="3" t="s">
        <v>215</v>
      </c>
      <c r="L5725" s="3" t="str">
        <f>IFERROR(__xludf.DUMMYFUNCTION("GOOGLETRANSLATE(F5725,""id"",""en"")"),"This presidential candidate really has no shame at all or indeed the dust of the dust is not sane until there is an Anies term, just lies, let alone talk as a candidate for the age of the Argentine world championship.")</f>
        <v>This presidential candidate really has no shame at all or indeed the dust of the dust is not sane until there is an Anies term, just lies, let alone talk as a candidate for the age of the Argentine world championship.</v>
      </c>
    </row>
    <row r="5726" ht="15.75" customHeight="1">
      <c r="A5726" s="1">
        <v>6908.0</v>
      </c>
      <c r="B5726" s="3" t="s">
        <v>16479</v>
      </c>
      <c r="C5726" s="3">
        <v>0.0</v>
      </c>
      <c r="D5726" s="3">
        <v>0.0</v>
      </c>
      <c r="E5726" s="3">
        <v>4.0</v>
      </c>
      <c r="F5726" s="3" t="s">
        <v>16480</v>
      </c>
      <c r="G5726" s="3">
        <v>0.0</v>
      </c>
      <c r="H5726" s="3">
        <v>0.0</v>
      </c>
      <c r="I5726" s="3" t="s">
        <v>13</v>
      </c>
      <c r="J5726" s="3" t="s">
        <v>16418</v>
      </c>
      <c r="K5726" s="3" t="s">
        <v>240</v>
      </c>
      <c r="L5726" s="3" t="str">
        <f>IFERROR(__xludf.DUMMYFUNCTION("GOOGLETRANSLATE(F5726,""id"",""en"")"),"Emiliano Martinez is considered to be too far related to the celebration of Argentina World Cup Champion Manager Aston Villa Unai Emery will advise him")</f>
        <v>Emiliano Martinez is considered to be too far related to the celebration of Argentina World Cup Champion Manager Aston Villa Unai Emery will advise him</v>
      </c>
    </row>
    <row r="5727" ht="15.75" customHeight="1">
      <c r="A5727" s="1">
        <v>6909.0</v>
      </c>
      <c r="B5727" s="3" t="s">
        <v>16481</v>
      </c>
      <c r="C5727" s="3">
        <v>2.0</v>
      </c>
      <c r="D5727" s="3">
        <v>1.0</v>
      </c>
      <c r="E5727" s="3">
        <v>2.0</v>
      </c>
      <c r="F5727" s="3" t="s">
        <v>16482</v>
      </c>
      <c r="G5727" s="3">
        <v>1.0</v>
      </c>
      <c r="H5727" s="3">
        <v>0.0</v>
      </c>
      <c r="I5727" s="3" t="s">
        <v>13</v>
      </c>
      <c r="J5727" s="3" t="s">
        <v>16483</v>
      </c>
      <c r="K5727" s="3" t="s">
        <v>188</v>
      </c>
      <c r="L5727" s="3" t="str">
        <f>IFERROR(__xludf.DUMMYFUNCTION("GOOGLETRANSLATE(F5727,""id"",""en"")"),"If the word of his petition was carried out, it was like a Frenchman, but I wanted to not know shame if they wanted to accept the defeat of the first half yesterday, France, the intention of the Argentina champion was clear before the final it looked righ"&amp;"t Ben")</f>
        <v>If the word of his petition was carried out, it was like a Frenchman, but I wanted to not know shame if they wanted to accept the defeat of the first half yesterday, France, the intention of the Argentina champion was clear before the final it looked right Ben</v>
      </c>
    </row>
    <row r="5728" ht="15.75" customHeight="1">
      <c r="A5728" s="1">
        <v>6910.0</v>
      </c>
      <c r="B5728" s="3" t="s">
        <v>16484</v>
      </c>
      <c r="C5728" s="3">
        <v>0.0</v>
      </c>
      <c r="D5728" s="3">
        <v>0.0</v>
      </c>
      <c r="E5728" s="3">
        <v>0.0</v>
      </c>
      <c r="F5728" s="3" t="s">
        <v>16485</v>
      </c>
      <c r="G5728" s="3">
        <v>0.0</v>
      </c>
      <c r="H5728" s="3">
        <v>0.0</v>
      </c>
      <c r="I5728" s="3" t="s">
        <v>13</v>
      </c>
      <c r="J5728" s="3" t="s">
        <v>16486</v>
      </c>
      <c r="K5728" s="3" t="s">
        <v>54</v>
      </c>
      <c r="L5728" s="3" t="str">
        <f>IFERROR(__xludf.DUMMYFUNCTION("GOOGLETRANSLATE(F5728,""id"",""en"")"),"Why is the Argentine national team champion so many envy")</f>
        <v>Why is the Argentine national team champion so many envy</v>
      </c>
    </row>
    <row r="5729" ht="15.75" customHeight="1">
      <c r="A5729" s="1">
        <v>6911.0</v>
      </c>
      <c r="B5729" s="3" t="s">
        <v>16487</v>
      </c>
      <c r="C5729" s="3">
        <v>1.0</v>
      </c>
      <c r="D5729" s="3">
        <v>0.0</v>
      </c>
      <c r="E5729" s="3">
        <v>0.0</v>
      </c>
      <c r="F5729" s="3" t="s">
        <v>16103</v>
      </c>
      <c r="G5729" s="3">
        <v>0.0</v>
      </c>
      <c r="H5729" s="3">
        <v>0.0</v>
      </c>
      <c r="I5729" s="3" t="s">
        <v>13</v>
      </c>
      <c r="J5729" s="3" t="s">
        <v>16104</v>
      </c>
      <c r="K5729" s="3" t="s">
        <v>14571</v>
      </c>
      <c r="L5729" s="3" t="str">
        <f>IFERROR(__xludf.DUMMYFUNCTION("GOOGLETRANSLATE(F5729,""id"",""en"")"),"Argentina Champion")</f>
        <v>Argentina Champion</v>
      </c>
    </row>
    <row r="5730" ht="15.75" customHeight="1">
      <c r="A5730" s="1">
        <v>6912.0</v>
      </c>
      <c r="B5730" s="3" t="s">
        <v>16488</v>
      </c>
      <c r="C5730" s="3">
        <v>5.0</v>
      </c>
      <c r="D5730" s="3">
        <v>5.0</v>
      </c>
      <c r="E5730" s="3">
        <v>15.0</v>
      </c>
      <c r="F5730" s="3" t="s">
        <v>16480</v>
      </c>
      <c r="G5730" s="3">
        <v>0.0</v>
      </c>
      <c r="H5730" s="3">
        <v>0.0</v>
      </c>
      <c r="I5730" s="3" t="s">
        <v>13</v>
      </c>
      <c r="J5730" s="3" t="s">
        <v>16418</v>
      </c>
      <c r="K5730" s="3" t="s">
        <v>240</v>
      </c>
      <c r="L5730" s="3" t="str">
        <f>IFERROR(__xludf.DUMMYFUNCTION("GOOGLETRANSLATE(F5730,""id"",""en"")"),"Emiliano Martinez is considered to be too far related to the celebration of Argentina World Cup Champion Manager Aston Villa Unai Emery will advise him")</f>
        <v>Emiliano Martinez is considered to be too far related to the celebration of Argentina World Cup Champion Manager Aston Villa Unai Emery will advise him</v>
      </c>
    </row>
    <row r="5731" ht="15.75" customHeight="1">
      <c r="A5731" s="1">
        <v>6913.0</v>
      </c>
      <c r="B5731" s="3" t="s">
        <v>16489</v>
      </c>
      <c r="C5731" s="3">
        <v>1.0</v>
      </c>
      <c r="D5731" s="3">
        <v>0.0</v>
      </c>
      <c r="E5731" s="3">
        <v>0.0</v>
      </c>
      <c r="F5731" s="3" t="s">
        <v>16490</v>
      </c>
      <c r="G5731" s="3">
        <v>0.0</v>
      </c>
      <c r="H5731" s="3">
        <v>0.0</v>
      </c>
      <c r="I5731" s="3" t="s">
        <v>13</v>
      </c>
      <c r="J5731" s="3" t="s">
        <v>16491</v>
      </c>
      <c r="K5731" s="3" t="s">
        <v>35</v>
      </c>
      <c r="L5731" s="3" t="str">
        <f>IFERROR(__xludf.DUMMYFUNCTION("GOOGLETRANSLATE(F5731,""id"",""en"")"),"Argentina Champion Settings can be seen from the attitude of her embarrassed ketum until he doesn't want to join the champion celebration")</f>
        <v>Argentina Champion Settings can be seen from the attitude of her embarrassed ketum until he doesn't want to join the champion celebration</v>
      </c>
    </row>
    <row r="5732" ht="15.75" customHeight="1">
      <c r="A5732" s="1">
        <v>6914.0</v>
      </c>
      <c r="B5732" s="3" t="s">
        <v>16492</v>
      </c>
      <c r="C5732" s="3">
        <v>0.0</v>
      </c>
      <c r="D5732" s="3">
        <v>0.0</v>
      </c>
      <c r="E5732" s="3">
        <v>0.0</v>
      </c>
      <c r="F5732" s="3" t="s">
        <v>16493</v>
      </c>
      <c r="G5732" s="3">
        <v>0.3333333333333333</v>
      </c>
      <c r="H5732" s="3">
        <v>0.1666666666666667</v>
      </c>
      <c r="I5732" s="3" t="s">
        <v>48</v>
      </c>
      <c r="J5732" s="3" t="s">
        <v>16494</v>
      </c>
      <c r="K5732" s="3" t="s">
        <v>903</v>
      </c>
      <c r="L5732" s="3" t="str">
        <f>IFERROR(__xludf.DUMMYFUNCTION("GOOGLETRANSLATE(F5732,""id"",""en"")"),"The Argentine national team is bad at the beginning of the tournament to lose again, this Saudi Arabian high school wins and plays ugly, but there are many BULY TTP as long as the Indonesian national team is sure you will be champions")</f>
        <v>The Argentine national team is bad at the beginning of the tournament to lose again, this Saudi Arabian high school wins and plays ugly, but there are many BULY TTP as long as the Indonesian national team is sure you will be champions</v>
      </c>
    </row>
    <row r="5733" ht="15.75" customHeight="1">
      <c r="A5733" s="1">
        <v>6915.0</v>
      </c>
      <c r="B5733" s="3" t="s">
        <v>16495</v>
      </c>
      <c r="C5733" s="3">
        <v>0.0</v>
      </c>
      <c r="D5733" s="3">
        <v>0.0</v>
      </c>
      <c r="E5733" s="3">
        <v>0.0</v>
      </c>
      <c r="F5733" s="3" t="s">
        <v>16496</v>
      </c>
      <c r="G5733" s="3">
        <v>0.0</v>
      </c>
      <c r="H5733" s="3">
        <v>0.0</v>
      </c>
      <c r="I5733" s="3" t="s">
        <v>13</v>
      </c>
      <c r="J5733" s="3" t="s">
        <v>16497</v>
      </c>
      <c r="K5733" s="3" t="s">
        <v>236</v>
      </c>
      <c r="L5733" s="3" t="str">
        <f>IFERROR(__xludf.DUMMYFUNCTION("GOOGLETRANSLATE(F5733,""id"",""en"")"),"Argentina The World Cup Champion President is busy replying to the Twit of World Leaders")</f>
        <v>Argentina The World Cup Champion President is busy replying to the Twit of World Leaders</v>
      </c>
    </row>
    <row r="5734" ht="15.75" customHeight="1">
      <c r="A5734" s="1">
        <v>6916.0</v>
      </c>
      <c r="B5734" s="3" t="s">
        <v>16498</v>
      </c>
      <c r="C5734" s="3">
        <v>0.0</v>
      </c>
      <c r="D5734" s="3">
        <v>4.0</v>
      </c>
      <c r="E5734" s="3">
        <v>10.0</v>
      </c>
      <c r="F5734" s="3" t="s">
        <v>16499</v>
      </c>
      <c r="G5734" s="3">
        <v>0.0</v>
      </c>
      <c r="H5734" s="3">
        <v>0.0</v>
      </c>
      <c r="I5734" s="3" t="s">
        <v>13</v>
      </c>
      <c r="J5734" s="3" t="s">
        <v>16500</v>
      </c>
      <c r="K5734" s="3" t="s">
        <v>31</v>
      </c>
      <c r="L5734" s="3" t="str">
        <f>IFERROR(__xludf.DUMMYFUNCTION("GOOGLETRANSLATE(F5734,""id"",""en"")"),"Argentina fans while celebrating the title")</f>
        <v>Argentina fans while celebrating the title</v>
      </c>
    </row>
    <row r="5735" ht="15.75" customHeight="1">
      <c r="A5735" s="1">
        <v>6917.0</v>
      </c>
      <c r="B5735" s="3" t="s">
        <v>16501</v>
      </c>
      <c r="C5735" s="3">
        <v>0.0</v>
      </c>
      <c r="D5735" s="3">
        <v>0.0</v>
      </c>
      <c r="E5735" s="3">
        <v>0.0</v>
      </c>
      <c r="F5735" s="3" t="s">
        <v>16502</v>
      </c>
      <c r="G5735" s="3">
        <v>0.0</v>
      </c>
      <c r="H5735" s="3">
        <v>0.0</v>
      </c>
      <c r="I5735" s="3" t="s">
        <v>13</v>
      </c>
      <c r="J5735" s="3" t="s">
        <v>16503</v>
      </c>
      <c r="K5735" s="3" t="s">
        <v>15</v>
      </c>
      <c r="L5735" s="3" t="str">
        <f>IFERROR(__xludf.DUMMYFUNCTION("GOOGLETRANSLATE(F5735,""id"",""en"")"),"Like Argentina the Indonesian trust crisis will make him AFF Amin championship")</f>
        <v>Like Argentina the Indonesian trust crisis will make him AFF Amin championship</v>
      </c>
    </row>
    <row r="5736" ht="15.75" customHeight="1">
      <c r="A5736" s="1">
        <v>6918.0</v>
      </c>
      <c r="B5736" s="3" t="s">
        <v>16504</v>
      </c>
      <c r="C5736" s="3">
        <v>1.0</v>
      </c>
      <c r="D5736" s="3">
        <v>0.0</v>
      </c>
      <c r="E5736" s="3">
        <v>0.0</v>
      </c>
      <c r="F5736" s="3" t="s">
        <v>16505</v>
      </c>
      <c r="G5736" s="3">
        <v>1.0</v>
      </c>
      <c r="H5736" s="3">
        <v>0.0</v>
      </c>
      <c r="I5736" s="3" t="s">
        <v>13</v>
      </c>
      <c r="J5736" s="3" t="s">
        <v>16506</v>
      </c>
      <c r="K5736" s="3" t="s">
        <v>127</v>
      </c>
      <c r="L5736" s="3" t="str">
        <f>IFERROR(__xludf.DUMMYFUNCTION("GOOGLETRANSLATE(F5736,""id"",""en"")"),"just lack of giant killing if the manga if the anime ashi is more realte lha wong sing champion world cup Argentina Ora Japan")</f>
        <v>just lack of giant killing if the manga if the anime ashi is more realte lha wong sing champion world cup Argentina Ora Japan</v>
      </c>
    </row>
    <row r="5737" ht="15.75" customHeight="1">
      <c r="A5737" s="1">
        <v>6919.0</v>
      </c>
      <c r="B5737" s="3" t="s">
        <v>16507</v>
      </c>
      <c r="C5737" s="3">
        <v>0.0</v>
      </c>
      <c r="D5737" s="3">
        <v>0.0</v>
      </c>
      <c r="E5737" s="3">
        <v>0.0</v>
      </c>
      <c r="F5737" s="3" t="s">
        <v>16508</v>
      </c>
      <c r="G5737" s="3">
        <v>0.0</v>
      </c>
      <c r="H5737" s="3">
        <v>0.0</v>
      </c>
      <c r="I5737" s="3" t="s">
        <v>13</v>
      </c>
      <c r="J5737" s="3" t="s">
        <v>16509</v>
      </c>
      <c r="K5737" s="3" t="s">
        <v>41</v>
      </c>
      <c r="L5737" s="3" t="str">
        <f>IFERROR(__xludf.DUMMYFUNCTION("GOOGLETRANSLATE(F5737,""id"",""en"")"),"The target of the dead price champion must continue to burden Argentina to lose to Arabic")</f>
        <v>The target of the dead price champion must continue to burden Argentina to lose to Arabic</v>
      </c>
    </row>
    <row r="5738" ht="15.75" customHeight="1">
      <c r="A5738" s="1">
        <v>6920.0</v>
      </c>
      <c r="B5738" s="3" t="s">
        <v>16510</v>
      </c>
      <c r="C5738" s="3">
        <v>0.0</v>
      </c>
      <c r="D5738" s="3">
        <v>0.0</v>
      </c>
      <c r="E5738" s="3">
        <v>0.0</v>
      </c>
      <c r="F5738" s="3" t="s">
        <v>16511</v>
      </c>
      <c r="G5738" s="3">
        <v>0.0</v>
      </c>
      <c r="H5738" s="3">
        <v>0.0</v>
      </c>
      <c r="I5738" s="3" t="s">
        <v>13</v>
      </c>
      <c r="J5738" s="3" t="s">
        <v>16512</v>
      </c>
      <c r="K5738" s="3" t="s">
        <v>71</v>
      </c>
      <c r="L5738" s="3" t="str">
        <f>IFERROR(__xludf.DUMMYFUNCTION("GOOGLETRANSLATE(F5738,""id"",""en"")"),"If Argentina, he said, won the World Cup Arisan, why the same theory was not applied by Indonesia for a long time not champion")</f>
        <v>If Argentina, he said, won the World Cup Arisan, why the same theory was not applied by Indonesia for a long time not champion</v>
      </c>
    </row>
    <row r="5739" ht="15.75" customHeight="1">
      <c r="A5739" s="1">
        <v>6921.0</v>
      </c>
      <c r="B5739" s="3" t="s">
        <v>16513</v>
      </c>
      <c r="C5739" s="3">
        <v>0.0</v>
      </c>
      <c r="D5739" s="3">
        <v>0.0</v>
      </c>
      <c r="E5739" s="3">
        <v>0.0</v>
      </c>
      <c r="F5739" s="3" t="s">
        <v>16514</v>
      </c>
      <c r="G5739" s="3">
        <v>0.0</v>
      </c>
      <c r="H5739" s="3">
        <v>0.0</v>
      </c>
      <c r="I5739" s="3" t="s">
        <v>13</v>
      </c>
      <c r="J5739" s="3" t="s">
        <v>16515</v>
      </c>
      <c r="K5739" s="3" t="s">
        <v>31</v>
      </c>
      <c r="L5739" s="3" t="str">
        <f>IFERROR(__xludf.DUMMYFUNCTION("GOOGLETRANSLATE(F5739,""id"",""en"")"),"Argentina Luxury Squad that Cannot Champion")</f>
        <v>Argentina Luxury Squad that Cannot Champion</v>
      </c>
    </row>
    <row r="5740" ht="15.75" customHeight="1">
      <c r="A5740" s="1">
        <v>6922.0</v>
      </c>
      <c r="B5740" s="3" t="s">
        <v>16516</v>
      </c>
      <c r="C5740" s="3">
        <v>0.0</v>
      </c>
      <c r="D5740" s="3">
        <v>0.0</v>
      </c>
      <c r="E5740" s="3">
        <v>0.0</v>
      </c>
      <c r="F5740" s="3" t="s">
        <v>16517</v>
      </c>
      <c r="G5740" s="3">
        <v>0.0</v>
      </c>
      <c r="H5740" s="3">
        <v>0.0</v>
      </c>
      <c r="I5740" s="3" t="s">
        <v>13</v>
      </c>
      <c r="J5740" s="3" t="s">
        <v>16518</v>
      </c>
      <c r="K5740" s="3" t="s">
        <v>495</v>
      </c>
      <c r="L5740" s="3" t="str">
        <f>IFERROR(__xludf.DUMMYFUNCTION("GOOGLETRANSLATE(F5740,""id"",""en"")"),"Lionel Messi Champion World Cup Cristiano Ronaldo is more difficult to win the trophy with Portugal than Argentina Bolasport Google News Choice")</f>
        <v>Lionel Messi Champion World Cup Cristiano Ronaldo is more difficult to win the trophy with Portugal than Argentina Bolasport Google News Choice</v>
      </c>
    </row>
    <row r="5741" ht="15.75" customHeight="1">
      <c r="A5741" s="1">
        <v>6923.0</v>
      </c>
      <c r="B5741" s="3" t="s">
        <v>16519</v>
      </c>
      <c r="C5741" s="3">
        <v>0.0</v>
      </c>
      <c r="D5741" s="3">
        <v>0.0</v>
      </c>
      <c r="E5741" s="3">
        <v>0.0</v>
      </c>
      <c r="F5741" s="3" t="s">
        <v>16520</v>
      </c>
      <c r="G5741" s="3">
        <v>0.0</v>
      </c>
      <c r="H5741" s="3">
        <v>0.0</v>
      </c>
      <c r="I5741" s="3" t="s">
        <v>13</v>
      </c>
      <c r="J5741" s="3" t="s">
        <v>16521</v>
      </c>
      <c r="K5741" s="3" t="s">
        <v>31</v>
      </c>
      <c r="L5741" s="3" t="str">
        <f>IFERROR(__xludf.DUMMYFUNCTION("GOOGLETRANSLATE(F5741,""id"",""en"")"),"Argentina is also designed to be a champion")</f>
        <v>Argentina is also designed to be a champion</v>
      </c>
    </row>
    <row r="5742" ht="15.75" customHeight="1">
      <c r="A5742" s="1">
        <v>6925.0</v>
      </c>
      <c r="B5742" s="3" t="s">
        <v>16522</v>
      </c>
      <c r="C5742" s="3">
        <v>0.0</v>
      </c>
      <c r="D5742" s="3">
        <v>0.0</v>
      </c>
      <c r="E5742" s="3">
        <v>6.0</v>
      </c>
      <c r="F5742" s="3" t="s">
        <v>15955</v>
      </c>
      <c r="G5742" s="3">
        <v>0.0</v>
      </c>
      <c r="H5742" s="3">
        <v>0.0</v>
      </c>
      <c r="I5742" s="3" t="s">
        <v>13</v>
      </c>
      <c r="J5742" s="3" t="s">
        <v>15956</v>
      </c>
      <c r="K5742" s="3" t="s">
        <v>19</v>
      </c>
      <c r="L5742" s="3" t="str">
        <f>IFERROR(__xludf.DUMMYFUNCTION("GOOGLETRANSLATE(F5742,""id"",""en"")"),"World Cup Champion Allegri hopes that Angel Maria will transmit the spirit of the Argentine national team Juventus")</f>
        <v>World Cup Champion Allegri hopes that Angel Maria will transmit the spirit of the Argentine national team Juventus</v>
      </c>
    </row>
    <row r="5743" ht="15.75" customHeight="1">
      <c r="A5743" s="1">
        <v>6926.0</v>
      </c>
      <c r="B5743" s="3" t="s">
        <v>16523</v>
      </c>
      <c r="C5743" s="3">
        <v>0.0</v>
      </c>
      <c r="D5743" s="3">
        <v>0.0</v>
      </c>
      <c r="E5743" s="3">
        <v>1.0</v>
      </c>
      <c r="F5743" s="3" t="s">
        <v>16524</v>
      </c>
      <c r="G5743" s="3">
        <v>0.0</v>
      </c>
      <c r="H5743" s="3">
        <v>0.0</v>
      </c>
      <c r="I5743" s="3" t="s">
        <v>13</v>
      </c>
      <c r="J5743" s="3" t="s">
        <v>16525</v>
      </c>
      <c r="K5743" s="3" t="s">
        <v>240</v>
      </c>
      <c r="L5743" s="3" t="str">
        <f>IFERROR(__xludf.DUMMYFUNCTION("GOOGLETRANSLATE(F5743,""id"",""en"")"),"sir, I want to know the opinion of the friend of the hangout if discussing the World Cup this time the settings for Argentina champions videoin later don't forget")</f>
        <v>sir, I want to know the opinion of the friend of the hangout if discussing the World Cup this time the settings for Argentina champions videoin later don't forget</v>
      </c>
    </row>
    <row r="5744" ht="15.75" customHeight="1">
      <c r="A5744" s="1">
        <v>6927.0</v>
      </c>
      <c r="B5744" s="3" t="s">
        <v>16526</v>
      </c>
      <c r="C5744" s="3">
        <v>0.0</v>
      </c>
      <c r="D5744" s="3">
        <v>0.0</v>
      </c>
      <c r="E5744" s="3">
        <v>0.0</v>
      </c>
      <c r="F5744" s="3" t="s">
        <v>16527</v>
      </c>
      <c r="G5744" s="3">
        <v>0.0</v>
      </c>
      <c r="H5744" s="3">
        <v>0.0</v>
      </c>
      <c r="I5744" s="3" t="s">
        <v>13</v>
      </c>
      <c r="J5744" s="3" t="s">
        <v>16528</v>
      </c>
      <c r="K5744" s="3" t="s">
        <v>16529</v>
      </c>
      <c r="L5744" s="3" t="str">
        <f>IFERROR(__xludf.DUMMYFUNCTION("GOOGLETRANSLATE(F5744,""id"",""en"")"),"I want the DPR IAANNNN PENN HAVE HUSBAND RICH HUSBANDS IANN DPR IAN IANN DPR IAN ALLAH")</f>
        <v>I want the DPR IAANNNN PENN HAVE HUSBAND RICH HUSBANDS IANN DPR IAN IANN DPR IAN ALLAH</v>
      </c>
    </row>
    <row r="5745" ht="15.75" customHeight="1">
      <c r="A5745" s="1">
        <v>6928.0</v>
      </c>
      <c r="B5745" s="3" t="s">
        <v>16530</v>
      </c>
      <c r="C5745" s="3">
        <v>0.0</v>
      </c>
      <c r="D5745" s="3">
        <v>0.0</v>
      </c>
      <c r="E5745" s="3">
        <v>0.0</v>
      </c>
      <c r="F5745" s="3" t="s">
        <v>16531</v>
      </c>
      <c r="G5745" s="3">
        <v>0.0</v>
      </c>
      <c r="H5745" s="3">
        <v>0.0</v>
      </c>
      <c r="I5745" s="3" t="s">
        <v>13</v>
      </c>
      <c r="J5745" s="3" t="s">
        <v>16532</v>
      </c>
      <c r="K5745" s="3" t="s">
        <v>31</v>
      </c>
      <c r="L5745" s="3" t="str">
        <f>IFERROR(__xludf.DUMMYFUNCTION("GOOGLETRANSLATE(F5745,""id"",""en"")"),"Want a rich husband than Iannn")</f>
        <v>Want a rich husband than Iannn</v>
      </c>
    </row>
    <row r="5746" ht="15.75" customHeight="1">
      <c r="A5746" s="1">
        <v>6929.0</v>
      </c>
      <c r="B5746" s="3" t="s">
        <v>16533</v>
      </c>
      <c r="C5746" s="3">
        <v>0.0</v>
      </c>
      <c r="D5746" s="3">
        <v>0.0</v>
      </c>
      <c r="E5746" s="3">
        <v>0.0</v>
      </c>
      <c r="F5746" s="3" t="s">
        <v>16534</v>
      </c>
      <c r="G5746" s="3">
        <v>0.0</v>
      </c>
      <c r="H5746" s="3">
        <v>0.0</v>
      </c>
      <c r="I5746" s="3" t="s">
        <v>13</v>
      </c>
      <c r="J5746" s="3" t="s">
        <v>16535</v>
      </c>
      <c r="K5746" s="3" t="s">
        <v>31</v>
      </c>
      <c r="L5746" s="3" t="str">
        <f>IFERROR(__xludf.DUMMYFUNCTION("GOOGLETRANSLATE(F5746,""id"",""en"")"),"Pennnnnn Men Mattle Rich DPR Iann")</f>
        <v>Pennnnnn Men Mattle Rich DPR Iann</v>
      </c>
    </row>
    <row r="5747" ht="15.75" customHeight="1">
      <c r="A5747" s="1">
        <v>6930.0</v>
      </c>
      <c r="B5747" s="3" t="s">
        <v>16536</v>
      </c>
      <c r="C5747" s="3">
        <v>0.0</v>
      </c>
      <c r="D5747" s="3">
        <v>0.0</v>
      </c>
      <c r="E5747" s="3">
        <v>0.0</v>
      </c>
      <c r="F5747" s="3" t="s">
        <v>16537</v>
      </c>
      <c r="G5747" s="3">
        <v>0.0</v>
      </c>
      <c r="H5747" s="3">
        <v>0.0</v>
      </c>
      <c r="I5747" s="3" t="s">
        <v>13</v>
      </c>
      <c r="J5747" s="3" t="s">
        <v>16538</v>
      </c>
      <c r="K5747" s="3" t="s">
        <v>16539</v>
      </c>
      <c r="L5747" s="3" t="str">
        <f>IFERROR(__xludf.DUMMYFUNCTION("GOOGLETRANSLATE(F5747,""id"",""en"")"),"Want to the DPR Ian Allah wants to be rich in God not Caucasians but rich DPR Iann Allah")</f>
        <v>Want to the DPR Ian Allah wants to be rich in God not Caucasians but rich DPR Iann Allah</v>
      </c>
    </row>
    <row r="5748" ht="15.75" customHeight="1">
      <c r="A5748" s="1">
        <v>6931.0</v>
      </c>
      <c r="B5748" s="3" t="s">
        <v>16540</v>
      </c>
      <c r="C5748" s="3">
        <v>0.0</v>
      </c>
      <c r="D5748" s="3">
        <v>0.0</v>
      </c>
      <c r="E5748" s="3">
        <v>0.0</v>
      </c>
      <c r="F5748" s="3" t="s">
        <v>16541</v>
      </c>
      <c r="G5748" s="3">
        <v>0.0</v>
      </c>
      <c r="H5748" s="3">
        <v>0.0</v>
      </c>
      <c r="I5748" s="3" t="s">
        <v>13</v>
      </c>
      <c r="J5748" s="3" t="s">
        <v>16542</v>
      </c>
      <c r="K5748" s="3" t="s">
        <v>942</v>
      </c>
      <c r="L5748" s="3" t="str">
        <f>IFERROR(__xludf.DUMMYFUNCTION("GOOGLETRANSLATE(F5748,""id"",""en"")"),"I want the kekk than Iannn Orientall but westernnn is rich in DPR Iannnn Kek DPR Iannn")</f>
        <v>I want the kekk than Iannn Orientall but westernnn is rich in DPR Iannnn Kek DPR Iannn</v>
      </c>
    </row>
    <row r="5749" ht="15.75" customHeight="1">
      <c r="A5749" s="1">
        <v>6932.0</v>
      </c>
      <c r="B5749" s="3" t="s">
        <v>16543</v>
      </c>
      <c r="C5749" s="3">
        <v>0.0</v>
      </c>
      <c r="D5749" s="3">
        <v>0.0</v>
      </c>
      <c r="E5749" s="3">
        <v>0.0</v>
      </c>
      <c r="F5749" s="3" t="s">
        <v>16544</v>
      </c>
      <c r="G5749" s="3">
        <v>0.0</v>
      </c>
      <c r="H5749" s="3">
        <v>0.0</v>
      </c>
      <c r="I5749" s="3" t="s">
        <v>13</v>
      </c>
      <c r="J5749" s="3" t="s">
        <v>16545</v>
      </c>
      <c r="K5749" s="3" t="s">
        <v>82</v>
      </c>
      <c r="L5749" s="3" t="str">
        <f>IFERROR(__xludf.DUMMYFUNCTION("GOOGLETRANSLATE(F5749,""id"",""en"")"),"I have a matchmaking, the DPR, the DPR, Allahhh")</f>
        <v>I have a matchmaking, the DPR, the DPR, Allahhh</v>
      </c>
    </row>
    <row r="5750" ht="15.75" customHeight="1">
      <c r="A5750" s="1">
        <v>6933.0</v>
      </c>
      <c r="B5750" s="3" t="s">
        <v>16546</v>
      </c>
      <c r="C5750" s="3">
        <v>0.0</v>
      </c>
      <c r="D5750" s="3">
        <v>0.0</v>
      </c>
      <c r="E5750" s="3">
        <v>0.0</v>
      </c>
      <c r="F5750" s="3" t="s">
        <v>16547</v>
      </c>
      <c r="G5750" s="3">
        <v>0.0</v>
      </c>
      <c r="H5750" s="3">
        <v>0.0</v>
      </c>
      <c r="I5750" s="3" t="s">
        <v>13</v>
      </c>
      <c r="J5750" s="3" t="s">
        <v>16548</v>
      </c>
      <c r="K5750" s="3" t="s">
        <v>127</v>
      </c>
      <c r="L5750" s="3" t="str">
        <f>IFERROR(__xludf.DUMMYFUNCTION("GOOGLETRANSLATE(F5750,""id"",""en"")"),"World Cup Champion Allegri hopes that Angel Maria will transmit the spirit of the Argentine national team Juventus Read more.")</f>
        <v>World Cup Champion Allegri hopes that Angel Maria will transmit the spirit of the Argentine national team Juventus Read more.</v>
      </c>
    </row>
    <row r="5751" ht="15.75" customHeight="1">
      <c r="A5751" s="1">
        <v>6934.0</v>
      </c>
      <c r="B5751" s="3" t="s">
        <v>16549</v>
      </c>
      <c r="C5751" s="3">
        <v>1.0</v>
      </c>
      <c r="D5751" s="3">
        <v>0.0</v>
      </c>
      <c r="E5751" s="3">
        <v>0.0</v>
      </c>
      <c r="F5751" s="3" t="s">
        <v>16550</v>
      </c>
      <c r="G5751" s="3">
        <v>0.0</v>
      </c>
      <c r="H5751" s="3">
        <v>0.0</v>
      </c>
      <c r="I5751" s="3" t="s">
        <v>13</v>
      </c>
      <c r="J5751" s="3" t="s">
        <v>16551</v>
      </c>
      <c r="K5751" s="3" t="s">
        <v>31</v>
      </c>
      <c r="L5751" s="3" t="str">
        <f>IFERROR(__xludf.DUMMYFUNCTION("GOOGLETRANSLATE(F5751,""id"",""en"")"),"Argentina World Champion Not Entering Itungan")</f>
        <v>Argentina World Champion Not Entering Itungan</v>
      </c>
    </row>
    <row r="5752" ht="15.75" customHeight="1">
      <c r="A5752" s="1">
        <v>6935.0</v>
      </c>
      <c r="B5752" s="3" t="s">
        <v>16552</v>
      </c>
      <c r="C5752" s="3">
        <v>0.0</v>
      </c>
      <c r="D5752" s="3">
        <v>0.0</v>
      </c>
      <c r="E5752" s="3">
        <v>0.0</v>
      </c>
      <c r="F5752" s="3" t="s">
        <v>16553</v>
      </c>
      <c r="G5752" s="3">
        <v>0.0</v>
      </c>
      <c r="H5752" s="3">
        <v>0.0</v>
      </c>
      <c r="I5752" s="3" t="s">
        <v>13</v>
      </c>
      <c r="J5752" s="3" t="s">
        <v>16554</v>
      </c>
      <c r="K5752" s="3" t="s">
        <v>50</v>
      </c>
      <c r="L5752" s="3" t="str">
        <f>IFERROR(__xludf.DUMMYFUNCTION("GOOGLETRANSLATE(F5752,""id"",""en"")"),"Although Argentina is the World Cup champion but Brazil is still in FIFA's ranking, this is the reason")</f>
        <v>Although Argentina is the World Cup champion but Brazil is still in FIFA's ranking, this is the reason</v>
      </c>
    </row>
    <row r="5753" ht="15.75" customHeight="1">
      <c r="A5753" s="1">
        <v>6936.0</v>
      </c>
      <c r="B5753" s="3" t="s">
        <v>16555</v>
      </c>
      <c r="C5753" s="3">
        <v>1.0</v>
      </c>
      <c r="D5753" s="3">
        <v>0.0</v>
      </c>
      <c r="E5753" s="3">
        <v>0.0</v>
      </c>
      <c r="F5753" s="3" t="s">
        <v>16556</v>
      </c>
      <c r="G5753" s="3">
        <v>0.0</v>
      </c>
      <c r="H5753" s="3">
        <v>0.0</v>
      </c>
      <c r="I5753" s="3" t="s">
        <v>13</v>
      </c>
      <c r="J5753" s="3" t="s">
        <v>16557</v>
      </c>
      <c r="K5753" s="3" t="s">
        <v>127</v>
      </c>
      <c r="L5753" s="3" t="str">
        <f>IFERROR(__xludf.DUMMYFUNCTION("GOOGLETRANSLATE(F5753,""id"",""en"")"),"mania aing uga has been mutusken since a month ago, just waiting for the moment when Argentina finished the champion I just posted it")</f>
        <v>mania aing uga has been mutusken since a month ago, just waiting for the moment when Argentina finished the champion I just posted it</v>
      </c>
    </row>
    <row r="5754" ht="15.75" customHeight="1">
      <c r="A5754" s="1">
        <v>6937.0</v>
      </c>
      <c r="B5754" s="3" t="s">
        <v>16558</v>
      </c>
      <c r="C5754" s="3">
        <v>0.0</v>
      </c>
      <c r="D5754" s="3">
        <v>0.0</v>
      </c>
      <c r="E5754" s="3">
        <v>0.0</v>
      </c>
      <c r="F5754" s="3" t="s">
        <v>16559</v>
      </c>
      <c r="G5754" s="3">
        <v>0.0</v>
      </c>
      <c r="H5754" s="3">
        <v>0.0</v>
      </c>
      <c r="I5754" s="3" t="s">
        <v>13</v>
      </c>
      <c r="J5754" s="3" t="s">
        <v>16560</v>
      </c>
      <c r="K5754" s="3" t="s">
        <v>14571</v>
      </c>
      <c r="L5754" s="3" t="str">
        <f>IFERROR(__xludf.DUMMYFUNCTION("GOOGLETRANSLATE(F5754,""id"",""en"")"),"try the sender")</f>
        <v>try the sender</v>
      </c>
    </row>
    <row r="5755" ht="15.75" customHeight="1">
      <c r="A5755" s="1">
        <v>6938.0</v>
      </c>
      <c r="B5755" s="3" t="s">
        <v>16561</v>
      </c>
      <c r="C5755" s="3">
        <v>0.0</v>
      </c>
      <c r="D5755" s="3">
        <v>0.0</v>
      </c>
      <c r="E5755" s="3">
        <v>2.0</v>
      </c>
      <c r="F5755" s="3" t="s">
        <v>16562</v>
      </c>
      <c r="G5755" s="3">
        <v>0.2</v>
      </c>
      <c r="H5755" s="3">
        <v>0.3</v>
      </c>
      <c r="I5755" s="3" t="s">
        <v>48</v>
      </c>
      <c r="J5755" s="3" t="s">
        <v>16563</v>
      </c>
      <c r="K5755" s="3" t="s">
        <v>50</v>
      </c>
      <c r="L5755" s="3" t="str">
        <f>IFERROR(__xludf.DUMMYFUNCTION("GOOGLETRANSLATE(F5755,""id"",""en"")"),"Instead of our Christmas night, we better have fun, try fun")</f>
        <v>Instead of our Christmas night, we better have fun, try fun</v>
      </c>
    </row>
    <row r="5756" ht="15.75" customHeight="1">
      <c r="A5756" s="1">
        <v>6939.0</v>
      </c>
      <c r="B5756" s="3" t="s">
        <v>16564</v>
      </c>
      <c r="C5756" s="3">
        <v>0.0</v>
      </c>
      <c r="D5756" s="3">
        <v>0.0</v>
      </c>
      <c r="E5756" s="3">
        <v>1.0</v>
      </c>
      <c r="F5756" s="3" t="s">
        <v>16565</v>
      </c>
      <c r="G5756" s="3">
        <v>0.0</v>
      </c>
      <c r="H5756" s="3">
        <v>0.0</v>
      </c>
      <c r="I5756" s="3" t="s">
        <v>13</v>
      </c>
      <c r="J5756" s="3" t="s">
        <v>16566</v>
      </c>
      <c r="K5756" s="3" t="s">
        <v>510</v>
      </c>
      <c r="L5756" s="3" t="str">
        <f>IFERROR(__xludf.DUMMYFUNCTION("GOOGLETRANSLATE(F5756,""id"",""en"")"),"Bolanet World Cup Champion Allegri hopes that Angel Maria will transmit the spirit of the Argentine national team Juventus")</f>
        <v>Bolanet World Cup Champion Allegri hopes that Angel Maria will transmit the spirit of the Argentine national team Juventus</v>
      </c>
    </row>
    <row r="5757" ht="15.75" customHeight="1">
      <c r="A5757" s="1">
        <v>6940.0</v>
      </c>
      <c r="B5757" s="3" t="s">
        <v>16567</v>
      </c>
      <c r="C5757" s="3">
        <v>0.0</v>
      </c>
      <c r="D5757" s="3">
        <v>0.0</v>
      </c>
      <c r="E5757" s="3">
        <v>2.0</v>
      </c>
      <c r="F5757" s="3" t="s">
        <v>16568</v>
      </c>
      <c r="G5757" s="3">
        <v>0.3333333333333333</v>
      </c>
      <c r="H5757" s="3">
        <v>0.1666666666666667</v>
      </c>
      <c r="I5757" s="3" t="s">
        <v>48</v>
      </c>
      <c r="J5757" s="3" t="s">
        <v>16569</v>
      </c>
      <c r="K5757" s="3" t="s">
        <v>286</v>
      </c>
      <c r="L5757" s="3" t="str">
        <f>IFERROR(__xludf.DUMMYFUNCTION("GOOGLETRANSLATE(F5757,""id"",""en"")"),"calm down don't be bad grades first the Indonesian national team champion Argentina just lost to Saudi Arabia during the group stage even though playing ugly Indonesia still won against Cambodia")</f>
        <v>calm down don't be bad grades first the Indonesian national team champion Argentina just lost to Saudi Arabia during the group stage even though playing ugly Indonesia still won against Cambodia</v>
      </c>
    </row>
    <row r="5758" ht="15.75" customHeight="1">
      <c r="A5758" s="1">
        <v>6941.0</v>
      </c>
      <c r="B5758" s="3" t="s">
        <v>16570</v>
      </c>
      <c r="C5758" s="3">
        <v>1.0</v>
      </c>
      <c r="D5758" s="3">
        <v>0.0</v>
      </c>
      <c r="E5758" s="3">
        <v>0.0</v>
      </c>
      <c r="F5758" s="3" t="s">
        <v>16571</v>
      </c>
      <c r="G5758" s="3">
        <v>0.0</v>
      </c>
      <c r="H5758" s="3">
        <v>0.0</v>
      </c>
      <c r="I5758" s="3" t="s">
        <v>13</v>
      </c>
      <c r="J5758" s="3" t="s">
        <v>16572</v>
      </c>
      <c r="K5758" s="3" t="s">
        <v>50</v>
      </c>
      <c r="L5758" s="3" t="str">
        <f>IFERROR(__xludf.DUMMYFUNCTION("GOOGLETRANSLATE(F5758,""id"",""en"")"),"then also send videos about he said controversial Argentina goals are also useless ARGEN already champions")</f>
        <v>then also send videos about he said controversial Argentina goals are also useless ARGEN already champions</v>
      </c>
    </row>
    <row r="5759" ht="15.75" customHeight="1">
      <c r="A5759" s="1">
        <v>6942.0</v>
      </c>
      <c r="B5759" s="3" t="s">
        <v>16573</v>
      </c>
      <c r="C5759" s="3">
        <v>0.0</v>
      </c>
      <c r="D5759" s="3">
        <v>0.0</v>
      </c>
      <c r="E5759" s="3">
        <v>0.0</v>
      </c>
      <c r="F5759" s="3" t="s">
        <v>16574</v>
      </c>
      <c r="G5759" s="3">
        <v>0.0</v>
      </c>
      <c r="H5759" s="3">
        <v>0.0</v>
      </c>
      <c r="I5759" s="3" t="s">
        <v>13</v>
      </c>
      <c r="J5759" s="3" t="s">
        <v>16575</v>
      </c>
      <c r="K5759" s="3" t="s">
        <v>1656</v>
      </c>
      <c r="L5759" s="3" t="str">
        <f>IFERROR(__xludf.DUMMYFUNCTION("GOOGLETRANSLATE(F5759,""id"",""en"")"),"I can understand why they have got all the titles but Messi and Dimaria want to play they want to enjoy the game with the Argentine national team as the status of the world champion anyway they are still good at Dimia even though it is really good at Mess"&amp;"i is still good at")</f>
        <v>I can understand why they have got all the titles but Messi and Dimaria want to play they want to enjoy the game with the Argentine national team as the status of the world champion anyway they are still good at Dimia even though it is really good at Messi is still good at</v>
      </c>
    </row>
    <row r="5760" ht="15.75" customHeight="1">
      <c r="A5760" s="1">
        <v>6943.0</v>
      </c>
      <c r="B5760" s="3" t="s">
        <v>16576</v>
      </c>
      <c r="C5760" s="3">
        <v>0.0</v>
      </c>
      <c r="D5760" s="3">
        <v>0.0</v>
      </c>
      <c r="E5760" s="3">
        <v>0.0</v>
      </c>
      <c r="F5760" s="3" t="s">
        <v>16577</v>
      </c>
      <c r="G5760" s="3">
        <v>0.0</v>
      </c>
      <c r="H5760" s="3">
        <v>0.0</v>
      </c>
      <c r="I5760" s="3" t="s">
        <v>13</v>
      </c>
      <c r="J5760" s="3" t="s">
        <v>16578</v>
      </c>
      <c r="K5760" s="3" t="s">
        <v>3734</v>
      </c>
      <c r="L5760" s="3" t="str">
        <f>IFERROR(__xludf.DUMMYFUNCTION("GOOGLETRANSLATE(F5760,""id"",""en"")"),"Messi and Dimaria decided to continue to play they have not retired before Messi and Dimaria will retire after this Apalgi World Cup is Argentina champion so that it retires beautifully only now they decide not to retire and will continue to play")</f>
        <v>Messi and Dimaria decided to continue to play they have not retired before Messi and Dimaria will retire after this Apalgi World Cup is Argentina champion so that it retires beautifully only now they decide not to retire and will continue to play</v>
      </c>
    </row>
    <row r="5761" ht="15.75" customHeight="1">
      <c r="A5761" s="1">
        <v>6944.0</v>
      </c>
      <c r="B5761" s="3" t="s">
        <v>16579</v>
      </c>
      <c r="C5761" s="3">
        <v>0.0</v>
      </c>
      <c r="D5761" s="3">
        <v>0.0</v>
      </c>
      <c r="E5761" s="3">
        <v>0.0</v>
      </c>
      <c r="F5761" s="3" t="s">
        <v>16580</v>
      </c>
      <c r="G5761" s="3">
        <v>0.0</v>
      </c>
      <c r="H5761" s="3">
        <v>0.0</v>
      </c>
      <c r="I5761" s="3" t="s">
        <v>13</v>
      </c>
      <c r="J5761" s="3" t="s">
        <v>16581</v>
      </c>
      <c r="K5761" s="3" t="s">
        <v>127</v>
      </c>
      <c r="L5761" s="3" t="str">
        <f>IFERROR(__xludf.DUMMYFUNCTION("GOOGLETRANSLATE(F5761,""id"",""en"")"),"Talks about Messi's achievements have not ended since Argentina Champion World Cup Qatar successfully shifted the most like record holders")</f>
        <v>Talks about Messi's achievements have not ended since Argentina Champion World Cup Qatar successfully shifted the most like record holders</v>
      </c>
    </row>
    <row r="5762" ht="15.75" customHeight="1">
      <c r="A5762" s="1">
        <v>6945.0</v>
      </c>
      <c r="B5762" s="3" t="s">
        <v>16582</v>
      </c>
      <c r="C5762" s="3">
        <v>0.0</v>
      </c>
      <c r="D5762" s="3">
        <v>0.0</v>
      </c>
      <c r="E5762" s="3">
        <v>1.0</v>
      </c>
      <c r="F5762" s="3" t="s">
        <v>16583</v>
      </c>
      <c r="G5762" s="3">
        <v>0.0</v>
      </c>
      <c r="H5762" s="3">
        <v>0.0</v>
      </c>
      <c r="I5762" s="3" t="s">
        <v>13</v>
      </c>
      <c r="J5762" s="3" t="s">
        <v>16584</v>
      </c>
      <c r="K5762" s="3" t="s">
        <v>2000</v>
      </c>
      <c r="L5762" s="3" t="str">
        <f>IFERROR(__xludf.DUMMYFUNCTION("GOOGLETRANSLATE(F5762,""id"",""en"")"),"World Cup Champion Allegri hopes that Angel Maria will transmit the spirit of the Argentine national team Juventus Angel Maria is able to look brilliant so that it can be success with the Argentine national team with World Cup champions")</f>
        <v>World Cup Champion Allegri hopes that Angel Maria will transmit the spirit of the Argentine national team Juventus Angel Maria is able to look brilliant so that it can be success with the Argentine national team with World Cup champions</v>
      </c>
    </row>
    <row r="5763" ht="15.75" customHeight="1">
      <c r="A5763" s="1">
        <v>6946.0</v>
      </c>
      <c r="B5763" s="3" t="s">
        <v>16585</v>
      </c>
      <c r="C5763" s="3">
        <v>0.0</v>
      </c>
      <c r="D5763" s="3">
        <v>0.0</v>
      </c>
      <c r="E5763" s="3">
        <v>0.0</v>
      </c>
      <c r="F5763" s="3" t="s">
        <v>16586</v>
      </c>
      <c r="G5763" s="3">
        <v>0.0</v>
      </c>
      <c r="H5763" s="3">
        <v>0.0</v>
      </c>
      <c r="I5763" s="3" t="s">
        <v>13</v>
      </c>
      <c r="J5763" s="3" t="s">
        <v>16587</v>
      </c>
      <c r="K5763" s="3" t="s">
        <v>644</v>
      </c>
      <c r="L5763" s="3" t="str">
        <f>IFERROR(__xludf.DUMMYFUNCTION("GOOGLETRANSLATE(F5763,""id"",""en"")"),"Argentina wins and world champions")</f>
        <v>Argentina wins and world champions</v>
      </c>
    </row>
    <row r="5764" ht="15.75" customHeight="1">
      <c r="A5764" s="1">
        <v>6947.0</v>
      </c>
      <c r="B5764" s="3" t="s">
        <v>16588</v>
      </c>
      <c r="C5764" s="3">
        <v>0.0</v>
      </c>
      <c r="D5764" s="3">
        <v>0.0</v>
      </c>
      <c r="E5764" s="3">
        <v>0.0</v>
      </c>
      <c r="F5764" s="3" t="s">
        <v>16589</v>
      </c>
      <c r="G5764" s="3">
        <v>0.0</v>
      </c>
      <c r="H5764" s="3">
        <v>0.0</v>
      </c>
      <c r="I5764" s="3" t="s">
        <v>13</v>
      </c>
      <c r="J5764" s="3" t="s">
        <v>16590</v>
      </c>
      <c r="K5764" s="3" t="s">
        <v>75</v>
      </c>
      <c r="L5764" s="3" t="str">
        <f>IFERROR(__xludf.DUMMYFUNCTION("GOOGLETRANSLATE(F5764,""id"",""en"")"),"sorry for the one who signed it to be pity until the pity was not willing if Argentina was champion")</f>
        <v>sorry for the one who signed it to be pity until the pity was not willing if Argentina was champion</v>
      </c>
    </row>
    <row r="5765" ht="15.75" customHeight="1">
      <c r="A5765" s="1">
        <v>6948.0</v>
      </c>
      <c r="B5765" s="3" t="s">
        <v>16591</v>
      </c>
      <c r="C5765" s="3">
        <v>0.0</v>
      </c>
      <c r="D5765" s="3">
        <v>0.0</v>
      </c>
      <c r="E5765" s="3">
        <v>0.0</v>
      </c>
      <c r="F5765" s="3" t="s">
        <v>16591</v>
      </c>
      <c r="G5765" s="3">
        <v>0.0</v>
      </c>
      <c r="H5765" s="3">
        <v>0.0</v>
      </c>
      <c r="I5765" s="3" t="s">
        <v>13</v>
      </c>
      <c r="J5765" s="3" t="s">
        <v>16592</v>
      </c>
      <c r="K5765" s="3" t="s">
        <v>14571</v>
      </c>
      <c r="L5765" s="3" t="str">
        <f>IFERROR(__xludf.DUMMYFUNCTION("GOOGLETRANSLATE(F5765,""id"",""en"")"),"Well the electricity goes out")</f>
        <v>Well the electricity goes out</v>
      </c>
    </row>
    <row r="5766" ht="15.75" customHeight="1">
      <c r="A5766" s="1">
        <v>6949.0</v>
      </c>
      <c r="B5766" s="3" t="s">
        <v>16593</v>
      </c>
      <c r="C5766" s="3">
        <v>0.0</v>
      </c>
      <c r="D5766" s="3">
        <v>0.0</v>
      </c>
      <c r="E5766" s="3">
        <v>0.0</v>
      </c>
      <c r="F5766" s="3" t="s">
        <v>16594</v>
      </c>
      <c r="G5766" s="3">
        <v>0.0</v>
      </c>
      <c r="H5766" s="3">
        <v>0.0</v>
      </c>
      <c r="I5766" s="3" t="s">
        <v>13</v>
      </c>
      <c r="J5766" s="3" t="s">
        <v>16595</v>
      </c>
      <c r="K5766" s="3" t="s">
        <v>123</v>
      </c>
      <c r="L5766" s="3" t="str">
        <f>IFERROR(__xludf.DUMMYFUNCTION("GOOGLETRANSLATE(F5766,""id"",""en"")"),"Want to be distributed to the world of any world this video will not change the facts that Messi and Argentina are the World Cup champions")</f>
        <v>Want to be distributed to the world of any world this video will not change the facts that Messi and Argentina are the World Cup champions</v>
      </c>
    </row>
    <row r="5767" ht="15.75" customHeight="1">
      <c r="A5767" s="1">
        <v>6950.0</v>
      </c>
      <c r="B5767" s="3" t="s">
        <v>16596</v>
      </c>
      <c r="C5767" s="3">
        <v>0.0</v>
      </c>
      <c r="D5767" s="3">
        <v>0.0</v>
      </c>
      <c r="E5767" s="3">
        <v>0.0</v>
      </c>
      <c r="F5767" s="3" t="s">
        <v>16596</v>
      </c>
      <c r="G5767" s="3">
        <v>0.0</v>
      </c>
      <c r="H5767" s="3">
        <v>0.0</v>
      </c>
      <c r="I5767" s="3" t="s">
        <v>13</v>
      </c>
      <c r="J5767" s="3" t="s">
        <v>16597</v>
      </c>
      <c r="K5767" s="3" t="s">
        <v>14571</v>
      </c>
      <c r="L5767" s="3" t="str">
        <f>IFERROR(__xludf.DUMMYFUNCTION("GOOGLETRANSLATE(F5767,""id"",""en"")"),"ruling intervention")</f>
        <v>ruling intervention</v>
      </c>
    </row>
    <row r="5768" ht="15.75" customHeight="1">
      <c r="A5768" s="1">
        <v>6951.0</v>
      </c>
      <c r="B5768" s="3" t="s">
        <v>16598</v>
      </c>
      <c r="C5768" s="3">
        <v>0.0</v>
      </c>
      <c r="D5768" s="3">
        <v>0.0</v>
      </c>
      <c r="E5768" s="3">
        <v>0.0</v>
      </c>
      <c r="F5768" s="3" t="s">
        <v>16599</v>
      </c>
      <c r="G5768" s="3">
        <v>0.0</v>
      </c>
      <c r="H5768" s="3">
        <v>0.0</v>
      </c>
      <c r="I5768" s="3" t="s">
        <v>13</v>
      </c>
      <c r="J5768" s="3" t="s">
        <v>16600</v>
      </c>
      <c r="K5768" s="3" t="s">
        <v>123</v>
      </c>
      <c r="L5768" s="3" t="str">
        <f>IFERROR(__xludf.DUMMYFUNCTION("GOOGLETRANSLATE(F5768,""id"",""en"")"),"yauda, ​​if I just accept Argentina, the champion is still in question.")</f>
        <v>yauda, ​​if I just accept Argentina, the champion is still in question.</v>
      </c>
    </row>
    <row r="5769" ht="15.75" customHeight="1">
      <c r="A5769" s="1">
        <v>6952.0</v>
      </c>
      <c r="B5769" s="3" t="s">
        <v>16601</v>
      </c>
      <c r="C5769" s="3">
        <v>1.0</v>
      </c>
      <c r="D5769" s="3">
        <v>0.0</v>
      </c>
      <c r="E5769" s="3">
        <v>0.0</v>
      </c>
      <c r="F5769" s="3" t="s">
        <v>16103</v>
      </c>
      <c r="G5769" s="3">
        <v>0.0</v>
      </c>
      <c r="H5769" s="3">
        <v>0.0</v>
      </c>
      <c r="I5769" s="3" t="s">
        <v>13</v>
      </c>
      <c r="J5769" s="3" t="s">
        <v>16104</v>
      </c>
      <c r="K5769" s="3" t="s">
        <v>14571</v>
      </c>
      <c r="L5769" s="3" t="str">
        <f>IFERROR(__xludf.DUMMYFUNCTION("GOOGLETRANSLATE(F5769,""id"",""en"")"),"Argentina Champion")</f>
        <v>Argentina Champion</v>
      </c>
    </row>
    <row r="5770" ht="15.75" customHeight="1">
      <c r="A5770" s="1">
        <v>6953.0</v>
      </c>
      <c r="B5770" s="3" t="s">
        <v>16602</v>
      </c>
      <c r="C5770" s="3">
        <v>2.0</v>
      </c>
      <c r="D5770" s="3">
        <v>0.0</v>
      </c>
      <c r="E5770" s="3">
        <v>1.0</v>
      </c>
      <c r="F5770" s="3" t="s">
        <v>16603</v>
      </c>
      <c r="G5770" s="3">
        <v>0.0</v>
      </c>
      <c r="H5770" s="3">
        <v>0.0</v>
      </c>
      <c r="I5770" s="3" t="s">
        <v>13</v>
      </c>
      <c r="J5770" s="3" t="s">
        <v>16604</v>
      </c>
      <c r="K5770" s="3" t="s">
        <v>348</v>
      </c>
      <c r="L5770" s="3" t="str">
        <f>IFERROR(__xludf.DUMMYFUNCTION("GOOGLETRANSLATE(F5770,""id"",""en"")"),"sometimes funny smart to comment not all on paper easily in fact it is true anyway Argentina champion loses right football watching entertainment don't overdo it later")</f>
        <v>sometimes funny smart to comment not all on paper easily in fact it is true anyway Argentina champion loses right football watching entertainment don't overdo it later</v>
      </c>
    </row>
    <row r="5771" ht="15.75" customHeight="1">
      <c r="A5771" s="1">
        <v>6954.0</v>
      </c>
      <c r="B5771" s="3" t="s">
        <v>16605</v>
      </c>
      <c r="C5771" s="3">
        <v>0.0</v>
      </c>
      <c r="D5771" s="3">
        <v>1.0</v>
      </c>
      <c r="E5771" s="3">
        <v>0.0</v>
      </c>
      <c r="F5771" s="3" t="s">
        <v>16606</v>
      </c>
      <c r="G5771" s="3">
        <v>0.0</v>
      </c>
      <c r="H5771" s="3">
        <v>0.0</v>
      </c>
      <c r="I5771" s="3" t="s">
        <v>13</v>
      </c>
      <c r="J5771" s="3" t="s">
        <v>16607</v>
      </c>
      <c r="K5771" s="3" t="s">
        <v>75</v>
      </c>
      <c r="L5771" s="3" t="str">
        <f>IFERROR(__xludf.DUMMYFUNCTION("GOOGLETRANSLATE(F5771,""id"",""en"")"),"Not Argentina Western Journalists call the Qatar World Cup champion is Islam")</f>
        <v>Not Argentina Western Journalists call the Qatar World Cup champion is Islam</v>
      </c>
    </row>
    <row r="5772" ht="15.75" customHeight="1">
      <c r="A5772" s="1">
        <v>6955.0</v>
      </c>
      <c r="B5772" s="3" t="s">
        <v>16608</v>
      </c>
      <c r="C5772" s="3">
        <v>0.0</v>
      </c>
      <c r="D5772" s="3">
        <v>0.0</v>
      </c>
      <c r="E5772" s="3">
        <v>0.0</v>
      </c>
      <c r="F5772" s="3" t="s">
        <v>16609</v>
      </c>
      <c r="G5772" s="3">
        <v>0.0</v>
      </c>
      <c r="H5772" s="3">
        <v>0.0</v>
      </c>
      <c r="I5772" s="3" t="s">
        <v>13</v>
      </c>
      <c r="J5772" s="3" t="s">
        <v>16610</v>
      </c>
      <c r="K5772" s="3" t="s">
        <v>14571</v>
      </c>
      <c r="L5772" s="3" t="str">
        <f>IFERROR(__xludf.DUMMYFUNCTION("GOOGLETRANSLATE(F5772,""id"",""en"")"),"break up nder")</f>
        <v>break up nder</v>
      </c>
    </row>
    <row r="5773" ht="15.75" customHeight="1">
      <c r="A5773" s="1">
        <v>6956.0</v>
      </c>
      <c r="B5773" s="3" t="s">
        <v>16611</v>
      </c>
      <c r="C5773" s="3">
        <v>0.0</v>
      </c>
      <c r="D5773" s="3">
        <v>0.0</v>
      </c>
      <c r="E5773" s="3">
        <v>0.0</v>
      </c>
      <c r="F5773" s="3" t="s">
        <v>16612</v>
      </c>
      <c r="G5773" s="3">
        <v>0.0</v>
      </c>
      <c r="H5773" s="3">
        <v>0.0</v>
      </c>
      <c r="I5773" s="3" t="s">
        <v>13</v>
      </c>
      <c r="J5773" s="3" t="s">
        <v>16613</v>
      </c>
      <c r="K5773" s="3" t="s">
        <v>50</v>
      </c>
      <c r="L5773" s="3" t="str">
        <f>IFERROR(__xludf.DUMMYFUNCTION("GOOGLETRANSLATE(F5773,""id"",""en"")"),"This is the reason why Brazil is ranked first in FIFA even though Argentina is the World Cup championship")</f>
        <v>This is the reason why Brazil is ranked first in FIFA even though Argentina is the World Cup championship</v>
      </c>
    </row>
    <row r="5774" ht="15.75" customHeight="1">
      <c r="A5774" s="1">
        <v>6957.0</v>
      </c>
      <c r="B5774" s="3" t="s">
        <v>16614</v>
      </c>
      <c r="C5774" s="3">
        <v>0.0</v>
      </c>
      <c r="D5774" s="3">
        <v>0.0</v>
      </c>
      <c r="E5774" s="3">
        <v>0.0</v>
      </c>
      <c r="F5774" s="3" t="s">
        <v>16615</v>
      </c>
      <c r="G5774" s="3">
        <v>0.4</v>
      </c>
      <c r="H5774" s="3">
        <v>0.2</v>
      </c>
      <c r="I5774" s="3" t="s">
        <v>48</v>
      </c>
      <c r="J5774" s="3" t="s">
        <v>16616</v>
      </c>
      <c r="K5774" s="3" t="s">
        <v>14571</v>
      </c>
      <c r="L5774" s="3" t="str">
        <f>IFERROR(__xludf.DUMMYFUNCTION("GOOGLETRANSLATE(F5774,""id"",""en"")"),"Same hahaha")</f>
        <v>Same hahaha</v>
      </c>
    </row>
    <row r="5775" ht="15.75" customHeight="1">
      <c r="A5775" s="1">
        <v>6958.0</v>
      </c>
      <c r="B5775" s="3" t="s">
        <v>16617</v>
      </c>
      <c r="C5775" s="3">
        <v>0.0</v>
      </c>
      <c r="D5775" s="3">
        <v>0.0</v>
      </c>
      <c r="E5775" s="3">
        <v>0.0</v>
      </c>
      <c r="F5775" s="3" t="s">
        <v>16618</v>
      </c>
      <c r="G5775" s="3">
        <v>0.0</v>
      </c>
      <c r="H5775" s="3">
        <v>0.0</v>
      </c>
      <c r="I5775" s="3" t="s">
        <v>13</v>
      </c>
      <c r="J5775" s="3" t="s">
        <v>16619</v>
      </c>
      <c r="K5775" s="3" t="s">
        <v>510</v>
      </c>
      <c r="L5775" s="3" t="str">
        <f>IFERROR(__xludf.DUMMYFUNCTION("GOOGLETRANSLATE(F5775,""id"",""en"")"),"World Cup Champion Allegri hopes that Angel Maria will transmit the spirit of the Argentine national team Juventus Bolat")</f>
        <v>World Cup Champion Allegri hopes that Angel Maria will transmit the spirit of the Argentine national team Juventus Bolat</v>
      </c>
    </row>
    <row r="5776" ht="15.75" customHeight="1">
      <c r="A5776" s="1">
        <v>6959.0</v>
      </c>
      <c r="B5776" s="3" t="s">
        <v>16620</v>
      </c>
      <c r="C5776" s="3">
        <v>0.0</v>
      </c>
      <c r="D5776" s="3">
        <v>0.0</v>
      </c>
      <c r="E5776" s="3">
        <v>0.0</v>
      </c>
      <c r="F5776" s="3" t="s">
        <v>16621</v>
      </c>
      <c r="G5776" s="3">
        <v>0.0</v>
      </c>
      <c r="H5776" s="3">
        <v>0.0</v>
      </c>
      <c r="I5776" s="3" t="s">
        <v>13</v>
      </c>
      <c r="J5776" s="3" t="s">
        <v>16622</v>
      </c>
      <c r="K5776" s="3" t="s">
        <v>1293</v>
      </c>
      <c r="L5776" s="3" t="str">
        <f>IFERROR(__xludf.DUMMYFUNCTION("GOOGLETRANSLATE(F5776,""id"",""en"")"),"Beng Biaji Info can be deliberately so that like Argentina lost to Saudi Arabia, finally the Indonesian champion is playing bad inshaaallah later.")</f>
        <v>Beng Biaji Info can be deliberately so that like Argentina lost to Saudi Arabia, finally the Indonesian champion is playing bad inshaaallah later.</v>
      </c>
    </row>
    <row r="5777" ht="15.75" customHeight="1">
      <c r="A5777" s="1">
        <v>6960.0</v>
      </c>
      <c r="B5777" s="3" t="s">
        <v>16623</v>
      </c>
      <c r="C5777" s="3">
        <v>1.0</v>
      </c>
      <c r="D5777" s="3">
        <v>1.0</v>
      </c>
      <c r="E5777" s="3">
        <v>8.0</v>
      </c>
      <c r="F5777" s="3" t="s">
        <v>16624</v>
      </c>
      <c r="G5777" s="3">
        <v>0.0</v>
      </c>
      <c r="H5777" s="3">
        <v>0.0</v>
      </c>
      <c r="I5777" s="3" t="s">
        <v>13</v>
      </c>
      <c r="J5777" s="3" t="s">
        <v>16625</v>
      </c>
      <c r="K5777" s="3" t="s">
        <v>15</v>
      </c>
      <c r="L5777" s="3" t="str">
        <f>IFERROR(__xludf.DUMMYFUNCTION("GOOGLETRANSLATE(F5777,""id"",""en"")"),"why is it a lot of things to need the national team player Argentina champions also protest")</f>
        <v>why is it a lot of things to need the national team player Argentina champions also protest</v>
      </c>
    </row>
    <row r="5778" ht="15.75" customHeight="1">
      <c r="A5778" s="1">
        <v>6961.0</v>
      </c>
      <c r="B5778" s="3" t="s">
        <v>16626</v>
      </c>
      <c r="C5778" s="3">
        <v>0.0</v>
      </c>
      <c r="D5778" s="3">
        <v>0.0</v>
      </c>
      <c r="E5778" s="3">
        <v>0.0</v>
      </c>
      <c r="F5778" s="3" t="s">
        <v>16627</v>
      </c>
      <c r="G5778" s="3">
        <v>0.0</v>
      </c>
      <c r="H5778" s="3">
        <v>0.0</v>
      </c>
      <c r="I5778" s="3" t="s">
        <v>13</v>
      </c>
      <c r="J5778" s="3" t="s">
        <v>16628</v>
      </c>
      <c r="K5778" s="3" t="s">
        <v>244</v>
      </c>
      <c r="L5778" s="3" t="str">
        <f>IFERROR(__xludf.DUMMYFUNCTION("GOOGLETRANSLATE(F5778,""id"",""en"")"),"The national team must imitate Argentina if you always get the first penalty of the first championship")</f>
        <v>The national team must imitate Argentina if you always get the first penalty of the first championship</v>
      </c>
    </row>
    <row r="5779" ht="15.75" customHeight="1">
      <c r="A5779" s="1">
        <v>6962.0</v>
      </c>
      <c r="B5779" s="3" t="s">
        <v>16629</v>
      </c>
      <c r="C5779" s="3">
        <v>0.0</v>
      </c>
      <c r="D5779" s="3">
        <v>0.0</v>
      </c>
      <c r="E5779" s="3">
        <v>0.0</v>
      </c>
      <c r="F5779" s="3" t="s">
        <v>16630</v>
      </c>
      <c r="G5779" s="3">
        <v>0.0</v>
      </c>
      <c r="H5779" s="3">
        <v>0.0</v>
      </c>
      <c r="I5779" s="3" t="s">
        <v>13</v>
      </c>
      <c r="J5779" s="3" t="s">
        <v>16631</v>
      </c>
      <c r="K5779" s="3" t="s">
        <v>123</v>
      </c>
      <c r="L5779" s="3" t="str">
        <f>IFERROR(__xludf.DUMMYFUNCTION("GOOGLETRANSLATE(F5779,""id"",""en"")"),"Salt Bae was investigated by FIFA because of being able to go down the field when the Argentine celebration won the World Cup via")</f>
        <v>Salt Bae was investigated by FIFA because of being able to go down the field when the Argentine celebration won the World Cup via</v>
      </c>
    </row>
    <row r="5780" ht="15.75" customHeight="1">
      <c r="A5780" s="1">
        <v>6963.0</v>
      </c>
      <c r="B5780" s="3" t="s">
        <v>16632</v>
      </c>
      <c r="C5780" s="3">
        <v>2.0</v>
      </c>
      <c r="D5780" s="3">
        <v>0.0</v>
      </c>
      <c r="E5780" s="3">
        <v>5.0</v>
      </c>
      <c r="F5780" s="3" t="s">
        <v>16633</v>
      </c>
      <c r="G5780" s="3">
        <v>0.0</v>
      </c>
      <c r="H5780" s="3">
        <v>0.0</v>
      </c>
      <c r="I5780" s="3" t="s">
        <v>13</v>
      </c>
      <c r="J5780" s="3" t="s">
        <v>16634</v>
      </c>
      <c r="K5780" s="3" t="s">
        <v>149</v>
      </c>
      <c r="L5780" s="3" t="str">
        <f>IFERROR(__xludf.DUMMYFUNCTION("GOOGLETRANSLATE(F5780,""id"",""en"")"),"Mbappe interview on European football also does not insult Argentina, the opposite shows that Argentina can champion as many stars are born from Conmebol but carried out by Emi on")</f>
        <v>Mbappe interview on European football also does not insult Argentina, the opposite shows that Argentina can champion as many stars are born from Conmebol but carried out by Emi on</v>
      </c>
    </row>
    <row r="5781" ht="15.75" customHeight="1">
      <c r="A5781" s="1">
        <v>6964.0</v>
      </c>
      <c r="B5781" s="3" t="s">
        <v>16635</v>
      </c>
      <c r="C5781" s="3">
        <v>0.0</v>
      </c>
      <c r="D5781" s="3">
        <v>0.0</v>
      </c>
      <c r="E5781" s="3">
        <v>0.0</v>
      </c>
      <c r="F5781" s="3" t="s">
        <v>16636</v>
      </c>
      <c r="G5781" s="3">
        <v>0.0</v>
      </c>
      <c r="H5781" s="3">
        <v>0.0</v>
      </c>
      <c r="I5781" s="3" t="s">
        <v>13</v>
      </c>
      <c r="J5781" s="3" t="s">
        <v>16637</v>
      </c>
      <c r="K5781" s="3" t="s">
        <v>510</v>
      </c>
      <c r="L5781" s="3" t="str">
        <f>IFERROR(__xludf.DUMMYFUNCTION("GOOGLETRANSLATE(F5781,""id"",""en"")"),"World Cup Champion Allegri hopes that Angel Maria will transmit the spirit of the Argentine national team Juventus via")</f>
        <v>World Cup Champion Allegri hopes that Angel Maria will transmit the spirit of the Argentine national team Juventus via</v>
      </c>
    </row>
    <row r="5782" ht="15.75" customHeight="1">
      <c r="A5782" s="1">
        <v>6965.0</v>
      </c>
      <c r="B5782" s="3" t="s">
        <v>16638</v>
      </c>
      <c r="C5782" s="3">
        <v>0.0</v>
      </c>
      <c r="D5782" s="3">
        <v>0.0</v>
      </c>
      <c r="E5782" s="3">
        <v>0.0</v>
      </c>
      <c r="F5782" s="3" t="s">
        <v>16639</v>
      </c>
      <c r="G5782" s="3">
        <v>0.0</v>
      </c>
      <c r="H5782" s="3">
        <v>0.0</v>
      </c>
      <c r="I5782" s="3" t="s">
        <v>13</v>
      </c>
      <c r="J5782" s="3" t="s">
        <v>16640</v>
      </c>
      <c r="K5782" s="3" t="s">
        <v>31</v>
      </c>
      <c r="L5782" s="3" t="str">
        <f>IFERROR(__xludf.DUMMYFUNCTION("GOOGLETRANSLATE(F5782,""id"",""en"")"),"the gas is the most Argentina champion")</f>
        <v>the gas is the most Argentina champion</v>
      </c>
    </row>
    <row r="5783" ht="15.75" customHeight="1">
      <c r="A5783" s="1">
        <v>6966.0</v>
      </c>
      <c r="B5783" s="3" t="s">
        <v>16641</v>
      </c>
      <c r="C5783" s="3">
        <v>0.0</v>
      </c>
      <c r="D5783" s="3">
        <v>1.0</v>
      </c>
      <c r="E5783" s="3">
        <v>1.0</v>
      </c>
      <c r="F5783" s="3" t="s">
        <v>16642</v>
      </c>
      <c r="G5783" s="3">
        <v>0.0</v>
      </c>
      <c r="H5783" s="3">
        <v>0.0</v>
      </c>
      <c r="I5783" s="3" t="s">
        <v>13</v>
      </c>
      <c r="J5783" s="3" t="s">
        <v>16643</v>
      </c>
      <c r="K5783" s="3" t="s">
        <v>510</v>
      </c>
      <c r="L5783" s="3" t="str">
        <f>IFERROR(__xludf.DUMMYFUNCTION("GOOGLETRANSLATE(F5783,""id"",""en"")"),"Winner of the World Cup champion with the Argentine national team from the Italian League Juventus star number")</f>
        <v>Winner of the World Cup champion with the Argentine national team from the Italian League Juventus star number</v>
      </c>
    </row>
    <row r="5784" ht="15.75" customHeight="1">
      <c r="A5784" s="1">
        <v>6967.0</v>
      </c>
      <c r="B5784" s="3" t="s">
        <v>16644</v>
      </c>
      <c r="C5784" s="3">
        <v>6.0</v>
      </c>
      <c r="D5784" s="3">
        <v>26.0</v>
      </c>
      <c r="E5784" s="3">
        <v>155.0</v>
      </c>
      <c r="F5784" s="3" t="s">
        <v>16645</v>
      </c>
      <c r="G5784" s="3">
        <v>0.0</v>
      </c>
      <c r="H5784" s="3">
        <v>0.0</v>
      </c>
      <c r="I5784" s="3" t="s">
        <v>13</v>
      </c>
      <c r="J5784" s="3" t="s">
        <v>16646</v>
      </c>
      <c r="K5784" s="3" t="s">
        <v>1887</v>
      </c>
      <c r="L5784" s="3" t="str">
        <f>IFERROR(__xludf.DUMMYFUNCTION("GOOGLETRANSLATE(F5784,""id"",""en"")"),"What are you doing, just protest, it's just a normal name while it's not racist.")</f>
        <v>What are you doing, just protest, it's just a normal name while it's not racist.</v>
      </c>
    </row>
    <row r="5785" ht="15.75" customHeight="1">
      <c r="A5785" s="1">
        <v>6968.0</v>
      </c>
      <c r="B5785" s="3" t="s">
        <v>16647</v>
      </c>
      <c r="C5785" s="3">
        <v>0.0</v>
      </c>
      <c r="D5785" s="3">
        <v>0.0</v>
      </c>
      <c r="E5785" s="3">
        <v>0.0</v>
      </c>
      <c r="F5785" s="3" t="s">
        <v>16648</v>
      </c>
      <c r="G5785" s="3">
        <v>0.6666666666666666</v>
      </c>
      <c r="H5785" s="3">
        <v>0.08333333333333333</v>
      </c>
      <c r="I5785" s="3" t="s">
        <v>48</v>
      </c>
      <c r="J5785" s="3" t="s">
        <v>16649</v>
      </c>
      <c r="K5785" s="3" t="s">
        <v>82</v>
      </c>
      <c r="L5785" s="3" t="str">
        <f>IFERROR(__xludf.DUMMYFUNCTION("GOOGLETRANSLATE(F5785,""id"",""en"")"),"If Kante played final yesterday, Argentina might win")</f>
        <v>If Kante played final yesterday, Argentina might win</v>
      </c>
    </row>
    <row r="5786" ht="15.75" customHeight="1">
      <c r="A5786" s="1">
        <v>6969.0</v>
      </c>
      <c r="B5786" s="3" t="s">
        <v>16650</v>
      </c>
      <c r="C5786" s="3">
        <v>0.0</v>
      </c>
      <c r="D5786" s="3">
        <v>0.0</v>
      </c>
      <c r="E5786" s="3">
        <v>1.0</v>
      </c>
      <c r="F5786" s="3" t="s">
        <v>16651</v>
      </c>
      <c r="G5786" s="3">
        <v>0.0</v>
      </c>
      <c r="H5786" s="3">
        <v>0.0</v>
      </c>
      <c r="I5786" s="3" t="s">
        <v>13</v>
      </c>
      <c r="J5786" s="3" t="s">
        <v>16652</v>
      </c>
      <c r="K5786" s="3" t="s">
        <v>31</v>
      </c>
      <c r="L5786" s="3" t="str">
        <f>IFERROR(__xludf.DUMMYFUNCTION("GOOGLETRANSLATE(F5786,""id"",""en"")"),"when I nongton the Argentina champion")</f>
        <v>when I nongton the Argentina champion</v>
      </c>
    </row>
    <row r="5787" ht="15.75" customHeight="1">
      <c r="A5787" s="1">
        <v>6970.0</v>
      </c>
      <c r="B5787" s="3" t="s">
        <v>16653</v>
      </c>
      <c r="C5787" s="3">
        <v>0.0</v>
      </c>
      <c r="D5787" s="3">
        <v>0.0</v>
      </c>
      <c r="E5787" s="3">
        <v>0.0</v>
      </c>
      <c r="F5787" s="3" t="s">
        <v>16654</v>
      </c>
      <c r="G5787" s="3">
        <v>0.0</v>
      </c>
      <c r="H5787" s="3">
        <v>0.0</v>
      </c>
      <c r="I5787" s="3" t="s">
        <v>13</v>
      </c>
      <c r="J5787" s="3" t="s">
        <v>16655</v>
      </c>
      <c r="K5787" s="3" t="s">
        <v>244</v>
      </c>
      <c r="L5787" s="3" t="str">
        <f>IFERROR(__xludf.DUMMYFUNCTION("GOOGLETRANSLATE(F5787,""id"",""en"")"),"If there is something more beautiful than being able to become a class champion maybe it is Argentina Champion World Cup Qatar")</f>
        <v>If there is something more beautiful than being able to become a class champion maybe it is Argentina Champion World Cup Qatar</v>
      </c>
    </row>
    <row r="5788" ht="15.75" customHeight="1">
      <c r="A5788" s="1">
        <v>6971.0</v>
      </c>
      <c r="B5788" s="3" t="s">
        <v>16656</v>
      </c>
      <c r="C5788" s="3">
        <v>0.0</v>
      </c>
      <c r="D5788" s="3">
        <v>0.0</v>
      </c>
      <c r="E5788" s="3">
        <v>0.0</v>
      </c>
      <c r="F5788" s="3" t="s">
        <v>16657</v>
      </c>
      <c r="G5788" s="3">
        <v>0.0</v>
      </c>
      <c r="H5788" s="3">
        <v>0.0</v>
      </c>
      <c r="I5788" s="3" t="s">
        <v>13</v>
      </c>
      <c r="J5788" s="3" t="s">
        <v>16658</v>
      </c>
      <c r="K5788" s="3" t="s">
        <v>15</v>
      </c>
      <c r="L5788" s="3" t="str">
        <f>IFERROR(__xludf.DUMMYFUNCTION("GOOGLETRANSLATE(F5788,""id"",""en"")"),"Hopefully more and more so you can see Argentina world champion again ehehe")</f>
        <v>Hopefully more and more so you can see Argentina world champion again ehehe</v>
      </c>
    </row>
    <row r="5789" ht="15.75" customHeight="1">
      <c r="A5789" s="1">
        <v>6972.0</v>
      </c>
      <c r="B5789" s="3" t="s">
        <v>16659</v>
      </c>
      <c r="C5789" s="3">
        <v>0.0</v>
      </c>
      <c r="D5789" s="3">
        <v>0.0</v>
      </c>
      <c r="E5789" s="3">
        <v>10.0</v>
      </c>
      <c r="F5789" s="3" t="s">
        <v>16660</v>
      </c>
      <c r="G5789" s="3">
        <v>0.0</v>
      </c>
      <c r="H5789" s="3">
        <v>0.0</v>
      </c>
      <c r="I5789" s="3" t="s">
        <v>13</v>
      </c>
      <c r="J5789" s="3" t="s">
        <v>16661</v>
      </c>
      <c r="K5789" s="3" t="s">
        <v>695</v>
      </c>
      <c r="L5789" s="3" t="str">
        <f>IFERROR(__xludf.DUMMYFUNCTION("GOOGLETRANSLATE(F5789,""id"",""en"")"),"Mas if there is Heru Argentina, where can you win the World Cup during the year Anies, Jakarta, there is a history of Argentina to win the world cup suitable")</f>
        <v>Mas if there is Heru Argentina, where can you win the World Cup during the year Anies, Jakarta, there is a history of Argentina to win the world cup suitable</v>
      </c>
    </row>
    <row r="5790" ht="15.75" customHeight="1">
      <c r="A5790" s="1">
        <v>6973.0</v>
      </c>
      <c r="B5790" s="3" t="s">
        <v>16662</v>
      </c>
      <c r="C5790" s="3">
        <v>1.0</v>
      </c>
      <c r="D5790" s="3">
        <v>0.0</v>
      </c>
      <c r="E5790" s="3">
        <v>0.0</v>
      </c>
      <c r="F5790" s="3" t="s">
        <v>16663</v>
      </c>
      <c r="G5790" s="3">
        <v>0.2</v>
      </c>
      <c r="H5790" s="3">
        <v>-0.1</v>
      </c>
      <c r="I5790" s="3" t="s">
        <v>179</v>
      </c>
      <c r="J5790" s="3" t="s">
        <v>16664</v>
      </c>
      <c r="K5790" s="3" t="s">
        <v>82</v>
      </c>
      <c r="L5790" s="3" t="str">
        <f>IFERROR(__xludf.DUMMYFUNCTION("GOOGLETRANSLATE(F5790,""id"",""en"")"),"Try this Barca has a mental champion like Argentina")</f>
        <v>Try this Barca has a mental champion like Argentina</v>
      </c>
    </row>
    <row r="5791" ht="15.75" customHeight="1">
      <c r="A5791" s="1">
        <v>6974.0</v>
      </c>
      <c r="B5791" s="3" t="s">
        <v>16665</v>
      </c>
      <c r="C5791" s="3">
        <v>0.0</v>
      </c>
      <c r="D5791" s="3">
        <v>0.0</v>
      </c>
      <c r="E5791" s="3">
        <v>3.0</v>
      </c>
      <c r="F5791" s="3" t="s">
        <v>16666</v>
      </c>
      <c r="G5791" s="3">
        <v>0.0</v>
      </c>
      <c r="H5791" s="3">
        <v>0.0</v>
      </c>
      <c r="I5791" s="3" t="s">
        <v>13</v>
      </c>
      <c r="J5791" s="3" t="s">
        <v>16667</v>
      </c>
      <c r="K5791" s="3" t="s">
        <v>633</v>
      </c>
      <c r="L5791" s="3" t="str">
        <f>IFERROR(__xludf.DUMMYFUNCTION("GOOGLETRANSLATE(F5791,""id"",""en"")"),"there's more, say Brazil and Argentina have Latin American levels, don't pretend he doesn't know, he doesn't feel any of Bolivia, and Europe is also a new American land champion")</f>
        <v>there's more, say Brazil and Argentina have Latin American levels, don't pretend he doesn't know, he doesn't feel any of Bolivia, and Europe is also a new American land champion</v>
      </c>
    </row>
    <row r="5792" ht="15.75" customHeight="1">
      <c r="A5792" s="1">
        <v>6975.0</v>
      </c>
      <c r="B5792" s="3" t="s">
        <v>16668</v>
      </c>
      <c r="C5792" s="3">
        <v>0.0</v>
      </c>
      <c r="D5792" s="3">
        <v>0.0</v>
      </c>
      <c r="E5792" s="3">
        <v>0.0</v>
      </c>
      <c r="F5792" s="3" t="s">
        <v>16669</v>
      </c>
      <c r="G5792" s="3">
        <v>0.0</v>
      </c>
      <c r="H5792" s="3">
        <v>0.0</v>
      </c>
      <c r="I5792" s="3" t="s">
        <v>13</v>
      </c>
      <c r="J5792" s="3" t="s">
        <v>16670</v>
      </c>
      <c r="K5792" s="3" t="s">
        <v>16671</v>
      </c>
      <c r="L5792" s="3" t="str">
        <f>IFERROR(__xludf.DUMMYFUNCTION("GOOGLETRANSLATE(F5792,""id"",""en"")"),"This Qatar scenario Messi won his first World Cup with Argentina the first World Cup victory for Croatia's first World Cup victory for Morocco Africa France won the World Cup in succession")</f>
        <v>This Qatar scenario Messi won his first World Cup with Argentina the first World Cup victory for Croatia's first World Cup victory for Morocco Africa France won the World Cup in succession</v>
      </c>
    </row>
    <row r="5793" ht="15.75" customHeight="1">
      <c r="A5793" s="1">
        <v>6976.0</v>
      </c>
      <c r="B5793" s="3" t="s">
        <v>16672</v>
      </c>
      <c r="C5793" s="3">
        <v>0.0</v>
      </c>
      <c r="D5793" s="3">
        <v>0.0</v>
      </c>
      <c r="E5793" s="3">
        <v>0.0</v>
      </c>
      <c r="F5793" s="3" t="s">
        <v>16673</v>
      </c>
      <c r="G5793" s="3">
        <v>0.0</v>
      </c>
      <c r="H5793" s="3">
        <v>0.0</v>
      </c>
      <c r="I5793" s="3" t="s">
        <v>13</v>
      </c>
      <c r="J5793" s="3" t="s">
        <v>16674</v>
      </c>
      <c r="K5793" s="3" t="s">
        <v>358</v>
      </c>
      <c r="L5793" s="3" t="str">
        <f>IFERROR(__xludf.DUMMYFUNCTION("GOOGLETRANSLATE(F5793,""id"",""en"")"),"Lawas yaa means that I can't reward anything, it's a second ago, it has also become the history of Argentina.")</f>
        <v>Lawas yaa means that I can't reward anything, it's a second ago, it has also become the history of Argentina.</v>
      </c>
    </row>
    <row r="5794" ht="15.75" customHeight="1">
      <c r="A5794" s="1">
        <v>6977.0</v>
      </c>
      <c r="B5794" s="3" t="s">
        <v>16675</v>
      </c>
      <c r="C5794" s="3">
        <v>1.0</v>
      </c>
      <c r="D5794" s="3">
        <v>0.0</v>
      </c>
      <c r="E5794" s="3">
        <v>0.0</v>
      </c>
      <c r="F5794" s="3" t="s">
        <v>16676</v>
      </c>
      <c r="G5794" s="3">
        <v>0.0</v>
      </c>
      <c r="H5794" s="3">
        <v>0.0</v>
      </c>
      <c r="I5794" s="3" t="s">
        <v>13</v>
      </c>
      <c r="J5794" s="3" t="s">
        <v>16677</v>
      </c>
      <c r="K5794" s="3" t="s">
        <v>236</v>
      </c>
      <c r="L5794" s="3" t="str">
        <f>IFERROR(__xludf.DUMMYFUNCTION("GOOGLETRANSLATE(F5794,""id"",""en"")"),"just realized sis adel his account disappeared even though Argentina was only champion")</f>
        <v>just realized sis adel his account disappeared even though Argentina was only champion</v>
      </c>
    </row>
    <row r="5795" ht="15.75" customHeight="1">
      <c r="A5795" s="1">
        <v>6978.0</v>
      </c>
      <c r="B5795" s="3" t="s">
        <v>16678</v>
      </c>
      <c r="C5795" s="3">
        <v>0.0</v>
      </c>
      <c r="D5795" s="3">
        <v>0.0</v>
      </c>
      <c r="E5795" s="3">
        <v>56.0</v>
      </c>
      <c r="F5795" s="3" t="s">
        <v>16679</v>
      </c>
      <c r="G5795" s="3">
        <v>0.0</v>
      </c>
      <c r="H5795" s="3">
        <v>0.0</v>
      </c>
      <c r="I5795" s="3" t="s">
        <v>13</v>
      </c>
      <c r="J5795" s="3" t="s">
        <v>16680</v>
      </c>
      <c r="K5795" s="3" t="s">
        <v>244</v>
      </c>
      <c r="L5795" s="3" t="str">
        <f>IFERROR(__xludf.DUMMYFUNCTION("GOOGLETRANSLATE(F5795,""id"",""en"")"),"as far as I have ever been in contact with soccer still can't change if Argentina is champion")</f>
        <v>as far as I have ever been in contact with soccer still can't change if Argentina is champion</v>
      </c>
    </row>
    <row r="5796" ht="15.75" customHeight="1">
      <c r="A5796" s="1">
        <v>6979.0</v>
      </c>
      <c r="B5796" s="3" t="s">
        <v>16681</v>
      </c>
      <c r="C5796" s="3">
        <v>0.0</v>
      </c>
      <c r="D5796" s="3">
        <v>0.0</v>
      </c>
      <c r="E5796" s="3">
        <v>0.0</v>
      </c>
      <c r="F5796" s="3" t="s">
        <v>16682</v>
      </c>
      <c r="G5796" s="3">
        <v>0.0</v>
      </c>
      <c r="H5796" s="3">
        <v>0.0</v>
      </c>
      <c r="I5796" s="3" t="s">
        <v>13</v>
      </c>
      <c r="J5796" s="3" t="s">
        <v>16683</v>
      </c>
      <c r="K5796" s="3" t="s">
        <v>952</v>
      </c>
      <c r="L5796" s="3" t="str">
        <f>IFERROR(__xludf.DUMMYFUNCTION("GOOGLETRANSLATE(F5796,""id"",""en"")"),"Many are jealous of Argentina, many of the Pilduun champions are jealous of Messi Holding Trophy")</f>
        <v>Many are jealous of Argentina, many of the Pilduun champions are jealous of Messi Holding Trophy</v>
      </c>
    </row>
    <row r="5797" ht="15.75" customHeight="1">
      <c r="A5797" s="1">
        <v>6980.0</v>
      </c>
      <c r="B5797" s="3" t="s">
        <v>16684</v>
      </c>
      <c r="C5797" s="3">
        <v>0.0</v>
      </c>
      <c r="D5797" s="3">
        <v>0.0</v>
      </c>
      <c r="E5797" s="3">
        <v>0.0</v>
      </c>
      <c r="F5797" s="3" t="s">
        <v>16685</v>
      </c>
      <c r="G5797" s="3">
        <v>0.0</v>
      </c>
      <c r="H5797" s="3">
        <v>0.0</v>
      </c>
      <c r="I5797" s="3" t="s">
        <v>13</v>
      </c>
      <c r="J5797" s="3" t="s">
        <v>16686</v>
      </c>
      <c r="K5797" s="3" t="s">
        <v>31</v>
      </c>
      <c r="L5797" s="3" t="str">
        <f>IFERROR(__xludf.DUMMYFUNCTION("GOOGLETRANSLATE(F5797,""id"",""en"")"),"and Argentina canceled to become champions hehehe")</f>
        <v>and Argentina canceled to become champions hehehe</v>
      </c>
    </row>
    <row r="5798" ht="15.75" customHeight="1">
      <c r="A5798" s="1">
        <v>6981.0</v>
      </c>
      <c r="B5798" s="3" t="s">
        <v>16687</v>
      </c>
      <c r="C5798" s="3">
        <v>0.0</v>
      </c>
      <c r="D5798" s="3">
        <v>0.0</v>
      </c>
      <c r="E5798" s="3">
        <v>2.0</v>
      </c>
      <c r="F5798" s="3" t="s">
        <v>16688</v>
      </c>
      <c r="G5798" s="3">
        <v>0.0</v>
      </c>
      <c r="H5798" s="3">
        <v>0.0</v>
      </c>
      <c r="I5798" s="3" t="s">
        <v>13</v>
      </c>
      <c r="J5798" s="3" t="s">
        <v>16689</v>
      </c>
      <c r="K5798" s="3" t="s">
        <v>75</v>
      </c>
      <c r="L5798" s="3" t="str">
        <f>IFERROR(__xludf.DUMMYFUNCTION("GOOGLETRANSLATE(F5798,""id"",""en"")"),"Tar Messi is sold by Neymar's most right Argentina")</f>
        <v>Tar Messi is sold by Neymar's most right Argentina</v>
      </c>
    </row>
    <row r="5799" ht="15.75" customHeight="1">
      <c r="A5799" s="1">
        <v>6982.0</v>
      </c>
      <c r="B5799" s="3" t="s">
        <v>16690</v>
      </c>
      <c r="C5799" s="3">
        <v>0.0</v>
      </c>
      <c r="D5799" s="3">
        <v>0.0</v>
      </c>
      <c r="E5799" s="3">
        <v>0.0</v>
      </c>
      <c r="F5799" s="3" t="s">
        <v>16691</v>
      </c>
      <c r="G5799" s="3">
        <v>1.0</v>
      </c>
      <c r="H5799" s="3">
        <v>0.0</v>
      </c>
      <c r="I5799" s="3" t="s">
        <v>13</v>
      </c>
      <c r="J5799" s="3" t="s">
        <v>16692</v>
      </c>
      <c r="K5799" s="3" t="s">
        <v>240</v>
      </c>
      <c r="L5799" s="3" t="str">
        <f>IFERROR(__xludf.DUMMYFUNCTION("GOOGLETRANSLATE(F5799,""id"",""en"")"),"Usually we have the group to qualify until the final anti -climax now wins will be able to remember Argentina yesterday will be the championship will be the champion")</f>
        <v>Usually we have the group to qualify until the final anti -climax now wins will be able to remember Argentina yesterday will be the championship will be the champion</v>
      </c>
    </row>
    <row r="5800" ht="15.75" customHeight="1">
      <c r="A5800" s="1">
        <v>6983.0</v>
      </c>
      <c r="B5800" s="3" t="s">
        <v>16693</v>
      </c>
      <c r="C5800" s="3">
        <v>0.0</v>
      </c>
      <c r="D5800" s="3">
        <v>0.0</v>
      </c>
      <c r="E5800" s="3">
        <v>0.0</v>
      </c>
      <c r="F5800" s="3" t="s">
        <v>16694</v>
      </c>
      <c r="G5800" s="3">
        <v>0.0</v>
      </c>
      <c r="H5800" s="3">
        <v>0.0</v>
      </c>
      <c r="I5800" s="3" t="s">
        <v>13</v>
      </c>
      <c r="J5800" s="3" t="s">
        <v>16695</v>
      </c>
      <c r="K5800" s="3" t="s">
        <v>644</v>
      </c>
      <c r="L5800" s="3" t="str">
        <f>IFERROR(__xludf.DUMMYFUNCTION("GOOGLETRANSLATE(F5800,""id"",""en"")"),"Vibes Argentina Can Champion National Team")</f>
        <v>Vibes Argentina Can Champion National Team</v>
      </c>
    </row>
    <row r="5801" ht="15.75" customHeight="1">
      <c r="A5801" s="1">
        <v>6984.0</v>
      </c>
      <c r="B5801" s="3" t="s">
        <v>16696</v>
      </c>
      <c r="C5801" s="3">
        <v>4.0</v>
      </c>
      <c r="D5801" s="3">
        <v>1.0</v>
      </c>
      <c r="E5801" s="3">
        <v>1.0</v>
      </c>
      <c r="F5801" s="3" t="s">
        <v>16697</v>
      </c>
      <c r="G5801" s="3">
        <v>0.0</v>
      </c>
      <c r="H5801" s="3">
        <v>0.0</v>
      </c>
      <c r="I5801" s="3" t="s">
        <v>13</v>
      </c>
      <c r="J5801" s="3" t="s">
        <v>16698</v>
      </c>
      <c r="K5801" s="3" t="s">
        <v>2610</v>
      </c>
      <c r="L5801" s="3" t="str">
        <f>IFERROR(__xludf.DUMMYFUNCTION("GOOGLETRANSLATE(F5801,""id"",""en"")"),"Indonesia with the championship performance like Argentina which has proven to be the best world biggest soccer event and my opinion, the similarity of Vivo's superior features with several key players")</f>
        <v>Indonesia with the championship performance like Argentina which has proven to be the best world biggest soccer event and my opinion, the similarity of Vivo's superior features with several key players</v>
      </c>
    </row>
    <row r="5802" ht="15.75" customHeight="1">
      <c r="A5802" s="1">
        <v>6985.0</v>
      </c>
      <c r="B5802" s="3" t="s">
        <v>16699</v>
      </c>
      <c r="C5802" s="3">
        <v>0.0</v>
      </c>
      <c r="D5802" s="3">
        <v>4.0</v>
      </c>
      <c r="E5802" s="3">
        <v>0.0</v>
      </c>
      <c r="F5802" s="3" t="s">
        <v>16217</v>
      </c>
      <c r="G5802" s="3">
        <v>0.0</v>
      </c>
      <c r="H5802" s="3">
        <v>0.0</v>
      </c>
      <c r="I5802" s="3" t="s">
        <v>13</v>
      </c>
      <c r="J5802" s="3" t="s">
        <v>16218</v>
      </c>
      <c r="K5802" s="3" t="s">
        <v>50</v>
      </c>
      <c r="L5802" s="3" t="str">
        <f>IFERROR(__xludf.DUMMYFUNCTION("GOOGLETRANSLATE(F5802,""id"",""en"")"),"FIFA Investigates the Behavior of Salt Bae Celebration of Argentina World Cup Champion")</f>
        <v>FIFA Investigates the Behavior of Salt Bae Celebration of Argentina World Cup Champion</v>
      </c>
    </row>
    <row r="5803" ht="15.75" customHeight="1">
      <c r="A5803" s="1">
        <v>6986.0</v>
      </c>
      <c r="B5803" s="3" t="s">
        <v>16700</v>
      </c>
      <c r="C5803" s="3">
        <v>0.0</v>
      </c>
      <c r="D5803" s="3">
        <v>0.0</v>
      </c>
      <c r="E5803" s="3">
        <v>0.0</v>
      </c>
      <c r="F5803" s="3" t="s">
        <v>16701</v>
      </c>
      <c r="G5803" s="3">
        <v>0.0</v>
      </c>
      <c r="H5803" s="3">
        <v>0.0</v>
      </c>
      <c r="I5803" s="3" t="s">
        <v>13</v>
      </c>
      <c r="J5803" s="3" t="s">
        <v>16702</v>
      </c>
      <c r="K5803" s="3" t="s">
        <v>16174</v>
      </c>
      <c r="L5803" s="3" t="str">
        <f>IFERROR(__xludf.DUMMYFUNCTION("GOOGLETRANSLATE(F5803,""id"",""en"")"),"Redsindo")</f>
        <v>Redsindo</v>
      </c>
    </row>
    <row r="5804" ht="15.75" customHeight="1">
      <c r="A5804" s="1">
        <v>6987.0</v>
      </c>
      <c r="B5804" s="3" t="s">
        <v>16703</v>
      </c>
      <c r="C5804" s="3">
        <v>0.0</v>
      </c>
      <c r="D5804" s="3">
        <v>0.0</v>
      </c>
      <c r="E5804" s="3">
        <v>1.0</v>
      </c>
      <c r="F5804" s="3" t="s">
        <v>16704</v>
      </c>
      <c r="G5804" s="3">
        <v>0.0</v>
      </c>
      <c r="H5804" s="3">
        <v>0.0</v>
      </c>
      <c r="I5804" s="3" t="s">
        <v>13</v>
      </c>
      <c r="J5804" s="3" t="s">
        <v>16705</v>
      </c>
      <c r="K5804" s="3" t="s">
        <v>75</v>
      </c>
      <c r="L5804" s="3" t="str">
        <f>IFERROR(__xludf.DUMMYFUNCTION("GOOGLETRANSLATE(F5804,""id"",""en"")"),"Hanif videos Koci and Bung Helmy Yahya is really cool and educating")</f>
        <v>Hanif videos Koci and Bung Helmy Yahya is really cool and educating</v>
      </c>
    </row>
    <row r="5805" ht="15.75" customHeight="1">
      <c r="A5805" s="1">
        <v>6988.0</v>
      </c>
      <c r="B5805" s="3" t="s">
        <v>16706</v>
      </c>
      <c r="C5805" s="3">
        <v>3.0</v>
      </c>
      <c r="D5805" s="3">
        <v>0.0</v>
      </c>
      <c r="E5805" s="3">
        <v>3.0</v>
      </c>
      <c r="F5805" s="3" t="s">
        <v>16707</v>
      </c>
      <c r="G5805" s="3">
        <v>0.5</v>
      </c>
      <c r="H5805" s="3">
        <v>0.3</v>
      </c>
      <c r="I5805" s="3" t="s">
        <v>48</v>
      </c>
      <c r="J5805" s="3" t="s">
        <v>16708</v>
      </c>
      <c r="K5805" s="3" t="s">
        <v>4784</v>
      </c>
      <c r="L5805" s="3" t="str">
        <f>IFERROR(__xludf.DUMMYFUNCTION("GOOGLETRANSLATE(F5805,""id"",""en"")"),"Areaa Woi Ngaki Emi Martinez is the best goalkeeper World Cup gets Golden Glove to bring Argentina to become a world champion for the third time Bonou bonu bonou emi martinez can get golden bon")</f>
        <v>Areaa Woi Ngaki Emi Martinez is the best goalkeeper World Cup gets Golden Glove to bring Argentina to become a world champion for the third time Bonou bonu bonou emi martinez can get golden bon</v>
      </c>
    </row>
    <row r="5806" ht="15.75" customHeight="1">
      <c r="A5806" s="1">
        <v>6989.0</v>
      </c>
      <c r="B5806" s="3" t="s">
        <v>16709</v>
      </c>
      <c r="C5806" s="3">
        <v>0.0</v>
      </c>
      <c r="D5806" s="3">
        <v>0.0</v>
      </c>
      <c r="E5806" s="3">
        <v>2.0</v>
      </c>
      <c r="F5806" s="3" t="s">
        <v>16710</v>
      </c>
      <c r="G5806" s="3">
        <v>0.9</v>
      </c>
      <c r="H5806" s="3">
        <v>-0.15</v>
      </c>
      <c r="I5806" s="3" t="s">
        <v>179</v>
      </c>
      <c r="J5806" s="3" t="s">
        <v>16711</v>
      </c>
      <c r="K5806" s="3" t="s">
        <v>2117</v>
      </c>
      <c r="L5806" s="3" t="str">
        <f>IFERROR(__xludf.DUMMYFUNCTION("GOOGLETRANSLATE(F5806,""id"",""en"")"),"like this if it's night naughty")</f>
        <v>like this if it's night naughty</v>
      </c>
    </row>
    <row r="5807" ht="15.75" customHeight="1">
      <c r="A5807" s="1">
        <v>6990.0</v>
      </c>
      <c r="B5807" s="3" t="s">
        <v>16712</v>
      </c>
      <c r="C5807" s="3">
        <v>1.0</v>
      </c>
      <c r="D5807" s="3">
        <v>0.0</v>
      </c>
      <c r="E5807" s="3">
        <v>1.0</v>
      </c>
      <c r="F5807" s="3" t="s">
        <v>16713</v>
      </c>
      <c r="G5807" s="3">
        <v>0.0</v>
      </c>
      <c r="H5807" s="3">
        <v>0.0</v>
      </c>
      <c r="I5807" s="3" t="s">
        <v>13</v>
      </c>
      <c r="J5807" s="3" t="s">
        <v>16714</v>
      </c>
      <c r="K5807" s="3" t="s">
        <v>2610</v>
      </c>
      <c r="L5807" s="3" t="str">
        <f>IFERROR(__xludf.DUMMYFUNCTION("GOOGLETRANSLATE(F5807,""id"",""en"")"),"With the championship performance like Argentina which has proven to be the best world's biggest soccer event and my opinion in the same version of Vivo's superior features with several key players ABICELESTE")</f>
        <v>With the championship performance like Argentina which has proven to be the best world's biggest soccer event and my opinion in the same version of Vivo's superior features with several key players ABICELESTE</v>
      </c>
    </row>
    <row r="5808" ht="15.75" customHeight="1">
      <c r="A5808" s="1">
        <v>6991.0</v>
      </c>
      <c r="B5808" s="3" t="s">
        <v>16715</v>
      </c>
      <c r="C5808" s="3">
        <v>7.0</v>
      </c>
      <c r="D5808" s="3">
        <v>9.0</v>
      </c>
      <c r="E5808" s="3">
        <v>35.0</v>
      </c>
      <c r="F5808" s="3" t="s">
        <v>16716</v>
      </c>
      <c r="G5808" s="3">
        <v>0.1</v>
      </c>
      <c r="H5808" s="3">
        <v>0.0</v>
      </c>
      <c r="I5808" s="3" t="s">
        <v>13</v>
      </c>
      <c r="J5808" s="3" t="s">
        <v>16717</v>
      </c>
      <c r="K5808" s="3" t="s">
        <v>657</v>
      </c>
      <c r="L5808" s="3" t="str">
        <f>IFERROR(__xludf.DUMMYFUNCTION("GOOGLETRANSLATE(F5808,""id"",""en"")"),"One of the keys to Argentina champion is to build a solid team, let alone scaloni players even passed by Paul")</f>
        <v>One of the keys to Argentina champion is to build a solid team, let alone scaloni players even passed by Paul</v>
      </c>
    </row>
    <row r="5809" ht="15.75" customHeight="1">
      <c r="A5809" s="1">
        <v>6992.0</v>
      </c>
      <c r="B5809" s="3" t="s">
        <v>16718</v>
      </c>
      <c r="C5809" s="3">
        <v>0.0</v>
      </c>
      <c r="D5809" s="3">
        <v>0.0</v>
      </c>
      <c r="E5809" s="3">
        <v>1.0</v>
      </c>
      <c r="F5809" s="3" t="s">
        <v>16719</v>
      </c>
      <c r="G5809" s="3">
        <v>0.0</v>
      </c>
      <c r="H5809" s="3">
        <v>0.0</v>
      </c>
      <c r="I5809" s="3" t="s">
        <v>13</v>
      </c>
      <c r="J5809" s="3" t="s">
        <v>16720</v>
      </c>
      <c r="K5809" s="3" t="s">
        <v>644</v>
      </c>
      <c r="L5809" s="3" t="str">
        <f>IFERROR(__xludf.DUMMYFUNCTION("GOOGLETRANSLATE(F5809,""id"",""en"")"),"info on how to do ispya")</f>
        <v>info on how to do ispya</v>
      </c>
    </row>
    <row r="5810" ht="15.75" customHeight="1">
      <c r="A5810" s="1">
        <v>6993.0</v>
      </c>
      <c r="B5810" s="3" t="s">
        <v>16721</v>
      </c>
      <c r="C5810" s="3">
        <v>0.0</v>
      </c>
      <c r="D5810" s="3">
        <v>0.0</v>
      </c>
      <c r="E5810" s="3">
        <v>0.0</v>
      </c>
      <c r="F5810" s="3" t="s">
        <v>16722</v>
      </c>
      <c r="G5810" s="3">
        <v>0.0</v>
      </c>
      <c r="H5810" s="3">
        <v>0.0</v>
      </c>
      <c r="I5810" s="3" t="s">
        <v>13</v>
      </c>
      <c r="J5810" s="3" t="s">
        <v>16723</v>
      </c>
      <c r="K5810" s="3" t="s">
        <v>149</v>
      </c>
      <c r="L5810" s="3" t="str">
        <f>IFERROR(__xludf.DUMMYFUNCTION("GOOGLETRANSLATE(F5810,""id"",""en"")"),"Printing history once very difficult, therefore those who have a history of achievement will certainly be brought up to see Argentina who has abundant football talent and he has just succeeded in champions after the year ya")</f>
        <v>Printing history once very difficult, therefore those who have a history of achievement will certainly be brought up to see Argentina who has abundant football talent and he has just succeeded in champions after the year ya</v>
      </c>
    </row>
    <row r="5811" ht="15.75" customHeight="1">
      <c r="A5811" s="1">
        <v>6994.0</v>
      </c>
      <c r="B5811" s="3" t="s">
        <v>16724</v>
      </c>
      <c r="C5811" s="3">
        <v>0.0</v>
      </c>
      <c r="D5811" s="3">
        <v>0.0</v>
      </c>
      <c r="E5811" s="3">
        <v>0.0</v>
      </c>
      <c r="F5811" s="3" t="s">
        <v>16725</v>
      </c>
      <c r="G5811" s="3">
        <v>0.0</v>
      </c>
      <c r="H5811" s="3">
        <v>0.0</v>
      </c>
      <c r="I5811" s="3" t="s">
        <v>13</v>
      </c>
      <c r="J5811" s="3" t="s">
        <v>16726</v>
      </c>
      <c r="K5811" s="3" t="s">
        <v>358</v>
      </c>
      <c r="L5811" s="3" t="str">
        <f>IFERROR(__xludf.DUMMYFUNCTION("GOOGLETRANSLATE(F5811,""id"",""en"")"),"How come Brazil who captured Messi successfully delivered Argentina to win the World Cup title Lionel Messi was enshrined in Brazil")</f>
        <v>How come Brazil who captured Messi successfully delivered Argentina to win the World Cup title Lionel Messi was enshrined in Brazil</v>
      </c>
    </row>
    <row r="5812" ht="15.75" customHeight="1">
      <c r="A5812" s="1">
        <v>6995.0</v>
      </c>
      <c r="B5812" s="3" t="s">
        <v>16727</v>
      </c>
      <c r="C5812" s="3">
        <v>0.0</v>
      </c>
      <c r="D5812" s="3">
        <v>0.0</v>
      </c>
      <c r="E5812" s="3">
        <v>0.0</v>
      </c>
      <c r="F5812" s="3" t="s">
        <v>16728</v>
      </c>
      <c r="G5812" s="3">
        <v>0.0</v>
      </c>
      <c r="H5812" s="3">
        <v>0.0</v>
      </c>
      <c r="I5812" s="3" t="s">
        <v>13</v>
      </c>
      <c r="J5812" s="3" t="s">
        <v>16729</v>
      </c>
      <c r="K5812" s="3" t="s">
        <v>322</v>
      </c>
      <c r="L5812" s="3" t="str">
        <f>IFERROR(__xludf.DUMMYFUNCTION("GOOGLETRANSLATE(F5812,""id"",""en"")"),"Andikawrr already calm the champion is definitely Argentina")</f>
        <v>Andikawrr already calm the champion is definitely Argentina</v>
      </c>
    </row>
    <row r="5813" ht="15.75" customHeight="1">
      <c r="A5813" s="1">
        <v>6996.0</v>
      </c>
      <c r="B5813" s="3" t="s">
        <v>16730</v>
      </c>
      <c r="C5813" s="3">
        <v>0.0</v>
      </c>
      <c r="D5813" s="3">
        <v>0.0</v>
      </c>
      <c r="E5813" s="3">
        <v>1.0</v>
      </c>
      <c r="F5813" s="3" t="s">
        <v>16731</v>
      </c>
      <c r="G5813" s="3">
        <v>0.0</v>
      </c>
      <c r="H5813" s="3">
        <v>0.0</v>
      </c>
      <c r="I5813" s="3" t="s">
        <v>13</v>
      </c>
      <c r="J5813" s="3" t="s">
        <v>16732</v>
      </c>
      <c r="K5813" s="3" t="s">
        <v>75</v>
      </c>
      <c r="L5813" s="3" t="str">
        <f>IFERROR(__xludf.DUMMYFUNCTION("GOOGLETRANSLATE(F5813,""id"",""en"")"),"IDN agrees Min Argentina can only win the world to defeat the Arabs first")</f>
        <v>IDN agrees Min Argentina can only win the world to defeat the Arabs first</v>
      </c>
    </row>
    <row r="5814" ht="15.75" customHeight="1">
      <c r="A5814" s="1">
        <v>6997.0</v>
      </c>
      <c r="B5814" s="3" t="s">
        <v>16733</v>
      </c>
      <c r="C5814" s="3">
        <v>0.0</v>
      </c>
      <c r="D5814" s="3">
        <v>0.0</v>
      </c>
      <c r="E5814" s="3">
        <v>1.0</v>
      </c>
      <c r="F5814" s="3" t="s">
        <v>16734</v>
      </c>
      <c r="G5814" s="3">
        <v>0.0</v>
      </c>
      <c r="H5814" s="3">
        <v>0.0</v>
      </c>
      <c r="I5814" s="3" t="s">
        <v>13</v>
      </c>
      <c r="J5814" s="3" t="s">
        <v>16735</v>
      </c>
      <c r="K5814" s="3" t="s">
        <v>510</v>
      </c>
      <c r="L5814" s="3" t="str">
        <f>IFERROR(__xludf.DUMMYFUNCTION("GOOGLETRANSLATE(F5814,""id"",""en"")"),"The first match was indeed heavy Garuda Argentina just lost to Saudi Arabia before the world champion")</f>
        <v>The first match was indeed heavy Garuda Argentina just lost to Saudi Arabia before the world champion</v>
      </c>
    </row>
    <row r="5815" ht="15.75" customHeight="1">
      <c r="A5815" s="1">
        <v>6998.0</v>
      </c>
      <c r="B5815" s="3" t="s">
        <v>16736</v>
      </c>
      <c r="C5815" s="3">
        <v>0.0</v>
      </c>
      <c r="D5815" s="3">
        <v>0.0</v>
      </c>
      <c r="E5815" s="3">
        <v>0.0</v>
      </c>
      <c r="F5815" s="3" t="s">
        <v>16737</v>
      </c>
      <c r="G5815" s="3">
        <v>0.0</v>
      </c>
      <c r="H5815" s="3">
        <v>0.0</v>
      </c>
      <c r="I5815" s="3" t="s">
        <v>13</v>
      </c>
      <c r="J5815" s="3" t="s">
        <v>16738</v>
      </c>
      <c r="K5815" s="3" t="s">
        <v>15</v>
      </c>
      <c r="L5815" s="3" t="str">
        <f>IFERROR(__xludf.DUMMYFUNCTION("GOOGLETRANSLATE(F5815,""id"",""en"")"),"not just as an implementation, sir, but the world champion must be Argentina while AFF must be Indonesia")</f>
        <v>not just as an implementation, sir, but the world champion must be Argentina while AFF must be Indonesia</v>
      </c>
    </row>
    <row r="5816" ht="15.75" customHeight="1">
      <c r="A5816" s="1">
        <v>6999.0</v>
      </c>
      <c r="B5816" s="3" t="s">
        <v>16739</v>
      </c>
      <c r="C5816" s="3">
        <v>0.0</v>
      </c>
      <c r="D5816" s="3">
        <v>0.0</v>
      </c>
      <c r="E5816" s="3">
        <v>1.0</v>
      </c>
      <c r="F5816" s="3" t="s">
        <v>16740</v>
      </c>
      <c r="G5816" s="3">
        <v>0.0</v>
      </c>
      <c r="H5816" s="3">
        <v>0.0</v>
      </c>
      <c r="I5816" s="3" t="s">
        <v>13</v>
      </c>
      <c r="J5816" s="3" t="s">
        <v>16741</v>
      </c>
      <c r="K5816" s="3" t="s">
        <v>348</v>
      </c>
      <c r="L5816" s="3" t="str">
        <f>IFERROR(__xludf.DUMMYFUNCTION("GOOGLETRANSLATE(F5816,""id"",""en"")"),"idn round okay playing unfortunately the goalkeeper is not a goal, how do you still support Argentina, the world champion loses first")</f>
        <v>idn round okay playing unfortunately the goalkeeper is not a goal, how do you still support Argentina, the world champion loses first</v>
      </c>
    </row>
    <row r="5817" ht="15.75" customHeight="1">
      <c r="A5817" s="1">
        <v>7000.0</v>
      </c>
      <c r="B5817" s="3" t="s">
        <v>16742</v>
      </c>
      <c r="C5817" s="3">
        <v>1.0</v>
      </c>
      <c r="D5817" s="3">
        <v>0.0</v>
      </c>
      <c r="E5817" s="3">
        <v>3.0</v>
      </c>
      <c r="F5817" s="3" t="s">
        <v>16743</v>
      </c>
      <c r="G5817" s="3">
        <v>0.0</v>
      </c>
      <c r="H5817" s="3">
        <v>0.0</v>
      </c>
      <c r="I5817" s="3" t="s">
        <v>13</v>
      </c>
      <c r="J5817" s="3" t="s">
        <v>16744</v>
      </c>
      <c r="K5817" s="3" t="s">
        <v>510</v>
      </c>
      <c r="L5817" s="3" t="str">
        <f>IFERROR(__xludf.DUMMYFUNCTION("GOOGLETRANSLATE(F5817,""id"",""en"")"),"Successfully Bringing Argentina Messi's World Cup Champion Proposed Peso Paper")</f>
        <v>Successfully Bringing Argentina Messi's World Cup Champion Proposed Peso Paper</v>
      </c>
    </row>
    <row r="5818" ht="15.75" customHeight="1">
      <c r="A5818" s="1">
        <v>7001.0</v>
      </c>
      <c r="B5818" s="3" t="s">
        <v>16745</v>
      </c>
      <c r="C5818" s="3">
        <v>0.0</v>
      </c>
      <c r="D5818" s="3">
        <v>0.0</v>
      </c>
      <c r="E5818" s="3">
        <v>0.0</v>
      </c>
      <c r="F5818" s="3" t="s">
        <v>16746</v>
      </c>
      <c r="G5818" s="3">
        <v>0.0</v>
      </c>
      <c r="H5818" s="3">
        <v>0.0</v>
      </c>
      <c r="I5818" s="3" t="s">
        <v>13</v>
      </c>
      <c r="J5818" s="3" t="s">
        <v>16747</v>
      </c>
      <c r="K5818" s="3" t="s">
        <v>236</v>
      </c>
      <c r="L5818" s="3" t="str">
        <f>IFERROR(__xludf.DUMMYFUNCTION("GOOGLETRANSLATE(F5818,""id"",""en"")"),"whether the Camboja will win the beginning like Argentina, there should also be WHO Camboja")</f>
        <v>whether the Camboja will win the beginning like Argentina, there should also be WHO Camboja</v>
      </c>
    </row>
    <row r="5819" ht="15.75" customHeight="1">
      <c r="A5819" s="1">
        <v>7002.0</v>
      </c>
      <c r="B5819" s="3" t="s">
        <v>16748</v>
      </c>
      <c r="C5819" s="3">
        <v>1.0</v>
      </c>
      <c r="D5819" s="3">
        <v>0.0</v>
      </c>
      <c r="E5819" s="3">
        <v>0.0</v>
      </c>
      <c r="F5819" s="3" t="s">
        <v>16749</v>
      </c>
      <c r="G5819" s="3">
        <v>0.0</v>
      </c>
      <c r="H5819" s="3">
        <v>0.0</v>
      </c>
      <c r="I5819" s="3" t="s">
        <v>13</v>
      </c>
      <c r="J5819" s="3" t="s">
        <v>16750</v>
      </c>
      <c r="K5819" s="3" t="s">
        <v>58</v>
      </c>
      <c r="L5819" s="3" t="str">
        <f>IFERROR(__xludf.DUMMYFUNCTION("GOOGLETRANSLATE(F5819,""id"",""en"")"),"dejavu when want to go forward if you take care of other countries, there is no Argentina to take care of Palestine in the world champion, man")</f>
        <v>dejavu when want to go forward if you take care of other countries, there is no Argentina to take care of Palestine in the world champion, man</v>
      </c>
    </row>
    <row r="5820" ht="15.75" customHeight="1">
      <c r="A5820" s="1">
        <v>7003.0</v>
      </c>
      <c r="B5820" s="3" t="s">
        <v>16751</v>
      </c>
      <c r="C5820" s="3">
        <v>0.0</v>
      </c>
      <c r="D5820" s="3">
        <v>0.0</v>
      </c>
      <c r="E5820" s="3">
        <v>1.0</v>
      </c>
      <c r="F5820" s="3" t="s">
        <v>16752</v>
      </c>
      <c r="G5820" s="3">
        <v>0.0</v>
      </c>
      <c r="H5820" s="3">
        <v>0.0</v>
      </c>
      <c r="I5820" s="3" t="s">
        <v>13</v>
      </c>
      <c r="J5820" s="3" t="s">
        <v>16753</v>
      </c>
      <c r="K5820" s="3" t="s">
        <v>50</v>
      </c>
      <c r="L5820" s="3" t="str">
        <f>IFERROR(__xludf.DUMMYFUNCTION("GOOGLETRANSLATE(F5820,""id"",""en"")"),"The Argentine national team lost first KSA but finally became the Garuda spirit champion")</f>
        <v>The Argentine national team lost first KSA but finally became the Garuda spirit champion</v>
      </c>
    </row>
    <row r="5821" ht="15.75" customHeight="1">
      <c r="A5821" s="1">
        <v>7004.0</v>
      </c>
      <c r="B5821" s="3" t="s">
        <v>16754</v>
      </c>
      <c r="C5821" s="3">
        <v>0.0</v>
      </c>
      <c r="D5821" s="3">
        <v>0.0</v>
      </c>
      <c r="E5821" s="3">
        <v>1.0</v>
      </c>
      <c r="F5821" s="3" t="s">
        <v>16755</v>
      </c>
      <c r="G5821" s="3">
        <v>0.0</v>
      </c>
      <c r="H5821" s="3">
        <v>0.0</v>
      </c>
      <c r="I5821" s="3" t="s">
        <v>13</v>
      </c>
      <c r="J5821" s="3" t="s">
        <v>16756</v>
      </c>
      <c r="K5821" s="3" t="s">
        <v>322</v>
      </c>
      <c r="L5821" s="3" t="str">
        <f>IFERROR(__xludf.DUMMYFUNCTION("GOOGLETRANSLATE(F5821,""id"",""en"")"),"Argentina World Cup Wins World Champion")</f>
        <v>Argentina World Cup Wins World Champion</v>
      </c>
    </row>
    <row r="5822" ht="15.75" customHeight="1">
      <c r="A5822" s="1">
        <v>7005.0</v>
      </c>
      <c r="B5822" s="3" t="s">
        <v>16757</v>
      </c>
      <c r="C5822" s="3">
        <v>1.0</v>
      </c>
      <c r="D5822" s="3">
        <v>0.0</v>
      </c>
      <c r="E5822" s="3">
        <v>0.0</v>
      </c>
      <c r="F5822" s="3" t="s">
        <v>16758</v>
      </c>
      <c r="G5822" s="3">
        <v>0.3333333333333333</v>
      </c>
      <c r="H5822" s="3">
        <v>0.1666666666666667</v>
      </c>
      <c r="I5822" s="3" t="s">
        <v>48</v>
      </c>
      <c r="J5822" s="3" t="s">
        <v>16759</v>
      </c>
      <c r="K5822" s="3" t="s">
        <v>883</v>
      </c>
      <c r="L5822" s="3" t="str">
        <f>IFERROR(__xludf.DUMMYFUNCTION("GOOGLETRANSLATE(F5822,""id"",""en"")"),"But this won Argentina lost who knows the first playing bapuk ending champion could be Argentina champion after waiting for the year, hopefully Indonesia will break the egg")</f>
        <v>But this won Argentina lost who knows the first playing bapuk ending champion could be Argentina champion after waiting for the year, hopefully Indonesia will break the egg</v>
      </c>
    </row>
    <row r="5823" ht="15.75" customHeight="1">
      <c r="A5823" s="1">
        <v>7006.0</v>
      </c>
      <c r="B5823" s="3" t="s">
        <v>16760</v>
      </c>
      <c r="C5823" s="3">
        <v>1.0</v>
      </c>
      <c r="D5823" s="3">
        <v>1.0</v>
      </c>
      <c r="E5823" s="3">
        <v>12.0</v>
      </c>
      <c r="F5823" s="3" t="s">
        <v>16761</v>
      </c>
      <c r="G5823" s="3">
        <v>0.0</v>
      </c>
      <c r="H5823" s="3">
        <v>0.0</v>
      </c>
      <c r="I5823" s="3" t="s">
        <v>13</v>
      </c>
      <c r="J5823" s="3" t="s">
        <v>16762</v>
      </c>
      <c r="K5823" s="3" t="s">
        <v>244</v>
      </c>
      <c r="L5823" s="3" t="str">
        <f>IFERROR(__xludf.DUMMYFUNCTION("GOOGLETRANSLATE(F5823,""id"",""en"")"),"SALT BAE is investigated by FIFA because of being able to go to the Argentine championship celebration field")</f>
        <v>SALT BAE is investigated by FIFA because of being able to go to the Argentine championship celebration field</v>
      </c>
    </row>
    <row r="5824" ht="15.75" customHeight="1">
      <c r="A5824" s="1">
        <v>7007.0</v>
      </c>
      <c r="B5824" s="3" t="s">
        <v>16763</v>
      </c>
      <c r="C5824" s="3">
        <v>0.0</v>
      </c>
      <c r="D5824" s="3">
        <v>0.0</v>
      </c>
      <c r="E5824" s="3">
        <v>0.0</v>
      </c>
      <c r="F5824" s="3" t="s">
        <v>16764</v>
      </c>
      <c r="G5824" s="3">
        <v>0.0</v>
      </c>
      <c r="H5824" s="3">
        <v>0.0</v>
      </c>
      <c r="I5824" s="3" t="s">
        <v>13</v>
      </c>
      <c r="J5824" s="3" t="s">
        <v>16765</v>
      </c>
      <c r="K5824" s="3" t="s">
        <v>286</v>
      </c>
      <c r="L5824" s="3" t="str">
        <f>IFERROR(__xludf.DUMMYFUNCTION("GOOGLETRANSLATE(F5824,""id"",""en"")"),"Thank you for your order if you are lazy but the task of piling up calmly we have a solution to find the trusted task of the Argentina national team.")</f>
        <v>Thank you for your order if you are lazy but the task of piling up calmly we have a solution to find the trusted task of the Argentina national team.</v>
      </c>
    </row>
    <row r="5825" ht="15.75" customHeight="1">
      <c r="A5825" s="1">
        <v>7008.0</v>
      </c>
      <c r="B5825" s="3" t="s">
        <v>16766</v>
      </c>
      <c r="C5825" s="3">
        <v>0.0</v>
      </c>
      <c r="D5825" s="3">
        <v>0.0</v>
      </c>
      <c r="E5825" s="3">
        <v>0.0</v>
      </c>
      <c r="F5825" s="3" t="s">
        <v>16764</v>
      </c>
      <c r="G5825" s="3">
        <v>0.0</v>
      </c>
      <c r="H5825" s="3">
        <v>0.0</v>
      </c>
      <c r="I5825" s="3" t="s">
        <v>13</v>
      </c>
      <c r="J5825" s="3" t="s">
        <v>16765</v>
      </c>
      <c r="K5825" s="3" t="s">
        <v>286</v>
      </c>
      <c r="L5825" s="3" t="str">
        <f>IFERROR(__xludf.DUMMYFUNCTION("GOOGLETRANSLATE(F5825,""id"",""en"")"),"Thank you for your order if you are lazy but the task of piling up calmly we have a solution to find the trusted task of the Argentina national team.")</f>
        <v>Thank you for your order if you are lazy but the task of piling up calmly we have a solution to find the trusted task of the Argentina national team.</v>
      </c>
    </row>
    <row r="5826" ht="15.75" customHeight="1">
      <c r="A5826" s="1">
        <v>7009.0</v>
      </c>
      <c r="B5826" s="3" t="s">
        <v>16767</v>
      </c>
      <c r="C5826" s="3">
        <v>0.0</v>
      </c>
      <c r="D5826" s="3">
        <v>0.0</v>
      </c>
      <c r="E5826" s="3">
        <v>0.0</v>
      </c>
      <c r="F5826" s="3" t="s">
        <v>16768</v>
      </c>
      <c r="G5826" s="3">
        <v>0.0</v>
      </c>
      <c r="H5826" s="3">
        <v>0.0</v>
      </c>
      <c r="I5826" s="3" t="s">
        <v>13</v>
      </c>
      <c r="J5826" s="3" t="s">
        <v>16769</v>
      </c>
      <c r="K5826" s="3" t="s">
        <v>35</v>
      </c>
      <c r="L5826" s="3" t="str">
        <f>IFERROR(__xludf.DUMMYFUNCTION("GOOGLETRANSLATE(F5826,""id"",""en"")"),"Argentina champions because they work with a compact team, of course, the spirit that has no breakdown in organizations must also be like that in order to succeed like Argentina")</f>
        <v>Argentina champions because they work with a compact team, of course, the spirit that has no breakdown in organizations must also be like that in order to succeed like Argentina</v>
      </c>
    </row>
    <row r="5827" ht="15.75" customHeight="1">
      <c r="A5827" s="1">
        <v>7010.0</v>
      </c>
      <c r="B5827" s="3" t="s">
        <v>16770</v>
      </c>
      <c r="C5827" s="3">
        <v>0.0</v>
      </c>
      <c r="D5827" s="3">
        <v>0.0</v>
      </c>
      <c r="E5827" s="3">
        <v>0.0</v>
      </c>
      <c r="F5827" s="3" t="s">
        <v>16771</v>
      </c>
      <c r="G5827" s="3">
        <v>0.0</v>
      </c>
      <c r="H5827" s="3">
        <v>0.0</v>
      </c>
      <c r="I5827" s="3" t="s">
        <v>13</v>
      </c>
      <c r="J5827" s="3" t="s">
        <v>16772</v>
      </c>
      <c r="K5827" s="3" t="s">
        <v>495</v>
      </c>
      <c r="L5827" s="3" t="str">
        <f>IFERROR(__xludf.DUMMYFUNCTION("GOOGLETRANSLATE(F5827,""id"",""en"")"),"After bringing Argentina the World Cup Champion Popularity Lionel Messi was increasingly shining even Cristiano Ronaldo which had second place far behind")</f>
        <v>After bringing Argentina the World Cup Champion Popularity Lionel Messi was increasingly shining even Cristiano Ronaldo which had second place far behind</v>
      </c>
    </row>
    <row r="5828" ht="15.75" customHeight="1">
      <c r="A5828" s="1">
        <v>7011.0</v>
      </c>
      <c r="B5828" s="3" t="s">
        <v>16773</v>
      </c>
      <c r="C5828" s="3">
        <v>0.0</v>
      </c>
      <c r="D5828" s="3">
        <v>0.0</v>
      </c>
      <c r="E5828" s="3">
        <v>0.0</v>
      </c>
      <c r="F5828" s="3" t="s">
        <v>16774</v>
      </c>
      <c r="G5828" s="3">
        <v>0.0</v>
      </c>
      <c r="H5828" s="3">
        <v>0.0</v>
      </c>
      <c r="I5828" s="3" t="s">
        <v>13</v>
      </c>
      <c r="J5828" s="3" t="s">
        <v>16775</v>
      </c>
      <c r="K5828" s="3" t="s">
        <v>82</v>
      </c>
      <c r="L5828" s="3" t="str">
        <f>IFERROR(__xludf.DUMMYFUNCTION("GOOGLETRANSLATE(F5828,""id"",""en"")"),"ugly the first match, hopefully you can win rich in Argentina")</f>
        <v>ugly the first match, hopefully you can win rich in Argentina</v>
      </c>
    </row>
    <row r="5829" ht="15.75" customHeight="1">
      <c r="A5829" s="1">
        <v>7012.0</v>
      </c>
      <c r="B5829" s="3" t="s">
        <v>16776</v>
      </c>
      <c r="C5829" s="3">
        <v>0.0</v>
      </c>
      <c r="D5829" s="3">
        <v>0.0</v>
      </c>
      <c r="E5829" s="3">
        <v>0.0</v>
      </c>
      <c r="F5829" s="3" t="s">
        <v>16777</v>
      </c>
      <c r="G5829" s="3">
        <v>0.0</v>
      </c>
      <c r="H5829" s="3">
        <v>0.0</v>
      </c>
      <c r="I5829" s="3" t="s">
        <v>13</v>
      </c>
      <c r="J5829" s="3" t="s">
        <v>16778</v>
      </c>
      <c r="K5829" s="3" t="s">
        <v>614</v>
      </c>
      <c r="L5829" s="3" t="str">
        <f>IFERROR(__xludf.DUMMYFUNCTION("GOOGLETRANSLATE(F5829,""id"",""en"")"),"Lionel Messi Champion World Cup Cristiano Ronaldo is more difficult to win the trophy with Portugal than Argentina Download Applications for News Access Easier and Faster Android")</f>
        <v>Lionel Messi Champion World Cup Cristiano Ronaldo is more difficult to win the trophy with Portugal than Argentina Download Applications for News Access Easier and Faster Android</v>
      </c>
    </row>
    <row r="5830" ht="15.75" customHeight="1">
      <c r="A5830" s="1">
        <v>7013.0</v>
      </c>
      <c r="B5830" s="3" t="s">
        <v>16779</v>
      </c>
      <c r="C5830" s="3">
        <v>0.0</v>
      </c>
      <c r="D5830" s="3">
        <v>0.0</v>
      </c>
      <c r="E5830" s="3">
        <v>0.0</v>
      </c>
      <c r="F5830" s="3" t="s">
        <v>16779</v>
      </c>
      <c r="G5830" s="3">
        <v>0.3</v>
      </c>
      <c r="H5830" s="3">
        <v>0.03333333333333333</v>
      </c>
      <c r="I5830" s="3" t="s">
        <v>48</v>
      </c>
      <c r="J5830" s="3" t="s">
        <v>16780</v>
      </c>
      <c r="K5830" s="3" t="s">
        <v>31</v>
      </c>
      <c r="L5830" s="3" t="str">
        <f>IFERROR(__xludf.DUMMYFUNCTION("GOOGLETRANSLATE(F5830,""id"",""en"")"),"Top Global Game Bot Telegram")</f>
        <v>Top Global Game Bot Telegram</v>
      </c>
    </row>
    <row r="5831" ht="15.75" customHeight="1">
      <c r="A5831" s="1">
        <v>7014.0</v>
      </c>
      <c r="B5831" s="3" t="s">
        <v>16781</v>
      </c>
      <c r="C5831" s="3">
        <v>0.0</v>
      </c>
      <c r="D5831" s="3">
        <v>0.0</v>
      </c>
      <c r="E5831" s="3">
        <v>2.0</v>
      </c>
      <c r="F5831" s="3" t="s">
        <v>16782</v>
      </c>
      <c r="G5831" s="3">
        <v>0.0</v>
      </c>
      <c r="H5831" s="3">
        <v>0.0</v>
      </c>
      <c r="I5831" s="3" t="s">
        <v>13</v>
      </c>
      <c r="J5831" s="3" t="s">
        <v>16783</v>
      </c>
      <c r="K5831" s="3" t="s">
        <v>426</v>
      </c>
      <c r="L5831" s="3" t="str">
        <f>IFERROR(__xludf.DUMMYFUNCTION("GOOGLETRANSLATE(F5831,""id"",""en"")"),"the effect of the moon vacuum competition there is no trial making the game less satisfying Argentina wanting to be a world champion now it has become a champion to do a series of trials now the Indonesian national team does not have any trials at all")</f>
        <v>the effect of the moon vacuum competition there is no trial making the game less satisfying Argentina wanting to be a world champion now it has become a champion to do a series of trials now the Indonesian national team does not have any trials at all</v>
      </c>
    </row>
    <row r="5832" ht="15.75" customHeight="1">
      <c r="A5832" s="1">
        <v>7015.0</v>
      </c>
      <c r="B5832" s="3" t="s">
        <v>16784</v>
      </c>
      <c r="C5832" s="3">
        <v>0.0</v>
      </c>
      <c r="D5832" s="3">
        <v>0.0</v>
      </c>
      <c r="E5832" s="3">
        <v>0.0</v>
      </c>
      <c r="F5832" s="3" t="s">
        <v>16785</v>
      </c>
      <c r="G5832" s="3">
        <v>0.0</v>
      </c>
      <c r="H5832" s="3">
        <v>0.0</v>
      </c>
      <c r="I5832" s="3" t="s">
        <v>13</v>
      </c>
      <c r="J5832" s="3" t="s">
        <v>16786</v>
      </c>
      <c r="K5832" s="3" t="s">
        <v>31</v>
      </c>
      <c r="L5832" s="3" t="str">
        <f>IFERROR(__xludf.DUMMYFUNCTION("GOOGLETRANSLATE(F5832,""id"",""en"")"),"already more Argentina champion gils")</f>
        <v>already more Argentina champion gils</v>
      </c>
    </row>
    <row r="5833" ht="15.75" customHeight="1">
      <c r="A5833" s="1">
        <v>7016.0</v>
      </c>
      <c r="B5833" s="3" t="s">
        <v>16787</v>
      </c>
      <c r="C5833" s="3">
        <v>0.0</v>
      </c>
      <c r="D5833" s="3">
        <v>0.0</v>
      </c>
      <c r="E5833" s="3">
        <v>0.0</v>
      </c>
      <c r="F5833" s="3" t="s">
        <v>16788</v>
      </c>
      <c r="G5833" s="3">
        <v>0.0</v>
      </c>
      <c r="H5833" s="3">
        <v>0.0</v>
      </c>
      <c r="I5833" s="3" t="s">
        <v>13</v>
      </c>
      <c r="J5833" s="3" t="s">
        <v>16789</v>
      </c>
      <c r="K5833" s="3" t="s">
        <v>15</v>
      </c>
      <c r="L5833" s="3" t="str">
        <f>IFERROR(__xludf.DUMMYFUNCTION("GOOGLETRANSLATE(F5833,""id"",""en"")"),"Argentina is also the first match to lose to Saudi can be champion Indonesia")</f>
        <v>Argentina is also the first match to lose to Saudi can be champion Indonesia</v>
      </c>
    </row>
    <row r="5834" ht="15.75" customHeight="1">
      <c r="A5834" s="1">
        <v>7017.0</v>
      </c>
      <c r="B5834" s="3" t="s">
        <v>16790</v>
      </c>
      <c r="C5834" s="3">
        <v>0.0</v>
      </c>
      <c r="D5834" s="3">
        <v>0.0</v>
      </c>
      <c r="E5834" s="3">
        <v>0.0</v>
      </c>
      <c r="F5834" s="3" t="s">
        <v>16791</v>
      </c>
      <c r="G5834" s="3">
        <v>0.0</v>
      </c>
      <c r="H5834" s="3">
        <v>0.0</v>
      </c>
      <c r="I5834" s="3" t="s">
        <v>13</v>
      </c>
      <c r="J5834" s="3" t="s">
        <v>16792</v>
      </c>
      <c r="K5834" s="3" t="s">
        <v>31</v>
      </c>
      <c r="L5834" s="3" t="str">
        <f>IFERROR(__xludf.DUMMYFUNCTION("GOOGLETRANSLATE(F5834,""id"",""en"")"),"Argentina even lost championship")</f>
        <v>Argentina even lost championship</v>
      </c>
    </row>
    <row r="5835" ht="15.75" customHeight="1">
      <c r="A5835" s="1">
        <v>7018.0</v>
      </c>
      <c r="B5835" s="3" t="s">
        <v>16793</v>
      </c>
      <c r="C5835" s="3">
        <v>2.0</v>
      </c>
      <c r="D5835" s="3">
        <v>0.0</v>
      </c>
      <c r="E5835" s="3">
        <v>0.0</v>
      </c>
      <c r="F5835" s="3" t="s">
        <v>16794</v>
      </c>
      <c r="G5835" s="3">
        <v>0.0</v>
      </c>
      <c r="H5835" s="3">
        <v>0.0</v>
      </c>
      <c r="I5835" s="3" t="s">
        <v>13</v>
      </c>
      <c r="J5835" s="3" t="s">
        <v>16795</v>
      </c>
      <c r="K5835" s="3" t="s">
        <v>16796</v>
      </c>
      <c r="L5835" s="3" t="str">
        <f>IFERROR(__xludf.DUMMYFUNCTION("GOOGLETRANSLATE(F5835,""id"",""en"")"),"The World Cup of the first match of Argentina Saudi Arabia was played by the main stadium host AFF Indonesia's first match was played by the main stadium host.")</f>
        <v>The World Cup of the first match of Argentina Saudi Arabia was played by the main stadium host AFF Indonesia's first match was played by the main stadium host.</v>
      </c>
    </row>
    <row r="5836" ht="15.75" customHeight="1">
      <c r="A5836" s="1">
        <v>7019.0</v>
      </c>
      <c r="B5836" s="3" t="s">
        <v>16797</v>
      </c>
      <c r="C5836" s="3">
        <v>0.0</v>
      </c>
      <c r="D5836" s="3">
        <v>0.0</v>
      </c>
      <c r="E5836" s="3">
        <v>0.0</v>
      </c>
      <c r="F5836" s="3" t="s">
        <v>16798</v>
      </c>
      <c r="G5836" s="3">
        <v>0.0</v>
      </c>
      <c r="H5836" s="3">
        <v>0.0</v>
      </c>
      <c r="I5836" s="3" t="s">
        <v>13</v>
      </c>
      <c r="J5836" s="3" t="s">
        <v>16799</v>
      </c>
      <c r="K5836" s="3" t="s">
        <v>16362</v>
      </c>
      <c r="L5836" s="3" t="str">
        <f>IFERROR(__xludf.DUMMYFUNCTION("GOOGLETRANSLATE(F5836,""id"",""en"")"),"Argentina's First Goal World Cup scored by Lionel Messi with the back of Argentina Champion of the Indonesian AFF World Cup first goal scored by Egi with the back of Indonesia AFF champion")</f>
        <v>Argentina's First Goal World Cup scored by Lionel Messi with the back of Argentina Champion of the Indonesian AFF World Cup first goal scored by Egi with the back of Indonesia AFF champion</v>
      </c>
    </row>
    <row r="5837" ht="15.75" customHeight="1">
      <c r="A5837" s="1">
        <v>7020.0</v>
      </c>
      <c r="B5837" s="3" t="s">
        <v>16800</v>
      </c>
      <c r="C5837" s="3">
        <v>0.0</v>
      </c>
      <c r="D5837" s="3">
        <v>0.0</v>
      </c>
      <c r="E5837" s="3">
        <v>1.0</v>
      </c>
      <c r="F5837" s="3" t="s">
        <v>16801</v>
      </c>
      <c r="G5837" s="3">
        <v>0.0</v>
      </c>
      <c r="H5837" s="3">
        <v>0.0</v>
      </c>
      <c r="I5837" s="3" t="s">
        <v>13</v>
      </c>
      <c r="J5837" s="3" t="s">
        <v>16802</v>
      </c>
      <c r="K5837" s="3" t="s">
        <v>16803</v>
      </c>
      <c r="L5837" s="3" t="str">
        <f>IFERROR(__xludf.DUMMYFUNCTION("GOOGLETRANSLATE(F5837,""id"",""en"")"),"The Argentine national team won the Qatar World Cup without stopping was held in order to celebrate the success of Argentina to become the World Cup champion for the third time")</f>
        <v>The Argentine national team won the Qatar World Cup without stopping was held in order to celebrate the success of Argentina to become the World Cup champion for the third time</v>
      </c>
    </row>
    <row r="5838" ht="15.75" customHeight="1">
      <c r="A5838" s="1">
        <v>7021.0</v>
      </c>
      <c r="B5838" s="3" t="s">
        <v>16804</v>
      </c>
      <c r="C5838" s="3">
        <v>0.0</v>
      </c>
      <c r="D5838" s="3">
        <v>0.0</v>
      </c>
      <c r="E5838" s="3">
        <v>0.0</v>
      </c>
      <c r="F5838" s="3" t="s">
        <v>16805</v>
      </c>
      <c r="G5838" s="3">
        <v>0.0</v>
      </c>
      <c r="H5838" s="3">
        <v>0.0</v>
      </c>
      <c r="I5838" s="3" t="s">
        <v>13</v>
      </c>
      <c r="J5838" s="3" t="s">
        <v>16806</v>
      </c>
      <c r="K5838" s="3" t="s">
        <v>1097</v>
      </c>
      <c r="L5838" s="3" t="str">
        <f>IFERROR(__xludf.DUMMYFUNCTION("GOOGLETRANSLATE(F5838,""id"",""en"")"),"Argentina Saudi Arabia Indonesia Cambodia Cambodia Champion AFF Cup")</f>
        <v>Argentina Saudi Arabia Indonesia Cambodia Cambodia Champion AFF Cup</v>
      </c>
    </row>
    <row r="5839" ht="15.75" customHeight="1">
      <c r="A5839" s="1">
        <v>7022.0</v>
      </c>
      <c r="B5839" s="3" t="s">
        <v>16807</v>
      </c>
      <c r="C5839" s="3">
        <v>2.0</v>
      </c>
      <c r="D5839" s="3">
        <v>2.0</v>
      </c>
      <c r="E5839" s="3">
        <v>16.0</v>
      </c>
      <c r="F5839" s="3" t="s">
        <v>16808</v>
      </c>
      <c r="G5839" s="3">
        <v>0.0</v>
      </c>
      <c r="H5839" s="3">
        <v>0.0</v>
      </c>
      <c r="I5839" s="3" t="s">
        <v>13</v>
      </c>
      <c r="J5839" s="3" t="s">
        <v>16809</v>
      </c>
      <c r="K5839" s="3" t="s">
        <v>82</v>
      </c>
      <c r="L5839" s="3" t="str">
        <f>IFERROR(__xludf.DUMMYFUNCTION("GOOGLETRANSLATE(F5839,""id"",""en"")"),"GPP Argentina just lost the match then the championship")</f>
        <v>GPP Argentina just lost the match then the championship</v>
      </c>
    </row>
    <row r="5840" ht="15.75" customHeight="1">
      <c r="A5840" s="1">
        <v>7023.0</v>
      </c>
      <c r="B5840" s="3" t="s">
        <v>16810</v>
      </c>
      <c r="C5840" s="3">
        <v>0.0</v>
      </c>
      <c r="D5840" s="3">
        <v>0.0</v>
      </c>
      <c r="E5840" s="3">
        <v>0.0</v>
      </c>
      <c r="F5840" s="3" t="s">
        <v>16811</v>
      </c>
      <c r="G5840" s="3">
        <v>0.0</v>
      </c>
      <c r="H5840" s="3">
        <v>0.0</v>
      </c>
      <c r="I5840" s="3" t="s">
        <v>13</v>
      </c>
      <c r="J5840" s="3" t="s">
        <v>16812</v>
      </c>
      <c r="K5840" s="3" t="s">
        <v>75</v>
      </c>
      <c r="L5840" s="3" t="str">
        <f>IFERROR(__xludf.DUMMYFUNCTION("GOOGLETRANSLATE(F5840,""id"",""en"")"),"Bring Argentina The World Cup Champion Messi's Face Money Peso")</f>
        <v>Bring Argentina The World Cup Champion Messi's Face Money Peso</v>
      </c>
    </row>
    <row r="5841" ht="15.75" customHeight="1">
      <c r="A5841" s="1">
        <v>7024.0</v>
      </c>
      <c r="B5841" s="3" t="s">
        <v>16813</v>
      </c>
      <c r="C5841" s="3">
        <v>1.0</v>
      </c>
      <c r="D5841" s="3">
        <v>1.0</v>
      </c>
      <c r="E5841" s="3">
        <v>0.0</v>
      </c>
      <c r="F5841" s="3" t="s">
        <v>16814</v>
      </c>
      <c r="G5841" s="3">
        <v>0.0</v>
      </c>
      <c r="H5841" s="3">
        <v>0.0</v>
      </c>
      <c r="I5841" s="3" t="s">
        <v>13</v>
      </c>
      <c r="J5841" s="3" t="s">
        <v>16815</v>
      </c>
      <c r="K5841" s="3" t="s">
        <v>15736</v>
      </c>
      <c r="L5841" s="3" t="str">
        <f>IFERROR(__xludf.DUMMYFUNCTION("GOOGLETRANSLATE(F5841,""id"",""en"")"),"Ayok Speak Supported Your Logo World Cup Argentina Becomes Argentina's First Goals Scorer Champion Pilduun AFF Indonesia Becomes the Champion's First Goals")</f>
        <v>Ayok Speak Supported Your Logo World Cup Argentina Becomes Argentina's First Goals Scorer Champion Pilduun AFF Indonesia Becomes the Champion's First Goals</v>
      </c>
    </row>
    <row r="5842" ht="15.75" customHeight="1">
      <c r="A5842" s="1">
        <v>7025.0</v>
      </c>
      <c r="B5842" s="3" t="s">
        <v>16816</v>
      </c>
      <c r="C5842" s="3">
        <v>0.0</v>
      </c>
      <c r="D5842" s="3">
        <v>0.0</v>
      </c>
      <c r="E5842" s="3">
        <v>0.0</v>
      </c>
      <c r="F5842" s="3" t="s">
        <v>16817</v>
      </c>
      <c r="G5842" s="3">
        <v>0.0</v>
      </c>
      <c r="H5842" s="3">
        <v>0.0</v>
      </c>
      <c r="I5842" s="3" t="s">
        <v>13</v>
      </c>
      <c r="J5842" s="3" t="s">
        <v>16818</v>
      </c>
      <c r="K5842" s="3" t="s">
        <v>54</v>
      </c>
      <c r="L5842" s="3" t="str">
        <f>IFERROR(__xludf.DUMMYFUNCTION("GOOGLETRANSLATE(F5842,""id"",""en"")"),"GPP Argentina was also initially good but became a champion")</f>
        <v>GPP Argentina was also initially good but became a champion</v>
      </c>
    </row>
    <row r="5843" ht="15.75" customHeight="1">
      <c r="A5843" s="1">
        <v>7026.0</v>
      </c>
      <c r="B5843" s="3" t="s">
        <v>16819</v>
      </c>
      <c r="C5843" s="3">
        <v>0.0</v>
      </c>
      <c r="D5843" s="3">
        <v>0.0</v>
      </c>
      <c r="E5843" s="3">
        <v>0.0</v>
      </c>
      <c r="F5843" s="3" t="s">
        <v>16820</v>
      </c>
      <c r="G5843" s="3">
        <v>0.0</v>
      </c>
      <c r="H5843" s="3">
        <v>0.0</v>
      </c>
      <c r="I5843" s="3" t="s">
        <v>13</v>
      </c>
      <c r="J5843" s="3" t="s">
        <v>16821</v>
      </c>
      <c r="K5843" s="3" t="s">
        <v>15</v>
      </c>
      <c r="L5843" s="3" t="str">
        <f>IFERROR(__xludf.DUMMYFUNCTION("GOOGLETRANSLATE(F5843,""id"",""en"")"),"calm cokk Argentina just play the first bapuk can be world champion")</f>
        <v>calm cokk Argentina just play the first bapuk can be world champion</v>
      </c>
    </row>
    <row r="5844" ht="15.75" customHeight="1">
      <c r="A5844" s="1">
        <v>7027.0</v>
      </c>
      <c r="B5844" s="3" t="s">
        <v>16822</v>
      </c>
      <c r="C5844" s="3">
        <v>0.0</v>
      </c>
      <c r="D5844" s="3">
        <v>0.0</v>
      </c>
      <c r="E5844" s="3">
        <v>0.0</v>
      </c>
      <c r="F5844" s="3" t="s">
        <v>16823</v>
      </c>
      <c r="G5844" s="3">
        <v>0.0</v>
      </c>
      <c r="H5844" s="3">
        <v>0.0</v>
      </c>
      <c r="I5844" s="3" t="s">
        <v>13</v>
      </c>
      <c r="J5844" s="3" t="s">
        <v>16824</v>
      </c>
      <c r="K5844" s="3" t="s">
        <v>75</v>
      </c>
      <c r="L5844" s="3" t="str">
        <f>IFERROR(__xludf.DUMMYFUNCTION("GOOGLETRANSLATE(F5844,""id"",""en"")"),"Remember Argentina and Spain only lost the first match to the World Cup championship")</f>
        <v>Remember Argentina and Spain only lost the first match to the World Cup championship</v>
      </c>
    </row>
    <row r="5845" ht="15.75" customHeight="1">
      <c r="A5845" s="1">
        <v>7028.0</v>
      </c>
      <c r="B5845" s="3" t="s">
        <v>16825</v>
      </c>
      <c r="C5845" s="3">
        <v>4.0</v>
      </c>
      <c r="D5845" s="3">
        <v>0.0</v>
      </c>
      <c r="E5845" s="3">
        <v>6.0</v>
      </c>
      <c r="F5845" s="3" t="s">
        <v>16826</v>
      </c>
      <c r="G5845" s="3">
        <v>0.3333333333333333</v>
      </c>
      <c r="H5845" s="3">
        <v>0.1666666666666667</v>
      </c>
      <c r="I5845" s="3" t="s">
        <v>48</v>
      </c>
      <c r="J5845" s="3" t="s">
        <v>16827</v>
      </c>
      <c r="K5845" s="3" t="s">
        <v>240</v>
      </c>
      <c r="L5845" s="3" t="str">
        <f>IFERROR(__xludf.DUMMYFUNCTION("GOOGLETRANSLATE(F5845,""id"",""en"")"),"The first play is less than the maximum, an example of Argentina, the opening match is subjected to Saudi troops, finally the Indonesian Cambodian championship")</f>
        <v>The first play is less than the maximum, an example of Argentina, the opening match is subjected to Saudi troops, finally the Indonesian Cambodian championship</v>
      </c>
    </row>
    <row r="5846" ht="15.75" customHeight="1">
      <c r="A5846" s="1">
        <v>7029.0</v>
      </c>
      <c r="B5846" s="3" t="s">
        <v>16828</v>
      </c>
      <c r="C5846" s="3">
        <v>0.0</v>
      </c>
      <c r="D5846" s="3">
        <v>0.0</v>
      </c>
      <c r="E5846" s="3">
        <v>1.0</v>
      </c>
      <c r="F5846" s="3" t="s">
        <v>16829</v>
      </c>
      <c r="G5846" s="3">
        <v>0.0</v>
      </c>
      <c r="H5846" s="3">
        <v>0.0</v>
      </c>
      <c r="I5846" s="3" t="s">
        <v>13</v>
      </c>
      <c r="J5846" s="3" t="s">
        <v>16830</v>
      </c>
      <c r="K5846" s="3" t="s">
        <v>149</v>
      </c>
      <c r="L5846" s="3" t="str">
        <f>IFERROR(__xludf.DUMMYFUNCTION("GOOGLETRANSLATE(F5846,""id"",""en"")"),"the Indonesian koar is playing bapuk or whatever you don't see what Argentina is playing early with Saudi Arabia, the world champion Santuy is a friend, God willing, the AFF champion")</f>
        <v>the Indonesian koar is playing bapuk or whatever you don't see what Argentina is playing early with Saudi Arabia, the world champion Santuy is a friend, God willing, the AFF champion</v>
      </c>
    </row>
    <row r="5847" ht="15.75" customHeight="1">
      <c r="A5847" s="1">
        <v>7030.0</v>
      </c>
      <c r="B5847" s="3" t="s">
        <v>16831</v>
      </c>
      <c r="C5847" s="3">
        <v>20.0</v>
      </c>
      <c r="D5847" s="3">
        <v>4.0</v>
      </c>
      <c r="E5847" s="3">
        <v>157.0</v>
      </c>
      <c r="F5847" s="3" t="s">
        <v>16832</v>
      </c>
      <c r="G5847" s="3">
        <v>0.0</v>
      </c>
      <c r="H5847" s="3">
        <v>0.0</v>
      </c>
      <c r="I5847" s="3" t="s">
        <v>13</v>
      </c>
      <c r="J5847" s="3" t="s">
        <v>16833</v>
      </c>
      <c r="K5847" s="3" t="s">
        <v>1479</v>
      </c>
      <c r="L5847" s="3" t="str">
        <f>IFERROR(__xludf.DUMMYFUNCTION("GOOGLETRANSLATE(F5847,""id"",""en"")"),"Argentina Match First Lose Argen World Champion Indonesia First Match Winning Indo AFF Champion")</f>
        <v>Argentina Match First Lose Argen World Champion Indonesia First Match Winning Indo AFF Champion</v>
      </c>
    </row>
    <row r="5848" ht="15.75" customHeight="1">
      <c r="A5848" s="1">
        <v>7031.0</v>
      </c>
      <c r="B5848" s="3" t="s">
        <v>16834</v>
      </c>
      <c r="C5848" s="3">
        <v>1.0</v>
      </c>
      <c r="D5848" s="3">
        <v>0.0</v>
      </c>
      <c r="E5848" s="3">
        <v>0.0</v>
      </c>
      <c r="F5848" s="3" t="s">
        <v>16835</v>
      </c>
      <c r="G5848" s="3">
        <v>0.0</v>
      </c>
      <c r="H5848" s="3">
        <v>0.0</v>
      </c>
      <c r="I5848" s="3" t="s">
        <v>13</v>
      </c>
      <c r="J5848" s="3" t="s">
        <v>16836</v>
      </c>
      <c r="K5848" s="3" t="s">
        <v>54</v>
      </c>
      <c r="L5848" s="3" t="str">
        <f>IFERROR(__xludf.DUMMYFUNCTION("GOOGLETRANSLATE(F5848,""id"",""en"")"),"Remember Argentina just lost the inaugural match of the champion")</f>
        <v>Remember Argentina just lost the inaugural match of the champion</v>
      </c>
    </row>
    <row r="5849" ht="15.75" customHeight="1">
      <c r="A5849" s="1">
        <v>7032.0</v>
      </c>
      <c r="B5849" s="3" t="s">
        <v>16837</v>
      </c>
      <c r="C5849" s="3">
        <v>0.0</v>
      </c>
      <c r="D5849" s="3">
        <v>0.0</v>
      </c>
      <c r="E5849" s="3">
        <v>2.0</v>
      </c>
      <c r="F5849" s="3" t="s">
        <v>16838</v>
      </c>
      <c r="G5849" s="3">
        <v>0.0</v>
      </c>
      <c r="H5849" s="3">
        <v>0.0</v>
      </c>
      <c r="I5849" s="3" t="s">
        <v>13</v>
      </c>
      <c r="J5849" s="3" t="s">
        <v>16839</v>
      </c>
      <c r="K5849" s="3" t="s">
        <v>15</v>
      </c>
      <c r="L5849" s="3" t="str">
        <f>IFERROR(__xludf.DUMMYFUNCTION("GOOGLETRANSLATE(F5849,""id"",""en"")"),"the candidate for the champion boss is cool playing like Argentina")</f>
        <v>the candidate for the champion boss is cool playing like Argentina</v>
      </c>
    </row>
    <row r="5850" ht="15.75" customHeight="1">
      <c r="A5850" s="1">
        <v>7033.0</v>
      </c>
      <c r="B5850" s="3" t="s">
        <v>16840</v>
      </c>
      <c r="C5850" s="3">
        <v>0.0</v>
      </c>
      <c r="D5850" s="3">
        <v>0.0</v>
      </c>
      <c r="E5850" s="3">
        <v>0.0</v>
      </c>
      <c r="F5850" s="3" t="s">
        <v>16841</v>
      </c>
      <c r="G5850" s="3">
        <v>0.0</v>
      </c>
      <c r="H5850" s="3">
        <v>0.0</v>
      </c>
      <c r="I5850" s="3" t="s">
        <v>13</v>
      </c>
      <c r="J5850" s="3" t="s">
        <v>16842</v>
      </c>
      <c r="K5850" s="3" t="s">
        <v>19</v>
      </c>
      <c r="L5850" s="3" t="str">
        <f>IFERROR(__xludf.DUMMYFUNCTION("GOOGLETRANSLATE(F5850,""id"",""en"")"),"Argentine national team champion World Cup Cristiano Ronaldo with Portugal is more difficult")</f>
        <v>Argentine national team champion World Cup Cristiano Ronaldo with Portugal is more difficult</v>
      </c>
    </row>
    <row r="5851" ht="15.75" customHeight="1">
      <c r="A5851" s="1">
        <v>7034.0</v>
      </c>
      <c r="B5851" s="3" t="s">
        <v>16843</v>
      </c>
      <c r="C5851" s="3">
        <v>0.0</v>
      </c>
      <c r="D5851" s="3">
        <v>0.0</v>
      </c>
      <c r="E5851" s="3">
        <v>0.0</v>
      </c>
      <c r="F5851" s="3" t="s">
        <v>16844</v>
      </c>
      <c r="G5851" s="3">
        <v>0.3</v>
      </c>
      <c r="H5851" s="3">
        <v>0.2</v>
      </c>
      <c r="I5851" s="3" t="s">
        <v>48</v>
      </c>
      <c r="J5851" s="3" t="s">
        <v>16845</v>
      </c>
      <c r="K5851" s="3" t="s">
        <v>240</v>
      </c>
      <c r="L5851" s="3" t="str">
        <f>IFERROR(__xludf.DUMMYFUNCTION("GOOGLETRANSLATE(F5851,""id"",""en"")"),"This is what the national team remember if Argentina is before the first champion is the pildun match losing this Arabic opponent's theory")</f>
        <v>This is what the national team remember if Argentina is before the first champion is the pildun match losing this Arabic opponent's theory</v>
      </c>
    </row>
    <row r="5852" ht="15.75" customHeight="1">
      <c r="A5852" s="1">
        <v>7035.0</v>
      </c>
      <c r="B5852" s="3" t="s">
        <v>16846</v>
      </c>
      <c r="C5852" s="3">
        <v>0.0</v>
      </c>
      <c r="D5852" s="3">
        <v>0.0</v>
      </c>
      <c r="E5852" s="3">
        <v>0.0</v>
      </c>
      <c r="F5852" s="3" t="s">
        <v>16847</v>
      </c>
      <c r="G5852" s="3">
        <v>0.0</v>
      </c>
      <c r="H5852" s="3">
        <v>0.0</v>
      </c>
      <c r="I5852" s="3" t="s">
        <v>13</v>
      </c>
      <c r="J5852" s="3" t="s">
        <v>16848</v>
      </c>
      <c r="K5852" s="3" t="s">
        <v>82</v>
      </c>
      <c r="L5852" s="3" t="str">
        <f>IFERROR(__xludf.DUMMYFUNCTION("GOOGLETRANSLATE(F5852,""id"",""en"")"),"Why does Argentina not rank FIFA after the World Cup championship")</f>
        <v>Why does Argentina not rank FIFA after the World Cup championship</v>
      </c>
    </row>
    <row r="5853" ht="15.75" customHeight="1">
      <c r="A5853" s="1">
        <v>7036.0</v>
      </c>
      <c r="B5853" s="3" t="s">
        <v>16849</v>
      </c>
      <c r="C5853" s="3">
        <v>0.0</v>
      </c>
      <c r="D5853" s="3">
        <v>0.0</v>
      </c>
      <c r="E5853" s="3">
        <v>0.0</v>
      </c>
      <c r="F5853" s="3" t="s">
        <v>16841</v>
      </c>
      <c r="G5853" s="3">
        <v>0.0</v>
      </c>
      <c r="H5853" s="3">
        <v>0.0</v>
      </c>
      <c r="I5853" s="3" t="s">
        <v>13</v>
      </c>
      <c r="J5853" s="3" t="s">
        <v>16842</v>
      </c>
      <c r="K5853" s="3" t="s">
        <v>19</v>
      </c>
      <c r="L5853" s="3" t="str">
        <f>IFERROR(__xludf.DUMMYFUNCTION("GOOGLETRANSLATE(F5853,""id"",""en"")"),"Argentine national team champion World Cup Cristiano Ronaldo with Portugal is more difficult")</f>
        <v>Argentine national team champion World Cup Cristiano Ronaldo with Portugal is more difficult</v>
      </c>
    </row>
    <row r="5854" ht="15.75" customHeight="1">
      <c r="A5854" s="1">
        <v>7037.0</v>
      </c>
      <c r="B5854" s="3" t="s">
        <v>16850</v>
      </c>
      <c r="C5854" s="3">
        <v>0.0</v>
      </c>
      <c r="D5854" s="3">
        <v>0.0</v>
      </c>
      <c r="E5854" s="3">
        <v>0.0</v>
      </c>
      <c r="F5854" s="3" t="s">
        <v>16851</v>
      </c>
      <c r="G5854" s="3">
        <v>1.0</v>
      </c>
      <c r="H5854" s="3">
        <v>0.0</v>
      </c>
      <c r="I5854" s="3" t="s">
        <v>13</v>
      </c>
      <c r="J5854" s="3" t="s">
        <v>16852</v>
      </c>
      <c r="K5854" s="3" t="s">
        <v>82</v>
      </c>
      <c r="L5854" s="3" t="str">
        <f>IFERROR(__xludf.DUMMYFUNCTION("GOOGLETRANSLATE(F5854,""id"",""en"")"),"Argentina Match just lost, it turned out that the final was even a champion")</f>
        <v>Argentina Match just lost, it turned out that the final was even a champion</v>
      </c>
    </row>
    <row r="5855" ht="15.75" customHeight="1">
      <c r="A5855" s="1">
        <v>7038.0</v>
      </c>
      <c r="B5855" s="3" t="s">
        <v>16853</v>
      </c>
      <c r="C5855" s="3">
        <v>0.0</v>
      </c>
      <c r="D5855" s="3">
        <v>0.0</v>
      </c>
      <c r="E5855" s="3">
        <v>0.0</v>
      </c>
      <c r="F5855" s="3" t="s">
        <v>16854</v>
      </c>
      <c r="G5855" s="3">
        <v>0.0</v>
      </c>
      <c r="H5855" s="3">
        <v>0.0</v>
      </c>
      <c r="I5855" s="3" t="s">
        <v>13</v>
      </c>
      <c r="J5855" s="3" t="s">
        <v>16855</v>
      </c>
      <c r="K5855" s="3" t="s">
        <v>1428</v>
      </c>
      <c r="L5855" s="3" t="str">
        <f>IFERROR(__xludf.DUMMYFUNCTION("GOOGLETRANSLATE(F5855,""id"",""en"")"),"Previously Pua Raju Viral Social Media after changing the whole color of his house paint with the nuances of Argentina Pua Raju turned out to have a vow if Argentina champions would give his grandchildren with Muhammad Messi")</f>
        <v>Previously Pua Raju Viral Social Media after changing the whole color of his house paint with the nuances of Argentina Pua Raju turned out to have a vow if Argentina champions would give his grandchildren with Muhammad Messi</v>
      </c>
    </row>
    <row r="5856" ht="15.75" customHeight="1">
      <c r="A5856" s="1">
        <v>7039.0</v>
      </c>
      <c r="B5856" s="3" t="s">
        <v>16856</v>
      </c>
      <c r="C5856" s="3">
        <v>5.0</v>
      </c>
      <c r="D5856" s="3">
        <v>0.0</v>
      </c>
      <c r="E5856" s="3">
        <v>6.0</v>
      </c>
      <c r="F5856" s="3" t="s">
        <v>16857</v>
      </c>
      <c r="G5856" s="3">
        <v>0.0</v>
      </c>
      <c r="H5856" s="3">
        <v>0.0</v>
      </c>
      <c r="I5856" s="3" t="s">
        <v>13</v>
      </c>
      <c r="J5856" s="3" t="s">
        <v>16858</v>
      </c>
      <c r="K5856" s="3" t="s">
        <v>860</v>
      </c>
      <c r="L5856" s="3" t="str">
        <f>IFERROR(__xludf.DUMMYFUNCTION("GOOGLETRANSLATE(F5856,""id"",""en"")"),"sorry but the popularity of Cristiano Ronaldo Twitter became far behind after Lionel Messi brought Argentina to the World Cup champion in the popularity of Messi became increasingly shining")</f>
        <v>sorry but the popularity of Cristiano Ronaldo Twitter became far behind after Lionel Messi brought Argentina to the World Cup champion in the popularity of Messi became increasingly shining</v>
      </c>
    </row>
    <row r="5857" ht="15.75" customHeight="1">
      <c r="A5857" s="1">
        <v>7040.0</v>
      </c>
      <c r="B5857" s="3" t="s">
        <v>16859</v>
      </c>
      <c r="C5857" s="3">
        <v>0.0</v>
      </c>
      <c r="D5857" s="3">
        <v>0.0</v>
      </c>
      <c r="E5857" s="3">
        <v>0.0</v>
      </c>
      <c r="F5857" s="3" t="s">
        <v>16860</v>
      </c>
      <c r="G5857" s="3">
        <v>0.0</v>
      </c>
      <c r="H5857" s="3">
        <v>0.0</v>
      </c>
      <c r="I5857" s="3" t="s">
        <v>13</v>
      </c>
      <c r="J5857" s="3" t="s">
        <v>16861</v>
      </c>
      <c r="K5857" s="3" t="s">
        <v>54</v>
      </c>
      <c r="L5857" s="3" t="str">
        <f>IFERROR(__xludf.DUMMYFUNCTION("GOOGLETRANSLATE(F5857,""id"",""en"")"),"Argentina champion he just adopted the trophy especially who we are weaaaa")</f>
        <v>Argentina champion he just adopted the trophy especially who we are weaaaa</v>
      </c>
    </row>
    <row r="5858" ht="15.75" customHeight="1">
      <c r="A5858" s="1">
        <v>7041.0</v>
      </c>
      <c r="B5858" s="3" t="s">
        <v>16862</v>
      </c>
      <c r="C5858" s="3">
        <v>1.0</v>
      </c>
      <c r="D5858" s="3">
        <v>0.0</v>
      </c>
      <c r="E5858" s="3">
        <v>6.0</v>
      </c>
      <c r="F5858" s="3" t="s">
        <v>16863</v>
      </c>
      <c r="G5858" s="3">
        <v>0.0</v>
      </c>
      <c r="H5858" s="3">
        <v>0.0</v>
      </c>
      <c r="I5858" s="3" t="s">
        <v>13</v>
      </c>
      <c r="J5858" s="3" t="s">
        <v>16864</v>
      </c>
      <c r="K5858" s="3" t="s">
        <v>510</v>
      </c>
      <c r="L5858" s="3" t="str">
        <f>IFERROR(__xludf.DUMMYFUNCTION("GOOGLETRANSLATE(F5858,""id"",""en"")"),"sure the dejavu champion was the first to be said by an Argentine against Saudi Arabia a month ago")</f>
        <v>sure the dejavu champion was the first to be said by an Argentine against Saudi Arabia a month ago</v>
      </c>
    </row>
    <row r="5859" ht="15.75" customHeight="1">
      <c r="A5859" s="1">
        <v>7042.0</v>
      </c>
      <c r="B5859" s="3" t="s">
        <v>16865</v>
      </c>
      <c r="C5859" s="3">
        <v>0.0</v>
      </c>
      <c r="D5859" s="3">
        <v>0.0</v>
      </c>
      <c r="E5859" s="3">
        <v>2.0</v>
      </c>
      <c r="F5859" s="3" t="s">
        <v>16866</v>
      </c>
      <c r="G5859" s="3">
        <v>0.0</v>
      </c>
      <c r="H5859" s="3">
        <v>0.0</v>
      </c>
      <c r="I5859" s="3" t="s">
        <v>13</v>
      </c>
      <c r="J5859" s="3" t="s">
        <v>16867</v>
      </c>
      <c r="K5859" s="3" t="s">
        <v>82</v>
      </c>
      <c r="L5859" s="3" t="str">
        <f>IFERROR(__xludf.DUMMYFUNCTION("GOOGLETRANSLATE(F5859,""id"",""en"")"),"I want to champion like Argentina, even Lautaro")</f>
        <v>I want to champion like Argentina, even Lautaro</v>
      </c>
    </row>
    <row r="5860" ht="15.75" customHeight="1">
      <c r="A5860" s="1">
        <v>7043.0</v>
      </c>
      <c r="B5860" s="3" t="s">
        <v>16868</v>
      </c>
      <c r="C5860" s="3">
        <v>0.0</v>
      </c>
      <c r="D5860" s="3">
        <v>0.0</v>
      </c>
      <c r="E5860" s="3">
        <v>0.0</v>
      </c>
      <c r="F5860" s="3" t="s">
        <v>16869</v>
      </c>
      <c r="G5860" s="3">
        <v>0.0</v>
      </c>
      <c r="H5860" s="3">
        <v>0.0</v>
      </c>
      <c r="I5860" s="3" t="s">
        <v>13</v>
      </c>
      <c r="J5860" s="3" t="s">
        <v>16870</v>
      </c>
      <c r="K5860" s="3" t="s">
        <v>50</v>
      </c>
      <c r="L5860" s="3" t="str">
        <f>IFERROR(__xludf.DUMMYFUNCTION("GOOGLETRANSLATE(F5860,""id"",""en"")"),"FIFA Investigates Moment Chef Salt Bae Ngegecokin Celebration of Argentine World Champion")</f>
        <v>FIFA Investigates Moment Chef Salt Bae Ngegecokin Celebration of Argentine World Champion</v>
      </c>
    </row>
    <row r="5861" ht="15.75" customHeight="1">
      <c r="A5861" s="1">
        <v>7044.0</v>
      </c>
      <c r="B5861" s="3" t="s">
        <v>16871</v>
      </c>
      <c r="C5861" s="3">
        <v>0.0</v>
      </c>
      <c r="D5861" s="3">
        <v>0.0</v>
      </c>
      <c r="E5861" s="3">
        <v>0.0</v>
      </c>
      <c r="F5861" s="3" t="s">
        <v>16872</v>
      </c>
      <c r="G5861" s="3">
        <v>0.0</v>
      </c>
      <c r="H5861" s="3">
        <v>0.0</v>
      </c>
      <c r="I5861" s="3" t="s">
        <v>13</v>
      </c>
      <c r="J5861" s="3" t="s">
        <v>16873</v>
      </c>
      <c r="K5861" s="3" t="s">
        <v>6674</v>
      </c>
      <c r="L5861" s="3" t="str">
        <f>IFERROR(__xludf.DUMMYFUNCTION("GOOGLETRANSLATE(F5861,""id"",""en"")"),"Brazil the German Russian champion who won French Qatar who won Argentina")</f>
        <v>Brazil the German Russian champion who won French Qatar who won Argentina</v>
      </c>
    </row>
    <row r="5862" ht="15.75" customHeight="1">
      <c r="A5862" s="1">
        <v>7045.0</v>
      </c>
      <c r="B5862" s="3" t="s">
        <v>16874</v>
      </c>
      <c r="C5862" s="3">
        <v>0.0</v>
      </c>
      <c r="D5862" s="3">
        <v>0.0</v>
      </c>
      <c r="E5862" s="3">
        <v>0.0</v>
      </c>
      <c r="F5862" s="3" t="s">
        <v>16875</v>
      </c>
      <c r="G5862" s="3">
        <v>1.0</v>
      </c>
      <c r="H5862" s="3">
        <v>0.0</v>
      </c>
      <c r="I5862" s="3" t="s">
        <v>13</v>
      </c>
      <c r="J5862" s="3" t="s">
        <v>16876</v>
      </c>
      <c r="K5862" s="3" t="s">
        <v>433</v>
      </c>
      <c r="L5862" s="3" t="str">
        <f>IFERROR(__xludf.DUMMYFUNCTION("GOOGLETRANSLATE(F5862,""id"",""en"")"),"owh the final pantasan kicking Argentine players we deviate all of the owh so this should have been world champion from")</f>
        <v>owh the final pantasan kicking Argentine players we deviate all of the owh so this should have been world champion from</v>
      </c>
    </row>
    <row r="5863" ht="15.75" customHeight="1">
      <c r="A5863" s="1">
        <v>7046.0</v>
      </c>
      <c r="B5863" s="3" t="s">
        <v>16877</v>
      </c>
      <c r="C5863" s="3">
        <v>1.0</v>
      </c>
      <c r="D5863" s="3">
        <v>0.0</v>
      </c>
      <c r="E5863" s="3">
        <v>0.0</v>
      </c>
      <c r="F5863" s="3" t="s">
        <v>16878</v>
      </c>
      <c r="G5863" s="3">
        <v>0.0</v>
      </c>
      <c r="H5863" s="3">
        <v>0.0</v>
      </c>
      <c r="I5863" s="3" t="s">
        <v>13</v>
      </c>
      <c r="J5863" s="3" t="s">
        <v>16879</v>
      </c>
      <c r="K5863" s="3" t="s">
        <v>5662</v>
      </c>
      <c r="L5863" s="3" t="str">
        <f>IFERROR(__xludf.DUMMYFUNCTION("GOOGLETRANSLATE(F5863,""id"",""en"")"),"Chile, who won Brazilian English champion, who won the English English champion, who won the West German Brazilian champion, the West German champion Argentina, the Spanish Argentine champion, who won the Italian Mexican champion, the Argentine champion")</f>
        <v>Chile, who won Brazilian English champion, who won the English English champion, who won the West German Brazilian champion, the West German champion Argentina, the Spanish Argentine champion, who won the Italian Mexican champion, the Argentine champion</v>
      </c>
    </row>
    <row r="5864" ht="15.75" customHeight="1">
      <c r="A5864" s="1">
        <v>7047.0</v>
      </c>
      <c r="B5864" s="3" t="s">
        <v>16880</v>
      </c>
      <c r="C5864" s="3">
        <v>0.0</v>
      </c>
      <c r="D5864" s="3">
        <v>0.0</v>
      </c>
      <c r="E5864" s="3">
        <v>0.0</v>
      </c>
      <c r="F5864" s="3" t="s">
        <v>16210</v>
      </c>
      <c r="G5864" s="3">
        <v>0.0</v>
      </c>
      <c r="H5864" s="3">
        <v>0.0</v>
      </c>
      <c r="I5864" s="3" t="s">
        <v>13</v>
      </c>
      <c r="J5864" s="3" t="s">
        <v>16211</v>
      </c>
      <c r="K5864" s="3" t="s">
        <v>50</v>
      </c>
      <c r="L5864" s="3" t="str">
        <f>IFERROR(__xludf.DUMMYFUNCTION("GOOGLETRANSLATE(F5864,""id"",""en"")"),"Not Argentina Western Journalist said the Champion of the Qatar World Cup is via")</f>
        <v>Not Argentina Western Journalist said the Champion of the Qatar World Cup is via</v>
      </c>
    </row>
    <row r="5865" ht="15.75" customHeight="1">
      <c r="A5865" s="1">
        <v>7048.0</v>
      </c>
      <c r="B5865" s="3" t="s">
        <v>16881</v>
      </c>
      <c r="C5865" s="3">
        <v>0.0</v>
      </c>
      <c r="D5865" s="3">
        <v>0.0</v>
      </c>
      <c r="E5865" s="3">
        <v>0.0</v>
      </c>
      <c r="F5865" s="3" t="s">
        <v>16882</v>
      </c>
      <c r="G5865" s="3">
        <v>0.0</v>
      </c>
      <c r="H5865" s="3">
        <v>0.0</v>
      </c>
      <c r="I5865" s="3" t="s">
        <v>13</v>
      </c>
      <c r="J5865" s="3" t="s">
        <v>16883</v>
      </c>
      <c r="K5865" s="3" t="s">
        <v>1897</v>
      </c>
      <c r="L5865" s="3" t="str">
        <f>IFERROR(__xludf.DUMMYFUNCTION("GOOGLETRANSLATE(F5865,""id"",""en"")"),"Celebrity Chef from Turki Salt Bae will be reported to be examined by FIFA. That is because the man whose real name is Nusret Gokce is holding the World Cup trophy when Argentina is celebrating the title of the edition")</f>
        <v>Celebrity Chef from Turki Salt Bae will be reported to be examined by FIFA. That is because the man whose real name is Nusret Gokce is holding the World Cup trophy when Argentina is celebrating the title of the edition</v>
      </c>
    </row>
    <row r="5866" ht="15.75" customHeight="1">
      <c r="A5866" s="1">
        <v>7049.0</v>
      </c>
      <c r="B5866" s="3" t="s">
        <v>16884</v>
      </c>
      <c r="C5866" s="3">
        <v>0.0</v>
      </c>
      <c r="D5866" s="3">
        <v>0.0</v>
      </c>
      <c r="E5866" s="3">
        <v>0.0</v>
      </c>
      <c r="F5866" s="3" t="s">
        <v>16869</v>
      </c>
      <c r="G5866" s="3">
        <v>0.0</v>
      </c>
      <c r="H5866" s="3">
        <v>0.0</v>
      </c>
      <c r="I5866" s="3" t="s">
        <v>13</v>
      </c>
      <c r="J5866" s="3" t="s">
        <v>16870</v>
      </c>
      <c r="K5866" s="3" t="s">
        <v>50</v>
      </c>
      <c r="L5866" s="3" t="str">
        <f>IFERROR(__xludf.DUMMYFUNCTION("GOOGLETRANSLATE(F5866,""id"",""en"")"),"FIFA Investigates Moment Chef Salt Bae Ngegecokin Celebration of Argentine World Champion")</f>
        <v>FIFA Investigates Moment Chef Salt Bae Ngegecokin Celebration of Argentine World Champion</v>
      </c>
    </row>
    <row r="5867" ht="15.75" customHeight="1">
      <c r="A5867" s="1">
        <v>7050.0</v>
      </c>
      <c r="B5867" s="3" t="s">
        <v>16885</v>
      </c>
      <c r="C5867" s="3">
        <v>0.0</v>
      </c>
      <c r="D5867" s="3">
        <v>0.0</v>
      </c>
      <c r="E5867" s="3">
        <v>0.0</v>
      </c>
      <c r="F5867" s="3" t="s">
        <v>16886</v>
      </c>
      <c r="G5867" s="3">
        <v>0.0</v>
      </c>
      <c r="H5867" s="3">
        <v>0.0</v>
      </c>
      <c r="I5867" s="3" t="s">
        <v>13</v>
      </c>
      <c r="J5867" s="3" t="s">
        <v>16887</v>
      </c>
      <c r="K5867" s="3" t="s">
        <v>358</v>
      </c>
      <c r="L5867" s="3" t="str">
        <f>IFERROR(__xludf.DUMMYFUNCTION("GOOGLETRANSLATE(F5867,""id"",""en"")"),"From watching Argentina French or watching Morocco watching Indonesia bit downgrading you know but it's easy this year to win the AFF is just bored")</f>
        <v>From watching Argentina French or watching Morocco watching Indonesia bit downgrading you know but it's easy this year to win the AFF is just bored</v>
      </c>
    </row>
    <row r="5868" ht="15.75" customHeight="1">
      <c r="A5868" s="1">
        <v>7051.0</v>
      </c>
      <c r="B5868" s="3" t="s">
        <v>16888</v>
      </c>
      <c r="C5868" s="3">
        <v>0.0</v>
      </c>
      <c r="D5868" s="3">
        <v>0.0</v>
      </c>
      <c r="E5868" s="3">
        <v>1.0</v>
      </c>
      <c r="F5868" s="3" t="s">
        <v>16889</v>
      </c>
      <c r="G5868" s="3">
        <v>0.0</v>
      </c>
      <c r="H5868" s="3">
        <v>0.0</v>
      </c>
      <c r="I5868" s="3" t="s">
        <v>13</v>
      </c>
      <c r="J5868" s="3" t="s">
        <v>16890</v>
      </c>
      <c r="K5868" s="3" t="s">
        <v>348</v>
      </c>
      <c r="L5868" s="3" t="str">
        <f>IFERROR(__xludf.DUMMYFUNCTION("GOOGLETRANSLATE(F5868,""id"",""en"")"),"The Indonesian Indonesian Presidency event has Argentina champions, the championship, why is this case not yet finished and it seems that the blanket of the blanket actually starts to get tired")</f>
        <v>The Indonesian Indonesian Presidency event has Argentina champions, the championship, why is this case not yet finished and it seems that the blanket of the blanket actually starts to get tired</v>
      </c>
    </row>
    <row r="5869" ht="15.75" customHeight="1">
      <c r="A5869" s="1">
        <v>7052.0</v>
      </c>
      <c r="B5869" s="3" t="s">
        <v>16891</v>
      </c>
      <c r="C5869" s="3">
        <v>0.0</v>
      </c>
      <c r="D5869" s="3">
        <v>0.0</v>
      </c>
      <c r="E5869" s="3">
        <v>0.0</v>
      </c>
      <c r="F5869" s="3" t="s">
        <v>16892</v>
      </c>
      <c r="G5869" s="3">
        <v>0.0</v>
      </c>
      <c r="H5869" s="3">
        <v>0.0</v>
      </c>
      <c r="I5869" s="3" t="s">
        <v>13</v>
      </c>
      <c r="J5869" s="3" t="s">
        <v>16893</v>
      </c>
      <c r="K5869" s="3" t="s">
        <v>433</v>
      </c>
      <c r="L5869" s="3" t="str">
        <f>IFERROR(__xludf.DUMMYFUNCTION("GOOGLETRANSLATE(F5869,""id"",""en"")"),"Salt Bae was investigated by FIFA because of being able to go down the field when the Argentine celebration won the World Cup")</f>
        <v>Salt Bae was investigated by FIFA because of being able to go down the field when the Argentine celebration won the World Cup</v>
      </c>
    </row>
    <row r="5870" ht="15.75" customHeight="1">
      <c r="A5870" s="1">
        <v>7053.0</v>
      </c>
      <c r="B5870" s="3" t="s">
        <v>16894</v>
      </c>
      <c r="C5870" s="3">
        <v>0.0</v>
      </c>
      <c r="D5870" s="3">
        <v>0.0</v>
      </c>
      <c r="E5870" s="3">
        <v>0.0</v>
      </c>
      <c r="F5870" s="3" t="s">
        <v>16771</v>
      </c>
      <c r="G5870" s="3">
        <v>0.0</v>
      </c>
      <c r="H5870" s="3">
        <v>0.0</v>
      </c>
      <c r="I5870" s="3" t="s">
        <v>13</v>
      </c>
      <c r="J5870" s="3" t="s">
        <v>16772</v>
      </c>
      <c r="K5870" s="3" t="s">
        <v>495</v>
      </c>
      <c r="L5870" s="3" t="str">
        <f>IFERROR(__xludf.DUMMYFUNCTION("GOOGLETRANSLATE(F5870,""id"",""en"")"),"After bringing Argentina the World Cup Champion Popularity Lionel Messi was increasingly shining even Cristiano Ronaldo which had second place far behind")</f>
        <v>After bringing Argentina the World Cup Champion Popularity Lionel Messi was increasingly shining even Cristiano Ronaldo which had second place far behind</v>
      </c>
    </row>
    <row r="5871" ht="15.75" customHeight="1">
      <c r="A5871" s="1">
        <v>7054.0</v>
      </c>
      <c r="B5871" s="3" t="s">
        <v>16895</v>
      </c>
      <c r="C5871" s="3">
        <v>0.0</v>
      </c>
      <c r="D5871" s="3">
        <v>0.0</v>
      </c>
      <c r="E5871" s="3">
        <v>0.0</v>
      </c>
      <c r="F5871" s="3" t="s">
        <v>16896</v>
      </c>
      <c r="G5871" s="3">
        <v>0.0</v>
      </c>
      <c r="H5871" s="3">
        <v>0.0</v>
      </c>
      <c r="I5871" s="3" t="s">
        <v>13</v>
      </c>
      <c r="J5871" s="3" t="s">
        <v>16897</v>
      </c>
      <c r="K5871" s="3" t="s">
        <v>90</v>
      </c>
      <c r="L5871" s="3" t="str">
        <f>IFERROR(__xludf.DUMMYFUNCTION("GOOGLETRANSLATE(F5871,""id"",""en"")"),"Yuhuuuu is looking for an Adel account, I want to survive when Argentina champions are rather suspended Elon Syang so much that there are BDW.")</f>
        <v>Yuhuuuu is looking for an Adel account, I want to survive when Argentina champions are rather suspended Elon Syang so much that there are BDW.</v>
      </c>
    </row>
    <row r="5872" ht="15.75" customHeight="1">
      <c r="A5872" s="1">
        <v>7055.0</v>
      </c>
      <c r="B5872" s="3" t="s">
        <v>16898</v>
      </c>
      <c r="C5872" s="3">
        <v>0.0</v>
      </c>
      <c r="D5872" s="3">
        <v>0.0</v>
      </c>
      <c r="E5872" s="3">
        <v>0.0</v>
      </c>
      <c r="F5872" s="3" t="s">
        <v>16899</v>
      </c>
      <c r="G5872" s="3">
        <v>0.2888888888888889</v>
      </c>
      <c r="H5872" s="3">
        <v>-0.1555555555555556</v>
      </c>
      <c r="I5872" s="3" t="s">
        <v>179</v>
      </c>
      <c r="J5872" s="3" t="s">
        <v>16900</v>
      </c>
      <c r="K5872" s="3" t="s">
        <v>510</v>
      </c>
      <c r="L5872" s="3" t="str">
        <f>IFERROR(__xludf.DUMMYFUNCTION("GOOGLETRANSLATE(F5872,""id"",""en"")"),"Down Bang Martinez after the champion of the pildun still where the Wargen Warung Argentina lunch")</f>
        <v>Down Bang Martinez after the champion of the pildun still where the Wargen Warung Argentina lunch</v>
      </c>
    </row>
    <row r="5873" ht="15.75" customHeight="1">
      <c r="A5873" s="1">
        <v>7056.0</v>
      </c>
      <c r="B5873" s="3" t="s">
        <v>16901</v>
      </c>
      <c r="C5873" s="3">
        <v>9.0</v>
      </c>
      <c r="D5873" s="3">
        <v>0.0</v>
      </c>
      <c r="E5873" s="3">
        <v>10.0</v>
      </c>
      <c r="F5873" s="3" t="s">
        <v>16902</v>
      </c>
      <c r="G5873" s="3">
        <v>0.0</v>
      </c>
      <c r="H5873" s="3">
        <v>0.0</v>
      </c>
      <c r="I5873" s="3" t="s">
        <v>13</v>
      </c>
      <c r="J5873" s="3" t="s">
        <v>16903</v>
      </c>
      <c r="K5873" s="3" t="s">
        <v>41</v>
      </c>
      <c r="L5873" s="3" t="str">
        <f>IFERROR(__xludf.DUMMYFUNCTION("GOOGLETRANSLATE(F5873,""id"",""en"")"),"Remember Argentina's friends can win the first to lose the first match")</f>
        <v>Remember Argentina's friends can win the first to lose the first match</v>
      </c>
    </row>
    <row r="5874" ht="15.75" customHeight="1">
      <c r="A5874" s="1">
        <v>7057.0</v>
      </c>
      <c r="B5874" s="3" t="s">
        <v>16904</v>
      </c>
      <c r="C5874" s="3">
        <v>0.0</v>
      </c>
      <c r="D5874" s="3">
        <v>1.0</v>
      </c>
      <c r="E5874" s="3">
        <v>0.0</v>
      </c>
      <c r="F5874" s="3" t="s">
        <v>16905</v>
      </c>
      <c r="G5874" s="3">
        <v>0.0</v>
      </c>
      <c r="H5874" s="3">
        <v>0.0</v>
      </c>
      <c r="I5874" s="3" t="s">
        <v>13</v>
      </c>
      <c r="J5874" s="3" t="s">
        <v>16906</v>
      </c>
      <c r="K5874" s="3" t="s">
        <v>1097</v>
      </c>
      <c r="L5874" s="3" t="str">
        <f>IFERROR(__xludf.DUMMYFUNCTION("GOOGLETRANSLATE(F5874,""id"",""en"")"),"Argentina World Champion Naga Naga Indonesia Indonesia Champion AFF Nie")</f>
        <v>Argentina World Champion Naga Naga Indonesia Indonesia Champion AFF Nie</v>
      </c>
    </row>
    <row r="5875" ht="15.75" customHeight="1">
      <c r="A5875" s="1">
        <v>7058.0</v>
      </c>
      <c r="B5875" s="3" t="s">
        <v>16907</v>
      </c>
      <c r="C5875" s="3">
        <v>0.0</v>
      </c>
      <c r="D5875" s="3">
        <v>0.0</v>
      </c>
      <c r="E5875" s="3">
        <v>0.0</v>
      </c>
      <c r="F5875" s="3" t="s">
        <v>16869</v>
      </c>
      <c r="G5875" s="3">
        <v>0.0</v>
      </c>
      <c r="H5875" s="3">
        <v>0.0</v>
      </c>
      <c r="I5875" s="3" t="s">
        <v>13</v>
      </c>
      <c r="J5875" s="3" t="s">
        <v>16870</v>
      </c>
      <c r="K5875" s="3" t="s">
        <v>50</v>
      </c>
      <c r="L5875" s="3" t="str">
        <f>IFERROR(__xludf.DUMMYFUNCTION("GOOGLETRANSLATE(F5875,""id"",""en"")"),"FIFA Investigates Moment Chef Salt Bae Ngegecokin Celebration of Argentine World Champion")</f>
        <v>FIFA Investigates Moment Chef Salt Bae Ngegecokin Celebration of Argentine World Champion</v>
      </c>
    </row>
    <row r="5876" ht="15.75" customHeight="1">
      <c r="A5876" s="1">
        <v>7059.0</v>
      </c>
      <c r="B5876" s="3" t="s">
        <v>16908</v>
      </c>
      <c r="C5876" s="3">
        <v>0.0</v>
      </c>
      <c r="D5876" s="3">
        <v>0.0</v>
      </c>
      <c r="E5876" s="3">
        <v>0.0</v>
      </c>
      <c r="F5876" s="3" t="s">
        <v>16909</v>
      </c>
      <c r="G5876" s="3">
        <v>0.0</v>
      </c>
      <c r="H5876" s="3">
        <v>0.0</v>
      </c>
      <c r="I5876" s="3" t="s">
        <v>13</v>
      </c>
      <c r="J5876" s="3" t="s">
        <v>16910</v>
      </c>
      <c r="K5876" s="3" t="s">
        <v>54</v>
      </c>
      <c r="L5876" s="3" t="str">
        <f>IFERROR(__xludf.DUMMYFUNCTION("GOOGLETRANSLATE(F5876,""id"",""en"")"),"Argentina, who failed to win, can also be Indonesia")</f>
        <v>Argentina, who failed to win, can also be Indonesia</v>
      </c>
    </row>
    <row r="5877" ht="15.75" customHeight="1">
      <c r="A5877" s="1">
        <v>7060.0</v>
      </c>
      <c r="B5877" s="3" t="s">
        <v>16911</v>
      </c>
      <c r="C5877" s="3">
        <v>0.0</v>
      </c>
      <c r="D5877" s="3">
        <v>0.0</v>
      </c>
      <c r="E5877" s="3">
        <v>0.0</v>
      </c>
      <c r="F5877" s="3" t="s">
        <v>16912</v>
      </c>
      <c r="G5877" s="3">
        <v>0.0</v>
      </c>
      <c r="H5877" s="3">
        <v>0.0</v>
      </c>
      <c r="I5877" s="3" t="s">
        <v>13</v>
      </c>
      <c r="J5877" s="3" t="s">
        <v>16913</v>
      </c>
      <c r="K5877" s="3" t="s">
        <v>31</v>
      </c>
      <c r="L5877" s="3" t="str">
        <f>IFERROR(__xludf.DUMMYFUNCTION("GOOGLETRANSLATE(F5877,""id"",""en"")"),"Argentina, the specialist runner, can win this year")</f>
        <v>Argentina, the specialist runner, can win this year</v>
      </c>
    </row>
    <row r="5878" ht="15.75" customHeight="1">
      <c r="A5878" s="1">
        <v>7061.0</v>
      </c>
      <c r="B5878" s="3" t="s">
        <v>16914</v>
      </c>
      <c r="C5878" s="3">
        <v>0.0</v>
      </c>
      <c r="D5878" s="3">
        <v>0.0</v>
      </c>
      <c r="E5878" s="3">
        <v>1.0</v>
      </c>
      <c r="F5878" s="3" t="s">
        <v>16892</v>
      </c>
      <c r="G5878" s="3">
        <v>0.0</v>
      </c>
      <c r="H5878" s="3">
        <v>0.0</v>
      </c>
      <c r="I5878" s="3" t="s">
        <v>13</v>
      </c>
      <c r="J5878" s="3" t="s">
        <v>16893</v>
      </c>
      <c r="K5878" s="3" t="s">
        <v>433</v>
      </c>
      <c r="L5878" s="3" t="str">
        <f>IFERROR(__xludf.DUMMYFUNCTION("GOOGLETRANSLATE(F5878,""id"",""en"")"),"Salt Bae was investigated by FIFA because of being able to go down the field when the Argentine celebration won the World Cup")</f>
        <v>Salt Bae was investigated by FIFA because of being able to go down the field when the Argentine celebration won the World Cup</v>
      </c>
    </row>
    <row r="5879" ht="15.75" customHeight="1">
      <c r="A5879" s="1">
        <v>7062.0</v>
      </c>
      <c r="B5879" s="3" t="s">
        <v>16915</v>
      </c>
      <c r="C5879" s="3">
        <v>0.0</v>
      </c>
      <c r="D5879" s="3">
        <v>0.0</v>
      </c>
      <c r="E5879" s="3">
        <v>1.0</v>
      </c>
      <c r="F5879" s="3" t="s">
        <v>16916</v>
      </c>
      <c r="G5879" s="3">
        <v>0.0</v>
      </c>
      <c r="H5879" s="3">
        <v>0.0</v>
      </c>
      <c r="I5879" s="3" t="s">
        <v>13</v>
      </c>
      <c r="J5879" s="3" t="s">
        <v>16917</v>
      </c>
      <c r="K5879" s="3" t="s">
        <v>699</v>
      </c>
      <c r="L5879" s="3" t="str">
        <f>IFERROR(__xludf.DUMMYFUNCTION("GOOGLETRANSLATE(F5879,""id"",""en"")"),"Today is almost a million snacks, it's okay for the true fans of the Argentine national team champion World Cup Vamos Argentina")</f>
        <v>Today is almost a million snacks, it's okay for the true fans of the Argentine national team champion World Cup Vamos Argentina</v>
      </c>
    </row>
    <row r="5880" ht="15.75" customHeight="1">
      <c r="A5880" s="1">
        <v>7063.0</v>
      </c>
      <c r="B5880" s="3" t="s">
        <v>16918</v>
      </c>
      <c r="C5880" s="3">
        <v>0.0</v>
      </c>
      <c r="D5880" s="3">
        <v>0.0</v>
      </c>
      <c r="E5880" s="3">
        <v>0.0</v>
      </c>
      <c r="F5880" s="3" t="s">
        <v>16847</v>
      </c>
      <c r="G5880" s="3">
        <v>0.0</v>
      </c>
      <c r="H5880" s="3">
        <v>0.0</v>
      </c>
      <c r="I5880" s="3" t="s">
        <v>13</v>
      </c>
      <c r="J5880" s="3" t="s">
        <v>16848</v>
      </c>
      <c r="K5880" s="3" t="s">
        <v>82</v>
      </c>
      <c r="L5880" s="3" t="str">
        <f>IFERROR(__xludf.DUMMYFUNCTION("GOOGLETRANSLATE(F5880,""id"",""en"")"),"Why does Argentina not rank FIFA after the World Cup championship")</f>
        <v>Why does Argentina not rank FIFA after the World Cup championship</v>
      </c>
    </row>
    <row r="5881" ht="15.75" customHeight="1">
      <c r="A5881" s="1">
        <v>7064.0</v>
      </c>
      <c r="B5881" s="3" t="s">
        <v>16919</v>
      </c>
      <c r="C5881" s="3">
        <v>0.0</v>
      </c>
      <c r="D5881" s="3">
        <v>0.0</v>
      </c>
      <c r="E5881" s="3">
        <v>2.0</v>
      </c>
      <c r="F5881" s="3" t="s">
        <v>16920</v>
      </c>
      <c r="G5881" s="3">
        <v>0.0</v>
      </c>
      <c r="H5881" s="3">
        <v>0.0</v>
      </c>
      <c r="I5881" s="3" t="s">
        <v>13</v>
      </c>
      <c r="J5881" s="3" t="s">
        <v>16921</v>
      </c>
      <c r="K5881" s="3" t="s">
        <v>75</v>
      </c>
      <c r="L5881" s="3" t="str">
        <f>IFERROR(__xludf.DUMMYFUNCTION("GOOGLETRANSLATE(F5881,""id"",""en"")"),"Lionel Messi famous player from Argentina who won the Qatar World Cup")</f>
        <v>Lionel Messi famous player from Argentina who won the Qatar World Cup</v>
      </c>
    </row>
    <row r="5882" ht="15.75" customHeight="1">
      <c r="A5882" s="1">
        <v>7065.0</v>
      </c>
      <c r="B5882" s="3" t="s">
        <v>16922</v>
      </c>
      <c r="C5882" s="3">
        <v>2.0</v>
      </c>
      <c r="D5882" s="3">
        <v>50.0</v>
      </c>
      <c r="E5882" s="3">
        <v>118.0</v>
      </c>
      <c r="F5882" s="3" t="s">
        <v>16923</v>
      </c>
      <c r="G5882" s="3">
        <v>0.2</v>
      </c>
      <c r="H5882" s="3">
        <v>-0.05</v>
      </c>
      <c r="I5882" s="3" t="s">
        <v>179</v>
      </c>
      <c r="J5882" s="3" t="s">
        <v>16924</v>
      </c>
      <c r="K5882" s="3" t="s">
        <v>2454</v>
      </c>
      <c r="L5882" s="3" t="str">
        <f>IFERROR(__xludf.DUMMYFUNCTION("GOOGLETRANSLATE(F5882,""id"",""en"")"),"Salt Bae came in and participated in the Argentine championship party no one died because his behavior was only the image tarnished by FIFA will investigate the Kanjuruhan LBH org died, but watching the Investigation Soccer is very minor FIFA or PSSI just"&amp;" ordinary PSSI")</f>
        <v>Salt Bae came in and participated in the Argentine championship party no one died because his behavior was only the image tarnished by FIFA will investigate the Kanjuruhan LBH org died, but watching the Investigation Soccer is very minor FIFA or PSSI just ordinary PSSI</v>
      </c>
    </row>
    <row r="5883" ht="15.75" customHeight="1">
      <c r="A5883" s="1">
        <v>7066.0</v>
      </c>
      <c r="B5883" s="3" t="s">
        <v>16925</v>
      </c>
      <c r="C5883" s="3">
        <v>0.0</v>
      </c>
      <c r="D5883" s="3">
        <v>0.0</v>
      </c>
      <c r="E5883" s="3">
        <v>2.0</v>
      </c>
      <c r="F5883" s="3" t="s">
        <v>16926</v>
      </c>
      <c r="G5883" s="3">
        <v>0.0</v>
      </c>
      <c r="H5883" s="3">
        <v>0.0</v>
      </c>
      <c r="I5883" s="3" t="s">
        <v>13</v>
      </c>
      <c r="J5883" s="3" t="s">
        <v>16927</v>
      </c>
      <c r="K5883" s="3" t="s">
        <v>1699</v>
      </c>
      <c r="L5883" s="3" t="str">
        <f>IFERROR(__xludf.DUMMYFUNCTION("GOOGLETRANSLATE(F5883,""id"",""en"")"),"Indo Jiah don't say crying yesterday Argentina is said to be home home eh really returning home the world champion later when the incident really WDC was told to say respect again wkwk")</f>
        <v>Indo Jiah don't say crying yesterday Argentina is said to be home home eh really returning home the world champion later when the incident really WDC was told to say respect again wkwk</v>
      </c>
    </row>
    <row r="5884" ht="15.75" customHeight="1">
      <c r="A5884" s="1">
        <v>7067.0</v>
      </c>
      <c r="B5884" s="3" t="s">
        <v>16928</v>
      </c>
      <c r="C5884" s="3">
        <v>0.0</v>
      </c>
      <c r="D5884" s="3">
        <v>2.0</v>
      </c>
      <c r="E5884" s="3">
        <v>23.0</v>
      </c>
      <c r="F5884" s="3" t="s">
        <v>16929</v>
      </c>
      <c r="G5884" s="3">
        <v>0.0</v>
      </c>
      <c r="H5884" s="3">
        <v>0.0</v>
      </c>
      <c r="I5884" s="3" t="s">
        <v>13</v>
      </c>
      <c r="J5884" s="3" t="s">
        <v>16930</v>
      </c>
      <c r="K5884" s="3" t="s">
        <v>50</v>
      </c>
      <c r="L5884" s="3" t="str">
        <f>IFERROR(__xludf.DUMMYFUNCTION("GOOGLETRANSLATE(F5884,""id"",""en"")"),"Take a peek at the magnificent Mosque of the biggest Argentina Country World Cup Champion Photo Istock")</f>
        <v>Take a peek at the magnificent Mosque of the biggest Argentina Country World Cup Champion Photo Istock</v>
      </c>
    </row>
    <row r="5885" ht="15.75" customHeight="1">
      <c r="A5885" s="1">
        <v>7068.0</v>
      </c>
      <c r="B5885" s="3" t="s">
        <v>16931</v>
      </c>
      <c r="C5885" s="3">
        <v>0.0</v>
      </c>
      <c r="D5885" s="3">
        <v>1.0</v>
      </c>
      <c r="E5885" s="3">
        <v>2.0</v>
      </c>
      <c r="F5885" s="3" t="s">
        <v>16932</v>
      </c>
      <c r="G5885" s="3">
        <v>0.0</v>
      </c>
      <c r="H5885" s="3">
        <v>0.0</v>
      </c>
      <c r="I5885" s="3" t="s">
        <v>13</v>
      </c>
      <c r="J5885" s="3" t="s">
        <v>16933</v>
      </c>
      <c r="K5885" s="3" t="s">
        <v>75</v>
      </c>
      <c r="L5885" s="3" t="str">
        <f>IFERROR(__xludf.DUMMYFUNCTION("GOOGLETRANSLATE(F5885,""id"",""en"")"),"Prediction of French Argentina Score Composition of the Players Who Champion World Cup")</f>
        <v>Prediction of French Argentina Score Composition of the Players Who Champion World Cup</v>
      </c>
    </row>
    <row r="5886" ht="15.75" customHeight="1">
      <c r="A5886" s="1">
        <v>7069.0</v>
      </c>
      <c r="B5886" s="3" t="s">
        <v>16934</v>
      </c>
      <c r="C5886" s="3">
        <v>0.0</v>
      </c>
      <c r="D5886" s="3">
        <v>0.0</v>
      </c>
      <c r="E5886" s="3">
        <v>0.0</v>
      </c>
      <c r="F5886" s="3" t="s">
        <v>16935</v>
      </c>
      <c r="G5886" s="3">
        <v>0.0</v>
      </c>
      <c r="H5886" s="3">
        <v>0.0</v>
      </c>
      <c r="I5886" s="3" t="s">
        <v>13</v>
      </c>
      <c r="J5886" s="3" t="s">
        <v>16936</v>
      </c>
      <c r="K5886" s="3" t="s">
        <v>286</v>
      </c>
      <c r="L5886" s="3" t="str">
        <f>IFERROR(__xludf.DUMMYFUNCTION("GOOGLETRANSLATE(F5886,""id"",""en"")"),"Media Malaysia predicts that the Indonesian national team is impossible to win the AFF, we are just a supporter of loyal, not want to be the national team, it's better to discuss who the PSSI Ketum is Argentina.")</f>
        <v>Media Malaysia predicts that the Indonesian national team is impossible to win the AFF, we are just a supporter of loyal, not want to be the national team, it's better to discuss who the PSSI Ketum is Argentina.</v>
      </c>
    </row>
    <row r="5887" ht="15.75" customHeight="1">
      <c r="A5887" s="1">
        <v>7070.0</v>
      </c>
      <c r="B5887" s="3" t="s">
        <v>16937</v>
      </c>
      <c r="C5887" s="3">
        <v>0.0</v>
      </c>
      <c r="D5887" s="3">
        <v>0.0</v>
      </c>
      <c r="E5887" s="3">
        <v>0.0</v>
      </c>
      <c r="F5887" s="3" t="s">
        <v>16938</v>
      </c>
      <c r="G5887" s="3">
        <v>0.0</v>
      </c>
      <c r="H5887" s="3">
        <v>0.0</v>
      </c>
      <c r="I5887" s="3" t="s">
        <v>13</v>
      </c>
      <c r="J5887" s="3" t="s">
        <v>16939</v>
      </c>
      <c r="K5887" s="3" t="s">
        <v>456</v>
      </c>
      <c r="L5887" s="3" t="str">
        <f>IFERROR(__xludf.DUMMYFUNCTION("GOOGLETRANSLATE(F5887,""id"",""en"")"),"FIFA finally opened his voice related to the action of Salt Bae who was causing the celebration of the Argentine world champion FIFA stressed that what Salt Bae was doing and kissed the trophy had violated the rules and now will investigate how to enter t"&amp;"he field")</f>
        <v>FIFA finally opened his voice related to the action of Salt Bae who was causing the celebration of the Argentine world champion FIFA stressed that what Salt Bae was doing and kissed the trophy had violated the rules and now will investigate how to enter the field</v>
      </c>
    </row>
    <row r="5888" ht="15.75" customHeight="1">
      <c r="A5888" s="1">
        <v>7071.0</v>
      </c>
      <c r="B5888" s="3" t="s">
        <v>16940</v>
      </c>
      <c r="C5888" s="3">
        <v>0.0</v>
      </c>
      <c r="D5888" s="3">
        <v>0.0</v>
      </c>
      <c r="E5888" s="3">
        <v>0.0</v>
      </c>
      <c r="F5888" s="3" t="s">
        <v>16941</v>
      </c>
      <c r="G5888" s="3">
        <v>0.0</v>
      </c>
      <c r="H5888" s="3">
        <v>0.0</v>
      </c>
      <c r="I5888" s="3" t="s">
        <v>13</v>
      </c>
      <c r="J5888" s="3" t="s">
        <v>16942</v>
      </c>
      <c r="K5888" s="3" t="s">
        <v>644</v>
      </c>
      <c r="L5888" s="3" t="str">
        <f>IFERROR(__xludf.DUMMYFUNCTION("GOOGLETRANSLATE(F5888,""id"",""en"")"),"Argentina World Cup Champion After")</f>
        <v>Argentina World Cup Champion After</v>
      </c>
    </row>
    <row r="5889" ht="15.75" customHeight="1">
      <c r="A5889" s="1">
        <v>7072.0</v>
      </c>
      <c r="B5889" s="3" t="s">
        <v>16943</v>
      </c>
      <c r="C5889" s="3">
        <v>0.0</v>
      </c>
      <c r="D5889" s="3">
        <v>1.0</v>
      </c>
      <c r="E5889" s="3">
        <v>2.0</v>
      </c>
      <c r="F5889" s="3" t="s">
        <v>16944</v>
      </c>
      <c r="G5889" s="3">
        <v>0.0</v>
      </c>
      <c r="H5889" s="3">
        <v>0.0</v>
      </c>
      <c r="I5889" s="3" t="s">
        <v>13</v>
      </c>
      <c r="J5889" s="3" t="s">
        <v>16945</v>
      </c>
      <c r="K5889" s="3" t="s">
        <v>75</v>
      </c>
      <c r="L5889" s="3" t="str">
        <f>IFERROR(__xludf.DUMMYFUNCTION("GOOGLETRANSLATE(F5889,""id"",""en"")"),"Prediction of Argentina French version of Erick Thohir America Latin champions because of Messi")</f>
        <v>Prediction of Argentina French version of Erick Thohir America Latin champions because of Messi</v>
      </c>
    </row>
    <row r="5890" ht="15.75" customHeight="1">
      <c r="A5890" s="1">
        <v>7073.0</v>
      </c>
      <c r="B5890" s="3" t="s">
        <v>16946</v>
      </c>
      <c r="C5890" s="3">
        <v>0.0</v>
      </c>
      <c r="D5890" s="3">
        <v>0.0</v>
      </c>
      <c r="E5890" s="3">
        <v>2.0</v>
      </c>
      <c r="F5890" s="3" t="s">
        <v>16947</v>
      </c>
      <c r="G5890" s="3">
        <v>0.0</v>
      </c>
      <c r="H5890" s="3">
        <v>0.0</v>
      </c>
      <c r="I5890" s="3" t="s">
        <v>13</v>
      </c>
      <c r="J5890" s="3" t="s">
        <v>16948</v>
      </c>
      <c r="K5890" s="3" t="s">
        <v>657</v>
      </c>
      <c r="L5890" s="3" t="str">
        <f>IFERROR(__xludf.DUMMYFUNCTION("GOOGLETRANSLATE(F5890,""id"",""en"")"),"The champion is clearly almost certain how the process and the way you don't need to lose also opponents Cambodia, the opening party like Argentina")</f>
        <v>The champion is clearly almost certain how the process and the way you don't need to lose also opponents Cambodia, the opening party like Argentina</v>
      </c>
    </row>
    <row r="5891" ht="15.75" customHeight="1">
      <c r="A5891" s="1">
        <v>7074.0</v>
      </c>
      <c r="B5891" s="3" t="s">
        <v>16949</v>
      </c>
      <c r="C5891" s="3">
        <v>0.0</v>
      </c>
      <c r="D5891" s="3">
        <v>0.0</v>
      </c>
      <c r="E5891" s="3">
        <v>0.0</v>
      </c>
      <c r="F5891" s="3" t="s">
        <v>16950</v>
      </c>
      <c r="G5891" s="3">
        <v>0.0</v>
      </c>
      <c r="H5891" s="3">
        <v>0.0</v>
      </c>
      <c r="I5891" s="3" t="s">
        <v>13</v>
      </c>
      <c r="J5891" s="3" t="s">
        <v>16951</v>
      </c>
      <c r="K5891" s="3" t="s">
        <v>31</v>
      </c>
      <c r="L5891" s="3" t="str">
        <f>IFERROR(__xludf.DUMMYFUNCTION("GOOGLETRANSLATE(F5891,""id"",""en"")"),"Argentine championship party ended in clashes")</f>
        <v>Argentine championship party ended in clashes</v>
      </c>
    </row>
    <row r="5892" ht="15.75" customHeight="1">
      <c r="A5892" s="1">
        <v>7075.0</v>
      </c>
      <c r="B5892" s="3" t="s">
        <v>16952</v>
      </c>
      <c r="C5892" s="3">
        <v>1.0</v>
      </c>
      <c r="D5892" s="3">
        <v>2.0</v>
      </c>
      <c r="E5892" s="3">
        <v>3.0</v>
      </c>
      <c r="F5892" s="3" t="s">
        <v>16953</v>
      </c>
      <c r="G5892" s="3">
        <v>0.0</v>
      </c>
      <c r="H5892" s="3">
        <v>0.0</v>
      </c>
      <c r="I5892" s="3" t="s">
        <v>13</v>
      </c>
      <c r="J5892" s="3" t="s">
        <v>16954</v>
      </c>
      <c r="K5892" s="3" t="s">
        <v>15</v>
      </c>
      <c r="L5892" s="3" t="str">
        <f>IFERROR(__xludf.DUMMYFUNCTION("GOOGLETRANSLATE(F5892,""id"",""en"")"),"Argentina Sulawesi Baby World Champion Named Messi")</f>
        <v>Argentina Sulawesi Baby World Champion Named Messi</v>
      </c>
    </row>
    <row r="5893" ht="15.75" customHeight="1">
      <c r="A5893" s="1">
        <v>7076.0</v>
      </c>
      <c r="B5893" s="3" t="s">
        <v>16955</v>
      </c>
      <c r="C5893" s="3">
        <v>0.0</v>
      </c>
      <c r="D5893" s="3">
        <v>0.0</v>
      </c>
      <c r="E5893" s="3">
        <v>0.0</v>
      </c>
      <c r="F5893" s="3" t="s">
        <v>16956</v>
      </c>
      <c r="G5893" s="3">
        <v>0.0</v>
      </c>
      <c r="H5893" s="3">
        <v>0.0</v>
      </c>
      <c r="I5893" s="3" t="s">
        <v>13</v>
      </c>
      <c r="J5893" s="3" t="s">
        <v>16957</v>
      </c>
      <c r="K5893" s="3" t="s">
        <v>657</v>
      </c>
      <c r="L5893" s="3" t="str">
        <f>IFERROR(__xludf.DUMMYFUNCTION("GOOGLETRANSLATE(F5893,""id"",""en"")"),"Aamiin Indonesia Ball must imitate the spirit of Argentina, both players and supporters of the Fanantik Football country, have not been champions for a long time")</f>
        <v>Aamiin Indonesia Ball must imitate the spirit of Argentina, both players and supporters of the Fanantik Football country, have not been champions for a long time</v>
      </c>
    </row>
    <row r="5894" ht="15.75" customHeight="1">
      <c r="A5894" s="1">
        <v>7077.0</v>
      </c>
      <c r="B5894" s="3" t="s">
        <v>16958</v>
      </c>
      <c r="C5894" s="3">
        <v>0.0</v>
      </c>
      <c r="D5894" s="3">
        <v>0.0</v>
      </c>
      <c r="E5894" s="3">
        <v>1.0</v>
      </c>
      <c r="F5894" s="3" t="s">
        <v>16959</v>
      </c>
      <c r="G5894" s="3">
        <v>0.0</v>
      </c>
      <c r="H5894" s="3">
        <v>0.0</v>
      </c>
      <c r="I5894" s="3" t="s">
        <v>13</v>
      </c>
      <c r="J5894" s="3" t="s">
        <v>16960</v>
      </c>
      <c r="K5894" s="3" t="s">
        <v>236</v>
      </c>
      <c r="L5894" s="3" t="str">
        <f>IFERROR(__xludf.DUMMYFUNCTION("GOOGLETRANSLATE(F5894,""id"",""en"")"),"Argentina has champions of the World Cup Now it's time for Indonesia to win the AFF Gasssssss")</f>
        <v>Argentina has champions of the World Cup Now it's time for Indonesia to win the AFF Gasssssss</v>
      </c>
    </row>
    <row r="5895" ht="15.75" customHeight="1">
      <c r="A5895" s="1">
        <v>7078.0</v>
      </c>
      <c r="B5895" s="3" t="s">
        <v>16961</v>
      </c>
      <c r="C5895" s="3">
        <v>1.0</v>
      </c>
      <c r="D5895" s="3">
        <v>0.0</v>
      </c>
      <c r="E5895" s="3">
        <v>1.0</v>
      </c>
      <c r="F5895" s="3" t="s">
        <v>16962</v>
      </c>
      <c r="G5895" s="3">
        <v>0.0</v>
      </c>
      <c r="H5895" s="3">
        <v>0.0</v>
      </c>
      <c r="I5895" s="3" t="s">
        <v>13</v>
      </c>
      <c r="J5895" s="3" t="s">
        <v>16963</v>
      </c>
      <c r="K5895" s="3" t="s">
        <v>16964</v>
      </c>
      <c r="L5895" s="3" t="str">
        <f>IFERROR(__xludf.DUMMYFUNCTION("GOOGLETRANSLATE(F5895,""id"",""en"")"),"France arrived but the previous edition had champions Argentina, but now the edition of the champion is Brazil, but the Spanish champion and the British champion, but once once the Rinaldi Ama state championship")</f>
        <v>France arrived but the previous edition had champions Argentina, but now the edition of the champion is Brazil, but the Spanish champion and the British champion, but once once the Rinaldi Ama state championship</v>
      </c>
    </row>
    <row r="5896" ht="15.75" customHeight="1">
      <c r="A5896" s="1">
        <v>7079.0</v>
      </c>
      <c r="B5896" s="3" t="s">
        <v>16965</v>
      </c>
      <c r="C5896" s="3">
        <v>0.0</v>
      </c>
      <c r="D5896" s="3">
        <v>0.0</v>
      </c>
      <c r="E5896" s="3">
        <v>1.0</v>
      </c>
      <c r="F5896" s="3" t="s">
        <v>16966</v>
      </c>
      <c r="G5896" s="3">
        <v>1.0</v>
      </c>
      <c r="H5896" s="3">
        <v>1.0</v>
      </c>
      <c r="I5896" s="3" t="s">
        <v>48</v>
      </c>
      <c r="J5896" s="3" t="s">
        <v>16967</v>
      </c>
      <c r="K5896" s="3" t="s">
        <v>15</v>
      </c>
      <c r="L5896" s="3" t="str">
        <f>IFERROR(__xludf.DUMMYFUNCTION("GOOGLETRANSLATE(F5896,""id"",""en"")"),"The Legendary Messi Keeper, so Argentina won")</f>
        <v>The Legendary Messi Keeper, so Argentina won</v>
      </c>
    </row>
    <row r="5897" ht="15.75" customHeight="1">
      <c r="A5897" s="1">
        <v>7080.0</v>
      </c>
      <c r="B5897" s="3" t="s">
        <v>16968</v>
      </c>
      <c r="C5897" s="3">
        <v>0.0</v>
      </c>
      <c r="D5897" s="3">
        <v>3.0</v>
      </c>
      <c r="E5897" s="3">
        <v>5.0</v>
      </c>
      <c r="F5897" s="3" t="s">
        <v>16969</v>
      </c>
      <c r="G5897" s="3">
        <v>0.0</v>
      </c>
      <c r="H5897" s="3">
        <v>0.0</v>
      </c>
      <c r="I5897" s="3" t="s">
        <v>13</v>
      </c>
      <c r="J5897" s="3" t="s">
        <v>16970</v>
      </c>
      <c r="K5897" s="3" t="s">
        <v>15</v>
      </c>
      <c r="L5897" s="3" t="str">
        <f>IFERROR(__xludf.DUMMYFUNCTION("GOOGLETRANSLATE(F5897,""id"",""en"")"),"Bilion to belant to drop the UMNO Allah SWT is not right")</f>
        <v>Bilion to belant to drop the UMNO Allah SWT is not right</v>
      </c>
    </row>
    <row r="5898" ht="15.75" customHeight="1">
      <c r="A5898" s="1">
        <v>7081.0</v>
      </c>
      <c r="B5898" s="3" t="s">
        <v>16971</v>
      </c>
      <c r="C5898" s="3">
        <v>0.0</v>
      </c>
      <c r="D5898" s="3">
        <v>0.0</v>
      </c>
      <c r="E5898" s="3">
        <v>0.0</v>
      </c>
      <c r="F5898" s="3" t="s">
        <v>16972</v>
      </c>
      <c r="G5898" s="3">
        <v>0.0</v>
      </c>
      <c r="H5898" s="3">
        <v>0.0</v>
      </c>
      <c r="I5898" s="3" t="s">
        <v>13</v>
      </c>
      <c r="J5898" s="3" t="s">
        <v>16973</v>
      </c>
      <c r="K5898" s="3" t="s">
        <v>510</v>
      </c>
      <c r="L5898" s="3" t="str">
        <f>IFERROR(__xludf.DUMMYFUNCTION("GOOGLETRANSLATE(F5898,""id"",""en"")"),"successfully delivered Argentina to win the World Cup title Lionel Messi was enshrined in Brazil")</f>
        <v>successfully delivered Argentina to win the World Cup title Lionel Messi was enshrined in Brazil</v>
      </c>
    </row>
    <row r="5899" ht="15.75" customHeight="1">
      <c r="A5899" s="1">
        <v>7082.0</v>
      </c>
      <c r="B5899" s="3" t="s">
        <v>16974</v>
      </c>
      <c r="C5899" s="3">
        <v>0.0</v>
      </c>
      <c r="D5899" s="3">
        <v>0.0</v>
      </c>
      <c r="E5899" s="3">
        <v>0.0</v>
      </c>
      <c r="F5899" s="3" t="s">
        <v>16975</v>
      </c>
      <c r="G5899" s="3">
        <v>0.0</v>
      </c>
      <c r="H5899" s="3">
        <v>0.0</v>
      </c>
      <c r="I5899" s="3" t="s">
        <v>13</v>
      </c>
      <c r="J5899" s="3" t="s">
        <v>16976</v>
      </c>
      <c r="K5899" s="3" t="s">
        <v>75</v>
      </c>
      <c r="L5899" s="3" t="str">
        <f>IFERROR(__xludf.DUMMYFUNCTION("GOOGLETRANSLATE(F5899,""id"",""en"")"),"if on paper mbappe will be far superior to the international level of the national team")</f>
        <v>if on paper mbappe will be far superior to the international level of the national team</v>
      </c>
    </row>
    <row r="5900" ht="15.75" customHeight="1">
      <c r="A5900" s="1">
        <v>7083.0</v>
      </c>
      <c r="B5900" s="3" t="s">
        <v>16977</v>
      </c>
      <c r="C5900" s="3">
        <v>0.0</v>
      </c>
      <c r="D5900" s="3">
        <v>0.0</v>
      </c>
      <c r="E5900" s="3">
        <v>0.0</v>
      </c>
      <c r="F5900" s="3" t="s">
        <v>16978</v>
      </c>
      <c r="G5900" s="3">
        <v>0.0</v>
      </c>
      <c r="H5900" s="3">
        <v>0.0</v>
      </c>
      <c r="I5900" s="3" t="s">
        <v>13</v>
      </c>
      <c r="J5900" s="3" t="s">
        <v>16979</v>
      </c>
      <c r="K5900" s="3" t="s">
        <v>3896</v>
      </c>
      <c r="L5900" s="3" t="str">
        <f>IFERROR(__xludf.DUMMYFUNCTION("GOOGLETRANSLATE(F5900,""id"",""en"")"),"We Flores Indonesia is very proud because Argentina is my champion Argentina fans are very happy because Messi et al successfully won the Qatar World Cup Vamos Argentina Salam from Flores Indonesia")</f>
        <v>We Flores Indonesia is very proud because Argentina is my champion Argentina fans are very happy because Messi et al successfully won the Qatar World Cup Vamos Argentina Salam from Flores Indonesia</v>
      </c>
    </row>
    <row r="5901" ht="15.75" customHeight="1">
      <c r="A5901" s="1">
        <v>7084.0</v>
      </c>
      <c r="B5901" s="3" t="s">
        <v>16980</v>
      </c>
      <c r="C5901" s="3">
        <v>1.0</v>
      </c>
      <c r="D5901" s="3">
        <v>0.0</v>
      </c>
      <c r="E5901" s="3">
        <v>0.0</v>
      </c>
      <c r="F5901" s="3" t="s">
        <v>16981</v>
      </c>
      <c r="G5901" s="3">
        <v>0.0</v>
      </c>
      <c r="H5901" s="3">
        <v>0.0</v>
      </c>
      <c r="I5901" s="3" t="s">
        <v>13</v>
      </c>
      <c r="J5901" s="3" t="s">
        <v>16982</v>
      </c>
      <c r="K5901" s="3" t="s">
        <v>41</v>
      </c>
      <c r="L5901" s="3" t="str">
        <f>IFERROR(__xludf.DUMMYFUNCTION("GOOGLETRANSLATE(F5901,""id"",""en"")"),"Hopefully the relationship ends with the final score of Argentina World Cup champions")</f>
        <v>Hopefully the relationship ends with the final score of Argentina World Cup champions</v>
      </c>
    </row>
    <row r="5902" ht="15.75" customHeight="1">
      <c r="A5902" s="1">
        <v>7085.0</v>
      </c>
      <c r="B5902" s="3" t="s">
        <v>16983</v>
      </c>
      <c r="C5902" s="3">
        <v>0.0</v>
      </c>
      <c r="D5902" s="3">
        <v>0.0</v>
      </c>
      <c r="E5902" s="3">
        <v>0.0</v>
      </c>
      <c r="F5902" s="3" t="s">
        <v>16984</v>
      </c>
      <c r="G5902" s="3">
        <v>0.0</v>
      </c>
      <c r="H5902" s="3">
        <v>0.0</v>
      </c>
      <c r="I5902" s="3" t="s">
        <v>13</v>
      </c>
      <c r="J5902" s="3" t="s">
        <v>16985</v>
      </c>
      <c r="K5902" s="3" t="s">
        <v>41</v>
      </c>
      <c r="L5902" s="3" t="str">
        <f>IFERROR(__xludf.DUMMYFUNCTION("GOOGLETRANSLATE(F5902,""id"",""en"")"),"Why does Argentina until the ranking of FIFA after the World Cup championship")</f>
        <v>Why does Argentina until the ranking of FIFA after the World Cup championship</v>
      </c>
    </row>
    <row r="5903" ht="15.75" customHeight="1">
      <c r="A5903" s="1">
        <v>7086.0</v>
      </c>
      <c r="B5903" s="3" t="s">
        <v>16986</v>
      </c>
      <c r="C5903" s="3">
        <v>0.0</v>
      </c>
      <c r="D5903" s="3">
        <v>0.0</v>
      </c>
      <c r="E5903" s="3">
        <v>1.0</v>
      </c>
      <c r="F5903" s="3" t="s">
        <v>16987</v>
      </c>
      <c r="G5903" s="3">
        <v>0.0</v>
      </c>
      <c r="H5903" s="3">
        <v>0.0</v>
      </c>
      <c r="I5903" s="3" t="s">
        <v>13</v>
      </c>
      <c r="J5903" s="3" t="s">
        <v>16988</v>
      </c>
      <c r="K5903" s="3" t="s">
        <v>75</v>
      </c>
      <c r="L5903" s="3" t="str">
        <f>IFERROR(__xludf.DUMMYFUNCTION("GOOGLETRANSLATE(F5903,""id"",""en"")"),"Tanjung because Argentina Champion World Indonesian people agreed to postpone the election wkwkwkwk")</f>
        <v>Tanjung because Argentina Champion World Indonesian people agreed to postpone the election wkwkwkwk</v>
      </c>
    </row>
    <row r="5904" ht="15.75" customHeight="1">
      <c r="A5904" s="1">
        <v>7087.0</v>
      </c>
      <c r="B5904" s="3" t="s">
        <v>16989</v>
      </c>
      <c r="C5904" s="3">
        <v>0.0</v>
      </c>
      <c r="D5904" s="3">
        <v>0.0</v>
      </c>
      <c r="E5904" s="3">
        <v>0.0</v>
      </c>
      <c r="F5904" s="3" t="s">
        <v>16990</v>
      </c>
      <c r="G5904" s="3">
        <v>0.2</v>
      </c>
      <c r="H5904" s="3">
        <v>-0.1</v>
      </c>
      <c r="I5904" s="3" t="s">
        <v>179</v>
      </c>
      <c r="J5904" s="3" t="s">
        <v>16991</v>
      </c>
      <c r="K5904" s="3" t="s">
        <v>456</v>
      </c>
      <c r="L5904" s="3" t="str">
        <f>IFERROR(__xludf.DUMMYFUNCTION("GOOGLETRANSLATE(F5904,""id"",""en"")"),"Halah passed first Thailand just spoke of champions against Thailand conceded already hit mentally how to win the example of Argentina despite losing to the small team of Saudi Arabia but they rose and finally world champions")</f>
        <v>Halah passed first Thailand just spoke of champions against Thailand conceded already hit mentally how to win the example of Argentina despite losing to the small team of Saudi Arabia but they rose and finally world champions</v>
      </c>
    </row>
    <row r="5905" ht="15.75" customHeight="1">
      <c r="A5905" s="1">
        <v>7088.0</v>
      </c>
      <c r="B5905" s="3" t="s">
        <v>16992</v>
      </c>
      <c r="C5905" s="3">
        <v>0.0</v>
      </c>
      <c r="D5905" s="3">
        <v>0.0</v>
      </c>
      <c r="E5905" s="3">
        <v>7.0</v>
      </c>
      <c r="F5905" s="3" t="s">
        <v>16993</v>
      </c>
      <c r="G5905" s="3">
        <v>1.0</v>
      </c>
      <c r="H5905" s="3">
        <v>0.1</v>
      </c>
      <c r="I5905" s="3" t="s">
        <v>48</v>
      </c>
      <c r="J5905" s="3" t="s">
        <v>16994</v>
      </c>
      <c r="K5905" s="3" t="s">
        <v>657</v>
      </c>
      <c r="L5905" s="3" t="str">
        <f>IFERROR(__xludf.DUMMYFUNCTION("GOOGLETRANSLATE(F5905,""id"",""en"")"),"Wow Lionel Messi's face will decorate Argentina Peso after bringing the World Cup championship")</f>
        <v>Wow Lionel Messi's face will decorate Argentina Peso after bringing the World Cup championship</v>
      </c>
    </row>
    <row r="5906" ht="15.75" customHeight="1">
      <c r="A5906" s="1">
        <v>7089.0</v>
      </c>
      <c r="B5906" s="3" t="s">
        <v>16995</v>
      </c>
      <c r="C5906" s="3">
        <v>0.0</v>
      </c>
      <c r="D5906" s="3">
        <v>0.0</v>
      </c>
      <c r="E5906" s="3">
        <v>0.0</v>
      </c>
      <c r="F5906" s="3" t="s">
        <v>16996</v>
      </c>
      <c r="G5906" s="3">
        <v>0.0</v>
      </c>
      <c r="H5906" s="3">
        <v>0.0</v>
      </c>
      <c r="I5906" s="3" t="s">
        <v>13</v>
      </c>
      <c r="J5906" s="3" t="s">
        <v>16997</v>
      </c>
      <c r="K5906" s="3" t="s">
        <v>50</v>
      </c>
      <c r="L5906" s="3" t="str">
        <f>IFERROR(__xludf.DUMMYFUNCTION("GOOGLETRANSLATE(F5906,""id"",""en"")"),"Argentine national team champion World Cup Cristiano Ronaldo with Portugal is more difficult")</f>
        <v>Argentine national team champion World Cup Cristiano Ronaldo with Portugal is more difficult</v>
      </c>
    </row>
    <row r="5907" ht="15.75" customHeight="1">
      <c r="A5907" s="1">
        <v>7090.0</v>
      </c>
      <c r="B5907" s="3" t="s">
        <v>16998</v>
      </c>
      <c r="C5907" s="3">
        <v>1.0</v>
      </c>
      <c r="D5907" s="3">
        <v>0.0</v>
      </c>
      <c r="E5907" s="3">
        <v>0.0</v>
      </c>
      <c r="F5907" s="3" t="s">
        <v>16999</v>
      </c>
      <c r="G5907" s="3">
        <v>0.0</v>
      </c>
      <c r="H5907" s="3">
        <v>0.0</v>
      </c>
      <c r="I5907" s="3" t="s">
        <v>13</v>
      </c>
      <c r="J5907" s="3" t="s">
        <v>17000</v>
      </c>
      <c r="K5907" s="3" t="s">
        <v>491</v>
      </c>
      <c r="L5907" s="3" t="str">
        <f>IFERROR(__xludf.DUMMYFUNCTION("GOOGLETRANSLATE(F5907,""id"",""en"")"),"Argentina Champion Copa America is the fact that the event said it was lucky but history was recorded as Kyk said that the champion from Europe was a fact")</f>
        <v>Argentina Champion Copa America is the fact that the event said it was lucky but history was recorded as Kyk said that the champion from Europe was a fact</v>
      </c>
    </row>
    <row r="5908" ht="15.75" customHeight="1">
      <c r="A5908" s="1">
        <v>7091.0</v>
      </c>
      <c r="B5908" s="3" t="s">
        <v>17001</v>
      </c>
      <c r="C5908" s="3">
        <v>0.0</v>
      </c>
      <c r="D5908" s="3">
        <v>0.0</v>
      </c>
      <c r="E5908" s="3">
        <v>0.0</v>
      </c>
      <c r="F5908" s="3" t="s">
        <v>17002</v>
      </c>
      <c r="G5908" s="3">
        <v>0.0</v>
      </c>
      <c r="H5908" s="3">
        <v>0.0</v>
      </c>
      <c r="I5908" s="3" t="s">
        <v>13</v>
      </c>
      <c r="J5908" s="3" t="s">
        <v>17003</v>
      </c>
      <c r="K5908" s="3" t="s">
        <v>41</v>
      </c>
      <c r="L5908" s="3" t="str">
        <f>IFERROR(__xludf.DUMMYFUNCTION("GOOGLETRANSLATE(F5908,""id"",""en"")"),"So the former affair of Messi Portrait Luciana was present at Argentina Champion")</f>
        <v>So the former affair of Messi Portrait Luciana was present at Argentina Champion</v>
      </c>
    </row>
    <row r="5909" ht="15.75" customHeight="1">
      <c r="A5909" s="1">
        <v>7092.0</v>
      </c>
      <c r="B5909" s="3" t="s">
        <v>17004</v>
      </c>
      <c r="C5909" s="3">
        <v>0.0</v>
      </c>
      <c r="D5909" s="3">
        <v>0.0</v>
      </c>
      <c r="E5909" s="3">
        <v>0.0</v>
      </c>
      <c r="F5909" s="3" t="s">
        <v>17005</v>
      </c>
      <c r="G5909" s="3">
        <v>0.0</v>
      </c>
      <c r="H5909" s="3">
        <v>0.0</v>
      </c>
      <c r="I5909" s="3" t="s">
        <v>13</v>
      </c>
      <c r="J5909" s="3" t="s">
        <v>17006</v>
      </c>
      <c r="K5909" s="3" t="s">
        <v>236</v>
      </c>
      <c r="L5909" s="3" t="str">
        <f>IFERROR(__xludf.DUMMYFUNCTION("GOOGLETRANSLATE(F5909,""id"",""en"")"),"Argentina world football champions have just won the world war")</f>
        <v>Argentina world football champions have just won the world war</v>
      </c>
    </row>
    <row r="5910" ht="15.75" customHeight="1">
      <c r="A5910" s="1">
        <v>7093.0</v>
      </c>
      <c r="B5910" s="3" t="s">
        <v>17007</v>
      </c>
      <c r="C5910" s="3">
        <v>1.0</v>
      </c>
      <c r="D5910" s="3">
        <v>0.0</v>
      </c>
      <c r="E5910" s="3">
        <v>0.0</v>
      </c>
      <c r="F5910" s="3" t="s">
        <v>17005</v>
      </c>
      <c r="G5910" s="3">
        <v>0.0</v>
      </c>
      <c r="H5910" s="3">
        <v>0.0</v>
      </c>
      <c r="I5910" s="3" t="s">
        <v>13</v>
      </c>
      <c r="J5910" s="3" t="s">
        <v>17006</v>
      </c>
      <c r="K5910" s="3" t="s">
        <v>236</v>
      </c>
      <c r="L5910" s="3" t="str">
        <f>IFERROR(__xludf.DUMMYFUNCTION("GOOGLETRANSLATE(F5910,""id"",""en"")"),"Argentina world football champions have just won the world war")</f>
        <v>Argentina world football champions have just won the world war</v>
      </c>
    </row>
    <row r="5911" ht="15.75" customHeight="1">
      <c r="A5911" s="1">
        <v>7094.0</v>
      </c>
      <c r="B5911" s="3" t="s">
        <v>17007</v>
      </c>
      <c r="C5911" s="3">
        <v>1.0</v>
      </c>
      <c r="D5911" s="3">
        <v>0.0</v>
      </c>
      <c r="E5911" s="3">
        <v>1.0</v>
      </c>
      <c r="F5911" s="3" t="s">
        <v>17005</v>
      </c>
      <c r="G5911" s="3">
        <v>0.0</v>
      </c>
      <c r="H5911" s="3">
        <v>0.0</v>
      </c>
      <c r="I5911" s="3" t="s">
        <v>13</v>
      </c>
      <c r="J5911" s="3" t="s">
        <v>17006</v>
      </c>
      <c r="K5911" s="3" t="s">
        <v>236</v>
      </c>
      <c r="L5911" s="3" t="str">
        <f>IFERROR(__xludf.DUMMYFUNCTION("GOOGLETRANSLATE(F5911,""id"",""en"")"),"Argentina world football champions have just won the world war")</f>
        <v>Argentina world football champions have just won the world war</v>
      </c>
    </row>
    <row r="5912" ht="15.75" customHeight="1">
      <c r="A5912" s="1">
        <v>7095.0</v>
      </c>
      <c r="B5912" s="3" t="s">
        <v>17007</v>
      </c>
      <c r="C5912" s="3">
        <v>0.0</v>
      </c>
      <c r="D5912" s="3">
        <v>0.0</v>
      </c>
      <c r="E5912" s="3">
        <v>0.0</v>
      </c>
      <c r="F5912" s="3" t="s">
        <v>17005</v>
      </c>
      <c r="G5912" s="3">
        <v>0.0</v>
      </c>
      <c r="H5912" s="3">
        <v>0.0</v>
      </c>
      <c r="I5912" s="3" t="s">
        <v>13</v>
      </c>
      <c r="J5912" s="3" t="s">
        <v>17006</v>
      </c>
      <c r="K5912" s="3" t="s">
        <v>236</v>
      </c>
      <c r="L5912" s="3" t="str">
        <f>IFERROR(__xludf.DUMMYFUNCTION("GOOGLETRANSLATE(F5912,""id"",""en"")"),"Argentina world football champions have just won the world war")</f>
        <v>Argentina world football champions have just won the world war</v>
      </c>
    </row>
    <row r="5913" ht="15.75" customHeight="1">
      <c r="A5913" s="1">
        <v>7096.0</v>
      </c>
      <c r="B5913" s="3" t="s">
        <v>17008</v>
      </c>
      <c r="C5913" s="3">
        <v>0.0</v>
      </c>
      <c r="D5913" s="3">
        <v>0.0</v>
      </c>
      <c r="E5913" s="3">
        <v>0.0</v>
      </c>
      <c r="F5913" s="3" t="s">
        <v>17009</v>
      </c>
      <c r="G5913" s="3">
        <v>0.0</v>
      </c>
      <c r="H5913" s="3">
        <v>0.0</v>
      </c>
      <c r="I5913" s="3" t="s">
        <v>13</v>
      </c>
      <c r="J5913" s="3" t="s">
        <v>17010</v>
      </c>
      <c r="K5913" s="3" t="s">
        <v>75</v>
      </c>
      <c r="L5913" s="3" t="str">
        <f>IFERROR(__xludf.DUMMYFUNCTION("GOOGLETRANSLATE(F5913,""id"",""en"")"),"Bring Argentina national team world champion Lionel Messi successfully recorded this record")</f>
        <v>Bring Argentina national team world champion Lionel Messi successfully recorded this record</v>
      </c>
    </row>
    <row r="5914" ht="15.75" customHeight="1">
      <c r="A5914" s="1">
        <v>7097.0</v>
      </c>
      <c r="B5914" s="3" t="s">
        <v>17011</v>
      </c>
      <c r="C5914" s="3">
        <v>1.0</v>
      </c>
      <c r="D5914" s="3">
        <v>0.0</v>
      </c>
      <c r="E5914" s="3">
        <v>1.0</v>
      </c>
      <c r="F5914" s="3" t="s">
        <v>17012</v>
      </c>
      <c r="G5914" s="3">
        <v>0.0</v>
      </c>
      <c r="H5914" s="3">
        <v>0.0</v>
      </c>
      <c r="I5914" s="3" t="s">
        <v>13</v>
      </c>
      <c r="J5914" s="3" t="s">
        <v>17013</v>
      </c>
      <c r="K5914" s="3" t="s">
        <v>75</v>
      </c>
      <c r="L5914" s="3" t="str">
        <f>IFERROR(__xludf.DUMMYFUNCTION("GOOGLETRANSLATE(F5914,""id"",""en"")"),"Lokedo we like because many are lost stressful mind ready to see Argentina Champion")</f>
        <v>Lokedo we like because many are lost stressful mind ready to see Argentina Champion</v>
      </c>
    </row>
    <row r="5915" ht="15.75" customHeight="1">
      <c r="A5915" s="1">
        <v>7098.0</v>
      </c>
      <c r="B5915" s="3" t="s">
        <v>17014</v>
      </c>
      <c r="C5915" s="3">
        <v>0.0</v>
      </c>
      <c r="D5915" s="3">
        <v>0.0</v>
      </c>
      <c r="E5915" s="3">
        <v>1.0</v>
      </c>
      <c r="F5915" s="3" t="s">
        <v>17015</v>
      </c>
      <c r="G5915" s="3">
        <v>0.0</v>
      </c>
      <c r="H5915" s="3">
        <v>0.0</v>
      </c>
      <c r="I5915" s="3" t="s">
        <v>13</v>
      </c>
      <c r="J5915" s="3" t="s">
        <v>17016</v>
      </c>
      <c r="K5915" s="3" t="s">
        <v>883</v>
      </c>
      <c r="L5915" s="3" t="str">
        <f>IFERROR(__xludf.DUMMYFUNCTION("GOOGLETRANSLATE(F5915,""id"",""en"")"),"Fortunately, Argentina, the people's champions, can forget the economic crisis that is getting worse by the people's parties can forget the high inflation and foreign debt that is difficult to pay")</f>
        <v>Fortunately, Argentina, the people's champions, can forget the economic crisis that is getting worse by the people's parties can forget the high inflation and foreign debt that is difficult to pay</v>
      </c>
    </row>
    <row r="5916" ht="15.75" customHeight="1">
      <c r="A5916" s="1">
        <v>7099.0</v>
      </c>
      <c r="B5916" s="3" t="s">
        <v>17017</v>
      </c>
      <c r="C5916" s="3">
        <v>1.0</v>
      </c>
      <c r="D5916" s="3">
        <v>0.0</v>
      </c>
      <c r="E5916" s="3">
        <v>0.0</v>
      </c>
      <c r="F5916" s="3" t="s">
        <v>17018</v>
      </c>
      <c r="G5916" s="3">
        <v>0.0</v>
      </c>
      <c r="H5916" s="3">
        <v>0.0</v>
      </c>
      <c r="I5916" s="3" t="s">
        <v>13</v>
      </c>
      <c r="J5916" s="3" t="s">
        <v>17019</v>
      </c>
      <c r="K5916" s="3" t="s">
        <v>348</v>
      </c>
      <c r="L5916" s="3" t="str">
        <f>IFERROR(__xludf.DUMMYFUNCTION("GOOGLETRANSLATE(F5916,""id"",""en"")"),"less fortunate btw argen is really good at penalties and it is not just luck Argentina still comes out as champion how to mocking EMI is too tacky according to")</f>
        <v>less fortunate btw argen is really good at penalties and it is not just luck Argentina still comes out as champion how to mocking EMI is too tacky according to</v>
      </c>
    </row>
    <row r="5917" ht="15.75" customHeight="1">
      <c r="A5917" s="1">
        <v>7100.0</v>
      </c>
      <c r="B5917" s="3" t="s">
        <v>17020</v>
      </c>
      <c r="C5917" s="3">
        <v>0.0</v>
      </c>
      <c r="D5917" s="3">
        <v>0.0</v>
      </c>
      <c r="E5917" s="3">
        <v>1.0</v>
      </c>
      <c r="F5917" s="3" t="s">
        <v>17021</v>
      </c>
      <c r="G5917" s="3">
        <v>1.0</v>
      </c>
      <c r="H5917" s="3">
        <v>0.0</v>
      </c>
      <c r="I5917" s="3" t="s">
        <v>13</v>
      </c>
      <c r="J5917" s="3" t="s">
        <v>17022</v>
      </c>
      <c r="K5917" s="3" t="s">
        <v>510</v>
      </c>
      <c r="L5917" s="3" t="str">
        <f>IFERROR(__xludf.DUMMYFUNCTION("GOOGLETRANSLATE(F5917,""id"",""en"")"),"The next matching the Argentine national team captain Messi had failed the final and finally the champion was the same Fachrudin")</f>
        <v>The next matching the Argentine national team captain Messi had failed the final and finally the champion was the same Fachrudin</v>
      </c>
    </row>
    <row r="5918" ht="15.75" customHeight="1">
      <c r="A5918" s="1">
        <v>7101.0</v>
      </c>
      <c r="B5918" s="3" t="s">
        <v>17023</v>
      </c>
      <c r="C5918" s="3">
        <v>0.0</v>
      </c>
      <c r="D5918" s="3">
        <v>0.0</v>
      </c>
      <c r="E5918" s="3">
        <v>0.0</v>
      </c>
      <c r="F5918" s="3" t="s">
        <v>17024</v>
      </c>
      <c r="G5918" s="3">
        <v>0.0</v>
      </c>
      <c r="H5918" s="3">
        <v>0.0</v>
      </c>
      <c r="I5918" s="3" t="s">
        <v>13</v>
      </c>
      <c r="J5918" s="3" t="s">
        <v>17025</v>
      </c>
      <c r="K5918" s="3" t="s">
        <v>510</v>
      </c>
      <c r="L5918" s="3" t="str">
        <f>IFERROR(__xludf.DUMMYFUNCTION("GOOGLETRANSLATE(F5918,""id"",""en"")"),"Lionel's jealous footballer Messi brought Argentina World Cup Champion Numbers the most hurt")</f>
        <v>Lionel's jealous footballer Messi brought Argentina World Cup Champion Numbers the most hurt</v>
      </c>
    </row>
    <row r="5919" ht="15.75" customHeight="1">
      <c r="A5919" s="1">
        <v>7102.0</v>
      </c>
      <c r="B5919" s="3" t="s">
        <v>17026</v>
      </c>
      <c r="C5919" s="3">
        <v>0.0</v>
      </c>
      <c r="D5919" s="3">
        <v>0.0</v>
      </c>
      <c r="E5919" s="3">
        <v>0.0</v>
      </c>
      <c r="F5919" s="3" t="s">
        <v>17027</v>
      </c>
      <c r="G5919" s="3">
        <v>0.0</v>
      </c>
      <c r="H5919" s="3">
        <v>0.0</v>
      </c>
      <c r="I5919" s="3" t="s">
        <v>13</v>
      </c>
      <c r="J5919" s="3" t="s">
        <v>17028</v>
      </c>
      <c r="K5919" s="3" t="s">
        <v>1045</v>
      </c>
      <c r="L5919" s="3" t="str">
        <f>IFERROR(__xludf.DUMMYFUNCTION("GOOGLETRANSLATE(F5919,""id"",""en"")"),"Assistant coach is really like Walter Samuel Aimar when he trusts the champion if it's not wrong to use the official jacket ass the coach does not change the Argentina jersey like Aguero.")</f>
        <v>Assistant coach is really like Walter Samuel Aimar when he trusts the champion if it's not wrong to use the official jacket ass the coach does not change the Argentina jersey like Aguero.</v>
      </c>
    </row>
    <row r="5920" ht="15.75" customHeight="1">
      <c r="A5920" s="1">
        <v>7103.0</v>
      </c>
      <c r="B5920" s="3" t="s">
        <v>17029</v>
      </c>
      <c r="C5920" s="3">
        <v>0.0</v>
      </c>
      <c r="D5920" s="3">
        <v>0.0</v>
      </c>
      <c r="E5920" s="3">
        <v>0.0</v>
      </c>
      <c r="F5920" s="3" t="s">
        <v>17030</v>
      </c>
      <c r="G5920" s="3">
        <v>0.0</v>
      </c>
      <c r="H5920" s="3">
        <v>0.0</v>
      </c>
      <c r="I5920" s="3" t="s">
        <v>13</v>
      </c>
      <c r="J5920" s="3" t="s">
        <v>17031</v>
      </c>
      <c r="K5920" s="3" t="s">
        <v>308</v>
      </c>
      <c r="L5920" s="3" t="str">
        <f>IFERROR(__xludf.DUMMYFUNCTION("GOOGLETRANSLATE(F5920,""id"",""en"")"),"FIFA will investigate the Celebrity Chef from Turkey Salt Bae FIFA will find out the origin of Salt Bae can dissolve in the celebration of the World Cup Argentine championship")</f>
        <v>FIFA will investigate the Celebrity Chef from Turkey Salt Bae FIFA will find out the origin of Salt Bae can dissolve in the celebration of the World Cup Argentine championship</v>
      </c>
    </row>
    <row r="5921" ht="15.75" customHeight="1">
      <c r="A5921" s="1">
        <v>7104.0</v>
      </c>
      <c r="B5921" s="3" t="s">
        <v>17032</v>
      </c>
      <c r="C5921" s="3">
        <v>1.0</v>
      </c>
      <c r="D5921" s="3">
        <v>0.0</v>
      </c>
      <c r="E5921" s="3">
        <v>0.0</v>
      </c>
      <c r="F5921" s="3" t="s">
        <v>17033</v>
      </c>
      <c r="G5921" s="3">
        <v>0.0</v>
      </c>
      <c r="H5921" s="3">
        <v>0.0</v>
      </c>
      <c r="I5921" s="3" t="s">
        <v>13</v>
      </c>
      <c r="J5921" s="3" t="s">
        <v>17034</v>
      </c>
      <c r="K5921" s="3" t="s">
        <v>82</v>
      </c>
      <c r="L5921" s="3" t="str">
        <f>IFERROR(__xludf.DUMMYFUNCTION("GOOGLETRANSLATE(F5921,""id"",""en"")"),"hbd sis, I hope Argentina won the World Cup")</f>
        <v>hbd sis, I hope Argentina won the World Cup</v>
      </c>
    </row>
    <row r="5922" ht="15.75" customHeight="1">
      <c r="A5922" s="1">
        <v>7105.0</v>
      </c>
      <c r="B5922" s="3" t="s">
        <v>17035</v>
      </c>
      <c r="C5922" s="3">
        <v>0.0</v>
      </c>
      <c r="D5922" s="3">
        <v>0.0</v>
      </c>
      <c r="E5922" s="3">
        <v>0.0</v>
      </c>
      <c r="F5922" s="3" t="s">
        <v>17036</v>
      </c>
      <c r="G5922" s="3">
        <v>0.0</v>
      </c>
      <c r="H5922" s="3">
        <v>0.0</v>
      </c>
      <c r="I5922" s="3" t="s">
        <v>13</v>
      </c>
      <c r="J5922" s="3" t="s">
        <v>17037</v>
      </c>
      <c r="K5922" s="3" t="s">
        <v>3721</v>
      </c>
      <c r="L5922" s="3" t="str">
        <f>IFERROR(__xludf.DUMMYFUNCTION("GOOGLETRANSLATE(F5922,""id"",""en"")"),"Aguero, the legend of Argentina Ngab is like that, one rolling with the generation of Messi Otamendi Tagliafico etc.")</f>
        <v>Aguero, the legend of Argentina Ngab is like that, one rolling with the generation of Messi Otamendi Tagliafico etc.</v>
      </c>
    </row>
    <row r="5923" ht="15.75" customHeight="1">
      <c r="A5923" s="1">
        <v>7106.0</v>
      </c>
      <c r="B5923" s="3" t="s">
        <v>17038</v>
      </c>
      <c r="C5923" s="3">
        <v>1.0</v>
      </c>
      <c r="D5923" s="3">
        <v>0.0</v>
      </c>
      <c r="E5923" s="3">
        <v>0.0</v>
      </c>
      <c r="F5923" s="3" t="s">
        <v>17039</v>
      </c>
      <c r="G5923" s="3">
        <v>0.0</v>
      </c>
      <c r="H5923" s="3">
        <v>0.0</v>
      </c>
      <c r="I5923" s="3" t="s">
        <v>13</v>
      </c>
      <c r="J5923" s="3" t="s">
        <v>17040</v>
      </c>
      <c r="K5923" s="3" t="s">
        <v>1970</v>
      </c>
      <c r="L5923" s="3" t="str">
        <f>IFERROR(__xludf.DUMMYFUNCTION("GOOGLETRANSLATE(F5923,""id"",""en"")"),"It's a little bit of the time, if you put Portugal, it is very likely that the champion considering that the Portuguese squad cannot be denied better and better than Argentina if Ronaldo Dita")</f>
        <v>It's a little bit of the time, if you put Portugal, it is very likely that the champion considering that the Portuguese squad cannot be denied better and better than Argentina if Ronaldo Dita</v>
      </c>
    </row>
    <row r="5924" ht="15.75" customHeight="1">
      <c r="A5924" s="1">
        <v>7107.0</v>
      </c>
      <c r="B5924" s="3" t="s">
        <v>17041</v>
      </c>
      <c r="C5924" s="3">
        <v>0.0</v>
      </c>
      <c r="D5924" s="3">
        <v>0.0</v>
      </c>
      <c r="E5924" s="3">
        <v>0.0</v>
      </c>
      <c r="F5924" s="3" t="s">
        <v>17042</v>
      </c>
      <c r="G5924" s="3">
        <v>0.0</v>
      </c>
      <c r="H5924" s="3">
        <v>0.0</v>
      </c>
      <c r="I5924" s="3" t="s">
        <v>13</v>
      </c>
      <c r="J5924" s="3" t="s">
        <v>17043</v>
      </c>
      <c r="K5924" s="3" t="s">
        <v>90</v>
      </c>
      <c r="L5924" s="3" t="str">
        <f>IFERROR(__xludf.DUMMYFUNCTION("GOOGLETRANSLATE(F5924,""id"",""en"")"),"only Agen champion now the World Cup trophy is not a luxury item anyone can touch as long as you have an acquaintance")</f>
        <v>only Agen champion now the World Cup trophy is not a luxury item anyone can touch as long as you have an acquaintance</v>
      </c>
    </row>
    <row r="5925" ht="15.75" customHeight="1">
      <c r="A5925" s="1">
        <v>7108.0</v>
      </c>
      <c r="B5925" s="3" t="s">
        <v>17044</v>
      </c>
      <c r="C5925" s="3">
        <v>0.0</v>
      </c>
      <c r="D5925" s="3">
        <v>0.0</v>
      </c>
      <c r="E5925" s="3">
        <v>0.0</v>
      </c>
      <c r="F5925" s="3" t="s">
        <v>17045</v>
      </c>
      <c r="G5925" s="3">
        <v>0.0</v>
      </c>
      <c r="H5925" s="3">
        <v>0.0</v>
      </c>
      <c r="I5925" s="3" t="s">
        <v>13</v>
      </c>
      <c r="J5925" s="3" t="s">
        <v>17046</v>
      </c>
      <c r="K5925" s="3" t="s">
        <v>75</v>
      </c>
      <c r="L5925" s="3" t="str">
        <f>IFERROR(__xludf.DUMMYFUNCTION("GOOGLETRANSLATE(F5925,""id"",""en"")"),"he said there was a shaman's role in the success of Argentina to win the World Cup championship trophy")</f>
        <v>he said there was a shaman's role in the success of Argentina to win the World Cup championship trophy</v>
      </c>
    </row>
    <row r="5926" ht="15.75" customHeight="1">
      <c r="A5926" s="1">
        <v>7109.0</v>
      </c>
      <c r="B5926" s="3" t="s">
        <v>17047</v>
      </c>
      <c r="C5926" s="3">
        <v>1.0</v>
      </c>
      <c r="D5926" s="3">
        <v>0.0</v>
      </c>
      <c r="E5926" s="3">
        <v>0.0</v>
      </c>
      <c r="F5926" s="3" t="s">
        <v>17048</v>
      </c>
      <c r="G5926" s="3">
        <v>0.0</v>
      </c>
      <c r="H5926" s="3">
        <v>0.0</v>
      </c>
      <c r="I5926" s="3" t="s">
        <v>13</v>
      </c>
      <c r="J5926" s="3" t="s">
        <v>17049</v>
      </c>
      <c r="K5926" s="3" t="s">
        <v>823</v>
      </c>
      <c r="L5926" s="3" t="str">
        <f>IFERROR(__xludf.DUMMYFUNCTION("GOOGLETRANSLATE(F5926,""id"",""en"")"),"The world also knows who the best player in history for Barca is actually strange if Barca fans don't defend him but we understand how many stress because Messi is a world champion including Argentina Champion Settings Messi")</f>
        <v>The world also knows who the best player in history for Barca is actually strange if Barca fans don't defend him but we understand how many stress because Messi is a world champion including Argentina Champion Settings Messi</v>
      </c>
    </row>
    <row r="5927" ht="15.75" customHeight="1">
      <c r="A5927" s="1">
        <v>7110.0</v>
      </c>
      <c r="B5927" s="3" t="s">
        <v>17050</v>
      </c>
      <c r="C5927" s="3">
        <v>0.0</v>
      </c>
      <c r="D5927" s="3">
        <v>1.0</v>
      </c>
      <c r="E5927" s="3">
        <v>6.0</v>
      </c>
      <c r="F5927" s="3" t="s">
        <v>17051</v>
      </c>
      <c r="G5927" s="3">
        <v>0.0</v>
      </c>
      <c r="H5927" s="3">
        <v>0.0</v>
      </c>
      <c r="I5927" s="3" t="s">
        <v>13</v>
      </c>
      <c r="J5927" s="3" t="s">
        <v>17052</v>
      </c>
      <c r="K5927" s="3" t="s">
        <v>41</v>
      </c>
      <c r="L5927" s="3" t="str">
        <f>IFERROR(__xludf.DUMMYFUNCTION("GOOGLETRANSLATE(F5927,""id"",""en"")"),"Cool The contents of the Salt Bae garage that makes the Argentina championship party trouble")</f>
        <v>Cool The contents of the Salt Bae garage that makes the Argentina championship party trouble</v>
      </c>
    </row>
    <row r="5928" ht="15.75" customHeight="1">
      <c r="A5928" s="1">
        <v>7111.0</v>
      </c>
      <c r="B5928" s="3" t="s">
        <v>17053</v>
      </c>
      <c r="C5928" s="3">
        <v>0.0</v>
      </c>
      <c r="D5928" s="3">
        <v>0.0</v>
      </c>
      <c r="E5928" s="3">
        <v>0.0</v>
      </c>
      <c r="F5928" s="3" t="s">
        <v>17054</v>
      </c>
      <c r="G5928" s="3">
        <v>0.0</v>
      </c>
      <c r="H5928" s="3">
        <v>0.0</v>
      </c>
      <c r="I5928" s="3" t="s">
        <v>13</v>
      </c>
      <c r="J5928" s="3" t="s">
        <v>17055</v>
      </c>
      <c r="K5928" s="3" t="s">
        <v>2117</v>
      </c>
      <c r="L5928" s="3" t="str">
        <f>IFERROR(__xludf.DUMMYFUNCTION("GOOGLETRANSLATE(F5928,""id"",""en"")"),"Pantes Argentina Champion")</f>
        <v>Pantes Argentina Champion</v>
      </c>
    </row>
    <row r="5929" ht="15.75" customHeight="1">
      <c r="A5929" s="1">
        <v>7112.0</v>
      </c>
      <c r="B5929" s="3" t="s">
        <v>17056</v>
      </c>
      <c r="C5929" s="3">
        <v>0.0</v>
      </c>
      <c r="D5929" s="3">
        <v>0.0</v>
      </c>
      <c r="E5929" s="3">
        <v>0.0</v>
      </c>
      <c r="F5929" s="3" t="s">
        <v>17057</v>
      </c>
      <c r="G5929" s="3">
        <v>0.0</v>
      </c>
      <c r="H5929" s="3">
        <v>0.0</v>
      </c>
      <c r="I5929" s="3" t="s">
        <v>13</v>
      </c>
      <c r="J5929" s="3" t="s">
        <v>17058</v>
      </c>
      <c r="K5929" s="3" t="s">
        <v>1265</v>
      </c>
      <c r="L5929" s="3" t="str">
        <f>IFERROR(__xludf.DUMMYFUNCTION("GOOGLETRANSLATE(F5929,""id"",""en"")"),"Argentina The champion was directly made into Indonesian money, the champion was directly champion where the money promised")</f>
        <v>Argentina The champion was directly made into Indonesian money, the champion was directly champion where the money promised</v>
      </c>
    </row>
    <row r="5930" ht="15.75" customHeight="1">
      <c r="A5930" s="1">
        <v>7113.0</v>
      </c>
      <c r="B5930" s="3" t="s">
        <v>17059</v>
      </c>
      <c r="C5930" s="3">
        <v>0.0</v>
      </c>
      <c r="D5930" s="3">
        <v>0.0</v>
      </c>
      <c r="E5930" s="3">
        <v>0.0</v>
      </c>
      <c r="F5930" s="3" t="s">
        <v>17060</v>
      </c>
      <c r="G5930" s="3">
        <v>0.0</v>
      </c>
      <c r="H5930" s="3">
        <v>0.0</v>
      </c>
      <c r="I5930" s="3" t="s">
        <v>13</v>
      </c>
      <c r="J5930" s="3" t="s">
        <v>17061</v>
      </c>
      <c r="K5930" s="3" t="s">
        <v>16174</v>
      </c>
      <c r="L5930" s="3" t="str">
        <f>IFERROR(__xludf.DUMMYFUNCTION("GOOGLETRANSLATE(F5930,""id"",""en"")"),"good")</f>
        <v>good</v>
      </c>
    </row>
    <row r="5931" ht="15.75" customHeight="1">
      <c r="A5931" s="1">
        <v>7114.0</v>
      </c>
      <c r="B5931" s="3" t="s">
        <v>17062</v>
      </c>
      <c r="C5931" s="3">
        <v>310.0</v>
      </c>
      <c r="D5931" s="3">
        <v>573.0</v>
      </c>
      <c r="E5931" s="3">
        <v>7131.0</v>
      </c>
      <c r="F5931" s="3" t="s">
        <v>16938</v>
      </c>
      <c r="G5931" s="3">
        <v>0.0</v>
      </c>
      <c r="H5931" s="3">
        <v>0.0</v>
      </c>
      <c r="I5931" s="3" t="s">
        <v>13</v>
      </c>
      <c r="J5931" s="3" t="s">
        <v>16939</v>
      </c>
      <c r="K5931" s="3" t="s">
        <v>456</v>
      </c>
      <c r="L5931" s="3" t="str">
        <f>IFERROR(__xludf.DUMMYFUNCTION("GOOGLETRANSLATE(F5931,""id"",""en"")"),"FIFA finally opened his voice related to the action of Salt Bae who was causing the celebration of the Argentine world champion FIFA stressed that what Salt Bae was doing and kissed the trophy had violated the rules and now will investigate how to enter t"&amp;"he field")</f>
        <v>FIFA finally opened his voice related to the action of Salt Bae who was causing the celebration of the Argentine world champion FIFA stressed that what Salt Bae was doing and kissed the trophy had violated the rules and now will investigate how to enter the field</v>
      </c>
    </row>
    <row r="5932" ht="15.75" customHeight="1">
      <c r="A5932" s="1">
        <v>7115.0</v>
      </c>
      <c r="B5932" s="3" t="s">
        <v>17063</v>
      </c>
      <c r="C5932" s="3">
        <v>0.0</v>
      </c>
      <c r="D5932" s="3">
        <v>0.0</v>
      </c>
      <c r="E5932" s="3">
        <v>1.0</v>
      </c>
      <c r="F5932" s="3" t="s">
        <v>17064</v>
      </c>
      <c r="G5932" s="3">
        <v>0.0</v>
      </c>
      <c r="H5932" s="3">
        <v>0.0</v>
      </c>
      <c r="I5932" s="3" t="s">
        <v>13</v>
      </c>
      <c r="J5932" s="3" t="s">
        <v>17065</v>
      </c>
      <c r="K5932" s="3" t="s">
        <v>90</v>
      </c>
      <c r="L5932" s="3" t="str">
        <f>IFERROR(__xludf.DUMMYFUNCTION("GOOGLETRANSLATE(F5932,""id"",""en"")"),"FIFA is conducting an investigation because Salt Bae has gained inappropriate access when the celebration")</f>
        <v>FIFA is conducting an investigation because Salt Bae has gained inappropriate access when the celebration</v>
      </c>
    </row>
    <row r="5933" ht="15.75" customHeight="1">
      <c r="A5933" s="1">
        <v>7116.0</v>
      </c>
      <c r="B5933" s="3" t="s">
        <v>17066</v>
      </c>
      <c r="C5933" s="3">
        <v>0.0</v>
      </c>
      <c r="D5933" s="3">
        <v>0.0</v>
      </c>
      <c r="E5933" s="3">
        <v>1.0</v>
      </c>
      <c r="F5933" s="3" t="s">
        <v>17067</v>
      </c>
      <c r="G5933" s="3">
        <v>0.0</v>
      </c>
      <c r="H5933" s="3">
        <v>0.0</v>
      </c>
      <c r="I5933" s="3" t="s">
        <v>13</v>
      </c>
      <c r="J5933" s="3" t="s">
        <v>17068</v>
      </c>
      <c r="K5933" s="3" t="s">
        <v>19</v>
      </c>
      <c r="L5933" s="3" t="str">
        <f>IFERROR(__xludf.DUMMYFUNCTION("GOOGLETRANSLATE(F5933,""id"",""en"")"),"FIFA will be investigated and firm action of the Salt Bae chef who acted on the Argentine title celebration")</f>
        <v>FIFA will be investigated and firm action of the Salt Bae chef who acted on the Argentine title celebration</v>
      </c>
    </row>
    <row r="5934" ht="15.75" customHeight="1">
      <c r="A5934" s="1">
        <v>7117.0</v>
      </c>
      <c r="B5934" s="3" t="s">
        <v>17069</v>
      </c>
      <c r="C5934" s="3">
        <v>0.0</v>
      </c>
      <c r="D5934" s="3">
        <v>0.0</v>
      </c>
      <c r="E5934" s="3">
        <v>0.0</v>
      </c>
      <c r="F5934" s="3" t="s">
        <v>17070</v>
      </c>
      <c r="G5934" s="3">
        <v>0.0</v>
      </c>
      <c r="H5934" s="3">
        <v>0.0</v>
      </c>
      <c r="I5934" s="3" t="s">
        <v>13</v>
      </c>
      <c r="J5934" s="3" t="s">
        <v>17071</v>
      </c>
      <c r="K5934" s="3" t="s">
        <v>50</v>
      </c>
      <c r="L5934" s="3" t="str">
        <f>IFERROR(__xludf.DUMMYFUNCTION("GOOGLETRANSLATE(F5934,""id"",""en"")"),"World Cup Champion Lionel Messi asked for a fantastic request for PSG via")</f>
        <v>World Cup Champion Lionel Messi asked for a fantastic request for PSG via</v>
      </c>
    </row>
    <row r="5935" ht="15.75" customHeight="1">
      <c r="A5935" s="1">
        <v>7118.0</v>
      </c>
      <c r="B5935" s="3" t="s">
        <v>17072</v>
      </c>
      <c r="C5935" s="3">
        <v>0.0</v>
      </c>
      <c r="D5935" s="3">
        <v>0.0</v>
      </c>
      <c r="E5935" s="3">
        <v>0.0</v>
      </c>
      <c r="F5935" s="3" t="s">
        <v>17073</v>
      </c>
      <c r="G5935" s="3">
        <v>0.0</v>
      </c>
      <c r="H5935" s="3">
        <v>0.0</v>
      </c>
      <c r="I5935" s="3" t="s">
        <v>13</v>
      </c>
      <c r="J5935" s="3" t="s">
        <v>17074</v>
      </c>
      <c r="K5935" s="3" t="s">
        <v>1335</v>
      </c>
      <c r="L5935" s="3" t="str">
        <f>IFERROR(__xludf.DUMMYFUNCTION("GOOGLETRANSLATE(F5935,""id"",""en"")"),"After Argentina, this world champion is time for Indonesia's champion AFF")</f>
        <v>After Argentina, this world champion is time for Indonesia's champion AFF</v>
      </c>
    </row>
    <row r="5936" ht="15.75" customHeight="1">
      <c r="A5936" s="1">
        <v>7119.0</v>
      </c>
      <c r="B5936" s="3" t="s">
        <v>17075</v>
      </c>
      <c r="C5936" s="3">
        <v>0.0</v>
      </c>
      <c r="D5936" s="3">
        <v>0.0</v>
      </c>
      <c r="E5936" s="3">
        <v>0.0</v>
      </c>
      <c r="F5936" s="3" t="s">
        <v>17076</v>
      </c>
      <c r="G5936" s="3">
        <v>0.0</v>
      </c>
      <c r="H5936" s="3">
        <v>0.0</v>
      </c>
      <c r="I5936" s="3" t="s">
        <v>13</v>
      </c>
      <c r="J5936" s="3" t="s">
        <v>17077</v>
      </c>
      <c r="K5936" s="3" t="s">
        <v>75</v>
      </c>
      <c r="L5936" s="3" t="str">
        <f>IFERROR(__xludf.DUMMYFUNCTION("GOOGLETRANSLATE(F5936,""id"",""en"")"),"Lionel Messi's big name was enshrined by Brazil after the World Cup Day championship")</f>
        <v>Lionel Messi's big name was enshrined by Brazil after the World Cup Day championship</v>
      </c>
    </row>
    <row r="5937" ht="15.75" customHeight="1">
      <c r="A5937" s="1">
        <v>7120.0</v>
      </c>
      <c r="B5937" s="3" t="s">
        <v>17078</v>
      </c>
      <c r="C5937" s="3">
        <v>0.0</v>
      </c>
      <c r="D5937" s="3">
        <v>0.0</v>
      </c>
      <c r="E5937" s="3">
        <v>0.0</v>
      </c>
      <c r="F5937" s="3" t="s">
        <v>17079</v>
      </c>
      <c r="G5937" s="3">
        <v>0.0</v>
      </c>
      <c r="H5937" s="3">
        <v>0.0</v>
      </c>
      <c r="I5937" s="3" t="s">
        <v>13</v>
      </c>
      <c r="J5937" s="3" t="s">
        <v>17080</v>
      </c>
      <c r="K5937" s="3" t="s">
        <v>149</v>
      </c>
      <c r="L5937" s="3" t="str">
        <f>IFERROR(__xludf.DUMMYFUNCTION("GOOGLETRANSLATE(F5937,""id"",""en"")"),"Hello friend, because the team champion the World Cup is Argentina this time will be about Argentina.")</f>
        <v>Hello friend, because the team champion the World Cup is Argentina this time will be about Argentina.</v>
      </c>
    </row>
    <row r="5938" ht="15.75" customHeight="1">
      <c r="A5938" s="1">
        <v>7121.0</v>
      </c>
      <c r="B5938" s="3" t="s">
        <v>17081</v>
      </c>
      <c r="C5938" s="3">
        <v>0.0</v>
      </c>
      <c r="D5938" s="3">
        <v>0.0</v>
      </c>
      <c r="E5938" s="3">
        <v>40.0</v>
      </c>
      <c r="F5938" s="3" t="s">
        <v>17082</v>
      </c>
      <c r="G5938" s="3">
        <v>0.0</v>
      </c>
      <c r="H5938" s="3">
        <v>0.0</v>
      </c>
      <c r="I5938" s="3" t="s">
        <v>13</v>
      </c>
      <c r="J5938" s="3" t="s">
        <v>17083</v>
      </c>
      <c r="K5938" s="3" t="s">
        <v>50</v>
      </c>
      <c r="L5938" s="3" t="str">
        <f>IFERROR(__xludf.DUMMYFUNCTION("GOOGLETRANSLATE(F5938,""id"",""en"")"),"Pantes Argentina World Champion turned out to get additional power from Manchee Leak Death")</f>
        <v>Pantes Argentina World Champion turned out to get additional power from Manchee Leak Death</v>
      </c>
    </row>
    <row r="5939" ht="15.75" customHeight="1">
      <c r="A5939" s="1">
        <v>7122.0</v>
      </c>
      <c r="B5939" s="3" t="s">
        <v>17084</v>
      </c>
      <c r="C5939" s="3">
        <v>0.0</v>
      </c>
      <c r="D5939" s="3">
        <v>0.0</v>
      </c>
      <c r="E5939" s="3">
        <v>1.0</v>
      </c>
      <c r="F5939" s="3" t="s">
        <v>17085</v>
      </c>
      <c r="G5939" s="3">
        <v>0.0</v>
      </c>
      <c r="H5939" s="3">
        <v>0.0</v>
      </c>
      <c r="I5939" s="3" t="s">
        <v>13</v>
      </c>
      <c r="J5939" s="3" t="s">
        <v>17086</v>
      </c>
      <c r="K5939" s="3" t="s">
        <v>1912</v>
      </c>
      <c r="L5939" s="3" t="str">
        <f>IFERROR(__xludf.DUMMYFUNCTION("GOOGLETRANSLATE(F5939,""id"",""en"")"),"Lionel Messi succeeded in bringing the Argentine national team to win the Cristiano World Cup Ronaldo Blakan said that winning the championship trophy with the Portugal national team was far more difficult than the Argentine national team")</f>
        <v>Lionel Messi succeeded in bringing the Argentine national team to win the Cristiano World Cup Ronaldo Blakan said that winning the championship trophy with the Portugal national team was far more difficult than the Argentine national team</v>
      </c>
    </row>
    <row r="5940" ht="15.75" customHeight="1">
      <c r="A5940" s="1">
        <v>7123.0</v>
      </c>
      <c r="B5940" s="3" t="s">
        <v>17087</v>
      </c>
      <c r="C5940" s="3">
        <v>0.0</v>
      </c>
      <c r="D5940" s="3">
        <v>0.0</v>
      </c>
      <c r="E5940" s="3">
        <v>0.0</v>
      </c>
      <c r="F5940" s="3" t="s">
        <v>17085</v>
      </c>
      <c r="G5940" s="3">
        <v>0.0</v>
      </c>
      <c r="H5940" s="3">
        <v>0.0</v>
      </c>
      <c r="I5940" s="3" t="s">
        <v>13</v>
      </c>
      <c r="J5940" s="3" t="s">
        <v>17086</v>
      </c>
      <c r="K5940" s="3" t="s">
        <v>1912</v>
      </c>
      <c r="L5940" s="3" t="str">
        <f>IFERROR(__xludf.DUMMYFUNCTION("GOOGLETRANSLATE(F5940,""id"",""en"")"),"Lionel Messi succeeded in bringing the Argentine national team to win the Cristiano World Cup Ronaldo Blakan said that winning the championship trophy with the Portugal national team was far more difficult than the Argentine national team")</f>
        <v>Lionel Messi succeeded in bringing the Argentine national team to win the Cristiano World Cup Ronaldo Blakan said that winning the championship trophy with the Portugal national team was far more difficult than the Argentine national team</v>
      </c>
    </row>
    <row r="5941" ht="15.75" customHeight="1">
      <c r="A5941" s="1">
        <v>7124.0</v>
      </c>
      <c r="B5941" s="3" t="s">
        <v>17088</v>
      </c>
      <c r="C5941" s="3">
        <v>0.0</v>
      </c>
      <c r="D5941" s="3">
        <v>0.0</v>
      </c>
      <c r="E5941" s="3">
        <v>0.0</v>
      </c>
      <c r="F5941" s="3" t="s">
        <v>17089</v>
      </c>
      <c r="G5941" s="3">
        <v>0.0</v>
      </c>
      <c r="H5941" s="3">
        <v>0.0</v>
      </c>
      <c r="I5941" s="3" t="s">
        <v>13</v>
      </c>
      <c r="J5941" s="3" t="s">
        <v>17090</v>
      </c>
      <c r="K5941" s="3" t="s">
        <v>75</v>
      </c>
      <c r="L5941" s="3" t="str">
        <f>IFERROR(__xludf.DUMMYFUNCTION("GOOGLETRANSLATE(F5941,""id"",""en"")"),"Indonesia Samai Champion the Argentina World Cup rose to FIFA ranking ranking")</f>
        <v>Indonesia Samai Champion the Argentina World Cup rose to FIFA ranking ranking</v>
      </c>
    </row>
    <row r="5942" ht="15.75" customHeight="1">
      <c r="A5942" s="1">
        <v>7125.0</v>
      </c>
      <c r="B5942" s="3" t="s">
        <v>17091</v>
      </c>
      <c r="C5942" s="3">
        <v>0.0</v>
      </c>
      <c r="D5942" s="3">
        <v>0.0</v>
      </c>
      <c r="E5942" s="3">
        <v>0.0</v>
      </c>
      <c r="F5942" s="3" t="s">
        <v>17092</v>
      </c>
      <c r="G5942" s="3">
        <v>0.0</v>
      </c>
      <c r="H5942" s="3">
        <v>0.0</v>
      </c>
      <c r="I5942" s="3" t="s">
        <v>13</v>
      </c>
      <c r="J5942" s="3" t="s">
        <v>17093</v>
      </c>
      <c r="K5942" s="3" t="s">
        <v>1335</v>
      </c>
      <c r="L5942" s="3" t="str">
        <f>IFERROR(__xludf.DUMMYFUNCTION("GOOGLETRANSLATE(F5942,""id"",""en"")"),"Argentina Message Champion World Cup Vamoz Argentina")</f>
        <v>Argentina Message Champion World Cup Vamoz Argentina</v>
      </c>
    </row>
    <row r="5943" ht="15.75" customHeight="1">
      <c r="A5943" s="1">
        <v>7126.0</v>
      </c>
      <c r="B5943" s="3" t="s">
        <v>17094</v>
      </c>
      <c r="C5943" s="3">
        <v>0.0</v>
      </c>
      <c r="D5943" s="3">
        <v>3.0</v>
      </c>
      <c r="E5943" s="3">
        <v>9.0</v>
      </c>
      <c r="F5943" s="3" t="s">
        <v>17095</v>
      </c>
      <c r="G5943" s="3">
        <v>0.0</v>
      </c>
      <c r="H5943" s="3">
        <v>0.0</v>
      </c>
      <c r="I5943" s="3" t="s">
        <v>13</v>
      </c>
      <c r="J5943" s="3" t="s">
        <v>17096</v>
      </c>
      <c r="K5943" s="3" t="s">
        <v>1970</v>
      </c>
      <c r="L5943" s="3" t="str">
        <f>IFERROR(__xludf.DUMMYFUNCTION("GOOGLETRANSLATE(F5943,""id"",""en"")"),"FIFA took the right internal action to overcome the World Cup protocol violation by the Salt Bae Celebrity Chef who held the World Cup trophy during the Argentine national team champion celebration")</f>
        <v>FIFA took the right internal action to overcome the World Cup protocol violation by the Salt Bae Celebrity Chef who held the World Cup trophy during the Argentine national team champion celebration</v>
      </c>
    </row>
    <row r="5944" ht="15.75" customHeight="1">
      <c r="A5944" s="1">
        <v>7127.0</v>
      </c>
      <c r="B5944" s="3" t="s">
        <v>17097</v>
      </c>
      <c r="C5944" s="3">
        <v>0.0</v>
      </c>
      <c r="D5944" s="3">
        <v>0.0</v>
      </c>
      <c r="E5944" s="3">
        <v>4.0</v>
      </c>
      <c r="F5944" s="3" t="s">
        <v>17098</v>
      </c>
      <c r="G5944" s="3">
        <v>0.0</v>
      </c>
      <c r="H5944" s="3">
        <v>0.0</v>
      </c>
      <c r="I5944" s="3" t="s">
        <v>13</v>
      </c>
      <c r="J5944" s="3" t="s">
        <v>17099</v>
      </c>
      <c r="K5944" s="3" t="s">
        <v>82</v>
      </c>
      <c r="L5944" s="3" t="str">
        <f>IFERROR(__xludf.DUMMYFUNCTION("GOOGLETRANSLATE(F5944,""id"",""en"")"),"Update FIFA Ranking After Argentina World Cup Champion")</f>
        <v>Update FIFA Ranking After Argentina World Cup Champion</v>
      </c>
    </row>
    <row r="5945" ht="15.75" customHeight="1">
      <c r="A5945" s="1">
        <v>7129.0</v>
      </c>
      <c r="B5945" s="3" t="s">
        <v>17100</v>
      </c>
      <c r="C5945" s="3">
        <v>0.0</v>
      </c>
      <c r="D5945" s="3">
        <v>0.0</v>
      </c>
      <c r="E5945" s="3">
        <v>1.0</v>
      </c>
      <c r="F5945" s="3" t="s">
        <v>17101</v>
      </c>
      <c r="G5945" s="3">
        <v>0.0</v>
      </c>
      <c r="H5945" s="3">
        <v>0.0</v>
      </c>
      <c r="I5945" s="3" t="s">
        <v>13</v>
      </c>
      <c r="J5945" s="3" t="s">
        <v>17102</v>
      </c>
      <c r="K5945" s="3" t="s">
        <v>2215</v>
      </c>
      <c r="L5945" s="3" t="str">
        <f>IFERROR(__xludf.DUMMYFUNCTION("GOOGLETRANSLATE(F5945,""id"",""en"")"),"Maybe the couple is Argentina fanatical fans if seen from his age, maybe they have seen Argentina champions World Cup")</f>
        <v>Maybe the couple is Argentina fanatical fans if seen from his age, maybe they have seen Argentina champions World Cup</v>
      </c>
    </row>
    <row r="5946" ht="15.75" customHeight="1">
      <c r="A5946" s="1">
        <v>7130.0</v>
      </c>
      <c r="B5946" s="3" t="s">
        <v>17103</v>
      </c>
      <c r="C5946" s="3">
        <v>0.0</v>
      </c>
      <c r="D5946" s="3">
        <v>0.0</v>
      </c>
      <c r="E5946" s="3">
        <v>0.0</v>
      </c>
      <c r="F5946" s="3" t="s">
        <v>17104</v>
      </c>
      <c r="G5946" s="3">
        <v>0.0</v>
      </c>
      <c r="H5946" s="3">
        <v>0.0</v>
      </c>
      <c r="I5946" s="3" t="s">
        <v>13</v>
      </c>
      <c r="J5946" s="3" t="s">
        <v>17105</v>
      </c>
      <c r="K5946" s="3" t="s">
        <v>131</v>
      </c>
      <c r="L5946" s="3" t="str">
        <f>IFERROR(__xludf.DUMMYFUNCTION("GOOGLETRANSLATE(F5946,""id"",""en"")"),"Euphoria of Argentina's victory as World Cup Football Champion continues Argentine artists flooded with Tattoo Order with Football Stars Lionel Messi")</f>
        <v>Euphoria of Argentina's victory as World Cup Football Champion continues Argentine artists flooded with Tattoo Order with Football Stars Lionel Messi</v>
      </c>
    </row>
    <row r="5947" ht="15.75" customHeight="1">
      <c r="A5947" s="1">
        <v>7131.0</v>
      </c>
      <c r="B5947" s="3" t="s">
        <v>17106</v>
      </c>
      <c r="C5947" s="3">
        <v>0.0</v>
      </c>
      <c r="D5947" s="3">
        <v>0.0</v>
      </c>
      <c r="E5947" s="3">
        <v>1.0</v>
      </c>
      <c r="F5947" s="3" t="s">
        <v>17107</v>
      </c>
      <c r="G5947" s="3">
        <v>0.0</v>
      </c>
      <c r="H5947" s="3">
        <v>0.0</v>
      </c>
      <c r="I5947" s="3" t="s">
        <v>13</v>
      </c>
      <c r="J5947" s="3" t="s">
        <v>17108</v>
      </c>
      <c r="K5947" s="3" t="s">
        <v>31</v>
      </c>
      <c r="L5947" s="3" t="str">
        <f>IFERROR(__xludf.DUMMYFUNCTION("GOOGLETRANSLATE(F5947,""id"",""en"")"),"World Champion Party Middle suffering")</f>
        <v>World Champion Party Middle suffering</v>
      </c>
    </row>
    <row r="5948" ht="15.75" customHeight="1">
      <c r="A5948" s="1">
        <v>7132.0</v>
      </c>
      <c r="B5948" s="3" t="s">
        <v>17109</v>
      </c>
      <c r="C5948" s="3">
        <v>1.0</v>
      </c>
      <c r="D5948" s="3">
        <v>0.0</v>
      </c>
      <c r="E5948" s="3">
        <v>0.0</v>
      </c>
      <c r="F5948" s="3" t="s">
        <v>17110</v>
      </c>
      <c r="G5948" s="3">
        <v>0.0</v>
      </c>
      <c r="H5948" s="3">
        <v>0.0</v>
      </c>
      <c r="I5948" s="3" t="s">
        <v>13</v>
      </c>
      <c r="J5948" s="3" t="s">
        <v>17111</v>
      </c>
      <c r="K5948" s="3" t="s">
        <v>1479</v>
      </c>
      <c r="L5948" s="3" t="str">
        <f>IFERROR(__xludf.DUMMYFUNCTION("GOOGLETRANSLATE(F5948,""id"",""en"")"),"The first match was lost, Argentina just yesterday lost the first match.")</f>
        <v>The first match was lost, Argentina just yesterday lost the first match.</v>
      </c>
    </row>
    <row r="5949" ht="15.75" customHeight="1">
      <c r="A5949" s="1">
        <v>7133.0</v>
      </c>
      <c r="B5949" s="3" t="s">
        <v>17112</v>
      </c>
      <c r="C5949" s="3">
        <v>0.0</v>
      </c>
      <c r="D5949" s="3">
        <v>0.0</v>
      </c>
      <c r="E5949" s="3">
        <v>0.0</v>
      </c>
      <c r="F5949" s="3" t="s">
        <v>17113</v>
      </c>
      <c r="G5949" s="3">
        <v>0.0</v>
      </c>
      <c r="H5949" s="3">
        <v>0.0</v>
      </c>
      <c r="I5949" s="3" t="s">
        <v>13</v>
      </c>
      <c r="J5949" s="3" t="s">
        <v>17114</v>
      </c>
      <c r="K5949" s="3" t="s">
        <v>54</v>
      </c>
      <c r="L5949" s="3" t="str">
        <f>IFERROR(__xludf.DUMMYFUNCTION("GOOGLETRANSLATE(F5949,""id"",""en"")"),"Argentina has won the World Cup but will not be able to win the AFF")</f>
        <v>Argentina has won the World Cup but will not be able to win the AFF</v>
      </c>
    </row>
    <row r="5950" ht="15.75" customHeight="1">
      <c r="A5950" s="1">
        <v>7134.0</v>
      </c>
      <c r="B5950" s="3" t="s">
        <v>17115</v>
      </c>
      <c r="C5950" s="3">
        <v>0.0</v>
      </c>
      <c r="D5950" s="3">
        <v>0.0</v>
      </c>
      <c r="E5950" s="3">
        <v>0.0</v>
      </c>
      <c r="F5950" s="3" t="s">
        <v>17116</v>
      </c>
      <c r="G5950" s="3">
        <v>0.0</v>
      </c>
      <c r="H5950" s="3">
        <v>0.0</v>
      </c>
      <c r="I5950" s="3" t="s">
        <v>13</v>
      </c>
      <c r="J5950" s="3" t="s">
        <v>17117</v>
      </c>
      <c r="K5950" s="3" t="s">
        <v>35</v>
      </c>
      <c r="L5950" s="3" t="str">
        <f>IFERROR(__xludf.DUMMYFUNCTION("GOOGLETRANSLATE(F5950,""id"",""en"")"),"I thought that the jersey was sold high mentor Argentina champion ngentd there was a brain")</f>
        <v>I thought that the jersey was sold high mentor Argentina champion ngentd there was a brain</v>
      </c>
    </row>
    <row r="5951" ht="15.75" customHeight="1">
      <c r="A5951" s="1">
        <v>7135.0</v>
      </c>
      <c r="B5951" s="3" t="s">
        <v>17118</v>
      </c>
      <c r="C5951" s="3">
        <v>0.0</v>
      </c>
      <c r="D5951" s="3">
        <v>0.0</v>
      </c>
      <c r="E5951" s="3">
        <v>0.0</v>
      </c>
      <c r="F5951" s="3" t="s">
        <v>17119</v>
      </c>
      <c r="G5951" s="3">
        <v>0.0</v>
      </c>
      <c r="H5951" s="3">
        <v>0.0</v>
      </c>
      <c r="I5951" s="3" t="s">
        <v>13</v>
      </c>
      <c r="J5951" s="3" t="s">
        <v>17120</v>
      </c>
      <c r="K5951" s="3" t="s">
        <v>2146</v>
      </c>
      <c r="L5951" s="3" t="str">
        <f>IFERROR(__xludf.DUMMYFUNCTION("GOOGLETRANSLATE(F5951,""id"",""en"")"),"Twitter Error Akeh Seng Keliwatan Rek Starting in Argentina World Champion Hmm worthy of Wes, Wes Matched Ancene Messi Decent Nek Nek is called Luweh Teko Maradona Not Akoni Sek Ngacor Maine Ndek World Cup Qatar Iki")</f>
        <v>Twitter Error Akeh Seng Keliwatan Rek Starting in Argentina World Champion Hmm worthy of Wes, Wes Matched Ancene Messi Decent Nek Nek is called Luweh Teko Maradona Not Akoni Sek Ngacor Maine Ndek World Cup Qatar Iki</v>
      </c>
    </row>
    <row r="5952" ht="15.75" customHeight="1">
      <c r="A5952" s="1">
        <v>7136.0</v>
      </c>
      <c r="B5952" s="3" t="s">
        <v>17121</v>
      </c>
      <c r="C5952" s="3">
        <v>1.0</v>
      </c>
      <c r="D5952" s="3">
        <v>0.0</v>
      </c>
      <c r="E5952" s="3">
        <v>0.0</v>
      </c>
      <c r="F5952" s="3" t="s">
        <v>17122</v>
      </c>
      <c r="G5952" s="3">
        <v>0.0</v>
      </c>
      <c r="H5952" s="3">
        <v>0.0</v>
      </c>
      <c r="I5952" s="3" t="s">
        <v>13</v>
      </c>
      <c r="J5952" s="3" t="s">
        <v>17123</v>
      </c>
      <c r="K5952" s="3" t="s">
        <v>16539</v>
      </c>
      <c r="L5952" s="3" t="str">
        <f>IFERROR(__xludf.DUMMYFUNCTION("GOOGLETRANSLATE(F5952,""id"",""en"")"),"Argentina Champion World Cup Try to check this Argentina Twibbonize Champion World Cup through")</f>
        <v>Argentina Champion World Cup Try to check this Argentina Twibbonize Champion World Cup through</v>
      </c>
    </row>
    <row r="5953" ht="15.75" customHeight="1">
      <c r="A5953" s="1">
        <v>7137.0</v>
      </c>
      <c r="B5953" s="3" t="s">
        <v>17124</v>
      </c>
      <c r="C5953" s="3">
        <v>0.0</v>
      </c>
      <c r="D5953" s="3">
        <v>0.0</v>
      </c>
      <c r="E5953" s="3">
        <v>0.0</v>
      </c>
      <c r="F5953" s="3" t="s">
        <v>17125</v>
      </c>
      <c r="G5953" s="3">
        <v>0.0</v>
      </c>
      <c r="H5953" s="3">
        <v>0.0</v>
      </c>
      <c r="I5953" s="3" t="s">
        <v>13</v>
      </c>
      <c r="J5953" s="3" t="s">
        <v>17126</v>
      </c>
      <c r="K5953" s="3" t="s">
        <v>127</v>
      </c>
      <c r="L5953" s="3" t="str">
        <f>IFERROR(__xludf.DUMMYFUNCTION("GOOGLETRANSLATE(F5953,""id"",""en"")"),"labeled as the most hated player after the French World Cup champion proposed an official objection regarding the attitude of Argentine goalkeeper Emi Martinez")</f>
        <v>labeled as the most hated player after the French World Cup champion proposed an official objection regarding the attitude of Argentine goalkeeper Emi Martinez</v>
      </c>
    </row>
    <row r="5954" ht="15.75" customHeight="1">
      <c r="A5954" s="1">
        <v>7138.0</v>
      </c>
      <c r="B5954" s="3" t="s">
        <v>17127</v>
      </c>
      <c r="C5954" s="3">
        <v>0.0</v>
      </c>
      <c r="D5954" s="3">
        <v>0.0</v>
      </c>
      <c r="E5954" s="3">
        <v>0.0</v>
      </c>
      <c r="F5954" s="3" t="s">
        <v>17128</v>
      </c>
      <c r="G5954" s="3">
        <v>0.0</v>
      </c>
      <c r="H5954" s="3">
        <v>0.0</v>
      </c>
      <c r="I5954" s="3" t="s">
        <v>13</v>
      </c>
      <c r="J5954" s="3" t="s">
        <v>17129</v>
      </c>
      <c r="K5954" s="3" t="s">
        <v>82</v>
      </c>
      <c r="L5954" s="3" t="str">
        <f>IFERROR(__xludf.DUMMYFUNCTION("GOOGLETRANSLATE(F5954,""id"",""en"")"),"why did you just take a photo of the Argentina squad, right?")</f>
        <v>why did you just take a photo of the Argentina squad, right?</v>
      </c>
    </row>
    <row r="5955" ht="15.75" customHeight="1">
      <c r="A5955" s="1">
        <v>7139.0</v>
      </c>
      <c r="B5955" s="3" t="s">
        <v>17130</v>
      </c>
      <c r="C5955" s="3">
        <v>0.0</v>
      </c>
      <c r="D5955" s="3">
        <v>0.0</v>
      </c>
      <c r="E5955" s="3">
        <v>0.0</v>
      </c>
      <c r="F5955" s="3" t="s">
        <v>17131</v>
      </c>
      <c r="G5955" s="3">
        <v>0.0</v>
      </c>
      <c r="H5955" s="3">
        <v>0.0</v>
      </c>
      <c r="I5955" s="3" t="s">
        <v>13</v>
      </c>
      <c r="J5955" s="3" t="s">
        <v>17132</v>
      </c>
      <c r="K5955" s="3" t="s">
        <v>27</v>
      </c>
      <c r="L5955" s="3" t="str">
        <f>IFERROR(__xludf.DUMMYFUNCTION("GOOGLETRANSLATE(F5955,""id"",""en"")"),"Zaja Diktator and the Argentine government made Messi shield from the economic crisis problem because they wanted to be responsible and blamed for the people so the use of Messi and the moment of champions of the Pildun as a Difference")</f>
        <v>Zaja Diktator and the Argentine government made Messi shield from the economic crisis problem because they wanted to be responsible and blamed for the people so the use of Messi and the moment of champions of the Pildun as a Difference</v>
      </c>
    </row>
    <row r="5956" ht="15.75" customHeight="1">
      <c r="A5956" s="1">
        <v>7140.0</v>
      </c>
      <c r="B5956" s="3" t="s">
        <v>17133</v>
      </c>
      <c r="C5956" s="3">
        <v>0.0</v>
      </c>
      <c r="D5956" s="3">
        <v>0.0</v>
      </c>
      <c r="E5956" s="3">
        <v>0.0</v>
      </c>
      <c r="F5956" s="3" t="s">
        <v>17134</v>
      </c>
      <c r="G5956" s="3">
        <v>0.0</v>
      </c>
      <c r="H5956" s="3">
        <v>0.0</v>
      </c>
      <c r="I5956" s="3" t="s">
        <v>13</v>
      </c>
      <c r="J5956" s="3" t="s">
        <v>17135</v>
      </c>
      <c r="K5956" s="3" t="s">
        <v>75</v>
      </c>
      <c r="L5956" s="3" t="str">
        <f>IFERROR(__xludf.DUMMYFUNCTION("GOOGLETRANSLATE(F5956,""id"",""en"")"),"Argentina came out as the World Cup champion know a number of interesting facts about the country")</f>
        <v>Argentina came out as the World Cup champion know a number of interesting facts about the country</v>
      </c>
    </row>
    <row r="5957" ht="15.75" customHeight="1">
      <c r="A5957" s="1">
        <v>7141.0</v>
      </c>
      <c r="B5957" s="3" t="s">
        <v>17136</v>
      </c>
      <c r="C5957" s="3">
        <v>0.0</v>
      </c>
      <c r="D5957" s="3">
        <v>0.0</v>
      </c>
      <c r="E5957" s="3">
        <v>0.0</v>
      </c>
      <c r="F5957" s="3" t="s">
        <v>17137</v>
      </c>
      <c r="G5957" s="3">
        <v>0.0</v>
      </c>
      <c r="H5957" s="3">
        <v>0.0</v>
      </c>
      <c r="I5957" s="3" t="s">
        <v>13</v>
      </c>
      <c r="J5957" s="3" t="s">
        <v>17138</v>
      </c>
      <c r="K5957" s="3" t="s">
        <v>184</v>
      </c>
      <c r="L5957" s="3" t="str">
        <f>IFERROR(__xludf.DUMMYFUNCTION("GOOGLETRANSLATE(F5957,""id"",""en"")"),"Lionel Messi et al Champion World Cup Boyfriend Cristiano Ronaldo is called the only Argentine who is prohibited from celebrating world football")</f>
        <v>Lionel Messi et al Champion World Cup Boyfriend Cristiano Ronaldo is called the only Argentine who is prohibited from celebrating world football</v>
      </c>
    </row>
    <row r="5958" ht="15.75" customHeight="1">
      <c r="A5958" s="1">
        <v>7142.0</v>
      </c>
      <c r="B5958" s="3" t="s">
        <v>17139</v>
      </c>
      <c r="C5958" s="3">
        <v>0.0</v>
      </c>
      <c r="D5958" s="3">
        <v>0.0</v>
      </c>
      <c r="E5958" s="3">
        <v>0.0</v>
      </c>
      <c r="G5958" s="3">
        <v>0.0</v>
      </c>
      <c r="H5958" s="3">
        <v>0.0</v>
      </c>
      <c r="I5958" s="3" t="s">
        <v>13</v>
      </c>
      <c r="J5958" s="3" t="s">
        <v>16049</v>
      </c>
      <c r="K5958" s="3" t="s">
        <v>16050</v>
      </c>
      <c r="L5958" s="3" t="str">
        <f>IFERROR(__xludf.DUMMYFUNCTION("GOOGLETRANSLATE(F5958,""id"",""en"")"),"#VALUE!")</f>
        <v>#VALUE!</v>
      </c>
    </row>
    <row r="5959" ht="15.75" customHeight="1">
      <c r="A5959" s="1">
        <v>7143.0</v>
      </c>
      <c r="B5959" s="3" t="s">
        <v>17140</v>
      </c>
      <c r="C5959" s="3">
        <v>0.0</v>
      </c>
      <c r="D5959" s="3">
        <v>0.0</v>
      </c>
      <c r="E5959" s="3">
        <v>0.0</v>
      </c>
      <c r="F5959" s="3" t="s">
        <v>17141</v>
      </c>
      <c r="G5959" s="3">
        <v>0.0</v>
      </c>
      <c r="H5959" s="3">
        <v>0.0</v>
      </c>
      <c r="I5959" s="3" t="s">
        <v>13</v>
      </c>
      <c r="J5959" s="3" t="s">
        <v>17142</v>
      </c>
      <c r="K5959" s="3" t="s">
        <v>75</v>
      </c>
      <c r="L5959" s="3" t="str">
        <f>IFERROR(__xludf.DUMMYFUNCTION("GOOGLETRANSLATE(F5959,""id"",""en"")"),"Argentina is champion but still Saudi Arabian players get more prizes Awokawokwok")</f>
        <v>Argentina is champion but still Saudi Arabian players get more prizes Awokawokwok</v>
      </c>
    </row>
    <row r="5960" ht="15.75" customHeight="1">
      <c r="A5960" s="1">
        <v>7144.0</v>
      </c>
      <c r="B5960" s="3" t="s">
        <v>17143</v>
      </c>
      <c r="C5960" s="3">
        <v>0.0</v>
      </c>
      <c r="D5960" s="3">
        <v>0.0</v>
      </c>
      <c r="E5960" s="3">
        <v>0.0</v>
      </c>
      <c r="F5960" s="3" t="s">
        <v>17144</v>
      </c>
      <c r="G5960" s="3">
        <v>0.0</v>
      </c>
      <c r="H5960" s="3">
        <v>0.0</v>
      </c>
      <c r="I5960" s="3" t="s">
        <v>13</v>
      </c>
      <c r="J5960" s="3" t="s">
        <v>17145</v>
      </c>
      <c r="K5960" s="3" t="s">
        <v>82</v>
      </c>
      <c r="L5960" s="3" t="str">
        <f>IFERROR(__xludf.DUMMYFUNCTION("GOOGLETRANSLATE(F5960,""id"",""en"")"),"Argentina Champion World Cup Know the facts of his country")</f>
        <v>Argentina Champion World Cup Know the facts of his country</v>
      </c>
    </row>
    <row r="5961" ht="15.75" customHeight="1">
      <c r="A5961" s="1">
        <v>7145.0</v>
      </c>
      <c r="B5961" s="3" t="s">
        <v>17146</v>
      </c>
      <c r="C5961" s="3">
        <v>0.0</v>
      </c>
      <c r="D5961" s="3">
        <v>0.0</v>
      </c>
      <c r="E5961" s="3">
        <v>0.0</v>
      </c>
      <c r="F5961" s="3" t="s">
        <v>17147</v>
      </c>
      <c r="G5961" s="3">
        <v>0.0</v>
      </c>
      <c r="H5961" s="3">
        <v>0.0</v>
      </c>
      <c r="I5961" s="3" t="s">
        <v>13</v>
      </c>
      <c r="J5961" s="3" t="s">
        <v>17148</v>
      </c>
      <c r="K5961" s="3" t="s">
        <v>54</v>
      </c>
      <c r="L5961" s="3" t="str">
        <f>IFERROR(__xludf.DUMMYFUNCTION("GOOGLETRANSLATE(F5961,""id"",""en"")"),"Although the Argentine world champion is still inferior to Brazil")</f>
        <v>Although the Argentine world champion is still inferior to Brazil</v>
      </c>
    </row>
    <row r="5962" ht="15.75" customHeight="1">
      <c r="A5962" s="1">
        <v>7146.0</v>
      </c>
      <c r="B5962" s="3" t="s">
        <v>17149</v>
      </c>
      <c r="C5962" s="3">
        <v>0.0</v>
      </c>
      <c r="D5962" s="3">
        <v>0.0</v>
      </c>
      <c r="E5962" s="3">
        <v>0.0</v>
      </c>
      <c r="F5962" s="3" t="s">
        <v>17150</v>
      </c>
      <c r="G5962" s="3">
        <v>0.0</v>
      </c>
      <c r="H5962" s="3">
        <v>0.0</v>
      </c>
      <c r="I5962" s="3" t="s">
        <v>13</v>
      </c>
      <c r="J5962" s="3" t="s">
        <v>17151</v>
      </c>
      <c r="K5962" s="3" t="s">
        <v>510</v>
      </c>
      <c r="L5962" s="3" t="str">
        <f>IFERROR(__xludf.DUMMYFUNCTION("GOOGLETRANSLATE(F5962,""id"",""en"")"),"Argentina did not rank FIFA even though the World Cup champion lost to Brazil Inews")</f>
        <v>Argentina did not rank FIFA even though the World Cup champion lost to Brazil Inews</v>
      </c>
    </row>
    <row r="5963" ht="15.75" customHeight="1">
      <c r="A5963" s="1">
        <v>7147.0</v>
      </c>
      <c r="B5963" s="3" t="s">
        <v>17152</v>
      </c>
      <c r="C5963" s="3">
        <v>1.0</v>
      </c>
      <c r="D5963" s="3">
        <v>0.0</v>
      </c>
      <c r="E5963" s="3">
        <v>0.0</v>
      </c>
      <c r="F5963" s="3" t="s">
        <v>17054</v>
      </c>
      <c r="G5963" s="3">
        <v>0.0</v>
      </c>
      <c r="H5963" s="3">
        <v>0.0</v>
      </c>
      <c r="I5963" s="3" t="s">
        <v>13</v>
      </c>
      <c r="J5963" s="3" t="s">
        <v>17055</v>
      </c>
      <c r="K5963" s="3" t="s">
        <v>2117</v>
      </c>
      <c r="L5963" s="3" t="str">
        <f>IFERROR(__xludf.DUMMYFUNCTION("GOOGLETRANSLATE(F5963,""id"",""en"")"),"Pantes Argentina Champion")</f>
        <v>Pantes Argentina Champion</v>
      </c>
    </row>
    <row r="5964" ht="15.75" customHeight="1">
      <c r="A5964" s="1">
        <v>7148.0</v>
      </c>
      <c r="B5964" s="3" t="s">
        <v>17153</v>
      </c>
      <c r="C5964" s="3">
        <v>0.0</v>
      </c>
      <c r="D5964" s="3">
        <v>0.0</v>
      </c>
      <c r="E5964" s="3">
        <v>0.0</v>
      </c>
      <c r="F5964" s="3" t="s">
        <v>17154</v>
      </c>
      <c r="G5964" s="3">
        <v>0.0</v>
      </c>
      <c r="H5964" s="3">
        <v>0.0</v>
      </c>
      <c r="I5964" s="3" t="s">
        <v>13</v>
      </c>
      <c r="J5964" s="3" t="s">
        <v>17155</v>
      </c>
      <c r="K5964" s="3" t="s">
        <v>54</v>
      </c>
      <c r="L5964" s="3" t="str">
        <f>IFERROR(__xludf.DUMMYFUNCTION("GOOGLETRANSLATE(F5964,""id"",""en"")"),"I hope the Argentina champion fever will reach Indonesia")</f>
        <v>I hope the Argentina champion fever will reach Indonesia</v>
      </c>
    </row>
    <row r="5965" ht="15.75" customHeight="1">
      <c r="A5965" s="1">
        <v>7149.0</v>
      </c>
      <c r="B5965" s="3" t="s">
        <v>17156</v>
      </c>
      <c r="C5965" s="3">
        <v>0.0</v>
      </c>
      <c r="D5965" s="3">
        <v>0.0</v>
      </c>
      <c r="E5965" s="3">
        <v>0.0</v>
      </c>
      <c r="F5965" s="3" t="s">
        <v>17147</v>
      </c>
      <c r="G5965" s="3">
        <v>0.0</v>
      </c>
      <c r="H5965" s="3">
        <v>0.0</v>
      </c>
      <c r="I5965" s="3" t="s">
        <v>13</v>
      </c>
      <c r="J5965" s="3" t="s">
        <v>17148</v>
      </c>
      <c r="K5965" s="3" t="s">
        <v>54</v>
      </c>
      <c r="L5965" s="3" t="str">
        <f>IFERROR(__xludf.DUMMYFUNCTION("GOOGLETRANSLATE(F5965,""id"",""en"")"),"Although the Argentine world champion is still inferior to Brazil")</f>
        <v>Although the Argentine world champion is still inferior to Brazil</v>
      </c>
    </row>
    <row r="5966" ht="15.75" customHeight="1">
      <c r="A5966" s="1">
        <v>7150.0</v>
      </c>
      <c r="B5966" s="3" t="s">
        <v>17157</v>
      </c>
      <c r="C5966" s="3">
        <v>0.0</v>
      </c>
      <c r="D5966" s="3">
        <v>1.0</v>
      </c>
      <c r="E5966" s="3">
        <v>47.0</v>
      </c>
      <c r="F5966" s="3" t="s">
        <v>17158</v>
      </c>
      <c r="G5966" s="3">
        <v>0.0</v>
      </c>
      <c r="H5966" s="3">
        <v>0.0</v>
      </c>
      <c r="I5966" s="3" t="s">
        <v>13</v>
      </c>
      <c r="J5966" s="3" t="s">
        <v>17159</v>
      </c>
      <c r="K5966" s="3" t="s">
        <v>3819</v>
      </c>
      <c r="L5966" s="3" t="str">
        <f>IFERROR(__xludf.DUMMYFUNCTION("GOOGLETRANSLATE(F5966,""id"",""en"")"),"It's strange that Argentinian people are not meritorious for Argentina, even if Aguero is still reasonable, besides Messi Aguero, one of respect is that, especially when the gacor is wiped out by Argentina.")</f>
        <v>It's strange that Argentinian people are not meritorious for Argentina, even if Aguero is still reasonable, besides Messi Aguero, one of respect is that, especially when the gacor is wiped out by Argentina.</v>
      </c>
    </row>
    <row r="5967" ht="15.75" customHeight="1">
      <c r="A5967" s="1">
        <v>7151.0</v>
      </c>
      <c r="B5967" s="3" t="s">
        <v>17160</v>
      </c>
      <c r="C5967" s="3">
        <v>0.0</v>
      </c>
      <c r="D5967" s="3">
        <v>0.0</v>
      </c>
      <c r="E5967" s="3">
        <v>0.0</v>
      </c>
      <c r="F5967" s="3" t="s">
        <v>17161</v>
      </c>
      <c r="G5967" s="3">
        <v>0.0</v>
      </c>
      <c r="H5967" s="3">
        <v>0.0</v>
      </c>
      <c r="I5967" s="3" t="s">
        <v>13</v>
      </c>
      <c r="J5967" s="3" t="s">
        <v>17162</v>
      </c>
      <c r="K5967" s="3" t="s">
        <v>90</v>
      </c>
      <c r="L5967" s="3" t="str">
        <f>IFERROR(__xludf.DUMMYFUNCTION("GOOGLETRANSLATE(F5967,""id"",""en"")"),"FIFA is investigating Salt Bae because he gets improper access when Argentina is celebrating as the World Cup of Std Lusail The Athletic")</f>
        <v>FIFA is investigating Salt Bae because he gets improper access when Argentina is celebrating as the World Cup of Std Lusail The Athletic</v>
      </c>
    </row>
    <row r="5968" ht="15.75" customHeight="1">
      <c r="A5968" s="1">
        <v>7152.0</v>
      </c>
      <c r="B5968" s="3" t="s">
        <v>17163</v>
      </c>
      <c r="C5968" s="3">
        <v>0.0</v>
      </c>
      <c r="D5968" s="3">
        <v>0.0</v>
      </c>
      <c r="E5968" s="3">
        <v>0.0</v>
      </c>
      <c r="F5968" s="3" t="s">
        <v>17150</v>
      </c>
      <c r="G5968" s="3">
        <v>0.0</v>
      </c>
      <c r="H5968" s="3">
        <v>0.0</v>
      </c>
      <c r="I5968" s="3" t="s">
        <v>13</v>
      </c>
      <c r="J5968" s="3" t="s">
        <v>17151</v>
      </c>
      <c r="K5968" s="3" t="s">
        <v>510</v>
      </c>
      <c r="L5968" s="3" t="str">
        <f>IFERROR(__xludf.DUMMYFUNCTION("GOOGLETRANSLATE(F5968,""id"",""en"")"),"Argentina did not rank FIFA even though the World Cup champion lost to Brazil Inews")</f>
        <v>Argentina did not rank FIFA even though the World Cup champion lost to Brazil Inews</v>
      </c>
    </row>
    <row r="5969" ht="15.75" customHeight="1">
      <c r="A5969" s="1">
        <v>7153.0</v>
      </c>
      <c r="B5969" s="3" t="s">
        <v>17164</v>
      </c>
      <c r="C5969" s="3">
        <v>0.0</v>
      </c>
      <c r="D5969" s="3">
        <v>0.0</v>
      </c>
      <c r="E5969" s="3">
        <v>0.0</v>
      </c>
      <c r="F5969" s="3" t="s">
        <v>17165</v>
      </c>
      <c r="G5969" s="3">
        <v>0.2333333333333333</v>
      </c>
      <c r="H5969" s="3">
        <v>-0.25</v>
      </c>
      <c r="I5969" s="3" t="s">
        <v>179</v>
      </c>
      <c r="J5969" s="3" t="s">
        <v>17166</v>
      </c>
      <c r="K5969" s="3" t="s">
        <v>50</v>
      </c>
      <c r="L5969" s="3" t="str">
        <f>IFERROR(__xludf.DUMMYFUNCTION("GOOGLETRANSLATE(F5969,""id"",""en"")"),"The Argentine national team players were evacuated from the bus parade during the celebration of the World Cup championship")</f>
        <v>The Argentine national team players were evacuated from the bus parade during the celebration of the World Cup championship</v>
      </c>
    </row>
    <row r="5970" ht="15.75" customHeight="1">
      <c r="A5970" s="1">
        <v>7154.0</v>
      </c>
      <c r="B5970" s="3" t="s">
        <v>17167</v>
      </c>
      <c r="C5970" s="3">
        <v>331.0</v>
      </c>
      <c r="D5970" s="3">
        <v>414.0</v>
      </c>
      <c r="E5970" s="3">
        <v>4464.0</v>
      </c>
      <c r="F5970" s="3" t="s">
        <v>17064</v>
      </c>
      <c r="G5970" s="3">
        <v>0.0</v>
      </c>
      <c r="H5970" s="3">
        <v>0.0</v>
      </c>
      <c r="I5970" s="3" t="s">
        <v>13</v>
      </c>
      <c r="J5970" s="3" t="s">
        <v>17065</v>
      </c>
      <c r="K5970" s="3" t="s">
        <v>90</v>
      </c>
      <c r="L5970" s="3" t="str">
        <f>IFERROR(__xludf.DUMMYFUNCTION("GOOGLETRANSLATE(F5970,""id"",""en"")"),"FIFA is conducting an investigation because Salt Bae has gained inappropriate access when the celebration")</f>
        <v>FIFA is conducting an investigation because Salt Bae has gained inappropriate access when the celebration</v>
      </c>
    </row>
    <row r="5971" ht="15.75" customHeight="1">
      <c r="A5971" s="1">
        <v>7155.0</v>
      </c>
      <c r="B5971" s="3" t="s">
        <v>17168</v>
      </c>
      <c r="C5971" s="3">
        <v>1.0</v>
      </c>
      <c r="D5971" s="3">
        <v>0.0</v>
      </c>
      <c r="E5971" s="3">
        <v>0.0</v>
      </c>
      <c r="F5971" s="3" t="s">
        <v>17169</v>
      </c>
      <c r="G5971" s="3">
        <v>0.0</v>
      </c>
      <c r="H5971" s="3">
        <v>0.0</v>
      </c>
      <c r="I5971" s="3" t="s">
        <v>13</v>
      </c>
      <c r="J5971" s="3" t="s">
        <v>17170</v>
      </c>
      <c r="K5971" s="3" t="s">
        <v>75</v>
      </c>
      <c r="L5971" s="3" t="str">
        <f>IFERROR(__xludf.DUMMYFUNCTION("GOOGLETRANSLATE(F5971,""id"",""en"")"),"Stay guardian Argentina champions Pilduun settings like this feels dodo worshipers")</f>
        <v>Stay guardian Argentina champions Pilduun settings like this feels dodo worshipers</v>
      </c>
    </row>
    <row r="5972" ht="15.75" customHeight="1">
      <c r="A5972" s="1">
        <v>7156.0</v>
      </c>
      <c r="B5972" s="3" t="s">
        <v>17171</v>
      </c>
      <c r="C5972" s="3">
        <v>1.0</v>
      </c>
      <c r="D5972" s="3">
        <v>0.0</v>
      </c>
      <c r="E5972" s="3">
        <v>0.0</v>
      </c>
      <c r="F5972" s="3" t="s">
        <v>17172</v>
      </c>
      <c r="G5972" s="3">
        <v>0.0</v>
      </c>
      <c r="H5972" s="3">
        <v>0.0</v>
      </c>
      <c r="I5972" s="3" t="s">
        <v>13</v>
      </c>
      <c r="J5972" s="3" t="s">
        <v>17173</v>
      </c>
      <c r="K5972" s="3" t="s">
        <v>31</v>
      </c>
      <c r="L5972" s="3" t="str">
        <f>IFERROR(__xludf.DUMMYFUNCTION("GOOGLETRANSLATE(F5972,""id"",""en"")"),"Redsindo finishing the finishing player bgt")</f>
        <v>Redsindo finishing the finishing player bgt</v>
      </c>
    </row>
    <row r="5973" ht="15.75" customHeight="1">
      <c r="A5973" s="1">
        <v>7157.0</v>
      </c>
      <c r="B5973" s="3" t="s">
        <v>17174</v>
      </c>
      <c r="C5973" s="3">
        <v>0.0</v>
      </c>
      <c r="D5973" s="3">
        <v>0.0</v>
      </c>
      <c r="E5973" s="3">
        <v>0.0</v>
      </c>
      <c r="F5973" s="3" t="s">
        <v>17175</v>
      </c>
      <c r="G5973" s="3">
        <v>0.0</v>
      </c>
      <c r="H5973" s="3">
        <v>0.0</v>
      </c>
      <c r="I5973" s="3" t="s">
        <v>13</v>
      </c>
      <c r="J5973" s="3" t="s">
        <v>17176</v>
      </c>
      <c r="K5973" s="3" t="s">
        <v>15</v>
      </c>
      <c r="L5973" s="3" t="str">
        <f>IFERROR(__xludf.DUMMYFUNCTION("GOOGLETRANSLATE(F5973,""id"",""en"")"),"This World Cup should have declared Argentina Champion since the opening")</f>
        <v>This World Cup should have declared Argentina Champion since the opening</v>
      </c>
    </row>
    <row r="5974" ht="15.75" customHeight="1">
      <c r="A5974" s="1">
        <v>7158.0</v>
      </c>
      <c r="B5974" s="3" t="s">
        <v>17177</v>
      </c>
      <c r="C5974" s="3">
        <v>0.0</v>
      </c>
      <c r="D5974" s="3">
        <v>4.0</v>
      </c>
      <c r="E5974" s="3">
        <v>0.0</v>
      </c>
      <c r="F5974" s="3" t="s">
        <v>17178</v>
      </c>
      <c r="G5974" s="3">
        <v>0.0</v>
      </c>
      <c r="H5974" s="3">
        <v>0.0</v>
      </c>
      <c r="I5974" s="3" t="s">
        <v>13</v>
      </c>
      <c r="J5974" s="3" t="s">
        <v>17179</v>
      </c>
      <c r="K5974" s="3" t="s">
        <v>19</v>
      </c>
      <c r="L5974" s="3" t="str">
        <f>IFERROR(__xludf.DUMMYFUNCTION("GOOGLETRANSLATE(F5974,""id"",""en"")"),"Ups Lionel Messi's trophy collection was incomplete after Argentina World Cup champions")</f>
        <v>Ups Lionel Messi's trophy collection was incomplete after Argentina World Cup champions</v>
      </c>
    </row>
    <row r="5975" ht="15.75" customHeight="1">
      <c r="A5975" s="1">
        <v>7159.0</v>
      </c>
      <c r="B5975" s="3" t="s">
        <v>17180</v>
      </c>
      <c r="C5975" s="3">
        <v>0.0</v>
      </c>
      <c r="D5975" s="3">
        <v>0.0</v>
      </c>
      <c r="E5975" s="3">
        <v>0.0</v>
      </c>
      <c r="F5975" s="3" t="s">
        <v>17181</v>
      </c>
      <c r="G5975" s="3">
        <v>0.0</v>
      </c>
      <c r="H5975" s="3">
        <v>0.0</v>
      </c>
      <c r="I5975" s="3" t="s">
        <v>13</v>
      </c>
      <c r="J5975" s="3" t="s">
        <v>17182</v>
      </c>
      <c r="K5975" s="3" t="s">
        <v>54</v>
      </c>
      <c r="L5975" s="3" t="str">
        <f>IFERROR(__xludf.DUMMYFUNCTION("GOOGLETRANSLATE(F5975,""id"",""en"")"),"Suitable Argentina Champion World Cup Champion")</f>
        <v>Suitable Argentina Champion World Cup Champion</v>
      </c>
    </row>
    <row r="5976" ht="15.75" customHeight="1">
      <c r="A5976" s="1">
        <v>7160.0</v>
      </c>
      <c r="B5976" s="3" t="s">
        <v>17183</v>
      </c>
      <c r="C5976" s="3">
        <v>2.0</v>
      </c>
      <c r="D5976" s="3">
        <v>0.0</v>
      </c>
      <c r="E5976" s="3">
        <v>0.0</v>
      </c>
      <c r="F5976" s="3" t="s">
        <v>17184</v>
      </c>
      <c r="G5976" s="3">
        <v>0.0</v>
      </c>
      <c r="H5976" s="3">
        <v>0.0</v>
      </c>
      <c r="I5976" s="3" t="s">
        <v>13</v>
      </c>
      <c r="J5976" s="3" t="s">
        <v>17185</v>
      </c>
      <c r="K5976" s="3" t="s">
        <v>997</v>
      </c>
      <c r="L5976" s="3" t="str">
        <f>IFERROR(__xludf.DUMMYFUNCTION("GOOGLETRANSLATE(F5976,""id"",""en"")"),"to forget this tweets and actually rather horrified because it turns out that there really happened Argentina this new news champion was contracted by Nasr.")</f>
        <v>to forget this tweets and actually rather horrified because it turns out that there really happened Argentina this new news champion was contracted by Nasr.</v>
      </c>
    </row>
    <row r="5977" ht="15.75" customHeight="1">
      <c r="A5977" s="1">
        <v>7161.0</v>
      </c>
      <c r="B5977" s="3" t="s">
        <v>17186</v>
      </c>
      <c r="C5977" s="3">
        <v>0.0</v>
      </c>
      <c r="D5977" s="3">
        <v>0.0</v>
      </c>
      <c r="E5977" s="3">
        <v>0.0</v>
      </c>
      <c r="F5977" s="3" t="s">
        <v>17181</v>
      </c>
      <c r="G5977" s="3">
        <v>0.0</v>
      </c>
      <c r="H5977" s="3">
        <v>0.0</v>
      </c>
      <c r="I5977" s="3" t="s">
        <v>13</v>
      </c>
      <c r="J5977" s="3" t="s">
        <v>17182</v>
      </c>
      <c r="K5977" s="3" t="s">
        <v>54</v>
      </c>
      <c r="L5977" s="3" t="str">
        <f>IFERROR(__xludf.DUMMYFUNCTION("GOOGLETRANSLATE(F5977,""id"",""en"")"),"Suitable Argentina Champion World Cup Champion")</f>
        <v>Suitable Argentina Champion World Cup Champion</v>
      </c>
    </row>
    <row r="5978" ht="15.75" customHeight="1">
      <c r="A5978" s="1">
        <v>7162.0</v>
      </c>
      <c r="B5978" s="3" t="s">
        <v>17187</v>
      </c>
      <c r="C5978" s="3">
        <v>0.0</v>
      </c>
      <c r="D5978" s="3">
        <v>0.0</v>
      </c>
      <c r="E5978" s="3">
        <v>0.0</v>
      </c>
      <c r="F5978" s="3" t="s">
        <v>17178</v>
      </c>
      <c r="G5978" s="3">
        <v>0.0</v>
      </c>
      <c r="H5978" s="3">
        <v>0.0</v>
      </c>
      <c r="I5978" s="3" t="s">
        <v>13</v>
      </c>
      <c r="J5978" s="3" t="s">
        <v>17179</v>
      </c>
      <c r="K5978" s="3" t="s">
        <v>19</v>
      </c>
      <c r="L5978" s="3" t="str">
        <f>IFERROR(__xludf.DUMMYFUNCTION("GOOGLETRANSLATE(F5978,""id"",""en"")"),"Ups Lionel Messi's trophy collection was incomplete after Argentina World Cup champions")</f>
        <v>Ups Lionel Messi's trophy collection was incomplete after Argentina World Cup champions</v>
      </c>
    </row>
    <row r="5979" ht="15.75" customHeight="1">
      <c r="A5979" s="1">
        <v>7163.0</v>
      </c>
      <c r="B5979" s="3" t="s">
        <v>17188</v>
      </c>
      <c r="C5979" s="3">
        <v>0.0</v>
      </c>
      <c r="D5979" s="3">
        <v>0.0</v>
      </c>
      <c r="E5979" s="3">
        <v>0.0</v>
      </c>
      <c r="F5979" s="3" t="s">
        <v>17189</v>
      </c>
      <c r="G5979" s="3">
        <v>0.0</v>
      </c>
      <c r="H5979" s="3">
        <v>0.0</v>
      </c>
      <c r="I5979" s="3" t="s">
        <v>13</v>
      </c>
      <c r="J5979" s="3" t="s">
        <v>17190</v>
      </c>
      <c r="K5979" s="3" t="s">
        <v>41</v>
      </c>
      <c r="L5979" s="3" t="str">
        <f>IFERROR(__xludf.DUMMYFUNCTION("GOOGLETRANSLATE(F5979,""id"",""en"")"),"The story of Enzo Fernandez, accompanying Messi and Argentina, world champions")</f>
        <v>The story of Enzo Fernandez, accompanying Messi and Argentina, world champions</v>
      </c>
    </row>
    <row r="5980" ht="15.75" customHeight="1">
      <c r="A5980" s="1">
        <v>7164.0</v>
      </c>
      <c r="B5980" s="3" t="s">
        <v>17191</v>
      </c>
      <c r="C5980" s="3">
        <v>0.0</v>
      </c>
      <c r="D5980" s="3">
        <v>0.0</v>
      </c>
      <c r="E5980" s="3">
        <v>0.0</v>
      </c>
      <c r="F5980" s="3" t="s">
        <v>17192</v>
      </c>
      <c r="G5980" s="3">
        <v>0.0</v>
      </c>
      <c r="H5980" s="3">
        <v>0.0</v>
      </c>
      <c r="I5980" s="3" t="s">
        <v>13</v>
      </c>
      <c r="J5980" s="3" t="s">
        <v>17193</v>
      </c>
      <c r="K5980" s="3" t="s">
        <v>2610</v>
      </c>
      <c r="L5980" s="3" t="str">
        <f>IFERROR(__xludf.DUMMYFUNCTION("GOOGLETRANSLATE(F5980,""id"",""en"")"),"except winning Qatar, the new conspiracy, Argentina, what is as if the champion is worthy")</f>
        <v>except winning Qatar, the new conspiracy, Argentina, what is as if the champion is worthy</v>
      </c>
    </row>
    <row r="5981" ht="15.75" customHeight="1">
      <c r="A5981" s="1">
        <v>7165.0</v>
      </c>
      <c r="B5981" s="3" t="s">
        <v>17194</v>
      </c>
      <c r="C5981" s="3">
        <v>0.0</v>
      </c>
      <c r="D5981" s="3">
        <v>0.0</v>
      </c>
      <c r="E5981" s="3">
        <v>0.0</v>
      </c>
      <c r="F5981" s="3" t="s">
        <v>17195</v>
      </c>
      <c r="G5981" s="3">
        <v>0.2333333333333333</v>
      </c>
      <c r="H5981" s="3">
        <v>-0.25</v>
      </c>
      <c r="I5981" s="3" t="s">
        <v>179</v>
      </c>
      <c r="J5981" s="3" t="s">
        <v>17196</v>
      </c>
      <c r="K5981" s="3" t="s">
        <v>15</v>
      </c>
      <c r="L5981" s="3" t="str">
        <f>IFERROR(__xludf.DUMMYFUNCTION("GOOGLETRANSLATE(F5981,""id"",""en"")"),"Argentine People's Champion Parade Qatar World Cup Via")</f>
        <v>Argentine People's Champion Parade Qatar World Cup Via</v>
      </c>
    </row>
    <row r="5982" ht="15.75" customHeight="1">
      <c r="A5982" s="1">
        <v>7166.0</v>
      </c>
      <c r="B5982" s="3" t="s">
        <v>17197</v>
      </c>
      <c r="C5982" s="3">
        <v>0.0</v>
      </c>
      <c r="D5982" s="3">
        <v>0.0</v>
      </c>
      <c r="E5982" s="3">
        <v>0.0</v>
      </c>
      <c r="F5982" s="3" t="s">
        <v>17198</v>
      </c>
      <c r="G5982" s="3">
        <v>0.0</v>
      </c>
      <c r="H5982" s="3">
        <v>0.0</v>
      </c>
      <c r="I5982" s="3" t="s">
        <v>13</v>
      </c>
      <c r="J5982" s="3" t="s">
        <v>17199</v>
      </c>
      <c r="K5982" s="3" t="s">
        <v>1293</v>
      </c>
      <c r="L5982" s="3" t="str">
        <f>IFERROR(__xludf.DUMMYFUNCTION("GOOGLETRANSLATE(F5982,""id"",""en"")"),"it still hasn't changed Portugal and his fans are rotten in the facts, instead, they are not taking and not accepting and raging, Argentina, the World Cup championship")</f>
        <v>it still hasn't changed Portugal and his fans are rotten in the facts, instead, they are not taking and not accepting and raging, Argentina, the World Cup championship</v>
      </c>
    </row>
    <row r="5983" ht="15.75" customHeight="1">
      <c r="A5983" s="1">
        <v>7167.0</v>
      </c>
      <c r="B5983" s="3" t="s">
        <v>17200</v>
      </c>
      <c r="C5983" s="3">
        <v>0.0</v>
      </c>
      <c r="D5983" s="3">
        <v>0.0</v>
      </c>
      <c r="E5983" s="3">
        <v>0.0</v>
      </c>
      <c r="F5983" s="3" t="s">
        <v>17198</v>
      </c>
      <c r="G5983" s="3">
        <v>0.0</v>
      </c>
      <c r="H5983" s="3">
        <v>0.0</v>
      </c>
      <c r="I5983" s="3" t="s">
        <v>13</v>
      </c>
      <c r="J5983" s="3" t="s">
        <v>17199</v>
      </c>
      <c r="K5983" s="3" t="s">
        <v>1293</v>
      </c>
      <c r="L5983" s="3" t="str">
        <f>IFERROR(__xludf.DUMMYFUNCTION("GOOGLETRANSLATE(F5983,""id"",""en"")"),"it still hasn't changed Portugal and his fans are rotten in the facts, instead, they are not taking and not accepting and raging, Argentina, the World Cup championship")</f>
        <v>it still hasn't changed Portugal and his fans are rotten in the facts, instead, they are not taking and not accepting and raging, Argentina, the World Cup championship</v>
      </c>
    </row>
    <row r="5984" ht="15.75" customHeight="1">
      <c r="A5984" s="1">
        <v>7168.0</v>
      </c>
      <c r="B5984" s="3" t="s">
        <v>17201</v>
      </c>
      <c r="C5984" s="3">
        <v>0.0</v>
      </c>
      <c r="D5984" s="3">
        <v>0.0</v>
      </c>
      <c r="E5984" s="3">
        <v>0.0</v>
      </c>
      <c r="F5984" s="3" t="s">
        <v>17198</v>
      </c>
      <c r="G5984" s="3">
        <v>0.0</v>
      </c>
      <c r="H5984" s="3">
        <v>0.0</v>
      </c>
      <c r="I5984" s="3" t="s">
        <v>13</v>
      </c>
      <c r="J5984" s="3" t="s">
        <v>17199</v>
      </c>
      <c r="K5984" s="3" t="s">
        <v>1293</v>
      </c>
      <c r="L5984" s="3" t="str">
        <f>IFERROR(__xludf.DUMMYFUNCTION("GOOGLETRANSLATE(F5984,""id"",""en"")"),"it still hasn't changed Portugal and his fans are rotten in the facts, instead, they are not taking and not accepting and raging, Argentina, the World Cup championship")</f>
        <v>it still hasn't changed Portugal and his fans are rotten in the facts, instead, they are not taking and not accepting and raging, Argentina, the World Cup championship</v>
      </c>
    </row>
    <row r="5985" ht="15.75" customHeight="1">
      <c r="A5985" s="1">
        <v>7169.0</v>
      </c>
      <c r="B5985" s="3" t="s">
        <v>17202</v>
      </c>
      <c r="C5985" s="3">
        <v>1.0</v>
      </c>
      <c r="D5985" s="3">
        <v>0.0</v>
      </c>
      <c r="E5985" s="3">
        <v>0.0</v>
      </c>
      <c r="F5985" s="3" t="s">
        <v>17203</v>
      </c>
      <c r="G5985" s="3">
        <v>0.0</v>
      </c>
      <c r="H5985" s="3">
        <v>0.0</v>
      </c>
      <c r="I5985" s="3" t="s">
        <v>13</v>
      </c>
      <c r="J5985" s="3" t="s">
        <v>17204</v>
      </c>
      <c r="K5985" s="3" t="s">
        <v>3519</v>
      </c>
      <c r="L5985" s="3" t="str">
        <f>IFERROR(__xludf.DUMMYFUNCTION("GOOGLETRANSLATE(F5985,""id"",""en"")"),"Because of the long wait to win the third World Cup trophy since the last time the champion at the Lionel Messi World's face will appear, the news of the Argentine peso fraction of the news said that the Argentine Financial Regulatory Agency wanted to mar"&amp;"k the victory")</f>
        <v>Because of the long wait to win the third World Cup trophy since the last time the champion at the Lionel Messi World's face will appear, the news of the Argentine peso fraction of the news said that the Argentine Financial Regulatory Agency wanted to mark the victory</v>
      </c>
    </row>
    <row r="5986" ht="15.75" customHeight="1">
      <c r="A5986" s="1">
        <v>7171.0</v>
      </c>
      <c r="B5986" s="3" t="s">
        <v>17205</v>
      </c>
      <c r="C5986" s="3">
        <v>0.0</v>
      </c>
      <c r="D5986" s="3">
        <v>1.0</v>
      </c>
      <c r="E5986" s="3">
        <v>5.0</v>
      </c>
      <c r="F5986" s="3" t="s">
        <v>17206</v>
      </c>
      <c r="G5986" s="3">
        <v>0.0</v>
      </c>
      <c r="H5986" s="3">
        <v>0.0</v>
      </c>
      <c r="I5986" s="3" t="s">
        <v>13</v>
      </c>
      <c r="J5986" s="3" t="s">
        <v>17207</v>
      </c>
      <c r="K5986" s="3" t="s">
        <v>41</v>
      </c>
      <c r="L5986" s="3" t="str">
        <f>IFERROR(__xludf.DUMMYFUNCTION("GOOGLETRANSLATE(F5986,""id"",""en"")"),"FIFA emphasizes Salt Bae Breaking the rules during the Argentine championship party")</f>
        <v>FIFA emphasizes Salt Bae Breaking the rules during the Argentine championship party</v>
      </c>
    </row>
    <row r="5987" ht="15.75" customHeight="1">
      <c r="A5987" s="1">
        <v>7172.0</v>
      </c>
      <c r="B5987" s="3" t="s">
        <v>17208</v>
      </c>
      <c r="C5987" s="3">
        <v>0.0</v>
      </c>
      <c r="D5987" s="3">
        <v>0.0</v>
      </c>
      <c r="E5987" s="3">
        <v>0.0</v>
      </c>
      <c r="F5987" s="3" t="s">
        <v>17209</v>
      </c>
      <c r="G5987" s="3">
        <v>0.0</v>
      </c>
      <c r="H5987" s="3">
        <v>0.0</v>
      </c>
      <c r="I5987" s="3" t="s">
        <v>13</v>
      </c>
      <c r="J5987" s="3" t="s">
        <v>17210</v>
      </c>
      <c r="K5987" s="3" t="s">
        <v>3497</v>
      </c>
      <c r="L5987" s="3" t="str">
        <f>IFERROR(__xludf.DUMMYFUNCTION("GOOGLETRANSLATE(F5987,""id"",""en"")"),"the reality is also Argentina champion champion mah")</f>
        <v>the reality is also Argentina champion champion mah</v>
      </c>
    </row>
    <row r="5988" ht="15.75" customHeight="1">
      <c r="A5988" s="1">
        <v>7173.0</v>
      </c>
      <c r="B5988" s="3" t="s">
        <v>17211</v>
      </c>
      <c r="C5988" s="3">
        <v>1.0</v>
      </c>
      <c r="D5988" s="3">
        <v>0.0</v>
      </c>
      <c r="E5988" s="3">
        <v>1.0</v>
      </c>
      <c r="F5988" s="3" t="s">
        <v>17212</v>
      </c>
      <c r="G5988" s="3">
        <v>0.0</v>
      </c>
      <c r="H5988" s="3">
        <v>0.0</v>
      </c>
      <c r="I5988" s="3" t="s">
        <v>13</v>
      </c>
      <c r="J5988" s="3" t="s">
        <v>17213</v>
      </c>
      <c r="K5988" s="3" t="s">
        <v>2375</v>
      </c>
      <c r="L5988" s="3" t="str">
        <f>IFERROR(__xludf.DUMMYFUNCTION("GOOGLETRANSLATE(F5988,""id"",""en"")"),"For me the world of soccer world is Saudi Arabian Argentina subdued in Saudi Arabia with a score only Saudi Arabia can defeat Argentina")</f>
        <v>For me the world of soccer world is Saudi Arabian Argentina subdued in Saudi Arabia with a score only Saudi Arabia can defeat Argentina</v>
      </c>
    </row>
    <row r="5989" ht="15.75" customHeight="1">
      <c r="A5989" s="1">
        <v>7174.0</v>
      </c>
      <c r="B5989" s="3" t="s">
        <v>17214</v>
      </c>
      <c r="C5989" s="3">
        <v>0.0</v>
      </c>
      <c r="D5989" s="3">
        <v>0.0</v>
      </c>
      <c r="E5989" s="3">
        <v>0.0</v>
      </c>
      <c r="F5989" s="3" t="s">
        <v>17215</v>
      </c>
      <c r="G5989" s="3">
        <v>0.0</v>
      </c>
      <c r="H5989" s="3">
        <v>0.0</v>
      </c>
      <c r="I5989" s="3" t="s">
        <v>13</v>
      </c>
      <c r="J5989" s="3" t="s">
        <v>17216</v>
      </c>
      <c r="K5989" s="3" t="s">
        <v>23</v>
      </c>
      <c r="L5989" s="3" t="str">
        <f>IFERROR(__xludf.DUMMYFUNCTION("GOOGLETRANSLATE(F5989,""id"",""en"")"),"Instead of taking care of this, it's better to focus on supporting Indonesia so that the AFF Cup champion bro, he wants Argentina to lose or win, but we just live this")</f>
        <v>Instead of taking care of this, it's better to focus on supporting Indonesia so that the AFF Cup champion bro, he wants Argentina to lose or win, but we just live this</v>
      </c>
    </row>
    <row r="5990" ht="15.75" customHeight="1">
      <c r="A5990" s="1">
        <v>7175.0</v>
      </c>
      <c r="B5990" s="3" t="s">
        <v>17217</v>
      </c>
      <c r="C5990" s="3">
        <v>0.0</v>
      </c>
      <c r="D5990" s="3">
        <v>0.0</v>
      </c>
      <c r="E5990" s="3">
        <v>0.0</v>
      </c>
      <c r="F5990" s="3" t="s">
        <v>17218</v>
      </c>
      <c r="G5990" s="3">
        <v>0.0</v>
      </c>
      <c r="H5990" s="3">
        <v>0.0</v>
      </c>
      <c r="I5990" s="3" t="s">
        <v>13</v>
      </c>
      <c r="J5990" s="3" t="s">
        <v>17219</v>
      </c>
      <c r="K5990" s="3" t="s">
        <v>41</v>
      </c>
      <c r="L5990" s="3" t="str">
        <f>IFERROR(__xludf.DUMMYFUNCTION("GOOGLETRANSLATE(F5990,""id"",""en"")"),"Next month I am Falkland, I want to see them happy Argentina champions")</f>
        <v>Next month I am Falkland, I want to see them happy Argentina champions</v>
      </c>
    </row>
    <row r="5991" ht="15.75" customHeight="1">
      <c r="A5991" s="1">
        <v>7176.0</v>
      </c>
      <c r="B5991" s="3" t="s">
        <v>17220</v>
      </c>
      <c r="C5991" s="3">
        <v>0.0</v>
      </c>
      <c r="D5991" s="3">
        <v>1.0</v>
      </c>
      <c r="E5991" s="3">
        <v>2.0</v>
      </c>
      <c r="F5991" s="3" t="s">
        <v>17221</v>
      </c>
      <c r="G5991" s="3">
        <v>0.0</v>
      </c>
      <c r="H5991" s="3">
        <v>0.0</v>
      </c>
      <c r="I5991" s="3" t="s">
        <v>13</v>
      </c>
      <c r="J5991" s="3" t="s">
        <v>17222</v>
      </c>
      <c r="K5991" s="3" t="s">
        <v>15</v>
      </c>
      <c r="L5991" s="3" t="str">
        <f>IFERROR(__xludf.DUMMYFUNCTION("GOOGLETRANSLATE(F5991,""id"",""en"")"),"SALT BAE MAKERS MAKING Argentina Champion Party Is Prohibited")</f>
        <v>SALT BAE MAKERS MAKING Argentina Champion Party Is Prohibited</v>
      </c>
    </row>
    <row r="5992" ht="15.75" customHeight="1">
      <c r="A5992" s="1">
        <v>7177.0</v>
      </c>
      <c r="B5992" s="3" t="s">
        <v>17223</v>
      </c>
      <c r="C5992" s="3">
        <v>9.0</v>
      </c>
      <c r="D5992" s="3">
        <v>0.0</v>
      </c>
      <c r="E5992" s="3">
        <v>3.0</v>
      </c>
      <c r="F5992" s="3" t="s">
        <v>17224</v>
      </c>
      <c r="G5992" s="3">
        <v>0.0</v>
      </c>
      <c r="H5992" s="3">
        <v>0.0</v>
      </c>
      <c r="I5992" s="3" t="s">
        <v>13</v>
      </c>
      <c r="J5992" s="3" t="s">
        <v>17225</v>
      </c>
      <c r="K5992" s="3" t="s">
        <v>45</v>
      </c>
      <c r="L5992" s="3" t="str">
        <f>IFERROR(__xludf.DUMMYFUNCTION("GOOGLETRANSLATE(F5992,""id"",""en"")"),"Messi Failed Copa still you praise even though until retiring Ronaldo's successful euro, you still just turn out that there is a finalist and Argentina champion you are proud even though when Portugal the champion there is a cup lwkwkwlkwlw you")</f>
        <v>Messi Failed Copa still you praise even though until retiring Ronaldo's successful euro, you still just turn out that there is a finalist and Argentina champion you are proud even though when Portugal the champion there is a cup lwkwkwlkwlw you</v>
      </c>
    </row>
    <row r="5993" ht="15.75" customHeight="1">
      <c r="A5993" s="1">
        <v>7178.0</v>
      </c>
      <c r="B5993" s="3" t="s">
        <v>17226</v>
      </c>
      <c r="C5993" s="3">
        <v>0.0</v>
      </c>
      <c r="D5993" s="3">
        <v>0.0</v>
      </c>
      <c r="E5993" s="3">
        <v>0.0</v>
      </c>
      <c r="F5993" s="3" t="s">
        <v>17227</v>
      </c>
      <c r="G5993" s="3">
        <v>0.0</v>
      </c>
      <c r="H5993" s="3">
        <v>0.0</v>
      </c>
      <c r="I5993" s="3" t="s">
        <v>13</v>
      </c>
      <c r="J5993" s="3" t="s">
        <v>17228</v>
      </c>
      <c r="K5993" s="3" t="s">
        <v>644</v>
      </c>
      <c r="L5993" s="3" t="str">
        <f>IFERROR(__xludf.DUMMYFUNCTION("GOOGLETRANSLATE(F5993,""id"",""en"")"),"Argentina Champion Milk Party")</f>
        <v>Argentina Champion Milk Party</v>
      </c>
    </row>
    <row r="5994" ht="15.75" customHeight="1">
      <c r="A5994" s="1">
        <v>7179.0</v>
      </c>
      <c r="B5994" s="3" t="s">
        <v>17229</v>
      </c>
      <c r="C5994" s="3">
        <v>1.0</v>
      </c>
      <c r="D5994" s="3">
        <v>0.0</v>
      </c>
      <c r="E5994" s="3">
        <v>0.0</v>
      </c>
      <c r="F5994" s="3" t="s">
        <v>17230</v>
      </c>
      <c r="G5994" s="3">
        <v>0.0</v>
      </c>
      <c r="H5994" s="3">
        <v>0.0</v>
      </c>
      <c r="I5994" s="3" t="s">
        <v>13</v>
      </c>
      <c r="J5994" s="3" t="s">
        <v>17231</v>
      </c>
      <c r="K5994" s="3" t="s">
        <v>433</v>
      </c>
      <c r="L5994" s="3" t="str">
        <f>IFERROR(__xludf.DUMMYFUNCTION("GOOGLETRANSLATE(F5994,""id"",""en"")"),"Putra Klo said that at this time it was clearly able to argue because Argentina champions if talking in the future Argentina will be difficult when Messi and Dimaria retired")</f>
        <v>Putra Klo said that at this time it was clearly able to argue because Argentina champions if talking in the future Argentina will be difficult when Messi and Dimaria retired</v>
      </c>
    </row>
    <row r="5995" ht="15.75" customHeight="1">
      <c r="A5995" s="1">
        <v>7180.0</v>
      </c>
      <c r="B5995" s="3" t="s">
        <v>17232</v>
      </c>
      <c r="C5995" s="3">
        <v>0.0</v>
      </c>
      <c r="D5995" s="3">
        <v>0.0</v>
      </c>
      <c r="E5995" s="3">
        <v>0.0</v>
      </c>
      <c r="F5995" s="3" t="s">
        <v>17233</v>
      </c>
      <c r="G5995" s="3">
        <v>0.0</v>
      </c>
      <c r="H5995" s="3">
        <v>0.0</v>
      </c>
      <c r="I5995" s="3" t="s">
        <v>13</v>
      </c>
      <c r="J5995" s="3" t="s">
        <v>17234</v>
      </c>
      <c r="K5995" s="3" t="s">
        <v>15</v>
      </c>
      <c r="L5995" s="3" t="str">
        <f>IFERROR(__xludf.DUMMYFUNCTION("GOOGLETRANSLATE(F5995,""id"",""en"")"),"Pep Guardiola Proud Argentina World Champion Congratulations for Messi")</f>
        <v>Pep Guardiola Proud Argentina World Champion Congratulations for Messi</v>
      </c>
    </row>
    <row r="5996" ht="15.75" customHeight="1">
      <c r="A5996" s="1">
        <v>7181.0</v>
      </c>
      <c r="B5996" s="3" t="s">
        <v>17235</v>
      </c>
      <c r="C5996" s="3">
        <v>0.0</v>
      </c>
      <c r="D5996" s="3">
        <v>0.0</v>
      </c>
      <c r="E5996" s="3">
        <v>8.0</v>
      </c>
      <c r="F5996" s="3" t="s">
        <v>17236</v>
      </c>
      <c r="G5996" s="3">
        <v>0.0</v>
      </c>
      <c r="H5996" s="3">
        <v>0.0</v>
      </c>
      <c r="I5996" s="3" t="s">
        <v>13</v>
      </c>
      <c r="J5996" s="3" t="s">
        <v>17237</v>
      </c>
      <c r="K5996" s="3" t="s">
        <v>574</v>
      </c>
      <c r="L5996" s="3" t="str">
        <f>IFERROR(__xludf.DUMMYFUNCTION("GOOGLETRANSLATE(F5996,""id"",""en"")"),"Indeed, the motive is political because the political conditions of Argentina there are chaotic world cups making the situation a little more cool especially when they become champions anyways, we don't need to be complicated")</f>
        <v>Indeed, the motive is political because the political conditions of Argentina there are chaotic world cups making the situation a little more cool especially when they become champions anyways, we don't need to be complicated</v>
      </c>
    </row>
    <row r="5997" ht="15.75" customHeight="1">
      <c r="A5997" s="1">
        <v>7182.0</v>
      </c>
      <c r="B5997" s="3" t="s">
        <v>17238</v>
      </c>
      <c r="C5997" s="3">
        <v>0.0</v>
      </c>
      <c r="D5997" s="3">
        <v>0.0</v>
      </c>
      <c r="E5997" s="3">
        <v>0.0</v>
      </c>
      <c r="F5997" s="3" t="s">
        <v>17239</v>
      </c>
      <c r="G5997" s="3">
        <v>0.55</v>
      </c>
      <c r="H5997" s="3">
        <v>0.35</v>
      </c>
      <c r="I5997" s="3" t="s">
        <v>48</v>
      </c>
      <c r="J5997" s="3" t="s">
        <v>17240</v>
      </c>
      <c r="K5997" s="3" t="s">
        <v>82</v>
      </c>
      <c r="L5997" s="3" t="str">
        <f>IFERROR(__xludf.DUMMYFUNCTION("GOOGLETRANSLATE(F5997,""id"",""en"")"),"Facts Behind the Screen of Argentina Full Video Champion")</f>
        <v>Facts Behind the Screen of Argentina Full Video Champion</v>
      </c>
    </row>
    <row r="5998" ht="15.75" customHeight="1">
      <c r="A5998" s="1">
        <v>7183.0</v>
      </c>
      <c r="B5998" s="3" t="s">
        <v>17241</v>
      </c>
      <c r="C5998" s="3">
        <v>0.0</v>
      </c>
      <c r="D5998" s="3">
        <v>0.0</v>
      </c>
      <c r="E5998" s="3">
        <v>5.0</v>
      </c>
      <c r="F5998" s="3" t="s">
        <v>17242</v>
      </c>
      <c r="G5998" s="3">
        <v>0.0</v>
      </c>
      <c r="H5998" s="3">
        <v>0.0</v>
      </c>
      <c r="I5998" s="3" t="s">
        <v>13</v>
      </c>
      <c r="J5998" s="3" t="s">
        <v>17243</v>
      </c>
      <c r="K5998" s="3" t="s">
        <v>50</v>
      </c>
      <c r="L5998" s="3" t="str">
        <f>IFERROR(__xludf.DUMMYFUNCTION("GOOGLETRANSLATE(F5998,""id"",""en"")"),"The latest FIFA ranking although the Argentina World Cup champion cannot shift Brazilian peak")</f>
        <v>The latest FIFA ranking although the Argentina World Cup champion cannot shift Brazilian peak</v>
      </c>
    </row>
    <row r="5999" ht="15.75" customHeight="1">
      <c r="A5999" s="1">
        <v>7184.0</v>
      </c>
      <c r="B5999" s="3" t="s">
        <v>17244</v>
      </c>
      <c r="C5999" s="3">
        <v>0.0</v>
      </c>
      <c r="D5999" s="3">
        <v>0.0</v>
      </c>
      <c r="E5999" s="3">
        <v>0.0</v>
      </c>
      <c r="F5999" s="3" t="s">
        <v>17245</v>
      </c>
      <c r="G5999" s="3">
        <v>0.0</v>
      </c>
      <c r="H5999" s="3">
        <v>0.0</v>
      </c>
      <c r="I5999" s="3" t="s">
        <v>13</v>
      </c>
      <c r="J5999" s="3" t="s">
        <v>17246</v>
      </c>
      <c r="K5999" s="3" t="s">
        <v>15</v>
      </c>
      <c r="L5999" s="3" t="str">
        <f>IFERROR(__xludf.DUMMYFUNCTION("GOOGLETRANSLATE(F5999,""id"",""en"")"),"ooh it turns out that Argentina is champion because Jokowi is fanatical not bear")</f>
        <v>ooh it turns out that Argentina is champion because Jokowi is fanatical not bear</v>
      </c>
    </row>
    <row r="6000" ht="15.75" customHeight="1">
      <c r="A6000" s="1">
        <v>7185.0</v>
      </c>
      <c r="B6000" s="3" t="s">
        <v>17247</v>
      </c>
      <c r="C6000" s="3">
        <v>0.0</v>
      </c>
      <c r="D6000" s="3">
        <v>0.0</v>
      </c>
      <c r="E6000" s="3">
        <v>1.0</v>
      </c>
      <c r="F6000" s="3" t="s">
        <v>17248</v>
      </c>
      <c r="G6000" s="3">
        <v>0.0</v>
      </c>
      <c r="H6000" s="3">
        <v>0.0</v>
      </c>
      <c r="I6000" s="3" t="s">
        <v>13</v>
      </c>
      <c r="J6000" s="3" t="s">
        <v>17249</v>
      </c>
      <c r="K6000" s="3" t="s">
        <v>15</v>
      </c>
      <c r="L6000" s="3" t="str">
        <f>IFERROR(__xludf.DUMMYFUNCTION("GOOGLETRANSLATE(F6000,""id"",""en"")"),"Want Argentina or French champions are still old people is the winner")</f>
        <v>Want Argentina or French champions are still old people is the winner</v>
      </c>
    </row>
    <row r="6001" ht="15.75" customHeight="1">
      <c r="A6001" s="1">
        <v>7186.0</v>
      </c>
      <c r="B6001" s="3" t="s">
        <v>17250</v>
      </c>
      <c r="C6001" s="3">
        <v>0.0</v>
      </c>
      <c r="D6001" s="3">
        <v>0.0</v>
      </c>
      <c r="E6001" s="3">
        <v>0.0</v>
      </c>
      <c r="F6001" s="3" t="s">
        <v>17251</v>
      </c>
      <c r="G6001" s="3">
        <v>0.0</v>
      </c>
      <c r="H6001" s="3">
        <v>0.0</v>
      </c>
      <c r="I6001" s="3" t="s">
        <v>13</v>
      </c>
      <c r="J6001" s="3" t="s">
        <v>17252</v>
      </c>
      <c r="K6001" s="3" t="s">
        <v>41</v>
      </c>
      <c r="L6001" s="3" t="str">
        <f>IFERROR(__xludf.DUMMYFUNCTION("GOOGLETRANSLATE(F6001,""id"",""en"")"),"It hurts so much like Argentina champions until typing long")</f>
        <v>It hurts so much like Argentina champions until typing long</v>
      </c>
    </row>
    <row r="6002" ht="15.75" customHeight="1">
      <c r="A6002" s="1">
        <v>7187.0</v>
      </c>
      <c r="B6002" s="3" t="s">
        <v>17253</v>
      </c>
      <c r="C6002" s="3">
        <v>0.0</v>
      </c>
      <c r="D6002" s="3">
        <v>0.0</v>
      </c>
      <c r="E6002" s="3">
        <v>0.0</v>
      </c>
      <c r="F6002" s="3" t="s">
        <v>17254</v>
      </c>
      <c r="G6002" s="3">
        <v>0.0</v>
      </c>
      <c r="H6002" s="3">
        <v>0.0</v>
      </c>
      <c r="I6002" s="3" t="s">
        <v>13</v>
      </c>
      <c r="J6002" s="3" t="s">
        <v>17255</v>
      </c>
      <c r="K6002" s="3" t="s">
        <v>31</v>
      </c>
      <c r="L6002" s="3" t="str">
        <f>IFERROR(__xludf.DUMMYFUNCTION("GOOGLETRANSLATE(F6002,""id"",""en"")"),"Poor if Argentina Champion Bully Ronaldo")</f>
        <v>Poor if Argentina Champion Bully Ronaldo</v>
      </c>
    </row>
    <row r="6003" ht="15.75" customHeight="1">
      <c r="A6003" s="1">
        <v>7188.0</v>
      </c>
      <c r="B6003" s="3" t="s">
        <v>17256</v>
      </c>
      <c r="C6003" s="3">
        <v>0.0</v>
      </c>
      <c r="D6003" s="3">
        <v>0.0</v>
      </c>
      <c r="E6003" s="3">
        <v>0.0</v>
      </c>
      <c r="F6003" s="3" t="s">
        <v>17257</v>
      </c>
      <c r="G6003" s="3">
        <v>0.0</v>
      </c>
      <c r="H6003" s="3">
        <v>0.0</v>
      </c>
      <c r="I6003" s="3" t="s">
        <v>13</v>
      </c>
      <c r="J6003" s="3" t="s">
        <v>17258</v>
      </c>
      <c r="K6003" s="3" t="s">
        <v>348</v>
      </c>
      <c r="L6003" s="3" t="str">
        <f>IFERROR(__xludf.DUMMYFUNCTION("GOOGLETRANSLATE(F6003,""id"",""en"")"),"Argetina's glory is thanks to Martinez if he is not Argentina's goalkeeper, he will not win the Copa America and the World Cup, unfortunately his brilliant appearance is less appreciative because Messi's closed")</f>
        <v>Argetina's glory is thanks to Martinez if he is not Argentina's goalkeeper, he will not win the Copa America and the World Cup, unfortunately his brilliant appearance is less appreciative because Messi's closed</v>
      </c>
    </row>
    <row r="6004" ht="15.75" customHeight="1">
      <c r="A6004" s="1">
        <v>7189.0</v>
      </c>
      <c r="B6004" s="3" t="s">
        <v>17259</v>
      </c>
      <c r="C6004" s="3">
        <v>3.0</v>
      </c>
      <c r="D6004" s="3">
        <v>0.0</v>
      </c>
      <c r="E6004" s="3">
        <v>1.0</v>
      </c>
      <c r="F6004" s="3" t="s">
        <v>17260</v>
      </c>
      <c r="G6004" s="3">
        <v>0.0</v>
      </c>
      <c r="H6004" s="3">
        <v>0.0</v>
      </c>
      <c r="I6004" s="3" t="s">
        <v>13</v>
      </c>
      <c r="J6004" s="3" t="s">
        <v>17261</v>
      </c>
      <c r="K6004" s="3" t="s">
        <v>510</v>
      </c>
      <c r="L6004" s="3" t="str">
        <f>IFERROR(__xludf.DUMMYFUNCTION("GOOGLETRANSLATE(F6004,""id"",""en"")"),"Redsindo, yes, I think the Argentina national team doesn't use the teasing directly, the championship Atittude is not there.")</f>
        <v>Redsindo, yes, I think the Argentina national team doesn't use the teasing directly, the championship Atittude is not there.</v>
      </c>
    </row>
    <row r="6005" ht="15.75" customHeight="1">
      <c r="A6005" s="1">
        <v>7190.0</v>
      </c>
      <c r="B6005" s="3" t="s">
        <v>17262</v>
      </c>
      <c r="C6005" s="3">
        <v>0.0</v>
      </c>
      <c r="D6005" s="3">
        <v>0.0</v>
      </c>
      <c r="E6005" s="3">
        <v>0.0</v>
      </c>
      <c r="F6005" s="3" t="s">
        <v>17263</v>
      </c>
      <c r="G6005" s="3">
        <v>0.0</v>
      </c>
      <c r="H6005" s="3">
        <v>0.0</v>
      </c>
      <c r="I6005" s="3" t="s">
        <v>13</v>
      </c>
      <c r="J6005" s="3" t="s">
        <v>17264</v>
      </c>
      <c r="K6005" s="3" t="s">
        <v>50</v>
      </c>
      <c r="L6005" s="3" t="str">
        <f>IFERROR(__xludf.DUMMYFUNCTION("GOOGLETRANSLATE(F6005,""id"",""en"")"),"Suitable Argentina Champion World Cup Champion which was realized by CNN Indonesia Google Sports News")</f>
        <v>Suitable Argentina Champion World Cup Champion which was realized by CNN Indonesia Google Sports News</v>
      </c>
    </row>
    <row r="6006" ht="15.75" customHeight="1">
      <c r="A6006" s="1">
        <v>7191.0</v>
      </c>
      <c r="B6006" s="3" t="s">
        <v>17265</v>
      </c>
      <c r="C6006" s="3">
        <v>0.0</v>
      </c>
      <c r="D6006" s="3">
        <v>0.0</v>
      </c>
      <c r="E6006" s="3">
        <v>0.0</v>
      </c>
      <c r="F6006" s="3" t="s">
        <v>17266</v>
      </c>
      <c r="G6006" s="3">
        <v>0.0</v>
      </c>
      <c r="H6006" s="3">
        <v>0.0</v>
      </c>
      <c r="I6006" s="3" t="s">
        <v>13</v>
      </c>
      <c r="J6006" s="3" t="s">
        <v>17267</v>
      </c>
      <c r="K6006" s="3" t="s">
        <v>2146</v>
      </c>
      <c r="L6006" s="3" t="str">
        <f>IFERROR(__xludf.DUMMYFUNCTION("GOOGLETRANSLATE(F6006,""id"",""en"")"),"Moreover, after the champion, the proof of Argentina did not replace the contents of the mbappe conference before the match Messi approached the French team, it was natural that the captain did not reprimand EMI was the overflow of the victory of the real"&amp;" proof of the action without talking when the Netherlands too right right right right right right right right right right right right right right right right right right right?")</f>
        <v>Moreover, after the champion, the proof of Argentina did not replace the contents of the mbappe conference before the match Messi approached the French team, it was natural that the captain did not reprimand EMI was the overflow of the victory of the real proof of the action without talking when the Netherlands too right right right right right right right right right right right right right right right right right right right?</v>
      </c>
    </row>
    <row r="6007" ht="15.75" customHeight="1">
      <c r="A6007" s="1">
        <v>7192.0</v>
      </c>
      <c r="B6007" s="3" t="s">
        <v>17268</v>
      </c>
      <c r="C6007" s="3">
        <v>0.0</v>
      </c>
      <c r="D6007" s="3">
        <v>0.0</v>
      </c>
      <c r="E6007" s="3">
        <v>0.0</v>
      </c>
      <c r="F6007" s="3" t="s">
        <v>17269</v>
      </c>
      <c r="G6007" s="3">
        <v>0.0</v>
      </c>
      <c r="H6007" s="3">
        <v>0.0</v>
      </c>
      <c r="I6007" s="3" t="s">
        <v>13</v>
      </c>
      <c r="J6007" s="3" t="s">
        <v>17270</v>
      </c>
      <c r="K6007" s="3" t="s">
        <v>35</v>
      </c>
      <c r="L6007" s="3" t="str">
        <f>IFERROR(__xludf.DUMMYFUNCTION("GOOGLETRANSLATE(F6007,""id"",""en"")"),"But if it's Argentina Goal Fail to Champion Bang Dodo Fans Receive Messi World Champion")</f>
        <v>But if it's Argentina Goal Fail to Champion Bang Dodo Fans Receive Messi World Champion</v>
      </c>
    </row>
    <row r="6008" ht="15.75" customHeight="1">
      <c r="A6008" s="1">
        <v>7193.0</v>
      </c>
      <c r="B6008" s="3" t="s">
        <v>17271</v>
      </c>
      <c r="C6008" s="3">
        <v>0.0</v>
      </c>
      <c r="D6008" s="3">
        <v>0.0</v>
      </c>
      <c r="E6008" s="3">
        <v>0.0</v>
      </c>
      <c r="F6008" s="3" t="s">
        <v>17263</v>
      </c>
      <c r="G6008" s="3">
        <v>0.0</v>
      </c>
      <c r="H6008" s="3">
        <v>0.0</v>
      </c>
      <c r="I6008" s="3" t="s">
        <v>13</v>
      </c>
      <c r="J6008" s="3" t="s">
        <v>17264</v>
      </c>
      <c r="K6008" s="3" t="s">
        <v>50</v>
      </c>
      <c r="L6008" s="3" t="str">
        <f>IFERROR(__xludf.DUMMYFUNCTION("GOOGLETRANSLATE(F6008,""id"",""en"")"),"Suitable Argentina Champion World Cup Champion which was realized by CNN Indonesia Google Sports News")</f>
        <v>Suitable Argentina Champion World Cup Champion which was realized by CNN Indonesia Google Sports News</v>
      </c>
    </row>
    <row r="6009" ht="15.75" customHeight="1">
      <c r="A6009" s="1">
        <v>7194.0</v>
      </c>
      <c r="B6009" s="3" t="s">
        <v>17272</v>
      </c>
      <c r="C6009" s="3">
        <v>0.0</v>
      </c>
      <c r="D6009" s="3">
        <v>0.0</v>
      </c>
      <c r="E6009" s="3">
        <v>0.0</v>
      </c>
      <c r="F6009" s="3" t="s">
        <v>17273</v>
      </c>
      <c r="G6009" s="3">
        <v>0.0</v>
      </c>
      <c r="H6009" s="3">
        <v>0.0</v>
      </c>
      <c r="I6009" s="3" t="s">
        <v>13</v>
      </c>
      <c r="J6009" s="3" t="s">
        <v>17274</v>
      </c>
      <c r="K6009" s="3" t="s">
        <v>82</v>
      </c>
      <c r="L6009" s="3" t="str">
        <f>IFERROR(__xludf.DUMMYFUNCTION("GOOGLETRANSLATE(F6009,""id"",""en"")"),"Messi tattoos mushroomed after Argentina World Champion")</f>
        <v>Messi tattoos mushroomed after Argentina World Champion</v>
      </c>
    </row>
    <row r="6010" ht="15.75" customHeight="1">
      <c r="A6010" s="1">
        <v>7195.0</v>
      </c>
      <c r="B6010" s="3" t="s">
        <v>17275</v>
      </c>
      <c r="C6010" s="3">
        <v>0.0</v>
      </c>
      <c r="D6010" s="3">
        <v>7.0</v>
      </c>
      <c r="E6010" s="3">
        <v>56.0</v>
      </c>
      <c r="F6010" s="3" t="s">
        <v>17276</v>
      </c>
      <c r="G6010" s="3">
        <v>0.0</v>
      </c>
      <c r="H6010" s="3">
        <v>0.0</v>
      </c>
      <c r="I6010" s="3" t="s">
        <v>13</v>
      </c>
      <c r="J6010" s="3" t="s">
        <v>17277</v>
      </c>
      <c r="K6010" s="3" t="s">
        <v>205</v>
      </c>
      <c r="L6010" s="3" t="str">
        <f>IFERROR(__xludf.DUMMYFUNCTION("GOOGLETRANSLATE(F6010,""id"",""en"")"),"Winning to win the status of Lionel Messi as the best player of all time and Pep Guardiola assesses that even though Messi failed the champion would not change his status it agreed")</f>
        <v>Winning to win the status of Lionel Messi as the best player of all time and Pep Guardiola assesses that even though Messi failed the champion would not change his status it agreed</v>
      </c>
    </row>
    <row r="6011" ht="15.75" customHeight="1">
      <c r="A6011" s="1">
        <v>7196.0</v>
      </c>
      <c r="B6011" s="3" t="s">
        <v>17278</v>
      </c>
      <c r="C6011" s="3">
        <v>0.0</v>
      </c>
      <c r="D6011" s="3">
        <v>3.0</v>
      </c>
      <c r="E6011" s="3">
        <v>6.0</v>
      </c>
      <c r="F6011" s="3" t="s">
        <v>17279</v>
      </c>
      <c r="G6011" s="3">
        <v>0.0</v>
      </c>
      <c r="H6011" s="3">
        <v>0.0</v>
      </c>
      <c r="I6011" s="3" t="s">
        <v>13</v>
      </c>
      <c r="J6011" s="3" t="s">
        <v>17280</v>
      </c>
      <c r="K6011" s="3" t="s">
        <v>358</v>
      </c>
      <c r="L6011" s="3" t="str">
        <f>IFERROR(__xludf.DUMMYFUNCTION("GOOGLETRANSLATE(F6011,""id"",""en"")"),"FIFA Ranking This is the latest sequence of FIFA ranking after the Brazilian World Cup ranked the top followed by the Argentine championship")</f>
        <v>FIFA Ranking This is the latest sequence of FIFA ranking after the Brazilian World Cup ranked the top followed by the Argentine championship</v>
      </c>
    </row>
    <row r="6012" ht="15.75" customHeight="1">
      <c r="A6012" s="1">
        <v>7197.0</v>
      </c>
      <c r="B6012" s="3" t="s">
        <v>17281</v>
      </c>
      <c r="C6012" s="3">
        <v>0.0</v>
      </c>
      <c r="D6012" s="3">
        <v>0.0</v>
      </c>
      <c r="E6012" s="3">
        <v>0.0</v>
      </c>
      <c r="F6012" s="3" t="s">
        <v>17282</v>
      </c>
      <c r="G6012" s="3">
        <v>0.0</v>
      </c>
      <c r="H6012" s="3">
        <v>0.0</v>
      </c>
      <c r="I6012" s="3" t="s">
        <v>13</v>
      </c>
      <c r="J6012" s="3" t="s">
        <v>17283</v>
      </c>
      <c r="K6012" s="3" t="s">
        <v>644</v>
      </c>
      <c r="L6012" s="3" t="str">
        <f>IFERROR(__xludf.DUMMYFUNCTION("GOOGLETRANSLATE(F6012,""id"",""en"")"),"Argentine Pildun Prediction Champion")</f>
        <v>Argentine Pildun Prediction Champion</v>
      </c>
    </row>
    <row r="6013" ht="15.75" customHeight="1">
      <c r="A6013" s="1">
        <v>7198.0</v>
      </c>
      <c r="B6013" s="3" t="s">
        <v>17284</v>
      </c>
      <c r="C6013" s="3">
        <v>0.0</v>
      </c>
      <c r="D6013" s="3">
        <v>0.0</v>
      </c>
      <c r="E6013" s="3">
        <v>0.0</v>
      </c>
      <c r="F6013" s="3" t="s">
        <v>16950</v>
      </c>
      <c r="G6013" s="3">
        <v>0.0</v>
      </c>
      <c r="H6013" s="3">
        <v>0.0</v>
      </c>
      <c r="I6013" s="3" t="s">
        <v>13</v>
      </c>
      <c r="J6013" s="3" t="s">
        <v>16951</v>
      </c>
      <c r="K6013" s="3" t="s">
        <v>31</v>
      </c>
      <c r="L6013" s="3" t="str">
        <f>IFERROR(__xludf.DUMMYFUNCTION("GOOGLETRANSLATE(F6013,""id"",""en"")"),"Argentine championship party ended in clashes")</f>
        <v>Argentine championship party ended in clashes</v>
      </c>
    </row>
    <row r="6014" ht="15.75" customHeight="1">
      <c r="A6014" s="1">
        <v>7199.0</v>
      </c>
      <c r="B6014" s="3" t="s">
        <v>17285</v>
      </c>
      <c r="C6014" s="3">
        <v>0.0</v>
      </c>
      <c r="D6014" s="3">
        <v>0.0</v>
      </c>
      <c r="E6014" s="3">
        <v>2.0</v>
      </c>
      <c r="F6014" s="3" t="s">
        <v>17286</v>
      </c>
      <c r="G6014" s="3">
        <v>0.0</v>
      </c>
      <c r="H6014" s="3">
        <v>0.0</v>
      </c>
      <c r="I6014" s="3" t="s">
        <v>13</v>
      </c>
      <c r="J6014" s="3" t="s">
        <v>17287</v>
      </c>
      <c r="K6014" s="3" t="s">
        <v>240</v>
      </c>
      <c r="L6014" s="3" t="str">
        <f>IFERROR(__xludf.DUMMYFUNCTION("GOOGLETRANSLATE(F6014,""id"",""en"")"),"The Argentine players continued to party after becoming the World Cup champion, said Paulo Dybala, he and his colleagues were lacking in sleep")</f>
        <v>The Argentine players continued to party after becoming the World Cup champion, said Paulo Dybala, he and his colleagues were lacking in sleep</v>
      </c>
    </row>
    <row r="6015" ht="15.75" customHeight="1">
      <c r="A6015" s="1">
        <v>7200.0</v>
      </c>
      <c r="B6015" s="3" t="s">
        <v>17288</v>
      </c>
      <c r="C6015" s="3">
        <v>1.0</v>
      </c>
      <c r="D6015" s="3">
        <v>0.0</v>
      </c>
      <c r="E6015" s="3">
        <v>0.0</v>
      </c>
      <c r="F6015" s="3" t="s">
        <v>17289</v>
      </c>
      <c r="G6015" s="3">
        <v>0.0</v>
      </c>
      <c r="H6015" s="3">
        <v>0.0</v>
      </c>
      <c r="I6015" s="3" t="s">
        <v>13</v>
      </c>
      <c r="J6015" s="3" t="s">
        <v>17290</v>
      </c>
      <c r="K6015" s="3" t="s">
        <v>1293</v>
      </c>
      <c r="L6015" s="3" t="str">
        <f>IFERROR(__xludf.DUMMYFUNCTION("GOOGLETRANSLATE(F6015,""id"",""en"")"),"Redsindo there is a friend when debating loudly talking but Argentina has never champions European doesn't know what he is serious because we are really the position of the debate")</f>
        <v>Redsindo there is a friend when debating loudly talking but Argentina has never champions European doesn't know what he is serious because we are really the position of the debate</v>
      </c>
    </row>
    <row r="6016" ht="15.75" customHeight="1">
      <c r="A6016" s="1">
        <v>7201.0</v>
      </c>
      <c r="B6016" s="3" t="s">
        <v>17291</v>
      </c>
      <c r="C6016" s="3">
        <v>1.0</v>
      </c>
      <c r="D6016" s="3">
        <v>0.0</v>
      </c>
      <c r="E6016" s="3">
        <v>0.0</v>
      </c>
      <c r="F6016" s="3" t="s">
        <v>17292</v>
      </c>
      <c r="G6016" s="3">
        <v>0.0</v>
      </c>
      <c r="H6016" s="3">
        <v>0.0</v>
      </c>
      <c r="I6016" s="3" t="s">
        <v>13</v>
      </c>
      <c r="J6016" s="3" t="s">
        <v>17293</v>
      </c>
      <c r="K6016" s="3" t="s">
        <v>614</v>
      </c>
      <c r="L6016" s="3" t="str">
        <f>IFERROR(__xludf.DUMMYFUNCTION("GOOGLETRANSLATE(F6016,""id"",""en"")"),"It still hasn't answered the fact that the contribution of Alvarez Copa and finalists on the other hand Lautato and Messi brought Argentina to objective and neutral BTW champions next to Alvarez never passed the Arg match")</f>
        <v>It still hasn't answered the fact that the contribution of Alvarez Copa and finalists on the other hand Lautato and Messi brought Argentina to objective and neutral BTW champions next to Alvarez never passed the Arg match</v>
      </c>
    </row>
    <row r="6017" ht="15.75" customHeight="1">
      <c r="A6017" s="1">
        <v>7202.0</v>
      </c>
      <c r="B6017" s="3" t="s">
        <v>17294</v>
      </c>
      <c r="C6017" s="3">
        <v>1.0</v>
      </c>
      <c r="D6017" s="3">
        <v>0.0</v>
      </c>
      <c r="E6017" s="3">
        <v>0.0</v>
      </c>
      <c r="F6017" s="3" t="s">
        <v>17295</v>
      </c>
      <c r="G6017" s="3">
        <v>0.75</v>
      </c>
      <c r="H6017" s="3">
        <v>0.1</v>
      </c>
      <c r="I6017" s="3" t="s">
        <v>48</v>
      </c>
      <c r="J6017" s="3" t="s">
        <v>17296</v>
      </c>
      <c r="K6017" s="3" t="s">
        <v>1489</v>
      </c>
      <c r="L6017" s="3" t="str">
        <f>IFERROR(__xludf.DUMMYFUNCTION("GOOGLETRANSLATE(F6017,""id"",""en"")"),"hahahaha, this is a CRINGE account, always looking for safe before Argentina, he champions, he supports the Netherlands when the final is also not too want to support Argentina when the new champion is even though the champion there is no Barca player")</f>
        <v>hahahaha, this is a CRINGE account, always looking for safe before Argentina, he champions, he supports the Netherlands when the final is also not too want to support Argentina when the new champion is even though the champion there is no Barca player</v>
      </c>
    </row>
    <row r="6018" ht="15.75" customHeight="1">
      <c r="A6018" s="1">
        <v>7203.0</v>
      </c>
      <c r="B6018" s="3" t="s">
        <v>17297</v>
      </c>
      <c r="C6018" s="3">
        <v>1.0</v>
      </c>
      <c r="D6018" s="3">
        <v>0.0</v>
      </c>
      <c r="E6018" s="3">
        <v>0.0</v>
      </c>
      <c r="F6018" s="3" t="s">
        <v>17298</v>
      </c>
      <c r="G6018" s="3">
        <v>1.0</v>
      </c>
      <c r="H6018" s="3">
        <v>0.0</v>
      </c>
      <c r="I6018" s="3" t="s">
        <v>13</v>
      </c>
      <c r="J6018" s="3" t="s">
        <v>17299</v>
      </c>
      <c r="K6018" s="3" t="s">
        <v>104</v>
      </c>
      <c r="L6018" s="3" t="str">
        <f>IFERROR(__xludf.DUMMYFUNCTION("GOOGLETRANSLATE(F6018,""id"",""en"")"),"Final Think of Mbappe Carrying France What is considering Anti Messi even though the comment about the final world cup is not just mbappe carrying France. Conclusion Opinion Calls Argentina worthy")</f>
        <v>Final Think of Mbappe Carrying France What is considering Anti Messi even though the comment about the final world cup is not just mbappe carrying France. Conclusion Opinion Calls Argentina worthy</v>
      </c>
    </row>
    <row r="6019" ht="15.75" customHeight="1">
      <c r="A6019" s="1">
        <v>7204.0</v>
      </c>
      <c r="B6019" s="3" t="s">
        <v>17300</v>
      </c>
      <c r="C6019" s="3">
        <v>0.0</v>
      </c>
      <c r="D6019" s="3">
        <v>0.0</v>
      </c>
      <c r="E6019" s="3">
        <v>0.0</v>
      </c>
      <c r="F6019" s="3" t="s">
        <v>17301</v>
      </c>
      <c r="G6019" s="3">
        <v>0.0</v>
      </c>
      <c r="H6019" s="3">
        <v>0.0</v>
      </c>
      <c r="I6019" s="3" t="s">
        <v>13</v>
      </c>
      <c r="J6019" s="3" t="s">
        <v>17302</v>
      </c>
      <c r="K6019" s="3" t="s">
        <v>19</v>
      </c>
      <c r="L6019" s="3" t="str">
        <f>IFERROR(__xludf.DUMMYFUNCTION("GOOGLETRANSLATE(F6019,""id"",""en"")"),"Argentina Champion Male Polewali Mandar Name his grandchildren to be Muhammad Messi through com")</f>
        <v>Argentina Champion Male Polewali Mandar Name his grandchildren to be Muhammad Messi through com</v>
      </c>
    </row>
    <row r="6020" ht="15.75" customHeight="1">
      <c r="A6020" s="1">
        <v>7205.0</v>
      </c>
      <c r="B6020" s="3" t="s">
        <v>17303</v>
      </c>
      <c r="C6020" s="3">
        <v>0.0</v>
      </c>
      <c r="D6020" s="3">
        <v>0.0</v>
      </c>
      <c r="E6020" s="3">
        <v>0.0</v>
      </c>
      <c r="F6020" s="3" t="s">
        <v>17304</v>
      </c>
      <c r="G6020" s="3">
        <v>0.0</v>
      </c>
      <c r="H6020" s="3">
        <v>0.0</v>
      </c>
      <c r="I6020" s="3" t="s">
        <v>13</v>
      </c>
      <c r="J6020" s="3" t="s">
        <v>17305</v>
      </c>
      <c r="K6020" s="3" t="s">
        <v>15</v>
      </c>
      <c r="L6020" s="3" t="str">
        <f>IFERROR(__xludf.DUMMYFUNCTION("GOOGLETRANSLATE(F6020,""id"",""en"")"),"Argentina national team won their third world title Qatar")</f>
        <v>Argentina national team won their third world title Qatar</v>
      </c>
    </row>
    <row r="6021" ht="15.75" customHeight="1">
      <c r="A6021" s="1">
        <v>7206.0</v>
      </c>
      <c r="B6021" s="3" t="s">
        <v>17306</v>
      </c>
      <c r="C6021" s="3">
        <v>0.0</v>
      </c>
      <c r="D6021" s="3">
        <v>0.0</v>
      </c>
      <c r="E6021" s="3">
        <v>0.0</v>
      </c>
      <c r="F6021" s="3" t="s">
        <v>17307</v>
      </c>
      <c r="G6021" s="3">
        <v>0.0</v>
      </c>
      <c r="H6021" s="3">
        <v>0.0</v>
      </c>
      <c r="I6021" s="3" t="s">
        <v>13</v>
      </c>
      <c r="J6021" s="3" t="s">
        <v>17308</v>
      </c>
      <c r="K6021" s="3" t="s">
        <v>75</v>
      </c>
      <c r="L6021" s="3" t="str">
        <f>IFERROR(__xludf.DUMMYFUNCTION("GOOGLETRANSLATE(F6021,""id"",""en"")"),"looking for comments calling Argentina worthy")</f>
        <v>looking for comments calling Argentina worthy</v>
      </c>
    </row>
    <row r="6022" ht="15.75" customHeight="1">
      <c r="A6022" s="1">
        <v>7207.0</v>
      </c>
      <c r="B6022" s="3" t="s">
        <v>17309</v>
      </c>
      <c r="C6022" s="3">
        <v>0.0</v>
      </c>
      <c r="D6022" s="3">
        <v>0.0</v>
      </c>
      <c r="E6022" s="3">
        <v>1.0</v>
      </c>
      <c r="F6022" s="3" t="s">
        <v>17310</v>
      </c>
      <c r="G6022" s="3">
        <v>0.0</v>
      </c>
      <c r="H6022" s="3">
        <v>0.0</v>
      </c>
      <c r="I6022" s="3" t="s">
        <v>13</v>
      </c>
      <c r="J6022" s="3" t="s">
        <v>17311</v>
      </c>
      <c r="K6022" s="3" t="s">
        <v>433</v>
      </c>
      <c r="L6022" s="3" t="str">
        <f>IFERROR(__xludf.DUMMYFUNCTION("GOOGLETRANSLATE(F6022,""id"",""en"")"),"Adj, so that all the world knows, you can let us sustain us pipes to cancel Argentina champions must be Italy Pokonya")</f>
        <v>Adj, so that all the world knows, you can let us sustain us pipes to cancel Argentina champions must be Italy Pokonya</v>
      </c>
    </row>
    <row r="6023" ht="15.75" customHeight="1">
      <c r="A6023" s="1">
        <v>7208.0</v>
      </c>
      <c r="B6023" s="3" t="s">
        <v>17312</v>
      </c>
      <c r="C6023" s="3">
        <v>0.0</v>
      </c>
      <c r="D6023" s="3">
        <v>0.0</v>
      </c>
      <c r="E6023" s="3">
        <v>0.0</v>
      </c>
      <c r="F6023" s="3" t="s">
        <v>17304</v>
      </c>
      <c r="G6023" s="3">
        <v>0.0</v>
      </c>
      <c r="H6023" s="3">
        <v>0.0</v>
      </c>
      <c r="I6023" s="3" t="s">
        <v>13</v>
      </c>
      <c r="J6023" s="3" t="s">
        <v>17305</v>
      </c>
      <c r="K6023" s="3" t="s">
        <v>15</v>
      </c>
      <c r="L6023" s="3" t="str">
        <f>IFERROR(__xludf.DUMMYFUNCTION("GOOGLETRANSLATE(F6023,""id"",""en"")"),"Argentina national team won their third world title Qatar")</f>
        <v>Argentina national team won their third world title Qatar</v>
      </c>
    </row>
    <row r="6024" ht="15.75" customHeight="1">
      <c r="A6024" s="1">
        <v>7209.0</v>
      </c>
      <c r="B6024" s="3" t="s">
        <v>17313</v>
      </c>
      <c r="C6024" s="3">
        <v>1.0</v>
      </c>
      <c r="D6024" s="3">
        <v>0.0</v>
      </c>
      <c r="E6024" s="3">
        <v>0.0</v>
      </c>
      <c r="F6024" s="3" t="s">
        <v>17314</v>
      </c>
      <c r="G6024" s="3">
        <v>0.2</v>
      </c>
      <c r="H6024" s="3">
        <v>-0.1</v>
      </c>
      <c r="I6024" s="3" t="s">
        <v>179</v>
      </c>
      <c r="J6024" s="3" t="s">
        <v>17315</v>
      </c>
      <c r="K6024" s="3" t="s">
        <v>184</v>
      </c>
      <c r="L6024" s="3" t="str">
        <f>IFERROR(__xludf.DUMMYFUNCTION("GOOGLETRANSLATE(F6024,""id"",""en"")"),"If you talk about the bagusan Portugal squad only that makes the mental different champion Agegen thicker than Portugal because their jersey has two stars so people are people")</f>
        <v>If you talk about the bagusan Portugal squad only that makes the mental different champion Agegen thicker than Portugal because their jersey has two stars so people are people</v>
      </c>
    </row>
    <row r="6025" ht="15.75" customHeight="1">
      <c r="A6025" s="1">
        <v>7210.0</v>
      </c>
      <c r="B6025" s="3" t="s">
        <v>17316</v>
      </c>
      <c r="C6025" s="3">
        <v>2.0</v>
      </c>
      <c r="D6025" s="3">
        <v>0.0</v>
      </c>
      <c r="E6025" s="3">
        <v>4.0</v>
      </c>
      <c r="F6025" s="3" t="s">
        <v>17317</v>
      </c>
      <c r="G6025" s="3">
        <v>0.0</v>
      </c>
      <c r="H6025" s="3">
        <v>0.0</v>
      </c>
      <c r="I6025" s="3" t="s">
        <v>13</v>
      </c>
      <c r="J6025" s="3" t="s">
        <v>17318</v>
      </c>
      <c r="K6025" s="3" t="s">
        <v>2610</v>
      </c>
      <c r="L6025" s="3" t="str">
        <f>IFERROR(__xludf.DUMMYFUNCTION("GOOGLETRANSLATE(F6025,""id"",""en"")"),"The photo log above shows the celebration of Argentina finished the penalties commented out of the context of the context from before the match from the Netherlands many bacot and dihe argetina already champions")</f>
        <v>The photo log above shows the celebration of Argentina finished the penalties commented out of the context of the context from before the match from the Netherlands many bacot and dihe argetina already champions</v>
      </c>
    </row>
    <row r="6026" ht="15.75" customHeight="1">
      <c r="A6026" s="1">
        <v>7211.0</v>
      </c>
      <c r="B6026" s="3" t="s">
        <v>17319</v>
      </c>
      <c r="C6026" s="3">
        <v>0.0</v>
      </c>
      <c r="D6026" s="3">
        <v>0.0</v>
      </c>
      <c r="E6026" s="3">
        <v>0.0</v>
      </c>
      <c r="F6026" s="3" t="s">
        <v>17320</v>
      </c>
      <c r="G6026" s="3">
        <v>1.0</v>
      </c>
      <c r="H6026" s="3">
        <v>0.0</v>
      </c>
      <c r="I6026" s="3" t="s">
        <v>13</v>
      </c>
      <c r="J6026" s="3" t="s">
        <v>17321</v>
      </c>
      <c r="K6026" s="3" t="s">
        <v>1810</v>
      </c>
      <c r="L6026" s="3" t="str">
        <f>IFERROR(__xludf.DUMMYFUNCTION("GOOGLETRANSLATE(F6026,""id"",""en"")"),"I don't know if this is rather not like the attitude but he really is like that, it's a shame that France yesterday was absent when the final was Argentina enough to benefit yesterday, but the champion was still the champion, the champion was there, there"&amp;" was a cuan website")</f>
        <v>I don't know if this is rather not like the attitude but he really is like that, it's a shame that France yesterday was absent when the final was Argentina enough to benefit yesterday, but the champion was still the champion, the champion was there, there was a cuan website</v>
      </c>
    </row>
    <row r="6027" ht="15.75" customHeight="1">
      <c r="A6027" s="1">
        <v>7212.0</v>
      </c>
      <c r="B6027" s="3" t="s">
        <v>17322</v>
      </c>
      <c r="C6027" s="3">
        <v>1.0</v>
      </c>
      <c r="D6027" s="3">
        <v>4.0</v>
      </c>
      <c r="E6027" s="3">
        <v>21.0</v>
      </c>
      <c r="F6027" s="3" t="s">
        <v>17323</v>
      </c>
      <c r="G6027" s="3">
        <v>0.0</v>
      </c>
      <c r="H6027" s="3">
        <v>0.0</v>
      </c>
      <c r="I6027" s="3" t="s">
        <v>13</v>
      </c>
      <c r="J6027" s="3" t="s">
        <v>17324</v>
      </c>
      <c r="K6027" s="3" t="s">
        <v>437</v>
      </c>
      <c r="L6027" s="3" t="str">
        <f>IFERROR(__xludf.DUMMYFUNCTION("GOOGLETRANSLATE(F6027,""id"",""en"")"),"Argentina may indeed come out as the champion of the Qatar World Cup but they remain behind the latest Brazilian rivals in FIFA")</f>
        <v>Argentina may indeed come out as the champion of the Qatar World Cup but they remain behind the latest Brazilian rivals in FIFA</v>
      </c>
    </row>
    <row r="6028" ht="15.75" customHeight="1">
      <c r="A6028" s="1">
        <v>7213.0</v>
      </c>
      <c r="B6028" s="3" t="s">
        <v>17325</v>
      </c>
      <c r="C6028" s="3">
        <v>0.0</v>
      </c>
      <c r="D6028" s="3">
        <v>0.0</v>
      </c>
      <c r="E6028" s="3">
        <v>0.0</v>
      </c>
      <c r="F6028" s="3" t="s">
        <v>17326</v>
      </c>
      <c r="G6028" s="3">
        <v>0.0</v>
      </c>
      <c r="H6028" s="3">
        <v>0.0</v>
      </c>
      <c r="I6028" s="3" t="s">
        <v>13</v>
      </c>
      <c r="J6028" s="3" t="s">
        <v>17327</v>
      </c>
      <c r="K6028" s="3" t="s">
        <v>54</v>
      </c>
      <c r="L6028" s="3" t="str">
        <f>IFERROR(__xludf.DUMMYFUNCTION("GOOGLETRANSLATE(F6028,""id"",""en"")"),"Still like the dream of Messi and Argentina World Champion")</f>
        <v>Still like the dream of Messi and Argentina World Champion</v>
      </c>
    </row>
    <row r="6029" ht="15.75" customHeight="1">
      <c r="A6029" s="1">
        <v>7214.0</v>
      </c>
      <c r="B6029" s="3" t="s">
        <v>17328</v>
      </c>
      <c r="C6029" s="3">
        <v>0.0</v>
      </c>
      <c r="D6029" s="3">
        <v>0.0</v>
      </c>
      <c r="E6029" s="3">
        <v>0.0</v>
      </c>
      <c r="F6029" s="3" t="s">
        <v>17329</v>
      </c>
      <c r="G6029" s="3">
        <v>0.0</v>
      </c>
      <c r="H6029" s="3">
        <v>0.0</v>
      </c>
      <c r="I6029" s="3" t="s">
        <v>13</v>
      </c>
      <c r="J6029" s="3" t="s">
        <v>17330</v>
      </c>
      <c r="K6029" s="3" t="s">
        <v>19</v>
      </c>
      <c r="L6029" s="3" t="str">
        <f>IFERROR(__xludf.DUMMYFUNCTION("GOOGLETRANSLATE(F6029,""id"",""en"")"),"The Argentina central bank will put Lionel Messi the currency of the state as a champion celebration")</f>
        <v>The Argentina central bank will put Lionel Messi the currency of the state as a champion celebration</v>
      </c>
    </row>
    <row r="6030" ht="15.75" customHeight="1">
      <c r="A6030" s="1">
        <v>7215.0</v>
      </c>
      <c r="B6030" s="3" t="s">
        <v>17331</v>
      </c>
      <c r="C6030" s="3">
        <v>0.0</v>
      </c>
      <c r="D6030" s="3">
        <v>0.0</v>
      </c>
      <c r="E6030" s="3">
        <v>0.0</v>
      </c>
      <c r="F6030" s="3" t="s">
        <v>17332</v>
      </c>
      <c r="G6030" s="3">
        <v>0.0</v>
      </c>
      <c r="H6030" s="3">
        <v>0.0</v>
      </c>
      <c r="I6030" s="3" t="s">
        <v>13</v>
      </c>
      <c r="J6030" s="3" t="s">
        <v>17333</v>
      </c>
      <c r="K6030" s="3" t="s">
        <v>15</v>
      </c>
      <c r="L6030" s="3" t="str">
        <f>IFERROR(__xludf.DUMMYFUNCTION("GOOGLETRANSLATE(F6030,""id"",""en"")"),"Great Indonesia can also match the improvement of the Argentine national team with world champions")</f>
        <v>Great Indonesia can also match the improvement of the Argentine national team with world champions</v>
      </c>
    </row>
    <row r="6031" ht="15.75" customHeight="1">
      <c r="A6031" s="1">
        <v>7216.0</v>
      </c>
      <c r="B6031" s="3" t="s">
        <v>17334</v>
      </c>
      <c r="C6031" s="3">
        <v>1.0</v>
      </c>
      <c r="D6031" s="3">
        <v>0.0</v>
      </c>
      <c r="E6031" s="3">
        <v>0.0</v>
      </c>
      <c r="F6031" s="3" t="s">
        <v>17335</v>
      </c>
      <c r="G6031" s="3">
        <v>0.0</v>
      </c>
      <c r="H6031" s="3">
        <v>0.0</v>
      </c>
      <c r="I6031" s="3" t="s">
        <v>13</v>
      </c>
      <c r="J6031" s="3" t="s">
        <v>17336</v>
      </c>
      <c r="K6031" s="3" t="s">
        <v>75</v>
      </c>
      <c r="L6031" s="3" t="str">
        <f>IFERROR(__xludf.DUMMYFUNCTION("GOOGLETRANSLATE(F6031,""id"",""en"")"),"looking for comments please call Argentina worthy of champion whether it is still considered a haters Messi")</f>
        <v>looking for comments please call Argentina worthy of champion whether it is still considered a haters Messi</v>
      </c>
    </row>
    <row r="6032" ht="15.75" customHeight="1">
      <c r="A6032" s="1">
        <v>7217.0</v>
      </c>
      <c r="B6032" s="3" t="s">
        <v>17337</v>
      </c>
      <c r="C6032" s="3">
        <v>0.0</v>
      </c>
      <c r="D6032" s="3">
        <v>0.0</v>
      </c>
      <c r="E6032" s="3">
        <v>0.0</v>
      </c>
      <c r="F6032" s="3" t="s">
        <v>17338</v>
      </c>
      <c r="G6032" s="3">
        <v>0.0</v>
      </c>
      <c r="H6032" s="3">
        <v>0.0</v>
      </c>
      <c r="I6032" s="3" t="s">
        <v>13</v>
      </c>
      <c r="J6032" s="3" t="s">
        <v>17339</v>
      </c>
      <c r="K6032" s="3" t="s">
        <v>510</v>
      </c>
      <c r="L6032" s="3" t="str">
        <f>IFERROR(__xludf.DUMMYFUNCTION("GOOGLETRANSLATE(F6032,""id"",""en"")"),"watching bang looking for more comments, there is an Argentina deserved to champion whether it is still considered a haters Messi")</f>
        <v>watching bang looking for more comments, there is an Argentina deserved to champion whether it is still considered a haters Messi</v>
      </c>
    </row>
    <row r="6033" ht="15.75" customHeight="1">
      <c r="A6033" s="1">
        <v>7218.0</v>
      </c>
      <c r="B6033" s="3" t="s">
        <v>17340</v>
      </c>
      <c r="C6033" s="3">
        <v>2.0</v>
      </c>
      <c r="D6033" s="3">
        <v>0.0</v>
      </c>
      <c r="E6033" s="3">
        <v>0.0</v>
      </c>
      <c r="F6033" s="3" t="s">
        <v>17341</v>
      </c>
      <c r="G6033" s="3">
        <v>0.0</v>
      </c>
      <c r="H6033" s="3">
        <v>0.0</v>
      </c>
      <c r="I6033" s="3" t="s">
        <v>13</v>
      </c>
      <c r="J6033" s="3" t="s">
        <v>17342</v>
      </c>
      <c r="K6033" s="3" t="s">
        <v>15</v>
      </c>
      <c r="L6033" s="3" t="str">
        <f>IFERROR(__xludf.DUMMYFUNCTION("GOOGLETRANSLATE(F6033,""id"",""en"")"),"Jebul Iki Seng Want Ryan Nek Argentina Champion")</f>
        <v>Jebul Iki Seng Want Ryan Nek Argentina Champion</v>
      </c>
    </row>
    <row r="6034" ht="15.75" customHeight="1">
      <c r="A6034" s="1">
        <v>7219.0</v>
      </c>
      <c r="B6034" s="3" t="s">
        <v>17343</v>
      </c>
      <c r="C6034" s="3">
        <v>0.0</v>
      </c>
      <c r="D6034" s="3">
        <v>0.0</v>
      </c>
      <c r="E6034" s="3">
        <v>0.0</v>
      </c>
      <c r="F6034" s="3" t="s">
        <v>17344</v>
      </c>
      <c r="G6034" s="3">
        <v>0.0</v>
      </c>
      <c r="H6034" s="3">
        <v>0.0</v>
      </c>
      <c r="I6034" s="3" t="s">
        <v>13</v>
      </c>
      <c r="J6034" s="3" t="s">
        <v>17345</v>
      </c>
      <c r="K6034" s="3" t="s">
        <v>614</v>
      </c>
      <c r="L6034" s="3" t="str">
        <f>IFERROR(__xludf.DUMMYFUNCTION("GOOGLETRANSLATE(F6034,""id"",""en"")"),"Imagine that Indonesia did the same thing as Argentina Indonesia champions AFF Cup this year and Nerbitin new money who appeared big there clearly know")</f>
        <v>Imagine that Indonesia did the same thing as Argentina Indonesia champions AFF Cup this year and Nerbitin new money who appeared big there clearly know</v>
      </c>
    </row>
    <row r="6035" ht="15.75" customHeight="1">
      <c r="A6035" s="1">
        <v>7220.0</v>
      </c>
      <c r="B6035" s="3" t="s">
        <v>17346</v>
      </c>
      <c r="C6035" s="3">
        <v>0.0</v>
      </c>
      <c r="D6035" s="3">
        <v>0.0</v>
      </c>
      <c r="E6035" s="3">
        <v>0.0</v>
      </c>
      <c r="F6035" s="3" t="s">
        <v>17347</v>
      </c>
      <c r="G6035" s="3">
        <v>0.0</v>
      </c>
      <c r="H6035" s="3">
        <v>0.0</v>
      </c>
      <c r="I6035" s="3" t="s">
        <v>13</v>
      </c>
      <c r="J6035" s="3" t="s">
        <v>17348</v>
      </c>
      <c r="K6035" s="3" t="s">
        <v>35</v>
      </c>
      <c r="L6035" s="3" t="str">
        <f>IFERROR(__xludf.DUMMYFUNCTION("GOOGLETRANSLATE(F6035,""id"",""en"")"),"Taro Ronaldo Argentina will also win the AFF champion because Ronaldo is selfish burden Wokwokwok Kabuur")</f>
        <v>Taro Ronaldo Argentina will also win the AFF champion because Ronaldo is selfish burden Wokwokwok Kabuur</v>
      </c>
    </row>
    <row r="6036" ht="15.75" customHeight="1">
      <c r="A6036" s="1">
        <v>7221.0</v>
      </c>
      <c r="B6036" s="3" t="s">
        <v>17349</v>
      </c>
      <c r="C6036" s="3">
        <v>0.0</v>
      </c>
      <c r="D6036" s="3">
        <v>0.0</v>
      </c>
      <c r="E6036" s="3">
        <v>0.0</v>
      </c>
      <c r="F6036" s="3" t="s">
        <v>17350</v>
      </c>
      <c r="G6036" s="3">
        <v>0.0</v>
      </c>
      <c r="H6036" s="3">
        <v>0.0</v>
      </c>
      <c r="I6036" s="3" t="s">
        <v>13</v>
      </c>
      <c r="J6036" s="3" t="s">
        <v>17351</v>
      </c>
      <c r="K6036" s="3" t="s">
        <v>50</v>
      </c>
      <c r="L6036" s="3" t="str">
        <f>IFERROR(__xludf.DUMMYFUNCTION("GOOGLETRANSLATE(F6036,""id"",""en"")"),"There is a face of Lionel Messi, the Argentine Peso Peso Paper Champion World Cup")</f>
        <v>There is a face of Lionel Messi, the Argentine Peso Peso Paper Champion World Cup</v>
      </c>
    </row>
    <row r="6037" ht="15.75" customHeight="1">
      <c r="A6037" s="1">
        <v>7222.0</v>
      </c>
      <c r="B6037" s="3" t="s">
        <v>17352</v>
      </c>
      <c r="C6037" s="3">
        <v>0.0</v>
      </c>
      <c r="D6037" s="3">
        <v>0.0</v>
      </c>
      <c r="E6037" s="3">
        <v>0.0</v>
      </c>
      <c r="F6037" s="3" t="s">
        <v>17273</v>
      </c>
      <c r="G6037" s="3">
        <v>0.0</v>
      </c>
      <c r="H6037" s="3">
        <v>0.0</v>
      </c>
      <c r="I6037" s="3" t="s">
        <v>13</v>
      </c>
      <c r="J6037" s="3" t="s">
        <v>17274</v>
      </c>
      <c r="K6037" s="3" t="s">
        <v>82</v>
      </c>
      <c r="L6037" s="3" t="str">
        <f>IFERROR(__xludf.DUMMYFUNCTION("GOOGLETRANSLATE(F6037,""id"",""en"")"),"Messi tattoos mushroomed after Argentina World Champion")</f>
        <v>Messi tattoos mushroomed after Argentina World Champion</v>
      </c>
    </row>
    <row r="6038" ht="15.75" customHeight="1">
      <c r="A6038" s="1">
        <v>7223.0</v>
      </c>
      <c r="B6038" s="3" t="s">
        <v>17353</v>
      </c>
      <c r="C6038" s="3">
        <v>0.0</v>
      </c>
      <c r="D6038" s="3">
        <v>4.0</v>
      </c>
      <c r="E6038" s="3">
        <v>0.0</v>
      </c>
      <c r="F6038" s="3" t="s">
        <v>17354</v>
      </c>
      <c r="G6038" s="3">
        <v>0.0</v>
      </c>
      <c r="H6038" s="3">
        <v>0.0</v>
      </c>
      <c r="I6038" s="3" t="s">
        <v>13</v>
      </c>
      <c r="J6038" s="3" t="s">
        <v>17355</v>
      </c>
      <c r="K6038" s="3" t="s">
        <v>19</v>
      </c>
      <c r="L6038" s="3" t="str">
        <f>IFERROR(__xludf.DUMMYFUNCTION("GOOGLETRANSLATE(F6038,""id"",""en"")"),"Lionel Messi Hair's Fans Fans Gokil Hair After Argentina World Cup Champion")</f>
        <v>Lionel Messi Hair's Fans Fans Gokil Hair After Argentina World Cup Champion</v>
      </c>
    </row>
    <row r="6039" ht="15.75" customHeight="1">
      <c r="A6039" s="1">
        <v>7224.0</v>
      </c>
      <c r="B6039" s="3" t="s">
        <v>17356</v>
      </c>
      <c r="C6039" s="3">
        <v>1.0</v>
      </c>
      <c r="D6039" s="3">
        <v>0.0</v>
      </c>
      <c r="E6039" s="3">
        <v>0.0</v>
      </c>
      <c r="F6039" s="3" t="s">
        <v>17357</v>
      </c>
      <c r="G6039" s="3">
        <v>0.0</v>
      </c>
      <c r="H6039" s="3">
        <v>0.0</v>
      </c>
      <c r="I6039" s="3" t="s">
        <v>13</v>
      </c>
      <c r="J6039" s="3" t="s">
        <v>17358</v>
      </c>
      <c r="K6039" s="3" t="s">
        <v>17359</v>
      </c>
      <c r="L6039" s="3" t="str">
        <f>IFERROR(__xludf.DUMMYFUNCTION("GOOGLETRANSLATE(F6039,""id"",""en"")"),"Yes, the Argentina destiny was when Argentina was filled with many players from a big European team, instead the winner was the turn to be filled by many young players from the European medium team, but it could even win the time.")</f>
        <v>Yes, the Argentina destiny was when Argentina was filled with many players from a big European team, instead the winner was the turn to be filled by many young players from the European medium team, but it could even win the time.</v>
      </c>
    </row>
    <row r="6040" ht="15.75" customHeight="1">
      <c r="A6040" s="1">
        <v>7225.0</v>
      </c>
      <c r="B6040" s="3" t="s">
        <v>17360</v>
      </c>
      <c r="C6040" s="3">
        <v>0.0</v>
      </c>
      <c r="D6040" s="3">
        <v>0.0</v>
      </c>
      <c r="E6040" s="3">
        <v>0.0</v>
      </c>
      <c r="F6040" s="3" t="s">
        <v>17361</v>
      </c>
      <c r="G6040" s="3">
        <v>0.0</v>
      </c>
      <c r="H6040" s="3">
        <v>0.0</v>
      </c>
      <c r="I6040" s="3" t="s">
        <v>13</v>
      </c>
      <c r="J6040" s="3" t="s">
        <v>17362</v>
      </c>
      <c r="K6040" s="3" t="s">
        <v>82</v>
      </c>
      <c r="L6040" s="3" t="str">
        <f>IFERROR(__xludf.DUMMYFUNCTION("GOOGLETRANSLATE(F6040,""id"",""en"")"),"still not accepted if Argentina is the champion but happy Messi lifts the Cup")</f>
        <v>still not accepted if Argentina is the champion but happy Messi lifts the Cup</v>
      </c>
    </row>
    <row r="6041" ht="15.75" customHeight="1">
      <c r="A6041" s="1">
        <v>7226.0</v>
      </c>
      <c r="B6041" s="3" t="s">
        <v>17363</v>
      </c>
      <c r="C6041" s="3">
        <v>1.0</v>
      </c>
      <c r="D6041" s="3">
        <v>0.0</v>
      </c>
      <c r="E6041" s="3">
        <v>0.0</v>
      </c>
      <c r="F6041" s="3" t="s">
        <v>17364</v>
      </c>
      <c r="G6041" s="3">
        <v>0.4412698412698413</v>
      </c>
      <c r="H6041" s="3">
        <v>-0.1111111111111111</v>
      </c>
      <c r="I6041" s="3" t="s">
        <v>179</v>
      </c>
      <c r="J6041" s="3" t="s">
        <v>17365</v>
      </c>
      <c r="K6041" s="3" t="s">
        <v>45</v>
      </c>
      <c r="L6041" s="3" t="str">
        <f>IFERROR(__xludf.DUMMYFUNCTION("GOOGLETRANSLATE(F6041,""id"",""en"")"),"Elu also reacted when I said Emi Emi Argentina from the past I react with EMI LGSG notice because the atmosphere is at the AGGE champion bro this simple personal why you take this serious")</f>
        <v>Elu also reacted when I said Emi Emi Argentina from the past I react with EMI LGSG notice because the atmosphere is at the AGGE champion bro this simple personal why you take this serious</v>
      </c>
    </row>
    <row r="6042" ht="15.75" customHeight="1">
      <c r="A6042" s="1">
        <v>7227.0</v>
      </c>
      <c r="B6042" s="3" t="s">
        <v>17366</v>
      </c>
      <c r="C6042" s="3">
        <v>0.0</v>
      </c>
      <c r="D6042" s="3">
        <v>0.0</v>
      </c>
      <c r="E6042" s="3">
        <v>0.0</v>
      </c>
      <c r="F6042" s="3" t="s">
        <v>17367</v>
      </c>
      <c r="G6042" s="3">
        <v>0.0</v>
      </c>
      <c r="H6042" s="3">
        <v>0.0</v>
      </c>
      <c r="I6042" s="3" t="s">
        <v>13</v>
      </c>
      <c r="J6042" s="3" t="s">
        <v>17368</v>
      </c>
      <c r="K6042" s="3" t="s">
        <v>15</v>
      </c>
      <c r="L6042" s="3" t="str">
        <f>IFERROR(__xludf.DUMMYFUNCTION("GOOGLETRANSLATE(F6042,""id"",""en"")"),"Argentine World Cup Champion Party Spreads Money")</f>
        <v>Argentine World Cup Champion Party Spreads Money</v>
      </c>
    </row>
    <row r="6043" ht="15.75" customHeight="1">
      <c r="A6043" s="1">
        <v>7228.0</v>
      </c>
      <c r="B6043" s="3" t="s">
        <v>17369</v>
      </c>
      <c r="C6043" s="3">
        <v>0.0</v>
      </c>
      <c r="D6043" s="3">
        <v>0.0</v>
      </c>
      <c r="E6043" s="3">
        <v>15.0</v>
      </c>
      <c r="F6043" s="3" t="s">
        <v>17286</v>
      </c>
      <c r="G6043" s="3">
        <v>0.0</v>
      </c>
      <c r="H6043" s="3">
        <v>0.0</v>
      </c>
      <c r="I6043" s="3" t="s">
        <v>13</v>
      </c>
      <c r="J6043" s="3" t="s">
        <v>17287</v>
      </c>
      <c r="K6043" s="3" t="s">
        <v>240</v>
      </c>
      <c r="L6043" s="3" t="str">
        <f>IFERROR(__xludf.DUMMYFUNCTION("GOOGLETRANSLATE(F6043,""id"",""en"")"),"The Argentine players continued to party after becoming the World Cup champion, said Paulo Dybala, he and his colleagues were lacking in sleep")</f>
        <v>The Argentine players continued to party after becoming the World Cup champion, said Paulo Dybala, he and his colleagues were lacking in sleep</v>
      </c>
    </row>
    <row r="6044" ht="15.75" customHeight="1">
      <c r="A6044" s="1">
        <v>7229.0</v>
      </c>
      <c r="B6044" s="3" t="s">
        <v>17370</v>
      </c>
      <c r="C6044" s="3">
        <v>0.0</v>
      </c>
      <c r="D6044" s="3">
        <v>1.0</v>
      </c>
      <c r="E6044" s="3">
        <v>2.0</v>
      </c>
      <c r="F6044" s="3" t="s">
        <v>17371</v>
      </c>
      <c r="G6044" s="3">
        <v>0.0</v>
      </c>
      <c r="H6044" s="3">
        <v>0.0</v>
      </c>
      <c r="I6044" s="3" t="s">
        <v>13</v>
      </c>
      <c r="J6044" s="3" t="s">
        <v>17372</v>
      </c>
      <c r="K6044" s="3" t="s">
        <v>41</v>
      </c>
      <c r="L6044" s="3" t="str">
        <f>IFERROR(__xludf.DUMMYFUNCTION("GOOGLETRANSLATE(F6044,""id"",""en"")"),"Argentina national team players like they want to die after the world cup champion")</f>
        <v>Argentina national team players like they want to die after the world cup champion</v>
      </c>
    </row>
    <row r="6045" ht="15.75" customHeight="1">
      <c r="A6045" s="1">
        <v>7230.0</v>
      </c>
      <c r="B6045" s="3" t="s">
        <v>17373</v>
      </c>
      <c r="C6045" s="3">
        <v>0.0</v>
      </c>
      <c r="D6045" s="3">
        <v>0.0</v>
      </c>
      <c r="E6045" s="3">
        <v>1.0</v>
      </c>
      <c r="F6045" s="3" t="s">
        <v>17374</v>
      </c>
      <c r="G6045" s="3">
        <v>0.0</v>
      </c>
      <c r="H6045" s="3">
        <v>0.0</v>
      </c>
      <c r="I6045" s="3" t="s">
        <v>13</v>
      </c>
      <c r="J6045" s="3" t="s">
        <v>17375</v>
      </c>
      <c r="K6045" s="3" t="s">
        <v>41</v>
      </c>
      <c r="L6045" s="3" t="str">
        <f>IFERROR(__xludf.DUMMYFUNCTION("GOOGLETRANSLATE(F6045,""id"",""en"")"),"Bring bad luck, how come the flat champion supports Argentina GBLOCK")</f>
        <v>Bring bad luck, how come the flat champion supports Argentina GBLOCK</v>
      </c>
    </row>
    <row r="6046" ht="15.75" customHeight="1">
      <c r="A6046" s="1">
        <v>7231.0</v>
      </c>
      <c r="B6046" s="3" t="s">
        <v>17376</v>
      </c>
      <c r="C6046" s="3">
        <v>2.0</v>
      </c>
      <c r="D6046" s="3">
        <v>1.0</v>
      </c>
      <c r="E6046" s="3">
        <v>7.0</v>
      </c>
      <c r="F6046" s="3" t="s">
        <v>17377</v>
      </c>
      <c r="G6046" s="3">
        <v>0.0</v>
      </c>
      <c r="H6046" s="3">
        <v>0.0</v>
      </c>
      <c r="I6046" s="3" t="s">
        <v>13</v>
      </c>
      <c r="J6046" s="3" t="s">
        <v>17378</v>
      </c>
      <c r="K6046" s="3" t="s">
        <v>499</v>
      </c>
      <c r="L6046" s="3" t="str">
        <f>IFERROR(__xludf.DUMMYFUNCTION("GOOGLETRANSLATE(F6046,""id"",""en"")"),"Argentine world champion jumped the second stairs of the most recent ranking of FIFA was announced today when the final Brazilian of the Qatar Final Ethnic")</f>
        <v>Argentine world champion jumped the second stairs of the most recent ranking of FIFA was announced today when the final Brazilian of the Qatar Final Ethnic</v>
      </c>
    </row>
    <row r="6047" ht="15.75" customHeight="1">
      <c r="A6047" s="1">
        <v>7232.0</v>
      </c>
      <c r="B6047" s="3" t="s">
        <v>17379</v>
      </c>
      <c r="C6047" s="3">
        <v>0.0</v>
      </c>
      <c r="D6047" s="3">
        <v>0.0</v>
      </c>
      <c r="E6047" s="3">
        <v>0.0</v>
      </c>
      <c r="F6047" s="3" t="s">
        <v>17380</v>
      </c>
      <c r="G6047" s="3">
        <v>0.0</v>
      </c>
      <c r="H6047" s="3">
        <v>0.0</v>
      </c>
      <c r="I6047" s="3" t="s">
        <v>13</v>
      </c>
      <c r="J6047" s="3" t="s">
        <v>17381</v>
      </c>
      <c r="K6047" s="3" t="s">
        <v>50</v>
      </c>
      <c r="L6047" s="3" t="str">
        <f>IFERROR(__xludf.DUMMYFUNCTION("GOOGLETRANSLATE(F6047,""id"",""en"")"),"Yes Min, the President of FIFA is the same as Pakde, only the Jokowi Argentina can be champions")</f>
        <v>Yes Min, the President of FIFA is the same as Pakde, only the Jokowi Argentina can be champions</v>
      </c>
    </row>
    <row r="6048" ht="15.75" customHeight="1">
      <c r="A6048" s="1">
        <v>7233.0</v>
      </c>
      <c r="B6048" s="3" t="s">
        <v>17382</v>
      </c>
      <c r="C6048" s="3">
        <v>0.0</v>
      </c>
      <c r="D6048" s="3">
        <v>0.0</v>
      </c>
      <c r="E6048" s="3">
        <v>0.0</v>
      </c>
      <c r="F6048" s="3" t="s">
        <v>17383</v>
      </c>
      <c r="G6048" s="3">
        <v>0.0</v>
      </c>
      <c r="H6048" s="3">
        <v>0.0</v>
      </c>
      <c r="I6048" s="3" t="s">
        <v>13</v>
      </c>
      <c r="J6048" s="3" t="s">
        <v>17384</v>
      </c>
      <c r="K6048" s="3" t="s">
        <v>123</v>
      </c>
      <c r="L6048" s="3" t="str">
        <f>IFERROR(__xludf.DUMMYFUNCTION("GOOGLETRANSLATE(F6048,""id"",""en"")"),"It's cooking, you realize that Qatar EMG is arranged for Messi Gameweek champions have not regulated the results of Argentina to lose")</f>
        <v>It's cooking, you realize that Qatar EMG is arranged for Messi Gameweek champions have not regulated the results of Argentina to lose</v>
      </c>
    </row>
    <row r="6049" ht="15.75" customHeight="1">
      <c r="A6049" s="1">
        <v>7234.0</v>
      </c>
      <c r="B6049" s="3" t="s">
        <v>17385</v>
      </c>
      <c r="C6049" s="3">
        <v>0.0</v>
      </c>
      <c r="D6049" s="3">
        <v>0.0</v>
      </c>
      <c r="E6049" s="3">
        <v>1.0</v>
      </c>
      <c r="F6049" s="3" t="s">
        <v>17386</v>
      </c>
      <c r="G6049" s="3">
        <v>0.0</v>
      </c>
      <c r="H6049" s="3">
        <v>0.0</v>
      </c>
      <c r="I6049" s="3" t="s">
        <v>13</v>
      </c>
      <c r="J6049" s="3" t="s">
        <v>17387</v>
      </c>
      <c r="K6049" s="3" t="s">
        <v>15</v>
      </c>
      <c r="L6049" s="3" t="str">
        <f>IFERROR(__xludf.DUMMYFUNCTION("GOOGLETRANSLATE(F6049,""id"",""en"")"),"Thank you Iwan Bule Tips to bring Argentina World Champion Again")</f>
        <v>Thank you Iwan Bule Tips to bring Argentina World Champion Again</v>
      </c>
    </row>
    <row r="6050" ht="15.75" customHeight="1">
      <c r="A6050" s="1">
        <v>7235.0</v>
      </c>
      <c r="B6050" s="3" t="s">
        <v>17388</v>
      </c>
      <c r="C6050" s="3">
        <v>0.0</v>
      </c>
      <c r="D6050" s="3">
        <v>1.0</v>
      </c>
      <c r="E6050" s="3">
        <v>7.0</v>
      </c>
      <c r="F6050" s="3" t="s">
        <v>17181</v>
      </c>
      <c r="G6050" s="3">
        <v>0.0</v>
      </c>
      <c r="H6050" s="3">
        <v>0.0</v>
      </c>
      <c r="I6050" s="3" t="s">
        <v>13</v>
      </c>
      <c r="J6050" s="3" t="s">
        <v>17182</v>
      </c>
      <c r="K6050" s="3" t="s">
        <v>54</v>
      </c>
      <c r="L6050" s="3" t="str">
        <f>IFERROR(__xludf.DUMMYFUNCTION("GOOGLETRANSLATE(F6050,""id"",""en"")"),"Suitable Argentina Champion World Cup Champion")</f>
        <v>Suitable Argentina Champion World Cup Champion</v>
      </c>
    </row>
    <row r="6051" ht="15.75" customHeight="1">
      <c r="A6051" s="1">
        <v>7236.0</v>
      </c>
      <c r="B6051" s="3" t="s">
        <v>17389</v>
      </c>
      <c r="C6051" s="3">
        <v>0.0</v>
      </c>
      <c r="D6051" s="3">
        <v>1.0</v>
      </c>
      <c r="E6051" s="3">
        <v>2.0</v>
      </c>
      <c r="F6051" s="3" t="s">
        <v>17390</v>
      </c>
      <c r="G6051" s="3">
        <v>0.0</v>
      </c>
      <c r="H6051" s="3">
        <v>0.0</v>
      </c>
      <c r="I6051" s="3" t="s">
        <v>13</v>
      </c>
      <c r="J6051" s="3" t="s">
        <v>17391</v>
      </c>
      <c r="K6051" s="3" t="s">
        <v>240</v>
      </c>
      <c r="L6051" s="3" t="str">
        <f>IFERROR(__xludf.DUMMYFUNCTION("GOOGLETRANSLATE(F6051,""id"",""en"")"),"The story of Greysia Polli who successfully won the Olympic gold medal was similar to Lionel Messi during Argentina World Cup champions")</f>
        <v>The story of Greysia Polli who successfully won the Olympic gold medal was similar to Lionel Messi during Argentina World Cup champions</v>
      </c>
    </row>
    <row r="6052" ht="15.75" customHeight="1">
      <c r="A6052" s="1">
        <v>7237.0</v>
      </c>
      <c r="B6052" s="3" t="s">
        <v>17392</v>
      </c>
      <c r="C6052" s="3">
        <v>0.0</v>
      </c>
      <c r="D6052" s="3">
        <v>2.0</v>
      </c>
      <c r="E6052" s="3">
        <v>1.0</v>
      </c>
      <c r="F6052" s="3" t="s">
        <v>17393</v>
      </c>
      <c r="G6052" s="3">
        <v>0.0</v>
      </c>
      <c r="H6052" s="3">
        <v>0.0</v>
      </c>
      <c r="I6052" s="3" t="s">
        <v>13</v>
      </c>
      <c r="J6052" s="3" t="s">
        <v>17394</v>
      </c>
      <c r="K6052" s="3" t="s">
        <v>19</v>
      </c>
      <c r="L6052" s="3" t="str">
        <f>IFERROR(__xludf.DUMMYFUNCTION("GOOGLETRANSLATE(F6052,""id"",""en"")"),"Lionel Messi's World Cup Champion Will Be a Picture of Argentina")</f>
        <v>Lionel Messi's World Cup Champion Will Be a Picture of Argentina</v>
      </c>
    </row>
    <row r="6053" ht="15.75" customHeight="1">
      <c r="A6053" s="1">
        <v>7238.0</v>
      </c>
      <c r="B6053" s="3" t="s">
        <v>17395</v>
      </c>
      <c r="C6053" s="3">
        <v>0.0</v>
      </c>
      <c r="D6053" s="3">
        <v>0.0</v>
      </c>
      <c r="E6053" s="3">
        <v>1.0</v>
      </c>
      <c r="F6053" s="3" t="s">
        <v>17354</v>
      </c>
      <c r="G6053" s="3">
        <v>0.0</v>
      </c>
      <c r="H6053" s="3">
        <v>0.0</v>
      </c>
      <c r="I6053" s="3" t="s">
        <v>13</v>
      </c>
      <c r="J6053" s="3" t="s">
        <v>17355</v>
      </c>
      <c r="K6053" s="3" t="s">
        <v>19</v>
      </c>
      <c r="L6053" s="3" t="str">
        <f>IFERROR(__xludf.DUMMYFUNCTION("GOOGLETRANSLATE(F6053,""id"",""en"")"),"Lionel Messi Hair's Fans Fans Gokil Hair After Argentina World Cup Champion")</f>
        <v>Lionel Messi Hair's Fans Fans Gokil Hair After Argentina World Cup Champion</v>
      </c>
    </row>
    <row r="6054" ht="15.75" customHeight="1">
      <c r="A6054" s="1">
        <v>7239.0</v>
      </c>
      <c r="B6054" s="3" t="s">
        <v>17396</v>
      </c>
      <c r="C6054" s="3">
        <v>0.0</v>
      </c>
      <c r="D6054" s="3">
        <v>0.0</v>
      </c>
      <c r="E6054" s="3">
        <v>0.0</v>
      </c>
      <c r="F6054" s="3" t="s">
        <v>17397</v>
      </c>
      <c r="G6054" s="3">
        <v>0.0</v>
      </c>
      <c r="H6054" s="3">
        <v>0.0</v>
      </c>
      <c r="I6054" s="3" t="s">
        <v>13</v>
      </c>
      <c r="J6054" s="3" t="s">
        <v>17398</v>
      </c>
      <c r="K6054" s="3" t="s">
        <v>54</v>
      </c>
      <c r="L6054" s="3" t="str">
        <f>IFERROR(__xludf.DUMMYFUNCTION("GOOGLETRANSLATE(F6054,""id"",""en"")"),"Please Argentina champion every day is also original")</f>
        <v>Please Argentina champion every day is also original</v>
      </c>
    </row>
    <row r="6055" ht="15.75" customHeight="1">
      <c r="A6055" s="1">
        <v>7240.0</v>
      </c>
      <c r="B6055" s="3" t="s">
        <v>17399</v>
      </c>
      <c r="C6055" s="3">
        <v>0.0</v>
      </c>
      <c r="D6055" s="3">
        <v>0.0</v>
      </c>
      <c r="E6055" s="3">
        <v>0.0</v>
      </c>
      <c r="F6055" s="3" t="s">
        <v>17400</v>
      </c>
      <c r="G6055" s="3">
        <v>0.0</v>
      </c>
      <c r="H6055" s="3">
        <v>0.0</v>
      </c>
      <c r="I6055" s="3" t="s">
        <v>13</v>
      </c>
      <c r="J6055" s="3" t="s">
        <v>17401</v>
      </c>
      <c r="K6055" s="3" t="s">
        <v>1824</v>
      </c>
      <c r="L6055" s="3" t="str">
        <f>IFERROR(__xludf.DUMMYFUNCTION("GOOGLETRANSLATE(F6055,""id"",""en"")"),"the latest is not Argentina Moroccan World Cup Champion Champion World Cup Road Qatar Mak Nyak Doel Schoolgirl Teaching Miko Ibumu Happy Mother's Day Understanding Split Alfatihah Seishun Girl")</f>
        <v>the latest is not Argentina Moroccan World Cup Champion Champion World Cup Road Qatar Mak Nyak Doel Schoolgirl Teaching Miko Ibumu Happy Mother's Day Understanding Split Alfatihah Seishun Girl</v>
      </c>
    </row>
    <row r="6056" ht="15.75" customHeight="1">
      <c r="A6056" s="1">
        <v>7241.0</v>
      </c>
      <c r="B6056" s="3" t="s">
        <v>17402</v>
      </c>
      <c r="C6056" s="3">
        <v>0.0</v>
      </c>
      <c r="D6056" s="3">
        <v>0.0</v>
      </c>
      <c r="E6056" s="3">
        <v>0.0</v>
      </c>
      <c r="F6056" s="3" t="s">
        <v>17403</v>
      </c>
      <c r="G6056" s="3">
        <v>0.3333333333333333</v>
      </c>
      <c r="H6056" s="3">
        <v>0.1666666666666667</v>
      </c>
      <c r="I6056" s="3" t="s">
        <v>48</v>
      </c>
      <c r="J6056" s="3" t="s">
        <v>17404</v>
      </c>
      <c r="K6056" s="3" t="s">
        <v>1293</v>
      </c>
      <c r="L6056" s="3" t="str">
        <f>IFERROR(__xludf.DUMMYFUNCTION("GOOGLETRANSLATE(F6056,""id"",""en"")"),"he said Messi wanted to play the Portugal national team because Argentina had already champions World Cup Sumber was not certain but the word said was reasonable")</f>
        <v>he said Messi wanted to play the Portugal national team because Argentina had already champions World Cup Sumber was not certain but the word said was reasonable</v>
      </c>
    </row>
    <row r="6057" ht="15.75" customHeight="1">
      <c r="A6057" s="1">
        <v>7242.0</v>
      </c>
      <c r="B6057" s="3" t="s">
        <v>17405</v>
      </c>
      <c r="C6057" s="3">
        <v>0.0</v>
      </c>
      <c r="D6057" s="3">
        <v>0.0</v>
      </c>
      <c r="E6057" s="3">
        <v>0.0</v>
      </c>
      <c r="F6057" s="3" t="s">
        <v>17406</v>
      </c>
      <c r="G6057" s="3">
        <v>0.0</v>
      </c>
      <c r="H6057" s="3">
        <v>0.0</v>
      </c>
      <c r="I6057" s="3" t="s">
        <v>13</v>
      </c>
      <c r="J6057" s="3" t="s">
        <v>17407</v>
      </c>
      <c r="K6057" s="3" t="s">
        <v>149</v>
      </c>
      <c r="L6057" s="3" t="str">
        <f>IFERROR(__xludf.DUMMYFUNCTION("GOOGLETRANSLATE(F6057,""id"",""en"")"),"The moment of Lionel Messi was hugged by a mysterious woman to be excited when Argentina won the Qatar World Cup title in the spotlight of the fans.")</f>
        <v>The moment of Lionel Messi was hugged by a mysterious woman to be excited when Argentina won the Qatar World Cup title in the spotlight of the fans.</v>
      </c>
    </row>
    <row r="6058" ht="15.75" customHeight="1">
      <c r="A6058" s="1">
        <v>7243.0</v>
      </c>
      <c r="B6058" s="3" t="s">
        <v>17408</v>
      </c>
      <c r="C6058" s="3">
        <v>0.0</v>
      </c>
      <c r="D6058" s="3">
        <v>1.0</v>
      </c>
      <c r="E6058" s="3">
        <v>1.0</v>
      </c>
      <c r="F6058" s="3" t="s">
        <v>17406</v>
      </c>
      <c r="G6058" s="3">
        <v>0.0</v>
      </c>
      <c r="H6058" s="3">
        <v>0.0</v>
      </c>
      <c r="I6058" s="3" t="s">
        <v>13</v>
      </c>
      <c r="J6058" s="3" t="s">
        <v>17407</v>
      </c>
      <c r="K6058" s="3" t="s">
        <v>149</v>
      </c>
      <c r="L6058" s="3" t="str">
        <f>IFERROR(__xludf.DUMMYFUNCTION("GOOGLETRANSLATE(F6058,""id"",""en"")"),"The moment of Lionel Messi was hugged by a mysterious woman to be excited when Argentina won the Qatar World Cup title in the spotlight of the fans.")</f>
        <v>The moment of Lionel Messi was hugged by a mysterious woman to be excited when Argentina won the Qatar World Cup title in the spotlight of the fans.</v>
      </c>
    </row>
    <row r="6059" ht="15.75" customHeight="1">
      <c r="A6059" s="1">
        <v>7244.0</v>
      </c>
      <c r="B6059" s="3" t="s">
        <v>17409</v>
      </c>
      <c r="C6059" s="3">
        <v>3.0</v>
      </c>
      <c r="D6059" s="3">
        <v>0.0</v>
      </c>
      <c r="E6059" s="3">
        <v>2.0</v>
      </c>
      <c r="F6059" s="3" t="s">
        <v>17410</v>
      </c>
      <c r="G6059" s="3">
        <v>0.0</v>
      </c>
      <c r="H6059" s="3">
        <v>0.0</v>
      </c>
      <c r="I6059" s="3" t="s">
        <v>13</v>
      </c>
      <c r="J6059" s="3" t="s">
        <v>17411</v>
      </c>
      <c r="K6059" s="3" t="s">
        <v>123</v>
      </c>
      <c r="L6059" s="3" t="str">
        <f>IFERROR(__xludf.DUMMYFUNCTION("GOOGLETRANSLATE(F6059,""id"",""en"")"),"Not still the status of Barca player Messi with Argentina Copa America champion in July while the contract runs out of Barca August")</f>
        <v>Not still the status of Barca player Messi with Argentina Copa America champion in July while the contract runs out of Barca August</v>
      </c>
    </row>
    <row r="6060" ht="15.75" customHeight="1">
      <c r="A6060" s="1">
        <v>7245.0</v>
      </c>
      <c r="B6060" s="3" t="s">
        <v>17412</v>
      </c>
      <c r="C6060" s="3">
        <v>1.0</v>
      </c>
      <c r="D6060" s="3">
        <v>0.0</v>
      </c>
      <c r="E6060" s="3">
        <v>0.0</v>
      </c>
      <c r="F6060" s="3" t="s">
        <v>17413</v>
      </c>
      <c r="G6060" s="3">
        <v>0.4</v>
      </c>
      <c r="H6060" s="3">
        <v>0.2</v>
      </c>
      <c r="I6060" s="3" t="s">
        <v>48</v>
      </c>
      <c r="J6060" s="3" t="s">
        <v>17414</v>
      </c>
      <c r="K6060" s="3" t="s">
        <v>58</v>
      </c>
      <c r="L6060" s="3" t="str">
        <f>IFERROR(__xludf.DUMMYFUNCTION("GOOGLETRANSLATE(F6060,""id"",""en"")"),"wkwk elu stupid logic because losing Argentina and Leo Messi is a world champion hahaha")</f>
        <v>wkwk elu stupid logic because losing Argentina and Leo Messi is a world champion hahaha</v>
      </c>
    </row>
    <row r="6061" ht="15.75" customHeight="1">
      <c r="A6061" s="1">
        <v>7246.0</v>
      </c>
      <c r="B6061" s="3" t="s">
        <v>17415</v>
      </c>
      <c r="C6061" s="3">
        <v>0.0</v>
      </c>
      <c r="D6061" s="3">
        <v>0.0</v>
      </c>
      <c r="E6061" s="3">
        <v>0.0</v>
      </c>
      <c r="F6061" s="3" t="s">
        <v>17416</v>
      </c>
      <c r="G6061" s="3">
        <v>0.3</v>
      </c>
      <c r="H6061" s="3">
        <v>1.0</v>
      </c>
      <c r="I6061" s="3" t="s">
        <v>48</v>
      </c>
      <c r="J6061" s="3" t="s">
        <v>17417</v>
      </c>
      <c r="K6061" s="3" t="s">
        <v>19</v>
      </c>
      <c r="L6061" s="3" t="str">
        <f>IFERROR(__xludf.DUMMYFUNCTION("GOOGLETRANSLATE(F6061,""id"",""en"")"),"Watching the World Cup Making a heart but still the hero championed the Argentina The Best is the point")</f>
        <v>Watching the World Cup Making a heart but still the hero championed the Argentina The Best is the point</v>
      </c>
    </row>
    <row r="6062" ht="15.75" customHeight="1">
      <c r="A6062" s="1">
        <v>7247.0</v>
      </c>
      <c r="B6062" s="3" t="s">
        <v>17418</v>
      </c>
      <c r="C6062" s="3">
        <v>1.0</v>
      </c>
      <c r="D6062" s="3">
        <v>0.0</v>
      </c>
      <c r="E6062" s="3">
        <v>1.0</v>
      </c>
      <c r="F6062" s="3" t="s">
        <v>17419</v>
      </c>
      <c r="G6062" s="3">
        <v>0.0</v>
      </c>
      <c r="H6062" s="3">
        <v>0.0</v>
      </c>
      <c r="I6062" s="3" t="s">
        <v>13</v>
      </c>
      <c r="J6062" s="3" t="s">
        <v>17420</v>
      </c>
      <c r="K6062" s="3" t="s">
        <v>54</v>
      </c>
      <c r="L6062" s="3" t="str">
        <f>IFERROR(__xludf.DUMMYFUNCTION("GOOGLETRANSLATE(F6062,""id"",""en"")"),"stupid still hurt when Argentina Champion")</f>
        <v>stupid still hurt when Argentina Champion</v>
      </c>
    </row>
    <row r="6063" ht="15.75" customHeight="1">
      <c r="A6063" s="1">
        <v>7248.0</v>
      </c>
      <c r="B6063" s="3" t="s">
        <v>17421</v>
      </c>
      <c r="C6063" s="3">
        <v>0.0</v>
      </c>
      <c r="D6063" s="3">
        <v>0.0</v>
      </c>
      <c r="E6063" s="3">
        <v>1.0</v>
      </c>
      <c r="F6063" s="3" t="s">
        <v>17422</v>
      </c>
      <c r="G6063" s="3">
        <v>0.0</v>
      </c>
      <c r="H6063" s="3">
        <v>0.0</v>
      </c>
      <c r="I6063" s="3" t="s">
        <v>13</v>
      </c>
      <c r="J6063" s="3" t="s">
        <v>17423</v>
      </c>
      <c r="K6063" s="3" t="s">
        <v>495</v>
      </c>
      <c r="L6063" s="3" t="str">
        <f>IFERROR(__xludf.DUMMYFUNCTION("GOOGLETRANSLATE(F6063,""id"",""en"")"),"The contents of the Angel Maria text message to his wife Jorgelina Cardoso came true after bringing the Argentine national team to the World Cup championship ladder")</f>
        <v>The contents of the Angel Maria text message to his wife Jorgelina Cardoso came true after bringing the Argentine national team to the World Cup championship ladder</v>
      </c>
    </row>
    <row r="6064" ht="15.75" customHeight="1">
      <c r="A6064" s="1">
        <v>7249.0</v>
      </c>
      <c r="B6064" s="3" t="s">
        <v>17424</v>
      </c>
      <c r="C6064" s="3">
        <v>0.0</v>
      </c>
      <c r="D6064" s="3">
        <v>0.0</v>
      </c>
      <c r="E6064" s="3">
        <v>1.0</v>
      </c>
      <c r="F6064" s="3" t="s">
        <v>17422</v>
      </c>
      <c r="G6064" s="3">
        <v>0.0</v>
      </c>
      <c r="H6064" s="3">
        <v>0.0</v>
      </c>
      <c r="I6064" s="3" t="s">
        <v>13</v>
      </c>
      <c r="J6064" s="3" t="s">
        <v>17423</v>
      </c>
      <c r="K6064" s="3" t="s">
        <v>495</v>
      </c>
      <c r="L6064" s="3" t="str">
        <f>IFERROR(__xludf.DUMMYFUNCTION("GOOGLETRANSLATE(F6064,""id"",""en"")"),"The contents of the Angel Maria text message to his wife Jorgelina Cardoso came true after bringing the Argentine national team to the World Cup championship ladder")</f>
        <v>The contents of the Angel Maria text message to his wife Jorgelina Cardoso came true after bringing the Argentine national team to the World Cup championship ladder</v>
      </c>
    </row>
    <row r="6065" ht="15.75" customHeight="1">
      <c r="A6065" s="1">
        <v>7250.0</v>
      </c>
      <c r="B6065" s="3" t="s">
        <v>17425</v>
      </c>
      <c r="C6065" s="3">
        <v>0.0</v>
      </c>
      <c r="D6065" s="3">
        <v>0.0</v>
      </c>
      <c r="E6065" s="3">
        <v>0.0</v>
      </c>
      <c r="F6065" s="3" t="s">
        <v>17426</v>
      </c>
      <c r="G6065" s="3">
        <v>0.0</v>
      </c>
      <c r="H6065" s="3">
        <v>0.0</v>
      </c>
      <c r="I6065" s="3" t="s">
        <v>13</v>
      </c>
      <c r="J6065" s="3" t="s">
        <v>17427</v>
      </c>
      <c r="K6065" s="3" t="s">
        <v>456</v>
      </c>
      <c r="L6065" s="3" t="str">
        <f>IFERROR(__xludf.DUMMYFUNCTION("GOOGLETRANSLATE(F6065,""id"",""en"")"),"Tribunnews Jan Ethes Sri Narendra is said to be similar to Argentine national team player Angel Maria knows that her child is blown by the World Cup champion Gibran Rakabuming Raka also seems to react, it seems that Gibran Rakabuming Raka did not accept i"&amp;"f")</f>
        <v>Tribunnews Jan Ethes Sri Narendra is said to be similar to Argentine national team player Angel Maria knows that her child is blown by the World Cup champion Gibran Rakabuming Raka also seems to react, it seems that Gibran Rakabuming Raka did not accept if</v>
      </c>
    </row>
    <row r="6066" ht="15.75" customHeight="1">
      <c r="A6066" s="1">
        <v>7251.0</v>
      </c>
      <c r="B6066" s="3" t="s">
        <v>17428</v>
      </c>
      <c r="C6066" s="3">
        <v>0.0</v>
      </c>
      <c r="D6066" s="3">
        <v>0.0</v>
      </c>
      <c r="E6066" s="3">
        <v>1.0</v>
      </c>
      <c r="F6066" s="3" t="s">
        <v>17429</v>
      </c>
      <c r="G6066" s="3">
        <v>0.0</v>
      </c>
      <c r="H6066" s="3">
        <v>0.0</v>
      </c>
      <c r="I6066" s="3" t="s">
        <v>13</v>
      </c>
      <c r="J6066" s="3" t="s">
        <v>17430</v>
      </c>
      <c r="K6066" s="3" t="s">
        <v>90</v>
      </c>
      <c r="L6066" s="3" t="str">
        <f>IFERROR(__xludf.DUMMYFUNCTION("GOOGLETRANSLATE(F6066,""id"",""en"")"),"Kadrun thought the most loved God, only their gang was that they were sure that all of his prayers would be granted ehhh.")</f>
        <v>Kadrun thought the most loved God, only their gang was that they were sure that all of his prayers would be granted ehhh.</v>
      </c>
    </row>
    <row r="6067" ht="15.75" customHeight="1">
      <c r="A6067" s="1">
        <v>7252.0</v>
      </c>
      <c r="B6067" s="3" t="s">
        <v>17431</v>
      </c>
      <c r="C6067" s="3">
        <v>0.0</v>
      </c>
      <c r="D6067" s="3">
        <v>0.0</v>
      </c>
      <c r="E6067" s="3">
        <v>0.0</v>
      </c>
      <c r="F6067" s="3" t="s">
        <v>17432</v>
      </c>
      <c r="G6067" s="3">
        <v>0.0</v>
      </c>
      <c r="H6067" s="3">
        <v>0.0</v>
      </c>
      <c r="I6067" s="3" t="s">
        <v>13</v>
      </c>
      <c r="J6067" s="3" t="s">
        <v>17433</v>
      </c>
      <c r="K6067" s="3" t="s">
        <v>1345</v>
      </c>
      <c r="L6067" s="3" t="str">
        <f>IFERROR(__xludf.DUMMYFUNCTION("GOOGLETRANSLATE(F6067,""id"",""en"")"),"World ranking FIFA Cola Argentina Champion World Ranking Brazil Indonesia")</f>
        <v>World ranking FIFA Cola Argentina Champion World Ranking Brazil Indonesia</v>
      </c>
    </row>
    <row r="6068" ht="15.75" customHeight="1">
      <c r="A6068" s="1">
        <v>7253.0</v>
      </c>
      <c r="B6068" s="3" t="s">
        <v>17434</v>
      </c>
      <c r="C6068" s="3">
        <v>0.0</v>
      </c>
      <c r="D6068" s="3">
        <v>1.0</v>
      </c>
      <c r="E6068" s="3">
        <v>0.0</v>
      </c>
      <c r="F6068" s="3" t="s">
        <v>17435</v>
      </c>
      <c r="G6068" s="3">
        <v>0.0</v>
      </c>
      <c r="H6068" s="3">
        <v>0.0</v>
      </c>
      <c r="I6068" s="3" t="s">
        <v>13</v>
      </c>
      <c r="J6068" s="3" t="s">
        <v>17436</v>
      </c>
      <c r="K6068" s="3" t="s">
        <v>1366</v>
      </c>
      <c r="L6068" s="3" t="str">
        <f>IFERROR(__xludf.DUMMYFUNCTION("GOOGLETRANSLATE(F6068,""id"",""en"")"),"Jan Ethes Sri Narendra is said to be similar to Argentine national team player Angel Maria knows that her child is blown by the World Cup champion Gibran Rakabuming Raka also seemed to react, it seems that Gibran Rakabuming Raka did not accept if the chil"&amp;"d was slipped Ist")</f>
        <v>Jan Ethes Sri Narendra is said to be similar to Argentine national team player Angel Maria knows that her child is blown by the World Cup champion Gibran Rakabuming Raka also seemed to react, it seems that Gibran Rakabuming Raka did not accept if the child was slipped Ist</v>
      </c>
    </row>
    <row r="6069" ht="15.75" customHeight="1">
      <c r="A6069" s="1">
        <v>7254.0</v>
      </c>
      <c r="B6069" s="3" t="s">
        <v>17437</v>
      </c>
      <c r="C6069" s="3">
        <v>0.0</v>
      </c>
      <c r="D6069" s="3">
        <v>0.0</v>
      </c>
      <c r="E6069" s="3">
        <v>1.0</v>
      </c>
      <c r="F6069" s="3" t="s">
        <v>17438</v>
      </c>
      <c r="G6069" s="3">
        <v>0.2333333333333333</v>
      </c>
      <c r="H6069" s="3">
        <v>-0.25</v>
      </c>
      <c r="I6069" s="3" t="s">
        <v>179</v>
      </c>
      <c r="J6069" s="3" t="s">
        <v>17439</v>
      </c>
      <c r="K6069" s="3" t="s">
        <v>503</v>
      </c>
      <c r="L6069" s="3" t="str">
        <f>IFERROR(__xludf.DUMMYFUNCTION("GOOGLETRANSLATE(F6069,""id"",""en"")"),"Argentine goalkeeper Emiliano Martinez and French striker Kylian Mbappe is often involved in Psywar this time Emiliano Martinez again showed his happiness to bring a baby doll Mbappe during the Argentine national team victory parade brought home the Ist W"&amp;"orld Champion Trophy")</f>
        <v>Argentine goalkeeper Emiliano Martinez and French striker Kylian Mbappe is often involved in Psywar this time Emiliano Martinez again showed his happiness to bring a baby doll Mbappe during the Argentine national team victory parade brought home the Ist World Champion Trophy</v>
      </c>
    </row>
    <row r="6070" ht="15.75" customHeight="1">
      <c r="A6070" s="1">
        <v>7255.0</v>
      </c>
      <c r="B6070" s="3" t="s">
        <v>17440</v>
      </c>
      <c r="C6070" s="3">
        <v>0.0</v>
      </c>
      <c r="D6070" s="3">
        <v>0.0</v>
      </c>
      <c r="E6070" s="3">
        <v>0.0</v>
      </c>
      <c r="F6070" s="3" t="s">
        <v>17441</v>
      </c>
      <c r="G6070" s="3">
        <v>0.0</v>
      </c>
      <c r="H6070" s="3">
        <v>0.0</v>
      </c>
      <c r="I6070" s="3" t="s">
        <v>13</v>
      </c>
      <c r="J6070" s="3" t="s">
        <v>17442</v>
      </c>
      <c r="K6070" s="3" t="s">
        <v>433</v>
      </c>
      <c r="L6070" s="3" t="str">
        <f>IFERROR(__xludf.DUMMYFUNCTION("GOOGLETRANSLATE(F6070,""id"",""en"")"),"What if after Argentina, we will see Indonesia, the AFF champion so that the plenary happiness of this year's Christmas gift")</f>
        <v>What if after Argentina, we will see Indonesia, the AFF champion so that the plenary happiness of this year's Christmas gift</v>
      </c>
    </row>
    <row r="6071" ht="15.75" customHeight="1">
      <c r="A6071" s="1">
        <v>7256.0</v>
      </c>
      <c r="B6071" s="3" t="s">
        <v>17443</v>
      </c>
      <c r="C6071" s="3">
        <v>0.0</v>
      </c>
      <c r="D6071" s="3">
        <v>0.0</v>
      </c>
      <c r="E6071" s="3">
        <v>0.0</v>
      </c>
      <c r="F6071" s="3" t="s">
        <v>17444</v>
      </c>
      <c r="G6071" s="3">
        <v>0.0</v>
      </c>
      <c r="H6071" s="3">
        <v>0.0</v>
      </c>
      <c r="I6071" s="3" t="s">
        <v>13</v>
      </c>
      <c r="J6071" s="3" t="s">
        <v>17445</v>
      </c>
      <c r="K6071" s="3" t="s">
        <v>35</v>
      </c>
      <c r="L6071" s="3" t="str">
        <f>IFERROR(__xludf.DUMMYFUNCTION("GOOGLETRANSLATE(F6071,""id"",""en"")"),"Oon's dealer means bets a lot of Argentina but Argentina champions are Jebool Dodol")</f>
        <v>Oon's dealer means bets a lot of Argentina but Argentina champions are Jebool Dodol</v>
      </c>
    </row>
    <row r="6072" ht="15.75" customHeight="1">
      <c r="A6072" s="1">
        <v>7257.0</v>
      </c>
      <c r="B6072" s="3" t="s">
        <v>17446</v>
      </c>
      <c r="C6072" s="3">
        <v>1.0</v>
      </c>
      <c r="D6072" s="3">
        <v>0.0</v>
      </c>
      <c r="E6072" s="3">
        <v>0.0</v>
      </c>
      <c r="F6072" s="3" t="s">
        <v>17447</v>
      </c>
      <c r="G6072" s="3">
        <v>0.3333333333333333</v>
      </c>
      <c r="H6072" s="3">
        <v>0.1666666666666667</v>
      </c>
      <c r="I6072" s="3" t="s">
        <v>48</v>
      </c>
      <c r="J6072" s="3" t="s">
        <v>17448</v>
      </c>
      <c r="K6072" s="3" t="s">
        <v>603</v>
      </c>
      <c r="L6072" s="3" t="str">
        <f>IFERROR(__xludf.DUMMYFUNCTION("GOOGLETRANSLATE(F6072,""id"",""en"")"),"strange if Argentina is a champion, even though the European country, if playing outside Europe is indeed difficult to win and there is no history of champions except the old edition of the Pildun")</f>
        <v>strange if Argentina is a champion, even though the European country, if playing outside Europe is indeed difficult to win and there is no history of champions except the old edition of the Pildun</v>
      </c>
    </row>
    <row r="6073" ht="15.75" customHeight="1">
      <c r="A6073" s="1">
        <v>7258.0</v>
      </c>
      <c r="B6073" s="3" t="s">
        <v>17449</v>
      </c>
      <c r="C6073" s="3">
        <v>0.0</v>
      </c>
      <c r="D6073" s="3">
        <v>0.0</v>
      </c>
      <c r="E6073" s="3">
        <v>0.0</v>
      </c>
      <c r="F6073" s="3" t="s">
        <v>17450</v>
      </c>
      <c r="G6073" s="3">
        <v>0.0</v>
      </c>
      <c r="H6073" s="3">
        <v>0.0</v>
      </c>
      <c r="I6073" s="3" t="s">
        <v>13</v>
      </c>
      <c r="J6073" s="3" t="s">
        <v>17451</v>
      </c>
      <c r="K6073" s="3" t="s">
        <v>1335</v>
      </c>
      <c r="L6073" s="3" t="str">
        <f>IFERROR(__xludf.DUMMYFUNCTION("GOOGLETRANSLATE(F6073,""id"",""en"")"),"wow, but the Argentina champion, sir")</f>
        <v>wow, but the Argentina champion, sir</v>
      </c>
    </row>
    <row r="6074" ht="15.75" customHeight="1">
      <c r="A6074" s="1">
        <v>7259.0</v>
      </c>
      <c r="B6074" s="3" t="s">
        <v>17452</v>
      </c>
      <c r="C6074" s="3">
        <v>1.0</v>
      </c>
      <c r="D6074" s="3">
        <v>0.0</v>
      </c>
      <c r="E6074" s="3">
        <v>0.0</v>
      </c>
      <c r="F6074" s="3" t="s">
        <v>17453</v>
      </c>
      <c r="G6074" s="3">
        <v>0.0</v>
      </c>
      <c r="H6074" s="3">
        <v>0.0</v>
      </c>
      <c r="I6074" s="3" t="s">
        <v>13</v>
      </c>
      <c r="J6074" s="3" t="s">
        <v>17454</v>
      </c>
      <c r="K6074" s="3" t="s">
        <v>644</v>
      </c>
      <c r="L6074" s="3" t="str">
        <f>IFERROR(__xludf.DUMMYFUNCTION("GOOGLETRANSLATE(F6074,""id"",""en"")"),"for them hater Messi Argentina can't win")</f>
        <v>for them hater Messi Argentina can't win</v>
      </c>
    </row>
    <row r="6075" ht="15.75" customHeight="1">
      <c r="A6075" s="1">
        <v>7260.0</v>
      </c>
      <c r="B6075" s="3" t="s">
        <v>17455</v>
      </c>
      <c r="C6075" s="3">
        <v>1.0</v>
      </c>
      <c r="D6075" s="3">
        <v>0.0</v>
      </c>
      <c r="E6075" s="3">
        <v>0.0</v>
      </c>
      <c r="F6075" s="3" t="s">
        <v>17456</v>
      </c>
      <c r="G6075" s="3">
        <v>0.0</v>
      </c>
      <c r="H6075" s="3">
        <v>0.0</v>
      </c>
      <c r="I6075" s="3" t="s">
        <v>13</v>
      </c>
      <c r="J6075" s="3" t="s">
        <v>17457</v>
      </c>
      <c r="K6075" s="3" t="s">
        <v>1699</v>
      </c>
      <c r="L6075" s="3" t="str">
        <f>IFERROR(__xludf.DUMMYFUNCTION("GOOGLETRANSLATE(F6075,""id"",""en"")"),"Argentina champions must also be supported by Barca Messi's fans even though not a Barca player anymore but just wherever he is playing for his country will support the Barca Fans your opinion is valid")</f>
        <v>Argentina champions must also be supported by Barca Messi's fans even though not a Barca player anymore but just wherever he is playing for his country will support the Barca Fans your opinion is valid</v>
      </c>
    </row>
    <row r="6076" ht="15.75" customHeight="1">
      <c r="A6076" s="1">
        <v>7261.0</v>
      </c>
      <c r="B6076" s="3" t="s">
        <v>17458</v>
      </c>
      <c r="C6076" s="3">
        <v>0.0</v>
      </c>
      <c r="D6076" s="3">
        <v>0.0</v>
      </c>
      <c r="E6076" s="3">
        <v>0.0</v>
      </c>
      <c r="F6076" s="3" t="s">
        <v>17459</v>
      </c>
      <c r="G6076" s="3">
        <v>0.0</v>
      </c>
      <c r="H6076" s="3">
        <v>0.0</v>
      </c>
      <c r="I6076" s="3" t="s">
        <v>13</v>
      </c>
      <c r="J6076" s="3" t="s">
        <v>17460</v>
      </c>
      <c r="K6076" s="3" t="s">
        <v>1293</v>
      </c>
      <c r="L6076" s="3" t="str">
        <f>IFERROR(__xludf.DUMMYFUNCTION("GOOGLETRANSLATE(F6076,""id"",""en"")"),"The World Cup title with Argentina succeeded in perfecting the incision of the title of Messi and succeeded in making it a Goat Greates All Time")</f>
        <v>The World Cup title with Argentina succeeded in perfecting the incision of the title of Messi and succeeded in making it a Goat Greates All Time</v>
      </c>
    </row>
    <row r="6077" ht="15.75" customHeight="1">
      <c r="A6077" s="1">
        <v>7262.0</v>
      </c>
      <c r="B6077" s="3" t="s">
        <v>17461</v>
      </c>
      <c r="C6077" s="3">
        <v>0.0</v>
      </c>
      <c r="D6077" s="3">
        <v>0.0</v>
      </c>
      <c r="E6077" s="3">
        <v>0.0</v>
      </c>
      <c r="F6077" s="3" t="s">
        <v>17462</v>
      </c>
      <c r="G6077" s="3">
        <v>0.0</v>
      </c>
      <c r="H6077" s="3">
        <v>0.0</v>
      </c>
      <c r="I6077" s="3" t="s">
        <v>13</v>
      </c>
      <c r="J6077" s="3" t="s">
        <v>17463</v>
      </c>
      <c r="K6077" s="3" t="s">
        <v>449</v>
      </c>
      <c r="L6077" s="3" t="str">
        <f>IFERROR(__xludf.DUMMYFUNCTION("GOOGLETRANSLATE(F6077,""id"",""en"")"),"Thousands of Argentines shut up the arrival of Lionel Messi and other national teams the streets of the capital and various parts of the party area after the team nicknamed Tanggo came out as the Qatar World Cup champion")</f>
        <v>Thousands of Argentines shut up the arrival of Lionel Messi and other national teams the streets of the capital and various parts of the party area after the team nicknamed Tanggo came out as the Qatar World Cup champion</v>
      </c>
    </row>
    <row r="6078" ht="15.75" customHeight="1">
      <c r="A6078" s="1">
        <v>7263.0</v>
      </c>
      <c r="B6078" s="3" t="s">
        <v>17464</v>
      </c>
      <c r="C6078" s="3">
        <v>1.0</v>
      </c>
      <c r="D6078" s="3">
        <v>0.0</v>
      </c>
      <c r="E6078" s="3">
        <v>0.0</v>
      </c>
      <c r="F6078" s="3" t="s">
        <v>17465</v>
      </c>
      <c r="G6078" s="3">
        <v>0.1</v>
      </c>
      <c r="H6078" s="3">
        <v>0.0</v>
      </c>
      <c r="I6078" s="3" t="s">
        <v>13</v>
      </c>
      <c r="J6078" s="3" t="s">
        <v>17466</v>
      </c>
      <c r="K6078" s="3" t="s">
        <v>463</v>
      </c>
      <c r="L6078" s="3" t="str">
        <f>IFERROR(__xludf.DUMMYFUNCTION("GOOGLETRANSLATE(F6078,""id"",""en"")"),"To become a winner is to generate the spirit of struggle by winning a solid moving victory for the purpose of winning is our goal of congratulations on the victory of Argentina has become the champion of FIFA World Cup Qatar")</f>
        <v>To become a winner is to generate the spirit of struggle by winning a solid moving victory for the purpose of winning is our goal of congratulations on the victory of Argentina has become the champion of FIFA World Cup Qatar</v>
      </c>
    </row>
    <row r="6079" ht="15.75" customHeight="1">
      <c r="A6079" s="1">
        <v>7264.0</v>
      </c>
      <c r="B6079" s="3" t="s">
        <v>17467</v>
      </c>
      <c r="C6079" s="3">
        <v>0.0</v>
      </c>
      <c r="D6079" s="3">
        <v>0.0</v>
      </c>
      <c r="E6079" s="3">
        <v>0.0</v>
      </c>
      <c r="F6079" s="3" t="s">
        <v>17468</v>
      </c>
      <c r="G6079" s="3">
        <v>0.0</v>
      </c>
      <c r="H6079" s="3">
        <v>0.0</v>
      </c>
      <c r="I6079" s="3" t="s">
        <v>13</v>
      </c>
      <c r="J6079" s="3" t="s">
        <v>17469</v>
      </c>
      <c r="K6079" s="3" t="s">
        <v>725</v>
      </c>
      <c r="L6079" s="3" t="str">
        <f>IFERROR(__xludf.DUMMYFUNCTION("GOOGLETRANSLATE(F6079,""id"",""en"")"),"Announcement With the overall revocation of PPKM, let me be panting on Qatar watching Pildun Support Argentina finally champions even though I can only pantun believe my love is only for Florajkt last time to see cute animals dancing")</f>
        <v>Announcement With the overall revocation of PPKM, let me be panting on Qatar watching Pildun Support Argentina finally champions even though I can only pantun believe my love is only for Florajkt last time to see cute animals dancing</v>
      </c>
    </row>
    <row r="6080" ht="15.75" customHeight="1">
      <c r="A6080" s="1">
        <v>7265.0</v>
      </c>
      <c r="B6080" s="3" t="s">
        <v>17470</v>
      </c>
      <c r="C6080" s="3">
        <v>0.0</v>
      </c>
      <c r="D6080" s="3">
        <v>0.0</v>
      </c>
      <c r="E6080" s="3">
        <v>0.0</v>
      </c>
      <c r="F6080" s="3" t="s">
        <v>17471</v>
      </c>
      <c r="G6080" s="3">
        <v>0.0</v>
      </c>
      <c r="H6080" s="3">
        <v>0.0</v>
      </c>
      <c r="I6080" s="3" t="s">
        <v>13</v>
      </c>
      <c r="J6080" s="3" t="s">
        <v>17472</v>
      </c>
      <c r="K6080" s="3" t="s">
        <v>240</v>
      </c>
      <c r="L6080" s="3" t="str">
        <f>IFERROR(__xludf.DUMMYFUNCTION("GOOGLETRANSLATE(F6080,""id"",""en"")"),"The prediction is normal Argentina in the world champion but because it is seasoned the date of the actual incident is scheduled to be the age of Messi so it looks really precision")</f>
        <v>The prediction is normal Argentina in the world champion but because it is seasoned the date of the actual incident is scheduled to be the age of Messi so it looks really precision</v>
      </c>
    </row>
    <row r="6081" ht="15.75" customHeight="1">
      <c r="A6081" s="1">
        <v>7266.0</v>
      </c>
      <c r="B6081" s="3" t="s">
        <v>17473</v>
      </c>
      <c r="C6081" s="3">
        <v>0.0</v>
      </c>
      <c r="D6081" s="3">
        <v>0.0</v>
      </c>
      <c r="E6081" s="3">
        <v>0.0</v>
      </c>
      <c r="F6081" s="3" t="s">
        <v>17474</v>
      </c>
      <c r="G6081" s="3">
        <v>0.0</v>
      </c>
      <c r="H6081" s="3">
        <v>0.0</v>
      </c>
      <c r="I6081" s="3" t="s">
        <v>13</v>
      </c>
      <c r="J6081" s="3" t="s">
        <v>17475</v>
      </c>
      <c r="K6081" s="3" t="s">
        <v>75</v>
      </c>
      <c r="L6081" s="3" t="str">
        <f>IFERROR(__xludf.DUMMYFUNCTION("GOOGLETRANSLATE(F6081,""id"",""en"")"),"Argentina World Cup Champion to Children's Action Recorded CCTV")</f>
        <v>Argentina World Cup Champion to Children's Action Recorded CCTV</v>
      </c>
    </row>
    <row r="6082" ht="15.75" customHeight="1">
      <c r="A6082" s="1">
        <v>7267.0</v>
      </c>
      <c r="B6082" s="3" t="s">
        <v>17476</v>
      </c>
      <c r="C6082" s="3">
        <v>0.0</v>
      </c>
      <c r="D6082" s="3">
        <v>0.0</v>
      </c>
      <c r="E6082" s="3">
        <v>0.0</v>
      </c>
      <c r="F6082" s="3" t="s">
        <v>17477</v>
      </c>
      <c r="G6082" s="3">
        <v>0.0</v>
      </c>
      <c r="H6082" s="3">
        <v>0.0</v>
      </c>
      <c r="I6082" s="3" t="s">
        <v>13</v>
      </c>
      <c r="J6082" s="3" t="s">
        <v>17478</v>
      </c>
      <c r="K6082" s="3" t="s">
        <v>433</v>
      </c>
      <c r="L6082" s="3" t="str">
        <f>IFERROR(__xludf.DUMMYFUNCTION("GOOGLETRANSLATE(F6082,""id"",""en"")"),"Argentina's latest FIFA ranking update rises after becoming the Indonesian World Cup champion ranked")</f>
        <v>Argentina's latest FIFA ranking update rises after becoming the Indonesian World Cup champion ranked</v>
      </c>
    </row>
    <row r="6083" ht="15.75" customHeight="1">
      <c r="A6083" s="1">
        <v>7268.0</v>
      </c>
      <c r="B6083" s="3" t="s">
        <v>17479</v>
      </c>
      <c r="C6083" s="3">
        <v>0.0</v>
      </c>
      <c r="D6083" s="3">
        <v>0.0</v>
      </c>
      <c r="E6083" s="3">
        <v>0.0</v>
      </c>
      <c r="F6083" s="3" t="s">
        <v>17480</v>
      </c>
      <c r="G6083" s="3">
        <v>0.0</v>
      </c>
      <c r="H6083" s="3">
        <v>0.0</v>
      </c>
      <c r="I6083" s="3" t="s">
        <v>13</v>
      </c>
      <c r="J6083" s="3" t="s">
        <v>17481</v>
      </c>
      <c r="K6083" s="3" t="s">
        <v>205</v>
      </c>
      <c r="L6083" s="3" t="str">
        <f>IFERROR(__xludf.DUMMYFUNCTION("GOOGLETRANSLATE(F6083,""id"",""en"")"),"Argentina is said to be bribed so that he can win the world cup inflation, last November, the country failed to break the theory of all the stupid people")</f>
        <v>Argentina is said to be bribed so that he can win the world cup inflation, last November, the country failed to break the theory of all the stupid people</v>
      </c>
    </row>
    <row r="6084" ht="15.75" customHeight="1">
      <c r="A6084" s="1">
        <v>7269.0</v>
      </c>
      <c r="B6084" s="3" t="s">
        <v>17482</v>
      </c>
      <c r="C6084" s="3">
        <v>3.0</v>
      </c>
      <c r="D6084" s="3">
        <v>0.0</v>
      </c>
      <c r="E6084" s="3">
        <v>6.0</v>
      </c>
      <c r="F6084" s="3" t="s">
        <v>17483</v>
      </c>
      <c r="G6084" s="3">
        <v>0.0</v>
      </c>
      <c r="H6084" s="3">
        <v>0.0</v>
      </c>
      <c r="I6084" s="3" t="s">
        <v>13</v>
      </c>
      <c r="J6084" s="3" t="s">
        <v>17484</v>
      </c>
      <c r="K6084" s="3" t="s">
        <v>1293</v>
      </c>
      <c r="L6084" s="3" t="str">
        <f>IFERROR(__xludf.DUMMYFUNCTION("GOOGLETRANSLATE(F6084,""id"",""en"")"),"No matter how great Argentina they will never win the AFF Cup, God willing, Moroccan, the Indonesian Branch can be tomorrow the Indonesian national team Cambodia")</f>
        <v>No matter how great Argentina they will never win the AFF Cup, God willing, Moroccan, the Indonesian Branch can be tomorrow the Indonesian national team Cambodia</v>
      </c>
    </row>
    <row r="6085" ht="15.75" customHeight="1">
      <c r="A6085" s="1">
        <v>7270.0</v>
      </c>
      <c r="B6085" s="3" t="s">
        <v>17485</v>
      </c>
      <c r="C6085" s="3">
        <v>0.0</v>
      </c>
      <c r="D6085" s="3">
        <v>0.0</v>
      </c>
      <c r="E6085" s="3">
        <v>0.0</v>
      </c>
      <c r="F6085" s="3" t="s">
        <v>17486</v>
      </c>
      <c r="G6085" s="3">
        <v>0.0</v>
      </c>
      <c r="H6085" s="3">
        <v>0.0</v>
      </c>
      <c r="I6085" s="3" t="s">
        <v>13</v>
      </c>
      <c r="J6085" s="3" t="s">
        <v>17487</v>
      </c>
      <c r="K6085" s="3" t="s">
        <v>791</v>
      </c>
      <c r="L6085" s="3" t="str">
        <f>IFERROR(__xludf.DUMMYFUNCTION("GOOGLETRANSLATE(F6085,""id"",""en"")"),"FIFA BRAZIL World Champion Country, Italian Germany Kali Uruguay Kali Kali Britain Spain French Kali Argentina Kali Kali Indonesia Times Times")</f>
        <v>FIFA BRAZIL World Champion Country, Italian Germany Kali Uruguay Kali Kali Britain Spain French Kali Argentina Kali Kali Indonesia Times Times</v>
      </c>
    </row>
    <row r="6086" ht="15.75" customHeight="1">
      <c r="A6086" s="1">
        <v>7271.0</v>
      </c>
      <c r="B6086" s="3" t="s">
        <v>17488</v>
      </c>
      <c r="C6086" s="3">
        <v>0.0</v>
      </c>
      <c r="D6086" s="3">
        <v>0.0</v>
      </c>
      <c r="E6086" s="3">
        <v>2.0</v>
      </c>
      <c r="F6086" s="3" t="s">
        <v>17489</v>
      </c>
      <c r="G6086" s="3">
        <v>0.3333333333333333</v>
      </c>
      <c r="H6086" s="3">
        <v>0.1666666666666667</v>
      </c>
      <c r="I6086" s="3" t="s">
        <v>48</v>
      </c>
      <c r="J6086" s="3" t="s">
        <v>17490</v>
      </c>
      <c r="K6086" s="3" t="s">
        <v>15</v>
      </c>
      <c r="L6086" s="3" t="str">
        <f>IFERROR(__xludf.DUMMYFUNCTION("GOOGLETRANSLATE(F6086,""id"",""en"")"),"Playing FIFA using Argentina turns out to be delicious too, you can also win the championship")</f>
        <v>Playing FIFA using Argentina turns out to be delicious too, you can also win the championship</v>
      </c>
    </row>
    <row r="6087" ht="15.75" customHeight="1">
      <c r="A6087" s="1">
        <v>7272.0</v>
      </c>
      <c r="B6087" s="3" t="s">
        <v>17491</v>
      </c>
      <c r="C6087" s="3">
        <v>9.0</v>
      </c>
      <c r="D6087" s="3">
        <v>9.0</v>
      </c>
      <c r="E6087" s="3">
        <v>73.0</v>
      </c>
      <c r="F6087" s="3" t="s">
        <v>17492</v>
      </c>
      <c r="G6087" s="3">
        <v>0.0</v>
      </c>
      <c r="H6087" s="3">
        <v>0.0</v>
      </c>
      <c r="I6087" s="3" t="s">
        <v>13</v>
      </c>
      <c r="J6087" s="3" t="s">
        <v>17493</v>
      </c>
      <c r="K6087" s="3" t="s">
        <v>348</v>
      </c>
      <c r="L6087" s="3" t="str">
        <f>IFERROR(__xludf.DUMMYFUNCTION("GOOGLETRANSLATE(F6087,""id"",""en"")"),"Brazilian legend Ronaldinho feels very confident that Lionel Messi will win Ballon after successfully bringing Argentina to win the World Cup will this happen")</f>
        <v>Brazilian legend Ronaldinho feels very confident that Lionel Messi will win Ballon after successfully bringing Argentina to win the World Cup will this happen</v>
      </c>
    </row>
    <row r="6088" ht="15.75" customHeight="1">
      <c r="A6088" s="1">
        <v>7273.0</v>
      </c>
      <c r="B6088" s="3" t="s">
        <v>17494</v>
      </c>
      <c r="C6088" s="3">
        <v>2.0</v>
      </c>
      <c r="D6088" s="3">
        <v>0.0</v>
      </c>
      <c r="E6088" s="3">
        <v>2.0</v>
      </c>
      <c r="F6088" s="3" t="s">
        <v>17495</v>
      </c>
      <c r="G6088" s="3">
        <v>0.0</v>
      </c>
      <c r="H6088" s="3">
        <v>0.0</v>
      </c>
      <c r="I6088" s="3" t="s">
        <v>13</v>
      </c>
      <c r="J6088" s="3" t="s">
        <v>17496</v>
      </c>
      <c r="K6088" s="3" t="s">
        <v>228</v>
      </c>
      <c r="L6088" s="3" t="str">
        <f>IFERROR(__xludf.DUMMYFUNCTION("GOOGLETRANSLATE(F6088,""id"",""en"")"),"I just want to tell us, our hero after my father left the Argentine League champions Copa finalism and finally it was not my hero, but the hero of my father, Milan, the Serie Champion again, if the year was a beautiful year if he was given the opportunity"&amp;" for another year")</f>
        <v>I just want to tell us, our hero after my father left the Argentine League champions Copa finalism and finally it was not my hero, but the hero of my father, Milan, the Serie Champion again, if the year was a beautiful year if he was given the opportunity for another year</v>
      </c>
    </row>
    <row r="6089" ht="15.75" customHeight="1">
      <c r="A6089" s="1">
        <v>7274.0</v>
      </c>
      <c r="B6089" s="3" t="s">
        <v>17497</v>
      </c>
      <c r="C6089" s="3">
        <v>0.0</v>
      </c>
      <c r="D6089" s="3">
        <v>0.0</v>
      </c>
      <c r="E6089" s="3">
        <v>0.0</v>
      </c>
      <c r="F6089" s="3" t="s">
        <v>17497</v>
      </c>
      <c r="G6089" s="3">
        <v>0.0</v>
      </c>
      <c r="H6089" s="3">
        <v>0.0</v>
      </c>
      <c r="I6089" s="3" t="s">
        <v>13</v>
      </c>
      <c r="J6089" s="3" t="s">
        <v>17498</v>
      </c>
      <c r="K6089" s="3" t="s">
        <v>31</v>
      </c>
      <c r="L6089" s="3" t="str">
        <f>IFERROR(__xludf.DUMMYFUNCTION("GOOGLETRANSLATE(F6089,""id"",""en"")"),"Why is it still not accept Argentina Champion")</f>
        <v>Why is it still not accept Argentina Champion</v>
      </c>
    </row>
    <row r="6090" ht="15.75" customHeight="1">
      <c r="A6090" s="1">
        <v>7275.0</v>
      </c>
      <c r="B6090" s="3" t="s">
        <v>17499</v>
      </c>
      <c r="C6090" s="3">
        <v>0.0</v>
      </c>
      <c r="D6090" s="3">
        <v>1.0</v>
      </c>
      <c r="E6090" s="3">
        <v>0.0</v>
      </c>
      <c r="F6090" s="3" t="s">
        <v>17500</v>
      </c>
      <c r="G6090" s="3">
        <v>0.0</v>
      </c>
      <c r="H6090" s="3">
        <v>0.0</v>
      </c>
      <c r="I6090" s="3" t="s">
        <v>13</v>
      </c>
      <c r="J6090" s="3" t="s">
        <v>17501</v>
      </c>
      <c r="K6090" s="3" t="s">
        <v>19</v>
      </c>
      <c r="L6090" s="3" t="str">
        <f>IFERROR(__xludf.DUMMYFUNCTION("GOOGLETRANSLATE(F6090,""id"",""en"")"),"Bring Argentina The World Cup Champion Messi's face is proposed to stick to the peso currency")</f>
        <v>Bring Argentina The World Cup Champion Messi's face is proposed to stick to the peso currency</v>
      </c>
    </row>
    <row r="6091" ht="15.75" customHeight="1">
      <c r="A6091" s="1">
        <v>7276.0</v>
      </c>
      <c r="B6091" s="3" t="s">
        <v>17502</v>
      </c>
      <c r="C6091" s="3">
        <v>0.0</v>
      </c>
      <c r="D6091" s="3">
        <v>0.0</v>
      </c>
      <c r="E6091" s="3">
        <v>5.0</v>
      </c>
      <c r="F6091" s="3" t="s">
        <v>17503</v>
      </c>
      <c r="G6091" s="3">
        <v>0.0</v>
      </c>
      <c r="H6091" s="3">
        <v>0.0</v>
      </c>
      <c r="I6091" s="3" t="s">
        <v>13</v>
      </c>
      <c r="J6091" s="3" t="s">
        <v>17504</v>
      </c>
      <c r="K6091" s="3" t="s">
        <v>603</v>
      </c>
      <c r="L6091" s="3" t="str">
        <f>IFERROR(__xludf.DUMMYFUNCTION("GOOGLETRANSLATE(F6091,""id"",""en"")"),"If this is clear the moment of the world champion is printed by Bank Negara Argentina, not a class of state marriage souvenirs as a souvenir printing company")</f>
        <v>If this is clear the moment of the world champion is printed by Bank Negara Argentina, not a class of state marriage souvenirs as a souvenir printing company</v>
      </c>
    </row>
    <row r="6092" ht="15.75" customHeight="1">
      <c r="A6092" s="1">
        <v>7277.0</v>
      </c>
      <c r="B6092" s="3" t="s">
        <v>17505</v>
      </c>
      <c r="C6092" s="3">
        <v>0.0</v>
      </c>
      <c r="D6092" s="3">
        <v>0.0</v>
      </c>
      <c r="E6092" s="3">
        <v>6.0</v>
      </c>
      <c r="F6092" s="3" t="s">
        <v>17506</v>
      </c>
      <c r="G6092" s="3">
        <v>0.0</v>
      </c>
      <c r="H6092" s="3">
        <v>0.0</v>
      </c>
      <c r="I6092" s="3" t="s">
        <v>13</v>
      </c>
      <c r="J6092" s="3" t="s">
        <v>17507</v>
      </c>
      <c r="K6092" s="3" t="s">
        <v>682</v>
      </c>
      <c r="L6092" s="3" t="str">
        <f>IFERROR(__xludf.DUMMYFUNCTION("GOOGLETRANSLATE(F6092,""id"",""en"")"),"In the past, Messi had been said that as long as he had Argentina Argentina would be a champion because he was only good at the club, Messi used to be very consistent and but it was difficult to win the World Cup from Messi to answer all criticisms if Mes"&amp;"si could be a minion.")</f>
        <v>In the past, Messi had been said that as long as he had Argentina Argentina would be a champion because he was only good at the club, Messi used to be very consistent and but it was difficult to win the World Cup from Messi to answer all criticisms if Messi could be a minion.</v>
      </c>
    </row>
    <row r="6093" ht="15.75" customHeight="1">
      <c r="A6093" s="1">
        <v>7278.0</v>
      </c>
      <c r="B6093" s="3" t="s">
        <v>17508</v>
      </c>
      <c r="C6093" s="3">
        <v>2.0</v>
      </c>
      <c r="D6093" s="3">
        <v>0.0</v>
      </c>
      <c r="E6093" s="3">
        <v>10.0</v>
      </c>
      <c r="F6093" s="3" t="s">
        <v>17509</v>
      </c>
      <c r="G6093" s="3">
        <v>0.0</v>
      </c>
      <c r="H6093" s="3">
        <v>0.0</v>
      </c>
      <c r="I6093" s="3" t="s">
        <v>13</v>
      </c>
      <c r="J6093" s="3" t="s">
        <v>17510</v>
      </c>
      <c r="K6093" s="3" t="s">
        <v>31</v>
      </c>
      <c r="L6093" s="3" t="str">
        <f>IFERROR(__xludf.DUMMYFUNCTION("GOOGLETRANSLATE(F6093,""id"",""en"")"),"Put Ronaldo Argentina also won't be a champion")</f>
        <v>Put Ronaldo Argentina also won't be a champion</v>
      </c>
    </row>
    <row r="6094" ht="15.75" customHeight="1">
      <c r="A6094" s="1">
        <v>7279.0</v>
      </c>
      <c r="B6094" s="3" t="s">
        <v>17511</v>
      </c>
      <c r="C6094" s="3">
        <v>0.0</v>
      </c>
      <c r="D6094" s="3">
        <v>0.0</v>
      </c>
      <c r="E6094" s="3">
        <v>0.0</v>
      </c>
      <c r="F6094" s="3" t="s">
        <v>17512</v>
      </c>
      <c r="G6094" s="3">
        <v>0.0</v>
      </c>
      <c r="H6094" s="3">
        <v>0.0</v>
      </c>
      <c r="I6094" s="3" t="s">
        <v>13</v>
      </c>
      <c r="J6094" s="3" t="s">
        <v>17513</v>
      </c>
      <c r="K6094" s="3" t="s">
        <v>127</v>
      </c>
      <c r="L6094" s="3" t="str">
        <f>IFERROR(__xludf.DUMMYFUNCTION("GOOGLETRANSLATE(F6094,""id"",""en"")"),"In addition to the fantastic prizes given to the Argentine team as the World Cup champion they also got a trophy that has a very valuable value, click the link")</f>
        <v>In addition to the fantastic prizes given to the Argentine team as the World Cup champion they also got a trophy that has a very valuable value, click the link</v>
      </c>
    </row>
    <row r="6095" ht="15.75" customHeight="1">
      <c r="A6095" s="1">
        <v>7280.0</v>
      </c>
      <c r="B6095" s="3" t="s">
        <v>17514</v>
      </c>
      <c r="C6095" s="3">
        <v>0.0</v>
      </c>
      <c r="D6095" s="3">
        <v>0.0</v>
      </c>
      <c r="E6095" s="3">
        <v>0.0</v>
      </c>
      <c r="F6095" s="3" t="s">
        <v>17515</v>
      </c>
      <c r="G6095" s="3">
        <v>0.0</v>
      </c>
      <c r="H6095" s="3">
        <v>0.0</v>
      </c>
      <c r="I6095" s="3" t="s">
        <v>13</v>
      </c>
      <c r="J6095" s="3" t="s">
        <v>17516</v>
      </c>
      <c r="K6095" s="3" t="s">
        <v>495</v>
      </c>
      <c r="L6095" s="3" t="str">
        <f>IFERROR(__xludf.DUMMYFUNCTION("GOOGLETRANSLATE(F6095,""id"",""en"")"),"Emqngb hasn't imagined that all Argentine players play the South American club, they will be their champions forged by competitive European football")</f>
        <v>Emqngb hasn't imagined that all Argentine players play the South American club, they will be their champions forged by competitive European football</v>
      </c>
    </row>
    <row r="6096" ht="15.75" customHeight="1">
      <c r="A6096" s="1">
        <v>7281.0</v>
      </c>
      <c r="B6096" s="3" t="s">
        <v>17517</v>
      </c>
      <c r="C6096" s="3">
        <v>0.0</v>
      </c>
      <c r="D6096" s="3">
        <v>0.0</v>
      </c>
      <c r="E6096" s="3">
        <v>0.0</v>
      </c>
      <c r="F6096" s="3" t="s">
        <v>17518</v>
      </c>
      <c r="G6096" s="3">
        <v>0.0</v>
      </c>
      <c r="H6096" s="3">
        <v>0.0</v>
      </c>
      <c r="I6096" s="3" t="s">
        <v>13</v>
      </c>
      <c r="J6096" s="3" t="s">
        <v>17519</v>
      </c>
      <c r="K6096" s="3" t="s">
        <v>50</v>
      </c>
      <c r="L6096" s="3" t="str">
        <f>IFERROR(__xludf.DUMMYFUNCTION("GOOGLETRANSLATE(F6096,""id"",""en"")"),"Argentine National Team Welcoming Party Champion World Cup ended with the Bounes Aires riots")</f>
        <v>Argentine National Team Welcoming Party Champion World Cup ended with the Bounes Aires riots</v>
      </c>
    </row>
    <row r="6097" ht="15.75" customHeight="1">
      <c r="A6097" s="1">
        <v>7284.0</v>
      </c>
      <c r="B6097" s="3" t="s">
        <v>17520</v>
      </c>
      <c r="C6097" s="3">
        <v>0.0</v>
      </c>
      <c r="D6097" s="3">
        <v>0.0</v>
      </c>
      <c r="E6097" s="3">
        <v>0.0</v>
      </c>
      <c r="F6097" s="3" t="s">
        <v>17521</v>
      </c>
      <c r="G6097" s="3">
        <v>0.0</v>
      </c>
      <c r="H6097" s="3">
        <v>0.0</v>
      </c>
      <c r="I6097" s="3" t="s">
        <v>13</v>
      </c>
      <c r="J6097" s="3" t="s">
        <v>17522</v>
      </c>
      <c r="K6097" s="3" t="s">
        <v>491</v>
      </c>
      <c r="L6097" s="3" t="str">
        <f>IFERROR(__xludf.DUMMYFUNCTION("GOOGLETRANSLATE(F6097,""id"",""en"")"),"This year is the hardest year but after seeing Argentina the champion with a very hard struggle I became better motivated this year")</f>
        <v>This year is the hardest year but after seeing Argentina the champion with a very hard struggle I became better motivated this year</v>
      </c>
    </row>
    <row r="6098" ht="15.75" customHeight="1">
      <c r="A6098" s="1">
        <v>7285.0</v>
      </c>
      <c r="B6098" s="3" t="s">
        <v>17523</v>
      </c>
      <c r="C6098" s="3">
        <v>0.0</v>
      </c>
      <c r="D6098" s="3">
        <v>0.0</v>
      </c>
      <c r="E6098" s="3">
        <v>1.0</v>
      </c>
      <c r="F6098" s="3" t="s">
        <v>17524</v>
      </c>
      <c r="G6098" s="3">
        <v>0.0</v>
      </c>
      <c r="H6098" s="3">
        <v>0.0</v>
      </c>
      <c r="I6098" s="3" t="s">
        <v>13</v>
      </c>
      <c r="J6098" s="3" t="s">
        <v>17525</v>
      </c>
      <c r="K6098" s="3" t="s">
        <v>19</v>
      </c>
      <c r="L6098" s="3" t="str">
        <f>IFERROR(__xludf.DUMMYFUNCTION("GOOGLETRANSLATE(F6098,""id"",""en"")"),"Argentina Champion Messi Becomes the Best Player of All Time For Complete Click the Image below")</f>
        <v>Argentina Champion Messi Becomes the Best Player of All Time For Complete Click the Image below</v>
      </c>
    </row>
    <row r="6099" ht="15.75" customHeight="1">
      <c r="A6099" s="1">
        <v>7286.0</v>
      </c>
      <c r="B6099" s="3" t="s">
        <v>17526</v>
      </c>
      <c r="C6099" s="3">
        <v>1.0</v>
      </c>
      <c r="D6099" s="3">
        <v>0.0</v>
      </c>
      <c r="E6099" s="3">
        <v>0.0</v>
      </c>
      <c r="F6099" s="3" t="s">
        <v>17527</v>
      </c>
      <c r="G6099" s="3">
        <v>1.0</v>
      </c>
      <c r="H6099" s="3">
        <v>0.0</v>
      </c>
      <c r="I6099" s="3" t="s">
        <v>13</v>
      </c>
      <c r="J6099" s="3" t="s">
        <v>17528</v>
      </c>
      <c r="K6099" s="3" t="s">
        <v>75</v>
      </c>
      <c r="L6099" s="3" t="str">
        <f>IFERROR(__xludf.DUMMYFUNCTION("GOOGLETRANSLATE(F6099,""id"",""en"")"),"Although Argentina champions under the command of Messi the most contributing Maria's final")</f>
        <v>Although Argentina champions under the command of Messi the most contributing Maria's final</v>
      </c>
    </row>
    <row r="6100" ht="15.75" customHeight="1">
      <c r="A6100" s="1">
        <v>7287.0</v>
      </c>
      <c r="B6100" s="3" t="s">
        <v>17529</v>
      </c>
      <c r="C6100" s="3">
        <v>1.0</v>
      </c>
      <c r="D6100" s="3">
        <v>0.0</v>
      </c>
      <c r="E6100" s="3">
        <v>14.0</v>
      </c>
      <c r="F6100" s="3" t="s">
        <v>17530</v>
      </c>
      <c r="G6100" s="3">
        <v>0.0</v>
      </c>
      <c r="H6100" s="3">
        <v>0.0</v>
      </c>
      <c r="I6100" s="3" t="s">
        <v>13</v>
      </c>
      <c r="J6100" s="3" t="s">
        <v>17531</v>
      </c>
      <c r="K6100" s="3" t="s">
        <v>35</v>
      </c>
      <c r="L6100" s="3" t="str">
        <f>IFERROR(__xludf.DUMMYFUNCTION("GOOGLETRANSLATE(F6100,""id"",""en"")"),"Taro Ronaldo Argentina is not necessarily champion even though this time the Portuguese player material over Argentina wkwkwk")</f>
        <v>Taro Ronaldo Argentina is not necessarily champion even though this time the Portuguese player material over Argentina wkwkwk</v>
      </c>
    </row>
    <row r="6101" ht="15.75" customHeight="1">
      <c r="A6101" s="1">
        <v>7288.0</v>
      </c>
      <c r="B6101" s="3" t="s">
        <v>17532</v>
      </c>
      <c r="C6101" s="3">
        <v>0.0</v>
      </c>
      <c r="D6101" s="3">
        <v>0.0</v>
      </c>
      <c r="E6101" s="3">
        <v>0.0</v>
      </c>
      <c r="F6101" s="3" t="s">
        <v>17533</v>
      </c>
      <c r="G6101" s="3">
        <v>0.0</v>
      </c>
      <c r="H6101" s="3">
        <v>0.0</v>
      </c>
      <c r="I6101" s="3" t="s">
        <v>13</v>
      </c>
      <c r="J6101" s="3" t="s">
        <v>17534</v>
      </c>
      <c r="K6101" s="3" t="s">
        <v>41</v>
      </c>
      <c r="L6101" s="3" t="str">
        <f>IFERROR(__xludf.DUMMYFUNCTION("GOOGLETRANSLATE(F6101,""id"",""en"")"),"who won the Argentina World Cup but the contents of Tiktok Bang Dodo's Twitter")</f>
        <v>who won the Argentina World Cup but the contents of Tiktok Bang Dodo's Twitter</v>
      </c>
    </row>
    <row r="6102" ht="15.75" customHeight="1">
      <c r="A6102" s="1">
        <v>7289.0</v>
      </c>
      <c r="B6102" s="3" t="s">
        <v>17535</v>
      </c>
      <c r="C6102" s="3">
        <v>1.0</v>
      </c>
      <c r="D6102" s="3">
        <v>0.0</v>
      </c>
      <c r="E6102" s="3">
        <v>6.0</v>
      </c>
      <c r="F6102" s="3" t="s">
        <v>17536</v>
      </c>
      <c r="G6102" s="3">
        <v>0.0</v>
      </c>
      <c r="H6102" s="3">
        <v>0.0</v>
      </c>
      <c r="I6102" s="3" t="s">
        <v>13</v>
      </c>
      <c r="J6102" s="3" t="s">
        <v>17537</v>
      </c>
      <c r="K6102" s="3" t="s">
        <v>75</v>
      </c>
      <c r="L6102" s="3" t="str">
        <f>IFERROR(__xludf.DUMMYFUNCTION("GOOGLETRANSLATE(F6102,""id"",""en"")"),"Taro Ronaldo Argentina is not necessarily champion wkwk pdhal materially Portuguese players are all good")</f>
        <v>Taro Ronaldo Argentina is not necessarily champion wkwk pdhal materially Portuguese players are all good</v>
      </c>
    </row>
    <row r="6103" ht="15.75" customHeight="1">
      <c r="A6103" s="1">
        <v>7290.0</v>
      </c>
      <c r="B6103" s="3" t="s">
        <v>17538</v>
      </c>
      <c r="C6103" s="3">
        <v>0.0</v>
      </c>
      <c r="D6103" s="3">
        <v>0.0</v>
      </c>
      <c r="E6103" s="3">
        <v>1.0</v>
      </c>
      <c r="F6103" s="3" t="s">
        <v>17539</v>
      </c>
      <c r="G6103" s="3">
        <v>0.0</v>
      </c>
      <c r="H6103" s="3">
        <v>0.0</v>
      </c>
      <c r="I6103" s="3" t="s">
        <v>13</v>
      </c>
      <c r="J6103" s="3" t="s">
        <v>17540</v>
      </c>
      <c r="K6103" s="3" t="s">
        <v>495</v>
      </c>
      <c r="L6103" s="3" t="str">
        <f>IFERROR(__xludf.DUMMYFUNCTION("GOOGLETRANSLATE(F6103,""id"",""en"")"),"crazy tenan even though anis ngibul but the reception of Messi and his team for the success of becoming world champions by the Argentine people")</f>
        <v>crazy tenan even though anis ngibul but the reception of Messi and his team for the success of becoming world champions by the Argentine people</v>
      </c>
    </row>
    <row r="6104" ht="15.75" customHeight="1">
      <c r="A6104" s="1">
        <v>7291.0</v>
      </c>
      <c r="B6104" s="3" t="s">
        <v>17541</v>
      </c>
      <c r="C6104" s="3">
        <v>0.0</v>
      </c>
      <c r="D6104" s="3">
        <v>0.0</v>
      </c>
      <c r="E6104" s="3">
        <v>0.0</v>
      </c>
      <c r="F6104" s="3" t="s">
        <v>17542</v>
      </c>
      <c r="G6104" s="3">
        <v>0.0</v>
      </c>
      <c r="H6104" s="3">
        <v>0.0</v>
      </c>
      <c r="I6104" s="3" t="s">
        <v>13</v>
      </c>
      <c r="J6104" s="3" t="s">
        <v>17543</v>
      </c>
      <c r="K6104" s="3" t="s">
        <v>765</v>
      </c>
      <c r="L6104" s="3" t="str">
        <f>IFERROR(__xludf.DUMMYFUNCTION("GOOGLETRANSLATE(F6104,""id"",""en"")"),"The champion means if for example the price of a million girl apart the rest is so dear btw dly apart detan juanda joint station with a female friend he even only had to pick him up")</f>
        <v>The champion means if for example the price of a million girl apart the rest is so dear btw dly apart detan juanda joint station with a female friend he even only had to pick him up</v>
      </c>
    </row>
    <row r="6105" ht="15.75" customHeight="1">
      <c r="A6105" s="1">
        <v>7292.0</v>
      </c>
      <c r="B6105" s="3" t="s">
        <v>17544</v>
      </c>
      <c r="C6105" s="3">
        <v>12.0</v>
      </c>
      <c r="D6105" s="3">
        <v>24.0</v>
      </c>
      <c r="E6105" s="3">
        <v>219.0</v>
      </c>
      <c r="F6105" s="3" t="s">
        <v>17545</v>
      </c>
      <c r="G6105" s="3">
        <v>0.0</v>
      </c>
      <c r="H6105" s="3">
        <v>0.0</v>
      </c>
      <c r="I6105" s="3" t="s">
        <v>13</v>
      </c>
      <c r="J6105" s="3" t="s">
        <v>17546</v>
      </c>
      <c r="K6105" s="3" t="s">
        <v>165</v>
      </c>
      <c r="L6105" s="3" t="str">
        <f>IFERROR(__xludf.DUMMYFUNCTION("GOOGLETRANSLATE(F6105,""id"",""en"")"),"Messi Blue Money The Argentina Central Bank plans to use Messi's photo as the latest printed money icon to respect the services of Argentina who won the championship of the Pildun, hopefully it can lift the Argentine economy which is being hit by a crisis"&amp;" via via")</f>
        <v>Messi Blue Money The Argentina Central Bank plans to use Messi's photo as the latest printed money icon to respect the services of Argentina who won the championship of the Pildun, hopefully it can lift the Argentine economy which is being hit by a crisis via via</v>
      </c>
    </row>
    <row r="6106" ht="15.75" customHeight="1">
      <c r="A6106" s="1">
        <v>7293.0</v>
      </c>
      <c r="B6106" s="3" t="s">
        <v>17547</v>
      </c>
      <c r="C6106" s="3">
        <v>0.0</v>
      </c>
      <c r="D6106" s="3">
        <v>0.0</v>
      </c>
      <c r="E6106" s="3">
        <v>1.0</v>
      </c>
      <c r="F6106" s="3" t="s">
        <v>17548</v>
      </c>
      <c r="G6106" s="3">
        <v>0.6666666666666666</v>
      </c>
      <c r="H6106" s="3">
        <v>-0.6999999999999998</v>
      </c>
      <c r="I6106" s="3" t="s">
        <v>179</v>
      </c>
      <c r="J6106" s="3" t="s">
        <v>17549</v>
      </c>
      <c r="K6106" s="3" t="s">
        <v>31</v>
      </c>
      <c r="L6106" s="3" t="str">
        <f>IFERROR(__xludf.DUMMYFUNCTION("GOOGLETRANSLATE(F6106,""id"",""en"")"),"Argentina helped the rest of the rest")</f>
        <v>Argentina helped the rest of the rest</v>
      </c>
    </row>
    <row r="6107" ht="15.75" customHeight="1">
      <c r="A6107" s="1">
        <v>7294.0</v>
      </c>
      <c r="B6107" s="3" t="s">
        <v>17550</v>
      </c>
      <c r="C6107" s="3">
        <v>0.0</v>
      </c>
      <c r="D6107" s="3">
        <v>0.0</v>
      </c>
      <c r="E6107" s="3">
        <v>0.0</v>
      </c>
      <c r="F6107" s="3" t="s">
        <v>17551</v>
      </c>
      <c r="G6107" s="3">
        <v>0.0</v>
      </c>
      <c r="H6107" s="3">
        <v>0.0</v>
      </c>
      <c r="I6107" s="3" t="s">
        <v>13</v>
      </c>
      <c r="J6107" s="3" t="s">
        <v>17552</v>
      </c>
      <c r="K6107" s="3" t="s">
        <v>15</v>
      </c>
      <c r="L6107" s="3" t="str">
        <f>IFERROR(__xludf.DUMMYFUNCTION("GOOGLETRANSLATE(F6107,""id"",""en"")"),"Argentina World Cup Champion Home Buenos Aires who is happy")</f>
        <v>Argentina World Cup Champion Home Buenos Aires who is happy</v>
      </c>
    </row>
    <row r="6108" ht="15.75" customHeight="1">
      <c r="A6108" s="1">
        <v>7295.0</v>
      </c>
      <c r="B6108" s="3" t="s">
        <v>17553</v>
      </c>
      <c r="C6108" s="3">
        <v>0.0</v>
      </c>
      <c r="D6108" s="3">
        <v>0.0</v>
      </c>
      <c r="E6108" s="3">
        <v>1.0</v>
      </c>
      <c r="F6108" s="3" t="s">
        <v>17554</v>
      </c>
      <c r="G6108" s="3">
        <v>0.0</v>
      </c>
      <c r="H6108" s="3">
        <v>0.0</v>
      </c>
      <c r="I6108" s="3" t="s">
        <v>13</v>
      </c>
      <c r="J6108" s="3" t="s">
        <v>17555</v>
      </c>
      <c r="K6108" s="3" t="s">
        <v>41</v>
      </c>
      <c r="L6108" s="3" t="str">
        <f>IFERROR(__xludf.DUMMYFUNCTION("GOOGLETRANSLATE(F6108,""id"",""en"")"),"Argentina Champion World Cup Donna Agnesia hopes his child can be like Messi")</f>
        <v>Argentina Champion World Cup Donna Agnesia hopes his child can be like Messi</v>
      </c>
    </row>
    <row r="6109" ht="15.75" customHeight="1">
      <c r="A6109" s="1">
        <v>7296.0</v>
      </c>
      <c r="B6109" s="3" t="s">
        <v>17556</v>
      </c>
      <c r="C6109" s="3">
        <v>0.0</v>
      </c>
      <c r="D6109" s="3">
        <v>0.0</v>
      </c>
      <c r="E6109" s="3">
        <v>0.0</v>
      </c>
      <c r="F6109" s="3" t="s">
        <v>17557</v>
      </c>
      <c r="G6109" s="3">
        <v>0.0</v>
      </c>
      <c r="H6109" s="3">
        <v>0.0</v>
      </c>
      <c r="I6109" s="3" t="s">
        <v>13</v>
      </c>
      <c r="J6109" s="3" t="s">
        <v>17558</v>
      </c>
      <c r="K6109" s="3" t="s">
        <v>54</v>
      </c>
      <c r="L6109" s="3" t="str">
        <f>IFERROR(__xludf.DUMMYFUNCTION("GOOGLETRANSLATE(F6109,""id"",""en"")"),"Argentina national team finally champions of the World Cup")</f>
        <v>Argentina national team finally champions of the World Cup</v>
      </c>
    </row>
    <row r="6110" ht="15.75" customHeight="1">
      <c r="A6110" s="1">
        <v>7297.0</v>
      </c>
      <c r="B6110" s="3" t="s">
        <v>17559</v>
      </c>
      <c r="C6110" s="3">
        <v>1.0</v>
      </c>
      <c r="D6110" s="3">
        <v>0.0</v>
      </c>
      <c r="E6110" s="3">
        <v>0.0</v>
      </c>
      <c r="F6110" s="3" t="s">
        <v>17560</v>
      </c>
      <c r="G6110" s="3">
        <v>0.0</v>
      </c>
      <c r="H6110" s="3">
        <v>0.0</v>
      </c>
      <c r="I6110" s="3" t="s">
        <v>13</v>
      </c>
      <c r="J6110" s="3" t="s">
        <v>17561</v>
      </c>
      <c r="K6110" s="3" t="s">
        <v>31</v>
      </c>
      <c r="L6110" s="3" t="str">
        <f>IFERROR(__xludf.DUMMYFUNCTION("GOOGLETRANSLATE(F6110,""id"",""en"")"),"Yedam Is Not Thanksgiving Argentina Champion")</f>
        <v>Yedam Is Not Thanksgiving Argentina Champion</v>
      </c>
    </row>
    <row r="6111" ht="15.75" customHeight="1">
      <c r="A6111" s="1">
        <v>7298.0</v>
      </c>
      <c r="B6111" s="3" t="s">
        <v>17562</v>
      </c>
      <c r="C6111" s="3">
        <v>0.0</v>
      </c>
      <c r="D6111" s="3">
        <v>0.0</v>
      </c>
      <c r="E6111" s="3">
        <v>0.0</v>
      </c>
      <c r="F6111" s="3" t="s">
        <v>17563</v>
      </c>
      <c r="G6111" s="3">
        <v>0.0</v>
      </c>
      <c r="H6111" s="3">
        <v>0.0</v>
      </c>
      <c r="I6111" s="3" t="s">
        <v>13</v>
      </c>
      <c r="J6111" s="3" t="s">
        <v>17564</v>
      </c>
      <c r="K6111" s="3" t="s">
        <v>82</v>
      </c>
      <c r="L6111" s="3" t="str">
        <f>IFERROR(__xludf.DUMMYFUNCTION("GOOGLETRANSLATE(F6111,""id"",""en"")"),"When Argentina Champion Party House Dia Night Day")</f>
        <v>When Argentina Champion Party House Dia Night Day</v>
      </c>
    </row>
    <row r="6112" ht="15.75" customHeight="1">
      <c r="A6112" s="1">
        <v>7299.0</v>
      </c>
      <c r="B6112" s="3" t="s">
        <v>17565</v>
      </c>
      <c r="C6112" s="3">
        <v>6.0</v>
      </c>
      <c r="D6112" s="3">
        <v>8.0</v>
      </c>
      <c r="E6112" s="3">
        <v>71.0</v>
      </c>
      <c r="F6112" s="3" t="s">
        <v>17566</v>
      </c>
      <c r="G6112" s="3">
        <v>0.25</v>
      </c>
      <c r="H6112" s="3">
        <v>0.0</v>
      </c>
      <c r="I6112" s="3" t="s">
        <v>13</v>
      </c>
      <c r="J6112" s="3" t="s">
        <v>17567</v>
      </c>
      <c r="K6112" s="3" t="s">
        <v>657</v>
      </c>
      <c r="L6112" s="3" t="str">
        <f>IFERROR(__xludf.DUMMYFUNCTION("GOOGLETRANSLATE(F6112,""id"",""en"")"),"again considered by BCA Bank Central Argentina there will be fragments")</f>
        <v>again considered by BCA Bank Central Argentina there will be fragments</v>
      </c>
    </row>
    <row r="6113" ht="15.75" customHeight="1">
      <c r="A6113" s="1">
        <v>7300.0</v>
      </c>
      <c r="B6113" s="3" t="s">
        <v>17568</v>
      </c>
      <c r="C6113" s="3">
        <v>0.0</v>
      </c>
      <c r="D6113" s="3">
        <v>0.0</v>
      </c>
      <c r="E6113" s="3">
        <v>0.0</v>
      </c>
      <c r="F6113" s="3" t="s">
        <v>17569</v>
      </c>
      <c r="G6113" s="3">
        <v>0.0</v>
      </c>
      <c r="H6113" s="3">
        <v>0.0</v>
      </c>
      <c r="I6113" s="3" t="s">
        <v>13</v>
      </c>
      <c r="J6113" s="3" t="s">
        <v>17570</v>
      </c>
      <c r="K6113" s="3" t="s">
        <v>2117</v>
      </c>
      <c r="L6113" s="3" t="str">
        <f>IFERROR(__xludf.DUMMYFUNCTION("GOOGLETRANSLATE(F6113,""id"",""en"")"),"try news to make samperin")</f>
        <v>try news to make samperin</v>
      </c>
    </row>
    <row r="6114" ht="15.75" customHeight="1">
      <c r="A6114" s="1">
        <v>7301.0</v>
      </c>
      <c r="B6114" s="3" t="s">
        <v>17571</v>
      </c>
      <c r="C6114" s="3">
        <v>0.0</v>
      </c>
      <c r="D6114" s="3">
        <v>0.0</v>
      </c>
      <c r="E6114" s="3">
        <v>0.0</v>
      </c>
      <c r="F6114" s="3" t="s">
        <v>17572</v>
      </c>
      <c r="G6114" s="3">
        <v>0.0</v>
      </c>
      <c r="H6114" s="3">
        <v>0.0</v>
      </c>
      <c r="I6114" s="3" t="s">
        <v>13</v>
      </c>
      <c r="J6114" s="3" t="s">
        <v>17573</v>
      </c>
      <c r="K6114" s="3" t="s">
        <v>2117</v>
      </c>
      <c r="L6114" s="3" t="str">
        <f>IFERROR(__xludf.DUMMYFUNCTION("GOOGLETRANSLATE(F6114,""id"",""en"")"),"here is the most jagoo")</f>
        <v>here is the most jagoo</v>
      </c>
    </row>
    <row r="6115" ht="15.75" customHeight="1">
      <c r="A6115" s="1">
        <v>7302.0</v>
      </c>
      <c r="B6115" s="3" t="s">
        <v>17574</v>
      </c>
      <c r="C6115" s="3">
        <v>0.0</v>
      </c>
      <c r="D6115" s="3">
        <v>0.0</v>
      </c>
      <c r="E6115" s="3">
        <v>0.0</v>
      </c>
      <c r="F6115" s="3" t="s">
        <v>17575</v>
      </c>
      <c r="G6115" s="3">
        <v>0.0</v>
      </c>
      <c r="H6115" s="3">
        <v>0.0</v>
      </c>
      <c r="I6115" s="3" t="s">
        <v>13</v>
      </c>
      <c r="J6115" s="3" t="s">
        <v>17576</v>
      </c>
      <c r="K6115" s="3" t="s">
        <v>82</v>
      </c>
      <c r="L6115" s="3" t="str">
        <f>IFERROR(__xludf.DUMMYFUNCTION("GOOGLETRANSLATE(F6115,""id"",""en"")"),"Emg sure you will be able to friends, surely ask for more wkwkkw")</f>
        <v>Emg sure you will be able to friends, surely ask for more wkwkkw</v>
      </c>
    </row>
    <row r="6116" ht="15.75" customHeight="1">
      <c r="A6116" s="1">
        <v>7303.0</v>
      </c>
      <c r="B6116" s="3" t="s">
        <v>17577</v>
      </c>
      <c r="C6116" s="3">
        <v>0.0</v>
      </c>
      <c r="D6116" s="3">
        <v>0.0</v>
      </c>
      <c r="E6116" s="3">
        <v>7.0</v>
      </c>
      <c r="F6116" s="3" t="s">
        <v>17578</v>
      </c>
      <c r="G6116" s="3">
        <v>0.0</v>
      </c>
      <c r="H6116" s="3">
        <v>0.0</v>
      </c>
      <c r="I6116" s="3" t="s">
        <v>13</v>
      </c>
      <c r="J6116" s="3" t="s">
        <v>17579</v>
      </c>
      <c r="K6116" s="3" t="s">
        <v>15</v>
      </c>
      <c r="L6116" s="3" t="str">
        <f>IFERROR(__xludf.DUMMYFUNCTION("GOOGLETRANSLATE(F6116,""id"",""en"")"),"The players who contributed greatly to the World Cup Argentina championship")</f>
        <v>The players who contributed greatly to the World Cup Argentina championship</v>
      </c>
    </row>
    <row r="6117" ht="15.75" customHeight="1">
      <c r="A6117" s="1">
        <v>7304.0</v>
      </c>
      <c r="B6117" s="3" t="s">
        <v>17580</v>
      </c>
      <c r="C6117" s="3">
        <v>1.0</v>
      </c>
      <c r="D6117" s="3">
        <v>20.0</v>
      </c>
      <c r="E6117" s="3">
        <v>16.0</v>
      </c>
      <c r="F6117" s="3" t="s">
        <v>17581</v>
      </c>
      <c r="G6117" s="3">
        <v>0.0</v>
      </c>
      <c r="H6117" s="3">
        <v>0.0</v>
      </c>
      <c r="I6117" s="3" t="s">
        <v>13</v>
      </c>
      <c r="J6117" s="3" t="s">
        <v>17582</v>
      </c>
      <c r="K6117" s="3" t="s">
        <v>75</v>
      </c>
      <c r="L6117" s="3" t="str">
        <f>IFERROR(__xludf.DUMMYFUNCTION("GOOGLETRANSLATE(F6117,""id"",""en"")"),"It turned out that from the beginning Airlangga Hartarto championed Argentina World Cup champions")</f>
        <v>It turned out that from the beginning Airlangga Hartarto championed Argentina World Cup champions</v>
      </c>
    </row>
    <row r="6118" ht="15.75" customHeight="1">
      <c r="A6118" s="1">
        <v>7305.0</v>
      </c>
      <c r="B6118" s="3" t="s">
        <v>17583</v>
      </c>
      <c r="C6118" s="3">
        <v>0.0</v>
      </c>
      <c r="D6118" s="3">
        <v>0.0</v>
      </c>
      <c r="E6118" s="3">
        <v>0.0</v>
      </c>
      <c r="F6118" s="3" t="s">
        <v>17584</v>
      </c>
      <c r="G6118" s="3">
        <v>0.0</v>
      </c>
      <c r="H6118" s="3">
        <v>0.0</v>
      </c>
      <c r="I6118" s="3" t="s">
        <v>13</v>
      </c>
      <c r="J6118" s="3" t="s">
        <v>17585</v>
      </c>
      <c r="K6118" s="3" t="s">
        <v>82</v>
      </c>
      <c r="L6118" s="3" t="str">
        <f>IFERROR(__xludf.DUMMYFUNCTION("GOOGLETRANSLATE(F6118,""id"",""en"")"),"Halahhh ngeyel first if Argentina champions")</f>
        <v>Halahhh ngeyel first if Argentina champions</v>
      </c>
    </row>
    <row r="6119" ht="15.75" customHeight="1">
      <c r="A6119" s="1">
        <v>7306.0</v>
      </c>
      <c r="B6119" s="3" t="s">
        <v>17586</v>
      </c>
      <c r="C6119" s="3">
        <v>1.0</v>
      </c>
      <c r="D6119" s="3">
        <v>0.0</v>
      </c>
      <c r="E6119" s="3">
        <v>0.0</v>
      </c>
      <c r="F6119" s="3" t="s">
        <v>17587</v>
      </c>
      <c r="G6119" s="3">
        <v>0.0</v>
      </c>
      <c r="H6119" s="3">
        <v>0.0</v>
      </c>
      <c r="I6119" s="3" t="s">
        <v>13</v>
      </c>
      <c r="J6119" s="3" t="s">
        <v>17588</v>
      </c>
      <c r="K6119" s="3" t="s">
        <v>633</v>
      </c>
      <c r="L6119" s="3" t="str">
        <f>IFERROR(__xludf.DUMMYFUNCTION("GOOGLETRANSLATE(F6119,""id"",""en"")"),"You say, said that the Central Jakarta apartment means the most expensive fix a million girls, the girl keeps saying the rest is to pay the logic that the price is million according to you")</f>
        <v>You say, said that the Central Jakarta apartment means the most expensive fix a million girls, the girl keeps saying the rest is to pay the logic that the price is million according to you</v>
      </c>
    </row>
    <row r="6120" ht="15.75" customHeight="1">
      <c r="A6120" s="1">
        <v>7307.0</v>
      </c>
      <c r="B6120" s="3" t="s">
        <v>17589</v>
      </c>
      <c r="C6120" s="3">
        <v>0.0</v>
      </c>
      <c r="D6120" s="3">
        <v>0.0</v>
      </c>
      <c r="E6120" s="3">
        <v>0.0</v>
      </c>
      <c r="F6120" s="3" t="s">
        <v>17590</v>
      </c>
      <c r="G6120" s="3">
        <v>0.0</v>
      </c>
      <c r="H6120" s="3">
        <v>0.0</v>
      </c>
      <c r="I6120" s="3" t="s">
        <v>13</v>
      </c>
      <c r="J6120" s="3" t="s">
        <v>17591</v>
      </c>
      <c r="K6120" s="3" t="s">
        <v>348</v>
      </c>
      <c r="L6120" s="3" t="str">
        <f>IFERROR(__xludf.DUMMYFUNCTION("GOOGLETRANSLATE(F6120,""id"",""en"")"),"Viral Chef from Turkish Salt Bae accepted the reward for his lack of acting actions that lifted and kissed the World Cup trophy when the Argentine national team championship")</f>
        <v>Viral Chef from Turkish Salt Bae accepted the reward for his lack of acting actions that lifted and kissed the World Cup trophy when the Argentine national team championship</v>
      </c>
    </row>
    <row r="6121" ht="15.75" customHeight="1">
      <c r="A6121" s="1">
        <v>7308.0</v>
      </c>
      <c r="B6121" s="3" t="s">
        <v>17592</v>
      </c>
      <c r="C6121" s="3">
        <v>1.0</v>
      </c>
      <c r="D6121" s="3">
        <v>0.0</v>
      </c>
      <c r="E6121" s="3">
        <v>0.0</v>
      </c>
      <c r="F6121" s="3" t="s">
        <v>17593</v>
      </c>
      <c r="G6121" s="3">
        <v>0.0</v>
      </c>
      <c r="H6121" s="3">
        <v>0.0</v>
      </c>
      <c r="I6121" s="3" t="s">
        <v>13</v>
      </c>
      <c r="J6121" s="3" t="s">
        <v>17594</v>
      </c>
      <c r="K6121" s="3" t="s">
        <v>2215</v>
      </c>
      <c r="L6121" s="3" t="str">
        <f>IFERROR(__xludf.DUMMYFUNCTION("GOOGLETRANSLATE(F6121,""id"",""en"")"),"The trophy is belonging to FIFA but so funny for example FIFA asks Argentina to return the trophy for violating its regulations")</f>
        <v>The trophy is belonging to FIFA but so funny for example FIFA asks Argentina to return the trophy for violating its regulations</v>
      </c>
    </row>
    <row r="6122" ht="15.75" customHeight="1">
      <c r="A6122" s="1">
        <v>7309.0</v>
      </c>
      <c r="B6122" s="3" t="s">
        <v>17595</v>
      </c>
      <c r="C6122" s="3">
        <v>0.0</v>
      </c>
      <c r="D6122" s="3">
        <v>0.0</v>
      </c>
      <c r="E6122" s="3">
        <v>3.0</v>
      </c>
      <c r="F6122" s="3" t="s">
        <v>17596</v>
      </c>
      <c r="G6122" s="3">
        <v>0.0</v>
      </c>
      <c r="H6122" s="3">
        <v>0.0</v>
      </c>
      <c r="I6122" s="3" t="s">
        <v>13</v>
      </c>
      <c r="J6122" s="3" t="s">
        <v>17597</v>
      </c>
      <c r="K6122" s="3" t="s">
        <v>510</v>
      </c>
      <c r="L6122" s="3" t="str">
        <f>IFERROR(__xludf.DUMMYFUNCTION("GOOGLETRANSLATE(F6122,""id"",""en"")"),"Argentina World Cup Champion has not been able to shift Brazil from FIFA ranking in the latest release in December")</f>
        <v>Argentina World Cup Champion has not been able to shift Brazil from FIFA ranking in the latest release in December</v>
      </c>
    </row>
    <row r="6123" ht="15.75" customHeight="1">
      <c r="A6123" s="1">
        <v>7310.0</v>
      </c>
      <c r="B6123" s="3" t="s">
        <v>17598</v>
      </c>
      <c r="C6123" s="3">
        <v>2.0</v>
      </c>
      <c r="D6123" s="3">
        <v>0.0</v>
      </c>
      <c r="E6123" s="3">
        <v>0.0</v>
      </c>
      <c r="F6123" s="3" t="s">
        <v>17599</v>
      </c>
      <c r="G6123" s="3">
        <v>0.0</v>
      </c>
      <c r="H6123" s="3">
        <v>0.0</v>
      </c>
      <c r="I6123" s="3" t="s">
        <v>13</v>
      </c>
      <c r="J6123" s="3" t="s">
        <v>17600</v>
      </c>
      <c r="K6123" s="3" t="s">
        <v>165</v>
      </c>
      <c r="L6123" s="3" t="str">
        <f>IFERROR(__xludf.DUMMYFUNCTION("GOOGLETRANSLATE(F6123,""id"",""en"")"),"Bank Argentina Governor issued a new money with Messi's picture as a world champion award for Argentina Messi played an important role in Indonesia, not just a serial number adjust")</f>
        <v>Bank Argentina Governor issued a new money with Messi's picture as a world champion award for Argentina Messi played an important role in Indonesia, not just a serial number adjust</v>
      </c>
    </row>
    <row r="6124" ht="15.75" customHeight="1">
      <c r="A6124" s="1">
        <v>7311.0</v>
      </c>
      <c r="B6124" s="3" t="s">
        <v>17601</v>
      </c>
      <c r="C6124" s="3">
        <v>0.0</v>
      </c>
      <c r="D6124" s="3">
        <v>0.0</v>
      </c>
      <c r="E6124" s="3">
        <v>0.0</v>
      </c>
      <c r="F6124" s="3" t="s">
        <v>17602</v>
      </c>
      <c r="G6124" s="3">
        <v>0.0</v>
      </c>
      <c r="H6124" s="3">
        <v>0.0</v>
      </c>
      <c r="I6124" s="3" t="s">
        <v>13</v>
      </c>
      <c r="J6124" s="3" t="s">
        <v>17603</v>
      </c>
      <c r="K6124" s="3" t="s">
        <v>75</v>
      </c>
      <c r="L6124" s="3" t="str">
        <f>IFERROR(__xludf.DUMMYFUNCTION("GOOGLETRANSLATE(F6124,""id"",""en"")"),"I think the Argentine players are calculated, it turns out that the State has ever been a champion")</f>
        <v>I think the Argentine players are calculated, it turns out that the State has ever been a champion</v>
      </c>
    </row>
    <row r="6125" ht="15.75" customHeight="1">
      <c r="A6125" s="1">
        <v>7312.0</v>
      </c>
      <c r="B6125" s="3" t="s">
        <v>17604</v>
      </c>
      <c r="C6125" s="3">
        <v>10.0</v>
      </c>
      <c r="D6125" s="3">
        <v>8.0</v>
      </c>
      <c r="E6125" s="3">
        <v>34.0</v>
      </c>
      <c r="F6125" s="3" t="s">
        <v>17605</v>
      </c>
      <c r="G6125" s="3">
        <v>0.0</v>
      </c>
      <c r="H6125" s="3">
        <v>0.0</v>
      </c>
      <c r="I6125" s="3" t="s">
        <v>13</v>
      </c>
      <c r="J6125" s="3" t="s">
        <v>17606</v>
      </c>
      <c r="K6125" s="3" t="s">
        <v>2610</v>
      </c>
      <c r="L6125" s="3" t="str">
        <f>IFERROR(__xludf.DUMMYFUNCTION("GOOGLETRANSLATE(F6125,""id"",""en"")"),"so say what let's let the Moroccan champion the celebration of the celebration of the Argentine national team winner of the World Cup ended tragic pivot Telkomsel Oren Nahyan Doel Son of Soto School")</f>
        <v>so say what let's let the Moroccan champion the celebration of the celebration of the Argentine national team winner of the World Cup ended tragic pivot Telkomsel Oren Nahyan Doel Son of Soto School</v>
      </c>
    </row>
    <row r="6126" ht="15.75" customHeight="1">
      <c r="A6126" s="1">
        <v>7313.0</v>
      </c>
      <c r="B6126" s="3" t="s">
        <v>17607</v>
      </c>
      <c r="C6126" s="3">
        <v>0.0</v>
      </c>
      <c r="D6126" s="3">
        <v>0.0</v>
      </c>
      <c r="E6126" s="3">
        <v>0.0</v>
      </c>
      <c r="F6126" s="3" t="s">
        <v>17608</v>
      </c>
      <c r="G6126" s="3">
        <v>0.0</v>
      </c>
      <c r="H6126" s="3">
        <v>0.0</v>
      </c>
      <c r="I6126" s="3" t="s">
        <v>13</v>
      </c>
      <c r="J6126" s="3" t="s">
        <v>17609</v>
      </c>
      <c r="K6126" s="3" t="s">
        <v>19</v>
      </c>
      <c r="L6126" s="3" t="str">
        <f>IFERROR(__xludf.DUMMYFUNCTION("GOOGLETRANSLATE(F6126,""id"",""en"")"),"Ronaldo Nazario is happy to see Messi and Argentina World Cup champions even though they don't really hope")</f>
        <v>Ronaldo Nazario is happy to see Messi and Argentina World Cup champions even though they don't really hope</v>
      </c>
    </row>
    <row r="6127" ht="15.75" customHeight="1">
      <c r="A6127" s="1">
        <v>7314.0</v>
      </c>
      <c r="B6127" s="3" t="s">
        <v>17610</v>
      </c>
      <c r="C6127" s="3">
        <v>0.0</v>
      </c>
      <c r="D6127" s="3">
        <v>0.0</v>
      </c>
      <c r="E6127" s="3">
        <v>0.0</v>
      </c>
      <c r="F6127" s="3" t="s">
        <v>17611</v>
      </c>
      <c r="G6127" s="3">
        <v>0.0</v>
      </c>
      <c r="H6127" s="3">
        <v>0.0</v>
      </c>
      <c r="I6127" s="3" t="s">
        <v>13</v>
      </c>
      <c r="J6127" s="3" t="s">
        <v>17612</v>
      </c>
      <c r="K6127" s="3" t="s">
        <v>657</v>
      </c>
      <c r="L6127" s="3" t="str">
        <f>IFERROR(__xludf.DUMMYFUNCTION("GOOGLETRANSLATE(F6127,""id"",""en"")"),"Pep Guardiola Puji Lionel Messi as high as the sky after Argentina Champion the Best World Cup of All Time")</f>
        <v>Pep Guardiola Puji Lionel Messi as high as the sky after Argentina Champion the Best World Cup of All Time</v>
      </c>
    </row>
    <row r="6128" ht="15.75" customHeight="1">
      <c r="A6128" s="1">
        <v>7315.0</v>
      </c>
      <c r="B6128" s="3" t="s">
        <v>17613</v>
      </c>
      <c r="C6128" s="3">
        <v>1.0</v>
      </c>
      <c r="D6128" s="3">
        <v>0.0</v>
      </c>
      <c r="E6128" s="3">
        <v>0.0</v>
      </c>
      <c r="F6128" s="3" t="s">
        <v>17614</v>
      </c>
      <c r="G6128" s="3">
        <v>0.0</v>
      </c>
      <c r="H6128" s="3">
        <v>0.0</v>
      </c>
      <c r="I6128" s="3" t="s">
        <v>13</v>
      </c>
      <c r="J6128" s="3" t="s">
        <v>17615</v>
      </c>
      <c r="K6128" s="3" t="s">
        <v>54</v>
      </c>
      <c r="L6128" s="3" t="str">
        <f>IFERROR(__xludf.DUMMYFUNCTION("GOOGLETRANSLATE(F6128,""id"",""en"")"),"why are you just imitating Argentina to become champions")</f>
        <v>why are you just imitating Argentina to become champions</v>
      </c>
    </row>
    <row r="6129" ht="15.75" customHeight="1">
      <c r="A6129" s="1">
        <v>7316.0</v>
      </c>
      <c r="B6129" s="3" t="s">
        <v>17616</v>
      </c>
      <c r="C6129" s="3">
        <v>0.0</v>
      </c>
      <c r="D6129" s="3">
        <v>0.0</v>
      </c>
      <c r="E6129" s="3">
        <v>0.0</v>
      </c>
      <c r="F6129" s="3" t="s">
        <v>17617</v>
      </c>
      <c r="G6129" s="3">
        <v>0.0</v>
      </c>
      <c r="H6129" s="3">
        <v>0.0</v>
      </c>
      <c r="I6129" s="3" t="s">
        <v>13</v>
      </c>
      <c r="J6129" s="3" t="s">
        <v>17618</v>
      </c>
      <c r="K6129" s="3" t="s">
        <v>942</v>
      </c>
      <c r="L6129" s="3" t="str">
        <f>IFERROR(__xludf.DUMMYFUNCTION("GOOGLETRANSLATE(F6129,""id"",""en"")"),"WIB Lionel Messi Champion World Cup Vamos Messi Vamos Argentina Goat Ori")</f>
        <v>WIB Lionel Messi Champion World Cup Vamos Messi Vamos Argentina Goat Ori</v>
      </c>
    </row>
    <row r="6130" ht="15.75" customHeight="1">
      <c r="A6130" s="1">
        <v>7317.0</v>
      </c>
      <c r="B6130" s="3" t="s">
        <v>17619</v>
      </c>
      <c r="C6130" s="3">
        <v>0.0</v>
      </c>
      <c r="D6130" s="3">
        <v>0.0</v>
      </c>
      <c r="E6130" s="3">
        <v>0.0</v>
      </c>
      <c r="F6130" s="3" t="s">
        <v>17620</v>
      </c>
      <c r="G6130" s="3">
        <v>0.0</v>
      </c>
      <c r="H6130" s="3">
        <v>0.0</v>
      </c>
      <c r="I6130" s="3" t="s">
        <v>13</v>
      </c>
      <c r="J6130" s="3" t="s">
        <v>17621</v>
      </c>
      <c r="K6130" s="3" t="s">
        <v>449</v>
      </c>
      <c r="L6130" s="3" t="str">
        <f>IFERROR(__xludf.DUMMYFUNCTION("GOOGLETRANSLATE(F6130,""id"",""en"")"),"Manchester City coach Pep Guardiola said Lionel Messi remained the best player of all time or goat even though he did not bring the Argentine national team champion Sports World Cup")</f>
        <v>Manchester City coach Pep Guardiola said Lionel Messi remained the best player of all time or goat even though he did not bring the Argentine national team champion Sports World Cup</v>
      </c>
    </row>
    <row r="6131" ht="15.75" customHeight="1">
      <c r="A6131" s="1">
        <v>7318.0</v>
      </c>
      <c r="B6131" s="3" t="s">
        <v>17622</v>
      </c>
      <c r="C6131" s="3">
        <v>0.0</v>
      </c>
      <c r="D6131" s="3">
        <v>0.0</v>
      </c>
      <c r="E6131" s="3">
        <v>0.0</v>
      </c>
      <c r="F6131" s="3" t="s">
        <v>17623</v>
      </c>
      <c r="G6131" s="3">
        <v>0.0</v>
      </c>
      <c r="H6131" s="3">
        <v>0.0</v>
      </c>
      <c r="I6131" s="3" t="s">
        <v>13</v>
      </c>
      <c r="J6131" s="3" t="s">
        <v>17624</v>
      </c>
      <c r="K6131" s="3" t="s">
        <v>41</v>
      </c>
      <c r="L6131" s="3" t="str">
        <f>IFERROR(__xludf.DUMMYFUNCTION("GOOGLETRANSLATE(F6131,""id"",""en"")"),"Histroy Argentina Champion World Cup Qatar Vamos Messi")</f>
        <v>Histroy Argentina Champion World Cup Qatar Vamos Messi</v>
      </c>
    </row>
    <row r="6132" ht="15.75" customHeight="1">
      <c r="A6132" s="1">
        <v>7319.0</v>
      </c>
      <c r="B6132" s="3" t="s">
        <v>17625</v>
      </c>
      <c r="C6132" s="3">
        <v>0.0</v>
      </c>
      <c r="D6132" s="3">
        <v>0.0</v>
      </c>
      <c r="E6132" s="3">
        <v>0.0</v>
      </c>
      <c r="F6132" s="3" t="s">
        <v>17626</v>
      </c>
      <c r="G6132" s="3">
        <v>0.0</v>
      </c>
      <c r="H6132" s="3">
        <v>0.0</v>
      </c>
      <c r="I6132" s="3" t="s">
        <v>13</v>
      </c>
      <c r="J6132" s="3" t="s">
        <v>17627</v>
      </c>
      <c r="K6132" s="3" t="s">
        <v>510</v>
      </c>
      <c r="L6132" s="3" t="str">
        <f>IFERROR(__xludf.DUMMYFUNCTION("GOOGLETRANSLATE(F6132,""id"",""en"")"),"EMI's last minute rescue when Pawan Fra was the key because it delivered Argentina in the world champion")</f>
        <v>EMI's last minute rescue when Pawan Fra was the key because it delivered Argentina in the world champion</v>
      </c>
    </row>
    <row r="6133" ht="15.75" customHeight="1">
      <c r="A6133" s="1">
        <v>7320.0</v>
      </c>
      <c r="B6133" s="3" t="s">
        <v>17628</v>
      </c>
      <c r="C6133" s="3">
        <v>1.0</v>
      </c>
      <c r="D6133" s="3">
        <v>0.0</v>
      </c>
      <c r="E6133" s="3">
        <v>0.0</v>
      </c>
      <c r="F6133" s="3" t="s">
        <v>17629</v>
      </c>
      <c r="G6133" s="3">
        <v>0.0</v>
      </c>
      <c r="H6133" s="3">
        <v>0.0</v>
      </c>
      <c r="I6133" s="3" t="s">
        <v>13</v>
      </c>
      <c r="J6133" s="3" t="s">
        <v>17630</v>
      </c>
      <c r="K6133" s="3" t="s">
        <v>456</v>
      </c>
      <c r="L6133" s="3" t="str">
        <f>IFERROR(__xludf.DUMMYFUNCTION("GOOGLETRANSLATE(F6133,""id"",""en"")"),"Different from the country onoh to be a world champion welcomed with a naked anarchy like a crazy person, different cultures of religious cultures were seen by the people of Morocco of the State with the majority of Muslims welcomed politely.")</f>
        <v>Different from the country onoh to be a world champion welcomed with a naked anarchy like a crazy person, different cultures of religious cultures were seen by the people of Morocco of the State with the majority of Muslims welcomed politely.</v>
      </c>
    </row>
    <row r="6134" ht="15.75" customHeight="1">
      <c r="A6134" s="1">
        <v>7321.0</v>
      </c>
      <c r="B6134" s="3" t="s">
        <v>17631</v>
      </c>
      <c r="C6134" s="3">
        <v>1.0</v>
      </c>
      <c r="D6134" s="3">
        <v>0.0</v>
      </c>
      <c r="E6134" s="3">
        <v>0.0</v>
      </c>
      <c r="F6134" s="3" t="s">
        <v>17632</v>
      </c>
      <c r="G6134" s="3">
        <v>0.0</v>
      </c>
      <c r="H6134" s="3">
        <v>0.0</v>
      </c>
      <c r="I6134" s="3" t="s">
        <v>13</v>
      </c>
      <c r="J6134" s="3" t="s">
        <v>17633</v>
      </c>
      <c r="K6134" s="3" t="s">
        <v>2117</v>
      </c>
      <c r="L6134" s="3" t="str">
        <f>IFERROR(__xludf.DUMMYFUNCTION("GOOGLETRANSLATE(F6134,""id"",""en"")"),"the champion is there saying the price")</f>
        <v>the champion is there saying the price</v>
      </c>
    </row>
    <row r="6135" ht="15.75" customHeight="1">
      <c r="A6135" s="1">
        <v>7322.0</v>
      </c>
      <c r="B6135" s="3" t="s">
        <v>17634</v>
      </c>
      <c r="C6135" s="3">
        <v>0.0</v>
      </c>
      <c r="D6135" s="3">
        <v>0.0</v>
      </c>
      <c r="E6135" s="3">
        <v>0.0</v>
      </c>
      <c r="F6135" s="3" t="s">
        <v>17635</v>
      </c>
      <c r="G6135" s="3">
        <v>0.0</v>
      </c>
      <c r="H6135" s="3">
        <v>0.0</v>
      </c>
      <c r="I6135" s="3" t="s">
        <v>13</v>
      </c>
      <c r="J6135" s="3" t="s">
        <v>17636</v>
      </c>
      <c r="K6135" s="3" t="s">
        <v>41</v>
      </c>
      <c r="L6135" s="3" t="str">
        <f>IFERROR(__xludf.DUMMYFUNCTION("GOOGLETRANSLATE(F6135,""id"",""en"")"),"If Argentina is not a team of unfavorable teams, it won't be a world champion")</f>
        <v>If Argentina is not a team of unfavorable teams, it won't be a world champion</v>
      </c>
    </row>
    <row r="6136" ht="15.75" customHeight="1">
      <c r="A6136" s="1">
        <v>7323.0</v>
      </c>
      <c r="B6136" s="3" t="s">
        <v>17637</v>
      </c>
      <c r="C6136" s="3">
        <v>0.0</v>
      </c>
      <c r="D6136" s="3">
        <v>0.0</v>
      </c>
      <c r="E6136" s="3">
        <v>6.0</v>
      </c>
      <c r="F6136" s="3" t="s">
        <v>17638</v>
      </c>
      <c r="G6136" s="3">
        <v>0.0</v>
      </c>
      <c r="H6136" s="3">
        <v>0.0</v>
      </c>
      <c r="I6136" s="3" t="s">
        <v>13</v>
      </c>
      <c r="J6136" s="3" t="s">
        <v>17639</v>
      </c>
      <c r="K6136" s="3" t="s">
        <v>1293</v>
      </c>
      <c r="L6136" s="3" t="str">
        <f>IFERROR(__xludf.DUMMYFUNCTION("GOOGLETRANSLATE(F6136,""id"",""en"")"),"Argentina Champion World Cup FIFA Qatar Rise the second stairs of the latest alliance of the Football Association between FIFA nations")</f>
        <v>Argentina Champion World Cup FIFA Qatar Rise the second stairs of the latest alliance of the Football Association between FIFA nations</v>
      </c>
    </row>
    <row r="6137" ht="15.75" customHeight="1">
      <c r="A6137" s="1">
        <v>7324.0</v>
      </c>
      <c r="B6137" s="3" t="s">
        <v>17640</v>
      </c>
      <c r="C6137" s="3">
        <v>0.0</v>
      </c>
      <c r="D6137" s="3">
        <v>0.0</v>
      </c>
      <c r="E6137" s="3">
        <v>0.0</v>
      </c>
      <c r="F6137" s="3" t="s">
        <v>17641</v>
      </c>
      <c r="G6137" s="3">
        <v>0.0</v>
      </c>
      <c r="H6137" s="3">
        <v>0.0</v>
      </c>
      <c r="I6137" s="3" t="s">
        <v>13</v>
      </c>
      <c r="J6137" s="3" t="s">
        <v>17642</v>
      </c>
      <c r="K6137" s="3" t="s">
        <v>644</v>
      </c>
      <c r="L6137" s="3" t="str">
        <f>IFERROR(__xludf.DUMMYFUNCTION("GOOGLETRANSLATE(F6137,""id"",""en"")"),"sis can ask for high school or not")</f>
        <v>sis can ask for high school or not</v>
      </c>
    </row>
    <row r="6138" ht="15.75" customHeight="1">
      <c r="A6138" s="1">
        <v>7325.0</v>
      </c>
      <c r="B6138" s="3" t="s">
        <v>17643</v>
      </c>
      <c r="C6138" s="3">
        <v>0.0</v>
      </c>
      <c r="D6138" s="3">
        <v>0.0</v>
      </c>
      <c r="E6138" s="3">
        <v>0.0</v>
      </c>
      <c r="F6138" s="3" t="s">
        <v>17644</v>
      </c>
      <c r="G6138" s="3">
        <v>0.0</v>
      </c>
      <c r="H6138" s="3">
        <v>0.0</v>
      </c>
      <c r="I6138" s="3" t="s">
        <v>13</v>
      </c>
      <c r="J6138" s="3" t="s">
        <v>17645</v>
      </c>
      <c r="K6138" s="3" t="s">
        <v>14571</v>
      </c>
      <c r="L6138" s="3" t="str">
        <f>IFERROR(__xludf.DUMMYFUNCTION("GOOGLETRANSLATE(F6138,""id"",""en"")"),"RUNGKADDD RUNGKADDDD")</f>
        <v>RUNGKADDD RUNGKADDDD</v>
      </c>
    </row>
    <row r="6139" ht="15.75" customHeight="1">
      <c r="A6139" s="1">
        <v>7326.0</v>
      </c>
      <c r="B6139" s="3" t="s">
        <v>17646</v>
      </c>
      <c r="C6139" s="3">
        <v>0.0</v>
      </c>
      <c r="D6139" s="3">
        <v>0.0</v>
      </c>
      <c r="E6139" s="3">
        <v>0.0</v>
      </c>
      <c r="F6139" s="3" t="s">
        <v>17647</v>
      </c>
      <c r="G6139" s="3">
        <v>0.0</v>
      </c>
      <c r="H6139" s="3">
        <v>0.0</v>
      </c>
      <c r="I6139" s="3" t="s">
        <v>13</v>
      </c>
      <c r="J6139" s="3" t="s">
        <v>17648</v>
      </c>
      <c r="K6139" s="3" t="s">
        <v>50</v>
      </c>
      <c r="L6139" s="3" t="str">
        <f>IFERROR(__xludf.DUMMYFUNCTION("GOOGLETRANSLATE(F6139,""id"",""en"")"),"Bank Argentina wants to release Lionel Messi's paper money after world champion")</f>
        <v>Bank Argentina wants to release Lionel Messi's paper money after world champion</v>
      </c>
    </row>
    <row r="6140" ht="15.75" customHeight="1">
      <c r="A6140" s="1">
        <v>7327.0</v>
      </c>
      <c r="B6140" s="3" t="s">
        <v>17649</v>
      </c>
      <c r="C6140" s="3">
        <v>1.0</v>
      </c>
      <c r="D6140" s="3">
        <v>0.0</v>
      </c>
      <c r="E6140" s="3">
        <v>0.0</v>
      </c>
      <c r="F6140" s="3" t="s">
        <v>17650</v>
      </c>
      <c r="G6140" s="3">
        <v>0.0</v>
      </c>
      <c r="H6140" s="3">
        <v>0.0</v>
      </c>
      <c r="I6140" s="3" t="s">
        <v>13</v>
      </c>
      <c r="J6140" s="3" t="s">
        <v>17651</v>
      </c>
      <c r="K6140" s="3" t="s">
        <v>31</v>
      </c>
      <c r="L6140" s="3" t="str">
        <f>IFERROR(__xludf.DUMMYFUNCTION("GOOGLETRANSLATE(F6140,""id"",""en"")"),"there really is a bang apart jakpus a month")</f>
        <v>there really is a bang apart jakpus a month</v>
      </c>
    </row>
    <row r="6141" ht="15.75" customHeight="1">
      <c r="A6141" s="1">
        <v>7328.0</v>
      </c>
      <c r="B6141" s="3" t="s">
        <v>17652</v>
      </c>
      <c r="C6141" s="3">
        <v>0.0</v>
      </c>
      <c r="D6141" s="3">
        <v>0.0</v>
      </c>
      <c r="E6141" s="3">
        <v>0.0</v>
      </c>
      <c r="F6141" s="3" t="s">
        <v>17653</v>
      </c>
      <c r="G6141" s="3">
        <v>0.0</v>
      </c>
      <c r="H6141" s="3">
        <v>0.0</v>
      </c>
      <c r="I6141" s="3" t="s">
        <v>13</v>
      </c>
      <c r="J6141" s="3" t="s">
        <v>17654</v>
      </c>
      <c r="K6141" s="3" t="s">
        <v>75</v>
      </c>
      <c r="L6141" s="3" t="str">
        <f>IFERROR(__xludf.DUMMYFUNCTION("GOOGLETRANSLATE(F6141,""id"",""en"")"),"Argentina World Champion This city prohibits parents from name Messi children")</f>
        <v>Argentina World Champion This city prohibits parents from name Messi children</v>
      </c>
    </row>
    <row r="6142" ht="15.75" customHeight="1">
      <c r="A6142" s="1">
        <v>7329.0</v>
      </c>
      <c r="B6142" s="3" t="s">
        <v>17655</v>
      </c>
      <c r="C6142" s="3">
        <v>0.0</v>
      </c>
      <c r="D6142" s="3">
        <v>0.0</v>
      </c>
      <c r="E6142" s="3">
        <v>0.0</v>
      </c>
      <c r="F6142" s="3" t="s">
        <v>17656</v>
      </c>
      <c r="G6142" s="3">
        <v>0.0</v>
      </c>
      <c r="H6142" s="3">
        <v>0.0</v>
      </c>
      <c r="I6142" s="3" t="s">
        <v>13</v>
      </c>
      <c r="J6142" s="3" t="s">
        <v>17657</v>
      </c>
      <c r="K6142" s="3" t="s">
        <v>358</v>
      </c>
      <c r="L6142" s="3" t="str">
        <f>IFERROR(__xludf.DUMMYFUNCTION("GOOGLETRANSLATE(F6142,""id"",""en"")"),"The name Mbappe will always be a thick footnote for Argentina because the title Mbappe HRS is through penalties and Mbappe records Hatrick")</f>
        <v>The name Mbappe will always be a thick footnote for Argentina because the title Mbappe HRS is through penalties and Mbappe records Hatrick</v>
      </c>
    </row>
    <row r="6143" ht="15.75" customHeight="1">
      <c r="A6143" s="1">
        <v>7330.0</v>
      </c>
      <c r="B6143" s="3" t="s">
        <v>17658</v>
      </c>
      <c r="C6143" s="3">
        <v>0.0</v>
      </c>
      <c r="D6143" s="3">
        <v>1.0</v>
      </c>
      <c r="E6143" s="3">
        <v>0.0</v>
      </c>
      <c r="F6143" s="3" t="s">
        <v>17659</v>
      </c>
      <c r="G6143" s="3">
        <v>0.0</v>
      </c>
      <c r="H6143" s="3">
        <v>0.0</v>
      </c>
      <c r="I6143" s="3" t="s">
        <v>13</v>
      </c>
      <c r="J6143" s="3" t="s">
        <v>17660</v>
      </c>
      <c r="K6143" s="3" t="s">
        <v>860</v>
      </c>
      <c r="L6143" s="3" t="str">
        <f>IFERROR(__xludf.DUMMYFUNCTION("GOOGLETRANSLATE(F6143,""id"",""en"")"),"Argentina Central Bank BCRA will give a special award to Lionel Messi Photo Lionel Messi is rumored to be Argentine banknotes after becoming the World Cup champion")</f>
        <v>Argentina Central Bank BCRA will give a special award to Lionel Messi Photo Lionel Messi is rumored to be Argentine banknotes after becoming the World Cup champion</v>
      </c>
    </row>
    <row r="6144" ht="15.75" customHeight="1">
      <c r="A6144" s="1">
        <v>7331.0</v>
      </c>
      <c r="B6144" s="3" t="s">
        <v>17661</v>
      </c>
      <c r="C6144" s="3">
        <v>0.0</v>
      </c>
      <c r="D6144" s="3">
        <v>0.0</v>
      </c>
      <c r="E6144" s="3">
        <v>0.0</v>
      </c>
      <c r="F6144" s="3" t="s">
        <v>17659</v>
      </c>
      <c r="G6144" s="3">
        <v>0.0</v>
      </c>
      <c r="H6144" s="3">
        <v>0.0</v>
      </c>
      <c r="I6144" s="3" t="s">
        <v>13</v>
      </c>
      <c r="J6144" s="3" t="s">
        <v>17660</v>
      </c>
      <c r="K6144" s="3" t="s">
        <v>860</v>
      </c>
      <c r="L6144" s="3" t="str">
        <f>IFERROR(__xludf.DUMMYFUNCTION("GOOGLETRANSLATE(F6144,""id"",""en"")"),"Argentina Central Bank BCRA will give a special award to Lionel Messi Photo Lionel Messi is rumored to be Argentine banknotes after becoming the World Cup champion")</f>
        <v>Argentina Central Bank BCRA will give a special award to Lionel Messi Photo Lionel Messi is rumored to be Argentine banknotes after becoming the World Cup champion</v>
      </c>
    </row>
    <row r="6145" ht="15.75" customHeight="1">
      <c r="A6145" s="1">
        <v>7332.0</v>
      </c>
      <c r="B6145" s="3" t="s">
        <v>17662</v>
      </c>
      <c r="C6145" s="3">
        <v>1.0</v>
      </c>
      <c r="D6145" s="3">
        <v>26.0</v>
      </c>
      <c r="E6145" s="3">
        <v>88.0</v>
      </c>
      <c r="F6145" s="3" t="s">
        <v>17663</v>
      </c>
      <c r="G6145" s="3">
        <v>0.0</v>
      </c>
      <c r="H6145" s="3">
        <v>0.0</v>
      </c>
      <c r="I6145" s="3" t="s">
        <v>13</v>
      </c>
      <c r="J6145" s="3" t="s">
        <v>17664</v>
      </c>
      <c r="K6145" s="3" t="s">
        <v>426</v>
      </c>
      <c r="L6145" s="3" t="str">
        <f>IFERROR(__xludf.DUMMYFUNCTION("GOOGLETRANSLATE(F6145,""id"",""en"")"),"Tula figure that beats this drum is Carlos Tula he has always followed directly the journey of the Argentine national team since the World Cup now this year's age has been a direct witness of Argentina to three times")</f>
        <v>Tula figure that beats this drum is Carlos Tula he has always followed directly the journey of the Argentine national team since the World Cup now this year's age has been a direct witness of Argentina to three times</v>
      </c>
    </row>
    <row r="6146" ht="15.75" customHeight="1">
      <c r="A6146" s="1">
        <v>7333.0</v>
      </c>
      <c r="B6146" s="3" t="s">
        <v>17665</v>
      </c>
      <c r="C6146" s="3">
        <v>0.0</v>
      </c>
      <c r="D6146" s="3">
        <v>0.0</v>
      </c>
      <c r="E6146" s="3">
        <v>0.0</v>
      </c>
      <c r="F6146" s="3" t="s">
        <v>17666</v>
      </c>
      <c r="G6146" s="3">
        <v>0.0</v>
      </c>
      <c r="H6146" s="3">
        <v>0.0</v>
      </c>
      <c r="I6146" s="3" t="s">
        <v>13</v>
      </c>
      <c r="J6146" s="3" t="s">
        <v>17667</v>
      </c>
      <c r="K6146" s="3" t="s">
        <v>135</v>
      </c>
      <c r="L6146" s="3" t="str">
        <f>IFERROR(__xludf.DUMMYFUNCTION("GOOGLETRANSLATE(F6146,""id"",""en"")"),"The face of Lionel Messi's face will be displayed by Argentina after bringing the Argentine national team to win the Qatar World Cup, Lionel Messi will")</f>
        <v>The face of Lionel Messi's face will be displayed by Argentina after bringing the Argentine national team to win the Qatar World Cup, Lionel Messi will</v>
      </c>
    </row>
    <row r="6147" ht="15.75" customHeight="1">
      <c r="A6147" s="1">
        <v>7334.0</v>
      </c>
      <c r="B6147" s="3" t="s">
        <v>17668</v>
      </c>
      <c r="C6147" s="3">
        <v>1.0</v>
      </c>
      <c r="D6147" s="3">
        <v>0.0</v>
      </c>
      <c r="E6147" s="3">
        <v>0.0</v>
      </c>
      <c r="F6147" s="3" t="s">
        <v>17669</v>
      </c>
      <c r="G6147" s="3">
        <v>0.0</v>
      </c>
      <c r="H6147" s="3">
        <v>0.0</v>
      </c>
      <c r="I6147" s="3" t="s">
        <v>13</v>
      </c>
      <c r="J6147" s="3" t="s">
        <v>17670</v>
      </c>
      <c r="K6147" s="3" t="s">
        <v>41</v>
      </c>
      <c r="L6147" s="3" t="str">
        <f>IFERROR(__xludf.DUMMYFUNCTION("GOOGLETRANSLATE(F6147,""id"",""en"")"),"Must be a reliable attacker who brought Argentine countries to win the World Cup WKWK")</f>
        <v>Must be a reliable attacker who brought Argentine countries to win the World Cup WKWK</v>
      </c>
    </row>
    <row r="6148" ht="15.75" customHeight="1">
      <c r="A6148" s="1">
        <v>7335.0</v>
      </c>
      <c r="B6148" s="3" t="s">
        <v>17671</v>
      </c>
      <c r="C6148" s="3">
        <v>0.0</v>
      </c>
      <c r="D6148" s="3">
        <v>0.0</v>
      </c>
      <c r="E6148" s="3">
        <v>0.0</v>
      </c>
      <c r="F6148" s="3" t="s">
        <v>17672</v>
      </c>
      <c r="G6148" s="3">
        <v>0.0</v>
      </c>
      <c r="H6148" s="3">
        <v>0.0</v>
      </c>
      <c r="I6148" s="3" t="s">
        <v>13</v>
      </c>
      <c r="J6148" s="3" t="s">
        <v>17673</v>
      </c>
      <c r="K6148" s="3" t="s">
        <v>903</v>
      </c>
      <c r="L6148" s="3" t="str">
        <f>IFERROR(__xludf.DUMMYFUNCTION("GOOGLETRANSLATE(F6148,""id"",""en"")"),"Idih wkwkw Argentina fans from before Messi from the Saviola era, Elu, Dodo, when Madrid won the UCL, right now.")</f>
        <v>Idih wkwkw Argentina fans from before Messi from the Saviola era, Elu, Dodo, when Madrid won the UCL, right now.</v>
      </c>
    </row>
    <row r="6149" ht="15.75" customHeight="1">
      <c r="A6149" s="1">
        <v>7336.0</v>
      </c>
      <c r="B6149" s="3" t="s">
        <v>17674</v>
      </c>
      <c r="C6149" s="3">
        <v>1.0</v>
      </c>
      <c r="D6149" s="3">
        <v>0.0</v>
      </c>
      <c r="E6149" s="3">
        <v>1.0</v>
      </c>
      <c r="F6149" s="3" t="s">
        <v>17675</v>
      </c>
      <c r="G6149" s="3">
        <v>0.0</v>
      </c>
      <c r="H6149" s="3">
        <v>0.0</v>
      </c>
      <c r="I6149" s="3" t="s">
        <v>13</v>
      </c>
      <c r="J6149" s="3" t="s">
        <v>17676</v>
      </c>
      <c r="K6149" s="3" t="s">
        <v>11862</v>
      </c>
      <c r="L6149" s="3" t="str">
        <f>IFERROR(__xludf.DUMMYFUNCTION("GOOGLETRANSLATE(F6149,""id"",""en"")"),"As many countries host the World Cup will be reviewed by Okezone after Argentina won the World Cup on Monday November WIB then a World Cup will be held in the number of countries participating in the World Cup section")</f>
        <v>As many countries host the World Cup will be reviewed by Okezone after Argentina won the World Cup on Monday November WIB then a World Cup will be held in the number of countries participating in the World Cup section</v>
      </c>
    </row>
    <row r="6150" ht="15.75" customHeight="1">
      <c r="A6150" s="1">
        <v>7337.0</v>
      </c>
      <c r="B6150" s="3" t="s">
        <v>17677</v>
      </c>
      <c r="C6150" s="3">
        <v>0.0</v>
      </c>
      <c r="D6150" s="3">
        <v>0.0</v>
      </c>
      <c r="E6150" s="3">
        <v>1.0</v>
      </c>
      <c r="F6150" s="3" t="s">
        <v>17678</v>
      </c>
      <c r="G6150" s="3">
        <v>0.0</v>
      </c>
      <c r="H6150" s="3">
        <v>0.0</v>
      </c>
      <c r="I6150" s="3" t="s">
        <v>13</v>
      </c>
      <c r="J6150" s="3" t="s">
        <v>17679</v>
      </c>
      <c r="K6150" s="3" t="s">
        <v>644</v>
      </c>
      <c r="L6150" s="3" t="str">
        <f>IFERROR(__xludf.DUMMYFUNCTION("GOOGLETRANSLATE(F6150,""id"",""en"")"),"May Cristiano Ronaldo Junior")</f>
        <v>May Cristiano Ronaldo Junior</v>
      </c>
    </row>
    <row r="6151" ht="15.75" customHeight="1">
      <c r="A6151" s="1">
        <v>7338.0</v>
      </c>
      <c r="B6151" s="3" t="s">
        <v>17680</v>
      </c>
      <c r="C6151" s="3">
        <v>1.0</v>
      </c>
      <c r="D6151" s="3">
        <v>1.0</v>
      </c>
      <c r="E6151" s="3">
        <v>0.0</v>
      </c>
      <c r="F6151" s="3" t="s">
        <v>17681</v>
      </c>
      <c r="G6151" s="3">
        <v>0.0</v>
      </c>
      <c r="H6151" s="3">
        <v>0.0</v>
      </c>
      <c r="I6151" s="3" t="s">
        <v>13</v>
      </c>
      <c r="J6151" s="3" t="s">
        <v>17682</v>
      </c>
      <c r="K6151" s="3" t="s">
        <v>240</v>
      </c>
      <c r="L6151" s="3" t="str">
        <f>IFERROR(__xludf.DUMMYFUNCTION("GOOGLETRANSLATE(F6151,""id"",""en"")"),"Argentina national team victory party after the World Cup Buenos Aires champion ended in chaos until it caused casualties")</f>
        <v>Argentina national team victory party after the World Cup Buenos Aires champion ended in chaos until it caused casualties</v>
      </c>
    </row>
    <row r="6152" ht="15.75" customHeight="1">
      <c r="A6152" s="1">
        <v>7339.0</v>
      </c>
      <c r="B6152" s="3" t="s">
        <v>17683</v>
      </c>
      <c r="C6152" s="3">
        <v>0.0</v>
      </c>
      <c r="D6152" s="3">
        <v>0.0</v>
      </c>
      <c r="E6152" s="3">
        <v>0.0</v>
      </c>
      <c r="F6152" s="3" t="s">
        <v>17684</v>
      </c>
      <c r="G6152" s="3">
        <v>0.4</v>
      </c>
      <c r="H6152" s="3">
        <v>0.2</v>
      </c>
      <c r="I6152" s="3" t="s">
        <v>48</v>
      </c>
      <c r="J6152" s="3" t="s">
        <v>17685</v>
      </c>
      <c r="K6152" s="3" t="s">
        <v>41</v>
      </c>
      <c r="L6152" s="3" t="str">
        <f>IFERROR(__xludf.DUMMYFUNCTION("GOOGLETRANSLATE(F6152,""id"",""en"")"),"The penalty is also a share of football wkwkwk Argentina remains world champion hahaha")</f>
        <v>The penalty is also a share of football wkwkwk Argentina remains world champion hahaha</v>
      </c>
    </row>
    <row r="6153" ht="15.75" customHeight="1">
      <c r="A6153" s="1">
        <v>7340.0</v>
      </c>
      <c r="B6153" s="3" t="s">
        <v>17686</v>
      </c>
      <c r="C6153" s="3">
        <v>0.0</v>
      </c>
      <c r="D6153" s="3">
        <v>0.0</v>
      </c>
      <c r="E6153" s="3">
        <v>0.0</v>
      </c>
      <c r="F6153" s="3" t="s">
        <v>17653</v>
      </c>
      <c r="G6153" s="3">
        <v>0.0</v>
      </c>
      <c r="H6153" s="3">
        <v>0.0</v>
      </c>
      <c r="I6153" s="3" t="s">
        <v>13</v>
      </c>
      <c r="J6153" s="3" t="s">
        <v>17654</v>
      </c>
      <c r="K6153" s="3" t="s">
        <v>75</v>
      </c>
      <c r="L6153" s="3" t="str">
        <f>IFERROR(__xludf.DUMMYFUNCTION("GOOGLETRANSLATE(F6153,""id"",""en"")"),"Argentina World Champion This city prohibits parents from name Messi children")</f>
        <v>Argentina World Champion This city prohibits parents from name Messi children</v>
      </c>
    </row>
    <row r="6154" ht="15.75" customHeight="1">
      <c r="A6154" s="1">
        <v>7341.0</v>
      </c>
      <c r="B6154" s="3" t="s">
        <v>17687</v>
      </c>
      <c r="C6154" s="3">
        <v>0.0</v>
      </c>
      <c r="D6154" s="3">
        <v>0.0</v>
      </c>
      <c r="E6154" s="3">
        <v>0.0</v>
      </c>
      <c r="F6154" s="3" t="s">
        <v>17688</v>
      </c>
      <c r="G6154" s="3">
        <v>0.0</v>
      </c>
      <c r="H6154" s="3">
        <v>0.0</v>
      </c>
      <c r="I6154" s="3" t="s">
        <v>13</v>
      </c>
      <c r="J6154" s="3" t="s">
        <v>17689</v>
      </c>
      <c r="K6154" s="3" t="s">
        <v>15</v>
      </c>
      <c r="L6154" s="3" t="str">
        <f>IFERROR(__xludf.DUMMYFUNCTION("GOOGLETRANSLATE(F6154,""id"",""en"")"),"Successful to be a champion like the journey of the World Cup Argentina")</f>
        <v>Successful to be a champion like the journey of the World Cup Argentina</v>
      </c>
    </row>
    <row r="6155" ht="15.75" customHeight="1">
      <c r="A6155" s="1">
        <v>7342.0</v>
      </c>
      <c r="B6155" s="3" t="s">
        <v>17690</v>
      </c>
      <c r="C6155" s="3">
        <v>0.0</v>
      </c>
      <c r="D6155" s="3">
        <v>0.0</v>
      </c>
      <c r="E6155" s="3">
        <v>0.0</v>
      </c>
      <c r="F6155" s="3" t="s">
        <v>17691</v>
      </c>
      <c r="G6155" s="3">
        <v>0.0</v>
      </c>
      <c r="H6155" s="3">
        <v>0.0</v>
      </c>
      <c r="I6155" s="3" t="s">
        <v>13</v>
      </c>
      <c r="J6155" s="3" t="s">
        <v>17692</v>
      </c>
      <c r="K6155" s="3" t="s">
        <v>322</v>
      </c>
      <c r="L6155" s="3" t="str">
        <f>IFERROR(__xludf.DUMMYFUNCTION("GOOGLETRANSLATE(F6155,""id"",""en"")"),"This is for people who don't accept if Argentina is champion")</f>
        <v>This is for people who don't accept if Argentina is champion</v>
      </c>
    </row>
    <row r="6156" ht="15.75" customHeight="1">
      <c r="A6156" s="1">
        <v>7343.0</v>
      </c>
      <c r="B6156" s="3" t="s">
        <v>17693</v>
      </c>
      <c r="C6156" s="3">
        <v>2.0</v>
      </c>
      <c r="D6156" s="3">
        <v>1.0</v>
      </c>
      <c r="E6156" s="3">
        <v>43.0</v>
      </c>
      <c r="F6156" s="3" t="s">
        <v>17694</v>
      </c>
      <c r="G6156" s="3">
        <v>0.0</v>
      </c>
      <c r="H6156" s="3">
        <v>0.0</v>
      </c>
      <c r="I6156" s="3" t="s">
        <v>13</v>
      </c>
      <c r="J6156" s="3" t="s">
        <v>17695</v>
      </c>
      <c r="K6156" s="3" t="s">
        <v>41</v>
      </c>
      <c r="L6156" s="3" t="str">
        <f>IFERROR(__xludf.DUMMYFUNCTION("GOOGLETRANSLATE(F6156,""id"",""en"")"),"became the center of controversy after going to the field during the championship celebration")</f>
        <v>became the center of controversy after going to the field during the championship celebration</v>
      </c>
    </row>
    <row r="6157" ht="15.75" customHeight="1">
      <c r="A6157" s="1">
        <v>7344.0</v>
      </c>
      <c r="B6157" s="3" t="s">
        <v>17696</v>
      </c>
      <c r="C6157" s="3">
        <v>0.0</v>
      </c>
      <c r="D6157" s="3">
        <v>0.0</v>
      </c>
      <c r="E6157" s="3">
        <v>0.0</v>
      </c>
      <c r="F6157" s="3" t="s">
        <v>17697</v>
      </c>
      <c r="G6157" s="3">
        <v>1.0</v>
      </c>
      <c r="H6157" s="3">
        <v>0.0</v>
      </c>
      <c r="I6157" s="3" t="s">
        <v>13</v>
      </c>
      <c r="J6157" s="3" t="s">
        <v>17698</v>
      </c>
      <c r="K6157" s="3" t="s">
        <v>266</v>
      </c>
      <c r="L6157" s="3" t="str">
        <f>IFERROR(__xludf.DUMMYFUNCTION("GOOGLETRANSLATE(F6157,""id"",""en"")"),"Pas the original World Cup Final Kmaren is also not because the limit of the show is constrained and also from guessing if Argentina will be the honest champion support the Argentine team from the World Cup and and does not follow because it is disappoint"&amp;"ed.")</f>
        <v>Pas the original World Cup Final Kmaren is also not because the limit of the show is constrained and also from guessing if Argentina will be the honest champion support the Argentine team from the World Cup and and does not follow because it is disappointed.</v>
      </c>
    </row>
    <row r="6158" ht="15.75" customHeight="1">
      <c r="A6158" s="1">
        <v>7345.0</v>
      </c>
      <c r="B6158" s="3" t="s">
        <v>17699</v>
      </c>
      <c r="C6158" s="3">
        <v>0.0</v>
      </c>
      <c r="D6158" s="3">
        <v>0.0</v>
      </c>
      <c r="E6158" s="3">
        <v>0.0</v>
      </c>
      <c r="F6158" s="3" t="s">
        <v>17700</v>
      </c>
      <c r="G6158" s="3">
        <v>0.0</v>
      </c>
      <c r="H6158" s="3">
        <v>0.0</v>
      </c>
      <c r="I6158" s="3" t="s">
        <v>13</v>
      </c>
      <c r="J6158" s="3" t="s">
        <v>17701</v>
      </c>
      <c r="K6158" s="3" t="s">
        <v>75</v>
      </c>
      <c r="L6158" s="3" t="str">
        <f>IFERROR(__xludf.DUMMYFUNCTION("GOOGLETRANSLATE(F6158,""id"",""en"")"),"The figure of Luciana Salazar, former Lionel Messi's affair at Argentina, was a champion")</f>
        <v>The figure of Luciana Salazar, former Lionel Messi's affair at Argentina, was a champion</v>
      </c>
    </row>
    <row r="6159" ht="15.75" customHeight="1">
      <c r="A6159" s="1">
        <v>7346.0</v>
      </c>
      <c r="B6159" s="3" t="s">
        <v>17702</v>
      </c>
      <c r="C6159" s="3">
        <v>0.0</v>
      </c>
      <c r="D6159" s="3">
        <v>4.0</v>
      </c>
      <c r="E6159" s="3">
        <v>0.0</v>
      </c>
      <c r="F6159" s="3" t="s">
        <v>17703</v>
      </c>
      <c r="G6159" s="3">
        <v>0.3666666666666667</v>
      </c>
      <c r="H6159" s="3">
        <v>0.125</v>
      </c>
      <c r="I6159" s="3" t="s">
        <v>48</v>
      </c>
      <c r="J6159" s="3" t="s">
        <v>17704</v>
      </c>
      <c r="K6159" s="3" t="s">
        <v>71</v>
      </c>
      <c r="L6159" s="3" t="str">
        <f>IFERROR(__xludf.DUMMYFUNCTION("GOOGLETRANSLATE(F6159,""id"",""en"")"),"Top Football News Parade World Cup Champion was stopped earlier Argentine players were transported by helicopter")</f>
        <v>Top Football News Parade World Cup Champion was stopped earlier Argentine players were transported by helicopter</v>
      </c>
    </row>
    <row r="6160" ht="15.75" customHeight="1">
      <c r="A6160" s="1">
        <v>7347.0</v>
      </c>
      <c r="B6160" s="3" t="s">
        <v>17705</v>
      </c>
      <c r="C6160" s="3">
        <v>1.0</v>
      </c>
      <c r="D6160" s="3">
        <v>0.0</v>
      </c>
      <c r="E6160" s="3">
        <v>0.0</v>
      </c>
      <c r="F6160" s="3" t="s">
        <v>17706</v>
      </c>
      <c r="G6160" s="3">
        <v>0.0</v>
      </c>
      <c r="H6160" s="3">
        <v>0.0</v>
      </c>
      <c r="I6160" s="3" t="s">
        <v>13</v>
      </c>
      <c r="J6160" s="3" t="s">
        <v>17707</v>
      </c>
      <c r="K6160" s="3" t="s">
        <v>644</v>
      </c>
      <c r="L6160" s="3" t="str">
        <f>IFERROR(__xludf.DUMMYFUNCTION("GOOGLETRANSLATE(F6160,""id"",""en"")"),"Mentang Bring Argentina Champion")</f>
        <v>Mentang Bring Argentina Champion</v>
      </c>
    </row>
    <row r="6161" ht="15.75" customHeight="1">
      <c r="A6161" s="1">
        <v>7348.0</v>
      </c>
      <c r="B6161" s="3" t="s">
        <v>17708</v>
      </c>
      <c r="C6161" s="3">
        <v>6.0</v>
      </c>
      <c r="D6161" s="3">
        <v>0.0</v>
      </c>
      <c r="E6161" s="3">
        <v>0.0</v>
      </c>
      <c r="F6161" s="3" t="s">
        <v>17709</v>
      </c>
      <c r="G6161" s="3">
        <v>0.3</v>
      </c>
      <c r="H6161" s="3">
        <v>0.2</v>
      </c>
      <c r="I6161" s="3" t="s">
        <v>48</v>
      </c>
      <c r="J6161" s="3" t="s">
        <v>17710</v>
      </c>
      <c r="K6161" s="3" t="s">
        <v>15</v>
      </c>
      <c r="L6161" s="3" t="str">
        <f>IFERROR(__xludf.DUMMYFUNCTION("GOOGLETRANSLATE(F6161,""id"",""en"")"),"Argentine Assist Gol Champion Just because of the penalty haha")</f>
        <v>Argentine Assist Gol Champion Just because of the penalty haha</v>
      </c>
    </row>
    <row r="6162" ht="15.75" customHeight="1">
      <c r="A6162" s="1">
        <v>7349.0</v>
      </c>
      <c r="B6162" s="3" t="s">
        <v>17711</v>
      </c>
      <c r="C6162" s="3">
        <v>0.0</v>
      </c>
      <c r="D6162" s="3">
        <v>0.0</v>
      </c>
      <c r="E6162" s="3">
        <v>0.0</v>
      </c>
      <c r="F6162" s="3" t="s">
        <v>17688</v>
      </c>
      <c r="G6162" s="3">
        <v>0.0</v>
      </c>
      <c r="H6162" s="3">
        <v>0.0</v>
      </c>
      <c r="I6162" s="3" t="s">
        <v>13</v>
      </c>
      <c r="J6162" s="3" t="s">
        <v>17689</v>
      </c>
      <c r="K6162" s="3" t="s">
        <v>15</v>
      </c>
      <c r="L6162" s="3" t="str">
        <f>IFERROR(__xludf.DUMMYFUNCTION("GOOGLETRANSLATE(F6162,""id"",""en"")"),"Successful to be a champion like the journey of the World Cup Argentina")</f>
        <v>Successful to be a champion like the journey of the World Cup Argentina</v>
      </c>
    </row>
    <row r="6163" ht="15.75" customHeight="1">
      <c r="A6163" s="1">
        <v>7350.0</v>
      </c>
      <c r="B6163" s="3" t="s">
        <v>17712</v>
      </c>
      <c r="C6163" s="3">
        <v>0.0</v>
      </c>
      <c r="D6163" s="3">
        <v>3.0</v>
      </c>
      <c r="E6163" s="3">
        <v>4.0</v>
      </c>
      <c r="F6163" s="3" t="s">
        <v>17713</v>
      </c>
      <c r="G6163" s="3">
        <v>0.2333333333333333</v>
      </c>
      <c r="H6163" s="3">
        <v>-0.25</v>
      </c>
      <c r="I6163" s="3" t="s">
        <v>179</v>
      </c>
      <c r="J6163" s="3" t="s">
        <v>17714</v>
      </c>
      <c r="K6163" s="3" t="s">
        <v>510</v>
      </c>
      <c r="L6163" s="3" t="str">
        <f>IFERROR(__xludf.DUMMYFUNCTION("GOOGLETRANSLATE(F6163,""id"",""en"")"),"Argentine celebration champions become a parade, aka Mrs")</f>
        <v>Argentine celebration champions become a parade, aka Mrs</v>
      </c>
    </row>
    <row r="6164" ht="15.75" customHeight="1">
      <c r="A6164" s="1">
        <v>7351.0</v>
      </c>
      <c r="B6164" s="3" t="s">
        <v>17715</v>
      </c>
      <c r="C6164" s="3">
        <v>0.0</v>
      </c>
      <c r="D6164" s="3">
        <v>0.0</v>
      </c>
      <c r="E6164" s="3">
        <v>0.0</v>
      </c>
      <c r="F6164" s="3" t="s">
        <v>17716</v>
      </c>
      <c r="G6164" s="3">
        <v>0.0</v>
      </c>
      <c r="H6164" s="3">
        <v>0.0</v>
      </c>
      <c r="I6164" s="3" t="s">
        <v>13</v>
      </c>
      <c r="J6164" s="3" t="s">
        <v>17717</v>
      </c>
      <c r="K6164" s="3" t="s">
        <v>1489</v>
      </c>
      <c r="L6164" s="3" t="str">
        <f>IFERROR(__xludf.DUMMYFUNCTION("GOOGLETRANSLATE(F6164,""id"",""en"")"),"Tomorrow also want to find an excuse or make a facts of the own if the Argentina champion is the setting huft is natural if it makes an opinion like that is not a supporter of Argentina ntr Moroccan champion makes this opinion.")</f>
        <v>Tomorrow also want to find an excuse or make a facts of the own if the Argentina champion is the setting huft is natural if it makes an opinion like that is not a supporter of Argentina ntr Moroccan champion makes this opinion.</v>
      </c>
    </row>
    <row r="6165" ht="15.75" customHeight="1">
      <c r="A6165" s="1">
        <v>7352.0</v>
      </c>
      <c r="B6165" s="3" t="s">
        <v>17718</v>
      </c>
      <c r="C6165" s="3">
        <v>0.0</v>
      </c>
      <c r="D6165" s="3">
        <v>0.0</v>
      </c>
      <c r="E6165" s="3">
        <v>0.0</v>
      </c>
      <c r="F6165" s="3" t="s">
        <v>17719</v>
      </c>
      <c r="G6165" s="3">
        <v>0.0</v>
      </c>
      <c r="H6165" s="3">
        <v>0.0</v>
      </c>
      <c r="I6165" s="3" t="s">
        <v>13</v>
      </c>
      <c r="J6165" s="3" t="s">
        <v>17720</v>
      </c>
      <c r="K6165" s="3" t="s">
        <v>82</v>
      </c>
      <c r="L6165" s="3" t="str">
        <f>IFERROR(__xludf.DUMMYFUNCTION("GOOGLETRANSLATE(F6165,""id"",""en"")"),"Understanding Argentina World Champion Min but many are annoyed")</f>
        <v>Understanding Argentina World Champion Min but many are annoyed</v>
      </c>
    </row>
    <row r="6166" ht="15.75" customHeight="1">
      <c r="A6166" s="1">
        <v>7353.0</v>
      </c>
      <c r="B6166" s="3" t="s">
        <v>17721</v>
      </c>
      <c r="C6166" s="3">
        <v>0.0</v>
      </c>
      <c r="D6166" s="3">
        <v>0.0</v>
      </c>
      <c r="E6166" s="3">
        <v>0.0</v>
      </c>
      <c r="F6166" s="3" t="s">
        <v>17722</v>
      </c>
      <c r="G6166" s="3">
        <v>0.0</v>
      </c>
      <c r="H6166" s="3">
        <v>0.0</v>
      </c>
      <c r="I6166" s="3" t="s">
        <v>13</v>
      </c>
      <c r="J6166" s="3" t="s">
        <v>17723</v>
      </c>
      <c r="K6166" s="3" t="s">
        <v>58</v>
      </c>
      <c r="L6166" s="3" t="str">
        <f>IFERROR(__xludf.DUMMYFUNCTION("GOOGLETRANSLATE(F6166,""id"",""en"")"),"Why not sir since Habibi became the new president of Pak Argentina, the champion why Messi should")</f>
        <v>Why not sir since Habibi became the new president of Pak Argentina, the champion why Messi should</v>
      </c>
    </row>
    <row r="6167" ht="15.75" customHeight="1">
      <c r="A6167" s="1">
        <v>7354.0</v>
      </c>
      <c r="B6167" s="3" t="s">
        <v>17724</v>
      </c>
      <c r="C6167" s="3">
        <v>1.0</v>
      </c>
      <c r="D6167" s="3">
        <v>0.0</v>
      </c>
      <c r="E6167" s="3">
        <v>0.0</v>
      </c>
      <c r="F6167" s="3" t="s">
        <v>17725</v>
      </c>
      <c r="G6167" s="3">
        <v>0.0</v>
      </c>
      <c r="H6167" s="3">
        <v>0.0</v>
      </c>
      <c r="I6167" s="3" t="s">
        <v>13</v>
      </c>
      <c r="J6167" s="3" t="s">
        <v>17726</v>
      </c>
      <c r="K6167" s="3" t="s">
        <v>1335</v>
      </c>
      <c r="L6167" s="3" t="str">
        <f>IFERROR(__xludf.DUMMYFUNCTION("GOOGLETRANSLATE(F6167,""id"",""en"")"),"world champion Argentina you are champions in my heart forever")</f>
        <v>world champion Argentina you are champions in my heart forever</v>
      </c>
    </row>
    <row r="6168" ht="15.75" customHeight="1">
      <c r="A6168" s="1">
        <v>7355.0</v>
      </c>
      <c r="B6168" s="3" t="s">
        <v>17727</v>
      </c>
      <c r="C6168" s="3">
        <v>0.0</v>
      </c>
      <c r="D6168" s="3">
        <v>0.0</v>
      </c>
      <c r="E6168" s="3">
        <v>0.0</v>
      </c>
      <c r="F6168" s="3" t="s">
        <v>17688</v>
      </c>
      <c r="G6168" s="3">
        <v>0.0</v>
      </c>
      <c r="H6168" s="3">
        <v>0.0</v>
      </c>
      <c r="I6168" s="3" t="s">
        <v>13</v>
      </c>
      <c r="J6168" s="3" t="s">
        <v>17689</v>
      </c>
      <c r="K6168" s="3" t="s">
        <v>15</v>
      </c>
      <c r="L6168" s="3" t="str">
        <f>IFERROR(__xludf.DUMMYFUNCTION("GOOGLETRANSLATE(F6168,""id"",""en"")"),"Successful to be a champion like the journey of the World Cup Argentina")</f>
        <v>Successful to be a champion like the journey of the World Cup Argentina</v>
      </c>
    </row>
    <row r="6169" ht="15.75" customHeight="1">
      <c r="A6169" s="1">
        <v>7356.0</v>
      </c>
      <c r="B6169" s="3" t="s">
        <v>17728</v>
      </c>
      <c r="C6169" s="3">
        <v>0.0</v>
      </c>
      <c r="D6169" s="3">
        <v>0.0</v>
      </c>
      <c r="E6169" s="3">
        <v>1.0</v>
      </c>
      <c r="F6169" s="3" t="s">
        <v>17729</v>
      </c>
      <c r="G6169" s="3">
        <v>0.0</v>
      </c>
      <c r="H6169" s="3">
        <v>0.0</v>
      </c>
      <c r="I6169" s="3" t="s">
        <v>13</v>
      </c>
      <c r="J6169" s="3" t="s">
        <v>17730</v>
      </c>
      <c r="K6169" s="3" t="s">
        <v>31</v>
      </c>
      <c r="L6169" s="3" t="str">
        <f>IFERROR(__xludf.DUMMYFUNCTION("GOOGLETRANSLATE(F6169,""id"",""en"")"),"Argentine national team champion world cup")</f>
        <v>Argentine national team champion world cup</v>
      </c>
    </row>
    <row r="6170" ht="15.75" customHeight="1">
      <c r="A6170" s="1">
        <v>7357.0</v>
      </c>
      <c r="B6170" s="3" t="s">
        <v>17731</v>
      </c>
      <c r="C6170" s="3">
        <v>1.0</v>
      </c>
      <c r="D6170" s="3">
        <v>0.0</v>
      </c>
      <c r="E6170" s="3">
        <v>2.0</v>
      </c>
      <c r="F6170" s="3" t="s">
        <v>17732</v>
      </c>
      <c r="G6170" s="3">
        <v>0.0</v>
      </c>
      <c r="H6170" s="3">
        <v>0.0</v>
      </c>
      <c r="I6170" s="3" t="s">
        <v>13</v>
      </c>
      <c r="J6170" s="3" t="s">
        <v>17733</v>
      </c>
      <c r="K6170" s="3" t="s">
        <v>15</v>
      </c>
      <c r="L6170" s="3" t="str">
        <f>IFERROR(__xludf.DUMMYFUNCTION("GOOGLETRANSLATE(F6170,""id"",""en"")"),"This imron is Argentina after the celebration of the World Cup championship")</f>
        <v>This imron is Argentina after the celebration of the World Cup championship</v>
      </c>
    </row>
    <row r="6171" ht="15.75" customHeight="1">
      <c r="A6171" s="1">
        <v>7358.0</v>
      </c>
      <c r="B6171" s="3" t="s">
        <v>17734</v>
      </c>
      <c r="C6171" s="3">
        <v>0.0</v>
      </c>
      <c r="D6171" s="3">
        <v>0.0</v>
      </c>
      <c r="E6171" s="3">
        <v>0.0</v>
      </c>
      <c r="F6171" s="3" t="s">
        <v>17735</v>
      </c>
      <c r="G6171" s="3">
        <v>0.0</v>
      </c>
      <c r="H6171" s="3">
        <v>0.0</v>
      </c>
      <c r="I6171" s="3" t="s">
        <v>13</v>
      </c>
      <c r="J6171" s="3" t="s">
        <v>17736</v>
      </c>
      <c r="K6171" s="3" t="s">
        <v>244</v>
      </c>
      <c r="L6171" s="3" t="str">
        <f>IFERROR(__xludf.DUMMYFUNCTION("GOOGLETRANSLATE(F6171,""id"",""en"")"),"Messi lifted the trophy to realize his dream of the Argentine national team to win the World Cup championship")</f>
        <v>Messi lifted the trophy to realize his dream of the Argentine national team to win the World Cup championship</v>
      </c>
    </row>
    <row r="6172" ht="15.75" customHeight="1">
      <c r="A6172" s="1">
        <v>7359.0</v>
      </c>
      <c r="B6172" s="3" t="s">
        <v>17737</v>
      </c>
      <c r="C6172" s="3">
        <v>0.0</v>
      </c>
      <c r="D6172" s="3">
        <v>0.0</v>
      </c>
      <c r="E6172" s="3">
        <v>0.0</v>
      </c>
      <c r="F6172" s="3" t="s">
        <v>17738</v>
      </c>
      <c r="G6172" s="3">
        <v>0.0</v>
      </c>
      <c r="H6172" s="3">
        <v>0.0</v>
      </c>
      <c r="I6172" s="3" t="s">
        <v>13</v>
      </c>
      <c r="J6172" s="3" t="s">
        <v>17739</v>
      </c>
      <c r="K6172" s="3" t="s">
        <v>41</v>
      </c>
      <c r="L6172" s="3" t="str">
        <f>IFERROR(__xludf.DUMMYFUNCTION("GOOGLETRANSLATE(F6172,""id"",""en"")"),"Lionel Messi World Cup's goal moment brought Argentina Champion")</f>
        <v>Lionel Messi World Cup's goal moment brought Argentina Champion</v>
      </c>
    </row>
    <row r="6173" ht="15.75" customHeight="1">
      <c r="A6173" s="1">
        <v>7360.0</v>
      </c>
      <c r="B6173" s="3" t="s">
        <v>17740</v>
      </c>
      <c r="C6173" s="3">
        <v>1.0</v>
      </c>
      <c r="D6173" s="3">
        <v>2.0</v>
      </c>
      <c r="E6173" s="3">
        <v>2.0</v>
      </c>
      <c r="F6173" s="3" t="s">
        <v>17741</v>
      </c>
      <c r="G6173" s="3">
        <v>0.0</v>
      </c>
      <c r="H6173" s="3">
        <v>0.0</v>
      </c>
      <c r="I6173" s="3" t="s">
        <v>13</v>
      </c>
      <c r="J6173" s="3" t="s">
        <v>17742</v>
      </c>
      <c r="K6173" s="3" t="s">
        <v>633</v>
      </c>
      <c r="L6173" s="3" t="str">
        <f>IFERROR(__xludf.DUMMYFUNCTION("GOOGLETRANSLATE(F6173,""id"",""en"")"),"Naib Champion The freelance edition will begin their events of this evening can the range of wings Garuda Mendonia for this edition Argentina may not want to win right")</f>
        <v>Naib Champion The freelance edition will begin their events of this evening can the range of wings Garuda Mendonia for this edition Argentina may not want to win right</v>
      </c>
    </row>
    <row r="6174" ht="15.75" customHeight="1">
      <c r="A6174" s="1">
        <v>7361.0</v>
      </c>
      <c r="B6174" s="3" t="s">
        <v>17743</v>
      </c>
      <c r="C6174" s="3">
        <v>1.0</v>
      </c>
      <c r="D6174" s="3">
        <v>1.0</v>
      </c>
      <c r="E6174" s="3">
        <v>1.0</v>
      </c>
      <c r="F6174" s="3" t="s">
        <v>17744</v>
      </c>
      <c r="G6174" s="3">
        <v>0.0</v>
      </c>
      <c r="H6174" s="3">
        <v>0.0</v>
      </c>
      <c r="I6174" s="3" t="s">
        <v>13</v>
      </c>
      <c r="J6174" s="3" t="s">
        <v>17745</v>
      </c>
      <c r="K6174" s="3" t="s">
        <v>19</v>
      </c>
      <c r="L6174" s="3" t="str">
        <f>IFERROR(__xludf.DUMMYFUNCTION("GOOGLETRANSLATE(F6174,""id"",""en"")"),"Ababil Messi yesterday why wasn't it appointed PNS Bil even though I had been credited with carrying Argentina champions")</f>
        <v>Ababil Messi yesterday why wasn't it appointed PNS Bil even though I had been credited with carrying Argentina champions</v>
      </c>
    </row>
    <row r="6175" ht="15.75" customHeight="1">
      <c r="A6175" s="1">
        <v>7364.0</v>
      </c>
      <c r="B6175" s="3" t="s">
        <v>17746</v>
      </c>
      <c r="C6175" s="3">
        <v>0.0</v>
      </c>
      <c r="D6175" s="3">
        <v>0.0</v>
      </c>
      <c r="E6175" s="3">
        <v>0.0</v>
      </c>
      <c r="F6175" s="3" t="s">
        <v>17747</v>
      </c>
      <c r="G6175" s="3">
        <v>0.0</v>
      </c>
      <c r="H6175" s="3">
        <v>0.0</v>
      </c>
      <c r="I6175" s="3" t="s">
        <v>13</v>
      </c>
      <c r="J6175" s="3" t="s">
        <v>17748</v>
      </c>
      <c r="K6175" s="3" t="s">
        <v>165</v>
      </c>
      <c r="L6175" s="3" t="str">
        <f>IFERROR(__xludf.DUMMYFUNCTION("GOOGLETRANSLATE(F6175,""id"",""en"")"),"World Cup Champion and the same as Cipper Lara from the pain that arrested the Argentine nation and then I asked when Space last day with Mas Indo champions in the year more meaningful and then answered by his mas")</f>
        <v>World Cup Champion and the same as Cipper Lara from the pain that arrested the Argentine nation and then I asked when Space last day with Mas Indo champions in the year more meaningful and then answered by his mas</v>
      </c>
    </row>
    <row r="6176" ht="15.75" customHeight="1">
      <c r="A6176" s="1">
        <v>7365.0</v>
      </c>
      <c r="B6176" s="3" t="s">
        <v>17749</v>
      </c>
      <c r="C6176" s="3">
        <v>0.0</v>
      </c>
      <c r="D6176" s="3">
        <v>0.0</v>
      </c>
      <c r="E6176" s="3">
        <v>0.0</v>
      </c>
      <c r="F6176" s="3" t="s">
        <v>17750</v>
      </c>
      <c r="G6176" s="3">
        <v>0.0</v>
      </c>
      <c r="H6176" s="3">
        <v>0.0</v>
      </c>
      <c r="I6176" s="3" t="s">
        <v>13</v>
      </c>
      <c r="J6176" s="3" t="s">
        <v>17751</v>
      </c>
      <c r="K6176" s="3" t="s">
        <v>3977</v>
      </c>
      <c r="L6176" s="3" t="str">
        <f>IFERROR(__xludf.DUMMYFUNCTION("GOOGLETRANSLATE(F6176,""id"",""en"")"),"The success of Argentina embraced the World Cup champion made the Argentine Financial Regulatory Agency plans to capture Messi's face in the Argentine peso currency Messi's face will appear on the Argentine peso fraction paper")</f>
        <v>The success of Argentina embraced the World Cup champion made the Argentine Financial Regulatory Agency plans to capture Messi's face in the Argentine peso currency Messi's face will appear on the Argentine peso fraction paper</v>
      </c>
    </row>
    <row r="6177" ht="15.75" customHeight="1">
      <c r="A6177" s="1">
        <v>7366.0</v>
      </c>
      <c r="B6177" s="3" t="s">
        <v>17752</v>
      </c>
      <c r="C6177" s="3">
        <v>0.0</v>
      </c>
      <c r="D6177" s="3">
        <v>0.0</v>
      </c>
      <c r="E6177" s="3">
        <v>4.0</v>
      </c>
      <c r="F6177" s="3" t="s">
        <v>17753</v>
      </c>
      <c r="G6177" s="3">
        <v>0.0</v>
      </c>
      <c r="H6177" s="3">
        <v>0.0</v>
      </c>
      <c r="I6177" s="3" t="s">
        <v>13</v>
      </c>
      <c r="J6177" s="3" t="s">
        <v>17754</v>
      </c>
      <c r="K6177" s="3" t="s">
        <v>240</v>
      </c>
      <c r="L6177" s="3" t="str">
        <f>IFERROR(__xludf.DUMMYFUNCTION("GOOGLETRANSLATE(F6177,""id"",""en"")"),"Manchester City Manager Pep Guardiola is also happy with the success of Argentina World Cup champions because Lionel Messi deserves it")</f>
        <v>Manchester City Manager Pep Guardiola is also happy with the success of Argentina World Cup champions because Lionel Messi deserves it</v>
      </c>
    </row>
    <row r="6178" ht="15.75" customHeight="1">
      <c r="A6178" s="1">
        <v>7367.0</v>
      </c>
      <c r="B6178" s="3" t="s">
        <v>17755</v>
      </c>
      <c r="C6178" s="3">
        <v>1.0</v>
      </c>
      <c r="D6178" s="3">
        <v>0.0</v>
      </c>
      <c r="E6178" s="3">
        <v>6.0</v>
      </c>
      <c r="F6178" s="3" t="s">
        <v>17756</v>
      </c>
      <c r="G6178" s="3">
        <v>0.5</v>
      </c>
      <c r="H6178" s="3">
        <v>0.0</v>
      </c>
      <c r="I6178" s="3" t="s">
        <v>13</v>
      </c>
      <c r="J6178" s="3" t="s">
        <v>17757</v>
      </c>
      <c r="K6178" s="3" t="s">
        <v>484</v>
      </c>
      <c r="L6178" s="3" t="str">
        <f>IFERROR(__xludf.DUMMYFUNCTION("GOOGLETRANSLATE(F6178,""id"",""en"")"),"Messi Argentina fans in the world champion are happy obviously barsa fans usually not happy because the support of the Dutch national team")</f>
        <v>Messi Argentina fans in the world champion are happy obviously barsa fans usually not happy because the support of the Dutch national team</v>
      </c>
    </row>
    <row r="6179" ht="15.75" customHeight="1">
      <c r="A6179" s="1">
        <v>7368.0</v>
      </c>
      <c r="B6179" s="3" t="s">
        <v>17758</v>
      </c>
      <c r="C6179" s="3">
        <v>0.0</v>
      </c>
      <c r="D6179" s="3">
        <v>0.0</v>
      </c>
      <c r="E6179" s="3">
        <v>0.0</v>
      </c>
      <c r="F6179" s="3" t="s">
        <v>17759</v>
      </c>
      <c r="G6179" s="3">
        <v>0.0</v>
      </c>
      <c r="H6179" s="3">
        <v>0.0</v>
      </c>
      <c r="I6179" s="3" t="s">
        <v>13</v>
      </c>
      <c r="J6179" s="3" t="s">
        <v>17760</v>
      </c>
      <c r="K6179" s="3" t="s">
        <v>50</v>
      </c>
      <c r="L6179" s="3" t="str">
        <f>IFERROR(__xludf.DUMMYFUNCTION("GOOGLETRANSLATE(F6179,""id"",""en"")"),"Argentina Champion World Cup Fan Hair Shaving Client Using Messi's Face")</f>
        <v>Argentina Champion World Cup Fan Hair Shaving Client Using Messi's Face</v>
      </c>
    </row>
    <row r="6180" ht="15.75" customHeight="1">
      <c r="A6180" s="1">
        <v>7369.0</v>
      </c>
      <c r="B6180" s="3" t="s">
        <v>17761</v>
      </c>
      <c r="C6180" s="3">
        <v>0.0</v>
      </c>
      <c r="D6180" s="3">
        <v>0.0</v>
      </c>
      <c r="E6180" s="3">
        <v>0.0</v>
      </c>
      <c r="F6180" s="3" t="s">
        <v>17762</v>
      </c>
      <c r="G6180" s="3">
        <v>0.0</v>
      </c>
      <c r="H6180" s="3">
        <v>0.0</v>
      </c>
      <c r="I6180" s="3" t="s">
        <v>13</v>
      </c>
      <c r="J6180" s="3" t="s">
        <v>17763</v>
      </c>
      <c r="K6180" s="3" t="s">
        <v>75</v>
      </c>
      <c r="L6180" s="3" t="str">
        <f>IFERROR(__xludf.DUMMYFUNCTION("GOOGLETRANSLATE(F6180,""id"",""en"")"),"Messi's excitement until his hometown after becoming a world champion was welcomed like a hero")</f>
        <v>Messi's excitement until his hometown after becoming a world champion was welcomed like a hero</v>
      </c>
    </row>
    <row r="6181" ht="15.75" customHeight="1">
      <c r="A6181" s="1">
        <v>7370.0</v>
      </c>
      <c r="B6181" s="3" t="s">
        <v>17764</v>
      </c>
      <c r="C6181" s="3">
        <v>0.0</v>
      </c>
      <c r="D6181" s="3">
        <v>0.0</v>
      </c>
      <c r="E6181" s="3">
        <v>0.0</v>
      </c>
      <c r="F6181" s="3" t="s">
        <v>17765</v>
      </c>
      <c r="G6181" s="3">
        <v>0.0</v>
      </c>
      <c r="H6181" s="3">
        <v>0.0</v>
      </c>
      <c r="I6181" s="3" t="s">
        <v>13</v>
      </c>
      <c r="J6181" s="3" t="s">
        <v>17766</v>
      </c>
      <c r="K6181" s="3" t="s">
        <v>50</v>
      </c>
      <c r="L6181" s="3" t="str">
        <f>IFERROR(__xludf.DUMMYFUNCTION("GOOGLETRANSLATE(F6181,""id"",""en"")"),"Argentine national team celebrates victory over the open bus prepared by Qatar for the champion")</f>
        <v>Argentine national team celebrates victory over the open bus prepared by Qatar for the champion</v>
      </c>
    </row>
    <row r="6182" ht="15.75" customHeight="1">
      <c r="A6182" s="1">
        <v>7371.0</v>
      </c>
      <c r="B6182" s="3" t="s">
        <v>17767</v>
      </c>
      <c r="C6182" s="3">
        <v>1.0</v>
      </c>
      <c r="D6182" s="3">
        <v>0.0</v>
      </c>
      <c r="E6182" s="3">
        <v>5.0</v>
      </c>
      <c r="F6182" s="3" t="s">
        <v>17768</v>
      </c>
      <c r="G6182" s="3">
        <v>0.0</v>
      </c>
      <c r="H6182" s="3">
        <v>0.0</v>
      </c>
      <c r="I6182" s="3" t="s">
        <v>13</v>
      </c>
      <c r="J6182" s="3" t="s">
        <v>17769</v>
      </c>
      <c r="K6182" s="3" t="s">
        <v>82</v>
      </c>
      <c r="L6182" s="3" t="str">
        <f>IFERROR(__xludf.DUMMYFUNCTION("GOOGLETRANSLATE(F6182,""id"",""en"")"),"Barca should be Messi champion with Argentina")</f>
        <v>Barca should be Messi champion with Argentina</v>
      </c>
    </row>
    <row r="6183" ht="15.75" customHeight="1">
      <c r="A6183" s="1">
        <v>7372.0</v>
      </c>
      <c r="B6183" s="3" t="s">
        <v>17770</v>
      </c>
      <c r="C6183" s="3">
        <v>0.0</v>
      </c>
      <c r="D6183" s="3">
        <v>1.0</v>
      </c>
      <c r="E6183" s="3">
        <v>17.0</v>
      </c>
      <c r="F6183" s="3" t="s">
        <v>17771</v>
      </c>
      <c r="G6183" s="3">
        <v>0.0</v>
      </c>
      <c r="H6183" s="3">
        <v>0.0</v>
      </c>
      <c r="I6183" s="3" t="s">
        <v>13</v>
      </c>
      <c r="J6183" s="3" t="s">
        <v>17772</v>
      </c>
      <c r="K6183" s="3" t="s">
        <v>31</v>
      </c>
      <c r="L6183" s="3" t="str">
        <f>IFERROR(__xludf.DUMMYFUNCTION("GOOGLETRANSLATE(F6183,""id"",""en"")"),"Currently enjoying a vacation after the championship")</f>
        <v>Currently enjoying a vacation after the championship</v>
      </c>
    </row>
    <row r="6184" ht="15.75" customHeight="1">
      <c r="A6184" s="1">
        <v>7373.0</v>
      </c>
      <c r="B6184" s="3" t="s">
        <v>17773</v>
      </c>
      <c r="C6184" s="3">
        <v>0.0</v>
      </c>
      <c r="D6184" s="3">
        <v>0.0</v>
      </c>
      <c r="E6184" s="3">
        <v>7.0</v>
      </c>
      <c r="F6184" s="3" t="s">
        <v>17753</v>
      </c>
      <c r="G6184" s="3">
        <v>0.0</v>
      </c>
      <c r="H6184" s="3">
        <v>0.0</v>
      </c>
      <c r="I6184" s="3" t="s">
        <v>13</v>
      </c>
      <c r="J6184" s="3" t="s">
        <v>17754</v>
      </c>
      <c r="K6184" s="3" t="s">
        <v>240</v>
      </c>
      <c r="L6184" s="3" t="str">
        <f>IFERROR(__xludf.DUMMYFUNCTION("GOOGLETRANSLATE(F6184,""id"",""en"")"),"Manchester City Manager Pep Guardiola is also happy with the success of Argentina World Cup champions because Lionel Messi deserves it")</f>
        <v>Manchester City Manager Pep Guardiola is also happy with the success of Argentina World Cup champions because Lionel Messi deserves it</v>
      </c>
    </row>
    <row r="6185" ht="15.75" customHeight="1">
      <c r="A6185" s="1">
        <v>7374.0</v>
      </c>
      <c r="B6185" s="3" t="s">
        <v>17774</v>
      </c>
      <c r="C6185" s="3">
        <v>0.0</v>
      </c>
      <c r="D6185" s="3">
        <v>0.0</v>
      </c>
      <c r="E6185" s="3">
        <v>4.0</v>
      </c>
      <c r="F6185" s="3" t="s">
        <v>17775</v>
      </c>
      <c r="G6185" s="3">
        <v>0.0</v>
      </c>
      <c r="H6185" s="3">
        <v>0.0</v>
      </c>
      <c r="I6185" s="3" t="s">
        <v>13</v>
      </c>
      <c r="J6185" s="3" t="s">
        <v>17776</v>
      </c>
      <c r="K6185" s="3" t="s">
        <v>495</v>
      </c>
      <c r="L6185" s="3" t="str">
        <f>IFERROR(__xludf.DUMMYFUNCTION("GOOGLETRANSLATE(F6185,""id"",""en"")"),"Manchester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186" ht="15.75" customHeight="1">
      <c r="A6186" s="1">
        <v>7375.0</v>
      </c>
      <c r="B6186" s="3" t="s">
        <v>17777</v>
      </c>
      <c r="C6186" s="3">
        <v>0.0</v>
      </c>
      <c r="D6186" s="3">
        <v>0.0</v>
      </c>
      <c r="E6186" s="3">
        <v>0.0</v>
      </c>
      <c r="F6186" s="3" t="s">
        <v>17778</v>
      </c>
      <c r="G6186" s="3">
        <v>0.3333333333333333</v>
      </c>
      <c r="H6186" s="3">
        <v>0.1666666666666667</v>
      </c>
      <c r="I6186" s="3" t="s">
        <v>48</v>
      </c>
      <c r="J6186" s="3" t="s">
        <v>17779</v>
      </c>
      <c r="K6186" s="3" t="s">
        <v>75</v>
      </c>
      <c r="L6186" s="3" t="str">
        <f>IFERROR(__xludf.DUMMYFUNCTION("GOOGLETRANSLATE(F6186,""id"",""en"")"),"Players play a big role in carrying Argentina champions turned out to play the English League")</f>
        <v>Players play a big role in carrying Argentina champions turned out to play the English League</v>
      </c>
    </row>
    <row r="6187" ht="15.75" customHeight="1">
      <c r="A6187" s="1">
        <v>7376.0</v>
      </c>
      <c r="B6187" s="3" t="s">
        <v>17780</v>
      </c>
      <c r="C6187" s="3">
        <v>0.0</v>
      </c>
      <c r="D6187" s="3">
        <v>0.0</v>
      </c>
      <c r="E6187" s="3">
        <v>0.0</v>
      </c>
      <c r="F6187" s="3" t="s">
        <v>17781</v>
      </c>
      <c r="G6187" s="3">
        <v>0.0</v>
      </c>
      <c r="H6187" s="3">
        <v>0.0</v>
      </c>
      <c r="I6187" s="3" t="s">
        <v>13</v>
      </c>
      <c r="J6187" s="3" t="s">
        <v>17782</v>
      </c>
      <c r="K6187" s="3" t="s">
        <v>82</v>
      </c>
      <c r="L6187" s="3" t="str">
        <f>IFERROR(__xludf.DUMMYFUNCTION("GOOGLETRANSLATE(F6187,""id"",""en"")"),"Argentina World Cup Champion Got Fantastic Prizes and Bonuses")</f>
        <v>Argentina World Cup Champion Got Fantastic Prizes and Bonuses</v>
      </c>
    </row>
    <row r="6188" ht="15.75" customHeight="1">
      <c r="A6188" s="1">
        <v>7377.0</v>
      </c>
      <c r="B6188" s="3" t="s">
        <v>17783</v>
      </c>
      <c r="C6188" s="3">
        <v>0.0</v>
      </c>
      <c r="D6188" s="3">
        <v>0.0</v>
      </c>
      <c r="E6188" s="3">
        <v>1.0</v>
      </c>
      <c r="F6188" s="3" t="s">
        <v>17784</v>
      </c>
      <c r="G6188" s="3">
        <v>0.0</v>
      </c>
      <c r="H6188" s="3">
        <v>0.0</v>
      </c>
      <c r="I6188" s="3" t="s">
        <v>13</v>
      </c>
      <c r="J6188" s="3" t="s">
        <v>17785</v>
      </c>
      <c r="K6188" s="3" t="s">
        <v>286</v>
      </c>
      <c r="L6188" s="3" t="str">
        <f>IFERROR(__xludf.DUMMYFUNCTION("GOOGLETRANSLATE(F6188,""id"",""en"")"),"We are very happy for Julian Alvarez congratulations to him and Otamendi personally for Messi for Argentina, it is worth us to be happy for Julian he played a lot of extraordinary contribution we have our team champion Pep Guardiola")</f>
        <v>We are very happy for Julian Alvarez congratulations to him and Otamendi personally for Messi for Argentina, it is worth us to be happy for Julian he played a lot of extraordinary contribution we have our team champion Pep Guardiola</v>
      </c>
    </row>
    <row r="6189" ht="15.75" customHeight="1">
      <c r="A6189" s="1">
        <v>7378.0</v>
      </c>
      <c r="B6189" s="3" t="s">
        <v>17786</v>
      </c>
      <c r="C6189" s="3">
        <v>0.0</v>
      </c>
      <c r="D6189" s="3">
        <v>0.0</v>
      </c>
      <c r="E6189" s="3">
        <v>0.0</v>
      </c>
      <c r="F6189" s="3" t="s">
        <v>17787</v>
      </c>
      <c r="G6189" s="3">
        <v>0.0</v>
      </c>
      <c r="H6189" s="3">
        <v>0.0</v>
      </c>
      <c r="I6189" s="3" t="s">
        <v>13</v>
      </c>
      <c r="J6189" s="3" t="s">
        <v>17788</v>
      </c>
      <c r="K6189" s="3" t="s">
        <v>495</v>
      </c>
      <c r="L6189" s="3" t="str">
        <f>IFERROR(__xludf.DUMMYFUNCTION("GOOGLETRANSLATE(F6189,""id"",""en"")"),"FIFA's official Twitter account was in the spotlight when they congratulated Lionel Messi who had succeeded in delivering the Argentine national team champions of the World Cup")</f>
        <v>FIFA's official Twitter account was in the spotlight when they congratulated Lionel Messi who had succeeded in delivering the Argentine national team champions of the World Cup</v>
      </c>
    </row>
    <row r="6190" ht="15.75" customHeight="1">
      <c r="A6190" s="1">
        <v>7379.0</v>
      </c>
      <c r="B6190" s="3" t="s">
        <v>17789</v>
      </c>
      <c r="C6190" s="3">
        <v>1.0</v>
      </c>
      <c r="D6190" s="3">
        <v>0.0</v>
      </c>
      <c r="E6190" s="3">
        <v>0.0</v>
      </c>
      <c r="F6190" s="3" t="s">
        <v>17790</v>
      </c>
      <c r="G6190" s="3">
        <v>0.0</v>
      </c>
      <c r="H6190" s="3">
        <v>0.0</v>
      </c>
      <c r="I6190" s="3" t="s">
        <v>13</v>
      </c>
      <c r="J6190" s="3" t="s">
        <v>17791</v>
      </c>
      <c r="K6190" s="3" t="s">
        <v>75</v>
      </c>
      <c r="L6190" s="3" t="str">
        <f>IFERROR(__xludf.DUMMYFUNCTION("GOOGLETRANSLATE(F6190,""id"",""en"")"),"Don't be inferior to being an Argentine citizen of the world championship using a damkar car")</f>
        <v>Don't be inferior to being an Argentine citizen of the world championship using a damkar car</v>
      </c>
    </row>
    <row r="6191" ht="15.75" customHeight="1">
      <c r="A6191" s="1">
        <v>7380.0</v>
      </c>
      <c r="B6191" s="3" t="s">
        <v>17792</v>
      </c>
      <c r="C6191" s="3">
        <v>0.0</v>
      </c>
      <c r="D6191" s="3">
        <v>0.0</v>
      </c>
      <c r="E6191" s="3">
        <v>0.0</v>
      </c>
      <c r="F6191" s="3" t="s">
        <v>17793</v>
      </c>
      <c r="G6191" s="3">
        <v>0.0</v>
      </c>
      <c r="H6191" s="3">
        <v>0.0</v>
      </c>
      <c r="I6191" s="3" t="s">
        <v>13</v>
      </c>
      <c r="J6191" s="3" t="s">
        <v>17794</v>
      </c>
      <c r="K6191" s="3" t="s">
        <v>657</v>
      </c>
      <c r="L6191" s="3" t="str">
        <f>IFERROR(__xludf.DUMMYFUNCTION("GOOGLETRANSLATE(F6191,""id"",""en"")"),"Puang Raju residents of Limboro Sulbar named his first grandchild Muhammad Messi after Argentina Champion World Cup")</f>
        <v>Puang Raju residents of Limboro Sulbar named his first grandchild Muhammad Messi after Argentina Champion World Cup</v>
      </c>
    </row>
    <row r="6192" ht="15.75" customHeight="1">
      <c r="A6192" s="1">
        <v>7381.0</v>
      </c>
      <c r="B6192" s="3" t="s">
        <v>17795</v>
      </c>
      <c r="C6192" s="3">
        <v>8.0</v>
      </c>
      <c r="D6192" s="3">
        <v>6.0</v>
      </c>
      <c r="E6192" s="3">
        <v>24.0</v>
      </c>
      <c r="F6192" s="3" t="s">
        <v>17796</v>
      </c>
      <c r="G6192" s="3">
        <v>0.0</v>
      </c>
      <c r="H6192" s="3">
        <v>0.0</v>
      </c>
      <c r="I6192" s="3" t="s">
        <v>13</v>
      </c>
      <c r="J6192" s="3" t="s">
        <v>17797</v>
      </c>
      <c r="K6192" s="3" t="s">
        <v>644</v>
      </c>
      <c r="L6192" s="3" t="str">
        <f>IFERROR(__xludf.DUMMYFUNCTION("GOOGLETRANSLATE(F6192,""id"",""en"")"),"Just Argentina Help Champion")</f>
        <v>Just Argentina Help Champion</v>
      </c>
    </row>
    <row r="6193" ht="15.75" customHeight="1">
      <c r="A6193" s="1">
        <v>7382.0</v>
      </c>
      <c r="B6193" s="3" t="s">
        <v>17798</v>
      </c>
      <c r="C6193" s="3">
        <v>0.0</v>
      </c>
      <c r="D6193" s="3">
        <v>0.0</v>
      </c>
      <c r="E6193" s="3">
        <v>0.0</v>
      </c>
      <c r="F6193" s="3" t="s">
        <v>17799</v>
      </c>
      <c r="G6193" s="3">
        <v>0.0</v>
      </c>
      <c r="H6193" s="3">
        <v>0.0</v>
      </c>
      <c r="I6193" s="3" t="s">
        <v>13</v>
      </c>
      <c r="J6193" s="3" t="s">
        <v>17800</v>
      </c>
      <c r="K6193" s="3" t="s">
        <v>236</v>
      </c>
      <c r="L6193" s="3" t="str">
        <f>IFERROR(__xludf.DUMMYFUNCTION("GOOGLETRANSLATE(F6193,""id"",""en"")"),"There is no benefit from the account of the fan account, I don't really want Argentina to the championship")</f>
        <v>There is no benefit from the account of the fan account, I don't really want Argentina to the championship</v>
      </c>
    </row>
    <row r="6194" ht="15.75" customHeight="1">
      <c r="A6194" s="1">
        <v>7383.0</v>
      </c>
      <c r="B6194" s="3" t="s">
        <v>17801</v>
      </c>
      <c r="C6194" s="3">
        <v>0.0</v>
      </c>
      <c r="D6194" s="3">
        <v>0.0</v>
      </c>
      <c r="E6194" s="3">
        <v>3.0</v>
      </c>
      <c r="F6194" s="3" t="s">
        <v>17802</v>
      </c>
      <c r="G6194" s="3">
        <v>0.0</v>
      </c>
      <c r="H6194" s="3">
        <v>0.0</v>
      </c>
      <c r="I6194" s="3" t="s">
        <v>13</v>
      </c>
      <c r="J6194" s="3" t="s">
        <v>17803</v>
      </c>
      <c r="K6194" s="3" t="s">
        <v>1041</v>
      </c>
      <c r="L6194" s="3" t="str">
        <f>IFERROR(__xludf.DUMMYFUNCTION("GOOGLETRANSLATE(F6194,""id"",""en"")"),"Mario Kempes succeeded for the first time to record history for Argentina to become the World Cup champion then continued with the glory of Diego Armando Maradona in the year until now Lionel Messi finally made the people of Tango Cry Crying")</f>
        <v>Mario Kempes succeeded for the first time to record history for Argentina to become the World Cup champion then continued with the glory of Diego Armando Maradona in the year until now Lionel Messi finally made the people of Tango Cry Crying</v>
      </c>
    </row>
    <row r="6195" ht="15.75" customHeight="1">
      <c r="A6195" s="1">
        <v>7384.0</v>
      </c>
      <c r="B6195" s="3" t="s">
        <v>17804</v>
      </c>
      <c r="C6195" s="3">
        <v>0.0</v>
      </c>
      <c r="D6195" s="3">
        <v>0.0</v>
      </c>
      <c r="E6195" s="3">
        <v>0.0</v>
      </c>
      <c r="F6195" s="3" t="s">
        <v>17805</v>
      </c>
      <c r="G6195" s="3">
        <v>0.0</v>
      </c>
      <c r="H6195" s="3">
        <v>0.0</v>
      </c>
      <c r="I6195" s="3" t="s">
        <v>13</v>
      </c>
      <c r="J6195" s="3" t="s">
        <v>17806</v>
      </c>
      <c r="K6195" s="3" t="s">
        <v>695</v>
      </c>
      <c r="L6195" s="3" t="str">
        <f>IFERROR(__xludf.DUMMYFUNCTION("GOOGLETRANSLATE(F6195,""id"",""en"")"),"It could be that the celebration of Argentina and Messi is too over and overwhelmed using the despicable participants of the other Brazil champions, the Germany Italy times the celebrity is normal")</f>
        <v>It could be that the celebration of Argentina and Messi is too over and overwhelmed using the despicable participants of the other Brazil champions, the Germany Italy times the celebrity is normal</v>
      </c>
    </row>
    <row r="6196" ht="15.75" customHeight="1">
      <c r="A6196" s="1">
        <v>7385.0</v>
      </c>
      <c r="B6196" s="3" t="s">
        <v>17807</v>
      </c>
      <c r="C6196" s="3">
        <v>2.0</v>
      </c>
      <c r="D6196" s="3">
        <v>0.0</v>
      </c>
      <c r="E6196" s="3">
        <v>4.0</v>
      </c>
      <c r="F6196" s="3" t="s">
        <v>17808</v>
      </c>
      <c r="G6196" s="3">
        <v>0.0</v>
      </c>
      <c r="H6196" s="3">
        <v>0.0</v>
      </c>
      <c r="I6196" s="3" t="s">
        <v>13</v>
      </c>
      <c r="J6196" s="3" t="s">
        <v>17809</v>
      </c>
      <c r="K6196" s="3" t="s">
        <v>50</v>
      </c>
      <c r="L6196" s="3" t="str">
        <f>IFERROR(__xludf.DUMMYFUNCTION("GOOGLETRANSLATE(F6196,""id"",""en"")"),"overprice remember Argentina champions because they get a penalty every match is not because of the good playing")</f>
        <v>overprice remember Argentina champions because they get a penalty every match is not because of the good playing</v>
      </c>
    </row>
    <row r="6197" ht="15.75" customHeight="1">
      <c r="A6197" s="1">
        <v>7386.0</v>
      </c>
      <c r="B6197" s="3" t="s">
        <v>17810</v>
      </c>
      <c r="C6197" s="3">
        <v>0.0</v>
      </c>
      <c r="D6197" s="3">
        <v>0.0</v>
      </c>
      <c r="E6197" s="3">
        <v>0.0</v>
      </c>
      <c r="F6197" s="3" t="s">
        <v>17811</v>
      </c>
      <c r="G6197" s="3">
        <v>0.0</v>
      </c>
      <c r="H6197" s="3">
        <v>0.0</v>
      </c>
      <c r="I6197" s="3" t="s">
        <v>13</v>
      </c>
      <c r="J6197" s="3" t="s">
        <v>17812</v>
      </c>
      <c r="K6197" s="3" t="s">
        <v>644</v>
      </c>
      <c r="L6197" s="3" t="str">
        <f>IFERROR(__xludf.DUMMYFUNCTION("GOOGLETRANSLATE(F6197,""id"",""en"")"),"important mah champion Argentina")</f>
        <v>important mah champion Argentina</v>
      </c>
    </row>
    <row r="6198" ht="15.75" customHeight="1">
      <c r="A6198" s="1">
        <v>7387.0</v>
      </c>
      <c r="B6198" s="3" t="s">
        <v>17813</v>
      </c>
      <c r="C6198" s="3">
        <v>0.0</v>
      </c>
      <c r="D6198" s="3">
        <v>0.0</v>
      </c>
      <c r="E6198" s="3">
        <v>1.0</v>
      </c>
      <c r="F6198" s="3" t="s">
        <v>17814</v>
      </c>
      <c r="G6198" s="3">
        <v>0.0</v>
      </c>
      <c r="H6198" s="3">
        <v>0.0</v>
      </c>
      <c r="I6198" s="3" t="s">
        <v>13</v>
      </c>
      <c r="J6198" s="3" t="s">
        <v>17815</v>
      </c>
      <c r="K6198" s="3" t="s">
        <v>54</v>
      </c>
      <c r="L6198" s="3" t="str">
        <f>IFERROR(__xludf.DUMMYFUNCTION("GOOGLETRANSLATE(F6198,""id"",""en"")"),"What are the Argentina champions")</f>
        <v>What are the Argentina champions</v>
      </c>
    </row>
    <row r="6199" ht="15.75" customHeight="1">
      <c r="A6199" s="1">
        <v>7388.0</v>
      </c>
      <c r="B6199" s="3" t="s">
        <v>17816</v>
      </c>
      <c r="C6199" s="3">
        <v>1.0</v>
      </c>
      <c r="D6199" s="3">
        <v>0.0</v>
      </c>
      <c r="E6199" s="3">
        <v>0.0</v>
      </c>
      <c r="F6199" s="3" t="s">
        <v>17817</v>
      </c>
      <c r="G6199" s="3">
        <v>0.0</v>
      </c>
      <c r="H6199" s="3">
        <v>0.0</v>
      </c>
      <c r="I6199" s="3" t="s">
        <v>13</v>
      </c>
      <c r="J6199" s="3" t="s">
        <v>17818</v>
      </c>
      <c r="K6199" s="3" t="s">
        <v>232</v>
      </c>
      <c r="L6199" s="3" t="str">
        <f>IFERROR(__xludf.DUMMYFUNCTION("GOOGLETRANSLATE(F6199,""id"",""en"")"),"But it must be admitted that it is very clear that the world cup is different from the one who before Messi was holding Argentina but all Argentine players were accompanied by Messi Protecting Messi anyway Argentina had to win one of them for Messi")</f>
        <v>But it must be admitted that it is very clear that the world cup is different from the one who before Messi was holding Argentina but all Argentine players were accompanied by Messi Protecting Messi anyway Argentina had to win one of them for Messi</v>
      </c>
    </row>
    <row r="6200" ht="15.75" customHeight="1">
      <c r="A6200" s="1">
        <v>7389.0</v>
      </c>
      <c r="B6200" s="3" t="s">
        <v>17819</v>
      </c>
      <c r="C6200" s="3">
        <v>0.0</v>
      </c>
      <c r="D6200" s="3">
        <v>0.0</v>
      </c>
      <c r="E6200" s="3">
        <v>0.0</v>
      </c>
      <c r="F6200" s="3" t="s">
        <v>17820</v>
      </c>
      <c r="G6200" s="3">
        <v>0.0</v>
      </c>
      <c r="H6200" s="3">
        <v>0.0</v>
      </c>
      <c r="I6200" s="3" t="s">
        <v>13</v>
      </c>
      <c r="J6200" s="3" t="s">
        <v>17821</v>
      </c>
      <c r="K6200" s="3" t="s">
        <v>1699</v>
      </c>
      <c r="L6200" s="3" t="str">
        <f>IFERROR(__xludf.DUMMYFUNCTION("GOOGLETRANSLATE(F6200,""id"",""en"")"),"Lionel Messi is now being condemned by football fans around the world because Messi managed to bring the Argentine national team to win the World Cup after successfully defeating France")</f>
        <v>Lionel Messi is now being condemned by football fans around the world because Messi managed to bring the Argentine national team to win the World Cup after successfully defeating France</v>
      </c>
    </row>
    <row r="6201" ht="15.75" customHeight="1">
      <c r="A6201" s="1">
        <v>7390.0</v>
      </c>
      <c r="B6201" s="3" t="s">
        <v>17822</v>
      </c>
      <c r="C6201" s="3">
        <v>0.0</v>
      </c>
      <c r="D6201" s="3">
        <v>0.0</v>
      </c>
      <c r="E6201" s="3">
        <v>0.0</v>
      </c>
      <c r="F6201" s="3" t="s">
        <v>17823</v>
      </c>
      <c r="G6201" s="3">
        <v>0.0</v>
      </c>
      <c r="H6201" s="3">
        <v>0.0</v>
      </c>
      <c r="I6201" s="3" t="s">
        <v>13</v>
      </c>
      <c r="J6201" s="3" t="s">
        <v>17824</v>
      </c>
      <c r="K6201" s="3" t="s">
        <v>82</v>
      </c>
      <c r="L6201" s="3" t="str">
        <f>IFERROR(__xludf.DUMMYFUNCTION("GOOGLETRANSLATE(F6201,""id"",""en"")"),"There is a Laliga player who brought Argentina to the World Cup championship")</f>
        <v>There is a Laliga player who brought Argentina to the World Cup championship</v>
      </c>
    </row>
    <row r="6202" ht="15.75" customHeight="1">
      <c r="A6202" s="1">
        <v>7391.0</v>
      </c>
      <c r="B6202" s="3" t="s">
        <v>17825</v>
      </c>
      <c r="C6202" s="3">
        <v>1.0</v>
      </c>
      <c r="D6202" s="3">
        <v>1.0</v>
      </c>
      <c r="E6202" s="3">
        <v>12.0</v>
      </c>
      <c r="F6202" s="3" t="s">
        <v>17826</v>
      </c>
      <c r="G6202" s="3">
        <v>0.0</v>
      </c>
      <c r="H6202" s="3">
        <v>0.0</v>
      </c>
      <c r="I6202" s="3" t="s">
        <v>13</v>
      </c>
      <c r="J6202" s="3" t="s">
        <v>17827</v>
      </c>
      <c r="K6202" s="3" t="s">
        <v>823</v>
      </c>
      <c r="L6202" s="3" t="str">
        <f>IFERROR(__xludf.DUMMYFUNCTION("GOOGLETRANSLATE(F6202,""id"",""en"")"),"It turned out that Scaloni was able to dismiss the doubt even though the initial difficulty was finally in he could bring Argentina to win the Copa America now he brought Argentina to win the World Cup he was equivalent")</f>
        <v>It turned out that Scaloni was able to dismiss the doubt even though the initial difficulty was finally in he could bring Argentina to win the Copa America now he brought Argentina to win the World Cup he was equivalent</v>
      </c>
    </row>
    <row r="6203" ht="15.75" customHeight="1">
      <c r="A6203" s="1">
        <v>7392.0</v>
      </c>
      <c r="B6203" s="3" t="s">
        <v>17828</v>
      </c>
      <c r="C6203" s="3">
        <v>1.0</v>
      </c>
      <c r="D6203" s="3">
        <v>0.0</v>
      </c>
      <c r="E6203" s="3">
        <v>8.0</v>
      </c>
      <c r="F6203" s="3" t="s">
        <v>17775</v>
      </c>
      <c r="G6203" s="3">
        <v>0.0</v>
      </c>
      <c r="H6203" s="3">
        <v>0.0</v>
      </c>
      <c r="I6203" s="3" t="s">
        <v>13</v>
      </c>
      <c r="J6203" s="3" t="s">
        <v>17776</v>
      </c>
      <c r="K6203" s="3" t="s">
        <v>495</v>
      </c>
      <c r="L6203" s="3" t="str">
        <f>IFERROR(__xludf.DUMMYFUNCTION("GOOGLETRANSLATE(F6203,""id"",""en"")"),"Manchester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204" ht="15.75" customHeight="1">
      <c r="A6204" s="1">
        <v>7393.0</v>
      </c>
      <c r="B6204" s="3" t="s">
        <v>17829</v>
      </c>
      <c r="C6204" s="3">
        <v>0.0</v>
      </c>
      <c r="D6204" s="3">
        <v>0.0</v>
      </c>
      <c r="E6204" s="3">
        <v>0.0</v>
      </c>
      <c r="F6204" s="3" t="s">
        <v>17830</v>
      </c>
      <c r="G6204" s="3">
        <v>0.05</v>
      </c>
      <c r="H6204" s="3">
        <v>-0.07500000000000001</v>
      </c>
      <c r="I6204" s="3" t="s">
        <v>179</v>
      </c>
      <c r="J6204" s="3" t="s">
        <v>17831</v>
      </c>
      <c r="K6204" s="3" t="s">
        <v>13588</v>
      </c>
      <c r="L6204" s="3" t="str">
        <f>IFERROR(__xludf.DUMMYFUNCTION("GOOGLETRANSLATE(F6204,""id"",""en"")"),"That's why French fans need to be pretending to talk about respect or hurt if you are ridiculed by Argentine players first, when you won the World Cup you are taunted to be a play from you, you look for problems now, we will get a perfect revenge.")</f>
        <v>That's why French fans need to be pretending to talk about respect or hurt if you are ridiculed by Argentine players first, when you won the World Cup you are taunted to be a play from you, you look for problems now, we will get a perfect revenge.</v>
      </c>
    </row>
    <row r="6205" ht="15.75" customHeight="1">
      <c r="A6205" s="1">
        <v>7394.0</v>
      </c>
      <c r="B6205" s="3" t="s">
        <v>17832</v>
      </c>
      <c r="C6205" s="3">
        <v>0.0</v>
      </c>
      <c r="D6205" s="3">
        <v>0.0</v>
      </c>
      <c r="E6205" s="3">
        <v>0.0</v>
      </c>
      <c r="F6205" s="3" t="s">
        <v>17833</v>
      </c>
      <c r="G6205" s="3">
        <v>0.0</v>
      </c>
      <c r="H6205" s="3">
        <v>0.0</v>
      </c>
      <c r="I6205" s="3" t="s">
        <v>13</v>
      </c>
      <c r="J6205" s="3" t="s">
        <v>17834</v>
      </c>
      <c r="K6205" s="3" t="s">
        <v>82</v>
      </c>
      <c r="L6205" s="3" t="str">
        <f>IFERROR(__xludf.DUMMYFUNCTION("GOOGLETRANSLATE(F6205,""id"",""en"")"),"Argentina Champion Learning Politics Competency from the World Cup")</f>
        <v>Argentina Champion Learning Politics Competency from the World Cup</v>
      </c>
    </row>
    <row r="6206" ht="15.75" customHeight="1">
      <c r="A6206" s="1">
        <v>7396.0</v>
      </c>
      <c r="B6206" s="3" t="s">
        <v>17835</v>
      </c>
      <c r="C6206" s="3">
        <v>0.0</v>
      </c>
      <c r="D6206" s="3">
        <v>1.0</v>
      </c>
      <c r="E6206" s="3">
        <v>2.0</v>
      </c>
      <c r="F6206" s="3" t="s">
        <v>17836</v>
      </c>
      <c r="G6206" s="3">
        <v>0.0</v>
      </c>
      <c r="H6206" s="3">
        <v>0.0</v>
      </c>
      <c r="I6206" s="3" t="s">
        <v>13</v>
      </c>
      <c r="J6206" s="3" t="s">
        <v>17837</v>
      </c>
      <c r="K6206" s="3" t="s">
        <v>15</v>
      </c>
      <c r="L6206" s="3" t="str">
        <f>IFERROR(__xludf.DUMMYFUNCTION("GOOGLETRANSLATE(F6206,""id"",""en"")"),"Argentine national team flooded with a bonus after the World Cup championship")</f>
        <v>Argentine national team flooded with a bonus after the World Cup championship</v>
      </c>
    </row>
    <row r="6207" ht="15.75" customHeight="1">
      <c r="A6207" s="1">
        <v>7397.0</v>
      </c>
      <c r="B6207" s="3" t="s">
        <v>17838</v>
      </c>
      <c r="C6207" s="3">
        <v>0.0</v>
      </c>
      <c r="D6207" s="3">
        <v>0.0</v>
      </c>
      <c r="E6207" s="3">
        <v>1.0</v>
      </c>
      <c r="F6207" s="3" t="s">
        <v>17839</v>
      </c>
      <c r="G6207" s="3">
        <v>0.0</v>
      </c>
      <c r="H6207" s="3">
        <v>0.0</v>
      </c>
      <c r="I6207" s="3" t="s">
        <v>13</v>
      </c>
      <c r="J6207" s="3" t="s">
        <v>17840</v>
      </c>
      <c r="K6207" s="3" t="s">
        <v>82</v>
      </c>
      <c r="L6207" s="3" t="str">
        <f>IFERROR(__xludf.DUMMYFUNCTION("GOOGLETRANSLATE(F6207,""id"",""en"")"),"Siskaeee may be if the champion lifts the Argentina rich trophy")</f>
        <v>Siskaeee may be if the champion lifts the Argentina rich trophy</v>
      </c>
    </row>
    <row r="6208" ht="15.75" customHeight="1">
      <c r="A6208" s="1">
        <v>7398.0</v>
      </c>
      <c r="B6208" s="3" t="s">
        <v>17841</v>
      </c>
      <c r="C6208" s="3">
        <v>0.0</v>
      </c>
      <c r="D6208" s="3">
        <v>0.0</v>
      </c>
      <c r="E6208" s="3">
        <v>0.0</v>
      </c>
      <c r="F6208" s="3" t="s">
        <v>17842</v>
      </c>
      <c r="G6208" s="3">
        <v>0.75</v>
      </c>
      <c r="H6208" s="3">
        <v>0.375</v>
      </c>
      <c r="I6208" s="3" t="s">
        <v>48</v>
      </c>
      <c r="J6208" s="3" t="s">
        <v>17843</v>
      </c>
      <c r="K6208" s="3" t="s">
        <v>35</v>
      </c>
      <c r="L6208" s="3" t="str">
        <f>IFERROR(__xludf.DUMMYFUNCTION("GOOGLETRANSLATE(F6208,""id"",""en"")"),"Tomorrow, AFF Cuy, GBK OMG Excited Yok, Yokk Argentina, we will have to win too")</f>
        <v>Tomorrow, AFF Cuy, GBK OMG Excited Yok, Yokk Argentina, we will have to win too</v>
      </c>
    </row>
    <row r="6209" ht="15.75" customHeight="1">
      <c r="A6209" s="1">
        <v>7399.0</v>
      </c>
      <c r="B6209" s="3" t="s">
        <v>17844</v>
      </c>
      <c r="C6209" s="3">
        <v>0.0</v>
      </c>
      <c r="D6209" s="3">
        <v>0.0</v>
      </c>
      <c r="E6209" s="3">
        <v>0.0</v>
      </c>
      <c r="F6209" s="3" t="s">
        <v>17845</v>
      </c>
      <c r="G6209" s="3">
        <v>0.0</v>
      </c>
      <c r="H6209" s="3">
        <v>0.0</v>
      </c>
      <c r="I6209" s="3" t="s">
        <v>13</v>
      </c>
      <c r="J6209" s="3" t="s">
        <v>17846</v>
      </c>
      <c r="K6209" s="3" t="s">
        <v>82</v>
      </c>
      <c r="L6209" s="3" t="str">
        <f>IFERROR(__xludf.DUMMYFUNCTION("GOOGLETRANSLATE(F6209,""id"",""en"")"),"Maradona apparently had a nude promise if Argentina won")</f>
        <v>Maradona apparently had a nude promise if Argentina won</v>
      </c>
    </row>
    <row r="6210" ht="15.75" customHeight="1">
      <c r="A6210" s="1">
        <v>7400.0</v>
      </c>
      <c r="B6210" s="3" t="s">
        <v>17847</v>
      </c>
      <c r="C6210" s="3">
        <v>0.0</v>
      </c>
      <c r="D6210" s="3">
        <v>0.0</v>
      </c>
      <c r="E6210" s="3">
        <v>0.0</v>
      </c>
      <c r="F6210" s="3" t="s">
        <v>17848</v>
      </c>
      <c r="G6210" s="3">
        <v>1.0</v>
      </c>
      <c r="H6210" s="3">
        <v>0.0</v>
      </c>
      <c r="I6210" s="3" t="s">
        <v>13</v>
      </c>
      <c r="J6210" s="3" t="s">
        <v>17849</v>
      </c>
      <c r="K6210" s="3" t="s">
        <v>725</v>
      </c>
      <c r="L6210" s="3" t="str">
        <f>IFERROR(__xludf.DUMMYFUNCTION("GOOGLETRANSLATE(F6210,""id"",""en"")"),"Ronaldo or what is Jhon, instead of being angry jealous, I better just check this, Messi and the Argentina national team in more than three successive defeats are immediately rewarded with the champion no long in")</f>
        <v>Ronaldo or what is Jhon, instead of being angry jealous, I better just check this, Messi and the Argentina national team in more than three successive defeats are immediately rewarded with the champion no long in</v>
      </c>
    </row>
    <row r="6211" ht="15.75" customHeight="1">
      <c r="A6211" s="1">
        <v>7401.0</v>
      </c>
      <c r="B6211" s="3" t="s">
        <v>17850</v>
      </c>
      <c r="C6211" s="3">
        <v>0.0</v>
      </c>
      <c r="D6211" s="3">
        <v>0.0</v>
      </c>
      <c r="E6211" s="3">
        <v>0.0</v>
      </c>
      <c r="F6211" s="3" t="s">
        <v>17851</v>
      </c>
      <c r="G6211" s="3">
        <v>0.0</v>
      </c>
      <c r="H6211" s="3">
        <v>0.0</v>
      </c>
      <c r="I6211" s="3" t="s">
        <v>13</v>
      </c>
      <c r="J6211" s="3" t="s">
        <v>17852</v>
      </c>
      <c r="K6211" s="3" t="s">
        <v>54</v>
      </c>
      <c r="L6211" s="3" t="str">
        <f>IFERROR(__xludf.DUMMYFUNCTION("GOOGLETRANSLATE(F6211,""id"",""en"")"),"Ready to be great, no need to use a cap")</f>
        <v>Ready to be great, no need to use a cap</v>
      </c>
    </row>
    <row r="6212" ht="15.75" customHeight="1">
      <c r="A6212" s="1">
        <v>7402.0</v>
      </c>
      <c r="B6212" s="3" t="s">
        <v>17853</v>
      </c>
      <c r="C6212" s="3">
        <v>0.0</v>
      </c>
      <c r="D6212" s="3">
        <v>0.0</v>
      </c>
      <c r="E6212" s="3">
        <v>0.0</v>
      </c>
      <c r="F6212" s="3" t="s">
        <v>17854</v>
      </c>
      <c r="G6212" s="3">
        <v>0.0</v>
      </c>
      <c r="H6212" s="3">
        <v>0.0</v>
      </c>
      <c r="I6212" s="3" t="s">
        <v>13</v>
      </c>
      <c r="J6212" s="3" t="s">
        <v>17855</v>
      </c>
      <c r="K6212" s="3" t="s">
        <v>75</v>
      </c>
      <c r="L6212" s="3" t="str">
        <f>IFERROR(__xludf.DUMMYFUNCTION("GOOGLETRANSLATE(F6212,""id"",""en"")"),"Welcome the Argentina national team champion and the trophy was almost caught in an electric cable")</f>
        <v>Welcome the Argentina national team champion and the trophy was almost caught in an electric cable</v>
      </c>
    </row>
    <row r="6213" ht="15.75" customHeight="1">
      <c r="A6213" s="1">
        <v>7403.0</v>
      </c>
      <c r="B6213" s="3" t="s">
        <v>17856</v>
      </c>
      <c r="C6213" s="3">
        <v>0.0</v>
      </c>
      <c r="D6213" s="3">
        <v>0.0</v>
      </c>
      <c r="E6213" s="3">
        <v>0.0</v>
      </c>
      <c r="F6213" s="3" t="s">
        <v>17857</v>
      </c>
      <c r="G6213" s="3">
        <v>1.0</v>
      </c>
      <c r="H6213" s="3">
        <v>0.0</v>
      </c>
      <c r="I6213" s="3" t="s">
        <v>13</v>
      </c>
      <c r="J6213" s="3" t="s">
        <v>17858</v>
      </c>
      <c r="K6213" s="3" t="s">
        <v>82</v>
      </c>
      <c r="L6213" s="3" t="str">
        <f>IFERROR(__xludf.DUMMYFUNCTION("GOOGLETRANSLATE(F6213,""id"",""en"")"),"Watching Argentina Final Champion Style Sultan Typical")</f>
        <v>Watching Argentina Final Champion Style Sultan Typical</v>
      </c>
    </row>
    <row r="6214" ht="15.75" customHeight="1">
      <c r="A6214" s="1">
        <v>7404.0</v>
      </c>
      <c r="B6214" s="3" t="s">
        <v>17859</v>
      </c>
      <c r="C6214" s="3">
        <v>156.0</v>
      </c>
      <c r="D6214" s="3">
        <v>180.0</v>
      </c>
      <c r="E6214" s="3">
        <v>1508.0</v>
      </c>
      <c r="F6214" s="3" t="s">
        <v>17860</v>
      </c>
      <c r="G6214" s="3">
        <v>0.0</v>
      </c>
      <c r="H6214" s="3">
        <v>0.0</v>
      </c>
      <c r="I6214" s="3" t="s">
        <v>13</v>
      </c>
      <c r="J6214" s="3" t="s">
        <v>17861</v>
      </c>
      <c r="K6214" s="3" t="s">
        <v>899</v>
      </c>
      <c r="L6214" s="3" t="str">
        <f>IFERROR(__xludf.DUMMYFUNCTION("GOOGLETRANSLATE(F6214,""id"",""en"")"),"Once Upon Time Barcelona There is Lionel Messi Seeing the Barcelona Timeline after Messi Argentina Their world champion is not able to move from this one legend according to you Messi is a bar design product or indeed God's grace is only present occasiona"&amp;"lly")</f>
        <v>Once Upon Time Barcelona There is Lionel Messi Seeing the Barcelona Timeline after Messi Argentina Their world champion is not able to move from this one legend according to you Messi is a bar design product or indeed God's grace is only present occasionally</v>
      </c>
    </row>
    <row r="6215" ht="15.75" customHeight="1">
      <c r="A6215" s="1">
        <v>7405.0</v>
      </c>
      <c r="B6215" s="3" t="s">
        <v>17862</v>
      </c>
      <c r="C6215" s="3">
        <v>1.0</v>
      </c>
      <c r="D6215" s="3">
        <v>0.0</v>
      </c>
      <c r="E6215" s="3">
        <v>0.0</v>
      </c>
      <c r="F6215" s="3" t="s">
        <v>17863</v>
      </c>
      <c r="G6215" s="3">
        <v>0.0</v>
      </c>
      <c r="H6215" s="3">
        <v>0.0</v>
      </c>
      <c r="I6215" s="3" t="s">
        <v>13</v>
      </c>
      <c r="J6215" s="3" t="s">
        <v>17864</v>
      </c>
      <c r="K6215" s="3" t="s">
        <v>19</v>
      </c>
      <c r="L6215" s="3" t="str">
        <f>IFERROR(__xludf.DUMMYFUNCTION("GOOGLETRANSLATE(F6215,""id"",""en"")"),"After watching Argentina, the champion will soon go home Palmerah, don't forget by the residents of Tempo, yaaa")</f>
        <v>After watching Argentina, the champion will soon go home Palmerah, don't forget by the residents of Tempo, yaaa</v>
      </c>
    </row>
    <row r="6216" ht="15.75" customHeight="1">
      <c r="A6216" s="1">
        <v>7406.0</v>
      </c>
      <c r="B6216" s="3" t="s">
        <v>17865</v>
      </c>
      <c r="C6216" s="3">
        <v>0.0</v>
      </c>
      <c r="D6216" s="3">
        <v>0.0</v>
      </c>
      <c r="E6216" s="3">
        <v>0.0</v>
      </c>
      <c r="F6216" s="3" t="s">
        <v>17866</v>
      </c>
      <c r="G6216" s="3">
        <v>0.0</v>
      </c>
      <c r="H6216" s="3">
        <v>0.0</v>
      </c>
      <c r="I6216" s="3" t="s">
        <v>13</v>
      </c>
      <c r="J6216" s="3" t="s">
        <v>17867</v>
      </c>
      <c r="K6216" s="3" t="s">
        <v>15</v>
      </c>
      <c r="L6216" s="3" t="str">
        <f>IFERROR(__xludf.DUMMYFUNCTION("GOOGLETRANSLATE(F6216,""id"",""en"")"),"Ali diiih dah like Arakan Argentina, world champion")</f>
        <v>Ali diiih dah like Arakan Argentina, world champion</v>
      </c>
    </row>
    <row r="6217" ht="15.75" customHeight="1">
      <c r="A6217" s="1">
        <v>7407.0</v>
      </c>
      <c r="B6217" s="3" t="s">
        <v>17868</v>
      </c>
      <c r="C6217" s="3">
        <v>0.0</v>
      </c>
      <c r="D6217" s="3">
        <v>1.0</v>
      </c>
      <c r="E6217" s="3">
        <v>1.0</v>
      </c>
      <c r="F6217" s="3" t="s">
        <v>17869</v>
      </c>
      <c r="G6217" s="3">
        <v>0.2333333333333333</v>
      </c>
      <c r="H6217" s="3">
        <v>-0.25</v>
      </c>
      <c r="I6217" s="3" t="s">
        <v>179</v>
      </c>
      <c r="J6217" s="3" t="s">
        <v>17870</v>
      </c>
      <c r="K6217" s="3" t="s">
        <v>883</v>
      </c>
      <c r="L6217" s="3" t="str">
        <f>IFERROR(__xludf.DUMMYFUNCTION("GOOGLETRANSLATE(F6217,""id"",""en"")"),"The Argentine national team held a parade of the victory of the City Cup champion Buenos Aires the victory parade led to a clash between the police and supporters and their sightings")</f>
        <v>The Argentine national team held a parade of the victory of the City Cup champion Buenos Aires the victory parade led to a clash between the police and supporters and their sightings</v>
      </c>
    </row>
    <row r="6218" ht="15.75" customHeight="1">
      <c r="A6218" s="1">
        <v>7408.0</v>
      </c>
      <c r="B6218" s="3" t="s">
        <v>17871</v>
      </c>
      <c r="C6218" s="3">
        <v>0.0</v>
      </c>
      <c r="D6218" s="3">
        <v>0.0</v>
      </c>
      <c r="E6218" s="3">
        <v>0.0</v>
      </c>
      <c r="F6218" s="3" t="s">
        <v>17872</v>
      </c>
      <c r="G6218" s="3">
        <v>0.0</v>
      </c>
      <c r="H6218" s="3">
        <v>0.0</v>
      </c>
      <c r="I6218" s="3" t="s">
        <v>13</v>
      </c>
      <c r="J6218" s="3" t="s">
        <v>17873</v>
      </c>
      <c r="K6218" s="3" t="s">
        <v>286</v>
      </c>
      <c r="L6218" s="3" t="str">
        <f>IFERROR(__xludf.DUMMYFUNCTION("GOOGLETRANSLATE(F6218,""id"",""en"")"),"If it's worth the penalty against Dutch, Emil Nepis and succeeded in bringing ARGEN SEMI when the peak Emill Save Brilliated in the final minute if it didn't get hit by his feet he was Argentina not champion anymore and again he was Penalti Party")</f>
        <v>If it's worth the penalty against Dutch, Emil Nepis and succeeded in bringing ARGEN SEMI when the peak Emill Save Brilliated in the final minute if it didn't get hit by his feet he was Argentina not champion anymore and again he was Penalti Party</v>
      </c>
    </row>
    <row r="6219" ht="15.75" customHeight="1">
      <c r="A6219" s="1">
        <v>7409.0</v>
      </c>
      <c r="B6219" s="3" t="s">
        <v>17874</v>
      </c>
      <c r="C6219" s="3">
        <v>0.0</v>
      </c>
      <c r="D6219" s="3">
        <v>2.0</v>
      </c>
      <c r="E6219" s="3">
        <v>3.0</v>
      </c>
      <c r="F6219" s="3" t="s">
        <v>17875</v>
      </c>
      <c r="G6219" s="3">
        <v>0.0</v>
      </c>
      <c r="H6219" s="3">
        <v>0.0</v>
      </c>
      <c r="I6219" s="3" t="s">
        <v>13</v>
      </c>
      <c r="J6219" s="3" t="s">
        <v>17876</v>
      </c>
      <c r="K6219" s="3" t="s">
        <v>1293</v>
      </c>
      <c r="L6219" s="3" t="str">
        <f>IFERROR(__xludf.DUMMYFUNCTION("GOOGLETRANSLATE(F6219,""id"",""en"")"),"Magical Lionel Messi Mentality Emi Martinez and Lionel Scaloni Tactics are an important factor in the success of Argentina World Cup champions")</f>
        <v>Magical Lionel Messi Mentality Emi Martinez and Lionel Scaloni Tactics are an important factor in the success of Argentina World Cup champions</v>
      </c>
    </row>
    <row r="6220" ht="15.75" customHeight="1">
      <c r="A6220" s="1">
        <v>7410.0</v>
      </c>
      <c r="B6220" s="3" t="s">
        <v>17877</v>
      </c>
      <c r="C6220" s="3">
        <v>0.0</v>
      </c>
      <c r="D6220" s="3">
        <v>0.0</v>
      </c>
      <c r="E6220" s="3">
        <v>0.0</v>
      </c>
      <c r="F6220" s="3" t="s">
        <v>17878</v>
      </c>
      <c r="G6220" s="3">
        <v>0.0</v>
      </c>
      <c r="H6220" s="3">
        <v>0.0</v>
      </c>
      <c r="I6220" s="3" t="s">
        <v>13</v>
      </c>
      <c r="J6220" s="3" t="s">
        <v>17879</v>
      </c>
      <c r="K6220" s="3" t="s">
        <v>240</v>
      </c>
      <c r="L6220" s="3" t="str">
        <f>IFERROR(__xludf.DUMMYFUNCTION("GOOGLETRANSLATE(F6220,""id"",""en"")"),"Salt Bae was found entering the Lusail Stadium Field Area Sunday when the Argentine national team celebrated the World Cup title")</f>
        <v>Salt Bae was found entering the Lusail Stadium Field Area Sunday when the Argentine national team celebrated the World Cup title</v>
      </c>
    </row>
    <row r="6221" ht="15.75" customHeight="1">
      <c r="A6221" s="1">
        <v>7411.0</v>
      </c>
      <c r="B6221" s="3" t="s">
        <v>17880</v>
      </c>
      <c r="C6221" s="3">
        <v>0.0</v>
      </c>
      <c r="D6221" s="3">
        <v>0.0</v>
      </c>
      <c r="E6221" s="3">
        <v>0.0</v>
      </c>
      <c r="F6221" s="3" t="s">
        <v>17881</v>
      </c>
      <c r="G6221" s="3">
        <v>0.0</v>
      </c>
      <c r="H6221" s="3">
        <v>0.0</v>
      </c>
      <c r="I6221" s="3" t="s">
        <v>13</v>
      </c>
      <c r="J6221" s="3" t="s">
        <v>17882</v>
      </c>
      <c r="K6221" s="3" t="s">
        <v>15</v>
      </c>
      <c r="L6221" s="3" t="str">
        <f>IFERROR(__xludf.DUMMYFUNCTION("GOOGLETRANSLATE(F6221,""id"",""en"")"),"Portrait of Gonzalo Montiel Determining Argentina World Cup Champion")</f>
        <v>Portrait of Gonzalo Montiel Determining Argentina World Cup Champion</v>
      </c>
    </row>
    <row r="6222" ht="15.75" customHeight="1">
      <c r="A6222" s="1">
        <v>7412.0</v>
      </c>
      <c r="B6222" s="3" t="s">
        <v>17883</v>
      </c>
      <c r="C6222" s="3">
        <v>0.0</v>
      </c>
      <c r="D6222" s="3">
        <v>5.0</v>
      </c>
      <c r="E6222" s="3">
        <v>36.0</v>
      </c>
      <c r="F6222" s="3" t="s">
        <v>17884</v>
      </c>
      <c r="G6222" s="3">
        <v>0.0</v>
      </c>
      <c r="H6222" s="3">
        <v>0.0</v>
      </c>
      <c r="I6222" s="3" t="s">
        <v>13</v>
      </c>
      <c r="J6222" s="3" t="s">
        <v>17885</v>
      </c>
      <c r="K6222" s="3" t="s">
        <v>41</v>
      </c>
      <c r="L6222" s="3" t="str">
        <f>IFERROR(__xludf.DUMMYFUNCTION("GOOGLETRANSLATE(F6222,""id"",""en"")"),"Photo of Messi's Tattoo Fever After Argentina Champion World Cup")</f>
        <v>Photo of Messi's Tattoo Fever After Argentina Champion World Cup</v>
      </c>
    </row>
    <row r="6223" ht="15.75" customHeight="1">
      <c r="A6223" s="1">
        <v>7413.0</v>
      </c>
      <c r="B6223" s="3" t="s">
        <v>17886</v>
      </c>
      <c r="C6223" s="3">
        <v>1.0</v>
      </c>
      <c r="D6223" s="3">
        <v>0.0</v>
      </c>
      <c r="E6223" s="3">
        <v>0.0</v>
      </c>
      <c r="F6223" s="3" t="s">
        <v>17887</v>
      </c>
      <c r="G6223" s="3">
        <v>0.0</v>
      </c>
      <c r="H6223" s="3">
        <v>0.0</v>
      </c>
      <c r="I6223" s="3" t="s">
        <v>13</v>
      </c>
      <c r="J6223" s="3" t="s">
        <v>17888</v>
      </c>
      <c r="K6223" s="3" t="s">
        <v>31</v>
      </c>
      <c r="L6223" s="3" t="str">
        <f>IFERROR(__xludf.DUMMYFUNCTION("GOOGLETRANSLATE(F6223,""id"",""en"")"),"how do you feel like the Argentina champion")</f>
        <v>how do you feel like the Argentina champion</v>
      </c>
    </row>
    <row r="6224" ht="15.75" customHeight="1">
      <c r="A6224" s="1">
        <v>7414.0</v>
      </c>
      <c r="B6224" s="3" t="s">
        <v>17889</v>
      </c>
      <c r="C6224" s="3">
        <v>1.0</v>
      </c>
      <c r="D6224" s="3">
        <v>0.0</v>
      </c>
      <c r="E6224" s="3">
        <v>0.0</v>
      </c>
      <c r="F6224" s="3" t="s">
        <v>17890</v>
      </c>
      <c r="G6224" s="3">
        <v>0.825</v>
      </c>
      <c r="H6224" s="3">
        <v>0.075</v>
      </c>
      <c r="I6224" s="3" t="s">
        <v>48</v>
      </c>
      <c r="J6224" s="3" t="s">
        <v>17891</v>
      </c>
      <c r="K6224" s="3" t="s">
        <v>8160</v>
      </c>
      <c r="L6224" s="3" t="str">
        <f>IFERROR(__xludf.DUMMYFUNCTION("GOOGLETRANSLATE(F6224,""id"",""en"")"),"He is considered to have shown excessive provocation which has not even had to do with the title Argentina Martinez may forget that during the final party yesterday the goal had been uprooted mbappe in normal time and once in penalties")</f>
        <v>He is considered to have shown excessive provocation which has not even had to do with the title Argentina Martinez may forget that during the final party yesterday the goal had been uprooted mbappe in normal time and once in penalties</v>
      </c>
    </row>
    <row r="6225" ht="15.75" customHeight="1">
      <c r="A6225" s="1">
        <v>7415.0</v>
      </c>
      <c r="B6225" s="3" t="s">
        <v>17892</v>
      </c>
      <c r="C6225" s="3">
        <v>1.0</v>
      </c>
      <c r="D6225" s="3">
        <v>0.0</v>
      </c>
      <c r="E6225" s="3">
        <v>0.0</v>
      </c>
      <c r="F6225" s="3" t="s">
        <v>17893</v>
      </c>
      <c r="G6225" s="3">
        <v>0.2333333333333333</v>
      </c>
      <c r="H6225" s="3">
        <v>-0.25</v>
      </c>
      <c r="I6225" s="3" t="s">
        <v>179</v>
      </c>
      <c r="J6225" s="3" t="s">
        <v>17894</v>
      </c>
      <c r="K6225" s="3" t="s">
        <v>3721</v>
      </c>
      <c r="L6225" s="3" t="str">
        <f>IFERROR(__xludf.DUMMYFUNCTION("GOOGLETRANSLATE(F6225,""id"",""en"")"),"Starting the action singing mocking mbappe lusail stadium dressing room until he carried the doll -faced mbappe parades Argentina champions attitudes and provocation Martinez then triggered a negative reaction from the world of football")</f>
        <v>Starting the action singing mocking mbappe lusail stadium dressing room until he carried the doll -faced mbappe parades Argentina champions attitudes and provocation Martinez then triggered a negative reaction from the world of football</v>
      </c>
    </row>
    <row r="6226" ht="15.75" customHeight="1">
      <c r="A6226" s="1">
        <v>7416.0</v>
      </c>
      <c r="B6226" s="3" t="s">
        <v>17895</v>
      </c>
      <c r="C6226" s="3">
        <v>0.0</v>
      </c>
      <c r="D6226" s="3">
        <v>0.0</v>
      </c>
      <c r="E6226" s="3">
        <v>1.0</v>
      </c>
      <c r="F6226" s="3" t="s">
        <v>17896</v>
      </c>
      <c r="G6226" s="3">
        <v>0.3</v>
      </c>
      <c r="H6226" s="3">
        <v>0.2</v>
      </c>
      <c r="I6226" s="3" t="s">
        <v>48</v>
      </c>
      <c r="J6226" s="3" t="s">
        <v>17897</v>
      </c>
      <c r="K6226" s="3" t="s">
        <v>1265</v>
      </c>
      <c r="L6226" s="3" t="str">
        <f>IFERROR(__xludf.DUMMYFUNCTION("GOOGLETRANSLATE(F6226,""id"",""en"")"),"Before Argentina Champion Koar Ronaldo The Real After Argentina Champion asked for respect")</f>
        <v>Before Argentina Champion Koar Ronaldo The Real After Argentina Champion asked for respect</v>
      </c>
    </row>
    <row r="6227" ht="15.75" customHeight="1">
      <c r="A6227" s="1">
        <v>7417.0</v>
      </c>
      <c r="B6227" s="3" t="s">
        <v>17898</v>
      </c>
      <c r="C6227" s="3">
        <v>1.0</v>
      </c>
      <c r="D6227" s="3">
        <v>0.0</v>
      </c>
      <c r="E6227" s="3">
        <v>0.0</v>
      </c>
      <c r="F6227" s="3" t="s">
        <v>17899</v>
      </c>
      <c r="G6227" s="3">
        <v>0.0</v>
      </c>
      <c r="H6227" s="3">
        <v>0.0</v>
      </c>
      <c r="I6227" s="3" t="s">
        <v>13</v>
      </c>
      <c r="J6227" s="3" t="s">
        <v>17900</v>
      </c>
      <c r="K6227" s="3" t="s">
        <v>15</v>
      </c>
      <c r="L6227" s="3" t="str">
        <f>IFERROR(__xludf.DUMMYFUNCTION("GOOGLETRANSLATE(F6227,""id"",""en"")"),"This is the most reasonable reason why Argentina champions agreed min")</f>
        <v>This is the most reasonable reason why Argentina champions agreed min</v>
      </c>
    </row>
    <row r="6228" ht="15.75" customHeight="1">
      <c r="A6228" s="1">
        <v>7418.0</v>
      </c>
      <c r="B6228" s="3" t="s">
        <v>17901</v>
      </c>
      <c r="C6228" s="3">
        <v>2.0</v>
      </c>
      <c r="D6228" s="3">
        <v>1.0</v>
      </c>
      <c r="E6228" s="3">
        <v>28.0</v>
      </c>
      <c r="F6228" s="3" t="s">
        <v>17902</v>
      </c>
      <c r="G6228" s="3">
        <v>1.0</v>
      </c>
      <c r="H6228" s="3">
        <v>0.0</v>
      </c>
      <c r="I6228" s="3" t="s">
        <v>13</v>
      </c>
      <c r="J6228" s="3" t="s">
        <v>17903</v>
      </c>
      <c r="K6228" s="3" t="s">
        <v>695</v>
      </c>
      <c r="L6228" s="3" t="str">
        <f>IFERROR(__xludf.DUMMYFUNCTION("GOOGLETRANSLATE(F6228,""id"",""en"")"),"Messi and the Argentina national team in more than more after experiencing three successive defeats of the final immediately returned with the championship time not long in the span of time")</f>
        <v>Messi and the Argentina national team in more than more after experiencing three successive defeats of the final immediately returned with the championship time not long in the span of time</v>
      </c>
    </row>
    <row r="6229" ht="15.75" customHeight="1">
      <c r="A6229" s="1">
        <v>7419.0</v>
      </c>
      <c r="B6229" s="3" t="s">
        <v>17904</v>
      </c>
      <c r="C6229" s="3">
        <v>0.0</v>
      </c>
      <c r="D6229" s="3">
        <v>0.0</v>
      </c>
      <c r="E6229" s="3">
        <v>0.0</v>
      </c>
      <c r="F6229" s="3" t="s">
        <v>17905</v>
      </c>
      <c r="G6229" s="3">
        <v>0.5</v>
      </c>
      <c r="H6229" s="3">
        <v>0.5</v>
      </c>
      <c r="I6229" s="3" t="s">
        <v>48</v>
      </c>
      <c r="J6229" s="3" t="s">
        <v>17906</v>
      </c>
      <c r="K6229" s="3" t="s">
        <v>633</v>
      </c>
      <c r="L6229" s="3" t="str">
        <f>IFERROR(__xludf.DUMMYFUNCTION("GOOGLETRANSLATE(F6229,""id"",""en"")"),"I can't imagine his neighbor Messi Argentina must be appealing on his son, but I see Messi, so the top champion continues to champion eluism, still so")</f>
        <v>I can't imagine his neighbor Messi Argentina must be appealing on his son, but I see Messi, so the top champion continues to champion eluism, still so</v>
      </c>
    </row>
    <row r="6230" ht="15.75" customHeight="1">
      <c r="A6230" s="1">
        <v>7420.0</v>
      </c>
      <c r="B6230" s="3" t="s">
        <v>17907</v>
      </c>
      <c r="C6230" s="3">
        <v>0.0</v>
      </c>
      <c r="D6230" s="3">
        <v>0.0</v>
      </c>
      <c r="E6230" s="3">
        <v>0.0</v>
      </c>
      <c r="F6230" s="3" t="s">
        <v>17908</v>
      </c>
      <c r="G6230" s="3">
        <v>0.0</v>
      </c>
      <c r="H6230" s="3">
        <v>0.0</v>
      </c>
      <c r="I6230" s="3" t="s">
        <v>13</v>
      </c>
      <c r="J6230" s="3" t="s">
        <v>17909</v>
      </c>
      <c r="K6230" s="3" t="s">
        <v>50</v>
      </c>
      <c r="L6230" s="3" t="str">
        <f>IFERROR(__xludf.DUMMYFUNCTION("GOOGLETRANSLATE(F6230,""id"",""en"")"),"Argentine Recipe for Magical World Cup Champion Messi Mentality Martinez Intelligence Scaloni")</f>
        <v>Argentine Recipe for Magical World Cup Champion Messi Mentality Martinez Intelligence Scaloni</v>
      </c>
    </row>
    <row r="6231" ht="15.75" customHeight="1">
      <c r="A6231" s="1">
        <v>7421.0</v>
      </c>
      <c r="B6231" s="3" t="s">
        <v>17910</v>
      </c>
      <c r="C6231" s="3">
        <v>0.0</v>
      </c>
      <c r="D6231" s="3">
        <v>0.0</v>
      </c>
      <c r="E6231" s="3">
        <v>0.0</v>
      </c>
      <c r="F6231" s="3" t="s">
        <v>16103</v>
      </c>
      <c r="G6231" s="3">
        <v>0.0</v>
      </c>
      <c r="H6231" s="3">
        <v>0.0</v>
      </c>
      <c r="I6231" s="3" t="s">
        <v>13</v>
      </c>
      <c r="J6231" s="3" t="s">
        <v>16104</v>
      </c>
      <c r="K6231" s="3" t="s">
        <v>14571</v>
      </c>
      <c r="L6231" s="3" t="str">
        <f>IFERROR(__xludf.DUMMYFUNCTION("GOOGLETRANSLATE(F6231,""id"",""en"")"),"Argentina Champion")</f>
        <v>Argentina Champion</v>
      </c>
    </row>
    <row r="6232" ht="15.75" customHeight="1">
      <c r="A6232" s="1">
        <v>7422.0</v>
      </c>
      <c r="B6232" s="3" t="s">
        <v>17911</v>
      </c>
      <c r="C6232" s="3">
        <v>0.0</v>
      </c>
      <c r="D6232" s="3">
        <v>0.0</v>
      </c>
      <c r="E6232" s="3">
        <v>0.0</v>
      </c>
      <c r="F6232" s="3" t="s">
        <v>17912</v>
      </c>
      <c r="G6232" s="3">
        <v>0.0</v>
      </c>
      <c r="H6232" s="3">
        <v>0.0</v>
      </c>
      <c r="I6232" s="3" t="s">
        <v>13</v>
      </c>
      <c r="J6232" s="3" t="s">
        <v>17913</v>
      </c>
      <c r="K6232" s="3" t="s">
        <v>127</v>
      </c>
      <c r="L6232" s="3" t="str">
        <f>IFERROR(__xludf.DUMMYFUNCTION("GOOGLETRANSLATE(F6232,""id"",""en"")"),"Argentina Hockey Champion DOANG is proud of winning the penalties of penalties doang Francis lost honorable")</f>
        <v>Argentina Hockey Champion DOANG is proud of winning the penalties of penalties doang Francis lost honorable</v>
      </c>
    </row>
    <row r="6233" ht="15.75" customHeight="1">
      <c r="A6233" s="1">
        <v>7423.0</v>
      </c>
      <c r="B6233" s="3" t="s">
        <v>17914</v>
      </c>
      <c r="C6233" s="3">
        <v>1.0</v>
      </c>
      <c r="D6233" s="3">
        <v>0.0</v>
      </c>
      <c r="E6233" s="3">
        <v>1.0</v>
      </c>
      <c r="F6233" s="3" t="s">
        <v>17915</v>
      </c>
      <c r="G6233" s="3">
        <v>0.0</v>
      </c>
      <c r="H6233" s="3">
        <v>0.0</v>
      </c>
      <c r="I6233" s="3" t="s">
        <v>13</v>
      </c>
      <c r="J6233" s="3" t="s">
        <v>17916</v>
      </c>
      <c r="K6233" s="3" t="s">
        <v>244</v>
      </c>
      <c r="L6233" s="3" t="str">
        <f>IFERROR(__xludf.DUMMYFUNCTION("GOOGLETRANSLATE(F6233,""id"",""en"")"),"Tattoo artists are flooded with Messi's tattoo order after Argentina World Cup champions")</f>
        <v>Tattoo artists are flooded with Messi's tattoo order after Argentina World Cup champions</v>
      </c>
    </row>
    <row r="6234" ht="15.75" customHeight="1">
      <c r="A6234" s="1">
        <v>7424.0</v>
      </c>
      <c r="B6234" s="3" t="s">
        <v>17917</v>
      </c>
      <c r="C6234" s="3">
        <v>0.0</v>
      </c>
      <c r="D6234" s="3">
        <v>0.0</v>
      </c>
      <c r="E6234" s="3">
        <v>0.0</v>
      </c>
      <c r="F6234" s="3" t="s">
        <v>17918</v>
      </c>
      <c r="G6234" s="3">
        <v>0.0</v>
      </c>
      <c r="H6234" s="3">
        <v>0.0</v>
      </c>
      <c r="I6234" s="3" t="s">
        <v>13</v>
      </c>
      <c r="J6234" s="3" t="s">
        <v>17919</v>
      </c>
      <c r="K6234" s="3" t="s">
        <v>15</v>
      </c>
      <c r="L6234" s="3" t="str">
        <f>IFERROR(__xludf.DUMMYFUNCTION("GOOGLETRANSLATE(F6234,""id"",""en"")"),"Angel Maria's Forecast Proven Argentina World Cup Champion")</f>
        <v>Angel Maria's Forecast Proven Argentina World Cup Champion</v>
      </c>
    </row>
    <row r="6235" ht="15.75" customHeight="1">
      <c r="A6235" s="1">
        <v>7425.0</v>
      </c>
      <c r="B6235" s="3" t="s">
        <v>17920</v>
      </c>
      <c r="C6235" s="3">
        <v>0.0</v>
      </c>
      <c r="D6235" s="3">
        <v>0.0</v>
      </c>
      <c r="E6235" s="3">
        <v>0.0</v>
      </c>
      <c r="F6235" s="3" t="s">
        <v>17921</v>
      </c>
      <c r="G6235" s="3">
        <v>0.0</v>
      </c>
      <c r="H6235" s="3">
        <v>0.0</v>
      </c>
      <c r="I6235" s="3" t="s">
        <v>13</v>
      </c>
      <c r="J6235" s="3" t="s">
        <v>17922</v>
      </c>
      <c r="K6235" s="3" t="s">
        <v>644</v>
      </c>
      <c r="L6235" s="3" t="str">
        <f>IFERROR(__xludf.DUMMYFUNCTION("GOOGLETRANSLATE(F6235,""id"",""en"")"),"Argentina if you can often win")</f>
        <v>Argentina if you can often win</v>
      </c>
    </row>
    <row r="6236" ht="15.75" customHeight="1">
      <c r="A6236" s="1">
        <v>7426.0</v>
      </c>
      <c r="B6236" s="3" t="s">
        <v>17923</v>
      </c>
      <c r="C6236" s="3">
        <v>0.0</v>
      </c>
      <c r="D6236" s="3">
        <v>0.0</v>
      </c>
      <c r="E6236" s="3">
        <v>0.0</v>
      </c>
      <c r="F6236" s="3" t="s">
        <v>17924</v>
      </c>
      <c r="G6236" s="3">
        <v>0.0</v>
      </c>
      <c r="H6236" s="3">
        <v>0.0</v>
      </c>
      <c r="I6236" s="3" t="s">
        <v>13</v>
      </c>
      <c r="J6236" s="3" t="s">
        <v>17925</v>
      </c>
      <c r="K6236" s="3" t="s">
        <v>71</v>
      </c>
      <c r="L6236" s="3" t="str">
        <f>IFERROR(__xludf.DUMMYFUNCTION("GOOGLETRANSLATE(F6236,""id"",""en"")"),"Photo of the player with the highest number of minutes of play during the World Cup Lisandro Marinez brought Argentina Champion")</f>
        <v>Photo of the player with the highest number of minutes of play during the World Cup Lisandro Marinez brought Argentina Champion</v>
      </c>
    </row>
    <row r="6237" ht="15.75" customHeight="1">
      <c r="A6237" s="1">
        <v>7427.0</v>
      </c>
      <c r="B6237" s="3" t="s">
        <v>17926</v>
      </c>
      <c r="C6237" s="3">
        <v>0.0</v>
      </c>
      <c r="D6237" s="3">
        <v>0.0</v>
      </c>
      <c r="E6237" s="3">
        <v>0.0</v>
      </c>
      <c r="F6237" s="3" t="s">
        <v>17927</v>
      </c>
      <c r="G6237" s="3">
        <v>0.5</v>
      </c>
      <c r="H6237" s="3">
        <v>0.5</v>
      </c>
      <c r="I6237" s="3" t="s">
        <v>48</v>
      </c>
      <c r="J6237" s="3" t="s">
        <v>17928</v>
      </c>
      <c r="K6237" s="3" t="s">
        <v>441</v>
      </c>
      <c r="L6237" s="3" t="str">
        <f>IFERROR(__xludf.DUMMYFUNCTION("GOOGLETRANSLATE(F6237,""id"",""en"")"),"pairs of Saudi Arabia when opposed to Argentina All Argentina World Cup Mbappe Top Top tells the European League Champion Champion NBA World Cup Criket Champion Olympics etc.")</f>
        <v>pairs of Saudi Arabia when opposed to Argentina All Argentina World Cup Mbappe Top Top tells the European League Champion Champion NBA World Cup Criket Champion Olympics etc.</v>
      </c>
    </row>
    <row r="6238" ht="15.75" customHeight="1">
      <c r="A6238" s="1">
        <v>7428.0</v>
      </c>
      <c r="B6238" s="3" t="s">
        <v>17929</v>
      </c>
      <c r="C6238" s="3">
        <v>0.0</v>
      </c>
      <c r="D6238" s="3">
        <v>0.0</v>
      </c>
      <c r="E6238" s="3">
        <v>0.0</v>
      </c>
      <c r="F6238" s="3" t="s">
        <v>17927</v>
      </c>
      <c r="G6238" s="3">
        <v>0.5</v>
      </c>
      <c r="H6238" s="3">
        <v>0.5</v>
      </c>
      <c r="I6238" s="3" t="s">
        <v>48</v>
      </c>
      <c r="J6238" s="3" t="s">
        <v>17928</v>
      </c>
      <c r="K6238" s="3" t="s">
        <v>441</v>
      </c>
      <c r="L6238" s="3" t="str">
        <f>IFERROR(__xludf.DUMMYFUNCTION("GOOGLETRANSLATE(F6238,""id"",""en"")"),"pairs of Saudi Arabia when opposed to Argentina All Argentina World Cup Mbappe Top Top tells the European League Champion Champion NBA World Cup Criket Champion Olympics etc.")</f>
        <v>pairs of Saudi Arabia when opposed to Argentina All Argentina World Cup Mbappe Top Top tells the European League Champion Champion NBA World Cup Criket Champion Olympics etc.</v>
      </c>
    </row>
    <row r="6239" ht="15.75" customHeight="1">
      <c r="A6239" s="1">
        <v>7429.0</v>
      </c>
      <c r="B6239" s="3" t="s">
        <v>17930</v>
      </c>
      <c r="C6239" s="3">
        <v>11.0</v>
      </c>
      <c r="D6239" s="3">
        <v>55.0</v>
      </c>
      <c r="E6239" s="3">
        <v>290.0</v>
      </c>
      <c r="F6239" s="3" t="s">
        <v>17931</v>
      </c>
      <c r="G6239" s="3">
        <v>0.0</v>
      </c>
      <c r="H6239" s="3">
        <v>0.0</v>
      </c>
      <c r="I6239" s="3" t="s">
        <v>13</v>
      </c>
      <c r="J6239" s="3" t="s">
        <v>17932</v>
      </c>
      <c r="K6239" s="3" t="s">
        <v>240</v>
      </c>
      <c r="L6239" s="3" t="str">
        <f>IFERROR(__xludf.DUMMYFUNCTION("GOOGLETRANSLATE(F6239,""id"",""en"")"),"News news from Argentina tells Esteban Solari to bring in a Juruaratih Johor World Cup champion Johor")</f>
        <v>News news from Argentina tells Esteban Solari to bring in a Juruaratih Johor World Cup champion Johor</v>
      </c>
    </row>
    <row r="6240" ht="15.75" customHeight="1">
      <c r="A6240" s="1">
        <v>7430.0</v>
      </c>
      <c r="B6240" s="3" t="s">
        <v>17933</v>
      </c>
      <c r="C6240" s="3">
        <v>0.0</v>
      </c>
      <c r="D6240" s="3">
        <v>0.0</v>
      </c>
      <c r="E6240" s="3">
        <v>0.0</v>
      </c>
      <c r="F6240" s="3" t="s">
        <v>17934</v>
      </c>
      <c r="G6240" s="3">
        <v>0.0</v>
      </c>
      <c r="H6240" s="3">
        <v>0.0</v>
      </c>
      <c r="I6240" s="3" t="s">
        <v>13</v>
      </c>
      <c r="J6240" s="3" t="s">
        <v>17935</v>
      </c>
      <c r="K6240" s="3" t="s">
        <v>765</v>
      </c>
      <c r="L6240" s="3" t="str">
        <f>IFERROR(__xludf.DUMMYFUNCTION("GOOGLETRANSLATE(F6240,""id"",""en"")"),"The Sea of ​​Millions of Humans in the middle of the national holiday welcomed the Argentine World Cup champion Buenos Aires Tuesday made their idol star Lionel Messi and his friends had to be evacuated with a helicopter helicopter helicopter")</f>
        <v>The Sea of ​​Millions of Humans in the middle of the national holiday welcomed the Argentine World Cup champion Buenos Aires Tuesday made their idol star Lionel Messi and his friends had to be evacuated with a helicopter helicopter helicopter</v>
      </c>
    </row>
    <row r="6241" ht="15.75" customHeight="1">
      <c r="A6241" s="1">
        <v>7431.0</v>
      </c>
      <c r="B6241" s="3" t="s">
        <v>17936</v>
      </c>
      <c r="C6241" s="3">
        <v>0.0</v>
      </c>
      <c r="D6241" s="3">
        <v>0.0</v>
      </c>
      <c r="E6241" s="3">
        <v>0.0</v>
      </c>
      <c r="F6241" s="3" t="s">
        <v>17937</v>
      </c>
      <c r="G6241" s="3">
        <v>0.0</v>
      </c>
      <c r="H6241" s="3">
        <v>0.0</v>
      </c>
      <c r="I6241" s="3" t="s">
        <v>13</v>
      </c>
      <c r="J6241" s="3" t="s">
        <v>17938</v>
      </c>
      <c r="K6241" s="3" t="s">
        <v>603</v>
      </c>
      <c r="L6241" s="3" t="str">
        <f>IFERROR(__xludf.DUMMYFUNCTION("GOOGLETRANSLATE(F6241,""id"",""en"")"),"So the champion made the name of the street to be the champion is enshrined so the Argentina state's official currency picture is really different, this class is very different")</f>
        <v>So the champion made the name of the street to be the champion is enshrined so the Argentina state's official currency picture is really different, this class is very different</v>
      </c>
    </row>
    <row r="6242" ht="15.75" customHeight="1">
      <c r="A6242" s="1">
        <v>7432.0</v>
      </c>
      <c r="B6242" s="3" t="s">
        <v>17939</v>
      </c>
      <c r="C6242" s="3">
        <v>0.0</v>
      </c>
      <c r="D6242" s="3">
        <v>0.0</v>
      </c>
      <c r="E6242" s="3">
        <v>0.0</v>
      </c>
      <c r="F6242" s="3" t="s">
        <v>17940</v>
      </c>
      <c r="G6242" s="3">
        <v>0.0</v>
      </c>
      <c r="H6242" s="3">
        <v>0.0</v>
      </c>
      <c r="I6242" s="3" t="s">
        <v>13</v>
      </c>
      <c r="J6242" s="3" t="s">
        <v>17941</v>
      </c>
      <c r="K6242" s="3" t="s">
        <v>1656</v>
      </c>
      <c r="L6242" s="3" t="str">
        <f>IFERROR(__xludf.DUMMYFUNCTION("GOOGLETRANSLATE(F6242,""id"",""en"")"),"Plus in addition to being allowed with the federation if Aguero is indeed an Argentine person, this one is a Turkish person, what he is in the field of Zlatan field who is not an Argentine but once a team and clearly nagging")</f>
        <v>Plus in addition to being allowed with the federation if Aguero is indeed an Argentine person, this one is a Turkish person, what he is in the field of Zlatan field who is not an Argentine but once a team and clearly nagging</v>
      </c>
    </row>
    <row r="6243" ht="15.75" customHeight="1">
      <c r="A6243" s="1">
        <v>7433.0</v>
      </c>
      <c r="B6243" s="3" t="s">
        <v>17942</v>
      </c>
      <c r="C6243" s="3">
        <v>1.0</v>
      </c>
      <c r="D6243" s="3">
        <v>0.0</v>
      </c>
      <c r="E6243" s="3">
        <v>0.0</v>
      </c>
      <c r="F6243" s="3" t="s">
        <v>17943</v>
      </c>
      <c r="G6243" s="3">
        <v>0.0</v>
      </c>
      <c r="H6243" s="3">
        <v>0.0</v>
      </c>
      <c r="I6243" s="3" t="s">
        <v>13</v>
      </c>
      <c r="J6243" s="3" t="s">
        <v>17944</v>
      </c>
      <c r="K6243" s="3" t="s">
        <v>1912</v>
      </c>
      <c r="L6243" s="3" t="str">
        <f>IFERROR(__xludf.DUMMYFUNCTION("GOOGLETRANSLATE(F6243,""id"",""en"")"),"Fortunately, Argentina champions of the people's parties can forget that the inflation is high in foreign debt, it is difficult for Argentina to pay the country's economic development.")</f>
        <v>Fortunately, Argentina champions of the people's parties can forget that the inflation is high in foreign debt, it is difficult for Argentina to pay the country's economic development.</v>
      </c>
    </row>
    <row r="6244" ht="15.75" customHeight="1">
      <c r="A6244" s="1">
        <v>7434.0</v>
      </c>
      <c r="B6244" s="3" t="s">
        <v>17945</v>
      </c>
      <c r="C6244" s="3">
        <v>1.0</v>
      </c>
      <c r="D6244" s="3">
        <v>0.0</v>
      </c>
      <c r="E6244" s="3">
        <v>1.0</v>
      </c>
      <c r="F6244" s="3" t="s">
        <v>17946</v>
      </c>
      <c r="G6244" s="3">
        <v>0.0</v>
      </c>
      <c r="H6244" s="3">
        <v>0.0</v>
      </c>
      <c r="I6244" s="3" t="s">
        <v>13</v>
      </c>
      <c r="J6244" s="3" t="s">
        <v>17947</v>
      </c>
      <c r="K6244" s="3" t="s">
        <v>9802</v>
      </c>
      <c r="L6244" s="3" t="str">
        <f>IFERROR(__xludf.DUMMYFUNCTION("GOOGLETRANSLATE(F6244,""id"",""en"")"),"Know the condition of the gloom of Messi and what fans were done after that time he spread meme")</f>
        <v>Know the condition of the gloom of Messi and what fans were done after that time he spread meme</v>
      </c>
    </row>
    <row r="6245" ht="15.75" customHeight="1">
      <c r="A6245" s="1">
        <v>7435.0</v>
      </c>
      <c r="B6245" s="3" t="s">
        <v>17948</v>
      </c>
      <c r="C6245" s="3">
        <v>1.0</v>
      </c>
      <c r="D6245" s="3">
        <v>0.0</v>
      </c>
      <c r="E6245" s="3">
        <v>0.0</v>
      </c>
      <c r="F6245" s="3" t="s">
        <v>17949</v>
      </c>
      <c r="G6245" s="3">
        <v>0.0</v>
      </c>
      <c r="H6245" s="3">
        <v>0.0</v>
      </c>
      <c r="I6245" s="3" t="s">
        <v>13</v>
      </c>
      <c r="J6245" s="3" t="s">
        <v>17950</v>
      </c>
      <c r="K6245" s="3" t="s">
        <v>456</v>
      </c>
      <c r="L6245" s="3" t="str">
        <f>IFERROR(__xludf.DUMMYFUNCTION("GOOGLETRANSLATE(F6245,""id"",""en"")"),"already like that because of watching this Argentina Docu Series, I catch the team of scaloni, one of them is the champion because of the bonding factor of the players of the players of the staffing coach and from the articles of the comments I read, all "&amp;"of them turned out")</f>
        <v>already like that because of watching this Argentina Docu Series, I catch the team of scaloni, one of them is the champion because of the bonding factor of the players of the players of the staffing coach and from the articles of the comments I read, all of them turned out</v>
      </c>
    </row>
    <row r="6246" ht="15.75" customHeight="1">
      <c r="A6246" s="1">
        <v>7437.0</v>
      </c>
      <c r="B6246" s="3" t="s">
        <v>17951</v>
      </c>
      <c r="C6246" s="3">
        <v>0.0</v>
      </c>
      <c r="D6246" s="3">
        <v>0.0</v>
      </c>
      <c r="E6246" s="3">
        <v>3.0</v>
      </c>
      <c r="F6246" s="3" t="s">
        <v>17952</v>
      </c>
      <c r="G6246" s="3">
        <v>0.0</v>
      </c>
      <c r="H6246" s="3">
        <v>0.0</v>
      </c>
      <c r="I6246" s="3" t="s">
        <v>13</v>
      </c>
      <c r="J6246" s="3" t="s">
        <v>17953</v>
      </c>
      <c r="K6246" s="3" t="s">
        <v>127</v>
      </c>
      <c r="L6246" s="3" t="str">
        <f>IFERROR(__xludf.DUMMYFUNCTION("GOOGLETRANSLATE(F6246,""id"",""en"")"),"Photo of Lionel Messi's face is considered an Argentine currency after the superstar successfully led Albiceleste World Cup champions")</f>
        <v>Photo of Lionel Messi's face is considered an Argentine currency after the superstar successfully led Albiceleste World Cup champions</v>
      </c>
    </row>
    <row r="6247" ht="15.75" customHeight="1">
      <c r="A6247" s="1">
        <v>7438.0</v>
      </c>
      <c r="B6247" s="3" t="s">
        <v>17954</v>
      </c>
      <c r="C6247" s="3">
        <v>0.0</v>
      </c>
      <c r="D6247" s="3">
        <v>0.0</v>
      </c>
      <c r="E6247" s="3">
        <v>6.0</v>
      </c>
      <c r="F6247" s="3" t="s">
        <v>17955</v>
      </c>
      <c r="G6247" s="3">
        <v>0.0</v>
      </c>
      <c r="H6247" s="3">
        <v>0.0</v>
      </c>
      <c r="I6247" s="3" t="s">
        <v>13</v>
      </c>
      <c r="J6247" s="3" t="s">
        <v>17956</v>
      </c>
      <c r="K6247" s="3" t="s">
        <v>75</v>
      </c>
      <c r="L6247" s="3" t="str">
        <f>IFERROR(__xludf.DUMMYFUNCTION("GOOGLETRANSLATE(F6247,""id"",""en"")"),"Bring Argentina World Cup Champion Messi is considered a paper money appearing")</f>
        <v>Bring Argentina World Cup Champion Messi is considered a paper money appearing</v>
      </c>
    </row>
    <row r="6248" ht="15.75" customHeight="1">
      <c r="A6248" s="1">
        <v>7439.0</v>
      </c>
      <c r="B6248" s="3" t="s">
        <v>17957</v>
      </c>
      <c r="C6248" s="3">
        <v>0.0</v>
      </c>
      <c r="D6248" s="3">
        <v>0.0</v>
      </c>
      <c r="E6248" s="3">
        <v>0.0</v>
      </c>
      <c r="F6248" s="3" t="s">
        <v>17500</v>
      </c>
      <c r="G6248" s="3">
        <v>0.0</v>
      </c>
      <c r="H6248" s="3">
        <v>0.0</v>
      </c>
      <c r="I6248" s="3" t="s">
        <v>13</v>
      </c>
      <c r="J6248" s="3" t="s">
        <v>17501</v>
      </c>
      <c r="K6248" s="3" t="s">
        <v>19</v>
      </c>
      <c r="L6248" s="3" t="str">
        <f>IFERROR(__xludf.DUMMYFUNCTION("GOOGLETRANSLATE(F6248,""id"",""en"")"),"Bring Argentina The World Cup Champion Messi's face is proposed to stick to the peso currency")</f>
        <v>Bring Argentina The World Cup Champion Messi's face is proposed to stick to the peso currency</v>
      </c>
    </row>
    <row r="6249" ht="15.75" customHeight="1">
      <c r="A6249" s="1">
        <v>7440.0</v>
      </c>
      <c r="B6249" s="3" t="s">
        <v>17958</v>
      </c>
      <c r="C6249" s="3">
        <v>0.0</v>
      </c>
      <c r="D6249" s="3">
        <v>0.0</v>
      </c>
      <c r="E6249" s="3">
        <v>0.0</v>
      </c>
      <c r="F6249" s="3" t="s">
        <v>17959</v>
      </c>
      <c r="G6249" s="3">
        <v>0.0</v>
      </c>
      <c r="H6249" s="3">
        <v>0.0</v>
      </c>
      <c r="I6249" s="3" t="s">
        <v>13</v>
      </c>
      <c r="J6249" s="3" t="s">
        <v>17960</v>
      </c>
      <c r="K6249" s="3" t="s">
        <v>82</v>
      </c>
      <c r="L6249" s="3" t="str">
        <f>IFERROR(__xludf.DUMMYFUNCTION("GOOGLETRANSLATE(F6249,""id"",""en"")"),"Argentina Busettt Champion Pildun KoQ Enter Min")</f>
        <v>Argentina Busettt Champion Pildun KoQ Enter Min</v>
      </c>
    </row>
    <row r="6250" ht="15.75" customHeight="1">
      <c r="A6250" s="1">
        <v>7441.0</v>
      </c>
      <c r="B6250" s="3" t="s">
        <v>17961</v>
      </c>
      <c r="C6250" s="3">
        <v>0.0</v>
      </c>
      <c r="D6250" s="3">
        <v>0.0</v>
      </c>
      <c r="E6250" s="3">
        <v>0.0</v>
      </c>
      <c r="F6250" s="3" t="s">
        <v>17962</v>
      </c>
      <c r="G6250" s="3">
        <v>0.2333333333333333</v>
      </c>
      <c r="H6250" s="3">
        <v>-0.25</v>
      </c>
      <c r="I6250" s="3" t="s">
        <v>179</v>
      </c>
      <c r="J6250" s="3" t="s">
        <v>17963</v>
      </c>
      <c r="K6250" s="3" t="s">
        <v>31</v>
      </c>
      <c r="L6250" s="3" t="str">
        <f>IFERROR(__xludf.DUMMYFUNCTION("GOOGLETRANSLATE(F6250,""id"",""en"")"),"Horrified Argentina Champion Parade Ricuh")</f>
        <v>Horrified Argentina Champion Parade Ricuh</v>
      </c>
    </row>
    <row r="6251" ht="15.75" customHeight="1">
      <c r="A6251" s="1">
        <v>7442.0</v>
      </c>
      <c r="B6251" s="3" t="s">
        <v>17964</v>
      </c>
      <c r="C6251" s="3">
        <v>0.0</v>
      </c>
      <c r="D6251" s="3">
        <v>0.0</v>
      </c>
      <c r="E6251" s="3">
        <v>0.0</v>
      </c>
      <c r="F6251" s="3" t="s">
        <v>17965</v>
      </c>
      <c r="G6251" s="3">
        <v>0.0</v>
      </c>
      <c r="H6251" s="3">
        <v>0.0</v>
      </c>
      <c r="I6251" s="3" t="s">
        <v>13</v>
      </c>
      <c r="J6251" s="3" t="s">
        <v>17966</v>
      </c>
      <c r="K6251" s="3" t="s">
        <v>27</v>
      </c>
      <c r="L6251" s="3" t="str">
        <f>IFERROR(__xludf.DUMMYFUNCTION("GOOGLETRANSLATE(F6251,""id"",""en"")"),"Pep Guardiola we are very happy to congratulate him and Otamendi personally for Messi Argentina, it is worth us to be happy for Julian he played a lot of extraordinary contribution we have world champion our team via")</f>
        <v>Pep Guardiola we are very happy to congratulate him and Otamendi personally for Messi Argentina, it is worth us to be happy for Julian he played a lot of extraordinary contribution we have world champion our team via</v>
      </c>
    </row>
    <row r="6252" ht="15.75" customHeight="1">
      <c r="A6252" s="1">
        <v>7443.0</v>
      </c>
      <c r="B6252" s="3" t="s">
        <v>17967</v>
      </c>
      <c r="C6252" s="3">
        <v>0.0</v>
      </c>
      <c r="D6252" s="3">
        <v>0.0</v>
      </c>
      <c r="E6252" s="3">
        <v>1.0</v>
      </c>
      <c r="F6252" s="3" t="s">
        <v>17968</v>
      </c>
      <c r="G6252" s="3">
        <v>0.0</v>
      </c>
      <c r="H6252" s="3">
        <v>0.0</v>
      </c>
      <c r="I6252" s="3" t="s">
        <v>13</v>
      </c>
      <c r="J6252" s="3" t="s">
        <v>17969</v>
      </c>
      <c r="K6252" s="3" t="s">
        <v>123</v>
      </c>
      <c r="L6252" s="3" t="str">
        <f>IFERROR(__xludf.DUMMYFUNCTION("GOOGLETRANSLATE(F6252,""id"",""en"")"),"Messi The Idol Brings Argentina World Cup Champion Messi Manifestation This Year Looks A Happy Smile")</f>
        <v>Messi The Idol Brings Argentina World Cup Champion Messi Manifestation This Year Looks A Happy Smile</v>
      </c>
    </row>
    <row r="6253" ht="15.75" customHeight="1">
      <c r="A6253" s="1">
        <v>7444.0</v>
      </c>
      <c r="B6253" s="3" t="s">
        <v>17970</v>
      </c>
      <c r="C6253" s="3">
        <v>0.0</v>
      </c>
      <c r="D6253" s="3">
        <v>0.0</v>
      </c>
      <c r="E6253" s="3">
        <v>0.0</v>
      </c>
      <c r="F6253" s="3" t="s">
        <v>17971</v>
      </c>
      <c r="G6253" s="3">
        <v>1.0</v>
      </c>
      <c r="H6253" s="3">
        <v>0.0</v>
      </c>
      <c r="I6253" s="3" t="s">
        <v>13</v>
      </c>
      <c r="J6253" s="3" t="s">
        <v>17972</v>
      </c>
      <c r="K6253" s="3" t="s">
        <v>23</v>
      </c>
      <c r="L6253" s="3" t="str">
        <f>IFERROR(__xludf.DUMMYFUNCTION("GOOGLETRANSLATE(F6253,""id"",""en"")"),"France Mbappe Udh Champion World Cup and can backtoback Final Runner only through penalties we can see what can Argentina and Emi Martinez later if France is still Kanditat Champion")</f>
        <v>France Mbappe Udh Champion World Cup and can backtoback Final Runner only through penalties we can see what can Argentina and Emi Martinez later if France is still Kanditat Champion</v>
      </c>
    </row>
    <row r="6254" ht="15.75" customHeight="1">
      <c r="A6254" s="1">
        <v>7445.0</v>
      </c>
      <c r="B6254" s="3" t="s">
        <v>17973</v>
      </c>
      <c r="C6254" s="3">
        <v>4.0</v>
      </c>
      <c r="D6254" s="3">
        <v>1.0</v>
      </c>
      <c r="E6254" s="3">
        <v>22.0</v>
      </c>
      <c r="F6254" s="3" t="s">
        <v>17974</v>
      </c>
      <c r="G6254" s="3">
        <v>0.0</v>
      </c>
      <c r="H6254" s="3">
        <v>0.0</v>
      </c>
      <c r="I6254" s="3" t="s">
        <v>13</v>
      </c>
      <c r="J6254" s="3" t="s">
        <v>17975</v>
      </c>
      <c r="K6254" s="3" t="s">
        <v>1317</v>
      </c>
      <c r="L6254" s="3" t="str">
        <f>IFERROR(__xludf.DUMMYFUNCTION("GOOGLETRANSLATE(F6254,""id"",""en"")"),"Do not until Argentina just like Italy after the champion is really the worst period of Italy specifically for the World Cup to be eliminated by the group to qualify for the Gile World Cup to be destroyed")</f>
        <v>Do not until Argentina just like Italy after the champion is really the worst period of Italy specifically for the World Cup to be eliminated by the group to qualify for the Gile World Cup to be destroyed</v>
      </c>
    </row>
    <row r="6255" ht="15.75" customHeight="1">
      <c r="A6255" s="1">
        <v>7446.0</v>
      </c>
      <c r="B6255" s="3" t="s">
        <v>17976</v>
      </c>
      <c r="C6255" s="3">
        <v>0.0</v>
      </c>
      <c r="D6255" s="3">
        <v>0.0</v>
      </c>
      <c r="E6255" s="3">
        <v>0.0</v>
      </c>
      <c r="F6255" s="3" t="s">
        <v>17977</v>
      </c>
      <c r="G6255" s="3">
        <v>0.0</v>
      </c>
      <c r="H6255" s="3">
        <v>0.0</v>
      </c>
      <c r="I6255" s="3" t="s">
        <v>13</v>
      </c>
      <c r="J6255" s="3" t="s">
        <v>17978</v>
      </c>
      <c r="K6255" s="3" t="s">
        <v>192</v>
      </c>
      <c r="L6255" s="3" t="str">
        <f>IFERROR(__xludf.DUMMYFUNCTION("GOOGLETRANSLATE(F6255,""id"",""en"")"),"Time KNP Dodoglovers is a comedy comedy all the decks of the euro championship deck are slaughtered by Argentina, not ashamed that European countries lose to the team failed qualified to be a trophy and the trophy is compared to worldcup")</f>
        <v>Time KNP Dodoglovers is a comedy comedy all the decks of the euro championship deck are slaughtered by Argentina, not ashamed that European countries lose to the team failed qualified to be a trophy and the trophy is compared to worldcup</v>
      </c>
    </row>
    <row r="6256" ht="15.75" customHeight="1">
      <c r="A6256" s="1">
        <v>7447.0</v>
      </c>
      <c r="B6256" s="3" t="s">
        <v>17979</v>
      </c>
      <c r="C6256" s="3">
        <v>1.0</v>
      </c>
      <c r="D6256" s="3">
        <v>0.0</v>
      </c>
      <c r="E6256" s="3">
        <v>0.0</v>
      </c>
      <c r="F6256" s="3" t="s">
        <v>17980</v>
      </c>
      <c r="G6256" s="3">
        <v>0.9</v>
      </c>
      <c r="H6256" s="3">
        <v>0.7</v>
      </c>
      <c r="I6256" s="3" t="s">
        <v>48</v>
      </c>
      <c r="J6256" s="3" t="s">
        <v>17981</v>
      </c>
      <c r="K6256" s="3" t="s">
        <v>41</v>
      </c>
      <c r="L6256" s="3" t="str">
        <f>IFERROR(__xludf.DUMMYFUNCTION("GOOGLETRANSLATE(F6256,""id"",""en"")"),"Fair is also the name of the crucial match of Argentina champions because of Martinez")</f>
        <v>Fair is also the name of the crucial match of Argentina champions because of Martinez</v>
      </c>
    </row>
    <row r="6257" ht="15.75" customHeight="1">
      <c r="A6257" s="1">
        <v>7448.0</v>
      </c>
      <c r="B6257" s="3" t="s">
        <v>17982</v>
      </c>
      <c r="C6257" s="3">
        <v>4.0</v>
      </c>
      <c r="D6257" s="3">
        <v>0.0</v>
      </c>
      <c r="E6257" s="3">
        <v>2.0</v>
      </c>
      <c r="F6257" s="3" t="s">
        <v>17983</v>
      </c>
      <c r="G6257" s="3">
        <v>0.0</v>
      </c>
      <c r="H6257" s="3">
        <v>0.0</v>
      </c>
      <c r="I6257" s="3" t="s">
        <v>13</v>
      </c>
      <c r="J6257" s="3" t="s">
        <v>17984</v>
      </c>
      <c r="K6257" s="3" t="s">
        <v>15662</v>
      </c>
      <c r="L6257" s="3" t="str">
        <f>IFERROR(__xludf.DUMMYFUNCTION("GOOGLETRANSLATE(F6257,""id"",""en"")"),"Before there was Messi Argentina, the World Cup champion before Portugal had never won even just passed the World Cup if Messi won the congratulations and if Ronaldo did not win, it didn't mean that his football career was not feasible")</f>
        <v>Before there was Messi Argentina, the World Cup champion before Portugal had never won even just passed the World Cup if Messi won the congratulations and if Ronaldo did not win, it didn't mean that his football career was not feasible</v>
      </c>
    </row>
    <row r="6258" ht="15.75" customHeight="1">
      <c r="A6258" s="1">
        <v>7449.0</v>
      </c>
      <c r="B6258" s="3" t="s">
        <v>17985</v>
      </c>
      <c r="C6258" s="3">
        <v>0.0</v>
      </c>
      <c r="D6258" s="3">
        <v>0.0</v>
      </c>
      <c r="E6258" s="3">
        <v>1.0</v>
      </c>
      <c r="F6258" s="3" t="s">
        <v>17986</v>
      </c>
      <c r="G6258" s="3">
        <v>0.0</v>
      </c>
      <c r="H6258" s="3">
        <v>0.0</v>
      </c>
      <c r="I6258" s="3" t="s">
        <v>13</v>
      </c>
      <c r="J6258" s="3" t="s">
        <v>17987</v>
      </c>
      <c r="K6258" s="3" t="s">
        <v>54</v>
      </c>
      <c r="L6258" s="3" t="str">
        <f>IFERROR(__xludf.DUMMYFUNCTION("GOOGLETRANSLATE(F6258,""id"",""en"")"),"burglarized if the champion is finally Argentina is free")</f>
        <v>burglarized if the champion is finally Argentina is free</v>
      </c>
    </row>
    <row r="6259" ht="15.75" customHeight="1">
      <c r="A6259" s="1">
        <v>7450.0</v>
      </c>
      <c r="B6259" s="3" t="s">
        <v>17988</v>
      </c>
      <c r="C6259" s="3">
        <v>0.0</v>
      </c>
      <c r="D6259" s="3">
        <v>0.0</v>
      </c>
      <c r="E6259" s="3">
        <v>0.0</v>
      </c>
      <c r="F6259" s="3" t="s">
        <v>17989</v>
      </c>
      <c r="G6259" s="3">
        <v>0.0</v>
      </c>
      <c r="H6259" s="3">
        <v>0.0</v>
      </c>
      <c r="I6259" s="3" t="s">
        <v>13</v>
      </c>
      <c r="J6259" s="3" t="s">
        <v>17990</v>
      </c>
      <c r="K6259" s="3" t="s">
        <v>510</v>
      </c>
      <c r="L6259" s="3" t="str">
        <f>IFERROR(__xludf.DUMMYFUNCTION("GOOGLETRANSLATE(F6259,""id"",""en"")"),"Netflix or whoever is please release the Argentine documentary film, I want to watch")</f>
        <v>Netflix or whoever is please release the Argentine documentary film, I want to watch</v>
      </c>
    </row>
    <row r="6260" ht="15.75" customHeight="1">
      <c r="A6260" s="1">
        <v>7451.0</v>
      </c>
      <c r="B6260" s="3" t="s">
        <v>17991</v>
      </c>
      <c r="C6260" s="3">
        <v>0.0</v>
      </c>
      <c r="D6260" s="3">
        <v>0.0</v>
      </c>
      <c r="E6260" s="3">
        <v>3.0</v>
      </c>
      <c r="F6260" s="3" t="s">
        <v>17500</v>
      </c>
      <c r="G6260" s="3">
        <v>0.0</v>
      </c>
      <c r="H6260" s="3">
        <v>0.0</v>
      </c>
      <c r="I6260" s="3" t="s">
        <v>13</v>
      </c>
      <c r="J6260" s="3" t="s">
        <v>17501</v>
      </c>
      <c r="K6260" s="3" t="s">
        <v>19</v>
      </c>
      <c r="L6260" s="3" t="str">
        <f>IFERROR(__xludf.DUMMYFUNCTION("GOOGLETRANSLATE(F6260,""id"",""en"")"),"Bring Argentina The World Cup Champion Messi's face is proposed to stick to the peso currency")</f>
        <v>Bring Argentina The World Cup Champion Messi's face is proposed to stick to the peso currency</v>
      </c>
    </row>
    <row r="6261" ht="15.75" customHeight="1">
      <c r="A6261" s="1">
        <v>7452.0</v>
      </c>
      <c r="B6261" s="3" t="s">
        <v>17992</v>
      </c>
      <c r="C6261" s="3">
        <v>0.0</v>
      </c>
      <c r="D6261" s="3">
        <v>0.0</v>
      </c>
      <c r="E6261" s="3">
        <v>1.0</v>
      </c>
      <c r="F6261" s="3" t="s">
        <v>17993</v>
      </c>
      <c r="G6261" s="3">
        <v>0.3</v>
      </c>
      <c r="H6261" s="3">
        <v>1.0</v>
      </c>
      <c r="I6261" s="3" t="s">
        <v>48</v>
      </c>
      <c r="J6261" s="3" t="s">
        <v>17994</v>
      </c>
      <c r="K6261" s="3" t="s">
        <v>2215</v>
      </c>
      <c r="L6261" s="3" t="str">
        <f>IFERROR(__xludf.DUMMYFUNCTION("GOOGLETRANSLATE(F6261,""id"",""en"")"),"Nusantara Output December Result Shio Mouse Prediction Hongkong Wednesday December Best Shio Tiger Bbfs")</f>
        <v>Nusantara Output December Result Shio Mouse Prediction Hongkong Wednesday December Best Shio Tiger Bbfs</v>
      </c>
    </row>
    <row r="6262" ht="15.75" customHeight="1">
      <c r="A6262" s="1">
        <v>7453.0</v>
      </c>
      <c r="B6262" s="3" t="s">
        <v>17995</v>
      </c>
      <c r="C6262" s="3">
        <v>0.0</v>
      </c>
      <c r="D6262" s="3">
        <v>0.0</v>
      </c>
      <c r="E6262" s="3">
        <v>0.0</v>
      </c>
      <c r="F6262" s="3" t="s">
        <v>17996</v>
      </c>
      <c r="G6262" s="3">
        <v>0.0</v>
      </c>
      <c r="H6262" s="3">
        <v>0.0</v>
      </c>
      <c r="I6262" s="3" t="s">
        <v>13</v>
      </c>
      <c r="J6262" s="3" t="s">
        <v>17997</v>
      </c>
      <c r="K6262" s="3" t="s">
        <v>484</v>
      </c>
      <c r="L6262" s="3" t="str">
        <f>IFERROR(__xludf.DUMMYFUNCTION("GOOGLETRANSLATE(F6262,""id"",""en"")"),"I think it is also true to become a champion with the Brazilian or Argentine national team will be easier than champions with Portugal or England")</f>
        <v>I think it is also true to become a champion with the Brazilian or Argentine national team will be easier than champions with Portugal or England</v>
      </c>
    </row>
    <row r="6263" ht="15.75" customHeight="1">
      <c r="A6263" s="1">
        <v>7454.0</v>
      </c>
      <c r="B6263" s="3" t="s">
        <v>17998</v>
      </c>
      <c r="C6263" s="3">
        <v>0.0</v>
      </c>
      <c r="D6263" s="3">
        <v>0.0</v>
      </c>
      <c r="E6263" s="3">
        <v>0.0</v>
      </c>
      <c r="F6263" s="3" t="s">
        <v>17999</v>
      </c>
      <c r="G6263" s="3">
        <v>0.0</v>
      </c>
      <c r="H6263" s="3">
        <v>0.0</v>
      </c>
      <c r="I6263" s="3" t="s">
        <v>13</v>
      </c>
      <c r="J6263" s="3" t="s">
        <v>18000</v>
      </c>
      <c r="K6263" s="3" t="s">
        <v>75</v>
      </c>
      <c r="L6263" s="3" t="str">
        <f>IFERROR(__xludf.DUMMYFUNCTION("GOOGLETRANSLATE(F6263,""id"",""en"")"),"successfully brought Argentina champion Lionel Messi extended the contract with PSG up to")</f>
        <v>successfully brought Argentina champion Lionel Messi extended the contract with PSG up to</v>
      </c>
    </row>
    <row r="6264" ht="15.75" customHeight="1">
      <c r="A6264" s="1">
        <v>7455.0</v>
      </c>
      <c r="B6264" s="3" t="s">
        <v>18001</v>
      </c>
      <c r="C6264" s="3">
        <v>1.0</v>
      </c>
      <c r="D6264" s="3">
        <v>0.0</v>
      </c>
      <c r="E6264" s="3">
        <v>6.0</v>
      </c>
      <c r="F6264" s="3" t="s">
        <v>18002</v>
      </c>
      <c r="G6264" s="3">
        <v>0.0</v>
      </c>
      <c r="H6264" s="3">
        <v>0.0</v>
      </c>
      <c r="I6264" s="3" t="s">
        <v>13</v>
      </c>
      <c r="J6264" s="3" t="s">
        <v>18003</v>
      </c>
      <c r="K6264" s="3" t="s">
        <v>899</v>
      </c>
      <c r="L6264" s="3" t="str">
        <f>IFERROR(__xludf.DUMMYFUNCTION("GOOGLETRANSLATE(F6264,""id"",""en"")"),"How are you Ronaldo fans since always carrying the Euro Cup because Messi has never won the Argentina now Messi has champions and the fans are said to be funny")</f>
        <v>How are you Ronaldo fans since always carrying the Euro Cup because Messi has never won the Argentina now Messi has champions and the fans are said to be funny</v>
      </c>
    </row>
    <row r="6265" ht="15.75" customHeight="1">
      <c r="A6265" s="1">
        <v>7456.0</v>
      </c>
      <c r="B6265" s="3" t="s">
        <v>18004</v>
      </c>
      <c r="C6265" s="3">
        <v>0.0</v>
      </c>
      <c r="D6265" s="3">
        <v>0.0</v>
      </c>
      <c r="E6265" s="3">
        <v>0.0</v>
      </c>
      <c r="F6265" s="3" t="s">
        <v>18005</v>
      </c>
      <c r="G6265" s="3">
        <v>0.0</v>
      </c>
      <c r="H6265" s="3">
        <v>0.0</v>
      </c>
      <c r="I6265" s="3" t="s">
        <v>13</v>
      </c>
      <c r="J6265" s="3" t="s">
        <v>18006</v>
      </c>
      <c r="K6265" s="3" t="s">
        <v>244</v>
      </c>
      <c r="L6265" s="3" t="str">
        <f>IFERROR(__xludf.DUMMYFUNCTION("GOOGLETRANSLATE(F6265,""id"",""en"")"),"It is important to win the same as Messi if it's up to the most supporting Argentina and a little")</f>
        <v>It is important to win the same as Messi if it's up to the most supporting Argentina and a little</v>
      </c>
    </row>
    <row r="6266" ht="15.75" customHeight="1">
      <c r="A6266" s="1">
        <v>7457.0</v>
      </c>
      <c r="B6266" s="3" t="s">
        <v>18007</v>
      </c>
      <c r="C6266" s="3">
        <v>0.0</v>
      </c>
      <c r="D6266" s="3">
        <v>0.0</v>
      </c>
      <c r="E6266" s="3">
        <v>3.0</v>
      </c>
      <c r="F6266" s="3" t="s">
        <v>18008</v>
      </c>
      <c r="G6266" s="3">
        <v>0.0</v>
      </c>
      <c r="H6266" s="3">
        <v>0.0</v>
      </c>
      <c r="I6266" s="3" t="s">
        <v>13</v>
      </c>
      <c r="J6266" s="3" t="s">
        <v>18009</v>
      </c>
      <c r="K6266" s="3" t="s">
        <v>82</v>
      </c>
      <c r="L6266" s="3" t="str">
        <f>IFERROR(__xludf.DUMMYFUNCTION("GOOGLETRANSLATE(F6266,""id"",""en"")"),"Argentina World Champion Guardiola Sanjung Alvarez and Messi")</f>
        <v>Argentina World Champion Guardiola Sanjung Alvarez and Messi</v>
      </c>
    </row>
    <row r="6267" ht="15.75" customHeight="1">
      <c r="A6267" s="1">
        <v>7458.0</v>
      </c>
      <c r="B6267" s="3" t="s">
        <v>18010</v>
      </c>
      <c r="C6267" s="3">
        <v>0.0</v>
      </c>
      <c r="D6267" s="3">
        <v>0.0</v>
      </c>
      <c r="E6267" s="3">
        <v>0.0</v>
      </c>
      <c r="F6267" s="3" t="s">
        <v>18011</v>
      </c>
      <c r="G6267" s="3">
        <v>0.0</v>
      </c>
      <c r="H6267" s="3">
        <v>0.0</v>
      </c>
      <c r="I6267" s="3" t="s">
        <v>13</v>
      </c>
      <c r="J6267" s="3" t="s">
        <v>18012</v>
      </c>
      <c r="K6267" s="3" t="s">
        <v>41</v>
      </c>
      <c r="L6267" s="3" t="str">
        <f>IFERROR(__xludf.DUMMYFUNCTION("GOOGLETRANSLATE(F6267,""id"",""en"")"),"Argentina Champion Sad France Baper Dodo Fans around the World")</f>
        <v>Argentina Champion Sad France Baper Dodo Fans around the World</v>
      </c>
    </row>
    <row r="6268" ht="15.75" customHeight="1">
      <c r="A6268" s="1">
        <v>7459.0</v>
      </c>
      <c r="B6268" s="3" t="s">
        <v>18013</v>
      </c>
      <c r="C6268" s="3">
        <v>1.0</v>
      </c>
      <c r="D6268" s="3">
        <v>0.0</v>
      </c>
      <c r="E6268" s="3">
        <v>1.0</v>
      </c>
      <c r="F6268" s="3" t="s">
        <v>17703</v>
      </c>
      <c r="G6268" s="3">
        <v>0.3666666666666667</v>
      </c>
      <c r="H6268" s="3">
        <v>0.125</v>
      </c>
      <c r="I6268" s="3" t="s">
        <v>48</v>
      </c>
      <c r="J6268" s="3" t="s">
        <v>17704</v>
      </c>
      <c r="K6268" s="3" t="s">
        <v>71</v>
      </c>
      <c r="L6268" s="3" t="str">
        <f>IFERROR(__xludf.DUMMYFUNCTION("GOOGLETRANSLATE(F6268,""id"",""en"")"),"Top Football News Parade World Cup Champion was stopped earlier Argentine players were transported by helicopter")</f>
        <v>Top Football News Parade World Cup Champion was stopped earlier Argentine players were transported by helicopter</v>
      </c>
    </row>
    <row r="6269" ht="15.75" customHeight="1">
      <c r="A6269" s="1">
        <v>7460.0</v>
      </c>
      <c r="B6269" s="3" t="s">
        <v>18014</v>
      </c>
      <c r="C6269" s="3">
        <v>1.0</v>
      </c>
      <c r="D6269" s="3">
        <v>0.0</v>
      </c>
      <c r="E6269" s="3">
        <v>0.0</v>
      </c>
      <c r="F6269" s="3" t="s">
        <v>18015</v>
      </c>
      <c r="G6269" s="3">
        <v>0.0</v>
      </c>
      <c r="H6269" s="3">
        <v>0.0</v>
      </c>
      <c r="I6269" s="3" t="s">
        <v>13</v>
      </c>
      <c r="J6269" s="3" t="s">
        <v>18016</v>
      </c>
      <c r="K6269" s="3" t="s">
        <v>244</v>
      </c>
      <c r="L6269" s="3" t="str">
        <f>IFERROR(__xludf.DUMMYFUNCTION("GOOGLETRANSLATE(F6269,""id"",""en"")"),"Inside I have been pessimistic again as a fan France if that's the case with Argentina champions again")</f>
        <v>Inside I have been pessimistic again as a fan France if that's the case with Argentina champions again</v>
      </c>
    </row>
    <row r="6270" ht="15.75" customHeight="1">
      <c r="A6270" s="1">
        <v>7461.0</v>
      </c>
      <c r="B6270" s="3" t="s">
        <v>18017</v>
      </c>
      <c r="C6270" s="3">
        <v>0.0</v>
      </c>
      <c r="D6270" s="3">
        <v>0.0</v>
      </c>
      <c r="E6270" s="3">
        <v>0.0</v>
      </c>
      <c r="F6270" s="3" t="s">
        <v>18018</v>
      </c>
      <c r="G6270" s="3">
        <v>0.0</v>
      </c>
      <c r="H6270" s="3">
        <v>0.0</v>
      </c>
      <c r="I6270" s="3" t="s">
        <v>13</v>
      </c>
      <c r="J6270" s="3" t="s">
        <v>18019</v>
      </c>
      <c r="K6270" s="3" t="s">
        <v>240</v>
      </c>
      <c r="L6270" s="3" t="str">
        <f>IFERROR(__xludf.DUMMYFUNCTION("GOOGLETRANSLATE(F6270,""id"",""en"")"),"Lionel Messi is reportedly on the Argentine currency icon consideration list after successfully led to Albiceleste World Cup champions")</f>
        <v>Lionel Messi is reportedly on the Argentine currency icon consideration list after successfully led to Albiceleste World Cup champions</v>
      </c>
    </row>
    <row r="6271" ht="15.75" customHeight="1">
      <c r="A6271" s="1">
        <v>7462.0</v>
      </c>
      <c r="B6271" s="3" t="s">
        <v>18020</v>
      </c>
      <c r="C6271" s="3">
        <v>0.0</v>
      </c>
      <c r="D6271" s="3">
        <v>0.0</v>
      </c>
      <c r="E6271" s="3">
        <v>0.0</v>
      </c>
      <c r="F6271" s="3" t="s">
        <v>18021</v>
      </c>
      <c r="G6271" s="3">
        <v>0.0</v>
      </c>
      <c r="H6271" s="3">
        <v>0.0</v>
      </c>
      <c r="I6271" s="3" t="s">
        <v>13</v>
      </c>
      <c r="J6271" s="3" t="s">
        <v>18022</v>
      </c>
      <c r="K6271" s="3" t="s">
        <v>35</v>
      </c>
      <c r="L6271" s="3" t="str">
        <f>IFERROR(__xludf.DUMMYFUNCTION("GOOGLETRANSLATE(F6271,""id"",""en"")"),"Inside already, I'm pessimistic that France can win, if so, it seems like Argentina will be champion later")</f>
        <v>Inside already, I'm pessimistic that France can win, if so, it seems like Argentina will be champion later</v>
      </c>
    </row>
    <row r="6272" ht="15.75" customHeight="1">
      <c r="A6272" s="1">
        <v>7463.0</v>
      </c>
      <c r="B6272" s="3" t="s">
        <v>18023</v>
      </c>
      <c r="C6272" s="3">
        <v>0.0</v>
      </c>
      <c r="D6272" s="3">
        <v>0.0</v>
      </c>
      <c r="E6272" s="3">
        <v>0.0</v>
      </c>
      <c r="F6272" s="3" t="s">
        <v>18024</v>
      </c>
      <c r="G6272" s="3">
        <v>0.0</v>
      </c>
      <c r="H6272" s="3">
        <v>0.0</v>
      </c>
      <c r="I6272" s="3" t="s">
        <v>13</v>
      </c>
      <c r="J6272" s="3" t="s">
        <v>18025</v>
      </c>
      <c r="K6272" s="3" t="s">
        <v>54</v>
      </c>
      <c r="L6272" s="3" t="str">
        <f>IFERROR(__xludf.DUMMYFUNCTION("GOOGLETRANSLATE(F6272,""id"",""en"")"),"Argentina yesterday the champion was edited from this original tiktok")</f>
        <v>Argentina yesterday the champion was edited from this original tiktok</v>
      </c>
    </row>
    <row r="6273" ht="15.75" customHeight="1">
      <c r="A6273" s="1">
        <v>7464.0</v>
      </c>
      <c r="B6273" s="3" t="s">
        <v>18026</v>
      </c>
      <c r="C6273" s="3">
        <v>0.0</v>
      </c>
      <c r="D6273" s="3">
        <v>0.0</v>
      </c>
      <c r="E6273" s="3">
        <v>0.0</v>
      </c>
      <c r="F6273" s="3" t="s">
        <v>18027</v>
      </c>
      <c r="G6273" s="3">
        <v>0.0</v>
      </c>
      <c r="H6273" s="3">
        <v>0.0</v>
      </c>
      <c r="I6273" s="3" t="s">
        <v>13</v>
      </c>
      <c r="J6273" s="3" t="s">
        <v>18028</v>
      </c>
      <c r="K6273" s="3" t="s">
        <v>1265</v>
      </c>
      <c r="L6273" s="3" t="str">
        <f>IFERROR(__xludf.DUMMYFUNCTION("GOOGLETRANSLATE(F6273,""id"",""en"")"),"No wonder Argentina champions because of the penalties in the biggest portion of penalties in the goalkeeper")</f>
        <v>No wonder Argentina champions because of the penalties in the biggest portion of penalties in the goalkeeper</v>
      </c>
    </row>
    <row r="6274" ht="15.75" customHeight="1">
      <c r="A6274" s="1">
        <v>7465.0</v>
      </c>
      <c r="B6274" s="3" t="s">
        <v>18029</v>
      </c>
      <c r="C6274" s="3">
        <v>0.0</v>
      </c>
      <c r="D6274" s="3">
        <v>0.0</v>
      </c>
      <c r="E6274" s="3">
        <v>0.0</v>
      </c>
      <c r="F6274" s="3" t="s">
        <v>18030</v>
      </c>
      <c r="G6274" s="3">
        <v>0.0</v>
      </c>
      <c r="H6274" s="3">
        <v>0.0</v>
      </c>
      <c r="I6274" s="3" t="s">
        <v>13</v>
      </c>
      <c r="J6274" s="3" t="s">
        <v>18031</v>
      </c>
      <c r="K6274" s="3" t="s">
        <v>437</v>
      </c>
      <c r="L6274" s="3" t="str">
        <f>IFERROR(__xludf.DUMMYFUNCTION("GOOGLETRANSLATE(F6274,""id"",""en"")"),"The Phenomenal goalkeeper of the Argentine national team became the burun of Bayern Munich after performing brilliantly while delivering his country to become the world's piaal champion")</f>
        <v>The Phenomenal goalkeeper of the Argentine national team became the burun of Bayern Munich after performing brilliantly while delivering his country to become the world's piaal champion</v>
      </c>
    </row>
    <row r="6275" ht="15.75" customHeight="1">
      <c r="A6275" s="1">
        <v>7466.0</v>
      </c>
      <c r="B6275" s="3" t="s">
        <v>18032</v>
      </c>
      <c r="C6275" s="3">
        <v>0.0</v>
      </c>
      <c r="D6275" s="3">
        <v>0.0</v>
      </c>
      <c r="E6275" s="3">
        <v>0.0</v>
      </c>
      <c r="F6275" s="3" t="s">
        <v>18033</v>
      </c>
      <c r="G6275" s="3">
        <v>0.0</v>
      </c>
      <c r="H6275" s="3">
        <v>0.0</v>
      </c>
      <c r="I6275" s="3" t="s">
        <v>13</v>
      </c>
      <c r="J6275" s="3" t="s">
        <v>18034</v>
      </c>
      <c r="K6275" s="3" t="s">
        <v>75</v>
      </c>
      <c r="L6275" s="3" t="str">
        <f>IFERROR(__xludf.DUMMYFUNCTION("GOOGLETRANSLATE(F6275,""id"",""en"")"),"Lionel Messi's title with the Argentine National Team of the World Cup via")</f>
        <v>Lionel Messi's title with the Argentine National Team of the World Cup via</v>
      </c>
    </row>
    <row r="6276" ht="15.75" customHeight="1">
      <c r="A6276" s="1">
        <v>7467.0</v>
      </c>
      <c r="B6276" s="3" t="s">
        <v>18035</v>
      </c>
      <c r="C6276" s="3">
        <v>0.0</v>
      </c>
      <c r="D6276" s="3">
        <v>0.0</v>
      </c>
      <c r="E6276" s="3">
        <v>0.0</v>
      </c>
      <c r="F6276" s="3" t="s">
        <v>18036</v>
      </c>
      <c r="G6276" s="3">
        <v>0.0</v>
      </c>
      <c r="H6276" s="3">
        <v>0.0</v>
      </c>
      <c r="I6276" s="3" t="s">
        <v>13</v>
      </c>
      <c r="J6276" s="3" t="s">
        <v>18037</v>
      </c>
      <c r="K6276" s="3" t="s">
        <v>90</v>
      </c>
      <c r="L6276" s="3" t="str">
        <f>IFERROR(__xludf.DUMMYFUNCTION("GOOGLETRANSLATE(F6276,""id"",""en"")"),"The Central Bank of the Republic of Argentina is currently considering the face of Lionel Messi to appear peso currency after his success in becoming the World Cup championship")</f>
        <v>The Central Bank of the Republic of Argentina is currently considering the face of Lionel Messi to appear peso currency after his success in becoming the World Cup championship</v>
      </c>
    </row>
    <row r="6277" ht="15.75" customHeight="1">
      <c r="A6277" s="1">
        <v>7468.0</v>
      </c>
      <c r="B6277" s="3" t="s">
        <v>18038</v>
      </c>
      <c r="C6277" s="3">
        <v>0.0</v>
      </c>
      <c r="D6277" s="3">
        <v>0.0</v>
      </c>
      <c r="E6277" s="3">
        <v>0.0</v>
      </c>
      <c r="F6277" s="3" t="s">
        <v>18039</v>
      </c>
      <c r="G6277" s="3">
        <v>0.0</v>
      </c>
      <c r="H6277" s="3">
        <v>0.0</v>
      </c>
      <c r="I6277" s="3" t="s">
        <v>13</v>
      </c>
      <c r="J6277" s="3" t="s">
        <v>18040</v>
      </c>
      <c r="K6277" s="3" t="s">
        <v>15</v>
      </c>
      <c r="L6277" s="3" t="str">
        <f>IFERROR(__xludf.DUMMYFUNCTION("GOOGLETRANSLATE(F6277,""id"",""en"")"),"If Maria and Paredes are still PSG are not sure Argentina can be world champion")</f>
        <v>If Maria and Paredes are still PSG are not sure Argentina can be world champion</v>
      </c>
    </row>
    <row r="6278" ht="15.75" customHeight="1">
      <c r="A6278" s="1">
        <v>7469.0</v>
      </c>
      <c r="B6278" s="3" t="s">
        <v>18041</v>
      </c>
      <c r="C6278" s="3">
        <v>0.0</v>
      </c>
      <c r="D6278" s="3">
        <v>0.0</v>
      </c>
      <c r="E6278" s="3">
        <v>0.0</v>
      </c>
      <c r="F6278" s="3" t="s">
        <v>18042</v>
      </c>
      <c r="G6278" s="3">
        <v>0.0</v>
      </c>
      <c r="H6278" s="3">
        <v>0.0</v>
      </c>
      <c r="I6278" s="3" t="s">
        <v>13</v>
      </c>
      <c r="J6278" s="3" t="s">
        <v>18043</v>
      </c>
      <c r="K6278" s="3" t="s">
        <v>240</v>
      </c>
      <c r="L6278" s="3" t="str">
        <f>IFERROR(__xludf.DUMMYFUNCTION("GOOGLETRANSLATE(F6278,""id"",""en"")"),"Durum Karo Argentina Sing Champion Pildun Nganti Lali Mambengi King Emyu won the Ciki Cup Semifinal Mlebu")</f>
        <v>Durum Karo Argentina Sing Champion Pildun Nganti Lali Mambengi King Emyu won the Ciki Cup Semifinal Mlebu</v>
      </c>
    </row>
    <row r="6279" ht="15.75" customHeight="1">
      <c r="A6279" s="1">
        <v>7470.0</v>
      </c>
      <c r="B6279" s="3" t="s">
        <v>18044</v>
      </c>
      <c r="C6279" s="3">
        <v>0.0</v>
      </c>
      <c r="D6279" s="3">
        <v>0.0</v>
      </c>
      <c r="E6279" s="3">
        <v>0.0</v>
      </c>
      <c r="F6279" s="3" t="s">
        <v>18045</v>
      </c>
      <c r="G6279" s="3">
        <v>0.0</v>
      </c>
      <c r="H6279" s="3">
        <v>0.0</v>
      </c>
      <c r="I6279" s="3" t="s">
        <v>13</v>
      </c>
      <c r="J6279" s="3" t="s">
        <v>18046</v>
      </c>
      <c r="K6279" s="3" t="s">
        <v>510</v>
      </c>
      <c r="L6279" s="3" t="str">
        <f>IFERROR(__xludf.DUMMYFUNCTION("GOOGLETRANSLATE(F6279,""id"",""en"")"),"Successfully Bringing Argentina The World Cup Champion Messi will be a peso currency icon")</f>
        <v>Successfully Bringing Argentina The World Cup Champion Messi will be a peso currency icon</v>
      </c>
    </row>
    <row r="6280" ht="15.75" customHeight="1">
      <c r="A6280" s="1">
        <v>7471.0</v>
      </c>
      <c r="B6280" s="3" t="s">
        <v>18047</v>
      </c>
      <c r="C6280" s="3">
        <v>1.0</v>
      </c>
      <c r="D6280" s="3">
        <v>0.0</v>
      </c>
      <c r="E6280" s="3">
        <v>0.0</v>
      </c>
      <c r="F6280" s="3" t="s">
        <v>18048</v>
      </c>
      <c r="G6280" s="3">
        <v>0.0</v>
      </c>
      <c r="H6280" s="3">
        <v>0.0</v>
      </c>
      <c r="I6280" s="3" t="s">
        <v>13</v>
      </c>
      <c r="J6280" s="3" t="s">
        <v>18049</v>
      </c>
      <c r="K6280" s="3" t="s">
        <v>71</v>
      </c>
      <c r="L6280" s="3" t="str">
        <f>IFERROR(__xludf.DUMMYFUNCTION("GOOGLETRANSLATE(F6280,""id"",""en"")"),"Photos of Argentina residents gathering the city center celebrating the victory of Messi et al champion pildun how come it was brought")</f>
        <v>Photos of Argentina residents gathering the city center celebrating the victory of Messi et al champion pildun how come it was brought</v>
      </c>
    </row>
    <row r="6281" ht="15.75" customHeight="1">
      <c r="A6281" s="1">
        <v>7472.0</v>
      </c>
      <c r="B6281" s="3" t="s">
        <v>18050</v>
      </c>
      <c r="C6281" s="3">
        <v>9.0</v>
      </c>
      <c r="D6281" s="3">
        <v>37.0</v>
      </c>
      <c r="E6281" s="3">
        <v>157.0</v>
      </c>
      <c r="F6281" s="3" t="s">
        <v>18051</v>
      </c>
      <c r="G6281" s="3">
        <v>0.0</v>
      </c>
      <c r="H6281" s="3">
        <v>0.0</v>
      </c>
      <c r="I6281" s="3" t="s">
        <v>13</v>
      </c>
      <c r="J6281" s="3" t="s">
        <v>18052</v>
      </c>
      <c r="K6281" s="3" t="s">
        <v>1912</v>
      </c>
      <c r="L6281" s="3" t="str">
        <f>IFERROR(__xludf.DUMMYFUNCTION("GOOGLETRANSLATE(F6281,""id"",""en"")"),"returned home after Argentina's victory yesterday, Argentine players and coaches returned from their hometown they were welcomed like a hero as the Akamsi who won the first World Cup Lionel Scaloni back to the city of Pujato Santa Province")</f>
        <v>returned home after Argentina's victory yesterday, Argentine players and coaches returned from their hometown they were welcomed like a hero as the Akamsi who won the first World Cup Lionel Scaloni back to the city of Pujato Santa Province</v>
      </c>
    </row>
    <row r="6282" ht="15.75" customHeight="1">
      <c r="A6282" s="1">
        <v>7473.0</v>
      </c>
      <c r="B6282" s="3" t="s">
        <v>18053</v>
      </c>
      <c r="C6282" s="3">
        <v>0.0</v>
      </c>
      <c r="D6282" s="3">
        <v>0.0</v>
      </c>
      <c r="E6282" s="3">
        <v>0.0</v>
      </c>
      <c r="F6282" s="3" t="s">
        <v>18054</v>
      </c>
      <c r="G6282" s="3">
        <v>0.0</v>
      </c>
      <c r="H6282" s="3">
        <v>0.0</v>
      </c>
      <c r="I6282" s="3" t="s">
        <v>13</v>
      </c>
      <c r="J6282" s="3" t="s">
        <v>18055</v>
      </c>
      <c r="K6282" s="3" t="s">
        <v>644</v>
      </c>
      <c r="L6282" s="3" t="str">
        <f>IFERROR(__xludf.DUMMYFUNCTION("GOOGLETRANSLATE(F6282,""id"",""en"")"),"full of achievements when Argentina Champion")</f>
        <v>full of achievements when Argentina Champion</v>
      </c>
    </row>
    <row r="6283" ht="15.75" customHeight="1">
      <c r="A6283" s="1">
        <v>7474.0</v>
      </c>
      <c r="B6283" s="3" t="s">
        <v>18056</v>
      </c>
      <c r="C6283" s="3">
        <v>0.0</v>
      </c>
      <c r="D6283" s="3">
        <v>2.0</v>
      </c>
      <c r="E6283" s="3">
        <v>18.0</v>
      </c>
      <c r="F6283" s="3" t="s">
        <v>18057</v>
      </c>
      <c r="G6283" s="3">
        <v>0.2</v>
      </c>
      <c r="H6283" s="3">
        <v>-0.1</v>
      </c>
      <c r="I6283" s="3" t="s">
        <v>179</v>
      </c>
      <c r="J6283" s="3" t="s">
        <v>18058</v>
      </c>
      <c r="K6283" s="3" t="s">
        <v>899</v>
      </c>
      <c r="L6283" s="3" t="str">
        <f>IFERROR(__xludf.DUMMYFUNCTION("GOOGLETRANSLATE(F6283,""id"",""en"")"),"Ben Foster once conducted an interview with Emi Martinez after carrying Argentina Copa America champions there was a statement from EMI football was a mental game maybe for Emi now to Mind Games PDA during a penalty")</f>
        <v>Ben Foster once conducted an interview with Emi Martinez after carrying Argentina Copa America champions there was a statement from EMI football was a mental game maybe for Emi now to Mind Games PDA during a penalty</v>
      </c>
    </row>
    <row r="6284" ht="15.75" customHeight="1">
      <c r="A6284" s="1">
        <v>7475.0</v>
      </c>
      <c r="B6284" s="3" t="s">
        <v>18059</v>
      </c>
      <c r="C6284" s="3">
        <v>0.0</v>
      </c>
      <c r="D6284" s="3">
        <v>0.0</v>
      </c>
      <c r="E6284" s="3">
        <v>0.0</v>
      </c>
      <c r="F6284" s="3" t="s">
        <v>18060</v>
      </c>
      <c r="G6284" s="3">
        <v>0.2333333333333333</v>
      </c>
      <c r="H6284" s="3">
        <v>-0.25</v>
      </c>
      <c r="I6284" s="3" t="s">
        <v>179</v>
      </c>
      <c r="J6284" s="3" t="s">
        <v>18061</v>
      </c>
      <c r="K6284" s="3" t="s">
        <v>31</v>
      </c>
      <c r="L6284" s="3" t="str">
        <f>IFERROR(__xludf.DUMMYFUNCTION("GOOGLETRANSLATE(F6284,""id"",""en"")"),"The Argentine championship parade is still in a coma")</f>
        <v>The Argentine championship parade is still in a coma</v>
      </c>
    </row>
    <row r="6285" ht="15.75" customHeight="1">
      <c r="A6285" s="1">
        <v>7476.0</v>
      </c>
      <c r="B6285" s="3" t="s">
        <v>18062</v>
      </c>
      <c r="C6285" s="3">
        <v>0.0</v>
      </c>
      <c r="D6285" s="3">
        <v>0.0</v>
      </c>
      <c r="E6285" s="3">
        <v>0.0</v>
      </c>
      <c r="F6285" s="3" t="s">
        <v>18054</v>
      </c>
      <c r="G6285" s="3">
        <v>0.0</v>
      </c>
      <c r="H6285" s="3">
        <v>0.0</v>
      </c>
      <c r="I6285" s="3" t="s">
        <v>13</v>
      </c>
      <c r="J6285" s="3" t="s">
        <v>18055</v>
      </c>
      <c r="K6285" s="3" t="s">
        <v>644</v>
      </c>
      <c r="L6285" s="3" t="str">
        <f>IFERROR(__xludf.DUMMYFUNCTION("GOOGLETRANSLATE(F6285,""id"",""en"")"),"full of achievements when Argentina Champion")</f>
        <v>full of achievements when Argentina Champion</v>
      </c>
    </row>
    <row r="6286" ht="15.75" customHeight="1">
      <c r="A6286" s="1">
        <v>7477.0</v>
      </c>
      <c r="B6286" s="3" t="s">
        <v>18063</v>
      </c>
      <c r="C6286" s="3">
        <v>0.0</v>
      </c>
      <c r="D6286" s="3">
        <v>0.0</v>
      </c>
      <c r="E6286" s="3">
        <v>0.0</v>
      </c>
      <c r="F6286" s="3" t="s">
        <v>18064</v>
      </c>
      <c r="G6286" s="3">
        <v>1.0</v>
      </c>
      <c r="H6286" s="3">
        <v>0.0</v>
      </c>
      <c r="I6286" s="3" t="s">
        <v>13</v>
      </c>
      <c r="J6286" s="3" t="s">
        <v>18065</v>
      </c>
      <c r="K6286" s="3" t="s">
        <v>244</v>
      </c>
      <c r="L6286" s="3" t="str">
        <f>IFERROR(__xludf.DUMMYFUNCTION("GOOGLETRANSLATE(F6286,""id"",""en"")"),"If the semi -finals are often sir even until the final emulated by Argentina can become champions")</f>
        <v>If the semi -finals are often sir even until the final emulated by Argentina can become champions</v>
      </c>
    </row>
    <row r="6287" ht="15.75" customHeight="1">
      <c r="A6287" s="1">
        <v>7478.0</v>
      </c>
      <c r="B6287" s="3" t="s">
        <v>18066</v>
      </c>
      <c r="C6287" s="3">
        <v>0.0</v>
      </c>
      <c r="D6287" s="3">
        <v>3.0</v>
      </c>
      <c r="E6287" s="3">
        <v>65.0</v>
      </c>
      <c r="F6287" s="3" t="s">
        <v>18067</v>
      </c>
      <c r="G6287" s="3">
        <v>0.0</v>
      </c>
      <c r="H6287" s="3">
        <v>0.0</v>
      </c>
      <c r="I6287" s="3" t="s">
        <v>13</v>
      </c>
      <c r="J6287" s="3" t="s">
        <v>18068</v>
      </c>
      <c r="K6287" s="3" t="s">
        <v>19</v>
      </c>
      <c r="L6287" s="3" t="str">
        <f>IFERROR(__xludf.DUMMYFUNCTION("GOOGLETRANSLATE(F6287,""id"",""en"")"),"Argentina is the key to being an European world champion must be mastered first Diego Armando Aidit")</f>
        <v>Argentina is the key to being an European world champion must be mastered first Diego Armando Aidit</v>
      </c>
    </row>
    <row r="6288" ht="15.75" customHeight="1">
      <c r="A6288" s="1">
        <v>7479.0</v>
      </c>
      <c r="B6288" s="3" t="s">
        <v>18069</v>
      </c>
      <c r="C6288" s="3">
        <v>1.0</v>
      </c>
      <c r="D6288" s="3">
        <v>0.0</v>
      </c>
      <c r="E6288" s="3">
        <v>0.0</v>
      </c>
      <c r="F6288" s="3" t="s">
        <v>18070</v>
      </c>
      <c r="G6288" s="3">
        <v>0.0</v>
      </c>
      <c r="H6288" s="3">
        <v>0.0</v>
      </c>
      <c r="I6288" s="3" t="s">
        <v>13</v>
      </c>
      <c r="J6288" s="3" t="s">
        <v>18071</v>
      </c>
      <c r="K6288" s="3" t="s">
        <v>54</v>
      </c>
      <c r="L6288" s="3" t="str">
        <f>IFERROR(__xludf.DUMMYFUNCTION("GOOGLETRANSLATE(F6288,""id"",""en"")"),"Ngunu Kui Hambok Argentina Routinely Champion")</f>
        <v>Ngunu Kui Hambok Argentina Routinely Champion</v>
      </c>
    </row>
    <row r="6289" ht="15.75" customHeight="1">
      <c r="A6289" s="1">
        <v>7480.0</v>
      </c>
      <c r="B6289" s="3" t="s">
        <v>18072</v>
      </c>
      <c r="C6289" s="3">
        <v>0.0</v>
      </c>
      <c r="D6289" s="3">
        <v>0.0</v>
      </c>
      <c r="E6289" s="3">
        <v>0.0</v>
      </c>
      <c r="F6289" s="3" t="s">
        <v>18073</v>
      </c>
      <c r="G6289" s="3">
        <v>0.4916666666666667</v>
      </c>
      <c r="H6289" s="3">
        <v>-0.125</v>
      </c>
      <c r="I6289" s="3" t="s">
        <v>179</v>
      </c>
      <c r="J6289" s="3" t="s">
        <v>18074</v>
      </c>
      <c r="K6289" s="3" t="s">
        <v>127</v>
      </c>
      <c r="L6289" s="3" t="str">
        <f>IFERROR(__xludf.DUMMYFUNCTION("GOOGLETRANSLATE(F6289,""id"",""en"")"),"Uniquely the number of people who participated in celebrating the Argentine championship parade is the same as the total population of Croatia Follow, we also Instagram Facebook Ekingsnews")</f>
        <v>Uniquely the number of people who participated in celebrating the Argentine championship parade is the same as the total population of Croatia Follow, we also Instagram Facebook Ekingsnews</v>
      </c>
    </row>
    <row r="6290" ht="15.75" customHeight="1">
      <c r="A6290" s="1">
        <v>7481.0</v>
      </c>
      <c r="B6290" s="3" t="s">
        <v>18075</v>
      </c>
      <c r="C6290" s="3">
        <v>1.0</v>
      </c>
      <c r="D6290" s="3">
        <v>0.0</v>
      </c>
      <c r="E6290" s="3">
        <v>0.0</v>
      </c>
      <c r="F6290" s="3" t="s">
        <v>18076</v>
      </c>
      <c r="G6290" s="3">
        <v>0.0</v>
      </c>
      <c r="H6290" s="3">
        <v>0.0</v>
      </c>
      <c r="I6290" s="3" t="s">
        <v>13</v>
      </c>
      <c r="J6290" s="3" t="s">
        <v>18077</v>
      </c>
      <c r="K6290" s="3" t="s">
        <v>127</v>
      </c>
      <c r="L6290" s="3" t="str">
        <f>IFERROR(__xludf.DUMMYFUNCTION("GOOGLETRANSLATE(F6290,""id"",""en"")"),"Now cons with the same gesture Aguero and Emiliano Martinez played by the Argentina World Cup champion immediately got the Cristiano fan stamp")</f>
        <v>Now cons with the same gesture Aguero and Emiliano Martinez played by the Argentina World Cup champion immediately got the Cristiano fan stamp</v>
      </c>
    </row>
    <row r="6291" ht="15.75" customHeight="1">
      <c r="A6291" s="1">
        <v>7482.0</v>
      </c>
      <c r="B6291" s="3" t="s">
        <v>18078</v>
      </c>
      <c r="C6291" s="3">
        <v>0.0</v>
      </c>
      <c r="D6291" s="3">
        <v>1.0</v>
      </c>
      <c r="E6291" s="3">
        <v>9.0</v>
      </c>
      <c r="F6291" s="3" t="s">
        <v>18079</v>
      </c>
      <c r="G6291" s="3">
        <v>0.0</v>
      </c>
      <c r="H6291" s="3">
        <v>0.0</v>
      </c>
      <c r="I6291" s="3" t="s">
        <v>13</v>
      </c>
      <c r="J6291" s="3" t="s">
        <v>18080</v>
      </c>
      <c r="K6291" s="3" t="s">
        <v>510</v>
      </c>
      <c r="L6291" s="3" t="str">
        <f>IFERROR(__xludf.DUMMYFUNCTION("GOOGLETRANSLATE(F6291,""id"",""en"")"),"Julian Alvarez when returning home his halamping Calchin Cordoba Argentina as a world champion using a truck")</f>
        <v>Julian Alvarez when returning home his halamping Calchin Cordoba Argentina as a world champion using a truck</v>
      </c>
    </row>
    <row r="6292" ht="15.75" customHeight="1">
      <c r="A6292" s="1">
        <v>7483.0</v>
      </c>
      <c r="B6292" s="3" t="s">
        <v>18081</v>
      </c>
      <c r="C6292" s="3">
        <v>0.0</v>
      </c>
      <c r="D6292" s="3">
        <v>0.0</v>
      </c>
      <c r="E6292" s="3">
        <v>0.0</v>
      </c>
      <c r="F6292" s="3" t="s">
        <v>18082</v>
      </c>
      <c r="G6292" s="3">
        <v>0.0</v>
      </c>
      <c r="H6292" s="3">
        <v>0.0</v>
      </c>
      <c r="I6292" s="3" t="s">
        <v>13</v>
      </c>
      <c r="J6292" s="3" t="s">
        <v>18083</v>
      </c>
      <c r="K6292" s="3" t="s">
        <v>657</v>
      </c>
      <c r="L6292" s="3" t="str">
        <f>IFERROR(__xludf.DUMMYFUNCTION("GOOGLETRANSLATE(F6292,""id"",""en"")"),"The period of believing in the simplicity if there is a lot of arrgentina dealer should win big if France is champion")</f>
        <v>The period of believing in the simplicity if there is a lot of arrgentina dealer should win big if France is champion</v>
      </c>
    </row>
    <row r="6293" ht="15.75" customHeight="1">
      <c r="A6293" s="1">
        <v>7484.0</v>
      </c>
      <c r="B6293" s="3" t="s">
        <v>18084</v>
      </c>
      <c r="C6293" s="3">
        <v>0.0</v>
      </c>
      <c r="D6293" s="3">
        <v>0.0</v>
      </c>
      <c r="E6293" s="3">
        <v>0.0</v>
      </c>
      <c r="F6293" s="3" t="s">
        <v>18085</v>
      </c>
      <c r="G6293" s="3">
        <v>0.0</v>
      </c>
      <c r="H6293" s="3">
        <v>0.0</v>
      </c>
      <c r="I6293" s="3" t="s">
        <v>13</v>
      </c>
      <c r="J6293" s="3" t="s">
        <v>18086</v>
      </c>
      <c r="K6293" s="3" t="s">
        <v>75</v>
      </c>
      <c r="L6293" s="3" t="str">
        <f>IFERROR(__xludf.DUMMYFUNCTION("GOOGLETRANSLATE(F6293,""id"",""en"")"),"It turns out that Argentina can win because of the one who cooks for Kang Salt Bae players")</f>
        <v>It turns out that Argentina can win because of the one who cooks for Kang Salt Bae players</v>
      </c>
    </row>
    <row r="6294" ht="15.75" customHeight="1">
      <c r="A6294" s="1">
        <v>7485.0</v>
      </c>
      <c r="B6294" s="3" t="s">
        <v>18087</v>
      </c>
      <c r="C6294" s="3">
        <v>0.0</v>
      </c>
      <c r="D6294" s="3">
        <v>0.0</v>
      </c>
      <c r="E6294" s="3">
        <v>0.0</v>
      </c>
      <c r="F6294" s="3" t="s">
        <v>18088</v>
      </c>
      <c r="G6294" s="3">
        <v>0.0</v>
      </c>
      <c r="H6294" s="3">
        <v>0.0</v>
      </c>
      <c r="I6294" s="3" t="s">
        <v>13</v>
      </c>
      <c r="J6294" s="3" t="s">
        <v>18089</v>
      </c>
      <c r="K6294" s="3" t="s">
        <v>644</v>
      </c>
      <c r="L6294" s="3" t="str">
        <f>IFERROR(__xludf.DUMMYFUNCTION("GOOGLETRANSLATE(F6294,""id"",""en"")"),"a few hours after Argentina Champion")</f>
        <v>a few hours after Argentina Champion</v>
      </c>
    </row>
    <row r="6295" ht="15.75" customHeight="1">
      <c r="A6295" s="1">
        <v>7486.0</v>
      </c>
      <c r="B6295" s="3" t="s">
        <v>18090</v>
      </c>
      <c r="C6295" s="3">
        <v>1.0</v>
      </c>
      <c r="D6295" s="3">
        <v>0.0</v>
      </c>
      <c r="E6295" s="3">
        <v>0.0</v>
      </c>
      <c r="F6295" s="3" t="s">
        <v>18091</v>
      </c>
      <c r="G6295" s="3">
        <v>0.6</v>
      </c>
      <c r="H6295" s="3">
        <v>-0.3</v>
      </c>
      <c r="I6295" s="3" t="s">
        <v>179</v>
      </c>
      <c r="J6295" s="3" t="s">
        <v>18092</v>
      </c>
      <c r="K6295" s="3" t="s">
        <v>50</v>
      </c>
      <c r="L6295" s="3" t="str">
        <f>IFERROR(__xludf.DUMMYFUNCTION("GOOGLETRANSLATE(F6295,""id"",""en"")"),"Messi got the Argentine player to win because of the Barca, the environment toxic duh")</f>
        <v>Messi got the Argentine player to win because of the Barca, the environment toxic duh</v>
      </c>
    </row>
    <row r="6296" ht="15.75" customHeight="1">
      <c r="A6296" s="1">
        <v>7487.0</v>
      </c>
      <c r="B6296" s="3" t="s">
        <v>18093</v>
      </c>
      <c r="C6296" s="3">
        <v>0.0</v>
      </c>
      <c r="D6296" s="3">
        <v>0.0</v>
      </c>
      <c r="E6296" s="3">
        <v>0.0</v>
      </c>
      <c r="F6296" s="3" t="s">
        <v>18094</v>
      </c>
      <c r="G6296" s="3">
        <v>0.2</v>
      </c>
      <c r="H6296" s="3">
        <v>-0.1</v>
      </c>
      <c r="I6296" s="3" t="s">
        <v>179</v>
      </c>
      <c r="J6296" s="3" t="s">
        <v>18095</v>
      </c>
      <c r="K6296" s="3" t="s">
        <v>31</v>
      </c>
      <c r="L6296" s="3" t="str">
        <f>IFERROR(__xludf.DUMMYFUNCTION("GOOGLETRANSLATE(F6296,""id"",""en"")"),"Argentina has not been mentally ready for champions")</f>
        <v>Argentina has not been mentally ready for champions</v>
      </c>
    </row>
    <row r="6297" ht="15.75" customHeight="1">
      <c r="A6297" s="1">
        <v>7488.0</v>
      </c>
      <c r="B6297" s="3" t="s">
        <v>18096</v>
      </c>
      <c r="C6297" s="3">
        <v>1.0</v>
      </c>
      <c r="D6297" s="3">
        <v>0.0</v>
      </c>
      <c r="E6297" s="3">
        <v>1.0</v>
      </c>
      <c r="F6297" s="3" t="s">
        <v>18097</v>
      </c>
      <c r="G6297" s="3">
        <v>0.0</v>
      </c>
      <c r="H6297" s="3">
        <v>0.0</v>
      </c>
      <c r="I6297" s="3" t="s">
        <v>13</v>
      </c>
      <c r="J6297" s="3" t="s">
        <v>18098</v>
      </c>
      <c r="K6297" s="3" t="s">
        <v>41</v>
      </c>
      <c r="L6297" s="3" t="str">
        <f>IFERROR(__xludf.DUMMYFUNCTION("GOOGLETRANSLATE(F6297,""id"",""en"")"),"Facts Only Diera Jokowi Argentina Team can return to become the world champion of football")</f>
        <v>Facts Only Diera Jokowi Argentina Team can return to become the world champion of football</v>
      </c>
    </row>
    <row r="6298" ht="15.75" customHeight="1">
      <c r="A6298" s="1">
        <v>7489.0</v>
      </c>
      <c r="B6298" s="3" t="s">
        <v>18099</v>
      </c>
      <c r="C6298" s="3">
        <v>0.0</v>
      </c>
      <c r="D6298" s="3">
        <v>0.0</v>
      </c>
      <c r="E6298" s="3">
        <v>0.0</v>
      </c>
      <c r="F6298" s="3" t="s">
        <v>18100</v>
      </c>
      <c r="G6298" s="3">
        <v>0.0</v>
      </c>
      <c r="H6298" s="3">
        <v>0.0</v>
      </c>
      <c r="I6298" s="3" t="s">
        <v>13</v>
      </c>
      <c r="J6298" s="3" t="s">
        <v>18101</v>
      </c>
      <c r="K6298" s="3" t="s">
        <v>41</v>
      </c>
      <c r="L6298" s="3" t="str">
        <f>IFERROR(__xludf.DUMMYFUNCTION("GOOGLETRANSLATE(F6298,""id"",""en"")"),"Pep Guardiola Argentina deserves World Cup champions through com")</f>
        <v>Pep Guardiola Argentina deserves World Cup champions through com</v>
      </c>
    </row>
    <row r="6299" ht="15.75" customHeight="1">
      <c r="A6299" s="1">
        <v>7490.0</v>
      </c>
      <c r="B6299" s="3" t="s">
        <v>18102</v>
      </c>
      <c r="C6299" s="3">
        <v>0.0</v>
      </c>
      <c r="D6299" s="3">
        <v>0.0</v>
      </c>
      <c r="E6299" s="3">
        <v>1.0</v>
      </c>
      <c r="F6299" s="3" t="s">
        <v>18103</v>
      </c>
      <c r="G6299" s="3">
        <v>0.2333333333333333</v>
      </c>
      <c r="H6299" s="3">
        <v>-0.25</v>
      </c>
      <c r="I6299" s="3" t="s">
        <v>179</v>
      </c>
      <c r="J6299" s="3" t="s">
        <v>18104</v>
      </c>
      <c r="K6299" s="3" t="s">
        <v>15</v>
      </c>
      <c r="L6299" s="3" t="str">
        <f>IFERROR(__xludf.DUMMYFUNCTION("GOOGLETRANSLATE(F6299,""id"",""en"")"),"Portrait of the Argentine World Cup Champion Parade which led to chaos")</f>
        <v>Portrait of the Argentine World Cup Champion Parade which led to chaos</v>
      </c>
    </row>
    <row r="6300" ht="15.75" customHeight="1">
      <c r="A6300" s="1">
        <v>7491.0</v>
      </c>
      <c r="B6300" s="3" t="s">
        <v>18105</v>
      </c>
      <c r="C6300" s="3">
        <v>1.0</v>
      </c>
      <c r="D6300" s="3">
        <v>0.0</v>
      </c>
      <c r="E6300" s="3">
        <v>0.0</v>
      </c>
      <c r="F6300" s="3" t="s">
        <v>17054</v>
      </c>
      <c r="G6300" s="3">
        <v>0.0</v>
      </c>
      <c r="H6300" s="3">
        <v>0.0</v>
      </c>
      <c r="I6300" s="3" t="s">
        <v>13</v>
      </c>
      <c r="J6300" s="3" t="s">
        <v>17055</v>
      </c>
      <c r="K6300" s="3" t="s">
        <v>2117</v>
      </c>
      <c r="L6300" s="3" t="str">
        <f>IFERROR(__xludf.DUMMYFUNCTION("GOOGLETRANSLATE(F6300,""id"",""en"")"),"Pantes Argentina Champion")</f>
        <v>Pantes Argentina Champion</v>
      </c>
    </row>
    <row r="6301" ht="15.75" customHeight="1">
      <c r="A6301" s="1">
        <v>7492.0</v>
      </c>
      <c r="B6301" s="3" t="s">
        <v>18106</v>
      </c>
      <c r="C6301" s="3">
        <v>0.0</v>
      </c>
      <c r="D6301" s="3">
        <v>0.0</v>
      </c>
      <c r="E6301" s="3">
        <v>0.0</v>
      </c>
      <c r="F6301" s="3" t="s">
        <v>18107</v>
      </c>
      <c r="G6301" s="3">
        <v>0.0</v>
      </c>
      <c r="H6301" s="3">
        <v>0.0</v>
      </c>
      <c r="I6301" s="3" t="s">
        <v>13</v>
      </c>
      <c r="J6301" s="3" t="s">
        <v>18108</v>
      </c>
      <c r="K6301" s="3" t="s">
        <v>358</v>
      </c>
      <c r="L6301" s="3" t="str">
        <f>IFERROR(__xludf.DUMMYFUNCTION("GOOGLETRANSLATE(F6301,""id"",""en"")"),"It's not like that, if like that, Argentina should always be a favorite champion every objective Pep see the condition of the Argentine team in recent years")</f>
        <v>It's not like that, if like that, Argentina should always be a favorite champion every objective Pep see the condition of the Argentine team in recent years</v>
      </c>
    </row>
    <row r="6302" ht="15.75" customHeight="1">
      <c r="A6302" s="1">
        <v>7493.0</v>
      </c>
      <c r="B6302" s="3" t="s">
        <v>18109</v>
      </c>
      <c r="C6302" s="3">
        <v>1.0</v>
      </c>
      <c r="D6302" s="3">
        <v>0.0</v>
      </c>
      <c r="E6302" s="3">
        <v>0.0</v>
      </c>
      <c r="F6302" s="3" t="s">
        <v>18110</v>
      </c>
      <c r="G6302" s="3">
        <v>0.0</v>
      </c>
      <c r="H6302" s="3">
        <v>0.0</v>
      </c>
      <c r="I6302" s="3" t="s">
        <v>13</v>
      </c>
      <c r="J6302" s="3" t="s">
        <v>18111</v>
      </c>
      <c r="K6302" s="3" t="s">
        <v>1414</v>
      </c>
      <c r="L6302" s="3" t="str">
        <f>IFERROR(__xludf.DUMMYFUNCTION("GOOGLETRANSLATE(F6302,""id"",""en"")"),"Agung Reply said that if you are you selecting a champion or scoring goals, now talking about the champion again discussing EMI, you should be ashamed of breaking into an Argentine boy, you will be a champion and it should be if you really want to tease m"&amp;"ore")</f>
        <v>Agung Reply said that if you are you selecting a champion or scoring goals, now talking about the champion again discussing EMI, you should be ashamed of breaking into an Argentine boy, you will be a champion and it should be if you really want to tease more</v>
      </c>
    </row>
    <row r="6303" ht="15.75" customHeight="1">
      <c r="A6303" s="1">
        <v>7494.0</v>
      </c>
      <c r="B6303" s="3" t="s">
        <v>18112</v>
      </c>
      <c r="C6303" s="3">
        <v>2.0</v>
      </c>
      <c r="D6303" s="3">
        <v>0.0</v>
      </c>
      <c r="E6303" s="3">
        <v>0.0</v>
      </c>
      <c r="F6303" s="3" t="s">
        <v>18113</v>
      </c>
      <c r="G6303" s="3">
        <v>0.0</v>
      </c>
      <c r="H6303" s="3">
        <v>0.0</v>
      </c>
      <c r="I6303" s="3" t="s">
        <v>13</v>
      </c>
      <c r="J6303" s="3" t="s">
        <v>18114</v>
      </c>
      <c r="K6303" s="3" t="s">
        <v>1970</v>
      </c>
      <c r="L6303" s="3" t="str">
        <f>IFERROR(__xludf.DUMMYFUNCTION("GOOGLETRANSLATE(F6303,""id"",""en"")"),"Time is natural that it's a tweet before holding the World Cup and at that time how did you know that the worst World Cup this time because of the beginning of Argentina had already been set up to be a champion to know himself")</f>
        <v>Time is natural that it's a tweet before holding the World Cup and at that time how did you know that the worst World Cup this time because of the beginning of Argentina had already been set up to be a champion to know himself</v>
      </c>
    </row>
    <row r="6304" ht="15.75" customHeight="1">
      <c r="A6304" s="1">
        <v>7495.0</v>
      </c>
      <c r="B6304" s="3" t="s">
        <v>18115</v>
      </c>
      <c r="C6304" s="3">
        <v>1.0</v>
      </c>
      <c r="D6304" s="3">
        <v>0.0</v>
      </c>
      <c r="E6304" s="3">
        <v>0.0</v>
      </c>
      <c r="F6304" s="3" t="s">
        <v>18116</v>
      </c>
      <c r="G6304" s="3">
        <v>0.0</v>
      </c>
      <c r="H6304" s="3">
        <v>0.0</v>
      </c>
      <c r="I6304" s="3" t="s">
        <v>13</v>
      </c>
      <c r="J6304" s="3" t="s">
        <v>18117</v>
      </c>
      <c r="K6304" s="3" t="s">
        <v>657</v>
      </c>
      <c r="L6304" s="3" t="str">
        <f>IFERROR(__xludf.DUMMYFUNCTION("GOOGLETRANSLATE(F6304,""id"",""en"")"),"not a matter of Aguero registered or not in the team official do not make soccer so dry too text book")</f>
        <v>not a matter of Aguero registered or not in the team official do not make soccer so dry too text book</v>
      </c>
    </row>
    <row r="6305" ht="15.75" customHeight="1">
      <c r="A6305" s="1">
        <v>7496.0</v>
      </c>
      <c r="B6305" s="3" t="s">
        <v>18118</v>
      </c>
      <c r="C6305" s="3">
        <v>0.0</v>
      </c>
      <c r="D6305" s="3">
        <v>0.0</v>
      </c>
      <c r="E6305" s="3">
        <v>0.0</v>
      </c>
      <c r="F6305" s="3" t="s">
        <v>16103</v>
      </c>
      <c r="G6305" s="3">
        <v>0.0</v>
      </c>
      <c r="H6305" s="3">
        <v>0.0</v>
      </c>
      <c r="I6305" s="3" t="s">
        <v>13</v>
      </c>
      <c r="J6305" s="3" t="s">
        <v>16104</v>
      </c>
      <c r="K6305" s="3" t="s">
        <v>14571</v>
      </c>
      <c r="L6305" s="3" t="str">
        <f>IFERROR(__xludf.DUMMYFUNCTION("GOOGLETRANSLATE(F6305,""id"",""en"")"),"Argentina Champion")</f>
        <v>Argentina Champion</v>
      </c>
    </row>
    <row r="6306" ht="15.75" customHeight="1">
      <c r="A6306" s="1">
        <v>7497.0</v>
      </c>
      <c r="B6306" s="3" t="s">
        <v>18119</v>
      </c>
      <c r="C6306" s="3">
        <v>2.0</v>
      </c>
      <c r="D6306" s="3">
        <v>0.0</v>
      </c>
      <c r="E6306" s="3">
        <v>0.0</v>
      </c>
      <c r="F6306" s="3" t="s">
        <v>18120</v>
      </c>
      <c r="G6306" s="3">
        <v>0.0</v>
      </c>
      <c r="H6306" s="3">
        <v>0.0</v>
      </c>
      <c r="I6306" s="3" t="s">
        <v>13</v>
      </c>
      <c r="J6306" s="3" t="s">
        <v>18121</v>
      </c>
      <c r="K6306" s="3" t="s">
        <v>823</v>
      </c>
      <c r="L6306" s="3" t="str">
        <f>IFERROR(__xludf.DUMMYFUNCTION("GOOGLETRANSLATE(F6306,""id"",""en"")"),"If there is maradona now, what could Argentine players forbid giving a trophy to Maradona if Messi was injured and his name did not enter the squad, yes Messi did not have the right to touch the World Cup so this appropriateness applies based on")</f>
        <v>If there is maradona now, what could Argentine players forbid giving a trophy to Maradona if Messi was injured and his name did not enter the squad, yes Messi did not have the right to touch the World Cup so this appropriateness applies based on</v>
      </c>
    </row>
    <row r="6307" ht="15.75" customHeight="1">
      <c r="A6307" s="1">
        <v>7498.0</v>
      </c>
      <c r="B6307" s="3" t="s">
        <v>18122</v>
      </c>
      <c r="C6307" s="3">
        <v>1.0</v>
      </c>
      <c r="D6307" s="3">
        <v>0.0</v>
      </c>
      <c r="E6307" s="3">
        <v>3.0</v>
      </c>
      <c r="F6307" s="3" t="s">
        <v>18123</v>
      </c>
      <c r="G6307" s="3">
        <v>0.25</v>
      </c>
      <c r="H6307" s="3">
        <v>0.0</v>
      </c>
      <c r="I6307" s="3" t="s">
        <v>13</v>
      </c>
      <c r="J6307" s="3" t="s">
        <v>18124</v>
      </c>
      <c r="K6307" s="3" t="s">
        <v>675</v>
      </c>
      <c r="L6307" s="3" t="str">
        <f>IFERROR(__xludf.DUMMYFUNCTION("GOOGLETRANSLATE(F6307,""id"",""en"")"),"This is just a matter of ethical back to the morale of each person Salt Bae asks for a trophy from the player's destination especially if it is not an economic motive to improve his brand different things from Aguero Argentina players are encouraged to of"&amp;"fer")</f>
        <v>This is just a matter of ethical back to the morale of each person Salt Bae asks for a trophy from the player's destination especially if it is not an economic motive to improve his brand different things from Aguero Argentina players are encouraged to offer</v>
      </c>
    </row>
    <row r="6308" ht="15.75" customHeight="1">
      <c r="A6308" s="1">
        <v>7499.0</v>
      </c>
      <c r="B6308" s="3" t="s">
        <v>18125</v>
      </c>
      <c r="C6308" s="3">
        <v>0.0</v>
      </c>
      <c r="D6308" s="3">
        <v>0.0</v>
      </c>
      <c r="E6308" s="3">
        <v>0.0</v>
      </c>
      <c r="F6308" s="3" t="s">
        <v>18126</v>
      </c>
      <c r="G6308" s="3">
        <v>0.0</v>
      </c>
      <c r="H6308" s="3">
        <v>0.0</v>
      </c>
      <c r="I6308" s="3" t="s">
        <v>13</v>
      </c>
      <c r="J6308" s="3" t="s">
        <v>18127</v>
      </c>
      <c r="K6308" s="3" t="s">
        <v>54</v>
      </c>
      <c r="L6308" s="3" t="str">
        <f>IFERROR(__xludf.DUMMYFUNCTION("GOOGLETRANSLATE(F6308,""id"",""en"")"),"Argentina Gan Los Ltimos Mundiales Salud")</f>
        <v>Argentina Gan Los Ltimos Mundiales Salud</v>
      </c>
    </row>
    <row r="6309" ht="15.75" customHeight="1">
      <c r="A6309" s="1">
        <v>7500.0</v>
      </c>
      <c r="B6309" s="3" t="s">
        <v>18128</v>
      </c>
      <c r="C6309" s="3">
        <v>0.0</v>
      </c>
      <c r="D6309" s="3">
        <v>0.0</v>
      </c>
      <c r="E6309" s="3">
        <v>2.0</v>
      </c>
      <c r="F6309" s="3" t="s">
        <v>18129</v>
      </c>
      <c r="G6309" s="3">
        <v>0.0</v>
      </c>
      <c r="H6309" s="3">
        <v>0.0</v>
      </c>
      <c r="I6309" s="3" t="s">
        <v>13</v>
      </c>
      <c r="J6309" s="3" t="s">
        <v>18130</v>
      </c>
      <c r="K6309" s="3" t="s">
        <v>75</v>
      </c>
      <c r="L6309" s="3" t="str">
        <f>IFERROR(__xludf.DUMMYFUNCTION("GOOGLETRANSLATE(F6309,""id"",""en"")"),"Emi Martinez and Argentina Black Street Provocation Arts Champion World Cup Champion")</f>
        <v>Emi Martinez and Argentina Black Street Provocation Arts Champion World Cup Champion</v>
      </c>
    </row>
    <row r="6310" ht="15.75" customHeight="1">
      <c r="A6310" s="1">
        <v>7501.0</v>
      </c>
      <c r="B6310" s="3" t="s">
        <v>18131</v>
      </c>
      <c r="C6310" s="3">
        <v>2.0</v>
      </c>
      <c r="D6310" s="3">
        <v>0.0</v>
      </c>
      <c r="E6310" s="3">
        <v>0.0</v>
      </c>
      <c r="F6310" s="3" t="s">
        <v>18132</v>
      </c>
      <c r="G6310" s="3">
        <v>0.0</v>
      </c>
      <c r="H6310" s="3">
        <v>0.0</v>
      </c>
      <c r="I6310" s="3" t="s">
        <v>13</v>
      </c>
      <c r="J6310" s="3" t="s">
        <v>18133</v>
      </c>
      <c r="K6310" s="3" t="s">
        <v>54</v>
      </c>
      <c r="L6310" s="3" t="str">
        <f>IFERROR(__xludf.DUMMYFUNCTION("GOOGLETRANSLATE(F6310,""id"",""en"")"),"how he felt when Argentina could become a world champion")</f>
        <v>how he felt when Argentina could become a world champion</v>
      </c>
    </row>
    <row r="6311" ht="15.75" customHeight="1">
      <c r="A6311" s="1">
        <v>7502.0</v>
      </c>
      <c r="B6311" s="3" t="s">
        <v>18134</v>
      </c>
      <c r="C6311" s="3">
        <v>0.0</v>
      </c>
      <c r="D6311" s="3">
        <v>0.0</v>
      </c>
      <c r="E6311" s="3">
        <v>0.0</v>
      </c>
      <c r="F6311" s="3" t="s">
        <v>18135</v>
      </c>
      <c r="G6311" s="3">
        <v>0.0</v>
      </c>
      <c r="H6311" s="3">
        <v>0.0</v>
      </c>
      <c r="I6311" s="3" t="s">
        <v>13</v>
      </c>
      <c r="J6311" s="3" t="s">
        <v>18136</v>
      </c>
      <c r="K6311" s="3" t="s">
        <v>657</v>
      </c>
      <c r="L6311" s="3" t="str">
        <f>IFERROR(__xludf.DUMMYFUNCTION("GOOGLETRANSLATE(F6311,""id"",""en"")"),"Wes, it's true that Indo's smartest nitijen is the most clever tomorrow, please follow the Argentina way to become a champion")</f>
        <v>Wes, it's true that Indo's smartest nitijen is the most clever tomorrow, please follow the Argentina way to become a champion</v>
      </c>
    </row>
    <row r="6312" ht="15.75" customHeight="1">
      <c r="A6312" s="1">
        <v>7503.0</v>
      </c>
      <c r="B6312" s="3" t="s">
        <v>18137</v>
      </c>
      <c r="C6312" s="3">
        <v>0.0</v>
      </c>
      <c r="D6312" s="3">
        <v>0.0</v>
      </c>
      <c r="E6312" s="3">
        <v>0.0</v>
      </c>
      <c r="F6312" s="3" t="s">
        <v>18138</v>
      </c>
      <c r="G6312" s="3">
        <v>0.0</v>
      </c>
      <c r="H6312" s="3">
        <v>0.0</v>
      </c>
      <c r="I6312" s="3" t="s">
        <v>13</v>
      </c>
      <c r="J6312" s="3" t="s">
        <v>18139</v>
      </c>
      <c r="K6312" s="3" t="s">
        <v>184</v>
      </c>
      <c r="L6312" s="3" t="str">
        <f>IFERROR(__xludf.DUMMYFUNCTION("GOOGLETRANSLATE(F6312,""id"",""en"")"),"Don't forget the Brazilian Brazilian Holy Water Scandal in the Group Champion finally lost to Argentina, the best ranking status")</f>
        <v>Don't forget the Brazilian Brazilian Holy Water Scandal in the Group Champion finally lost to Argentina, the best ranking status</v>
      </c>
    </row>
    <row r="6313" ht="15.75" customHeight="1">
      <c r="A6313" s="1">
        <v>7505.0</v>
      </c>
      <c r="B6313" s="3" t="s">
        <v>18140</v>
      </c>
      <c r="C6313" s="3">
        <v>0.0</v>
      </c>
      <c r="D6313" s="3">
        <v>0.0</v>
      </c>
      <c r="E6313" s="3">
        <v>0.0</v>
      </c>
      <c r="F6313" s="3" t="s">
        <v>18141</v>
      </c>
      <c r="G6313" s="3">
        <v>0.0</v>
      </c>
      <c r="H6313" s="3">
        <v>0.0</v>
      </c>
      <c r="I6313" s="3" t="s">
        <v>13</v>
      </c>
      <c r="J6313" s="3" t="s">
        <v>18142</v>
      </c>
      <c r="K6313" s="3" t="s">
        <v>823</v>
      </c>
      <c r="L6313" s="3" t="str">
        <f>IFERROR(__xludf.DUMMYFUNCTION("GOOGLETRANSLATE(F6313,""id"",""en"")"),"Seeing the celebration of the Argentine national team after the world champion in my heart, I think this will be the last time Messi problems will retire and it is a problem for Argentina because the Argentine game is really focused on Messi")</f>
        <v>Seeing the celebration of the Argentine national team after the world champion in my heart, I think this will be the last time Messi problems will retire and it is a problem for Argentina because the Argentine game is really focused on Messi</v>
      </c>
    </row>
    <row r="6314" ht="15.75" customHeight="1">
      <c r="A6314" s="1">
        <v>7506.0</v>
      </c>
      <c r="B6314" s="3" t="s">
        <v>18143</v>
      </c>
      <c r="C6314" s="3">
        <v>0.0</v>
      </c>
      <c r="D6314" s="3">
        <v>0.0</v>
      </c>
      <c r="E6314" s="3">
        <v>0.0</v>
      </c>
      <c r="F6314" s="3" t="s">
        <v>18144</v>
      </c>
      <c r="G6314" s="3">
        <v>0.0</v>
      </c>
      <c r="H6314" s="3">
        <v>0.0</v>
      </c>
      <c r="I6314" s="3" t="s">
        <v>13</v>
      </c>
      <c r="J6314" s="3" t="s">
        <v>18145</v>
      </c>
      <c r="K6314" s="3" t="s">
        <v>15</v>
      </c>
      <c r="L6314" s="3" t="str">
        <f>IFERROR(__xludf.DUMMYFUNCTION("GOOGLETRANSLATE(F6314,""id"",""en"")"),"Please storytell but in the historical record of the Argentina world, but the championship")</f>
        <v>Please storytell but in the historical record of the Argentina world, but the championship</v>
      </c>
    </row>
    <row r="6315" ht="15.75" customHeight="1">
      <c r="A6315" s="1">
        <v>7507.0</v>
      </c>
      <c r="B6315" s="3" t="s">
        <v>18146</v>
      </c>
      <c r="C6315" s="3">
        <v>0.0</v>
      </c>
      <c r="D6315" s="3">
        <v>0.0</v>
      </c>
      <c r="E6315" s="3">
        <v>0.0</v>
      </c>
      <c r="F6315" s="3" t="s">
        <v>18147</v>
      </c>
      <c r="G6315" s="3">
        <v>0.3333333333333333</v>
      </c>
      <c r="H6315" s="3">
        <v>0.1666666666666667</v>
      </c>
      <c r="I6315" s="3" t="s">
        <v>48</v>
      </c>
      <c r="J6315" s="3" t="s">
        <v>18148</v>
      </c>
      <c r="K6315" s="3" t="s">
        <v>614</v>
      </c>
      <c r="L6315" s="3" t="str">
        <f>IFERROR(__xludf.DUMMYFUNCTION("GOOGLETRANSLATE(F6315,""id"",""en"")"),"Martinez can bring Argentina champions clearly he can play the majority of the world's Kalas players all bono as if you just found out if Morocco can play football")</f>
        <v>Martinez can bring Argentina champions clearly he can play the majority of the world's Kalas players all bono as if you just found out if Morocco can play football</v>
      </c>
    </row>
    <row r="6316" ht="15.75" customHeight="1">
      <c r="A6316" s="1">
        <v>7508.0</v>
      </c>
      <c r="B6316" s="3" t="s">
        <v>18149</v>
      </c>
      <c r="C6316" s="3">
        <v>3.0</v>
      </c>
      <c r="D6316" s="3">
        <v>0.0</v>
      </c>
      <c r="E6316" s="3">
        <v>0.0</v>
      </c>
      <c r="F6316" s="3" t="s">
        <v>18150</v>
      </c>
      <c r="G6316" s="3">
        <v>0.0</v>
      </c>
      <c r="H6316" s="3">
        <v>0.0</v>
      </c>
      <c r="I6316" s="3" t="s">
        <v>13</v>
      </c>
      <c r="J6316" s="3" t="s">
        <v>18151</v>
      </c>
      <c r="K6316" s="3" t="s">
        <v>883</v>
      </c>
      <c r="L6316" s="3" t="str">
        <f>IFERROR(__xludf.DUMMYFUNCTION("GOOGLETRANSLATE(F6316,""id"",""en"")"),"Udinson was brought home Argentina that original replica still kept FIFA if I'm not mistaken, you can bring home the original trophy to win successively")</f>
        <v>Udinson was brought home Argentina that original replica still kept FIFA if I'm not mistaken, you can bring home the original trophy to win successively</v>
      </c>
    </row>
    <row r="6317" ht="15.75" customHeight="1">
      <c r="A6317" s="1">
        <v>7509.0</v>
      </c>
      <c r="B6317" s="3" t="s">
        <v>18152</v>
      </c>
      <c r="C6317" s="3">
        <v>1.0</v>
      </c>
      <c r="D6317" s="3">
        <v>0.0</v>
      </c>
      <c r="E6317" s="3">
        <v>1.0</v>
      </c>
      <c r="F6317" s="3" t="s">
        <v>18153</v>
      </c>
      <c r="G6317" s="3">
        <v>0.0</v>
      </c>
      <c r="H6317" s="3">
        <v>0.0</v>
      </c>
      <c r="I6317" s="3" t="s">
        <v>13</v>
      </c>
      <c r="J6317" s="3" t="s">
        <v>18154</v>
      </c>
      <c r="K6317" s="3" t="s">
        <v>41</v>
      </c>
      <c r="L6317" s="3" t="str">
        <f>IFERROR(__xludf.DUMMYFUNCTION("GOOGLETRANSLATE(F6317,""id"",""en"")"),"wkwkwkwkwk from before the era of Messi Argentina already a favorite champion Crespo Batistuta etc.")</f>
        <v>wkwkwkwkwk from before the era of Messi Argentina already a favorite champion Crespo Batistuta etc.</v>
      </c>
    </row>
    <row r="6318" ht="15.75" customHeight="1">
      <c r="A6318" s="1">
        <v>7510.0</v>
      </c>
      <c r="B6318" s="3" t="s">
        <v>18155</v>
      </c>
      <c r="C6318" s="3">
        <v>0.0</v>
      </c>
      <c r="D6318" s="3">
        <v>0.0</v>
      </c>
      <c r="E6318" s="3">
        <v>1.0</v>
      </c>
      <c r="F6318" s="3" t="s">
        <v>18156</v>
      </c>
      <c r="G6318" s="3">
        <v>0.3333333333333333</v>
      </c>
      <c r="H6318" s="3">
        <v>0.1666666666666667</v>
      </c>
      <c r="I6318" s="3" t="s">
        <v>48</v>
      </c>
      <c r="J6318" s="3" t="s">
        <v>18157</v>
      </c>
      <c r="K6318" s="3" t="s">
        <v>135</v>
      </c>
      <c r="L6318" s="3" t="str">
        <f>IFERROR(__xludf.DUMMYFUNCTION("GOOGLETRANSLATE(F6318,""id"",""en"")"),"Argentine national team legend Jorge Valdano revealed his conversation with Lionel Messi Pulga claimed he wanted to play the World Cup Messi successfully bringing Argentina to win the World Cup")</f>
        <v>Argentine national team legend Jorge Valdano revealed his conversation with Lionel Messi Pulga claimed he wanted to play the World Cup Messi successfully bringing Argentina to win the World Cup</v>
      </c>
    </row>
    <row r="6319" ht="15.75" customHeight="1">
      <c r="A6319" s="1">
        <v>7511.0</v>
      </c>
      <c r="B6319" s="3" t="s">
        <v>18158</v>
      </c>
      <c r="C6319" s="3">
        <v>0.0</v>
      </c>
      <c r="D6319" s="3">
        <v>0.0</v>
      </c>
      <c r="E6319" s="3">
        <v>0.0</v>
      </c>
      <c r="F6319" s="3" t="s">
        <v>18159</v>
      </c>
      <c r="G6319" s="3">
        <v>0.0</v>
      </c>
      <c r="H6319" s="3">
        <v>0.0</v>
      </c>
      <c r="I6319" s="3" t="s">
        <v>13</v>
      </c>
      <c r="J6319" s="3" t="s">
        <v>18160</v>
      </c>
      <c r="K6319" s="3" t="s">
        <v>3612</v>
      </c>
      <c r="L6319" s="3" t="str">
        <f>IFERROR(__xludf.DUMMYFUNCTION("GOOGLETRANSLATE(F6319,""id"",""en"")"),"GPP wants to greet Rayain and Pansos Moment Argentina Moment Champion Important Problems Argentina Champion End of Mega Star Vamos Argentina")</f>
        <v>GPP wants to greet Rayain and Pansos Moment Argentina Moment Champion Important Problems Argentina Champion End of Mega Star Vamos Argentina</v>
      </c>
    </row>
    <row r="6320" ht="15.75" customHeight="1">
      <c r="A6320" s="1">
        <v>7512.0</v>
      </c>
      <c r="B6320" s="3" t="s">
        <v>18161</v>
      </c>
      <c r="C6320" s="3">
        <v>0.0</v>
      </c>
      <c r="D6320" s="3">
        <v>0.0</v>
      </c>
      <c r="E6320" s="3">
        <v>1.0</v>
      </c>
      <c r="F6320" s="3" t="s">
        <v>18162</v>
      </c>
      <c r="G6320" s="3">
        <v>0.0</v>
      </c>
      <c r="H6320" s="3">
        <v>0.0</v>
      </c>
      <c r="I6320" s="3" t="s">
        <v>13</v>
      </c>
      <c r="J6320" s="3" t="s">
        <v>18163</v>
      </c>
      <c r="K6320" s="3" t="s">
        <v>433</v>
      </c>
      <c r="L6320" s="3" t="str">
        <f>IFERROR(__xludf.DUMMYFUNCTION("GOOGLETRANSLATE(F6320,""id"",""en"")"),"Bring Argentina Lionel Messi's World Cup Champion Will Appears Fractions of Argentina Paper")</f>
        <v>Bring Argentina Lionel Messi's World Cup Champion Will Appears Fractions of Argentina Paper</v>
      </c>
    </row>
    <row r="6321" ht="15.75" customHeight="1">
      <c r="A6321" s="1">
        <v>7513.0</v>
      </c>
      <c r="B6321" s="3" t="s">
        <v>18164</v>
      </c>
      <c r="C6321" s="3">
        <v>0.0</v>
      </c>
      <c r="D6321" s="3">
        <v>0.0</v>
      </c>
      <c r="E6321" s="3">
        <v>0.0</v>
      </c>
      <c r="F6321" s="3" t="s">
        <v>18165</v>
      </c>
      <c r="G6321" s="3">
        <v>0.0</v>
      </c>
      <c r="H6321" s="3">
        <v>0.0</v>
      </c>
      <c r="I6321" s="3" t="s">
        <v>13</v>
      </c>
      <c r="J6321" s="3" t="s">
        <v>18166</v>
      </c>
      <c r="K6321" s="3" t="s">
        <v>477</v>
      </c>
      <c r="L6321" s="3" t="str">
        <f>IFERROR(__xludf.DUMMYFUNCTION("GOOGLETRANSLATE(F6321,""id"",""en"")"),"Argentina won against France Argentina world champion is great")</f>
        <v>Argentina won against France Argentina world champion is great</v>
      </c>
    </row>
    <row r="6322" ht="15.75" customHeight="1">
      <c r="A6322" s="1">
        <v>7514.0</v>
      </c>
      <c r="B6322" s="3" t="s">
        <v>18167</v>
      </c>
      <c r="C6322" s="3">
        <v>18.0</v>
      </c>
      <c r="D6322" s="3">
        <v>0.0</v>
      </c>
      <c r="E6322" s="3">
        <v>0.0</v>
      </c>
      <c r="F6322" s="3" t="s">
        <v>18168</v>
      </c>
      <c r="G6322" s="3">
        <v>0.0</v>
      </c>
      <c r="H6322" s="3">
        <v>0.0</v>
      </c>
      <c r="I6322" s="3" t="s">
        <v>13</v>
      </c>
      <c r="J6322" s="3" t="s">
        <v>18169</v>
      </c>
      <c r="K6322" s="3" t="s">
        <v>1428</v>
      </c>
      <c r="L6322" s="3" t="str">
        <f>IFERROR(__xludf.DUMMYFUNCTION("GOOGLETRANSLATE(F6322,""id"",""en"")"),"Naturally, Ronaldo Post a lot of kek as he won the first title for Portugal while Argentina before there was a PESSI also often champions, so the birth of Portugal was more difficult to win than Argentina about")</f>
        <v>Naturally, Ronaldo Post a lot of kek as he won the first title for Portugal while Argentina before there was a PESSI also often champions, so the birth of Portugal was more difficult to win than Argentina about</v>
      </c>
    </row>
    <row r="6323" ht="15.75" customHeight="1">
      <c r="A6323" s="1">
        <v>7515.0</v>
      </c>
      <c r="B6323" s="3" t="s">
        <v>18170</v>
      </c>
      <c r="C6323" s="3">
        <v>0.0</v>
      </c>
      <c r="D6323" s="3">
        <v>0.0</v>
      </c>
      <c r="E6323" s="3">
        <v>0.0</v>
      </c>
      <c r="F6323" s="3" t="s">
        <v>18171</v>
      </c>
      <c r="G6323" s="3">
        <v>0.0</v>
      </c>
      <c r="H6323" s="3">
        <v>0.0</v>
      </c>
      <c r="I6323" s="3" t="s">
        <v>13</v>
      </c>
      <c r="J6323" s="3" t="s">
        <v>18172</v>
      </c>
      <c r="K6323" s="3" t="s">
        <v>54</v>
      </c>
      <c r="L6323" s="3" t="str">
        <f>IFERROR(__xludf.DUMMYFUNCTION("GOOGLETRANSLATE(F6323,""id"",""en"")"),"well cooking Argentina again champion, right there is no Messi")</f>
        <v>well cooking Argentina again champion, right there is no Messi</v>
      </c>
    </row>
    <row r="6324" ht="15.75" customHeight="1">
      <c r="A6324" s="1">
        <v>7516.0</v>
      </c>
      <c r="B6324" s="3" t="s">
        <v>18173</v>
      </c>
      <c r="C6324" s="3">
        <v>0.0</v>
      </c>
      <c r="D6324" s="3">
        <v>0.0</v>
      </c>
      <c r="E6324" s="3">
        <v>0.0</v>
      </c>
      <c r="F6324" s="3" t="s">
        <v>18174</v>
      </c>
      <c r="G6324" s="3">
        <v>0.0</v>
      </c>
      <c r="H6324" s="3">
        <v>0.0</v>
      </c>
      <c r="I6324" s="3" t="s">
        <v>13</v>
      </c>
      <c r="J6324" s="3" t="s">
        <v>18175</v>
      </c>
      <c r="K6324" s="3" t="s">
        <v>184</v>
      </c>
      <c r="L6324" s="3" t="str">
        <f>IFERROR(__xludf.DUMMYFUNCTION("GOOGLETRANSLATE(F6324,""id"",""en"")"),"Marufamin, why are you all Argentina, sir, if you want to take the example of that person, it's just a good one")</f>
        <v>Marufamin, why are you all Argentina, sir, if you want to take the example of that person, it's just a good one</v>
      </c>
    </row>
    <row r="6325" ht="15.75" customHeight="1">
      <c r="A6325" s="1">
        <v>7517.0</v>
      </c>
      <c r="B6325" s="3" t="s">
        <v>18176</v>
      </c>
      <c r="C6325" s="3">
        <v>1.0</v>
      </c>
      <c r="D6325" s="3">
        <v>0.0</v>
      </c>
      <c r="E6325" s="3">
        <v>0.0</v>
      </c>
      <c r="F6325" s="3" t="s">
        <v>18177</v>
      </c>
      <c r="G6325" s="3">
        <v>0.0</v>
      </c>
      <c r="H6325" s="3">
        <v>0.0</v>
      </c>
      <c r="I6325" s="3" t="s">
        <v>13</v>
      </c>
      <c r="J6325" s="3" t="s">
        <v>18178</v>
      </c>
      <c r="K6325" s="3" t="s">
        <v>6592</v>
      </c>
      <c r="L6325" s="3" t="str">
        <f>IFERROR(__xludf.DUMMYFUNCTION("GOOGLETRANSLATE(F6325,""id"",""en"")"),"Good Argentina is always underestimated ready for Argentina who is champion")</f>
        <v>Good Argentina is always underestimated ready for Argentina who is champion</v>
      </c>
    </row>
    <row r="6326" ht="15.75" customHeight="1">
      <c r="A6326" s="1">
        <v>7518.0</v>
      </c>
      <c r="B6326" s="3" t="s">
        <v>18179</v>
      </c>
      <c r="C6326" s="3">
        <v>0.0</v>
      </c>
      <c r="D6326" s="3">
        <v>0.0</v>
      </c>
      <c r="E6326" s="3">
        <v>0.0</v>
      </c>
      <c r="F6326" s="3" t="s">
        <v>18180</v>
      </c>
      <c r="G6326" s="3">
        <v>0.0</v>
      </c>
      <c r="H6326" s="3">
        <v>0.0</v>
      </c>
      <c r="I6326" s="3" t="s">
        <v>13</v>
      </c>
      <c r="J6326" s="3" t="s">
        <v>18181</v>
      </c>
      <c r="K6326" s="3" t="s">
        <v>18182</v>
      </c>
      <c r="L6326" s="3" t="str">
        <f>IFERROR(__xludf.DUMMYFUNCTION("GOOGLETRANSLATE(F6326,""id"",""en"")"),"as a fan France, I have seen the World Cup champion as Italy fans, I have only seen the World Cup champion, but if I am a German Brazilian fan or Argentina, it's just the same as just looking at the World Cup champion, how difficult it is hard to see the "&amp;"favorite team of the World Champion Cup")</f>
        <v>as a fan France, I have seen the World Cup champion as Italy fans, I have only seen the World Cup champion, but if I am a German Brazilian fan or Argentina, it's just the same as just looking at the World Cup champion, how difficult it is hard to see the favorite team of the World Champion Cup</v>
      </c>
    </row>
    <row r="6327" ht="15.75" customHeight="1">
      <c r="A6327" s="1">
        <v>7519.0</v>
      </c>
      <c r="B6327" s="3" t="s">
        <v>18183</v>
      </c>
      <c r="C6327" s="3">
        <v>0.0</v>
      </c>
      <c r="D6327" s="3">
        <v>0.0</v>
      </c>
      <c r="E6327" s="3">
        <v>0.0</v>
      </c>
      <c r="F6327" s="3" t="s">
        <v>18184</v>
      </c>
      <c r="G6327" s="3">
        <v>0.0</v>
      </c>
      <c r="H6327" s="3">
        <v>0.0</v>
      </c>
      <c r="I6327" s="3" t="s">
        <v>13</v>
      </c>
      <c r="J6327" s="3" t="s">
        <v>18185</v>
      </c>
      <c r="K6327" s="3" t="s">
        <v>31</v>
      </c>
      <c r="L6327" s="3" t="str">
        <f>IFERROR(__xludf.DUMMYFUNCTION("GOOGLETRANSLATE(F6327,""id"",""en"")"),"The Indonesian League is suitable for temporarily stopped")</f>
        <v>The Indonesian League is suitable for temporarily stopped</v>
      </c>
    </row>
    <row r="6328" ht="15.75" customHeight="1">
      <c r="A6328" s="1">
        <v>7520.0</v>
      </c>
      <c r="B6328" s="3" t="s">
        <v>18186</v>
      </c>
      <c r="C6328" s="3">
        <v>1.0</v>
      </c>
      <c r="D6328" s="3">
        <v>0.0</v>
      </c>
      <c r="E6328" s="3">
        <v>0.0</v>
      </c>
      <c r="F6328" s="3" t="s">
        <v>18187</v>
      </c>
      <c r="G6328" s="3">
        <v>0.0</v>
      </c>
      <c r="H6328" s="3">
        <v>0.0</v>
      </c>
      <c r="I6328" s="3" t="s">
        <v>13</v>
      </c>
      <c r="J6328" s="3" t="s">
        <v>18188</v>
      </c>
      <c r="K6328" s="3" t="s">
        <v>644</v>
      </c>
      <c r="L6328" s="3" t="str">
        <f>IFERROR(__xludf.DUMMYFUNCTION("GOOGLETRANSLATE(F6328,""id"",""en"")"),"Inside cooks but Argentina champions again")</f>
        <v>Inside cooks but Argentina champions again</v>
      </c>
    </row>
    <row r="6329" ht="15.75" customHeight="1">
      <c r="A6329" s="1">
        <v>7521.0</v>
      </c>
      <c r="B6329" s="3" t="s">
        <v>18189</v>
      </c>
      <c r="C6329" s="3">
        <v>0.0</v>
      </c>
      <c r="D6329" s="3">
        <v>0.0</v>
      </c>
      <c r="E6329" s="3">
        <v>0.0</v>
      </c>
      <c r="F6329" s="3" t="s">
        <v>18190</v>
      </c>
      <c r="G6329" s="3">
        <v>0.0</v>
      </c>
      <c r="H6329" s="3">
        <v>0.0</v>
      </c>
      <c r="I6329" s="3" t="s">
        <v>13</v>
      </c>
      <c r="J6329" s="3" t="s">
        <v>18191</v>
      </c>
      <c r="K6329" s="3" t="s">
        <v>15</v>
      </c>
      <c r="L6329" s="3" t="str">
        <f>IFERROR(__xludf.DUMMYFUNCTION("GOOGLETRANSLATE(F6329,""id"",""en"")"),"a sign of netijen asking to write about the Argentina champion, Kang wkwk")</f>
        <v>a sign of netijen asking to write about the Argentina champion, Kang wkwk</v>
      </c>
    </row>
    <row r="6330" ht="15.75" customHeight="1">
      <c r="A6330" s="1">
        <v>7522.0</v>
      </c>
      <c r="B6330" s="3" t="s">
        <v>18192</v>
      </c>
      <c r="C6330" s="3">
        <v>1.0</v>
      </c>
      <c r="D6330" s="3">
        <v>0.0</v>
      </c>
      <c r="E6330" s="3">
        <v>0.0</v>
      </c>
      <c r="F6330" s="3" t="s">
        <v>18193</v>
      </c>
      <c r="G6330" s="3">
        <v>0.0</v>
      </c>
      <c r="H6330" s="3">
        <v>0.0</v>
      </c>
      <c r="I6330" s="3" t="s">
        <v>13</v>
      </c>
      <c r="J6330" s="3" t="s">
        <v>18194</v>
      </c>
      <c r="K6330" s="3" t="s">
        <v>644</v>
      </c>
      <c r="L6330" s="3" t="str">
        <f>IFERROR(__xludf.DUMMYFUNCTION("GOOGLETRANSLATE(F6330,""id"",""en"")"),"Kaga Have Anjaaaay Money")</f>
        <v>Kaga Have Anjaaaay Money</v>
      </c>
    </row>
    <row r="6331" ht="15.75" customHeight="1">
      <c r="A6331" s="1">
        <v>7523.0</v>
      </c>
      <c r="B6331" s="3" t="s">
        <v>18195</v>
      </c>
      <c r="C6331" s="3">
        <v>0.0</v>
      </c>
      <c r="D6331" s="3">
        <v>0.0</v>
      </c>
      <c r="E6331" s="3">
        <v>0.0</v>
      </c>
      <c r="F6331" s="3" t="s">
        <v>18196</v>
      </c>
      <c r="G6331" s="3">
        <v>0.0</v>
      </c>
      <c r="H6331" s="3">
        <v>0.0</v>
      </c>
      <c r="I6331" s="3" t="s">
        <v>13</v>
      </c>
      <c r="J6331" s="3" t="s">
        <v>18197</v>
      </c>
      <c r="K6331" s="3" t="s">
        <v>15</v>
      </c>
      <c r="L6331" s="3" t="str">
        <f>IFERROR(__xludf.DUMMYFUNCTION("GOOGLETRANSLATE(F6331,""id"",""en"")"),"Already All Portugal Argentina Champion wkwkw is getting crazy")</f>
        <v>Already All Portugal Argentina Champion wkwkw is getting crazy</v>
      </c>
    </row>
    <row r="6332" ht="15.75" customHeight="1">
      <c r="A6332" s="1">
        <v>7524.0</v>
      </c>
      <c r="B6332" s="3" t="s">
        <v>18198</v>
      </c>
      <c r="C6332" s="3">
        <v>0.0</v>
      </c>
      <c r="D6332" s="3">
        <v>0.0</v>
      </c>
      <c r="E6332" s="3">
        <v>0.0</v>
      </c>
      <c r="F6332" s="3" t="s">
        <v>18199</v>
      </c>
      <c r="G6332" s="3">
        <v>0.0</v>
      </c>
      <c r="H6332" s="3">
        <v>0.0</v>
      </c>
      <c r="I6332" s="3" t="s">
        <v>13</v>
      </c>
      <c r="J6332" s="3" t="s">
        <v>18200</v>
      </c>
      <c r="K6332" s="3" t="s">
        <v>41</v>
      </c>
      <c r="L6332" s="3" t="str">
        <f>IFERROR(__xludf.DUMMYFUNCTION("GOOGLETRANSLATE(F6332,""id"",""en"")"),"ChatGPT is shaking by calling Cristiano Ronaldo ever played a Ligue club")</f>
        <v>ChatGPT is shaking by calling Cristiano Ronaldo ever played a Ligue club</v>
      </c>
    </row>
    <row r="6333" ht="15.75" customHeight="1">
      <c r="A6333" s="1">
        <v>7525.0</v>
      </c>
      <c r="B6333" s="3" t="s">
        <v>18201</v>
      </c>
      <c r="C6333" s="3">
        <v>0.0</v>
      </c>
      <c r="D6333" s="3">
        <v>0.0</v>
      </c>
      <c r="E6333" s="3">
        <v>1.0</v>
      </c>
      <c r="F6333" s="3" t="s">
        <v>18202</v>
      </c>
      <c r="G6333" s="3">
        <v>0.0</v>
      </c>
      <c r="H6333" s="3">
        <v>0.0</v>
      </c>
      <c r="I6333" s="3" t="s">
        <v>13</v>
      </c>
      <c r="J6333" s="3" t="s">
        <v>18203</v>
      </c>
      <c r="K6333" s="3" t="s">
        <v>903</v>
      </c>
      <c r="L6333" s="3" t="str">
        <f>IFERROR(__xludf.DUMMYFUNCTION("GOOGLETRANSLATE(F6333,""id"",""en"")"),"Typically, most of the Argentine fans are not outside or not, the average Indonesian, why do you bump everything because the majority are the first time to see Argentina champions of the World Cup in the last year")</f>
        <v>Typically, most of the Argentine fans are not outside or not, the average Indonesian, why do you bump everything because the majority are the first time to see Argentina champions of the World Cup in the last year</v>
      </c>
    </row>
    <row r="6334" ht="15.75" customHeight="1">
      <c r="A6334" s="1">
        <v>7526.0</v>
      </c>
      <c r="B6334" s="3" t="s">
        <v>18204</v>
      </c>
      <c r="C6334" s="3">
        <v>0.0</v>
      </c>
      <c r="D6334" s="3">
        <v>0.0</v>
      </c>
      <c r="E6334" s="3">
        <v>0.0</v>
      </c>
      <c r="F6334" s="3" t="s">
        <v>18205</v>
      </c>
      <c r="G6334" s="3">
        <v>0.0</v>
      </c>
      <c r="H6334" s="3">
        <v>0.0</v>
      </c>
      <c r="I6334" s="3" t="s">
        <v>13</v>
      </c>
      <c r="J6334" s="3" t="s">
        <v>18206</v>
      </c>
      <c r="K6334" s="3" t="s">
        <v>19</v>
      </c>
      <c r="L6334" s="3" t="str">
        <f>IFERROR(__xludf.DUMMYFUNCTION("GOOGLETRANSLATE(F6334,""id"",""en"")"),"Just like Argentina whose residents don't want to win the pildun for fear of covering up the government which is more economically dilapidated")</f>
        <v>Just like Argentina whose residents don't want to win the pildun for fear of covering up the government which is more economically dilapidated</v>
      </c>
    </row>
    <row r="6335" ht="15.75" customHeight="1">
      <c r="A6335" s="1">
        <v>7527.0</v>
      </c>
      <c r="B6335" s="3" t="s">
        <v>18207</v>
      </c>
      <c r="C6335" s="3">
        <v>0.0</v>
      </c>
      <c r="D6335" s="3">
        <v>0.0</v>
      </c>
      <c r="E6335" s="3">
        <v>0.0</v>
      </c>
      <c r="F6335" s="3" t="s">
        <v>18208</v>
      </c>
      <c r="G6335" s="3">
        <v>0.0</v>
      </c>
      <c r="H6335" s="3">
        <v>0.0</v>
      </c>
      <c r="I6335" s="3" t="s">
        <v>13</v>
      </c>
      <c r="J6335" s="3" t="s">
        <v>18209</v>
      </c>
      <c r="K6335" s="3" t="s">
        <v>695</v>
      </c>
      <c r="L6335" s="3" t="str">
        <f>IFERROR(__xludf.DUMMYFUNCTION("GOOGLETRANSLATE(F6335,""id"",""en"")"),"Actually, I want to do anything, Argentina is already a champion that supports France is also a problem because it's time for Lionel Messi to lift the Cup")</f>
        <v>Actually, I want to do anything, Argentina is already a champion that supports France is also a problem because it's time for Lionel Messi to lift the Cup</v>
      </c>
    </row>
    <row r="6336" ht="15.75" customHeight="1">
      <c r="A6336" s="1">
        <v>7528.0</v>
      </c>
      <c r="B6336" s="3" t="s">
        <v>18210</v>
      </c>
      <c r="C6336" s="3">
        <v>0.0</v>
      </c>
      <c r="D6336" s="3">
        <v>0.0</v>
      </c>
      <c r="E6336" s="3">
        <v>0.0</v>
      </c>
      <c r="F6336" s="3" t="s">
        <v>18211</v>
      </c>
      <c r="G6336" s="3">
        <v>0.0</v>
      </c>
      <c r="H6336" s="3">
        <v>0.0</v>
      </c>
      <c r="I6336" s="3" t="s">
        <v>13</v>
      </c>
      <c r="J6336" s="3" t="s">
        <v>18212</v>
      </c>
      <c r="K6336" s="3" t="s">
        <v>510</v>
      </c>
      <c r="L6336" s="3" t="str">
        <f>IFERROR(__xludf.DUMMYFUNCTION("GOOGLETRANSLATE(F6336,""id"",""en"")"),"Anjai Bilingual English of Million People Poured Roads When the Argentine Parade Champion Is Chaos")</f>
        <v>Anjai Bilingual English of Million People Poured Roads When the Argentine Parade Champion Is Chaos</v>
      </c>
    </row>
    <row r="6337" ht="15.75" customHeight="1">
      <c r="A6337" s="1">
        <v>7529.0</v>
      </c>
      <c r="B6337" s="3" t="s">
        <v>18213</v>
      </c>
      <c r="C6337" s="3">
        <v>0.0</v>
      </c>
      <c r="D6337" s="3">
        <v>0.0</v>
      </c>
      <c r="E6337" s="3">
        <v>0.0</v>
      </c>
      <c r="F6337" s="3" t="s">
        <v>18214</v>
      </c>
      <c r="G6337" s="3">
        <v>0.0</v>
      </c>
      <c r="H6337" s="3">
        <v>0.0</v>
      </c>
      <c r="I6337" s="3" t="s">
        <v>13</v>
      </c>
      <c r="J6337" s="3" t="s">
        <v>18215</v>
      </c>
      <c r="K6337" s="3" t="s">
        <v>50</v>
      </c>
      <c r="L6337" s="3" t="str">
        <f>IFERROR(__xludf.DUMMYFUNCTION("GOOGLETRANSLATE(F6337,""id"",""en"")"),"If you accept Argentina, you will just re -tell the final match.")</f>
        <v>If you accept Argentina, you will just re -tell the final match.</v>
      </c>
    </row>
    <row r="6338" ht="15.75" customHeight="1">
      <c r="A6338" s="1">
        <v>7531.0</v>
      </c>
      <c r="B6338" s="3" t="s">
        <v>18216</v>
      </c>
      <c r="C6338" s="3">
        <v>0.0</v>
      </c>
      <c r="D6338" s="3">
        <v>0.0</v>
      </c>
      <c r="E6338" s="3">
        <v>0.0</v>
      </c>
      <c r="F6338" s="3" t="s">
        <v>18217</v>
      </c>
      <c r="G6338" s="3">
        <v>0.0</v>
      </c>
      <c r="H6338" s="3">
        <v>0.0</v>
      </c>
      <c r="I6338" s="3" t="s">
        <v>13</v>
      </c>
      <c r="J6338" s="3" t="s">
        <v>18218</v>
      </c>
      <c r="K6338" s="3" t="s">
        <v>8160</v>
      </c>
      <c r="L6338" s="3" t="str">
        <f>IFERROR(__xludf.DUMMYFUNCTION("GOOGLETRANSLATE(F6338,""id"",""en"")"),"The conspiracy is too overdone and hahal if there is a little SPY Argentina settings, the champion can be because there are some moments that can be questioned like diving maria kickers of the Francis's penalties like deliberately throwing the ball and it"&amp;"'s easy")</f>
        <v>The conspiracy is too overdone and hahal if there is a little SPY Argentina settings, the champion can be because there are some moments that can be questioned like diving maria kickers of the Francis's penalties like deliberately throwing the ball and it's easy</v>
      </c>
    </row>
    <row r="6339" ht="15.75" customHeight="1">
      <c r="A6339" s="1">
        <v>7532.0</v>
      </c>
      <c r="B6339" s="3" t="s">
        <v>18219</v>
      </c>
      <c r="C6339" s="3">
        <v>2.0</v>
      </c>
      <c r="D6339" s="3">
        <v>0.0</v>
      </c>
      <c r="E6339" s="3">
        <v>0.0</v>
      </c>
      <c r="F6339" s="3" t="s">
        <v>18220</v>
      </c>
      <c r="G6339" s="3">
        <v>0.4</v>
      </c>
      <c r="H6339" s="3">
        <v>0.8</v>
      </c>
      <c r="I6339" s="3" t="s">
        <v>48</v>
      </c>
      <c r="J6339" s="3" t="s">
        <v>18221</v>
      </c>
      <c r="K6339" s="3" t="s">
        <v>699</v>
      </c>
      <c r="L6339" s="3" t="str">
        <f>IFERROR(__xludf.DUMMYFUNCTION("GOOGLETRANSLATE(F6339,""id"",""en"")"),"LEK MARKET alias what are you doing Argentina Win better pairs of Argentina champions except those who put stupid betting like you")</f>
        <v>LEK MARKET alias what are you doing Argentina Win better pairs of Argentina champions except those who put stupid betting like you</v>
      </c>
    </row>
    <row r="6340" ht="15.75" customHeight="1">
      <c r="A6340" s="1">
        <v>7533.0</v>
      </c>
      <c r="B6340" s="3" t="s">
        <v>18222</v>
      </c>
      <c r="C6340" s="3">
        <v>0.0</v>
      </c>
      <c r="D6340" s="3">
        <v>0.0</v>
      </c>
      <c r="E6340" s="3">
        <v>0.0</v>
      </c>
      <c r="F6340" s="3" t="s">
        <v>18223</v>
      </c>
      <c r="G6340" s="3">
        <v>0.0</v>
      </c>
      <c r="H6340" s="3">
        <v>0.0</v>
      </c>
      <c r="I6340" s="3" t="s">
        <v>13</v>
      </c>
      <c r="J6340" s="3" t="s">
        <v>18224</v>
      </c>
      <c r="K6340" s="3" t="s">
        <v>31</v>
      </c>
      <c r="L6340" s="3" t="str">
        <f>IFERROR(__xludf.DUMMYFUNCTION("GOOGLETRANSLATE(F6340,""id"",""en"")"),"Argentina Champion Settings PGS Eps")</f>
        <v>Argentina Champion Settings PGS Eps</v>
      </c>
    </row>
    <row r="6341" ht="15.75" customHeight="1">
      <c r="A6341" s="1">
        <v>7534.0</v>
      </c>
      <c r="B6341" s="3" t="s">
        <v>18225</v>
      </c>
      <c r="C6341" s="3">
        <v>0.0</v>
      </c>
      <c r="D6341" s="3">
        <v>0.0</v>
      </c>
      <c r="E6341" s="3">
        <v>0.0</v>
      </c>
      <c r="F6341" s="3" t="s">
        <v>18226</v>
      </c>
      <c r="G6341" s="3">
        <v>0.0</v>
      </c>
      <c r="H6341" s="3">
        <v>0.0</v>
      </c>
      <c r="I6341" s="3" t="s">
        <v>13</v>
      </c>
      <c r="J6341" s="3" t="s">
        <v>18227</v>
      </c>
      <c r="K6341" s="3" t="s">
        <v>19</v>
      </c>
      <c r="L6341" s="3" t="str">
        <f>IFERROR(__xludf.DUMMYFUNCTION("GOOGLETRANSLATE(F6341,""id"",""en"")"),"Many citizens have led to accusations about the World Cup event that has been arranged by FIFA so that Argentina is champion")</f>
        <v>Many citizens have led to accusations about the World Cup event that has been arranged by FIFA so that Argentina is champion</v>
      </c>
    </row>
    <row r="6342" ht="15.75" customHeight="1">
      <c r="A6342" s="1">
        <v>7535.0</v>
      </c>
      <c r="B6342" s="3" t="s">
        <v>18228</v>
      </c>
      <c r="C6342" s="3">
        <v>0.0</v>
      </c>
      <c r="D6342" s="3">
        <v>1.0</v>
      </c>
      <c r="E6342" s="3">
        <v>1.0</v>
      </c>
      <c r="F6342" s="3" t="s">
        <v>18229</v>
      </c>
      <c r="G6342" s="3">
        <v>0.0</v>
      </c>
      <c r="H6342" s="3">
        <v>0.0</v>
      </c>
      <c r="I6342" s="3" t="s">
        <v>13</v>
      </c>
      <c r="J6342" s="3" t="s">
        <v>18230</v>
      </c>
      <c r="K6342" s="3" t="s">
        <v>15</v>
      </c>
      <c r="L6342" s="3" t="str">
        <f>IFERROR(__xludf.DUMMYFUNCTION("GOOGLETRANSLATE(F6342,""id"",""en"")"),"Argentina World Cup Champion Get Bonus Hundreds of Billion Rupiah")</f>
        <v>Argentina World Cup Champion Get Bonus Hundreds of Billion Rupiah</v>
      </c>
    </row>
    <row r="6343" ht="15.75" customHeight="1">
      <c r="A6343" s="1">
        <v>7536.0</v>
      </c>
      <c r="B6343" s="3" t="s">
        <v>18231</v>
      </c>
      <c r="C6343" s="3">
        <v>0.0</v>
      </c>
      <c r="D6343" s="3">
        <v>0.0</v>
      </c>
      <c r="E6343" s="3">
        <v>0.0</v>
      </c>
      <c r="F6343" s="3" t="s">
        <v>18232</v>
      </c>
      <c r="G6343" s="3">
        <v>0.0</v>
      </c>
      <c r="H6343" s="3">
        <v>0.0</v>
      </c>
      <c r="I6343" s="3" t="s">
        <v>13</v>
      </c>
      <c r="J6343" s="3" t="s">
        <v>18233</v>
      </c>
      <c r="K6343" s="3" t="s">
        <v>1061</v>
      </c>
      <c r="L6343" s="3" t="str">
        <f>IFERROR(__xludf.DUMMYFUNCTION("GOOGLETRANSLATE(F6343,""id"",""en"")"),"My friend's stale fried material who is Christians is comfortable every Christmas we come to chat here and there, the topic is still rather warm, of course Argentina champions of the World Cup Hhhhheeee during Eid as well as the following day")</f>
        <v>My friend's stale fried material who is Christians is comfortable every Christmas we come to chat here and there, the topic is still rather warm, of course Argentina champions of the World Cup Hhhhheeee during Eid as well as the following day</v>
      </c>
    </row>
    <row r="6344" ht="15.75" customHeight="1">
      <c r="A6344" s="1">
        <v>7537.0</v>
      </c>
      <c r="B6344" s="3" t="s">
        <v>18234</v>
      </c>
      <c r="C6344" s="3">
        <v>1.0</v>
      </c>
      <c r="D6344" s="3">
        <v>0.0</v>
      </c>
      <c r="E6344" s="3">
        <v>0.0</v>
      </c>
      <c r="F6344" s="3" t="s">
        <v>18235</v>
      </c>
      <c r="G6344" s="3">
        <v>0.0</v>
      </c>
      <c r="H6344" s="3">
        <v>0.0</v>
      </c>
      <c r="I6344" s="3" t="s">
        <v>13</v>
      </c>
      <c r="J6344" s="3" t="s">
        <v>18236</v>
      </c>
      <c r="K6344" s="3" t="s">
        <v>883</v>
      </c>
      <c r="L6344" s="3" t="str">
        <f>IFERROR(__xludf.DUMMYFUNCTION("GOOGLETRANSLATE(F6344,""id"",""en"")"),"Wis Rampung Saiki Sing Ono Kari Bacodan Sing Sing Press the residents of Konoha Sing Gaterimo Argentina Champion Marai Kekekel")</f>
        <v>Wis Rampung Saiki Sing Ono Kari Bacodan Sing Sing Press the residents of Konoha Sing Gaterimo Argentina Champion Marai Kekekel</v>
      </c>
    </row>
    <row r="6345" ht="15.75" customHeight="1">
      <c r="A6345" s="1">
        <v>7538.0</v>
      </c>
      <c r="B6345" s="3" t="s">
        <v>18237</v>
      </c>
      <c r="C6345" s="3">
        <v>0.0</v>
      </c>
      <c r="D6345" s="3">
        <v>0.0</v>
      </c>
      <c r="E6345" s="3">
        <v>0.0</v>
      </c>
      <c r="F6345" s="3" t="s">
        <v>18238</v>
      </c>
      <c r="G6345" s="3">
        <v>0.0</v>
      </c>
      <c r="H6345" s="3">
        <v>0.0</v>
      </c>
      <c r="I6345" s="3" t="s">
        <v>13</v>
      </c>
      <c r="J6345" s="3" t="s">
        <v>18239</v>
      </c>
      <c r="K6345" s="3" t="s">
        <v>3156</v>
      </c>
      <c r="L6345" s="3" t="str">
        <f>IFERROR(__xludf.DUMMYFUNCTION("GOOGLETRANSLATE(F6345,""id"",""en"")"),"the similarity and difference between Indonesian Argentina Argentina of the country with large debts but football is the Indonesian world champion and the debt is getting bigger football is dilapidated")</f>
        <v>the similarity and difference between Indonesian Argentina Argentina of the country with large debts but football is the Indonesian world champion and the debt is getting bigger football is dilapidated</v>
      </c>
    </row>
    <row r="6346" ht="15.75" customHeight="1">
      <c r="A6346" s="1">
        <v>7539.0</v>
      </c>
      <c r="B6346" s="3" t="s">
        <v>18240</v>
      </c>
      <c r="C6346" s="3">
        <v>0.0</v>
      </c>
      <c r="D6346" s="3">
        <v>0.0</v>
      </c>
      <c r="E6346" s="3">
        <v>0.0</v>
      </c>
      <c r="F6346" s="3" t="s">
        <v>18241</v>
      </c>
      <c r="G6346" s="3">
        <v>0.0</v>
      </c>
      <c r="H6346" s="3">
        <v>0.0</v>
      </c>
      <c r="I6346" s="3" t="s">
        <v>13</v>
      </c>
      <c r="J6346" s="3" t="s">
        <v>18242</v>
      </c>
      <c r="K6346" s="3" t="s">
        <v>82</v>
      </c>
      <c r="L6346" s="3" t="str">
        <f>IFERROR(__xludf.DUMMYFUNCTION("GOOGLETRANSLATE(F6346,""id"",""en"")"),"Argentina Champion Banggg Ronaldo can what can go home")</f>
        <v>Argentina Champion Banggg Ronaldo can what can go home</v>
      </c>
    </row>
    <row r="6347" ht="15.75" customHeight="1">
      <c r="A6347" s="1">
        <v>7540.0</v>
      </c>
      <c r="B6347" s="3" t="s">
        <v>18243</v>
      </c>
      <c r="C6347" s="3">
        <v>1.0</v>
      </c>
      <c r="D6347" s="3">
        <v>0.0</v>
      </c>
      <c r="E6347" s="3">
        <v>8.0</v>
      </c>
      <c r="F6347" s="3" t="s">
        <v>18244</v>
      </c>
      <c r="G6347" s="3">
        <v>0.0</v>
      </c>
      <c r="H6347" s="3">
        <v>0.0</v>
      </c>
      <c r="I6347" s="3" t="s">
        <v>13</v>
      </c>
      <c r="J6347" s="3" t="s">
        <v>18245</v>
      </c>
      <c r="K6347" s="3" t="s">
        <v>90</v>
      </c>
      <c r="L6347" s="3" t="str">
        <f>IFERROR(__xludf.DUMMYFUNCTION("GOOGLETRANSLATE(F6347,""id"",""en"")"),"The easiest opponent Agen is Poland Parking Dam Croatia tank has a more attractive Australian striker than them, yes, the euro champions are cut down by Argentina")</f>
        <v>The easiest opponent Agen is Poland Parking Dam Croatia tank has a more attractive Australian striker than them, yes, the euro champions are cut down by Argentina</v>
      </c>
    </row>
    <row r="6348" ht="15.75" customHeight="1">
      <c r="A6348" s="1">
        <v>7541.0</v>
      </c>
      <c r="B6348" s="3" t="s">
        <v>18246</v>
      </c>
      <c r="C6348" s="3">
        <v>0.0</v>
      </c>
      <c r="D6348" s="3">
        <v>0.0</v>
      </c>
      <c r="E6348" s="3">
        <v>0.0</v>
      </c>
      <c r="F6348" s="3" t="s">
        <v>18247</v>
      </c>
      <c r="G6348" s="3">
        <v>0.0</v>
      </c>
      <c r="H6348" s="3">
        <v>0.0</v>
      </c>
      <c r="I6348" s="3" t="s">
        <v>13</v>
      </c>
      <c r="J6348" s="3" t="s">
        <v>18248</v>
      </c>
      <c r="K6348" s="3" t="s">
        <v>1061</v>
      </c>
      <c r="L6348" s="3" t="str">
        <f>IFERROR(__xludf.DUMMYFUNCTION("GOOGLETRANSLATE(F6348,""id"",""en"")"),"Why do Argentine dogs spend a lot of money for the World Cup champion mending if you use it for hilarious warfare allegedly brain chip chip detection of micin because of stupid")</f>
        <v>Why do Argentine dogs spend a lot of money for the World Cup champion mending if you use it for hilarious warfare allegedly brain chip chip detection of micin because of stupid</v>
      </c>
    </row>
    <row r="6349" ht="15.75" customHeight="1">
      <c r="A6349" s="1">
        <v>7542.0</v>
      </c>
      <c r="B6349" s="3" t="s">
        <v>18249</v>
      </c>
      <c r="C6349" s="3">
        <v>0.0</v>
      </c>
      <c r="D6349" s="3">
        <v>0.0</v>
      </c>
      <c r="E6349" s="3">
        <v>0.0</v>
      </c>
      <c r="F6349" s="3" t="s">
        <v>18250</v>
      </c>
      <c r="G6349" s="3">
        <v>0.0</v>
      </c>
      <c r="H6349" s="3">
        <v>0.0</v>
      </c>
      <c r="I6349" s="3" t="s">
        <v>13</v>
      </c>
      <c r="J6349" s="3" t="s">
        <v>18251</v>
      </c>
      <c r="K6349" s="3" t="s">
        <v>2117</v>
      </c>
      <c r="L6349" s="3" t="str">
        <f>IFERROR(__xludf.DUMMYFUNCTION("GOOGLETRANSLATE(F6349,""id"",""en"")"),"Argentina is indeed a champion")</f>
        <v>Argentina is indeed a champion</v>
      </c>
    </row>
    <row r="6350" ht="15.75" customHeight="1">
      <c r="A6350" s="1">
        <v>7543.0</v>
      </c>
      <c r="B6350" s="3" t="s">
        <v>18252</v>
      </c>
      <c r="C6350" s="3">
        <v>0.0</v>
      </c>
      <c r="D6350" s="3">
        <v>0.0</v>
      </c>
      <c r="E6350" s="3">
        <v>0.0</v>
      </c>
      <c r="F6350" s="3" t="s">
        <v>18253</v>
      </c>
      <c r="G6350" s="3">
        <v>0.0</v>
      </c>
      <c r="H6350" s="3">
        <v>0.0</v>
      </c>
      <c r="I6350" s="3" t="s">
        <v>13</v>
      </c>
      <c r="J6350" s="3" t="s">
        <v>18254</v>
      </c>
      <c r="K6350" s="3" t="s">
        <v>82</v>
      </c>
      <c r="L6350" s="3" t="str">
        <f>IFERROR(__xludf.DUMMYFUNCTION("GOOGLETRANSLATE(F6350,""id"",""en"")"),"Argentina partying after the World Cup champion there is a player for money")</f>
        <v>Argentina partying after the World Cup champion there is a player for money</v>
      </c>
    </row>
    <row r="6351" ht="15.75" customHeight="1">
      <c r="A6351" s="1">
        <v>7544.0</v>
      </c>
      <c r="B6351" s="3" t="s">
        <v>18255</v>
      </c>
      <c r="C6351" s="3">
        <v>2.0</v>
      </c>
      <c r="D6351" s="3">
        <v>0.0</v>
      </c>
      <c r="E6351" s="3">
        <v>0.0</v>
      </c>
      <c r="F6351" s="3" t="s">
        <v>18256</v>
      </c>
      <c r="G6351" s="3">
        <v>0.05</v>
      </c>
      <c r="H6351" s="3">
        <v>-0.1</v>
      </c>
      <c r="I6351" s="3" t="s">
        <v>179</v>
      </c>
      <c r="J6351" s="3" t="s">
        <v>18257</v>
      </c>
      <c r="K6351" s="3" t="s">
        <v>90</v>
      </c>
      <c r="L6351" s="3" t="str">
        <f>IFERROR(__xludf.DUMMYFUNCTION("GOOGLETRANSLATE(F6351,""id"",""en"")"),"Hollow is really like it will be like this, just look at Tiktok Messi, just champion Dodo fans, said he was grateful to be given a penalty referee because without that Argentina would win")</f>
        <v>Hollow is really like it will be like this, just look at Tiktok Messi, just champion Dodo fans, said he was grateful to be given a penalty referee because without that Argentina would win</v>
      </c>
    </row>
    <row r="6352" ht="15.75" customHeight="1">
      <c r="A6352" s="1">
        <v>7545.0</v>
      </c>
      <c r="B6352" s="3" t="s">
        <v>18258</v>
      </c>
      <c r="C6352" s="3">
        <v>0.0</v>
      </c>
      <c r="D6352" s="3">
        <v>0.0</v>
      </c>
      <c r="E6352" s="3">
        <v>0.0</v>
      </c>
      <c r="F6352" s="3" t="s">
        <v>18259</v>
      </c>
      <c r="G6352" s="3">
        <v>0.0</v>
      </c>
      <c r="H6352" s="3">
        <v>0.0</v>
      </c>
      <c r="I6352" s="3" t="s">
        <v>13</v>
      </c>
      <c r="J6352" s="3" t="s">
        <v>18260</v>
      </c>
      <c r="K6352" s="3" t="s">
        <v>131</v>
      </c>
      <c r="L6352" s="3" t="str">
        <f>IFERROR(__xludf.DUMMYFUNCTION("GOOGLETRANSLATE(F6352,""id"",""en"")"),"Very funny if there are many pairs of Argentina then the dealer play should be French champions if there are many lose dealers can get more broo")</f>
        <v>Very funny if there are many pairs of Argentina then the dealer play should be French champions if there are many lose dealers can get more broo</v>
      </c>
    </row>
    <row r="6353" ht="15.75" customHeight="1">
      <c r="A6353" s="1">
        <v>7546.0</v>
      </c>
      <c r="B6353" s="3" t="s">
        <v>18261</v>
      </c>
      <c r="C6353" s="3">
        <v>0.0</v>
      </c>
      <c r="D6353" s="3">
        <v>0.0</v>
      </c>
      <c r="E6353" s="3">
        <v>0.0</v>
      </c>
      <c r="F6353" s="3" t="s">
        <v>18262</v>
      </c>
      <c r="G6353" s="3">
        <v>0.5</v>
      </c>
      <c r="H6353" s="3">
        <v>0.0</v>
      </c>
      <c r="I6353" s="3" t="s">
        <v>13</v>
      </c>
      <c r="J6353" s="3" t="s">
        <v>18263</v>
      </c>
      <c r="K6353" s="3" t="s">
        <v>495</v>
      </c>
      <c r="L6353" s="3" t="str">
        <f>IFERROR(__xludf.DUMMYFUNCTION("GOOGLETRANSLATE(F6353,""id"",""en"")"),"Open Order T -Shirt Celebration World Cup Champion Qatar Argentina Even a little stock that he quickly can ask directly to chat East Nusa Tenggara")</f>
        <v>Open Order T -Shirt Celebration World Cup Champion Qatar Argentina Even a little stock that he quickly can ask directly to chat East Nusa Tenggara</v>
      </c>
    </row>
    <row r="6354" ht="15.75" customHeight="1">
      <c r="A6354" s="1">
        <v>7547.0</v>
      </c>
      <c r="B6354" s="3" t="s">
        <v>18264</v>
      </c>
      <c r="C6354" s="3">
        <v>0.0</v>
      </c>
      <c r="D6354" s="3">
        <v>0.0</v>
      </c>
      <c r="E6354" s="3">
        <v>0.0</v>
      </c>
      <c r="F6354" s="3" t="s">
        <v>18265</v>
      </c>
      <c r="G6354" s="3">
        <v>0.0</v>
      </c>
      <c r="H6354" s="3">
        <v>0.0</v>
      </c>
      <c r="I6354" s="3" t="s">
        <v>13</v>
      </c>
      <c r="J6354" s="3" t="s">
        <v>18266</v>
      </c>
      <c r="K6354" s="3" t="s">
        <v>19</v>
      </c>
      <c r="L6354" s="3" t="str">
        <f>IFERROR(__xludf.DUMMYFUNCTION("GOOGLETRANSLATE(F6354,""id"",""en"")"),"besides Argentina came out as a champion there was an Arabic jersey price increasing champion killer bro")</f>
        <v>besides Argentina came out as a champion there was an Arabic jersey price increasing champion killer bro</v>
      </c>
    </row>
    <row r="6355" ht="15.75" customHeight="1">
      <c r="A6355" s="1">
        <v>7548.0</v>
      </c>
      <c r="B6355" s="3" t="s">
        <v>18267</v>
      </c>
      <c r="C6355" s="3">
        <v>0.0</v>
      </c>
      <c r="D6355" s="3">
        <v>0.0</v>
      </c>
      <c r="E6355" s="3">
        <v>0.0</v>
      </c>
      <c r="F6355" s="3" t="s">
        <v>18268</v>
      </c>
      <c r="G6355" s="3">
        <v>0.0</v>
      </c>
      <c r="H6355" s="3">
        <v>0.0</v>
      </c>
      <c r="I6355" s="3" t="s">
        <v>13</v>
      </c>
      <c r="J6355" s="3" t="s">
        <v>18269</v>
      </c>
      <c r="K6355" s="3" t="s">
        <v>54</v>
      </c>
      <c r="L6355" s="3" t="str">
        <f>IFERROR(__xludf.DUMMYFUNCTION("GOOGLETRANSLATE(F6355,""id"",""en"")"),"one of the championship Argentina's jealousy")</f>
        <v>one of the championship Argentina's jealousy</v>
      </c>
    </row>
    <row r="6356" ht="15.75" customHeight="1">
      <c r="A6356" s="1">
        <v>7549.0</v>
      </c>
      <c r="B6356" s="3" t="s">
        <v>18270</v>
      </c>
      <c r="C6356" s="3">
        <v>0.0</v>
      </c>
      <c r="D6356" s="3">
        <v>0.0</v>
      </c>
      <c r="E6356" s="3">
        <v>0.0</v>
      </c>
      <c r="F6356" s="3" t="s">
        <v>18271</v>
      </c>
      <c r="G6356" s="3">
        <v>0.0</v>
      </c>
      <c r="H6356" s="3">
        <v>0.0</v>
      </c>
      <c r="I6356" s="3" t="s">
        <v>13</v>
      </c>
      <c r="J6356" s="3" t="s">
        <v>18272</v>
      </c>
      <c r="K6356" s="3" t="s">
        <v>1970</v>
      </c>
      <c r="L6356" s="3" t="str">
        <f>IFERROR(__xludf.DUMMYFUNCTION("GOOGLETRANSLATE(F6356,""id"",""en"")"),"Jose Chamot Mang For me Argentina squad is the mystery of all good lines of all world champions at that time the Olympic champion had got a trophy whatever senior level")</f>
        <v>Jose Chamot Mang For me Argentina squad is the mystery of all good lines of all world champions at that time the Olympic champion had got a trophy whatever senior level</v>
      </c>
    </row>
    <row r="6357" ht="15.75" customHeight="1">
      <c r="A6357" s="1">
        <v>7550.0</v>
      </c>
      <c r="B6357" s="3" t="s">
        <v>18273</v>
      </c>
      <c r="C6357" s="3">
        <v>0.0</v>
      </c>
      <c r="D6357" s="3">
        <v>0.0</v>
      </c>
      <c r="E6357" s="3">
        <v>0.0</v>
      </c>
      <c r="F6357" s="3" t="s">
        <v>18274</v>
      </c>
      <c r="G6357" s="3">
        <v>0.0</v>
      </c>
      <c r="H6357" s="3">
        <v>0.0</v>
      </c>
      <c r="I6357" s="3" t="s">
        <v>13</v>
      </c>
      <c r="J6357" s="3" t="s">
        <v>18275</v>
      </c>
      <c r="K6357" s="3" t="s">
        <v>15736</v>
      </c>
      <c r="L6357" s="3" t="str">
        <f>IFERROR(__xludf.DUMMYFUNCTION("GOOGLETRANSLATE(F6357,""id"",""en"")"),"Another American team, besides Brazil, only the Latin American team countries have won the Argentina Brazilian Uruguayan team from Europe, there are also a number of Brazilian champions")</f>
        <v>Another American team, besides Brazil, only the Latin American team countries have won the Argentina Brazilian Uruguayan team from Europe, there are also a number of Brazilian champions</v>
      </c>
    </row>
    <row r="6358" ht="15.75" customHeight="1">
      <c r="A6358" s="1">
        <v>7551.0</v>
      </c>
      <c r="B6358" s="3" t="s">
        <v>18276</v>
      </c>
      <c r="C6358" s="3">
        <v>0.0</v>
      </c>
      <c r="D6358" s="3">
        <v>3.0</v>
      </c>
      <c r="E6358" s="3">
        <v>23.0</v>
      </c>
      <c r="F6358" s="3" t="s">
        <v>17753</v>
      </c>
      <c r="G6358" s="3">
        <v>0.0</v>
      </c>
      <c r="H6358" s="3">
        <v>0.0</v>
      </c>
      <c r="I6358" s="3" t="s">
        <v>13</v>
      </c>
      <c r="J6358" s="3" t="s">
        <v>17754</v>
      </c>
      <c r="K6358" s="3" t="s">
        <v>240</v>
      </c>
      <c r="L6358" s="3" t="str">
        <f>IFERROR(__xludf.DUMMYFUNCTION("GOOGLETRANSLATE(F6358,""id"",""en"")"),"Manchester City Manager Pep Guardiola is also happy with the success of Argentina World Cup champions because Lionel Messi deserves it")</f>
        <v>Manchester City Manager Pep Guardiola is also happy with the success of Argentina World Cup champions because Lionel Messi deserves it</v>
      </c>
    </row>
    <row r="6359" ht="15.75" customHeight="1">
      <c r="A6359" s="1">
        <v>7552.0</v>
      </c>
      <c r="B6359" s="3" t="s">
        <v>18277</v>
      </c>
      <c r="C6359" s="3">
        <v>0.0</v>
      </c>
      <c r="D6359" s="3">
        <v>0.0</v>
      </c>
      <c r="E6359" s="3">
        <v>0.0</v>
      </c>
      <c r="F6359" s="3" t="s">
        <v>18278</v>
      </c>
      <c r="G6359" s="3">
        <v>0.0</v>
      </c>
      <c r="H6359" s="3">
        <v>0.0</v>
      </c>
      <c r="I6359" s="3" t="s">
        <v>13</v>
      </c>
      <c r="J6359" s="3" t="s">
        <v>18279</v>
      </c>
      <c r="K6359" s="3" t="s">
        <v>58</v>
      </c>
      <c r="L6359" s="3" t="str">
        <f>IFERROR(__xludf.DUMMYFUNCTION("GOOGLETRANSLATE(F6359,""id"",""en"")"),"Only the Jokowi Argentina era could be world champion again after the Armando Maradona Effect era was the key to the Tango Team")</f>
        <v>Only the Jokowi Argentina era could be world champion again after the Armando Maradona Effect era was the key to the Tango Team</v>
      </c>
    </row>
    <row r="6360" ht="15.75" customHeight="1">
      <c r="A6360" s="1">
        <v>7553.0</v>
      </c>
      <c r="B6360" s="3" t="s">
        <v>18280</v>
      </c>
      <c r="C6360" s="3">
        <v>0.0</v>
      </c>
      <c r="D6360" s="3">
        <v>0.0</v>
      </c>
      <c r="E6360" s="3">
        <v>0.0</v>
      </c>
      <c r="F6360" s="3" t="s">
        <v>18281</v>
      </c>
      <c r="G6360" s="3">
        <v>0.0</v>
      </c>
      <c r="H6360" s="3">
        <v>0.0</v>
      </c>
      <c r="I6360" s="3" t="s">
        <v>13</v>
      </c>
      <c r="J6360" s="3" t="s">
        <v>18282</v>
      </c>
      <c r="K6360" s="3" t="s">
        <v>2117</v>
      </c>
      <c r="L6360" s="3" t="str">
        <f>IFERROR(__xludf.DUMMYFUNCTION("GOOGLETRANSLATE(F6360,""id"",""en"")"),"their nazaar if Argentina is champion")</f>
        <v>their nazaar if Argentina is champion</v>
      </c>
    </row>
    <row r="6361" ht="15.75" customHeight="1">
      <c r="A6361" s="1">
        <v>7554.0</v>
      </c>
      <c r="B6361" s="3" t="s">
        <v>18283</v>
      </c>
      <c r="C6361" s="3">
        <v>0.0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considered coach Aji Mumpung now successfully brought Argentina World Champion")</f>
        <v>Lionel Scaloni used to be considered coach Aji Mumpung now successfully brought Argentina World Champion</v>
      </c>
    </row>
    <row r="6362" ht="15.75" customHeight="1">
      <c r="A6362" s="1">
        <v>7555.0</v>
      </c>
      <c r="B6362" s="3" t="s">
        <v>18286</v>
      </c>
      <c r="C6362" s="3">
        <v>1.0</v>
      </c>
      <c r="D6362" s="3">
        <v>0.0</v>
      </c>
      <c r="E6362" s="3">
        <v>0.0</v>
      </c>
      <c r="F6362" s="3" t="s">
        <v>18287</v>
      </c>
      <c r="G6362" s="3">
        <v>0.0</v>
      </c>
      <c r="H6362" s="3">
        <v>0.0</v>
      </c>
      <c r="I6362" s="3" t="s">
        <v>13</v>
      </c>
      <c r="J6362" s="3" t="s">
        <v>18288</v>
      </c>
      <c r="K6362" s="3" t="s">
        <v>184</v>
      </c>
      <c r="L6362" s="3" t="str">
        <f>IFERROR(__xludf.DUMMYFUNCTION("GOOGLETRANSLATE(F6362,""id"",""en"")"),"Argentina is a world champion as a penalty master of the core of their game is the game of Emil Martinez's mind, maybe he is proud of that achievement and wants to show off mbappe")</f>
        <v>Argentina is a world champion as a penalty master of the core of their game is the game of Emil Martinez's mind, maybe he is proud of that achievement and wants to show off mbappe</v>
      </c>
    </row>
    <row r="6363" ht="15.75" customHeight="1">
      <c r="A6363" s="1">
        <v>7556.0</v>
      </c>
      <c r="B6363" s="3" t="s">
        <v>18289</v>
      </c>
      <c r="C6363" s="3">
        <v>0.0</v>
      </c>
      <c r="D6363" s="3">
        <v>0.0</v>
      </c>
      <c r="E6363" s="3">
        <v>0.0</v>
      </c>
      <c r="F6363" s="3" t="s">
        <v>17753</v>
      </c>
      <c r="G6363" s="3">
        <v>0.0</v>
      </c>
      <c r="H6363" s="3">
        <v>0.0</v>
      </c>
      <c r="I6363" s="3" t="s">
        <v>13</v>
      </c>
      <c r="J6363" s="3" t="s">
        <v>17754</v>
      </c>
      <c r="K6363" s="3" t="s">
        <v>240</v>
      </c>
      <c r="L6363" s="3" t="str">
        <f>IFERROR(__xludf.DUMMYFUNCTION("GOOGLETRANSLATE(F6363,""id"",""en"")"),"Manchester City Manager Pep Guardiola is also happy with the success of Argentina World Cup champions because Lionel Messi deserves it")</f>
        <v>Manchester City Manager Pep Guardiola is also happy with the success of Argentina World Cup champions because Lionel Messi deserves it</v>
      </c>
    </row>
    <row r="6364" ht="15.75" customHeight="1">
      <c r="A6364" s="1">
        <v>7557.0</v>
      </c>
      <c r="B6364" s="3" t="s">
        <v>18290</v>
      </c>
      <c r="C6364" s="3">
        <v>0.0</v>
      </c>
      <c r="D6364" s="3">
        <v>0.0</v>
      </c>
      <c r="E6364" s="3">
        <v>0.0</v>
      </c>
      <c r="F6364" s="3" t="s">
        <v>17753</v>
      </c>
      <c r="G6364" s="3">
        <v>0.0</v>
      </c>
      <c r="H6364" s="3">
        <v>0.0</v>
      </c>
      <c r="I6364" s="3" t="s">
        <v>13</v>
      </c>
      <c r="J6364" s="3" t="s">
        <v>17754</v>
      </c>
      <c r="K6364" s="3" t="s">
        <v>240</v>
      </c>
      <c r="L6364" s="3" t="str">
        <f>IFERROR(__xludf.DUMMYFUNCTION("GOOGLETRANSLATE(F6364,""id"",""en"")"),"Manchester City Manager Pep Guardiola is also happy with the success of Argentina World Cup champions because Lionel Messi deserves it")</f>
        <v>Manchester City Manager Pep Guardiola is also happy with the success of Argentina World Cup champions because Lionel Messi deserves it</v>
      </c>
    </row>
    <row r="6365" ht="15.75" customHeight="1">
      <c r="A6365" s="1">
        <v>7558.0</v>
      </c>
      <c r="B6365" s="3" t="s">
        <v>18291</v>
      </c>
      <c r="C6365" s="3">
        <v>0.0</v>
      </c>
      <c r="D6365" s="3">
        <v>0.0</v>
      </c>
      <c r="E6365" s="3">
        <v>10.0</v>
      </c>
      <c r="F6365" s="3" t="s">
        <v>17753</v>
      </c>
      <c r="G6365" s="3">
        <v>0.0</v>
      </c>
      <c r="H6365" s="3">
        <v>0.0</v>
      </c>
      <c r="I6365" s="3" t="s">
        <v>13</v>
      </c>
      <c r="J6365" s="3" t="s">
        <v>17754</v>
      </c>
      <c r="K6365" s="3" t="s">
        <v>240</v>
      </c>
      <c r="L6365" s="3" t="str">
        <f>IFERROR(__xludf.DUMMYFUNCTION("GOOGLETRANSLATE(F6365,""id"",""en"")"),"Manchester City Manager Pep Guardiola is also happy with the success of Argentina World Cup champions because Lionel Messi deserves it")</f>
        <v>Manchester City Manager Pep Guardiola is also happy with the success of Argentina World Cup champions because Lionel Messi deserves it</v>
      </c>
    </row>
    <row r="6366" ht="15.75" customHeight="1">
      <c r="A6366" s="1">
        <v>7559.0</v>
      </c>
      <c r="B6366" s="3" t="s">
        <v>18292</v>
      </c>
      <c r="C6366" s="3">
        <v>0.0</v>
      </c>
      <c r="D6366" s="3">
        <v>0.0</v>
      </c>
      <c r="E6366" s="3">
        <v>92.0</v>
      </c>
      <c r="F6366" s="3" t="s">
        <v>18293</v>
      </c>
      <c r="G6366" s="3">
        <v>0.0</v>
      </c>
      <c r="H6366" s="3">
        <v>0.0</v>
      </c>
      <c r="I6366" s="3" t="s">
        <v>13</v>
      </c>
      <c r="J6366" s="3" t="s">
        <v>18294</v>
      </c>
      <c r="K6366" s="3" t="s">
        <v>75</v>
      </c>
      <c r="L6366" s="3" t="str">
        <f>IFERROR(__xludf.DUMMYFUNCTION("GOOGLETRANSLATE(F6366,""id"",""en"")"),"Whatever you say will not change the state of Argentina remains world champion")</f>
        <v>Whatever you say will not change the state of Argentina remains world champion</v>
      </c>
    </row>
    <row r="6367" ht="15.75" customHeight="1">
      <c r="A6367" s="1">
        <v>7560.0</v>
      </c>
      <c r="B6367" s="3" t="s">
        <v>18295</v>
      </c>
      <c r="C6367" s="3">
        <v>1.0</v>
      </c>
      <c r="D6367" s="3">
        <v>2.0</v>
      </c>
      <c r="E6367" s="3">
        <v>7.0</v>
      </c>
      <c r="F6367" s="3" t="s">
        <v>18296</v>
      </c>
      <c r="G6367" s="3">
        <v>0.0</v>
      </c>
      <c r="H6367" s="3">
        <v>0.0</v>
      </c>
      <c r="I6367" s="3" t="s">
        <v>13</v>
      </c>
      <c r="J6367" s="3" t="s">
        <v>18297</v>
      </c>
      <c r="K6367" s="3" t="s">
        <v>510</v>
      </c>
      <c r="L6367" s="3" t="str">
        <f>IFERROR(__xludf.DUMMYFUNCTION("GOOGLETRANSLATE(F6367,""id"",""en"")"),"Bringing Argentina Lionel Messi's World Cup Champion Proposed Playing Peso Currency")</f>
        <v>Bringing Argentina Lionel Messi's World Cup Champion Proposed Playing Peso Currency</v>
      </c>
    </row>
    <row r="6368" ht="15.75" customHeight="1">
      <c r="A6368" s="1">
        <v>7561.0</v>
      </c>
      <c r="B6368" s="3" t="s">
        <v>18298</v>
      </c>
      <c r="C6368" s="3">
        <v>0.0</v>
      </c>
      <c r="D6368" s="3">
        <v>0.0</v>
      </c>
      <c r="E6368" s="3">
        <v>0.0</v>
      </c>
      <c r="F6368" s="3" t="s">
        <v>18299</v>
      </c>
      <c r="G6368" s="3">
        <v>0.0</v>
      </c>
      <c r="H6368" s="3">
        <v>0.0</v>
      </c>
      <c r="I6368" s="3" t="s">
        <v>13</v>
      </c>
      <c r="J6368" s="3" t="s">
        <v>18300</v>
      </c>
      <c r="K6368" s="3" t="s">
        <v>644</v>
      </c>
      <c r="L6368" s="3" t="str">
        <f>IFERROR(__xludf.DUMMYFUNCTION("GOOGLETRANSLATE(F6368,""id"",""en"")"),"it turns out this makes Argentina win the TOT champion")</f>
        <v>it turns out this makes Argentina win the TOT champion</v>
      </c>
    </row>
    <row r="6369" ht="15.75" customHeight="1">
      <c r="A6369" s="1">
        <v>7562.0</v>
      </c>
      <c r="B6369" s="3" t="s">
        <v>18301</v>
      </c>
      <c r="C6369" s="3">
        <v>0.0</v>
      </c>
      <c r="D6369" s="3">
        <v>0.0</v>
      </c>
      <c r="E6369" s="3">
        <v>0.0</v>
      </c>
      <c r="F6369" s="3" t="s">
        <v>18302</v>
      </c>
      <c r="G6369" s="3">
        <v>0.0</v>
      </c>
      <c r="H6369" s="3">
        <v>0.0</v>
      </c>
      <c r="I6369" s="3" t="s">
        <v>13</v>
      </c>
      <c r="J6369" s="3" t="s">
        <v>18303</v>
      </c>
      <c r="K6369" s="3" t="s">
        <v>54</v>
      </c>
      <c r="L6369" s="3" t="str">
        <f>IFERROR(__xludf.DUMMYFUNCTION("GOOGLETRANSLATE(F6369,""id"",""en"")"),"I read ASYIIIIIIK Argentina World Soccer Champion")</f>
        <v>I read ASYIIIIIIK Argentina World Soccer Champion</v>
      </c>
    </row>
    <row r="6370" ht="15.75" customHeight="1">
      <c r="A6370" s="1">
        <v>7563.0</v>
      </c>
      <c r="B6370" s="3" t="s">
        <v>18304</v>
      </c>
      <c r="C6370" s="3">
        <v>0.0</v>
      </c>
      <c r="D6370" s="3">
        <v>0.0</v>
      </c>
      <c r="E6370" s="3">
        <v>0.0</v>
      </c>
      <c r="F6370" s="3" t="s">
        <v>18305</v>
      </c>
      <c r="G6370" s="3">
        <v>0.0</v>
      </c>
      <c r="H6370" s="3">
        <v>0.0</v>
      </c>
      <c r="I6370" s="3" t="s">
        <v>13</v>
      </c>
      <c r="J6370" s="3" t="s">
        <v>18306</v>
      </c>
      <c r="K6370" s="3" t="s">
        <v>244</v>
      </c>
      <c r="L6370" s="3" t="str">
        <f>IFERROR(__xludf.DUMMYFUNCTION("GOOGLETRANSLATE(F6370,""id"",""en"")"),"Exciting anyway, see this thread on hilariously Argentina Raya Champion residents")</f>
        <v>Exciting anyway, see this thread on hilariously Argentina Raya Champion residents</v>
      </c>
    </row>
    <row r="6371" ht="15.75" customHeight="1">
      <c r="A6371" s="1">
        <v>7564.0</v>
      </c>
      <c r="B6371" s="3" t="s">
        <v>18307</v>
      </c>
      <c r="C6371" s="3">
        <v>0.0</v>
      </c>
      <c r="D6371" s="3">
        <v>0.0</v>
      </c>
      <c r="E6371" s="3">
        <v>0.0</v>
      </c>
      <c r="F6371" s="3" t="s">
        <v>18308</v>
      </c>
      <c r="G6371" s="3">
        <v>0.0</v>
      </c>
      <c r="H6371" s="3">
        <v>0.0</v>
      </c>
      <c r="I6371" s="3" t="s">
        <v>13</v>
      </c>
      <c r="J6371" s="3" t="s">
        <v>18309</v>
      </c>
      <c r="K6371" s="3" t="s">
        <v>433</v>
      </c>
      <c r="L6371" s="3" t="str">
        <f>IFERROR(__xludf.DUMMYFUNCTION("GOOGLETRANSLATE(F6371,""id"",""en"")"),"The effect of Argentina's political crisis is true, but the standard political material is not the welfare of the people")</f>
        <v>The effect of Argentina's political crisis is true, but the standard political material is not the welfare of the people</v>
      </c>
    </row>
    <row r="6372" ht="15.75" customHeight="1">
      <c r="A6372" s="1">
        <v>7565.0</v>
      </c>
      <c r="B6372" s="3" t="s">
        <v>18310</v>
      </c>
      <c r="C6372" s="3">
        <v>0.0</v>
      </c>
      <c r="D6372" s="3">
        <v>0.0</v>
      </c>
      <c r="E6372" s="3">
        <v>0.0</v>
      </c>
      <c r="F6372" s="3" t="s">
        <v>18311</v>
      </c>
      <c r="G6372" s="3">
        <v>0.0</v>
      </c>
      <c r="H6372" s="3">
        <v>0.0</v>
      </c>
      <c r="I6372" s="3" t="s">
        <v>13</v>
      </c>
      <c r="J6372" s="3" t="s">
        <v>18312</v>
      </c>
      <c r="K6372" s="3" t="s">
        <v>903</v>
      </c>
      <c r="L6372" s="3" t="str">
        <f>IFERROR(__xludf.DUMMYFUNCTION("GOOGLETRANSLATE(F6372,""id"",""en"")"),"This is a real cuy listening to the French player besides Mbappe actually Argentina's intelligence agent was educated since childhood to be a pro player to smooth the way Messi and Argentina world champion")</f>
        <v>This is a real cuy listening to the French player besides Mbappe actually Argentina's intelligence agent was educated since childhood to be a pro player to smooth the way Messi and Argentina world champion</v>
      </c>
    </row>
    <row r="6373" ht="15.75" customHeight="1">
      <c r="A6373" s="1">
        <v>7566.0</v>
      </c>
      <c r="B6373" s="3" t="s">
        <v>18313</v>
      </c>
      <c r="C6373" s="3">
        <v>1.0</v>
      </c>
      <c r="D6373" s="3">
        <v>0.0</v>
      </c>
      <c r="E6373" s="3">
        <v>0.0</v>
      </c>
      <c r="F6373" s="3" t="s">
        <v>18314</v>
      </c>
      <c r="G6373" s="3">
        <v>0.0</v>
      </c>
      <c r="H6373" s="3">
        <v>0.0</v>
      </c>
      <c r="I6373" s="3" t="s">
        <v>13</v>
      </c>
      <c r="J6373" s="3" t="s">
        <v>18315</v>
      </c>
      <c r="K6373" s="3" t="s">
        <v>1428</v>
      </c>
      <c r="L6373" s="3" t="str">
        <f>IFERROR(__xludf.DUMMYFUNCTION("GOOGLETRANSLATE(F6373,""id"",""en"")"),"Yes, but the champion is playing like what spanish with German French Italy Euro and yesterday Argentina is really playing like how hilarious it can be like an example of only Greece.")</f>
        <v>Yes, but the champion is playing like what spanish with German French Italy Euro and yesterday Argentina is really playing like how hilarious it can be like an example of only Greece.</v>
      </c>
    </row>
    <row r="6374" ht="15.75" customHeight="1">
      <c r="A6374" s="1">
        <v>7567.0</v>
      </c>
      <c r="B6374" s="3" t="s">
        <v>18316</v>
      </c>
      <c r="C6374" s="3">
        <v>2.0</v>
      </c>
      <c r="D6374" s="3">
        <v>0.0</v>
      </c>
      <c r="E6374" s="3">
        <v>0.0</v>
      </c>
      <c r="F6374" s="3" t="s">
        <v>18317</v>
      </c>
      <c r="G6374" s="3">
        <v>0.5</v>
      </c>
      <c r="H6374" s="3">
        <v>0.0</v>
      </c>
      <c r="I6374" s="3" t="s">
        <v>13</v>
      </c>
      <c r="J6374" s="3" t="s">
        <v>18318</v>
      </c>
      <c r="K6374" s="3" t="s">
        <v>633</v>
      </c>
      <c r="L6374" s="3" t="str">
        <f>IFERROR(__xludf.DUMMYFUNCTION("GOOGLETRANSLATE(F6374,""id"",""en"")"),"Silly, you also said that the standard Brazil championship, the champion of the world, continued, Argentina France Germany, every time it didn't have to be a final semifinal")</f>
        <v>Silly, you also said that the standard Brazil championship, the champion of the world, continued, Argentina France Germany, every time it didn't have to be a final semifinal</v>
      </c>
    </row>
    <row r="6375" ht="15.75" customHeight="1">
      <c r="A6375" s="1">
        <v>7568.0</v>
      </c>
      <c r="B6375" s="3" t="s">
        <v>18319</v>
      </c>
      <c r="C6375" s="3">
        <v>0.0</v>
      </c>
      <c r="D6375" s="3">
        <v>0.0</v>
      </c>
      <c r="E6375" s="3">
        <v>0.0</v>
      </c>
      <c r="F6375" s="3" t="s">
        <v>18320</v>
      </c>
      <c r="G6375" s="3">
        <v>0.0</v>
      </c>
      <c r="H6375" s="3">
        <v>0.0</v>
      </c>
      <c r="I6375" s="3" t="s">
        <v>13</v>
      </c>
      <c r="J6375" s="3" t="s">
        <v>18321</v>
      </c>
      <c r="K6375" s="3" t="s">
        <v>41</v>
      </c>
      <c r="L6375" s="3" t="str">
        <f>IFERROR(__xludf.DUMMYFUNCTION("GOOGLETRANSLATE(F6375,""id"",""en"")"),"Ricuh Celebration of Argentina Victory Champion World Cup Buenos Aires")</f>
        <v>Ricuh Celebration of Argentina Victory Champion World Cup Buenos Aires</v>
      </c>
    </row>
    <row r="6376" ht="15.75" customHeight="1">
      <c r="A6376" s="1">
        <v>7569.0</v>
      </c>
      <c r="B6376" s="3" t="s">
        <v>18322</v>
      </c>
      <c r="C6376" s="3">
        <v>0.0</v>
      </c>
      <c r="D6376" s="3">
        <v>0.0</v>
      </c>
      <c r="E6376" s="3">
        <v>0.0</v>
      </c>
      <c r="F6376" s="3" t="s">
        <v>18323</v>
      </c>
      <c r="G6376" s="3">
        <v>0.3333333333333333</v>
      </c>
      <c r="H6376" s="3">
        <v>0.1666666666666667</v>
      </c>
      <c r="I6376" s="3" t="s">
        <v>48</v>
      </c>
      <c r="J6376" s="3" t="s">
        <v>18324</v>
      </c>
      <c r="K6376" s="3" t="s">
        <v>54</v>
      </c>
      <c r="L6376" s="3" t="str">
        <f>IFERROR(__xludf.DUMMYFUNCTION("GOOGLETRANSLATE(F6376,""id"",""en"")"),"Messi's promise if my champion is playing until the World Cup")</f>
        <v>Messi's promise if my champion is playing until the World Cup</v>
      </c>
    </row>
    <row r="6377" ht="15.75" customHeight="1">
      <c r="A6377" s="1">
        <v>7570.0</v>
      </c>
      <c r="B6377" s="3" t="s">
        <v>18325</v>
      </c>
      <c r="C6377" s="3">
        <v>0.0</v>
      </c>
      <c r="D6377" s="3">
        <v>0.0</v>
      </c>
      <c r="E6377" s="3">
        <v>0.0</v>
      </c>
      <c r="F6377" s="3" t="s">
        <v>18326</v>
      </c>
      <c r="G6377" s="3">
        <v>0.0</v>
      </c>
      <c r="H6377" s="3">
        <v>0.0</v>
      </c>
      <c r="I6377" s="3" t="s">
        <v>13</v>
      </c>
      <c r="J6377" s="3" t="s">
        <v>18327</v>
      </c>
      <c r="K6377" s="3" t="s">
        <v>477</v>
      </c>
      <c r="L6377" s="3" t="str">
        <f>IFERROR(__xludf.DUMMYFUNCTION("GOOGLETRANSLATE(F6377,""id"",""en"")"),"a long time ago a lot of crazy because of frustration to see Argentina champion wkwk")</f>
        <v>a long time ago a lot of crazy because of frustration to see Argentina champion wkwk</v>
      </c>
    </row>
    <row r="6378" ht="15.75" customHeight="1">
      <c r="A6378" s="1">
        <v>7571.0</v>
      </c>
      <c r="B6378" s="3" t="s">
        <v>18328</v>
      </c>
      <c r="C6378" s="3">
        <v>0.0</v>
      </c>
      <c r="D6378" s="3">
        <v>0.0</v>
      </c>
      <c r="E6378" s="3">
        <v>0.0</v>
      </c>
      <c r="F6378" s="3" t="s">
        <v>18329</v>
      </c>
      <c r="G6378" s="3">
        <v>0.0</v>
      </c>
      <c r="H6378" s="3">
        <v>0.0</v>
      </c>
      <c r="I6378" s="3" t="s">
        <v>13</v>
      </c>
      <c r="J6378" s="3" t="s">
        <v>18330</v>
      </c>
      <c r="K6378" s="3" t="s">
        <v>50</v>
      </c>
      <c r="L6378" s="3" t="str">
        <f>IFERROR(__xludf.DUMMYFUNCTION("GOOGLETRANSLATE(F6378,""id"",""en"")"),"But yesterday many of the Pildun used the strategy to survive counter attacks and the results of Argentina Champion")</f>
        <v>But yesterday many of the Pildun used the strategy to survive counter attacks and the results of Argentina Champion</v>
      </c>
    </row>
    <row r="6379" ht="15.75" customHeight="1">
      <c r="A6379" s="1">
        <v>7572.0</v>
      </c>
      <c r="B6379" s="3" t="s">
        <v>18331</v>
      </c>
      <c r="C6379" s="3">
        <v>0.0</v>
      </c>
      <c r="D6379" s="3">
        <v>0.0</v>
      </c>
      <c r="E6379" s="3">
        <v>0.0</v>
      </c>
      <c r="F6379" s="3" t="s">
        <v>18332</v>
      </c>
      <c r="G6379" s="3">
        <v>0.0</v>
      </c>
      <c r="H6379" s="3">
        <v>0.0</v>
      </c>
      <c r="I6379" s="3" t="s">
        <v>13</v>
      </c>
      <c r="J6379" s="3" t="s">
        <v>18333</v>
      </c>
      <c r="K6379" s="3" t="s">
        <v>90</v>
      </c>
      <c r="L6379" s="3" t="str">
        <f>IFERROR(__xludf.DUMMYFUNCTION("GOOGLETRANSLATE(F6379,""id"",""en"")"),"Argentina became the championship of the national team quickly or slowly paying the pesugihanny gaabeda furnishings far away with their pride team Barca is wkwkwk")</f>
        <v>Argentina became the championship of the national team quickly or slowly paying the pesugihanny gaabeda furnishings far away with their pride team Barca is wkwkwk</v>
      </c>
    </row>
    <row r="6380" ht="15.75" customHeight="1">
      <c r="A6380" s="1">
        <v>7573.0</v>
      </c>
      <c r="B6380" s="3" t="s">
        <v>18334</v>
      </c>
      <c r="C6380" s="3">
        <v>1.0</v>
      </c>
      <c r="D6380" s="3">
        <v>0.0</v>
      </c>
      <c r="E6380" s="3">
        <v>0.0</v>
      </c>
      <c r="F6380" s="3" t="s">
        <v>18335</v>
      </c>
      <c r="G6380" s="3">
        <v>0.0</v>
      </c>
      <c r="H6380" s="3">
        <v>0.0</v>
      </c>
      <c r="I6380" s="3" t="s">
        <v>13</v>
      </c>
      <c r="J6380" s="3" t="s">
        <v>18336</v>
      </c>
      <c r="K6380" s="3" t="s">
        <v>50</v>
      </c>
      <c r="L6380" s="3" t="str">
        <f>IFERROR(__xludf.DUMMYFUNCTION("GOOGLETRANSLATE(F6380,""id"",""en"")"),"Many are Argentina Argen, the champion wins a big wins stupid logic")</f>
        <v>Many are Argentina Argen, the champion wins a big wins stupid logic</v>
      </c>
    </row>
    <row r="6381" ht="15.75" customHeight="1">
      <c r="A6381" s="1">
        <v>7574.0</v>
      </c>
      <c r="B6381" s="3" t="s">
        <v>18337</v>
      </c>
      <c r="C6381" s="3">
        <v>0.0</v>
      </c>
      <c r="D6381" s="3">
        <v>0.0</v>
      </c>
      <c r="E6381" s="3">
        <v>1.0</v>
      </c>
      <c r="F6381" s="3" t="s">
        <v>18338</v>
      </c>
      <c r="G6381" s="3">
        <v>0.0</v>
      </c>
      <c r="H6381" s="3">
        <v>0.0</v>
      </c>
      <c r="I6381" s="3" t="s">
        <v>13</v>
      </c>
      <c r="J6381" s="3" t="s">
        <v>18339</v>
      </c>
      <c r="K6381" s="3" t="s">
        <v>27</v>
      </c>
      <c r="L6381" s="3" t="str">
        <f>IFERROR(__xludf.DUMMYFUNCTION("GOOGLETRANSLATE(F6381,""id"",""en"")"),"Even though I am a supporter of Argentina, this information is very valid I know the dealer group and testify that the bribes existed but Dybala refused so that it made the scaloni replace it with Julian even though he minimal the experience of a big tour"&amp;"nament")</f>
        <v>Even though I am a supporter of Argentina, this information is very valid I know the dealer group and testify that the bribes existed but Dybala refused so that it made the scaloni replace it with Julian even though he minimal the experience of a big tournament</v>
      </c>
    </row>
    <row r="6382" ht="15.75" customHeight="1">
      <c r="A6382" s="1">
        <v>7575.0</v>
      </c>
      <c r="B6382" s="3" t="s">
        <v>18340</v>
      </c>
      <c r="C6382" s="3">
        <v>0.0</v>
      </c>
      <c r="D6382" s="3">
        <v>0.0</v>
      </c>
      <c r="E6382" s="3">
        <v>0.0</v>
      </c>
      <c r="F6382" s="3" t="s">
        <v>18341</v>
      </c>
      <c r="G6382" s="3">
        <v>0.0</v>
      </c>
      <c r="H6382" s="3">
        <v>0.0</v>
      </c>
      <c r="I6382" s="3" t="s">
        <v>13</v>
      </c>
      <c r="J6382" s="3" t="s">
        <v>18342</v>
      </c>
      <c r="K6382" s="3" t="s">
        <v>495</v>
      </c>
      <c r="L6382" s="3" t="str">
        <f>IFERROR(__xludf.DUMMYFUNCTION("GOOGLETRANSLATE(F6382,""id"",""en"")"),"Yes, FIFA is helping Argentina to hold the Broh Fans Dodo pildun once champions don't bother bacott yee")</f>
        <v>Yes, FIFA is helping Argentina to hold the Broh Fans Dodo pildun once champions don't bother bacott yee</v>
      </c>
    </row>
    <row r="6383" ht="15.75" customHeight="1">
      <c r="A6383" s="1">
        <v>7576.0</v>
      </c>
      <c r="B6383" s="3" t="s">
        <v>18343</v>
      </c>
      <c r="C6383" s="3">
        <v>0.0</v>
      </c>
      <c r="D6383" s="3">
        <v>0.0</v>
      </c>
      <c r="E6383" s="3">
        <v>0.0</v>
      </c>
      <c r="F6383" s="3" t="s">
        <v>18344</v>
      </c>
      <c r="G6383" s="3">
        <v>0.0</v>
      </c>
      <c r="H6383" s="3">
        <v>0.0</v>
      </c>
      <c r="I6383" s="3" t="s">
        <v>13</v>
      </c>
      <c r="J6383" s="3" t="s">
        <v>18345</v>
      </c>
      <c r="K6383" s="3" t="s">
        <v>19</v>
      </c>
      <c r="L6383" s="3" t="str">
        <f>IFERROR(__xludf.DUMMYFUNCTION("GOOGLETRANSLATE(F6383,""id"",""en"")"),"I am pure fans Cristiano is proud to see Messi champion Bang and Argentina because they deserve and worthy")</f>
        <v>I am pure fans Cristiano is proud to see Messi champion Bang and Argentina because they deserve and worthy</v>
      </c>
    </row>
    <row r="6384" ht="15.75" customHeight="1">
      <c r="A6384" s="1">
        <v>7577.0</v>
      </c>
      <c r="B6384" s="3" t="s">
        <v>18346</v>
      </c>
      <c r="C6384" s="3">
        <v>1.0</v>
      </c>
      <c r="D6384" s="3">
        <v>0.0</v>
      </c>
      <c r="E6384" s="3">
        <v>0.0</v>
      </c>
      <c r="F6384" s="3" t="s">
        <v>18347</v>
      </c>
      <c r="G6384" s="3">
        <v>0.0</v>
      </c>
      <c r="H6384" s="3">
        <v>0.0</v>
      </c>
      <c r="I6384" s="3" t="s">
        <v>13</v>
      </c>
      <c r="J6384" s="3" t="s">
        <v>18348</v>
      </c>
      <c r="K6384" s="3" t="s">
        <v>1552</v>
      </c>
      <c r="L6384" s="3" t="str">
        <f>IFERROR(__xludf.DUMMYFUNCTION("GOOGLETRANSLATE(F6384,""id"",""en"")"),"Argentina who just champions doesn't mind why Tifosi Indonesia whose team is AFF champion is difficult to objection")</f>
        <v>Argentina who just champions doesn't mind why Tifosi Indonesia whose team is AFF champion is difficult to objection</v>
      </c>
    </row>
    <row r="6385" ht="15.75" customHeight="1">
      <c r="A6385" s="1">
        <v>7578.0</v>
      </c>
      <c r="B6385" s="3" t="s">
        <v>18349</v>
      </c>
      <c r="C6385" s="3">
        <v>0.0</v>
      </c>
      <c r="D6385" s="3">
        <v>0.0</v>
      </c>
      <c r="E6385" s="3">
        <v>0.0</v>
      </c>
      <c r="F6385" s="3" t="s">
        <v>18350</v>
      </c>
      <c r="G6385" s="3">
        <v>0.0</v>
      </c>
      <c r="H6385" s="3">
        <v>0.0</v>
      </c>
      <c r="I6385" s="3" t="s">
        <v>13</v>
      </c>
      <c r="J6385" s="3" t="s">
        <v>18351</v>
      </c>
      <c r="K6385" s="3" t="s">
        <v>15</v>
      </c>
      <c r="L6385" s="3" t="str">
        <f>IFERROR(__xludf.DUMMYFUNCTION("GOOGLETRANSLATE(F6385,""id"",""en"")"),"Tired of Wakanda Demo and then I just join Argentina.")</f>
        <v>Tired of Wakanda Demo and then I just join Argentina.</v>
      </c>
    </row>
    <row r="6386" ht="15.75" customHeight="1">
      <c r="A6386" s="1">
        <v>7579.0</v>
      </c>
      <c r="B6386" s="3" t="s">
        <v>18352</v>
      </c>
      <c r="C6386" s="3">
        <v>0.0</v>
      </c>
      <c r="D6386" s="3">
        <v>0.0</v>
      </c>
      <c r="E6386" s="3">
        <v>0.0</v>
      </c>
      <c r="F6386" s="3" t="s">
        <v>18353</v>
      </c>
      <c r="G6386" s="3">
        <v>0.4666666666666666</v>
      </c>
      <c r="H6386" s="3">
        <v>0.09999999999999999</v>
      </c>
      <c r="I6386" s="3" t="s">
        <v>48</v>
      </c>
      <c r="J6386" s="3" t="s">
        <v>18354</v>
      </c>
      <c r="K6386" s="3" t="s">
        <v>503</v>
      </c>
      <c r="L6386" s="3" t="str">
        <f>IFERROR(__xludf.DUMMYFUNCTION("GOOGLETRANSLATE(F6386,""id"",""en"")"),"Hilarious online soccer gambling is usually only minutes to extra time let alone penalties the case of the case drake he holds Argentina winning but normal time even though Argentina is champion but drake still loses because at normal time it is only IMBA"&amp;"N")</f>
        <v>Hilarious online soccer gambling is usually only minutes to extra time let alone penalties the case of the case drake he holds Argentina winning but normal time even though Argentina is champion but drake still loses because at normal time it is only IMBAN</v>
      </c>
    </row>
    <row r="6387" ht="15.75" customHeight="1">
      <c r="A6387" s="1">
        <v>7580.0</v>
      </c>
      <c r="B6387" s="3" t="s">
        <v>18355</v>
      </c>
      <c r="C6387" s="3">
        <v>0.0</v>
      </c>
      <c r="D6387" s="3">
        <v>0.0</v>
      </c>
      <c r="E6387" s="3">
        <v>0.0</v>
      </c>
      <c r="F6387" s="3" t="s">
        <v>18356</v>
      </c>
      <c r="G6387" s="3">
        <v>0.0</v>
      </c>
      <c r="H6387" s="3">
        <v>0.0</v>
      </c>
      <c r="I6387" s="3" t="s">
        <v>13</v>
      </c>
      <c r="J6387" s="3" t="s">
        <v>18357</v>
      </c>
      <c r="K6387" s="3" t="s">
        <v>35</v>
      </c>
      <c r="L6387" s="3" t="str">
        <f>IFERROR(__xludf.DUMMYFUNCTION("GOOGLETRANSLATE(F6387,""id"",""en"")"),"if there is still a power cable that means Argentina is still the same as here, the difference is that they are world champions")</f>
        <v>if there is still a power cable that means Argentina is still the same as here, the difference is that they are world champions</v>
      </c>
    </row>
    <row r="6388" ht="15.75" customHeight="1">
      <c r="A6388" s="1">
        <v>7581.0</v>
      </c>
      <c r="B6388" s="3" t="s">
        <v>18358</v>
      </c>
      <c r="C6388" s="3">
        <v>0.0</v>
      </c>
      <c r="D6388" s="3">
        <v>0.0</v>
      </c>
      <c r="E6388" s="3">
        <v>0.0</v>
      </c>
      <c r="F6388" s="3" t="s">
        <v>18359</v>
      </c>
      <c r="G6388" s="3">
        <v>0.0</v>
      </c>
      <c r="H6388" s="3">
        <v>0.0</v>
      </c>
      <c r="I6388" s="3" t="s">
        <v>13</v>
      </c>
      <c r="J6388" s="3" t="s">
        <v>18360</v>
      </c>
      <c r="K6388" s="3" t="s">
        <v>149</v>
      </c>
      <c r="L6388" s="3" t="str">
        <f>IFERROR(__xludf.DUMMYFUNCTION("GOOGLETRANSLATE(F6388,""id"",""en"")"),"Have you ever heard of the dipodcast where he forgot he said he said that the Argentine was the most stretched by Latin, but maybe if I was good and the champion would also be like that")</f>
        <v>Have you ever heard of the dipodcast where he forgot he said he said that the Argentine was the most stretched by Latin, but maybe if I was good and the champion would also be like that</v>
      </c>
    </row>
    <row r="6389" ht="15.75" customHeight="1">
      <c r="A6389" s="1">
        <v>7582.0</v>
      </c>
      <c r="B6389" s="3" t="s">
        <v>18361</v>
      </c>
      <c r="C6389" s="3">
        <v>0.0</v>
      </c>
      <c r="D6389" s="3">
        <v>0.0</v>
      </c>
      <c r="E6389" s="3">
        <v>0.0</v>
      </c>
      <c r="F6389" s="3" t="s">
        <v>18362</v>
      </c>
      <c r="G6389" s="3">
        <v>0.0</v>
      </c>
      <c r="H6389" s="3">
        <v>0.0</v>
      </c>
      <c r="I6389" s="3" t="s">
        <v>13</v>
      </c>
      <c r="J6389" s="3" t="s">
        <v>18363</v>
      </c>
      <c r="K6389" s="3" t="s">
        <v>54</v>
      </c>
      <c r="L6389" s="3" t="str">
        <f>IFERROR(__xludf.DUMMYFUNCTION("GOOGLETRANSLATE(F6389,""id"",""en"")"),"Barbarian maybe this was the last time Argentina Champion")</f>
        <v>Barbarian maybe this was the last time Argentina Champion</v>
      </c>
    </row>
    <row r="6390" ht="15.75" customHeight="1">
      <c r="A6390" s="1">
        <v>7583.0</v>
      </c>
      <c r="B6390" s="3" t="s">
        <v>18364</v>
      </c>
      <c r="C6390" s="3">
        <v>0.0</v>
      </c>
      <c r="D6390" s="3">
        <v>0.0</v>
      </c>
      <c r="E6390" s="3">
        <v>0.0</v>
      </c>
      <c r="F6390" s="3" t="s">
        <v>18365</v>
      </c>
      <c r="G6390" s="3">
        <v>0.0</v>
      </c>
      <c r="H6390" s="3">
        <v>0.0</v>
      </c>
      <c r="I6390" s="3" t="s">
        <v>13</v>
      </c>
      <c r="J6390" s="3" t="s">
        <v>18366</v>
      </c>
      <c r="K6390" s="3" t="s">
        <v>58</v>
      </c>
      <c r="L6390" s="3" t="str">
        <f>IFERROR(__xludf.DUMMYFUNCTION("GOOGLETRANSLATE(F6390,""id"",""en"")"),"When Argentina won many fans, said the worst world cup, try if France is a different champion again")</f>
        <v>When Argentina won many fans, said the worst world cup, try if France is a different champion again</v>
      </c>
    </row>
    <row r="6391" ht="15.75" customHeight="1">
      <c r="A6391" s="1">
        <v>7584.0</v>
      </c>
      <c r="B6391" s="3" t="s">
        <v>18367</v>
      </c>
      <c r="C6391" s="3">
        <v>1.0</v>
      </c>
      <c r="D6391" s="3">
        <v>1.0</v>
      </c>
      <c r="E6391" s="3">
        <v>5.0</v>
      </c>
      <c r="F6391" s="3" t="s">
        <v>18368</v>
      </c>
      <c r="G6391" s="3">
        <v>0.0</v>
      </c>
      <c r="H6391" s="3">
        <v>0.0</v>
      </c>
      <c r="I6391" s="3" t="s">
        <v>13</v>
      </c>
      <c r="J6391" s="3" t="s">
        <v>18369</v>
      </c>
      <c r="K6391" s="3" t="s">
        <v>437</v>
      </c>
      <c r="L6391" s="3" t="str">
        <f>IFERROR(__xludf.DUMMYFUNCTION("GOOGLETRANSLATE(F6391,""id"",""en"")"),"gambling gambling if you want to profit if there are many who put it in Argentina, France should have a bloook champion still believes this")</f>
        <v>gambling gambling if you want to profit if there are many who put it in Argentina, France should have a bloook champion still believes this</v>
      </c>
    </row>
    <row r="6392" ht="15.75" customHeight="1">
      <c r="A6392" s="1">
        <v>7585.0</v>
      </c>
      <c r="B6392" s="3" t="s">
        <v>18370</v>
      </c>
      <c r="C6392" s="3">
        <v>0.0</v>
      </c>
      <c r="D6392" s="3">
        <v>0.0</v>
      </c>
      <c r="E6392" s="3">
        <v>0.0</v>
      </c>
      <c r="F6392" s="3" t="s">
        <v>18371</v>
      </c>
      <c r="G6392" s="3">
        <v>1.0</v>
      </c>
      <c r="H6392" s="3">
        <v>0.0</v>
      </c>
      <c r="I6392" s="3" t="s">
        <v>13</v>
      </c>
      <c r="J6392" s="3" t="s">
        <v>18372</v>
      </c>
      <c r="K6392" s="3" t="s">
        <v>484</v>
      </c>
      <c r="L6392" s="3" t="str">
        <f>IFERROR(__xludf.DUMMYFUNCTION("GOOGLETRANSLATE(F6392,""id"",""en"")"),"The final of the most exciting year when Argentina France but the final I liked the most time for Germany World Champion Wkwwk")</f>
        <v>The final of the most exciting year when Argentina France but the final I liked the most time for Germany World Champion Wkwwk</v>
      </c>
    </row>
    <row r="6393" ht="15.75" customHeight="1">
      <c r="A6393" s="1">
        <v>7586.0</v>
      </c>
      <c r="B6393" s="3" t="s">
        <v>18373</v>
      </c>
      <c r="C6393" s="3">
        <v>0.0</v>
      </c>
      <c r="D6393" s="3">
        <v>1.0</v>
      </c>
      <c r="E6393" s="3">
        <v>6.0</v>
      </c>
      <c r="F6393" s="3" t="s">
        <v>17775</v>
      </c>
      <c r="G6393" s="3">
        <v>0.0</v>
      </c>
      <c r="H6393" s="3">
        <v>0.0</v>
      </c>
      <c r="I6393" s="3" t="s">
        <v>13</v>
      </c>
      <c r="J6393" s="3" t="s">
        <v>17776</v>
      </c>
      <c r="K6393" s="3" t="s">
        <v>495</v>
      </c>
      <c r="L6393" s="3" t="str">
        <f>IFERROR(__xludf.DUMMYFUNCTION("GOOGLETRANSLATE(F6393,""id"",""en"")"),"Manchester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394" ht="15.75" customHeight="1">
      <c r="A6394" s="1">
        <v>7587.0</v>
      </c>
      <c r="B6394" s="3" t="s">
        <v>18374</v>
      </c>
      <c r="C6394" s="3">
        <v>0.0</v>
      </c>
      <c r="D6394" s="3">
        <v>0.0</v>
      </c>
      <c r="E6394" s="3">
        <v>0.0</v>
      </c>
      <c r="F6394" s="3" t="s">
        <v>18375</v>
      </c>
      <c r="G6394" s="3">
        <v>0.0</v>
      </c>
      <c r="H6394" s="3">
        <v>0.0</v>
      </c>
      <c r="I6394" s="3" t="s">
        <v>13</v>
      </c>
      <c r="J6394" s="3" t="s">
        <v>18376</v>
      </c>
      <c r="K6394" s="3" t="s">
        <v>2215</v>
      </c>
      <c r="L6394" s="3" t="str">
        <f>IFERROR(__xludf.DUMMYFUNCTION("GOOGLETRANSLATE(F6394,""id"",""en"")"),"so that what is the fried fried pildun already passed Argentina already champions interesting facts, what is not interesting")</f>
        <v>so that what is the fried fried pildun already passed Argentina already champions interesting facts, what is not interesting</v>
      </c>
    </row>
    <row r="6395" ht="15.75" customHeight="1">
      <c r="A6395" s="1">
        <v>7588.0</v>
      </c>
      <c r="B6395" s="3" t="s">
        <v>18377</v>
      </c>
      <c r="C6395" s="3">
        <v>0.0</v>
      </c>
      <c r="D6395" s="3">
        <v>0.0</v>
      </c>
      <c r="E6395" s="3">
        <v>4.0</v>
      </c>
      <c r="F6395" s="3" t="s">
        <v>17775</v>
      </c>
      <c r="G6395" s="3">
        <v>0.0</v>
      </c>
      <c r="H6395" s="3">
        <v>0.0</v>
      </c>
      <c r="I6395" s="3" t="s">
        <v>13</v>
      </c>
      <c r="J6395" s="3" t="s">
        <v>17776</v>
      </c>
      <c r="K6395" s="3" t="s">
        <v>495</v>
      </c>
      <c r="L6395" s="3" t="str">
        <f>IFERROR(__xludf.DUMMYFUNCTION("GOOGLETRANSLATE(F6395,""id"",""en"")"),"Manchester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396" ht="15.75" customHeight="1">
      <c r="A6396" s="1">
        <v>7589.0</v>
      </c>
      <c r="B6396" s="3" t="s">
        <v>18378</v>
      </c>
      <c r="C6396" s="3">
        <v>0.0</v>
      </c>
      <c r="D6396" s="3">
        <v>1.0</v>
      </c>
      <c r="E6396" s="3">
        <v>1.0</v>
      </c>
      <c r="F6396" s="3" t="s">
        <v>18379</v>
      </c>
      <c r="G6396" s="3">
        <v>0.2</v>
      </c>
      <c r="H6396" s="3">
        <v>-0.1</v>
      </c>
      <c r="I6396" s="3" t="s">
        <v>179</v>
      </c>
      <c r="J6396" s="3" t="s">
        <v>18380</v>
      </c>
      <c r="K6396" s="3" t="s">
        <v>614</v>
      </c>
      <c r="L6396" s="3" t="str">
        <f>IFERROR(__xludf.DUMMYFUNCTION("GOOGLETRANSLATE(F6396,""id"",""en"")"),"That's the setting and even a classmate Pep just know that Argentina is one of the favorite candidates for champions since the Copa America Argentina the team was different from the first and mental stable")</f>
        <v>That's the setting and even a classmate Pep just know that Argentina is one of the favorite candidates for champions since the Copa America Argentina the team was different from the first and mental stable</v>
      </c>
    </row>
    <row r="6397" ht="15.75" customHeight="1">
      <c r="A6397" s="1">
        <v>7590.0</v>
      </c>
      <c r="B6397" s="3" t="s">
        <v>18381</v>
      </c>
      <c r="C6397" s="3">
        <v>1.0</v>
      </c>
      <c r="D6397" s="3">
        <v>1.0</v>
      </c>
      <c r="E6397" s="3">
        <v>0.0</v>
      </c>
      <c r="F6397" s="3" t="s">
        <v>18382</v>
      </c>
      <c r="G6397" s="3">
        <v>0.0</v>
      </c>
      <c r="H6397" s="3">
        <v>0.0</v>
      </c>
      <c r="I6397" s="3" t="s">
        <v>13</v>
      </c>
      <c r="J6397" s="3" t="s">
        <v>18383</v>
      </c>
      <c r="K6397" s="3" t="s">
        <v>574</v>
      </c>
      <c r="L6397" s="3" t="str">
        <f>IFERROR(__xludf.DUMMYFUNCTION("GOOGLETRANSLATE(F6397,""id"",""en"")"),"Hundreds of kilos of meat brought by the Argentina Qatar Team, who regulates, is considered like a staff or official team of the team because he one provides the nutrition of the player to remain in performance and champion")</f>
        <v>Hundreds of kilos of meat brought by the Argentina Qatar Team, who regulates, is considered like a staff or official team of the team because he one provides the nutrition of the player to remain in performance and champion</v>
      </c>
    </row>
    <row r="6398" ht="15.75" customHeight="1">
      <c r="A6398" s="1">
        <v>7591.0</v>
      </c>
      <c r="B6398" s="3" t="s">
        <v>18384</v>
      </c>
      <c r="C6398" s="3">
        <v>1.0</v>
      </c>
      <c r="D6398" s="3">
        <v>0.0</v>
      </c>
      <c r="E6398" s="3">
        <v>0.0</v>
      </c>
      <c r="F6398" s="3" t="s">
        <v>18385</v>
      </c>
      <c r="G6398" s="3">
        <v>0.0</v>
      </c>
      <c r="H6398" s="3">
        <v>0.0</v>
      </c>
      <c r="I6398" s="3" t="s">
        <v>13</v>
      </c>
      <c r="J6398" s="3" t="s">
        <v>18386</v>
      </c>
      <c r="K6398" s="3" t="s">
        <v>3497</v>
      </c>
      <c r="L6398" s="3" t="str">
        <f>IFERROR(__xludf.DUMMYFUNCTION("GOOGLETRANSLATE(F6398,""id"",""en"")"),"Idih because of Argentina Champion")</f>
        <v>Idih because of Argentina Champion</v>
      </c>
    </row>
    <row r="6399" ht="15.75" customHeight="1">
      <c r="A6399" s="1">
        <v>7592.0</v>
      </c>
      <c r="B6399" s="3" t="s">
        <v>18387</v>
      </c>
      <c r="C6399" s="3">
        <v>0.0</v>
      </c>
      <c r="D6399" s="3">
        <v>0.0</v>
      </c>
      <c r="E6399" s="3">
        <v>0.0</v>
      </c>
      <c r="F6399" s="3" t="s">
        <v>17775</v>
      </c>
      <c r="G6399" s="3">
        <v>0.0</v>
      </c>
      <c r="H6399" s="3">
        <v>0.0</v>
      </c>
      <c r="I6399" s="3" t="s">
        <v>13</v>
      </c>
      <c r="J6399" s="3" t="s">
        <v>17776</v>
      </c>
      <c r="K6399" s="3" t="s">
        <v>495</v>
      </c>
      <c r="L6399" s="3" t="str">
        <f>IFERROR(__xludf.DUMMYFUNCTION("GOOGLETRANSLATE(F6399,""id"",""en"")"),"Manchester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400" ht="15.75" customHeight="1">
      <c r="A6400" s="1">
        <v>7593.0</v>
      </c>
      <c r="B6400" s="3" t="s">
        <v>18388</v>
      </c>
      <c r="C6400" s="3">
        <v>0.0</v>
      </c>
      <c r="D6400" s="3">
        <v>0.0</v>
      </c>
      <c r="E6400" s="3">
        <v>0.0</v>
      </c>
      <c r="F6400" s="3" t="s">
        <v>18389</v>
      </c>
      <c r="G6400" s="3">
        <v>0.0</v>
      </c>
      <c r="H6400" s="3">
        <v>0.0</v>
      </c>
      <c r="I6400" s="3" t="s">
        <v>13</v>
      </c>
      <c r="J6400" s="3" t="s">
        <v>18390</v>
      </c>
      <c r="K6400" s="3" t="s">
        <v>286</v>
      </c>
      <c r="L6400" s="3" t="str">
        <f>IFERROR(__xludf.DUMMYFUNCTION("GOOGLETRANSLATE(F6400,""id"",""en"")"),"Here is a block, tell me the initial tweet actually argues that the fact that the fact is Argentina, the champion, assisted by referees, is a proof of the referee, MIHAK ARGEN is arguably Ary")</f>
        <v>Here is a block, tell me the initial tweet actually argues that the fact that the fact is Argentina, the champion, assisted by referees, is a proof of the referee, MIHAK ARGEN is arguably Ary</v>
      </c>
    </row>
    <row r="6401" ht="15.75" customHeight="1">
      <c r="A6401" s="1">
        <v>7594.0</v>
      </c>
      <c r="B6401" s="3" t="s">
        <v>18391</v>
      </c>
      <c r="C6401" s="3">
        <v>0.0</v>
      </c>
      <c r="D6401" s="3">
        <v>0.0</v>
      </c>
      <c r="E6401" s="3">
        <v>0.0</v>
      </c>
      <c r="F6401" s="3" t="s">
        <v>18392</v>
      </c>
      <c r="G6401" s="3">
        <v>0.0</v>
      </c>
      <c r="H6401" s="3">
        <v>0.0</v>
      </c>
      <c r="I6401" s="3" t="s">
        <v>13</v>
      </c>
      <c r="J6401" s="3" t="s">
        <v>18393</v>
      </c>
      <c r="K6401" s="3" t="s">
        <v>3497</v>
      </c>
      <c r="L6401" s="3" t="str">
        <f>IFERROR(__xludf.DUMMYFUNCTION("GOOGLETRANSLATE(F6401,""id"",""en"")"),"Often champion and Argentina wkwk")</f>
        <v>Often champion and Argentina wkwk</v>
      </c>
    </row>
    <row r="6402" ht="15.75" customHeight="1">
      <c r="A6402" s="1">
        <v>7595.0</v>
      </c>
      <c r="B6402" s="3" t="s">
        <v>18394</v>
      </c>
      <c r="C6402" s="3">
        <v>0.0</v>
      </c>
      <c r="D6402" s="3">
        <v>0.0</v>
      </c>
      <c r="E6402" s="3">
        <v>0.0</v>
      </c>
      <c r="F6402" s="3" t="s">
        <v>18395</v>
      </c>
      <c r="G6402" s="3">
        <v>0.0</v>
      </c>
      <c r="H6402" s="3">
        <v>0.0</v>
      </c>
      <c r="I6402" s="3" t="s">
        <v>13</v>
      </c>
      <c r="J6402" s="3" t="s">
        <v>18396</v>
      </c>
      <c r="K6402" s="3" t="s">
        <v>19</v>
      </c>
      <c r="L6402" s="3" t="str">
        <f>IFERROR(__xludf.DUMMYFUNCTION("GOOGLETRANSLATE(F6402,""id"",""en"")"),"champion Pilduun is okay but excessive like this, because it supports Argentina because the attitude is sorry right")</f>
        <v>champion Pilduun is okay but excessive like this, because it supports Argentina because the attitude is sorry right</v>
      </c>
    </row>
    <row r="6403" ht="15.75" customHeight="1">
      <c r="A6403" s="1">
        <v>7597.0</v>
      </c>
      <c r="B6403" s="3" t="s">
        <v>18397</v>
      </c>
      <c r="C6403" s="3">
        <v>0.0</v>
      </c>
      <c r="D6403" s="3">
        <v>0.0</v>
      </c>
      <c r="E6403" s="3">
        <v>7.0</v>
      </c>
      <c r="F6403" s="3" t="s">
        <v>18398</v>
      </c>
      <c r="G6403" s="3">
        <v>0.0</v>
      </c>
      <c r="H6403" s="3">
        <v>0.0</v>
      </c>
      <c r="I6403" s="3" t="s">
        <v>13</v>
      </c>
      <c r="J6403" s="3" t="s">
        <v>18399</v>
      </c>
      <c r="K6403" s="3" t="s">
        <v>348</v>
      </c>
      <c r="L6403" s="3" t="str">
        <f>IFERROR(__xludf.DUMMYFUNCTION("GOOGLETRANSLATE(F6403,""id"",""en"")"),"Messi Successfully Bring Argentina The Brazilian World Cup champion joined in happy federation of state soccer from Rio Janeiro want to capture his footprints")</f>
        <v>Messi Successfully Bring Argentina The Brazilian World Cup champion joined in happy federation of state soccer from Rio Janeiro want to capture his footprints</v>
      </c>
    </row>
    <row r="6404" ht="15.75" customHeight="1">
      <c r="A6404" s="1">
        <v>7598.0</v>
      </c>
      <c r="B6404" s="3" t="s">
        <v>18400</v>
      </c>
      <c r="C6404" s="3">
        <v>0.0</v>
      </c>
      <c r="D6404" s="3">
        <v>0.0</v>
      </c>
      <c r="E6404" s="3">
        <v>0.0</v>
      </c>
      <c r="F6404" s="3" t="s">
        <v>18401</v>
      </c>
      <c r="G6404" s="3">
        <v>0.0</v>
      </c>
      <c r="H6404" s="3">
        <v>0.0</v>
      </c>
      <c r="I6404" s="3" t="s">
        <v>13</v>
      </c>
      <c r="J6404" s="3" t="s">
        <v>18402</v>
      </c>
      <c r="K6404" s="3" t="s">
        <v>610</v>
      </c>
      <c r="L6404" s="3" t="str">
        <f>IFERROR(__xludf.DUMMYFUNCTION("GOOGLETRANSLATE(F6404,""id"",""en"")"),"Viral Celebration of Argentina Victory Buenos Aires changed to a disaster for the celebration of Argentina's victory as the World Cup Buenos Aires champion changed to the disaster of the celebration.")</f>
        <v>Viral Celebration of Argentina Victory Buenos Aires changed to a disaster for the celebration of Argentina's victory as the World Cup Buenos Aires champion changed to the disaster of the celebration.</v>
      </c>
    </row>
    <row r="6405" ht="15.75" customHeight="1">
      <c r="A6405" s="1">
        <v>7599.0</v>
      </c>
      <c r="B6405" s="3" t="s">
        <v>18403</v>
      </c>
      <c r="C6405" s="3">
        <v>7.0</v>
      </c>
      <c r="D6405" s="3">
        <v>2.0</v>
      </c>
      <c r="E6405" s="3">
        <v>23.0</v>
      </c>
      <c r="F6405" s="3" t="s">
        <v>18404</v>
      </c>
      <c r="G6405" s="3">
        <v>0.0</v>
      </c>
      <c r="H6405" s="3">
        <v>0.0</v>
      </c>
      <c r="I6405" s="3" t="s">
        <v>13</v>
      </c>
      <c r="J6405" s="3" t="s">
        <v>18405</v>
      </c>
      <c r="K6405" s="3" t="s">
        <v>90</v>
      </c>
      <c r="L6405" s="3" t="str">
        <f>IFERROR(__xludf.DUMMYFUNCTION("GOOGLETRANSLATE(F6405,""id"",""en"")"),"Emiliano Martinez continued to tease Kylian Mbappe after Argentina champions of the French striker The French Striker remained calm and seemed cold to respond to it")</f>
        <v>Emiliano Martinez continued to tease Kylian Mbappe after Argentina champions of the French striker The French Striker remained calm and seemed cold to respond to it</v>
      </c>
    </row>
    <row r="6406" ht="15.75" customHeight="1">
      <c r="A6406" s="1">
        <v>7600.0</v>
      </c>
      <c r="B6406" s="3" t="s">
        <v>18406</v>
      </c>
      <c r="C6406" s="3">
        <v>0.0</v>
      </c>
      <c r="D6406" s="3">
        <v>0.0</v>
      </c>
      <c r="E6406" s="3">
        <v>0.0</v>
      </c>
      <c r="F6406" s="3" t="s">
        <v>18407</v>
      </c>
      <c r="G6406" s="3">
        <v>0.0</v>
      </c>
      <c r="H6406" s="3">
        <v>0.0</v>
      </c>
      <c r="I6406" s="3" t="s">
        <v>13</v>
      </c>
      <c r="J6406" s="3" t="s">
        <v>18408</v>
      </c>
      <c r="K6406" s="3" t="s">
        <v>510</v>
      </c>
      <c r="L6406" s="3" t="str">
        <f>IFERROR(__xludf.DUMMYFUNCTION("GOOGLETRANSLATE(F6406,""id"",""en"")"),"Argentina finally successfully won the World Cup then how the team's statistics nicknamed Albiceleste")</f>
        <v>Argentina finally successfully won the World Cup then how the team's statistics nicknamed Albiceleste</v>
      </c>
    </row>
    <row r="6407" ht="15.75" customHeight="1">
      <c r="A6407" s="1">
        <v>7601.0</v>
      </c>
      <c r="B6407" s="3" t="s">
        <v>18409</v>
      </c>
      <c r="C6407" s="3">
        <v>1.0</v>
      </c>
      <c r="D6407" s="3">
        <v>0.0</v>
      </c>
      <c r="E6407" s="3">
        <v>1.0</v>
      </c>
      <c r="F6407" s="3" t="s">
        <v>18410</v>
      </c>
      <c r="G6407" s="3">
        <v>0.6</v>
      </c>
      <c r="H6407" s="3">
        <v>-0.3</v>
      </c>
      <c r="I6407" s="3" t="s">
        <v>179</v>
      </c>
      <c r="J6407" s="3" t="s">
        <v>18411</v>
      </c>
      <c r="K6407" s="3" t="s">
        <v>2117</v>
      </c>
      <c r="L6407" s="3" t="str">
        <f>IFERROR(__xludf.DUMMYFUNCTION("GOOGLETRANSLATE(F6407,""id"",""en"")"),"It's hard to answer")</f>
        <v>It's hard to answer</v>
      </c>
    </row>
    <row r="6408" ht="15.75" customHeight="1">
      <c r="A6408" s="1">
        <v>7602.0</v>
      </c>
      <c r="B6408" s="3" t="s">
        <v>18412</v>
      </c>
      <c r="C6408" s="3">
        <v>0.0</v>
      </c>
      <c r="D6408" s="3">
        <v>0.0</v>
      </c>
      <c r="E6408" s="3">
        <v>0.0</v>
      </c>
      <c r="F6408" s="3" t="s">
        <v>18413</v>
      </c>
      <c r="G6408" s="3">
        <v>0.0</v>
      </c>
      <c r="H6408" s="3">
        <v>0.0</v>
      </c>
      <c r="I6408" s="3" t="s">
        <v>13</v>
      </c>
      <c r="J6408" s="3" t="s">
        <v>18414</v>
      </c>
      <c r="K6408" s="3" t="s">
        <v>82</v>
      </c>
      <c r="L6408" s="3" t="str">
        <f>IFERROR(__xludf.DUMMYFUNCTION("GOOGLETRANSLATE(F6408,""id"",""en"")"),"Sand Herdians if there isn't one Save, Argentina is not champion")</f>
        <v>Sand Herdians if there isn't one Save, Argentina is not champion</v>
      </c>
    </row>
    <row r="6409" ht="15.75" customHeight="1">
      <c r="A6409" s="1">
        <v>7603.0</v>
      </c>
      <c r="B6409" s="3" t="s">
        <v>18415</v>
      </c>
      <c r="C6409" s="3">
        <v>0.0</v>
      </c>
      <c r="D6409" s="3">
        <v>0.0</v>
      </c>
      <c r="E6409" s="3">
        <v>1.0</v>
      </c>
      <c r="F6409" s="3" t="s">
        <v>18416</v>
      </c>
      <c r="G6409" s="3">
        <v>1.0</v>
      </c>
      <c r="H6409" s="3">
        <v>0.0</v>
      </c>
      <c r="I6409" s="3" t="s">
        <v>13</v>
      </c>
      <c r="J6409" s="3" t="s">
        <v>18417</v>
      </c>
      <c r="K6409" s="3" t="s">
        <v>131</v>
      </c>
      <c r="L6409" s="3" t="str">
        <f>IFERROR(__xludf.DUMMYFUNCTION("GOOGLETRANSLATE(F6409,""id"",""en"")"),"The final is exciting Argentina France but the final Brazil French in my opinion is interesting because there is a surprise but the final I like to be clear because the Azzuri world champion")</f>
        <v>The final is exciting Argentina France but the final Brazil French in my opinion is interesting because there is a surprise but the final I like to be clear because the Azzuri world champion</v>
      </c>
    </row>
    <row r="6410" ht="15.75" customHeight="1">
      <c r="A6410" s="1">
        <v>7604.0</v>
      </c>
      <c r="B6410" s="3" t="s">
        <v>18418</v>
      </c>
      <c r="C6410" s="3">
        <v>0.0</v>
      </c>
      <c r="D6410" s="3">
        <v>0.0</v>
      </c>
      <c r="E6410" s="3">
        <v>0.0</v>
      </c>
      <c r="F6410" s="3" t="s">
        <v>18419</v>
      </c>
      <c r="G6410" s="3">
        <v>0.2333333333333333</v>
      </c>
      <c r="H6410" s="3">
        <v>-0.25</v>
      </c>
      <c r="I6410" s="3" t="s">
        <v>179</v>
      </c>
      <c r="J6410" s="3" t="s">
        <v>18420</v>
      </c>
      <c r="K6410" s="3" t="s">
        <v>41</v>
      </c>
      <c r="L6410" s="3" t="str">
        <f>IFERROR(__xludf.DUMMYFUNCTION("GOOGLETRANSLATE(F6410,""id"",""en"")"),"World Cup Champion Parade Argentine goalkeeper again mocking Kylian Mbappe")</f>
        <v>World Cup Champion Parade Argentine goalkeeper again mocking Kylian Mbappe</v>
      </c>
    </row>
    <row r="6411" ht="15.75" customHeight="1">
      <c r="A6411" s="1">
        <v>7605.0</v>
      </c>
      <c r="B6411" s="3" t="s">
        <v>18421</v>
      </c>
      <c r="C6411" s="3">
        <v>1.0</v>
      </c>
      <c r="D6411" s="3">
        <v>0.0</v>
      </c>
      <c r="E6411" s="3">
        <v>3.0</v>
      </c>
      <c r="F6411" s="3" t="s">
        <v>18422</v>
      </c>
      <c r="G6411" s="3">
        <v>0.0</v>
      </c>
      <c r="H6411" s="3">
        <v>0.0</v>
      </c>
      <c r="I6411" s="3" t="s">
        <v>13</v>
      </c>
      <c r="J6411" s="3" t="s">
        <v>18423</v>
      </c>
      <c r="K6411" s="3" t="s">
        <v>1293</v>
      </c>
      <c r="L6411" s="3" t="str">
        <f>IFERROR(__xludf.DUMMYFUNCTION("GOOGLETRANSLATE(F6411,""id"",""en"")"),"Albiceleste is there a football karma for Argentina that is more painful than seeing Messi ending his career without becoming a World Cup champion for me as Messi's fan maybe not")</f>
        <v>Albiceleste is there a football karma for Argentina that is more painful than seeing Messi ending his career without becoming a World Cup champion for me as Messi's fan maybe not</v>
      </c>
    </row>
    <row r="6412" ht="15.75" customHeight="1">
      <c r="A6412" s="1">
        <v>7606.0</v>
      </c>
      <c r="B6412" s="3" t="s">
        <v>18424</v>
      </c>
      <c r="C6412" s="3">
        <v>0.0</v>
      </c>
      <c r="D6412" s="3">
        <v>0.0</v>
      </c>
      <c r="E6412" s="3">
        <v>0.0</v>
      </c>
      <c r="F6412" s="3" t="s">
        <v>18425</v>
      </c>
      <c r="G6412" s="3">
        <v>0.2333333333333333</v>
      </c>
      <c r="H6412" s="3">
        <v>-0.25</v>
      </c>
      <c r="I6412" s="3" t="s">
        <v>179</v>
      </c>
      <c r="J6412" s="3" t="s">
        <v>18426</v>
      </c>
      <c r="K6412" s="3" t="s">
        <v>910</v>
      </c>
      <c r="L6412" s="3" t="str">
        <f>IFERROR(__xludf.DUMMYFUNCTION("GOOGLETRANSLATE(F6412,""id"",""en"")"),"Info on Argentine Parade Ball World Champion caused one person to death and five years in a coma team was evacuated with a helicopter after the fans jumped the bus and hijacked a police car while millions of people packed the road for the parade")</f>
        <v>Info on Argentine Parade Ball World Champion caused one person to death and five years in a coma team was evacuated with a helicopter after the fans jumped the bus and hijacked a police car while millions of people packed the road for the parade</v>
      </c>
    </row>
    <row r="6413" ht="15.75" customHeight="1">
      <c r="A6413" s="1">
        <v>7607.0</v>
      </c>
      <c r="B6413" s="3" t="s">
        <v>18427</v>
      </c>
      <c r="C6413" s="3">
        <v>0.0</v>
      </c>
      <c r="D6413" s="3">
        <v>0.0</v>
      </c>
      <c r="E6413" s="3">
        <v>0.0</v>
      </c>
      <c r="F6413" s="3" t="s">
        <v>18428</v>
      </c>
      <c r="G6413" s="3">
        <v>0.0</v>
      </c>
      <c r="H6413" s="3">
        <v>0.0</v>
      </c>
      <c r="I6413" s="3" t="s">
        <v>13</v>
      </c>
      <c r="J6413" s="3" t="s">
        <v>18429</v>
      </c>
      <c r="K6413" s="3" t="s">
        <v>3819</v>
      </c>
      <c r="L6413" s="3" t="str">
        <f>IFERROR(__xludf.DUMMYFUNCTION("GOOGLETRANSLATE(F6413,""id"",""en"")"),"How do you support Heylaw, you support who is Argentina or France, congratulations to Argantina for the victory of the World Cup. Congratulations, for your Heylaw friend, you are also champions in our hearts, the proof is as much as the decision")</f>
        <v>How do you support Heylaw, you support who is Argentina or France, congratulations to Argantina for the victory of the World Cup. Congratulations, for your Heylaw friend, you are also champions in our hearts, the proof is as much as the decision</v>
      </c>
    </row>
    <row r="6414" ht="15.75" customHeight="1">
      <c r="A6414" s="1">
        <v>7608.0</v>
      </c>
      <c r="B6414" s="3" t="s">
        <v>18430</v>
      </c>
      <c r="C6414" s="3">
        <v>0.0</v>
      </c>
      <c r="D6414" s="3">
        <v>0.0</v>
      </c>
      <c r="E6414" s="3">
        <v>0.0</v>
      </c>
      <c r="F6414" s="3" t="s">
        <v>18431</v>
      </c>
      <c r="G6414" s="3">
        <v>0.0</v>
      </c>
      <c r="H6414" s="3">
        <v>0.0</v>
      </c>
      <c r="I6414" s="3" t="s">
        <v>13</v>
      </c>
      <c r="J6414" s="3" t="s">
        <v>18432</v>
      </c>
      <c r="K6414" s="3" t="s">
        <v>50</v>
      </c>
      <c r="L6414" s="3" t="str">
        <f>IFERROR(__xludf.DUMMYFUNCTION("GOOGLETRANSLATE(F6414,""id"",""en"")"),"Lionel Messi brought Argentina World Cup champion Piers Morgan he began to arrogant")</f>
        <v>Lionel Messi brought Argentina World Cup champion Piers Morgan he began to arrogant</v>
      </c>
    </row>
    <row r="6415" ht="15.75" customHeight="1">
      <c r="A6415" s="1">
        <v>7609.0</v>
      </c>
      <c r="B6415" s="3" t="s">
        <v>18433</v>
      </c>
      <c r="C6415" s="3">
        <v>1.0</v>
      </c>
      <c r="D6415" s="3">
        <v>0.0</v>
      </c>
      <c r="E6415" s="3">
        <v>0.0</v>
      </c>
      <c r="F6415" s="3" t="s">
        <v>18434</v>
      </c>
      <c r="G6415" s="3">
        <v>0.0</v>
      </c>
      <c r="H6415" s="3">
        <v>0.0</v>
      </c>
      <c r="I6415" s="3" t="s">
        <v>13</v>
      </c>
      <c r="J6415" s="3" t="s">
        <v>18435</v>
      </c>
      <c r="K6415" s="3" t="s">
        <v>50</v>
      </c>
      <c r="L6415" s="3" t="str">
        <f>IFERROR(__xludf.DUMMYFUNCTION("GOOGLETRANSLATE(F6415,""id"",""en"")"),"Today my gums are sick, it's still grinning because Argentina is champion")</f>
        <v>Today my gums are sick, it's still grinning because Argentina is champion</v>
      </c>
    </row>
    <row r="6416" ht="15.75" customHeight="1">
      <c r="A6416" s="1">
        <v>7610.0</v>
      </c>
      <c r="B6416" s="3" t="s">
        <v>18436</v>
      </c>
      <c r="C6416" s="3">
        <v>0.0</v>
      </c>
      <c r="D6416" s="3">
        <v>0.0</v>
      </c>
      <c r="E6416" s="3">
        <v>0.0</v>
      </c>
      <c r="F6416" s="3" t="s">
        <v>18437</v>
      </c>
      <c r="G6416" s="3">
        <v>0.0</v>
      </c>
      <c r="H6416" s="3">
        <v>0.0</v>
      </c>
      <c r="I6416" s="3" t="s">
        <v>13</v>
      </c>
      <c r="J6416" s="3" t="s">
        <v>18438</v>
      </c>
      <c r="K6416" s="3" t="s">
        <v>19</v>
      </c>
      <c r="L6416" s="3" t="str">
        <f>IFERROR(__xludf.DUMMYFUNCTION("GOOGLETRANSLATE(F6416,""id"",""en"")"),"there is a bang wkwkwk defending even when the Argentina champion KMren is said to be setting")</f>
        <v>there is a bang wkwkwk defending even when the Argentina champion KMren is said to be setting</v>
      </c>
    </row>
    <row r="6417" ht="15.75" customHeight="1">
      <c r="A6417" s="1">
        <v>7611.0</v>
      </c>
      <c r="B6417" s="3" t="s">
        <v>18439</v>
      </c>
      <c r="C6417" s="3">
        <v>0.0</v>
      </c>
      <c r="D6417" s="3">
        <v>0.0</v>
      </c>
      <c r="E6417" s="3">
        <v>1.0</v>
      </c>
      <c r="F6417" s="3" t="s">
        <v>18440</v>
      </c>
      <c r="G6417" s="3">
        <v>0.0</v>
      </c>
      <c r="H6417" s="3">
        <v>0.0</v>
      </c>
      <c r="I6417" s="3" t="s">
        <v>13</v>
      </c>
      <c r="J6417" s="3" t="s">
        <v>18441</v>
      </c>
      <c r="K6417" s="3" t="s">
        <v>358</v>
      </c>
      <c r="L6417" s="3" t="str">
        <f>IFERROR(__xludf.DUMMYFUNCTION("GOOGLETRANSLATE(F6417,""id"",""en"")"),"You are not familiar with even a country, not having the blood of Argentine descent, not pretentious to be happy if Indonesia is a reasonable champion")</f>
        <v>You are not familiar with even a country, not having the blood of Argentine descent, not pretentious to be happy if Indonesia is a reasonable champion</v>
      </c>
    </row>
    <row r="6418" ht="15.75" customHeight="1">
      <c r="A6418" s="1">
        <v>7612.0</v>
      </c>
      <c r="B6418" s="3" t="s">
        <v>18442</v>
      </c>
      <c r="C6418" s="3">
        <v>0.0</v>
      </c>
      <c r="D6418" s="3">
        <v>0.0</v>
      </c>
      <c r="E6418" s="3">
        <v>7.0</v>
      </c>
      <c r="F6418" s="3" t="s">
        <v>18404</v>
      </c>
      <c r="G6418" s="3">
        <v>0.0</v>
      </c>
      <c r="H6418" s="3">
        <v>0.0</v>
      </c>
      <c r="I6418" s="3" t="s">
        <v>13</v>
      </c>
      <c r="J6418" s="3" t="s">
        <v>18405</v>
      </c>
      <c r="K6418" s="3" t="s">
        <v>90</v>
      </c>
      <c r="L6418" s="3" t="str">
        <f>IFERROR(__xludf.DUMMYFUNCTION("GOOGLETRANSLATE(F6418,""id"",""en"")"),"Emiliano Martinez continued to tease Kylian Mbappe after Argentina champions of the French striker The French Striker remained calm and seemed cold to respond to it")</f>
        <v>Emiliano Martinez continued to tease Kylian Mbappe after Argentina champions of the French striker The French Striker remained calm and seemed cold to respond to it</v>
      </c>
    </row>
    <row r="6419" ht="15.75" customHeight="1">
      <c r="A6419" s="1">
        <v>7613.0</v>
      </c>
      <c r="B6419" s="3" t="s">
        <v>18443</v>
      </c>
      <c r="C6419" s="3">
        <v>0.0</v>
      </c>
      <c r="D6419" s="3">
        <v>0.0</v>
      </c>
      <c r="E6419" s="3">
        <v>0.0</v>
      </c>
      <c r="F6419" s="3" t="s">
        <v>18444</v>
      </c>
      <c r="G6419" s="3">
        <v>1.0</v>
      </c>
      <c r="H6419" s="3">
        <v>0.8</v>
      </c>
      <c r="I6419" s="3" t="s">
        <v>48</v>
      </c>
      <c r="J6419" s="3" t="s">
        <v>18445</v>
      </c>
      <c r="K6419" s="3" t="s">
        <v>15</v>
      </c>
      <c r="L6419" s="3" t="str">
        <f>IFERROR(__xludf.DUMMYFUNCTION("GOOGLETRANSLATE(F6419,""id"",""en"")"),"Aing Happy Messi Argentina Champion but goalkeeper jiga taik")</f>
        <v>Aing Happy Messi Argentina Champion but goalkeeper jiga taik</v>
      </c>
    </row>
    <row r="6420" ht="15.75" customHeight="1">
      <c r="A6420" s="1">
        <v>7614.0</v>
      </c>
      <c r="B6420" s="3" t="s">
        <v>18446</v>
      </c>
      <c r="C6420" s="3">
        <v>1.0</v>
      </c>
      <c r="D6420" s="3">
        <v>0.0</v>
      </c>
      <c r="E6420" s="3">
        <v>2.0</v>
      </c>
      <c r="F6420" s="3" t="s">
        <v>18447</v>
      </c>
      <c r="G6420" s="3">
        <v>0.2333333333333333</v>
      </c>
      <c r="H6420" s="3">
        <v>-0.25</v>
      </c>
      <c r="I6420" s="3" t="s">
        <v>179</v>
      </c>
      <c r="J6420" s="3" t="s">
        <v>18448</v>
      </c>
      <c r="K6420" s="3" t="s">
        <v>127</v>
      </c>
      <c r="L6420" s="3" t="str">
        <f>IFERROR(__xludf.DUMMYFUNCTION("GOOGLETRANSLATE(F6420,""id"",""en"")"),"The World Cup Champion Parade Buenos Aires Argentina ended rioted by Lionel Messi's fans to clash with local police")</f>
        <v>The World Cup Champion Parade Buenos Aires Argentina ended rioted by Lionel Messi's fans to clash with local police</v>
      </c>
    </row>
    <row r="6421" ht="15.75" customHeight="1">
      <c r="A6421" s="1">
        <v>7615.0</v>
      </c>
      <c r="B6421" s="3" t="s">
        <v>18449</v>
      </c>
      <c r="C6421" s="3">
        <v>0.0</v>
      </c>
      <c r="D6421" s="3">
        <v>0.0</v>
      </c>
      <c r="E6421" s="3">
        <v>0.0</v>
      </c>
      <c r="F6421" s="3" t="s">
        <v>18450</v>
      </c>
      <c r="G6421" s="3">
        <v>0.0</v>
      </c>
      <c r="H6421" s="3">
        <v>0.0</v>
      </c>
      <c r="I6421" s="3" t="s">
        <v>13</v>
      </c>
      <c r="J6421" s="3" t="s">
        <v>18451</v>
      </c>
      <c r="K6421" s="3" t="s">
        <v>50</v>
      </c>
      <c r="L6421" s="3" t="str">
        <f>IFERROR(__xludf.DUMMYFUNCTION("GOOGLETRANSLATE(F6421,""id"",""en"")"),"Emiliano Martinez Carrying Mbappe Baby Dolls at the Argentine Championship Celebration")</f>
        <v>Emiliano Martinez Carrying Mbappe Baby Dolls at the Argentine Championship Celebration</v>
      </c>
    </row>
    <row r="6422" ht="15.75" customHeight="1">
      <c r="A6422" s="1">
        <v>7616.0</v>
      </c>
      <c r="B6422" s="3" t="s">
        <v>18452</v>
      </c>
      <c r="C6422" s="3">
        <v>0.0</v>
      </c>
      <c r="D6422" s="3">
        <v>1.0</v>
      </c>
      <c r="E6422" s="3">
        <v>2.0</v>
      </c>
      <c r="F6422" s="3" t="s">
        <v>18404</v>
      </c>
      <c r="G6422" s="3">
        <v>0.0</v>
      </c>
      <c r="H6422" s="3">
        <v>0.0</v>
      </c>
      <c r="I6422" s="3" t="s">
        <v>13</v>
      </c>
      <c r="J6422" s="3" t="s">
        <v>18405</v>
      </c>
      <c r="K6422" s="3" t="s">
        <v>90</v>
      </c>
      <c r="L6422" s="3" t="str">
        <f>IFERROR(__xludf.DUMMYFUNCTION("GOOGLETRANSLATE(F6422,""id"",""en"")"),"Emiliano Martinez continued to tease Kylian Mbappe after Argentina champions of the French striker The French Striker remained calm and seemed cold to respond to it")</f>
        <v>Emiliano Martinez continued to tease Kylian Mbappe after Argentina champions of the French striker The French Striker remained calm and seemed cold to respond to it</v>
      </c>
    </row>
    <row r="6423" ht="15.75" customHeight="1">
      <c r="A6423" s="1">
        <v>7617.0</v>
      </c>
      <c r="B6423" s="3" t="s">
        <v>18453</v>
      </c>
      <c r="C6423" s="3">
        <v>0.0</v>
      </c>
      <c r="D6423" s="3">
        <v>0.0</v>
      </c>
      <c r="E6423" s="3">
        <v>0.0</v>
      </c>
      <c r="F6423" s="3" t="s">
        <v>18454</v>
      </c>
      <c r="G6423" s="3">
        <v>0.0</v>
      </c>
      <c r="H6423" s="3">
        <v>0.0</v>
      </c>
      <c r="I6423" s="3" t="s">
        <v>13</v>
      </c>
      <c r="J6423" s="3" t="s">
        <v>18455</v>
      </c>
      <c r="K6423" s="3" t="s">
        <v>1335</v>
      </c>
      <c r="L6423" s="3" t="str">
        <f>IFERROR(__xludf.DUMMYFUNCTION("GOOGLETRANSLATE(F6423,""id"",""en"")"),"When Germany Champion and Argentina Champion Seruuuu")</f>
        <v>When Germany Champion and Argentina Champion Seruuuu</v>
      </c>
    </row>
    <row r="6424" ht="15.75" customHeight="1">
      <c r="A6424" s="1">
        <v>7618.0</v>
      </c>
      <c r="B6424" s="3" t="s">
        <v>18456</v>
      </c>
      <c r="C6424" s="3">
        <v>0.0</v>
      </c>
      <c r="D6424" s="3">
        <v>0.0</v>
      </c>
      <c r="E6424" s="3">
        <v>0.0</v>
      </c>
      <c r="F6424" s="3" t="s">
        <v>18404</v>
      </c>
      <c r="G6424" s="3">
        <v>0.0</v>
      </c>
      <c r="H6424" s="3">
        <v>0.0</v>
      </c>
      <c r="I6424" s="3" t="s">
        <v>13</v>
      </c>
      <c r="J6424" s="3" t="s">
        <v>18405</v>
      </c>
      <c r="K6424" s="3" t="s">
        <v>90</v>
      </c>
      <c r="L6424" s="3" t="str">
        <f>IFERROR(__xludf.DUMMYFUNCTION("GOOGLETRANSLATE(F6424,""id"",""en"")"),"Emiliano Martinez continued to tease Kylian Mbappe after Argentina champions of the French striker The French Striker remained calm and seemed cold to respond to it")</f>
        <v>Emiliano Martinez continued to tease Kylian Mbappe after Argentina champions of the French striker The French Striker remained calm and seemed cold to respond to it</v>
      </c>
    </row>
    <row r="6425" ht="15.75" customHeight="1">
      <c r="A6425" s="1">
        <v>7619.0</v>
      </c>
      <c r="B6425" s="3" t="s">
        <v>18457</v>
      </c>
      <c r="C6425" s="3">
        <v>0.0</v>
      </c>
      <c r="D6425" s="3">
        <v>2.0</v>
      </c>
      <c r="E6425" s="3">
        <v>0.0</v>
      </c>
      <c r="F6425" s="3" t="s">
        <v>18458</v>
      </c>
      <c r="G6425" s="3">
        <v>0.0</v>
      </c>
      <c r="H6425" s="3">
        <v>0.0</v>
      </c>
      <c r="I6425" s="3" t="s">
        <v>13</v>
      </c>
      <c r="J6425" s="3" t="s">
        <v>18459</v>
      </c>
      <c r="K6425" s="3" t="s">
        <v>41</v>
      </c>
      <c r="L6425" s="3" t="str">
        <f>IFERROR(__xludf.DUMMYFUNCTION("GOOGLETRANSLATE(F6425,""id"",""en"")"),"Argentina Champion World Cup Piers Morgan Messi Arrogant and Excessive")</f>
        <v>Argentina Champion World Cup Piers Morgan Messi Arrogant and Excessive</v>
      </c>
    </row>
    <row r="6426" ht="15.75" customHeight="1">
      <c r="A6426" s="1">
        <v>7620.0</v>
      </c>
      <c r="B6426" s="3" t="s">
        <v>18460</v>
      </c>
      <c r="C6426" s="3">
        <v>0.0</v>
      </c>
      <c r="D6426" s="3">
        <v>0.0</v>
      </c>
      <c r="E6426" s="3">
        <v>2.0</v>
      </c>
      <c r="F6426" s="3" t="s">
        <v>18461</v>
      </c>
      <c r="G6426" s="3">
        <v>0.0</v>
      </c>
      <c r="H6426" s="3">
        <v>0.0</v>
      </c>
      <c r="I6426" s="3" t="s">
        <v>13</v>
      </c>
      <c r="J6426" s="3" t="s">
        <v>18462</v>
      </c>
      <c r="K6426" s="3" t="s">
        <v>699</v>
      </c>
      <c r="L6426" s="3" t="str">
        <f>IFERROR(__xludf.DUMMYFUNCTION("GOOGLETRANSLATE(F6426,""id"",""en"")"),"Albiceleste myself was sure that Argentina champions this year especially when they lost to the Saudi opponent, why would I even be more convinced that the hero was lost first")</f>
        <v>Albiceleste myself was sure that Argentina champions this year especially when they lost to the Saudi opponent, why would I even be more convinced that the hero was lost first</v>
      </c>
    </row>
    <row r="6427" ht="15.75" customHeight="1">
      <c r="A6427" s="1">
        <v>7621.0</v>
      </c>
      <c r="B6427" s="3" t="s">
        <v>18463</v>
      </c>
      <c r="C6427" s="3">
        <v>0.0</v>
      </c>
      <c r="D6427" s="3">
        <v>0.0</v>
      </c>
      <c r="E6427" s="3">
        <v>0.0</v>
      </c>
      <c r="F6427" s="3" t="s">
        <v>18464</v>
      </c>
      <c r="G6427" s="3">
        <v>0.0</v>
      </c>
      <c r="H6427" s="3">
        <v>0.0</v>
      </c>
      <c r="I6427" s="3" t="s">
        <v>13</v>
      </c>
      <c r="J6427" s="3" t="s">
        <v>18465</v>
      </c>
      <c r="K6427" s="3" t="s">
        <v>6117</v>
      </c>
      <c r="L6427" s="3" t="str">
        <f>IFERROR(__xludf.DUMMYFUNCTION("GOOGLETRANSLATE(F6427,""id"",""en"")"),"The Fact of World Cup Host the World Cup from the Asian Negata Champion is always from Latin Korean America Japan Brazil Qatar Argentina Brazil has won the world champion but never won its own country")</f>
        <v>The Fact of World Cup Host the World Cup from the Asian Negata Champion is always from Latin Korean America Japan Brazil Qatar Argentina Brazil has won the world champion but never won its own country</v>
      </c>
    </row>
    <row r="6428" ht="15.75" customHeight="1">
      <c r="A6428" s="1">
        <v>7622.0</v>
      </c>
      <c r="B6428" s="3" t="s">
        <v>18466</v>
      </c>
      <c r="C6428" s="3">
        <v>0.0</v>
      </c>
      <c r="D6428" s="3">
        <v>4.0</v>
      </c>
      <c r="E6428" s="3">
        <v>0.0</v>
      </c>
      <c r="F6428" s="3" t="s">
        <v>18419</v>
      </c>
      <c r="G6428" s="3">
        <v>0.2333333333333333</v>
      </c>
      <c r="H6428" s="3">
        <v>-0.25</v>
      </c>
      <c r="I6428" s="3" t="s">
        <v>179</v>
      </c>
      <c r="J6428" s="3" t="s">
        <v>18420</v>
      </c>
      <c r="K6428" s="3" t="s">
        <v>41</v>
      </c>
      <c r="L6428" s="3" t="str">
        <f>IFERROR(__xludf.DUMMYFUNCTION("GOOGLETRANSLATE(F6428,""id"",""en"")"),"World Cup Champion Parade Argentine goalkeeper again mocking Kylian Mbappe")</f>
        <v>World Cup Champion Parade Argentine goalkeeper again mocking Kylian Mbappe</v>
      </c>
    </row>
    <row r="6429" ht="15.75" customHeight="1">
      <c r="A6429" s="1">
        <v>7623.0</v>
      </c>
      <c r="B6429" s="3" t="s">
        <v>18467</v>
      </c>
      <c r="C6429" s="3">
        <v>0.0</v>
      </c>
      <c r="D6429" s="3">
        <v>0.0</v>
      </c>
      <c r="E6429" s="3">
        <v>0.0</v>
      </c>
      <c r="F6429" s="3" t="s">
        <v>18468</v>
      </c>
      <c r="G6429" s="3">
        <v>0.0</v>
      </c>
      <c r="H6429" s="3">
        <v>0.0</v>
      </c>
      <c r="I6429" s="3" t="s">
        <v>13</v>
      </c>
      <c r="J6429" s="3" t="s">
        <v>18469</v>
      </c>
      <c r="K6429" s="3" t="s">
        <v>54</v>
      </c>
      <c r="L6429" s="3" t="str">
        <f>IFERROR(__xludf.DUMMYFUNCTION("GOOGLETRANSLATE(F6429,""id"",""en"")"),"Seng Marai Argentina Champion Nek Iki")</f>
        <v>Seng Marai Argentina Champion Nek Iki</v>
      </c>
    </row>
    <row r="6430" ht="15.75" customHeight="1">
      <c r="A6430" s="1">
        <v>7624.0</v>
      </c>
      <c r="B6430" s="3" t="s">
        <v>18470</v>
      </c>
      <c r="C6430" s="3">
        <v>0.0</v>
      </c>
      <c r="D6430" s="3">
        <v>0.0</v>
      </c>
      <c r="E6430" s="3">
        <v>0.0</v>
      </c>
      <c r="F6430" s="3" t="s">
        <v>18471</v>
      </c>
      <c r="G6430" s="3">
        <v>0.0</v>
      </c>
      <c r="H6430" s="3">
        <v>0.0</v>
      </c>
      <c r="I6430" s="3" t="s">
        <v>13</v>
      </c>
      <c r="J6430" s="3" t="s">
        <v>18472</v>
      </c>
      <c r="K6430" s="3" t="s">
        <v>54</v>
      </c>
      <c r="L6430" s="3" t="str">
        <f>IFERROR(__xludf.DUMMYFUNCTION("GOOGLETRANSLATE(F6430,""id"",""en"")"),"Argentina World Champion Mission Messi Completed")</f>
        <v>Argentina World Champion Mission Messi Completed</v>
      </c>
    </row>
    <row r="6431" ht="15.75" customHeight="1">
      <c r="A6431" s="1">
        <v>7625.0</v>
      </c>
      <c r="B6431" s="3" t="s">
        <v>18473</v>
      </c>
      <c r="C6431" s="3">
        <v>0.0</v>
      </c>
      <c r="D6431" s="3">
        <v>0.0</v>
      </c>
      <c r="E6431" s="3">
        <v>1.0</v>
      </c>
      <c r="F6431" s="3" t="s">
        <v>18474</v>
      </c>
      <c r="G6431" s="3">
        <v>0.3</v>
      </c>
      <c r="H6431" s="3">
        <v>1.0</v>
      </c>
      <c r="I6431" s="3" t="s">
        <v>48</v>
      </c>
      <c r="J6431" s="3" t="s">
        <v>18475</v>
      </c>
      <c r="K6431" s="3" t="s">
        <v>15</v>
      </c>
      <c r="L6431" s="3" t="str">
        <f>IFERROR(__xludf.DUMMYFUNCTION("GOOGLETRANSLATE(F6431,""id"",""en"")"),"Hong Kong Prediction Wednesday December Best Shio Tiger Bbfs")</f>
        <v>Hong Kong Prediction Wednesday December Best Shio Tiger Bbfs</v>
      </c>
    </row>
    <row r="6432" ht="15.75" customHeight="1">
      <c r="A6432" s="1">
        <v>7626.0</v>
      </c>
      <c r="B6432" s="3" t="s">
        <v>18476</v>
      </c>
      <c r="C6432" s="3">
        <v>2.0</v>
      </c>
      <c r="D6432" s="3">
        <v>0.0</v>
      </c>
      <c r="E6432" s="3">
        <v>1.0</v>
      </c>
      <c r="F6432" s="3" t="s">
        <v>18477</v>
      </c>
      <c r="G6432" s="3">
        <v>0.3</v>
      </c>
      <c r="H6432" s="3">
        <v>1.0</v>
      </c>
      <c r="I6432" s="3" t="s">
        <v>48</v>
      </c>
      <c r="J6432" s="3" t="s">
        <v>18478</v>
      </c>
      <c r="K6432" s="3" t="s">
        <v>2215</v>
      </c>
      <c r="L6432" s="3" t="str">
        <f>IFERROR(__xludf.DUMMYFUNCTION("GOOGLETRANSLATE(F6432,""id"",""en"")"),"The output of Taiwan December Result Shio Naga Nusantara Prediction Wednesday December Best Shio Goat BBFS")</f>
        <v>The output of Taiwan December Result Shio Naga Nusantara Prediction Wednesday December Best Shio Goat BBFS</v>
      </c>
    </row>
    <row r="6433" ht="15.75" customHeight="1">
      <c r="A6433" s="1">
        <v>7627.0</v>
      </c>
      <c r="B6433" s="3" t="s">
        <v>18479</v>
      </c>
      <c r="C6433" s="3">
        <v>1.0</v>
      </c>
      <c r="D6433" s="3">
        <v>0.0</v>
      </c>
      <c r="E6433" s="3">
        <v>0.0</v>
      </c>
      <c r="F6433" s="3" t="s">
        <v>18480</v>
      </c>
      <c r="G6433" s="3">
        <v>0.0</v>
      </c>
      <c r="H6433" s="3">
        <v>0.0</v>
      </c>
      <c r="I6433" s="3" t="s">
        <v>13</v>
      </c>
      <c r="J6433" s="3" t="s">
        <v>18481</v>
      </c>
      <c r="K6433" s="3" t="s">
        <v>31</v>
      </c>
      <c r="L6433" s="3" t="str">
        <f>IFERROR(__xludf.DUMMYFUNCTION("GOOGLETRANSLATE(F6433,""id"",""en"")"),"The Argentina period is said to be a champion setting")</f>
        <v>The Argentina period is said to be a champion setting</v>
      </c>
    </row>
    <row r="6434" ht="15.75" customHeight="1">
      <c r="A6434" s="1">
        <v>7628.0</v>
      </c>
      <c r="B6434" s="3" t="s">
        <v>18482</v>
      </c>
      <c r="C6434" s="3">
        <v>0.0</v>
      </c>
      <c r="D6434" s="3">
        <v>0.0</v>
      </c>
      <c r="E6434" s="3">
        <v>0.0</v>
      </c>
      <c r="F6434" s="3" t="s">
        <v>18483</v>
      </c>
      <c r="G6434" s="3">
        <v>0.0</v>
      </c>
      <c r="H6434" s="3">
        <v>0.0</v>
      </c>
      <c r="I6434" s="3" t="s">
        <v>13</v>
      </c>
      <c r="J6434" s="3" t="s">
        <v>18484</v>
      </c>
      <c r="K6434" s="3" t="s">
        <v>215</v>
      </c>
      <c r="L6434" s="3" t="str">
        <f>IFERROR(__xludf.DUMMYFUNCTION("GOOGLETRANSLATE(F6434,""id"",""en"")"),"The name of my mother's mother Euis was born in December hobby of watching badminton used to be very busy with a career of the Argentina World Cup champion, the simple mother did not want money and diamonds only wanted her child to believe in Bismillah")</f>
        <v>The name of my mother's mother Euis was born in December hobby of watching badminton used to be very busy with a career of the Argentina World Cup champion, the simple mother did not want money and diamonds only wanted her child to believe in Bismillah</v>
      </c>
    </row>
    <row r="6435" ht="15.75" customHeight="1">
      <c r="A6435" s="1">
        <v>7629.0</v>
      </c>
      <c r="B6435" s="3" t="s">
        <v>18485</v>
      </c>
      <c r="C6435" s="3">
        <v>0.0</v>
      </c>
      <c r="D6435" s="3">
        <v>0.0</v>
      </c>
      <c r="E6435" s="3">
        <v>0.0</v>
      </c>
      <c r="F6435" s="3" t="s">
        <v>18486</v>
      </c>
      <c r="G6435" s="3">
        <v>0.0</v>
      </c>
      <c r="H6435" s="3">
        <v>0.0</v>
      </c>
      <c r="I6435" s="3" t="s">
        <v>13</v>
      </c>
      <c r="J6435" s="3" t="s">
        <v>18487</v>
      </c>
      <c r="K6435" s="3" t="s">
        <v>54</v>
      </c>
      <c r="L6435" s="3" t="str">
        <f>IFERROR(__xludf.DUMMYFUNCTION("GOOGLETRANSLATE(F6435,""id"",""en"")"),"In fact, like Argentina's dick champion in the village")</f>
        <v>In fact, like Argentina's dick champion in the village</v>
      </c>
    </row>
    <row r="6436" ht="15.75" customHeight="1">
      <c r="A6436" s="1">
        <v>7630.0</v>
      </c>
      <c r="B6436" s="3" t="s">
        <v>18488</v>
      </c>
      <c r="C6436" s="3">
        <v>0.0</v>
      </c>
      <c r="D6436" s="3">
        <v>0.0</v>
      </c>
      <c r="E6436" s="3">
        <v>2.0</v>
      </c>
      <c r="F6436" s="3" t="s">
        <v>18419</v>
      </c>
      <c r="G6436" s="3">
        <v>0.2333333333333333</v>
      </c>
      <c r="H6436" s="3">
        <v>-0.25</v>
      </c>
      <c r="I6436" s="3" t="s">
        <v>179</v>
      </c>
      <c r="J6436" s="3" t="s">
        <v>18420</v>
      </c>
      <c r="K6436" s="3" t="s">
        <v>41</v>
      </c>
      <c r="L6436" s="3" t="str">
        <f>IFERROR(__xludf.DUMMYFUNCTION("GOOGLETRANSLATE(F6436,""id"",""en"")"),"World Cup Champion Parade Argentine goalkeeper again mocking Kylian Mbappe")</f>
        <v>World Cup Champion Parade Argentine goalkeeper again mocking Kylian Mbappe</v>
      </c>
    </row>
    <row r="6437" ht="15.75" customHeight="1">
      <c r="A6437" s="1">
        <v>7631.0</v>
      </c>
      <c r="B6437" s="3" t="s">
        <v>18489</v>
      </c>
      <c r="C6437" s="3">
        <v>0.0</v>
      </c>
      <c r="D6437" s="3">
        <v>0.0</v>
      </c>
      <c r="E6437" s="3">
        <v>0.0</v>
      </c>
      <c r="F6437" s="3" t="s">
        <v>18490</v>
      </c>
      <c r="G6437" s="3">
        <v>0.0</v>
      </c>
      <c r="H6437" s="3">
        <v>0.0</v>
      </c>
      <c r="I6437" s="3" t="s">
        <v>13</v>
      </c>
      <c r="J6437" s="3" t="s">
        <v>18491</v>
      </c>
      <c r="K6437" s="3" t="s">
        <v>2117</v>
      </c>
      <c r="L6437" s="3" t="str">
        <f>IFERROR(__xludf.DUMMYFUNCTION("GOOGLETRANSLATE(F6437,""id"",""en"")"),"Argentina has champions")</f>
        <v>Argentina has champions</v>
      </c>
    </row>
    <row r="6438" ht="15.75" customHeight="1">
      <c r="A6438" s="1">
        <v>7632.0</v>
      </c>
      <c r="B6438" s="3" t="s">
        <v>18492</v>
      </c>
      <c r="C6438" s="3">
        <v>0.0</v>
      </c>
      <c r="D6438" s="3">
        <v>0.0</v>
      </c>
      <c r="E6438" s="3">
        <v>0.0</v>
      </c>
      <c r="F6438" s="3" t="s">
        <v>18493</v>
      </c>
      <c r="G6438" s="3">
        <v>0.0</v>
      </c>
      <c r="H6438" s="3">
        <v>0.0</v>
      </c>
      <c r="I6438" s="3" t="s">
        <v>13</v>
      </c>
      <c r="J6438" s="3" t="s">
        <v>18494</v>
      </c>
      <c r="K6438" s="3" t="s">
        <v>31</v>
      </c>
      <c r="L6438" s="3" t="str">
        <f>IFERROR(__xludf.DUMMYFUNCTION("GOOGLETRANSLATE(F6438,""id"",""en"")"),"Argentina is arrogant and champion because of the help of the referee")</f>
        <v>Argentina is arrogant and champion because of the help of the referee</v>
      </c>
    </row>
    <row r="6439" ht="15.75" customHeight="1">
      <c r="A6439" s="1">
        <v>7633.0</v>
      </c>
      <c r="B6439" s="3" t="s">
        <v>18495</v>
      </c>
      <c r="C6439" s="3">
        <v>1.0</v>
      </c>
      <c r="D6439" s="3">
        <v>0.0</v>
      </c>
      <c r="E6439" s="3">
        <v>0.0</v>
      </c>
      <c r="F6439" s="3" t="s">
        <v>18496</v>
      </c>
      <c r="G6439" s="3">
        <v>0.0</v>
      </c>
      <c r="H6439" s="3">
        <v>0.0</v>
      </c>
      <c r="I6439" s="3" t="s">
        <v>13</v>
      </c>
      <c r="J6439" s="3" t="s">
        <v>18497</v>
      </c>
      <c r="K6439" s="3" t="s">
        <v>675</v>
      </c>
      <c r="L6439" s="3" t="str">
        <f>IFERROR(__xludf.DUMMYFUNCTION("GOOGLETRANSLATE(F6439,""id"",""en"")"),"How come the Awokwok Pildun passed the wiped by Ama just so that the euro rubbish was slaughtered by Obok, just yesterday, the champion was the national team of the British Overrated Pagi Finalism yesterday, it was slaughtered even though it was already s"&amp;"laughtered even though it was koa")</f>
        <v>How come the Awokwok Pildun passed the wiped by Ama just so that the euro rubbish was slaughtered by Obok, just yesterday, the champion was the national team of the British Overrated Pagi Finalism yesterday, it was slaughtered even though it was already slaughtered even though it was koa</v>
      </c>
    </row>
    <row r="6440" ht="15.75" customHeight="1">
      <c r="A6440" s="1">
        <v>7634.0</v>
      </c>
      <c r="B6440" s="3" t="s">
        <v>18498</v>
      </c>
      <c r="C6440" s="3">
        <v>0.0</v>
      </c>
      <c r="D6440" s="3">
        <v>0.0</v>
      </c>
      <c r="E6440" s="3">
        <v>0.0</v>
      </c>
      <c r="F6440" s="3" t="s">
        <v>18499</v>
      </c>
      <c r="G6440" s="3">
        <v>0.0</v>
      </c>
      <c r="H6440" s="3">
        <v>0.0</v>
      </c>
      <c r="I6440" s="3" t="s">
        <v>13</v>
      </c>
      <c r="J6440" s="3" t="s">
        <v>18500</v>
      </c>
      <c r="K6440" s="3" t="s">
        <v>644</v>
      </c>
      <c r="L6440" s="3" t="str">
        <f>IFERROR(__xludf.DUMMYFUNCTION("GOOGLETRANSLATE(F6440,""id"",""en"")"),"champion continues to be Argentina")</f>
        <v>champion continues to be Argentina</v>
      </c>
    </row>
    <row r="6441" ht="15.75" customHeight="1">
      <c r="A6441" s="1">
        <v>7635.0</v>
      </c>
      <c r="B6441" s="3" t="s">
        <v>18501</v>
      </c>
      <c r="C6441" s="3">
        <v>0.0</v>
      </c>
      <c r="D6441" s="3">
        <v>0.0</v>
      </c>
      <c r="E6441" s="3">
        <v>0.0</v>
      </c>
      <c r="F6441" s="3" t="s">
        <v>18502</v>
      </c>
      <c r="G6441" s="3">
        <v>0.0</v>
      </c>
      <c r="H6441" s="3">
        <v>0.0</v>
      </c>
      <c r="I6441" s="3" t="s">
        <v>13</v>
      </c>
      <c r="J6441" s="3" t="s">
        <v>18503</v>
      </c>
      <c r="K6441" s="3" t="s">
        <v>75</v>
      </c>
      <c r="L6441" s="3" t="str">
        <f>IFERROR(__xludf.DUMMYFUNCTION("GOOGLETRANSLATE(F6441,""id"",""en"")"),"The greatest Pep claims of Messi of all time after Argentina Champion World Cup")</f>
        <v>The greatest Pep claims of Messi of all time after Argentina Champion World Cup</v>
      </c>
    </row>
    <row r="6442" ht="15.75" customHeight="1">
      <c r="A6442" s="1">
        <v>7636.0</v>
      </c>
      <c r="B6442" s="3" t="s">
        <v>18504</v>
      </c>
      <c r="C6442" s="3">
        <v>0.0</v>
      </c>
      <c r="D6442" s="3">
        <v>0.0</v>
      </c>
      <c r="E6442" s="3">
        <v>0.0</v>
      </c>
      <c r="F6442" s="3" t="s">
        <v>18505</v>
      </c>
      <c r="G6442" s="3">
        <v>0.0</v>
      </c>
      <c r="H6442" s="3">
        <v>0.0</v>
      </c>
      <c r="I6442" s="3" t="s">
        <v>13</v>
      </c>
      <c r="J6442" s="3" t="s">
        <v>18506</v>
      </c>
      <c r="K6442" s="3" t="s">
        <v>1912</v>
      </c>
      <c r="L6442" s="3" t="str">
        <f>IFERROR(__xludf.DUMMYFUNCTION("GOOGLETRANSLATE(F6442,""id"",""en"")"),"Brazil asks Messi's footprints to be immortalized by Messi Successfully Bringing Argentina The Brazilian World Cup champion is happy to be happy federation of state soccer from Rio Janeiro want to capture footprints")</f>
        <v>Brazil asks Messi's footprints to be immortalized by Messi Successfully Bringing Argentina The Brazilian World Cup champion is happy to be happy federation of state soccer from Rio Janeiro want to capture footprints</v>
      </c>
    </row>
    <row r="6443" ht="15.75" customHeight="1">
      <c r="A6443" s="1">
        <v>7637.0</v>
      </c>
      <c r="B6443" s="3" t="s">
        <v>18507</v>
      </c>
      <c r="C6443" s="3">
        <v>3.0</v>
      </c>
      <c r="D6443" s="3">
        <v>0.0</v>
      </c>
      <c r="E6443" s="3">
        <v>5.0</v>
      </c>
      <c r="F6443" s="3" t="s">
        <v>18508</v>
      </c>
      <c r="G6443" s="3">
        <v>0.2333333333333333</v>
      </c>
      <c r="H6443" s="3">
        <v>-0.25</v>
      </c>
      <c r="I6443" s="3" t="s">
        <v>179</v>
      </c>
      <c r="J6443" s="3" t="s">
        <v>18509</v>
      </c>
      <c r="K6443" s="3" t="s">
        <v>50</v>
      </c>
      <c r="L6443" s="3" t="str">
        <f>IFERROR(__xludf.DUMMYFUNCTION("GOOGLETRANSLATE(F6443,""id"",""en"")"),"Action Tengil Emi Martinez Bring a Mbappe Parade's Argentine Champion Parade Doll")</f>
        <v>Action Tengil Emi Martinez Bring a Mbappe Parade's Argentine Champion Parade Doll</v>
      </c>
    </row>
    <row r="6444" ht="15.75" customHeight="1">
      <c r="A6444" s="1">
        <v>7638.0</v>
      </c>
      <c r="B6444" s="3" t="s">
        <v>18510</v>
      </c>
      <c r="C6444" s="3">
        <v>1.0</v>
      </c>
      <c r="D6444" s="3">
        <v>0.0</v>
      </c>
      <c r="E6444" s="3">
        <v>0.0</v>
      </c>
      <c r="F6444" s="3" t="s">
        <v>18511</v>
      </c>
      <c r="G6444" s="3">
        <v>0.0</v>
      </c>
      <c r="H6444" s="3">
        <v>0.0</v>
      </c>
      <c r="I6444" s="3" t="s">
        <v>13</v>
      </c>
      <c r="J6444" s="3" t="s">
        <v>18512</v>
      </c>
      <c r="K6444" s="3" t="s">
        <v>54</v>
      </c>
      <c r="L6444" s="3" t="str">
        <f>IFERROR(__xludf.DUMMYFUNCTION("GOOGLETRANSLATE(F6444,""id"",""en"")"),"Maria Goat if she doesn't fall Argentina, he will be champion")</f>
        <v>Maria Goat if she doesn't fall Argentina, he will be champion</v>
      </c>
    </row>
    <row r="6445" ht="15.75" customHeight="1">
      <c r="A6445" s="1">
        <v>7639.0</v>
      </c>
      <c r="B6445" s="3" t="s">
        <v>18513</v>
      </c>
      <c r="C6445" s="3">
        <v>1.0</v>
      </c>
      <c r="D6445" s="3">
        <v>0.0</v>
      </c>
      <c r="E6445" s="3">
        <v>0.0</v>
      </c>
      <c r="F6445" s="3" t="s">
        <v>18514</v>
      </c>
      <c r="G6445" s="3">
        <v>0.0</v>
      </c>
      <c r="H6445" s="3">
        <v>0.0</v>
      </c>
      <c r="I6445" s="3" t="s">
        <v>13</v>
      </c>
      <c r="J6445" s="3" t="s">
        <v>18515</v>
      </c>
      <c r="K6445" s="3" t="s">
        <v>1265</v>
      </c>
      <c r="L6445" s="3" t="str">
        <f>IFERROR(__xludf.DUMMYFUNCTION("GOOGLETRANSLATE(F6445,""id"",""en"")"),"calling Argentina and Brazil not like a champion who is more likely to win from Europe")</f>
        <v>calling Argentina and Brazil not like a champion who is more likely to win from Europe</v>
      </c>
    </row>
    <row r="6446" ht="15.75" customHeight="1">
      <c r="A6446" s="1">
        <v>7640.0</v>
      </c>
      <c r="B6446" s="3" t="s">
        <v>18516</v>
      </c>
      <c r="C6446" s="3">
        <v>0.0</v>
      </c>
      <c r="D6446" s="3">
        <v>0.0</v>
      </c>
      <c r="E6446" s="3">
        <v>0.0</v>
      </c>
      <c r="F6446" s="3" t="s">
        <v>18517</v>
      </c>
      <c r="G6446" s="3">
        <v>0.0</v>
      </c>
      <c r="H6446" s="3">
        <v>0.0</v>
      </c>
      <c r="I6446" s="3" t="s">
        <v>13</v>
      </c>
      <c r="J6446" s="3" t="s">
        <v>18518</v>
      </c>
      <c r="K6446" s="3" t="s">
        <v>50</v>
      </c>
      <c r="L6446" s="3" t="str">
        <f>IFERROR(__xludf.DUMMYFUNCTION("GOOGLETRANSLATE(F6446,""id"",""en"")"),"Bring Argentina World Cup Champion and Print Many Record Messi So Retirement")</f>
        <v>Bring Argentina World Cup Champion and Print Many Record Messi So Retirement</v>
      </c>
    </row>
    <row r="6447" ht="15.75" customHeight="1">
      <c r="A6447" s="1">
        <v>7641.0</v>
      </c>
      <c r="B6447" s="3" t="s">
        <v>18519</v>
      </c>
      <c r="C6447" s="3">
        <v>1.0</v>
      </c>
      <c r="D6447" s="3">
        <v>0.0</v>
      </c>
      <c r="E6447" s="3">
        <v>0.0</v>
      </c>
      <c r="F6447" s="3" t="s">
        <v>18520</v>
      </c>
      <c r="G6447" s="3">
        <v>0.0</v>
      </c>
      <c r="H6447" s="3">
        <v>0.0</v>
      </c>
      <c r="I6447" s="3" t="s">
        <v>13</v>
      </c>
      <c r="J6447" s="3" t="s">
        <v>18521</v>
      </c>
      <c r="K6447" s="3" t="s">
        <v>1978</v>
      </c>
      <c r="L6447" s="3" t="str">
        <f>IFERROR(__xludf.DUMMYFUNCTION("GOOGLETRANSLATE(F6447,""id"",""en"")"),"Shut Okay Argentina World Cup Champion defeated the previous edition of the Argentina World Champion Champion Finalalizing European Champion")</f>
        <v>Shut Okay Argentina World Cup Champion defeated the previous edition of the Argentina World Champion Champion Finalalizing European Champion</v>
      </c>
    </row>
    <row r="6448" ht="15.75" customHeight="1">
      <c r="A6448" s="1">
        <v>7642.0</v>
      </c>
      <c r="B6448" s="3" t="s">
        <v>18522</v>
      </c>
      <c r="C6448" s="3">
        <v>0.0</v>
      </c>
      <c r="D6448" s="3">
        <v>0.0</v>
      </c>
      <c r="E6448" s="3">
        <v>0.0</v>
      </c>
      <c r="F6448" s="3" t="s">
        <v>18523</v>
      </c>
      <c r="G6448" s="3">
        <v>0.0</v>
      </c>
      <c r="H6448" s="3">
        <v>0.0</v>
      </c>
      <c r="I6448" s="3" t="s">
        <v>13</v>
      </c>
      <c r="J6448" s="3" t="s">
        <v>18524</v>
      </c>
      <c r="K6448" s="3" t="s">
        <v>657</v>
      </c>
      <c r="L6448" s="3" t="str">
        <f>IFERROR(__xludf.DUMMYFUNCTION("GOOGLETRANSLATE(F6448,""id"",""en"")"),"Drake still lost his billions of money even though Argentina was named the champion in the Qatar World Cup event")</f>
        <v>Drake still lost his billions of money even though Argentina was named the champion in the Qatar World Cup event</v>
      </c>
    </row>
    <row r="6449" ht="15.75" customHeight="1">
      <c r="A6449" s="1">
        <v>7644.0</v>
      </c>
      <c r="B6449" s="3" t="s">
        <v>18525</v>
      </c>
      <c r="C6449" s="3">
        <v>1.0</v>
      </c>
      <c r="D6449" s="3">
        <v>0.0</v>
      </c>
      <c r="E6449" s="3">
        <v>0.0</v>
      </c>
      <c r="F6449" s="3" t="s">
        <v>18526</v>
      </c>
      <c r="G6449" s="3">
        <v>0.0</v>
      </c>
      <c r="H6449" s="3">
        <v>0.0</v>
      </c>
      <c r="I6449" s="3" t="s">
        <v>13</v>
      </c>
      <c r="J6449" s="3" t="s">
        <v>18527</v>
      </c>
      <c r="K6449" s="3" t="s">
        <v>491</v>
      </c>
      <c r="L6449" s="3" t="str">
        <f>IFERROR(__xludf.DUMMYFUNCTION("GOOGLETRANSLATE(F6449,""id"",""en"")"),"The Argentine League is unfortunate how many champions of the Club World Cup will enter the world elite league")</f>
        <v>The Argentine League is unfortunate how many champions of the Club World Cup will enter the world elite league</v>
      </c>
    </row>
    <row r="6450" ht="15.75" customHeight="1">
      <c r="A6450" s="1">
        <v>7645.0</v>
      </c>
      <c r="B6450" s="3" t="s">
        <v>18528</v>
      </c>
      <c r="C6450" s="3">
        <v>0.0</v>
      </c>
      <c r="D6450" s="3">
        <v>0.0</v>
      </c>
      <c r="E6450" s="3">
        <v>0.0</v>
      </c>
      <c r="F6450" s="3" t="s">
        <v>18529</v>
      </c>
      <c r="G6450" s="3">
        <v>0.0</v>
      </c>
      <c r="H6450" s="3">
        <v>0.0</v>
      </c>
      <c r="I6450" s="3" t="s">
        <v>13</v>
      </c>
      <c r="J6450" s="3" t="s">
        <v>18530</v>
      </c>
      <c r="K6450" s="3" t="s">
        <v>2117</v>
      </c>
      <c r="L6450" s="3" t="str">
        <f>IFERROR(__xludf.DUMMYFUNCTION("GOOGLETRANSLATE(F6450,""id"",""en"")"),"Argentina deserves champions")</f>
        <v>Argentina deserves champions</v>
      </c>
    </row>
    <row r="6451" ht="15.75" customHeight="1">
      <c r="A6451" s="1">
        <v>7646.0</v>
      </c>
      <c r="B6451" s="3" t="s">
        <v>18531</v>
      </c>
      <c r="C6451" s="3">
        <v>1.0</v>
      </c>
      <c r="D6451" s="3">
        <v>0.0</v>
      </c>
      <c r="E6451" s="3">
        <v>0.0</v>
      </c>
      <c r="F6451" s="3" t="s">
        <v>18532</v>
      </c>
      <c r="G6451" s="3">
        <v>0.0</v>
      </c>
      <c r="H6451" s="3">
        <v>0.0</v>
      </c>
      <c r="I6451" s="3" t="s">
        <v>13</v>
      </c>
      <c r="J6451" s="3" t="s">
        <v>18533</v>
      </c>
      <c r="K6451" s="3" t="s">
        <v>50</v>
      </c>
      <c r="L6451" s="3" t="str">
        <f>IFERROR(__xludf.DUMMYFUNCTION("GOOGLETRANSLATE(F6451,""id"",""en"")"),"Bodoamat was important yesterday Argentina Cave champion and slaughtered the Difinalisma Agas State")</f>
        <v>Bodoamat was important yesterday Argentina Cave champion and slaughtered the Difinalisma Agas State</v>
      </c>
    </row>
    <row r="6452" ht="15.75" customHeight="1">
      <c r="A6452" s="1">
        <v>7647.0</v>
      </c>
      <c r="B6452" s="3" t="s">
        <v>18534</v>
      </c>
      <c r="C6452" s="3">
        <v>0.0</v>
      </c>
      <c r="D6452" s="3">
        <v>0.0</v>
      </c>
      <c r="E6452" s="3">
        <v>0.0</v>
      </c>
      <c r="F6452" s="3" t="s">
        <v>18535</v>
      </c>
      <c r="G6452" s="3">
        <v>0.2333333333333333</v>
      </c>
      <c r="H6452" s="3">
        <v>-0.25</v>
      </c>
      <c r="I6452" s="3" t="s">
        <v>179</v>
      </c>
      <c r="J6452" s="3" t="s">
        <v>18536</v>
      </c>
      <c r="K6452" s="3" t="s">
        <v>82</v>
      </c>
      <c r="L6452" s="3" t="str">
        <f>IFERROR(__xludf.DUMMYFUNCTION("GOOGLETRANSLATE(F6452,""id"",""en"")"),"Emiliano Martinez Taunted Mbappe Parade Argentina Champion")</f>
        <v>Emiliano Martinez Taunted Mbappe Parade Argentina Champion</v>
      </c>
    </row>
    <row r="6453" ht="15.75" customHeight="1">
      <c r="A6453" s="1">
        <v>7648.0</v>
      </c>
      <c r="B6453" s="3" t="s">
        <v>18537</v>
      </c>
      <c r="C6453" s="3">
        <v>0.0</v>
      </c>
      <c r="D6453" s="3">
        <v>1.0</v>
      </c>
      <c r="E6453" s="3">
        <v>0.0</v>
      </c>
      <c r="F6453" s="3" t="s">
        <v>18538</v>
      </c>
      <c r="G6453" s="3">
        <v>0.0</v>
      </c>
      <c r="H6453" s="3">
        <v>0.0</v>
      </c>
      <c r="I6453" s="3" t="s">
        <v>13</v>
      </c>
      <c r="J6453" s="3" t="s">
        <v>18539</v>
      </c>
      <c r="K6453" s="3" t="s">
        <v>54</v>
      </c>
      <c r="L6453" s="3" t="str">
        <f>IFERROR(__xludf.DUMMYFUNCTION("GOOGLETRANSLATE(F6453,""id"",""en"")"),"Redsindo, who can Champion World Qatar is Liverpool and Argentina")</f>
        <v>Redsindo, who can Champion World Qatar is Liverpool and Argentina</v>
      </c>
    </row>
    <row r="6454" ht="15.75" customHeight="1">
      <c r="A6454" s="1">
        <v>7649.0</v>
      </c>
      <c r="B6454" s="3" t="s">
        <v>18540</v>
      </c>
      <c r="C6454" s="3">
        <v>0.0</v>
      </c>
      <c r="D6454" s="3">
        <v>0.0</v>
      </c>
      <c r="E6454" s="3">
        <v>0.0</v>
      </c>
      <c r="F6454" s="3" t="s">
        <v>18541</v>
      </c>
      <c r="G6454" s="3">
        <v>0.0</v>
      </c>
      <c r="H6454" s="3">
        <v>0.0</v>
      </c>
      <c r="I6454" s="3" t="s">
        <v>13</v>
      </c>
      <c r="J6454" s="3" t="s">
        <v>18542</v>
      </c>
      <c r="K6454" s="3" t="s">
        <v>765</v>
      </c>
      <c r="L6454" s="3" t="str">
        <f>IFERROR(__xludf.DUMMYFUNCTION("GOOGLETRANSLATE(F6454,""id"",""en"")"),"Former Chairman of the Democratic Party Anas Urbaningrum praised the championship mentality shown by the Argentine national team this praise was written by Anas Urbaningrum when he was currently still a prisoner in the corruption case of the Hambalang ath"&amp;"lete's guesthouse")</f>
        <v>Former Chairman of the Democratic Party Anas Urbaningrum praised the championship mentality shown by the Argentine national team this praise was written by Anas Urbaningrum when he was currently still a prisoner in the corruption case of the Hambalang athlete's guesthouse</v>
      </c>
    </row>
    <row r="6455" ht="15.75" customHeight="1">
      <c r="A6455" s="1">
        <v>7650.0</v>
      </c>
      <c r="B6455" s="3" t="s">
        <v>18543</v>
      </c>
      <c r="C6455" s="3">
        <v>0.0</v>
      </c>
      <c r="D6455" s="3">
        <v>0.0</v>
      </c>
      <c r="E6455" s="3">
        <v>0.0</v>
      </c>
      <c r="F6455" s="3" t="s">
        <v>18544</v>
      </c>
      <c r="G6455" s="3">
        <v>0.0</v>
      </c>
      <c r="H6455" s="3">
        <v>0.0</v>
      </c>
      <c r="I6455" s="3" t="s">
        <v>13</v>
      </c>
      <c r="J6455" s="3" t="s">
        <v>18545</v>
      </c>
      <c r="K6455" s="3" t="s">
        <v>510</v>
      </c>
      <c r="L6455" s="3" t="str">
        <f>IFERROR(__xludf.DUMMYFUNCTION("GOOGLETRANSLATE(F6455,""id"",""en"")"),"if you want to win the example of Argentina, unite the determination to follow the captain's peribtah don't move alone")</f>
        <v>if you want to win the example of Argentina, unite the determination to follow the captain's peribtah don't move alone</v>
      </c>
    </row>
    <row r="6456" ht="15.75" customHeight="1">
      <c r="A6456" s="1">
        <v>7651.0</v>
      </c>
      <c r="B6456" s="3" t="s">
        <v>18546</v>
      </c>
      <c r="C6456" s="3">
        <v>0.0</v>
      </c>
      <c r="D6456" s="3">
        <v>0.0</v>
      </c>
      <c r="E6456" s="3">
        <v>0.0</v>
      </c>
      <c r="F6456" s="3" t="s">
        <v>18547</v>
      </c>
      <c r="G6456" s="3">
        <v>0.0</v>
      </c>
      <c r="H6456" s="3">
        <v>0.0</v>
      </c>
      <c r="I6456" s="3" t="s">
        <v>13</v>
      </c>
      <c r="J6456" s="3" t="s">
        <v>18548</v>
      </c>
      <c r="K6456" s="3" t="s">
        <v>82</v>
      </c>
      <c r="L6456" s="3" t="str">
        <f>IFERROR(__xludf.DUMMYFUNCTION("GOOGLETRANSLATE(F6456,""id"",""en"")"),"congratulations Messi already brought Argentina champions of the Cup")</f>
        <v>congratulations Messi already brought Argentina champions of the Cup</v>
      </c>
    </row>
    <row r="6457" ht="15.75" customHeight="1">
      <c r="A6457" s="1">
        <v>7652.0</v>
      </c>
      <c r="B6457" s="3" t="s">
        <v>18549</v>
      </c>
      <c r="C6457" s="3">
        <v>0.0</v>
      </c>
      <c r="D6457" s="3">
        <v>0.0</v>
      </c>
      <c r="E6457" s="3">
        <v>9.0</v>
      </c>
      <c r="F6457" s="3" t="s">
        <v>18398</v>
      </c>
      <c r="G6457" s="3">
        <v>0.0</v>
      </c>
      <c r="H6457" s="3">
        <v>0.0</v>
      </c>
      <c r="I6457" s="3" t="s">
        <v>13</v>
      </c>
      <c r="J6457" s="3" t="s">
        <v>18399</v>
      </c>
      <c r="K6457" s="3" t="s">
        <v>348</v>
      </c>
      <c r="L6457" s="3" t="str">
        <f>IFERROR(__xludf.DUMMYFUNCTION("GOOGLETRANSLATE(F6457,""id"",""en"")"),"Messi Successfully Bring Argentina The Brazilian World Cup champion joined in happy federation of state soccer from Rio Janeiro want to capture his footprints")</f>
        <v>Messi Successfully Bring Argentina The Brazilian World Cup champion joined in happy federation of state soccer from Rio Janeiro want to capture his footprints</v>
      </c>
    </row>
    <row r="6458" ht="15.75" customHeight="1">
      <c r="A6458" s="1">
        <v>7653.0</v>
      </c>
      <c r="B6458" s="3" t="s">
        <v>18550</v>
      </c>
      <c r="C6458" s="3">
        <v>1.0</v>
      </c>
      <c r="D6458" s="3">
        <v>0.0</v>
      </c>
      <c r="E6458" s="3">
        <v>0.0</v>
      </c>
      <c r="F6458" s="3" t="s">
        <v>18551</v>
      </c>
      <c r="G6458" s="3">
        <v>0.3333333333333333</v>
      </c>
      <c r="H6458" s="3">
        <v>0.1666666666666667</v>
      </c>
      <c r="I6458" s="3" t="s">
        <v>48</v>
      </c>
      <c r="J6458" s="3" t="s">
        <v>18552</v>
      </c>
      <c r="K6458" s="3" t="s">
        <v>1925</v>
      </c>
      <c r="L6458" s="3" t="str">
        <f>IFERROR(__xludf.DUMMYFUNCTION("GOOGLETRANSLATE(F6458,""id"",""en"")"),"One of the World Cup Argentine players instead became a member of the Argentine coach team at the moment the world cup champion was that he had played Napoli and Milan")</f>
        <v>One of the World Cup Argentine players instead became a member of the Argentine coach team at the moment the world cup champion was that he had played Napoli and Milan</v>
      </c>
    </row>
    <row r="6459" ht="15.75" customHeight="1">
      <c r="A6459" s="1">
        <v>7654.0</v>
      </c>
      <c r="B6459" s="3" t="s">
        <v>18553</v>
      </c>
      <c r="C6459" s="3">
        <v>0.0</v>
      </c>
      <c r="D6459" s="3">
        <v>0.0</v>
      </c>
      <c r="E6459" s="3">
        <v>0.0</v>
      </c>
      <c r="F6459" s="3" t="s">
        <v>18554</v>
      </c>
      <c r="G6459" s="3">
        <v>0.0</v>
      </c>
      <c r="H6459" s="3">
        <v>0.0</v>
      </c>
      <c r="I6459" s="3" t="s">
        <v>13</v>
      </c>
      <c r="J6459" s="3" t="s">
        <v>18555</v>
      </c>
      <c r="K6459" s="3" t="s">
        <v>41</v>
      </c>
      <c r="L6459" s="3" t="str">
        <f>IFERROR(__xludf.DUMMYFUNCTION("GOOGLETRANSLATE(F6459,""id"",""en"")"),"It turned out that Argentina won the Qatar Arabic Land World Cup championship")</f>
        <v>It turned out that Argentina won the Qatar Arabic Land World Cup championship</v>
      </c>
    </row>
    <row r="6460" ht="15.75" customHeight="1">
      <c r="A6460" s="1">
        <v>7655.0</v>
      </c>
      <c r="B6460" s="3" t="s">
        <v>18556</v>
      </c>
      <c r="C6460" s="3">
        <v>0.0</v>
      </c>
      <c r="D6460" s="3">
        <v>0.0</v>
      </c>
      <c r="E6460" s="3">
        <v>0.0</v>
      </c>
      <c r="F6460" s="3" t="s">
        <v>18557</v>
      </c>
      <c r="G6460" s="3">
        <v>0.0</v>
      </c>
      <c r="H6460" s="3">
        <v>0.0</v>
      </c>
      <c r="I6460" s="3" t="s">
        <v>13</v>
      </c>
      <c r="J6460" s="3" t="s">
        <v>18558</v>
      </c>
      <c r="K6460" s="3" t="s">
        <v>765</v>
      </c>
      <c r="L6460" s="3" t="str">
        <f>IFERROR(__xludf.DUMMYFUNCTION("GOOGLETRANSLATE(F6460,""id"",""en"")"),"The motm is clearly Alhamdullilah Jupe back again performs like carrying Persib Insyallah this year the blue team is destined the same champion as with Argentina the fate of Persib is the same as having to party")</f>
        <v>The motm is clearly Alhamdullilah Jupe back again performs like carrying Persib Insyallah this year the blue team is destined the same champion as with Argentina the fate of Persib is the same as having to party</v>
      </c>
    </row>
    <row r="6461" ht="15.75" customHeight="1">
      <c r="A6461" s="1">
        <v>7656.0</v>
      </c>
      <c r="B6461" s="3" t="s">
        <v>18559</v>
      </c>
      <c r="C6461" s="3">
        <v>0.0</v>
      </c>
      <c r="D6461" s="3">
        <v>0.0</v>
      </c>
      <c r="E6461" s="3">
        <v>1.0</v>
      </c>
      <c r="F6461" s="3" t="s">
        <v>18560</v>
      </c>
      <c r="G6461" s="3">
        <v>0.0</v>
      </c>
      <c r="H6461" s="3">
        <v>0.0</v>
      </c>
      <c r="I6461" s="3" t="s">
        <v>13</v>
      </c>
      <c r="J6461" s="3" t="s">
        <v>18561</v>
      </c>
      <c r="K6461" s="3" t="s">
        <v>1824</v>
      </c>
      <c r="L6461" s="3" t="str">
        <f>IFERROR(__xludf.DUMMYFUNCTION("GOOGLETRANSLATE(F6461,""id"",""en"")"),"Not really competent so Ketum Afa doesn't care about football, he should first lift the trophy before Messi immediately made a poster behind the Argentina Federation victory, how come it is not competent")</f>
        <v>Not really competent so Ketum Afa doesn't care about football, he should first lift the trophy before Messi immediately made a poster behind the Argentina Federation victory, how come it is not competent</v>
      </c>
    </row>
    <row r="6462" ht="15.75" customHeight="1">
      <c r="A6462" s="1">
        <v>7657.0</v>
      </c>
      <c r="B6462" s="3" t="s">
        <v>18562</v>
      </c>
      <c r="C6462" s="3">
        <v>0.0</v>
      </c>
      <c r="D6462" s="3">
        <v>0.0</v>
      </c>
      <c r="E6462" s="3">
        <v>0.0</v>
      </c>
      <c r="F6462" s="3" t="s">
        <v>18563</v>
      </c>
      <c r="G6462" s="3">
        <v>0.0</v>
      </c>
      <c r="H6462" s="3">
        <v>0.0</v>
      </c>
      <c r="I6462" s="3" t="s">
        <v>13</v>
      </c>
      <c r="J6462" s="3" t="s">
        <v>18564</v>
      </c>
      <c r="K6462" s="3" t="s">
        <v>127</v>
      </c>
      <c r="L6462" s="3" t="str">
        <f>IFERROR(__xludf.DUMMYFUNCTION("GOOGLETRANSLATE(F6462,""id"",""en"")"),"Lionel Messi et al Champion World Cup Boyfriend Cristiano Ronaldo is called the only Argentine who is prohibited from celebrating through")</f>
        <v>Lionel Messi et al Champion World Cup Boyfriend Cristiano Ronaldo is called the only Argentine who is prohibited from celebrating through</v>
      </c>
    </row>
    <row r="6463" ht="15.75" customHeight="1">
      <c r="A6463" s="1">
        <v>7658.0</v>
      </c>
      <c r="B6463" s="3" t="s">
        <v>18565</v>
      </c>
      <c r="C6463" s="3">
        <v>1.0</v>
      </c>
      <c r="D6463" s="3">
        <v>1.0</v>
      </c>
      <c r="E6463" s="3">
        <v>2.0</v>
      </c>
      <c r="F6463" s="3" t="s">
        <v>18566</v>
      </c>
      <c r="G6463" s="3">
        <v>0.0</v>
      </c>
      <c r="H6463" s="3">
        <v>0.0</v>
      </c>
      <c r="I6463" s="3" t="s">
        <v>13</v>
      </c>
      <c r="J6463" s="3" t="s">
        <v>18567</v>
      </c>
      <c r="K6463" s="3" t="s">
        <v>82</v>
      </c>
      <c r="L6463" s="3" t="str">
        <f>IFERROR(__xludf.DUMMYFUNCTION("GOOGLETRANSLATE(F6463,""id"",""en"")"),"Argentine championship champions of the World Cup championship parade")</f>
        <v>Argentine championship champions of the World Cup championship parade</v>
      </c>
    </row>
    <row r="6464" ht="15.75" customHeight="1">
      <c r="A6464" s="1">
        <v>7659.0</v>
      </c>
      <c r="B6464" s="3" t="s">
        <v>18568</v>
      </c>
      <c r="C6464" s="3">
        <v>14.0</v>
      </c>
      <c r="D6464" s="3">
        <v>9.0</v>
      </c>
      <c r="E6464" s="3">
        <v>94.0</v>
      </c>
      <c r="F6464" s="3" t="s">
        <v>18569</v>
      </c>
      <c r="G6464" s="3">
        <v>0.5</v>
      </c>
      <c r="H6464" s="3">
        <v>0.1</v>
      </c>
      <c r="I6464" s="3" t="s">
        <v>48</v>
      </c>
      <c r="J6464" s="3" t="s">
        <v>18570</v>
      </c>
      <c r="K6464" s="3" t="s">
        <v>823</v>
      </c>
      <c r="L6464" s="3" t="str">
        <f>IFERROR(__xludf.DUMMYFUNCTION("GOOGLETRANSLATE(F6464,""id"",""en"")"),"Open Order T -Shirt The Argentina World Champion Ready Size XXXXL that wants to order can chat Whatsapp by clicking the link below or can order via shopee so that it's free shipping and pay cod click the link below")</f>
        <v>Open Order T -Shirt The Argentina World Champion Ready Size XXXXL that wants to order can chat Whatsapp by clicking the link below or can order via shopee so that it's free shipping and pay cod click the link below</v>
      </c>
    </row>
    <row r="6465" ht="15.75" customHeight="1">
      <c r="A6465" s="1">
        <v>7660.0</v>
      </c>
      <c r="B6465" s="3" t="s">
        <v>18571</v>
      </c>
      <c r="C6465" s="3">
        <v>1.0</v>
      </c>
      <c r="D6465" s="3">
        <v>0.0</v>
      </c>
      <c r="E6465" s="3">
        <v>1.0</v>
      </c>
      <c r="F6465" s="3" t="s">
        <v>18572</v>
      </c>
      <c r="G6465" s="3">
        <v>0.0</v>
      </c>
      <c r="H6465" s="3">
        <v>0.0</v>
      </c>
      <c r="I6465" s="3" t="s">
        <v>13</v>
      </c>
      <c r="J6465" s="3" t="s">
        <v>18573</v>
      </c>
      <c r="K6465" s="3" t="s">
        <v>614</v>
      </c>
      <c r="L6465" s="3" t="str">
        <f>IFERROR(__xludf.DUMMYFUNCTION("GOOGLETRANSLATE(F6465,""id"",""en"")"),"Thiago Argentina Champion Pilduun does not affect their best generation of Portugal's year now is not better than the generation try to compare Google if you forget to explain the character is not enough")</f>
        <v>Thiago Argentina Champion Pilduun does not affect their best generation of Portugal's year now is not better than the generation try to compare Google if you forget to explain the character is not enough</v>
      </c>
    </row>
    <row r="6466" ht="15.75" customHeight="1">
      <c r="A6466" s="1">
        <v>7661.0</v>
      </c>
      <c r="B6466" s="3" t="s">
        <v>18574</v>
      </c>
      <c r="C6466" s="3">
        <v>1.0</v>
      </c>
      <c r="D6466" s="3">
        <v>0.0</v>
      </c>
      <c r="E6466" s="3">
        <v>0.0</v>
      </c>
      <c r="F6466" s="3" t="s">
        <v>18575</v>
      </c>
      <c r="G6466" s="3">
        <v>0.0</v>
      </c>
      <c r="H6466" s="3">
        <v>0.0</v>
      </c>
      <c r="I6466" s="3" t="s">
        <v>13</v>
      </c>
      <c r="J6466" s="3" t="s">
        <v>18576</v>
      </c>
      <c r="K6466" s="3" t="s">
        <v>19</v>
      </c>
      <c r="L6466" s="3" t="str">
        <f>IFERROR(__xludf.DUMMYFUNCTION("GOOGLETRANSLATE(F6466,""id"",""en"")"),"Argentina Oge Anyar Champion Pilduun Mun Diereu Kieu Mah Matak Jangar")</f>
        <v>Argentina Oge Anyar Champion Pilduun Mun Diereu Kieu Mah Matak Jangar</v>
      </c>
    </row>
    <row r="6467" ht="15.75" customHeight="1">
      <c r="A6467" s="1">
        <v>7662.0</v>
      </c>
      <c r="B6467" s="3" t="s">
        <v>18577</v>
      </c>
      <c r="C6467" s="3">
        <v>0.0</v>
      </c>
      <c r="D6467" s="3">
        <v>0.0</v>
      </c>
      <c r="E6467" s="3">
        <v>0.0</v>
      </c>
      <c r="F6467" s="3" t="s">
        <v>18578</v>
      </c>
      <c r="G6467" s="3">
        <v>0.0</v>
      </c>
      <c r="H6467" s="3">
        <v>0.0</v>
      </c>
      <c r="I6467" s="3" t="s">
        <v>13</v>
      </c>
      <c r="J6467" s="3" t="s">
        <v>18579</v>
      </c>
      <c r="K6467" s="3" t="s">
        <v>82</v>
      </c>
      <c r="L6467" s="3" t="str">
        <f>IFERROR(__xludf.DUMMYFUNCTION("GOOGLETRANSLATE(F6467,""id"",""en"")"),"Argentina Champion But the Cup and the Prize were taken by the school")</f>
        <v>Argentina Champion But the Cup and the Prize were taken by the school</v>
      </c>
    </row>
    <row r="6468" ht="15.75" customHeight="1">
      <c r="A6468" s="1">
        <v>7663.0</v>
      </c>
      <c r="B6468" s="3" t="s">
        <v>18580</v>
      </c>
      <c r="C6468" s="3">
        <v>2.0</v>
      </c>
      <c r="D6468" s="3">
        <v>4.0</v>
      </c>
      <c r="E6468" s="3">
        <v>30.0</v>
      </c>
      <c r="F6468" s="3" t="s">
        <v>18581</v>
      </c>
      <c r="G6468" s="3">
        <v>0.0</v>
      </c>
      <c r="H6468" s="3">
        <v>0.0</v>
      </c>
      <c r="I6468" s="3" t="s">
        <v>13</v>
      </c>
      <c r="J6468" s="3" t="s">
        <v>18582</v>
      </c>
      <c r="K6468" s="3" t="s">
        <v>90</v>
      </c>
      <c r="L6468" s="3" t="str">
        <f>IFERROR(__xludf.DUMMYFUNCTION("GOOGLETRANSLATE(F6468,""id"",""en"")"),"Eight years of Arsenal Sub -District Head was stranded for the fourth caste before standing a colorful world champion podium story Emi Martinez was really wild")</f>
        <v>Eight years of Arsenal Sub -District Head was stranded for the fourth caste before standing a colorful world champion podium story Emi Martinez was really wild</v>
      </c>
    </row>
    <row r="6469" ht="15.75" customHeight="1">
      <c r="A6469" s="1">
        <v>7664.0</v>
      </c>
      <c r="B6469" s="3" t="s">
        <v>18583</v>
      </c>
      <c r="C6469" s="3">
        <v>0.0</v>
      </c>
      <c r="D6469" s="3">
        <v>0.0</v>
      </c>
      <c r="E6469" s="3">
        <v>0.0</v>
      </c>
      <c r="F6469" s="3" t="s">
        <v>18584</v>
      </c>
      <c r="G6469" s="3">
        <v>0.0</v>
      </c>
      <c r="H6469" s="3">
        <v>0.0</v>
      </c>
      <c r="I6469" s="3" t="s">
        <v>13</v>
      </c>
      <c r="J6469" s="3" t="s">
        <v>18585</v>
      </c>
      <c r="K6469" s="3" t="s">
        <v>71</v>
      </c>
      <c r="L6469" s="3" t="str">
        <f>IFERROR(__xludf.DUMMYFUNCTION("GOOGLETRANSLATE(F6469,""id"",""en"")"),"Lionel Messi lost sandals while celebrating the World Cup title with his Argentine national team colleagues")</f>
        <v>Lionel Messi lost sandals while celebrating the World Cup title with his Argentine national team colleagues</v>
      </c>
    </row>
    <row r="6470" ht="15.75" customHeight="1">
      <c r="A6470" s="1">
        <v>7665.0</v>
      </c>
      <c r="B6470" s="3" t="s">
        <v>18586</v>
      </c>
      <c r="C6470" s="3">
        <v>0.0</v>
      </c>
      <c r="D6470" s="3">
        <v>0.0</v>
      </c>
      <c r="E6470" s="3">
        <v>1.0</v>
      </c>
      <c r="F6470" s="3" t="s">
        <v>18587</v>
      </c>
      <c r="G6470" s="3">
        <v>0.3</v>
      </c>
      <c r="H6470" s="3">
        <v>1.0</v>
      </c>
      <c r="I6470" s="3" t="s">
        <v>48</v>
      </c>
      <c r="J6470" s="3" t="s">
        <v>18588</v>
      </c>
      <c r="K6470" s="3" t="s">
        <v>2215</v>
      </c>
      <c r="L6470" s="3" t="str">
        <f>IFERROR(__xludf.DUMMYFUNCTION("GOOGLETRANSLATE(F6470,""id"",""en"")"),"The output of Mongolia December Result Shio Horse Taiwan Prediction Wednesday December Best Shio Naga BBFS")</f>
        <v>The output of Mongolia December Result Shio Horse Taiwan Prediction Wednesday December Best Shio Naga BBFS</v>
      </c>
    </row>
    <row r="6471" ht="15.75" customHeight="1">
      <c r="A6471" s="1">
        <v>7666.0</v>
      </c>
      <c r="B6471" s="3" t="s">
        <v>18589</v>
      </c>
      <c r="C6471" s="3">
        <v>0.0</v>
      </c>
      <c r="D6471" s="3">
        <v>0.0</v>
      </c>
      <c r="E6471" s="3">
        <v>1.0</v>
      </c>
      <c r="F6471" s="3" t="s">
        <v>18590</v>
      </c>
      <c r="G6471" s="3">
        <v>0.3</v>
      </c>
      <c r="H6471" s="3">
        <v>1.0</v>
      </c>
      <c r="I6471" s="3" t="s">
        <v>48</v>
      </c>
      <c r="J6471" s="3" t="s">
        <v>18591</v>
      </c>
      <c r="K6471" s="3" t="s">
        <v>2215</v>
      </c>
      <c r="L6471" s="3" t="str">
        <f>IFERROR(__xludf.DUMMYFUNCTION("GOOGLETRANSLATE(F6471,""id"",""en"")"),"Grabpools December Output Result Shio Chicken Prediction Mongolia Wednesday December Best Shio Snake BBFS")</f>
        <v>Grabpools December Output Result Shio Chicken Prediction Mongolia Wednesday December Best Shio Snake BBFS</v>
      </c>
    </row>
    <row r="6472" ht="15.75" customHeight="1">
      <c r="A6472" s="1">
        <v>7667.0</v>
      </c>
      <c r="B6472" s="3" t="s">
        <v>18592</v>
      </c>
      <c r="C6472" s="3">
        <v>0.0</v>
      </c>
      <c r="D6472" s="3">
        <v>0.0</v>
      </c>
      <c r="E6472" s="3">
        <v>2.0</v>
      </c>
      <c r="F6472" s="3" t="s">
        <v>18593</v>
      </c>
      <c r="G6472" s="3">
        <v>0.0</v>
      </c>
      <c r="H6472" s="3">
        <v>0.0</v>
      </c>
      <c r="I6472" s="3" t="s">
        <v>13</v>
      </c>
      <c r="J6472" s="3" t="s">
        <v>18594</v>
      </c>
      <c r="K6472" s="3" t="s">
        <v>15</v>
      </c>
      <c r="L6472" s="3" t="str">
        <f>IFERROR(__xludf.DUMMYFUNCTION("GOOGLETRANSLATE(F6472,""id"",""en"")"),"Photo of Argentina Celebration World Cup Champion Ends Riot")</f>
        <v>Photo of Argentina Celebration World Cup Champion Ends Riot</v>
      </c>
    </row>
    <row r="6473" ht="15.75" customHeight="1">
      <c r="A6473" s="1">
        <v>7668.0</v>
      </c>
      <c r="B6473" s="3" t="s">
        <v>18595</v>
      </c>
      <c r="C6473" s="3">
        <v>0.0</v>
      </c>
      <c r="D6473" s="3">
        <v>0.0</v>
      </c>
      <c r="E6473" s="3">
        <v>1.0</v>
      </c>
      <c r="F6473" s="3" t="s">
        <v>18596</v>
      </c>
      <c r="G6473" s="3">
        <v>0.3</v>
      </c>
      <c r="H6473" s="3">
        <v>1.0</v>
      </c>
      <c r="I6473" s="3" t="s">
        <v>48</v>
      </c>
      <c r="J6473" s="3" t="s">
        <v>18597</v>
      </c>
      <c r="K6473" s="3" t="s">
        <v>2215</v>
      </c>
      <c r="L6473" s="3" t="str">
        <f>IFERROR(__xludf.DUMMYFUNCTION("GOOGLETRANSLATE(F6473,""id"",""en"")"),"Japan December Output Result Shio Kuda Singapore Prediction Wednesday December Best Shio Pig Bbfs")</f>
        <v>Japan December Output Result Shio Kuda Singapore Prediction Wednesday December Best Shio Pig Bbfs</v>
      </c>
    </row>
    <row r="6474" ht="15.75" customHeight="1">
      <c r="A6474" s="1">
        <v>7669.0</v>
      </c>
      <c r="B6474" s="3" t="s">
        <v>18598</v>
      </c>
      <c r="C6474" s="3">
        <v>0.0</v>
      </c>
      <c r="D6474" s="3">
        <v>0.0</v>
      </c>
      <c r="E6474" s="3">
        <v>1.0</v>
      </c>
      <c r="F6474" s="3" t="s">
        <v>18599</v>
      </c>
      <c r="G6474" s="3">
        <v>0.3</v>
      </c>
      <c r="H6474" s="3">
        <v>1.0</v>
      </c>
      <c r="I6474" s="3" t="s">
        <v>48</v>
      </c>
      <c r="J6474" s="3" t="s">
        <v>18600</v>
      </c>
      <c r="K6474" s="3" t="s">
        <v>1479</v>
      </c>
      <c r="L6474" s="3" t="str">
        <f>IFERROR(__xludf.DUMMYFUNCTION("GOOGLETRANSLATE(F6474,""id"",""en"")"),"December China Output Results Shio Dog Prediction Japan Wednesday December Best Shio Bbfs Dogs")</f>
        <v>December China Output Results Shio Dog Prediction Japan Wednesday December Best Shio Bbfs Dogs</v>
      </c>
    </row>
    <row r="6475" ht="15.75" customHeight="1">
      <c r="A6475" s="1">
        <v>7670.0</v>
      </c>
      <c r="B6475" s="3" t="s">
        <v>18601</v>
      </c>
      <c r="C6475" s="3">
        <v>0.0</v>
      </c>
      <c r="D6475" s="3">
        <v>0.0</v>
      </c>
      <c r="E6475" s="3">
        <v>1.0</v>
      </c>
      <c r="F6475" s="3" t="s">
        <v>18602</v>
      </c>
      <c r="G6475" s="3">
        <v>0.3</v>
      </c>
      <c r="H6475" s="3">
        <v>1.0</v>
      </c>
      <c r="I6475" s="3" t="s">
        <v>48</v>
      </c>
      <c r="J6475" s="3" t="s">
        <v>18603</v>
      </c>
      <c r="K6475" s="3" t="s">
        <v>2215</v>
      </c>
      <c r="L6475" s="3" t="str">
        <f>IFERROR(__xludf.DUMMYFUNCTION("GOOGLETRANSLATE(F6475,""id"",""en"")"),"The output of Sydney December Result Shio Monkey China Prediction Wednesday December Best Shio Buffalo BBFS")</f>
        <v>The output of Sydney December Result Shio Monkey China Prediction Wednesday December Best Shio Buffalo BBFS</v>
      </c>
    </row>
    <row r="6476" ht="15.75" customHeight="1">
      <c r="A6476" s="1">
        <v>7671.0</v>
      </c>
      <c r="B6476" s="3" t="s">
        <v>18604</v>
      </c>
      <c r="C6476" s="3">
        <v>0.0</v>
      </c>
      <c r="D6476" s="3">
        <v>0.0</v>
      </c>
      <c r="E6476" s="3">
        <v>1.0</v>
      </c>
      <c r="F6476" s="3" t="s">
        <v>18605</v>
      </c>
      <c r="G6476" s="3">
        <v>0.3</v>
      </c>
      <c r="H6476" s="3">
        <v>1.0</v>
      </c>
      <c r="I6476" s="3" t="s">
        <v>48</v>
      </c>
      <c r="J6476" s="3" t="s">
        <v>18606</v>
      </c>
      <c r="K6476" s="3" t="s">
        <v>2215</v>
      </c>
      <c r="L6476" s="3" t="str">
        <f>IFERROR(__xludf.DUMMYFUNCTION("GOOGLETRANSLATE(F6476,""id"",""en"")"),"Cambodia December Output Result Shio Rabbit Prediction Sydney Wednesday December Best Shio Buffalo BBFS")</f>
        <v>Cambodia December Output Result Shio Rabbit Prediction Sydney Wednesday December Best Shio Buffalo BBFS</v>
      </c>
    </row>
    <row r="6477" ht="15.75" customHeight="1">
      <c r="A6477" s="1">
        <v>7672.0</v>
      </c>
      <c r="B6477" s="3" t="s">
        <v>18607</v>
      </c>
      <c r="C6477" s="3">
        <v>1.0</v>
      </c>
      <c r="D6477" s="3">
        <v>0.0</v>
      </c>
      <c r="E6477" s="3">
        <v>0.0</v>
      </c>
      <c r="F6477" s="3" t="s">
        <v>18608</v>
      </c>
      <c r="G6477" s="3">
        <v>0.0</v>
      </c>
      <c r="H6477" s="3">
        <v>0.0</v>
      </c>
      <c r="I6477" s="3" t="s">
        <v>13</v>
      </c>
      <c r="J6477" s="3" t="s">
        <v>18609</v>
      </c>
      <c r="K6477" s="3" t="s">
        <v>75</v>
      </c>
      <c r="L6477" s="3" t="str">
        <f>IFERROR(__xludf.DUMMYFUNCTION("GOOGLETRANSLATE(F6477,""id"",""en"")"),"Hello, I'm from the future, I just want to tell you that Argentina has champions")</f>
        <v>Hello, I'm from the future, I just want to tell you that Argentina has champions</v>
      </c>
    </row>
    <row r="6478" ht="15.75" customHeight="1">
      <c r="A6478" s="1">
        <v>7673.0</v>
      </c>
      <c r="B6478" s="3" t="s">
        <v>18610</v>
      </c>
      <c r="C6478" s="3">
        <v>1.0</v>
      </c>
      <c r="D6478" s="3">
        <v>0.0</v>
      </c>
      <c r="E6478" s="3">
        <v>0.0</v>
      </c>
      <c r="F6478" s="3" t="s">
        <v>18611</v>
      </c>
      <c r="G6478" s="3">
        <v>0.0</v>
      </c>
      <c r="H6478" s="3">
        <v>0.0</v>
      </c>
      <c r="I6478" s="3" t="s">
        <v>13</v>
      </c>
      <c r="J6478" s="3" t="s">
        <v>18612</v>
      </c>
      <c r="K6478" s="3" t="s">
        <v>19</v>
      </c>
      <c r="L6478" s="3" t="str">
        <f>IFERROR(__xludf.DUMMYFUNCTION("GOOGLETRANSLATE(F6478,""id"",""en"")"),"If so, Argentine players are more diligent in the Koran and Prayers, so they can be world champions")</f>
        <v>If so, Argentine players are more diligent in the Koran and Prayers, so they can be world champions</v>
      </c>
    </row>
    <row r="6479" ht="15.75" customHeight="1">
      <c r="A6479" s="1">
        <v>7674.0</v>
      </c>
      <c r="B6479" s="3" t="s">
        <v>18613</v>
      </c>
      <c r="C6479" s="3">
        <v>0.0</v>
      </c>
      <c r="D6479" s="3">
        <v>0.0</v>
      </c>
      <c r="E6479" s="3">
        <v>0.0</v>
      </c>
      <c r="F6479" s="3" t="s">
        <v>18614</v>
      </c>
      <c r="G6479" s="3">
        <v>0.05</v>
      </c>
      <c r="H6479" s="3">
        <v>0.05</v>
      </c>
      <c r="I6479" s="3" t="s">
        <v>48</v>
      </c>
      <c r="J6479" s="3" t="s">
        <v>18615</v>
      </c>
      <c r="K6479" s="3" t="s">
        <v>1061</v>
      </c>
      <c r="L6479" s="3" t="str">
        <f>IFERROR(__xludf.DUMMYFUNCTION("GOOGLETRANSLATE(F6479,""id"",""en"")"),"Well, you answer Lloris too, if you become a champion, you will use it, only Argentina Yeah The Western Media Soooo Butthurt Call that Cultural Appropriation is Sirik.")</f>
        <v>Well, you answer Lloris too, if you become a champion, you will use it, only Argentina Yeah The Western Media Soooo Butthurt Call that Cultural Appropriation is Sirik.</v>
      </c>
    </row>
    <row r="6480" ht="15.75" customHeight="1">
      <c r="A6480" s="1">
        <v>7675.0</v>
      </c>
      <c r="B6480" s="3" t="s">
        <v>18616</v>
      </c>
      <c r="C6480" s="3">
        <v>0.0</v>
      </c>
      <c r="D6480" s="3">
        <v>0.0</v>
      </c>
      <c r="E6480" s="3">
        <v>0.0</v>
      </c>
      <c r="F6480" s="3" t="s">
        <v>18617</v>
      </c>
      <c r="G6480" s="3">
        <v>0.0</v>
      </c>
      <c r="H6480" s="3">
        <v>0.0</v>
      </c>
      <c r="I6480" s="3" t="s">
        <v>13</v>
      </c>
      <c r="J6480" s="3" t="s">
        <v>18618</v>
      </c>
      <c r="K6480" s="3" t="s">
        <v>463</v>
      </c>
      <c r="L6480" s="3" t="str">
        <f>IFERROR(__xludf.DUMMYFUNCTION("GOOGLETRANSLATE(F6480,""id"",""en"")"),"If Aguero is sure to be able to take part in lifting the trophy if Argentina loses while Salt Bae wants anyone to champion can still take the trophy there is just the nature of the chef not ever participated in the pressure test")</f>
        <v>If Aguero is sure to be able to take part in lifting the trophy if Argentina loses while Salt Bae wants anyone to champion can still take the trophy there is just the nature of the chef not ever participated in the pressure test</v>
      </c>
    </row>
    <row r="6481" ht="15.75" customHeight="1">
      <c r="A6481" s="1">
        <v>7676.0</v>
      </c>
      <c r="B6481" s="3" t="s">
        <v>18619</v>
      </c>
      <c r="C6481" s="3">
        <v>0.0</v>
      </c>
      <c r="D6481" s="3">
        <v>0.0</v>
      </c>
      <c r="E6481" s="3">
        <v>0.0</v>
      </c>
      <c r="F6481" s="3" t="s">
        <v>18620</v>
      </c>
      <c r="G6481" s="3">
        <v>0.0</v>
      </c>
      <c r="H6481" s="3">
        <v>0.0</v>
      </c>
      <c r="I6481" s="3" t="s">
        <v>13</v>
      </c>
      <c r="J6481" s="3" t="s">
        <v>18621</v>
      </c>
      <c r="K6481" s="3" t="s">
        <v>23</v>
      </c>
      <c r="L6481" s="3" t="str">
        <f>IFERROR(__xludf.DUMMYFUNCTION("GOOGLETRANSLATE(F6481,""id"",""en"")"),"It's easy, it's simple, Argentina, the world champion, is facing France, meaning that Argentina is a goal surplus over France, they don't watch Pan Pan Football")</f>
        <v>It's easy, it's simple, Argentina, the world champion, is facing France, meaning that Argentina is a goal surplus over France, they don't watch Pan Pan Football</v>
      </c>
    </row>
    <row r="6482" ht="15.75" customHeight="1">
      <c r="A6482" s="1">
        <v>7677.0</v>
      </c>
      <c r="B6482" s="3" t="s">
        <v>18622</v>
      </c>
      <c r="C6482" s="3">
        <v>0.0</v>
      </c>
      <c r="D6482" s="3">
        <v>0.0</v>
      </c>
      <c r="E6482" s="3">
        <v>1.0</v>
      </c>
      <c r="F6482" s="3" t="s">
        <v>18623</v>
      </c>
      <c r="G6482" s="3">
        <v>0.0</v>
      </c>
      <c r="H6482" s="3">
        <v>0.0</v>
      </c>
      <c r="I6482" s="3" t="s">
        <v>13</v>
      </c>
      <c r="J6482" s="3" t="s">
        <v>18624</v>
      </c>
      <c r="K6482" s="3" t="s">
        <v>75</v>
      </c>
      <c r="L6482" s="3" t="str">
        <f>IFERROR(__xludf.DUMMYFUNCTION("GOOGLETRANSLATE(F6482,""id"",""en"")"),"Argentina World Cup Champion Parade Ricuh is determined to jump the bus via")</f>
        <v>Argentina World Cup Champion Parade Ricuh is determined to jump the bus via</v>
      </c>
    </row>
    <row r="6483" ht="15.75" customHeight="1">
      <c r="A6483" s="1">
        <v>7678.0</v>
      </c>
      <c r="B6483" s="3" t="s">
        <v>18625</v>
      </c>
      <c r="C6483" s="3">
        <v>0.0</v>
      </c>
      <c r="D6483" s="3">
        <v>0.0</v>
      </c>
      <c r="E6483" s="3">
        <v>0.0</v>
      </c>
      <c r="F6483" s="3" t="s">
        <v>18626</v>
      </c>
      <c r="G6483" s="3">
        <v>0.4</v>
      </c>
      <c r="H6483" s="3">
        <v>0.4</v>
      </c>
      <c r="I6483" s="3" t="s">
        <v>48</v>
      </c>
      <c r="J6483" s="3" t="s">
        <v>18627</v>
      </c>
      <c r="K6483" s="3" t="s">
        <v>31</v>
      </c>
      <c r="L6483" s="3" t="str">
        <f>IFERROR(__xludf.DUMMYFUNCTION("GOOGLETRANSLATE(F6483,""id"",""en"")"),"Argentina's Borrowing Sound Optimistic Champion")</f>
        <v>Argentina's Borrowing Sound Optimistic Champion</v>
      </c>
    </row>
    <row r="6484" ht="15.75" customHeight="1">
      <c r="A6484" s="1">
        <v>7679.0</v>
      </c>
      <c r="B6484" s="3" t="s">
        <v>18628</v>
      </c>
      <c r="C6484" s="3">
        <v>0.0</v>
      </c>
      <c r="D6484" s="3">
        <v>0.0</v>
      </c>
      <c r="E6484" s="3">
        <v>0.0</v>
      </c>
      <c r="F6484" s="3" t="s">
        <v>18629</v>
      </c>
      <c r="G6484" s="3">
        <v>0.1</v>
      </c>
      <c r="H6484" s="3">
        <v>0.0</v>
      </c>
      <c r="I6484" s="3" t="s">
        <v>13</v>
      </c>
      <c r="J6484" s="3" t="s">
        <v>18630</v>
      </c>
      <c r="K6484" s="3" t="s">
        <v>903</v>
      </c>
      <c r="L6484" s="3" t="str">
        <f>IFERROR(__xludf.DUMMYFUNCTION("GOOGLETRANSLATE(F6484,""id"",""en"")"),"Despite the closure of Messi because of the same position of the existence of Dybala a short time and precisely participating in the Argentina World Cup Champion Bismillah later Dybala will enter the Argentine starting line")</f>
        <v>Despite the closure of Messi because of the same position of the existence of Dybala a short time and precisely participating in the Argentina World Cup Champion Bismillah later Dybala will enter the Argentine starting line</v>
      </c>
    </row>
    <row r="6485" ht="15.75" customHeight="1">
      <c r="A6485" s="1">
        <v>7680.0</v>
      </c>
      <c r="B6485" s="3" t="s">
        <v>18631</v>
      </c>
      <c r="C6485" s="3">
        <v>0.0</v>
      </c>
      <c r="D6485" s="3">
        <v>0.0</v>
      </c>
      <c r="E6485" s="3">
        <v>2.0</v>
      </c>
      <c r="F6485" s="3" t="s">
        <v>18632</v>
      </c>
      <c r="G6485" s="3">
        <v>0.0</v>
      </c>
      <c r="H6485" s="3">
        <v>0.0</v>
      </c>
      <c r="I6485" s="3" t="s">
        <v>13</v>
      </c>
      <c r="J6485" s="3" t="s">
        <v>18633</v>
      </c>
      <c r="K6485" s="3" t="s">
        <v>903</v>
      </c>
      <c r="L6485" s="3" t="str">
        <f>IFERROR(__xludf.DUMMYFUNCTION("GOOGLETRANSLATE(F6485,""id"",""en"")"),"The info Messi played well because of the room with Aguero who always activated and kept Messi's mood indirectly Aguero had a very big hand for Argentina to be champions, don't be allergic to facts")</f>
        <v>The info Messi played well because of the room with Aguero who always activated and kept Messi's mood indirectly Aguero had a very big hand for Argentina to be champions, don't be allergic to facts</v>
      </c>
    </row>
    <row r="6486" ht="15.75" customHeight="1">
      <c r="A6486" s="1">
        <v>7681.0</v>
      </c>
      <c r="B6486" s="3" t="s">
        <v>18634</v>
      </c>
      <c r="C6486" s="3">
        <v>1.0</v>
      </c>
      <c r="D6486" s="3">
        <v>0.0</v>
      </c>
      <c r="E6486" s="3">
        <v>0.0</v>
      </c>
      <c r="F6486" s="3" t="s">
        <v>18635</v>
      </c>
      <c r="G6486" s="3">
        <v>0.0</v>
      </c>
      <c r="H6486" s="3">
        <v>0.0</v>
      </c>
      <c r="I6486" s="3" t="s">
        <v>13</v>
      </c>
      <c r="J6486" s="3" t="s">
        <v>18636</v>
      </c>
      <c r="K6486" s="3" t="s">
        <v>695</v>
      </c>
      <c r="L6486" s="3" t="str">
        <f>IFERROR(__xludf.DUMMYFUNCTION("GOOGLETRANSLATE(F6486,""id"",""en"")"),"ipulll yes finalissima alias UEFA Cup Conmebol champion Euro champion Copa America last summer Italy lost against Argentina")</f>
        <v>ipulll yes finalissima alias UEFA Cup Conmebol champion Euro champion Copa America last summer Italy lost against Argentina</v>
      </c>
    </row>
    <row r="6487" ht="15.75" customHeight="1">
      <c r="A6487" s="1">
        <v>7682.0</v>
      </c>
      <c r="B6487" s="3" t="s">
        <v>18637</v>
      </c>
      <c r="C6487" s="3">
        <v>0.0</v>
      </c>
      <c r="D6487" s="3">
        <v>0.0</v>
      </c>
      <c r="E6487" s="3">
        <v>0.0</v>
      </c>
      <c r="F6487" s="3" t="s">
        <v>18638</v>
      </c>
      <c r="G6487" s="3">
        <v>0.0</v>
      </c>
      <c r="H6487" s="3">
        <v>0.0</v>
      </c>
      <c r="I6487" s="3" t="s">
        <v>13</v>
      </c>
      <c r="J6487" s="3" t="s">
        <v>18639</v>
      </c>
      <c r="K6487" s="3" t="s">
        <v>3612</v>
      </c>
      <c r="L6487" s="3" t="str">
        <f>IFERROR(__xludf.DUMMYFUNCTION("GOOGLETRANSLATE(F6487,""id"",""en"")"),"According to the Vice President, the example of Morocco is the fourth champion in my opinion, for example Argentina the first champion is different from the thoughts of the vice president and the thinking")</f>
        <v>According to the Vice President, the example of Morocco is the fourth champion in my opinion, for example Argentina the first champion is different from the thoughts of the vice president and the thinking</v>
      </c>
    </row>
    <row r="6488" ht="15.75" customHeight="1">
      <c r="A6488" s="1">
        <v>7683.0</v>
      </c>
      <c r="B6488" s="3" t="s">
        <v>18640</v>
      </c>
      <c r="C6488" s="3">
        <v>0.0</v>
      </c>
      <c r="D6488" s="3">
        <v>0.0</v>
      </c>
      <c r="E6488" s="3">
        <v>0.0</v>
      </c>
      <c r="F6488" s="3" t="s">
        <v>18641</v>
      </c>
      <c r="G6488" s="3">
        <v>0.0</v>
      </c>
      <c r="H6488" s="3">
        <v>0.0</v>
      </c>
      <c r="I6488" s="3" t="s">
        <v>13</v>
      </c>
      <c r="J6488" s="3" t="s">
        <v>18642</v>
      </c>
      <c r="K6488" s="3" t="s">
        <v>3497</v>
      </c>
      <c r="L6488" s="3" t="str">
        <f>IFERROR(__xludf.DUMMYFUNCTION("GOOGLETRANSLATE(F6488,""id"",""en"")"),"Argentina World Cup World Champion")</f>
        <v>Argentina World Cup World Champion</v>
      </c>
    </row>
    <row r="6489" ht="15.75" customHeight="1">
      <c r="A6489" s="1">
        <v>7684.0</v>
      </c>
      <c r="B6489" s="3" t="s">
        <v>18643</v>
      </c>
      <c r="C6489" s="3">
        <v>0.0</v>
      </c>
      <c r="D6489" s="3">
        <v>0.0</v>
      </c>
      <c r="E6489" s="3">
        <v>0.0</v>
      </c>
      <c r="F6489" s="3" t="s">
        <v>18644</v>
      </c>
      <c r="G6489" s="3">
        <v>0.0</v>
      </c>
      <c r="H6489" s="3">
        <v>0.0</v>
      </c>
      <c r="I6489" s="3" t="s">
        <v>13</v>
      </c>
      <c r="J6489" s="3" t="s">
        <v>18645</v>
      </c>
      <c r="K6489" s="3" t="s">
        <v>41</v>
      </c>
      <c r="L6489" s="3" t="str">
        <f>IFERROR(__xludf.DUMMYFUNCTION("GOOGLETRANSLATE(F6489,""id"",""en"")"),"Argentina World Champion Conmebol Give a Million Dollar Bonus for AFA")</f>
        <v>Argentina World Champion Conmebol Give a Million Dollar Bonus for AFA</v>
      </c>
    </row>
    <row r="6490" ht="15.75" customHeight="1">
      <c r="A6490" s="1">
        <v>7685.0</v>
      </c>
      <c r="B6490" s="3" t="s">
        <v>18646</v>
      </c>
      <c r="C6490" s="3">
        <v>1.0</v>
      </c>
      <c r="D6490" s="3">
        <v>0.0</v>
      </c>
      <c r="E6490" s="3">
        <v>0.0</v>
      </c>
      <c r="F6490" s="3" t="s">
        <v>18647</v>
      </c>
      <c r="G6490" s="3">
        <v>0.4</v>
      </c>
      <c r="H6490" s="3">
        <v>0.2</v>
      </c>
      <c r="I6490" s="3" t="s">
        <v>48</v>
      </c>
      <c r="J6490" s="3" t="s">
        <v>18648</v>
      </c>
      <c r="K6490" s="3" t="s">
        <v>2146</v>
      </c>
      <c r="L6490" s="3" t="str">
        <f>IFERROR(__xludf.DUMMYFUNCTION("GOOGLETRANSLATE(F6490,""id"",""en"")"),"So yesterday I thought of Nobar but fortunately the place of Nobar was full so watching at home this new time cried because the first jersey ball and Argentina that was bought and used by the body finally champions as long as the age of fans and Barcelona"&amp;" had never cried hahaha")</f>
        <v>So yesterday I thought of Nobar but fortunately the place of Nobar was full so watching at home this new time cried because the first jersey ball and Argentina that was bought and used by the body finally champions as long as the age of fans and Barcelona had never cried hahaha</v>
      </c>
    </row>
    <row r="6491" ht="15.75" customHeight="1">
      <c r="A6491" s="1">
        <v>7686.0</v>
      </c>
      <c r="B6491" s="3" t="s">
        <v>18649</v>
      </c>
      <c r="C6491" s="3">
        <v>0.0</v>
      </c>
      <c r="D6491" s="3">
        <v>0.0</v>
      </c>
      <c r="E6491" s="3">
        <v>0.0</v>
      </c>
      <c r="F6491" s="3" t="s">
        <v>18650</v>
      </c>
      <c r="G6491" s="3">
        <v>0.0</v>
      </c>
      <c r="H6491" s="3">
        <v>0.0</v>
      </c>
      <c r="I6491" s="3" t="s">
        <v>13</v>
      </c>
      <c r="J6491" s="3" t="s">
        <v>18651</v>
      </c>
      <c r="K6491" s="3" t="s">
        <v>510</v>
      </c>
      <c r="L6491" s="3" t="str">
        <f>IFERROR(__xludf.DUMMYFUNCTION("GOOGLETRANSLATE(F6491,""id"",""en"")"),"Messi was greeted like a hero arriving in his hometown carrying the Argentine national team champions of the World Cup")</f>
        <v>Messi was greeted like a hero arriving in his hometown carrying the Argentine national team champions of the World Cup</v>
      </c>
    </row>
    <row r="6492" ht="15.75" customHeight="1">
      <c r="A6492" s="1">
        <v>7687.0</v>
      </c>
      <c r="B6492" s="3" t="s">
        <v>18652</v>
      </c>
      <c r="C6492" s="3">
        <v>0.0</v>
      </c>
      <c r="D6492" s="3">
        <v>0.0</v>
      </c>
      <c r="E6492" s="3">
        <v>0.0</v>
      </c>
      <c r="F6492" s="3" t="s">
        <v>18653</v>
      </c>
      <c r="G6492" s="3">
        <v>0.2333333333333333</v>
      </c>
      <c r="H6492" s="3">
        <v>-0.25</v>
      </c>
      <c r="I6492" s="3" t="s">
        <v>179</v>
      </c>
      <c r="J6492" s="3" t="s">
        <v>18654</v>
      </c>
      <c r="K6492" s="3" t="s">
        <v>41</v>
      </c>
      <c r="L6492" s="3" t="str">
        <f>IFERROR(__xludf.DUMMYFUNCTION("GOOGLETRANSLATE(F6492,""id"",""en"")"),"Moment Ricuh Parade Argentina Champion Looting up to Street Duel")</f>
        <v>Moment Ricuh Parade Argentina Champion Looting up to Street Duel</v>
      </c>
    </row>
    <row r="6493" ht="15.75" customHeight="1">
      <c r="A6493" s="1">
        <v>7688.0</v>
      </c>
      <c r="B6493" s="3" t="s">
        <v>18655</v>
      </c>
      <c r="C6493" s="3">
        <v>0.0</v>
      </c>
      <c r="D6493" s="3">
        <v>0.0</v>
      </c>
      <c r="E6493" s="3">
        <v>0.0</v>
      </c>
      <c r="F6493" s="3" t="s">
        <v>18656</v>
      </c>
      <c r="G6493" s="3">
        <v>0.0</v>
      </c>
      <c r="H6493" s="3">
        <v>0.0</v>
      </c>
      <c r="I6493" s="3" t="s">
        <v>13</v>
      </c>
      <c r="J6493" s="3" t="s">
        <v>18657</v>
      </c>
      <c r="K6493" s="3" t="s">
        <v>172</v>
      </c>
      <c r="L6493" s="3" t="str">
        <f>IFERROR(__xludf.DUMMYFUNCTION("GOOGLETRANSLATE(F6493,""id"",""en"")"),"It's not that I don't have a sense of humanity, but Mbappe also teased haaland using the celebration of people, it was okay, France was also a lot of usage when it was the usual champion's turn to do the Argentine player, so it")</f>
        <v>It's not that I don't have a sense of humanity, but Mbappe also teased haaland using the celebration of people, it was okay, France was also a lot of usage when it was the usual champion's turn to do the Argentine player, so it</v>
      </c>
    </row>
    <row r="6494" ht="15.75" customHeight="1">
      <c r="A6494" s="1">
        <v>7689.0</v>
      </c>
      <c r="B6494" s="3" t="s">
        <v>18658</v>
      </c>
      <c r="C6494" s="3">
        <v>2.0</v>
      </c>
      <c r="D6494" s="3">
        <v>19.0</v>
      </c>
      <c r="E6494" s="3">
        <v>97.0</v>
      </c>
      <c r="F6494" s="3" t="s">
        <v>18659</v>
      </c>
      <c r="G6494" s="3">
        <v>0.0</v>
      </c>
      <c r="H6494" s="3">
        <v>0.0</v>
      </c>
      <c r="I6494" s="3" t="s">
        <v>13</v>
      </c>
      <c r="J6494" s="3" t="s">
        <v>18660</v>
      </c>
      <c r="K6494" s="3" t="s">
        <v>273</v>
      </c>
      <c r="L6494" s="3" t="str">
        <f>IFERROR(__xludf.DUMMYFUNCTION("GOOGLETRANSLATE(F6494,""id"",""en"")"),"The latest Messi may be a byword after Argentina champion but Martinez's expertise under the goal should not be forgotten besides that the actions of his stretch as long and after the World Cup also made him even more in the spotlight about Emi Martinez")</f>
        <v>The latest Messi may be a byword after Argentina champion but Martinez's expertise under the goal should not be forgotten besides that the actions of his stretch as long and after the World Cup also made him even more in the spotlight about Emi Martinez</v>
      </c>
    </row>
    <row r="6495" ht="15.75" customHeight="1">
      <c r="A6495" s="1">
        <v>7690.0</v>
      </c>
      <c r="B6495" s="3" t="s">
        <v>18661</v>
      </c>
      <c r="C6495" s="3">
        <v>1.0</v>
      </c>
      <c r="D6495" s="3">
        <v>0.0</v>
      </c>
      <c r="E6495" s="3">
        <v>1.0</v>
      </c>
      <c r="F6495" s="3" t="s">
        <v>18662</v>
      </c>
      <c r="G6495" s="3">
        <v>0.1916666666666667</v>
      </c>
      <c r="H6495" s="3">
        <v>0.05833333333333333</v>
      </c>
      <c r="I6495" s="3" t="s">
        <v>48</v>
      </c>
      <c r="J6495" s="3" t="s">
        <v>18663</v>
      </c>
      <c r="K6495" s="3" t="s">
        <v>240</v>
      </c>
      <c r="L6495" s="3" t="str">
        <f>IFERROR(__xludf.DUMMYFUNCTION("GOOGLETRANSLATE(F6495,""id"",""en"")"),"Hunters Argentina World Champion With Midfielder Yan Main Brighton Benfica and Atletico Madrid Portugal in a squad can't be said to be bronze excuse")</f>
        <v>Hunters Argentina World Champion With Midfielder Yan Main Brighton Benfica and Atletico Madrid Portugal in a squad can't be said to be bronze excuse</v>
      </c>
    </row>
    <row r="6496" ht="15.75" customHeight="1">
      <c r="A6496" s="1">
        <v>7691.0</v>
      </c>
      <c r="B6496" s="3" t="s">
        <v>18664</v>
      </c>
      <c r="C6496" s="3">
        <v>0.0</v>
      </c>
      <c r="D6496" s="3">
        <v>0.0</v>
      </c>
      <c r="E6496" s="3">
        <v>0.0</v>
      </c>
      <c r="F6496" s="3" t="s">
        <v>18665</v>
      </c>
      <c r="G6496" s="3">
        <v>0.0</v>
      </c>
      <c r="H6496" s="3">
        <v>0.0</v>
      </c>
      <c r="I6496" s="3" t="s">
        <v>13</v>
      </c>
      <c r="J6496" s="3" t="s">
        <v>18666</v>
      </c>
      <c r="K6496" s="3" t="s">
        <v>184</v>
      </c>
      <c r="L6496" s="3" t="str">
        <f>IFERROR(__xludf.DUMMYFUNCTION("GOOGLETRANSLATE(F6496,""id"",""en"")"),"Ouhh is what makes Argentina champion the World Cup allegedly Rafi Ahmad bribed FIFA to win Argentina in order to entertain the hearts of his eldest child the theory of conspiracy")</f>
        <v>Ouhh is what makes Argentina champion the World Cup allegedly Rafi Ahmad bribed FIFA to win Argentina in order to entertain the hearts of his eldest child the theory of conspiracy</v>
      </c>
    </row>
    <row r="6497" ht="15.75" customHeight="1">
      <c r="A6497" s="1">
        <v>7692.0</v>
      </c>
      <c r="B6497" s="3" t="s">
        <v>18667</v>
      </c>
      <c r="C6497" s="3">
        <v>0.0</v>
      </c>
      <c r="D6497" s="3">
        <v>0.0</v>
      </c>
      <c r="E6497" s="3">
        <v>0.0</v>
      </c>
      <c r="F6497" s="3" t="s">
        <v>18668</v>
      </c>
      <c r="G6497" s="3">
        <v>0.0</v>
      </c>
      <c r="H6497" s="3">
        <v>0.0</v>
      </c>
      <c r="I6497" s="3" t="s">
        <v>13</v>
      </c>
      <c r="J6497" s="3" t="s">
        <v>18669</v>
      </c>
      <c r="K6497" s="3" t="s">
        <v>244</v>
      </c>
      <c r="L6497" s="3" t="str">
        <f>IFERROR(__xludf.DUMMYFUNCTION("GOOGLETRANSLATE(F6497,""id"",""en"")"),"The fact is that if European football does not advance Argentine players do not find European living")</f>
        <v>The fact is that if European football does not advance Argentine players do not find European living</v>
      </c>
    </row>
    <row r="6498" ht="15.75" customHeight="1">
      <c r="A6498" s="1">
        <v>7693.0</v>
      </c>
      <c r="B6498" s="3" t="s">
        <v>18670</v>
      </c>
      <c r="C6498" s="3">
        <v>0.0</v>
      </c>
      <c r="D6498" s="3">
        <v>0.0</v>
      </c>
      <c r="E6498" s="3">
        <v>0.0</v>
      </c>
      <c r="F6498" s="3" t="s">
        <v>18671</v>
      </c>
      <c r="G6498" s="3">
        <v>0.0</v>
      </c>
      <c r="H6498" s="3">
        <v>0.0</v>
      </c>
      <c r="I6498" s="3" t="s">
        <v>13</v>
      </c>
      <c r="J6498" s="3" t="s">
        <v>18672</v>
      </c>
      <c r="K6498" s="3" t="s">
        <v>823</v>
      </c>
      <c r="L6498" s="3" t="str">
        <f>IFERROR(__xludf.DUMMYFUNCTION("GOOGLETRANSLATE(F6498,""id"",""en"")"),"This in Muslim countries is clearly imprisoned, it is better to go home, just go home, if you want to act steadily Argentina, the new champion will be a new history, the new president will finally sleep well")</f>
        <v>This in Muslim countries is clearly imprisoned, it is better to go home, just go home, if you want to act steadily Argentina, the new champion will be a new history, the new president will finally sleep well</v>
      </c>
    </row>
    <row r="6499" ht="15.75" customHeight="1">
      <c r="A6499" s="1">
        <v>7694.0</v>
      </c>
      <c r="B6499" s="3" t="s">
        <v>18673</v>
      </c>
      <c r="C6499" s="3">
        <v>0.0</v>
      </c>
      <c r="D6499" s="3">
        <v>1.0</v>
      </c>
      <c r="E6499" s="3">
        <v>1.0</v>
      </c>
      <c r="F6499" s="3" t="s">
        <v>18674</v>
      </c>
      <c r="G6499" s="3">
        <v>0.0</v>
      </c>
      <c r="H6499" s="3">
        <v>0.0</v>
      </c>
      <c r="I6499" s="3" t="s">
        <v>13</v>
      </c>
      <c r="J6499" s="3" t="s">
        <v>18675</v>
      </c>
      <c r="K6499" s="3" t="s">
        <v>54</v>
      </c>
      <c r="L6499" s="3" t="str">
        <f>IFERROR(__xludf.DUMMYFUNCTION("GOOGLETRANSLATE(F6499,""id"",""en"")"),"Inaugurate House Discussing Argentina World Champion")</f>
        <v>Inaugurate House Discussing Argentina World Champion</v>
      </c>
    </row>
    <row r="6500" ht="15.75" customHeight="1">
      <c r="A6500" s="1">
        <v>7695.0</v>
      </c>
      <c r="B6500" s="3" t="s">
        <v>18676</v>
      </c>
      <c r="C6500" s="3">
        <v>0.0</v>
      </c>
      <c r="D6500" s="3">
        <v>1.0</v>
      </c>
      <c r="E6500" s="3">
        <v>0.0</v>
      </c>
      <c r="F6500" s="3" t="s">
        <v>18677</v>
      </c>
      <c r="G6500" s="3">
        <v>0.0</v>
      </c>
      <c r="H6500" s="3">
        <v>0.0</v>
      </c>
      <c r="I6500" s="3" t="s">
        <v>13</v>
      </c>
      <c r="J6500" s="3" t="s">
        <v>18678</v>
      </c>
      <c r="K6500" s="3" t="s">
        <v>104</v>
      </c>
      <c r="L6500" s="3" t="str">
        <f>IFERROR(__xludf.DUMMYFUNCTION("GOOGLETRANSLATE(F6500,""id"",""en"")"),"Germany after the Argentina Disrespect Culture Champion in Diem Muller Disrespect Barca, the people of the Argentine KEK are called the Double Standard Tuna.")</f>
        <v>Germany after the Argentina Disrespect Culture Champion in Diem Muller Disrespect Barca, the people of the Argentine KEK are called the Double Standard Tuna.</v>
      </c>
    </row>
    <row r="6501" ht="15.75" customHeight="1">
      <c r="A6501" s="1">
        <v>7696.0</v>
      </c>
      <c r="B6501" s="3" t="s">
        <v>18679</v>
      </c>
      <c r="C6501" s="3">
        <v>1.0</v>
      </c>
      <c r="D6501" s="3">
        <v>0.0</v>
      </c>
      <c r="E6501" s="3">
        <v>0.0</v>
      </c>
      <c r="F6501" s="3" t="s">
        <v>18680</v>
      </c>
      <c r="G6501" s="3">
        <v>0.0</v>
      </c>
      <c r="H6501" s="3">
        <v>0.0</v>
      </c>
      <c r="I6501" s="3" t="s">
        <v>13</v>
      </c>
      <c r="J6501" s="3" t="s">
        <v>18681</v>
      </c>
      <c r="K6501" s="3" t="s">
        <v>15</v>
      </c>
      <c r="L6501" s="3" t="str">
        <f>IFERROR(__xludf.DUMMYFUNCTION("GOOGLETRANSLATE(F6501,""id"",""en"")"),"see the tweet celebration of the Argentina championship champion is chaotic")</f>
        <v>see the tweet celebration of the Argentina championship champion is chaotic</v>
      </c>
    </row>
    <row r="6502" ht="15.75" customHeight="1">
      <c r="A6502" s="1">
        <v>7697.0</v>
      </c>
      <c r="B6502" s="3" t="s">
        <v>18682</v>
      </c>
      <c r="C6502" s="3">
        <v>0.0</v>
      </c>
      <c r="D6502" s="3">
        <v>0.0</v>
      </c>
      <c r="E6502" s="3">
        <v>0.0</v>
      </c>
      <c r="F6502" s="3" t="s">
        <v>18683</v>
      </c>
      <c r="G6502" s="3">
        <v>0.0</v>
      </c>
      <c r="H6502" s="3">
        <v>0.0</v>
      </c>
      <c r="I6502" s="3" t="s">
        <v>13</v>
      </c>
      <c r="J6502" s="3" t="s">
        <v>18684</v>
      </c>
      <c r="K6502" s="3" t="s">
        <v>644</v>
      </c>
      <c r="L6502" s="3" t="str">
        <f>IFERROR(__xludf.DUMMYFUNCTION("GOOGLETRANSLATE(F6502,""id"",""en"")"),"Son, Imitate Argentina knows the championship")</f>
        <v>Son, Imitate Argentina knows the championship</v>
      </c>
    </row>
    <row r="6503" ht="15.75" customHeight="1">
      <c r="A6503" s="1">
        <v>7698.0</v>
      </c>
      <c r="B6503" s="3" t="s">
        <v>18685</v>
      </c>
      <c r="C6503" s="3">
        <v>0.0</v>
      </c>
      <c r="D6503" s="3">
        <v>3.0</v>
      </c>
      <c r="E6503" s="3">
        <v>0.0</v>
      </c>
      <c r="F6503" s="3" t="s">
        <v>18686</v>
      </c>
      <c r="G6503" s="3">
        <v>0.0</v>
      </c>
      <c r="H6503" s="3">
        <v>0.0</v>
      </c>
      <c r="I6503" s="3" t="s">
        <v>13</v>
      </c>
      <c r="J6503" s="3" t="s">
        <v>18687</v>
      </c>
      <c r="K6503" s="3" t="s">
        <v>75</v>
      </c>
      <c r="L6503" s="3" t="str">
        <f>IFERROR(__xludf.DUMMYFUNCTION("GOOGLETRANSLATE(F6503,""id"",""en"")"),"This Argentine Youth Celebration Video is even kissing the Head of the Police")</f>
        <v>This Argentine Youth Celebration Video is even kissing the Head of the Police</v>
      </c>
    </row>
    <row r="6504" ht="15.75" customHeight="1">
      <c r="A6504" s="1">
        <v>7699.0</v>
      </c>
      <c r="B6504" s="3" t="s">
        <v>18688</v>
      </c>
      <c r="C6504" s="3">
        <v>0.0</v>
      </c>
      <c r="D6504" s="3">
        <v>0.0</v>
      </c>
      <c r="E6504" s="3">
        <v>0.0</v>
      </c>
      <c r="F6504" s="3" t="s">
        <v>18689</v>
      </c>
      <c r="G6504" s="3">
        <v>0.0</v>
      </c>
      <c r="H6504" s="3">
        <v>0.0</v>
      </c>
      <c r="I6504" s="3" t="s">
        <v>13</v>
      </c>
      <c r="J6504" s="3" t="s">
        <v>18690</v>
      </c>
      <c r="K6504" s="3" t="s">
        <v>149</v>
      </c>
      <c r="L6504" s="3" t="str">
        <f>IFERROR(__xludf.DUMMYFUNCTION("GOOGLETRANSLATE(F6504,""id"",""en"")"),"Bring Ronaldo because I said that I said that they were champions, I was given happiness if I said Emi was wrong, then what was German until the Argentina culture disrespect")</f>
        <v>Bring Ronaldo because I said that I said that they were champions, I was given happiness if I said Emi was wrong, then what was German until the Argentina culture disrespect</v>
      </c>
    </row>
    <row r="6505" ht="15.75" customHeight="1">
      <c r="A6505" s="1">
        <v>7700.0</v>
      </c>
      <c r="B6505" s="3" t="s">
        <v>18691</v>
      </c>
      <c r="C6505" s="3">
        <v>0.0</v>
      </c>
      <c r="D6505" s="3">
        <v>0.0</v>
      </c>
      <c r="E6505" s="3">
        <v>0.0</v>
      </c>
      <c r="F6505" s="3" t="s">
        <v>18692</v>
      </c>
      <c r="G6505" s="3">
        <v>0.2333333333333333</v>
      </c>
      <c r="H6505" s="3">
        <v>-0.25</v>
      </c>
      <c r="I6505" s="3" t="s">
        <v>179</v>
      </c>
      <c r="J6505" s="3" t="s">
        <v>18693</v>
      </c>
      <c r="K6505" s="3" t="s">
        <v>510</v>
      </c>
      <c r="L6505" s="3" t="str">
        <f>IFERROR(__xludf.DUMMYFUNCTION("GOOGLETRANSLATE(F6505,""id"",""en"")"),"The Argentina Pilduun championship parade became a clash, yes, EMG has the intention of kalee yak")</f>
        <v>The Argentina Pilduun championship parade became a clash, yes, EMG has the intention of kalee yak</v>
      </c>
    </row>
    <row r="6506" ht="15.75" customHeight="1">
      <c r="A6506" s="1">
        <v>7701.0</v>
      </c>
      <c r="B6506" s="3" t="s">
        <v>18694</v>
      </c>
      <c r="C6506" s="3">
        <v>1.0</v>
      </c>
      <c r="D6506" s="3">
        <v>0.0</v>
      </c>
      <c r="E6506" s="3">
        <v>0.0</v>
      </c>
      <c r="F6506" s="3" t="s">
        <v>18695</v>
      </c>
      <c r="G6506" s="3">
        <v>0.0</v>
      </c>
      <c r="H6506" s="3">
        <v>0.0</v>
      </c>
      <c r="I6506" s="3" t="s">
        <v>13</v>
      </c>
      <c r="J6506" s="3" t="s">
        <v>18696</v>
      </c>
      <c r="K6506" s="3" t="s">
        <v>510</v>
      </c>
      <c r="L6506" s="3" t="str">
        <f>IFERROR(__xludf.DUMMYFUNCTION("GOOGLETRANSLATE(F6506,""id"",""en"")"),"was Argentina champion not because Emi all dick competed with Leno Kaga Mamp Arsenal")</f>
        <v>was Argentina champion not because Emi all dick competed with Leno Kaga Mamp Arsenal</v>
      </c>
    </row>
    <row r="6507" ht="15.75" customHeight="1">
      <c r="A6507" s="1">
        <v>7702.0</v>
      </c>
      <c r="B6507" s="3" t="s">
        <v>18697</v>
      </c>
      <c r="C6507" s="3">
        <v>0.0</v>
      </c>
      <c r="D6507" s="3">
        <v>0.0</v>
      </c>
      <c r="E6507" s="3">
        <v>0.0</v>
      </c>
      <c r="F6507" s="3" t="s">
        <v>16950</v>
      </c>
      <c r="G6507" s="3">
        <v>0.0</v>
      </c>
      <c r="H6507" s="3">
        <v>0.0</v>
      </c>
      <c r="I6507" s="3" t="s">
        <v>13</v>
      </c>
      <c r="J6507" s="3" t="s">
        <v>16951</v>
      </c>
      <c r="K6507" s="3" t="s">
        <v>31</v>
      </c>
      <c r="L6507" s="3" t="str">
        <f>IFERROR(__xludf.DUMMYFUNCTION("GOOGLETRANSLATE(F6507,""id"",""en"")"),"Argentine championship party ended in clashes")</f>
        <v>Argentine championship party ended in clashes</v>
      </c>
    </row>
    <row r="6508" ht="15.75" customHeight="1">
      <c r="A6508" s="1">
        <v>7703.0</v>
      </c>
      <c r="B6508" s="3" t="s">
        <v>18698</v>
      </c>
      <c r="C6508" s="3">
        <v>1.0</v>
      </c>
      <c r="D6508" s="3">
        <v>0.0</v>
      </c>
      <c r="E6508" s="3">
        <v>0.0</v>
      </c>
      <c r="F6508" s="3" t="s">
        <v>18699</v>
      </c>
      <c r="G6508" s="3">
        <v>0.0</v>
      </c>
      <c r="H6508" s="3">
        <v>0.0</v>
      </c>
      <c r="I6508" s="3" t="s">
        <v>13</v>
      </c>
      <c r="J6508" s="3" t="s">
        <v>18700</v>
      </c>
      <c r="K6508" s="3" t="s">
        <v>1854</v>
      </c>
      <c r="L6508" s="3" t="str">
        <f>IFERROR(__xludf.DUMMYFUNCTION("GOOGLETRANSLATE(F6508,""id"",""en"")"),"Different Different Dick Saying Penggongs etc. Bela Argentina's dick can also affect life so it doesn't use crazy crazy with people is clearly wrong anyway they are champions of love")</f>
        <v>Different Different Dick Saying Penggongs etc. Bela Argentina's dick can also affect life so it doesn't use crazy crazy with people is clearly wrong anyway they are champions of love</v>
      </c>
    </row>
    <row r="6509" ht="15.75" customHeight="1">
      <c r="A6509" s="1">
        <v>7704.0</v>
      </c>
      <c r="B6509" s="3" t="s">
        <v>18701</v>
      </c>
      <c r="C6509" s="3">
        <v>0.0</v>
      </c>
      <c r="D6509" s="3">
        <v>0.0</v>
      </c>
      <c r="E6509" s="3">
        <v>0.0</v>
      </c>
      <c r="F6509" s="3" t="s">
        <v>18702</v>
      </c>
      <c r="G6509" s="3">
        <v>0.0</v>
      </c>
      <c r="H6509" s="3">
        <v>0.0</v>
      </c>
      <c r="I6509" s="3" t="s">
        <v>13</v>
      </c>
      <c r="J6509" s="3" t="s">
        <v>18703</v>
      </c>
      <c r="K6509" s="3" t="s">
        <v>131</v>
      </c>
      <c r="L6509" s="3" t="str">
        <f>IFERROR(__xludf.DUMMYFUNCTION("GOOGLETRANSLATE(F6509,""id"",""en"")"),"The shadow of the song Supporters Argentina who underestimated Brazil mentioned several times Maracana but after Argentina the Brazilian champion invited Messi Maracana to become a moment of things things")</f>
        <v>The shadow of the song Supporters Argentina who underestimated Brazil mentioned several times Maracana but after Argentina the Brazilian champion invited Messi Maracana to become a moment of things things</v>
      </c>
    </row>
    <row r="6510" ht="15.75" customHeight="1">
      <c r="A6510" s="1">
        <v>7705.0</v>
      </c>
      <c r="B6510" s="3" t="s">
        <v>18704</v>
      </c>
      <c r="C6510" s="3">
        <v>1.0</v>
      </c>
      <c r="D6510" s="3">
        <v>0.0</v>
      </c>
      <c r="E6510" s="3">
        <v>0.0</v>
      </c>
      <c r="F6510" s="3" t="s">
        <v>18705</v>
      </c>
      <c r="G6510" s="3">
        <v>0.0</v>
      </c>
      <c r="H6510" s="3">
        <v>0.0</v>
      </c>
      <c r="I6510" s="3" t="s">
        <v>13</v>
      </c>
      <c r="J6510" s="3" t="s">
        <v>18706</v>
      </c>
      <c r="K6510" s="3" t="s">
        <v>15</v>
      </c>
      <c r="L6510" s="3" t="str">
        <f>IFERROR(__xludf.DUMMYFUNCTION("GOOGLETRANSLATE(F6510,""id"",""en"")"),"The Medioker goalkeeper with two saves saved Argentina's dream for the world champion")</f>
        <v>The Medioker goalkeeper with two saves saved Argentina's dream for the world champion</v>
      </c>
    </row>
    <row r="6511" ht="15.75" customHeight="1">
      <c r="A6511" s="1">
        <v>7706.0</v>
      </c>
      <c r="B6511" s="3" t="s">
        <v>18707</v>
      </c>
      <c r="C6511" s="3">
        <v>1.0</v>
      </c>
      <c r="D6511" s="3">
        <v>0.0</v>
      </c>
      <c r="E6511" s="3">
        <v>3.0</v>
      </c>
      <c r="F6511" s="3" t="s">
        <v>18708</v>
      </c>
      <c r="G6511" s="3">
        <v>0.0</v>
      </c>
      <c r="H6511" s="3">
        <v>0.0</v>
      </c>
      <c r="I6511" s="3" t="s">
        <v>13</v>
      </c>
      <c r="J6511" s="3" t="s">
        <v>18709</v>
      </c>
      <c r="K6511" s="3" t="s">
        <v>123</v>
      </c>
      <c r="L6511" s="3" t="str">
        <f>IFERROR(__xludf.DUMMYFUNCTION("GOOGLETRANSLATE(F6511,""id"",""en"")"),"I don't know if Gda Martinez can become a champion that Argentina is crucial block several times sagging Gawa Argentina")</f>
        <v>I don't know if Gda Martinez can become a champion that Argentina is crucial block several times sagging Gawa Argentina</v>
      </c>
    </row>
    <row r="6512" ht="15.75" customHeight="1">
      <c r="A6512" s="1">
        <v>7707.0</v>
      </c>
      <c r="B6512" s="3" t="s">
        <v>18710</v>
      </c>
      <c r="C6512" s="3">
        <v>0.0</v>
      </c>
      <c r="D6512" s="3">
        <v>0.0</v>
      </c>
      <c r="E6512" s="3">
        <v>1.0</v>
      </c>
      <c r="F6512" s="3" t="s">
        <v>18711</v>
      </c>
      <c r="G6512" s="3">
        <v>0.0</v>
      </c>
      <c r="H6512" s="3">
        <v>0.0</v>
      </c>
      <c r="I6512" s="3" t="s">
        <v>13</v>
      </c>
      <c r="J6512" s="3" t="s">
        <v>18712</v>
      </c>
      <c r="K6512" s="3" t="s">
        <v>90</v>
      </c>
      <c r="L6512" s="3" t="str">
        <f>IFERROR(__xludf.DUMMYFUNCTION("GOOGLETRANSLATE(F6512,""id"",""en"")"),"Asheljkt fionyjkt concert three times a week hmm good it is money used by Argentina to attend the celebration of the World Cup championship usually until the day")</f>
        <v>Asheljkt fionyjkt concert three times a week hmm good it is money used by Argentina to attend the celebration of the World Cup championship usually until the day</v>
      </c>
    </row>
    <row r="6513" ht="15.75" customHeight="1">
      <c r="A6513" s="1">
        <v>7708.0</v>
      </c>
      <c r="B6513" s="3" t="s">
        <v>18713</v>
      </c>
      <c r="C6513" s="3">
        <v>0.0</v>
      </c>
      <c r="D6513" s="3">
        <v>0.0</v>
      </c>
      <c r="E6513" s="3">
        <v>0.0</v>
      </c>
      <c r="F6513" s="3" t="s">
        <v>18714</v>
      </c>
      <c r="G6513" s="3">
        <v>0.0</v>
      </c>
      <c r="H6513" s="3">
        <v>0.0</v>
      </c>
      <c r="I6513" s="3" t="s">
        <v>13</v>
      </c>
      <c r="J6513" s="3" t="s">
        <v>18715</v>
      </c>
      <c r="K6513" s="3" t="s">
        <v>1552</v>
      </c>
      <c r="L6513" s="3" t="str">
        <f>IFERROR(__xludf.DUMMYFUNCTION("GOOGLETRANSLATE(F6513,""id"",""en"")"),"He is not just anyone he is only his time Argentina can win the World Cup")</f>
        <v>He is not just anyone he is only his time Argentina can win the World Cup</v>
      </c>
    </row>
    <row r="6514" ht="15.75" customHeight="1">
      <c r="A6514" s="1">
        <v>7709.0</v>
      </c>
      <c r="B6514" s="3" t="s">
        <v>18716</v>
      </c>
      <c r="C6514" s="3">
        <v>0.0</v>
      </c>
      <c r="D6514" s="3">
        <v>0.0</v>
      </c>
      <c r="E6514" s="3">
        <v>1.0</v>
      </c>
      <c r="F6514" s="3" t="s">
        <v>18717</v>
      </c>
      <c r="G6514" s="3">
        <v>0.0</v>
      </c>
      <c r="H6514" s="3">
        <v>0.0</v>
      </c>
      <c r="I6514" s="3" t="s">
        <v>13</v>
      </c>
      <c r="J6514" s="3" t="s">
        <v>18718</v>
      </c>
      <c r="K6514" s="3" t="s">
        <v>240</v>
      </c>
      <c r="L6514" s="3" t="str">
        <f>IFERROR(__xludf.DUMMYFUNCTION("GOOGLETRANSLATE(F6514,""id"",""en"")"),"Salt Bae's annoying behavior at the Argentine celebration to win the World Cup Kiss Trophy and disturb Lionel Messi via")</f>
        <v>Salt Bae's annoying behavior at the Argentine celebration to win the World Cup Kiss Trophy and disturb Lionel Messi via</v>
      </c>
    </row>
    <row r="6515" ht="15.75" customHeight="1">
      <c r="A6515" s="1">
        <v>7710.0</v>
      </c>
      <c r="B6515" s="3" t="s">
        <v>18719</v>
      </c>
      <c r="C6515" s="3">
        <v>0.0</v>
      </c>
      <c r="D6515" s="3">
        <v>0.0</v>
      </c>
      <c r="E6515" s="3">
        <v>0.0</v>
      </c>
      <c r="F6515" s="3" t="s">
        <v>18720</v>
      </c>
      <c r="G6515" s="3">
        <v>0.2333333333333333</v>
      </c>
      <c r="H6515" s="3">
        <v>-0.25</v>
      </c>
      <c r="I6515" s="3" t="s">
        <v>179</v>
      </c>
      <c r="J6515" s="3" t="s">
        <v>18721</v>
      </c>
      <c r="K6515" s="3" t="s">
        <v>41</v>
      </c>
      <c r="L6515" s="3" t="str">
        <f>IFERROR(__xludf.DUMMYFUNCTION("GOOGLETRANSLATE(F6515,""id"",""en"")"),"Ricuh Parade of the Argentine World Champion One Citizen Killed")</f>
        <v>Ricuh Parade of the Argentine World Champion One Citizen Killed</v>
      </c>
    </row>
    <row r="6516" ht="15.75" customHeight="1">
      <c r="A6516" s="1">
        <v>7711.0</v>
      </c>
      <c r="B6516" s="3" t="s">
        <v>18722</v>
      </c>
      <c r="C6516" s="3">
        <v>0.0</v>
      </c>
      <c r="D6516" s="3">
        <v>0.0</v>
      </c>
      <c r="E6516" s="3">
        <v>1.0</v>
      </c>
      <c r="F6516" s="3" t="s">
        <v>18723</v>
      </c>
      <c r="G6516" s="3">
        <v>0.7916666666666667</v>
      </c>
      <c r="H6516" s="3">
        <v>0.2083333333333333</v>
      </c>
      <c r="I6516" s="3" t="s">
        <v>48</v>
      </c>
      <c r="J6516" s="3" t="s">
        <v>18724</v>
      </c>
      <c r="K6516" s="3" t="s">
        <v>584</v>
      </c>
      <c r="L6516" s="3" t="str">
        <f>IFERROR(__xludf.DUMMYFUNCTION("GOOGLETRANSLATE(F6516,""id"",""en"")"),"Anton Mulu Gay rather than Kek so better see Messi and the Argentina national team in more than more after experiencing three successive defeats of the final immediately returned with the championship time not long in the span of time.")</f>
        <v>Anton Mulu Gay rather than Kek so better see Messi and the Argentina national team in more than more after experiencing three successive defeats of the final immediately returned with the championship time not long in the span of time.</v>
      </c>
    </row>
    <row r="6517" ht="15.75" customHeight="1">
      <c r="A6517" s="1">
        <v>7712.0</v>
      </c>
      <c r="B6517" s="3" t="s">
        <v>18725</v>
      </c>
      <c r="C6517" s="3">
        <v>2.0</v>
      </c>
      <c r="D6517" s="3">
        <v>0.0</v>
      </c>
      <c r="E6517" s="3">
        <v>0.0</v>
      </c>
      <c r="F6517" s="3" t="s">
        <v>18726</v>
      </c>
      <c r="G6517" s="3">
        <v>0.0</v>
      </c>
      <c r="H6517" s="3">
        <v>0.0</v>
      </c>
      <c r="I6517" s="3" t="s">
        <v>13</v>
      </c>
      <c r="J6517" s="3" t="s">
        <v>18727</v>
      </c>
      <c r="K6517" s="3" t="s">
        <v>15</v>
      </c>
      <c r="L6517" s="3" t="str">
        <f>IFERROR(__xludf.DUMMYFUNCTION("GOOGLETRANSLATE(F6517,""id"",""en"")"),"Last day Argentina just now Yana Futsal and Basketball Champion")</f>
        <v>Last day Argentina just now Yana Futsal and Basketball Champion</v>
      </c>
    </row>
    <row r="6518" ht="15.75" customHeight="1">
      <c r="A6518" s="1">
        <v>7713.0</v>
      </c>
      <c r="B6518" s="3" t="s">
        <v>18728</v>
      </c>
      <c r="C6518" s="3">
        <v>0.0</v>
      </c>
      <c r="D6518" s="3">
        <v>0.0</v>
      </c>
      <c r="E6518" s="3">
        <v>0.0</v>
      </c>
      <c r="F6518" s="3" t="s">
        <v>18729</v>
      </c>
      <c r="G6518" s="3">
        <v>0.0</v>
      </c>
      <c r="H6518" s="3">
        <v>0.0</v>
      </c>
      <c r="I6518" s="3" t="s">
        <v>13</v>
      </c>
      <c r="J6518" s="3" t="s">
        <v>18730</v>
      </c>
      <c r="K6518" s="3" t="s">
        <v>19</v>
      </c>
      <c r="L6518" s="3" t="str">
        <f>IFERROR(__xludf.DUMMYFUNCTION("GOOGLETRANSLATE(F6518,""id"",""en"")"),"I will be the champion of love Angel Maria predicted to score goals and Argentina won the World Cup")</f>
        <v>I will be the champion of love Angel Maria predicted to score goals and Argentina won the World Cup</v>
      </c>
    </row>
    <row r="6519" ht="15.75" customHeight="1">
      <c r="A6519" s="1">
        <v>7714.0</v>
      </c>
      <c r="B6519" s="3" t="s">
        <v>18731</v>
      </c>
      <c r="C6519" s="3">
        <v>1.0</v>
      </c>
      <c r="D6519" s="3">
        <v>0.0</v>
      </c>
      <c r="E6519" s="3">
        <v>0.0</v>
      </c>
      <c r="F6519" s="3" t="s">
        <v>18732</v>
      </c>
      <c r="G6519" s="3">
        <v>0.0</v>
      </c>
      <c r="H6519" s="3">
        <v>0.0</v>
      </c>
      <c r="I6519" s="3" t="s">
        <v>13</v>
      </c>
      <c r="J6519" s="3" t="s">
        <v>18733</v>
      </c>
      <c r="K6519" s="3" t="s">
        <v>1349</v>
      </c>
      <c r="L6519" s="3" t="str">
        <f>IFERROR(__xludf.DUMMYFUNCTION("GOOGLETRANSLATE(F6519,""id"",""en"")"),"Still monitoring people who are not Argentina, what else to win Penaldo fans want to make any conspiracy free Winner Still Winner")</f>
        <v>Still monitoring people who are not Argentina, what else to win Penaldo fans want to make any conspiracy free Winner Still Winner</v>
      </c>
    </row>
    <row r="6520" ht="15.75" customHeight="1">
      <c r="A6520" s="1">
        <v>7715.0</v>
      </c>
      <c r="B6520" s="3" t="s">
        <v>18734</v>
      </c>
      <c r="C6520" s="3">
        <v>0.0</v>
      </c>
      <c r="D6520" s="3">
        <v>0.0</v>
      </c>
      <c r="E6520" s="3">
        <v>0.0</v>
      </c>
      <c r="F6520" s="3" t="s">
        <v>18735</v>
      </c>
      <c r="G6520" s="3">
        <v>0.0</v>
      </c>
      <c r="H6520" s="3">
        <v>0.0</v>
      </c>
      <c r="I6520" s="3" t="s">
        <v>13</v>
      </c>
      <c r="J6520" s="3" t="s">
        <v>18736</v>
      </c>
      <c r="K6520" s="3" t="s">
        <v>19</v>
      </c>
      <c r="L6520" s="3" t="str">
        <f>IFERROR(__xludf.DUMMYFUNCTION("GOOGLETRANSLATE(F6520,""id"",""en"")"),"Payondangan blinds everything tacky Argentine supporters may have been a year since the world champion")</f>
        <v>Payondangan blinds everything tacky Argentine supporters may have been a year since the world champion</v>
      </c>
    </row>
    <row r="6521" ht="15.75" customHeight="1">
      <c r="A6521" s="1">
        <v>7716.0</v>
      </c>
      <c r="B6521" s="3" t="s">
        <v>18737</v>
      </c>
      <c r="C6521" s="3">
        <v>0.0</v>
      </c>
      <c r="D6521" s="3">
        <v>0.0</v>
      </c>
      <c r="E6521" s="3">
        <v>4.0</v>
      </c>
      <c r="F6521" s="3" t="s">
        <v>18738</v>
      </c>
      <c r="G6521" s="3">
        <v>0.0</v>
      </c>
      <c r="H6521" s="3">
        <v>0.0</v>
      </c>
      <c r="I6521" s="3" t="s">
        <v>13</v>
      </c>
      <c r="J6521" s="3" t="s">
        <v>18739</v>
      </c>
      <c r="K6521" s="3" t="s">
        <v>883</v>
      </c>
      <c r="L6521" s="3" t="str">
        <f>IFERROR(__xludf.DUMMYFUNCTION("GOOGLETRANSLATE(F6521,""id"",""en"")"),"Emiliano Martinez, the best world cup goalkeeper and goalkeeper who brought Argentina, he was one of the goalkeepers who was loved by Lionel Messi")</f>
        <v>Emiliano Martinez, the best world cup goalkeeper and goalkeeper who brought Argentina, he was one of the goalkeepers who was loved by Lionel Messi</v>
      </c>
    </row>
    <row r="6522" ht="15.75" customHeight="1">
      <c r="A6522" s="1">
        <v>7717.0</v>
      </c>
      <c r="B6522" s="3" t="s">
        <v>18740</v>
      </c>
      <c r="C6522" s="3">
        <v>2.0</v>
      </c>
      <c r="D6522" s="3">
        <v>0.0</v>
      </c>
      <c r="E6522" s="3">
        <v>1.0</v>
      </c>
      <c r="F6522" s="3" t="s">
        <v>18741</v>
      </c>
      <c r="G6522" s="3">
        <v>0.0</v>
      </c>
      <c r="H6522" s="3">
        <v>0.0</v>
      </c>
      <c r="I6522" s="3" t="s">
        <v>13</v>
      </c>
      <c r="J6522" s="3" t="s">
        <v>18742</v>
      </c>
      <c r="K6522" s="3" t="s">
        <v>236</v>
      </c>
      <c r="L6522" s="3" t="str">
        <f>IFERROR(__xludf.DUMMYFUNCTION("GOOGLETRANSLATE(F6522,""id"",""en"")"),"Argentina Football world champion if you are champions violating Allah's commands")</f>
        <v>Argentina Football world champion if you are champions violating Allah's commands</v>
      </c>
    </row>
    <row r="6523" ht="15.75" customHeight="1">
      <c r="A6523" s="1">
        <v>7718.0</v>
      </c>
      <c r="B6523" s="3" t="s">
        <v>18743</v>
      </c>
      <c r="C6523" s="3">
        <v>1.0</v>
      </c>
      <c r="D6523" s="3">
        <v>0.0</v>
      </c>
      <c r="E6523" s="3">
        <v>1.0</v>
      </c>
      <c r="F6523" s="3" t="s">
        <v>18744</v>
      </c>
      <c r="G6523" s="3">
        <v>0.4166666666666667</v>
      </c>
      <c r="H6523" s="3">
        <v>0.0875</v>
      </c>
      <c r="I6523" s="3" t="s">
        <v>48</v>
      </c>
      <c r="J6523" s="3" t="s">
        <v>18745</v>
      </c>
      <c r="K6523" s="3" t="s">
        <v>499</v>
      </c>
      <c r="L6523" s="3" t="str">
        <f>IFERROR(__xludf.DUMMYFUNCTION("GOOGLETRANSLATE(F6523,""id"",""en"")"),"Finally DID guys won satoe udh kyk Argentina France wkwkw last but not least wanted to be thanks for our God")</f>
        <v>Finally DID guys won satoe udh kyk Argentina France wkwkw last but not least wanted to be thanks for our God</v>
      </c>
    </row>
    <row r="6524" ht="15.75" customHeight="1">
      <c r="A6524" s="1">
        <v>7719.0</v>
      </c>
      <c r="B6524" s="3" t="s">
        <v>18746</v>
      </c>
      <c r="C6524" s="3">
        <v>0.0</v>
      </c>
      <c r="D6524" s="3">
        <v>0.0</v>
      </c>
      <c r="E6524" s="3">
        <v>0.0</v>
      </c>
      <c r="F6524" s="3" t="s">
        <v>18747</v>
      </c>
      <c r="G6524" s="3">
        <v>0.0</v>
      </c>
      <c r="H6524" s="3">
        <v>0.0</v>
      </c>
      <c r="I6524" s="3" t="s">
        <v>13</v>
      </c>
      <c r="J6524" s="3" t="s">
        <v>18748</v>
      </c>
      <c r="K6524" s="3" t="s">
        <v>1293</v>
      </c>
      <c r="L6524" s="3" t="str">
        <f>IFERROR(__xludf.DUMMYFUNCTION("GOOGLETRANSLATE(F6524,""id"",""en"")"),"Maradona brought Argentina world champion alone was a former Boca player supporting Boca Boca atmosphere of Buenos Aires at that time it was safe")</f>
        <v>Maradona brought Argentina world champion alone was a former Boca player supporting Boca Boca atmosphere of Buenos Aires at that time it was safe</v>
      </c>
    </row>
    <row r="6525" ht="15.75" customHeight="1">
      <c r="A6525" s="1">
        <v>7720.0</v>
      </c>
      <c r="B6525" s="3" t="s">
        <v>18749</v>
      </c>
      <c r="C6525" s="3">
        <v>2.0</v>
      </c>
      <c r="D6525" s="3">
        <v>1.0</v>
      </c>
      <c r="E6525" s="3">
        <v>6.0</v>
      </c>
      <c r="F6525" s="3" t="s">
        <v>18750</v>
      </c>
      <c r="G6525" s="3">
        <v>0.0</v>
      </c>
      <c r="H6525" s="3">
        <v>0.0</v>
      </c>
      <c r="I6525" s="3" t="s">
        <v>13</v>
      </c>
      <c r="J6525" s="3" t="s">
        <v>18678</v>
      </c>
      <c r="K6525" s="3" t="s">
        <v>104</v>
      </c>
      <c r="L6525" s="3" t="str">
        <f>IFERROR(__xludf.DUMMYFUNCTION("GOOGLETRANSLATE(F6525,""id"",""en"")"),"Germany after the Argentina Disrespect Culture Champion in Diem Muller Disrespect Barca, the people of the Argentine KEK are called the Double Standard Tuna.")</f>
        <v>Germany after the Argentina Disrespect Culture Champion in Diem Muller Disrespect Barca, the people of the Argentine KEK are called the Double Standard Tuna.</v>
      </c>
    </row>
    <row r="6526" ht="15.75" customHeight="1">
      <c r="A6526" s="1">
        <v>7721.0</v>
      </c>
      <c r="B6526" s="3" t="s">
        <v>18751</v>
      </c>
      <c r="C6526" s="3">
        <v>1.0</v>
      </c>
      <c r="D6526" s="3">
        <v>2.0</v>
      </c>
      <c r="E6526" s="3">
        <v>6.0</v>
      </c>
      <c r="F6526" s="3" t="s">
        <v>18752</v>
      </c>
      <c r="G6526" s="3">
        <v>0.0</v>
      </c>
      <c r="H6526" s="3">
        <v>0.0</v>
      </c>
      <c r="I6526" s="3" t="s">
        <v>13</v>
      </c>
      <c r="J6526" s="3" t="s">
        <v>18753</v>
      </c>
      <c r="K6526" s="3" t="s">
        <v>1157</v>
      </c>
      <c r="L6526" s="3" t="str">
        <f>IFERROR(__xludf.DUMMYFUNCTION("GOOGLETRANSLATE(F6526,""id"",""en"")"),"Certainly it's just a village with the Argentine national team player who won the German Pzzella and the most noble netijen's favorite, namely Lautaro Martinez Akamsi Bahia Blanca Fergonzi and Cattaneo as well as Papu Gomez from DKI Buenos Aires")</f>
        <v>Certainly it's just a village with the Argentine national team player who won the German Pzzella and the most noble netijen's favorite, namely Lautaro Martinez Akamsi Bahia Blanca Fergonzi and Cattaneo as well as Papu Gomez from DKI Buenos Aires</v>
      </c>
    </row>
    <row r="6527" ht="15.75" customHeight="1">
      <c r="A6527" s="1">
        <v>7722.0</v>
      </c>
      <c r="B6527" s="3" t="s">
        <v>18754</v>
      </c>
      <c r="C6527" s="3">
        <v>1.0</v>
      </c>
      <c r="D6527" s="3">
        <v>0.0</v>
      </c>
      <c r="E6527" s="3">
        <v>8.0</v>
      </c>
      <c r="F6527" s="3" t="s">
        <v>18755</v>
      </c>
      <c r="G6527" s="3">
        <v>0.0</v>
      </c>
      <c r="H6527" s="3">
        <v>0.0</v>
      </c>
      <c r="I6527" s="3" t="s">
        <v>13</v>
      </c>
      <c r="J6527" s="3" t="s">
        <v>18756</v>
      </c>
      <c r="K6527" s="3" t="s">
        <v>437</v>
      </c>
      <c r="L6527" s="3" t="str">
        <f>IFERROR(__xludf.DUMMYFUNCTION("GOOGLETRANSLATE(F6527,""id"",""en"")"),"laahh the picture before the right image of Argentina gathered to celebrate the victory of their country to become world cup world champion")</f>
        <v>laahh the picture before the right image of Argentina gathered to celebrate the victory of their country to become world cup world champion</v>
      </c>
    </row>
    <row r="6528" ht="15.75" customHeight="1">
      <c r="A6528" s="1">
        <v>7723.0</v>
      </c>
      <c r="B6528" s="3" t="s">
        <v>18757</v>
      </c>
      <c r="C6528" s="3">
        <v>0.0</v>
      </c>
      <c r="D6528" s="3">
        <v>4.0</v>
      </c>
      <c r="E6528" s="3">
        <v>0.0</v>
      </c>
      <c r="F6528" s="3" t="s">
        <v>18758</v>
      </c>
      <c r="G6528" s="3">
        <v>0.2333333333333333</v>
      </c>
      <c r="H6528" s="3">
        <v>-0.25</v>
      </c>
      <c r="I6528" s="3" t="s">
        <v>179</v>
      </c>
      <c r="J6528" s="3" t="s">
        <v>18759</v>
      </c>
      <c r="K6528" s="3" t="s">
        <v>19</v>
      </c>
      <c r="L6528" s="3" t="str">
        <f>IFERROR(__xludf.DUMMYFUNCTION("GOOGLETRANSLATE(F6528,""id"",""en"")"),"Argentine supporters jumped from the bridge to ride the Liputan World Cup Champion Parade bus")</f>
        <v>Argentine supporters jumped from the bridge to ride the Liputan World Cup Champion Parade bus</v>
      </c>
    </row>
    <row r="6529" ht="15.75" customHeight="1">
      <c r="A6529" s="1">
        <v>7724.0</v>
      </c>
      <c r="B6529" s="3" t="s">
        <v>18760</v>
      </c>
      <c r="C6529" s="3">
        <v>2.0</v>
      </c>
      <c r="D6529" s="3">
        <v>0.0</v>
      </c>
      <c r="E6529" s="3">
        <v>0.0</v>
      </c>
      <c r="F6529" s="3" t="s">
        <v>18761</v>
      </c>
      <c r="G6529" s="3">
        <v>0.0</v>
      </c>
      <c r="H6529" s="3">
        <v>0.0</v>
      </c>
      <c r="I6529" s="3" t="s">
        <v>13</v>
      </c>
      <c r="J6529" s="3" t="s">
        <v>18762</v>
      </c>
      <c r="K6529" s="3" t="s">
        <v>184</v>
      </c>
      <c r="L6529" s="3" t="str">
        <f>IFERROR(__xludf.DUMMYFUNCTION("GOOGLETRANSLATE(F6529,""id"",""en"")"),"So, if Argentina wants to defer the champion to the stars, you have to create again, people like maradona and Messi, if you don't know, stars stars")</f>
        <v>So, if Argentina wants to defer the champion to the stars, you have to create again, people like maradona and Messi, if you don't know, stars stars</v>
      </c>
    </row>
    <row r="6530" ht="15.75" customHeight="1">
      <c r="A6530" s="1">
        <v>7725.0</v>
      </c>
      <c r="B6530" s="3" t="s">
        <v>18763</v>
      </c>
      <c r="C6530" s="3">
        <v>1.0</v>
      </c>
      <c r="D6530" s="3">
        <v>0.0</v>
      </c>
      <c r="E6530" s="3">
        <v>0.0</v>
      </c>
      <c r="F6530" s="3" t="s">
        <v>18764</v>
      </c>
      <c r="G6530" s="3">
        <v>0.0</v>
      </c>
      <c r="H6530" s="3">
        <v>0.0</v>
      </c>
      <c r="I6530" s="3" t="s">
        <v>13</v>
      </c>
      <c r="J6530" s="3" t="s">
        <v>18765</v>
      </c>
      <c r="K6530" s="3" t="s">
        <v>192</v>
      </c>
      <c r="L6530" s="3" t="str">
        <f>IFERROR(__xludf.DUMMYFUNCTION("GOOGLETRANSLATE(F6530,""id"",""en"")"),"Lah since when did the dodo selepong see the tweet no eluin dodo if you call dodo madrid just a champion UCL means Messi Copa America is also the same as Argentina and a lot of COP")</f>
        <v>Lah since when did the dodo selepong see the tweet no eluin dodo if you call dodo madrid just a champion UCL means Messi Copa America is also the same as Argentina and a lot of COP</v>
      </c>
    </row>
    <row r="6531" ht="15.75" customHeight="1">
      <c r="A6531" s="1">
        <v>7726.0</v>
      </c>
      <c r="B6531" s="3" t="s">
        <v>18766</v>
      </c>
      <c r="C6531" s="3">
        <v>0.0</v>
      </c>
      <c r="D6531" s="3">
        <v>0.0</v>
      </c>
      <c r="E6531" s="3">
        <v>0.0</v>
      </c>
      <c r="F6531" s="3" t="s">
        <v>18767</v>
      </c>
      <c r="G6531" s="3">
        <v>0.0</v>
      </c>
      <c r="H6531" s="3">
        <v>0.0</v>
      </c>
      <c r="I6531" s="3" t="s">
        <v>13</v>
      </c>
      <c r="J6531" s="3" t="s">
        <v>18768</v>
      </c>
      <c r="K6531" s="3" t="s">
        <v>149</v>
      </c>
      <c r="L6531" s="3" t="str">
        <f>IFERROR(__xludf.DUMMYFUNCTION("GOOGLETRANSLATE(F6531,""id"",""en"")"),"Giorza Radite Molina Last Argentina Champion World Cup before this was last year when Argentina fans were only possible, maybe most of it had not been seen at that time, so")</f>
        <v>Giorza Radite Molina Last Argentina Champion World Cup before this was last year when Argentina fans were only possible, maybe most of it had not been seen at that time, so</v>
      </c>
    </row>
    <row r="6532" ht="15.75" customHeight="1">
      <c r="A6532" s="1">
        <v>7727.0</v>
      </c>
      <c r="B6532" s="3" t="s">
        <v>18769</v>
      </c>
      <c r="C6532" s="3">
        <v>3.0</v>
      </c>
      <c r="D6532" s="3">
        <v>2.0</v>
      </c>
      <c r="E6532" s="3">
        <v>16.0</v>
      </c>
      <c r="F6532" s="3" t="s">
        <v>18770</v>
      </c>
      <c r="G6532" s="3">
        <v>0.0</v>
      </c>
      <c r="H6532" s="3">
        <v>0.0</v>
      </c>
      <c r="I6532" s="3" t="s">
        <v>13</v>
      </c>
      <c r="J6532" s="3" t="s">
        <v>18771</v>
      </c>
      <c r="K6532" s="3" t="s">
        <v>15</v>
      </c>
      <c r="L6532" s="3" t="str">
        <f>IFERROR(__xludf.DUMMYFUNCTION("GOOGLETRANSLATE(F6532,""id"",""en"")"),"The Argentine World Cup Champion Celebration Changed to Be Riot")</f>
        <v>The Argentine World Cup Champion Celebration Changed to Be Riot</v>
      </c>
    </row>
    <row r="6533" ht="15.75" customHeight="1">
      <c r="A6533" s="1">
        <v>7728.0</v>
      </c>
      <c r="B6533" s="3" t="s">
        <v>18772</v>
      </c>
      <c r="C6533" s="3">
        <v>1.0</v>
      </c>
      <c r="D6533" s="3">
        <v>0.0</v>
      </c>
      <c r="E6533" s="3">
        <v>0.0</v>
      </c>
      <c r="F6533" s="3" t="s">
        <v>18773</v>
      </c>
      <c r="G6533" s="3">
        <v>0.0</v>
      </c>
      <c r="H6533" s="3">
        <v>0.0</v>
      </c>
      <c r="I6533" s="3" t="s">
        <v>13</v>
      </c>
      <c r="J6533" s="3" t="s">
        <v>18774</v>
      </c>
      <c r="K6533" s="3" t="s">
        <v>426</v>
      </c>
      <c r="L6533" s="3" t="str">
        <f>IFERROR(__xludf.DUMMYFUNCTION("GOOGLETRANSLATE(F6533,""id"",""en"")"),"About the Argentine controversy, the champion also admitted a little things like Pinal of Poland and Paredes should be a red card for kicking the Dutch bench but all Argentine matches are always excellent in the game meaning they deserve champions")</f>
        <v>About the Argentine controversy, the champion also admitted a little things like Pinal of Poland and Paredes should be a red card for kicking the Dutch bench but all Argentine matches are always excellent in the game meaning they deserve champions</v>
      </c>
    </row>
    <row r="6534" ht="15.75" customHeight="1">
      <c r="A6534" s="1">
        <v>7729.0</v>
      </c>
      <c r="B6534" s="3" t="s">
        <v>18775</v>
      </c>
      <c r="C6534" s="3">
        <v>0.0</v>
      </c>
      <c r="D6534" s="3">
        <v>0.0</v>
      </c>
      <c r="E6534" s="3">
        <v>0.0</v>
      </c>
      <c r="F6534" s="3" t="s">
        <v>18776</v>
      </c>
      <c r="G6534" s="3">
        <v>0.3333333333333333</v>
      </c>
      <c r="H6534" s="3">
        <v>0.1666666666666667</v>
      </c>
      <c r="I6534" s="3" t="s">
        <v>48</v>
      </c>
      <c r="J6534" s="3" t="s">
        <v>18777</v>
      </c>
      <c r="K6534" s="3" t="s">
        <v>27</v>
      </c>
      <c r="L6534" s="3" t="str">
        <f>IFERROR(__xludf.DUMMYFUNCTION("GOOGLETRANSLATE(F6534,""id"",""en"")"),"Still Number Want Messi Antarctic Cup Champion Even though Argentina has always won the Portuguese Pildun champion only when Ronaldo played different classes bro")</f>
        <v>Still Number Want Messi Antarctic Cup Champion Even though Argentina has always won the Portuguese Pildun champion only when Ronaldo played different classes bro</v>
      </c>
    </row>
    <row r="6535" ht="15.75" customHeight="1">
      <c r="A6535" s="1">
        <v>7730.0</v>
      </c>
      <c r="B6535" s="3" t="s">
        <v>18778</v>
      </c>
      <c r="C6535" s="3">
        <v>0.0</v>
      </c>
      <c r="D6535" s="3">
        <v>0.0</v>
      </c>
      <c r="E6535" s="3">
        <v>0.0</v>
      </c>
      <c r="F6535" s="3" t="s">
        <v>18779</v>
      </c>
      <c r="G6535" s="3">
        <v>0.0</v>
      </c>
      <c r="H6535" s="3">
        <v>0.0</v>
      </c>
      <c r="I6535" s="3" t="s">
        <v>13</v>
      </c>
      <c r="J6535" s="3" t="s">
        <v>18780</v>
      </c>
      <c r="K6535" s="3" t="s">
        <v>41</v>
      </c>
      <c r="L6535" s="3" t="str">
        <f>IFERROR(__xludf.DUMMYFUNCTION("GOOGLETRANSLATE(F6535,""id"",""en"")"),"Argentina World Cup Champion Receives Indonesian Money Prizes")</f>
        <v>Argentina World Cup Champion Receives Indonesian Money Prizes</v>
      </c>
    </row>
    <row r="6536" ht="15.75" customHeight="1">
      <c r="A6536" s="1">
        <v>7731.0</v>
      </c>
      <c r="B6536" s="3" t="s">
        <v>18781</v>
      </c>
      <c r="C6536" s="3">
        <v>0.0</v>
      </c>
      <c r="D6536" s="3">
        <v>0.0</v>
      </c>
      <c r="E6536" s="3">
        <v>0.0</v>
      </c>
      <c r="F6536" s="3" t="s">
        <v>18779</v>
      </c>
      <c r="G6536" s="3">
        <v>0.0</v>
      </c>
      <c r="H6536" s="3">
        <v>0.0</v>
      </c>
      <c r="I6536" s="3" t="s">
        <v>13</v>
      </c>
      <c r="J6536" s="3" t="s">
        <v>18780</v>
      </c>
      <c r="K6536" s="3" t="s">
        <v>41</v>
      </c>
      <c r="L6536" s="3" t="str">
        <f>IFERROR(__xludf.DUMMYFUNCTION("GOOGLETRANSLATE(F6536,""id"",""en"")"),"Argentina World Cup Champion Receives Indonesian Money Prizes")</f>
        <v>Argentina World Cup Champion Receives Indonesian Money Prizes</v>
      </c>
    </row>
    <row r="6537" ht="15.75" customHeight="1">
      <c r="A6537" s="1">
        <v>7732.0</v>
      </c>
      <c r="B6537" s="3" t="s">
        <v>18782</v>
      </c>
      <c r="C6537" s="3">
        <v>28.0</v>
      </c>
      <c r="D6537" s="3">
        <v>2.0</v>
      </c>
      <c r="E6537" s="3">
        <v>30.0</v>
      </c>
      <c r="F6537" s="3" t="s">
        <v>18783</v>
      </c>
      <c r="G6537" s="3">
        <v>0.2333333333333333</v>
      </c>
      <c r="H6537" s="3">
        <v>-0.25</v>
      </c>
      <c r="I6537" s="3" t="s">
        <v>179</v>
      </c>
      <c r="J6537" s="3" t="s">
        <v>18784</v>
      </c>
      <c r="K6537" s="3" t="s">
        <v>695</v>
      </c>
      <c r="L6537" s="3" t="str">
        <f>IFERROR(__xludf.DUMMYFUNCTION("GOOGLETRANSLATE(F6537,""id"",""en"")"),"The Argentine national team championship parade was colored by okok olok to Kylian Mbappe Fans of the Tango Team until Emiliano Martinez also mocked the French bomber")</f>
        <v>The Argentine national team championship parade was colored by okok olok to Kylian Mbappe Fans of the Tango Team until Emiliano Martinez also mocked the French bomber</v>
      </c>
    </row>
    <row r="6538" ht="15.75" customHeight="1">
      <c r="A6538" s="1">
        <v>7733.0</v>
      </c>
      <c r="B6538" s="3" t="s">
        <v>18785</v>
      </c>
      <c r="C6538" s="3">
        <v>0.0</v>
      </c>
      <c r="D6538" s="3">
        <v>4.0</v>
      </c>
      <c r="E6538" s="3">
        <v>0.0</v>
      </c>
      <c r="F6538" s="3" t="s">
        <v>18786</v>
      </c>
      <c r="G6538" s="3">
        <v>0.0</v>
      </c>
      <c r="H6538" s="3">
        <v>0.0</v>
      </c>
      <c r="I6538" s="3" t="s">
        <v>13</v>
      </c>
      <c r="J6538" s="3" t="s">
        <v>18787</v>
      </c>
      <c r="K6538" s="3" t="s">
        <v>50</v>
      </c>
      <c r="L6538" s="3" t="str">
        <f>IFERROR(__xludf.DUMMYFUNCTION("GOOGLETRANSLATE(F6538,""id"",""en"")"),"The celebration of the World Cup Champion is too crowded with the Argentine national team being evacuated by a coverage helicopter")</f>
        <v>The celebration of the World Cup Champion is too crowded with the Argentine national team being evacuated by a coverage helicopter</v>
      </c>
    </row>
    <row r="6539" ht="15.75" customHeight="1">
      <c r="A6539" s="1">
        <v>7734.0</v>
      </c>
      <c r="B6539" s="3" t="s">
        <v>18788</v>
      </c>
      <c r="C6539" s="3">
        <v>0.0</v>
      </c>
      <c r="D6539" s="3">
        <v>0.0</v>
      </c>
      <c r="E6539" s="3">
        <v>0.0</v>
      </c>
      <c r="F6539" s="3" t="s">
        <v>18789</v>
      </c>
      <c r="G6539" s="3">
        <v>0.0</v>
      </c>
      <c r="H6539" s="3">
        <v>0.0</v>
      </c>
      <c r="I6539" s="3" t="s">
        <v>13</v>
      </c>
      <c r="J6539" s="3" t="s">
        <v>18790</v>
      </c>
      <c r="K6539" s="3" t="s">
        <v>348</v>
      </c>
      <c r="L6539" s="3" t="str">
        <f>IFERROR(__xludf.DUMMYFUNCTION("GOOGLETRANSLATE(F6539,""id"",""en"")"),"Vietnam national team coach Park Hang Seo dragged the big name of the new world champion Argentina ahead of the inaugural match against Laos AFF Cup")</f>
        <v>Vietnam national team coach Park Hang Seo dragged the big name of the new world champion Argentina ahead of the inaugural match against Laos AFF Cup</v>
      </c>
    </row>
    <row r="6540" ht="15.75" customHeight="1">
      <c r="A6540" s="1">
        <v>7735.0</v>
      </c>
      <c r="B6540" s="3" t="s">
        <v>18791</v>
      </c>
      <c r="C6540" s="3">
        <v>0.0</v>
      </c>
      <c r="D6540" s="3">
        <v>0.0</v>
      </c>
      <c r="E6540" s="3">
        <v>0.0</v>
      </c>
      <c r="F6540" s="3" t="s">
        <v>18789</v>
      </c>
      <c r="G6540" s="3">
        <v>0.0</v>
      </c>
      <c r="H6540" s="3">
        <v>0.0</v>
      </c>
      <c r="I6540" s="3" t="s">
        <v>13</v>
      </c>
      <c r="J6540" s="3" t="s">
        <v>18790</v>
      </c>
      <c r="K6540" s="3" t="s">
        <v>348</v>
      </c>
      <c r="L6540" s="3" t="str">
        <f>IFERROR(__xludf.DUMMYFUNCTION("GOOGLETRANSLATE(F6540,""id"",""en"")"),"Vietnam national team coach Park Hang Seo dragged the big name of the new world champion Argentina ahead of the inaugural match against Laos AFF Cup")</f>
        <v>Vietnam national team coach Park Hang Seo dragged the big name of the new world champion Argentina ahead of the inaugural match against Laos AFF Cup</v>
      </c>
    </row>
    <row r="6541" ht="15.75" customHeight="1">
      <c r="A6541" s="1">
        <v>7736.0</v>
      </c>
      <c r="B6541" s="3" t="s">
        <v>18792</v>
      </c>
      <c r="C6541" s="3">
        <v>4.0</v>
      </c>
      <c r="D6541" s="3">
        <v>6.0</v>
      </c>
      <c r="E6541" s="3">
        <v>128.0</v>
      </c>
      <c r="F6541" s="3" t="s">
        <v>18793</v>
      </c>
      <c r="G6541" s="3">
        <v>0.0</v>
      </c>
      <c r="H6541" s="3">
        <v>0.0</v>
      </c>
      <c r="I6541" s="3" t="s">
        <v>13</v>
      </c>
      <c r="J6541" s="3" t="s">
        <v>18794</v>
      </c>
      <c r="K6541" s="3" t="s">
        <v>41</v>
      </c>
      <c r="L6541" s="3" t="str">
        <f>IFERROR(__xludf.DUMMYFUNCTION("GOOGLETRANSLATE(F6541,""id"",""en"")"),"The community expressed their happiness after the Tango team became champions in various ways")</f>
        <v>The community expressed their happiness after the Tango team became champions in various ways</v>
      </c>
    </row>
    <row r="6542" ht="15.75" customHeight="1">
      <c r="A6542" s="1">
        <v>7737.0</v>
      </c>
      <c r="B6542" s="3" t="s">
        <v>18795</v>
      </c>
      <c r="C6542" s="3">
        <v>0.0</v>
      </c>
      <c r="D6542" s="3">
        <v>0.0</v>
      </c>
      <c r="E6542" s="3">
        <v>0.0</v>
      </c>
      <c r="F6542" s="3" t="s">
        <v>18796</v>
      </c>
      <c r="G6542" s="3">
        <v>0.0</v>
      </c>
      <c r="H6542" s="3">
        <v>0.0</v>
      </c>
      <c r="I6542" s="3" t="s">
        <v>13</v>
      </c>
      <c r="J6542" s="3" t="s">
        <v>18797</v>
      </c>
      <c r="K6542" s="3" t="s">
        <v>15</v>
      </c>
      <c r="L6542" s="3" t="str">
        <f>IFERROR(__xludf.DUMMYFUNCTION("GOOGLETRANSLATE(F6542,""id"",""en"")"),"Argentina is indeed a champion but all the videos are intended for Njenengan Gus")</f>
        <v>Argentina is indeed a champion but all the videos are intended for Njenengan Gus</v>
      </c>
    </row>
    <row r="6543" ht="15.75" customHeight="1">
      <c r="A6543" s="1">
        <v>7738.0</v>
      </c>
      <c r="B6543" s="3" t="s">
        <v>18798</v>
      </c>
      <c r="C6543" s="3">
        <v>1.0</v>
      </c>
      <c r="D6543" s="3">
        <v>0.0</v>
      </c>
      <c r="E6543" s="3">
        <v>1.0</v>
      </c>
      <c r="F6543" s="3" t="s">
        <v>18799</v>
      </c>
      <c r="G6543" s="3">
        <v>0.3333333333333333</v>
      </c>
      <c r="H6543" s="3">
        <v>0.1666666666666667</v>
      </c>
      <c r="I6543" s="3" t="s">
        <v>48</v>
      </c>
      <c r="J6543" s="3" t="s">
        <v>18800</v>
      </c>
      <c r="K6543" s="3" t="s">
        <v>441</v>
      </c>
      <c r="L6543" s="3" t="str">
        <f>IFERROR(__xludf.DUMMYFUNCTION("GOOGLETRANSLATE(F6543,""id"",""en"")"),"Want to break the baby's baby grandmother Salto playing football is the end result, mas to concede if you win just want to say that Argentina is allowed but France is still heart that is officially recognized by Argentina champions")</f>
        <v>Want to break the baby's baby grandmother Salto playing football is the end result, mas to concede if you win just want to say that Argentina is allowed but France is still heart that is officially recognized by Argentina champions</v>
      </c>
    </row>
    <row r="6544" ht="15.75" customHeight="1">
      <c r="A6544" s="1">
        <v>7739.0</v>
      </c>
      <c r="B6544" s="3" t="s">
        <v>18801</v>
      </c>
      <c r="C6544" s="3">
        <v>0.0</v>
      </c>
      <c r="D6544" s="3">
        <v>0.0</v>
      </c>
      <c r="E6544" s="3">
        <v>0.0</v>
      </c>
      <c r="F6544" s="3" t="s">
        <v>18802</v>
      </c>
      <c r="G6544" s="3">
        <v>0.2333333333333333</v>
      </c>
      <c r="H6544" s="3">
        <v>-0.25</v>
      </c>
      <c r="I6544" s="3" t="s">
        <v>179</v>
      </c>
      <c r="J6544" s="3" t="s">
        <v>18803</v>
      </c>
      <c r="K6544" s="3" t="s">
        <v>75</v>
      </c>
      <c r="L6544" s="3" t="str">
        <f>IFERROR(__xludf.DUMMYFUNCTION("GOOGLETRANSLATE(F6544,""id"",""en"")"),"Messi and Argentina squad almost a deadly accident when the parade of their citizen championship could be killed")</f>
        <v>Messi and Argentina squad almost a deadly accident when the parade of their citizen championship could be killed</v>
      </c>
    </row>
    <row r="6545" ht="15.75" customHeight="1">
      <c r="A6545" s="1">
        <v>7740.0</v>
      </c>
      <c r="B6545" s="3" t="s">
        <v>18804</v>
      </c>
      <c r="C6545" s="3">
        <v>0.0</v>
      </c>
      <c r="D6545" s="3">
        <v>0.0</v>
      </c>
      <c r="E6545" s="3">
        <v>0.0</v>
      </c>
      <c r="G6545" s="3">
        <v>0.0</v>
      </c>
      <c r="H6545" s="3">
        <v>0.0</v>
      </c>
      <c r="I6545" s="3" t="s">
        <v>13</v>
      </c>
      <c r="J6545" s="3" t="s">
        <v>16049</v>
      </c>
      <c r="K6545" s="3" t="s">
        <v>16050</v>
      </c>
      <c r="L6545" s="3" t="str">
        <f>IFERROR(__xludf.DUMMYFUNCTION("GOOGLETRANSLATE(F6545,""id"",""en"")"),"#VALUE!")</f>
        <v>#VALUE!</v>
      </c>
    </row>
    <row r="6546" ht="15.75" customHeight="1">
      <c r="A6546" s="1">
        <v>7741.0</v>
      </c>
      <c r="B6546" s="3" t="s">
        <v>18805</v>
      </c>
      <c r="C6546" s="3">
        <v>2.0</v>
      </c>
      <c r="D6546" s="3">
        <v>1.0</v>
      </c>
      <c r="E6546" s="3">
        <v>1.0</v>
      </c>
      <c r="F6546" s="3" t="s">
        <v>18806</v>
      </c>
      <c r="G6546" s="3">
        <v>0.0</v>
      </c>
      <c r="H6546" s="3">
        <v>0.0</v>
      </c>
      <c r="I6546" s="3" t="s">
        <v>13</v>
      </c>
      <c r="J6546" s="3" t="s">
        <v>18807</v>
      </c>
      <c r="K6546" s="3" t="s">
        <v>477</v>
      </c>
      <c r="L6546" s="3" t="str">
        <f>IFERROR(__xludf.DUMMYFUNCTION("GOOGLETRANSLATE(F6546,""id"",""en"")"),"wkwk really exciting to read comments commented when Argentina champions")</f>
        <v>wkwk really exciting to read comments commented when Argentina champions</v>
      </c>
    </row>
    <row r="6547" ht="15.75" customHeight="1">
      <c r="A6547" s="1">
        <v>7742.0</v>
      </c>
      <c r="B6547" s="3" t="s">
        <v>18808</v>
      </c>
      <c r="C6547" s="3">
        <v>0.0</v>
      </c>
      <c r="D6547" s="3">
        <v>1.0</v>
      </c>
      <c r="E6547" s="3">
        <v>9.0</v>
      </c>
      <c r="F6547" s="3" t="s">
        <v>18809</v>
      </c>
      <c r="G6547" s="3">
        <v>0.0</v>
      </c>
      <c r="H6547" s="3">
        <v>0.0</v>
      </c>
      <c r="I6547" s="3" t="s">
        <v>13</v>
      </c>
      <c r="J6547" s="3" t="s">
        <v>18810</v>
      </c>
      <c r="K6547" s="3" t="s">
        <v>127</v>
      </c>
      <c r="L6547" s="3" t="str">
        <f>IFERROR(__xludf.DUMMYFUNCTION("GOOGLETRANSLATE(F6547,""id"",""en"")"),"Joy still covers the Argentine national team player after the World Cup champion Captain Lionel Messi also showed off his togetherness with the trophy of the bed")</f>
        <v>Joy still covers the Argentine national team player after the World Cup champion Captain Lionel Messi also showed off his togetherness with the trophy of the bed</v>
      </c>
    </row>
    <row r="6548" ht="15.75" customHeight="1">
      <c r="A6548" s="1">
        <v>7743.0</v>
      </c>
      <c r="B6548" s="3" t="s">
        <v>18811</v>
      </c>
      <c r="C6548" s="3">
        <v>0.0</v>
      </c>
      <c r="D6548" s="3">
        <v>0.0</v>
      </c>
      <c r="E6548" s="3">
        <v>0.0</v>
      </c>
      <c r="F6548" s="3" t="s">
        <v>18812</v>
      </c>
      <c r="G6548" s="3">
        <v>0.0</v>
      </c>
      <c r="H6548" s="3">
        <v>0.0</v>
      </c>
      <c r="I6548" s="3" t="s">
        <v>13</v>
      </c>
      <c r="J6548" s="3" t="s">
        <v>18813</v>
      </c>
      <c r="K6548" s="3" t="s">
        <v>54</v>
      </c>
      <c r="L6548" s="3" t="str">
        <f>IFERROR(__xludf.DUMMYFUNCTION("GOOGLETRANSLATE(F6548,""id"",""en"")"),"Let Goo Try the Sender First Appears")</f>
        <v>Let Goo Try the Sender First Appears</v>
      </c>
    </row>
    <row r="6549" ht="15.75" customHeight="1">
      <c r="A6549" s="1">
        <v>7744.0</v>
      </c>
      <c r="B6549" s="3" t="s">
        <v>18814</v>
      </c>
      <c r="C6549" s="3">
        <v>0.0</v>
      </c>
      <c r="D6549" s="3">
        <v>0.0</v>
      </c>
      <c r="E6549" s="3">
        <v>0.0</v>
      </c>
      <c r="F6549" s="3" t="s">
        <v>18815</v>
      </c>
      <c r="G6549" s="3">
        <v>1.0</v>
      </c>
      <c r="H6549" s="3">
        <v>1.0</v>
      </c>
      <c r="I6549" s="3" t="s">
        <v>48</v>
      </c>
      <c r="J6549" s="3" t="s">
        <v>18816</v>
      </c>
      <c r="K6549" s="3" t="s">
        <v>273</v>
      </c>
      <c r="L6549" s="3" t="str">
        <f>IFERROR(__xludf.DUMMYFUNCTION("GOOGLETRANSLATE(F6549,""id"",""en"")"),"Want to discuss the era of anyone's players there is no business, right, why is it that you deserve to say The Greatest Player All time remember the Football Player is not because of the complete trophy, but there is no second.")</f>
        <v>Want to discuss the era of anyone's players there is no business, right, why is it that you deserve to say The Greatest Player All time remember the Football Player is not because of the complete trophy, but there is no second.</v>
      </c>
    </row>
    <row r="6550" ht="15.75" customHeight="1">
      <c r="A6550" s="1">
        <v>7745.0</v>
      </c>
      <c r="B6550" s="3" t="s">
        <v>18817</v>
      </c>
      <c r="C6550" s="3">
        <v>0.0</v>
      </c>
      <c r="D6550" s="3">
        <v>1.0</v>
      </c>
      <c r="E6550" s="3">
        <v>2.0</v>
      </c>
      <c r="F6550" s="3" t="s">
        <v>18818</v>
      </c>
      <c r="G6550" s="3">
        <v>0.5</v>
      </c>
      <c r="H6550" s="3">
        <v>0.5</v>
      </c>
      <c r="I6550" s="3" t="s">
        <v>48</v>
      </c>
      <c r="J6550" s="3" t="s">
        <v>18819</v>
      </c>
      <c r="K6550" s="3" t="s">
        <v>1925</v>
      </c>
      <c r="L6550" s="3" t="str">
        <f>IFERROR(__xludf.DUMMYFUNCTION("GOOGLETRANSLATE(F6550,""id"",""en"")"),"Alexis Mac Allister became part of the Argentine squad for the World Cup champions afterwards Mac Allister became a hunt for European club clubs from Arsenal to Juve")</f>
        <v>Alexis Mac Allister became part of the Argentine squad for the World Cup champions afterwards Mac Allister became a hunt for European club clubs from Arsenal to Juve</v>
      </c>
    </row>
    <row r="6551" ht="15.75" customHeight="1">
      <c r="A6551" s="1">
        <v>7746.0</v>
      </c>
      <c r="B6551" s="3" t="s">
        <v>18820</v>
      </c>
      <c r="C6551" s="3">
        <v>1.0</v>
      </c>
      <c r="D6551" s="3">
        <v>0.0</v>
      </c>
      <c r="E6551" s="3">
        <v>0.0</v>
      </c>
      <c r="F6551" s="3" t="s">
        <v>18821</v>
      </c>
      <c r="G6551" s="3">
        <v>0.475</v>
      </c>
      <c r="H6551" s="3">
        <v>-0.02500000000000002</v>
      </c>
      <c r="I6551" s="3" t="s">
        <v>179</v>
      </c>
      <c r="J6551" s="3" t="s">
        <v>18822</v>
      </c>
      <c r="K6551" s="3" t="s">
        <v>495</v>
      </c>
      <c r="L6551" s="3" t="str">
        <f>IFERROR(__xludf.DUMMYFUNCTION("GOOGLETRANSLATE(F6551,""id"",""en"")"),"Tody, if you look at full game, there are many saves who saved Argentina's life during this pildun, according to the results of this champion, sure that Martinez will play more")</f>
        <v>Tody, if you look at full game, there are many saves who saved Argentina's life during this pildun, according to the results of this champion, sure that Martinez will play more</v>
      </c>
    </row>
    <row r="6552" ht="15.75" customHeight="1">
      <c r="A6552" s="1">
        <v>7747.0</v>
      </c>
      <c r="B6552" s="3" t="s">
        <v>18823</v>
      </c>
      <c r="C6552" s="3">
        <v>0.0</v>
      </c>
      <c r="D6552" s="3">
        <v>0.0</v>
      </c>
      <c r="E6552" s="3">
        <v>0.0</v>
      </c>
      <c r="F6552" s="3" t="s">
        <v>18824</v>
      </c>
      <c r="G6552" s="3">
        <v>0.2333333333333333</v>
      </c>
      <c r="H6552" s="3">
        <v>-0.25</v>
      </c>
      <c r="I6552" s="3" t="s">
        <v>179</v>
      </c>
      <c r="J6552" s="3" t="s">
        <v>18825</v>
      </c>
      <c r="K6552" s="3" t="s">
        <v>82</v>
      </c>
      <c r="L6552" s="3" t="str">
        <f>IFERROR(__xludf.DUMMYFUNCTION("GOOGLETRANSLATE(F6552,""id"",""en"")"),"The Argentine national team champion parade is estimated to be present")</f>
        <v>The Argentine national team champion parade is estimated to be present</v>
      </c>
    </row>
    <row r="6553" ht="15.75" customHeight="1">
      <c r="A6553" s="1">
        <v>7748.0</v>
      </c>
      <c r="B6553" s="3" t="s">
        <v>18826</v>
      </c>
      <c r="C6553" s="3">
        <v>0.0</v>
      </c>
      <c r="D6553" s="3">
        <v>0.0</v>
      </c>
      <c r="E6553" s="3">
        <v>0.0</v>
      </c>
      <c r="F6553" s="3" t="s">
        <v>18827</v>
      </c>
      <c r="G6553" s="3">
        <v>0.0</v>
      </c>
      <c r="H6553" s="3">
        <v>0.0</v>
      </c>
      <c r="I6553" s="3" t="s">
        <v>13</v>
      </c>
      <c r="J6553" s="3" t="s">
        <v>18828</v>
      </c>
      <c r="K6553" s="3" t="s">
        <v>15</v>
      </c>
      <c r="L6553" s="3" t="str">
        <f>IFERROR(__xludf.DUMMYFUNCTION("GOOGLETRANSLATE(F6553,""id"",""en"")"),"millions of Argentine supporters dissolve in the World Cup championship party")</f>
        <v>millions of Argentine supporters dissolve in the World Cup championship party</v>
      </c>
    </row>
    <row r="6554" ht="15.75" customHeight="1">
      <c r="A6554" s="1">
        <v>7749.0</v>
      </c>
      <c r="B6554" s="3" t="s">
        <v>18829</v>
      </c>
      <c r="C6554" s="3">
        <v>0.0</v>
      </c>
      <c r="D6554" s="3">
        <v>0.0</v>
      </c>
      <c r="E6554" s="3">
        <v>0.0</v>
      </c>
      <c r="F6554" s="3" t="s">
        <v>18830</v>
      </c>
      <c r="G6554" s="3">
        <v>0.0</v>
      </c>
      <c r="H6554" s="3">
        <v>0.0</v>
      </c>
      <c r="I6554" s="3" t="s">
        <v>13</v>
      </c>
      <c r="J6554" s="3" t="s">
        <v>18831</v>
      </c>
      <c r="K6554" s="3" t="s">
        <v>41</v>
      </c>
      <c r="L6554" s="3" t="str">
        <f>IFERROR(__xludf.DUMMYFUNCTION("GOOGLETRANSLATE(F6554,""id"",""en"")"),"Ricuh Parade Argentina Champion Dead Chief Year Coma")</f>
        <v>Ricuh Parade Argentina Champion Dead Chief Year Coma</v>
      </c>
    </row>
    <row r="6555" ht="15.75" customHeight="1">
      <c r="A6555" s="1">
        <v>7750.0</v>
      </c>
      <c r="B6555" s="3" t="s">
        <v>18832</v>
      </c>
      <c r="C6555" s="3">
        <v>1.0</v>
      </c>
      <c r="D6555" s="3">
        <v>0.0</v>
      </c>
      <c r="E6555" s="3">
        <v>0.0</v>
      </c>
      <c r="F6555" s="3" t="s">
        <v>18833</v>
      </c>
      <c r="G6555" s="3">
        <v>0.0</v>
      </c>
      <c r="H6555" s="3">
        <v>0.0</v>
      </c>
      <c r="I6555" s="3" t="s">
        <v>13</v>
      </c>
      <c r="J6555" s="3" t="s">
        <v>18834</v>
      </c>
      <c r="K6555" s="3" t="s">
        <v>942</v>
      </c>
      <c r="L6555" s="3" t="str">
        <f>IFERROR(__xludf.DUMMYFUNCTION("GOOGLETRANSLATE(F6555,""id"",""en"")"),"Champion Discussing the Era of the Player But Forgotten Discussed Diunun The Era Player Where Majapahit")</f>
        <v>Champion Discussing the Era of the Player But Forgotten Discussed Diunun The Era Player Where Majapahit</v>
      </c>
    </row>
    <row r="6556" ht="15.75" customHeight="1">
      <c r="A6556" s="1">
        <v>7751.0</v>
      </c>
      <c r="B6556" s="3" t="s">
        <v>18835</v>
      </c>
      <c r="C6556" s="3">
        <v>1.0</v>
      </c>
      <c r="D6556" s="3">
        <v>0.0</v>
      </c>
      <c r="E6556" s="3">
        <v>0.0</v>
      </c>
      <c r="F6556" s="3" t="s">
        <v>18836</v>
      </c>
      <c r="G6556" s="3">
        <v>0.0</v>
      </c>
      <c r="H6556" s="3">
        <v>0.0</v>
      </c>
      <c r="I6556" s="3" t="s">
        <v>13</v>
      </c>
      <c r="J6556" s="3" t="s">
        <v>18837</v>
      </c>
      <c r="K6556" s="3" t="s">
        <v>15</v>
      </c>
      <c r="L6556" s="3" t="str">
        <f>IFERROR(__xludf.DUMMYFUNCTION("GOOGLETRANSLATE(F6556,""id"",""en"")"),"Many Argentine national team players champion Pilduun Playing EPL")</f>
        <v>Many Argentine national team players champion Pilduun Playing EPL</v>
      </c>
    </row>
    <row r="6557" ht="15.75" customHeight="1">
      <c r="A6557" s="1">
        <v>7752.0</v>
      </c>
      <c r="B6557" s="3" t="s">
        <v>18838</v>
      </c>
      <c r="C6557" s="3">
        <v>0.0</v>
      </c>
      <c r="D6557" s="3">
        <v>0.0</v>
      </c>
      <c r="E6557" s="3">
        <v>0.0</v>
      </c>
      <c r="F6557" s="3" t="s">
        <v>18839</v>
      </c>
      <c r="G6557" s="3">
        <v>0.2333333333333333</v>
      </c>
      <c r="H6557" s="3">
        <v>-0.25</v>
      </c>
      <c r="I6557" s="3" t="s">
        <v>179</v>
      </c>
      <c r="J6557" s="3" t="s">
        <v>18840</v>
      </c>
      <c r="K6557" s="3" t="s">
        <v>15</v>
      </c>
      <c r="L6557" s="3" t="str">
        <f>IFERROR(__xludf.DUMMYFUNCTION("GOOGLETRANSLATE(F6557,""id"",""en"")"),"Argentine players were evacuated by helicopters during the full championship parade")</f>
        <v>Argentine players were evacuated by helicopters during the full championship parade</v>
      </c>
    </row>
    <row r="6558" ht="15.75" customHeight="1">
      <c r="A6558" s="1">
        <v>7753.0</v>
      </c>
      <c r="B6558" s="3" t="s">
        <v>18841</v>
      </c>
      <c r="C6558" s="3">
        <v>0.0</v>
      </c>
      <c r="D6558" s="3">
        <v>0.0</v>
      </c>
      <c r="E6558" s="3">
        <v>0.0</v>
      </c>
      <c r="F6558" s="3" t="s">
        <v>18842</v>
      </c>
      <c r="G6558" s="3">
        <v>0.0</v>
      </c>
      <c r="H6558" s="3">
        <v>0.0</v>
      </c>
      <c r="I6558" s="3" t="s">
        <v>13</v>
      </c>
      <c r="J6558" s="3" t="s">
        <v>18843</v>
      </c>
      <c r="K6558" s="3" t="s">
        <v>510</v>
      </c>
      <c r="L6558" s="3" t="str">
        <f>IFERROR(__xludf.DUMMYFUNCTION("GOOGLETRANSLATE(F6558,""id"",""en"")"),"Yesterday when Argentina champions, how come Messi didn't make goat tuku maybe Belio forgot my wallet")</f>
        <v>Yesterday when Argentina champions, how come Messi didn't make goat tuku maybe Belio forgot my wallet</v>
      </c>
    </row>
    <row r="6559" ht="15.75" customHeight="1">
      <c r="A6559" s="1">
        <v>7754.0</v>
      </c>
      <c r="B6559" s="3" t="s">
        <v>18844</v>
      </c>
      <c r="C6559" s="3">
        <v>0.0</v>
      </c>
      <c r="D6559" s="3">
        <v>0.0</v>
      </c>
      <c r="E6559" s="3">
        <v>0.0</v>
      </c>
      <c r="F6559" s="3" t="s">
        <v>18845</v>
      </c>
      <c r="G6559" s="3">
        <v>0.0</v>
      </c>
      <c r="H6559" s="3">
        <v>0.0</v>
      </c>
      <c r="I6559" s="3" t="s">
        <v>13</v>
      </c>
      <c r="J6559" s="3" t="s">
        <v>18846</v>
      </c>
      <c r="K6559" s="3" t="s">
        <v>41</v>
      </c>
      <c r="L6559" s="3" t="str">
        <f>IFERROR(__xludf.DUMMYFUNCTION("GOOGLETRANSLATE(F6559,""id"",""en"")"),"Brazil is still FIFA even though Argentina Champion World Cup Read more")</f>
        <v>Brazil is still FIFA even though Argentina Champion World Cup Read more</v>
      </c>
    </row>
    <row r="6560" ht="15.75" customHeight="1">
      <c r="A6560" s="1">
        <v>7755.0</v>
      </c>
      <c r="B6560" s="3" t="s">
        <v>18847</v>
      </c>
      <c r="C6560" s="3">
        <v>0.0</v>
      </c>
      <c r="D6560" s="3">
        <v>0.0</v>
      </c>
      <c r="E6560" s="3">
        <v>0.0</v>
      </c>
      <c r="F6560" s="3" t="s">
        <v>18848</v>
      </c>
      <c r="G6560" s="3">
        <v>0.2333333333333333</v>
      </c>
      <c r="H6560" s="3">
        <v>-0.25</v>
      </c>
      <c r="I6560" s="3" t="s">
        <v>179</v>
      </c>
      <c r="J6560" s="3" t="s">
        <v>18849</v>
      </c>
      <c r="K6560" s="3" t="s">
        <v>15</v>
      </c>
      <c r="L6560" s="3" t="str">
        <f>IFERROR(__xludf.DUMMYFUNCTION("GOOGLETRANSLATE(F6560,""id"",""en"")"),"Emi Martinez Carrying Mbappe Doll during the Argentine Champion Parade")</f>
        <v>Emi Martinez Carrying Mbappe Doll during the Argentine Champion Parade</v>
      </c>
    </row>
    <row r="6561" ht="15.75" customHeight="1">
      <c r="A6561" s="1">
        <v>7756.0</v>
      </c>
      <c r="B6561" s="3" t="s">
        <v>18850</v>
      </c>
      <c r="C6561" s="3">
        <v>0.0</v>
      </c>
      <c r="D6561" s="3">
        <v>0.0</v>
      </c>
      <c r="E6561" s="3">
        <v>0.0</v>
      </c>
      <c r="F6561" s="3" t="s">
        <v>18851</v>
      </c>
      <c r="G6561" s="3">
        <v>0.0</v>
      </c>
      <c r="H6561" s="3">
        <v>0.0</v>
      </c>
      <c r="I6561" s="3" t="s">
        <v>13</v>
      </c>
      <c r="J6561" s="3" t="s">
        <v>18852</v>
      </c>
      <c r="K6561" s="3" t="s">
        <v>2117</v>
      </c>
      <c r="L6561" s="3" t="str">
        <f>IFERROR(__xludf.DUMMYFUNCTION("GOOGLETRANSLATE(F6561,""id"",""en"")"),"Argentina Champion ASU")</f>
        <v>Argentina Champion ASU</v>
      </c>
    </row>
    <row r="6562" ht="15.75" customHeight="1">
      <c r="A6562" s="1">
        <v>7757.0</v>
      </c>
      <c r="B6562" s="3" t="s">
        <v>18853</v>
      </c>
      <c r="C6562" s="3">
        <v>2.0</v>
      </c>
      <c r="D6562" s="3">
        <v>0.0</v>
      </c>
      <c r="E6562" s="3">
        <v>0.0</v>
      </c>
      <c r="F6562" s="3" t="s">
        <v>18854</v>
      </c>
      <c r="G6562" s="3">
        <v>0.0</v>
      </c>
      <c r="H6562" s="3">
        <v>0.0</v>
      </c>
      <c r="I6562" s="3" t="s">
        <v>13</v>
      </c>
      <c r="J6562" s="3" t="s">
        <v>18855</v>
      </c>
      <c r="K6562" s="3" t="s">
        <v>54</v>
      </c>
      <c r="L6562" s="3" t="str">
        <f>IFERROR(__xludf.DUMMYFUNCTION("GOOGLETRANSLATE(F6562,""id"",""en"")"),"Yes, the difference is Croasia is not champion after Argentina")</f>
        <v>Yes, the difference is Croasia is not champion after Argentina</v>
      </c>
    </row>
    <row r="6563" ht="15.75" customHeight="1">
      <c r="A6563" s="1">
        <v>7758.0</v>
      </c>
      <c r="B6563" s="3" t="s">
        <v>18856</v>
      </c>
      <c r="C6563" s="3">
        <v>0.0</v>
      </c>
      <c r="D6563" s="3">
        <v>0.0</v>
      </c>
      <c r="E6563" s="3">
        <v>0.0</v>
      </c>
      <c r="F6563" s="3" t="s">
        <v>18857</v>
      </c>
      <c r="G6563" s="3">
        <v>0.6</v>
      </c>
      <c r="H6563" s="3">
        <v>-0.3</v>
      </c>
      <c r="I6563" s="3" t="s">
        <v>179</v>
      </c>
      <c r="J6563" s="3" t="s">
        <v>18858</v>
      </c>
      <c r="K6563" s="3" t="s">
        <v>50</v>
      </c>
      <c r="L6563" s="3" t="str">
        <f>IFERROR(__xludf.DUMMYFUNCTION("GOOGLETRANSLATE(F6563,""id"",""en"")"),"duh Messi Rosari's house surrounded by fans after Argentina World Cup champions")</f>
        <v>duh Messi Rosari's house surrounded by fans after Argentina World Cup champions</v>
      </c>
    </row>
    <row r="6564" ht="15.75" customHeight="1">
      <c r="A6564" s="1">
        <v>7759.0</v>
      </c>
      <c r="B6564" s="3" t="s">
        <v>18859</v>
      </c>
      <c r="C6564" s="3">
        <v>0.0</v>
      </c>
      <c r="D6564" s="3">
        <v>0.0</v>
      </c>
      <c r="E6564" s="3">
        <v>7.0</v>
      </c>
      <c r="F6564" s="3" t="s">
        <v>18848</v>
      </c>
      <c r="G6564" s="3">
        <v>0.2333333333333333</v>
      </c>
      <c r="H6564" s="3">
        <v>-0.25</v>
      </c>
      <c r="I6564" s="3" t="s">
        <v>179</v>
      </c>
      <c r="J6564" s="3" t="s">
        <v>18849</v>
      </c>
      <c r="K6564" s="3" t="s">
        <v>15</v>
      </c>
      <c r="L6564" s="3" t="str">
        <f>IFERROR(__xludf.DUMMYFUNCTION("GOOGLETRANSLATE(F6564,""id"",""en"")"),"Emi Martinez Carrying Mbappe Doll during the Argentine Champion Parade")</f>
        <v>Emi Martinez Carrying Mbappe Doll during the Argentine Champion Parade</v>
      </c>
    </row>
    <row r="6565" ht="15.75" customHeight="1">
      <c r="A6565" s="1">
        <v>7760.0</v>
      </c>
      <c r="B6565" s="3" t="s">
        <v>18860</v>
      </c>
      <c r="C6565" s="3">
        <v>0.0</v>
      </c>
      <c r="D6565" s="3">
        <v>0.0</v>
      </c>
      <c r="E6565" s="3">
        <v>2.0</v>
      </c>
      <c r="F6565" s="3" t="s">
        <v>18861</v>
      </c>
      <c r="G6565" s="3">
        <v>0.1</v>
      </c>
      <c r="H6565" s="3">
        <v>-0.1</v>
      </c>
      <c r="I6565" s="3" t="s">
        <v>179</v>
      </c>
      <c r="J6565" s="3" t="s">
        <v>18862</v>
      </c>
      <c r="K6565" s="3" t="s">
        <v>633</v>
      </c>
      <c r="L6565" s="3" t="str">
        <f>IFERROR(__xludf.DUMMYFUNCTION("GOOGLETRANSLATE(F6565,""id"",""en"")"),"The two minus ahlaq is really minimal boss akhlaq just see psg worse never has respect the same as important Argentina champions")</f>
        <v>The two minus ahlaq is really minimal boss akhlaq just see psg worse never has respect the same as important Argentina champions</v>
      </c>
    </row>
    <row r="6566" ht="15.75" customHeight="1">
      <c r="A6566" s="1">
        <v>7761.0</v>
      </c>
      <c r="B6566" s="3" t="s">
        <v>18863</v>
      </c>
      <c r="C6566" s="3">
        <v>1.0</v>
      </c>
      <c r="D6566" s="3">
        <v>2.0</v>
      </c>
      <c r="E6566" s="3">
        <v>7.0</v>
      </c>
      <c r="F6566" s="3" t="s">
        <v>18864</v>
      </c>
      <c r="G6566" s="3">
        <v>0.0</v>
      </c>
      <c r="H6566" s="3">
        <v>0.0</v>
      </c>
      <c r="I6566" s="3" t="s">
        <v>13</v>
      </c>
      <c r="J6566" s="3" t="s">
        <v>18865</v>
      </c>
      <c r="K6566" s="3" t="s">
        <v>205</v>
      </c>
      <c r="L6566" s="3" t="str">
        <f>IFERROR(__xludf.DUMMYFUNCTION("GOOGLETRANSLATE(F6566,""id"",""en"")"),"The latest Spurs Contingent who became the world champion of his heroic appearance in the Argentina back line was one of the keys to the return of the most prestigious trophy")</f>
        <v>The latest Spurs Contingent who became the world champion of his heroic appearance in the Argentina back line was one of the keys to the return of the most prestigious trophy</v>
      </c>
    </row>
    <row r="6567" ht="15.75" customHeight="1">
      <c r="A6567" s="1">
        <v>7762.0</v>
      </c>
      <c r="B6567" s="3" t="s">
        <v>18866</v>
      </c>
      <c r="C6567" s="3">
        <v>0.0</v>
      </c>
      <c r="D6567" s="3">
        <v>0.0</v>
      </c>
      <c r="E6567" s="3">
        <v>0.0</v>
      </c>
      <c r="F6567" s="3" t="s">
        <v>18867</v>
      </c>
      <c r="G6567" s="3">
        <v>0.0</v>
      </c>
      <c r="H6567" s="3">
        <v>0.0</v>
      </c>
      <c r="I6567" s="3" t="s">
        <v>13</v>
      </c>
      <c r="J6567" s="3" t="s">
        <v>18868</v>
      </c>
      <c r="K6567" s="3" t="s">
        <v>54</v>
      </c>
      <c r="L6567" s="3" t="str">
        <f>IFERROR(__xludf.DUMMYFUNCTION("GOOGLETRANSLATE(F6567,""id"",""en"")"),"Even though the World Cup has finished and Argentina is champion")</f>
        <v>Even though the World Cup has finished and Argentina is champion</v>
      </c>
    </row>
    <row r="6568" ht="15.75" customHeight="1">
      <c r="A6568" s="1">
        <v>7763.0</v>
      </c>
      <c r="B6568" s="3" t="s">
        <v>18869</v>
      </c>
      <c r="C6568" s="3">
        <v>0.0</v>
      </c>
      <c r="D6568" s="3">
        <v>0.0</v>
      </c>
      <c r="E6568" s="3">
        <v>0.0</v>
      </c>
      <c r="F6568" s="3" t="s">
        <v>18870</v>
      </c>
      <c r="G6568" s="3">
        <v>0.75</v>
      </c>
      <c r="H6568" s="3">
        <v>0.375</v>
      </c>
      <c r="I6568" s="3" t="s">
        <v>48</v>
      </c>
      <c r="J6568" s="3" t="s">
        <v>18871</v>
      </c>
      <c r="K6568" s="3" t="s">
        <v>286</v>
      </c>
      <c r="L6568" s="3" t="str">
        <f>IFERROR(__xludf.DUMMYFUNCTION("GOOGLETRANSLATE(F6568,""id"",""en"")"),"Excited because Indonesia is optimistic that the championship in this edition is the same as Argentina from the beginning losing the inaugural match, sure that the champion will be achieved in the Indonesian national team AFF Mitsubis")</f>
        <v>Excited because Indonesia is optimistic that the championship in this edition is the same as Argentina from the beginning losing the inaugural match, sure that the champion will be achieved in the Indonesian national team AFF Mitsubis</v>
      </c>
    </row>
    <row r="6569" ht="15.75" customHeight="1">
      <c r="A6569" s="1">
        <v>7764.0</v>
      </c>
      <c r="B6569" s="3" t="s">
        <v>18872</v>
      </c>
      <c r="C6569" s="3">
        <v>0.0</v>
      </c>
      <c r="D6569" s="3">
        <v>0.0</v>
      </c>
      <c r="E6569" s="3">
        <v>0.0</v>
      </c>
      <c r="F6569" s="3" t="s">
        <v>18873</v>
      </c>
      <c r="G6569" s="3">
        <v>0.2333333333333333</v>
      </c>
      <c r="H6569" s="3">
        <v>-0.25</v>
      </c>
      <c r="I6569" s="3" t="s">
        <v>179</v>
      </c>
      <c r="J6569" s="3" t="s">
        <v>18874</v>
      </c>
      <c r="K6569" s="3" t="s">
        <v>75</v>
      </c>
      <c r="L6569" s="3" t="str">
        <f>IFERROR(__xludf.DUMMYFUNCTION("GOOGLETRANSLATE(F6569,""id"",""en"")"),"Argentina World Cup Champion Parade was stopped by Messi Evacuated wearing a helicopter")</f>
        <v>Argentina World Cup Champion Parade was stopped by Messi Evacuated wearing a helicopter</v>
      </c>
    </row>
    <row r="6570" ht="15.75" customHeight="1">
      <c r="A6570" s="1">
        <v>7765.0</v>
      </c>
      <c r="B6570" s="3" t="s">
        <v>18875</v>
      </c>
      <c r="C6570" s="3">
        <v>0.0</v>
      </c>
      <c r="D6570" s="3">
        <v>4.0</v>
      </c>
      <c r="E6570" s="3">
        <v>0.0</v>
      </c>
      <c r="F6570" s="3" t="s">
        <v>18876</v>
      </c>
      <c r="G6570" s="3">
        <v>0.0</v>
      </c>
      <c r="H6570" s="3">
        <v>0.0</v>
      </c>
      <c r="I6570" s="3" t="s">
        <v>13</v>
      </c>
      <c r="J6570" s="3" t="s">
        <v>18877</v>
      </c>
      <c r="K6570" s="3" t="s">
        <v>82</v>
      </c>
      <c r="L6570" s="3" t="str">
        <f>IFERROR(__xludf.DUMMYFUNCTION("GOOGLETRANSLATE(F6570,""id"",""en"")"),"The first all -round success in Argentina Champion World Cup")</f>
        <v>The first all -round success in Argentina Champion World Cup</v>
      </c>
    </row>
    <row r="6571" ht="15.75" customHeight="1">
      <c r="A6571" s="1">
        <v>7766.0</v>
      </c>
      <c r="B6571" s="3" t="s">
        <v>18878</v>
      </c>
      <c r="C6571" s="3">
        <v>0.0</v>
      </c>
      <c r="D6571" s="3">
        <v>0.0</v>
      </c>
      <c r="E6571" s="3">
        <v>0.0</v>
      </c>
      <c r="F6571" s="3" t="s">
        <v>18879</v>
      </c>
      <c r="G6571" s="3">
        <v>0.0</v>
      </c>
      <c r="H6571" s="3">
        <v>0.0</v>
      </c>
      <c r="I6571" s="3" t="s">
        <v>13</v>
      </c>
      <c r="J6571" s="3" t="s">
        <v>18880</v>
      </c>
      <c r="K6571" s="3" t="s">
        <v>41</v>
      </c>
      <c r="L6571" s="3" t="str">
        <f>IFERROR(__xludf.DUMMYFUNCTION("GOOGLETRANSLATE(F6571,""id"",""en"")"),"Isine Tete Awewe Argentina Sing Celebrating Bangcattttt Pildun Champion")</f>
        <v>Isine Tete Awewe Argentina Sing Celebrating Bangcattttt Pildun Champion</v>
      </c>
    </row>
    <row r="6572" ht="15.75" customHeight="1">
      <c r="A6572" s="1">
        <v>7767.0</v>
      </c>
      <c r="B6572" s="3" t="s">
        <v>18881</v>
      </c>
      <c r="C6572" s="3">
        <v>0.0</v>
      </c>
      <c r="D6572" s="3">
        <v>0.0</v>
      </c>
      <c r="E6572" s="3">
        <v>2.0</v>
      </c>
      <c r="F6572" s="3" t="s">
        <v>18783</v>
      </c>
      <c r="G6572" s="3">
        <v>0.2333333333333333</v>
      </c>
      <c r="H6572" s="3">
        <v>-0.25</v>
      </c>
      <c r="I6572" s="3" t="s">
        <v>179</v>
      </c>
      <c r="J6572" s="3" t="s">
        <v>18784</v>
      </c>
      <c r="K6572" s="3" t="s">
        <v>695</v>
      </c>
      <c r="L6572" s="3" t="str">
        <f>IFERROR(__xludf.DUMMYFUNCTION("GOOGLETRANSLATE(F6572,""id"",""en"")"),"The Argentine national team championship parade was colored by okok olok to Kylian Mbappe Fans of the Tango Team until Emiliano Martinez also mocked the French bomber")</f>
        <v>The Argentine national team championship parade was colored by okok olok to Kylian Mbappe Fans of the Tango Team until Emiliano Martinez also mocked the French bomber</v>
      </c>
    </row>
    <row r="6573" ht="15.75" customHeight="1">
      <c r="A6573" s="1">
        <v>7768.0</v>
      </c>
      <c r="B6573" s="3" t="s">
        <v>18882</v>
      </c>
      <c r="C6573" s="3">
        <v>0.0</v>
      </c>
      <c r="D6573" s="3">
        <v>0.0</v>
      </c>
      <c r="E6573" s="3">
        <v>5.0</v>
      </c>
      <c r="F6573" s="3" t="s">
        <v>18883</v>
      </c>
      <c r="G6573" s="3">
        <v>1.0</v>
      </c>
      <c r="H6573" s="3">
        <v>0.0</v>
      </c>
      <c r="I6573" s="3" t="s">
        <v>13</v>
      </c>
      <c r="J6573" s="3" t="s">
        <v>18884</v>
      </c>
      <c r="K6573" s="3" t="s">
        <v>348</v>
      </c>
      <c r="L6573" s="3" t="str">
        <f>IFERROR(__xludf.DUMMYFUNCTION("GOOGLETRANSLATE(F6573,""id"",""en"")"),"The weather is quite bright as bright as Argentina Anyway, if it's still not moving with the final yesterday, checking here Highlights until the moment after the celebration of the championship etc.")</f>
        <v>The weather is quite bright as bright as Argentina Anyway, if it's still not moving with the final yesterday, checking here Highlights until the moment after the celebration of the championship etc.</v>
      </c>
    </row>
    <row r="6574" ht="15.75" customHeight="1">
      <c r="A6574" s="1">
        <v>7769.0</v>
      </c>
      <c r="B6574" s="3" t="s">
        <v>18885</v>
      </c>
      <c r="C6574" s="3">
        <v>0.0</v>
      </c>
      <c r="D6574" s="3">
        <v>0.0</v>
      </c>
      <c r="E6574" s="3">
        <v>0.0</v>
      </c>
      <c r="F6574" s="3" t="s">
        <v>18886</v>
      </c>
      <c r="G6574" s="3">
        <v>0.0</v>
      </c>
      <c r="H6574" s="3">
        <v>0.0</v>
      </c>
      <c r="I6574" s="3" t="s">
        <v>13</v>
      </c>
      <c r="J6574" s="3" t="s">
        <v>18887</v>
      </c>
      <c r="K6574" s="3" t="s">
        <v>644</v>
      </c>
      <c r="L6574" s="3" t="str">
        <f>IFERROR(__xludf.DUMMYFUNCTION("GOOGLETRANSLATE(F6574,""id"",""en"")"),"Argentina Prediction Pilduun Champion")</f>
        <v>Argentina Prediction Pilduun Champion</v>
      </c>
    </row>
    <row r="6575" ht="15.75" customHeight="1">
      <c r="A6575" s="1">
        <v>7770.0</v>
      </c>
      <c r="B6575" s="3" t="s">
        <v>18888</v>
      </c>
      <c r="C6575" s="3">
        <v>0.0</v>
      </c>
      <c r="D6575" s="3">
        <v>1.0</v>
      </c>
      <c r="E6575" s="3">
        <v>7.0</v>
      </c>
      <c r="F6575" s="3" t="s">
        <v>18889</v>
      </c>
      <c r="G6575" s="3">
        <v>0.0</v>
      </c>
      <c r="H6575" s="3">
        <v>0.0</v>
      </c>
      <c r="I6575" s="3" t="s">
        <v>13</v>
      </c>
      <c r="J6575" s="3" t="s">
        <v>18890</v>
      </c>
      <c r="K6575" s="3" t="s">
        <v>54</v>
      </c>
      <c r="L6575" s="3" t="str">
        <f>IFERROR(__xludf.DUMMYFUNCTION("GOOGLETRANSLATE(F6575,""id"",""en"")"),"Argentine residents celebrated the champions")</f>
        <v>Argentine residents celebrated the champions</v>
      </c>
    </row>
    <row r="6576" ht="15.75" customHeight="1">
      <c r="A6576" s="1">
        <v>7771.0</v>
      </c>
      <c r="B6576" s="3" t="s">
        <v>18891</v>
      </c>
      <c r="C6576" s="3">
        <v>0.0</v>
      </c>
      <c r="D6576" s="3">
        <v>0.0</v>
      </c>
      <c r="E6576" s="3">
        <v>0.0</v>
      </c>
      <c r="F6576" s="3" t="s">
        <v>18892</v>
      </c>
      <c r="G6576" s="3">
        <v>0.0</v>
      </c>
      <c r="H6576" s="3">
        <v>0.0</v>
      </c>
      <c r="I6576" s="3" t="s">
        <v>13</v>
      </c>
      <c r="J6576" s="3" t="s">
        <v>18893</v>
      </c>
      <c r="K6576" s="3" t="s">
        <v>75</v>
      </c>
      <c r="L6576" s="3" t="str">
        <f>IFERROR(__xludf.DUMMYFUNCTION("GOOGLETRANSLATE(F6576,""id"",""en"")"),"Emotional Enzo Fernandez Video After Bringing Argentina World Cup Champion")</f>
        <v>Emotional Enzo Fernandez Video After Bringing Argentina World Cup Champion</v>
      </c>
    </row>
    <row r="6577" ht="15.75" customHeight="1">
      <c r="A6577" s="1">
        <v>7772.0</v>
      </c>
      <c r="B6577" s="3" t="s">
        <v>18894</v>
      </c>
      <c r="C6577" s="3">
        <v>0.0</v>
      </c>
      <c r="D6577" s="3">
        <v>0.0</v>
      </c>
      <c r="E6577" s="3">
        <v>5.0</v>
      </c>
      <c r="F6577" s="3" t="s">
        <v>18818</v>
      </c>
      <c r="G6577" s="3">
        <v>0.5</v>
      </c>
      <c r="H6577" s="3">
        <v>0.5</v>
      </c>
      <c r="I6577" s="3" t="s">
        <v>48</v>
      </c>
      <c r="J6577" s="3" t="s">
        <v>18819</v>
      </c>
      <c r="K6577" s="3" t="s">
        <v>1925</v>
      </c>
      <c r="L6577" s="3" t="str">
        <f>IFERROR(__xludf.DUMMYFUNCTION("GOOGLETRANSLATE(F6577,""id"",""en"")"),"Alexis Mac Allister became part of the Argentine squad for the World Cup champions afterwards Mac Allister became a hunt for European club clubs from Arsenal to Juve")</f>
        <v>Alexis Mac Allister became part of the Argentine squad for the World Cup champions afterwards Mac Allister became a hunt for European club clubs from Arsenal to Juve</v>
      </c>
    </row>
    <row r="6578" ht="15.75" customHeight="1">
      <c r="A6578" s="1">
        <v>7773.0</v>
      </c>
      <c r="B6578" s="3" t="s">
        <v>18895</v>
      </c>
      <c r="C6578" s="3">
        <v>5.0</v>
      </c>
      <c r="D6578" s="3">
        <v>12.0</v>
      </c>
      <c r="E6578" s="3">
        <v>95.0</v>
      </c>
      <c r="F6578" s="3" t="s">
        <v>18896</v>
      </c>
      <c r="G6578" s="3">
        <v>0.0</v>
      </c>
      <c r="H6578" s="3">
        <v>0.0</v>
      </c>
      <c r="I6578" s="3" t="s">
        <v>13</v>
      </c>
      <c r="J6578" s="3" t="s">
        <v>18897</v>
      </c>
      <c r="K6578" s="3" t="s">
        <v>75</v>
      </c>
      <c r="L6578" s="3" t="str">
        <f>IFERROR(__xludf.DUMMYFUNCTION("GOOGLETRANSLATE(F6578,""id"",""en"")"),"A number of fans celebrate the champions by playing street football in the city of Buenos Aires, why not")</f>
        <v>A number of fans celebrate the champions by playing street football in the city of Buenos Aires, why not</v>
      </c>
    </row>
    <row r="6579" ht="15.75" customHeight="1">
      <c r="A6579" s="1">
        <v>7774.0</v>
      </c>
      <c r="B6579" s="3" t="s">
        <v>18898</v>
      </c>
      <c r="C6579" s="3">
        <v>0.0</v>
      </c>
      <c r="D6579" s="3">
        <v>0.0</v>
      </c>
      <c r="E6579" s="3">
        <v>0.0</v>
      </c>
      <c r="F6579" s="3" t="s">
        <v>18899</v>
      </c>
      <c r="G6579" s="3">
        <v>0.0</v>
      </c>
      <c r="H6579" s="3">
        <v>0.0</v>
      </c>
      <c r="I6579" s="3" t="s">
        <v>13</v>
      </c>
      <c r="J6579" s="3" t="s">
        <v>18900</v>
      </c>
      <c r="K6579" s="3" t="s">
        <v>240</v>
      </c>
      <c r="L6579" s="3" t="str">
        <f>IFERROR(__xludf.DUMMYFUNCTION("GOOGLETRANSLATE(F6579,""id"",""en"")"),"never heard the term winning the battle but lost the war mbappe the example of the case for Argentina the term is the champion is the last laughing")</f>
        <v>never heard the term winning the battle but lost the war mbappe the example of the case for Argentina the term is the champion is the last laughing</v>
      </c>
    </row>
    <row r="6580" ht="15.75" customHeight="1">
      <c r="A6580" s="1">
        <v>7775.0</v>
      </c>
      <c r="B6580" s="3" t="s">
        <v>18901</v>
      </c>
      <c r="C6580" s="3">
        <v>0.0</v>
      </c>
      <c r="D6580" s="3">
        <v>0.0</v>
      </c>
      <c r="E6580" s="3">
        <v>0.0</v>
      </c>
      <c r="F6580" s="3" t="s">
        <v>18902</v>
      </c>
      <c r="G6580" s="3">
        <v>0.0</v>
      </c>
      <c r="H6580" s="3">
        <v>0.0</v>
      </c>
      <c r="I6580" s="3" t="s">
        <v>13</v>
      </c>
      <c r="J6580" s="3" t="s">
        <v>18903</v>
      </c>
      <c r="K6580" s="3" t="s">
        <v>41</v>
      </c>
      <c r="L6580" s="3" t="str">
        <f>IFERROR(__xludf.DUMMYFUNCTION("GOOGLETRANSLATE(F6580,""id"",""en"")"),"Argentina's big party after winning the Sports World Cup championship")</f>
        <v>Argentina's big party after winning the Sports World Cup championship</v>
      </c>
    </row>
    <row r="6581" ht="15.75" customHeight="1">
      <c r="A6581" s="1">
        <v>7776.0</v>
      </c>
      <c r="B6581" s="3" t="s">
        <v>18904</v>
      </c>
      <c r="C6581" s="3">
        <v>0.0</v>
      </c>
      <c r="D6581" s="3">
        <v>0.0</v>
      </c>
      <c r="E6581" s="3">
        <v>0.0</v>
      </c>
      <c r="F6581" s="3" t="s">
        <v>18905</v>
      </c>
      <c r="G6581" s="3">
        <v>0.0</v>
      </c>
      <c r="H6581" s="3">
        <v>0.0</v>
      </c>
      <c r="I6581" s="3" t="s">
        <v>13</v>
      </c>
      <c r="J6581" s="3" t="s">
        <v>18906</v>
      </c>
      <c r="K6581" s="3" t="s">
        <v>15</v>
      </c>
      <c r="L6581" s="3" t="str">
        <f>IFERROR(__xludf.DUMMYFUNCTION("GOOGLETRANSLATE(F6581,""id"",""en"")"),"Moment Rayyanza Argentina Predictions World Cup Champion Right")</f>
        <v>Moment Rayyanza Argentina Predictions World Cup Champion Right</v>
      </c>
    </row>
    <row r="6582" ht="15.75" customHeight="1">
      <c r="A6582" s="1">
        <v>7777.0</v>
      </c>
      <c r="B6582" s="3" t="s">
        <v>18907</v>
      </c>
      <c r="C6582" s="3">
        <v>0.0</v>
      </c>
      <c r="D6582" s="3">
        <v>0.0</v>
      </c>
      <c r="E6582" s="3">
        <v>0.0</v>
      </c>
      <c r="F6582" s="3" t="s">
        <v>18908</v>
      </c>
      <c r="G6582" s="3">
        <v>0.0</v>
      </c>
      <c r="H6582" s="3">
        <v>0.0</v>
      </c>
      <c r="I6582" s="3" t="s">
        <v>13</v>
      </c>
      <c r="J6582" s="3" t="s">
        <v>18909</v>
      </c>
      <c r="K6582" s="3" t="s">
        <v>2117</v>
      </c>
      <c r="L6582" s="3" t="str">
        <f>IFERROR(__xludf.DUMMYFUNCTION("GOOGLETRANSLATE(F6582,""id"",""en"")"),"Argentina Champion OTS")</f>
        <v>Argentina Champion OTS</v>
      </c>
    </row>
    <row r="6583" ht="15.75" customHeight="1">
      <c r="A6583" s="1">
        <v>7778.0</v>
      </c>
      <c r="B6583" s="3" t="s">
        <v>18910</v>
      </c>
      <c r="C6583" s="3">
        <v>1.0</v>
      </c>
      <c r="D6583" s="3">
        <v>0.0</v>
      </c>
      <c r="E6583" s="3">
        <v>0.0</v>
      </c>
      <c r="F6583" s="3" t="s">
        <v>16103</v>
      </c>
      <c r="G6583" s="3">
        <v>0.0</v>
      </c>
      <c r="H6583" s="3">
        <v>0.0</v>
      </c>
      <c r="I6583" s="3" t="s">
        <v>13</v>
      </c>
      <c r="J6583" s="3" t="s">
        <v>16104</v>
      </c>
      <c r="K6583" s="3" t="s">
        <v>14571</v>
      </c>
      <c r="L6583" s="3" t="str">
        <f>IFERROR(__xludf.DUMMYFUNCTION("GOOGLETRANSLATE(F6583,""id"",""en"")"),"Argentina Champion")</f>
        <v>Argentina Champion</v>
      </c>
    </row>
    <row r="6584" ht="15.75" customHeight="1">
      <c r="A6584" s="1">
        <v>7779.0</v>
      </c>
      <c r="B6584" s="3" t="s">
        <v>18911</v>
      </c>
      <c r="C6584" s="3">
        <v>0.0</v>
      </c>
      <c r="D6584" s="3">
        <v>0.0</v>
      </c>
      <c r="E6584" s="3">
        <v>0.0</v>
      </c>
      <c r="F6584" s="3" t="s">
        <v>18912</v>
      </c>
      <c r="G6584" s="3">
        <v>0.8</v>
      </c>
      <c r="H6584" s="3">
        <v>0.4</v>
      </c>
      <c r="I6584" s="3" t="s">
        <v>48</v>
      </c>
      <c r="J6584" s="3" t="s">
        <v>18913</v>
      </c>
      <c r="K6584" s="3" t="s">
        <v>657</v>
      </c>
      <c r="L6584" s="3" t="str">
        <f>IFERROR(__xludf.DUMMYFUNCTION("GOOGLETRANSLATE(F6584,""id"",""en"")"),"Champion Anying In the same score the same score but lost the time of fighting free trow seemed to see France Argentina wkwkwk")</f>
        <v>Champion Anying In the same score the same score but lost the time of fighting free trow seemed to see France Argentina wkwkwk</v>
      </c>
    </row>
    <row r="6585" ht="15.75" customHeight="1">
      <c r="A6585" s="1">
        <v>7780.0</v>
      </c>
      <c r="B6585" s="3" t="s">
        <v>18914</v>
      </c>
      <c r="C6585" s="3">
        <v>0.0</v>
      </c>
      <c r="D6585" s="3">
        <v>0.0</v>
      </c>
      <c r="E6585" s="3">
        <v>0.0</v>
      </c>
      <c r="F6585" s="3" t="s">
        <v>18915</v>
      </c>
      <c r="G6585" s="3">
        <v>0.0</v>
      </c>
      <c r="H6585" s="3">
        <v>0.0</v>
      </c>
      <c r="I6585" s="3" t="s">
        <v>13</v>
      </c>
      <c r="J6585" s="3" t="s">
        <v>18916</v>
      </c>
      <c r="K6585" s="3" t="s">
        <v>75</v>
      </c>
      <c r="L6585" s="3" t="str">
        <f>IFERROR(__xludf.DUMMYFUNCTION("GOOGLETRANSLATE(F6585,""id"",""en"")"),"the beautiful month of the nov with Dec Dsai so off the Argentina champion FWC")</f>
        <v>the beautiful month of the nov with Dec Dsai so off the Argentina champion FWC</v>
      </c>
    </row>
    <row r="6586" ht="15.75" customHeight="1">
      <c r="A6586" s="1">
        <v>7781.0</v>
      </c>
      <c r="B6586" s="3" t="s">
        <v>18917</v>
      </c>
      <c r="C6586" s="3">
        <v>0.0</v>
      </c>
      <c r="D6586" s="3">
        <v>0.0</v>
      </c>
      <c r="E6586" s="3">
        <v>3.0</v>
      </c>
      <c r="F6586" s="3" t="s">
        <v>18809</v>
      </c>
      <c r="G6586" s="3">
        <v>0.0</v>
      </c>
      <c r="H6586" s="3">
        <v>0.0</v>
      </c>
      <c r="I6586" s="3" t="s">
        <v>13</v>
      </c>
      <c r="J6586" s="3" t="s">
        <v>18810</v>
      </c>
      <c r="K6586" s="3" t="s">
        <v>127</v>
      </c>
      <c r="L6586" s="3" t="str">
        <f>IFERROR(__xludf.DUMMYFUNCTION("GOOGLETRANSLATE(F6586,""id"",""en"")"),"Joy still covers the Argentine national team player after the World Cup champion Captain Lionel Messi also showed off his togetherness with the trophy of the bed")</f>
        <v>Joy still covers the Argentine national team player after the World Cup champion Captain Lionel Messi also showed off his togetherness with the trophy of the bed</v>
      </c>
    </row>
    <row r="6587" ht="15.75" customHeight="1">
      <c r="A6587" s="1">
        <v>7782.0</v>
      </c>
      <c r="B6587" s="3" t="s">
        <v>18918</v>
      </c>
      <c r="C6587" s="3">
        <v>0.0</v>
      </c>
      <c r="D6587" s="3">
        <v>0.0</v>
      </c>
      <c r="E6587" s="3">
        <v>3.0</v>
      </c>
      <c r="F6587" s="3" t="s">
        <v>18919</v>
      </c>
      <c r="G6587" s="3">
        <v>0.0</v>
      </c>
      <c r="H6587" s="3">
        <v>0.0</v>
      </c>
      <c r="I6587" s="3" t="s">
        <v>13</v>
      </c>
      <c r="J6587" s="3" t="s">
        <v>18920</v>
      </c>
      <c r="K6587" s="3" t="s">
        <v>75</v>
      </c>
      <c r="L6587" s="3" t="str">
        <f>IFERROR(__xludf.DUMMYFUNCTION("GOOGLETRANSLATE(F6587,""id"",""en"")"),"World Cup Champion Champion Chaos Police Evacuation of Argentine Players with Helicopter")</f>
        <v>World Cup Champion Champion Chaos Police Evacuation of Argentine Players with Helicopter</v>
      </c>
    </row>
    <row r="6588" ht="15.75" customHeight="1">
      <c r="A6588" s="1">
        <v>7783.0</v>
      </c>
      <c r="B6588" s="3" t="s">
        <v>18921</v>
      </c>
      <c r="C6588" s="3">
        <v>0.0</v>
      </c>
      <c r="D6588" s="3">
        <v>0.0</v>
      </c>
      <c r="E6588" s="3">
        <v>0.0</v>
      </c>
      <c r="F6588" s="3" t="s">
        <v>18922</v>
      </c>
      <c r="G6588" s="3">
        <v>0.2333333333333333</v>
      </c>
      <c r="H6588" s="3">
        <v>-0.25</v>
      </c>
      <c r="I6588" s="3" t="s">
        <v>179</v>
      </c>
      <c r="J6588" s="3" t="s">
        <v>18923</v>
      </c>
      <c r="K6588" s="3" t="s">
        <v>2610</v>
      </c>
      <c r="L6588" s="3" t="str">
        <f>IFERROR(__xludf.DUMMYFUNCTION("GOOGLETRANSLATE(F6588,""id"",""en"")"),"A moment in the Argentine championship parade gets more attention when Emiliano Martinez carried a doll that was covered with the face of Kylian Mbappe right on the face of her face, your comments Twitter Heliodoroh")</f>
        <v>A moment in the Argentine championship parade gets more attention when Emiliano Martinez carried a doll that was covered with the face of Kylian Mbappe right on the face of her face, your comments Twitter Heliodoroh</v>
      </c>
    </row>
    <row r="6589" ht="15.75" customHeight="1">
      <c r="A6589" s="1">
        <v>7784.0</v>
      </c>
      <c r="B6589" s="3" t="s">
        <v>18924</v>
      </c>
      <c r="C6589" s="3">
        <v>0.0</v>
      </c>
      <c r="D6589" s="3">
        <v>0.0</v>
      </c>
      <c r="E6589" s="3">
        <v>0.0</v>
      </c>
      <c r="F6589" s="3" t="s">
        <v>18925</v>
      </c>
      <c r="G6589" s="3">
        <v>0.0</v>
      </c>
      <c r="H6589" s="3">
        <v>0.0</v>
      </c>
      <c r="I6589" s="3" t="s">
        <v>13</v>
      </c>
      <c r="J6589" s="3" t="s">
        <v>18926</v>
      </c>
      <c r="K6589" s="3" t="s">
        <v>31</v>
      </c>
      <c r="L6589" s="3" t="str">
        <f>IFERROR(__xludf.DUMMYFUNCTION("GOOGLETRANSLATE(F6589,""id"",""en"")"),"From this moment Argentina World Champion")</f>
        <v>From this moment Argentina World Champion</v>
      </c>
    </row>
    <row r="6590" ht="15.75" customHeight="1">
      <c r="A6590" s="1">
        <v>7785.0</v>
      </c>
      <c r="B6590" s="3" t="s">
        <v>18927</v>
      </c>
      <c r="C6590" s="3">
        <v>0.0</v>
      </c>
      <c r="D6590" s="3">
        <v>0.0</v>
      </c>
      <c r="E6590" s="3">
        <v>0.0</v>
      </c>
      <c r="F6590" s="3" t="s">
        <v>18928</v>
      </c>
      <c r="G6590" s="3">
        <v>0.0</v>
      </c>
      <c r="H6590" s="3">
        <v>0.0</v>
      </c>
      <c r="I6590" s="3" t="s">
        <v>13</v>
      </c>
      <c r="J6590" s="3" t="s">
        <v>18929</v>
      </c>
      <c r="K6590" s="3" t="s">
        <v>149</v>
      </c>
      <c r="L6590" s="3" t="str">
        <f>IFERROR(__xludf.DUMMYFUNCTION("GOOGLETRANSLATE(F6590,""id"",""en"")"),"Lionel Messi delivered the latest message after the World Cup champion with the Argentine national team name Diego Maradona to the dedication of Messi during the year was also called")</f>
        <v>Lionel Messi delivered the latest message after the World Cup champion with the Argentine national team name Diego Maradona to the dedication of Messi during the year was also called</v>
      </c>
    </row>
    <row r="6591" ht="15.75" customHeight="1">
      <c r="A6591" s="1">
        <v>7786.0</v>
      </c>
      <c r="B6591" s="3" t="s">
        <v>18930</v>
      </c>
      <c r="C6591" s="3">
        <v>0.0</v>
      </c>
      <c r="D6591" s="3">
        <v>0.0</v>
      </c>
      <c r="E6591" s="3">
        <v>0.0</v>
      </c>
      <c r="F6591" s="3" t="s">
        <v>18928</v>
      </c>
      <c r="G6591" s="3">
        <v>0.0</v>
      </c>
      <c r="H6591" s="3">
        <v>0.0</v>
      </c>
      <c r="I6591" s="3" t="s">
        <v>13</v>
      </c>
      <c r="J6591" s="3" t="s">
        <v>18929</v>
      </c>
      <c r="K6591" s="3" t="s">
        <v>149</v>
      </c>
      <c r="L6591" s="3" t="str">
        <f>IFERROR(__xludf.DUMMYFUNCTION("GOOGLETRANSLATE(F6591,""id"",""en"")"),"Lionel Messi delivered the latest message after the World Cup champion with the Argentine national team name Diego Maradona to the dedication of Messi during the year was also called")</f>
        <v>Lionel Messi delivered the latest message after the World Cup champion with the Argentine national team name Diego Maradona to the dedication of Messi during the year was also called</v>
      </c>
    </row>
    <row r="6592" ht="15.75" customHeight="1">
      <c r="A6592" s="1">
        <v>7787.0</v>
      </c>
      <c r="B6592" s="3" t="s">
        <v>18931</v>
      </c>
      <c r="C6592" s="3">
        <v>0.0</v>
      </c>
      <c r="D6592" s="3">
        <v>0.0</v>
      </c>
      <c r="E6592" s="3">
        <v>0.0</v>
      </c>
      <c r="F6592" s="3" t="s">
        <v>18932</v>
      </c>
      <c r="G6592" s="3">
        <v>0.2333333333333333</v>
      </c>
      <c r="H6592" s="3">
        <v>-0.25</v>
      </c>
      <c r="I6592" s="3" t="s">
        <v>179</v>
      </c>
      <c r="J6592" s="3" t="s">
        <v>18933</v>
      </c>
      <c r="K6592" s="3" t="s">
        <v>1897</v>
      </c>
      <c r="L6592" s="3" t="str">
        <f>IFERROR(__xludf.DUMMYFUNCTION("GOOGLETRANSLATE(F6592,""id"",""en"")"),"Emi Martinez is acting again now put on the face of a baby doll during the Argentine championship parade follow us for other interesting news The Bangtan Vanilla Messi Ditto Hobbies Bill Bobo Bobo Train Christmas Taliban Christmas")</f>
        <v>Emi Martinez is acting again now put on the face of a baby doll during the Argentine championship parade follow us for other interesting news The Bangtan Vanilla Messi Ditto Hobbies Bill Bobo Bobo Train Christmas Taliban Christmas</v>
      </c>
    </row>
    <row r="6593" ht="15.75" customHeight="1">
      <c r="A6593" s="1">
        <v>7788.0</v>
      </c>
      <c r="B6593" s="3" t="s">
        <v>18934</v>
      </c>
      <c r="C6593" s="3">
        <v>0.0</v>
      </c>
      <c r="D6593" s="3">
        <v>0.0</v>
      </c>
      <c r="E6593" s="3">
        <v>0.0</v>
      </c>
      <c r="F6593" s="3" t="s">
        <v>18935</v>
      </c>
      <c r="G6593" s="3">
        <v>0.0</v>
      </c>
      <c r="H6593" s="3">
        <v>0.0</v>
      </c>
      <c r="I6593" s="3" t="s">
        <v>13</v>
      </c>
      <c r="J6593" s="3" t="s">
        <v>18936</v>
      </c>
      <c r="K6593" s="3" t="s">
        <v>15</v>
      </c>
      <c r="L6593" s="3" t="str">
        <f>IFERROR(__xludf.DUMMYFUNCTION("GOOGLETRANSLATE(F6593,""id"",""en"")"),"Yes, here Argentina is already champions there France is still leading")</f>
        <v>Yes, here Argentina is already champions there France is still leading</v>
      </c>
    </row>
    <row r="6594" ht="15.75" customHeight="1">
      <c r="A6594" s="1">
        <v>7789.0</v>
      </c>
      <c r="B6594" s="3" t="s">
        <v>18937</v>
      </c>
      <c r="C6594" s="3">
        <v>0.0</v>
      </c>
      <c r="D6594" s="3">
        <v>0.0</v>
      </c>
      <c r="E6594" s="3">
        <v>0.0</v>
      </c>
      <c r="F6594" s="3" t="s">
        <v>18938</v>
      </c>
      <c r="G6594" s="3">
        <v>0.2333333333333333</v>
      </c>
      <c r="H6594" s="3">
        <v>-0.25</v>
      </c>
      <c r="I6594" s="3" t="s">
        <v>179</v>
      </c>
      <c r="J6594" s="3" t="s">
        <v>18939</v>
      </c>
      <c r="K6594" s="3" t="s">
        <v>657</v>
      </c>
      <c r="L6594" s="3" t="str">
        <f>IFERROR(__xludf.DUMMYFUNCTION("GOOGLETRANSLATE(F6594,""id"",""en"")"),"There is just the behavior of Emiliano Martinez mocking Kylian Mbappe during the Argentine celebration parade championship world cup, Messi who was blasphemed")</f>
        <v>There is just the behavior of Emiliano Martinez mocking Kylian Mbappe during the Argentine celebration parade championship world cup, Messi who was blasphemed</v>
      </c>
    </row>
    <row r="6595" ht="15.75" customHeight="1">
      <c r="A6595" s="1">
        <v>7790.0</v>
      </c>
      <c r="B6595" s="3" t="s">
        <v>18940</v>
      </c>
      <c r="C6595" s="3">
        <v>0.0</v>
      </c>
      <c r="D6595" s="3">
        <v>0.0</v>
      </c>
      <c r="E6595" s="3">
        <v>0.0</v>
      </c>
      <c r="F6595" s="3" t="s">
        <v>18941</v>
      </c>
      <c r="G6595" s="3">
        <v>0.0</v>
      </c>
      <c r="H6595" s="3">
        <v>0.0</v>
      </c>
      <c r="I6595" s="3" t="s">
        <v>13</v>
      </c>
      <c r="J6595" s="3" t="s">
        <v>18942</v>
      </c>
      <c r="K6595" s="3" t="s">
        <v>695</v>
      </c>
      <c r="L6595" s="3" t="str">
        <f>IFERROR(__xludf.DUMMYFUNCTION("GOOGLETRANSLATE(F6595,""id"",""en"")"),"GIPN Argentina has also lost to Arabic but the champion is also a country so it becomes a benchmark of a great country but just a barrel for the other team")</f>
        <v>GIPN Argentina has also lost to Arabic but the champion is also a country so it becomes a benchmark of a great country but just a barrel for the other team</v>
      </c>
    </row>
    <row r="6596" ht="15.75" customHeight="1">
      <c r="A6596" s="1">
        <v>7791.0</v>
      </c>
      <c r="B6596" s="3" t="s">
        <v>18943</v>
      </c>
      <c r="C6596" s="3">
        <v>0.0</v>
      </c>
      <c r="D6596" s="3">
        <v>0.0</v>
      </c>
      <c r="E6596" s="3">
        <v>1.0</v>
      </c>
      <c r="F6596" s="3" t="s">
        <v>18944</v>
      </c>
      <c r="G6596" s="3">
        <v>0.0</v>
      </c>
      <c r="H6596" s="3">
        <v>0.0</v>
      </c>
      <c r="I6596" s="3" t="s">
        <v>13</v>
      </c>
      <c r="J6596" s="3" t="s">
        <v>18945</v>
      </c>
      <c r="K6596" s="3" t="s">
        <v>71</v>
      </c>
      <c r="L6596" s="3" t="str">
        <f>IFERROR(__xludf.DUMMYFUNCTION("GOOGLETRANSLATE(F6596,""id"",""en"")"),"The celebration of the Argentine national team victory won the City Cup of Buenos Aires City claimed lives")</f>
        <v>The celebration of the Argentine national team victory won the City Cup of Buenos Aires City claimed lives</v>
      </c>
    </row>
    <row r="6597" ht="15.75" customHeight="1">
      <c r="A6597" s="1">
        <v>7792.0</v>
      </c>
      <c r="B6597" s="3" t="s">
        <v>18946</v>
      </c>
      <c r="C6597" s="3">
        <v>0.0</v>
      </c>
      <c r="D6597" s="3">
        <v>0.0</v>
      </c>
      <c r="E6597" s="3">
        <v>0.0</v>
      </c>
      <c r="F6597" s="3" t="s">
        <v>18947</v>
      </c>
      <c r="G6597" s="3">
        <v>0.1</v>
      </c>
      <c r="H6597" s="3">
        <v>0.0</v>
      </c>
      <c r="I6597" s="3" t="s">
        <v>13</v>
      </c>
      <c r="J6597" s="3" t="s">
        <v>18948</v>
      </c>
      <c r="K6597" s="3" t="s">
        <v>94</v>
      </c>
      <c r="L6597" s="3" t="str">
        <f>IFERROR(__xludf.DUMMYFUNCTION("GOOGLETRANSLATE(F6597,""id"",""en"")"),"I am a Livakovic team but Emi Martinez can bring Argentina to the two -time champion to be a hero of a penalty shootout plus some important saves, especially the final minutes of extra time, France seems to be a special consideration so it's only natural,"&amp;" according to")</f>
        <v>I am a Livakovic team but Emi Martinez can bring Argentina to the two -time champion to be a hero of a penalty shootout plus some important saves, especially the final minutes of extra time, France seems to be a special consideration so it's only natural, according to</v>
      </c>
    </row>
    <row r="6598" ht="15.75" customHeight="1">
      <c r="A6598" s="1">
        <v>7793.0</v>
      </c>
      <c r="B6598" s="3" t="s">
        <v>18949</v>
      </c>
      <c r="C6598" s="3">
        <v>1.0</v>
      </c>
      <c r="D6598" s="3">
        <v>0.0</v>
      </c>
      <c r="E6598" s="3">
        <v>2.0</v>
      </c>
      <c r="F6598" s="3" t="s">
        <v>18876</v>
      </c>
      <c r="G6598" s="3">
        <v>0.0</v>
      </c>
      <c r="H6598" s="3">
        <v>0.0</v>
      </c>
      <c r="I6598" s="3" t="s">
        <v>13</v>
      </c>
      <c r="J6598" s="3" t="s">
        <v>18877</v>
      </c>
      <c r="K6598" s="3" t="s">
        <v>82</v>
      </c>
      <c r="L6598" s="3" t="str">
        <f>IFERROR(__xludf.DUMMYFUNCTION("GOOGLETRANSLATE(F6598,""id"",""en"")"),"The first all -round success in Argentina Champion World Cup")</f>
        <v>The first all -round success in Argentina Champion World Cup</v>
      </c>
    </row>
    <row r="6599" ht="15.75" customHeight="1">
      <c r="A6599" s="1">
        <v>7794.0</v>
      </c>
      <c r="B6599" s="3" t="s">
        <v>18950</v>
      </c>
      <c r="C6599" s="3">
        <v>0.0</v>
      </c>
      <c r="D6599" s="3">
        <v>0.0</v>
      </c>
      <c r="E6599" s="3">
        <v>0.0</v>
      </c>
      <c r="F6599" s="3" t="s">
        <v>18951</v>
      </c>
      <c r="G6599" s="3">
        <v>0.0</v>
      </c>
      <c r="H6599" s="3">
        <v>0.0</v>
      </c>
      <c r="I6599" s="3" t="s">
        <v>13</v>
      </c>
      <c r="J6599" s="3" t="s">
        <v>18952</v>
      </c>
      <c r="K6599" s="3" t="s">
        <v>35</v>
      </c>
      <c r="L6599" s="3" t="str">
        <f>IFERROR(__xludf.DUMMYFUNCTION("GOOGLETRANSLATE(F6599,""id"",""en"")"),"Tragically, an Argentine national team supporter died in the celebration of the World Cup title")</f>
        <v>Tragically, an Argentine national team supporter died in the celebration of the World Cup title</v>
      </c>
    </row>
    <row r="6600" ht="15.75" customHeight="1">
      <c r="A6600" s="1">
        <v>7795.0</v>
      </c>
      <c r="B6600" s="3" t="s">
        <v>18953</v>
      </c>
      <c r="C6600" s="3">
        <v>0.0</v>
      </c>
      <c r="D6600" s="3">
        <v>0.0</v>
      </c>
      <c r="E6600" s="3">
        <v>0.0</v>
      </c>
      <c r="F6600" s="3" t="s">
        <v>18954</v>
      </c>
      <c r="G6600" s="3">
        <v>0.0</v>
      </c>
      <c r="H6600" s="3">
        <v>0.0</v>
      </c>
      <c r="I6600" s="3" t="s">
        <v>13</v>
      </c>
      <c r="J6600" s="3" t="s">
        <v>18955</v>
      </c>
      <c r="K6600" s="3" t="s">
        <v>322</v>
      </c>
      <c r="L6600" s="3" t="str">
        <f>IFERROR(__xludf.DUMMYFUNCTION("GOOGLETRANSLATE(F6600,""id"",""en"")"),"If Argentina can win Indonesian champions AEPEP")</f>
        <v>If Argentina can win Indonesian champions AEPEP</v>
      </c>
    </row>
    <row r="6601" ht="15.75" customHeight="1">
      <c r="A6601" s="1">
        <v>7796.0</v>
      </c>
      <c r="B6601" s="3" t="s">
        <v>18956</v>
      </c>
      <c r="C6601" s="3">
        <v>0.0</v>
      </c>
      <c r="D6601" s="3">
        <v>0.0</v>
      </c>
      <c r="E6601" s="3">
        <v>0.0</v>
      </c>
      <c r="F6601" s="3" t="s">
        <v>18957</v>
      </c>
      <c r="G6601" s="3">
        <v>0.0</v>
      </c>
      <c r="H6601" s="3">
        <v>0.0</v>
      </c>
      <c r="I6601" s="3" t="s">
        <v>13</v>
      </c>
      <c r="J6601" s="3" t="s">
        <v>18958</v>
      </c>
      <c r="K6601" s="3" t="s">
        <v>16539</v>
      </c>
      <c r="L6601" s="3" t="str">
        <f>IFERROR(__xludf.DUMMYFUNCTION("GOOGLETRANSLATE(F6601,""id"",""en"")"),"Learning from Argentina Lose try again to lose again try again to be able to champion also try which sounds Argentina fans")</f>
        <v>Learning from Argentina Lose try again to lose again try again to be able to champion also try which sounds Argentina fans</v>
      </c>
    </row>
    <row r="6602" ht="15.75" customHeight="1">
      <c r="A6602" s="1">
        <v>7797.0</v>
      </c>
      <c r="B6602" s="3" t="s">
        <v>18959</v>
      </c>
      <c r="C6602" s="3">
        <v>0.0</v>
      </c>
      <c r="D6602" s="3">
        <v>0.0</v>
      </c>
      <c r="E6602" s="3">
        <v>0.0</v>
      </c>
      <c r="F6602" s="3" t="s">
        <v>18960</v>
      </c>
      <c r="G6602" s="3">
        <v>0.0</v>
      </c>
      <c r="H6602" s="3">
        <v>0.0</v>
      </c>
      <c r="I6602" s="3" t="s">
        <v>13</v>
      </c>
      <c r="J6602" s="3" t="s">
        <v>18961</v>
      </c>
      <c r="K6602" s="3" t="s">
        <v>322</v>
      </c>
      <c r="L6602" s="3" t="str">
        <f>IFERROR(__xludf.DUMMYFUNCTION("GOOGLETRANSLATE(F6602,""id"",""en"")"),"example how come the Morocco Examples of Argentina Champion")</f>
        <v>example how come the Morocco Examples of Argentina Champion</v>
      </c>
    </row>
    <row r="6603" ht="15.75" customHeight="1">
      <c r="A6603" s="1">
        <v>7798.0</v>
      </c>
      <c r="B6603" s="3" t="s">
        <v>18962</v>
      </c>
      <c r="C6603" s="3">
        <v>0.0</v>
      </c>
      <c r="D6603" s="3">
        <v>0.0</v>
      </c>
      <c r="E6603" s="3">
        <v>0.0</v>
      </c>
      <c r="F6603" s="3" t="s">
        <v>18963</v>
      </c>
      <c r="G6603" s="3">
        <v>0.0</v>
      </c>
      <c r="H6603" s="3">
        <v>0.0</v>
      </c>
      <c r="I6603" s="3" t="s">
        <v>13</v>
      </c>
      <c r="J6603" s="3" t="s">
        <v>18964</v>
      </c>
      <c r="K6603" s="3" t="s">
        <v>791</v>
      </c>
      <c r="L6603" s="3" t="str">
        <f>IFERROR(__xludf.DUMMYFUNCTION("GOOGLETRANSLATE(F6603,""id"",""en"")"),"Alhamdulillah, legitimate as the Defender of Ronaldo Twitter account analysis Twitter name Twitter Day Tweet per day Number of Words per Tweet Words Most Often Ronaldo Tweet")</f>
        <v>Alhamdulillah, legitimate as the Defender of Ronaldo Twitter account analysis Twitter name Twitter Day Tweet per day Number of Words per Tweet Words Most Often Ronaldo Tweet</v>
      </c>
    </row>
    <row r="6604" ht="15.75" customHeight="1">
      <c r="A6604" s="1">
        <v>7799.0</v>
      </c>
      <c r="B6604" s="3" t="s">
        <v>18965</v>
      </c>
      <c r="C6604" s="3">
        <v>0.0</v>
      </c>
      <c r="D6604" s="3">
        <v>0.0</v>
      </c>
      <c r="E6604" s="3">
        <v>0.0</v>
      </c>
      <c r="F6604" s="3" t="s">
        <v>18966</v>
      </c>
      <c r="G6604" s="3">
        <v>0.2333333333333333</v>
      </c>
      <c r="H6604" s="3">
        <v>-0.25</v>
      </c>
      <c r="I6604" s="3" t="s">
        <v>179</v>
      </c>
      <c r="J6604" s="3" t="s">
        <v>18967</v>
      </c>
      <c r="K6604" s="3" t="s">
        <v>41</v>
      </c>
      <c r="L6604" s="3" t="str">
        <f>IFERROR(__xludf.DUMMYFUNCTION("GOOGLETRANSLATE(F6604,""id"",""en"")"),"Argentine championship Parade Ends Hangs of Wound People Arrested Entryurl")</f>
        <v>Argentine championship Parade Ends Hangs of Wound People Arrested Entryurl</v>
      </c>
    </row>
    <row r="6605" ht="15.75" customHeight="1">
      <c r="A6605" s="1">
        <v>7800.0</v>
      </c>
      <c r="B6605" s="3" t="s">
        <v>18968</v>
      </c>
      <c r="C6605" s="3">
        <v>0.0</v>
      </c>
      <c r="D6605" s="3">
        <v>0.0</v>
      </c>
      <c r="E6605" s="3">
        <v>0.0</v>
      </c>
      <c r="F6605" s="3" t="s">
        <v>18969</v>
      </c>
      <c r="G6605" s="3">
        <v>1.0</v>
      </c>
      <c r="H6605" s="3">
        <v>0.0</v>
      </c>
      <c r="I6605" s="3" t="s">
        <v>13</v>
      </c>
      <c r="J6605" s="3" t="s">
        <v>18970</v>
      </c>
      <c r="K6605" s="3" t="s">
        <v>699</v>
      </c>
      <c r="L6605" s="3" t="str">
        <f>IFERROR(__xludf.DUMMYFUNCTION("GOOGLETRANSLATE(F6605,""id"",""en"")"),"This should have been surprised that yesterday's Edits were very good at Argentina.")</f>
        <v>This should have been surprised that yesterday's Edits were very good at Argentina.</v>
      </c>
    </row>
    <row r="6606" ht="15.75" customHeight="1">
      <c r="A6606" s="1">
        <v>7801.0</v>
      </c>
      <c r="B6606" s="3" t="s">
        <v>18971</v>
      </c>
      <c r="C6606" s="3">
        <v>0.0</v>
      </c>
      <c r="D6606" s="3">
        <v>4.0</v>
      </c>
      <c r="E6606" s="3">
        <v>0.0</v>
      </c>
      <c r="F6606" s="3" t="s">
        <v>18972</v>
      </c>
      <c r="G6606" s="3">
        <v>0.0</v>
      </c>
      <c r="H6606" s="3">
        <v>0.0</v>
      </c>
      <c r="I6606" s="3" t="s">
        <v>13</v>
      </c>
      <c r="J6606" s="3" t="s">
        <v>18973</v>
      </c>
      <c r="K6606" s="3" t="s">
        <v>50</v>
      </c>
      <c r="L6606" s="3" t="str">
        <f>IFERROR(__xludf.DUMMYFUNCTION("GOOGLETRANSLATE(F6606,""id"",""en"")"),"Video celebration of the World Cup Champion too busy Argentine national team was evacuated by a helicopter")</f>
        <v>Video celebration of the World Cup Champion too busy Argentine national team was evacuated by a helicopter</v>
      </c>
    </row>
    <row r="6607" ht="15.75" customHeight="1">
      <c r="A6607" s="1">
        <v>7802.0</v>
      </c>
      <c r="B6607" s="3" t="s">
        <v>18974</v>
      </c>
      <c r="C6607" s="3">
        <v>0.0</v>
      </c>
      <c r="D6607" s="3">
        <v>0.0</v>
      </c>
      <c r="E6607" s="3">
        <v>0.0</v>
      </c>
      <c r="F6607" s="3" t="s">
        <v>17165</v>
      </c>
      <c r="G6607" s="3">
        <v>0.2333333333333333</v>
      </c>
      <c r="H6607" s="3">
        <v>-0.25</v>
      </c>
      <c r="I6607" s="3" t="s">
        <v>179</v>
      </c>
      <c r="J6607" s="3" t="s">
        <v>17166</v>
      </c>
      <c r="K6607" s="3" t="s">
        <v>50</v>
      </c>
      <c r="L6607" s="3" t="str">
        <f>IFERROR(__xludf.DUMMYFUNCTION("GOOGLETRANSLATE(F6607,""id"",""en"")"),"The Argentine national team players were evacuated from the bus parade during the celebration of the World Cup championship")</f>
        <v>The Argentine national team players were evacuated from the bus parade during the celebration of the World Cup championship</v>
      </c>
    </row>
    <row r="6608" ht="15.75" customHeight="1">
      <c r="A6608" s="1">
        <v>7803.0</v>
      </c>
      <c r="B6608" s="3" t="s">
        <v>18975</v>
      </c>
      <c r="C6608" s="3">
        <v>0.0</v>
      </c>
      <c r="D6608" s="3">
        <v>0.0</v>
      </c>
      <c r="E6608" s="3">
        <v>0.0</v>
      </c>
      <c r="F6608" s="3" t="s">
        <v>18976</v>
      </c>
      <c r="G6608" s="3">
        <v>0.0</v>
      </c>
      <c r="H6608" s="3">
        <v>0.0</v>
      </c>
      <c r="I6608" s="3" t="s">
        <v>13</v>
      </c>
      <c r="J6608" s="3" t="s">
        <v>18977</v>
      </c>
      <c r="K6608" s="3" t="s">
        <v>71</v>
      </c>
      <c r="L6608" s="3" t="str">
        <f>IFERROR(__xludf.DUMMYFUNCTION("GOOGLETRANSLATE(F6608,""id"",""en"")"),"After becoming the world champion of Argentine goalkeeper Emiliano Martinez, Kylian Mbappe's mockery use this way")</f>
        <v>After becoming the world champion of Argentine goalkeeper Emiliano Martinez, Kylian Mbappe's mockery use this way</v>
      </c>
    </row>
    <row r="6609" ht="15.75" customHeight="1">
      <c r="A6609" s="1">
        <v>7804.0</v>
      </c>
      <c r="B6609" s="3" t="s">
        <v>18978</v>
      </c>
      <c r="C6609" s="3">
        <v>0.0</v>
      </c>
      <c r="D6609" s="3">
        <v>0.0</v>
      </c>
      <c r="E6609" s="3">
        <v>0.0</v>
      </c>
      <c r="F6609" s="3" t="s">
        <v>18979</v>
      </c>
      <c r="G6609" s="3">
        <v>0.0</v>
      </c>
      <c r="H6609" s="3">
        <v>0.0</v>
      </c>
      <c r="I6609" s="3" t="s">
        <v>13</v>
      </c>
      <c r="J6609" s="3" t="s">
        <v>18980</v>
      </c>
      <c r="K6609" s="3" t="s">
        <v>644</v>
      </c>
      <c r="L6609" s="3" t="str">
        <f>IFERROR(__xludf.DUMMYFUNCTION("GOOGLETRANSLATE(F6609,""id"",""en"")"),"Still excited because Argentina champions pildun")</f>
        <v>Still excited because Argentina champions pildun</v>
      </c>
    </row>
    <row r="6610" ht="15.75" customHeight="1">
      <c r="A6610" s="1">
        <v>7805.0</v>
      </c>
      <c r="B6610" s="3" t="s">
        <v>18981</v>
      </c>
      <c r="C6610" s="3">
        <v>1.0</v>
      </c>
      <c r="D6610" s="3">
        <v>0.0</v>
      </c>
      <c r="E6610" s="3">
        <v>0.0</v>
      </c>
      <c r="F6610" s="3" t="s">
        <v>18982</v>
      </c>
      <c r="G6610" s="3">
        <v>0.0</v>
      </c>
      <c r="H6610" s="3">
        <v>0.0</v>
      </c>
      <c r="I6610" s="3" t="s">
        <v>13</v>
      </c>
      <c r="J6610" s="3" t="s">
        <v>18983</v>
      </c>
      <c r="K6610" s="3" t="s">
        <v>244</v>
      </c>
      <c r="L6610" s="3" t="str">
        <f>IFERROR(__xludf.DUMMYFUNCTION("GOOGLETRANSLATE(F6610,""id"",""en"")"),"The moment of the procession of submission and appointment of the Argentine championship trophy was handed over by Messi Happy Argentina")</f>
        <v>The moment of the procession of submission and appointment of the Argentine championship trophy was handed over by Messi Happy Argentina</v>
      </c>
    </row>
    <row r="6611" ht="15.75" customHeight="1">
      <c r="A6611" s="1">
        <v>7806.0</v>
      </c>
      <c r="B6611" s="3" t="s">
        <v>18984</v>
      </c>
      <c r="C6611" s="3">
        <v>1.0</v>
      </c>
      <c r="D6611" s="3">
        <v>0.0</v>
      </c>
      <c r="E6611" s="3">
        <v>0.0</v>
      </c>
      <c r="F6611" s="3" t="s">
        <v>18985</v>
      </c>
      <c r="G6611" s="3">
        <v>0.0</v>
      </c>
      <c r="H6611" s="3">
        <v>0.0</v>
      </c>
      <c r="I6611" s="3" t="s">
        <v>13</v>
      </c>
      <c r="J6611" s="3" t="s">
        <v>18986</v>
      </c>
      <c r="K6611" s="3" t="s">
        <v>19</v>
      </c>
      <c r="L6611" s="3" t="str">
        <f>IFERROR(__xludf.DUMMYFUNCTION("GOOGLETRANSLATE(F6611,""id"",""en"")"),"The moment of the penalty kick determining Argentina's victory by Montiel while bringing Messi et al Champion")</f>
        <v>The moment of the penalty kick determining Argentina's victory by Montiel while bringing Messi et al Champion</v>
      </c>
    </row>
    <row r="6612" ht="15.75" customHeight="1">
      <c r="A6612" s="1">
        <v>7807.0</v>
      </c>
      <c r="B6612" s="3" t="s">
        <v>18987</v>
      </c>
      <c r="C6612" s="3">
        <v>50.0</v>
      </c>
      <c r="D6612" s="3">
        <v>4.0</v>
      </c>
      <c r="E6612" s="3">
        <v>71.0</v>
      </c>
      <c r="F6612" s="3" t="s">
        <v>18922</v>
      </c>
      <c r="G6612" s="3">
        <v>0.2333333333333333</v>
      </c>
      <c r="H6612" s="3">
        <v>-0.25</v>
      </c>
      <c r="I6612" s="3" t="s">
        <v>179</v>
      </c>
      <c r="J6612" s="3" t="s">
        <v>18923</v>
      </c>
      <c r="K6612" s="3" t="s">
        <v>2610</v>
      </c>
      <c r="L6612" s="3" t="str">
        <f>IFERROR(__xludf.DUMMYFUNCTION("GOOGLETRANSLATE(F6612,""id"",""en"")"),"A moment in the Argentine championship parade gets more attention when Emiliano Martinez carried a doll that was covered with the face of Kylian Mbappe right on the face of her face, your comments Twitter Heliodoroh")</f>
        <v>A moment in the Argentine championship parade gets more attention when Emiliano Martinez carried a doll that was covered with the face of Kylian Mbappe right on the face of her face, your comments Twitter Heliodoroh</v>
      </c>
    </row>
    <row r="6613" ht="15.75" customHeight="1">
      <c r="A6613" s="1">
        <v>7808.0</v>
      </c>
      <c r="B6613" s="3" t="s">
        <v>18988</v>
      </c>
      <c r="C6613" s="3">
        <v>0.0</v>
      </c>
      <c r="D6613" s="3">
        <v>0.0</v>
      </c>
      <c r="E6613" s="3">
        <v>0.0</v>
      </c>
      <c r="F6613" s="3" t="s">
        <v>18989</v>
      </c>
      <c r="G6613" s="3">
        <v>0.0</v>
      </c>
      <c r="H6613" s="3">
        <v>0.0</v>
      </c>
      <c r="I6613" s="3" t="s">
        <v>13</v>
      </c>
      <c r="J6613" s="3" t="s">
        <v>18990</v>
      </c>
      <c r="K6613" s="3" t="s">
        <v>54</v>
      </c>
      <c r="L6613" s="3" t="str">
        <f>IFERROR(__xludf.DUMMYFUNCTION("GOOGLETRANSLATE(F6613,""id"",""en"")"),"must imitate Argentina, sir, the success of the world champion")</f>
        <v>must imitate Argentina, sir, the success of the world champion</v>
      </c>
    </row>
    <row r="6614" ht="15.75" customHeight="1">
      <c r="A6614" s="1">
        <v>7809.0</v>
      </c>
      <c r="B6614" s="3" t="s">
        <v>18991</v>
      </c>
      <c r="C6614" s="3">
        <v>0.0</v>
      </c>
      <c r="D6614" s="3">
        <v>0.0</v>
      </c>
      <c r="E6614" s="3">
        <v>0.0</v>
      </c>
      <c r="F6614" s="3" t="s">
        <v>18992</v>
      </c>
      <c r="G6614" s="3">
        <v>0.2333333333333333</v>
      </c>
      <c r="H6614" s="3">
        <v>-0.25</v>
      </c>
      <c r="I6614" s="3" t="s">
        <v>179</v>
      </c>
      <c r="J6614" s="3" t="s">
        <v>18993</v>
      </c>
      <c r="K6614" s="3" t="s">
        <v>15</v>
      </c>
      <c r="L6614" s="3" t="str">
        <f>IFERROR(__xludf.DUMMYFUNCTION("GOOGLETRANSLATE(F6614,""id"",""en"")"),"The Argentine championship parade ended rioted by the injured person being arrested")</f>
        <v>The Argentine championship parade ended rioted by the injured person being arrested</v>
      </c>
    </row>
    <row r="6615" ht="15.75" customHeight="1">
      <c r="A6615" s="1">
        <v>7810.0</v>
      </c>
      <c r="B6615" s="3" t="s">
        <v>18994</v>
      </c>
      <c r="C6615" s="3">
        <v>0.0</v>
      </c>
      <c r="D6615" s="3">
        <v>0.0</v>
      </c>
      <c r="E6615" s="3">
        <v>0.0</v>
      </c>
      <c r="F6615" s="3" t="s">
        <v>18995</v>
      </c>
      <c r="G6615" s="3">
        <v>0.0</v>
      </c>
      <c r="H6615" s="3">
        <v>0.0</v>
      </c>
      <c r="I6615" s="3" t="s">
        <v>13</v>
      </c>
      <c r="J6615" s="3" t="s">
        <v>18996</v>
      </c>
      <c r="K6615" s="3" t="s">
        <v>1097</v>
      </c>
      <c r="L6615" s="3" t="str">
        <f>IFERROR(__xludf.DUMMYFUNCTION("GOOGLETRANSLATE(F6615,""id"",""en"")"),"Argentina Champion Dream All Ball Lovers at least I Champion Your Heart")</f>
        <v>Argentina Champion Dream All Ball Lovers at least I Champion Your Heart</v>
      </c>
    </row>
    <row r="6616" ht="15.75" customHeight="1">
      <c r="A6616" s="1">
        <v>7811.0</v>
      </c>
      <c r="B6616" s="3" t="s">
        <v>18997</v>
      </c>
      <c r="C6616" s="3">
        <v>0.0</v>
      </c>
      <c r="D6616" s="3">
        <v>0.0</v>
      </c>
      <c r="E6616" s="3">
        <v>0.0</v>
      </c>
      <c r="F6616" s="3" t="s">
        <v>18998</v>
      </c>
      <c r="G6616" s="3">
        <v>0.0</v>
      </c>
      <c r="H6616" s="3">
        <v>0.0</v>
      </c>
      <c r="I6616" s="3" t="s">
        <v>13</v>
      </c>
      <c r="J6616" s="3" t="s">
        <v>18999</v>
      </c>
      <c r="K6616" s="3" t="s">
        <v>4609</v>
      </c>
      <c r="L6616" s="3" t="str">
        <f>IFERROR(__xludf.DUMMYFUNCTION("GOOGLETRANSLATE(F6616,""id"",""en"")"),"Argentina as the World Cup champion, of course, presents talented players along with Argentina World Cup goalscorer")</f>
        <v>Argentina as the World Cup champion, of course, presents talented players along with Argentina World Cup goalscorer</v>
      </c>
    </row>
    <row r="6617" ht="15.75" customHeight="1">
      <c r="A6617" s="1">
        <v>7812.0</v>
      </c>
      <c r="B6617" s="3" t="s">
        <v>19000</v>
      </c>
      <c r="C6617" s="3">
        <v>0.0</v>
      </c>
      <c r="D6617" s="3">
        <v>0.0</v>
      </c>
      <c r="E6617" s="3">
        <v>0.0</v>
      </c>
      <c r="F6617" s="3" t="s">
        <v>19001</v>
      </c>
      <c r="G6617" s="3">
        <v>0.2333333333333333</v>
      </c>
      <c r="H6617" s="3">
        <v>-0.25</v>
      </c>
      <c r="I6617" s="3" t="s">
        <v>179</v>
      </c>
      <c r="J6617" s="3" t="s">
        <v>19002</v>
      </c>
      <c r="K6617" s="3" t="s">
        <v>1854</v>
      </c>
      <c r="L6617" s="3" t="str">
        <f>IFERROR(__xludf.DUMMYFUNCTION("GOOGLETRANSLATE(F6617,""id"",""en"")"),"Tribunnews Lionel Messi et al initially took the bus open to tour Buenos Aires while showing off the World Cup trophy but the Argentine national team players were forced")</f>
        <v>Tribunnews Lionel Messi et al initially took the bus open to tour Buenos Aires while showing off the World Cup trophy but the Argentine national team players were forced</v>
      </c>
    </row>
    <row r="6618" ht="15.75" customHeight="1">
      <c r="A6618" s="1">
        <v>7813.0</v>
      </c>
      <c r="B6618" s="3" t="s">
        <v>19003</v>
      </c>
      <c r="C6618" s="3">
        <v>0.0</v>
      </c>
      <c r="D6618" s="3">
        <v>0.0</v>
      </c>
      <c r="E6618" s="3">
        <v>0.0</v>
      </c>
      <c r="F6618" s="3" t="s">
        <v>19004</v>
      </c>
      <c r="G6618" s="3">
        <v>0.0</v>
      </c>
      <c r="H6618" s="3">
        <v>0.0</v>
      </c>
      <c r="I6618" s="3" t="s">
        <v>13</v>
      </c>
      <c r="J6618" s="3" t="s">
        <v>19005</v>
      </c>
      <c r="K6618" s="3" t="s">
        <v>8160</v>
      </c>
      <c r="L6618" s="3" t="str">
        <f>IFERROR(__xludf.DUMMYFUNCTION("GOOGLETRANSLATE(F6618,""id"",""en"")"),"Tribunnews are hundreds of thousands to millions of Argentine people celebrate the success of Lionel Messi Champion World Cup Buenos Aires.")</f>
        <v>Tribunnews are hundreds of thousands to millions of Argentine people celebrate the success of Lionel Messi Champion World Cup Buenos Aires.</v>
      </c>
    </row>
    <row r="6619" ht="15.75" customHeight="1">
      <c r="A6619" s="1">
        <v>7814.0</v>
      </c>
      <c r="B6619" s="3" t="s">
        <v>19006</v>
      </c>
      <c r="C6619" s="3">
        <v>0.0</v>
      </c>
      <c r="D6619" s="3">
        <v>0.0</v>
      </c>
      <c r="E6619" s="3">
        <v>0.0</v>
      </c>
      <c r="F6619" s="3" t="s">
        <v>19007</v>
      </c>
      <c r="G6619" s="3">
        <v>0.2333333333333333</v>
      </c>
      <c r="H6619" s="3">
        <v>-0.25</v>
      </c>
      <c r="I6619" s="3" t="s">
        <v>179</v>
      </c>
      <c r="J6619" s="3" t="s">
        <v>19008</v>
      </c>
      <c r="K6619" s="3" t="s">
        <v>90</v>
      </c>
      <c r="L6619" s="3" t="str">
        <f>IFERROR(__xludf.DUMMYFUNCTION("GOOGLETRANSLATE(F6619,""id"",""en"")"),"The Argentine national team championship parade had to be stopped because he could not penetrate the sea of ​​human beenos aires Messi was finally transported by a photo of photo getty images photo helicopter")</f>
        <v>The Argentine national team championship parade had to be stopped because he could not penetrate the sea of ​​human beenos aires Messi was finally transported by a photo of photo getty images photo helicopter</v>
      </c>
    </row>
    <row r="6620" ht="15.75" customHeight="1">
      <c r="A6620" s="1">
        <v>7815.0</v>
      </c>
      <c r="B6620" s="3" t="s">
        <v>19009</v>
      </c>
      <c r="C6620" s="3">
        <v>1.0</v>
      </c>
      <c r="D6620" s="3">
        <v>0.0</v>
      </c>
      <c r="E6620" s="3">
        <v>4.0</v>
      </c>
      <c r="F6620" s="3" t="s">
        <v>19010</v>
      </c>
      <c r="G6620" s="3">
        <v>0.0</v>
      </c>
      <c r="H6620" s="3">
        <v>0.0</v>
      </c>
      <c r="I6620" s="3" t="s">
        <v>13</v>
      </c>
      <c r="J6620" s="3" t="s">
        <v>19011</v>
      </c>
      <c r="K6620" s="3" t="s">
        <v>1061</v>
      </c>
      <c r="L6620" s="3" t="str">
        <f>IFERROR(__xludf.DUMMYFUNCTION("GOOGLETRANSLATE(F6620,""id"",""en"")"),"Lines of the sink of Messi won everything the club he can give what to his country Messi then bring Agen champion the Copa America World Cup is normal, right?")</f>
        <v>Lines of the sink of Messi won everything the club he can give what to his country Messi then bring Agen champion the Copa America World Cup is normal, right?</v>
      </c>
    </row>
    <row r="6621" ht="15.75" customHeight="1">
      <c r="A6621" s="1">
        <v>7816.0</v>
      </c>
      <c r="B6621" s="3" t="s">
        <v>19012</v>
      </c>
      <c r="C6621" s="3">
        <v>0.0</v>
      </c>
      <c r="D6621" s="3">
        <v>0.0</v>
      </c>
      <c r="E6621" s="3">
        <v>0.0</v>
      </c>
      <c r="F6621" s="3" t="s">
        <v>19013</v>
      </c>
      <c r="G6621" s="3">
        <v>0.0</v>
      </c>
      <c r="H6621" s="3">
        <v>0.0</v>
      </c>
      <c r="I6621" s="3" t="s">
        <v>13</v>
      </c>
      <c r="J6621" s="3" t="s">
        <v>19014</v>
      </c>
      <c r="K6621" s="3" t="s">
        <v>433</v>
      </c>
      <c r="L6621" s="3" t="str">
        <f>IFERROR(__xludf.DUMMYFUNCTION("GOOGLETRANSLATE(F6621,""id"",""en"")"),"Yes, it's true that he is clearly the champion he is also the decisive victory of Argentina Save the final minute and Save Penalty")</f>
        <v>Yes, it's true that he is clearly the champion he is also the decisive victory of Argentina Save the final minute and Save Penalty</v>
      </c>
    </row>
    <row r="6622" ht="15.75" customHeight="1">
      <c r="A6622" s="1">
        <v>7817.0</v>
      </c>
      <c r="B6622" s="3" t="s">
        <v>19015</v>
      </c>
      <c r="C6622" s="3">
        <v>0.0</v>
      </c>
      <c r="D6622" s="3">
        <v>0.0</v>
      </c>
      <c r="E6622" s="3">
        <v>0.0</v>
      </c>
      <c r="F6622" s="3" t="s">
        <v>19016</v>
      </c>
      <c r="G6622" s="3">
        <v>0.0</v>
      </c>
      <c r="H6622" s="3">
        <v>0.0</v>
      </c>
      <c r="I6622" s="3" t="s">
        <v>13</v>
      </c>
      <c r="J6622" s="3" t="s">
        <v>19017</v>
      </c>
      <c r="K6622" s="3" t="s">
        <v>50</v>
      </c>
      <c r="L6622" s="3" t="str">
        <f>IFERROR(__xludf.DUMMYFUNCTION("GOOGLETRANSLATE(F6622,""id"",""en"")"),"Yes, we also try to drink it too haram, but it is important that Argentina is the world champion, the complaints are welcome")</f>
        <v>Yes, we also try to drink it too haram, but it is important that Argentina is the world champion, the complaints are welcome</v>
      </c>
    </row>
    <row r="6623" ht="15.75" customHeight="1">
      <c r="A6623" s="1">
        <v>7818.0</v>
      </c>
      <c r="B6623" s="3" t="s">
        <v>19018</v>
      </c>
      <c r="C6623" s="3">
        <v>0.0</v>
      </c>
      <c r="D6623" s="3">
        <v>0.0</v>
      </c>
      <c r="E6623" s="3">
        <v>0.0</v>
      </c>
      <c r="F6623" s="3" t="s">
        <v>19019</v>
      </c>
      <c r="G6623" s="3">
        <v>0.0</v>
      </c>
      <c r="H6623" s="3">
        <v>0.0</v>
      </c>
      <c r="I6623" s="3" t="s">
        <v>13</v>
      </c>
      <c r="J6623" s="3" t="s">
        <v>19020</v>
      </c>
      <c r="K6623" s="3" t="s">
        <v>82</v>
      </c>
      <c r="L6623" s="3" t="str">
        <f>IFERROR(__xludf.DUMMYFUNCTION("GOOGLETRANSLATE(F6623,""id"",""en"")"),"Argentina Champion World Cup Lionel Messi Perfect")</f>
        <v>Argentina Champion World Cup Lionel Messi Perfect</v>
      </c>
    </row>
    <row r="6624" ht="15.75" customHeight="1">
      <c r="A6624" s="1">
        <v>7819.0</v>
      </c>
      <c r="B6624" s="3" t="s">
        <v>19021</v>
      </c>
      <c r="C6624" s="3">
        <v>0.0</v>
      </c>
      <c r="D6624" s="3">
        <v>0.0</v>
      </c>
      <c r="E6624" s="3">
        <v>0.0</v>
      </c>
      <c r="F6624" s="3" t="s">
        <v>19022</v>
      </c>
      <c r="G6624" s="3">
        <v>0.0</v>
      </c>
      <c r="H6624" s="3">
        <v>0.0</v>
      </c>
      <c r="I6624" s="3" t="s">
        <v>13</v>
      </c>
      <c r="J6624" s="3" t="s">
        <v>19023</v>
      </c>
      <c r="K6624" s="3" t="s">
        <v>50</v>
      </c>
      <c r="L6624" s="3" t="str">
        <f>IFERROR(__xludf.DUMMYFUNCTION("GOOGLETRANSLATE(F6624,""id"",""en"")"),"not a year of romance but at least this year seeing Messi champions World Cup and have a cat")</f>
        <v>not a year of romance but at least this year seeing Messi champions World Cup and have a cat</v>
      </c>
    </row>
    <row r="6625" ht="15.75" customHeight="1">
      <c r="A6625" s="1">
        <v>7820.0</v>
      </c>
      <c r="B6625" s="3" t="s">
        <v>19024</v>
      </c>
      <c r="C6625" s="3">
        <v>2.0</v>
      </c>
      <c r="D6625" s="3">
        <v>0.0</v>
      </c>
      <c r="E6625" s="3">
        <v>0.0</v>
      </c>
      <c r="F6625" s="3" t="s">
        <v>19025</v>
      </c>
      <c r="G6625" s="3">
        <v>0.0</v>
      </c>
      <c r="H6625" s="3">
        <v>0.0</v>
      </c>
      <c r="I6625" s="3" t="s">
        <v>13</v>
      </c>
      <c r="J6625" s="3" t="s">
        <v>19026</v>
      </c>
      <c r="K6625" s="3" t="s">
        <v>240</v>
      </c>
      <c r="L6625" s="3" t="str">
        <f>IFERROR(__xludf.DUMMYFUNCTION("GOOGLETRANSLATE(F6625,""id"",""en"")"),"I was also burglarized by mbappe until the time but Argentina still champions how come the fact is that things like this have to be debated anyway")</f>
        <v>I was also burglarized by mbappe until the time but Argentina still champions how come the fact is that things like this have to be debated anyway</v>
      </c>
    </row>
    <row r="6626" ht="15.75" customHeight="1">
      <c r="A6626" s="1">
        <v>7821.0</v>
      </c>
      <c r="B6626" s="3" t="s">
        <v>19027</v>
      </c>
      <c r="C6626" s="3">
        <v>0.0</v>
      </c>
      <c r="D6626" s="3">
        <v>0.0</v>
      </c>
      <c r="E6626" s="3">
        <v>0.0</v>
      </c>
      <c r="F6626" s="3" t="s">
        <v>19028</v>
      </c>
      <c r="G6626" s="3">
        <v>0.0</v>
      </c>
      <c r="H6626" s="3">
        <v>0.0</v>
      </c>
      <c r="I6626" s="3" t="s">
        <v>13</v>
      </c>
      <c r="J6626" s="3" t="s">
        <v>19029</v>
      </c>
      <c r="K6626" s="3" t="s">
        <v>19</v>
      </c>
      <c r="L6626" s="3" t="str">
        <f>IFERROR(__xludf.DUMMYFUNCTION("GOOGLETRANSLATE(F6626,""id"",""en"")"),"there is still a lot of hurt Argentina champion with the writing and picture of the XIXI Cry Louder Kids provocation and provocation")</f>
        <v>there is still a lot of hurt Argentina champion with the writing and picture of the XIXI Cry Louder Kids provocation and provocation</v>
      </c>
    </row>
    <row r="6627" ht="15.75" customHeight="1">
      <c r="A6627" s="1">
        <v>7822.0</v>
      </c>
      <c r="B6627" s="3" t="s">
        <v>19030</v>
      </c>
      <c r="C6627" s="3">
        <v>0.0</v>
      </c>
      <c r="D6627" s="3">
        <v>9.0</v>
      </c>
      <c r="E6627" s="3">
        <v>56.0</v>
      </c>
      <c r="F6627" s="3" t="s">
        <v>19007</v>
      </c>
      <c r="G6627" s="3">
        <v>0.2333333333333333</v>
      </c>
      <c r="H6627" s="3">
        <v>-0.25</v>
      </c>
      <c r="I6627" s="3" t="s">
        <v>179</v>
      </c>
      <c r="J6627" s="3" t="s">
        <v>19008</v>
      </c>
      <c r="K6627" s="3" t="s">
        <v>90</v>
      </c>
      <c r="L6627" s="3" t="str">
        <f>IFERROR(__xludf.DUMMYFUNCTION("GOOGLETRANSLATE(F6627,""id"",""en"")"),"The Argentine national team championship parade had to be stopped because he could not penetrate the sea of ​​human beenos aires Messi was finally transported by a photo of photo getty images photo helicopter")</f>
        <v>The Argentine national team championship parade had to be stopped because he could not penetrate the sea of ​​human beenos aires Messi was finally transported by a photo of photo getty images photo helicopter</v>
      </c>
    </row>
    <row r="6628" ht="15.75" customHeight="1">
      <c r="A6628" s="1">
        <v>7823.0</v>
      </c>
      <c r="B6628" s="3" t="s">
        <v>19031</v>
      </c>
      <c r="C6628" s="3">
        <v>0.0</v>
      </c>
      <c r="D6628" s="3">
        <v>0.0</v>
      </c>
      <c r="E6628" s="3">
        <v>0.0</v>
      </c>
      <c r="F6628" s="3" t="s">
        <v>19032</v>
      </c>
      <c r="G6628" s="3">
        <v>0.0</v>
      </c>
      <c r="H6628" s="3">
        <v>0.0</v>
      </c>
      <c r="I6628" s="3" t="s">
        <v>13</v>
      </c>
      <c r="J6628" s="3" t="s">
        <v>19033</v>
      </c>
      <c r="K6628" s="3" t="s">
        <v>123</v>
      </c>
      <c r="L6628" s="3" t="str">
        <f>IFERROR(__xludf.DUMMYFUNCTION("GOOGLETRANSLATE(F6628,""id"",""en"")"),"Sorry for the content of the behavior of the Argentina Papua Argentina Supporters Argentina champion bald haircut and meatballs")</f>
        <v>Sorry for the content of the behavior of the Argentina Papua Argentina Supporters Argentina champion bald haircut and meatballs</v>
      </c>
    </row>
    <row r="6629" ht="15.75" customHeight="1">
      <c r="A6629" s="1">
        <v>7824.0</v>
      </c>
      <c r="B6629" s="3" t="s">
        <v>19034</v>
      </c>
      <c r="C6629" s="3">
        <v>0.0</v>
      </c>
      <c r="D6629" s="3">
        <v>0.0</v>
      </c>
      <c r="E6629" s="3">
        <v>0.0</v>
      </c>
      <c r="F6629" s="3" t="s">
        <v>19035</v>
      </c>
      <c r="G6629" s="3">
        <v>0.0</v>
      </c>
      <c r="H6629" s="3">
        <v>0.0</v>
      </c>
      <c r="I6629" s="3" t="s">
        <v>13</v>
      </c>
      <c r="J6629" s="3" t="s">
        <v>19036</v>
      </c>
      <c r="K6629" s="3" t="s">
        <v>695</v>
      </c>
      <c r="L6629" s="3" t="str">
        <f>IFERROR(__xludf.DUMMYFUNCTION("GOOGLETRANSLATE(F6629,""id"",""en"")"),"Septo yor means that before the match arrives there is a good talk from Argentine people there are already said by netizens, surely Germany when they are champions they are lowered the culture of Argentina")</f>
        <v>Septo yor means that before the match arrives there is a good talk from Argentine people there are already said by netizens, surely Germany when they are champions they are lowered the culture of Argentina</v>
      </c>
    </row>
    <row r="6630" ht="15.75" customHeight="1">
      <c r="A6630" s="1">
        <v>7825.0</v>
      </c>
      <c r="B6630" s="3" t="s">
        <v>19037</v>
      </c>
      <c r="C6630" s="3">
        <v>3.0</v>
      </c>
      <c r="D6630" s="3">
        <v>0.0</v>
      </c>
      <c r="E6630" s="3">
        <v>35.0</v>
      </c>
      <c r="F6630" s="3" t="s">
        <v>19038</v>
      </c>
      <c r="G6630" s="3">
        <v>1.0</v>
      </c>
      <c r="H6630" s="3">
        <v>0.5</v>
      </c>
      <c r="I6630" s="3" t="s">
        <v>48</v>
      </c>
      <c r="J6630" s="3" t="s">
        <v>19039</v>
      </c>
      <c r="K6630" s="3" t="s">
        <v>1897</v>
      </c>
      <c r="L6630" s="3" t="str">
        <f>IFERROR(__xludf.DUMMYFUNCTION("GOOGLETRANSLATE(F6630,""id"",""en"")"),"Usually we are a place to healing and make peace if our favorite team lost to the escape from sad so laugh only for this time sorry not to find the cure for Dodo Lovers Eps Argentina Champion Soccer too beautiful link")</f>
        <v>Usually we are a place to healing and make peace if our favorite team lost to the escape from sad so laugh only for this time sorry not to find the cure for Dodo Lovers Eps Argentina Champion Soccer too beautiful link</v>
      </c>
    </row>
    <row r="6631" ht="15.75" customHeight="1">
      <c r="A6631" s="1">
        <v>7826.0</v>
      </c>
      <c r="B6631" s="3" t="s">
        <v>19040</v>
      </c>
      <c r="C6631" s="3">
        <v>1.0</v>
      </c>
      <c r="D6631" s="3">
        <v>0.0</v>
      </c>
      <c r="E6631" s="3">
        <v>0.0</v>
      </c>
      <c r="F6631" s="3" t="s">
        <v>19041</v>
      </c>
      <c r="G6631" s="3">
        <v>0.0</v>
      </c>
      <c r="H6631" s="3">
        <v>0.0</v>
      </c>
      <c r="I6631" s="3" t="s">
        <v>13</v>
      </c>
      <c r="J6631" s="3" t="s">
        <v>19042</v>
      </c>
      <c r="K6631" s="3" t="s">
        <v>433</v>
      </c>
      <c r="L6631" s="3" t="str">
        <f>IFERROR(__xludf.DUMMYFUNCTION("GOOGLETRANSLATE(F6631,""id"",""en"")"),"where when Germany champions champion the culture of Argentina, people just stayed because they did a double standard European")</f>
        <v>where when Germany champions champion the culture of Argentina, people just stayed because they did a double standard European</v>
      </c>
    </row>
    <row r="6632" ht="15.75" customHeight="1">
      <c r="A6632" s="1">
        <v>7827.0</v>
      </c>
      <c r="B6632" s="3" t="s">
        <v>19043</v>
      </c>
      <c r="C6632" s="3">
        <v>0.0</v>
      </c>
      <c r="D6632" s="3">
        <v>0.0</v>
      </c>
      <c r="E6632" s="3">
        <v>0.0</v>
      </c>
      <c r="F6632" s="3" t="s">
        <v>19044</v>
      </c>
      <c r="G6632" s="3">
        <v>0.0</v>
      </c>
      <c r="H6632" s="3">
        <v>0.0</v>
      </c>
      <c r="I6632" s="3" t="s">
        <v>13</v>
      </c>
      <c r="J6632" s="3" t="s">
        <v>19045</v>
      </c>
      <c r="K6632" s="3" t="s">
        <v>15</v>
      </c>
      <c r="L6632" s="3" t="str">
        <f>IFERROR(__xludf.DUMMYFUNCTION("GOOGLETRANSLATE(F6632,""id"",""en"")"),"World Cup Argentine Players But Not Champion Copa America")</f>
        <v>World Cup Argentine Players But Not Champion Copa America</v>
      </c>
    </row>
    <row r="6633" ht="15.75" customHeight="1">
      <c r="A6633" s="1">
        <v>7828.0</v>
      </c>
      <c r="B6633" s="3" t="s">
        <v>19046</v>
      </c>
      <c r="C6633" s="3">
        <v>0.0</v>
      </c>
      <c r="D6633" s="3">
        <v>0.0</v>
      </c>
      <c r="E6633" s="3">
        <v>0.0</v>
      </c>
      <c r="F6633" s="3" t="s">
        <v>19047</v>
      </c>
      <c r="G6633" s="3">
        <v>0.0</v>
      </c>
      <c r="H6633" s="3">
        <v>0.0</v>
      </c>
      <c r="I6633" s="3" t="s">
        <v>13</v>
      </c>
      <c r="J6633" s="3" t="s">
        <v>19048</v>
      </c>
      <c r="K6633" s="3" t="s">
        <v>71</v>
      </c>
      <c r="L6633" s="3" t="str">
        <f>IFERROR(__xludf.DUMMYFUNCTION("GOOGLETRANSLATE(F6633,""id"",""en"")"),"Lionel Messi brought Argentina champion Jorge Valdano said that it was almost impossible to appear the next World Cup")</f>
        <v>Lionel Messi brought Argentina champion Jorge Valdano said that it was almost impossible to appear the next World Cup</v>
      </c>
    </row>
    <row r="6634" ht="15.75" customHeight="1">
      <c r="A6634" s="1">
        <v>7829.0</v>
      </c>
      <c r="B6634" s="3" t="s">
        <v>19049</v>
      </c>
      <c r="C6634" s="3">
        <v>0.0</v>
      </c>
      <c r="D6634" s="3">
        <v>0.0</v>
      </c>
      <c r="E6634" s="3">
        <v>2.0</v>
      </c>
      <c r="F6634" s="3" t="s">
        <v>19050</v>
      </c>
      <c r="G6634" s="3">
        <v>0.2333333333333333</v>
      </c>
      <c r="H6634" s="3">
        <v>-0.25</v>
      </c>
      <c r="I6634" s="3" t="s">
        <v>179</v>
      </c>
      <c r="J6634" s="3" t="s">
        <v>19051</v>
      </c>
      <c r="K6634" s="3" t="s">
        <v>374</v>
      </c>
      <c r="L6634" s="3" t="str">
        <f>IFERROR(__xludf.DUMMYFUNCTION("GOOGLETRANSLATE(F6634,""id"",""en"")"),"Lionel Messi et al initially took the bus open to tour Buenos Aires while showing off the World Cup trophy but the Argentine national team players were forced")</f>
        <v>Lionel Messi et al initially took the bus open to tour Buenos Aires while showing off the World Cup trophy but the Argentine national team players were forced</v>
      </c>
    </row>
    <row r="6635" ht="15.75" customHeight="1">
      <c r="A6635" s="1">
        <v>7830.0</v>
      </c>
      <c r="B6635" s="3" t="s">
        <v>19052</v>
      </c>
      <c r="C6635" s="3">
        <v>0.0</v>
      </c>
      <c r="D6635" s="3">
        <v>0.0</v>
      </c>
      <c r="E6635" s="3">
        <v>1.0</v>
      </c>
      <c r="F6635" s="3" t="s">
        <v>19053</v>
      </c>
      <c r="G6635" s="3">
        <v>0.0</v>
      </c>
      <c r="H6635" s="3">
        <v>0.0</v>
      </c>
      <c r="I6635" s="3" t="s">
        <v>13</v>
      </c>
      <c r="J6635" s="3" t="s">
        <v>19054</v>
      </c>
      <c r="K6635" s="3" t="s">
        <v>449</v>
      </c>
      <c r="L6635" s="3" t="str">
        <f>IFERROR(__xludf.DUMMYFUNCTION("GOOGLETRANSLATE(F6635,""id"",""en"")"),"Hundreds of Thousands to Millions of Argentine People Celebrate the Success of Lionel Messi Champion World Cup Buenos Aires This is in line with the expectations of Diego Maradona right last year ist")</f>
        <v>Hundreds of Thousands to Millions of Argentine People Celebrate the Success of Lionel Messi Champion World Cup Buenos Aires This is in line with the expectations of Diego Maradona right last year ist</v>
      </c>
    </row>
    <row r="6636" ht="15.75" customHeight="1">
      <c r="A6636" s="1">
        <v>7831.0</v>
      </c>
      <c r="B6636" s="3" t="s">
        <v>19055</v>
      </c>
      <c r="C6636" s="3">
        <v>1.0</v>
      </c>
      <c r="D6636" s="3">
        <v>1.0</v>
      </c>
      <c r="E6636" s="3">
        <v>7.0</v>
      </c>
      <c r="F6636" s="3" t="s">
        <v>19056</v>
      </c>
      <c r="G6636" s="3">
        <v>1.0</v>
      </c>
      <c r="H6636" s="3">
        <v>1.0</v>
      </c>
      <c r="I6636" s="3" t="s">
        <v>48</v>
      </c>
      <c r="J6636" s="3" t="s">
        <v>19057</v>
      </c>
      <c r="K6636" s="3" t="s">
        <v>584</v>
      </c>
      <c r="L6636" s="3" t="str">
        <f>IFERROR(__xludf.DUMMYFUNCTION("GOOGLETRANSLATE(F6636,""id"",""en"")"),"Lionel Messi is increasingly legally designated as The Greatest All Team or Goat because last weekend brought Argentina to become the World Cup champion then if you want to endorse Messi how much the fare")</f>
        <v>Lionel Messi is increasingly legally designated as The Greatest All Team or Goat because last weekend brought Argentina to become the World Cup champion then if you want to endorse Messi how much the fare</v>
      </c>
    </row>
    <row r="6637" ht="15.75" customHeight="1">
      <c r="A6637" s="1">
        <v>7832.0</v>
      </c>
      <c r="B6637" s="3" t="s">
        <v>19058</v>
      </c>
      <c r="C6637" s="3">
        <v>0.0</v>
      </c>
      <c r="D6637" s="3">
        <v>0.0</v>
      </c>
      <c r="E6637" s="3">
        <v>1.0</v>
      </c>
      <c r="F6637" s="3" t="s">
        <v>18992</v>
      </c>
      <c r="G6637" s="3">
        <v>0.2333333333333333</v>
      </c>
      <c r="H6637" s="3">
        <v>-0.25</v>
      </c>
      <c r="I6637" s="3" t="s">
        <v>179</v>
      </c>
      <c r="J6637" s="3" t="s">
        <v>18993</v>
      </c>
      <c r="K6637" s="3" t="s">
        <v>15</v>
      </c>
      <c r="L6637" s="3" t="str">
        <f>IFERROR(__xludf.DUMMYFUNCTION("GOOGLETRANSLATE(F6637,""id"",""en"")"),"The Argentine championship parade ended rioted by the injured person being arrested")</f>
        <v>The Argentine championship parade ended rioted by the injured person being arrested</v>
      </c>
    </row>
    <row r="6638" ht="15.75" customHeight="1">
      <c r="A6638" s="1">
        <v>7833.0</v>
      </c>
      <c r="B6638" s="3" t="s">
        <v>19059</v>
      </c>
      <c r="C6638" s="3">
        <v>0.0</v>
      </c>
      <c r="D6638" s="3">
        <v>0.0</v>
      </c>
      <c r="E6638" s="3">
        <v>0.0</v>
      </c>
      <c r="F6638" s="3" t="s">
        <v>19060</v>
      </c>
      <c r="G6638" s="3">
        <v>0.0</v>
      </c>
      <c r="H6638" s="3">
        <v>0.0</v>
      </c>
      <c r="I6638" s="3" t="s">
        <v>13</v>
      </c>
      <c r="J6638" s="3" t="s">
        <v>19061</v>
      </c>
      <c r="K6638" s="3" t="s">
        <v>75</v>
      </c>
      <c r="L6638" s="3" t="str">
        <f>IFERROR(__xludf.DUMMYFUNCTION("GOOGLETRANSLATE(F6638,""id"",""en"")"),"Emi is very worthy of winning the Pinalty Fighting SMPE Argentina Champion")</f>
        <v>Emi is very worthy of winning the Pinalty Fighting SMPE Argentina Champion</v>
      </c>
    </row>
    <row r="6639" ht="15.75" customHeight="1">
      <c r="A6639" s="1">
        <v>7834.0</v>
      </c>
      <c r="B6639" s="3" t="s">
        <v>19062</v>
      </c>
      <c r="C6639" s="3">
        <v>0.0</v>
      </c>
      <c r="D6639" s="3">
        <v>0.0</v>
      </c>
      <c r="E6639" s="3">
        <v>1.0</v>
      </c>
      <c r="F6639" s="3" t="s">
        <v>19063</v>
      </c>
      <c r="G6639" s="3">
        <v>0.2333333333333333</v>
      </c>
      <c r="H6639" s="3">
        <v>-0.25</v>
      </c>
      <c r="I6639" s="3" t="s">
        <v>179</v>
      </c>
      <c r="J6639" s="3" t="s">
        <v>19064</v>
      </c>
      <c r="K6639" s="3" t="s">
        <v>19</v>
      </c>
      <c r="L6639" s="3" t="str">
        <f>IFERROR(__xludf.DUMMYFUNCTION("GOOGLETRANSLATE(F6639,""id"",""en"")"),"Argentine supporters jumped from the bridge to ride the World Cup championship Parade bus")</f>
        <v>Argentine supporters jumped from the bridge to ride the World Cup championship Parade bus</v>
      </c>
    </row>
    <row r="6640" ht="15.75" customHeight="1">
      <c r="A6640" s="1">
        <v>7835.0</v>
      </c>
      <c r="B6640" s="3" t="s">
        <v>19065</v>
      </c>
      <c r="C6640" s="3">
        <v>0.0</v>
      </c>
      <c r="D6640" s="3">
        <v>0.0</v>
      </c>
      <c r="E6640" s="3">
        <v>0.0</v>
      </c>
      <c r="F6640" s="3" t="s">
        <v>19063</v>
      </c>
      <c r="G6640" s="3">
        <v>0.2333333333333333</v>
      </c>
      <c r="H6640" s="3">
        <v>-0.25</v>
      </c>
      <c r="I6640" s="3" t="s">
        <v>179</v>
      </c>
      <c r="J6640" s="3" t="s">
        <v>19064</v>
      </c>
      <c r="K6640" s="3" t="s">
        <v>19</v>
      </c>
      <c r="L6640" s="3" t="str">
        <f>IFERROR(__xludf.DUMMYFUNCTION("GOOGLETRANSLATE(F6640,""id"",""en"")"),"Argentine supporters jumped from the bridge to ride the World Cup championship Parade bus")</f>
        <v>Argentine supporters jumped from the bridge to ride the World Cup championship Parade bus</v>
      </c>
    </row>
    <row r="6641" ht="15.75" customHeight="1">
      <c r="A6641" s="1">
        <v>7836.0</v>
      </c>
      <c r="B6641" s="3" t="s">
        <v>19066</v>
      </c>
      <c r="C6641" s="3">
        <v>0.0</v>
      </c>
      <c r="D6641" s="3">
        <v>4.0</v>
      </c>
      <c r="E6641" s="3">
        <v>0.0</v>
      </c>
      <c r="F6641" s="3" t="s">
        <v>19067</v>
      </c>
      <c r="G6641" s="3">
        <v>0.0</v>
      </c>
      <c r="H6641" s="3">
        <v>0.0</v>
      </c>
      <c r="I6641" s="3" t="s">
        <v>13</v>
      </c>
      <c r="J6641" s="3" t="s">
        <v>19068</v>
      </c>
      <c r="K6641" s="3" t="s">
        <v>244</v>
      </c>
      <c r="L6641" s="3" t="str">
        <f>IFERROR(__xludf.DUMMYFUNCTION("GOOGLETRANSLATE(F6641,""id"",""en"")"),"Seconds Seconds Lionel Messi Almost Weshed for the celebration of Argentina World Cup Champion")</f>
        <v>Seconds Seconds Lionel Messi Almost Weshed for the celebration of Argentina World Cup Champion</v>
      </c>
    </row>
    <row r="6642" ht="15.75" customHeight="1">
      <c r="A6642" s="1">
        <v>7837.0</v>
      </c>
      <c r="B6642" s="3" t="s">
        <v>19069</v>
      </c>
      <c r="C6642" s="3">
        <v>0.0</v>
      </c>
      <c r="D6642" s="3">
        <v>0.0</v>
      </c>
      <c r="E6642" s="3">
        <v>0.0</v>
      </c>
      <c r="F6642" s="3" t="s">
        <v>19070</v>
      </c>
      <c r="G6642" s="3">
        <v>0.0</v>
      </c>
      <c r="H6642" s="3">
        <v>0.0</v>
      </c>
      <c r="I6642" s="3" t="s">
        <v>13</v>
      </c>
      <c r="J6642" s="3" t="s">
        <v>19071</v>
      </c>
      <c r="K6642" s="3" t="s">
        <v>644</v>
      </c>
      <c r="L6642" s="3" t="str">
        <f>IFERROR(__xludf.DUMMYFUNCTION("GOOGLETRANSLATE(F6642,""id"",""en"")"),"what is the jealousy of Argentina champions")</f>
        <v>what is the jealousy of Argentina champions</v>
      </c>
    </row>
    <row r="6643" ht="15.75" customHeight="1">
      <c r="A6643" s="1">
        <v>7838.0</v>
      </c>
      <c r="B6643" s="3" t="s">
        <v>19072</v>
      </c>
      <c r="C6643" s="3">
        <v>0.0</v>
      </c>
      <c r="D6643" s="3">
        <v>0.0</v>
      </c>
      <c r="E6643" s="3">
        <v>0.0</v>
      </c>
      <c r="F6643" s="3" t="s">
        <v>19073</v>
      </c>
      <c r="G6643" s="3">
        <v>0.0</v>
      </c>
      <c r="H6643" s="3">
        <v>0.0</v>
      </c>
      <c r="I6643" s="3" t="s">
        <v>13</v>
      </c>
      <c r="J6643" s="3" t="s">
        <v>19074</v>
      </c>
      <c r="K6643" s="3" t="s">
        <v>883</v>
      </c>
      <c r="L6643" s="3" t="str">
        <f>IFERROR(__xludf.DUMMYFUNCTION("GOOGLETRANSLATE(F6643,""id"",""en"")"),"When the German champion then Disrespect your Argentina culture, where many standards are double if Europeans do it using if non -European people are problematic")</f>
        <v>When the German champion then Disrespect your Argentina culture, where many standards are double if Europeans do it using if non -European people are problematic</v>
      </c>
    </row>
    <row r="6644" ht="15.75" customHeight="1">
      <c r="A6644" s="1">
        <v>7839.0</v>
      </c>
      <c r="B6644" s="3" t="s">
        <v>19075</v>
      </c>
      <c r="C6644" s="3">
        <v>0.0</v>
      </c>
      <c r="D6644" s="3">
        <v>1.0</v>
      </c>
      <c r="E6644" s="3">
        <v>4.0</v>
      </c>
      <c r="F6644" s="3" t="s">
        <v>19076</v>
      </c>
      <c r="G6644" s="3">
        <v>0.0</v>
      </c>
      <c r="H6644" s="3">
        <v>0.0</v>
      </c>
      <c r="I6644" s="3" t="s">
        <v>13</v>
      </c>
      <c r="J6644" s="3" t="s">
        <v>19077</v>
      </c>
      <c r="K6644" s="3" t="s">
        <v>236</v>
      </c>
      <c r="L6644" s="3" t="str">
        <f>IFERROR(__xludf.DUMMYFUNCTION("GOOGLETRANSLATE(F6644,""id"",""en"")"),"Although Argentina is world champion but Portugus Warpopski is still a customer's heart champion")</f>
        <v>Although Argentina is world champion but Portugus Warpopski is still a customer's heart champion</v>
      </c>
    </row>
    <row r="6645" ht="15.75" customHeight="1">
      <c r="A6645" s="1">
        <v>7840.0</v>
      </c>
      <c r="B6645" s="3" t="s">
        <v>19078</v>
      </c>
      <c r="C6645" s="3">
        <v>0.0</v>
      </c>
      <c r="D6645" s="3">
        <v>0.0</v>
      </c>
      <c r="E6645" s="3">
        <v>7.0</v>
      </c>
      <c r="F6645" s="3" t="s">
        <v>19079</v>
      </c>
      <c r="G6645" s="3">
        <v>0.2333333333333333</v>
      </c>
      <c r="H6645" s="3">
        <v>-0.25</v>
      </c>
      <c r="I6645" s="3" t="s">
        <v>179</v>
      </c>
      <c r="J6645" s="3" t="s">
        <v>19080</v>
      </c>
      <c r="K6645" s="3" t="s">
        <v>657</v>
      </c>
      <c r="L6645" s="3" t="str">
        <f>IFERROR(__xludf.DUMMYFUNCTION("GOOGLETRANSLATE(F6645,""id"",""en"")"),"The Argentine national team championship parade had to be stopped because he could not penetrate the sea of ​​human beenos aires Messi was finally transported by a helicopter")</f>
        <v>The Argentine national team championship parade had to be stopped because he could not penetrate the sea of ​​human beenos aires Messi was finally transported by a helicopter</v>
      </c>
    </row>
    <row r="6646" ht="15.75" customHeight="1">
      <c r="A6646" s="1">
        <v>7841.0</v>
      </c>
      <c r="B6646" s="3" t="s">
        <v>19081</v>
      </c>
      <c r="C6646" s="3">
        <v>0.0</v>
      </c>
      <c r="D6646" s="3">
        <v>0.0</v>
      </c>
      <c r="E6646" s="3">
        <v>0.0</v>
      </c>
      <c r="F6646" s="3" t="s">
        <v>19082</v>
      </c>
      <c r="G6646" s="3">
        <v>0.0</v>
      </c>
      <c r="H6646" s="3">
        <v>0.0</v>
      </c>
      <c r="I6646" s="3" t="s">
        <v>13</v>
      </c>
      <c r="J6646" s="3" t="s">
        <v>19083</v>
      </c>
      <c r="K6646" s="3" t="s">
        <v>614</v>
      </c>
      <c r="L6646" s="3" t="str">
        <f>IFERROR(__xludf.DUMMYFUNCTION("GOOGLETRANSLATE(F6646,""id"",""en"")"),"Anjir from yesterday when Argentina champions World Cup until now I haven't liked Leo Messi's post to penetrate more like LAVE LOOK LOGIN INSTAGRAM")</f>
        <v>Anjir from yesterday when Argentina champions World Cup until now I haven't liked Leo Messi's post to penetrate more like LAVE LOOK LOGIN INSTAGRAM</v>
      </c>
    </row>
    <row r="6647" ht="15.75" customHeight="1">
      <c r="A6647" s="1">
        <v>7842.0</v>
      </c>
      <c r="B6647" s="3" t="s">
        <v>19084</v>
      </c>
      <c r="C6647" s="3">
        <v>0.0</v>
      </c>
      <c r="D6647" s="3">
        <v>0.0</v>
      </c>
      <c r="E6647" s="3">
        <v>0.0</v>
      </c>
      <c r="F6647" s="3" t="s">
        <v>19085</v>
      </c>
      <c r="G6647" s="3">
        <v>0.0</v>
      </c>
      <c r="H6647" s="3">
        <v>0.0</v>
      </c>
      <c r="I6647" s="3" t="s">
        <v>13</v>
      </c>
      <c r="J6647" s="3" t="s">
        <v>19086</v>
      </c>
      <c r="K6647" s="3" t="s">
        <v>82</v>
      </c>
      <c r="L6647" s="3" t="str">
        <f>IFERROR(__xludf.DUMMYFUNCTION("GOOGLETRANSLATE(F6647,""id"",""en"")"),"Before competing Mary already knew that he would bring Argentina to the championship")</f>
        <v>Before competing Mary already knew that he would bring Argentina to the championship</v>
      </c>
    </row>
    <row r="6648" ht="15.75" customHeight="1">
      <c r="A6648" s="1">
        <v>7843.0</v>
      </c>
      <c r="B6648" s="3" t="s">
        <v>19087</v>
      </c>
      <c r="C6648" s="3">
        <v>0.0</v>
      </c>
      <c r="D6648" s="3">
        <v>0.0</v>
      </c>
      <c r="E6648" s="3">
        <v>3.0</v>
      </c>
      <c r="F6648" s="3" t="s">
        <v>18972</v>
      </c>
      <c r="G6648" s="3">
        <v>0.0</v>
      </c>
      <c r="H6648" s="3">
        <v>0.0</v>
      </c>
      <c r="I6648" s="3" t="s">
        <v>13</v>
      </c>
      <c r="J6648" s="3" t="s">
        <v>18973</v>
      </c>
      <c r="K6648" s="3" t="s">
        <v>50</v>
      </c>
      <c r="L6648" s="3" t="str">
        <f>IFERROR(__xludf.DUMMYFUNCTION("GOOGLETRANSLATE(F6648,""id"",""en"")"),"Video celebration of the World Cup Champion too busy Argentine national team was evacuated by a helicopter")</f>
        <v>Video celebration of the World Cup Champion too busy Argentine national team was evacuated by a helicopter</v>
      </c>
    </row>
    <row r="6649" ht="15.75" customHeight="1">
      <c r="A6649" s="1">
        <v>7845.0</v>
      </c>
      <c r="B6649" s="3" t="s">
        <v>19088</v>
      </c>
      <c r="C6649" s="3">
        <v>0.0</v>
      </c>
      <c r="D6649" s="3">
        <v>0.0</v>
      </c>
      <c r="E6649" s="3">
        <v>2.0</v>
      </c>
      <c r="F6649" s="3" t="s">
        <v>19089</v>
      </c>
      <c r="G6649" s="3">
        <v>0.2333333333333333</v>
      </c>
      <c r="H6649" s="3">
        <v>-0.25</v>
      </c>
      <c r="I6649" s="3" t="s">
        <v>179</v>
      </c>
      <c r="J6649" s="3" t="s">
        <v>19090</v>
      </c>
      <c r="K6649" s="3" t="s">
        <v>495</v>
      </c>
      <c r="L6649" s="3" t="str">
        <f>IFERROR(__xludf.DUMMYFUNCTION("GOOGLETRANSLATE(F6649,""id"",""en"")"),"The Argentine championship parade centered by Buenos Aires City on Tuesday led to rioting dozens of people injured and dozens were arrested by security officers")</f>
        <v>The Argentine championship parade centered by Buenos Aires City on Tuesday led to rioting dozens of people injured and dozens were arrested by security officers</v>
      </c>
    </row>
    <row r="6650" ht="15.75" customHeight="1">
      <c r="A6650" s="1">
        <v>7846.0</v>
      </c>
      <c r="B6650" s="3" t="s">
        <v>19091</v>
      </c>
      <c r="C6650" s="3">
        <v>0.0</v>
      </c>
      <c r="D6650" s="3">
        <v>0.0</v>
      </c>
      <c r="E6650" s="3">
        <v>0.0</v>
      </c>
      <c r="F6650" s="3" t="s">
        <v>19092</v>
      </c>
      <c r="G6650" s="3">
        <v>0.0</v>
      </c>
      <c r="H6650" s="3">
        <v>0.0</v>
      </c>
      <c r="I6650" s="3" t="s">
        <v>13</v>
      </c>
      <c r="J6650" s="3" t="s">
        <v>19093</v>
      </c>
      <c r="K6650" s="3" t="s">
        <v>765</v>
      </c>
      <c r="L6650" s="3" t="str">
        <f>IFERROR(__xludf.DUMMYFUNCTION("GOOGLETRANSLATE(F6650,""id"",""en"")"),"How are you, after the German champion, the champion of Argentina has a cultural, even people here say that the standard racist is if you do European people, all the MoUs are the proble coach.")</f>
        <v>How are you, after the German champion, the champion of Argentina has a cultural, even people here say that the standard racist is if you do European people, all the MoUs are the proble coach.</v>
      </c>
    </row>
    <row r="6651" ht="15.75" customHeight="1">
      <c r="A6651" s="1">
        <v>7847.0</v>
      </c>
      <c r="B6651" s="3" t="s">
        <v>19094</v>
      </c>
      <c r="C6651" s="3">
        <v>0.0</v>
      </c>
      <c r="D6651" s="3">
        <v>0.0</v>
      </c>
      <c r="E6651" s="3">
        <v>0.0</v>
      </c>
      <c r="F6651" s="3" t="s">
        <v>19095</v>
      </c>
      <c r="G6651" s="3">
        <v>0.0</v>
      </c>
      <c r="H6651" s="3">
        <v>0.0</v>
      </c>
      <c r="I6651" s="3" t="s">
        <v>13</v>
      </c>
      <c r="J6651" s="3" t="s">
        <v>19096</v>
      </c>
      <c r="K6651" s="3" t="s">
        <v>574</v>
      </c>
      <c r="L6651" s="3" t="str">
        <f>IFERROR(__xludf.DUMMYFUNCTION("GOOGLETRANSLATE(F6651,""id"",""en"")"),"Apart from this attitude, the goalkeeper is good at even one of the keys of Argentina champion still remembering Argentina is the goalkeeper is really katrok after Emi enters it is proven that Argen can get the trophy at the same time")</f>
        <v>Apart from this attitude, the goalkeeper is good at even one of the keys of Argentina champion still remembering Argentina is the goalkeeper is really katrok after Emi enters it is proven that Argen can get the trophy at the same time</v>
      </c>
    </row>
    <row r="6652" ht="15.75" customHeight="1">
      <c r="A6652" s="1">
        <v>7848.0</v>
      </c>
      <c r="B6652" s="3" t="s">
        <v>19097</v>
      </c>
      <c r="C6652" s="3">
        <v>0.0</v>
      </c>
      <c r="D6652" s="3">
        <v>0.0</v>
      </c>
      <c r="E6652" s="3">
        <v>0.0</v>
      </c>
      <c r="F6652" s="3" t="s">
        <v>19098</v>
      </c>
      <c r="G6652" s="3">
        <v>0.0</v>
      </c>
      <c r="H6652" s="3">
        <v>0.0</v>
      </c>
      <c r="I6652" s="3" t="s">
        <v>13</v>
      </c>
      <c r="J6652" s="3" t="s">
        <v>19099</v>
      </c>
      <c r="K6652" s="3" t="s">
        <v>123</v>
      </c>
      <c r="L6652" s="3" t="str">
        <f>IFERROR(__xludf.DUMMYFUNCTION("GOOGLETRANSLATE(F6652,""id"",""en"")"),"still do not understand what to do salt bae there Turkish business of this Italian people Argentina champion Qatar he did pretentious")</f>
        <v>still do not understand what to do salt bae there Turkish business of this Italian people Argentina champion Qatar he did pretentious</v>
      </c>
    </row>
    <row r="6653" ht="15.75" customHeight="1">
      <c r="A6653" s="1">
        <v>7849.0</v>
      </c>
      <c r="B6653" s="3" t="s">
        <v>19100</v>
      </c>
      <c r="C6653" s="3">
        <v>0.0</v>
      </c>
      <c r="D6653" s="3">
        <v>0.0</v>
      </c>
      <c r="E6653" s="3">
        <v>0.0</v>
      </c>
      <c r="F6653" s="3" t="s">
        <v>19101</v>
      </c>
      <c r="G6653" s="3">
        <v>0.2333333333333333</v>
      </c>
      <c r="H6653" s="3">
        <v>-0.25</v>
      </c>
      <c r="I6653" s="3" t="s">
        <v>179</v>
      </c>
      <c r="J6653" s="3" t="s">
        <v>19102</v>
      </c>
      <c r="K6653" s="3" t="s">
        <v>50</v>
      </c>
      <c r="L6653" s="3" t="str">
        <f>IFERROR(__xludf.DUMMYFUNCTION("GOOGLETRANSLATE(F6653,""id"",""en"")"),"The Argentine World Cup championship parade was chaotic, Messi et al were transported by helicopters")</f>
        <v>The Argentine World Cup championship parade was chaotic, Messi et al were transported by helicopters</v>
      </c>
    </row>
    <row r="6654" ht="15.75" customHeight="1">
      <c r="A6654" s="1">
        <v>7850.0</v>
      </c>
      <c r="B6654" s="3" t="s">
        <v>19103</v>
      </c>
      <c r="C6654" s="3">
        <v>0.0</v>
      </c>
      <c r="D6654" s="3">
        <v>0.0</v>
      </c>
      <c r="E6654" s="3">
        <v>1.0</v>
      </c>
      <c r="F6654" s="3" t="s">
        <v>18972</v>
      </c>
      <c r="G6654" s="3">
        <v>0.0</v>
      </c>
      <c r="H6654" s="3">
        <v>0.0</v>
      </c>
      <c r="I6654" s="3" t="s">
        <v>13</v>
      </c>
      <c r="J6654" s="3" t="s">
        <v>18973</v>
      </c>
      <c r="K6654" s="3" t="s">
        <v>50</v>
      </c>
      <c r="L6654" s="3" t="str">
        <f>IFERROR(__xludf.DUMMYFUNCTION("GOOGLETRANSLATE(F6654,""id"",""en"")"),"Video celebration of the World Cup Champion too busy Argentine national team was evacuated by a helicopter")</f>
        <v>Video celebration of the World Cup Champion too busy Argentine national team was evacuated by a helicopter</v>
      </c>
    </row>
    <row r="6655" ht="15.75" customHeight="1">
      <c r="A6655" s="1">
        <v>7851.0</v>
      </c>
      <c r="B6655" s="3" t="s">
        <v>19104</v>
      </c>
      <c r="C6655" s="3">
        <v>0.0</v>
      </c>
      <c r="D6655" s="3">
        <v>0.0</v>
      </c>
      <c r="E6655" s="3">
        <v>0.0</v>
      </c>
      <c r="F6655" s="3" t="s">
        <v>19105</v>
      </c>
      <c r="G6655" s="3">
        <v>0.0</v>
      </c>
      <c r="H6655" s="3">
        <v>0.0</v>
      </c>
      <c r="I6655" s="3" t="s">
        <v>13</v>
      </c>
      <c r="J6655" s="3" t="s">
        <v>19106</v>
      </c>
      <c r="K6655" s="3" t="s">
        <v>19</v>
      </c>
      <c r="L6655" s="3" t="str">
        <f>IFERROR(__xludf.DUMMYFUNCTION("GOOGLETRANSLATE(F6655,""id"",""en"")"),"So here I criticize the actions of Unrespect EMI not criticizing the Argentine national team world champion")</f>
        <v>So here I criticize the actions of Unrespect EMI not criticizing the Argentine national team world champion</v>
      </c>
    </row>
    <row r="6656" ht="15.75" customHeight="1">
      <c r="A6656" s="1">
        <v>7852.0</v>
      </c>
      <c r="B6656" s="3" t="s">
        <v>19107</v>
      </c>
      <c r="C6656" s="3">
        <v>0.0</v>
      </c>
      <c r="D6656" s="3">
        <v>0.0</v>
      </c>
      <c r="E6656" s="3">
        <v>0.0</v>
      </c>
      <c r="F6656" s="3" t="s">
        <v>19108</v>
      </c>
      <c r="G6656" s="3">
        <v>0.2333333333333333</v>
      </c>
      <c r="H6656" s="3">
        <v>-0.25</v>
      </c>
      <c r="I6656" s="3" t="s">
        <v>179</v>
      </c>
      <c r="J6656" s="3" t="s">
        <v>19109</v>
      </c>
      <c r="K6656" s="3" t="s">
        <v>510</v>
      </c>
      <c r="L6656" s="3" t="str">
        <f>IFERROR(__xludf.DUMMYFUNCTION("GOOGLETRANSLATE(F6656,""id"",""en"")"),"The Argentine national team championship parade led to the tragedy of adults killed by a coma year age")</f>
        <v>The Argentine national team championship parade led to the tragedy of adults killed by a coma year age</v>
      </c>
    </row>
    <row r="6657" ht="15.75" customHeight="1">
      <c r="A6657" s="1">
        <v>7853.0</v>
      </c>
      <c r="B6657" s="3" t="s">
        <v>19110</v>
      </c>
      <c r="C6657" s="3">
        <v>0.0</v>
      </c>
      <c r="D6657" s="3">
        <v>0.0</v>
      </c>
      <c r="E6657" s="3">
        <v>0.0</v>
      </c>
      <c r="F6657" s="3" t="s">
        <v>19111</v>
      </c>
      <c r="G6657" s="3">
        <v>0.0</v>
      </c>
      <c r="H6657" s="3">
        <v>0.0</v>
      </c>
      <c r="I6657" s="3" t="s">
        <v>13</v>
      </c>
      <c r="J6657" s="3" t="s">
        <v>19112</v>
      </c>
      <c r="K6657" s="3" t="s">
        <v>860</v>
      </c>
      <c r="L6657" s="3" t="str">
        <f>IFERROR(__xludf.DUMMYFUNCTION("GOOGLETRANSLATE(F6657,""id"",""en"")"),"Argentina deserves champion and not blame other Messi this is just too much Emi Sendiring other Argentine players just calm anyway SPRT players have won all ordinary titles")</f>
        <v>Argentina deserves champion and not blame other Messi this is just too much Emi Sendiring other Argentine players just calm anyway SPRT players have won all ordinary titles</v>
      </c>
    </row>
    <row r="6658" ht="15.75" customHeight="1">
      <c r="A6658" s="1">
        <v>7854.0</v>
      </c>
      <c r="B6658" s="3" t="s">
        <v>19113</v>
      </c>
      <c r="C6658" s="3">
        <v>1.0</v>
      </c>
      <c r="D6658" s="3">
        <v>0.0</v>
      </c>
      <c r="E6658" s="3">
        <v>1.0</v>
      </c>
      <c r="F6658" s="3" t="s">
        <v>19114</v>
      </c>
      <c r="G6658" s="3">
        <v>0.3</v>
      </c>
      <c r="H6658" s="3">
        <v>0.0</v>
      </c>
      <c r="I6658" s="3" t="s">
        <v>13</v>
      </c>
      <c r="J6658" s="3" t="s">
        <v>19115</v>
      </c>
      <c r="K6658" s="3" t="s">
        <v>286</v>
      </c>
      <c r="L6658" s="3" t="str">
        <f>IFERROR(__xludf.DUMMYFUNCTION("GOOGLETRANSLATE(F6658,""id"",""en"")"),"This don't have any if there is a BKN means criticizing EMI, Ronaldo's fan because it is criticized that EMI's personal actions do not reflect the main value of football that is respectful of the players anyway, I criticize the players anyway")</f>
        <v>This don't have any if there is a BKN means criticizing EMI, Ronaldo's fan because it is criticized that EMI's personal actions do not reflect the main value of football that is respectful of the players anyway, I criticize the players anyway</v>
      </c>
    </row>
    <row r="6659" ht="15.75" customHeight="1">
      <c r="A6659" s="1">
        <v>7855.0</v>
      </c>
      <c r="B6659" s="3" t="s">
        <v>19116</v>
      </c>
      <c r="C6659" s="3">
        <v>0.0</v>
      </c>
      <c r="D6659" s="3">
        <v>0.0</v>
      </c>
      <c r="E6659" s="3">
        <v>0.0</v>
      </c>
      <c r="F6659" s="3" t="s">
        <v>19117</v>
      </c>
      <c r="G6659" s="3">
        <v>0.0</v>
      </c>
      <c r="H6659" s="3">
        <v>0.0</v>
      </c>
      <c r="I6659" s="3" t="s">
        <v>13</v>
      </c>
      <c r="J6659" s="3" t="s">
        <v>19118</v>
      </c>
      <c r="K6659" s="3" t="s">
        <v>54</v>
      </c>
      <c r="L6659" s="3" t="str">
        <f>IFERROR(__xludf.DUMMYFUNCTION("GOOGLETRANSLATE(F6659,""id"",""en"")"),"Argentine player is natural to add a championship holiday")</f>
        <v>Argentine player is natural to add a championship holiday</v>
      </c>
    </row>
    <row r="6660" ht="15.75" customHeight="1">
      <c r="A6660" s="1">
        <v>7856.0</v>
      </c>
      <c r="B6660" s="3" t="s">
        <v>19119</v>
      </c>
      <c r="C6660" s="3">
        <v>0.0</v>
      </c>
      <c r="D6660" s="3">
        <v>0.0</v>
      </c>
      <c r="E6660" s="3">
        <v>1.0</v>
      </c>
      <c r="F6660" s="3" t="s">
        <v>19120</v>
      </c>
      <c r="G6660" s="3">
        <v>0.0</v>
      </c>
      <c r="H6660" s="3">
        <v>0.0</v>
      </c>
      <c r="I6660" s="3" t="s">
        <v>13</v>
      </c>
      <c r="J6660" s="3" t="s">
        <v>19121</v>
      </c>
      <c r="K6660" s="3" t="s">
        <v>82</v>
      </c>
      <c r="L6660" s="3" t="str">
        <f>IFERROR(__xludf.DUMMYFUNCTION("GOOGLETRANSLATE(F6660,""id"",""en"")"),"Maria's prediction is proven to be Argentina World Cup champions")</f>
        <v>Maria's prediction is proven to be Argentina World Cup champions</v>
      </c>
    </row>
    <row r="6661" ht="15.75" customHeight="1">
      <c r="A6661" s="1">
        <v>7857.0</v>
      </c>
      <c r="B6661" s="3" t="s">
        <v>19122</v>
      </c>
      <c r="C6661" s="3">
        <v>0.0</v>
      </c>
      <c r="D6661" s="3">
        <v>0.0</v>
      </c>
      <c r="E6661" s="3">
        <v>1.0</v>
      </c>
      <c r="F6661" s="3" t="s">
        <v>19123</v>
      </c>
      <c r="G6661" s="3">
        <v>0.0</v>
      </c>
      <c r="H6661" s="3">
        <v>0.0</v>
      </c>
      <c r="I6661" s="3" t="s">
        <v>13</v>
      </c>
      <c r="J6661" s="3" t="s">
        <v>19124</v>
      </c>
      <c r="K6661" s="3" t="s">
        <v>82</v>
      </c>
      <c r="L6661" s="3" t="str">
        <f>IFERROR(__xludf.DUMMYFUNCTION("GOOGLETRANSLATE(F6661,""id"",""en"")"),"Only the Jokowi Argentina era can win the World Cup")</f>
        <v>Only the Jokowi Argentina era can win the World Cup</v>
      </c>
    </row>
    <row r="6662" ht="15.75" customHeight="1">
      <c r="A6662" s="1">
        <v>7858.0</v>
      </c>
      <c r="B6662" s="3" t="s">
        <v>19125</v>
      </c>
      <c r="C6662" s="3">
        <v>0.0</v>
      </c>
      <c r="D6662" s="3">
        <v>6.0</v>
      </c>
      <c r="E6662" s="3">
        <v>18.0</v>
      </c>
      <c r="F6662" s="3" t="s">
        <v>19007</v>
      </c>
      <c r="G6662" s="3">
        <v>0.2333333333333333</v>
      </c>
      <c r="H6662" s="3">
        <v>-0.25</v>
      </c>
      <c r="I6662" s="3" t="s">
        <v>179</v>
      </c>
      <c r="J6662" s="3" t="s">
        <v>19008</v>
      </c>
      <c r="K6662" s="3" t="s">
        <v>90</v>
      </c>
      <c r="L6662" s="3" t="str">
        <f>IFERROR(__xludf.DUMMYFUNCTION("GOOGLETRANSLATE(F6662,""id"",""en"")"),"The Argentine national team championship parade had to be stopped because he could not penetrate the sea of ​​human beenos aires Messi was finally transported by a photo of photo getty images photo helicopter")</f>
        <v>The Argentine national team championship parade had to be stopped because he could not penetrate the sea of ​​human beenos aires Messi was finally transported by a photo of photo getty images photo helicopter</v>
      </c>
    </row>
    <row r="6663" ht="15.75" customHeight="1">
      <c r="A6663" s="1">
        <v>7859.0</v>
      </c>
      <c r="B6663" s="3" t="s">
        <v>19126</v>
      </c>
      <c r="C6663" s="3">
        <v>0.0</v>
      </c>
      <c r="D6663" s="3">
        <v>0.0</v>
      </c>
      <c r="E6663" s="3">
        <v>1.0</v>
      </c>
      <c r="F6663" s="3" t="s">
        <v>19127</v>
      </c>
      <c r="G6663" s="3">
        <v>0.0</v>
      </c>
      <c r="H6663" s="3">
        <v>0.0</v>
      </c>
      <c r="I6663" s="3" t="s">
        <v>13</v>
      </c>
      <c r="J6663" s="3" t="s">
        <v>19128</v>
      </c>
      <c r="K6663" s="3" t="s">
        <v>104</v>
      </c>
      <c r="L6663" s="3" t="str">
        <f>IFERROR(__xludf.DUMMYFUNCTION("GOOGLETRANSLATE(F6663,""id"",""en"")"),"Line out is Neymar who was born Brazil just can't be a world champion how come the logic of what guarantees if born from Argentina is definitely a world champion let alone see his team who is always mediocre and it is very possible halland to world champi"&amp;"on")</f>
        <v>Line out is Neymar who was born Brazil just can't be a world champion how come the logic of what guarantees if born from Argentina is definitely a world champion let alone see his team who is always mediocre and it is very possible halland to world champion</v>
      </c>
    </row>
    <row r="6664" ht="15.75" customHeight="1">
      <c r="A6664" s="1">
        <v>7860.0</v>
      </c>
      <c r="B6664" s="3" t="s">
        <v>19129</v>
      </c>
      <c r="C6664" s="3">
        <v>0.0</v>
      </c>
      <c r="D6664" s="3">
        <v>0.0</v>
      </c>
      <c r="E6664" s="3">
        <v>0.0</v>
      </c>
      <c r="F6664" s="3" t="s">
        <v>19130</v>
      </c>
      <c r="G6664" s="3">
        <v>0.0</v>
      </c>
      <c r="H6664" s="3">
        <v>0.0</v>
      </c>
      <c r="I6664" s="3" t="s">
        <v>13</v>
      </c>
      <c r="J6664" s="3" t="s">
        <v>19131</v>
      </c>
      <c r="K6664" s="3" t="s">
        <v>82</v>
      </c>
      <c r="L6664" s="3" t="str">
        <f>IFERROR(__xludf.DUMMYFUNCTION("GOOGLETRANSLATE(F6664,""id"",""en"")"),"Argentina champion because journalists there are good, bro")</f>
        <v>Argentina champion because journalists there are good, bro</v>
      </c>
    </row>
    <row r="6665" ht="15.75" customHeight="1">
      <c r="A6665" s="1">
        <v>7861.0</v>
      </c>
      <c r="B6665" s="3" t="s">
        <v>19132</v>
      </c>
      <c r="C6665" s="3">
        <v>0.0</v>
      </c>
      <c r="D6665" s="3">
        <v>0.0</v>
      </c>
      <c r="E6665" s="3">
        <v>0.0</v>
      </c>
      <c r="F6665" s="3" t="s">
        <v>19133</v>
      </c>
      <c r="G6665" s="3">
        <v>1.0</v>
      </c>
      <c r="H6665" s="3">
        <v>0.0</v>
      </c>
      <c r="I6665" s="3" t="s">
        <v>13</v>
      </c>
      <c r="J6665" s="3" t="s">
        <v>19134</v>
      </c>
      <c r="K6665" s="3" t="s">
        <v>2215</v>
      </c>
      <c r="L6665" s="3" t="str">
        <f>IFERROR(__xludf.DUMMYFUNCTION("GOOGLETRANSLATE(F6665,""id"",""en"")"),"Redsindo, even though when Argentina was able to enter the final like Argentina, the champion still could still cry")</f>
        <v>Redsindo, even though when Argentina was able to enter the final like Argentina, the champion still could still cry</v>
      </c>
    </row>
    <row r="6666" ht="15.75" customHeight="1">
      <c r="A6666" s="1">
        <v>7862.0</v>
      </c>
      <c r="B6666" s="3" t="s">
        <v>19135</v>
      </c>
      <c r="C6666" s="3">
        <v>1.0</v>
      </c>
      <c r="D6666" s="3">
        <v>0.0</v>
      </c>
      <c r="E6666" s="3">
        <v>2.0</v>
      </c>
      <c r="F6666" s="3" t="s">
        <v>19136</v>
      </c>
      <c r="G6666" s="3">
        <v>0.0</v>
      </c>
      <c r="H6666" s="3">
        <v>0.0</v>
      </c>
      <c r="I6666" s="3" t="s">
        <v>13</v>
      </c>
      <c r="J6666" s="3" t="s">
        <v>19137</v>
      </c>
      <c r="K6666" s="3" t="s">
        <v>35</v>
      </c>
      <c r="L6666" s="3" t="str">
        <f>IFERROR(__xludf.DUMMYFUNCTION("GOOGLETRANSLATE(F6666,""id"",""en"")"),"Marufamin took the example of Argentina, Mr. Koko Argentina, lost the first match.")</f>
        <v>Marufamin took the example of Argentina, Mr. Koko Argentina, lost the first match.</v>
      </c>
    </row>
    <row r="6667" ht="15.75" customHeight="1">
      <c r="A6667" s="1">
        <v>7863.0</v>
      </c>
      <c r="B6667" s="3" t="s">
        <v>19138</v>
      </c>
      <c r="C6667" s="3">
        <v>0.0</v>
      </c>
      <c r="D6667" s="3">
        <v>0.0</v>
      </c>
      <c r="E6667" s="3">
        <v>0.0</v>
      </c>
      <c r="F6667" s="3" t="s">
        <v>19139</v>
      </c>
      <c r="G6667" s="3">
        <v>0.0</v>
      </c>
      <c r="H6667" s="3">
        <v>0.0</v>
      </c>
      <c r="I6667" s="3" t="s">
        <v>13</v>
      </c>
      <c r="J6667" s="3" t="s">
        <v>19140</v>
      </c>
      <c r="K6667" s="3" t="s">
        <v>860</v>
      </c>
      <c r="L6667" s="3" t="str">
        <f>IFERROR(__xludf.DUMMYFUNCTION("GOOGLETRANSLATE(F6667,""id"",""en"")"),"What are you doing a lot of silent bacod, you can't just like a lot of girls, I already accept Argentina, it's already an incident, you don't need to be pretending to be haram just like holy")</f>
        <v>What are you doing a lot of silent bacod, you can't just like a lot of girls, I already accept Argentina, it's already an incident, you don't need to be pretending to be haram just like holy</v>
      </c>
    </row>
    <row r="6668" ht="15.75" customHeight="1">
      <c r="A6668" s="1">
        <v>7864.0</v>
      </c>
      <c r="B6668" s="3" t="s">
        <v>19141</v>
      </c>
      <c r="C6668" s="3">
        <v>0.0</v>
      </c>
      <c r="D6668" s="3">
        <v>0.0</v>
      </c>
      <c r="E6668" s="3">
        <v>0.0</v>
      </c>
      <c r="F6668" s="3" t="s">
        <v>19142</v>
      </c>
      <c r="G6668" s="3">
        <v>0.0</v>
      </c>
      <c r="H6668" s="3">
        <v>0.0</v>
      </c>
      <c r="I6668" s="3" t="s">
        <v>13</v>
      </c>
      <c r="J6668" s="3" t="s">
        <v>19143</v>
      </c>
      <c r="K6668" s="3" t="s">
        <v>244</v>
      </c>
      <c r="L6668" s="3" t="str">
        <f>IFERROR(__xludf.DUMMYFUNCTION("GOOGLETRANSLATE(F6668,""id"",""en"")"),"How come Morocco is emulated by Argentina, which was emulated because he won the World Cup championship")</f>
        <v>How come Morocco is emulated by Argentina, which was emulated because he won the World Cup championship</v>
      </c>
    </row>
    <row r="6669" ht="15.75" customHeight="1">
      <c r="A6669" s="1">
        <v>7865.0</v>
      </c>
      <c r="B6669" s="3" t="s">
        <v>19144</v>
      </c>
      <c r="C6669" s="3">
        <v>0.0</v>
      </c>
      <c r="D6669" s="3">
        <v>1.0</v>
      </c>
      <c r="E6669" s="3">
        <v>0.0</v>
      </c>
      <c r="F6669" s="3" t="s">
        <v>19067</v>
      </c>
      <c r="G6669" s="3">
        <v>0.0</v>
      </c>
      <c r="H6669" s="3">
        <v>0.0</v>
      </c>
      <c r="I6669" s="3" t="s">
        <v>13</v>
      </c>
      <c r="J6669" s="3" t="s">
        <v>19068</v>
      </c>
      <c r="K6669" s="3" t="s">
        <v>244</v>
      </c>
      <c r="L6669" s="3" t="str">
        <f>IFERROR(__xludf.DUMMYFUNCTION("GOOGLETRANSLATE(F6669,""id"",""en"")"),"Seconds Seconds Lionel Messi Almost Weshed for the celebration of Argentina World Cup Champion")</f>
        <v>Seconds Seconds Lionel Messi Almost Weshed for the celebration of Argentina World Cup Champion</v>
      </c>
    </row>
    <row r="6670" ht="15.75" customHeight="1">
      <c r="A6670" s="1">
        <v>7866.0</v>
      </c>
      <c r="B6670" s="3" t="s">
        <v>19145</v>
      </c>
      <c r="C6670" s="3">
        <v>0.0</v>
      </c>
      <c r="D6670" s="3">
        <v>0.0</v>
      </c>
      <c r="E6670" s="3">
        <v>1.0</v>
      </c>
      <c r="F6670" s="3" t="s">
        <v>19146</v>
      </c>
      <c r="G6670" s="3">
        <v>0.0</v>
      </c>
      <c r="H6670" s="3">
        <v>0.0</v>
      </c>
      <c r="I6670" s="3" t="s">
        <v>13</v>
      </c>
      <c r="J6670" s="3" t="s">
        <v>19147</v>
      </c>
      <c r="K6670" s="3" t="s">
        <v>15</v>
      </c>
      <c r="L6670" s="3" t="str">
        <f>IFERROR(__xludf.DUMMYFUNCTION("GOOGLETRANSLATE(F6670,""id"",""en"")"),"Rame is right who believes in the Argentine Football World Cup championship")</f>
        <v>Rame is right who believes in the Argentine Football World Cup championship</v>
      </c>
    </row>
    <row r="6671" ht="15.75" customHeight="1">
      <c r="A6671" s="1">
        <v>7867.0</v>
      </c>
      <c r="B6671" s="3" t="s">
        <v>19148</v>
      </c>
      <c r="C6671" s="3">
        <v>0.0</v>
      </c>
      <c r="D6671" s="3">
        <v>0.0</v>
      </c>
      <c r="E6671" s="3">
        <v>0.0</v>
      </c>
      <c r="F6671" s="3" t="s">
        <v>19149</v>
      </c>
      <c r="G6671" s="3">
        <v>0.0</v>
      </c>
      <c r="H6671" s="3">
        <v>0.0</v>
      </c>
      <c r="I6671" s="3" t="s">
        <v>13</v>
      </c>
      <c r="J6671" s="3" t="s">
        <v>19150</v>
      </c>
      <c r="K6671" s="3" t="s">
        <v>41</v>
      </c>
      <c r="L6671" s="3" t="str">
        <f>IFERROR(__xludf.DUMMYFUNCTION("GOOGLETRANSLATE(F6671,""id"",""en"")"),"Argentina Papu Champion Gomez Bernazar Jumping from the Balcony of the Presidential Palace")</f>
        <v>Argentina Papu Champion Gomez Bernazar Jumping from the Balcony of the Presidential Palace</v>
      </c>
    </row>
    <row r="6672" ht="15.75" customHeight="1">
      <c r="A6672" s="1">
        <v>7868.0</v>
      </c>
      <c r="B6672" s="3" t="s">
        <v>19151</v>
      </c>
      <c r="C6672" s="3">
        <v>0.0</v>
      </c>
      <c r="D6672" s="3">
        <v>0.0</v>
      </c>
      <c r="E6672" s="3">
        <v>0.0</v>
      </c>
      <c r="F6672" s="3" t="s">
        <v>19152</v>
      </c>
      <c r="G6672" s="3">
        <v>0.0</v>
      </c>
      <c r="H6672" s="3">
        <v>0.0</v>
      </c>
      <c r="I6672" s="3" t="s">
        <v>13</v>
      </c>
      <c r="J6672" s="3" t="s">
        <v>19153</v>
      </c>
      <c r="K6672" s="3" t="s">
        <v>942</v>
      </c>
      <c r="L6672" s="3" t="str">
        <f>IFERROR(__xludf.DUMMYFUNCTION("GOOGLETRANSLATE(F6672,""id"",""en"")"),"The Moroccan national team was welcomed like Argentina fan champions won our World Cup to win the world")</f>
        <v>The Moroccan national team was welcomed like Argentina fan champions won our World Cup to win the world</v>
      </c>
    </row>
    <row r="6673" ht="15.75" customHeight="1">
      <c r="A6673" s="1">
        <v>7869.0</v>
      </c>
      <c r="B6673" s="3" t="s">
        <v>19154</v>
      </c>
      <c r="C6673" s="3">
        <v>0.0</v>
      </c>
      <c r="D6673" s="3">
        <v>0.0</v>
      </c>
      <c r="E6673" s="3">
        <v>0.0</v>
      </c>
      <c r="F6673" s="3" t="s">
        <v>19155</v>
      </c>
      <c r="G6673" s="3">
        <v>0.0</v>
      </c>
      <c r="H6673" s="3">
        <v>0.0</v>
      </c>
      <c r="I6673" s="3" t="s">
        <v>13</v>
      </c>
      <c r="J6673" s="3" t="s">
        <v>19156</v>
      </c>
      <c r="K6673" s="3" t="s">
        <v>31</v>
      </c>
      <c r="L6673" s="3" t="str">
        <f>IFERROR(__xludf.DUMMYFUNCTION("GOOGLETRANSLATE(F6673,""id"",""en"")"),"Argentina Champion World Cup Mentap")</f>
        <v>Argentina Champion World Cup Mentap</v>
      </c>
    </row>
    <row r="6674" ht="15.75" customHeight="1">
      <c r="A6674" s="1">
        <v>7870.0</v>
      </c>
      <c r="B6674" s="3" t="s">
        <v>19157</v>
      </c>
      <c r="C6674" s="3">
        <v>0.0</v>
      </c>
      <c r="D6674" s="3">
        <v>0.0</v>
      </c>
      <c r="E6674" s="3">
        <v>0.0</v>
      </c>
      <c r="F6674" s="3" t="s">
        <v>19158</v>
      </c>
      <c r="G6674" s="3">
        <v>0.0</v>
      </c>
      <c r="H6674" s="3">
        <v>0.0</v>
      </c>
      <c r="I6674" s="3" t="s">
        <v>13</v>
      </c>
      <c r="J6674" s="3" t="s">
        <v>19159</v>
      </c>
      <c r="K6674" s="3" t="s">
        <v>644</v>
      </c>
      <c r="L6674" s="3" t="str">
        <f>IFERROR(__xludf.DUMMYFUNCTION("GOOGLETRANSLATE(F6674,""id"",""en"")"),"Should be emulated that Argentina is a strange champion")</f>
        <v>Should be emulated that Argentina is a strange champion</v>
      </c>
    </row>
    <row r="6675" ht="15.75" customHeight="1">
      <c r="A6675" s="1">
        <v>7871.0</v>
      </c>
      <c r="B6675" s="3" t="s">
        <v>19160</v>
      </c>
      <c r="C6675" s="3">
        <v>0.0</v>
      </c>
      <c r="D6675" s="3">
        <v>0.0</v>
      </c>
      <c r="E6675" s="3">
        <v>4.0</v>
      </c>
      <c r="F6675" s="3" t="s">
        <v>19161</v>
      </c>
      <c r="G6675" s="3">
        <v>0.3</v>
      </c>
      <c r="H6675" s="3">
        <v>1.0</v>
      </c>
      <c r="I6675" s="3" t="s">
        <v>48</v>
      </c>
      <c r="J6675" s="3" t="s">
        <v>19162</v>
      </c>
      <c r="K6675" s="3" t="s">
        <v>188</v>
      </c>
      <c r="L6675" s="3" t="str">
        <f>IFERROR(__xludf.DUMMYFUNCTION("GOOGLETRANSLATE(F6675,""id"",""en"")"),"Congratulations to Argentina who won the third world title after defeating France OMG Viral Best Actress Train Bobo Best Actors Vanilla Argentina World Cup Hobby Taliban Bill PPRT Tulus Prioritizing People")</f>
        <v>Congratulations to Argentina who won the third world title after defeating France OMG Viral Best Actress Train Bobo Best Actors Vanilla Argentina World Cup Hobby Taliban Bill PPRT Tulus Prioritizing People</v>
      </c>
    </row>
    <row r="6676" ht="15.75" customHeight="1">
      <c r="A6676" s="1">
        <v>7872.0</v>
      </c>
      <c r="B6676" s="3" t="s">
        <v>19163</v>
      </c>
      <c r="C6676" s="3">
        <v>0.0</v>
      </c>
      <c r="D6676" s="3">
        <v>0.0</v>
      </c>
      <c r="E6676" s="3">
        <v>0.0</v>
      </c>
      <c r="F6676" s="3" t="s">
        <v>19164</v>
      </c>
      <c r="G6676" s="3">
        <v>0.0</v>
      </c>
      <c r="H6676" s="3">
        <v>0.0</v>
      </c>
      <c r="I6676" s="3" t="s">
        <v>13</v>
      </c>
      <c r="J6676" s="3" t="s">
        <v>19165</v>
      </c>
      <c r="K6676" s="3" t="s">
        <v>19</v>
      </c>
      <c r="L6676" s="3" t="str">
        <f>IFERROR(__xludf.DUMMYFUNCTION("GOOGLETRANSLATE(F6676,""id"",""en"")"),"Messi said the spirit of Diego Maradona came down from the sky when he brought Argentina to the World Cup championship")</f>
        <v>Messi said the spirit of Diego Maradona came down from the sky when he brought Argentina to the World Cup championship</v>
      </c>
    </row>
    <row r="6677" ht="15.75" customHeight="1">
      <c r="A6677" s="1">
        <v>7873.0</v>
      </c>
      <c r="B6677" s="3" t="s">
        <v>19166</v>
      </c>
      <c r="C6677" s="3">
        <v>0.0</v>
      </c>
      <c r="D6677" s="3">
        <v>4.0</v>
      </c>
      <c r="E6677" s="3">
        <v>0.0</v>
      </c>
      <c r="F6677" s="3" t="s">
        <v>19167</v>
      </c>
      <c r="G6677" s="3">
        <v>0.0</v>
      </c>
      <c r="H6677" s="3">
        <v>0.0</v>
      </c>
      <c r="I6677" s="3" t="s">
        <v>13</v>
      </c>
      <c r="J6677" s="3" t="s">
        <v>19168</v>
      </c>
      <c r="K6677" s="3" t="s">
        <v>75</v>
      </c>
      <c r="L6677" s="3" t="str">
        <f>IFERROR(__xludf.DUMMYFUNCTION("GOOGLETRANSLATE(F6677,""id"",""en"")"),"Lionel Messi brought Argentina World Cup Champion Cristiano Ronaldo must be angry")</f>
        <v>Lionel Messi brought Argentina World Cup Champion Cristiano Ronaldo must be angry</v>
      </c>
    </row>
    <row r="6678" ht="15.75" customHeight="1">
      <c r="A6678" s="1">
        <v>7874.0</v>
      </c>
      <c r="B6678" s="3" t="s">
        <v>19169</v>
      </c>
      <c r="C6678" s="3">
        <v>0.0</v>
      </c>
      <c r="D6678" s="3">
        <v>0.0</v>
      </c>
      <c r="E6678" s="3">
        <v>0.0</v>
      </c>
      <c r="F6678" s="3" t="s">
        <v>19170</v>
      </c>
      <c r="G6678" s="3">
        <v>0.0</v>
      </c>
      <c r="H6678" s="3">
        <v>0.0</v>
      </c>
      <c r="I6678" s="3" t="s">
        <v>13</v>
      </c>
      <c r="J6678" s="3" t="s">
        <v>19171</v>
      </c>
      <c r="K6678" s="3" t="s">
        <v>54</v>
      </c>
      <c r="L6678" s="3" t="str">
        <f>IFERROR(__xludf.DUMMYFUNCTION("GOOGLETRANSLATE(F6678,""id"",""en"")"),"I'm sure the Argentina champion is the defender Kureng")</f>
        <v>I'm sure the Argentina champion is the defender Kureng</v>
      </c>
    </row>
    <row r="6679" ht="15.75" customHeight="1">
      <c r="A6679" s="1">
        <v>7875.0</v>
      </c>
      <c r="B6679" s="3" t="s">
        <v>19172</v>
      </c>
      <c r="C6679" s="3">
        <v>2.0</v>
      </c>
      <c r="D6679" s="3">
        <v>0.0</v>
      </c>
      <c r="E6679" s="3">
        <v>0.0</v>
      </c>
      <c r="F6679" s="3" t="s">
        <v>19173</v>
      </c>
      <c r="G6679" s="3">
        <v>0.0</v>
      </c>
      <c r="H6679" s="3">
        <v>0.0</v>
      </c>
      <c r="I6679" s="3" t="s">
        <v>13</v>
      </c>
      <c r="J6679" s="3" t="s">
        <v>19174</v>
      </c>
      <c r="K6679" s="3" t="s">
        <v>54</v>
      </c>
      <c r="L6679" s="3" t="str">
        <f>IFERROR(__xludf.DUMMYFUNCTION("GOOGLETRANSLATE(F6679,""id"",""en"")"),"It's already set to the Argentina champion everywhere")</f>
        <v>It's already set to the Argentina champion everywhere</v>
      </c>
    </row>
    <row r="6680" ht="15.75" customHeight="1">
      <c r="A6680" s="1">
        <v>7876.0</v>
      </c>
      <c r="B6680" s="3" t="s">
        <v>19175</v>
      </c>
      <c r="C6680" s="3">
        <v>0.0</v>
      </c>
      <c r="D6680" s="3">
        <v>0.0</v>
      </c>
      <c r="E6680" s="3">
        <v>1.0</v>
      </c>
      <c r="F6680" s="3" t="s">
        <v>19176</v>
      </c>
      <c r="G6680" s="3">
        <v>0.0</v>
      </c>
      <c r="H6680" s="3">
        <v>0.0</v>
      </c>
      <c r="I6680" s="3" t="s">
        <v>13</v>
      </c>
      <c r="J6680" s="3" t="s">
        <v>19177</v>
      </c>
      <c r="K6680" s="3" t="s">
        <v>1293</v>
      </c>
      <c r="L6680" s="3" t="str">
        <f>IFERROR(__xludf.DUMMYFUNCTION("GOOGLETRANSLATE(F6680,""id"",""en"")"),"Salt Bae was criticized because of disturbing the celebration of the Argentina World Cup championship party to pull Lionel Messi's hand")</f>
        <v>Salt Bae was criticized because of disturbing the celebration of the Argentina World Cup championship party to pull Lionel Messi's hand</v>
      </c>
    </row>
    <row r="6681" ht="15.75" customHeight="1">
      <c r="A6681" s="1">
        <v>7877.0</v>
      </c>
      <c r="B6681" s="3" t="s">
        <v>19178</v>
      </c>
      <c r="C6681" s="3">
        <v>0.0</v>
      </c>
      <c r="D6681" s="3">
        <v>0.0</v>
      </c>
      <c r="E6681" s="3">
        <v>0.0</v>
      </c>
      <c r="F6681" s="3" t="s">
        <v>19179</v>
      </c>
      <c r="G6681" s="3">
        <v>0.0</v>
      </c>
      <c r="H6681" s="3">
        <v>0.0</v>
      </c>
      <c r="I6681" s="3" t="s">
        <v>13</v>
      </c>
      <c r="J6681" s="3" t="s">
        <v>19180</v>
      </c>
      <c r="K6681" s="3" t="s">
        <v>449</v>
      </c>
      <c r="L6681" s="3" t="str">
        <f>IFERROR(__xludf.DUMMYFUNCTION("GOOGLETRANSLATE(F6681,""id"",""en"")"),"Verpool fans again won the Argentina by how to fret Mbappe and Dodo only to cover the fact that all national teams and their verpool players were proven to have failed to advance Brazilian and Dutch champions for example")</f>
        <v>Verpool fans again won the Argentina by how to fret Mbappe and Dodo only to cover the fact that all national teams and their verpool players were proven to have failed to advance Brazilian and Dutch champions for example</v>
      </c>
    </row>
    <row r="6682" ht="15.75" customHeight="1">
      <c r="A6682" s="1">
        <v>7878.0</v>
      </c>
      <c r="B6682" s="3" t="s">
        <v>19181</v>
      </c>
      <c r="C6682" s="3">
        <v>3.0</v>
      </c>
      <c r="D6682" s="3">
        <v>0.0</v>
      </c>
      <c r="E6682" s="3">
        <v>0.0</v>
      </c>
      <c r="F6682" s="3" t="s">
        <v>19182</v>
      </c>
      <c r="G6682" s="3">
        <v>0.3333333333333333</v>
      </c>
      <c r="H6682" s="3">
        <v>0.1666666666666667</v>
      </c>
      <c r="I6682" s="3" t="s">
        <v>48</v>
      </c>
      <c r="J6682" s="3" t="s">
        <v>19183</v>
      </c>
      <c r="K6682" s="3" t="s">
        <v>19184</v>
      </c>
      <c r="L6682" s="3" t="str">
        <f>IFERROR(__xludf.DUMMYFUNCTION("GOOGLETRANSLATE(F6682,""id"",""en"")"),"The last match against Poland because Poland only needed a series to qualify to become Poland playing too aggressively Argentina could take the match and finally won to qualify for the Group champion not to be runner if you didn't meet France again later")</f>
        <v>The last match against Poland because Poland only needed a series to qualify to become Poland playing too aggressively Argentina could take the match and finally won to qualify for the Group champion not to be runner if you didn't meet France again later</v>
      </c>
    </row>
    <row r="6683" ht="15.75" customHeight="1">
      <c r="A6683" s="1">
        <v>7879.0</v>
      </c>
      <c r="B6683" s="3" t="s">
        <v>19185</v>
      </c>
      <c r="C6683" s="3">
        <v>0.0</v>
      </c>
      <c r="D6683" s="3">
        <v>0.0</v>
      </c>
      <c r="E6683" s="3">
        <v>0.0</v>
      </c>
      <c r="F6683" s="3" t="s">
        <v>19186</v>
      </c>
      <c r="G6683" s="3">
        <v>0.2333333333333333</v>
      </c>
      <c r="H6683" s="3">
        <v>-0.25</v>
      </c>
      <c r="I6683" s="3" t="s">
        <v>179</v>
      </c>
      <c r="J6683" s="3" t="s">
        <v>19187</v>
      </c>
      <c r="K6683" s="3" t="s">
        <v>75</v>
      </c>
      <c r="L6683" s="3" t="str">
        <f>IFERROR(__xludf.DUMMYFUNCTION("GOOGLETRANSLATE(F6683,""id"",""en"")"),"Fan Argentina Burn Photo of Kylian Mbappe during the World Cup Champion Parade")</f>
        <v>Fan Argentina Burn Photo of Kylian Mbappe during the World Cup Champion Parade</v>
      </c>
    </row>
    <row r="6684" ht="15.75" customHeight="1">
      <c r="A6684" s="1">
        <v>7880.0</v>
      </c>
      <c r="B6684" s="3" t="s">
        <v>19188</v>
      </c>
      <c r="C6684" s="3">
        <v>0.0</v>
      </c>
      <c r="D6684" s="3">
        <v>0.0</v>
      </c>
      <c r="E6684" s="3">
        <v>0.0</v>
      </c>
      <c r="F6684" s="3" t="s">
        <v>19189</v>
      </c>
      <c r="G6684" s="3">
        <v>0.0</v>
      </c>
      <c r="H6684" s="3">
        <v>0.0</v>
      </c>
      <c r="I6684" s="3" t="s">
        <v>13</v>
      </c>
      <c r="J6684" s="3" t="s">
        <v>19190</v>
      </c>
      <c r="K6684" s="3" t="s">
        <v>41</v>
      </c>
      <c r="L6684" s="3" t="str">
        <f>IFERROR(__xludf.DUMMYFUNCTION("GOOGLETRANSLATE(F6684,""id"",""en"")"),"The behavior of the fans of the Argentine champions naked to vandalism")</f>
        <v>The behavior of the fans of the Argentine champions naked to vandalism</v>
      </c>
    </row>
    <row r="6685" ht="15.75" customHeight="1">
      <c r="A6685" s="1">
        <v>7881.0</v>
      </c>
      <c r="B6685" s="3" t="s">
        <v>19191</v>
      </c>
      <c r="C6685" s="3">
        <v>2.0</v>
      </c>
      <c r="D6685" s="3">
        <v>0.0</v>
      </c>
      <c r="E6685" s="3">
        <v>1.0</v>
      </c>
      <c r="F6685" s="3" t="s">
        <v>19192</v>
      </c>
      <c r="G6685" s="3">
        <v>0.0</v>
      </c>
      <c r="H6685" s="3">
        <v>0.0</v>
      </c>
      <c r="I6685" s="3" t="s">
        <v>13</v>
      </c>
      <c r="J6685" s="3" t="s">
        <v>19193</v>
      </c>
      <c r="K6685" s="3" t="s">
        <v>54</v>
      </c>
      <c r="L6685" s="3" t="str">
        <f>IFERROR(__xludf.DUMMYFUNCTION("GOOGLETRANSLATE(F6685,""id"",""en"")"),"mending Argentina, champion from I hear the song")</f>
        <v>mending Argentina, champion from I hear the song</v>
      </c>
    </row>
    <row r="6686" ht="15.75" customHeight="1">
      <c r="A6686" s="1">
        <v>7883.0</v>
      </c>
      <c r="B6686" s="3" t="s">
        <v>19194</v>
      </c>
      <c r="C6686" s="3">
        <v>0.0</v>
      </c>
      <c r="D6686" s="3">
        <v>0.0</v>
      </c>
      <c r="E6686" s="3">
        <v>0.0</v>
      </c>
      <c r="F6686" s="3" t="s">
        <v>19195</v>
      </c>
      <c r="G6686" s="3">
        <v>0.3</v>
      </c>
      <c r="H6686" s="3">
        <v>1.0</v>
      </c>
      <c r="I6686" s="3" t="s">
        <v>48</v>
      </c>
      <c r="J6686" s="3" t="s">
        <v>19196</v>
      </c>
      <c r="K6686" s="3" t="s">
        <v>19</v>
      </c>
      <c r="L6686" s="3" t="str">
        <f>IFERROR(__xludf.DUMMYFUNCTION("GOOGLETRANSLATE(F6686,""id"",""en"")"),"Prodigy is the game if the referee is observant but already Argentina has won the World Cup The Best Messi")</f>
        <v>Prodigy is the game if the referee is observant but already Argentina has won the World Cup The Best Messi</v>
      </c>
    </row>
    <row r="6687" ht="15.75" customHeight="1">
      <c r="A6687" s="1">
        <v>7884.0</v>
      </c>
      <c r="B6687" s="3" t="s">
        <v>19197</v>
      </c>
      <c r="C6687" s="3">
        <v>1.0</v>
      </c>
      <c r="D6687" s="3">
        <v>0.0</v>
      </c>
      <c r="E6687" s="3">
        <v>1.0</v>
      </c>
      <c r="F6687" s="3" t="s">
        <v>19198</v>
      </c>
      <c r="G6687" s="3">
        <v>0.05</v>
      </c>
      <c r="H6687" s="3">
        <v>-0.2</v>
      </c>
      <c r="I6687" s="3" t="s">
        <v>179</v>
      </c>
      <c r="J6687" s="3" t="s">
        <v>19199</v>
      </c>
      <c r="K6687" s="3" t="s">
        <v>2013</v>
      </c>
      <c r="L6687" s="3" t="str">
        <f>IFERROR(__xludf.DUMMYFUNCTION("GOOGLETRANSLATE(F6687,""id"",""en"")"),"But this Argentine national team missing puzzle is indeed Martinez, it failed to win the Copa champion because he didn't have a goalkeeper who was good at a new penalty when he became the main goalkeeper Argentina could win the Copa championship")</f>
        <v>But this Argentine national team missing puzzle is indeed Martinez, it failed to win the Copa champion because he didn't have a goalkeeper who was good at a new penalty when he became the main goalkeeper Argentina could win the Copa championship</v>
      </c>
    </row>
    <row r="6688" ht="15.75" customHeight="1">
      <c r="A6688" s="1">
        <v>7885.0</v>
      </c>
      <c r="B6688" s="3" t="s">
        <v>19200</v>
      </c>
      <c r="C6688" s="3">
        <v>0.0</v>
      </c>
      <c r="D6688" s="3">
        <v>0.0</v>
      </c>
      <c r="E6688" s="3">
        <v>0.0</v>
      </c>
      <c r="F6688" s="3" t="s">
        <v>19201</v>
      </c>
      <c r="G6688" s="3">
        <v>0.0</v>
      </c>
      <c r="H6688" s="3">
        <v>0.0</v>
      </c>
      <c r="I6688" s="3" t="s">
        <v>13</v>
      </c>
      <c r="J6688" s="3" t="s">
        <v>19202</v>
      </c>
      <c r="K6688" s="3" t="s">
        <v>31</v>
      </c>
      <c r="L6688" s="3" t="str">
        <f>IFERROR(__xludf.DUMMYFUNCTION("GOOGLETRANSLATE(F6688,""id"",""en"")"),"Happy Argentine Champion")</f>
        <v>Happy Argentine Champion</v>
      </c>
    </row>
    <row r="6689" ht="15.75" customHeight="1">
      <c r="A6689" s="1">
        <v>7886.0</v>
      </c>
      <c r="B6689" s="3" t="s">
        <v>19203</v>
      </c>
      <c r="C6689" s="3">
        <v>6.0</v>
      </c>
      <c r="D6689" s="3">
        <v>0.0</v>
      </c>
      <c r="E6689" s="3">
        <v>4.0</v>
      </c>
      <c r="F6689" s="3" t="s">
        <v>19204</v>
      </c>
      <c r="G6689" s="3">
        <v>0.0</v>
      </c>
      <c r="H6689" s="3">
        <v>0.0</v>
      </c>
      <c r="I6689" s="3" t="s">
        <v>13</v>
      </c>
      <c r="J6689" s="3" t="s">
        <v>19205</v>
      </c>
      <c r="K6689" s="3" t="s">
        <v>273</v>
      </c>
      <c r="L6689" s="3" t="str">
        <f>IFERROR(__xludf.DUMMYFUNCTION("GOOGLETRANSLATE(F6689,""id"",""en"")"),"Nek Parameter All Achievement of Lin and Messi's absolute achievements was even debated because Dekne was born as Wong Argentina.")</f>
        <v>Nek Parameter All Achievement of Lin and Messi's absolute achievements was even debated because Dekne was born as Wong Argentina.</v>
      </c>
    </row>
    <row r="6690" ht="15.75" customHeight="1">
      <c r="A6690" s="1">
        <v>7887.0</v>
      </c>
      <c r="B6690" s="3" t="s">
        <v>19206</v>
      </c>
      <c r="C6690" s="3">
        <v>0.0</v>
      </c>
      <c r="D6690" s="3">
        <v>0.0</v>
      </c>
      <c r="E6690" s="3">
        <v>0.0</v>
      </c>
      <c r="F6690" s="3" t="s">
        <v>19207</v>
      </c>
      <c r="G6690" s="3">
        <v>0.0</v>
      </c>
      <c r="H6690" s="3">
        <v>0.0</v>
      </c>
      <c r="I6690" s="3" t="s">
        <v>13</v>
      </c>
      <c r="J6690" s="3" t="s">
        <v>19208</v>
      </c>
      <c r="K6690" s="3" t="s">
        <v>50</v>
      </c>
      <c r="L6690" s="3" t="str">
        <f>IFERROR(__xludf.DUMMYFUNCTION("GOOGLETRANSLATE(F6690,""id"",""en"")"),"If Emil Martinez, the burden loses Argentina, the world championship weighs the amount")</f>
        <v>If Emil Martinez, the burden loses Argentina, the world championship weighs the amount</v>
      </c>
    </row>
    <row r="6691" ht="15.75" customHeight="1">
      <c r="A6691" s="1">
        <v>7888.0</v>
      </c>
      <c r="B6691" s="3" t="s">
        <v>19209</v>
      </c>
      <c r="C6691" s="3">
        <v>0.0</v>
      </c>
      <c r="D6691" s="3">
        <v>0.0</v>
      </c>
      <c r="E6691" s="3">
        <v>0.0</v>
      </c>
      <c r="F6691" s="3" t="s">
        <v>19210</v>
      </c>
      <c r="G6691" s="3">
        <v>0.0</v>
      </c>
      <c r="H6691" s="3">
        <v>0.0</v>
      </c>
      <c r="I6691" s="3" t="s">
        <v>13</v>
      </c>
      <c r="J6691" s="3" t="s">
        <v>19211</v>
      </c>
      <c r="K6691" s="3" t="s">
        <v>54</v>
      </c>
      <c r="L6691" s="3" t="str">
        <f>IFERROR(__xludf.DUMMYFUNCTION("GOOGLETRANSLATE(F6691,""id"",""en"")"),"I can't see any content besides Argentina Champion")</f>
        <v>I can't see any content besides Argentina Champion</v>
      </c>
    </row>
    <row r="6692" ht="15.75" customHeight="1">
      <c r="A6692" s="1">
        <v>7889.0</v>
      </c>
      <c r="B6692" s="3" t="s">
        <v>19212</v>
      </c>
      <c r="C6692" s="3">
        <v>0.0</v>
      </c>
      <c r="D6692" s="3">
        <v>0.0</v>
      </c>
      <c r="E6692" s="3">
        <v>1.0</v>
      </c>
      <c r="F6692" s="3" t="s">
        <v>19213</v>
      </c>
      <c r="G6692" s="3">
        <v>0.0</v>
      </c>
      <c r="H6692" s="3">
        <v>0.0</v>
      </c>
      <c r="I6692" s="3" t="s">
        <v>13</v>
      </c>
      <c r="J6692" s="3" t="s">
        <v>19214</v>
      </c>
      <c r="K6692" s="3" t="s">
        <v>41</v>
      </c>
      <c r="L6692" s="3" t="str">
        <f>IFERROR(__xludf.DUMMYFUNCTION("GOOGLETRANSLATE(F6692,""id"",""en"")"),"an example of Argentina, even though the body posture is almost the same")</f>
        <v>an example of Argentina, even though the body posture is almost the same</v>
      </c>
    </row>
    <row r="6693" ht="15.75" customHeight="1">
      <c r="A6693" s="1">
        <v>7890.0</v>
      </c>
      <c r="B6693" s="3" t="s">
        <v>19215</v>
      </c>
      <c r="C6693" s="3">
        <v>0.0</v>
      </c>
      <c r="D6693" s="3">
        <v>0.0</v>
      </c>
      <c r="E6693" s="3">
        <v>0.0</v>
      </c>
      <c r="F6693" s="3" t="s">
        <v>19216</v>
      </c>
      <c r="G6693" s="3">
        <v>0.0</v>
      </c>
      <c r="H6693" s="3">
        <v>0.0</v>
      </c>
      <c r="I6693" s="3" t="s">
        <v>13</v>
      </c>
      <c r="J6693" s="3" t="s">
        <v>19217</v>
      </c>
      <c r="K6693" s="3" t="s">
        <v>657</v>
      </c>
      <c r="L6693" s="3" t="str">
        <f>IFERROR(__xludf.DUMMYFUNCTION("GOOGLETRANSLATE(F6693,""id"",""en"")"),"World Cup Champion Sri Mulyani Argentina's subordinates are not only good at the ball but also the debt of the people's mind")</f>
        <v>World Cup Champion Sri Mulyani Argentina's subordinates are not only good at the ball but also the debt of the people's mind</v>
      </c>
    </row>
    <row r="6694" ht="15.75" customHeight="1">
      <c r="A6694" s="1">
        <v>7891.0</v>
      </c>
      <c r="B6694" s="3" t="s">
        <v>19218</v>
      </c>
      <c r="C6694" s="3">
        <v>1.0</v>
      </c>
      <c r="D6694" s="3">
        <v>0.0</v>
      </c>
      <c r="E6694" s="3">
        <v>0.0</v>
      </c>
      <c r="F6694" s="3" t="s">
        <v>19219</v>
      </c>
      <c r="G6694" s="3">
        <v>0.0</v>
      </c>
      <c r="H6694" s="3">
        <v>0.0</v>
      </c>
      <c r="I6694" s="3" t="s">
        <v>13</v>
      </c>
      <c r="J6694" s="3" t="s">
        <v>19220</v>
      </c>
      <c r="K6694" s="3" t="s">
        <v>131</v>
      </c>
      <c r="L6694" s="3" t="str">
        <f>IFERROR(__xludf.DUMMYFUNCTION("GOOGLETRANSLATE(F6694,""id"",""en"")"),"Good morning immigration for supporters of the French national team remains enthusiastic and need to cry good morning your Argentine supporters deserve to win and happy")</f>
        <v>Good morning immigration for supporters of the French national team remains enthusiastic and need to cry good morning your Argentine supporters deserve to win and happy</v>
      </c>
    </row>
    <row r="6695" ht="15.75" customHeight="1">
      <c r="A6695" s="1">
        <v>7892.0</v>
      </c>
      <c r="B6695" s="3" t="s">
        <v>19221</v>
      </c>
      <c r="C6695" s="3">
        <v>0.0</v>
      </c>
      <c r="D6695" s="3">
        <v>0.0</v>
      </c>
      <c r="E6695" s="3">
        <v>0.0</v>
      </c>
      <c r="F6695" s="3" t="s">
        <v>19222</v>
      </c>
      <c r="G6695" s="3">
        <v>0.2333333333333333</v>
      </c>
      <c r="H6695" s="3">
        <v>-0.25</v>
      </c>
      <c r="I6695" s="3" t="s">
        <v>179</v>
      </c>
      <c r="J6695" s="3" t="s">
        <v>19223</v>
      </c>
      <c r="K6695" s="3" t="s">
        <v>899</v>
      </c>
      <c r="L6695" s="3" t="str">
        <f>IFERROR(__xludf.DUMMYFUNCTION("GOOGLETRANSLATE(F6695,""id"",""en"")"),"Lionel Messi was almost thrown from the bus during the Argentine Mini Parade World Cup Champion This incident began when Lionel Messi Angel Maria Leandro Paredes Rodrigo Paul and Nicolas Otamendi chose to ride and sit the back of the bus roof")</f>
        <v>Lionel Messi was almost thrown from the bus during the Argentine Mini Parade World Cup Champion This incident began when Lionel Messi Angel Maria Leandro Paredes Rodrigo Paul and Nicolas Otamendi chose to ride and sit the back of the bus roof</v>
      </c>
    </row>
    <row r="6696" ht="15.75" customHeight="1">
      <c r="A6696" s="1">
        <v>7893.0</v>
      </c>
      <c r="B6696" s="3" t="s">
        <v>19224</v>
      </c>
      <c r="C6696" s="3">
        <v>1.0</v>
      </c>
      <c r="D6696" s="3">
        <v>0.0</v>
      </c>
      <c r="E6696" s="3">
        <v>0.0</v>
      </c>
      <c r="F6696" s="3" t="s">
        <v>19225</v>
      </c>
      <c r="G6696" s="3">
        <v>0.0</v>
      </c>
      <c r="H6696" s="3">
        <v>0.0</v>
      </c>
      <c r="I6696" s="3" t="s">
        <v>13</v>
      </c>
      <c r="J6696" s="3" t="s">
        <v>19226</v>
      </c>
      <c r="K6696" s="3" t="s">
        <v>11862</v>
      </c>
      <c r="L6696" s="3" t="str">
        <f>IFERROR(__xludf.DUMMYFUNCTION("GOOGLETRANSLATE(F6696,""id"",""en"")"),"Imagine if Argentina loses and not to be the champion of uuuhhh it is definitely the ronaldo fans will be even more and more severe, just win, just win and strange")</f>
        <v>Imagine if Argentina loses and not to be the champion of uuuhhh it is definitely the ronaldo fans will be even more and more severe, just win, just win and strange</v>
      </c>
    </row>
    <row r="6697" ht="15.75" customHeight="1">
      <c r="A6697" s="1">
        <v>7894.0</v>
      </c>
      <c r="B6697" s="3" t="s">
        <v>19227</v>
      </c>
      <c r="C6697" s="3">
        <v>1.0</v>
      </c>
      <c r="D6697" s="3">
        <v>0.0</v>
      </c>
      <c r="E6697" s="3">
        <v>0.0</v>
      </c>
      <c r="F6697" s="3" t="s">
        <v>19228</v>
      </c>
      <c r="G6697" s="3">
        <v>0.0</v>
      </c>
      <c r="H6697" s="3">
        <v>0.0</v>
      </c>
      <c r="I6697" s="3" t="s">
        <v>13</v>
      </c>
      <c r="J6697" s="3" t="s">
        <v>19229</v>
      </c>
      <c r="K6697" s="3" t="s">
        <v>75</v>
      </c>
      <c r="L6697" s="3" t="str">
        <f>IFERROR(__xludf.DUMMYFUNCTION("GOOGLETRANSLATE(F6697,""id"",""en"")"),"well, the Argentine player was golden aged, but not, it means they can't be champions")</f>
        <v>well, the Argentine player was golden aged, but not, it means they can't be champions</v>
      </c>
    </row>
    <row r="6698" ht="15.75" customHeight="1">
      <c r="A6698" s="1">
        <v>7895.0</v>
      </c>
      <c r="B6698" s="3" t="s">
        <v>19230</v>
      </c>
      <c r="C6698" s="3">
        <v>0.0</v>
      </c>
      <c r="D6698" s="3">
        <v>0.0</v>
      </c>
      <c r="E6698" s="3">
        <v>0.0</v>
      </c>
      <c r="F6698" s="3" t="s">
        <v>19231</v>
      </c>
      <c r="G6698" s="3">
        <v>0.0</v>
      </c>
      <c r="H6698" s="3">
        <v>0.0</v>
      </c>
      <c r="I6698" s="3" t="s">
        <v>13</v>
      </c>
      <c r="J6698" s="3" t="s">
        <v>19232</v>
      </c>
      <c r="K6698" s="3" t="s">
        <v>499</v>
      </c>
      <c r="L6698" s="3" t="str">
        <f>IFERROR(__xludf.DUMMYFUNCTION("GOOGLETRANSLATE(F6698,""id"",""en"")"),"Almost all big soccer countries have been world champions during my German Brazil French Italian Spanish Argentina is less uruguuay")</f>
        <v>Almost all big soccer countries have been world champions during my German Brazil French Italian Spanish Argentina is less uruguuay</v>
      </c>
    </row>
    <row r="6699" ht="15.75" customHeight="1">
      <c r="A6699" s="1">
        <v>7896.0</v>
      </c>
      <c r="B6699" s="3" t="s">
        <v>19233</v>
      </c>
      <c r="C6699" s="3">
        <v>0.0</v>
      </c>
      <c r="D6699" s="3">
        <v>0.0</v>
      </c>
      <c r="E6699" s="3">
        <v>0.0</v>
      </c>
      <c r="F6699" s="3" t="s">
        <v>19234</v>
      </c>
      <c r="G6699" s="3">
        <v>0.0</v>
      </c>
      <c r="H6699" s="3">
        <v>0.0</v>
      </c>
      <c r="I6699" s="3" t="s">
        <v>13</v>
      </c>
      <c r="J6699" s="3" t="s">
        <v>19235</v>
      </c>
      <c r="K6699" s="3" t="s">
        <v>50</v>
      </c>
      <c r="L6699" s="3" t="str">
        <f>IFERROR(__xludf.DUMMYFUNCTION("GOOGLETRANSLATE(F6699,""id"",""en"")"),"ask why the profile photo deleted Argentina Answers already champion so what else is it up to you")</f>
        <v>ask why the profile photo deleted Argentina Answers already champion so what else is it up to you</v>
      </c>
    </row>
    <row r="6700" ht="15.75" customHeight="1">
      <c r="A6700" s="1">
        <v>7897.0</v>
      </c>
      <c r="B6700" s="3" t="s">
        <v>19236</v>
      </c>
      <c r="C6700" s="3">
        <v>1.0</v>
      </c>
      <c r="D6700" s="3">
        <v>0.0</v>
      </c>
      <c r="E6700" s="3">
        <v>0.0</v>
      </c>
      <c r="F6700" s="3" t="s">
        <v>19237</v>
      </c>
      <c r="G6700" s="3">
        <v>0.0</v>
      </c>
      <c r="H6700" s="3">
        <v>0.0</v>
      </c>
      <c r="I6700" s="3" t="s">
        <v>13</v>
      </c>
      <c r="J6700" s="3" t="s">
        <v>19238</v>
      </c>
      <c r="K6700" s="3" t="s">
        <v>765</v>
      </c>
      <c r="L6700" s="3" t="str">
        <f>IFERROR(__xludf.DUMMYFUNCTION("GOOGLETRANSLATE(F6700,""id"",""en"")"),"Argentina became the champion of course from the team's hard work and the most important thing is players and coaches besides the team coach also need comfortable clothes and of course add to their confidence to give Jersey info that is very remember")</f>
        <v>Argentina became the champion of course from the team's hard work and the most important thing is players and coaches besides the team coach also need comfortable clothes and of course add to their confidence to give Jersey info that is very remember</v>
      </c>
    </row>
    <row r="6701" ht="15.75" customHeight="1">
      <c r="A6701" s="1">
        <v>7898.0</v>
      </c>
      <c r="B6701" s="3" t="s">
        <v>19239</v>
      </c>
      <c r="C6701" s="3">
        <v>1.0</v>
      </c>
      <c r="D6701" s="3">
        <v>0.0</v>
      </c>
      <c r="E6701" s="3">
        <v>0.0</v>
      </c>
      <c r="F6701" s="3" t="s">
        <v>19240</v>
      </c>
      <c r="G6701" s="3">
        <v>0.0</v>
      </c>
      <c r="H6701" s="3">
        <v>0.0</v>
      </c>
      <c r="I6701" s="3" t="s">
        <v>13</v>
      </c>
      <c r="J6701" s="3" t="s">
        <v>19241</v>
      </c>
      <c r="K6701" s="3" t="s">
        <v>13921</v>
      </c>
      <c r="L6701" s="3" t="str">
        <f>IFERROR(__xludf.DUMMYFUNCTION("GOOGLETRANSLATE(F6701,""id"",""en"")"),"Messi will run out to get this trophy especially Argentina has the title of defeat match definitely carrying great motivation for Argentina to be a favorite champion of this pildun but I watched it from the beginning of the match lgsg shock when the alleg"&amp;"ed losing opponents of Saudi Arabia")</f>
        <v>Messi will run out to get this trophy especially Argentina has the title of defeat match definitely carrying great motivation for Argentina to be a favorite champion of this pildun but I watched it from the beginning of the match lgsg shock when the alleged losing opponents of Saudi Arabia</v>
      </c>
    </row>
    <row r="6702" ht="15.75" customHeight="1">
      <c r="A6702" s="1">
        <v>7899.0</v>
      </c>
      <c r="B6702" s="3" t="s">
        <v>19242</v>
      </c>
      <c r="C6702" s="3">
        <v>0.0</v>
      </c>
      <c r="D6702" s="3">
        <v>0.0</v>
      </c>
      <c r="E6702" s="3">
        <v>1.0</v>
      </c>
      <c r="F6702" s="3" t="s">
        <v>19243</v>
      </c>
      <c r="G6702" s="3">
        <v>0.3333333333333333</v>
      </c>
      <c r="H6702" s="3">
        <v>0.1666666666666667</v>
      </c>
      <c r="I6702" s="3" t="s">
        <v>48</v>
      </c>
      <c r="J6702" s="3" t="s">
        <v>19244</v>
      </c>
      <c r="K6702" s="3" t="s">
        <v>172</v>
      </c>
      <c r="L6702" s="3" t="str">
        <f>IFERROR(__xludf.DUMMYFUNCTION("GOOGLETRANSLATE(F6702,""id"",""en"")"),"just before the pildun begins the most scary to see the squad of Portugal Brazil and England because it is very luxurious and the contents are all when looking at Argentina players play UCL, but people are just pessimistic but the end")</f>
        <v>just before the pildun begins the most scary to see the squad of Portugal Brazil and England because it is very luxurious and the contents are all when looking at Argentina players play UCL, but people are just pessimistic but the end</v>
      </c>
    </row>
    <row r="6703" ht="15.75" customHeight="1">
      <c r="A6703" s="1">
        <v>7900.0</v>
      </c>
      <c r="B6703" s="3" t="s">
        <v>19245</v>
      </c>
      <c r="C6703" s="3">
        <v>1.0</v>
      </c>
      <c r="D6703" s="3">
        <v>0.0</v>
      </c>
      <c r="E6703" s="3">
        <v>0.0</v>
      </c>
      <c r="F6703" s="3" t="s">
        <v>19246</v>
      </c>
      <c r="G6703" s="3">
        <v>0.0</v>
      </c>
      <c r="H6703" s="3">
        <v>0.0</v>
      </c>
      <c r="I6703" s="3" t="s">
        <v>13</v>
      </c>
      <c r="J6703" s="3" t="s">
        <v>19247</v>
      </c>
      <c r="K6703" s="3" t="s">
        <v>765</v>
      </c>
      <c r="L6703" s="3" t="str">
        <f>IFERROR(__xludf.DUMMYFUNCTION("GOOGLETRANSLATE(F6703,""id"",""en"")"),"Lah just look at Aston Villa Bapuk I don't have haters Messi yee Messi clearly Goat and Argentina EMG really worthy")</f>
        <v>Lah just look at Aston Villa Bapuk I don't have haters Messi yee Messi clearly Goat and Argentina EMG really worthy</v>
      </c>
    </row>
    <row r="6704" ht="15.75" customHeight="1">
      <c r="A6704" s="1">
        <v>7901.0</v>
      </c>
      <c r="B6704" s="3" t="s">
        <v>19248</v>
      </c>
      <c r="C6704" s="3">
        <v>2.0</v>
      </c>
      <c r="D6704" s="3">
        <v>0.0</v>
      </c>
      <c r="E6704" s="3">
        <v>3.0</v>
      </c>
      <c r="F6704" s="3" t="s">
        <v>19056</v>
      </c>
      <c r="G6704" s="3">
        <v>1.0</v>
      </c>
      <c r="H6704" s="3">
        <v>1.0</v>
      </c>
      <c r="I6704" s="3" t="s">
        <v>48</v>
      </c>
      <c r="J6704" s="3" t="s">
        <v>19057</v>
      </c>
      <c r="K6704" s="3" t="s">
        <v>584</v>
      </c>
      <c r="L6704" s="3" t="str">
        <f>IFERROR(__xludf.DUMMYFUNCTION("GOOGLETRANSLATE(F6704,""id"",""en"")"),"Lionel Messi is increasingly legally designated as The Greatest All Team or Goat because last weekend brought Argentina to become the World Cup champion then if you want to endorse Messi how much the fare")</f>
        <v>Lionel Messi is increasingly legally designated as The Greatest All Team or Goat because last weekend brought Argentina to become the World Cup champion then if you want to endorse Messi how much the fare</v>
      </c>
    </row>
    <row r="6705" ht="15.75" customHeight="1">
      <c r="A6705" s="1">
        <v>7902.0</v>
      </c>
      <c r="B6705" s="3" t="s">
        <v>19249</v>
      </c>
      <c r="C6705" s="3">
        <v>0.0</v>
      </c>
      <c r="D6705" s="3">
        <v>0.0</v>
      </c>
      <c r="E6705" s="3">
        <v>2.0</v>
      </c>
      <c r="F6705" s="3" t="s">
        <v>19056</v>
      </c>
      <c r="G6705" s="3">
        <v>1.0</v>
      </c>
      <c r="H6705" s="3">
        <v>1.0</v>
      </c>
      <c r="I6705" s="3" t="s">
        <v>48</v>
      </c>
      <c r="J6705" s="3" t="s">
        <v>19057</v>
      </c>
      <c r="K6705" s="3" t="s">
        <v>584</v>
      </c>
      <c r="L6705" s="3" t="str">
        <f>IFERROR(__xludf.DUMMYFUNCTION("GOOGLETRANSLATE(F6705,""id"",""en"")"),"Lionel Messi is increasingly legally designated as The Greatest All Team or Goat because last weekend brought Argentina to become the World Cup champion then if you want to endorse Messi how much the fare")</f>
        <v>Lionel Messi is increasingly legally designated as The Greatest All Team or Goat because last weekend brought Argentina to become the World Cup champion then if you want to endorse Messi how much the fare</v>
      </c>
    </row>
    <row r="6706" ht="15.75" customHeight="1">
      <c r="A6706" s="1">
        <v>7903.0</v>
      </c>
      <c r="B6706" s="3" t="s">
        <v>19250</v>
      </c>
      <c r="C6706" s="3">
        <v>0.0</v>
      </c>
      <c r="D6706" s="3">
        <v>0.0</v>
      </c>
      <c r="E6706" s="3">
        <v>0.0</v>
      </c>
      <c r="F6706" s="3" t="s">
        <v>19251</v>
      </c>
      <c r="G6706" s="3">
        <v>0.0</v>
      </c>
      <c r="H6706" s="3">
        <v>0.0</v>
      </c>
      <c r="I6706" s="3" t="s">
        <v>13</v>
      </c>
      <c r="J6706" s="3" t="s">
        <v>19252</v>
      </c>
      <c r="K6706" s="3" t="s">
        <v>19</v>
      </c>
      <c r="L6706" s="3" t="str">
        <f>IFERROR(__xludf.DUMMYFUNCTION("GOOGLETRANSLATE(F6706,""id"",""en"")"),"There is a Messi fan from Egypt who because of each other's Argentina, the world champion is precisely a heartbreaking fate why")</f>
        <v>There is a Messi fan from Egypt who because of each other's Argentina, the world champion is precisely a heartbreaking fate why</v>
      </c>
    </row>
    <row r="6707" ht="15.75" customHeight="1">
      <c r="A6707" s="1">
        <v>7904.0</v>
      </c>
      <c r="B6707" s="3" t="s">
        <v>19253</v>
      </c>
      <c r="C6707" s="3">
        <v>62.0</v>
      </c>
      <c r="D6707" s="3">
        <v>135.0</v>
      </c>
      <c r="E6707" s="3">
        <v>1015.0</v>
      </c>
      <c r="F6707" s="3" t="s">
        <v>19254</v>
      </c>
      <c r="G6707" s="3">
        <v>0.2333333333333333</v>
      </c>
      <c r="H6707" s="3">
        <v>-0.25</v>
      </c>
      <c r="I6707" s="3" t="s">
        <v>179</v>
      </c>
      <c r="J6707" s="3" t="s">
        <v>19255</v>
      </c>
      <c r="K6707" s="3" t="s">
        <v>23</v>
      </c>
      <c r="L6707" s="3" t="str">
        <f>IFERROR(__xludf.DUMMYFUNCTION("GOOGLETRANSLATE(F6707,""id"",""en"")"),"Argentine National Team World Cup Champion Parade Buenos Aires must be completed faster after some fans jump the Argentine National Team's open roof bus")</f>
        <v>Argentine National Team World Cup Champion Parade Buenos Aires must be completed faster after some fans jump the Argentine National Team's open roof bus</v>
      </c>
    </row>
    <row r="6708" ht="15.75" customHeight="1">
      <c r="A6708" s="1">
        <v>7905.0</v>
      </c>
      <c r="B6708" s="3" t="s">
        <v>19256</v>
      </c>
      <c r="C6708" s="3">
        <v>0.0</v>
      </c>
      <c r="D6708" s="3">
        <v>1.0</v>
      </c>
      <c r="E6708" s="3">
        <v>3.0</v>
      </c>
      <c r="F6708" s="3" t="s">
        <v>19257</v>
      </c>
      <c r="G6708" s="3">
        <v>0.2333333333333333</v>
      </c>
      <c r="H6708" s="3">
        <v>-0.25</v>
      </c>
      <c r="I6708" s="3" t="s">
        <v>179</v>
      </c>
      <c r="J6708" s="3" t="s">
        <v>19258</v>
      </c>
      <c r="K6708" s="3" t="s">
        <v>699</v>
      </c>
      <c r="L6708" s="3" t="str">
        <f>IFERROR(__xludf.DUMMYFUNCTION("GOOGLETRANSLATE(F6708,""id"",""en"")"),"The moment between Rodrigo Paul and Lionel Messi returned to the spotlight this time Paul was seen directly according to what Messi said in the Argentine championship parade")</f>
        <v>The moment between Rodrigo Paul and Lionel Messi returned to the spotlight this time Paul was seen directly according to what Messi said in the Argentine championship parade</v>
      </c>
    </row>
    <row r="6709" ht="15.75" customHeight="1">
      <c r="A6709" s="1">
        <v>7906.0</v>
      </c>
      <c r="B6709" s="3" t="s">
        <v>19259</v>
      </c>
      <c r="C6709" s="3">
        <v>0.0</v>
      </c>
      <c r="D6709" s="3">
        <v>0.0</v>
      </c>
      <c r="E6709" s="3">
        <v>0.0</v>
      </c>
      <c r="F6709" s="3" t="s">
        <v>19260</v>
      </c>
      <c r="G6709" s="3">
        <v>0.0</v>
      </c>
      <c r="H6709" s="3">
        <v>0.0</v>
      </c>
      <c r="I6709" s="3" t="s">
        <v>13</v>
      </c>
      <c r="J6709" s="3" t="s">
        <v>19261</v>
      </c>
      <c r="K6709" s="3" t="s">
        <v>433</v>
      </c>
      <c r="L6709" s="3" t="str">
        <f>IFERROR(__xludf.DUMMYFUNCTION("GOOGLETRANSLATE(F6709,""id"",""en"")"),"The Argentine World Cup championship reaping disaster until Argentine supporters reportedly clashed with security officers")</f>
        <v>The Argentine World Cup championship reaping disaster until Argentine supporters reportedly clashed with security officers</v>
      </c>
    </row>
    <row r="6710" ht="15.75" customHeight="1">
      <c r="A6710" s="1">
        <v>7907.0</v>
      </c>
      <c r="B6710" s="3" t="s">
        <v>19262</v>
      </c>
      <c r="C6710" s="3">
        <v>0.0</v>
      </c>
      <c r="D6710" s="3">
        <v>0.0</v>
      </c>
      <c r="E6710" s="3">
        <v>0.0</v>
      </c>
      <c r="F6710" s="3" t="s">
        <v>19263</v>
      </c>
      <c r="G6710" s="3">
        <v>0.0</v>
      </c>
      <c r="H6710" s="3">
        <v>0.0</v>
      </c>
      <c r="I6710" s="3" t="s">
        <v>13</v>
      </c>
      <c r="J6710" s="3" t="s">
        <v>19264</v>
      </c>
      <c r="K6710" s="3" t="s">
        <v>50</v>
      </c>
      <c r="L6710" s="3" t="str">
        <f>IFERROR(__xludf.DUMMYFUNCTION("GOOGLETRANSLATE(F6710,""id"",""en"")"),"The status of the World Cup champion turned out to be this condition of the economic Argentina")</f>
        <v>The status of the World Cup champion turned out to be this condition of the economic Argentina</v>
      </c>
    </row>
    <row r="6711" ht="15.75" customHeight="1">
      <c r="A6711" s="1">
        <v>7908.0</v>
      </c>
      <c r="B6711" s="3" t="s">
        <v>19265</v>
      </c>
      <c r="C6711" s="3">
        <v>1.0</v>
      </c>
      <c r="D6711" s="3">
        <v>0.0</v>
      </c>
      <c r="E6711" s="3">
        <v>2.0</v>
      </c>
      <c r="F6711" s="3" t="s">
        <v>19266</v>
      </c>
      <c r="G6711" s="3">
        <v>0.0</v>
      </c>
      <c r="H6711" s="3">
        <v>0.0</v>
      </c>
      <c r="I6711" s="3" t="s">
        <v>13</v>
      </c>
      <c r="J6711" s="3" t="s">
        <v>19267</v>
      </c>
      <c r="K6711" s="3" t="s">
        <v>15</v>
      </c>
      <c r="L6711" s="3" t="str">
        <f>IFERROR(__xludf.DUMMYFUNCTION("GOOGLETRANSLATE(F6711,""id"",""en"")"),"World Cup Champion Romance Lionel Messi and Argentina's pride")</f>
        <v>World Cup Champion Romance Lionel Messi and Argentina's pride</v>
      </c>
    </row>
    <row r="6712" ht="15.75" customHeight="1">
      <c r="A6712" s="1">
        <v>7909.0</v>
      </c>
      <c r="B6712" s="3" t="s">
        <v>19268</v>
      </c>
      <c r="C6712" s="3">
        <v>0.0</v>
      </c>
      <c r="D6712" s="3">
        <v>0.0</v>
      </c>
      <c r="E6712" s="3">
        <v>0.0</v>
      </c>
      <c r="F6712" s="3" t="s">
        <v>19269</v>
      </c>
      <c r="G6712" s="3">
        <v>0.0</v>
      </c>
      <c r="H6712" s="3">
        <v>0.0</v>
      </c>
      <c r="I6712" s="3" t="s">
        <v>13</v>
      </c>
      <c r="J6712" s="3" t="s">
        <v>19270</v>
      </c>
      <c r="K6712" s="3" t="s">
        <v>644</v>
      </c>
      <c r="L6712" s="3" t="str">
        <f>IFERROR(__xludf.DUMMYFUNCTION("GOOGLETRANSLATE(F6712,""id"",""en"")"),"Argentina Champion World Cup")</f>
        <v>Argentina Champion World Cup</v>
      </c>
    </row>
    <row r="6713" ht="15.75" customHeight="1">
      <c r="A6713" s="1">
        <v>7910.0</v>
      </c>
      <c r="B6713" s="3" t="s">
        <v>19271</v>
      </c>
      <c r="C6713" s="3">
        <v>0.0</v>
      </c>
      <c r="D6713" s="3">
        <v>1.0</v>
      </c>
      <c r="E6713" s="3">
        <v>0.0</v>
      </c>
      <c r="F6713" s="3" t="s">
        <v>19272</v>
      </c>
      <c r="G6713" s="3">
        <v>0.0</v>
      </c>
      <c r="H6713" s="3">
        <v>0.0</v>
      </c>
      <c r="I6713" s="3" t="s">
        <v>13</v>
      </c>
      <c r="J6713" s="3" t="s">
        <v>19273</v>
      </c>
      <c r="K6713" s="3" t="s">
        <v>82</v>
      </c>
      <c r="L6713" s="3" t="str">
        <f>IFERROR(__xludf.DUMMYFUNCTION("GOOGLETRANSLATE(F6713,""id"",""en"")"),"One of the World Cup champions yesterday was also not Argentina")</f>
        <v>One of the World Cup champions yesterday was also not Argentina</v>
      </c>
    </row>
    <row r="6714" ht="15.75" customHeight="1">
      <c r="A6714" s="1">
        <v>7911.0</v>
      </c>
      <c r="B6714" s="3" t="s">
        <v>19274</v>
      </c>
      <c r="C6714" s="3">
        <v>0.0</v>
      </c>
      <c r="D6714" s="3">
        <v>0.0</v>
      </c>
      <c r="E6714" s="3">
        <v>0.0</v>
      </c>
      <c r="F6714" s="3" t="s">
        <v>19275</v>
      </c>
      <c r="G6714" s="3">
        <v>0.0</v>
      </c>
      <c r="H6714" s="3">
        <v>0.0</v>
      </c>
      <c r="I6714" s="3" t="s">
        <v>13</v>
      </c>
      <c r="J6714" s="3" t="s">
        <v>19276</v>
      </c>
      <c r="K6714" s="3" t="s">
        <v>23</v>
      </c>
      <c r="L6714" s="3" t="str">
        <f>IFERROR(__xludf.DUMMYFUNCTION("GOOGLETRANSLATE(F6714,""id"",""en"")"),"There was no discussing the Era of Sty, Germany at that time even though Germany many of its star players in football were impossible, maybe this was the time for Argentina to win")</f>
        <v>There was no discussing the Era of Sty, Germany at that time even though Germany many of its star players in football were impossible, maybe this was the time for Argentina to win</v>
      </c>
    </row>
    <row r="6715" ht="15.75" customHeight="1">
      <c r="A6715" s="1">
        <v>7912.0</v>
      </c>
      <c r="B6715" s="3" t="s">
        <v>19277</v>
      </c>
      <c r="C6715" s="3">
        <v>0.0</v>
      </c>
      <c r="D6715" s="3">
        <v>0.0</v>
      </c>
      <c r="E6715" s="3">
        <v>0.0</v>
      </c>
      <c r="F6715" s="3" t="s">
        <v>19278</v>
      </c>
      <c r="G6715" s="3">
        <v>0.0</v>
      </c>
      <c r="H6715" s="3">
        <v>0.0</v>
      </c>
      <c r="I6715" s="3" t="s">
        <v>13</v>
      </c>
      <c r="J6715" s="3" t="s">
        <v>19279</v>
      </c>
      <c r="K6715" s="3" t="s">
        <v>82</v>
      </c>
      <c r="L6715" s="3" t="str">
        <f>IFERROR(__xludf.DUMMYFUNCTION("GOOGLETRANSLATE(F6715,""id"",""en"")"),"Reil Champion is Saudi Arabia who won against Argentina")</f>
        <v>Reil Champion is Saudi Arabia who won against Argentina</v>
      </c>
    </row>
    <row r="6716" ht="15.75" customHeight="1">
      <c r="A6716" s="1">
        <v>7913.0</v>
      </c>
      <c r="B6716" s="3" t="s">
        <v>19280</v>
      </c>
      <c r="C6716" s="3">
        <v>0.0</v>
      </c>
      <c r="D6716" s="3">
        <v>0.0</v>
      </c>
      <c r="E6716" s="3">
        <v>0.0</v>
      </c>
      <c r="F6716" s="3" t="s">
        <v>19281</v>
      </c>
      <c r="G6716" s="3">
        <v>0.0</v>
      </c>
      <c r="H6716" s="3">
        <v>0.0</v>
      </c>
      <c r="I6716" s="3" t="s">
        <v>13</v>
      </c>
      <c r="J6716" s="3" t="s">
        <v>19282</v>
      </c>
      <c r="K6716" s="3" t="s">
        <v>1912</v>
      </c>
      <c r="L6716" s="3" t="str">
        <f>IFERROR(__xludf.DUMMYFUNCTION("GOOGLETRANSLATE(F6716,""id"",""en"")"),"Argentine fans also try to cover the fact that Argentina can win again after Maradona died, meaning that the existence of Maradona after retirement is good for the soccer climate there maybe because of the closeness of Maradona with the mafia and his life"&amp;"style Barbar")</f>
        <v>Argentine fans also try to cover the fact that Argentina can win again after Maradona died, meaning that the existence of Maradona after retirement is good for the soccer climate there maybe because of the closeness of Maradona with the mafia and his lifestyle Barbar</v>
      </c>
    </row>
    <row r="6717" ht="15.75" customHeight="1">
      <c r="A6717" s="1">
        <v>7914.0</v>
      </c>
      <c r="B6717" s="3" t="s">
        <v>19283</v>
      </c>
      <c r="C6717" s="3">
        <v>0.0</v>
      </c>
      <c r="D6717" s="3">
        <v>0.0</v>
      </c>
      <c r="E6717" s="3">
        <v>0.0</v>
      </c>
      <c r="F6717" s="3" t="s">
        <v>19284</v>
      </c>
      <c r="G6717" s="3">
        <v>0.0</v>
      </c>
      <c r="H6717" s="3">
        <v>0.0</v>
      </c>
      <c r="I6717" s="3" t="s">
        <v>13</v>
      </c>
      <c r="J6717" s="3" t="s">
        <v>19285</v>
      </c>
      <c r="K6717" s="3" t="s">
        <v>82</v>
      </c>
      <c r="L6717" s="3" t="str">
        <f>IFERROR(__xludf.DUMMYFUNCTION("GOOGLETRANSLATE(F6717,""id"",""en"")"),"This is the reason for like Argentina to win the player")</f>
        <v>This is the reason for like Argentina to win the player</v>
      </c>
    </row>
    <row r="6718" ht="15.75" customHeight="1">
      <c r="A6718" s="1">
        <v>7915.0</v>
      </c>
      <c r="B6718" s="3" t="s">
        <v>19286</v>
      </c>
      <c r="C6718" s="3">
        <v>0.0</v>
      </c>
      <c r="D6718" s="3">
        <v>0.0</v>
      </c>
      <c r="E6718" s="3">
        <v>0.0</v>
      </c>
      <c r="F6718" s="3" t="s">
        <v>19287</v>
      </c>
      <c r="G6718" s="3">
        <v>0.0</v>
      </c>
      <c r="H6718" s="3">
        <v>0.0</v>
      </c>
      <c r="I6718" s="3" t="s">
        <v>13</v>
      </c>
      <c r="J6718" s="3" t="s">
        <v>19288</v>
      </c>
      <c r="K6718" s="3" t="s">
        <v>50</v>
      </c>
      <c r="L6718" s="3" t="str">
        <f>IFERROR(__xludf.DUMMYFUNCTION("GOOGLETRANSLATE(F6718,""id"",""en"")"),"Argentine national team championship parade does not continue President Afa apologizes")</f>
        <v>Argentine national team championship parade does not continue President Afa apologizes</v>
      </c>
    </row>
    <row r="6719" ht="15.75" customHeight="1">
      <c r="A6719" s="1">
        <v>7916.0</v>
      </c>
      <c r="B6719" s="3" t="s">
        <v>19289</v>
      </c>
      <c r="C6719" s="3">
        <v>0.0</v>
      </c>
      <c r="D6719" s="3">
        <v>0.0</v>
      </c>
      <c r="E6719" s="3">
        <v>0.0</v>
      </c>
      <c r="F6719" s="3" t="s">
        <v>19290</v>
      </c>
      <c r="G6719" s="3">
        <v>0.0</v>
      </c>
      <c r="H6719" s="3">
        <v>0.0</v>
      </c>
      <c r="I6719" s="3" t="s">
        <v>13</v>
      </c>
      <c r="J6719" s="3" t="s">
        <v>19291</v>
      </c>
      <c r="K6719" s="3" t="s">
        <v>935</v>
      </c>
      <c r="L6719" s="3" t="str">
        <f>IFERROR(__xludf.DUMMYFUNCTION("GOOGLETRANSLATE(F6719,""id"",""en"")"),"Tragic for Barca Argentina fans can win when Messi again Barcelona tragic also for Liverpool Fans Squad champions and no players from Liverpool are natural that the two clubs are virtual surf")</f>
        <v>Tragic for Barca Argentina fans can win when Messi again Barcelona tragic also for Liverpool Fans Squad champions and no players from Liverpool are natural that the two clubs are virtual surf</v>
      </c>
    </row>
    <row r="6720" ht="15.75" customHeight="1">
      <c r="A6720" s="1">
        <v>7917.0</v>
      </c>
      <c r="B6720" s="3" t="s">
        <v>19292</v>
      </c>
      <c r="C6720" s="3">
        <v>1.0</v>
      </c>
      <c r="D6720" s="3">
        <v>0.0</v>
      </c>
      <c r="E6720" s="3">
        <v>3.0</v>
      </c>
      <c r="F6720" s="3" t="s">
        <v>19293</v>
      </c>
      <c r="G6720" s="3">
        <v>0.0</v>
      </c>
      <c r="H6720" s="3">
        <v>0.0</v>
      </c>
      <c r="I6720" s="3" t="s">
        <v>13</v>
      </c>
      <c r="J6720" s="3" t="s">
        <v>19294</v>
      </c>
      <c r="K6720" s="3" t="s">
        <v>657</v>
      </c>
      <c r="L6720" s="3" t="str">
        <f>IFERROR(__xludf.DUMMYFUNCTION("GOOGLETRANSLATE(F6720,""id"",""en"")"),"Albiceleste I Mah Bodo Observed Want to say what's important is the World Cup champion Hahaah Vamos Argentina")</f>
        <v>Albiceleste I Mah Bodo Observed Want to say what's important is the World Cup champion Hahaah Vamos Argentina</v>
      </c>
    </row>
    <row r="6721" ht="15.75" customHeight="1">
      <c r="A6721" s="1">
        <v>7918.0</v>
      </c>
      <c r="B6721" s="3" t="s">
        <v>19295</v>
      </c>
      <c r="C6721" s="3">
        <v>1.0</v>
      </c>
      <c r="D6721" s="3">
        <v>0.0</v>
      </c>
      <c r="E6721" s="3">
        <v>5.0</v>
      </c>
      <c r="F6721" s="3" t="s">
        <v>19296</v>
      </c>
      <c r="G6721" s="3">
        <v>0.0</v>
      </c>
      <c r="H6721" s="3">
        <v>0.0</v>
      </c>
      <c r="I6721" s="3" t="s">
        <v>13</v>
      </c>
      <c r="J6721" s="3" t="s">
        <v>19297</v>
      </c>
      <c r="K6721" s="3" t="s">
        <v>82</v>
      </c>
      <c r="L6721" s="3" t="str">
        <f>IFERROR(__xludf.DUMMYFUNCTION("GOOGLETRANSLATE(F6721,""id"",""en"")"),"The Riot of the Argentina Champion Parade was injured and arrested")</f>
        <v>The Riot of the Argentina Champion Parade was injured and arrested</v>
      </c>
    </row>
    <row r="6722" ht="15.75" customHeight="1">
      <c r="A6722" s="1">
        <v>7919.0</v>
      </c>
      <c r="B6722" s="3" t="s">
        <v>19298</v>
      </c>
      <c r="C6722" s="3">
        <v>0.0</v>
      </c>
      <c r="D6722" s="3">
        <v>0.0</v>
      </c>
      <c r="E6722" s="3">
        <v>0.0</v>
      </c>
      <c r="F6722" s="3" t="s">
        <v>19299</v>
      </c>
      <c r="G6722" s="3">
        <v>0.0</v>
      </c>
      <c r="H6722" s="3">
        <v>0.0</v>
      </c>
      <c r="I6722" s="3" t="s">
        <v>13</v>
      </c>
      <c r="J6722" s="3" t="s">
        <v>19300</v>
      </c>
      <c r="K6722" s="3" t="s">
        <v>1293</v>
      </c>
      <c r="L6722" s="3" t="str">
        <f>IFERROR(__xludf.DUMMYFUNCTION("GOOGLETRANSLATE(F6722,""id"",""en"")"),"Argentina can win because Messi came out of Barcelona Maradona died there was a Liverpool player, the fact was difficult for most Messi and Haters fans to accept")</f>
        <v>Argentina can win because Messi came out of Barcelona Maradona died there was a Liverpool player, the fact was difficult for most Messi and Haters fans to accept</v>
      </c>
    </row>
    <row r="6723" ht="15.75" customHeight="1">
      <c r="A6723" s="1">
        <v>7920.0</v>
      </c>
      <c r="B6723" s="3" t="s">
        <v>19301</v>
      </c>
      <c r="C6723" s="3">
        <v>0.0</v>
      </c>
      <c r="D6723" s="3">
        <v>0.0</v>
      </c>
      <c r="E6723" s="3">
        <v>0.0</v>
      </c>
      <c r="F6723" s="3" t="s">
        <v>19302</v>
      </c>
      <c r="G6723" s="3">
        <v>0.0</v>
      </c>
      <c r="H6723" s="3">
        <v>0.0</v>
      </c>
      <c r="I6723" s="3" t="s">
        <v>13</v>
      </c>
      <c r="J6723" s="3" t="s">
        <v>19303</v>
      </c>
      <c r="K6723" s="3" t="s">
        <v>82</v>
      </c>
      <c r="L6723" s="3" t="str">
        <f>IFERROR(__xludf.DUMMYFUNCTION("GOOGLETRANSLATE(F6723,""id"",""en"")"),"OTW Argentina wants to take part in its Pilduun championship celebration")</f>
        <v>OTW Argentina wants to take part in its Pilduun championship celebration</v>
      </c>
    </row>
    <row r="6724" ht="15.75" customHeight="1">
      <c r="A6724" s="1">
        <v>7921.0</v>
      </c>
      <c r="B6724" s="3" t="s">
        <v>19304</v>
      </c>
      <c r="C6724" s="3">
        <v>1.0</v>
      </c>
      <c r="D6724" s="3">
        <v>0.0</v>
      </c>
      <c r="E6724" s="3">
        <v>0.0</v>
      </c>
      <c r="F6724" s="3" t="s">
        <v>19305</v>
      </c>
      <c r="G6724" s="3">
        <v>0.0</v>
      </c>
      <c r="H6724" s="3">
        <v>0.0</v>
      </c>
      <c r="I6724" s="3" t="s">
        <v>13</v>
      </c>
      <c r="J6724" s="3" t="s">
        <v>19306</v>
      </c>
      <c r="K6724" s="3" t="s">
        <v>75</v>
      </c>
      <c r="L6724" s="3" t="str">
        <f>IFERROR(__xludf.DUMMYFUNCTION("GOOGLETRANSLATE(F6724,""id"",""en"")"),"Become the Argentina national team champion, bring home a billion prizes")</f>
        <v>Become the Argentina national team champion, bring home a billion prizes</v>
      </c>
    </row>
    <row r="6725" ht="15.75" customHeight="1">
      <c r="A6725" s="1">
        <v>7922.0</v>
      </c>
      <c r="B6725" s="3" t="s">
        <v>19307</v>
      </c>
      <c r="C6725" s="3">
        <v>0.0</v>
      </c>
      <c r="D6725" s="3">
        <v>0.0</v>
      </c>
      <c r="E6725" s="3">
        <v>0.0</v>
      </c>
      <c r="F6725" s="3" t="s">
        <v>19308</v>
      </c>
      <c r="G6725" s="3">
        <v>0.0</v>
      </c>
      <c r="H6725" s="3">
        <v>0.0</v>
      </c>
      <c r="I6725" s="3" t="s">
        <v>13</v>
      </c>
      <c r="J6725" s="3" t="s">
        <v>19309</v>
      </c>
      <c r="K6725" s="3" t="s">
        <v>19</v>
      </c>
      <c r="L6725" s="3" t="str">
        <f>IFERROR(__xludf.DUMMYFUNCTION("GOOGLETRANSLATE(F6725,""id"",""en"")"),"Different struggle Diego Maradona and Lionel Messi brought Argentina World Cup champions passing")</f>
        <v>Different struggle Diego Maradona and Lionel Messi brought Argentina World Cup champions passing</v>
      </c>
    </row>
    <row r="6726" ht="15.75" customHeight="1">
      <c r="A6726" s="1">
        <v>7923.0</v>
      </c>
      <c r="B6726" s="3" t="s">
        <v>19310</v>
      </c>
      <c r="C6726" s="3">
        <v>3.0</v>
      </c>
      <c r="D6726" s="3">
        <v>0.0</v>
      </c>
      <c r="E6726" s="3">
        <v>0.0</v>
      </c>
      <c r="F6726" s="3" t="s">
        <v>19311</v>
      </c>
      <c r="G6726" s="3">
        <v>0.0</v>
      </c>
      <c r="H6726" s="3">
        <v>0.0</v>
      </c>
      <c r="I6726" s="3" t="s">
        <v>13</v>
      </c>
      <c r="J6726" s="3" t="s">
        <v>19312</v>
      </c>
      <c r="K6726" s="3" t="s">
        <v>35</v>
      </c>
      <c r="L6726" s="3" t="str">
        <f>IFERROR(__xludf.DUMMYFUNCTION("GOOGLETRANSLATE(F6726,""id"",""en"")"),"Ipulll believes that you have to say Argentina is better for one new world champion")</f>
        <v>Ipulll believes that you have to say Argentina is better for one new world champion</v>
      </c>
    </row>
    <row r="6727" ht="15.75" customHeight="1">
      <c r="A6727" s="1">
        <v>7924.0</v>
      </c>
      <c r="B6727" s="3" t="s">
        <v>19313</v>
      </c>
      <c r="C6727" s="3">
        <v>1.0</v>
      </c>
      <c r="D6727" s="3">
        <v>0.0</v>
      </c>
      <c r="E6727" s="3">
        <v>3.0</v>
      </c>
      <c r="F6727" s="3" t="s">
        <v>19314</v>
      </c>
      <c r="G6727" s="3">
        <v>0.0</v>
      </c>
      <c r="H6727" s="3">
        <v>0.0</v>
      </c>
      <c r="I6727" s="3" t="s">
        <v>13</v>
      </c>
      <c r="J6727" s="3" t="s">
        <v>19315</v>
      </c>
      <c r="K6727" s="3" t="s">
        <v>35</v>
      </c>
      <c r="L6727" s="3" t="str">
        <f>IFERROR(__xludf.DUMMYFUNCTION("GOOGLETRANSLATE(F6727,""id"",""en"")"),"He said if I appeared in the world champion I would continue to joint Argentina's scars to the next World Cup")</f>
        <v>He said if I appeared in the world champion I would continue to joint Argentina's scars to the next World Cup</v>
      </c>
    </row>
    <row r="6728" ht="15.75" customHeight="1">
      <c r="A6728" s="1">
        <v>7925.0</v>
      </c>
      <c r="B6728" s="3" t="s">
        <v>19316</v>
      </c>
      <c r="C6728" s="3">
        <v>0.0</v>
      </c>
      <c r="D6728" s="3">
        <v>0.0</v>
      </c>
      <c r="E6728" s="3">
        <v>0.0</v>
      </c>
      <c r="F6728" s="3" t="s">
        <v>19317</v>
      </c>
      <c r="G6728" s="3">
        <v>0.0</v>
      </c>
      <c r="H6728" s="3">
        <v>0.0</v>
      </c>
      <c r="I6728" s="3" t="s">
        <v>13</v>
      </c>
      <c r="J6728" s="3" t="s">
        <v>19318</v>
      </c>
      <c r="K6728" s="3" t="s">
        <v>1552</v>
      </c>
      <c r="L6728" s="3" t="str">
        <f>IFERROR(__xludf.DUMMYFUNCTION("GOOGLETRANSLATE(F6728,""id"",""en"")"),"Martinez is a world champion against the Netherlands and France without him Argentina will not be a world champion")</f>
        <v>Martinez is a world champion against the Netherlands and France without him Argentina will not be a world champion</v>
      </c>
    </row>
    <row r="6729" ht="15.75" customHeight="1">
      <c r="A6729" s="1">
        <v>7926.0</v>
      </c>
      <c r="B6729" s="3" t="s">
        <v>19319</v>
      </c>
      <c r="C6729" s="3">
        <v>1.0</v>
      </c>
      <c r="D6729" s="3">
        <v>0.0</v>
      </c>
      <c r="E6729" s="3">
        <v>0.0</v>
      </c>
      <c r="F6729" s="3" t="s">
        <v>19320</v>
      </c>
      <c r="G6729" s="3">
        <v>0.0</v>
      </c>
      <c r="H6729" s="3">
        <v>0.0</v>
      </c>
      <c r="I6729" s="3" t="s">
        <v>13</v>
      </c>
      <c r="J6729" s="3" t="s">
        <v>19321</v>
      </c>
      <c r="K6729" s="3" t="s">
        <v>15</v>
      </c>
      <c r="L6729" s="3" t="str">
        <f>IFERROR(__xludf.DUMMYFUNCTION("GOOGLETRANSLATE(F6729,""id"",""en"")"),"Argentina after the championship to make it a national holiday")</f>
        <v>Argentina after the championship to make it a national holiday</v>
      </c>
    </row>
    <row r="6730" ht="15.75" customHeight="1">
      <c r="A6730" s="1">
        <v>7927.0</v>
      </c>
      <c r="B6730" s="3" t="s">
        <v>19322</v>
      </c>
      <c r="C6730" s="3">
        <v>0.0</v>
      </c>
      <c r="D6730" s="3">
        <v>0.0</v>
      </c>
      <c r="E6730" s="3">
        <v>0.0</v>
      </c>
      <c r="F6730" s="3" t="s">
        <v>19323</v>
      </c>
      <c r="G6730" s="3">
        <v>0.3333333333333333</v>
      </c>
      <c r="H6730" s="3">
        <v>0.1666666666666667</v>
      </c>
      <c r="I6730" s="3" t="s">
        <v>48</v>
      </c>
      <c r="J6730" s="3" t="s">
        <v>19324</v>
      </c>
      <c r="K6730" s="3" t="s">
        <v>510</v>
      </c>
      <c r="L6730" s="3" t="str">
        <f>IFERROR(__xludf.DUMMYFUNCTION("GOOGLETRANSLATE(F6730,""id"",""en"")"),"happy, bro, it's different if I just believe in Argentina, the champion is playing to death")</f>
        <v>happy, bro, it's different if I just believe in Argentina, the champion is playing to death</v>
      </c>
    </row>
    <row r="6731" ht="15.75" customHeight="1">
      <c r="A6731" s="1">
        <v>7928.0</v>
      </c>
      <c r="B6731" s="3" t="s">
        <v>19325</v>
      </c>
      <c r="C6731" s="3">
        <v>1.0</v>
      </c>
      <c r="D6731" s="3">
        <v>0.0</v>
      </c>
      <c r="E6731" s="3">
        <v>0.0</v>
      </c>
      <c r="F6731" s="3" t="s">
        <v>19326</v>
      </c>
      <c r="G6731" s="3">
        <v>0.0</v>
      </c>
      <c r="H6731" s="3">
        <v>0.0</v>
      </c>
      <c r="I6731" s="3" t="s">
        <v>13</v>
      </c>
      <c r="J6731" s="3" t="s">
        <v>19327</v>
      </c>
      <c r="K6731" s="3" t="s">
        <v>2215</v>
      </c>
      <c r="L6731" s="3" t="str">
        <f>IFERROR(__xludf.DUMMYFUNCTION("GOOGLETRANSLATE(F6731,""id"",""en"")"),"Want a penalty goal or the ball is kicked from mbappe's house and then the goal is still Argentina champions")</f>
        <v>Want a penalty goal or the ball is kicked from mbappe's house and then the goal is still Argentina champions</v>
      </c>
    </row>
    <row r="6732" ht="15.75" customHeight="1">
      <c r="A6732" s="1">
        <v>7929.0</v>
      </c>
      <c r="B6732" s="3" t="s">
        <v>19328</v>
      </c>
      <c r="C6732" s="3">
        <v>0.0</v>
      </c>
      <c r="D6732" s="3">
        <v>0.0</v>
      </c>
      <c r="E6732" s="3">
        <v>2.0</v>
      </c>
      <c r="F6732" s="3" t="s">
        <v>19329</v>
      </c>
      <c r="G6732" s="3">
        <v>0.0</v>
      </c>
      <c r="H6732" s="3">
        <v>0.0</v>
      </c>
      <c r="I6732" s="3" t="s">
        <v>13</v>
      </c>
      <c r="J6732" s="3" t="s">
        <v>19330</v>
      </c>
      <c r="K6732" s="3" t="s">
        <v>765</v>
      </c>
      <c r="L6732" s="3" t="str">
        <f>IFERROR(__xludf.DUMMYFUNCTION("GOOGLETRANSLATE(F6732,""id"",""en"")"),"Last week, Argentina was a world cup champion and work definitely was sleepy but said there was no other country minister for almost two weeks a week to leave his job for the sake of watching the football well if there was no Indonesia there was there you"&amp;" know")</f>
        <v>Last week, Argentina was a world cup champion and work definitely was sleepy but said there was no other country minister for almost two weeks a week to leave his job for the sake of watching the football well if there was no Indonesia there was there you know</v>
      </c>
    </row>
    <row r="6733" ht="15.75" customHeight="1">
      <c r="A6733" s="1">
        <v>7930.0</v>
      </c>
      <c r="B6733" s="3" t="s">
        <v>19331</v>
      </c>
      <c r="C6733" s="3">
        <v>2.0</v>
      </c>
      <c r="D6733" s="3">
        <v>0.0</v>
      </c>
      <c r="E6733" s="3">
        <v>0.0</v>
      </c>
      <c r="F6733" s="3" t="s">
        <v>19332</v>
      </c>
      <c r="G6733" s="3">
        <v>0.5</v>
      </c>
      <c r="H6733" s="3">
        <v>0.2</v>
      </c>
      <c r="I6733" s="3" t="s">
        <v>48</v>
      </c>
      <c r="J6733" s="3" t="s">
        <v>19333</v>
      </c>
      <c r="K6733" s="3" t="s">
        <v>41</v>
      </c>
      <c r="L6733" s="3" t="str">
        <f>IFERROR(__xludf.DUMMYFUNCTION("GOOGLETRANSLATE(F6733,""id"",""en"")"),"Even though it was burglarized, Mbappe who won Argentina was not France hahahaha")</f>
        <v>Even though it was burglarized, Mbappe who won Argentina was not France hahahaha</v>
      </c>
    </row>
    <row r="6734" ht="15.75" customHeight="1">
      <c r="A6734" s="1">
        <v>7931.0</v>
      </c>
      <c r="B6734" s="3" t="s">
        <v>19334</v>
      </c>
      <c r="C6734" s="3">
        <v>1.0</v>
      </c>
      <c r="D6734" s="3">
        <v>0.0</v>
      </c>
      <c r="E6734" s="3">
        <v>0.0</v>
      </c>
      <c r="F6734" s="3" t="s">
        <v>19335</v>
      </c>
      <c r="G6734" s="3">
        <v>0.0</v>
      </c>
      <c r="H6734" s="3">
        <v>0.0</v>
      </c>
      <c r="I6734" s="3" t="s">
        <v>13</v>
      </c>
      <c r="J6734" s="3" t="s">
        <v>19336</v>
      </c>
      <c r="K6734" s="3" t="s">
        <v>715</v>
      </c>
      <c r="L6734" s="3" t="str">
        <f>IFERROR(__xludf.DUMMYFUNCTION("GOOGLETRANSLATE(F6734,""id"",""en"")"),"In fact, the finalists champion between the Copa America Argentina champion against the Uero Italian champion was won by Argentina in June the landslide score")</f>
        <v>In fact, the finalists champion between the Copa America Argentina champion against the Uero Italian champion was won by Argentina in June the landslide score</v>
      </c>
    </row>
    <row r="6735" ht="15.75" customHeight="1">
      <c r="A6735" s="1">
        <v>7932.0</v>
      </c>
      <c r="B6735" s="3" t="s">
        <v>19337</v>
      </c>
      <c r="C6735" s="3">
        <v>1.0</v>
      </c>
      <c r="D6735" s="3">
        <v>0.0</v>
      </c>
      <c r="E6735" s="3">
        <v>4.0</v>
      </c>
      <c r="F6735" s="3" t="s">
        <v>19338</v>
      </c>
      <c r="G6735" s="3">
        <v>0.0</v>
      </c>
      <c r="H6735" s="3">
        <v>0.0</v>
      </c>
      <c r="I6735" s="3" t="s">
        <v>13</v>
      </c>
      <c r="J6735" s="3" t="s">
        <v>19339</v>
      </c>
      <c r="K6735" s="3" t="s">
        <v>82</v>
      </c>
      <c r="L6735" s="3" t="str">
        <f>IFERROR(__xludf.DUMMYFUNCTION("GOOGLETRANSLATE(F6735,""id"",""en"")"),"Argentina can win after Messi left Barca and Maradona died")</f>
        <v>Argentina can win after Messi left Barca and Maradona died</v>
      </c>
    </row>
    <row r="6736" ht="15.75" customHeight="1">
      <c r="A6736" s="1">
        <v>7933.0</v>
      </c>
      <c r="B6736" s="3" t="s">
        <v>19340</v>
      </c>
      <c r="C6736" s="3">
        <v>0.0</v>
      </c>
      <c r="D6736" s="3">
        <v>0.0</v>
      </c>
      <c r="E6736" s="3">
        <v>0.0</v>
      </c>
      <c r="F6736" s="3" t="s">
        <v>19341</v>
      </c>
      <c r="G6736" s="3">
        <v>0.0</v>
      </c>
      <c r="H6736" s="3">
        <v>0.0</v>
      </c>
      <c r="I6736" s="3" t="s">
        <v>13</v>
      </c>
      <c r="J6736" s="3" t="s">
        <v>19342</v>
      </c>
      <c r="K6736" s="3" t="s">
        <v>19184</v>
      </c>
      <c r="L6736" s="3" t="str">
        <f>IFERROR(__xludf.DUMMYFUNCTION("GOOGLETRANSLATE(F6736,""id"",""en"")"),"This is a criticism account for NGAPADEH Udeh like Aguero's political buzzer who wants a full photo that is complicated Argentine players laen aje kaga compromised except Aguero former players and citizens of the Enggres and then continue to take photos w"&amp;"ith ARGEN players who won Payeh Ampas champions")</f>
        <v>This is a criticism account for NGAPADEH Udeh like Aguero's political buzzer who wants a full photo that is complicated Argentine players laen aje kaga compromised except Aguero former players and citizens of the Enggres and then continue to take photos with ARGEN players who won Payeh Ampas champions</v>
      </c>
    </row>
    <row r="6737" ht="15.75" customHeight="1">
      <c r="A6737" s="1">
        <v>7934.0</v>
      </c>
      <c r="B6737" s="3" t="s">
        <v>19343</v>
      </c>
      <c r="C6737" s="3">
        <v>5.0</v>
      </c>
      <c r="D6737" s="3">
        <v>33.0</v>
      </c>
      <c r="E6737" s="3">
        <v>168.0</v>
      </c>
      <c r="F6737" s="3" t="s">
        <v>19344</v>
      </c>
      <c r="G6737" s="3">
        <v>0.2333333333333333</v>
      </c>
      <c r="H6737" s="3">
        <v>-0.25</v>
      </c>
      <c r="I6737" s="3" t="s">
        <v>179</v>
      </c>
      <c r="J6737" s="3" t="s">
        <v>19345</v>
      </c>
      <c r="K6737" s="3" t="s">
        <v>437</v>
      </c>
      <c r="L6737" s="3" t="str">
        <f>IFERROR(__xludf.DUMMYFUNCTION("GOOGLETRANSLATE(F6737,""id"",""en"")"),"It is estimated that more than million people are poured out by Buenos Aires's streets to welcome the Argentine World Champion Parade Vamos Argentina")</f>
        <v>It is estimated that more than million people are poured out by Buenos Aires's streets to welcome the Argentine World Champion Parade Vamos Argentina</v>
      </c>
    </row>
    <row r="6738" ht="15.75" customHeight="1">
      <c r="A6738" s="1">
        <v>7935.0</v>
      </c>
      <c r="B6738" s="3" t="s">
        <v>19346</v>
      </c>
      <c r="C6738" s="3">
        <v>1.0</v>
      </c>
      <c r="D6738" s="3">
        <v>0.0</v>
      </c>
      <c r="E6738" s="3">
        <v>0.0</v>
      </c>
      <c r="F6738" s="3" t="s">
        <v>19347</v>
      </c>
      <c r="G6738" s="3">
        <v>1.0</v>
      </c>
      <c r="H6738" s="3">
        <v>0.0</v>
      </c>
      <c r="I6738" s="3" t="s">
        <v>13</v>
      </c>
      <c r="J6738" s="3" t="s">
        <v>19348</v>
      </c>
      <c r="K6738" s="3" t="s">
        <v>633</v>
      </c>
      <c r="L6738" s="3" t="str">
        <f>IFERROR(__xludf.DUMMYFUNCTION("GOOGLETRANSLATE(F6738,""id"",""en"")"),"Buy a lot of bris that at the beginning of the pandemic sells when the peak price is rich and then the Argentine betting is the final champion against France")</f>
        <v>Buy a lot of bris that at the beginning of the pandemic sells when the peak price is rich and then the Argentine betting is the final champion against France</v>
      </c>
    </row>
    <row r="6739" ht="15.75" customHeight="1">
      <c r="A6739" s="1">
        <v>7936.0</v>
      </c>
      <c r="B6739" s="3" t="s">
        <v>19349</v>
      </c>
      <c r="C6739" s="3">
        <v>0.0</v>
      </c>
      <c r="D6739" s="3">
        <v>0.0</v>
      </c>
      <c r="E6739" s="3">
        <v>0.0</v>
      </c>
      <c r="F6739" s="3" t="s">
        <v>19350</v>
      </c>
      <c r="G6739" s="3">
        <v>0.0</v>
      </c>
      <c r="H6739" s="3">
        <v>0.0</v>
      </c>
      <c r="I6739" s="3" t="s">
        <v>13</v>
      </c>
      <c r="J6739" s="3" t="s">
        <v>19351</v>
      </c>
      <c r="K6739" s="3" t="s">
        <v>50</v>
      </c>
      <c r="L6739" s="3" t="str">
        <f>IFERROR(__xludf.DUMMYFUNCTION("GOOGLETRANSLATE(F6739,""id"",""en"")"),"World Cup Tango team champion Lionel Messi made the name of Jalan Argentina")</f>
        <v>World Cup Tango team champion Lionel Messi made the name of Jalan Argentina</v>
      </c>
    </row>
    <row r="6740" ht="15.75" customHeight="1">
      <c r="A6740" s="1">
        <v>7937.0</v>
      </c>
      <c r="B6740" s="3" t="s">
        <v>19352</v>
      </c>
      <c r="C6740" s="3">
        <v>0.0</v>
      </c>
      <c r="D6740" s="3">
        <v>0.0</v>
      </c>
      <c r="E6740" s="3">
        <v>0.0</v>
      </c>
      <c r="F6740" s="3" t="s">
        <v>19353</v>
      </c>
      <c r="G6740" s="3">
        <v>0.0</v>
      </c>
      <c r="H6740" s="3">
        <v>0.0</v>
      </c>
      <c r="I6740" s="3" t="s">
        <v>13</v>
      </c>
      <c r="J6740" s="3" t="s">
        <v>19354</v>
      </c>
      <c r="K6740" s="3" t="s">
        <v>1349</v>
      </c>
      <c r="L6740" s="3" t="str">
        <f>IFERROR(__xludf.DUMMYFUNCTION("GOOGLETRANSLATE(F6740,""id"",""en"")"),"Even though I am an Argentine, I am proud to be acquainted with Bangkalan people note that France, my world champion will admit as a Frenchman")</f>
        <v>Even though I am an Argentine, I am proud to be acquainted with Bangkalan people note that France, my world champion will admit as a Frenchman</v>
      </c>
    </row>
    <row r="6741" ht="15.75" customHeight="1">
      <c r="A6741" s="1">
        <v>7938.0</v>
      </c>
      <c r="B6741" s="3" t="s">
        <v>19355</v>
      </c>
      <c r="C6741" s="3">
        <v>1.0</v>
      </c>
      <c r="D6741" s="3">
        <v>0.0</v>
      </c>
      <c r="E6741" s="3">
        <v>0.0</v>
      </c>
      <c r="F6741" s="3" t="s">
        <v>19356</v>
      </c>
      <c r="G6741" s="3">
        <v>1.0</v>
      </c>
      <c r="H6741" s="3">
        <v>0.0</v>
      </c>
      <c r="I6741" s="3" t="s">
        <v>13</v>
      </c>
      <c r="J6741" s="3" t="s">
        <v>19357</v>
      </c>
      <c r="K6741" s="3" t="s">
        <v>1366</v>
      </c>
      <c r="L6741" s="3" t="str">
        <f>IFERROR(__xludf.DUMMYFUNCTION("GOOGLETRANSLATE(F6741,""id"",""en"")"),"Still Argentina The champion is said to be a setting of the KEK has not been bnr, the fans don't accept the trophy and the fans are not very much before the final MLH champion is set at the beginning of the France.")</f>
        <v>Still Argentina The champion is said to be a setting of the KEK has not been bnr, the fans don't accept the trophy and the fans are not very much before the final MLH champion is set at the beginning of the France.</v>
      </c>
    </row>
    <row r="6742" ht="15.75" customHeight="1">
      <c r="A6742" s="1">
        <v>7939.0</v>
      </c>
      <c r="B6742" s="3" t="s">
        <v>19358</v>
      </c>
      <c r="C6742" s="3">
        <v>2.0</v>
      </c>
      <c r="D6742" s="3">
        <v>0.0</v>
      </c>
      <c r="E6742" s="3">
        <v>1.0</v>
      </c>
      <c r="F6742" s="3" t="s">
        <v>19359</v>
      </c>
      <c r="G6742" s="3">
        <v>1.0</v>
      </c>
      <c r="H6742" s="3">
        <v>0.0</v>
      </c>
      <c r="I6742" s="3" t="s">
        <v>13</v>
      </c>
      <c r="J6742" s="3" t="s">
        <v>19360</v>
      </c>
      <c r="K6742" s="3" t="s">
        <v>614</v>
      </c>
      <c r="L6742" s="3" t="str">
        <f>IFERROR(__xludf.DUMMYFUNCTION("GOOGLETRANSLATE(F6742,""id"",""en"")"),"Argentina beat France Team Mbappe Ngunin Emi individually goals Final wkwk champion free but this mbappuk already champion makes it crowded when the ball is unique if there is something like this")</f>
        <v>Argentina beat France Team Mbappe Ngunin Emi individually goals Final wkwk champion free but this mbappuk already champion makes it crowded when the ball is unique if there is something like this</v>
      </c>
    </row>
    <row r="6743" ht="15.75" customHeight="1">
      <c r="A6743" s="1">
        <v>7940.0</v>
      </c>
      <c r="B6743" s="3" t="s">
        <v>19361</v>
      </c>
      <c r="C6743" s="3">
        <v>0.0</v>
      </c>
      <c r="D6743" s="3">
        <v>0.0</v>
      </c>
      <c r="E6743" s="3">
        <v>1.0</v>
      </c>
      <c r="F6743" s="3" t="s">
        <v>19362</v>
      </c>
      <c r="G6743" s="3">
        <v>0.0</v>
      </c>
      <c r="H6743" s="3">
        <v>0.0</v>
      </c>
      <c r="I6743" s="3" t="s">
        <v>13</v>
      </c>
      <c r="J6743" s="3" t="s">
        <v>19363</v>
      </c>
      <c r="K6743" s="3" t="s">
        <v>903</v>
      </c>
      <c r="L6743" s="3" t="str">
        <f>IFERROR(__xludf.DUMMYFUNCTION("GOOGLETRANSLATE(F6743,""id"",""en"")"),"had announced that the World Cup would be his last appearance but now Lionel Messi made sure he would not hang international levels after Argentina managed to come out as the World Cup championship")</f>
        <v>had announced that the World Cup would be his last appearance but now Lionel Messi made sure he would not hang international levels after Argentina managed to come out as the World Cup championship</v>
      </c>
    </row>
    <row r="6744" ht="15.75" customHeight="1">
      <c r="A6744" s="1">
        <v>7941.0</v>
      </c>
      <c r="B6744" s="3" t="s">
        <v>19364</v>
      </c>
      <c r="C6744" s="3">
        <v>0.0</v>
      </c>
      <c r="D6744" s="3">
        <v>0.0</v>
      </c>
      <c r="E6744" s="3">
        <v>0.0</v>
      </c>
      <c r="F6744" s="3" t="s">
        <v>19365</v>
      </c>
      <c r="G6744" s="3">
        <v>0.0</v>
      </c>
      <c r="H6744" s="3">
        <v>0.0</v>
      </c>
      <c r="I6744" s="3" t="s">
        <v>13</v>
      </c>
      <c r="J6744" s="3" t="s">
        <v>19366</v>
      </c>
      <c r="K6744" s="3" t="s">
        <v>15</v>
      </c>
      <c r="L6744" s="3" t="str">
        <f>IFERROR(__xludf.DUMMYFUNCTION("GOOGLETRANSLATE(F6744,""id"",""en"")"),"Argentina Champion World Cup Youth from Egypt died")</f>
        <v>Argentina Champion World Cup Youth from Egypt died</v>
      </c>
    </row>
    <row r="6745" ht="15.75" customHeight="1">
      <c r="A6745" s="1">
        <v>7942.0</v>
      </c>
      <c r="B6745" s="3" t="s">
        <v>19367</v>
      </c>
      <c r="C6745" s="3">
        <v>1.0</v>
      </c>
      <c r="D6745" s="3">
        <v>0.0</v>
      </c>
      <c r="E6745" s="3">
        <v>5.0</v>
      </c>
      <c r="F6745" s="3" t="s">
        <v>19079</v>
      </c>
      <c r="G6745" s="3">
        <v>0.2333333333333333</v>
      </c>
      <c r="H6745" s="3">
        <v>-0.25</v>
      </c>
      <c r="I6745" s="3" t="s">
        <v>179</v>
      </c>
      <c r="J6745" s="3" t="s">
        <v>19080</v>
      </c>
      <c r="K6745" s="3" t="s">
        <v>657</v>
      </c>
      <c r="L6745" s="3" t="str">
        <f>IFERROR(__xludf.DUMMYFUNCTION("GOOGLETRANSLATE(F6745,""id"",""en"")"),"The Argentine national team championship parade had to be stopped because he could not penetrate the sea of ​​human beenos aires Messi was finally transported by a helicopter")</f>
        <v>The Argentine national team championship parade had to be stopped because he could not penetrate the sea of ​​human beenos aires Messi was finally transported by a helicopter</v>
      </c>
    </row>
    <row r="6746" ht="15.75" customHeight="1">
      <c r="A6746" s="1">
        <v>7943.0</v>
      </c>
      <c r="B6746" s="3" t="s">
        <v>19368</v>
      </c>
      <c r="C6746" s="3">
        <v>0.0</v>
      </c>
      <c r="D6746" s="3">
        <v>0.0</v>
      </c>
      <c r="E6746" s="3">
        <v>0.0</v>
      </c>
      <c r="F6746" s="3" t="s">
        <v>19369</v>
      </c>
      <c r="G6746" s="3">
        <v>0.0</v>
      </c>
      <c r="H6746" s="3">
        <v>0.0</v>
      </c>
      <c r="I6746" s="3" t="s">
        <v>13</v>
      </c>
      <c r="J6746" s="3" t="s">
        <v>19370</v>
      </c>
      <c r="K6746" s="3" t="s">
        <v>348</v>
      </c>
      <c r="L6746" s="3" t="str">
        <f>IFERROR(__xludf.DUMMYFUNCTION("GOOGLETRANSLATE(F6746,""id"",""en"")"),"For Bandidos maybe Argentina champions World Cup is considered by the achievement for Barcelona times but it doesn't make sense if I still understand because there are many Barca players him")</f>
        <v>For Bandidos maybe Argentina champions World Cup is considered by the achievement for Barcelona times but it doesn't make sense if I still understand because there are many Barca players him</v>
      </c>
    </row>
    <row r="6747" ht="15.75" customHeight="1">
      <c r="A6747" s="1">
        <v>7944.0</v>
      </c>
      <c r="B6747" s="3" t="s">
        <v>19371</v>
      </c>
      <c r="C6747" s="3">
        <v>0.0</v>
      </c>
      <c r="D6747" s="3">
        <v>0.0</v>
      </c>
      <c r="E6747" s="3">
        <v>0.0</v>
      </c>
      <c r="F6747" s="3" t="s">
        <v>19372</v>
      </c>
      <c r="G6747" s="3">
        <v>0.0</v>
      </c>
      <c r="H6747" s="3">
        <v>0.0</v>
      </c>
      <c r="I6747" s="3" t="s">
        <v>13</v>
      </c>
      <c r="J6747" s="3" t="s">
        <v>19373</v>
      </c>
      <c r="K6747" s="3" t="s">
        <v>41</v>
      </c>
      <c r="L6747" s="3" t="str">
        <f>IFERROR(__xludf.DUMMYFUNCTION("GOOGLETRANSLATE(F6747,""id"",""en"")"),"Argentine World Cup Champion Celebration Chaos to cause casualties")</f>
        <v>Argentine World Cup Champion Celebration Chaos to cause casualties</v>
      </c>
    </row>
    <row r="6748" ht="15.75" customHeight="1">
      <c r="A6748" s="1">
        <v>7945.0</v>
      </c>
      <c r="B6748" s="3" t="s">
        <v>19374</v>
      </c>
      <c r="C6748" s="3">
        <v>0.0</v>
      </c>
      <c r="D6748" s="3">
        <v>0.0</v>
      </c>
      <c r="E6748" s="3">
        <v>0.0</v>
      </c>
      <c r="F6748" s="3" t="s">
        <v>19375</v>
      </c>
      <c r="G6748" s="3">
        <v>0.0</v>
      </c>
      <c r="H6748" s="3">
        <v>0.0</v>
      </c>
      <c r="I6748" s="3" t="s">
        <v>13</v>
      </c>
      <c r="J6748" s="3" t="s">
        <v>19376</v>
      </c>
      <c r="K6748" s="3" t="s">
        <v>82</v>
      </c>
      <c r="L6748" s="3" t="str">
        <f>IFERROR(__xludf.DUMMYFUNCTION("GOOGLETRANSLATE(F6748,""id"",""en"")"),"Indonesia is like Portugal is difficult to win and Thailand Argentina")</f>
        <v>Indonesia is like Portugal is difficult to win and Thailand Argentina</v>
      </c>
    </row>
    <row r="6749" ht="15.75" customHeight="1">
      <c r="A6749" s="1">
        <v>7946.0</v>
      </c>
      <c r="B6749" s="3" t="s">
        <v>19377</v>
      </c>
      <c r="C6749" s="3">
        <v>10.0</v>
      </c>
      <c r="D6749" s="3">
        <v>9.0</v>
      </c>
      <c r="E6749" s="3">
        <v>67.0</v>
      </c>
      <c r="F6749" s="3" t="s">
        <v>19378</v>
      </c>
      <c r="G6749" s="3">
        <v>0.0</v>
      </c>
      <c r="H6749" s="3">
        <v>0.0</v>
      </c>
      <c r="I6749" s="3" t="s">
        <v>13</v>
      </c>
      <c r="J6749" s="3" t="s">
        <v>19379</v>
      </c>
      <c r="K6749" s="3" t="s">
        <v>215</v>
      </c>
      <c r="L6749" s="3" t="str">
        <f>IFERROR(__xludf.DUMMYFUNCTION("GOOGLETRANSLATE(F6749,""id"",""en"")"),"Since they are the challenges, including Leo, who becomes easy to ngam, even more confident Argentina will be champions let alone added settings etc. more confident because it is our main capital that is lost over the past year")</f>
        <v>Since they are the challenges, including Leo, who becomes easy to ngam, even more confident Argentina will be champions let alone added settings etc. more confident because it is our main capital that is lost over the past year</v>
      </c>
    </row>
    <row r="6750" ht="15.75" customHeight="1">
      <c r="A6750" s="1">
        <v>7947.0</v>
      </c>
      <c r="B6750" s="3" t="s">
        <v>19380</v>
      </c>
      <c r="C6750" s="3">
        <v>0.0</v>
      </c>
      <c r="D6750" s="3">
        <v>0.0</v>
      </c>
      <c r="E6750" s="3">
        <v>6.0</v>
      </c>
      <c r="F6750" s="3" t="s">
        <v>19381</v>
      </c>
      <c r="G6750" s="3">
        <v>0.0</v>
      </c>
      <c r="H6750" s="3">
        <v>0.0</v>
      </c>
      <c r="I6750" s="3" t="s">
        <v>13</v>
      </c>
      <c r="J6750" s="3" t="s">
        <v>19382</v>
      </c>
      <c r="K6750" s="3" t="s">
        <v>50</v>
      </c>
      <c r="L6750" s="3" t="str">
        <f>IFERROR(__xludf.DUMMYFUNCTION("GOOGLETRANSLATE(F6750,""id"",""en"")"),"What Lionel Messi did after Argentina Champion World Cup he slept with his trophy")</f>
        <v>What Lionel Messi did after Argentina Champion World Cup he slept with his trophy</v>
      </c>
    </row>
    <row r="6751" ht="15.75" customHeight="1">
      <c r="A6751" s="1">
        <v>7948.0</v>
      </c>
      <c r="B6751" s="3" t="s">
        <v>19383</v>
      </c>
      <c r="C6751" s="3">
        <v>0.0</v>
      </c>
      <c r="D6751" s="3">
        <v>0.0</v>
      </c>
      <c r="E6751" s="3">
        <v>0.0</v>
      </c>
      <c r="F6751" s="3" t="s">
        <v>19384</v>
      </c>
      <c r="G6751" s="3">
        <v>0.0</v>
      </c>
      <c r="H6751" s="3">
        <v>0.0</v>
      </c>
      <c r="I6751" s="3" t="s">
        <v>13</v>
      </c>
      <c r="J6751" s="3" t="s">
        <v>19385</v>
      </c>
      <c r="K6751" s="3" t="s">
        <v>433</v>
      </c>
      <c r="L6751" s="3" t="str">
        <f>IFERROR(__xludf.DUMMYFUNCTION("GOOGLETRANSLATE(F6751,""id"",""en"")"),"Argentina agreed to be a champion this year GRGR there was a distinguishing figure of Messi after Messi retired, according to me, it was difficult to speak")</f>
        <v>Argentina agreed to be a champion this year GRGR there was a distinguishing figure of Messi after Messi retired, according to me, it was difficult to speak</v>
      </c>
    </row>
    <row r="6752" ht="15.75" customHeight="1">
      <c r="A6752" s="1">
        <v>7949.0</v>
      </c>
      <c r="B6752" s="3" t="s">
        <v>19386</v>
      </c>
      <c r="C6752" s="3">
        <v>0.0</v>
      </c>
      <c r="D6752" s="3">
        <v>0.0</v>
      </c>
      <c r="E6752" s="3">
        <v>2.0</v>
      </c>
      <c r="F6752" s="3" t="s">
        <v>19387</v>
      </c>
      <c r="G6752" s="3">
        <v>0.0</v>
      </c>
      <c r="H6752" s="3">
        <v>0.0</v>
      </c>
      <c r="I6752" s="3" t="s">
        <v>13</v>
      </c>
      <c r="J6752" s="3" t="s">
        <v>19388</v>
      </c>
      <c r="K6752" s="3" t="s">
        <v>657</v>
      </c>
      <c r="L6752" s="3" t="str">
        <f>IFERROR(__xludf.DUMMYFUNCTION("GOOGLETRANSLATE(F6752,""id"",""en"")"),"Salt Bae's annoying behavior at the Argentine celebration to win the World Cup Kiss Trophy and disturb Lionel Messi")</f>
        <v>Salt Bae's annoying behavior at the Argentine celebration to win the World Cup Kiss Trophy and disturb Lionel Messi</v>
      </c>
    </row>
    <row r="6753" ht="15.75" customHeight="1">
      <c r="A6753" s="1">
        <v>7950.0</v>
      </c>
      <c r="B6753" s="3" t="s">
        <v>19389</v>
      </c>
      <c r="C6753" s="3">
        <v>0.0</v>
      </c>
      <c r="D6753" s="3">
        <v>0.0</v>
      </c>
      <c r="E6753" s="3">
        <v>1.0</v>
      </c>
      <c r="F6753" s="3" t="s">
        <v>19390</v>
      </c>
      <c r="G6753" s="3">
        <v>0.0</v>
      </c>
      <c r="H6753" s="3">
        <v>0.0</v>
      </c>
      <c r="I6753" s="3" t="s">
        <v>13</v>
      </c>
      <c r="J6753" s="3" t="s">
        <v>19391</v>
      </c>
      <c r="K6753" s="3" t="s">
        <v>1317</v>
      </c>
      <c r="L6753" s="3" t="str">
        <f>IFERROR(__xludf.DUMMYFUNCTION("GOOGLETRANSLATE(F6753,""id"",""en"")"),"Argentina pinned a gold color star over the AFA logo because the World Cup champion if Indonesia AFF champions could pin the iron star Teyengenn on the PSSI Mbah logo")</f>
        <v>Argentina pinned a gold color star over the AFA logo because the World Cup champion if Indonesia AFF champions could pin the iron star Teyengenn on the PSSI Mbah logo</v>
      </c>
    </row>
    <row r="6754" ht="15.75" customHeight="1">
      <c r="A6754" s="1">
        <v>7951.0</v>
      </c>
      <c r="B6754" s="3" t="s">
        <v>19392</v>
      </c>
      <c r="C6754" s="3">
        <v>0.0</v>
      </c>
      <c r="D6754" s="3">
        <v>0.0</v>
      </c>
      <c r="E6754" s="3">
        <v>0.0</v>
      </c>
      <c r="F6754" s="3" t="s">
        <v>19393</v>
      </c>
      <c r="G6754" s="3">
        <v>0.0</v>
      </c>
      <c r="H6754" s="3">
        <v>0.0</v>
      </c>
      <c r="I6754" s="3" t="s">
        <v>13</v>
      </c>
      <c r="J6754" s="3" t="s">
        <v>19394</v>
      </c>
      <c r="K6754" s="3" t="s">
        <v>71</v>
      </c>
      <c r="L6754" s="3" t="str">
        <f>IFERROR(__xludf.DUMMYFUNCTION("GOOGLETRANSLATE(F6754,""id"",""en"")"),"Cristiano Ronaldo Georgina's girlfriend Rodriguez was teased after Messi and Argentina World Cup champions but did not celebrate it")</f>
        <v>Cristiano Ronaldo Georgina's girlfriend Rodriguez was teased after Messi and Argentina World Cup champions but did not celebrate it</v>
      </c>
    </row>
    <row r="6755" ht="15.75" customHeight="1">
      <c r="A6755" s="1">
        <v>7952.0</v>
      </c>
      <c r="B6755" s="3" t="s">
        <v>19395</v>
      </c>
      <c r="C6755" s="3">
        <v>0.0</v>
      </c>
      <c r="D6755" s="3">
        <v>0.0</v>
      </c>
      <c r="E6755" s="3">
        <v>0.0</v>
      </c>
      <c r="F6755" s="3" t="s">
        <v>19396</v>
      </c>
      <c r="G6755" s="3">
        <v>0.2333333333333333</v>
      </c>
      <c r="H6755" s="3">
        <v>-0.25</v>
      </c>
      <c r="I6755" s="3" t="s">
        <v>179</v>
      </c>
      <c r="J6755" s="3" t="s">
        <v>19397</v>
      </c>
      <c r="K6755" s="3" t="s">
        <v>27</v>
      </c>
      <c r="L6755" s="3" t="str">
        <f>IFERROR(__xludf.DUMMYFUNCTION("GOOGLETRANSLATE(F6755,""id"",""en"")"),"About four million or five million Argentine fans spilled over to fill the streets of Buenos Aires in the World Cup championship parade because the players had to be transported to go using a helicopter")</f>
        <v>About four million or five million Argentine fans spilled over to fill the streets of Buenos Aires in the World Cup championship parade because the players had to be transported to go using a helicopter</v>
      </c>
    </row>
    <row r="6756" ht="15.75" customHeight="1">
      <c r="A6756" s="1">
        <v>7953.0</v>
      </c>
      <c r="B6756" s="3" t="s">
        <v>19398</v>
      </c>
      <c r="C6756" s="3">
        <v>0.0</v>
      </c>
      <c r="D6756" s="3">
        <v>0.0</v>
      </c>
      <c r="E6756" s="3">
        <v>0.0</v>
      </c>
      <c r="F6756" s="3" t="s">
        <v>19399</v>
      </c>
      <c r="G6756" s="3">
        <v>0.2333333333333333</v>
      </c>
      <c r="H6756" s="3">
        <v>-0.25</v>
      </c>
      <c r="I6756" s="3" t="s">
        <v>179</v>
      </c>
      <c r="J6756" s="3" t="s">
        <v>19400</v>
      </c>
      <c r="K6756" s="3" t="s">
        <v>54</v>
      </c>
      <c r="L6756" s="3" t="str">
        <f>IFERROR(__xludf.DUMMYFUNCTION("GOOGLETRANSLATE(F6756,""id"",""en"")"),"Argentina World Cup Champion Parade was stopped")</f>
        <v>Argentina World Cup Champion Parade was stopped</v>
      </c>
    </row>
    <row r="6757" ht="15.75" customHeight="1">
      <c r="A6757" s="1">
        <v>7954.0</v>
      </c>
      <c r="B6757" s="3" t="s">
        <v>19401</v>
      </c>
      <c r="C6757" s="3">
        <v>1.0</v>
      </c>
      <c r="D6757" s="3">
        <v>3.0</v>
      </c>
      <c r="E6757" s="3">
        <v>3.0</v>
      </c>
      <c r="F6757" s="3" t="s">
        <v>19402</v>
      </c>
      <c r="G6757" s="3">
        <v>0.2333333333333333</v>
      </c>
      <c r="H6757" s="3">
        <v>-0.25</v>
      </c>
      <c r="I6757" s="3" t="s">
        <v>179</v>
      </c>
      <c r="J6757" s="3" t="s">
        <v>19403</v>
      </c>
      <c r="K6757" s="3" t="s">
        <v>71</v>
      </c>
      <c r="L6757" s="3" t="str">
        <f>IFERROR(__xludf.DUMMYFUNCTION("GOOGLETRANSLATE(F6757,""id"",""en"")"),"The Argentine national team championship parade led to the tragedy of one adult dead and a coma age boy")</f>
        <v>The Argentine national team championship parade led to the tragedy of one adult dead and a coma age boy</v>
      </c>
    </row>
    <row r="6758" ht="15.75" customHeight="1">
      <c r="A6758" s="1">
        <v>7955.0</v>
      </c>
      <c r="B6758" s="3" t="s">
        <v>19404</v>
      </c>
      <c r="C6758" s="3">
        <v>0.0</v>
      </c>
      <c r="D6758" s="3">
        <v>0.0</v>
      </c>
      <c r="E6758" s="3">
        <v>0.0</v>
      </c>
      <c r="F6758" s="3" t="s">
        <v>19405</v>
      </c>
      <c r="G6758" s="3">
        <v>0.4545454545454545</v>
      </c>
      <c r="H6758" s="3">
        <v>0.1363636363636364</v>
      </c>
      <c r="I6758" s="3" t="s">
        <v>48</v>
      </c>
      <c r="J6758" s="3" t="s">
        <v>19406</v>
      </c>
      <c r="K6758" s="3" t="s">
        <v>614</v>
      </c>
      <c r="L6758" s="3" t="str">
        <f>IFERROR(__xludf.DUMMYFUNCTION("GOOGLETRANSLATE(F6758,""id"",""en"")"),"The difference is that Argentina and Brazil as the defending champion of the New Trophy's world cup they runners lose their scoreline match while France is runner too but only through penalties shootouts")</f>
        <v>The difference is that Argentina and Brazil as the defending champion of the New Trophy's world cup they runners lose their scoreline match while France is runner too but only through penalties shootouts</v>
      </c>
    </row>
    <row r="6759" ht="15.75" customHeight="1">
      <c r="A6759" s="1">
        <v>7956.0</v>
      </c>
      <c r="B6759" s="3" t="s">
        <v>19407</v>
      </c>
      <c r="C6759" s="3">
        <v>0.0</v>
      </c>
      <c r="D6759" s="3">
        <v>0.0</v>
      </c>
      <c r="E6759" s="3">
        <v>0.0</v>
      </c>
      <c r="F6759" s="3" t="s">
        <v>19408</v>
      </c>
      <c r="G6759" s="3">
        <v>0.0</v>
      </c>
      <c r="H6759" s="3">
        <v>0.0</v>
      </c>
      <c r="I6759" s="3" t="s">
        <v>13</v>
      </c>
      <c r="J6759" s="3" t="s">
        <v>19409</v>
      </c>
      <c r="K6759" s="3" t="s">
        <v>19410</v>
      </c>
      <c r="L6759" s="3" t="str">
        <f>IFERROR(__xludf.DUMMYFUNCTION("GOOGLETRANSLATE(F6759,""id"",""en"")"),"It's very different, the champion should have lost and Sastri EMG has lost Argentina to have lost to Arabic Wkslol Sastri Argentina")</f>
        <v>It's very different, the champion should have lost and Sastri EMG has lost Argentina to have lost to Arabic Wkslol Sastri Argentina</v>
      </c>
    </row>
    <row r="6760" ht="15.75" customHeight="1">
      <c r="A6760" s="1">
        <v>7957.0</v>
      </c>
      <c r="B6760" s="3" t="s">
        <v>19411</v>
      </c>
      <c r="C6760" s="3">
        <v>2.0</v>
      </c>
      <c r="D6760" s="3">
        <v>0.0</v>
      </c>
      <c r="E6760" s="3">
        <v>1.0</v>
      </c>
      <c r="F6760" s="3" t="s">
        <v>19412</v>
      </c>
      <c r="G6760" s="3">
        <v>1.0</v>
      </c>
      <c r="H6760" s="3">
        <v>0.5</v>
      </c>
      <c r="I6760" s="3" t="s">
        <v>48</v>
      </c>
      <c r="J6760" s="3" t="s">
        <v>19413</v>
      </c>
      <c r="K6760" s="3" t="s">
        <v>184</v>
      </c>
      <c r="L6760" s="3" t="str">
        <f>IFERROR(__xludf.DUMMYFUNCTION("GOOGLETRANSLATE(F6760,""id"",""en"")"),"How come Min, a star -studded player, can't enter the semifinals while Argentina with his medioker players can be champions who don't understand Messi Magic Man anymore")</f>
        <v>How come Min, a star -studded player, can't enter the semifinals while Argentina with his medioker players can be champions who don't understand Messi Magic Man anymore</v>
      </c>
    </row>
    <row r="6761" ht="15.75" customHeight="1">
      <c r="A6761" s="1">
        <v>7958.0</v>
      </c>
      <c r="B6761" s="3" t="s">
        <v>19414</v>
      </c>
      <c r="C6761" s="3">
        <v>0.0</v>
      </c>
      <c r="D6761" s="3">
        <v>6.0</v>
      </c>
      <c r="E6761" s="3">
        <v>24.0</v>
      </c>
      <c r="F6761" s="3" t="s">
        <v>19415</v>
      </c>
      <c r="G6761" s="3">
        <v>0.0</v>
      </c>
      <c r="H6761" s="3">
        <v>0.0</v>
      </c>
      <c r="I6761" s="3" t="s">
        <v>13</v>
      </c>
      <c r="J6761" s="3" t="s">
        <v>19416</v>
      </c>
      <c r="K6761" s="3" t="s">
        <v>1912</v>
      </c>
      <c r="L6761" s="3" t="str">
        <f>IFERROR(__xludf.DUMMYFUNCTION("GOOGLETRANSLATE(F6761,""id"",""en"")"),"When Lionel Scaloni's doubt it remained focused because in the end as Argentina coach proof of the field from the work of the work was not the word now from the status of doubtful by the legend he became the equivalent legend of Menotti and the world cham"&amp;"pion Bilardo")</f>
        <v>When Lionel Scaloni's doubt it remained focused because in the end as Argentina coach proof of the field from the work of the work was not the word now from the status of doubtful by the legend he became the equivalent legend of Menotti and the world champion Bilardo</v>
      </c>
    </row>
    <row r="6762" ht="15.75" customHeight="1">
      <c r="A6762" s="1">
        <v>7959.0</v>
      </c>
      <c r="B6762" s="3" t="s">
        <v>19417</v>
      </c>
      <c r="C6762" s="3">
        <v>0.0</v>
      </c>
      <c r="D6762" s="3">
        <v>0.0</v>
      </c>
      <c r="E6762" s="3">
        <v>0.0</v>
      </c>
      <c r="F6762" s="3" t="s">
        <v>19418</v>
      </c>
      <c r="G6762" s="3">
        <v>0.5</v>
      </c>
      <c r="H6762" s="3">
        <v>0.5</v>
      </c>
      <c r="I6762" s="3" t="s">
        <v>48</v>
      </c>
      <c r="J6762" s="3" t="s">
        <v>19419</v>
      </c>
      <c r="K6762" s="3" t="s">
        <v>495</v>
      </c>
      <c r="L6762" s="3" t="str">
        <f>IFERROR(__xludf.DUMMYFUNCTION("GOOGLETRANSLATE(F6762,""id"",""en"")"),"The Argentine national team championship celebration using a bus with an open roof of Buenos Aires on Tuesday at local time led to chaos")</f>
        <v>The Argentine national team championship celebration using a bus with an open roof of Buenos Aires on Tuesday at local time led to chaos</v>
      </c>
    </row>
    <row r="6763" ht="15.75" customHeight="1">
      <c r="A6763" s="1">
        <v>7960.0</v>
      </c>
      <c r="B6763" s="3" t="s">
        <v>19420</v>
      </c>
      <c r="C6763" s="3">
        <v>0.0</v>
      </c>
      <c r="D6763" s="3">
        <v>0.0</v>
      </c>
      <c r="E6763" s="3">
        <v>0.0</v>
      </c>
      <c r="F6763" s="3" t="s">
        <v>19421</v>
      </c>
      <c r="G6763" s="3">
        <v>0.0</v>
      </c>
      <c r="H6763" s="3">
        <v>0.0</v>
      </c>
      <c r="I6763" s="3" t="s">
        <v>13</v>
      </c>
      <c r="J6763" s="3" t="s">
        <v>19422</v>
      </c>
      <c r="K6763" s="3" t="s">
        <v>477</v>
      </c>
      <c r="L6763" s="3" t="str">
        <f>IFERROR(__xludf.DUMMYFUNCTION("GOOGLETRANSLATE(F6763,""id"",""en"")"),"It could be that he is the one of the people of Argentina, I can't believe in Argentina.")</f>
        <v>It could be that he is the one of the people of Argentina, I can't believe in Argentina.</v>
      </c>
    </row>
    <row r="6764" ht="15.75" customHeight="1">
      <c r="A6764" s="1">
        <v>7961.0</v>
      </c>
      <c r="B6764" s="3" t="s">
        <v>19423</v>
      </c>
      <c r="C6764" s="3">
        <v>1.0</v>
      </c>
      <c r="D6764" s="3">
        <v>0.0</v>
      </c>
      <c r="E6764" s="3">
        <v>1.0</v>
      </c>
      <c r="F6764" s="3" t="s">
        <v>19424</v>
      </c>
      <c r="G6764" s="3">
        <v>0.0</v>
      </c>
      <c r="H6764" s="3">
        <v>0.0</v>
      </c>
      <c r="I6764" s="3" t="s">
        <v>13</v>
      </c>
      <c r="J6764" s="3" t="s">
        <v>19425</v>
      </c>
      <c r="K6764" s="3" t="s">
        <v>715</v>
      </c>
      <c r="L6764" s="3" t="str">
        <f>IFERROR(__xludf.DUMMYFUNCTION("GOOGLETRANSLATE(F6764,""id"",""en"")"),"ALLAH MORE, Pak Jokowi blessed Argentina to become a champion, may Allah also give the health of Mr. Jokowi and his family Aminnnnn")</f>
        <v>ALLAH MORE, Pak Jokowi blessed Argentina to become a champion, may Allah also give the health of Mr. Jokowi and his family Aminnnnn</v>
      </c>
    </row>
    <row r="6765" ht="15.75" customHeight="1">
      <c r="A6765" s="1">
        <v>7962.0</v>
      </c>
      <c r="B6765" s="3" t="s">
        <v>19426</v>
      </c>
      <c r="C6765" s="3">
        <v>0.0</v>
      </c>
      <c r="D6765" s="3">
        <v>0.0</v>
      </c>
      <c r="E6765" s="3">
        <v>0.0</v>
      </c>
      <c r="F6765" s="3" t="s">
        <v>19427</v>
      </c>
      <c r="G6765" s="3">
        <v>0.0</v>
      </c>
      <c r="H6765" s="3">
        <v>0.0</v>
      </c>
      <c r="I6765" s="3" t="s">
        <v>13</v>
      </c>
      <c r="J6765" s="3" t="s">
        <v>19428</v>
      </c>
      <c r="K6765" s="3" t="s">
        <v>348</v>
      </c>
      <c r="L6765" s="3" t="str">
        <f>IFERROR(__xludf.DUMMYFUNCTION("GOOGLETRANSLATE(F6765,""id"",""en"")"),"The Argentina World Cup championship celebration from a distance see people like ants and it is not more millions of people who are estimating to celebrate it is only tens of thousands")</f>
        <v>The Argentina World Cup championship celebration from a distance see people like ants and it is not more millions of people who are estimating to celebrate it is only tens of thousands</v>
      </c>
    </row>
    <row r="6766" ht="15.75" customHeight="1">
      <c r="A6766" s="1">
        <v>7963.0</v>
      </c>
      <c r="B6766" s="3" t="s">
        <v>19429</v>
      </c>
      <c r="C6766" s="3">
        <v>0.0</v>
      </c>
      <c r="D6766" s="3">
        <v>0.0</v>
      </c>
      <c r="E6766" s="3">
        <v>0.0</v>
      </c>
      <c r="F6766" s="3" t="s">
        <v>19430</v>
      </c>
      <c r="G6766" s="3">
        <v>0.0</v>
      </c>
      <c r="H6766" s="3">
        <v>0.0</v>
      </c>
      <c r="I6766" s="3" t="s">
        <v>13</v>
      </c>
      <c r="J6766" s="3" t="s">
        <v>19431</v>
      </c>
      <c r="K6766" s="3" t="s">
        <v>695</v>
      </c>
      <c r="L6766" s="3" t="str">
        <f>IFERROR(__xludf.DUMMYFUNCTION("GOOGLETRANSLATE(F6766,""id"",""en"")"),"Lionel Messi finally successfully presented the World Cup title for Argentina he also presented this trophy to his predecessors including the legend of soccer Diego Maradona")</f>
        <v>Lionel Messi finally successfully presented the World Cup title for Argentina he also presented this trophy to his predecessors including the legend of soccer Diego Maradona</v>
      </c>
    </row>
    <row r="6767" ht="15.75" customHeight="1">
      <c r="A6767" s="1">
        <v>7965.0</v>
      </c>
      <c r="B6767" s="3" t="s">
        <v>19432</v>
      </c>
      <c r="C6767" s="3">
        <v>0.0</v>
      </c>
      <c r="D6767" s="3">
        <v>0.0</v>
      </c>
      <c r="E6767" s="3">
        <v>1.0</v>
      </c>
      <c r="F6767" s="3" t="s">
        <v>19189</v>
      </c>
      <c r="G6767" s="3">
        <v>0.0</v>
      </c>
      <c r="H6767" s="3">
        <v>0.0</v>
      </c>
      <c r="I6767" s="3" t="s">
        <v>13</v>
      </c>
      <c r="J6767" s="3" t="s">
        <v>19190</v>
      </c>
      <c r="K6767" s="3" t="s">
        <v>41</v>
      </c>
      <c r="L6767" s="3" t="str">
        <f>IFERROR(__xludf.DUMMYFUNCTION("GOOGLETRANSLATE(F6767,""id"",""en"")"),"The behavior of the fans of the Argentine champions naked to vandalism")</f>
        <v>The behavior of the fans of the Argentine champions naked to vandalism</v>
      </c>
    </row>
    <row r="6768" ht="15.75" customHeight="1">
      <c r="A6768" s="1">
        <v>7966.0</v>
      </c>
      <c r="B6768" s="3" t="s">
        <v>19433</v>
      </c>
      <c r="C6768" s="3">
        <v>1.0</v>
      </c>
      <c r="D6768" s="3">
        <v>0.0</v>
      </c>
      <c r="E6768" s="3">
        <v>0.0</v>
      </c>
      <c r="F6768" s="3" t="s">
        <v>19434</v>
      </c>
      <c r="G6768" s="3">
        <v>0.0</v>
      </c>
      <c r="H6768" s="3">
        <v>0.0</v>
      </c>
      <c r="I6768" s="3" t="s">
        <v>13</v>
      </c>
      <c r="J6768" s="3" t="s">
        <v>19435</v>
      </c>
      <c r="K6768" s="3" t="s">
        <v>82</v>
      </c>
      <c r="L6768" s="3" t="str">
        <f>IFERROR(__xludf.DUMMYFUNCTION("GOOGLETRANSLATE(F6768,""id"",""en"")"),"and the fact that Argentina from Latin America is the World Cup championship")</f>
        <v>and the fact that Argentina from Latin America is the World Cup championship</v>
      </c>
    </row>
    <row r="6769" ht="15.75" customHeight="1">
      <c r="A6769" s="1">
        <v>7967.0</v>
      </c>
      <c r="B6769" s="3" t="s">
        <v>19436</v>
      </c>
      <c r="C6769" s="3">
        <v>1.0</v>
      </c>
      <c r="D6769" s="3">
        <v>0.0</v>
      </c>
      <c r="E6769" s="3">
        <v>0.0</v>
      </c>
      <c r="F6769" s="3" t="s">
        <v>19437</v>
      </c>
      <c r="G6769" s="3">
        <v>0.0</v>
      </c>
      <c r="H6769" s="3">
        <v>0.0</v>
      </c>
      <c r="I6769" s="3" t="s">
        <v>13</v>
      </c>
      <c r="J6769" s="3" t="s">
        <v>19438</v>
      </c>
      <c r="K6769" s="3" t="s">
        <v>1489</v>
      </c>
      <c r="L6769" s="3" t="str">
        <f>IFERROR(__xludf.DUMMYFUNCTION("GOOGLETRANSLATE(F6769,""id"",""en"")"),"that already understands if it's stupid, it's not too much if it's competitive, it will sell the English league, because what is competitive is stupid, not bought by Argentina")</f>
        <v>that already understands if it's stupid, it's not too much if it's competitive, it will sell the English league, because what is competitive is stupid, not bought by Argentina</v>
      </c>
    </row>
    <row r="6770" ht="15.75" customHeight="1">
      <c r="A6770" s="1">
        <v>7968.0</v>
      </c>
      <c r="B6770" s="3" t="s">
        <v>19439</v>
      </c>
      <c r="C6770" s="3">
        <v>0.0</v>
      </c>
      <c r="D6770" s="3">
        <v>0.0</v>
      </c>
      <c r="E6770" s="3">
        <v>0.0</v>
      </c>
      <c r="F6770" s="3" t="s">
        <v>19440</v>
      </c>
      <c r="G6770" s="3">
        <v>0.0</v>
      </c>
      <c r="H6770" s="3">
        <v>0.0</v>
      </c>
      <c r="I6770" s="3" t="s">
        <v>13</v>
      </c>
      <c r="J6770" s="3" t="s">
        <v>19441</v>
      </c>
      <c r="K6770" s="3" t="s">
        <v>75</v>
      </c>
      <c r="L6770" s="3" t="str">
        <f>IFERROR(__xludf.DUMMYFUNCTION("GOOGLETRANSLATE(F6770,""id"",""en"")"),"Argentina title Ricuh Lionel Messi's title was evacuated by helicopter via")</f>
        <v>Argentina title Ricuh Lionel Messi's title was evacuated by helicopter via</v>
      </c>
    </row>
    <row r="6771" ht="15.75" customHeight="1">
      <c r="A6771" s="1">
        <v>7969.0</v>
      </c>
      <c r="B6771" s="3" t="s">
        <v>19442</v>
      </c>
      <c r="C6771" s="3">
        <v>0.0</v>
      </c>
      <c r="D6771" s="3">
        <v>0.0</v>
      </c>
      <c r="E6771" s="3">
        <v>0.0</v>
      </c>
      <c r="F6771" s="3" t="s">
        <v>19443</v>
      </c>
      <c r="G6771" s="3">
        <v>0.0</v>
      </c>
      <c r="H6771" s="3">
        <v>0.0</v>
      </c>
      <c r="I6771" s="3" t="s">
        <v>13</v>
      </c>
      <c r="J6771" s="3" t="s">
        <v>19444</v>
      </c>
      <c r="K6771" s="3" t="s">
        <v>54</v>
      </c>
      <c r="L6771" s="3" t="str">
        <f>IFERROR(__xludf.DUMMYFUNCTION("GOOGLETRANSLATE(F6771,""id"",""en"")"),"Messi Champion in the Argentina national team after Maradona died")</f>
        <v>Messi Champion in the Argentina national team after Maradona died</v>
      </c>
    </row>
    <row r="6772" ht="15.75" customHeight="1">
      <c r="A6772" s="1">
        <v>7970.0</v>
      </c>
      <c r="B6772" s="3" t="s">
        <v>19445</v>
      </c>
      <c r="C6772" s="3">
        <v>1.0</v>
      </c>
      <c r="D6772" s="3">
        <v>0.0</v>
      </c>
      <c r="E6772" s="3">
        <v>0.0</v>
      </c>
      <c r="F6772" s="3" t="s">
        <v>19446</v>
      </c>
      <c r="G6772" s="3">
        <v>1.0</v>
      </c>
      <c r="H6772" s="3">
        <v>0.0</v>
      </c>
      <c r="I6772" s="3" t="s">
        <v>13</v>
      </c>
      <c r="J6772" s="3" t="s">
        <v>19447</v>
      </c>
      <c r="K6772" s="3" t="s">
        <v>3819</v>
      </c>
      <c r="L6772" s="3" t="str">
        <f>IFERROR(__xludf.DUMMYFUNCTION("GOOGLETRANSLATE(F6772,""id"",""en"")"),"Mang Argentine players have only been in Join Europe since the Copa champion before the Copa champion and Mungking defeated the Italy Final they were still local club players or had just moved please check")</f>
        <v>Mang Argentine players have only been in Join Europe since the Copa champion before the Copa champion and Mungking defeated the Italy Final they were still local club players or had just moved please check</v>
      </c>
    </row>
    <row r="6773" ht="15.75" customHeight="1">
      <c r="A6773" s="1">
        <v>7971.0</v>
      </c>
      <c r="B6773" s="3" t="s">
        <v>19448</v>
      </c>
      <c r="C6773" s="3">
        <v>0.0</v>
      </c>
      <c r="D6773" s="3">
        <v>0.0</v>
      </c>
      <c r="E6773" s="3">
        <v>0.0</v>
      </c>
      <c r="F6773" s="3" t="s">
        <v>19449</v>
      </c>
      <c r="G6773" s="3">
        <v>0.0</v>
      </c>
      <c r="H6773" s="3">
        <v>0.0</v>
      </c>
      <c r="I6773" s="3" t="s">
        <v>13</v>
      </c>
      <c r="J6773" s="3" t="s">
        <v>19450</v>
      </c>
      <c r="K6773" s="3" t="s">
        <v>903</v>
      </c>
      <c r="L6773" s="3" t="str">
        <f>IFERROR(__xludf.DUMMYFUNCTION("GOOGLETRANSLATE(F6773,""id"",""en"")"),"What Lautaro entered all the good opportunities that was smooth, Argentina became a champion, needing a penalty to the Dutch, needed a drama against French")</f>
        <v>What Lautaro entered all the good opportunities that was smooth, Argentina became a champion, needing a penalty to the Dutch, needed a drama against French</v>
      </c>
    </row>
    <row r="6774" ht="15.75" customHeight="1">
      <c r="A6774" s="1">
        <v>7972.0</v>
      </c>
      <c r="B6774" s="3" t="s">
        <v>19451</v>
      </c>
      <c r="C6774" s="3">
        <v>1.0</v>
      </c>
      <c r="D6774" s="3">
        <v>0.0</v>
      </c>
      <c r="E6774" s="3">
        <v>0.0</v>
      </c>
      <c r="F6774" s="3" t="s">
        <v>19452</v>
      </c>
      <c r="G6774" s="3">
        <v>0.0</v>
      </c>
      <c r="H6774" s="3">
        <v>0.0</v>
      </c>
      <c r="I6774" s="3" t="s">
        <v>13</v>
      </c>
      <c r="J6774" s="3" t="s">
        <v>19453</v>
      </c>
      <c r="K6774" s="3" t="s">
        <v>308</v>
      </c>
      <c r="L6774" s="3" t="str">
        <f>IFERROR(__xludf.DUMMYFUNCTION("GOOGLETRANSLATE(F6774,""id"",""en"")"),"who bastard reading the mbappe statement again he doubted how competitive the competition of South American countries in Brazil and Argentina in this case he discussed the Copa America in fact the Copa American championship")</f>
        <v>who bastard reading the mbappe statement again he doubted how competitive the competition of South American countries in Brazil and Argentina in this case he discussed the Copa America in fact the Copa American championship</v>
      </c>
    </row>
    <row r="6775" ht="15.75" customHeight="1">
      <c r="A6775" s="1">
        <v>7973.0</v>
      </c>
      <c r="B6775" s="3" t="s">
        <v>19454</v>
      </c>
      <c r="C6775" s="3">
        <v>1.0</v>
      </c>
      <c r="D6775" s="3">
        <v>0.0</v>
      </c>
      <c r="E6775" s="3">
        <v>0.0</v>
      </c>
      <c r="F6775" s="3" t="s">
        <v>19455</v>
      </c>
      <c r="G6775" s="3">
        <v>0.0</v>
      </c>
      <c r="H6775" s="3">
        <v>0.0</v>
      </c>
      <c r="I6775" s="3" t="s">
        <v>13</v>
      </c>
      <c r="J6775" s="3" t="s">
        <v>19456</v>
      </c>
      <c r="K6775" s="3" t="s">
        <v>657</v>
      </c>
      <c r="L6775" s="3" t="str">
        <f>IFERROR(__xludf.DUMMYFUNCTION("GOOGLETRANSLATE(F6775,""id"",""en"")"),"arga yeah, that's why ngiat almeida is more inferior to the Argentine striker not making Portugal out of the champion exchanges")</f>
        <v>arga yeah, that's why ngiat almeida is more inferior to the Argentine striker not making Portugal out of the champion exchanges</v>
      </c>
    </row>
    <row r="6776" ht="15.75" customHeight="1">
      <c r="A6776" s="1">
        <v>7974.0</v>
      </c>
      <c r="B6776" s="3" t="s">
        <v>19457</v>
      </c>
      <c r="C6776" s="3">
        <v>3.0</v>
      </c>
      <c r="D6776" s="3">
        <v>0.0</v>
      </c>
      <c r="E6776" s="3">
        <v>0.0</v>
      </c>
      <c r="F6776" s="3" t="s">
        <v>19458</v>
      </c>
      <c r="G6776" s="3">
        <v>0.0</v>
      </c>
      <c r="H6776" s="3">
        <v>0.0</v>
      </c>
      <c r="I6776" s="3" t="s">
        <v>13</v>
      </c>
      <c r="J6776" s="3" t="s">
        <v>19459</v>
      </c>
      <c r="K6776" s="3" t="s">
        <v>4236</v>
      </c>
      <c r="L6776" s="3" t="str">
        <f>IFERROR(__xludf.DUMMYFUNCTION("GOOGLETRANSLATE(F6776,""id"",""en"")"),"Mang he didn't talk about the South American League he talked about competitive South America he did not know how competitive the Copa America was in fact Argentina defeated defending champions Euro and defending champions Pial")</f>
        <v>Mang he didn't talk about the South American League he talked about competitive South America he did not know how competitive the Copa America was in fact Argentina defeated defending champions Euro and defending champions Pial</v>
      </c>
    </row>
    <row r="6777" ht="15.75" customHeight="1">
      <c r="A6777" s="1">
        <v>7975.0</v>
      </c>
      <c r="B6777" s="3" t="s">
        <v>19460</v>
      </c>
      <c r="C6777" s="3">
        <v>0.0</v>
      </c>
      <c r="D6777" s="3">
        <v>0.0</v>
      </c>
      <c r="E6777" s="3">
        <v>0.0</v>
      </c>
      <c r="F6777" s="3" t="s">
        <v>19461</v>
      </c>
      <c r="G6777" s="3">
        <v>0.0</v>
      </c>
      <c r="H6777" s="3">
        <v>0.0</v>
      </c>
      <c r="I6777" s="3" t="s">
        <v>13</v>
      </c>
      <c r="J6777" s="3" t="s">
        <v>19462</v>
      </c>
      <c r="K6777" s="3" t="s">
        <v>35</v>
      </c>
      <c r="L6777" s="3" t="str">
        <f>IFERROR(__xludf.DUMMYFUNCTION("GOOGLETRANSLATE(F6777,""id"",""en"")"),"Seconds of Lionel Messi almost fell from the bus during the celebration of Argentina World Cup champions")</f>
        <v>Seconds of Lionel Messi almost fell from the bus during the celebration of Argentina World Cup champions</v>
      </c>
    </row>
    <row r="6778" ht="15.75" customHeight="1">
      <c r="A6778" s="1">
        <v>7976.0</v>
      </c>
      <c r="B6778" s="3" t="s">
        <v>19463</v>
      </c>
      <c r="C6778" s="3">
        <v>0.0</v>
      </c>
      <c r="D6778" s="3">
        <v>0.0</v>
      </c>
      <c r="E6778" s="3">
        <v>1.0</v>
      </c>
      <c r="F6778" s="3" t="s">
        <v>19464</v>
      </c>
      <c r="G6778" s="3">
        <v>0.0</v>
      </c>
      <c r="H6778" s="3">
        <v>0.0</v>
      </c>
      <c r="I6778" s="3" t="s">
        <v>13</v>
      </c>
      <c r="J6778" s="3" t="s">
        <v>19465</v>
      </c>
      <c r="K6778" s="3" t="s">
        <v>71</v>
      </c>
      <c r="L6778" s="3" t="str">
        <f>IFERROR(__xludf.DUMMYFUNCTION("GOOGLETRANSLATE(F6778,""id"",""en"")"),"The best Argentine squad is as much as I am in the time of Batigol Veron Lack of Dsini, so it's been a champion")</f>
        <v>The best Argentine squad is as much as I am in the time of Batigol Veron Lack of Dsini, so it's been a champion</v>
      </c>
    </row>
    <row r="6779" ht="15.75" customHeight="1">
      <c r="A6779" s="1">
        <v>7977.0</v>
      </c>
      <c r="B6779" s="3" t="s">
        <v>19466</v>
      </c>
      <c r="C6779" s="3">
        <v>2.0</v>
      </c>
      <c r="D6779" s="3">
        <v>0.0</v>
      </c>
      <c r="E6779" s="3">
        <v>0.0</v>
      </c>
      <c r="F6779" s="3" t="s">
        <v>19467</v>
      </c>
      <c r="G6779" s="3">
        <v>0.0</v>
      </c>
      <c r="H6779" s="3">
        <v>0.0</v>
      </c>
      <c r="I6779" s="3" t="s">
        <v>13</v>
      </c>
      <c r="J6779" s="3" t="s">
        <v>19468</v>
      </c>
      <c r="K6779" s="3" t="s">
        <v>1970</v>
      </c>
      <c r="L6779" s="3" t="str">
        <f>IFERROR(__xludf.DUMMYFUNCTION("GOOGLETRANSLATE(F6779,""id"",""en"")"),"Defending the bad than the worse is not for him to be good, mbappe, the team and Neymar Marquinhos Messi, if he respects, he should not say that, see Messi when he asked he excelled France")</f>
        <v>Defending the bad than the worse is not for him to be good, mbappe, the team and Neymar Marquinhos Messi, if he respects, he should not say that, see Messi when he asked he excelled France</v>
      </c>
    </row>
    <row r="6780" ht="15.75" customHeight="1">
      <c r="A6780" s="1">
        <v>7978.0</v>
      </c>
      <c r="B6780" s="3" t="s">
        <v>19469</v>
      </c>
      <c r="C6780" s="3">
        <v>1.0</v>
      </c>
      <c r="D6780" s="3">
        <v>15.0</v>
      </c>
      <c r="E6780" s="3">
        <v>119.0</v>
      </c>
      <c r="F6780" s="3" t="s">
        <v>19470</v>
      </c>
      <c r="G6780" s="3">
        <v>0.0</v>
      </c>
      <c r="H6780" s="3">
        <v>0.0</v>
      </c>
      <c r="I6780" s="3" t="s">
        <v>13</v>
      </c>
      <c r="J6780" s="3" t="s">
        <v>19471</v>
      </c>
      <c r="K6780" s="3" t="s">
        <v>50</v>
      </c>
      <c r="L6780" s="3" t="str">
        <f>IFERROR(__xludf.DUMMYFUNCTION("GOOGLETRANSLATE(F6780,""id"",""en"")"),"Curious how lively Arak Arakan Champion Argentina is seen from the air watching here")</f>
        <v>Curious how lively Arak Arakan Champion Argentina is seen from the air watching here</v>
      </c>
    </row>
    <row r="6781" ht="15.75" customHeight="1">
      <c r="A6781" s="1">
        <v>7979.0</v>
      </c>
      <c r="B6781" s="3" t="s">
        <v>19472</v>
      </c>
      <c r="C6781" s="3">
        <v>0.0</v>
      </c>
      <c r="D6781" s="3">
        <v>0.0</v>
      </c>
      <c r="E6781" s="3">
        <v>0.0</v>
      </c>
      <c r="F6781" s="3" t="s">
        <v>19473</v>
      </c>
      <c r="G6781" s="3">
        <v>0.0</v>
      </c>
      <c r="H6781" s="3">
        <v>0.0</v>
      </c>
      <c r="I6781" s="3" t="s">
        <v>13</v>
      </c>
      <c r="J6781" s="3" t="s">
        <v>19474</v>
      </c>
      <c r="K6781" s="3" t="s">
        <v>1479</v>
      </c>
      <c r="L6781" s="3" t="str">
        <f>IFERROR(__xludf.DUMMYFUNCTION("GOOGLETRANSLATE(F6781,""id"",""en"")"),"Argentina's best scaloni Jurulagi Copa America champion champion Maradona Italy champion World Cup")</f>
        <v>Argentina's best scaloni Jurulagi Copa America champion champion Maradona Italy champion World Cup</v>
      </c>
    </row>
    <row r="6782" ht="15.75" customHeight="1">
      <c r="A6782" s="1">
        <v>7980.0</v>
      </c>
      <c r="B6782" s="3" t="s">
        <v>19475</v>
      </c>
      <c r="C6782" s="3">
        <v>0.0</v>
      </c>
      <c r="D6782" s="3">
        <v>1.0</v>
      </c>
      <c r="E6782" s="3">
        <v>0.0</v>
      </c>
      <c r="F6782" s="3" t="s">
        <v>19476</v>
      </c>
      <c r="G6782" s="3">
        <v>0.0</v>
      </c>
      <c r="H6782" s="3">
        <v>0.0</v>
      </c>
      <c r="I6782" s="3" t="s">
        <v>13</v>
      </c>
      <c r="J6782" s="3" t="s">
        <v>19477</v>
      </c>
      <c r="K6782" s="3" t="s">
        <v>27</v>
      </c>
      <c r="L6782" s="3" t="str">
        <f>IFERROR(__xludf.DUMMYFUNCTION("GOOGLETRANSLATE(F6782,""id"",""en"")"),"The Tango team came out as world champion through a penalty shootout with a score before the two teams played as strong as well as the accurate predictions of Erick Thohir")</f>
        <v>The Tango team came out as world champion through a penalty shootout with a score before the two teams played as strong as well as the accurate predictions of Erick Thohir</v>
      </c>
    </row>
    <row r="6783" ht="15.75" customHeight="1">
      <c r="A6783" s="1">
        <v>7981.0</v>
      </c>
      <c r="B6783" s="3" t="s">
        <v>19478</v>
      </c>
      <c r="C6783" s="3">
        <v>1.0</v>
      </c>
      <c r="D6783" s="3">
        <v>0.0</v>
      </c>
      <c r="E6783" s="3">
        <v>0.0</v>
      </c>
      <c r="F6783" s="3" t="s">
        <v>19479</v>
      </c>
      <c r="G6783" s="3">
        <v>0.3333333333333333</v>
      </c>
      <c r="H6783" s="3">
        <v>0.1666666666666667</v>
      </c>
      <c r="I6783" s="3" t="s">
        <v>48</v>
      </c>
      <c r="J6783" s="3" t="s">
        <v>19480</v>
      </c>
      <c r="K6783" s="3" t="s">
        <v>1061</v>
      </c>
      <c r="L6783" s="3" t="str">
        <f>IFERROR(__xludf.DUMMYFUNCTION("GOOGLETRANSLATE(F6783,""id"",""en"")"),"Learning English bro, it's easy, almost all Argentine squads are playing European, it's enough to prove that European football is more advanced anyway, he also talks about the facts that the year before Agen the champion is now")</f>
        <v>Learning English bro, it's easy, almost all Argentine squads are playing European, it's enough to prove that European football is more advanced anyway, he also talks about the facts that the year before Agen the champion is now</v>
      </c>
    </row>
    <row r="6784" ht="15.75" customHeight="1">
      <c r="A6784" s="1">
        <v>7982.0</v>
      </c>
      <c r="B6784" s="3" t="s">
        <v>19481</v>
      </c>
      <c r="C6784" s="3">
        <v>0.0</v>
      </c>
      <c r="D6784" s="3">
        <v>0.0</v>
      </c>
      <c r="E6784" s="3">
        <v>1.0</v>
      </c>
      <c r="F6784" s="3" t="s">
        <v>19482</v>
      </c>
      <c r="G6784" s="3">
        <v>0.2333333333333333</v>
      </c>
      <c r="H6784" s="3">
        <v>-0.25</v>
      </c>
      <c r="I6784" s="3" t="s">
        <v>179</v>
      </c>
      <c r="J6784" s="3" t="s">
        <v>19483</v>
      </c>
      <c r="K6784" s="3" t="s">
        <v>657</v>
      </c>
      <c r="L6784" s="3" t="str">
        <f>IFERROR(__xludf.DUMMYFUNCTION("GOOGLETRANSLATE(F6784,""id"",""en"")"),"Argentine goalkeeper Emiliano Martinez was seen carrying a baby doll with Kylian Mbappe during the World Cup championship parade")</f>
        <v>Argentine goalkeeper Emiliano Martinez was seen carrying a baby doll with Kylian Mbappe during the World Cup championship parade</v>
      </c>
    </row>
    <row r="6785" ht="15.75" customHeight="1">
      <c r="A6785" s="1">
        <v>7983.0</v>
      </c>
      <c r="B6785" s="3" t="s">
        <v>19484</v>
      </c>
      <c r="C6785" s="3">
        <v>18.0</v>
      </c>
      <c r="D6785" s="3">
        <v>16.0</v>
      </c>
      <c r="E6785" s="3">
        <v>85.0</v>
      </c>
      <c r="F6785" s="3" t="s">
        <v>19485</v>
      </c>
      <c r="G6785" s="3">
        <v>0.2333333333333333</v>
      </c>
      <c r="H6785" s="3">
        <v>-0.25</v>
      </c>
      <c r="I6785" s="3" t="s">
        <v>179</v>
      </c>
      <c r="J6785" s="3" t="s">
        <v>19486</v>
      </c>
      <c r="K6785" s="3" t="s">
        <v>266</v>
      </c>
      <c r="L6785" s="3" t="str">
        <f>IFERROR(__xludf.DUMMYFUNCTION("GOOGLETRANSLATE(F6785,""id"",""en"")"),"World Cup Champion Parade with Argentine National Team Buenos Aires was only attended by millions of Argentina residents who were lost to the Jakarta event which was attended by million people and welcoming Mr. Rizieq Shihab up to millions")</f>
        <v>World Cup Champion Parade with Argentine National Team Buenos Aires was only attended by millions of Argentina residents who were lost to the Jakarta event which was attended by million people and welcoming Mr. Rizieq Shihab up to millions</v>
      </c>
    </row>
    <row r="6786" ht="15.75" customHeight="1">
      <c r="A6786" s="1">
        <v>7984.0</v>
      </c>
      <c r="B6786" s="3" t="s">
        <v>19487</v>
      </c>
      <c r="C6786" s="3">
        <v>0.0</v>
      </c>
      <c r="D6786" s="3">
        <v>0.0</v>
      </c>
      <c r="E6786" s="3">
        <v>0.0</v>
      </c>
      <c r="G6786" s="3">
        <v>0.0</v>
      </c>
      <c r="H6786" s="3">
        <v>0.0</v>
      </c>
      <c r="I6786" s="3" t="s">
        <v>13</v>
      </c>
      <c r="J6786" s="3" t="s">
        <v>16049</v>
      </c>
      <c r="K6786" s="3" t="s">
        <v>16050</v>
      </c>
      <c r="L6786" s="3" t="str">
        <f>IFERROR(__xludf.DUMMYFUNCTION("GOOGLETRANSLATE(F6786,""id"",""en"")"),"#VALUE!")</f>
        <v>#VALUE!</v>
      </c>
    </row>
    <row r="6787" ht="15.75" customHeight="1">
      <c r="A6787" s="1">
        <v>7985.0</v>
      </c>
      <c r="B6787" s="3" t="s">
        <v>19488</v>
      </c>
      <c r="C6787" s="3">
        <v>1.0</v>
      </c>
      <c r="D6787" s="3">
        <v>1.0</v>
      </c>
      <c r="E6787" s="3">
        <v>2.0</v>
      </c>
      <c r="F6787" s="3" t="s">
        <v>19489</v>
      </c>
      <c r="G6787" s="3">
        <v>0.0</v>
      </c>
      <c r="H6787" s="3">
        <v>0.0</v>
      </c>
      <c r="I6787" s="3" t="s">
        <v>13</v>
      </c>
      <c r="J6787" s="3" t="s">
        <v>19490</v>
      </c>
      <c r="K6787" s="3" t="s">
        <v>1912</v>
      </c>
      <c r="L6787" s="3" t="str">
        <f>IFERROR(__xludf.DUMMYFUNCTION("GOOGLETRANSLATE(F6787,""id"",""en"")"),"in the midst of the misery of the Argentine people's crisis welcomed Messi and friends with a festive party the capital title of the World Cup title like an Argentine people who are poverty")</f>
        <v>in the midst of the misery of the Argentine people's crisis welcomed Messi and friends with a festive party the capital title of the World Cup title like an Argentine people who are poverty</v>
      </c>
    </row>
    <row r="6788" ht="15.75" customHeight="1">
      <c r="A6788" s="1">
        <v>7986.0</v>
      </c>
      <c r="B6788" s="3" t="s">
        <v>19491</v>
      </c>
      <c r="C6788" s="3">
        <v>1.0</v>
      </c>
      <c r="D6788" s="3">
        <v>0.0</v>
      </c>
      <c r="E6788" s="3">
        <v>0.0</v>
      </c>
      <c r="F6788" s="3" t="s">
        <v>19492</v>
      </c>
      <c r="G6788" s="3">
        <v>0.0</v>
      </c>
      <c r="H6788" s="3">
        <v>0.0</v>
      </c>
      <c r="I6788" s="3" t="s">
        <v>13</v>
      </c>
      <c r="J6788" s="3" t="s">
        <v>19493</v>
      </c>
      <c r="K6788" s="3" t="s">
        <v>3721</v>
      </c>
      <c r="L6788" s="3" t="str">
        <f>IFERROR(__xludf.DUMMYFUNCTION("GOOGLETRANSLATE(F6788,""id"",""en"")"),"During the match against the Dutch Argentine player was very unlikely to show high risks to what else to do the original PAREDES Kicking the Ball in the opponent's bench and SKG when the champion Emi Martinez brought his face doll Mbappe")</f>
        <v>During the match against the Dutch Argentine player was very unlikely to show high risks to what else to do the original PAREDES Kicking the Ball in the opponent's bench and SKG when the champion Emi Martinez brought his face doll Mbappe</v>
      </c>
    </row>
    <row r="6789" ht="15.75" customHeight="1">
      <c r="A6789" s="1">
        <v>7987.0</v>
      </c>
      <c r="B6789" s="3" t="s">
        <v>19494</v>
      </c>
      <c r="C6789" s="3">
        <v>2.0</v>
      </c>
      <c r="D6789" s="3">
        <v>0.0</v>
      </c>
      <c r="E6789" s="3">
        <v>0.0</v>
      </c>
      <c r="F6789" s="3" t="s">
        <v>19495</v>
      </c>
      <c r="G6789" s="3">
        <v>0.0</v>
      </c>
      <c r="H6789" s="3">
        <v>0.0</v>
      </c>
      <c r="I6789" s="3" t="s">
        <v>13</v>
      </c>
      <c r="J6789" s="3" t="s">
        <v>19496</v>
      </c>
      <c r="K6789" s="3" t="s">
        <v>1489</v>
      </c>
      <c r="L6789" s="3" t="str">
        <f>IFERROR(__xludf.DUMMYFUNCTION("GOOGLETRANSLATE(F6789,""id"",""en"")"),"I care actually who is the honest champion objectively I will say Argentina is champion but if subjective I want to see Messi et al crying why because of the actions of Argentine players who do not show a sense of risks to the opponent")</f>
        <v>I care actually who is the honest champion objectively I will say Argentina is champion but if subjective I want to see Messi et al crying why because of the actions of Argentine players who do not show a sense of risks to the opponent</v>
      </c>
    </row>
    <row r="6790" ht="15.75" customHeight="1">
      <c r="A6790" s="1">
        <v>7988.0</v>
      </c>
      <c r="B6790" s="3" t="s">
        <v>19497</v>
      </c>
      <c r="C6790" s="3">
        <v>2.0</v>
      </c>
      <c r="D6790" s="3">
        <v>0.0</v>
      </c>
      <c r="E6790" s="3">
        <v>0.0</v>
      </c>
      <c r="F6790" s="3" t="s">
        <v>19498</v>
      </c>
      <c r="G6790" s="3">
        <v>0.0</v>
      </c>
      <c r="H6790" s="3">
        <v>0.0</v>
      </c>
      <c r="I6790" s="3" t="s">
        <v>13</v>
      </c>
      <c r="J6790" s="3" t="s">
        <v>19499</v>
      </c>
      <c r="K6790" s="3" t="s">
        <v>903</v>
      </c>
      <c r="L6790" s="3" t="str">
        <f>IFERROR(__xludf.DUMMYFUNCTION("GOOGLETRANSLATE(F6790,""id"",""en"")"),"It is specific but right Argentina, including Latin America with the champion of Argentina, Nepis Statement, Mbappe, said that I respect it")</f>
        <v>It is specific but right Argentina, including Latin America with the champion of Argentina, Nepis Statement, Mbappe, said that I respect it</v>
      </c>
    </row>
    <row r="6791" ht="15.75" customHeight="1">
      <c r="A6791" s="1">
        <v>7989.0</v>
      </c>
      <c r="B6791" s="3" t="s">
        <v>19500</v>
      </c>
      <c r="C6791" s="3">
        <v>1.0</v>
      </c>
      <c r="D6791" s="3">
        <v>0.0</v>
      </c>
      <c r="E6791" s="3">
        <v>2.0</v>
      </c>
      <c r="F6791" s="3" t="s">
        <v>19381</v>
      </c>
      <c r="G6791" s="3">
        <v>0.0</v>
      </c>
      <c r="H6791" s="3">
        <v>0.0</v>
      </c>
      <c r="I6791" s="3" t="s">
        <v>13</v>
      </c>
      <c r="J6791" s="3" t="s">
        <v>19382</v>
      </c>
      <c r="K6791" s="3" t="s">
        <v>50</v>
      </c>
      <c r="L6791" s="3" t="str">
        <f>IFERROR(__xludf.DUMMYFUNCTION("GOOGLETRANSLATE(F6791,""id"",""en"")"),"What Lionel Messi did after Argentina Champion World Cup he slept with his trophy")</f>
        <v>What Lionel Messi did after Argentina Champion World Cup he slept with his trophy</v>
      </c>
    </row>
    <row r="6792" ht="15.75" customHeight="1">
      <c r="A6792" s="1">
        <v>7990.0</v>
      </c>
      <c r="B6792" s="3" t="s">
        <v>19501</v>
      </c>
      <c r="C6792" s="3">
        <v>3.0</v>
      </c>
      <c r="D6792" s="3">
        <v>0.0</v>
      </c>
      <c r="E6792" s="3">
        <v>0.0</v>
      </c>
      <c r="F6792" s="3" t="s">
        <v>19502</v>
      </c>
      <c r="G6792" s="3">
        <v>0.0</v>
      </c>
      <c r="H6792" s="3">
        <v>0.0</v>
      </c>
      <c r="I6792" s="3" t="s">
        <v>13</v>
      </c>
      <c r="J6792" s="3" t="s">
        <v>19503</v>
      </c>
      <c r="K6792" s="3" t="s">
        <v>584</v>
      </c>
      <c r="L6792" s="3" t="str">
        <f>IFERROR(__xludf.DUMMYFUNCTION("GOOGLETRANSLATE(F6792,""id"",""en"")"),"Arga Yalah if you see this, I see it with the squad like that, Portugal is still always taken into account the Argentina champion now there is Mcallister Enzo Fernandez entering the champion champion Okee if you want to be called a replacement draw")</f>
        <v>Arga Yalah if you see this, I see it with the squad like that, Portugal is still always taken into account the Argentina champion now there is Mcallister Enzo Fernandez entering the champion champion Okee if you want to be called a replacement draw</v>
      </c>
    </row>
    <row r="6793" ht="15.75" customHeight="1">
      <c r="A6793" s="1">
        <v>7991.0</v>
      </c>
      <c r="B6793" s="3" t="s">
        <v>19504</v>
      </c>
      <c r="C6793" s="3">
        <v>0.0</v>
      </c>
      <c r="D6793" s="3">
        <v>0.0</v>
      </c>
      <c r="E6793" s="3">
        <v>0.0</v>
      </c>
      <c r="F6793" s="3" t="s">
        <v>19505</v>
      </c>
      <c r="G6793" s="3">
        <v>0.0</v>
      </c>
      <c r="H6793" s="3">
        <v>0.0</v>
      </c>
      <c r="I6793" s="3" t="s">
        <v>13</v>
      </c>
      <c r="J6793" s="3" t="s">
        <v>19506</v>
      </c>
      <c r="K6793" s="3" t="s">
        <v>31</v>
      </c>
      <c r="L6793" s="3" t="str">
        <f>IFERROR(__xludf.DUMMYFUNCTION("GOOGLETRANSLATE(F6793,""id"",""en"")"),"Argentina Facts World Cup Champion")</f>
        <v>Argentina Facts World Cup Champion</v>
      </c>
    </row>
    <row r="6794" ht="15.75" customHeight="1">
      <c r="A6794" s="1">
        <v>7992.0</v>
      </c>
      <c r="B6794" s="3" t="s">
        <v>19507</v>
      </c>
      <c r="C6794" s="3">
        <v>0.0</v>
      </c>
      <c r="D6794" s="3">
        <v>0.0</v>
      </c>
      <c r="E6794" s="3">
        <v>3.0</v>
      </c>
      <c r="F6794" s="3" t="s">
        <v>19508</v>
      </c>
      <c r="G6794" s="3">
        <v>0.4166666666666666</v>
      </c>
      <c r="H6794" s="3">
        <v>0.3333333333333333</v>
      </c>
      <c r="I6794" s="3" t="s">
        <v>48</v>
      </c>
      <c r="J6794" s="3" t="s">
        <v>19509</v>
      </c>
      <c r="K6794" s="3" t="s">
        <v>1428</v>
      </c>
      <c r="L6794" s="3" t="str">
        <f>IFERROR(__xludf.DUMMYFUNCTION("GOOGLETRANSLATE(F6794,""id"",""en"")"),"In fact, Argentine national team goalkeeper has a mediocre European career never has a brilliant career playing top level like Buffon Neuer Cassilas about the champion Marco Amelia as well as world champion")</f>
        <v>In fact, Argentine national team goalkeeper has a mediocre European career never has a brilliant career playing top level like Buffon Neuer Cassilas about the champion Marco Amelia as well as world champion</v>
      </c>
    </row>
    <row r="6795" ht="15.75" customHeight="1">
      <c r="A6795" s="1">
        <v>7993.0</v>
      </c>
      <c r="B6795" s="3" t="s">
        <v>19510</v>
      </c>
      <c r="C6795" s="3">
        <v>1.0</v>
      </c>
      <c r="D6795" s="3">
        <v>1.0</v>
      </c>
      <c r="E6795" s="3">
        <v>4.0</v>
      </c>
      <c r="F6795" s="3" t="s">
        <v>19511</v>
      </c>
      <c r="G6795" s="3">
        <v>0.0</v>
      </c>
      <c r="H6795" s="3">
        <v>0.0</v>
      </c>
      <c r="I6795" s="3" t="s">
        <v>13</v>
      </c>
      <c r="J6795" s="3" t="s">
        <v>19512</v>
      </c>
      <c r="K6795" s="3" t="s">
        <v>15</v>
      </c>
      <c r="L6795" s="3" t="str">
        <f>IFERROR(__xludf.DUMMYFUNCTION("GOOGLETRANSLATE(F6795,""id"",""en"")"),"Argentine celebration video of the World Cup champion ends riot")</f>
        <v>Argentine celebration video of the World Cup champion ends riot</v>
      </c>
    </row>
    <row r="6796" ht="15.75" customHeight="1">
      <c r="A6796" s="1">
        <v>7994.0</v>
      </c>
      <c r="B6796" s="3" t="s">
        <v>19513</v>
      </c>
      <c r="C6796" s="3">
        <v>0.0</v>
      </c>
      <c r="D6796" s="3">
        <v>20.0</v>
      </c>
      <c r="E6796" s="3">
        <v>12.0</v>
      </c>
      <c r="F6796" s="3" t="s">
        <v>19514</v>
      </c>
      <c r="G6796" s="3">
        <v>0.0</v>
      </c>
      <c r="H6796" s="3">
        <v>0.0</v>
      </c>
      <c r="I6796" s="3" t="s">
        <v>13</v>
      </c>
      <c r="J6796" s="3" t="s">
        <v>19515</v>
      </c>
      <c r="K6796" s="3" t="s">
        <v>41</v>
      </c>
      <c r="L6796" s="3" t="str">
        <f>IFERROR(__xludf.DUMMYFUNCTION("GOOGLETRANSLATE(F6796,""id"",""en"")"),"Agun Gunandjar Sudarsa Champion Argentina World Cup Champion Qatar")</f>
        <v>Agun Gunandjar Sudarsa Champion Argentina World Cup Champion Qatar</v>
      </c>
    </row>
    <row r="6797" ht="15.75" customHeight="1">
      <c r="A6797" s="1">
        <v>7995.0</v>
      </c>
      <c r="B6797" s="3" t="s">
        <v>19516</v>
      </c>
      <c r="C6797" s="3">
        <v>0.0</v>
      </c>
      <c r="D6797" s="3">
        <v>0.0</v>
      </c>
      <c r="E6797" s="3">
        <v>0.0</v>
      </c>
      <c r="F6797" s="3" t="s">
        <v>19517</v>
      </c>
      <c r="G6797" s="3">
        <v>0.3</v>
      </c>
      <c r="H6797" s="3">
        <v>0.2</v>
      </c>
      <c r="I6797" s="3" t="s">
        <v>48</v>
      </c>
      <c r="J6797" s="3" t="s">
        <v>19518</v>
      </c>
      <c r="K6797" s="3" t="s">
        <v>149</v>
      </c>
      <c r="L6797" s="3" t="str">
        <f>IFERROR(__xludf.DUMMYFUNCTION("GOOGLETRANSLATE(F6797,""id"",""en"")"),"Know that the true champion is actually Saudi Arabia because only those who can conquer Argentina and the best player falls on King Lionel Andreas Messi, there is no more the best audience, only residents haha")</f>
        <v>Know that the true champion is actually Saudi Arabia because only those who can conquer Argentina and the best player falls on King Lionel Andreas Messi, there is no more the best audience, only residents haha</v>
      </c>
    </row>
    <row r="6798" ht="15.75" customHeight="1">
      <c r="A6798" s="1">
        <v>7996.0</v>
      </c>
      <c r="B6798" s="3" t="s">
        <v>19519</v>
      </c>
      <c r="C6798" s="3">
        <v>0.0</v>
      </c>
      <c r="D6798" s="3">
        <v>0.0</v>
      </c>
      <c r="E6798" s="3">
        <v>0.0</v>
      </c>
      <c r="F6798" s="3" t="s">
        <v>19520</v>
      </c>
      <c r="G6798" s="3">
        <v>0.0</v>
      </c>
      <c r="H6798" s="3">
        <v>0.0</v>
      </c>
      <c r="I6798" s="3" t="s">
        <v>13</v>
      </c>
      <c r="J6798" s="3" t="s">
        <v>19521</v>
      </c>
      <c r="K6798" s="3" t="s">
        <v>1097</v>
      </c>
      <c r="L6798" s="3" t="str">
        <f>IFERROR(__xludf.DUMMYFUNCTION("GOOGLETRANSLATE(F6798,""id"",""en"")"),"The comment is really complicated in Argentina champions, noisy elu to wkwkwkw")</f>
        <v>The comment is really complicated in Argentina champions, noisy elu to wkwkwkw</v>
      </c>
    </row>
    <row r="6799" ht="15.75" customHeight="1">
      <c r="A6799" s="1">
        <v>7997.0</v>
      </c>
      <c r="B6799" s="3" t="s">
        <v>19522</v>
      </c>
      <c r="C6799" s="3">
        <v>0.0</v>
      </c>
      <c r="D6799" s="3">
        <v>5.0</v>
      </c>
      <c r="E6799" s="3">
        <v>17.0</v>
      </c>
      <c r="F6799" s="3" t="s">
        <v>19523</v>
      </c>
      <c r="G6799" s="3">
        <v>0.55</v>
      </c>
      <c r="H6799" s="3">
        <v>0.05</v>
      </c>
      <c r="I6799" s="3" t="s">
        <v>48</v>
      </c>
      <c r="J6799" s="3" t="s">
        <v>19524</v>
      </c>
      <c r="K6799" s="3" t="s">
        <v>997</v>
      </c>
      <c r="L6799" s="3" t="str">
        <f>IFERROR(__xludf.DUMMYFUNCTION("GOOGLETRANSLATE(F6799,""id"",""en"")"),"Wow Mr. Jokowi Inaugurates the Biggest Dam Southeast Asia Semantok Dam Nganjuk Messi Timun Bobo PPPK PPRT Bill Wednesday Malang Earthquake The Big Goat Argentina Champion Highlights BKN Open Registration")</f>
        <v>Wow Mr. Jokowi Inaugurates the Biggest Dam Southeast Asia Semantok Dam Nganjuk Messi Timun Bobo PPPK PPRT Bill Wednesday Malang Earthquake The Big Goat Argentina Champion Highlights BKN Open Registration</v>
      </c>
    </row>
    <row r="6800" ht="15.75" customHeight="1">
      <c r="A6800" s="1">
        <v>7998.0</v>
      </c>
      <c r="B6800" s="3" t="s">
        <v>19525</v>
      </c>
      <c r="C6800" s="3">
        <v>0.0</v>
      </c>
      <c r="D6800" s="3">
        <v>0.0</v>
      </c>
      <c r="E6800" s="3">
        <v>0.0</v>
      </c>
      <c r="F6800" s="3" t="s">
        <v>19526</v>
      </c>
      <c r="G6800" s="3">
        <v>0.0</v>
      </c>
      <c r="H6800" s="3">
        <v>0.0</v>
      </c>
      <c r="I6800" s="3" t="s">
        <v>13</v>
      </c>
      <c r="J6800" s="3" t="s">
        <v>19527</v>
      </c>
      <c r="K6800" s="3" t="s">
        <v>205</v>
      </c>
      <c r="L6800" s="3" t="str">
        <f>IFERROR(__xludf.DUMMYFUNCTION("GOOGLETRANSLATE(F6800,""id"",""en"")"),"how come, sir, the president of the Argentine football federation is not posting anything, even though the world cup champion please be taught, sir so he can care more about his team")</f>
        <v>how come, sir, the president of the Argentine football federation is not posting anything, even though the world cup champion please be taught, sir so he can care more about his team</v>
      </c>
    </row>
    <row r="6801" ht="15.75" customHeight="1">
      <c r="A6801" s="1">
        <v>7999.0</v>
      </c>
      <c r="B6801" s="3" t="s">
        <v>19528</v>
      </c>
      <c r="C6801" s="3">
        <v>0.0</v>
      </c>
      <c r="D6801" s="3">
        <v>4.0</v>
      </c>
      <c r="E6801" s="3">
        <v>0.0</v>
      </c>
      <c r="F6801" s="3" t="s">
        <v>19529</v>
      </c>
      <c r="G6801" s="3">
        <v>0.2333333333333333</v>
      </c>
      <c r="H6801" s="3">
        <v>-0.25</v>
      </c>
      <c r="I6801" s="3" t="s">
        <v>179</v>
      </c>
      <c r="J6801" s="3" t="s">
        <v>19530</v>
      </c>
      <c r="K6801" s="3" t="s">
        <v>50</v>
      </c>
      <c r="L6801" s="3" t="str">
        <f>IFERROR(__xludf.DUMMYFUNCTION("GOOGLETRANSLATE(F6801,""id"",""en"")"),"WORLD CUP CHARACTER WARNAI PARADE AGERTINE CHAMPIONS")</f>
        <v>WORLD CUP CHARACTER WARNAI PARADE AGERTINE CHAMPIONS</v>
      </c>
    </row>
    <row r="6802" ht="15.75" customHeight="1">
      <c r="A6802" s="1">
        <v>8000.0</v>
      </c>
      <c r="B6802" s="3" t="s">
        <v>19531</v>
      </c>
      <c r="C6802" s="3">
        <v>0.0</v>
      </c>
      <c r="D6802" s="3">
        <v>0.0</v>
      </c>
      <c r="E6802" s="3">
        <v>0.0</v>
      </c>
      <c r="F6802" s="3" t="s">
        <v>19532</v>
      </c>
      <c r="G6802" s="3">
        <v>0.0</v>
      </c>
      <c r="H6802" s="3">
        <v>0.0</v>
      </c>
      <c r="I6802" s="3" t="s">
        <v>13</v>
      </c>
      <c r="J6802" s="3" t="s">
        <v>19533</v>
      </c>
      <c r="K6802" s="3" t="s">
        <v>358</v>
      </c>
      <c r="L6802" s="3" t="str">
        <f>IFERROR(__xludf.DUMMYFUNCTION("GOOGLETRANSLATE(F6802,""id"",""en"")"),"Very noisy Dodo fans and fans France want to be bacot")</f>
        <v>Very noisy Dodo fans and fans France want to be bacot</v>
      </c>
    </row>
    <row r="6803" ht="15.75" customHeight="1">
      <c r="A6803" s="1">
        <v>8001.0</v>
      </c>
      <c r="B6803" s="3" t="s">
        <v>19534</v>
      </c>
      <c r="C6803" s="3">
        <v>0.0</v>
      </c>
      <c r="D6803" s="3">
        <v>0.0</v>
      </c>
      <c r="E6803" s="3">
        <v>0.0</v>
      </c>
      <c r="F6803" s="3" t="s">
        <v>19535</v>
      </c>
      <c r="G6803" s="3">
        <v>0.0</v>
      </c>
      <c r="H6803" s="3">
        <v>0.0</v>
      </c>
      <c r="I6803" s="3" t="s">
        <v>13</v>
      </c>
      <c r="J6803" s="3" t="s">
        <v>19536</v>
      </c>
      <c r="K6803" s="3" t="s">
        <v>823</v>
      </c>
      <c r="L6803" s="3" t="str">
        <f>IFERROR(__xludf.DUMMYFUNCTION("GOOGLETRANSLATE(F6803,""id"",""en"")"),"mmg has not been evidence of Argentina and other countries have been champions to be regulated to go to the regulation of PTDINGAN by the gambling mafia, the fact has not been evidence, it means that there is no evidence and the soccer gambling is common,"&amp;" though")</f>
        <v>mmg has not been evidence of Argentina and other countries have been champions to be regulated to go to the regulation of PTDINGAN by the gambling mafia, the fact has not been evidence, it means that there is no evidence and the soccer gambling is common, though</v>
      </c>
    </row>
    <row r="6804" ht="15.75" customHeight="1">
      <c r="A6804" s="1">
        <v>8002.0</v>
      </c>
      <c r="B6804" s="3" t="s">
        <v>19537</v>
      </c>
      <c r="C6804" s="3">
        <v>12.0</v>
      </c>
      <c r="D6804" s="3">
        <v>4.0</v>
      </c>
      <c r="E6804" s="3">
        <v>30.0</v>
      </c>
      <c r="F6804" s="3" t="s">
        <v>19538</v>
      </c>
      <c r="G6804" s="3">
        <v>0.2333333333333333</v>
      </c>
      <c r="H6804" s="3">
        <v>-0.25</v>
      </c>
      <c r="I6804" s="3" t="s">
        <v>179</v>
      </c>
      <c r="J6804" s="3" t="s">
        <v>19539</v>
      </c>
      <c r="K6804" s="3" t="s">
        <v>50</v>
      </c>
      <c r="L6804" s="3" t="str">
        <f>IFERROR(__xludf.DUMMYFUNCTION("GOOGLETRANSLATE(F6804,""id"",""en"")"),"During the Argentine championship celebration parade Emi Martinez carrying a baby -faced baby")</f>
        <v>During the Argentine championship celebration parade Emi Martinez carrying a baby -faced baby</v>
      </c>
    </row>
    <row r="6805" ht="15.75" customHeight="1">
      <c r="A6805" s="1">
        <v>8003.0</v>
      </c>
      <c r="B6805" s="3" t="s">
        <v>19540</v>
      </c>
      <c r="C6805" s="3">
        <v>1.0</v>
      </c>
      <c r="D6805" s="3">
        <v>2.0</v>
      </c>
      <c r="E6805" s="3">
        <v>5.0</v>
      </c>
      <c r="F6805" s="3" t="s">
        <v>19541</v>
      </c>
      <c r="G6805" s="3">
        <v>0.0</v>
      </c>
      <c r="H6805" s="3">
        <v>0.0</v>
      </c>
      <c r="I6805" s="3" t="s">
        <v>13</v>
      </c>
      <c r="J6805" s="3" t="s">
        <v>19542</v>
      </c>
      <c r="K6805" s="3" t="s">
        <v>437</v>
      </c>
      <c r="L6805" s="3" t="str">
        <f>IFERROR(__xludf.DUMMYFUNCTION("GOOGLETRANSLATE(F6805,""id"",""en"")"),"This is the case of the congratulatory of the Argentine Football Federation Chief Way when winning the World Cup title")</f>
        <v>This is the case of the congratulatory of the Argentine Football Federation Chief Way when winning the World Cup title</v>
      </c>
    </row>
    <row r="6806" ht="15.75" customHeight="1">
      <c r="A6806" s="1">
        <v>8005.0</v>
      </c>
      <c r="B6806" s="3" t="s">
        <v>19543</v>
      </c>
      <c r="C6806" s="3">
        <v>1.0</v>
      </c>
      <c r="D6806" s="3">
        <v>0.0</v>
      </c>
      <c r="E6806" s="3">
        <v>1.0</v>
      </c>
      <c r="F6806" s="3" t="s">
        <v>19544</v>
      </c>
      <c r="G6806" s="3">
        <v>0.0</v>
      </c>
      <c r="H6806" s="3">
        <v>0.0</v>
      </c>
      <c r="I6806" s="3" t="s">
        <v>13</v>
      </c>
      <c r="J6806" s="3" t="s">
        <v>19545</v>
      </c>
      <c r="K6806" s="3" t="s">
        <v>463</v>
      </c>
      <c r="L6806" s="3" t="str">
        <f>IFERROR(__xludf.DUMMYFUNCTION("GOOGLETRANSLATE(F6806,""id"",""en"")"),"Want to break goals with young master Mbappe, anyway, he still champions Argentina likes to use photos of whom is it even a fuss over because of using Mbappe's photo")</f>
        <v>Want to break goals with young master Mbappe, anyway, he still champions Argentina likes to use photos of whom is it even a fuss over because of using Mbappe's photo</v>
      </c>
    </row>
    <row r="6807" ht="15.75" customHeight="1">
      <c r="A6807" s="1">
        <v>8006.0</v>
      </c>
      <c r="B6807" s="3" t="s">
        <v>19546</v>
      </c>
      <c r="C6807" s="3">
        <v>1.0</v>
      </c>
      <c r="D6807" s="3">
        <v>0.0</v>
      </c>
      <c r="E6807" s="3">
        <v>4.0</v>
      </c>
      <c r="F6807" s="3" t="s">
        <v>19547</v>
      </c>
      <c r="G6807" s="3">
        <v>0.4800000000000001</v>
      </c>
      <c r="H6807" s="3">
        <v>0.7</v>
      </c>
      <c r="I6807" s="3" t="s">
        <v>48</v>
      </c>
      <c r="J6807" s="3" t="s">
        <v>19548</v>
      </c>
      <c r="K6807" s="3" t="s">
        <v>10085</v>
      </c>
      <c r="L6807" s="3" t="str">
        <f>IFERROR(__xludf.DUMMYFUNCTION("GOOGLETRANSLATE(F6807,""id"",""en"")"),"The World Cup Qatar ended the Argentine Champion French Champion Match French champion Croatia Champion Moroccan Best Player Messi Top Score Mbappe Best World Cup Ever Best World Cup Final Ever")</f>
        <v>The World Cup Qatar ended the Argentine Champion French Champion Match French champion Croatia Champion Moroccan Best Player Messi Top Score Mbappe Best World Cup Ever Best World Cup Final Ever</v>
      </c>
    </row>
    <row r="6808" ht="15.75" customHeight="1">
      <c r="A6808" s="1">
        <v>8007.0</v>
      </c>
      <c r="B6808" s="3" t="s">
        <v>19549</v>
      </c>
      <c r="C6808" s="3">
        <v>0.0</v>
      </c>
      <c r="D6808" s="3">
        <v>0.0</v>
      </c>
      <c r="E6808" s="3">
        <v>1.0</v>
      </c>
      <c r="F6808" s="3" t="s">
        <v>19550</v>
      </c>
      <c r="G6808" s="3">
        <v>0.3</v>
      </c>
      <c r="H6808" s="3">
        <v>1.0</v>
      </c>
      <c r="I6808" s="3" t="s">
        <v>48</v>
      </c>
      <c r="J6808" s="3" t="s">
        <v>19551</v>
      </c>
      <c r="K6808" s="3" t="s">
        <v>15</v>
      </c>
      <c r="L6808" s="3" t="str">
        <f>IFERROR(__xludf.DUMMYFUNCTION("GOOGLETRANSLATE(F6808,""id"",""en"")"),"Prediction of Cambodia Wednesday December Best Shio BBFS Mouse")</f>
        <v>Prediction of Cambodia Wednesday December Best Shio BBFS Mouse</v>
      </c>
    </row>
    <row r="6809" ht="15.75" customHeight="1">
      <c r="A6809" s="1">
        <v>8008.0</v>
      </c>
      <c r="B6809" s="3" t="s">
        <v>19552</v>
      </c>
      <c r="C6809" s="3">
        <v>0.0</v>
      </c>
      <c r="D6809" s="3">
        <v>0.0</v>
      </c>
      <c r="E6809" s="3">
        <v>0.0</v>
      </c>
      <c r="F6809" s="3" t="s">
        <v>19553</v>
      </c>
      <c r="G6809" s="3">
        <v>0.6</v>
      </c>
      <c r="H6809" s="3">
        <v>0.2</v>
      </c>
      <c r="I6809" s="3" t="s">
        <v>48</v>
      </c>
      <c r="J6809" s="3" t="s">
        <v>19554</v>
      </c>
      <c r="K6809" s="3" t="s">
        <v>82</v>
      </c>
      <c r="L6809" s="3" t="str">
        <f>IFERROR(__xludf.DUMMYFUNCTION("GOOGLETRANSLATE(F6809,""id"",""en"")"),"Bodo Amat Anjeng Argentina Champion World Cup Hahahahaha")</f>
        <v>Bodo Amat Anjeng Argentina Champion World Cup Hahahahaha</v>
      </c>
    </row>
    <row r="6810" ht="15.75" customHeight="1">
      <c r="A6810" s="1">
        <v>8009.0</v>
      </c>
      <c r="B6810" s="3" t="s">
        <v>19555</v>
      </c>
      <c r="C6810" s="3">
        <v>0.0</v>
      </c>
      <c r="D6810" s="3">
        <v>0.0</v>
      </c>
      <c r="E6810" s="3">
        <v>0.0</v>
      </c>
      <c r="F6810" s="3" t="s">
        <v>19556</v>
      </c>
      <c r="G6810" s="3">
        <v>0.2333333333333333</v>
      </c>
      <c r="H6810" s="3">
        <v>-0.25</v>
      </c>
      <c r="I6810" s="3" t="s">
        <v>179</v>
      </c>
      <c r="J6810" s="3" t="s">
        <v>19557</v>
      </c>
      <c r="K6810" s="3" t="s">
        <v>883</v>
      </c>
      <c r="L6810" s="3" t="str">
        <f>IFERROR(__xludf.DUMMYFUNCTION("GOOGLETRANSLATE(F6810,""id"",""en"")"),"Argentine national team goalkeeper Emiliano Martinez brought Kylian Mbappe baby doll during the World Cup championship parade but the doll's expression was unhappy")</f>
        <v>Argentine national team goalkeeper Emiliano Martinez brought Kylian Mbappe baby doll during the World Cup championship parade but the doll's expression was unhappy</v>
      </c>
    </row>
    <row r="6811" ht="15.75" customHeight="1">
      <c r="A6811" s="1">
        <v>8010.0</v>
      </c>
      <c r="B6811" s="3" t="s">
        <v>19558</v>
      </c>
      <c r="C6811" s="3">
        <v>0.0</v>
      </c>
      <c r="D6811" s="3">
        <v>0.0</v>
      </c>
      <c r="E6811" s="3">
        <v>0.0</v>
      </c>
      <c r="F6811" s="3" t="s">
        <v>19559</v>
      </c>
      <c r="G6811" s="3">
        <v>0.0</v>
      </c>
      <c r="H6811" s="3">
        <v>0.0</v>
      </c>
      <c r="I6811" s="3" t="s">
        <v>13</v>
      </c>
      <c r="J6811" s="3" t="s">
        <v>19560</v>
      </c>
      <c r="K6811" s="3" t="s">
        <v>695</v>
      </c>
      <c r="L6811" s="3" t="str">
        <f>IFERROR(__xludf.DUMMYFUNCTION("GOOGLETRANSLATE(F6811,""id"",""en"")"),"It's been fed up to see Argentina goalkeeper Songong very, even though only luck to be a champion, try it, if you want to join, you will be the goal")</f>
        <v>It's been fed up to see Argentina goalkeeper Songong very, even though only luck to be a champion, try it, if you want to join, you will be the goal</v>
      </c>
    </row>
    <row r="6812" ht="15.75" customHeight="1">
      <c r="A6812" s="1">
        <v>8011.0</v>
      </c>
      <c r="B6812" s="3" t="s">
        <v>19561</v>
      </c>
      <c r="C6812" s="3">
        <v>0.0</v>
      </c>
      <c r="D6812" s="3">
        <v>0.0</v>
      </c>
      <c r="E6812" s="3">
        <v>3.0</v>
      </c>
      <c r="F6812" s="3" t="s">
        <v>19257</v>
      </c>
      <c r="G6812" s="3">
        <v>0.2333333333333333</v>
      </c>
      <c r="H6812" s="3">
        <v>-0.25</v>
      </c>
      <c r="I6812" s="3" t="s">
        <v>179</v>
      </c>
      <c r="J6812" s="3" t="s">
        <v>19258</v>
      </c>
      <c r="K6812" s="3" t="s">
        <v>699</v>
      </c>
      <c r="L6812" s="3" t="str">
        <f>IFERROR(__xludf.DUMMYFUNCTION("GOOGLETRANSLATE(F6812,""id"",""en"")"),"The moment between Rodrigo Paul and Lionel Messi returned to the spotlight this time Paul was seen directly according to what Messi said in the Argentine championship parade")</f>
        <v>The moment between Rodrigo Paul and Lionel Messi returned to the spotlight this time Paul was seen directly according to what Messi said in the Argentine championship parade</v>
      </c>
    </row>
    <row r="6813" ht="15.75" customHeight="1">
      <c r="A6813" s="1">
        <v>8012.0</v>
      </c>
      <c r="B6813" s="3" t="s">
        <v>19562</v>
      </c>
      <c r="C6813" s="3">
        <v>3.0</v>
      </c>
      <c r="D6813" s="3">
        <v>1.0</v>
      </c>
      <c r="E6813" s="3">
        <v>0.0</v>
      </c>
      <c r="F6813" s="3" t="s">
        <v>19563</v>
      </c>
      <c r="G6813" s="3">
        <v>0.3333333333333333</v>
      </c>
      <c r="H6813" s="3">
        <v>0.1666666666666667</v>
      </c>
      <c r="I6813" s="3" t="s">
        <v>48</v>
      </c>
      <c r="J6813" s="3" t="s">
        <v>19564</v>
      </c>
      <c r="K6813" s="3" t="s">
        <v>348</v>
      </c>
      <c r="L6813" s="3" t="str">
        <f>IFERROR(__xludf.DUMMYFUNCTION("GOOGLETRANSLATE(F6813,""id"",""en"")"),"Messi Mah Respect, his friend Argentina national team, a lot of behavior, especially playing the medioker team, so the rich like this rarely champion because")</f>
        <v>Messi Mah Respect, his friend Argentina national team, a lot of behavior, especially playing the medioker team, so the rich like this rarely champion because</v>
      </c>
    </row>
    <row r="6814" ht="15.75" customHeight="1">
      <c r="A6814" s="1">
        <v>8013.0</v>
      </c>
      <c r="B6814" s="3" t="s">
        <v>19565</v>
      </c>
      <c r="C6814" s="3">
        <v>2.0</v>
      </c>
      <c r="D6814" s="3">
        <v>0.0</v>
      </c>
      <c r="E6814" s="3">
        <v>0.0</v>
      </c>
      <c r="F6814" s="3" t="s">
        <v>19566</v>
      </c>
      <c r="G6814" s="3">
        <v>0.0</v>
      </c>
      <c r="H6814" s="3">
        <v>0.0</v>
      </c>
      <c r="I6814" s="3" t="s">
        <v>13</v>
      </c>
      <c r="J6814" s="3" t="s">
        <v>19567</v>
      </c>
      <c r="K6814" s="3" t="s">
        <v>54</v>
      </c>
      <c r="L6814" s="3" t="str">
        <f>IFERROR(__xludf.DUMMYFUNCTION("GOOGLETRANSLATE(F6814,""id"",""en"")"),"Mania Argentina Champion Remams Ask for Recognition")</f>
        <v>Mania Argentina Champion Remams Ask for Recognition</v>
      </c>
    </row>
    <row r="6815" ht="15.75" customHeight="1">
      <c r="A6815" s="1">
        <v>8014.0</v>
      </c>
      <c r="B6815" s="3" t="s">
        <v>19568</v>
      </c>
      <c r="C6815" s="3">
        <v>0.0</v>
      </c>
      <c r="D6815" s="3">
        <v>0.0</v>
      </c>
      <c r="E6815" s="3">
        <v>0.0</v>
      </c>
      <c r="F6815" s="3" t="s">
        <v>19569</v>
      </c>
      <c r="G6815" s="3">
        <v>0.3333333333333333</v>
      </c>
      <c r="H6815" s="3">
        <v>0.1666666666666667</v>
      </c>
      <c r="I6815" s="3" t="s">
        <v>48</v>
      </c>
      <c r="J6815" s="3" t="s">
        <v>19570</v>
      </c>
      <c r="K6815" s="3" t="s">
        <v>135</v>
      </c>
      <c r="L6815" s="3" t="str">
        <f>IFERROR(__xludf.DUMMYFUNCTION("GOOGLETRANSLATE(F6815,""id"",""en"")"),"Brooo is the Argentine national team squad carrying the champions of the star players all from small clubs Brooo playing the star club only Messi Paul and Molina")</f>
        <v>Brooo is the Argentine national team squad carrying the champions of the star players all from small clubs Brooo playing the star club only Messi Paul and Molina</v>
      </c>
    </row>
    <row r="6816" ht="15.75" customHeight="1">
      <c r="A6816" s="1">
        <v>8015.0</v>
      </c>
      <c r="B6816" s="3" t="s">
        <v>19571</v>
      </c>
      <c r="C6816" s="3">
        <v>0.0</v>
      </c>
      <c r="D6816" s="3">
        <v>0.0</v>
      </c>
      <c r="E6816" s="3">
        <v>0.0</v>
      </c>
      <c r="F6816" s="3" t="s">
        <v>19572</v>
      </c>
      <c r="G6816" s="3">
        <v>0.0</v>
      </c>
      <c r="H6816" s="3">
        <v>0.0</v>
      </c>
      <c r="I6816" s="3" t="s">
        <v>13</v>
      </c>
      <c r="J6816" s="3" t="s">
        <v>19573</v>
      </c>
      <c r="K6816" s="3" t="s">
        <v>50</v>
      </c>
      <c r="L6816" s="3" t="str">
        <f>IFERROR(__xludf.DUMMYFUNCTION("GOOGLETRANSLATE(F6816,""id"",""en"")"),"Romy and Ury Rafael revealed how to guess Argentina as the Qatar World Cup champion")</f>
        <v>Romy and Ury Rafael revealed how to guess Argentina as the Qatar World Cup champion</v>
      </c>
    </row>
    <row r="6817" ht="15.75" customHeight="1">
      <c r="A6817" s="1">
        <v>8016.0</v>
      </c>
      <c r="B6817" s="3" t="s">
        <v>19574</v>
      </c>
      <c r="C6817" s="3">
        <v>0.0</v>
      </c>
      <c r="D6817" s="3">
        <v>0.0</v>
      </c>
      <c r="E6817" s="3">
        <v>0.0</v>
      </c>
      <c r="F6817" s="3" t="s">
        <v>19575</v>
      </c>
      <c r="G6817" s="3">
        <v>0.0</v>
      </c>
      <c r="H6817" s="3">
        <v>0.0</v>
      </c>
      <c r="I6817" s="3" t="s">
        <v>13</v>
      </c>
      <c r="J6817" s="3" t="s">
        <v>19576</v>
      </c>
      <c r="K6817" s="3" t="s">
        <v>15</v>
      </c>
      <c r="L6817" s="3" t="str">
        <f>IFERROR(__xludf.DUMMYFUNCTION("GOOGLETRANSLATE(F6817,""id"",""en"")"),"Rows of Messi's Records After Bringing Argentina World Cup Champion")</f>
        <v>Rows of Messi's Records After Bringing Argentina World Cup Champion</v>
      </c>
    </row>
    <row r="6818" ht="15.75" customHeight="1">
      <c r="A6818" s="1">
        <v>8017.0</v>
      </c>
      <c r="B6818" s="3" t="s">
        <v>19577</v>
      </c>
      <c r="C6818" s="3">
        <v>1.0</v>
      </c>
      <c r="D6818" s="3">
        <v>0.0</v>
      </c>
      <c r="E6818" s="3">
        <v>0.0</v>
      </c>
      <c r="F6818" s="3" t="s">
        <v>19578</v>
      </c>
      <c r="G6818" s="3">
        <v>0.0</v>
      </c>
      <c r="H6818" s="3">
        <v>0.0</v>
      </c>
      <c r="I6818" s="3" t="s">
        <v>13</v>
      </c>
      <c r="J6818" s="3" t="s">
        <v>19579</v>
      </c>
      <c r="K6818" s="3" t="s">
        <v>90</v>
      </c>
      <c r="L6818" s="3" t="str">
        <f>IFERROR(__xludf.DUMMYFUNCTION("GOOGLETRANSLATE(F6818,""id"",""en"")"),"wkwkwkwk that much hurt because of Argentina champions don't be sad to keep the baigon knife and rope from you the danger of the devil passing later")</f>
        <v>wkwkwkwk that much hurt because of Argentina champions don't be sad to keep the baigon knife and rope from you the danger of the devil passing later</v>
      </c>
    </row>
    <row r="6819" ht="15.75" customHeight="1">
      <c r="A6819" s="1">
        <v>8018.0</v>
      </c>
      <c r="B6819" s="3" t="s">
        <v>19580</v>
      </c>
      <c r="C6819" s="3">
        <v>4.0</v>
      </c>
      <c r="D6819" s="3">
        <v>0.0</v>
      </c>
      <c r="E6819" s="3">
        <v>1.0</v>
      </c>
      <c r="F6819" s="3" t="s">
        <v>19581</v>
      </c>
      <c r="G6819" s="3">
        <v>0.0</v>
      </c>
      <c r="H6819" s="3">
        <v>0.0</v>
      </c>
      <c r="I6819" s="3" t="s">
        <v>13</v>
      </c>
      <c r="J6819" s="3" t="s">
        <v>19582</v>
      </c>
      <c r="K6819" s="3" t="s">
        <v>358</v>
      </c>
      <c r="L6819" s="3" t="str">
        <f>IFERROR(__xludf.DUMMYFUNCTION("GOOGLETRANSLATE(F6819,""id"",""en"")"),"for example England Ajh Portugal era Argentina era Batigol era is also so horrified to see the squad like that but champion wkwk")</f>
        <v>for example England Ajh Portugal era Argentina era Batigol era is also so horrified to see the squad like that but champion wkwk</v>
      </c>
    </row>
    <row r="6820" ht="15.75" customHeight="1">
      <c r="A6820" s="1">
        <v>8019.0</v>
      </c>
      <c r="B6820" s="3" t="s">
        <v>19583</v>
      </c>
      <c r="C6820" s="3">
        <v>0.0</v>
      </c>
      <c r="D6820" s="3">
        <v>0.0</v>
      </c>
      <c r="E6820" s="3">
        <v>0.0</v>
      </c>
      <c r="F6820" s="3" t="s">
        <v>19584</v>
      </c>
      <c r="G6820" s="3">
        <v>0.0</v>
      </c>
      <c r="H6820" s="3">
        <v>0.0</v>
      </c>
      <c r="I6820" s="3" t="s">
        <v>13</v>
      </c>
      <c r="J6820" s="3" t="s">
        <v>19585</v>
      </c>
      <c r="K6820" s="3" t="s">
        <v>75</v>
      </c>
      <c r="L6820" s="3" t="str">
        <f>IFERROR(__xludf.DUMMYFUNCTION("GOOGLETRANSLATE(F6820,""id"",""en"")"),"Although the Argentine world champion has not been able to slide Brazil the peak of FIFA ranking")</f>
        <v>Although the Argentine world champion has not been able to slide Brazil the peak of FIFA ranking</v>
      </c>
    </row>
    <row r="6821" ht="15.75" customHeight="1">
      <c r="A6821" s="1">
        <v>8020.0</v>
      </c>
      <c r="B6821" s="3" t="s">
        <v>19586</v>
      </c>
      <c r="C6821" s="3">
        <v>0.0</v>
      </c>
      <c r="D6821" s="3">
        <v>0.0</v>
      </c>
      <c r="E6821" s="3">
        <v>1.0</v>
      </c>
      <c r="F6821" s="3" t="s">
        <v>19587</v>
      </c>
      <c r="G6821" s="3">
        <v>0.2333333333333333</v>
      </c>
      <c r="H6821" s="3">
        <v>-0.25</v>
      </c>
      <c r="I6821" s="3" t="s">
        <v>179</v>
      </c>
      <c r="J6821" s="3" t="s">
        <v>19588</v>
      </c>
      <c r="K6821" s="3" t="s">
        <v>127</v>
      </c>
      <c r="L6821" s="3" t="str">
        <f>IFERROR(__xludf.DUMMYFUNCTION("GOOGLETRANSLATE(F6821,""id"",""en"")"),"But the Argentine national team players were forced to continue the World Cup championship parade with a helicopter because an open buses could not penetrate the sea of ​​human beenos aires")</f>
        <v>But the Argentine national team players were forced to continue the World Cup championship parade with a helicopter because an open buses could not penetrate the sea of ​​human beenos aires</v>
      </c>
    </row>
    <row r="6822" ht="15.75" customHeight="1">
      <c r="A6822" s="1">
        <v>8021.0</v>
      </c>
      <c r="B6822" s="3" t="s">
        <v>19589</v>
      </c>
      <c r="C6822" s="3">
        <v>137.0</v>
      </c>
      <c r="D6822" s="3">
        <v>66.0</v>
      </c>
      <c r="E6822" s="3">
        <v>733.0</v>
      </c>
      <c r="F6822" s="3" t="s">
        <v>19590</v>
      </c>
      <c r="G6822" s="3">
        <v>0.2333333333333333</v>
      </c>
      <c r="H6822" s="3">
        <v>-0.25</v>
      </c>
      <c r="I6822" s="3" t="s">
        <v>179</v>
      </c>
      <c r="J6822" s="3" t="s">
        <v>19591</v>
      </c>
      <c r="K6822" s="3" t="s">
        <v>149</v>
      </c>
      <c r="L6822" s="3" t="str">
        <f>IFERROR(__xludf.DUMMYFUNCTION("GOOGLETRANSLATE(F6822,""id"",""en"")"),"Master Shithousery Emi Martinez carrying a baby doll while installed the Kylian Mbappe mask during the Argentine championship Parade Buenos Aires championship champions are free")</f>
        <v>Master Shithousery Emi Martinez carrying a baby doll while installed the Kylian Mbappe mask during the Argentine championship Parade Buenos Aires championship champions are free</v>
      </c>
    </row>
    <row r="6823" ht="15.75" customHeight="1">
      <c r="A6823" s="1">
        <v>8022.0</v>
      </c>
      <c r="B6823" s="3" t="s">
        <v>19592</v>
      </c>
      <c r="C6823" s="3">
        <v>1.0</v>
      </c>
      <c r="D6823" s="3">
        <v>0.0</v>
      </c>
      <c r="E6823" s="3">
        <v>1.0</v>
      </c>
      <c r="F6823" s="3" t="s">
        <v>19593</v>
      </c>
      <c r="G6823" s="3">
        <v>0.5</v>
      </c>
      <c r="H6823" s="3">
        <v>0.5</v>
      </c>
      <c r="I6823" s="3" t="s">
        <v>48</v>
      </c>
      <c r="J6823" s="3" t="s">
        <v>19594</v>
      </c>
      <c r="K6823" s="3" t="s">
        <v>149</v>
      </c>
      <c r="L6823" s="3" t="str">
        <f>IFERROR(__xludf.DUMMYFUNCTION("GOOGLETRANSLATE(F6823,""id"",""en"")"),"Argentina won the World Cup on Sunday defeating the France of the Lusail Iconic Stadium for waiting for the year was fulfilled and the people of Argentina celebrated it with joy")</f>
        <v>Argentina won the World Cup on Sunday defeating the France of the Lusail Iconic Stadium for waiting for the year was fulfilled and the people of Argentina celebrated it with joy</v>
      </c>
    </row>
    <row r="6824" ht="15.75" customHeight="1">
      <c r="A6824" s="1">
        <v>8023.0</v>
      </c>
      <c r="B6824" s="3" t="s">
        <v>19595</v>
      </c>
      <c r="C6824" s="3">
        <v>0.0</v>
      </c>
      <c r="D6824" s="3">
        <v>0.0</v>
      </c>
      <c r="E6824" s="3">
        <v>5.0</v>
      </c>
      <c r="F6824" s="3" t="s">
        <v>19596</v>
      </c>
      <c r="G6824" s="3">
        <v>0.0</v>
      </c>
      <c r="H6824" s="3">
        <v>0.0</v>
      </c>
      <c r="I6824" s="3" t="s">
        <v>13</v>
      </c>
      <c r="J6824" s="3" t="s">
        <v>19597</v>
      </c>
      <c r="K6824" s="3" t="s">
        <v>236</v>
      </c>
      <c r="L6824" s="3" t="str">
        <f>IFERROR(__xludf.DUMMYFUNCTION("GOOGLETRANSLATE(F6824,""id"",""en"")"),"Video Seconds Seconds Reckless fans jump bus during the Argentine championship parade")</f>
        <v>Video Seconds Seconds Reckless fans jump bus during the Argentine championship parade</v>
      </c>
    </row>
    <row r="6825" ht="15.75" customHeight="1">
      <c r="A6825" s="1">
        <v>8024.0</v>
      </c>
      <c r="B6825" s="3" t="s">
        <v>19598</v>
      </c>
      <c r="C6825" s="3">
        <v>1.0</v>
      </c>
      <c r="D6825" s="3">
        <v>0.0</v>
      </c>
      <c r="E6825" s="3">
        <v>1.0</v>
      </c>
      <c r="F6825" s="3" t="s">
        <v>19599</v>
      </c>
      <c r="G6825" s="3">
        <v>0.2333333333333333</v>
      </c>
      <c r="H6825" s="3">
        <v>-0.25</v>
      </c>
      <c r="I6825" s="3" t="s">
        <v>179</v>
      </c>
      <c r="J6825" s="3" t="s">
        <v>19600</v>
      </c>
      <c r="K6825" s="3" t="s">
        <v>2013</v>
      </c>
      <c r="L6825" s="3" t="str">
        <f>IFERROR(__xludf.DUMMYFUNCTION("GOOGLETRANSLATE(F6825,""id"",""en"")"),"Millions of Argentina fans filled the streets of Buenos Aires in the Argentine World Cup championship parade, they had to be transported to go using a helicopter because the bus was trapped in the middle of a fan that meets the streets")</f>
        <v>Millions of Argentina fans filled the streets of Buenos Aires in the Argentine World Cup championship parade, they had to be transported to go using a helicopter because the bus was trapped in the middle of a fan that meets the streets</v>
      </c>
    </row>
    <row r="6826" ht="15.75" customHeight="1">
      <c r="A6826" s="1">
        <v>8025.0</v>
      </c>
      <c r="B6826" s="3" t="s">
        <v>19601</v>
      </c>
      <c r="C6826" s="3">
        <v>0.0</v>
      </c>
      <c r="D6826" s="3">
        <v>0.0</v>
      </c>
      <c r="E6826" s="3">
        <v>1.0</v>
      </c>
      <c r="F6826" s="3" t="s">
        <v>19602</v>
      </c>
      <c r="G6826" s="3">
        <v>0.2333333333333333</v>
      </c>
      <c r="H6826" s="3">
        <v>-0.25</v>
      </c>
      <c r="I6826" s="3" t="s">
        <v>179</v>
      </c>
      <c r="J6826" s="3" t="s">
        <v>19603</v>
      </c>
      <c r="K6826" s="3" t="s">
        <v>19</v>
      </c>
      <c r="L6826" s="3" t="str">
        <f>IFERROR(__xludf.DUMMYFUNCTION("GOOGLETRANSLATE(F6826,""id"",""en"")"),"The Argentine World Cup championship parades are full")</f>
        <v>The Argentine World Cup championship parades are full</v>
      </c>
    </row>
    <row r="6827" ht="15.75" customHeight="1">
      <c r="A6827" s="1">
        <v>8026.0</v>
      </c>
      <c r="B6827" s="3" t="s">
        <v>19604</v>
      </c>
      <c r="C6827" s="3">
        <v>1.0</v>
      </c>
      <c r="D6827" s="3">
        <v>0.0</v>
      </c>
      <c r="E6827" s="3">
        <v>0.0</v>
      </c>
      <c r="F6827" s="3" t="s">
        <v>19605</v>
      </c>
      <c r="G6827" s="3">
        <v>0.7</v>
      </c>
      <c r="H6827" s="3">
        <v>0.5</v>
      </c>
      <c r="I6827" s="3" t="s">
        <v>48</v>
      </c>
      <c r="J6827" s="3" t="s">
        <v>19606</v>
      </c>
      <c r="K6827" s="3" t="s">
        <v>1293</v>
      </c>
      <c r="L6827" s="3" t="str">
        <f>IFERROR(__xludf.DUMMYFUNCTION("GOOGLETRANSLATE(F6827,""id"",""en"")"),"It's Jaka Sembung, I want to commit suicide because you are not clever too if I am happy Argentina, champion hahaha")</f>
        <v>It's Jaka Sembung, I want to commit suicide because you are not clever too if I am happy Argentina, champion hahaha</v>
      </c>
    </row>
    <row r="6828" ht="15.75" customHeight="1">
      <c r="A6828" s="1">
        <v>8027.0</v>
      </c>
      <c r="B6828" s="3" t="s">
        <v>19607</v>
      </c>
      <c r="C6828" s="3">
        <v>0.0</v>
      </c>
      <c r="D6828" s="3">
        <v>0.0</v>
      </c>
      <c r="E6828" s="3">
        <v>0.0</v>
      </c>
      <c r="F6828" s="3" t="s">
        <v>19608</v>
      </c>
      <c r="G6828" s="3">
        <v>0.0</v>
      </c>
      <c r="H6828" s="3">
        <v>0.0</v>
      </c>
      <c r="I6828" s="3" t="s">
        <v>13</v>
      </c>
      <c r="J6828" s="3" t="s">
        <v>19609</v>
      </c>
      <c r="K6828" s="3" t="s">
        <v>935</v>
      </c>
      <c r="L6828" s="3" t="str">
        <f>IFERROR(__xludf.DUMMYFUNCTION("GOOGLETRANSLATE(F6828,""id"",""en"")"),"I say congratulations and respect the majority of Argentina fans for the first time I can see the first World Cup champion in the last year but I am still proud as a fan of Les Bleus France already see France Champion World Cup champions")</f>
        <v>I say congratulations and respect the majority of Argentina fans for the first time I can see the first World Cup champion in the last year but I am still proud as a fan of Les Bleus France already see France Champion World Cup champions</v>
      </c>
    </row>
    <row r="6829" ht="15.75" customHeight="1">
      <c r="A6829" s="1">
        <v>8028.0</v>
      </c>
      <c r="B6829" s="3" t="s">
        <v>19610</v>
      </c>
      <c r="C6829" s="3">
        <v>0.0</v>
      </c>
      <c r="D6829" s="3">
        <v>0.0</v>
      </c>
      <c r="E6829" s="3">
        <v>0.0</v>
      </c>
      <c r="F6829" s="3" t="s">
        <v>19611</v>
      </c>
      <c r="G6829" s="3">
        <v>0.0</v>
      </c>
      <c r="H6829" s="3">
        <v>0.0</v>
      </c>
      <c r="I6829" s="3" t="s">
        <v>13</v>
      </c>
      <c r="J6829" s="3" t="s">
        <v>19612</v>
      </c>
      <c r="K6829" s="3" t="s">
        <v>50</v>
      </c>
      <c r="L6829" s="3" t="str">
        <f>IFERROR(__xludf.DUMMYFUNCTION("GOOGLETRANSLATE(F6829,""id"",""en"")"),"Kaleidoscope Football news throughout the Kanjuruhan tragedy to Argentina Champion World Cup")</f>
        <v>Kaleidoscope Football news throughout the Kanjuruhan tragedy to Argentina Champion World Cup</v>
      </c>
    </row>
    <row r="6830" ht="15.75" customHeight="1">
      <c r="A6830" s="1">
        <v>8029.0</v>
      </c>
      <c r="B6830" s="3" t="s">
        <v>19613</v>
      </c>
      <c r="C6830" s="3">
        <v>1.0</v>
      </c>
      <c r="D6830" s="3">
        <v>0.0</v>
      </c>
      <c r="E6830" s="3">
        <v>4.0</v>
      </c>
      <c r="F6830" s="3" t="s">
        <v>19614</v>
      </c>
      <c r="G6830" s="3">
        <v>0.0</v>
      </c>
      <c r="H6830" s="3">
        <v>0.0</v>
      </c>
      <c r="I6830" s="3" t="s">
        <v>13</v>
      </c>
      <c r="J6830" s="3" t="s">
        <v>19615</v>
      </c>
      <c r="K6830" s="3" t="s">
        <v>240</v>
      </c>
      <c r="L6830" s="3" t="str">
        <f>IFERROR(__xludf.DUMMYFUNCTION("GOOGLETRANSLATE(F6830,""id"",""en"")"),"Why did you cry, very bodo, the champion of French Argentina, just commented on the behavior")</f>
        <v>Why did you cry, very bodo, the champion of French Argentina, just commented on the behavior</v>
      </c>
    </row>
    <row r="6831" ht="15.75" customHeight="1">
      <c r="A6831" s="1">
        <v>8030.0</v>
      </c>
      <c r="B6831" s="3" t="s">
        <v>19616</v>
      </c>
      <c r="C6831" s="3">
        <v>0.0</v>
      </c>
      <c r="D6831" s="3">
        <v>0.0</v>
      </c>
      <c r="E6831" s="3">
        <v>0.0</v>
      </c>
      <c r="F6831" s="3" t="s">
        <v>19617</v>
      </c>
      <c r="G6831" s="3">
        <v>0.0</v>
      </c>
      <c r="H6831" s="3">
        <v>0.0</v>
      </c>
      <c r="I6831" s="3" t="s">
        <v>13</v>
      </c>
      <c r="J6831" s="3" t="s">
        <v>19618</v>
      </c>
      <c r="K6831" s="3" t="s">
        <v>348</v>
      </c>
      <c r="L6831" s="3" t="str">
        <f>IFERROR(__xludf.DUMMYFUNCTION("GOOGLETRANSLATE(F6831,""id"",""en"")"),"Albiceleste Embassy")</f>
        <v>Albiceleste Embassy</v>
      </c>
    </row>
    <row r="6832" ht="15.75" customHeight="1">
      <c r="A6832" s="1">
        <v>8031.0</v>
      </c>
      <c r="B6832" s="3" t="s">
        <v>19619</v>
      </c>
      <c r="C6832" s="3">
        <v>2.0</v>
      </c>
      <c r="D6832" s="3">
        <v>1.0</v>
      </c>
      <c r="E6832" s="3">
        <v>4.0</v>
      </c>
      <c r="F6832" s="3" t="s">
        <v>19620</v>
      </c>
      <c r="G6832" s="3">
        <v>0.2333333333333333</v>
      </c>
      <c r="H6832" s="3">
        <v>-0.25</v>
      </c>
      <c r="I6832" s="3" t="s">
        <v>179</v>
      </c>
      <c r="J6832" s="3" t="s">
        <v>19621</v>
      </c>
      <c r="K6832" s="3" t="s">
        <v>240</v>
      </c>
      <c r="L6832" s="3" t="str">
        <f>IFERROR(__xludf.DUMMYFUNCTION("GOOGLETRANSLATE(F6832,""id"",""en"")"),"Already watching the Argentine video champion until the parade really is a mental illness because of worshiping Messi this much hahahahahahahahahahahahahahahahahahahahahahahahahahahahahahahahahahahahahahahahahaha")</f>
        <v>Already watching the Argentine video champion until the parade really is a mental illness because of worshiping Messi this much hahahahahahahahahahahahahahahahahahahahahahahahahahahahahahahahahahahahahahahahahaha</v>
      </c>
    </row>
    <row r="6833" ht="15.75" customHeight="1">
      <c r="A6833" s="1">
        <v>8032.0</v>
      </c>
      <c r="B6833" s="3" t="s">
        <v>19622</v>
      </c>
      <c r="C6833" s="3">
        <v>0.0</v>
      </c>
      <c r="D6833" s="3">
        <v>0.0</v>
      </c>
      <c r="E6833" s="3">
        <v>1.0</v>
      </c>
      <c r="F6833" s="3" t="s">
        <v>19623</v>
      </c>
      <c r="G6833" s="3">
        <v>0.0</v>
      </c>
      <c r="H6833" s="3">
        <v>0.0</v>
      </c>
      <c r="I6833" s="3" t="s">
        <v>13</v>
      </c>
      <c r="J6833" s="3" t="s">
        <v>19624</v>
      </c>
      <c r="K6833" s="3" t="s">
        <v>82</v>
      </c>
      <c r="L6833" s="3" t="str">
        <f>IFERROR(__xludf.DUMMYFUNCTION("GOOGLETRANSLATE(F6833,""id"",""en"")"),"Only the era of Iwan Bule Argentina can win the World Cup")</f>
        <v>Only the era of Iwan Bule Argentina can win the World Cup</v>
      </c>
    </row>
    <row r="6834" ht="15.75" customHeight="1">
      <c r="A6834" s="1">
        <v>8033.0</v>
      </c>
      <c r="B6834" s="3" t="s">
        <v>19625</v>
      </c>
      <c r="C6834" s="3">
        <v>1.0</v>
      </c>
      <c r="D6834" s="3">
        <v>0.0</v>
      </c>
      <c r="E6834" s="3">
        <v>0.0</v>
      </c>
      <c r="F6834" s="3" t="s">
        <v>19626</v>
      </c>
      <c r="G6834" s="3">
        <v>0.0</v>
      </c>
      <c r="H6834" s="3">
        <v>0.0</v>
      </c>
      <c r="I6834" s="3" t="s">
        <v>13</v>
      </c>
      <c r="J6834" s="3" t="s">
        <v>19627</v>
      </c>
      <c r="K6834" s="3" t="s">
        <v>2117</v>
      </c>
      <c r="L6834" s="3" t="str">
        <f>IFERROR(__xludf.DUMMYFUNCTION("GOOGLETRANSLATE(F6834,""id"",""en"")"),"Punten Emi Martinez")</f>
        <v>Punten Emi Martinez</v>
      </c>
    </row>
    <row r="6835" ht="15.75" customHeight="1">
      <c r="A6835" s="1">
        <v>8034.0</v>
      </c>
      <c r="B6835" s="3" t="s">
        <v>19628</v>
      </c>
      <c r="C6835" s="3">
        <v>1.0</v>
      </c>
      <c r="D6835" s="3">
        <v>0.0</v>
      </c>
      <c r="E6835" s="3">
        <v>6.0</v>
      </c>
      <c r="F6835" s="3" t="s">
        <v>19629</v>
      </c>
      <c r="G6835" s="3">
        <v>0.2666666666666667</v>
      </c>
      <c r="H6835" s="3">
        <v>0.03333333333333333</v>
      </c>
      <c r="I6835" s="3" t="s">
        <v>48</v>
      </c>
      <c r="J6835" s="3" t="s">
        <v>19630</v>
      </c>
      <c r="K6835" s="3" t="s">
        <v>899</v>
      </c>
      <c r="L6835" s="3" t="str">
        <f>IFERROR(__xludf.DUMMYFUNCTION("GOOGLETRANSLATE(F6835,""id"",""en"")"),"Original previously, most of the Argentina squad, I don't know where to play the club, but the mental determination of the champion is the same as its extraordinary coarse if compared to the squad even more luxurious")</f>
        <v>Original previously, most of the Argentina squad, I don't know where to play the club, but the mental determination of the champion is the same as its extraordinary coarse if compared to the squad even more luxurious</v>
      </c>
    </row>
    <row r="6836" ht="15.75" customHeight="1">
      <c r="A6836" s="1">
        <v>8035.0</v>
      </c>
      <c r="B6836" s="3" t="s">
        <v>19631</v>
      </c>
      <c r="C6836" s="3">
        <v>0.0</v>
      </c>
      <c r="D6836" s="3">
        <v>0.0</v>
      </c>
      <c r="E6836" s="3">
        <v>0.0</v>
      </c>
      <c r="F6836" s="3" t="s">
        <v>19632</v>
      </c>
      <c r="G6836" s="3">
        <v>0.5</v>
      </c>
      <c r="H6836" s="3">
        <v>-0.5</v>
      </c>
      <c r="I6836" s="3" t="s">
        <v>179</v>
      </c>
      <c r="J6836" s="3" t="s">
        <v>19633</v>
      </c>
      <c r="K6836" s="3" t="s">
        <v>14571</v>
      </c>
      <c r="L6836" s="3" t="str">
        <f>IFERROR(__xludf.DUMMYFUNCTION("GOOGLETRANSLATE(F6836,""id"",""en"")"),"just know the random")</f>
        <v>just know the random</v>
      </c>
    </row>
    <row r="6837" ht="15.75" customHeight="1">
      <c r="A6837" s="1">
        <v>8036.0</v>
      </c>
      <c r="B6837" s="3" t="s">
        <v>19634</v>
      </c>
      <c r="C6837" s="3">
        <v>0.0</v>
      </c>
      <c r="D6837" s="3">
        <v>0.0</v>
      </c>
      <c r="E6837" s="3">
        <v>0.0</v>
      </c>
      <c r="F6837" s="3" t="s">
        <v>19635</v>
      </c>
      <c r="G6837" s="3">
        <v>0.0</v>
      </c>
      <c r="H6837" s="3">
        <v>0.0</v>
      </c>
      <c r="I6837" s="3" t="s">
        <v>13</v>
      </c>
      <c r="J6837" s="3" t="s">
        <v>19636</v>
      </c>
      <c r="K6837" s="3" t="s">
        <v>41</v>
      </c>
      <c r="L6837" s="3" t="str">
        <f>IFERROR(__xludf.DUMMYFUNCTION("GOOGLETRANSLATE(F6837,""id"",""en"")"),"Argentina title Ricuh Lionel Messi's title was evacuated by a helicopter")</f>
        <v>Argentina title Ricuh Lionel Messi's title was evacuated by a helicopter</v>
      </c>
    </row>
    <row r="6838" ht="15.75" customHeight="1">
      <c r="A6838" s="1">
        <v>8037.0</v>
      </c>
      <c r="B6838" s="3" t="s">
        <v>19637</v>
      </c>
      <c r="C6838" s="3">
        <v>0.0</v>
      </c>
      <c r="D6838" s="3">
        <v>0.0</v>
      </c>
      <c r="E6838" s="3">
        <v>1.0</v>
      </c>
      <c r="F6838" s="3" t="s">
        <v>19638</v>
      </c>
      <c r="G6838" s="3">
        <v>0.0</v>
      </c>
      <c r="H6838" s="3">
        <v>0.0</v>
      </c>
      <c r="I6838" s="3" t="s">
        <v>13</v>
      </c>
      <c r="J6838" s="3" t="s">
        <v>19639</v>
      </c>
      <c r="K6838" s="3" t="s">
        <v>860</v>
      </c>
      <c r="L6838" s="3" t="str">
        <f>IFERROR(__xludf.DUMMYFUNCTION("GOOGLETRANSLATE(F6838,""id"",""en"")"),"Argentina has the right to lift the World Cup trophy as well as get the highest prize in the NBC Sports Report World Cup championship in cash of millions")</f>
        <v>Argentina has the right to lift the World Cup trophy as well as get the highest prize in the NBC Sports Report World Cup championship in cash of millions</v>
      </c>
    </row>
    <row r="6839" ht="15.75" customHeight="1">
      <c r="A6839" s="1">
        <v>8038.0</v>
      </c>
      <c r="B6839" s="3" t="s">
        <v>19640</v>
      </c>
      <c r="C6839" s="3">
        <v>1.0</v>
      </c>
      <c r="D6839" s="3">
        <v>0.0</v>
      </c>
      <c r="E6839" s="3">
        <v>4.0</v>
      </c>
      <c r="F6839" s="3" t="s">
        <v>19641</v>
      </c>
      <c r="G6839" s="3">
        <v>0.0</v>
      </c>
      <c r="H6839" s="3">
        <v>0.0</v>
      </c>
      <c r="I6839" s="3" t="s">
        <v>13</v>
      </c>
      <c r="J6839" s="3" t="s">
        <v>19642</v>
      </c>
      <c r="K6839" s="3" t="s">
        <v>54</v>
      </c>
      <c r="L6839" s="3" t="str">
        <f>IFERROR(__xludf.DUMMYFUNCTION("GOOGLETRANSLATE(F6839,""id"",""en"")"),"Already reality right now Argentina champions")</f>
        <v>Already reality right now Argentina champions</v>
      </c>
    </row>
    <row r="6840" ht="15.75" customHeight="1">
      <c r="A6840" s="1">
        <v>8039.0</v>
      </c>
      <c r="B6840" s="3" t="s">
        <v>19643</v>
      </c>
      <c r="C6840" s="3">
        <v>1.0</v>
      </c>
      <c r="D6840" s="3">
        <v>0.0</v>
      </c>
      <c r="E6840" s="3">
        <v>6.0</v>
      </c>
      <c r="F6840" s="3" t="s">
        <v>19644</v>
      </c>
      <c r="G6840" s="3">
        <v>0.0</v>
      </c>
      <c r="H6840" s="3">
        <v>0.0</v>
      </c>
      <c r="I6840" s="3" t="s">
        <v>13</v>
      </c>
      <c r="J6840" s="3" t="s">
        <v>19645</v>
      </c>
      <c r="K6840" s="3" t="s">
        <v>657</v>
      </c>
      <c r="L6840" s="3" t="str">
        <f>IFERROR(__xludf.DUMMYFUNCTION("GOOGLETRANSLATE(F6840,""id"",""en"")"),"Sanny is really the new Argentina, Latin American representatives are champions since Brazil the remaining European teams are all")</f>
        <v>Sanny is really the new Argentina, Latin American representatives are champions since Brazil the remaining European teams are all</v>
      </c>
    </row>
    <row r="6841" ht="15.75" customHeight="1">
      <c r="A6841" s="1">
        <v>8040.0</v>
      </c>
      <c r="B6841" s="3" t="s">
        <v>19646</v>
      </c>
      <c r="C6841" s="3">
        <v>1.0</v>
      </c>
      <c r="D6841" s="3">
        <v>0.0</v>
      </c>
      <c r="E6841" s="3">
        <v>0.0</v>
      </c>
      <c r="F6841" s="3" t="s">
        <v>19647</v>
      </c>
      <c r="G6841" s="3">
        <v>0.0</v>
      </c>
      <c r="H6841" s="3">
        <v>0.0</v>
      </c>
      <c r="I6841" s="3" t="s">
        <v>13</v>
      </c>
      <c r="J6841" s="3" t="s">
        <v>19648</v>
      </c>
      <c r="K6841" s="3" t="s">
        <v>510</v>
      </c>
      <c r="L6841" s="3" t="str">
        <f>IFERROR(__xludf.DUMMYFUNCTION("GOOGLETRANSLATE(F6841,""id"",""en"")"),"so when Argentina the champion Emi was very satisfied with fried as if it was proof")</f>
        <v>so when Argentina the champion Emi was very satisfied with fried as if it was proof</v>
      </c>
    </row>
    <row r="6842" ht="15.75" customHeight="1">
      <c r="A6842" s="1">
        <v>8041.0</v>
      </c>
      <c r="B6842" s="3" t="s">
        <v>19649</v>
      </c>
      <c r="C6842" s="3">
        <v>0.0</v>
      </c>
      <c r="D6842" s="3">
        <v>0.0</v>
      </c>
      <c r="E6842" s="3">
        <v>0.0</v>
      </c>
      <c r="F6842" s="3" t="s">
        <v>19650</v>
      </c>
      <c r="G6842" s="3">
        <v>0.0</v>
      </c>
      <c r="H6842" s="3">
        <v>0.0</v>
      </c>
      <c r="I6842" s="3" t="s">
        <v>13</v>
      </c>
      <c r="J6842" s="3" t="s">
        <v>19651</v>
      </c>
      <c r="K6842" s="3" t="s">
        <v>127</v>
      </c>
      <c r="L6842" s="3" t="str">
        <f>IFERROR(__xludf.DUMMYFUNCTION("GOOGLETRANSLATE(F6842,""id"",""en"")"),"Looking for Google Image Mbappe Argentina after winning the opponent's scorn pogba after carrying France World Cup champions")</f>
        <v>Looking for Google Image Mbappe Argentina after winning the opponent's scorn pogba after carrying France World Cup champions</v>
      </c>
    </row>
    <row r="6843" ht="15.75" customHeight="1">
      <c r="A6843" s="1">
        <v>8042.0</v>
      </c>
      <c r="B6843" s="3" t="s">
        <v>19652</v>
      </c>
      <c r="C6843" s="3">
        <v>0.0</v>
      </c>
      <c r="D6843" s="3">
        <v>0.0</v>
      </c>
      <c r="E6843" s="3">
        <v>0.0</v>
      </c>
      <c r="F6843" s="3" t="s">
        <v>19653</v>
      </c>
      <c r="G6843" s="3">
        <v>0.0</v>
      </c>
      <c r="H6843" s="3">
        <v>0.0</v>
      </c>
      <c r="I6843" s="3" t="s">
        <v>13</v>
      </c>
      <c r="J6843" s="3" t="s">
        <v>19654</v>
      </c>
      <c r="K6843" s="3" t="s">
        <v>1428</v>
      </c>
      <c r="L6843" s="3" t="str">
        <f>IFERROR(__xludf.DUMMYFUNCTION("GOOGLETRANSLATE(F6843,""id"",""en"")"),"The word jealousy etymologically comes from the word Irina Shayk Boyfriend Fans which means that the Qatar World Cup FIFA Argentina Champion assisted by FIFA and Cup referees should not be brought to Sleep and so on")</f>
        <v>The word jealousy etymologically comes from the word Irina Shayk Boyfriend Fans which means that the Qatar World Cup FIFA Argentina Champion assisted by FIFA and Cup referees should not be brought to Sleep and so on</v>
      </c>
    </row>
    <row r="6844" ht="15.75" customHeight="1">
      <c r="A6844" s="1">
        <v>8043.0</v>
      </c>
      <c r="B6844" s="3" t="s">
        <v>19655</v>
      </c>
      <c r="C6844" s="3">
        <v>2.0</v>
      </c>
      <c r="D6844" s="3">
        <v>1.0</v>
      </c>
      <c r="E6844" s="3">
        <v>3.0</v>
      </c>
      <c r="F6844" s="3" t="s">
        <v>18830</v>
      </c>
      <c r="G6844" s="3">
        <v>0.0</v>
      </c>
      <c r="H6844" s="3">
        <v>0.0</v>
      </c>
      <c r="I6844" s="3" t="s">
        <v>13</v>
      </c>
      <c r="J6844" s="3" t="s">
        <v>18831</v>
      </c>
      <c r="K6844" s="3" t="s">
        <v>41</v>
      </c>
      <c r="L6844" s="3" t="str">
        <f>IFERROR(__xludf.DUMMYFUNCTION("GOOGLETRANSLATE(F6844,""id"",""en"")"),"Ricuh Parade Argentina Champion Dead Chief Year Coma")</f>
        <v>Ricuh Parade Argentina Champion Dead Chief Year Coma</v>
      </c>
    </row>
    <row r="6845" ht="15.75" customHeight="1">
      <c r="A6845" s="1">
        <v>8044.0</v>
      </c>
      <c r="B6845" s="3" t="s">
        <v>19656</v>
      </c>
      <c r="C6845" s="3">
        <v>3.0</v>
      </c>
      <c r="D6845" s="3">
        <v>0.0</v>
      </c>
      <c r="E6845" s="3">
        <v>9.0</v>
      </c>
      <c r="F6845" s="3" t="s">
        <v>19657</v>
      </c>
      <c r="G6845" s="3">
        <v>0.0</v>
      </c>
      <c r="H6845" s="3">
        <v>0.0</v>
      </c>
      <c r="I6845" s="3" t="s">
        <v>13</v>
      </c>
      <c r="J6845" s="3" t="s">
        <v>19658</v>
      </c>
      <c r="K6845" s="3" t="s">
        <v>1925</v>
      </c>
      <c r="L6845" s="3" t="str">
        <f>IFERROR(__xludf.DUMMYFUNCTION("GOOGLETRANSLATE(F6845,""id"",""en"")"),"The last fact of the Latin American team champion before Argentina was when the year was controlled by Europe, even though the Latin American Pilduun was just eurchased Europe and the most teams also")</f>
        <v>The last fact of the Latin American team champion before Argentina was when the year was controlled by Europe, even though the Latin American Pilduun was just eurchased Europe and the most teams also</v>
      </c>
    </row>
    <row r="6846" ht="15.75" customHeight="1">
      <c r="A6846" s="1">
        <v>8045.0</v>
      </c>
      <c r="B6846" s="3" t="s">
        <v>19659</v>
      </c>
      <c r="C6846" s="3">
        <v>0.0</v>
      </c>
      <c r="D6846" s="3">
        <v>0.0</v>
      </c>
      <c r="E6846" s="3">
        <v>0.0</v>
      </c>
      <c r="F6846" s="3" t="s">
        <v>19660</v>
      </c>
      <c r="G6846" s="3">
        <v>0.0</v>
      </c>
      <c r="H6846" s="3">
        <v>0.0</v>
      </c>
      <c r="I6846" s="3" t="s">
        <v>13</v>
      </c>
      <c r="J6846" s="3" t="s">
        <v>19661</v>
      </c>
      <c r="K6846" s="3" t="s">
        <v>71</v>
      </c>
      <c r="L6846" s="3" t="str">
        <f>IFERROR(__xludf.DUMMYFUNCTION("GOOGLETRANSLATE(F6846,""id"",""en"")"),"The moment of Argentine players was evacuated by helicopters after the celebration of champion chaos cnn indonesia google news sports")</f>
        <v>The moment of Argentine players was evacuated by helicopters after the celebration of champion chaos cnn indonesia google news sports</v>
      </c>
    </row>
    <row r="6847" ht="15.75" customHeight="1">
      <c r="A6847" s="1">
        <v>8046.0</v>
      </c>
      <c r="B6847" s="3" t="s">
        <v>19662</v>
      </c>
      <c r="C6847" s="3">
        <v>0.0</v>
      </c>
      <c r="D6847" s="3">
        <v>0.0</v>
      </c>
      <c r="E6847" s="3">
        <v>0.0</v>
      </c>
      <c r="F6847" s="3" t="s">
        <v>19663</v>
      </c>
      <c r="G6847" s="3">
        <v>0.0</v>
      </c>
      <c r="H6847" s="3">
        <v>0.0</v>
      </c>
      <c r="I6847" s="3" t="s">
        <v>13</v>
      </c>
      <c r="J6847" s="3" t="s">
        <v>19664</v>
      </c>
      <c r="K6847" s="3" t="s">
        <v>71</v>
      </c>
      <c r="L6847" s="3" t="str">
        <f>IFERROR(__xludf.DUMMYFUNCTION("GOOGLETRANSLATE(F6847,""id"",""en"")"),"Although Argentina came out as the World Cup champion after winning the penalty why Drake actually lost his betting money")</f>
        <v>Although Argentina came out as the World Cup champion after winning the penalty why Drake actually lost his betting money</v>
      </c>
    </row>
    <row r="6848" ht="15.75" customHeight="1">
      <c r="A6848" s="1">
        <v>8047.0</v>
      </c>
      <c r="B6848" s="3" t="s">
        <v>19665</v>
      </c>
      <c r="C6848" s="3">
        <v>0.0</v>
      </c>
      <c r="D6848" s="3">
        <v>0.0</v>
      </c>
      <c r="E6848" s="3">
        <v>0.0</v>
      </c>
      <c r="F6848" s="3" t="s">
        <v>19666</v>
      </c>
      <c r="G6848" s="3">
        <v>0.0</v>
      </c>
      <c r="H6848" s="3">
        <v>0.0</v>
      </c>
      <c r="I6848" s="3" t="s">
        <v>13</v>
      </c>
      <c r="J6848" s="3" t="s">
        <v>19667</v>
      </c>
      <c r="K6848" s="3" t="s">
        <v>903</v>
      </c>
      <c r="L6848" s="3" t="str">
        <f>IFERROR(__xludf.DUMMYFUNCTION("GOOGLETRANSLATE(F6848,""id"",""en"")"),"Why the heck people have Argentina who champions are not necessarily champions anymore, how come the debate about Ronaldo and Messi who is the actual goat they are friends, how come you are the one who is fussing about Mbok enjoyed by wae while the two of"&amp;" them are still actively playing")</f>
        <v>Why the heck people have Argentina who champions are not necessarily champions anymore, how come the debate about Ronaldo and Messi who is the actual goat they are friends, how come you are the one who is fussing about Mbok enjoyed by wae while the two of them are still actively playing</v>
      </c>
    </row>
    <row r="6849" ht="15.75" customHeight="1">
      <c r="A6849" s="1">
        <v>8048.0</v>
      </c>
      <c r="B6849" s="3" t="s">
        <v>19668</v>
      </c>
      <c r="C6849" s="3">
        <v>0.0</v>
      </c>
      <c r="D6849" s="3">
        <v>0.0</v>
      </c>
      <c r="E6849" s="3">
        <v>2.0</v>
      </c>
      <c r="F6849" s="3" t="s">
        <v>19669</v>
      </c>
      <c r="G6849" s="3">
        <v>0.0</v>
      </c>
      <c r="H6849" s="3">
        <v>0.0</v>
      </c>
      <c r="I6849" s="3" t="s">
        <v>13</v>
      </c>
      <c r="J6849" s="3" t="s">
        <v>19670</v>
      </c>
      <c r="K6849" s="3" t="s">
        <v>1479</v>
      </c>
      <c r="L6849" s="3" t="str">
        <f>IFERROR(__xludf.DUMMYFUNCTION("GOOGLETRANSLATE(F6849,""id"",""en"")"),"The typical Giay hater Messi and Argentina champion Pilduun is a word if if if the ball ball boli")</f>
        <v>The typical Giay hater Messi and Argentina champion Pilduun is a word if if if the ball ball boli</v>
      </c>
    </row>
    <row r="6850" ht="15.75" customHeight="1">
      <c r="A6850" s="1">
        <v>8049.0</v>
      </c>
      <c r="B6850" s="3" t="s">
        <v>19671</v>
      </c>
      <c r="C6850" s="3">
        <v>0.0</v>
      </c>
      <c r="D6850" s="3">
        <v>0.0</v>
      </c>
      <c r="E6850" s="3">
        <v>0.0</v>
      </c>
      <c r="F6850" s="3" t="s">
        <v>19672</v>
      </c>
      <c r="G6850" s="3">
        <v>0.0</v>
      </c>
      <c r="H6850" s="3">
        <v>0.0</v>
      </c>
      <c r="I6850" s="3" t="s">
        <v>13</v>
      </c>
      <c r="J6850" s="3" t="s">
        <v>19673</v>
      </c>
      <c r="K6850" s="3" t="s">
        <v>510</v>
      </c>
      <c r="L6850" s="3" t="str">
        <f>IFERROR(__xludf.DUMMYFUNCTION("GOOGLETRANSLATE(F6850,""id"",""en"")"),"Argentina World Champion Pele Call Maradona Surely Smiling Heaven Neymar Congratulations to Lionel Messi")</f>
        <v>Argentina World Champion Pele Call Maradona Surely Smiling Heaven Neymar Congratulations to Lionel Messi</v>
      </c>
    </row>
    <row r="6851" ht="15.75" customHeight="1">
      <c r="A6851" s="1">
        <v>8050.0</v>
      </c>
      <c r="B6851" s="3" t="s">
        <v>19674</v>
      </c>
      <c r="C6851" s="3">
        <v>0.0</v>
      </c>
      <c r="D6851" s="3">
        <v>0.0</v>
      </c>
      <c r="E6851" s="3">
        <v>0.0</v>
      </c>
      <c r="F6851" s="3" t="s">
        <v>19660</v>
      </c>
      <c r="G6851" s="3">
        <v>0.0</v>
      </c>
      <c r="H6851" s="3">
        <v>0.0</v>
      </c>
      <c r="I6851" s="3" t="s">
        <v>13</v>
      </c>
      <c r="J6851" s="3" t="s">
        <v>19661</v>
      </c>
      <c r="K6851" s="3" t="s">
        <v>71</v>
      </c>
      <c r="L6851" s="3" t="str">
        <f>IFERROR(__xludf.DUMMYFUNCTION("GOOGLETRANSLATE(F6851,""id"",""en"")"),"The moment of Argentine players was evacuated by helicopters after the celebration of champion chaos cnn indonesia google news sports")</f>
        <v>The moment of Argentine players was evacuated by helicopters after the celebration of champion chaos cnn indonesia google news sports</v>
      </c>
    </row>
    <row r="6852" ht="15.75" customHeight="1">
      <c r="A6852" s="1">
        <v>8051.0</v>
      </c>
      <c r="B6852" s="3" t="s">
        <v>19675</v>
      </c>
      <c r="C6852" s="3">
        <v>0.0</v>
      </c>
      <c r="D6852" s="3">
        <v>0.0</v>
      </c>
      <c r="E6852" s="3">
        <v>1.0</v>
      </c>
      <c r="F6852" s="3" t="s">
        <v>19676</v>
      </c>
      <c r="G6852" s="3">
        <v>0.0</v>
      </c>
      <c r="H6852" s="3">
        <v>0.0</v>
      </c>
      <c r="I6852" s="3" t="s">
        <v>13</v>
      </c>
      <c r="J6852" s="3" t="s">
        <v>19677</v>
      </c>
      <c r="K6852" s="3" t="s">
        <v>75</v>
      </c>
      <c r="L6852" s="3" t="str">
        <f>IFERROR(__xludf.DUMMYFUNCTION("GOOGLETRANSLATE(F6852,""id"",""en"")"),"Argentina Champion Messi remained humble despite being crowned football goat")</f>
        <v>Argentina Champion Messi remained humble despite being crowned football goat</v>
      </c>
    </row>
    <row r="6853" ht="15.75" customHeight="1">
      <c r="A6853" s="1">
        <v>8052.0</v>
      </c>
      <c r="B6853" s="3" t="s">
        <v>19678</v>
      </c>
      <c r="C6853" s="3">
        <v>0.0</v>
      </c>
      <c r="D6853" s="3">
        <v>1.0</v>
      </c>
      <c r="E6853" s="3">
        <v>4.0</v>
      </c>
      <c r="F6853" s="3" t="s">
        <v>19679</v>
      </c>
      <c r="G6853" s="3">
        <v>0.0</v>
      </c>
      <c r="H6853" s="3">
        <v>0.0</v>
      </c>
      <c r="I6853" s="3" t="s">
        <v>13</v>
      </c>
      <c r="J6853" s="3" t="s">
        <v>19680</v>
      </c>
      <c r="K6853" s="3" t="s">
        <v>477</v>
      </c>
      <c r="L6853" s="3" t="str">
        <f>IFERROR(__xludf.DUMMYFUNCTION("GOOGLETRANSLATE(F6853,""id"",""en"")"),"Happy Argentina Champion World Cup Gooll Gooll Golkaaarrr")</f>
        <v>Happy Argentina Champion World Cup Gooll Gooll Golkaaarrr</v>
      </c>
    </row>
    <row r="6854" ht="15.75" customHeight="1">
      <c r="A6854" s="1">
        <v>8053.0</v>
      </c>
      <c r="B6854" s="3" t="s">
        <v>19681</v>
      </c>
      <c r="C6854" s="3">
        <v>0.0</v>
      </c>
      <c r="D6854" s="3">
        <v>0.0</v>
      </c>
      <c r="E6854" s="3">
        <v>1.0</v>
      </c>
      <c r="F6854" s="3" t="s">
        <v>19676</v>
      </c>
      <c r="G6854" s="3">
        <v>0.0</v>
      </c>
      <c r="H6854" s="3">
        <v>0.0</v>
      </c>
      <c r="I6854" s="3" t="s">
        <v>13</v>
      </c>
      <c r="J6854" s="3" t="s">
        <v>19677</v>
      </c>
      <c r="K6854" s="3" t="s">
        <v>75</v>
      </c>
      <c r="L6854" s="3" t="str">
        <f>IFERROR(__xludf.DUMMYFUNCTION("GOOGLETRANSLATE(F6854,""id"",""en"")"),"Argentina Champion Messi remained humble despite being crowned football goat")</f>
        <v>Argentina Champion Messi remained humble despite being crowned football goat</v>
      </c>
    </row>
    <row r="6855" ht="15.75" customHeight="1">
      <c r="A6855" s="1">
        <v>8054.0</v>
      </c>
      <c r="B6855" s="3" t="s">
        <v>19682</v>
      </c>
      <c r="C6855" s="3">
        <v>0.0</v>
      </c>
      <c r="D6855" s="3">
        <v>0.0</v>
      </c>
      <c r="E6855" s="3">
        <v>0.0</v>
      </c>
      <c r="F6855" s="3" t="s">
        <v>19683</v>
      </c>
      <c r="G6855" s="3">
        <v>0.0</v>
      </c>
      <c r="H6855" s="3">
        <v>0.0</v>
      </c>
      <c r="I6855" s="3" t="s">
        <v>13</v>
      </c>
      <c r="J6855" s="3" t="s">
        <v>19684</v>
      </c>
      <c r="K6855" s="3" t="s">
        <v>860</v>
      </c>
      <c r="L6855" s="3" t="str">
        <f>IFERROR(__xludf.DUMMYFUNCTION("GOOGLETRANSLATE(F6855,""id"",""en"")"),"Alhamdulillah, finally since Argentina always failed to win the new World Cup in the Jokowi Argentina government succeeded")</f>
        <v>Alhamdulillah, finally since Argentina always failed to win the new World Cup in the Jokowi Argentina government succeeded</v>
      </c>
    </row>
    <row r="6856" ht="15.75" customHeight="1">
      <c r="A6856" s="1">
        <v>8055.0</v>
      </c>
      <c r="B6856" s="3" t="s">
        <v>19685</v>
      </c>
      <c r="C6856" s="3">
        <v>0.0</v>
      </c>
      <c r="D6856" s="3">
        <v>0.0</v>
      </c>
      <c r="E6856" s="3">
        <v>0.0</v>
      </c>
      <c r="F6856" s="3" t="s">
        <v>19686</v>
      </c>
      <c r="G6856" s="3">
        <v>0.2333333333333333</v>
      </c>
      <c r="H6856" s="3">
        <v>-0.25</v>
      </c>
      <c r="I6856" s="3" t="s">
        <v>179</v>
      </c>
      <c r="J6856" s="3" t="s">
        <v>19687</v>
      </c>
      <c r="K6856" s="3" t="s">
        <v>358</v>
      </c>
      <c r="L6856" s="3" t="str">
        <f>IFERROR(__xludf.DUMMYFUNCTION("GOOGLETRANSLATE(F6856,""id"",""en"")"),"The Argentine national team failed to undergo the World Cup championship parade by using the Buenos Aires Street buses, the Parade must be continued using the next helicopter")</f>
        <v>The Argentine national team failed to undergo the World Cup championship parade by using the Buenos Aires Street buses, the Parade must be continued using the next helicopter</v>
      </c>
    </row>
    <row r="6857" ht="15.75" customHeight="1">
      <c r="A6857" s="1">
        <v>8056.0</v>
      </c>
      <c r="B6857" s="3" t="s">
        <v>19688</v>
      </c>
      <c r="C6857" s="3">
        <v>0.0</v>
      </c>
      <c r="D6857" s="3">
        <v>0.0</v>
      </c>
      <c r="E6857" s="3">
        <v>0.0</v>
      </c>
      <c r="F6857" s="3" t="s">
        <v>19689</v>
      </c>
      <c r="G6857" s="3">
        <v>0.0</v>
      </c>
      <c r="H6857" s="3">
        <v>0.0</v>
      </c>
      <c r="I6857" s="3" t="s">
        <v>13</v>
      </c>
      <c r="J6857" s="3" t="s">
        <v>19690</v>
      </c>
      <c r="K6857" s="3" t="s">
        <v>15</v>
      </c>
      <c r="L6857" s="3" t="str">
        <f>IFERROR(__xludf.DUMMYFUNCTION("GOOGLETRANSLATE(F6857,""id"",""en"")"),"Congratulations to Argentina World Cup Champion Messi Goat")</f>
        <v>Congratulations to Argentina World Cup Champion Messi Goat</v>
      </c>
    </row>
    <row r="6858" ht="15.75" customHeight="1">
      <c r="A6858" s="1">
        <v>8057.0</v>
      </c>
      <c r="B6858" s="3" t="s">
        <v>19691</v>
      </c>
      <c r="C6858" s="3">
        <v>0.0</v>
      </c>
      <c r="D6858" s="3">
        <v>0.0</v>
      </c>
      <c r="E6858" s="3">
        <v>0.0</v>
      </c>
      <c r="F6858" s="3" t="s">
        <v>19692</v>
      </c>
      <c r="G6858" s="3">
        <v>0.1</v>
      </c>
      <c r="H6858" s="3">
        <v>0.0</v>
      </c>
      <c r="I6858" s="3" t="s">
        <v>13</v>
      </c>
      <c r="J6858" s="3" t="s">
        <v>19693</v>
      </c>
      <c r="K6858" s="3" t="s">
        <v>510</v>
      </c>
      <c r="L6858" s="3" t="str">
        <f>IFERROR(__xludf.DUMMYFUNCTION("GOOGLETRANSLATE(F6858,""id"",""en"")"),"what's the point of scoring in the minute if the end is Argentina who won big respect for mbappe")</f>
        <v>what's the point of scoring in the minute if the end is Argentina who won big respect for mbappe</v>
      </c>
    </row>
    <row r="6859" ht="15.75" customHeight="1">
      <c r="A6859" s="1">
        <v>8058.0</v>
      </c>
      <c r="B6859" s="3" t="s">
        <v>19694</v>
      </c>
      <c r="C6859" s="3">
        <v>0.0</v>
      </c>
      <c r="D6859" s="3">
        <v>0.0</v>
      </c>
      <c r="E6859" s="3">
        <v>1.0</v>
      </c>
      <c r="F6859" s="3" t="s">
        <v>19695</v>
      </c>
      <c r="G6859" s="3">
        <v>0.0</v>
      </c>
      <c r="H6859" s="3">
        <v>0.0</v>
      </c>
      <c r="I6859" s="3" t="s">
        <v>13</v>
      </c>
      <c r="J6859" s="3" t="s">
        <v>19696</v>
      </c>
      <c r="K6859" s="3" t="s">
        <v>644</v>
      </c>
      <c r="L6859" s="3" t="str">
        <f>IFERROR(__xludf.DUMMYFUNCTION("GOOGLETRANSLATE(F6859,""id"",""en"")"),"because the Argentine champion is safe controlled")</f>
        <v>because the Argentine champion is safe controlled</v>
      </c>
    </row>
    <row r="6860" ht="15.75" customHeight="1">
      <c r="A6860" s="1">
        <v>8059.0</v>
      </c>
      <c r="B6860" s="3" t="s">
        <v>19697</v>
      </c>
      <c r="C6860" s="3">
        <v>0.0</v>
      </c>
      <c r="D6860" s="3">
        <v>0.0</v>
      </c>
      <c r="E6860" s="3">
        <v>0.0</v>
      </c>
      <c r="F6860" s="3" t="s">
        <v>19698</v>
      </c>
      <c r="G6860" s="3">
        <v>0.0</v>
      </c>
      <c r="H6860" s="3">
        <v>0.0</v>
      </c>
      <c r="I6860" s="3" t="s">
        <v>13</v>
      </c>
      <c r="J6860" s="3" t="s">
        <v>19699</v>
      </c>
      <c r="K6860" s="3" t="s">
        <v>50</v>
      </c>
      <c r="L6860" s="3" t="str">
        <f>IFERROR(__xludf.DUMMYFUNCTION("GOOGLETRANSLATE(F6860,""id"",""en"")"),"FIFA from Sports triumphant Ramal Argentina World Cup champions exactly for the fourth time")</f>
        <v>FIFA from Sports triumphant Ramal Argentina World Cup champions exactly for the fourth time</v>
      </c>
    </row>
    <row r="6861" ht="15.75" customHeight="1">
      <c r="A6861" s="1">
        <v>8060.0</v>
      </c>
      <c r="B6861" s="3" t="s">
        <v>19700</v>
      </c>
      <c r="C6861" s="3">
        <v>2.0</v>
      </c>
      <c r="D6861" s="3">
        <v>0.0</v>
      </c>
      <c r="E6861" s="3">
        <v>0.0</v>
      </c>
      <c r="F6861" s="3" t="s">
        <v>19701</v>
      </c>
      <c r="G6861" s="3">
        <v>0.0</v>
      </c>
      <c r="H6861" s="3">
        <v>0.0</v>
      </c>
      <c r="I6861" s="3" t="s">
        <v>13</v>
      </c>
      <c r="J6861" s="3" t="s">
        <v>19702</v>
      </c>
      <c r="K6861" s="3" t="s">
        <v>31</v>
      </c>
      <c r="L6861" s="3" t="str">
        <f>IFERROR(__xludf.DUMMYFUNCTION("GOOGLETRANSLATE(F6861,""id"",""en"")"),"it turns out that the fact is the Argentine world champion")</f>
        <v>it turns out that the fact is the Argentine world champion</v>
      </c>
    </row>
    <row r="6862" ht="15.75" customHeight="1">
      <c r="A6862" s="1">
        <v>8061.0</v>
      </c>
      <c r="B6862" s="3" t="s">
        <v>19703</v>
      </c>
      <c r="C6862" s="3">
        <v>0.0</v>
      </c>
      <c r="D6862" s="3">
        <v>0.0</v>
      </c>
      <c r="E6862" s="3">
        <v>1.0</v>
      </c>
      <c r="F6862" s="3" t="s">
        <v>19704</v>
      </c>
      <c r="G6862" s="3">
        <v>0.5916666666666667</v>
      </c>
      <c r="H6862" s="3">
        <v>0.2083333333333333</v>
      </c>
      <c r="I6862" s="3" t="s">
        <v>48</v>
      </c>
      <c r="J6862" s="3" t="s">
        <v>19705</v>
      </c>
      <c r="K6862" s="3" t="s">
        <v>19410</v>
      </c>
      <c r="L6862" s="3" t="str">
        <f>IFERROR(__xludf.DUMMYFUNCTION("GOOGLETRANSLATE(F6862,""id"",""en"")"),"when I saw Licha's photo when I played my field when I saw Licha's photo when the Argentina champion was outside the field, aka Damn Hot")</f>
        <v>when I saw Licha's photo when I played my field when I saw Licha's photo when the Argentina champion was outside the field, aka Damn Hot</v>
      </c>
    </row>
    <row r="6863" ht="15.75" customHeight="1">
      <c r="A6863" s="1">
        <v>8062.0</v>
      </c>
      <c r="B6863" s="3" t="s">
        <v>19706</v>
      </c>
      <c r="C6863" s="3">
        <v>5.0</v>
      </c>
      <c r="D6863" s="3">
        <v>15.0</v>
      </c>
      <c r="E6863" s="3">
        <v>57.0</v>
      </c>
      <c r="F6863" s="3" t="s">
        <v>19707</v>
      </c>
      <c r="G6863" s="3">
        <v>0.2</v>
      </c>
      <c r="H6863" s="3">
        <v>0.3</v>
      </c>
      <c r="I6863" s="3" t="s">
        <v>48</v>
      </c>
      <c r="J6863" s="3" t="s">
        <v>19708</v>
      </c>
      <c r="K6863" s="3" t="s">
        <v>433</v>
      </c>
      <c r="L6863" s="3" t="str">
        <f>IFERROR(__xludf.DUMMYFUNCTION("GOOGLETRANSLATE(F6863,""id"",""en"")"),"It turned out that Argentina was a champion and Just Having Fun Lionel Messi was predicted by a long time ago through the song")</f>
        <v>It turned out that Argentina was a champion and Just Having Fun Lionel Messi was predicted by a long time ago through the song</v>
      </c>
    </row>
    <row r="6864" ht="15.75" customHeight="1">
      <c r="A6864" s="1">
        <v>8063.0</v>
      </c>
      <c r="B6864" s="3" t="s">
        <v>19709</v>
      </c>
      <c r="C6864" s="3">
        <v>0.0</v>
      </c>
      <c r="D6864" s="3">
        <v>0.0</v>
      </c>
      <c r="E6864" s="3">
        <v>0.0</v>
      </c>
      <c r="F6864" s="3" t="s">
        <v>19101</v>
      </c>
      <c r="G6864" s="3">
        <v>0.2333333333333333</v>
      </c>
      <c r="H6864" s="3">
        <v>-0.25</v>
      </c>
      <c r="I6864" s="3" t="s">
        <v>179</v>
      </c>
      <c r="J6864" s="3" t="s">
        <v>19102</v>
      </c>
      <c r="K6864" s="3" t="s">
        <v>50</v>
      </c>
      <c r="L6864" s="3" t="str">
        <f>IFERROR(__xludf.DUMMYFUNCTION("GOOGLETRANSLATE(F6864,""id"",""en"")"),"The Argentine World Cup championship parade was chaotic, Messi et al were transported by helicopters")</f>
        <v>The Argentine World Cup championship parade was chaotic, Messi et al were transported by helicopters</v>
      </c>
    </row>
    <row r="6865" ht="15.75" customHeight="1">
      <c r="A6865" s="1">
        <v>8064.0</v>
      </c>
      <c r="B6865" s="3" t="s">
        <v>19710</v>
      </c>
      <c r="C6865" s="3">
        <v>0.0</v>
      </c>
      <c r="D6865" s="3">
        <v>0.0</v>
      </c>
      <c r="E6865" s="3">
        <v>0.0</v>
      </c>
      <c r="F6865" s="3" t="s">
        <v>19711</v>
      </c>
      <c r="G6865" s="3">
        <v>0.0</v>
      </c>
      <c r="H6865" s="3">
        <v>0.0</v>
      </c>
      <c r="I6865" s="3" t="s">
        <v>13</v>
      </c>
      <c r="J6865" s="3" t="s">
        <v>19712</v>
      </c>
      <c r="K6865" s="3" t="s">
        <v>31</v>
      </c>
      <c r="L6865" s="3" t="str">
        <f>IFERROR(__xludf.DUMMYFUNCTION("GOOGLETRANSLATE(F6865,""id"",""en"")"),"Become an Argentine Champion National Holidays")</f>
        <v>Become an Argentine Champion National Holidays</v>
      </c>
    </row>
    <row r="6866" ht="15.75" customHeight="1">
      <c r="A6866" s="1">
        <v>8065.0</v>
      </c>
      <c r="B6866" s="3" t="s">
        <v>19713</v>
      </c>
      <c r="C6866" s="3">
        <v>2.0</v>
      </c>
      <c r="D6866" s="3">
        <v>0.0</v>
      </c>
      <c r="E6866" s="3">
        <v>1.0</v>
      </c>
      <c r="F6866" s="3" t="s">
        <v>19714</v>
      </c>
      <c r="G6866" s="3">
        <v>0.0</v>
      </c>
      <c r="H6866" s="3">
        <v>0.0</v>
      </c>
      <c r="I6866" s="3" t="s">
        <v>13</v>
      </c>
      <c r="J6866" s="3" t="s">
        <v>19715</v>
      </c>
      <c r="K6866" s="3" t="s">
        <v>574</v>
      </c>
      <c r="L6866" s="3" t="str">
        <f>IFERROR(__xludf.DUMMYFUNCTION("GOOGLETRANSLATE(F6866,""id"",""en"")"),"Look at the final sentence statement, the same is the same underestimating Latin America can be world champion winning European countries reasonable if he became the subject of ridicule after Argentina champion mbappe great players if attitude")</f>
        <v>Look at the final sentence statement, the same is the same underestimating Latin America can be world champion winning European countries reasonable if he became the subject of ridicule after Argentina champion mbappe great players if attitude</v>
      </c>
    </row>
    <row r="6867" ht="15.75" customHeight="1">
      <c r="A6867" s="1">
        <v>8066.0</v>
      </c>
      <c r="B6867" s="3" t="s">
        <v>19716</v>
      </c>
      <c r="C6867" s="3">
        <v>0.0</v>
      </c>
      <c r="D6867" s="3">
        <v>0.0</v>
      </c>
      <c r="E6867" s="3">
        <v>0.0</v>
      </c>
      <c r="F6867" s="3" t="s">
        <v>19716</v>
      </c>
      <c r="G6867" s="3">
        <v>0.0</v>
      </c>
      <c r="H6867" s="3">
        <v>0.0</v>
      </c>
      <c r="I6867" s="3" t="s">
        <v>13</v>
      </c>
      <c r="J6867" s="3" t="s">
        <v>19717</v>
      </c>
      <c r="K6867" s="3" t="s">
        <v>82</v>
      </c>
      <c r="L6867" s="3" t="str">
        <f>IFERROR(__xludf.DUMMYFUNCTION("GOOGLETRANSLATE(F6867,""id"",""en"")"),"Tunnel Semanggi Taste Buenos Aires After Argentina Champion")</f>
        <v>Tunnel Semanggi Taste Buenos Aires After Argentina Champion</v>
      </c>
    </row>
    <row r="6868" ht="15.75" customHeight="1">
      <c r="A6868" s="1">
        <v>8067.0</v>
      </c>
      <c r="B6868" s="3" t="s">
        <v>19718</v>
      </c>
      <c r="C6868" s="3">
        <v>1.0</v>
      </c>
      <c r="D6868" s="3">
        <v>0.0</v>
      </c>
      <c r="E6868" s="3">
        <v>2.0</v>
      </c>
      <c r="F6868" s="3" t="s">
        <v>19257</v>
      </c>
      <c r="G6868" s="3">
        <v>0.2333333333333333</v>
      </c>
      <c r="H6868" s="3">
        <v>-0.25</v>
      </c>
      <c r="I6868" s="3" t="s">
        <v>179</v>
      </c>
      <c r="J6868" s="3" t="s">
        <v>19258</v>
      </c>
      <c r="K6868" s="3" t="s">
        <v>699</v>
      </c>
      <c r="L6868" s="3" t="str">
        <f>IFERROR(__xludf.DUMMYFUNCTION("GOOGLETRANSLATE(F6868,""id"",""en"")"),"The moment between Rodrigo Paul and Lionel Messi returned to the spotlight this time Paul was seen directly according to what Messi said in the Argentine championship parade")</f>
        <v>The moment between Rodrigo Paul and Lionel Messi returned to the spotlight this time Paul was seen directly according to what Messi said in the Argentine championship parade</v>
      </c>
    </row>
    <row r="6869" ht="15.75" customHeight="1">
      <c r="A6869" s="1">
        <v>8068.0</v>
      </c>
      <c r="B6869" s="3" t="s">
        <v>19719</v>
      </c>
      <c r="C6869" s="3">
        <v>1.0</v>
      </c>
      <c r="D6869" s="3">
        <v>0.0</v>
      </c>
      <c r="E6869" s="3">
        <v>0.0</v>
      </c>
      <c r="F6869" s="3" t="s">
        <v>19720</v>
      </c>
      <c r="G6869" s="3">
        <v>0.7272727272727273</v>
      </c>
      <c r="H6869" s="3">
        <v>0.06818181818181818</v>
      </c>
      <c r="I6869" s="3" t="s">
        <v>48</v>
      </c>
      <c r="J6869" s="3" t="s">
        <v>19721</v>
      </c>
      <c r="K6869" s="3" t="s">
        <v>584</v>
      </c>
      <c r="L6869" s="3" t="str">
        <f>IFERROR(__xludf.DUMMYFUNCTION("GOOGLETRANSLATE(F6869,""id"",""en"")"),"But if the last edition is still the france because the champion can continue to backtoback the final again and the runner is only through this penalty shootout that is the best record as the defending champion of the World Cup since the New Trophy era")</f>
        <v>But if the last edition is still the france because the champion can continue to backtoback the final again and the runner is only through this penalty shootout that is the best record as the defending champion of the World Cup since the New Trophy era</v>
      </c>
    </row>
    <row r="6870" ht="15.75" customHeight="1">
      <c r="A6870" s="1">
        <v>8070.0</v>
      </c>
      <c r="B6870" s="3" t="s">
        <v>19722</v>
      </c>
      <c r="C6870" s="3">
        <v>0.0</v>
      </c>
      <c r="D6870" s="3">
        <v>0.0</v>
      </c>
      <c r="E6870" s="3">
        <v>0.0</v>
      </c>
      <c r="F6870" s="3" t="s">
        <v>19723</v>
      </c>
      <c r="G6870" s="3">
        <v>0.5</v>
      </c>
      <c r="H6870" s="3">
        <v>0.5</v>
      </c>
      <c r="I6870" s="3" t="s">
        <v>48</v>
      </c>
      <c r="J6870" s="3" t="s">
        <v>19724</v>
      </c>
      <c r="K6870" s="3" t="s">
        <v>510</v>
      </c>
      <c r="L6870" s="3" t="str">
        <f>IFERROR(__xludf.DUMMYFUNCTION("GOOGLETRANSLATE(F6870,""id"",""en"")"),"Top Lionel Messi's Football News Almost Natural Accident When Celebrating Argentina World Cup Champion")</f>
        <v>Top Lionel Messi's Football News Almost Natural Accident When Celebrating Argentina World Cup Champion</v>
      </c>
    </row>
    <row r="6871" ht="15.75" customHeight="1">
      <c r="A6871" s="1">
        <v>8071.0</v>
      </c>
      <c r="B6871" s="3" t="s">
        <v>19725</v>
      </c>
      <c r="C6871" s="3">
        <v>0.0</v>
      </c>
      <c r="D6871" s="3">
        <v>0.0</v>
      </c>
      <c r="E6871" s="3">
        <v>0.0</v>
      </c>
      <c r="F6871" s="3" t="s">
        <v>19726</v>
      </c>
      <c r="G6871" s="3">
        <v>0.0</v>
      </c>
      <c r="H6871" s="3">
        <v>0.0</v>
      </c>
      <c r="I6871" s="3" t="s">
        <v>13</v>
      </c>
      <c r="J6871" s="3" t="s">
        <v>19727</v>
      </c>
      <c r="K6871" s="3" t="s">
        <v>228</v>
      </c>
      <c r="L6871" s="3" t="str">
        <f>IFERROR(__xludf.DUMMYFUNCTION("GOOGLETRANSLATE(F6871,""id"",""en"")"),"Naturally, it was as excited as that, the majority of Argentina fans only saw the last world cup champion, then even Argentina fans, maybe most of it hadn't seen it at that time if Most France")</f>
        <v>Naturally, it was as excited as that, the majority of Argentina fans only saw the last world cup champion, then even Argentina fans, maybe most of it hadn't seen it at that time if Most France</v>
      </c>
    </row>
    <row r="6872" ht="15.75" customHeight="1">
      <c r="A6872" s="1">
        <v>8072.0</v>
      </c>
      <c r="B6872" s="3" t="s">
        <v>19728</v>
      </c>
      <c r="C6872" s="3">
        <v>0.0</v>
      </c>
      <c r="D6872" s="3">
        <v>0.0</v>
      </c>
      <c r="E6872" s="3">
        <v>0.0</v>
      </c>
      <c r="F6872" s="3" t="s">
        <v>19729</v>
      </c>
      <c r="G6872" s="3">
        <v>0.0</v>
      </c>
      <c r="H6872" s="3">
        <v>0.0</v>
      </c>
      <c r="I6872" s="3" t="s">
        <v>13</v>
      </c>
      <c r="J6872" s="3" t="s">
        <v>19730</v>
      </c>
      <c r="K6872" s="3" t="s">
        <v>1656</v>
      </c>
      <c r="L6872" s="3" t="str">
        <f>IFERROR(__xludf.DUMMYFUNCTION("GOOGLETRANSLATE(F6872,""id"",""en"")"),"This morning talking about the euphoria of Argentinians, the National Cup Champion of the Argentine Cup Cup.")</f>
        <v>This morning talking about the euphoria of Argentinians, the National Cup Champion of the Argentine Cup Cup.</v>
      </c>
    </row>
    <row r="6873" ht="15.75" customHeight="1">
      <c r="A6873" s="1">
        <v>8073.0</v>
      </c>
      <c r="B6873" s="3" t="s">
        <v>19731</v>
      </c>
      <c r="C6873" s="3">
        <v>1.0</v>
      </c>
      <c r="D6873" s="3">
        <v>1.0</v>
      </c>
      <c r="E6873" s="3">
        <v>20.0</v>
      </c>
      <c r="F6873" s="3" t="s">
        <v>19732</v>
      </c>
      <c r="G6873" s="3">
        <v>0.0</v>
      </c>
      <c r="H6873" s="3">
        <v>0.0</v>
      </c>
      <c r="I6873" s="3" t="s">
        <v>13</v>
      </c>
      <c r="J6873" s="3" t="s">
        <v>19733</v>
      </c>
      <c r="K6873" s="3" t="s">
        <v>75</v>
      </c>
      <c r="L6873" s="3" t="str">
        <f>IFERROR(__xludf.DUMMYFUNCTION("GOOGLETRANSLATE(F6873,""id"",""en"")"),"FYI from Argentine players who won the World Cup this year played for European clubs")</f>
        <v>FYI from Argentine players who won the World Cup this year played for European clubs</v>
      </c>
    </row>
    <row r="6874" ht="15.75" customHeight="1">
      <c r="A6874" s="1">
        <v>8074.0</v>
      </c>
      <c r="B6874" s="3" t="s">
        <v>19734</v>
      </c>
      <c r="C6874" s="3">
        <v>0.0</v>
      </c>
      <c r="D6874" s="3">
        <v>0.0</v>
      </c>
      <c r="E6874" s="3">
        <v>1.0</v>
      </c>
      <c r="F6874" s="3" t="s">
        <v>19735</v>
      </c>
      <c r="G6874" s="3">
        <v>0.0</v>
      </c>
      <c r="H6874" s="3">
        <v>0.0</v>
      </c>
      <c r="I6874" s="3" t="s">
        <v>13</v>
      </c>
      <c r="J6874" s="3" t="s">
        <v>19736</v>
      </c>
      <c r="K6874" s="3" t="s">
        <v>9982</v>
      </c>
      <c r="L6874" s="3" t="str">
        <f>IFERROR(__xludf.DUMMYFUNCTION("GOOGLETRANSLATE(F6874,""id"",""en"")"),"Brazil EMG many ball talents even still leaks a lot of Argentina has been worthy of champion because Portugal has only champions and even then Euro and UEFA Nations League can be said")</f>
        <v>Brazil EMG many ball talents even still leaks a lot of Argentina has been worthy of champion because Portugal has only champions and even then Euro and UEFA Nations League can be said</v>
      </c>
    </row>
    <row r="6875" ht="15.75" customHeight="1">
      <c r="A6875" s="1">
        <v>8075.0</v>
      </c>
      <c r="B6875" s="3" t="s">
        <v>19737</v>
      </c>
      <c r="C6875" s="3">
        <v>0.0</v>
      </c>
      <c r="D6875" s="3">
        <v>0.0</v>
      </c>
      <c r="E6875" s="3">
        <v>0.0</v>
      </c>
      <c r="F6875" s="3" t="s">
        <v>19738</v>
      </c>
      <c r="G6875" s="3">
        <v>0.0</v>
      </c>
      <c r="H6875" s="3">
        <v>0.0</v>
      </c>
      <c r="I6875" s="3" t="s">
        <v>13</v>
      </c>
      <c r="J6875" s="3" t="s">
        <v>19739</v>
      </c>
      <c r="K6875" s="3" t="s">
        <v>123</v>
      </c>
      <c r="L6875" s="3" t="str">
        <f>IFERROR(__xludf.DUMMYFUNCTION("GOOGLETRANSLATE(F6875,""id"",""en"")"),"million fans gathered Argentina Buenos Aires to celebrate the third FIFA World Cup world title Argentina")</f>
        <v>million fans gathered Argentina Buenos Aires to celebrate the third FIFA World Cup world title Argentina</v>
      </c>
    </row>
    <row r="6876" ht="15.75" customHeight="1">
      <c r="A6876" s="1">
        <v>8076.0</v>
      </c>
      <c r="B6876" s="3" t="s">
        <v>19740</v>
      </c>
      <c r="C6876" s="3">
        <v>0.0</v>
      </c>
      <c r="D6876" s="3">
        <v>0.0</v>
      </c>
      <c r="E6876" s="3">
        <v>0.0</v>
      </c>
      <c r="F6876" s="3" t="s">
        <v>19741</v>
      </c>
      <c r="G6876" s="3">
        <v>0.0</v>
      </c>
      <c r="H6876" s="3">
        <v>0.0</v>
      </c>
      <c r="I6876" s="3" t="s">
        <v>13</v>
      </c>
      <c r="J6876" s="3" t="s">
        <v>19742</v>
      </c>
      <c r="K6876" s="3" t="s">
        <v>795</v>
      </c>
      <c r="L6876" s="3" t="str">
        <f>IFERROR(__xludf.DUMMYFUNCTION("GOOGLETRANSLATE(F6876,""id"",""en"")"),"Congratulations to the first World Cup title as an Argentine fan I respect Argentina but I'm also proud because I have seen France Champion World Cup")</f>
        <v>Congratulations to the first World Cup title as an Argentine fan I respect Argentina but I'm also proud because I have seen France Champion World Cup</v>
      </c>
    </row>
    <row r="6877" ht="15.75" customHeight="1">
      <c r="A6877" s="1">
        <v>8077.0</v>
      </c>
      <c r="B6877" s="3" t="s">
        <v>19743</v>
      </c>
      <c r="C6877" s="3">
        <v>3.0</v>
      </c>
      <c r="D6877" s="3">
        <v>0.0</v>
      </c>
      <c r="E6877" s="3">
        <v>1.0</v>
      </c>
      <c r="F6877" s="3" t="s">
        <v>19744</v>
      </c>
      <c r="G6877" s="3">
        <v>0.0</v>
      </c>
      <c r="H6877" s="3">
        <v>0.0</v>
      </c>
      <c r="I6877" s="3" t="s">
        <v>13</v>
      </c>
      <c r="J6877" s="3" t="s">
        <v>19745</v>
      </c>
      <c r="K6877" s="3" t="s">
        <v>1293</v>
      </c>
      <c r="L6877" s="3" t="str">
        <f>IFERROR(__xludf.DUMMYFUNCTION("GOOGLETRANSLATE(F6877,""id"",""en"")"),"Still sure if Indonesia world champion is definitely more than Argentine who is euphoria buenos aires or AFF tomorrow maybe we can win the euphoria")</f>
        <v>Still sure if Indonesia world champion is definitely more than Argentine who is euphoria buenos aires or AFF tomorrow maybe we can win the euphoria</v>
      </c>
    </row>
    <row r="6878" ht="15.75" customHeight="1">
      <c r="A6878" s="1">
        <v>8078.0</v>
      </c>
      <c r="B6878" s="3" t="s">
        <v>19746</v>
      </c>
      <c r="C6878" s="3">
        <v>0.0</v>
      </c>
      <c r="D6878" s="3">
        <v>0.0</v>
      </c>
      <c r="E6878" s="3">
        <v>0.0</v>
      </c>
      <c r="F6878" s="3" t="s">
        <v>19747</v>
      </c>
      <c r="G6878" s="3">
        <v>0.2333333333333333</v>
      </c>
      <c r="H6878" s="3">
        <v>-0.25</v>
      </c>
      <c r="I6878" s="3" t="s">
        <v>179</v>
      </c>
      <c r="J6878" s="3" t="s">
        <v>19748</v>
      </c>
      <c r="K6878" s="3" t="s">
        <v>50</v>
      </c>
      <c r="L6878" s="3" t="str">
        <f>IFERROR(__xludf.DUMMYFUNCTION("GOOGLETRANSLATE(F6878,""id"",""en"")"),"EMI Martinez Moek Mbappe Parade Argentina Champion DetikSport Google Sports News")</f>
        <v>EMI Martinez Moek Mbappe Parade Argentina Champion DetikSport Google Sports News</v>
      </c>
    </row>
    <row r="6879" ht="15.75" customHeight="1">
      <c r="A6879" s="1">
        <v>8079.0</v>
      </c>
      <c r="B6879" s="3" t="s">
        <v>19749</v>
      </c>
      <c r="C6879" s="3">
        <v>0.0</v>
      </c>
      <c r="D6879" s="3">
        <v>0.0</v>
      </c>
      <c r="E6879" s="3">
        <v>0.0</v>
      </c>
      <c r="F6879" s="3" t="s">
        <v>19750</v>
      </c>
      <c r="G6879" s="3">
        <v>0.0</v>
      </c>
      <c r="H6879" s="3">
        <v>0.0</v>
      </c>
      <c r="I6879" s="3" t="s">
        <v>13</v>
      </c>
      <c r="J6879" s="3" t="s">
        <v>19751</v>
      </c>
      <c r="K6879" s="3" t="s">
        <v>90</v>
      </c>
      <c r="L6879" s="3" t="str">
        <f>IFERROR(__xludf.DUMMYFUNCTION("GOOGLETRANSLATE(F6879,""id"",""en"")"),"Why should I be ashamed of a lot of Argentina's contribution champion champions of the Copa America Olympiad it is natural that he is that much especially he is also part of the finalist squad, he was surprised that he was excited")</f>
        <v>Why should I be ashamed of a lot of Argentina's contribution champion champions of the Copa America Olympiad it is natural that he is that much especially he is also part of the finalist squad, he was surprised that he was excited</v>
      </c>
    </row>
    <row r="6880" ht="15.75" customHeight="1">
      <c r="A6880" s="1">
        <v>8080.0</v>
      </c>
      <c r="B6880" s="3" t="s">
        <v>19752</v>
      </c>
      <c r="C6880" s="3">
        <v>0.0</v>
      </c>
      <c r="D6880" s="3">
        <v>0.0</v>
      </c>
      <c r="E6880" s="3">
        <v>6.0</v>
      </c>
      <c r="F6880" s="3" t="s">
        <v>19753</v>
      </c>
      <c r="G6880" s="3">
        <v>0.0</v>
      </c>
      <c r="H6880" s="3">
        <v>0.0</v>
      </c>
      <c r="I6880" s="3" t="s">
        <v>13</v>
      </c>
      <c r="J6880" s="3" t="s">
        <v>19754</v>
      </c>
      <c r="K6880" s="3" t="s">
        <v>27</v>
      </c>
      <c r="L6880" s="3" t="str">
        <f>IFERROR(__xludf.DUMMYFUNCTION("GOOGLETRANSLATE(F6880,""id"",""en"")"),"The Argentine national team arrived Buenos Aires Argentina on Tuesday morning the arrival of Lionel Messi and colleagues was immediately greeted by a sea of ​​people who wanted to celebrate other World Cup title")</f>
        <v>The Argentine national team arrived Buenos Aires Argentina on Tuesday morning the arrival of Lionel Messi and colleagues was immediately greeted by a sea of ​​people who wanted to celebrate other World Cup title</v>
      </c>
    </row>
    <row r="6881" ht="15.75" customHeight="1">
      <c r="A6881" s="1">
        <v>8081.0</v>
      </c>
      <c r="B6881" s="3" t="s">
        <v>19755</v>
      </c>
      <c r="C6881" s="3">
        <v>0.0</v>
      </c>
      <c r="D6881" s="3">
        <v>0.0</v>
      </c>
      <c r="E6881" s="3">
        <v>0.0</v>
      </c>
      <c r="F6881" s="3" t="s">
        <v>19756</v>
      </c>
      <c r="G6881" s="3">
        <v>0.0</v>
      </c>
      <c r="H6881" s="3">
        <v>0.0</v>
      </c>
      <c r="I6881" s="3" t="s">
        <v>13</v>
      </c>
      <c r="J6881" s="3" t="s">
        <v>19757</v>
      </c>
      <c r="K6881" s="3" t="s">
        <v>510</v>
      </c>
      <c r="L6881" s="3" t="str">
        <f>IFERROR(__xludf.DUMMYFUNCTION("GOOGLETRANSLATE(F6881,""id"",""en"")"),"Euphoria is still felt after Argentina's happiness won the World Cup Victim Kanjempuan.")</f>
        <v>Euphoria is still felt after Argentina's happiness won the World Cup Victim Kanjempuan.</v>
      </c>
    </row>
    <row r="6882" ht="15.75" customHeight="1">
      <c r="A6882" s="1">
        <v>8082.0</v>
      </c>
      <c r="B6882" s="3" t="s">
        <v>19758</v>
      </c>
      <c r="C6882" s="3">
        <v>0.0</v>
      </c>
      <c r="D6882" s="3">
        <v>0.0</v>
      </c>
      <c r="E6882" s="3">
        <v>0.0</v>
      </c>
      <c r="F6882" s="3" t="s">
        <v>19759</v>
      </c>
      <c r="G6882" s="3">
        <v>0.0</v>
      </c>
      <c r="H6882" s="3">
        <v>0.0</v>
      </c>
      <c r="I6882" s="3" t="s">
        <v>13</v>
      </c>
      <c r="J6882" s="3" t="s">
        <v>19760</v>
      </c>
      <c r="K6882" s="3" t="s">
        <v>15</v>
      </c>
      <c r="L6882" s="3" t="str">
        <f>IFERROR(__xludf.DUMMYFUNCTION("GOOGLETRANSLATE(F6882,""id"",""en"")"),"Supporters Crazy Celebration of Argentine Players Evacuated Helicopter")</f>
        <v>Supporters Crazy Celebration of Argentine Players Evacuated Helicopter</v>
      </c>
    </row>
    <row r="6883" ht="15.75" customHeight="1">
      <c r="A6883" s="1">
        <v>8083.0</v>
      </c>
      <c r="B6883" s="3" t="s">
        <v>19761</v>
      </c>
      <c r="C6883" s="3">
        <v>0.0</v>
      </c>
      <c r="D6883" s="3">
        <v>0.0</v>
      </c>
      <c r="E6883" s="3">
        <v>6.0</v>
      </c>
      <c r="F6883" s="3" t="s">
        <v>19762</v>
      </c>
      <c r="G6883" s="3">
        <v>0.0</v>
      </c>
      <c r="H6883" s="3">
        <v>0.0</v>
      </c>
      <c r="I6883" s="3" t="s">
        <v>13</v>
      </c>
      <c r="J6883" s="3" t="s">
        <v>19763</v>
      </c>
      <c r="K6883" s="3" t="s">
        <v>75</v>
      </c>
      <c r="L6883" s="3" t="str">
        <f>IFERROR(__xludf.DUMMYFUNCTION("GOOGLETRANSLATE(F6883,""id"",""en"")"),"some reasons Argentina can win the World Cup one of the coach factors")</f>
        <v>some reasons Argentina can win the World Cup one of the coach factors</v>
      </c>
    </row>
    <row r="6884" ht="15.75" customHeight="1">
      <c r="A6884" s="1">
        <v>8084.0</v>
      </c>
      <c r="B6884" s="3" t="s">
        <v>19764</v>
      </c>
      <c r="C6884" s="3">
        <v>0.0</v>
      </c>
      <c r="D6884" s="3">
        <v>0.0</v>
      </c>
      <c r="E6884" s="3">
        <v>0.0</v>
      </c>
      <c r="F6884" s="3" t="s">
        <v>19765</v>
      </c>
      <c r="G6884" s="3">
        <v>0.0</v>
      </c>
      <c r="H6884" s="3">
        <v>0.0</v>
      </c>
      <c r="I6884" s="3" t="s">
        <v>13</v>
      </c>
      <c r="J6884" s="3" t="s">
        <v>19766</v>
      </c>
      <c r="K6884" s="3" t="s">
        <v>41</v>
      </c>
      <c r="L6884" s="3" t="str">
        <f>IFERROR(__xludf.DUMMYFUNCTION("GOOGLETRANSLATE(F6884,""id"",""en"")"),"Argentina will win the German edition again when it will happen")</f>
        <v>Argentina will win the German edition again when it will happen</v>
      </c>
    </row>
    <row r="6885" ht="15.75" customHeight="1">
      <c r="A6885" s="1">
        <v>8085.0</v>
      </c>
      <c r="B6885" s="3" t="s">
        <v>19767</v>
      </c>
      <c r="C6885" s="3">
        <v>0.0</v>
      </c>
      <c r="D6885" s="3">
        <v>0.0</v>
      </c>
      <c r="E6885" s="3">
        <v>0.0</v>
      </c>
      <c r="F6885" s="3" t="s">
        <v>19768</v>
      </c>
      <c r="G6885" s="3">
        <v>0.0</v>
      </c>
      <c r="H6885" s="3">
        <v>0.0</v>
      </c>
      <c r="I6885" s="3" t="s">
        <v>13</v>
      </c>
      <c r="J6885" s="3" t="s">
        <v>19769</v>
      </c>
      <c r="K6885" s="3" t="s">
        <v>50</v>
      </c>
      <c r="L6885" s="3" t="str">
        <f>IFERROR(__xludf.DUMMYFUNCTION("GOOGLETRANSLATE(F6885,""id"",""en"")"),"Wow, Messi almost caught cables during the Argentine national team championship parade Buones Aires")</f>
        <v>Wow, Messi almost caught cables during the Argentine national team championship parade Buones Aires</v>
      </c>
    </row>
    <row r="6886" ht="15.75" customHeight="1">
      <c r="A6886" s="1">
        <v>8088.0</v>
      </c>
      <c r="B6886" s="3" t="s">
        <v>19770</v>
      </c>
      <c r="C6886" s="3">
        <v>0.0</v>
      </c>
      <c r="D6886" s="3">
        <v>0.0</v>
      </c>
      <c r="E6886" s="3">
        <v>0.0</v>
      </c>
      <c r="F6886" s="3" t="s">
        <v>19771</v>
      </c>
      <c r="G6886" s="3">
        <v>0.0</v>
      </c>
      <c r="H6886" s="3">
        <v>0.0</v>
      </c>
      <c r="I6886" s="3" t="s">
        <v>13</v>
      </c>
      <c r="J6886" s="3" t="s">
        <v>19772</v>
      </c>
      <c r="K6886" s="3" t="s">
        <v>215</v>
      </c>
      <c r="L6886" s="3" t="str">
        <f>IFERROR(__xludf.DUMMYFUNCTION("GOOGLETRANSLATE(F6886,""id"",""en"")"),"Albiceleste looks very heavy the burden he brings Argentina champions once excessive expression every time he wins and finally can only be released after the Fix Champion Next Mission Prepare the System Without Messi Maintaining the Copa America Title")</f>
        <v>Albiceleste looks very heavy the burden he brings Argentina champions once excessive expression every time he wins and finally can only be released after the Fix Champion Next Mission Prepare the System Without Messi Maintaining the Copa America Title</v>
      </c>
    </row>
    <row r="6887" ht="15.75" customHeight="1">
      <c r="A6887" s="1">
        <v>8089.0</v>
      </c>
      <c r="B6887" s="3" t="s">
        <v>19773</v>
      </c>
      <c r="C6887" s="3">
        <v>0.0</v>
      </c>
      <c r="D6887" s="3">
        <v>0.0</v>
      </c>
      <c r="E6887" s="3">
        <v>0.0</v>
      </c>
      <c r="F6887" s="3" t="s">
        <v>19774</v>
      </c>
      <c r="G6887" s="3">
        <v>1.0</v>
      </c>
      <c r="H6887" s="3">
        <v>0.1</v>
      </c>
      <c r="I6887" s="3" t="s">
        <v>48</v>
      </c>
      <c r="J6887" s="3" t="s">
        <v>19775</v>
      </c>
      <c r="K6887" s="3" t="s">
        <v>1469</v>
      </c>
      <c r="L6887" s="3" t="str">
        <f>IFERROR(__xludf.DUMMYFUNCTION("GOOGLETRANSLATE(F6887,""id"",""en"")"),"Wow Argentina won the World Cup for the third time what is the key to the victory of Argentina World Cup")</f>
        <v>Wow Argentina won the World Cup for the third time what is the key to the victory of Argentina World Cup</v>
      </c>
    </row>
    <row r="6888" ht="15.75" customHeight="1">
      <c r="A6888" s="1">
        <v>8090.0</v>
      </c>
      <c r="B6888" s="3" t="s">
        <v>19776</v>
      </c>
      <c r="C6888" s="3">
        <v>1.0</v>
      </c>
      <c r="D6888" s="3">
        <v>0.0</v>
      </c>
      <c r="E6888" s="3">
        <v>13.0</v>
      </c>
      <c r="F6888" s="3" t="s">
        <v>19777</v>
      </c>
      <c r="G6888" s="3">
        <v>0.2333333333333333</v>
      </c>
      <c r="H6888" s="3">
        <v>-0.25</v>
      </c>
      <c r="I6888" s="3" t="s">
        <v>179</v>
      </c>
      <c r="J6888" s="3" t="s">
        <v>19778</v>
      </c>
      <c r="K6888" s="3" t="s">
        <v>1293</v>
      </c>
      <c r="L6888" s="3" t="str">
        <f>IFERROR(__xludf.DUMMYFUNCTION("GOOGLETRANSLATE(F6888,""id"",""en"")"),"The Argentine championship parade left many viral moments, one of which was Lionel Messi's reaction when thrown by a ninja tortoise doll")</f>
        <v>The Argentine championship parade left many viral moments, one of which was Lionel Messi's reaction when thrown by a ninja tortoise doll</v>
      </c>
    </row>
    <row r="6889" ht="15.75" customHeight="1">
      <c r="A6889" s="1">
        <v>8091.0</v>
      </c>
      <c r="B6889" s="3" t="s">
        <v>19779</v>
      </c>
      <c r="C6889" s="3">
        <v>1.0</v>
      </c>
      <c r="D6889" s="3">
        <v>0.0</v>
      </c>
      <c r="E6889" s="3">
        <v>0.0</v>
      </c>
      <c r="F6889" s="3" t="s">
        <v>19780</v>
      </c>
      <c r="G6889" s="3">
        <v>0.0</v>
      </c>
      <c r="H6889" s="3">
        <v>0.0</v>
      </c>
      <c r="I6889" s="3" t="s">
        <v>13</v>
      </c>
      <c r="J6889" s="3" t="s">
        <v>19781</v>
      </c>
      <c r="K6889" s="3" t="s">
        <v>149</v>
      </c>
      <c r="L6889" s="3" t="str">
        <f>IFERROR(__xludf.DUMMYFUNCTION("GOOGLETRANSLATE(F6889,""id"",""en"")"),"But the play according to me is still normal compared to France and Brazil, I have been panting Argentina from the Copa Kmren with the game like that, so I really doubt it can be champion")</f>
        <v>But the play according to me is still normal compared to France and Brazil, I have been panting Argentina from the Copa Kmren with the game like that, so I really doubt it can be champion</v>
      </c>
    </row>
    <row r="6890" ht="15.75" customHeight="1">
      <c r="A6890" s="1">
        <v>8092.0</v>
      </c>
      <c r="B6890" s="3" t="s">
        <v>19782</v>
      </c>
      <c r="C6890" s="3">
        <v>0.0</v>
      </c>
      <c r="D6890" s="3">
        <v>0.0</v>
      </c>
      <c r="E6890" s="3">
        <v>1.0</v>
      </c>
      <c r="F6890" s="3" t="s">
        <v>19783</v>
      </c>
      <c r="G6890" s="3">
        <v>0.0</v>
      </c>
      <c r="H6890" s="3">
        <v>0.0</v>
      </c>
      <c r="I6890" s="3" t="s">
        <v>13</v>
      </c>
      <c r="J6890" s="3" t="s">
        <v>19784</v>
      </c>
      <c r="K6890" s="3" t="s">
        <v>584</v>
      </c>
      <c r="L6890" s="3" t="str">
        <f>IFERROR(__xludf.DUMMYFUNCTION("GOOGLETRANSLATE(F6890,""id"",""en"")"),"Argentina's victory as the World Cup champion is worth celebrating but unfortunately the action of Argentine goalkeeper Emiliano Martinez who celebrates his success in winning gold gloves by putting a trophy over his penis reaping sharp criticism")</f>
        <v>Argentina's victory as the World Cup champion is worth celebrating but unfortunately the action of Argentine goalkeeper Emiliano Martinez who celebrates his success in winning gold gloves by putting a trophy over his penis reaping sharp criticism</v>
      </c>
    </row>
    <row r="6891" ht="15.75" customHeight="1">
      <c r="A6891" s="1">
        <v>8093.0</v>
      </c>
      <c r="B6891" s="3" t="s">
        <v>19785</v>
      </c>
      <c r="C6891" s="3">
        <v>0.0</v>
      </c>
      <c r="D6891" s="3">
        <v>0.0</v>
      </c>
      <c r="E6891" s="3">
        <v>0.0</v>
      </c>
      <c r="F6891" s="3" t="s">
        <v>19786</v>
      </c>
      <c r="G6891" s="3">
        <v>0.0</v>
      </c>
      <c r="H6891" s="3">
        <v>0.0</v>
      </c>
      <c r="I6891" s="3" t="s">
        <v>13</v>
      </c>
      <c r="J6891" s="3" t="s">
        <v>19787</v>
      </c>
      <c r="K6891" s="3" t="s">
        <v>657</v>
      </c>
      <c r="L6891" s="3" t="str">
        <f>IFERROR(__xludf.DUMMYFUNCTION("GOOGLETRANSLATE(F6891,""id"",""en"")"),"Argentine champion parade Chaos Fan is determined to enter the bus player evacuated by CNN Indonesia Google News Sports News")</f>
        <v>Argentine champion parade Chaos Fan is determined to enter the bus player evacuated by CNN Indonesia Google News Sports News</v>
      </c>
    </row>
    <row r="6892" ht="15.75" customHeight="1">
      <c r="A6892" s="1">
        <v>8094.0</v>
      </c>
      <c r="B6892" s="3" t="s">
        <v>19788</v>
      </c>
      <c r="C6892" s="3">
        <v>3.0</v>
      </c>
      <c r="D6892" s="3">
        <v>0.0</v>
      </c>
      <c r="E6892" s="3">
        <v>0.0</v>
      </c>
      <c r="F6892" s="3" t="s">
        <v>19789</v>
      </c>
      <c r="G6892" s="3">
        <v>0.0</v>
      </c>
      <c r="H6892" s="3">
        <v>0.0</v>
      </c>
      <c r="I6892" s="3" t="s">
        <v>13</v>
      </c>
      <c r="J6892" s="3" t="s">
        <v>19790</v>
      </c>
      <c r="K6892" s="3" t="s">
        <v>3819</v>
      </c>
      <c r="L6892" s="3" t="str">
        <f>IFERROR(__xludf.DUMMYFUNCTION("GOOGLETRANSLATE(F6892,""id"",""en"")"),"But the majority of Argentina fans are only one, right seeing the World Cup champion, the last champion is just right, then it means that the fans who are only the year may have been mostly not watching right right")</f>
        <v>But the majority of Argentina fans are only one, right seeing the World Cup champion, the last champion is just right, then it means that the fans who are only the year may have been mostly not watching right right</v>
      </c>
    </row>
    <row r="6893" ht="15.75" customHeight="1">
      <c r="A6893" s="1">
        <v>8095.0</v>
      </c>
      <c r="B6893" s="3" t="s">
        <v>19791</v>
      </c>
      <c r="C6893" s="3">
        <v>3.0</v>
      </c>
      <c r="D6893" s="3">
        <v>5.0</v>
      </c>
      <c r="E6893" s="3">
        <v>38.0</v>
      </c>
      <c r="F6893" s="3" t="s">
        <v>19792</v>
      </c>
      <c r="G6893" s="3">
        <v>0.0</v>
      </c>
      <c r="H6893" s="3">
        <v>0.0</v>
      </c>
      <c r="I6893" s="3" t="s">
        <v>13</v>
      </c>
      <c r="J6893" s="3" t="s">
        <v>19793</v>
      </c>
      <c r="K6893" s="3" t="s">
        <v>27</v>
      </c>
      <c r="L6893" s="3" t="str">
        <f>IFERROR(__xludf.DUMMYFUNCTION("GOOGLETRANSLATE(F6893,""id"",""en"")"),"The Argentina squad is now a small average Messi fan and has a goal to become a champion for Messi and even Scaloni himself is amazed Portugal like there is no amazed by Dodo")</f>
        <v>The Argentina squad is now a small average Messi fan and has a goal to become a champion for Messi and even Scaloni himself is amazed Portugal like there is no amazed by Dodo</v>
      </c>
    </row>
    <row r="6894" ht="15.75" customHeight="1">
      <c r="A6894" s="1">
        <v>8096.0</v>
      </c>
      <c r="B6894" s="3" t="s">
        <v>19794</v>
      </c>
      <c r="C6894" s="3">
        <v>617.0</v>
      </c>
      <c r="D6894" s="3">
        <v>219.0</v>
      </c>
      <c r="E6894" s="3">
        <v>3522.0</v>
      </c>
      <c r="F6894" s="3" t="s">
        <v>19795</v>
      </c>
      <c r="G6894" s="3">
        <v>0.2333333333333333</v>
      </c>
      <c r="H6894" s="3">
        <v>-0.25</v>
      </c>
      <c r="I6894" s="3" t="s">
        <v>179</v>
      </c>
      <c r="J6894" s="3" t="s">
        <v>19796</v>
      </c>
      <c r="K6894" s="3" t="s">
        <v>348</v>
      </c>
      <c r="L6894" s="3" t="str">
        <f>IFERROR(__xludf.DUMMYFUNCTION("GOOGLETRANSLATE(F6894,""id"",""en"")"),"Emiliano Martinez was seen holding a doll with a photo of Kylian Mbapp during the World Cup championship parade with the Argentine national team Buenos Aires")</f>
        <v>Emiliano Martinez was seen holding a doll with a photo of Kylian Mbapp during the World Cup championship parade with the Argentine national team Buenos Aires</v>
      </c>
    </row>
    <row r="6895" ht="15.75" customHeight="1">
      <c r="A6895" s="1">
        <v>8097.0</v>
      </c>
      <c r="B6895" s="3" t="s">
        <v>19797</v>
      </c>
      <c r="C6895" s="3">
        <v>2.0</v>
      </c>
      <c r="D6895" s="3">
        <v>0.0</v>
      </c>
      <c r="E6895" s="3">
        <v>0.0</v>
      </c>
      <c r="F6895" s="3" t="s">
        <v>19798</v>
      </c>
      <c r="G6895" s="3">
        <v>1.0</v>
      </c>
      <c r="H6895" s="3">
        <v>0.0</v>
      </c>
      <c r="I6895" s="3" t="s">
        <v>13</v>
      </c>
      <c r="J6895" s="3" t="s">
        <v>19799</v>
      </c>
      <c r="K6895" s="3" t="s">
        <v>1061</v>
      </c>
      <c r="L6895" s="3" t="str">
        <f>IFERROR(__xludf.DUMMYFUNCTION("GOOGLETRANSLATE(F6895,""id"",""en"")"),"What if it's not provok var, only Argentina, almost all matches function VAR if this is the conspiracy of KNP AGN Portugal.")</f>
        <v>What if it's not provok var, only Argentina, almost all matches function VAR if this is the conspiracy of KNP AGN Portugal.</v>
      </c>
    </row>
    <row r="6896" ht="15.75" customHeight="1">
      <c r="A6896" s="1">
        <v>8098.0</v>
      </c>
      <c r="B6896" s="3" t="s">
        <v>19800</v>
      </c>
      <c r="C6896" s="3">
        <v>0.0</v>
      </c>
      <c r="D6896" s="3">
        <v>2.0</v>
      </c>
      <c r="E6896" s="3">
        <v>19.0</v>
      </c>
      <c r="F6896" s="3" t="s">
        <v>19801</v>
      </c>
      <c r="G6896" s="3">
        <v>0.0</v>
      </c>
      <c r="H6896" s="3">
        <v>0.0</v>
      </c>
      <c r="I6896" s="3" t="s">
        <v>13</v>
      </c>
      <c r="J6896" s="3" t="s">
        <v>19802</v>
      </c>
      <c r="K6896" s="3" t="s">
        <v>15</v>
      </c>
      <c r="L6896" s="3" t="str">
        <f>IFERROR(__xludf.DUMMYFUNCTION("GOOGLETRANSLATE(F6896,""id"",""en"")"),"Argentine Champion Champion Photo Chaos Players Evacuated Helicopter")</f>
        <v>Argentine Champion Champion Photo Chaos Players Evacuated Helicopter</v>
      </c>
    </row>
    <row r="6897" ht="15.75" customHeight="1">
      <c r="A6897" s="1">
        <v>8099.0</v>
      </c>
      <c r="B6897" s="3" t="s">
        <v>19803</v>
      </c>
      <c r="C6897" s="3">
        <v>0.0</v>
      </c>
      <c r="D6897" s="3">
        <v>0.0</v>
      </c>
      <c r="E6897" s="3">
        <v>0.0</v>
      </c>
      <c r="F6897" s="3" t="s">
        <v>19804</v>
      </c>
      <c r="G6897" s="3">
        <v>0.0</v>
      </c>
      <c r="H6897" s="3">
        <v>0.0</v>
      </c>
      <c r="I6897" s="3" t="s">
        <v>13</v>
      </c>
      <c r="J6897" s="3" t="s">
        <v>19805</v>
      </c>
      <c r="K6897" s="3" t="s">
        <v>1045</v>
      </c>
      <c r="L6897" s="3" t="str">
        <f>IFERROR(__xludf.DUMMYFUNCTION("GOOGLETRANSLATE(F6897,""id"",""en"")"),"For supporters of the French National Team, they remain enthusiastic and need to cry happy supporters of Argentina you deserve to win and happy any team for tourism and business visits and business can use VOA")</f>
        <v>For supporters of the French National Team, they remain enthusiastic and need to cry happy supporters of Argentina you deserve to win and happy any team for tourism and business visits and business can use VOA</v>
      </c>
    </row>
    <row r="6898" ht="15.75" customHeight="1">
      <c r="A6898" s="1">
        <v>8100.0</v>
      </c>
      <c r="B6898" s="3" t="s">
        <v>19806</v>
      </c>
      <c r="C6898" s="3">
        <v>0.0</v>
      </c>
      <c r="D6898" s="3">
        <v>0.0</v>
      </c>
      <c r="E6898" s="3">
        <v>0.0</v>
      </c>
      <c r="F6898" s="3" t="s">
        <v>19807</v>
      </c>
      <c r="G6898" s="3">
        <v>0.0</v>
      </c>
      <c r="H6898" s="3">
        <v>0.0</v>
      </c>
      <c r="I6898" s="3" t="s">
        <v>13</v>
      </c>
      <c r="J6898" s="3" t="s">
        <v>19808</v>
      </c>
      <c r="K6898" s="3" t="s">
        <v>41</v>
      </c>
      <c r="L6898" s="3" t="str">
        <f>IFERROR(__xludf.DUMMYFUNCTION("GOOGLETRANSLATE(F6898,""id"",""en"")"),"It seems more emotional to see Messi and Argentina Copa America champions")</f>
        <v>It seems more emotional to see Messi and Argentina Copa America champions</v>
      </c>
    </row>
    <row r="6899" ht="15.75" customHeight="1">
      <c r="A6899" s="1">
        <v>8101.0</v>
      </c>
      <c r="B6899" s="3" t="s">
        <v>19809</v>
      </c>
      <c r="C6899" s="3">
        <v>0.0</v>
      </c>
      <c r="D6899" s="3">
        <v>0.0</v>
      </c>
      <c r="E6899" s="3">
        <v>0.0</v>
      </c>
      <c r="F6899" s="3" t="s">
        <v>19810</v>
      </c>
      <c r="G6899" s="3">
        <v>0.0</v>
      </c>
      <c r="H6899" s="3">
        <v>0.0</v>
      </c>
      <c r="I6899" s="3" t="s">
        <v>13</v>
      </c>
      <c r="J6899" s="3" t="s">
        <v>19811</v>
      </c>
      <c r="K6899" s="3" t="s">
        <v>41</v>
      </c>
      <c r="L6899" s="3" t="str">
        <f>IFERROR(__xludf.DUMMYFUNCTION("GOOGLETRANSLATE(F6899,""id"",""en"")"),"Where is Anton Min, he said that if Argentina champions he licking buttocks")</f>
        <v>Where is Anton Min, he said that if Argentina champions he licking buttocks</v>
      </c>
    </row>
    <row r="6900" ht="15.75" customHeight="1">
      <c r="A6900" s="1">
        <v>8102.0</v>
      </c>
      <c r="B6900" s="3" t="s">
        <v>19812</v>
      </c>
      <c r="C6900" s="3">
        <v>1.0</v>
      </c>
      <c r="D6900" s="3">
        <v>0.0</v>
      </c>
      <c r="E6900" s="3">
        <v>36.0</v>
      </c>
      <c r="F6900" s="3" t="s">
        <v>19813</v>
      </c>
      <c r="G6900" s="3">
        <v>0.0</v>
      </c>
      <c r="H6900" s="3">
        <v>0.0</v>
      </c>
      <c r="I6900" s="3" t="s">
        <v>13</v>
      </c>
      <c r="J6900" s="3" t="s">
        <v>19814</v>
      </c>
      <c r="K6900" s="3" t="s">
        <v>135</v>
      </c>
      <c r="L6900" s="3" t="str">
        <f>IFERROR(__xludf.DUMMYFUNCTION("GOOGLETRANSLATE(F6900,""id"",""en"")"),"Yes, I agree that Messi Argentina team is supported by all field players willing to fight to be willing to sacrifice their body and souls for Messi is a strong factor in Argentina.")</f>
        <v>Yes, I agree that Messi Argentina team is supported by all field players willing to fight to be willing to sacrifice their body and souls for Messi is a strong factor in Argentina.</v>
      </c>
    </row>
    <row r="6901" ht="15.75" customHeight="1">
      <c r="A6901" s="1">
        <v>8103.0</v>
      </c>
      <c r="B6901" s="3" t="s">
        <v>19815</v>
      </c>
      <c r="C6901" s="3">
        <v>0.0</v>
      </c>
      <c r="D6901" s="3">
        <v>0.0</v>
      </c>
      <c r="E6901" s="3">
        <v>0.0</v>
      </c>
      <c r="F6901" s="3" t="s">
        <v>19816</v>
      </c>
      <c r="G6901" s="3">
        <v>0.0</v>
      </c>
      <c r="H6901" s="3">
        <v>0.0</v>
      </c>
      <c r="I6901" s="3" t="s">
        <v>13</v>
      </c>
      <c r="J6901" s="3" t="s">
        <v>19817</v>
      </c>
      <c r="K6901" s="3" t="s">
        <v>603</v>
      </c>
      <c r="L6901" s="3" t="str">
        <f>IFERROR(__xludf.DUMMYFUNCTION("GOOGLETRANSLATE(F6901,""id"",""en"")"),"If Argentina is estimated that million people are overpowering, then wait for Indonesia to win the AFF for a week, maybe plus more than million people go down the road")</f>
        <v>If Argentina is estimated that million people are overpowering, then wait for Indonesia to win the AFF for a week, maybe plus more than million people go down the road</v>
      </c>
    </row>
    <row r="6902" ht="15.75" customHeight="1">
      <c r="A6902" s="1">
        <v>8104.0</v>
      </c>
      <c r="B6902" s="3" t="s">
        <v>19818</v>
      </c>
      <c r="C6902" s="3">
        <v>1.0</v>
      </c>
      <c r="D6902" s="3">
        <v>0.0</v>
      </c>
      <c r="E6902" s="3">
        <v>0.0</v>
      </c>
      <c r="F6902" s="3" t="s">
        <v>19819</v>
      </c>
      <c r="G6902" s="3">
        <v>0.0</v>
      </c>
      <c r="H6902" s="3">
        <v>0.0</v>
      </c>
      <c r="I6902" s="3" t="s">
        <v>13</v>
      </c>
      <c r="J6902" s="3" t="s">
        <v>19820</v>
      </c>
      <c r="K6902" s="3" t="s">
        <v>584</v>
      </c>
      <c r="L6902" s="3" t="str">
        <f>IFERROR(__xludf.DUMMYFUNCTION("GOOGLETRANSLATE(F6902,""id"",""en"")"),"It's been more hours Argentina champions of the World Cup and his players to get the last puzzle he was looking for as a soccer player but it was still fun to discuss one of them how to address the perfection of a rabakbola realized")</f>
        <v>It's been more hours Argentina champions of the World Cup and his players to get the last puzzle he was looking for as a soccer player but it was still fun to discuss one of them how to address the perfection of a rabakbola realized</v>
      </c>
    </row>
    <row r="6903" ht="15.75" customHeight="1">
      <c r="A6903" s="1">
        <v>8105.0</v>
      </c>
      <c r="B6903" s="3" t="s">
        <v>19821</v>
      </c>
      <c r="C6903" s="3">
        <v>0.0</v>
      </c>
      <c r="D6903" s="3">
        <v>0.0</v>
      </c>
      <c r="E6903" s="3">
        <v>0.0</v>
      </c>
      <c r="F6903" s="3" t="s">
        <v>19822</v>
      </c>
      <c r="G6903" s="3">
        <v>0.2333333333333333</v>
      </c>
      <c r="H6903" s="3">
        <v>-0.25</v>
      </c>
      <c r="I6903" s="3" t="s">
        <v>179</v>
      </c>
      <c r="J6903" s="3" t="s">
        <v>19823</v>
      </c>
      <c r="K6903" s="3" t="s">
        <v>1887</v>
      </c>
      <c r="L6903" s="3" t="str">
        <f>IFERROR(__xludf.DUMMYFUNCTION("GOOGLETRANSLATE(F6903,""id"",""en"")"),"Football does have an extraordinary magical power estimated as many as million people gathered to welcome the Argentine national team parade which won the FIFA World Cup Qatar similar to the Croatian Moroccan and of course France also")</f>
        <v>Football does have an extraordinary magical power estimated as many as million people gathered to welcome the Argentine national team parade which won the FIFA World Cup Qatar similar to the Croatian Moroccan and of course France also</v>
      </c>
    </row>
    <row r="6904" ht="15.75" customHeight="1">
      <c r="A6904" s="1">
        <v>8106.0</v>
      </c>
      <c r="B6904" s="3" t="s">
        <v>19824</v>
      </c>
      <c r="C6904" s="3">
        <v>1.0</v>
      </c>
      <c r="D6904" s="3">
        <v>0.0</v>
      </c>
      <c r="E6904" s="3">
        <v>0.0</v>
      </c>
      <c r="F6904" s="3" t="s">
        <v>19825</v>
      </c>
      <c r="G6904" s="3">
        <v>0.4</v>
      </c>
      <c r="H6904" s="3">
        <v>0.2</v>
      </c>
      <c r="I6904" s="3" t="s">
        <v>48</v>
      </c>
      <c r="J6904" s="3" t="s">
        <v>19826</v>
      </c>
      <c r="K6904" s="3" t="s">
        <v>50</v>
      </c>
      <c r="L6904" s="3" t="str">
        <f>IFERROR(__xludf.DUMMYFUNCTION("GOOGLETRANSLATE(F6904,""id"",""en"")"),"It's true that the Argentina champion is stabbed until the Indo people die, hahaha")</f>
        <v>It's true that the Argentina champion is stabbed until the Indo people die, hahaha</v>
      </c>
    </row>
    <row r="6905" ht="15.75" customHeight="1">
      <c r="A6905" s="1">
        <v>8107.0</v>
      </c>
      <c r="B6905" s="3" t="s">
        <v>19827</v>
      </c>
      <c r="C6905" s="3">
        <v>0.0</v>
      </c>
      <c r="D6905" s="3">
        <v>0.0</v>
      </c>
      <c r="E6905" s="3">
        <v>0.0</v>
      </c>
      <c r="F6905" s="3" t="s">
        <v>19828</v>
      </c>
      <c r="G6905" s="3">
        <v>0.0</v>
      </c>
      <c r="H6905" s="3">
        <v>0.0</v>
      </c>
      <c r="I6905" s="3" t="s">
        <v>13</v>
      </c>
      <c r="J6905" s="3" t="s">
        <v>19829</v>
      </c>
      <c r="K6905" s="3" t="s">
        <v>90</v>
      </c>
      <c r="L6905" s="3" t="str">
        <f>IFERROR(__xludf.DUMMYFUNCTION("GOOGLETRANSLATE(F6905,""id"",""en"")"),"CNN Indonesia Argentina Parade World Cup champion was forced to be shortened because it turned into a chaos in the impact of the Sea Million People Packed Buenos Aires")</f>
        <v>CNN Indonesia Argentina Parade World Cup champion was forced to be shortened because it turned into a chaos in the impact of the Sea Million People Packed Buenos Aires</v>
      </c>
    </row>
    <row r="6906" ht="15.75" customHeight="1">
      <c r="A6906" s="1">
        <v>8108.0</v>
      </c>
      <c r="B6906" s="3" t="s">
        <v>19830</v>
      </c>
      <c r="C6906" s="3">
        <v>12.0</v>
      </c>
      <c r="D6906" s="3">
        <v>0.0</v>
      </c>
      <c r="E6906" s="3">
        <v>11.0</v>
      </c>
      <c r="F6906" s="3" t="s">
        <v>19831</v>
      </c>
      <c r="G6906" s="3">
        <v>0.0</v>
      </c>
      <c r="H6906" s="3">
        <v>0.0</v>
      </c>
      <c r="I6906" s="3" t="s">
        <v>13</v>
      </c>
      <c r="J6906" s="3" t="s">
        <v>19832</v>
      </c>
      <c r="K6906" s="3" t="s">
        <v>244</v>
      </c>
      <c r="L6906" s="3" t="str">
        <f>IFERROR(__xludf.DUMMYFUNCTION("GOOGLETRANSLATE(F6906,""id"",""en"")"),"PAK coach factor before being trained in Argentina scaloni also did not win even though the squad was luxurious")</f>
        <v>PAK coach factor before being trained in Argentina scaloni also did not win even though the squad was luxurious</v>
      </c>
    </row>
    <row r="6907" ht="15.75" customHeight="1">
      <c r="A6907" s="1">
        <v>8109.0</v>
      </c>
      <c r="B6907" s="3" t="s">
        <v>19833</v>
      </c>
      <c r="C6907" s="3">
        <v>0.0</v>
      </c>
      <c r="D6907" s="3">
        <v>4.0</v>
      </c>
      <c r="E6907" s="3">
        <v>0.0</v>
      </c>
      <c r="F6907" s="3" t="s">
        <v>19834</v>
      </c>
      <c r="G6907" s="3">
        <v>0.0</v>
      </c>
      <c r="H6907" s="3">
        <v>0.0</v>
      </c>
      <c r="I6907" s="3" t="s">
        <v>13</v>
      </c>
      <c r="J6907" s="3" t="s">
        <v>19835</v>
      </c>
      <c r="K6907" s="3" t="s">
        <v>75</v>
      </c>
      <c r="L6907" s="3" t="str">
        <f>IFERROR(__xludf.DUMMYFUNCTION("GOOGLETRANSLATE(F6907,""id"",""en"")"),"Argentina Champion World Cup Lionel Messi Note the National Team Subject")</f>
        <v>Argentina Champion World Cup Lionel Messi Note the National Team Subject</v>
      </c>
    </row>
    <row r="6908" ht="15.75" customHeight="1">
      <c r="A6908" s="1">
        <v>8110.0</v>
      </c>
      <c r="B6908" s="3" t="s">
        <v>19836</v>
      </c>
      <c r="C6908" s="3">
        <v>0.0</v>
      </c>
      <c r="D6908" s="3">
        <v>0.0</v>
      </c>
      <c r="E6908" s="3">
        <v>1.0</v>
      </c>
      <c r="F6908" s="3" t="s">
        <v>19837</v>
      </c>
      <c r="G6908" s="3">
        <v>0.2333333333333333</v>
      </c>
      <c r="H6908" s="3">
        <v>-0.25</v>
      </c>
      <c r="I6908" s="3" t="s">
        <v>179</v>
      </c>
      <c r="J6908" s="3" t="s">
        <v>19838</v>
      </c>
      <c r="K6908" s="3" t="s">
        <v>15</v>
      </c>
      <c r="L6908" s="3" t="str">
        <f>IFERROR(__xludf.DUMMYFUNCTION("GOOGLETRANSLATE(F6908,""id"",""en"")"),"Argentine championship Parade is chaotic players evacuated wearing a helicopter")</f>
        <v>Argentine championship Parade is chaotic players evacuated wearing a helicopter</v>
      </c>
    </row>
    <row r="6909" ht="15.75" customHeight="1">
      <c r="A6909" s="1">
        <v>8111.0</v>
      </c>
      <c r="B6909" s="3" t="s">
        <v>19839</v>
      </c>
      <c r="C6909" s="3">
        <v>0.0</v>
      </c>
      <c r="D6909" s="3">
        <v>0.0</v>
      </c>
      <c r="E6909" s="3">
        <v>0.0</v>
      </c>
      <c r="F6909" s="3" t="s">
        <v>19840</v>
      </c>
      <c r="G6909" s="3">
        <v>0.2333333333333333</v>
      </c>
      <c r="H6909" s="3">
        <v>-0.25</v>
      </c>
      <c r="I6909" s="3" t="s">
        <v>179</v>
      </c>
      <c r="J6909" s="3" t="s">
        <v>19841</v>
      </c>
      <c r="K6909" s="3" t="s">
        <v>50</v>
      </c>
      <c r="L6909" s="3" t="str">
        <f>IFERROR(__xludf.DUMMYFUNCTION("GOOGLETRANSLATE(F6909,""id"",""en"")"),"The cause of the Argentine National Team World Team World Cup championship Parade must be ended earlier")</f>
        <v>The cause of the Argentine National Team World Team World Cup championship Parade must be ended earlier</v>
      </c>
    </row>
    <row r="6910" ht="15.75" customHeight="1">
      <c r="A6910" s="1">
        <v>8112.0</v>
      </c>
      <c r="B6910" s="3" t="s">
        <v>19842</v>
      </c>
      <c r="C6910" s="3">
        <v>0.0</v>
      </c>
      <c r="D6910" s="3">
        <v>0.0</v>
      </c>
      <c r="E6910" s="3">
        <v>2.0</v>
      </c>
      <c r="F6910" s="3" t="s">
        <v>19843</v>
      </c>
      <c r="G6910" s="3">
        <v>0.0</v>
      </c>
      <c r="H6910" s="3">
        <v>0.0</v>
      </c>
      <c r="I6910" s="3" t="s">
        <v>13</v>
      </c>
      <c r="J6910" s="3" t="s">
        <v>19844</v>
      </c>
      <c r="K6910" s="3" t="s">
        <v>236</v>
      </c>
      <c r="L6910" s="3" t="str">
        <f>IFERROR(__xludf.DUMMYFUNCTION("GOOGLETRANSLATE(F6910,""id"",""en"")"),"Argentina Champion World Cup Lionel Messi was made the name of Argentina Street")</f>
        <v>Argentina Champion World Cup Lionel Messi was made the name of Argentina Street</v>
      </c>
    </row>
    <row r="6911" ht="15.75" customHeight="1">
      <c r="A6911" s="1">
        <v>8113.0</v>
      </c>
      <c r="B6911" s="3" t="s">
        <v>19845</v>
      </c>
      <c r="C6911" s="3">
        <v>0.0</v>
      </c>
      <c r="D6911" s="3">
        <v>0.0</v>
      </c>
      <c r="E6911" s="3">
        <v>0.0</v>
      </c>
      <c r="F6911" s="3" t="s">
        <v>19846</v>
      </c>
      <c r="G6911" s="3">
        <v>0.0</v>
      </c>
      <c r="H6911" s="3">
        <v>0.0</v>
      </c>
      <c r="I6911" s="3" t="s">
        <v>13</v>
      </c>
      <c r="J6911" s="3" t="s">
        <v>19847</v>
      </c>
      <c r="K6911" s="3" t="s">
        <v>16803</v>
      </c>
      <c r="L6911" s="3" t="str">
        <f>IFERROR(__xludf.DUMMYFUNCTION("GOOGLETRANSLATE(F6911,""id"",""en"")"),"Argentine National Holidays December December is conceived without stain December Argentina celebration World Cup champions December Christmas Albiceleste")</f>
        <v>Argentine National Holidays December December is conceived without stain December Argentina celebration World Cup champions December Christmas Albiceleste</v>
      </c>
    </row>
    <row r="6912" ht="15.75" customHeight="1">
      <c r="A6912" s="1">
        <v>8114.0</v>
      </c>
      <c r="B6912" s="3" t="s">
        <v>19848</v>
      </c>
      <c r="C6912" s="3">
        <v>0.0</v>
      </c>
      <c r="D6912" s="3">
        <v>1.0</v>
      </c>
      <c r="E6912" s="3">
        <v>15.0</v>
      </c>
      <c r="F6912" s="3" t="s">
        <v>19849</v>
      </c>
      <c r="G6912" s="3">
        <v>0.2333333333333333</v>
      </c>
      <c r="H6912" s="3">
        <v>-0.25</v>
      </c>
      <c r="I6912" s="3" t="s">
        <v>179</v>
      </c>
      <c r="J6912" s="3" t="s">
        <v>19850</v>
      </c>
      <c r="K6912" s="3" t="s">
        <v>127</v>
      </c>
      <c r="L6912" s="3" t="str">
        <f>IFERROR(__xludf.DUMMYFUNCTION("GOOGLETRANSLATE(F6912,""id"",""en"")"),"The Argentine World Cup championship parade was stopped while crossing the capital city of Buenos Aires because of security issues after a supporter jumped on the bus")</f>
        <v>The Argentine World Cup championship parade was stopped while crossing the capital city of Buenos Aires because of security issues after a supporter jumped on the bus</v>
      </c>
    </row>
    <row r="6913" ht="15.75" customHeight="1">
      <c r="A6913" s="1">
        <v>8115.0</v>
      </c>
      <c r="B6913" s="3" t="s">
        <v>19851</v>
      </c>
      <c r="C6913" s="3">
        <v>1.0</v>
      </c>
      <c r="D6913" s="3">
        <v>0.0</v>
      </c>
      <c r="E6913" s="3">
        <v>0.0</v>
      </c>
      <c r="F6913" s="3" t="s">
        <v>19852</v>
      </c>
      <c r="G6913" s="3">
        <v>0.0</v>
      </c>
      <c r="H6913" s="3">
        <v>0.0</v>
      </c>
      <c r="I6913" s="3" t="s">
        <v>13</v>
      </c>
      <c r="J6913" s="3" t="s">
        <v>19853</v>
      </c>
      <c r="K6913" s="3" t="s">
        <v>131</v>
      </c>
      <c r="L6913" s="3" t="str">
        <f>IFERROR(__xludf.DUMMYFUNCTION("GOOGLETRANSLATE(F6913,""id"",""en"")"),"Still going to champion Messi in a material player material is better who is Mac Allister I just found out there is an Argentine player called Mac Allister")</f>
        <v>Still going to champion Messi in a material player material is better who is Mac Allister I just found out there is an Argentine player called Mac Allister</v>
      </c>
    </row>
    <row r="6914" ht="15.75" customHeight="1">
      <c r="A6914" s="1">
        <v>8116.0</v>
      </c>
      <c r="B6914" s="3" t="s">
        <v>19854</v>
      </c>
      <c r="C6914" s="3">
        <v>0.0</v>
      </c>
      <c r="D6914" s="3">
        <v>0.0</v>
      </c>
      <c r="E6914" s="3">
        <v>0.0</v>
      </c>
      <c r="F6914" s="3" t="s">
        <v>19855</v>
      </c>
      <c r="G6914" s="3">
        <v>0.0</v>
      </c>
      <c r="H6914" s="3">
        <v>0.0</v>
      </c>
      <c r="I6914" s="3" t="s">
        <v>13</v>
      </c>
      <c r="J6914" s="3" t="s">
        <v>19856</v>
      </c>
      <c r="K6914" s="3" t="s">
        <v>31</v>
      </c>
      <c r="L6914" s="3" t="str">
        <f>IFERROR(__xludf.DUMMYFUNCTION("GOOGLETRANSLATE(F6914,""id"",""en"")"),"Argentina World Champion and Economic Crisis")</f>
        <v>Argentina World Champion and Economic Crisis</v>
      </c>
    </row>
    <row r="6915" ht="15.75" customHeight="1">
      <c r="A6915" s="1">
        <v>8117.0</v>
      </c>
      <c r="B6915" s="3" t="s">
        <v>19857</v>
      </c>
      <c r="C6915" s="3">
        <v>0.0</v>
      </c>
      <c r="D6915" s="3">
        <v>0.0</v>
      </c>
      <c r="E6915" s="3">
        <v>1.0</v>
      </c>
      <c r="F6915" s="3" t="s">
        <v>19858</v>
      </c>
      <c r="G6915" s="3">
        <v>0.0</v>
      </c>
      <c r="H6915" s="3">
        <v>0.0</v>
      </c>
      <c r="I6915" s="3" t="s">
        <v>13</v>
      </c>
      <c r="J6915" s="3" t="s">
        <v>19859</v>
      </c>
      <c r="K6915" s="3" t="s">
        <v>54</v>
      </c>
      <c r="L6915" s="3" t="str">
        <f>IFERROR(__xludf.DUMMYFUNCTION("GOOGLETRANSLATE(F6915,""id"",""en"")"),"NNTI Becomes Penaldo Champion With Argentina")</f>
        <v>NNTI Becomes Penaldo Champion With Argentina</v>
      </c>
    </row>
    <row r="6916" ht="15.75" customHeight="1">
      <c r="A6916" s="1">
        <v>8118.0</v>
      </c>
      <c r="B6916" s="3" t="s">
        <v>19860</v>
      </c>
      <c r="C6916" s="3">
        <v>0.0</v>
      </c>
      <c r="D6916" s="3">
        <v>0.0</v>
      </c>
      <c r="E6916" s="3">
        <v>0.0</v>
      </c>
      <c r="F6916" s="3" t="s">
        <v>19861</v>
      </c>
      <c r="G6916" s="3">
        <v>0.2333333333333333</v>
      </c>
      <c r="H6916" s="3">
        <v>-0.25</v>
      </c>
      <c r="I6916" s="3" t="s">
        <v>179</v>
      </c>
      <c r="J6916" s="3" t="s">
        <v>19862</v>
      </c>
      <c r="K6916" s="3" t="s">
        <v>910</v>
      </c>
      <c r="L6916" s="3" t="str">
        <f>IFERROR(__xludf.DUMMYFUNCTION("GOOGLETRANSLATE(F6916,""id"",""en"")"),"About four million Argentine fans spilled over to fill the streets of Buenos Aires in the World Cup championship parade so the players had to be transported to go using a helicopter you were interested in Sushimitra to take part in the championship parade"&amp;" there")</f>
        <v>About four million Argentine fans spilled over to fill the streets of Buenos Aires in the World Cup championship parade so the players had to be transported to go using a helicopter you were interested in Sushimitra to take part in the championship parade there</v>
      </c>
    </row>
    <row r="6917" ht="15.75" customHeight="1">
      <c r="A6917" s="1">
        <v>8119.0</v>
      </c>
      <c r="B6917" s="3" t="s">
        <v>19863</v>
      </c>
      <c r="C6917" s="3">
        <v>0.0</v>
      </c>
      <c r="D6917" s="3">
        <v>1.0</v>
      </c>
      <c r="E6917" s="3">
        <v>6.0</v>
      </c>
      <c r="F6917" s="3" t="s">
        <v>19864</v>
      </c>
      <c r="G6917" s="3">
        <v>0.0</v>
      </c>
      <c r="H6917" s="3">
        <v>0.0</v>
      </c>
      <c r="I6917" s="3" t="s">
        <v>13</v>
      </c>
      <c r="J6917" s="3" t="s">
        <v>19865</v>
      </c>
      <c r="K6917" s="3" t="s">
        <v>41</v>
      </c>
      <c r="L6917" s="3" t="str">
        <f>IFERROR(__xludf.DUMMYFUNCTION("GOOGLETRANSLATE(F6917,""id"",""en"")"),"The moment of Argentine players was evacuated by a helicopter after the champion champion celebration")</f>
        <v>The moment of Argentine players was evacuated by a helicopter after the champion champion celebration</v>
      </c>
    </row>
    <row r="6918" ht="15.75" customHeight="1">
      <c r="A6918" s="1">
        <v>8120.0</v>
      </c>
      <c r="B6918" s="3" t="s">
        <v>19866</v>
      </c>
      <c r="C6918" s="3">
        <v>1.0</v>
      </c>
      <c r="D6918" s="3">
        <v>0.0</v>
      </c>
      <c r="E6918" s="3">
        <v>0.0</v>
      </c>
      <c r="F6918" s="3" t="s">
        <v>19867</v>
      </c>
      <c r="G6918" s="3">
        <v>0.0</v>
      </c>
      <c r="H6918" s="3">
        <v>0.0</v>
      </c>
      <c r="I6918" s="3" t="s">
        <v>13</v>
      </c>
      <c r="J6918" s="3" t="s">
        <v>19868</v>
      </c>
      <c r="K6918" s="3" t="s">
        <v>54</v>
      </c>
      <c r="L6918" s="3" t="str">
        <f>IFERROR(__xludf.DUMMYFUNCTION("GOOGLETRANSLATE(F6918,""id"",""en"")"),"The Argentina champion still wants to say anything")</f>
        <v>The Argentina champion still wants to say anything</v>
      </c>
    </row>
    <row r="6919" ht="15.75" customHeight="1">
      <c r="A6919" s="1">
        <v>8121.0</v>
      </c>
      <c r="B6919" s="3" t="s">
        <v>19869</v>
      </c>
      <c r="C6919" s="3">
        <v>0.0</v>
      </c>
      <c r="D6919" s="3">
        <v>3.0</v>
      </c>
      <c r="E6919" s="3">
        <v>1.0</v>
      </c>
      <c r="F6919" s="3" t="s">
        <v>19870</v>
      </c>
      <c r="G6919" s="3">
        <v>0.0</v>
      </c>
      <c r="H6919" s="3">
        <v>0.0</v>
      </c>
      <c r="I6919" s="3" t="s">
        <v>13</v>
      </c>
      <c r="J6919" s="3" t="s">
        <v>19871</v>
      </c>
      <c r="K6919" s="3" t="s">
        <v>41</v>
      </c>
      <c r="L6919" s="3" t="str">
        <f>IFERROR(__xludf.DUMMYFUNCTION("GOOGLETRANSLATE(F6919,""id"",""en"")"),"The magnificent King Fahd Argentina Mosque Country Champion World Cup")</f>
        <v>The magnificent King Fahd Argentina Mosque Country Champion World Cup</v>
      </c>
    </row>
    <row r="6920" ht="15.75" customHeight="1">
      <c r="A6920" s="1">
        <v>8122.0</v>
      </c>
      <c r="B6920" s="3" t="s">
        <v>19872</v>
      </c>
      <c r="C6920" s="3">
        <v>0.0</v>
      </c>
      <c r="D6920" s="3">
        <v>0.0</v>
      </c>
      <c r="E6920" s="3">
        <v>3.0</v>
      </c>
      <c r="F6920" s="3" t="s">
        <v>19873</v>
      </c>
      <c r="G6920" s="3">
        <v>0.0</v>
      </c>
      <c r="H6920" s="3">
        <v>0.0</v>
      </c>
      <c r="I6920" s="3" t="s">
        <v>13</v>
      </c>
      <c r="J6920" s="3" t="s">
        <v>19874</v>
      </c>
      <c r="K6920" s="3" t="s">
        <v>1493</v>
      </c>
      <c r="L6920" s="3" t="str">
        <f>IFERROR(__xludf.DUMMYFUNCTION("GOOGLETRANSLATE(F6920,""id"",""en"")"),"Aguero has a big contribution for Argentina since he has carried Argentina champions canada so it is natural that he was called to believe in the championship of his pildun with his country champions who won the champions")</f>
        <v>Aguero has a big contribution for Argentina since he has carried Argentina champions canada so it is natural that he was called to believe in the championship of his pildun with his country champions who won the champions</v>
      </c>
    </row>
    <row r="6921" ht="15.75" customHeight="1">
      <c r="A6921" s="1">
        <v>8123.0</v>
      </c>
      <c r="B6921" s="3" t="s">
        <v>19875</v>
      </c>
      <c r="C6921" s="3">
        <v>0.0</v>
      </c>
      <c r="D6921" s="3">
        <v>0.0</v>
      </c>
      <c r="E6921" s="3">
        <v>0.0</v>
      </c>
      <c r="F6921" s="3" t="s">
        <v>19876</v>
      </c>
      <c r="G6921" s="3">
        <v>0.0</v>
      </c>
      <c r="H6921" s="3">
        <v>0.0</v>
      </c>
      <c r="I6921" s="3" t="s">
        <v>13</v>
      </c>
      <c r="J6921" s="3" t="s">
        <v>19877</v>
      </c>
      <c r="K6921" s="3" t="s">
        <v>50</v>
      </c>
      <c r="L6921" s="3" t="str">
        <f>IFERROR(__xludf.DUMMYFUNCTION("GOOGLETRANSLATE(F6921,""id"",""en"")"),"Hullud became a friend of his room Messi from Wkakak, instead he carried Argentina when he was champion")</f>
        <v>Hullud became a friend of his room Messi from Wkakak, instead he carried Argentina when he was champion</v>
      </c>
    </row>
    <row r="6922" ht="15.75" customHeight="1">
      <c r="A6922" s="1">
        <v>8124.0</v>
      </c>
      <c r="B6922" s="3" t="s">
        <v>19878</v>
      </c>
      <c r="C6922" s="3">
        <v>0.0</v>
      </c>
      <c r="D6922" s="3">
        <v>0.0</v>
      </c>
      <c r="E6922" s="3">
        <v>0.0</v>
      </c>
      <c r="F6922" s="3" t="s">
        <v>19873</v>
      </c>
      <c r="G6922" s="3">
        <v>0.0</v>
      </c>
      <c r="H6922" s="3">
        <v>0.0</v>
      </c>
      <c r="I6922" s="3" t="s">
        <v>13</v>
      </c>
      <c r="J6922" s="3" t="s">
        <v>19874</v>
      </c>
      <c r="K6922" s="3" t="s">
        <v>1493</v>
      </c>
      <c r="L6922" s="3" t="str">
        <f>IFERROR(__xludf.DUMMYFUNCTION("GOOGLETRANSLATE(F6922,""id"",""en"")"),"Aguero has a big contribution for Argentina since he has carried Argentina champions canada so it is natural that he was called to believe in the championship of his pildun with his country champions who won the champions")</f>
        <v>Aguero has a big contribution for Argentina since he has carried Argentina champions canada so it is natural that he was called to believe in the championship of his pildun with his country champions who won the champions</v>
      </c>
    </row>
    <row r="6923" ht="15.75" customHeight="1">
      <c r="A6923" s="1">
        <v>8125.0</v>
      </c>
      <c r="B6923" s="3" t="s">
        <v>19879</v>
      </c>
      <c r="C6923" s="3">
        <v>0.0</v>
      </c>
      <c r="D6923" s="3">
        <v>0.0</v>
      </c>
      <c r="E6923" s="3">
        <v>0.0</v>
      </c>
      <c r="F6923" s="3" t="s">
        <v>19880</v>
      </c>
      <c r="G6923" s="3">
        <v>0.0</v>
      </c>
      <c r="H6923" s="3">
        <v>0.0</v>
      </c>
      <c r="I6923" s="3" t="s">
        <v>13</v>
      </c>
      <c r="J6923" s="3" t="s">
        <v>19881</v>
      </c>
      <c r="K6923" s="3" t="s">
        <v>54</v>
      </c>
      <c r="L6923" s="3" t="str">
        <f>IFERROR(__xludf.DUMMYFUNCTION("GOOGLETRANSLATE(F6923,""id"",""en"")"),"Argentina The champion is only hockey, fortunately there is a penalty shootout")</f>
        <v>Argentina The champion is only hockey, fortunately there is a penalty shootout</v>
      </c>
    </row>
    <row r="6924" ht="15.75" customHeight="1">
      <c r="A6924" s="1">
        <v>8126.0</v>
      </c>
      <c r="B6924" s="3" t="s">
        <v>19882</v>
      </c>
      <c r="C6924" s="3">
        <v>1.0</v>
      </c>
      <c r="D6924" s="3">
        <v>0.0</v>
      </c>
      <c r="E6924" s="3">
        <v>2.0</v>
      </c>
      <c r="F6924" s="3" t="s">
        <v>19883</v>
      </c>
      <c r="G6924" s="3">
        <v>0.0</v>
      </c>
      <c r="H6924" s="3">
        <v>0.0</v>
      </c>
      <c r="I6924" s="3" t="s">
        <v>13</v>
      </c>
      <c r="J6924" s="3" t="s">
        <v>19884</v>
      </c>
      <c r="K6924" s="3" t="s">
        <v>82</v>
      </c>
      <c r="L6924" s="3" t="str">
        <f>IFERROR(__xludf.DUMMYFUNCTION("GOOGLETRANSLATE(F6924,""id"",""en"")"),"Argentina Champion Pilduun Ngunin European Team is also a fact")</f>
        <v>Argentina Champion Pilduun Ngunin European Team is also a fact</v>
      </c>
    </row>
    <row r="6925" ht="15.75" customHeight="1">
      <c r="A6925" s="1">
        <v>8127.0</v>
      </c>
      <c r="B6925" s="3" t="s">
        <v>19885</v>
      </c>
      <c r="C6925" s="3">
        <v>1.0</v>
      </c>
      <c r="D6925" s="3">
        <v>0.0</v>
      </c>
      <c r="E6925" s="3">
        <v>0.0</v>
      </c>
      <c r="F6925" s="3" t="s">
        <v>19886</v>
      </c>
      <c r="G6925" s="3">
        <v>0.0</v>
      </c>
      <c r="H6925" s="3">
        <v>0.0</v>
      </c>
      <c r="I6925" s="3" t="s">
        <v>13</v>
      </c>
      <c r="J6925" s="3" t="s">
        <v>19887</v>
      </c>
      <c r="K6925" s="3" t="s">
        <v>1335</v>
      </c>
      <c r="L6925" s="3" t="str">
        <f>IFERROR(__xludf.DUMMYFUNCTION("GOOGLETRANSLATE(F6925,""id"",""en"")"),"Argentina Champion World Cup Gas All Argentina")</f>
        <v>Argentina Champion World Cup Gas All Argentina</v>
      </c>
    </row>
    <row r="6926" ht="15.75" customHeight="1">
      <c r="A6926" s="1">
        <v>8128.0</v>
      </c>
      <c r="B6926" s="3" t="s">
        <v>19888</v>
      </c>
      <c r="C6926" s="3">
        <v>1.0</v>
      </c>
      <c r="D6926" s="3">
        <v>0.0</v>
      </c>
      <c r="E6926" s="3">
        <v>0.0</v>
      </c>
      <c r="F6926" s="3" t="s">
        <v>19889</v>
      </c>
      <c r="G6926" s="3">
        <v>0.0</v>
      </c>
      <c r="H6926" s="3">
        <v>0.0</v>
      </c>
      <c r="I6926" s="3" t="s">
        <v>13</v>
      </c>
      <c r="J6926" s="3" t="s">
        <v>19890</v>
      </c>
      <c r="K6926" s="3" t="s">
        <v>16174</v>
      </c>
      <c r="L6926" s="3" t="str">
        <f>IFERROR(__xludf.DUMMYFUNCTION("GOOGLETRANSLATE(F6926,""id"",""en"")"),"Hahaha")</f>
        <v>Hahaha</v>
      </c>
    </row>
    <row r="6927" ht="15.75" customHeight="1">
      <c r="A6927" s="1">
        <v>8129.0</v>
      </c>
      <c r="B6927" s="3" t="s">
        <v>19891</v>
      </c>
      <c r="C6927" s="3">
        <v>1.0</v>
      </c>
      <c r="D6927" s="3">
        <v>1.0</v>
      </c>
      <c r="E6927" s="3">
        <v>5.0</v>
      </c>
      <c r="F6927" s="3" t="s">
        <v>19892</v>
      </c>
      <c r="G6927" s="3">
        <v>0.2333333333333333</v>
      </c>
      <c r="H6927" s="3">
        <v>-0.25</v>
      </c>
      <c r="I6927" s="3" t="s">
        <v>179</v>
      </c>
      <c r="J6927" s="3" t="s">
        <v>19893</v>
      </c>
      <c r="K6927" s="3" t="s">
        <v>240</v>
      </c>
      <c r="L6927" s="3" t="str">
        <f>IFERROR(__xludf.DUMMYFUNCTION("GOOGLETRANSLATE(F6927,""id"",""en"")"),"Argentine goalkeeper Emiliano Martinez again mocked Kylian Mbappe when diving parade celebration of the World Cup champion Buenos Aires")</f>
        <v>Argentine goalkeeper Emiliano Martinez again mocked Kylian Mbappe when diving parade celebration of the World Cup champion Buenos Aires</v>
      </c>
    </row>
    <row r="6928" ht="15.75" customHeight="1">
      <c r="A6928" s="1">
        <v>8130.0</v>
      </c>
      <c r="B6928" s="3" t="s">
        <v>19894</v>
      </c>
      <c r="C6928" s="3">
        <v>1.0</v>
      </c>
      <c r="D6928" s="3">
        <v>0.0</v>
      </c>
      <c r="E6928" s="3">
        <v>2.0</v>
      </c>
      <c r="F6928" s="3" t="s">
        <v>19895</v>
      </c>
      <c r="G6928" s="3">
        <v>0.0</v>
      </c>
      <c r="H6928" s="3">
        <v>0.0</v>
      </c>
      <c r="I6928" s="3" t="s">
        <v>13</v>
      </c>
      <c r="J6928" s="3" t="s">
        <v>19896</v>
      </c>
      <c r="K6928" s="3" t="s">
        <v>358</v>
      </c>
      <c r="L6928" s="3" t="str">
        <f>IFERROR(__xludf.DUMMYFUNCTION("GOOGLETRANSLATE(F6928,""id"",""en"")"),"Legend Argentina, the boss of his country is a champion, champion, he wants to join the champion of the pildun, it's still jealous of the jealousy")</f>
        <v>Legend Argentina, the boss of his country is a champion, champion, he wants to join the champion of the pildun, it's still jealous of the jealousy</v>
      </c>
    </row>
    <row r="6929" ht="15.75" customHeight="1">
      <c r="A6929" s="1">
        <v>8131.0</v>
      </c>
      <c r="B6929" s="3" t="s">
        <v>19897</v>
      </c>
      <c r="C6929" s="3">
        <v>1.0</v>
      </c>
      <c r="D6929" s="3">
        <v>0.0</v>
      </c>
      <c r="E6929" s="3">
        <v>0.0</v>
      </c>
      <c r="F6929" s="3" t="s">
        <v>19898</v>
      </c>
      <c r="G6929" s="3">
        <v>1.0</v>
      </c>
      <c r="H6929" s="3">
        <v>0.0</v>
      </c>
      <c r="I6929" s="3" t="s">
        <v>13</v>
      </c>
      <c r="J6929" s="3" t="s">
        <v>19899</v>
      </c>
      <c r="K6929" s="3" t="s">
        <v>695</v>
      </c>
      <c r="L6929" s="3" t="str">
        <f>IFERROR(__xludf.DUMMYFUNCTION("GOOGLETRANSLATE(F6929,""id"",""en"")"),"Seeing when Brazil died the Argentine supporter media on the other side of the other side Ronaldo Rivaldo Pas Final on Support Messi and Argentina for Champion")</f>
        <v>Seeing when Brazil died the Argentine supporter media on the other side of the other side Ronaldo Rivaldo Pas Final on Support Messi and Argentina for Champion</v>
      </c>
    </row>
    <row r="6930" ht="15.75" customHeight="1">
      <c r="A6930" s="1">
        <v>8132.0</v>
      </c>
      <c r="B6930" s="3" t="s">
        <v>19900</v>
      </c>
      <c r="C6930" s="3">
        <v>1.0</v>
      </c>
      <c r="D6930" s="3">
        <v>0.0</v>
      </c>
      <c r="E6930" s="3">
        <v>0.0</v>
      </c>
      <c r="F6930" s="3" t="s">
        <v>19901</v>
      </c>
      <c r="G6930" s="3">
        <v>1.0</v>
      </c>
      <c r="H6930" s="3">
        <v>0.0</v>
      </c>
      <c r="I6930" s="3" t="s">
        <v>13</v>
      </c>
      <c r="J6930" s="3" t="s">
        <v>19902</v>
      </c>
      <c r="K6930" s="3" t="s">
        <v>1656</v>
      </c>
      <c r="L6930" s="3" t="str">
        <f>IFERROR(__xludf.DUMMYFUNCTION("GOOGLETRANSLATE(F6930,""id"",""en"")"),"France's biggest weakness is the historical side, but since the France team format can be the final time of the runner river champion, I have a penalty shootout, as a fan France is proud to see")</f>
        <v>France's biggest weakness is the historical side, but since the France team format can be the final time of the runner river champion, I have a penalty shootout, as a fan France is proud to see</v>
      </c>
    </row>
    <row r="6931" ht="15.75" customHeight="1">
      <c r="A6931" s="1">
        <v>8133.0</v>
      </c>
      <c r="B6931" s="3" t="s">
        <v>19903</v>
      </c>
      <c r="C6931" s="3">
        <v>2.0</v>
      </c>
      <c r="D6931" s="3">
        <v>0.0</v>
      </c>
      <c r="E6931" s="3">
        <v>7.0</v>
      </c>
      <c r="F6931" s="3" t="s">
        <v>19904</v>
      </c>
      <c r="G6931" s="3">
        <v>0.0</v>
      </c>
      <c r="H6931" s="3">
        <v>0.0</v>
      </c>
      <c r="I6931" s="3" t="s">
        <v>13</v>
      </c>
      <c r="J6931" s="3" t="s">
        <v>19905</v>
      </c>
      <c r="K6931" s="3" t="s">
        <v>45</v>
      </c>
      <c r="L6931" s="3" t="str">
        <f>IFERROR(__xludf.DUMMYFUNCTION("GOOGLETRANSLATE(F6931,""id"",""en"")"),"Not talking about this talent, this talent talent from Latin America I believe many great players from there are proven from the World Cup champion between the UEFA Zone Club always won the World Cup last bra")</f>
        <v>Not talking about this talent, this talent talent from Latin America I believe many great players from there are proven from the World Cup champion between the UEFA Zone Club always won the World Cup last bra</v>
      </c>
    </row>
    <row r="6932" ht="15.75" customHeight="1">
      <c r="A6932" s="1">
        <v>8134.0</v>
      </c>
      <c r="B6932" s="3" t="s">
        <v>19906</v>
      </c>
      <c r="C6932" s="3">
        <v>0.0</v>
      </c>
      <c r="D6932" s="3">
        <v>0.0</v>
      </c>
      <c r="E6932" s="3">
        <v>1.0</v>
      </c>
      <c r="F6932" s="3" t="s">
        <v>19907</v>
      </c>
      <c r="G6932" s="3">
        <v>0.0</v>
      </c>
      <c r="H6932" s="3">
        <v>0.0</v>
      </c>
      <c r="I6932" s="3" t="s">
        <v>13</v>
      </c>
      <c r="J6932" s="3" t="s">
        <v>19908</v>
      </c>
      <c r="K6932" s="3" t="s">
        <v>19</v>
      </c>
      <c r="L6932" s="3" t="str">
        <f>IFERROR(__xludf.DUMMYFUNCTION("GOOGLETRANSLATE(F6932,""id"",""en"")"),"Buenos Aires Human Lautan Welcoming World Cup Champion This Profile of the Capital City of Argentina")</f>
        <v>Buenos Aires Human Lautan Welcoming World Cup Champion This Profile of the Capital City of Argentina</v>
      </c>
    </row>
    <row r="6933" ht="15.75" customHeight="1">
      <c r="A6933" s="1">
        <v>8135.0</v>
      </c>
      <c r="B6933" s="3" t="s">
        <v>19909</v>
      </c>
      <c r="C6933" s="3">
        <v>0.0</v>
      </c>
      <c r="D6933" s="3">
        <v>1.0</v>
      </c>
      <c r="E6933" s="3">
        <v>0.0</v>
      </c>
      <c r="F6933" s="3" t="s">
        <v>19910</v>
      </c>
      <c r="G6933" s="3">
        <v>0.2333333333333333</v>
      </c>
      <c r="H6933" s="3">
        <v>-0.25</v>
      </c>
      <c r="I6933" s="3" t="s">
        <v>179</v>
      </c>
      <c r="J6933" s="3" t="s">
        <v>19911</v>
      </c>
      <c r="K6933" s="3" t="s">
        <v>15</v>
      </c>
      <c r="L6933" s="3" t="str">
        <f>IFERROR(__xludf.DUMMYFUNCTION("GOOGLETRANSLATE(F6933,""id"",""en"")"),"Argentina's winning parade winning the World Cup title")</f>
        <v>Argentina's winning parade winning the World Cup title</v>
      </c>
    </row>
    <row r="6934" ht="15.75" customHeight="1">
      <c r="A6934" s="1">
        <v>8136.0</v>
      </c>
      <c r="B6934" s="3" t="s">
        <v>19912</v>
      </c>
      <c r="C6934" s="3">
        <v>1.0</v>
      </c>
      <c r="D6934" s="3">
        <v>0.0</v>
      </c>
      <c r="E6934" s="3">
        <v>0.0</v>
      </c>
      <c r="F6934" s="3" t="s">
        <v>19913</v>
      </c>
      <c r="G6934" s="3">
        <v>1.0</v>
      </c>
      <c r="H6934" s="3">
        <v>0.0</v>
      </c>
      <c r="I6934" s="3" t="s">
        <v>13</v>
      </c>
      <c r="J6934" s="3" t="s">
        <v>19914</v>
      </c>
      <c r="K6934" s="3" t="s">
        <v>520</v>
      </c>
      <c r="L6934" s="3" t="str">
        <f>IFERROR(__xludf.DUMMYFUNCTION("GOOGLETRANSLATE(F6934,""id"",""en"")"),"who printed for the Euro Euro champion, you know Messi scored a goal and became the first executor for the champion where the final match contributed")</f>
        <v>who printed for the Euro Euro champion, you know Messi scored a goal and became the first executor for the champion where the final match contributed</v>
      </c>
    </row>
    <row r="6935" ht="15.75" customHeight="1">
      <c r="A6935" s="1">
        <v>8137.0</v>
      </c>
      <c r="B6935" s="3" t="s">
        <v>19915</v>
      </c>
      <c r="C6935" s="3">
        <v>2.0</v>
      </c>
      <c r="D6935" s="3">
        <v>0.0</v>
      </c>
      <c r="E6935" s="3">
        <v>1.0</v>
      </c>
      <c r="F6935" s="3" t="s">
        <v>19916</v>
      </c>
      <c r="G6935" s="3">
        <v>1.0</v>
      </c>
      <c r="H6935" s="3">
        <v>0.0</v>
      </c>
      <c r="I6935" s="3" t="s">
        <v>13</v>
      </c>
      <c r="J6935" s="3" t="s">
        <v>19917</v>
      </c>
      <c r="K6935" s="3" t="s">
        <v>795</v>
      </c>
      <c r="L6935" s="3" t="str">
        <f>IFERROR(__xludf.DUMMYFUNCTION("GOOGLETRANSLATE(F6935,""id"",""en"")"),"Jendi if you become Emil, I am ashamed of Songong Mbappe Final broken when Songong because Argentina is the champion he just won the age of Mbappe Age already lifted the Cup")</f>
        <v>Jendi if you become Emil, I am ashamed of Songong Mbappe Final broken when Songong because Argentina is the champion he just won the age of Mbappe Age already lifted the Cup</v>
      </c>
    </row>
    <row r="6936" ht="15.75" customHeight="1">
      <c r="A6936" s="1">
        <v>8138.0</v>
      </c>
      <c r="B6936" s="3" t="s">
        <v>19918</v>
      </c>
      <c r="C6936" s="3">
        <v>0.0</v>
      </c>
      <c r="D6936" s="3">
        <v>0.0</v>
      </c>
      <c r="E6936" s="3">
        <v>2.0</v>
      </c>
      <c r="F6936" s="3" t="s">
        <v>19834</v>
      </c>
      <c r="G6936" s="3">
        <v>0.0</v>
      </c>
      <c r="H6936" s="3">
        <v>0.0</v>
      </c>
      <c r="I6936" s="3" t="s">
        <v>13</v>
      </c>
      <c r="J6936" s="3" t="s">
        <v>19835</v>
      </c>
      <c r="K6936" s="3" t="s">
        <v>75</v>
      </c>
      <c r="L6936" s="3" t="str">
        <f>IFERROR(__xludf.DUMMYFUNCTION("GOOGLETRANSLATE(F6936,""id"",""en"")"),"Argentina Champion World Cup Lionel Messi Note the National Team Subject")</f>
        <v>Argentina Champion World Cup Lionel Messi Note the National Team Subject</v>
      </c>
    </row>
    <row r="6937" ht="15.75" customHeight="1">
      <c r="A6937" s="1">
        <v>8139.0</v>
      </c>
      <c r="B6937" s="3" t="s">
        <v>19919</v>
      </c>
      <c r="C6937" s="3">
        <v>1.0</v>
      </c>
      <c r="D6937" s="3">
        <v>0.0</v>
      </c>
      <c r="E6937" s="3">
        <v>1.0</v>
      </c>
      <c r="F6937" s="3" t="s">
        <v>19916</v>
      </c>
      <c r="G6937" s="3">
        <v>1.0</v>
      </c>
      <c r="H6937" s="3">
        <v>0.0</v>
      </c>
      <c r="I6937" s="3" t="s">
        <v>13</v>
      </c>
      <c r="J6937" s="3" t="s">
        <v>19917</v>
      </c>
      <c r="K6937" s="3" t="s">
        <v>795</v>
      </c>
      <c r="L6937" s="3" t="str">
        <f>IFERROR(__xludf.DUMMYFUNCTION("GOOGLETRANSLATE(F6937,""id"",""en"")"),"Jendi if you become Emil, I am ashamed of Songong Mbappe Final broken when Songong because Argentina is the champion he just won the age of Mbappe Age already lifted the Cup")</f>
        <v>Jendi if you become Emil, I am ashamed of Songong Mbappe Final broken when Songong because Argentina is the champion he just won the age of Mbappe Age already lifted the Cup</v>
      </c>
    </row>
    <row r="6938" ht="15.75" customHeight="1">
      <c r="A6938" s="1">
        <v>8140.0</v>
      </c>
      <c r="B6938" s="3" t="s">
        <v>19920</v>
      </c>
      <c r="C6938" s="3">
        <v>0.0</v>
      </c>
      <c r="D6938" s="3">
        <v>0.0</v>
      </c>
      <c r="E6938" s="3">
        <v>0.0</v>
      </c>
      <c r="F6938" s="3" t="s">
        <v>19921</v>
      </c>
      <c r="G6938" s="3">
        <v>0.0</v>
      </c>
      <c r="H6938" s="3">
        <v>0.0</v>
      </c>
      <c r="I6938" s="3" t="s">
        <v>13</v>
      </c>
      <c r="J6938" s="3" t="s">
        <v>19922</v>
      </c>
      <c r="K6938" s="3" t="s">
        <v>41</v>
      </c>
      <c r="L6938" s="3" t="str">
        <f>IFERROR(__xludf.DUMMYFUNCTION("GOOGLETRANSLATE(F6938,""id"",""en"")"),"Only Messi is positive from Argentina, world champion mas")</f>
        <v>Only Messi is positive from Argentina, world champion mas</v>
      </c>
    </row>
    <row r="6939" ht="15.75" customHeight="1">
      <c r="A6939" s="1">
        <v>8142.0</v>
      </c>
      <c r="B6939" s="3" t="s">
        <v>19923</v>
      </c>
      <c r="C6939" s="3">
        <v>0.0</v>
      </c>
      <c r="D6939" s="3">
        <v>0.0</v>
      </c>
      <c r="E6939" s="3">
        <v>1.0</v>
      </c>
      <c r="F6939" s="3" t="s">
        <v>19924</v>
      </c>
      <c r="G6939" s="3">
        <v>0.0</v>
      </c>
      <c r="H6939" s="3">
        <v>0.0</v>
      </c>
      <c r="I6939" s="3" t="s">
        <v>13</v>
      </c>
      <c r="J6939" s="3" t="s">
        <v>19925</v>
      </c>
      <c r="K6939" s="3" t="s">
        <v>50</v>
      </c>
      <c r="L6939" s="3" t="str">
        <f>IFERROR(__xludf.DUMMYFUNCTION("GOOGLETRANSLATE(F6939,""id"",""en"")"),"Argentina Party World Cup Champion Emi Martinez Bring a Mbappe -faced Doll")</f>
        <v>Argentina Party World Cup Champion Emi Martinez Bring a Mbappe -faced Doll</v>
      </c>
    </row>
    <row r="6940" ht="15.75" customHeight="1">
      <c r="A6940" s="1">
        <v>8143.0</v>
      </c>
      <c r="B6940" s="3" t="s">
        <v>19926</v>
      </c>
      <c r="C6940" s="3">
        <v>0.0</v>
      </c>
      <c r="D6940" s="3">
        <v>0.0</v>
      </c>
      <c r="E6940" s="3">
        <v>0.0</v>
      </c>
      <c r="F6940" s="3" t="s">
        <v>19927</v>
      </c>
      <c r="G6940" s="3">
        <v>0.2333333333333333</v>
      </c>
      <c r="H6940" s="3">
        <v>-0.25</v>
      </c>
      <c r="I6940" s="3" t="s">
        <v>179</v>
      </c>
      <c r="J6940" s="3" t="s">
        <v>19928</v>
      </c>
      <c r="K6940" s="3" t="s">
        <v>657</v>
      </c>
      <c r="L6940" s="3" t="str">
        <f>IFERROR(__xludf.DUMMYFUNCTION("GOOGLETRANSLATE(F6940,""id"",""en"")"),"Emiliano Martinez was caught on camera carrying a baby doll -faced Kylian Mbappe while attending the Argentine championship parade")</f>
        <v>Emiliano Martinez was caught on camera carrying a baby doll -faced Kylian Mbappe while attending the Argentine championship parade</v>
      </c>
    </row>
    <row r="6941" ht="15.75" customHeight="1">
      <c r="A6941" s="1">
        <v>8144.0</v>
      </c>
      <c r="B6941" s="3" t="s">
        <v>19929</v>
      </c>
      <c r="C6941" s="3">
        <v>0.0</v>
      </c>
      <c r="D6941" s="3">
        <v>0.0</v>
      </c>
      <c r="E6941" s="3">
        <v>0.0</v>
      </c>
      <c r="F6941" s="3" t="s">
        <v>19930</v>
      </c>
      <c r="G6941" s="3">
        <v>0.0</v>
      </c>
      <c r="H6941" s="3">
        <v>0.0</v>
      </c>
      <c r="I6941" s="3" t="s">
        <v>13</v>
      </c>
      <c r="J6941" s="3" t="s">
        <v>19931</v>
      </c>
      <c r="K6941" s="3" t="s">
        <v>71</v>
      </c>
      <c r="L6941" s="3" t="str">
        <f>IFERROR(__xludf.DUMMYFUNCTION("GOOGLETRANSLATE(F6941,""id"",""en"")"),"Already, bro, Sans just want to debate, however, the champion is still Argentina and Emi has proven that he deserves to be the best goalkeeper")</f>
        <v>Already, bro, Sans just want to debate, however, the champion is still Argentina and Emi has proven that he deserves to be the best goalkeeper</v>
      </c>
    </row>
    <row r="6942" ht="15.75" customHeight="1">
      <c r="A6942" s="1">
        <v>8145.0</v>
      </c>
      <c r="B6942" s="3" t="s">
        <v>19932</v>
      </c>
      <c r="C6942" s="3">
        <v>2.0</v>
      </c>
      <c r="D6942" s="3">
        <v>0.0</v>
      </c>
      <c r="E6942" s="3">
        <v>1.0</v>
      </c>
      <c r="F6942" s="3" t="s">
        <v>19933</v>
      </c>
      <c r="G6942" s="3">
        <v>0.0</v>
      </c>
      <c r="H6942" s="3">
        <v>0.0</v>
      </c>
      <c r="I6942" s="3" t="s">
        <v>13</v>
      </c>
      <c r="J6942" s="3" t="s">
        <v>19934</v>
      </c>
      <c r="K6942" s="3" t="s">
        <v>463</v>
      </c>
      <c r="L6942" s="3" t="str">
        <f>IFERROR(__xludf.DUMMYFUNCTION("GOOGLETRANSLATE(F6942,""id"",""en"")"),"Giorza Radite Molina Congratulations for her first world cup as an Argentine fan I respect Argentina but I'm also proud because I have seen France Champion World Cup")</f>
        <v>Giorza Radite Molina Congratulations for her first world cup as an Argentine fan I respect Argentina but I'm also proud because I have seen France Champion World Cup</v>
      </c>
    </row>
    <row r="6943" ht="15.75" customHeight="1">
      <c r="A6943" s="1">
        <v>8146.0</v>
      </c>
      <c r="B6943" s="3" t="s">
        <v>19935</v>
      </c>
      <c r="C6943" s="3">
        <v>0.0</v>
      </c>
      <c r="D6943" s="3">
        <v>0.0</v>
      </c>
      <c r="E6943" s="3">
        <v>0.0</v>
      </c>
      <c r="F6943" s="3" t="s">
        <v>19741</v>
      </c>
      <c r="G6943" s="3">
        <v>0.0</v>
      </c>
      <c r="H6943" s="3">
        <v>0.0</v>
      </c>
      <c r="I6943" s="3" t="s">
        <v>13</v>
      </c>
      <c r="J6943" s="3" t="s">
        <v>19742</v>
      </c>
      <c r="K6943" s="3" t="s">
        <v>795</v>
      </c>
      <c r="L6943" s="3" t="str">
        <f>IFERROR(__xludf.DUMMYFUNCTION("GOOGLETRANSLATE(F6943,""id"",""en"")"),"Congratulations to the first World Cup title as an Argentine fan I respect Argentina but I'm also proud because I have seen France Champion World Cup")</f>
        <v>Congratulations to the first World Cup title as an Argentine fan I respect Argentina but I'm also proud because I have seen France Champion World Cup</v>
      </c>
    </row>
    <row r="6944" ht="15.75" customHeight="1">
      <c r="A6944" s="1">
        <v>8147.0</v>
      </c>
      <c r="B6944" s="3" t="s">
        <v>19936</v>
      </c>
      <c r="C6944" s="3">
        <v>0.0</v>
      </c>
      <c r="D6944" s="3">
        <v>0.0</v>
      </c>
      <c r="E6944" s="3">
        <v>0.0</v>
      </c>
      <c r="F6944" s="3" t="s">
        <v>19937</v>
      </c>
      <c r="G6944" s="3">
        <v>0.0</v>
      </c>
      <c r="H6944" s="3">
        <v>0.0</v>
      </c>
      <c r="I6944" s="3" t="s">
        <v>13</v>
      </c>
      <c r="J6944" s="3" t="s">
        <v>19938</v>
      </c>
      <c r="K6944" s="3" t="s">
        <v>19</v>
      </c>
      <c r="L6944" s="3" t="str">
        <f>IFERROR(__xludf.DUMMYFUNCTION("GOOGLETRANSLATE(F6944,""id"",""en"")"),"Get to know Growth Hormone Deficiency Lionel Messi before delivering Argentina World Cup champions")</f>
        <v>Get to know Growth Hormone Deficiency Lionel Messi before delivering Argentina World Cup champions</v>
      </c>
    </row>
    <row r="6945" ht="15.75" customHeight="1">
      <c r="A6945" s="1">
        <v>8148.0</v>
      </c>
      <c r="B6945" s="3" t="s">
        <v>19939</v>
      </c>
      <c r="C6945" s="3">
        <v>0.0</v>
      </c>
      <c r="D6945" s="3">
        <v>0.0</v>
      </c>
      <c r="E6945" s="3">
        <v>1.0</v>
      </c>
      <c r="F6945" s="3" t="s">
        <v>19940</v>
      </c>
      <c r="G6945" s="3">
        <v>0.0</v>
      </c>
      <c r="H6945" s="3">
        <v>0.0</v>
      </c>
      <c r="I6945" s="3" t="s">
        <v>13</v>
      </c>
      <c r="J6945" s="3" t="s">
        <v>19941</v>
      </c>
      <c r="K6945" s="3" t="s">
        <v>903</v>
      </c>
      <c r="L6945" s="3" t="str">
        <f>IFERROR(__xludf.DUMMYFUNCTION("GOOGLETRANSLATE(F6945,""id"",""en"")"),"After breaking a lot of records it seems that the Argentine national team champion Lionel Messi is not satisfied today on Tuesday afternoon breaks the record that is the most preferred photo in Instagram history")</f>
        <v>After breaking a lot of records it seems that the Argentine national team champion Lionel Messi is not satisfied today on Tuesday afternoon breaks the record that is the most preferred photo in Instagram history</v>
      </c>
    </row>
    <row r="6946" ht="15.75" customHeight="1">
      <c r="A6946" s="1">
        <v>8149.0</v>
      </c>
      <c r="B6946" s="3" t="s">
        <v>19942</v>
      </c>
      <c r="C6946" s="3">
        <v>9.0</v>
      </c>
      <c r="D6946" s="3">
        <v>5.0</v>
      </c>
      <c r="E6946" s="3">
        <v>43.0</v>
      </c>
      <c r="F6946" s="3" t="s">
        <v>19943</v>
      </c>
      <c r="G6946" s="3">
        <v>0.2333333333333333</v>
      </c>
      <c r="H6946" s="3">
        <v>-0.25</v>
      </c>
      <c r="I6946" s="3" t="s">
        <v>179</v>
      </c>
      <c r="J6946" s="3" t="s">
        <v>19944</v>
      </c>
      <c r="K6946" s="3" t="s">
        <v>71</v>
      </c>
      <c r="L6946" s="3" t="str">
        <f>IFERROR(__xludf.DUMMYFUNCTION("GOOGLETRANSLATE(F6946,""id"",""en"")"),"Emi Martinez holds a doll with Kylian Mbappe's face while doing the Argentina championship parade really people")</f>
        <v>Emi Martinez holds a doll with Kylian Mbappe's face while doing the Argentina championship parade really people</v>
      </c>
    </row>
    <row r="6947" ht="15.75" customHeight="1">
      <c r="A6947" s="1">
        <v>8150.0</v>
      </c>
      <c r="B6947" s="3" t="s">
        <v>19945</v>
      </c>
      <c r="C6947" s="3">
        <v>1.0</v>
      </c>
      <c r="D6947" s="3">
        <v>0.0</v>
      </c>
      <c r="E6947" s="3">
        <v>0.0</v>
      </c>
      <c r="F6947" s="3" t="s">
        <v>19946</v>
      </c>
      <c r="G6947" s="3">
        <v>1.0</v>
      </c>
      <c r="H6947" s="3">
        <v>0.0</v>
      </c>
      <c r="I6947" s="3" t="s">
        <v>13</v>
      </c>
      <c r="J6947" s="3" t="s">
        <v>19947</v>
      </c>
      <c r="K6947" s="3" t="s">
        <v>903</v>
      </c>
      <c r="L6947" s="3" t="str">
        <f>IFERROR(__xludf.DUMMYFUNCTION("GOOGLETRANSLATE(F6947,""id"",""en"")"),"Finally, the Latin American club world champion before Argentina Brazil was a long time ago the rest of European dominance could even enter the final besides the European team, only Argentina was only in the year")</f>
        <v>Finally, the Latin American club world champion before Argentina Brazil was a long time ago the rest of European dominance could even enter the final besides the European team, only Argentina was only in the year</v>
      </c>
    </row>
    <row r="6948" ht="15.75" customHeight="1">
      <c r="A6948" s="1">
        <v>8151.0</v>
      </c>
      <c r="B6948" s="3" t="s">
        <v>19948</v>
      </c>
      <c r="C6948" s="3">
        <v>1.0</v>
      </c>
      <c r="D6948" s="3">
        <v>0.0</v>
      </c>
      <c r="E6948" s="3">
        <v>0.0</v>
      </c>
      <c r="F6948" s="3" t="s">
        <v>19741</v>
      </c>
      <c r="G6948" s="3">
        <v>0.0</v>
      </c>
      <c r="H6948" s="3">
        <v>0.0</v>
      </c>
      <c r="I6948" s="3" t="s">
        <v>13</v>
      </c>
      <c r="J6948" s="3" t="s">
        <v>19742</v>
      </c>
      <c r="K6948" s="3" t="s">
        <v>795</v>
      </c>
      <c r="L6948" s="3" t="str">
        <f>IFERROR(__xludf.DUMMYFUNCTION("GOOGLETRANSLATE(F6948,""id"",""en"")"),"Congratulations to the first World Cup title as an Argentine fan I respect Argentina but I'm also proud because I have seen France Champion World Cup")</f>
        <v>Congratulations to the first World Cup title as an Argentine fan I respect Argentina but I'm also proud because I have seen France Champion World Cup</v>
      </c>
    </row>
    <row r="6949" ht="15.75" customHeight="1">
      <c r="A6949" s="1">
        <v>8152.0</v>
      </c>
      <c r="B6949" s="3" t="s">
        <v>19949</v>
      </c>
      <c r="C6949" s="3">
        <v>0.0</v>
      </c>
      <c r="D6949" s="3">
        <v>0.0</v>
      </c>
      <c r="E6949" s="3">
        <v>0.0</v>
      </c>
      <c r="F6949" s="3" t="s">
        <v>19950</v>
      </c>
      <c r="G6949" s="3">
        <v>0.3333333333333333</v>
      </c>
      <c r="H6949" s="3">
        <v>0.1666666666666667</v>
      </c>
      <c r="I6949" s="3" t="s">
        <v>48</v>
      </c>
      <c r="J6949" s="3" t="s">
        <v>19951</v>
      </c>
      <c r="K6949" s="3" t="s">
        <v>90</v>
      </c>
      <c r="L6949" s="3" t="str">
        <f>IFERROR(__xludf.DUMMYFUNCTION("GOOGLETRANSLATE(F6949,""id"",""en"")"),"Better Argentina where from where Konoha played a soccer champion ASEAN level but the affairs of his champion debt until the money of his citizens was used up")</f>
        <v>Better Argentina where from where Konoha played a soccer champion ASEAN level but the affairs of his champion debt until the money of his citizens was used up</v>
      </c>
    </row>
    <row r="6950" ht="15.75" customHeight="1">
      <c r="A6950" s="1">
        <v>8153.0</v>
      </c>
      <c r="B6950" s="3" t="s">
        <v>19952</v>
      </c>
      <c r="C6950" s="3">
        <v>0.0</v>
      </c>
      <c r="D6950" s="3">
        <v>0.0</v>
      </c>
      <c r="E6950" s="3">
        <v>2.0</v>
      </c>
      <c r="F6950" s="3" t="s">
        <v>19953</v>
      </c>
      <c r="G6950" s="3">
        <v>0.0</v>
      </c>
      <c r="H6950" s="3">
        <v>0.0</v>
      </c>
      <c r="I6950" s="3" t="s">
        <v>13</v>
      </c>
      <c r="J6950" s="3" t="s">
        <v>19954</v>
      </c>
      <c r="K6950" s="3" t="s">
        <v>41</v>
      </c>
      <c r="L6950" s="3" t="str">
        <f>IFERROR(__xludf.DUMMYFUNCTION("GOOGLETRANSLATE(F6950,""id"",""en"")"),"million people poured out on the Argentine Parade Chaos Champion")</f>
        <v>million people poured out on the Argentine Parade Chaos Champion</v>
      </c>
    </row>
    <row r="6951" ht="15.75" customHeight="1">
      <c r="A6951" s="1">
        <v>8154.0</v>
      </c>
      <c r="B6951" s="3" t="s">
        <v>19955</v>
      </c>
      <c r="C6951" s="3">
        <v>1.0</v>
      </c>
      <c r="D6951" s="3">
        <v>0.0</v>
      </c>
      <c r="E6951" s="3">
        <v>0.0</v>
      </c>
      <c r="F6951" s="3" t="s">
        <v>19956</v>
      </c>
      <c r="G6951" s="3">
        <v>0.6</v>
      </c>
      <c r="H6951" s="3">
        <v>-0.1</v>
      </c>
      <c r="I6951" s="3" t="s">
        <v>179</v>
      </c>
      <c r="J6951" s="3" t="s">
        <v>19957</v>
      </c>
      <c r="K6951" s="3" t="s">
        <v>1518</v>
      </c>
      <c r="L6951" s="3" t="str">
        <f>IFERROR(__xludf.DUMMYFUNCTION("GOOGLETRANSLATE(F6951,""id"",""en"")"),"Piers Morgan Ghelihat Argentina World Champion is already like the senior father of the political timeline of Twitter Indonesia Post Power Syndrome Maximum Lust of Performance Minimum")</f>
        <v>Piers Morgan Ghelihat Argentina World Champion is already like the senior father of the political timeline of Twitter Indonesia Post Power Syndrome Maximum Lust of Performance Minimum</v>
      </c>
    </row>
    <row r="6952" ht="15.75" customHeight="1">
      <c r="A6952" s="1">
        <v>8156.0</v>
      </c>
      <c r="B6952" s="3" t="s">
        <v>19958</v>
      </c>
      <c r="C6952" s="3">
        <v>1.0</v>
      </c>
      <c r="D6952" s="3">
        <v>0.0</v>
      </c>
      <c r="E6952" s="3">
        <v>0.0</v>
      </c>
      <c r="F6952" s="3" t="s">
        <v>19959</v>
      </c>
      <c r="G6952" s="3">
        <v>0.0</v>
      </c>
      <c r="H6952" s="3">
        <v>0.0</v>
      </c>
      <c r="I6952" s="3" t="s">
        <v>13</v>
      </c>
      <c r="J6952" s="3" t="s">
        <v>19960</v>
      </c>
      <c r="K6952" s="3" t="s">
        <v>82</v>
      </c>
      <c r="L6952" s="3" t="str">
        <f>IFERROR(__xludf.DUMMYFUNCTION("GOOGLETRANSLATE(F6952,""id"",""en"")"),"Singapore Pas Argentina Champion Copa America also uploaded")</f>
        <v>Singapore Pas Argentina Champion Copa America also uploaded</v>
      </c>
    </row>
    <row r="6953" ht="15.75" customHeight="1">
      <c r="A6953" s="1">
        <v>8157.0</v>
      </c>
      <c r="B6953" s="3" t="s">
        <v>19961</v>
      </c>
      <c r="C6953" s="3">
        <v>0.0</v>
      </c>
      <c r="D6953" s="3">
        <v>0.0</v>
      </c>
      <c r="E6953" s="3">
        <v>0.0</v>
      </c>
      <c r="F6953" s="3" t="s">
        <v>19962</v>
      </c>
      <c r="G6953" s="3">
        <v>0.0</v>
      </c>
      <c r="H6953" s="3">
        <v>0.0</v>
      </c>
      <c r="I6953" s="3" t="s">
        <v>13</v>
      </c>
      <c r="J6953" s="3" t="s">
        <v>19963</v>
      </c>
      <c r="K6953" s="3" t="s">
        <v>244</v>
      </c>
      <c r="L6953" s="3" t="str">
        <f>IFERROR(__xludf.DUMMYFUNCTION("GOOGLETRANSLATE(F6953,""id"",""en"")"),"Argentina Wes was set up by IKU KARO FIFA champion paid big Karo Messiun")</f>
        <v>Argentina Wes was set up by IKU KARO FIFA champion paid big Karo Messiun</v>
      </c>
    </row>
    <row r="6954" ht="15.75" customHeight="1">
      <c r="A6954" s="1">
        <v>8158.0</v>
      </c>
      <c r="B6954" s="3" t="s">
        <v>19964</v>
      </c>
      <c r="C6954" s="3">
        <v>2.0</v>
      </c>
      <c r="D6954" s="3">
        <v>0.0</v>
      </c>
      <c r="E6954" s="3">
        <v>0.0</v>
      </c>
      <c r="F6954" s="3" t="s">
        <v>19965</v>
      </c>
      <c r="G6954" s="3">
        <v>0.3333333333333333</v>
      </c>
      <c r="H6954" s="3">
        <v>0.1666666666666667</v>
      </c>
      <c r="I6954" s="3" t="s">
        <v>48</v>
      </c>
      <c r="J6954" s="3" t="s">
        <v>19966</v>
      </c>
      <c r="K6954" s="3" t="s">
        <v>1157</v>
      </c>
      <c r="L6954" s="3" t="str">
        <f>IFERROR(__xludf.DUMMYFUNCTION("GOOGLETRANSLATE(F6954,""id"",""en"")"),"Team players were helped by Romero Otamendi Udh old man with Argentina playing only times, you could say that he was a champion if the assist was given, not kicked by Kolo Muani France, the champion won")</f>
        <v>Team players were helped by Romero Otamendi Udh old man with Argentina playing only times, you could say that he was a champion if the assist was given, not kicked by Kolo Muani France, the champion won</v>
      </c>
    </row>
    <row r="6955" ht="15.75" customHeight="1">
      <c r="A6955" s="1">
        <v>8159.0</v>
      </c>
      <c r="B6955" s="3" t="s">
        <v>19967</v>
      </c>
      <c r="C6955" s="3">
        <v>1.0</v>
      </c>
      <c r="D6955" s="3">
        <v>0.0</v>
      </c>
      <c r="E6955" s="3">
        <v>2.0</v>
      </c>
      <c r="F6955" s="3" t="s">
        <v>19968</v>
      </c>
      <c r="G6955" s="3">
        <v>1.0</v>
      </c>
      <c r="H6955" s="3">
        <v>0.0</v>
      </c>
      <c r="I6955" s="3" t="s">
        <v>13</v>
      </c>
      <c r="J6955" s="3" t="s">
        <v>19969</v>
      </c>
      <c r="K6955" s="3" t="s">
        <v>2215</v>
      </c>
      <c r="L6955" s="3" t="str">
        <f>IFERROR(__xludf.DUMMYFUNCTION("GOOGLETRANSLATE(F6955,""id"",""en"")"),"Argentina Final Champion Brazil Final Champion Pele Maradona Ronaldo Ronaldinho All of them Goat from Latin America")</f>
        <v>Argentina Final Champion Brazil Final Champion Pele Maradona Ronaldo Ronaldinho All of them Goat from Latin America</v>
      </c>
    </row>
    <row r="6956" ht="15.75" customHeight="1">
      <c r="A6956" s="1">
        <v>8160.0</v>
      </c>
      <c r="B6956" s="3" t="s">
        <v>19970</v>
      </c>
      <c r="C6956" s="3">
        <v>1.0</v>
      </c>
      <c r="D6956" s="3">
        <v>0.0</v>
      </c>
      <c r="E6956" s="3">
        <v>0.0</v>
      </c>
      <c r="F6956" s="3" t="s">
        <v>19971</v>
      </c>
      <c r="G6956" s="3">
        <v>0.0</v>
      </c>
      <c r="H6956" s="3">
        <v>0.0</v>
      </c>
      <c r="I6956" s="3" t="s">
        <v>13</v>
      </c>
      <c r="J6956" s="3" t="s">
        <v>19972</v>
      </c>
      <c r="K6956" s="3" t="s">
        <v>236</v>
      </c>
      <c r="L6956" s="3" t="str">
        <f>IFERROR(__xludf.DUMMYFUNCTION("GOOGLETRANSLATE(F6956,""id"",""en"")"),"That's the celebration of the Argentine champion, sorry there the inflation is crazy")</f>
        <v>That's the celebration of the Argentine champion, sorry there the inflation is crazy</v>
      </c>
    </row>
    <row r="6957" ht="15.75" customHeight="1">
      <c r="A6957" s="1">
        <v>8161.0</v>
      </c>
      <c r="B6957" s="3" t="s">
        <v>19973</v>
      </c>
      <c r="C6957" s="3">
        <v>0.0</v>
      </c>
      <c r="D6957" s="3">
        <v>0.0</v>
      </c>
      <c r="E6957" s="3">
        <v>0.0</v>
      </c>
      <c r="F6957" s="3" t="s">
        <v>19974</v>
      </c>
      <c r="G6957" s="3">
        <v>0.0</v>
      </c>
      <c r="H6957" s="3">
        <v>0.0</v>
      </c>
      <c r="I6957" s="3" t="s">
        <v>13</v>
      </c>
      <c r="J6957" s="3" t="s">
        <v>19975</v>
      </c>
      <c r="K6957" s="3" t="s">
        <v>495</v>
      </c>
      <c r="L6957" s="3" t="str">
        <f>IFERROR(__xludf.DUMMYFUNCTION("GOOGLETRANSLATE(F6957,""id"",""en"")"),"Julian Alvarez Brings Argentina World Cup Champion Unexpectedly Pep Guardiola Prediction is now Real Indo Insider")</f>
        <v>Julian Alvarez Brings Argentina World Cup Champion Unexpectedly Pep Guardiola Prediction is now Real Indo Insider</v>
      </c>
    </row>
    <row r="6958" ht="15.75" customHeight="1">
      <c r="A6958" s="1">
        <v>8162.0</v>
      </c>
      <c r="B6958" s="3" t="s">
        <v>19976</v>
      </c>
      <c r="C6958" s="3">
        <v>0.0</v>
      </c>
      <c r="D6958" s="3">
        <v>0.0</v>
      </c>
      <c r="E6958" s="3">
        <v>0.0</v>
      </c>
      <c r="F6958" s="3" t="s">
        <v>19977</v>
      </c>
      <c r="G6958" s="3">
        <v>0.0</v>
      </c>
      <c r="H6958" s="3">
        <v>0.0</v>
      </c>
      <c r="I6958" s="3" t="s">
        <v>13</v>
      </c>
      <c r="J6958" s="3" t="s">
        <v>19978</v>
      </c>
      <c r="K6958" s="3" t="s">
        <v>50</v>
      </c>
      <c r="L6958" s="3" t="str">
        <f>IFERROR(__xludf.DUMMYFUNCTION("GOOGLETRANSLATE(F6958,""id"",""en"")"),"Sorry for the content of Nadzar Borong Meatballs and Bald Hair If Argentina Champion Cekidot")</f>
        <v>Sorry for the content of Nadzar Borong Meatballs and Bald Hair If Argentina Champion Cekidot</v>
      </c>
    </row>
    <row r="6959" ht="15.75" customHeight="1">
      <c r="A6959" s="1">
        <v>8163.0</v>
      </c>
      <c r="B6959" s="3" t="s">
        <v>19979</v>
      </c>
      <c r="C6959" s="3">
        <v>0.0</v>
      </c>
      <c r="D6959" s="3">
        <v>0.0</v>
      </c>
      <c r="E6959" s="3">
        <v>1.0</v>
      </c>
      <c r="F6959" s="3" t="s">
        <v>19980</v>
      </c>
      <c r="G6959" s="3">
        <v>0.0</v>
      </c>
      <c r="H6959" s="3">
        <v>0.0</v>
      </c>
      <c r="I6959" s="3" t="s">
        <v>13</v>
      </c>
      <c r="J6959" s="3" t="s">
        <v>19981</v>
      </c>
      <c r="K6959" s="3" t="s">
        <v>50</v>
      </c>
      <c r="L6959" s="3" t="str">
        <f>IFERROR(__xludf.DUMMYFUNCTION("GOOGLETRANSLATE(F6959,""id"",""en"")"),"The Argentine national team had to be transported using a helicopter during the World Cup championship celebration on Tuesday")</f>
        <v>The Argentine national team had to be transported using a helicopter during the World Cup championship celebration on Tuesday</v>
      </c>
    </row>
    <row r="6960" ht="15.75" customHeight="1">
      <c r="A6960" s="1">
        <v>8164.0</v>
      </c>
      <c r="B6960" s="3" t="s">
        <v>19982</v>
      </c>
      <c r="C6960" s="3">
        <v>0.0</v>
      </c>
      <c r="D6960" s="3">
        <v>0.0</v>
      </c>
      <c r="E6960" s="3">
        <v>1.0</v>
      </c>
      <c r="F6960" s="3" t="s">
        <v>18873</v>
      </c>
      <c r="G6960" s="3">
        <v>0.2333333333333333</v>
      </c>
      <c r="H6960" s="3">
        <v>-0.25</v>
      </c>
      <c r="I6960" s="3" t="s">
        <v>179</v>
      </c>
      <c r="J6960" s="3" t="s">
        <v>18874</v>
      </c>
      <c r="K6960" s="3" t="s">
        <v>75</v>
      </c>
      <c r="L6960" s="3" t="str">
        <f>IFERROR(__xludf.DUMMYFUNCTION("GOOGLETRANSLATE(F6960,""id"",""en"")"),"Argentina World Cup Champion Parade was stopped by Messi Evacuated wearing a helicopter")</f>
        <v>Argentina World Cup Champion Parade was stopped by Messi Evacuated wearing a helicopter</v>
      </c>
    </row>
    <row r="6961" ht="15.75" customHeight="1">
      <c r="A6961" s="1">
        <v>8165.0</v>
      </c>
      <c r="B6961" s="3" t="s">
        <v>19983</v>
      </c>
      <c r="C6961" s="3">
        <v>0.0</v>
      </c>
      <c r="D6961" s="3">
        <v>0.0</v>
      </c>
      <c r="E6961" s="3">
        <v>0.0</v>
      </c>
      <c r="F6961" s="3" t="s">
        <v>19984</v>
      </c>
      <c r="G6961" s="3">
        <v>0.0</v>
      </c>
      <c r="H6961" s="3">
        <v>0.0</v>
      </c>
      <c r="I6961" s="3" t="s">
        <v>13</v>
      </c>
      <c r="J6961" s="3" t="s">
        <v>19985</v>
      </c>
      <c r="K6961" s="3" t="s">
        <v>6674</v>
      </c>
      <c r="L6961" s="3" t="str">
        <f>IFERROR(__xludf.DUMMYFUNCTION("GOOGLETRANSLATE(F6961,""id"",""en"")"),"who made Argentina Argentina champions champions thanks to the father of white clothes")</f>
        <v>who made Argentina Argentina champions champions thanks to the father of white clothes</v>
      </c>
    </row>
    <row r="6962" ht="15.75" customHeight="1">
      <c r="A6962" s="1">
        <v>8166.0</v>
      </c>
      <c r="B6962" s="3" t="s">
        <v>19986</v>
      </c>
      <c r="C6962" s="3">
        <v>0.0</v>
      </c>
      <c r="D6962" s="3">
        <v>0.0</v>
      </c>
      <c r="E6962" s="3">
        <v>0.0</v>
      </c>
      <c r="F6962" s="3" t="s">
        <v>19987</v>
      </c>
      <c r="G6962" s="3">
        <v>0.0</v>
      </c>
      <c r="H6962" s="3">
        <v>0.0</v>
      </c>
      <c r="I6962" s="3" t="s">
        <v>13</v>
      </c>
      <c r="J6962" s="3" t="s">
        <v>19988</v>
      </c>
      <c r="K6962" s="3" t="s">
        <v>135</v>
      </c>
      <c r="L6962" s="3" t="str">
        <f>IFERROR(__xludf.DUMMYFUNCTION("GOOGLETRANSLATE(F6962,""id"",""en"")"),"kek and just feel the final already Koplit all the events win Messi Kek Early likes to go to Barca and Messi beat yr but know why hoping from the beginning of Argentina champions of the pildun")</f>
        <v>kek and just feel the final already Koplit all the events win Messi Kek Early likes to go to Barca and Messi beat yr but know why hoping from the beginning of Argentina champions of the pildun</v>
      </c>
    </row>
    <row r="6963" ht="15.75" customHeight="1">
      <c r="A6963" s="1">
        <v>8167.0</v>
      </c>
      <c r="B6963" s="3" t="s">
        <v>19989</v>
      </c>
      <c r="C6963" s="3">
        <v>0.0</v>
      </c>
      <c r="D6963" s="3">
        <v>0.0</v>
      </c>
      <c r="E6963" s="3">
        <v>0.0</v>
      </c>
      <c r="F6963" s="3" t="s">
        <v>19990</v>
      </c>
      <c r="G6963" s="3">
        <v>0.0</v>
      </c>
      <c r="H6963" s="3">
        <v>0.0</v>
      </c>
      <c r="I6963" s="3" t="s">
        <v>13</v>
      </c>
      <c r="J6963" s="3" t="s">
        <v>19991</v>
      </c>
      <c r="K6963" s="3" t="s">
        <v>1097</v>
      </c>
      <c r="L6963" s="3" t="str">
        <f>IFERROR(__xludf.DUMMYFUNCTION("GOOGLETRANSLATE(F6963,""id"",""en"")"),"What facts are the champions Argentina Finalalization, European champions are fried in decks")</f>
        <v>What facts are the champions Argentina Finalalization, European champions are fried in decks</v>
      </c>
    </row>
    <row r="6964" ht="15.75" customHeight="1">
      <c r="A6964" s="1">
        <v>8168.0</v>
      </c>
      <c r="B6964" s="3" t="s">
        <v>19992</v>
      </c>
      <c r="C6964" s="3">
        <v>0.0</v>
      </c>
      <c r="D6964" s="3">
        <v>3.0</v>
      </c>
      <c r="E6964" s="3">
        <v>20.0</v>
      </c>
      <c r="F6964" s="3" t="s">
        <v>19993</v>
      </c>
      <c r="G6964" s="3">
        <v>0.0</v>
      </c>
      <c r="H6964" s="3">
        <v>0.0</v>
      </c>
      <c r="I6964" s="3" t="s">
        <v>13</v>
      </c>
      <c r="J6964" s="3" t="s">
        <v>19994</v>
      </c>
      <c r="K6964" s="3" t="s">
        <v>75</v>
      </c>
      <c r="L6964" s="3" t="str">
        <f>IFERROR(__xludf.DUMMYFUNCTION("GOOGLETRANSLATE(F6964,""id"",""en"")"),"Argentine champion parade Chaos Fan is determined to enter the evacuated player bus")</f>
        <v>Argentine champion parade Chaos Fan is determined to enter the evacuated player bus</v>
      </c>
    </row>
    <row r="6965" ht="15.75" customHeight="1">
      <c r="A6965" s="1">
        <v>8169.0</v>
      </c>
      <c r="B6965" s="3" t="s">
        <v>19995</v>
      </c>
      <c r="C6965" s="3">
        <v>0.0</v>
      </c>
      <c r="D6965" s="3">
        <v>0.0</v>
      </c>
      <c r="E6965" s="3">
        <v>0.0</v>
      </c>
      <c r="F6965" s="3" t="s">
        <v>19996</v>
      </c>
      <c r="G6965" s="3">
        <v>0.2333333333333333</v>
      </c>
      <c r="H6965" s="3">
        <v>-0.25</v>
      </c>
      <c r="I6965" s="3" t="s">
        <v>179</v>
      </c>
      <c r="J6965" s="3" t="s">
        <v>19997</v>
      </c>
      <c r="K6965" s="3" t="s">
        <v>50</v>
      </c>
      <c r="L6965" s="3" t="str">
        <f>IFERROR(__xludf.DUMMYFUNCTION("GOOGLETRANSLATE(F6965,""id"",""en"")"),"The Argentine Champion Parade Human Ocean is full of Messi et al.")</f>
        <v>The Argentine Champion Parade Human Ocean is full of Messi et al.</v>
      </c>
    </row>
    <row r="6966" ht="15.75" customHeight="1">
      <c r="A6966" s="1">
        <v>8170.0</v>
      </c>
      <c r="B6966" s="3" t="s">
        <v>19998</v>
      </c>
      <c r="C6966" s="3">
        <v>0.0</v>
      </c>
      <c r="D6966" s="3">
        <v>0.0</v>
      </c>
      <c r="E6966" s="3">
        <v>0.0</v>
      </c>
      <c r="F6966" s="3" t="s">
        <v>19999</v>
      </c>
      <c r="G6966" s="3">
        <v>0.0</v>
      </c>
      <c r="H6966" s="3">
        <v>0.0</v>
      </c>
      <c r="I6966" s="3" t="s">
        <v>13</v>
      </c>
      <c r="J6966" s="3" t="s">
        <v>20000</v>
      </c>
      <c r="K6966" s="3" t="s">
        <v>41</v>
      </c>
      <c r="L6966" s="3" t="str">
        <f>IFERROR(__xludf.DUMMYFUNCTION("GOOGLETRANSLATE(F6966,""id"",""en"")"),"I sell Argentina jersey champion pial worth getting shopee now")</f>
        <v>I sell Argentina jersey champion pial worth getting shopee now</v>
      </c>
    </row>
    <row r="6967" ht="15.75" customHeight="1">
      <c r="A6967" s="1">
        <v>8171.0</v>
      </c>
      <c r="B6967" s="3" t="s">
        <v>20001</v>
      </c>
      <c r="C6967" s="3">
        <v>0.0</v>
      </c>
      <c r="D6967" s="3">
        <v>0.0</v>
      </c>
      <c r="E6967" s="3">
        <v>0.0</v>
      </c>
      <c r="F6967" s="3" t="s">
        <v>20002</v>
      </c>
      <c r="G6967" s="3">
        <v>0.0</v>
      </c>
      <c r="H6967" s="3">
        <v>0.0</v>
      </c>
      <c r="I6967" s="3" t="s">
        <v>13</v>
      </c>
      <c r="J6967" s="3" t="s">
        <v>20003</v>
      </c>
      <c r="K6967" s="3" t="s">
        <v>2117</v>
      </c>
      <c r="L6967" s="3" t="str">
        <f>IFERROR(__xludf.DUMMYFUNCTION("GOOGLETRANSLATE(F6967,""id"",""en"")"),"Celebration Argentina Champion")</f>
        <v>Celebration Argentina Champion</v>
      </c>
    </row>
    <row r="6968" ht="15.75" customHeight="1">
      <c r="A6968" s="1">
        <v>8172.0</v>
      </c>
      <c r="B6968" s="3" t="s">
        <v>20004</v>
      </c>
      <c r="C6968" s="3">
        <v>0.0</v>
      </c>
      <c r="D6968" s="3">
        <v>0.0</v>
      </c>
      <c r="E6968" s="3">
        <v>0.0</v>
      </c>
      <c r="F6968" s="3" t="s">
        <v>19855</v>
      </c>
      <c r="G6968" s="3">
        <v>0.0</v>
      </c>
      <c r="H6968" s="3">
        <v>0.0</v>
      </c>
      <c r="I6968" s="3" t="s">
        <v>13</v>
      </c>
      <c r="J6968" s="3" t="s">
        <v>19856</v>
      </c>
      <c r="K6968" s="3" t="s">
        <v>31</v>
      </c>
      <c r="L6968" s="3" t="str">
        <f>IFERROR(__xludf.DUMMYFUNCTION("GOOGLETRANSLATE(F6968,""id"",""en"")"),"Argentina World Champion and Economic Crisis")</f>
        <v>Argentina World Champion and Economic Crisis</v>
      </c>
    </row>
    <row r="6969" ht="15.75" customHeight="1">
      <c r="A6969" s="1">
        <v>8173.0</v>
      </c>
      <c r="B6969" s="3" t="s">
        <v>20005</v>
      </c>
      <c r="C6969" s="3">
        <v>0.0</v>
      </c>
      <c r="D6969" s="3">
        <v>0.0</v>
      </c>
      <c r="E6969" s="3">
        <v>0.0</v>
      </c>
      <c r="F6969" s="3" t="s">
        <v>20006</v>
      </c>
      <c r="G6969" s="3">
        <v>0.0</v>
      </c>
      <c r="H6969" s="3">
        <v>0.0</v>
      </c>
      <c r="I6969" s="3" t="s">
        <v>13</v>
      </c>
      <c r="J6969" s="3" t="s">
        <v>20007</v>
      </c>
      <c r="K6969" s="3" t="s">
        <v>3497</v>
      </c>
      <c r="L6969" s="3" t="str">
        <f>IFERROR(__xludf.DUMMYFUNCTION("GOOGLETRANSLATE(F6969,""id"",""en"")"),"still happy from the rest of the Argentina championship")</f>
        <v>still happy from the rest of the Argentina championship</v>
      </c>
    </row>
    <row r="6970" ht="15.75" customHeight="1">
      <c r="A6970" s="1">
        <v>8174.0</v>
      </c>
      <c r="B6970" s="3" t="s">
        <v>20008</v>
      </c>
      <c r="C6970" s="3">
        <v>0.0</v>
      </c>
      <c r="D6970" s="3">
        <v>0.0</v>
      </c>
      <c r="E6970" s="3">
        <v>0.0</v>
      </c>
      <c r="F6970" s="3" t="s">
        <v>20009</v>
      </c>
      <c r="G6970" s="3">
        <v>0.0</v>
      </c>
      <c r="H6970" s="3">
        <v>0.0</v>
      </c>
      <c r="I6970" s="3" t="s">
        <v>13</v>
      </c>
      <c r="J6970" s="3" t="s">
        <v>20010</v>
      </c>
      <c r="K6970" s="3" t="s">
        <v>149</v>
      </c>
      <c r="L6970" s="3" t="str">
        <f>IFERROR(__xludf.DUMMYFUNCTION("GOOGLETRANSLATE(F6970,""id"",""en"")"),"Did you know that Saudi Arabia is the winner of the real World Cup, then it is appropriate that King Saud immediately gave his team's prize because the Saudi national team could beat the Argentina championship")</f>
        <v>Did you know that Saudi Arabia is the winner of the real World Cup, then it is appropriate that King Saud immediately gave his team's prize because the Saudi national team could beat the Argentina championship</v>
      </c>
    </row>
    <row r="6971" ht="15.75" customHeight="1">
      <c r="A6971" s="1">
        <v>8175.0</v>
      </c>
      <c r="B6971" s="3" t="s">
        <v>20011</v>
      </c>
      <c r="C6971" s="3">
        <v>0.0</v>
      </c>
      <c r="D6971" s="3">
        <v>0.0</v>
      </c>
      <c r="E6971" s="3">
        <v>0.0</v>
      </c>
      <c r="F6971" s="3" t="s">
        <v>20012</v>
      </c>
      <c r="G6971" s="3">
        <v>0.0</v>
      </c>
      <c r="H6971" s="3">
        <v>0.0</v>
      </c>
      <c r="I6971" s="3" t="s">
        <v>13</v>
      </c>
      <c r="J6971" s="3" t="s">
        <v>20013</v>
      </c>
      <c r="K6971" s="3" t="s">
        <v>520</v>
      </c>
      <c r="L6971" s="3" t="str">
        <f>IFERROR(__xludf.DUMMYFUNCTION("GOOGLETRANSLATE(F6971,""id"",""en"")"),"hahahhahhaa deliberately supports Argentina to win so that not champions ehh in fact bald hockey wins betting ngatin the club of people just hockey he is also hockey")</f>
        <v>hahahhahhaa deliberately supports Argentina to win so that not champions ehh in fact bald hockey wins betting ngatin the club of people just hockey he is also hockey</v>
      </c>
    </row>
    <row r="6972" ht="15.75" customHeight="1">
      <c r="A6972" s="1">
        <v>8176.0</v>
      </c>
      <c r="B6972" s="3" t="s">
        <v>20014</v>
      </c>
      <c r="C6972" s="3">
        <v>0.0</v>
      </c>
      <c r="D6972" s="3">
        <v>0.0</v>
      </c>
      <c r="E6972" s="3">
        <v>0.0</v>
      </c>
      <c r="F6972" s="3" t="s">
        <v>20015</v>
      </c>
      <c r="G6972" s="3">
        <v>0.0</v>
      </c>
      <c r="H6972" s="3">
        <v>0.0</v>
      </c>
      <c r="I6972" s="3" t="s">
        <v>13</v>
      </c>
      <c r="J6972" s="3" t="s">
        <v>20016</v>
      </c>
      <c r="K6972" s="3" t="s">
        <v>31</v>
      </c>
      <c r="L6972" s="3" t="str">
        <f>IFERROR(__xludf.DUMMYFUNCTION("GOOGLETRANSLATE(F6972,""id"",""en"")"),"I like Argentina champion but the goalkeeper is bastard")</f>
        <v>I like Argentina champion but the goalkeeper is bastard</v>
      </c>
    </row>
    <row r="6973" ht="15.75" customHeight="1">
      <c r="A6973" s="1">
        <v>8177.0</v>
      </c>
      <c r="B6973" s="3" t="s">
        <v>20017</v>
      </c>
      <c r="C6973" s="3">
        <v>0.0</v>
      </c>
      <c r="D6973" s="3">
        <v>0.0</v>
      </c>
      <c r="E6973" s="3">
        <v>4.0</v>
      </c>
      <c r="F6973" s="3" t="s">
        <v>19167</v>
      </c>
      <c r="G6973" s="3">
        <v>0.0</v>
      </c>
      <c r="H6973" s="3">
        <v>0.0</v>
      </c>
      <c r="I6973" s="3" t="s">
        <v>13</v>
      </c>
      <c r="J6973" s="3" t="s">
        <v>19168</v>
      </c>
      <c r="K6973" s="3" t="s">
        <v>75</v>
      </c>
      <c r="L6973" s="3" t="str">
        <f>IFERROR(__xludf.DUMMYFUNCTION("GOOGLETRANSLATE(F6973,""id"",""en"")"),"Lionel Messi brought Argentina World Cup Champion Cristiano Ronaldo must be angry")</f>
        <v>Lionel Messi brought Argentina World Cup Champion Cristiano Ronaldo must be angry</v>
      </c>
    </row>
    <row r="6974" ht="15.75" customHeight="1">
      <c r="A6974" s="1">
        <v>8178.0</v>
      </c>
      <c r="B6974" s="3" t="s">
        <v>20018</v>
      </c>
      <c r="C6974" s="3">
        <v>0.0</v>
      </c>
      <c r="D6974" s="3">
        <v>0.0</v>
      </c>
      <c r="E6974" s="3">
        <v>0.0</v>
      </c>
      <c r="F6974" s="3" t="s">
        <v>20019</v>
      </c>
      <c r="G6974" s="3">
        <v>0.0</v>
      </c>
      <c r="H6974" s="3">
        <v>0.0</v>
      </c>
      <c r="I6974" s="3" t="s">
        <v>13</v>
      </c>
      <c r="J6974" s="3" t="s">
        <v>20020</v>
      </c>
      <c r="K6974" s="3" t="s">
        <v>27</v>
      </c>
      <c r="L6974" s="3" t="str">
        <f>IFERROR(__xludf.DUMMYFUNCTION("GOOGLETRANSLATE(F6974,""id"",""en"")"),"December when people are still the euphoria of Argentina champion Worldcup but I already want to still look for him where now hopefully January God is still giving a chance for me to know how he tells the story from Matraman Jakarta")</f>
        <v>December when people are still the euphoria of Argentina champion Worldcup but I already want to still look for him where now hopefully January God is still giving a chance for me to know how he tells the story from Matraman Jakarta</v>
      </c>
    </row>
    <row r="6975" ht="15.75" customHeight="1">
      <c r="A6975" s="1">
        <v>8179.0</v>
      </c>
      <c r="B6975" s="3" t="s">
        <v>20021</v>
      </c>
      <c r="C6975" s="3">
        <v>0.0</v>
      </c>
      <c r="D6975" s="3">
        <v>0.0</v>
      </c>
      <c r="E6975" s="3">
        <v>0.0</v>
      </c>
      <c r="F6975" s="3" t="s">
        <v>20022</v>
      </c>
      <c r="G6975" s="3">
        <v>0.0</v>
      </c>
      <c r="H6975" s="3">
        <v>0.0</v>
      </c>
      <c r="I6975" s="3" t="s">
        <v>13</v>
      </c>
      <c r="J6975" s="3" t="s">
        <v>20023</v>
      </c>
      <c r="K6975" s="3" t="s">
        <v>50</v>
      </c>
      <c r="L6975" s="3" t="str">
        <f>IFERROR(__xludf.DUMMYFUNCTION("GOOGLETRANSLATE(F6975,""id"",""en"")"),"Hopefully the Garuda Indonesia national team this Year edition of the AFF Tropy Champion like Argentina Faigtink")</f>
        <v>Hopefully the Garuda Indonesia national team this Year edition of the AFF Tropy Champion like Argentina Faigtink</v>
      </c>
    </row>
    <row r="6976" ht="15.75" customHeight="1">
      <c r="A6976" s="1">
        <v>8180.0</v>
      </c>
      <c r="B6976" s="3" t="s">
        <v>20024</v>
      </c>
      <c r="C6976" s="3">
        <v>1.0</v>
      </c>
      <c r="D6976" s="3">
        <v>0.0</v>
      </c>
      <c r="E6976" s="3">
        <v>1.0</v>
      </c>
      <c r="F6976" s="3" t="s">
        <v>20025</v>
      </c>
      <c r="G6976" s="3">
        <v>0.0</v>
      </c>
      <c r="H6976" s="3">
        <v>0.0</v>
      </c>
      <c r="I6976" s="3" t="s">
        <v>13</v>
      </c>
      <c r="J6976" s="3" t="s">
        <v>20026</v>
      </c>
      <c r="K6976" s="3" t="s">
        <v>484</v>
      </c>
      <c r="L6976" s="3" t="str">
        <f>IFERROR(__xludf.DUMMYFUNCTION("GOOGLETRANSLATE(F6976,""id"",""en"")"),"Although Argentina is champion but salutes the Indonesian national team Indonesian national team never lost to the World Cup tournament this time")</f>
        <v>Although Argentina is champion but salutes the Indonesian national team Indonesian national team never lost to the World Cup tournament this time</v>
      </c>
    </row>
    <row r="6977" ht="15.75" customHeight="1">
      <c r="A6977" s="1">
        <v>8182.0</v>
      </c>
      <c r="B6977" s="3" t="s">
        <v>20027</v>
      </c>
      <c r="C6977" s="3">
        <v>0.0</v>
      </c>
      <c r="D6977" s="3">
        <v>0.0</v>
      </c>
      <c r="E6977" s="3">
        <v>0.0</v>
      </c>
      <c r="F6977" s="3" t="s">
        <v>20028</v>
      </c>
      <c r="G6977" s="3">
        <v>0.0</v>
      </c>
      <c r="H6977" s="3">
        <v>0.0</v>
      </c>
      <c r="I6977" s="3" t="s">
        <v>13</v>
      </c>
      <c r="J6977" s="3" t="s">
        <v>20029</v>
      </c>
      <c r="K6977" s="3" t="s">
        <v>510</v>
      </c>
      <c r="L6977" s="3" t="str">
        <f>IFERROR(__xludf.DUMMYFUNCTION("GOOGLETRANSLATE(F6977,""id"",""en"")"),"The mystery of Aguero to celebrate Argentina Champion World Cup Cnn Indonesia Google Sports News")</f>
        <v>The mystery of Aguero to celebrate Argentina Champion World Cup Cnn Indonesia Google Sports News</v>
      </c>
    </row>
    <row r="6978" ht="15.75" customHeight="1">
      <c r="A6978" s="1">
        <v>8183.0</v>
      </c>
      <c r="B6978" s="3" t="s">
        <v>20030</v>
      </c>
      <c r="C6978" s="3">
        <v>1.0</v>
      </c>
      <c r="D6978" s="3">
        <v>0.0</v>
      </c>
      <c r="E6978" s="3">
        <v>5.0</v>
      </c>
      <c r="F6978" s="3" t="s">
        <v>20031</v>
      </c>
      <c r="G6978" s="3">
        <v>0.0</v>
      </c>
      <c r="H6978" s="3">
        <v>0.0</v>
      </c>
      <c r="I6978" s="3" t="s">
        <v>13</v>
      </c>
      <c r="J6978" s="3" t="s">
        <v>20032</v>
      </c>
      <c r="K6978" s="3" t="s">
        <v>657</v>
      </c>
      <c r="L6978" s="3" t="str">
        <f>IFERROR(__xludf.DUMMYFUNCTION("GOOGLETRANSLATE(F6978,""id"",""en"")"),"Busettt saw Moroccan's welcome then Argentina kek so lively imagine if until King Indo winner AEPEP later")</f>
        <v>Busettt saw Moroccan's welcome then Argentina kek so lively imagine if until King Indo winner AEPEP later</v>
      </c>
    </row>
    <row r="6979" ht="15.75" customHeight="1">
      <c r="A6979" s="1">
        <v>8184.0</v>
      </c>
      <c r="B6979" s="3" t="s">
        <v>20033</v>
      </c>
      <c r="C6979" s="3">
        <v>0.0</v>
      </c>
      <c r="D6979" s="3">
        <v>0.0</v>
      </c>
      <c r="E6979" s="3">
        <v>0.0</v>
      </c>
      <c r="F6979" s="3" t="s">
        <v>20034</v>
      </c>
      <c r="G6979" s="3">
        <v>0.0</v>
      </c>
      <c r="H6979" s="3">
        <v>0.0</v>
      </c>
      <c r="I6979" s="3" t="s">
        <v>13</v>
      </c>
      <c r="J6979" s="3" t="s">
        <v>20035</v>
      </c>
      <c r="K6979" s="3" t="s">
        <v>58</v>
      </c>
      <c r="L6979" s="3" t="str">
        <f>IFERROR(__xludf.DUMMYFUNCTION("GOOGLETRANSLATE(F6979,""id"",""en"")"),"Argentine Imaging Countries After Champion There is a Confederation Chairperson with Messi or Messi's Video Call")</f>
        <v>Argentine Imaging Countries After Champion There is a Confederation Chairperson with Messi or Messi's Video Call</v>
      </c>
    </row>
    <row r="6980" ht="15.75" customHeight="1">
      <c r="A6980" s="1">
        <v>8185.0</v>
      </c>
      <c r="B6980" s="3" t="s">
        <v>20036</v>
      </c>
      <c r="C6980" s="3">
        <v>0.0</v>
      </c>
      <c r="D6980" s="3">
        <v>0.0</v>
      </c>
      <c r="E6980" s="3">
        <v>0.0</v>
      </c>
      <c r="F6980" s="3" t="s">
        <v>20037</v>
      </c>
      <c r="G6980" s="3">
        <v>0.0</v>
      </c>
      <c r="H6980" s="3">
        <v>0.0</v>
      </c>
      <c r="I6980" s="3" t="s">
        <v>13</v>
      </c>
      <c r="J6980" s="3" t="s">
        <v>20038</v>
      </c>
      <c r="K6980" s="3" t="s">
        <v>188</v>
      </c>
      <c r="L6980" s="3" t="str">
        <f>IFERROR(__xludf.DUMMYFUNCTION("GOOGLETRANSLATE(F6980,""id"",""en"")"),"The happy tears of millions of Argentinians dissolved in the joy of euphoria after the year awaiting the return of the World Cup but becoming a champion is not the current economic crisis threatening Argentina inflation in a year of currency devaluation c"&amp;"an cause disaster")</f>
        <v>The happy tears of millions of Argentinians dissolved in the joy of euphoria after the year awaiting the return of the World Cup but becoming a champion is not the current economic crisis threatening Argentina inflation in a year of currency devaluation can cause disaster</v>
      </c>
    </row>
    <row r="6981" ht="15.75" customHeight="1">
      <c r="A6981" s="1">
        <v>8186.0</v>
      </c>
      <c r="B6981" s="3" t="s">
        <v>20039</v>
      </c>
      <c r="C6981" s="3">
        <v>2.0</v>
      </c>
      <c r="D6981" s="3">
        <v>0.0</v>
      </c>
      <c r="E6981" s="3">
        <v>0.0</v>
      </c>
      <c r="F6981" s="3" t="s">
        <v>20040</v>
      </c>
      <c r="G6981" s="3">
        <v>0.0</v>
      </c>
      <c r="H6981" s="3">
        <v>0.0</v>
      </c>
      <c r="I6981" s="3" t="s">
        <v>13</v>
      </c>
      <c r="J6981" s="3" t="s">
        <v>20041</v>
      </c>
      <c r="K6981" s="3" t="s">
        <v>1912</v>
      </c>
      <c r="L6981" s="3" t="str">
        <f>IFERROR(__xludf.DUMMYFUNCTION("GOOGLETRANSLATE(F6981,""id"",""en"")"),"Recognize how come, bro, if there is an extra bad Ronaldo, etc.")</f>
        <v>Recognize how come, bro, if there is an extra bad Ronaldo, etc.</v>
      </c>
    </row>
    <row r="6982" ht="15.75" customHeight="1">
      <c r="A6982" s="1">
        <v>8187.0</v>
      </c>
      <c r="B6982" s="3" t="s">
        <v>20042</v>
      </c>
      <c r="C6982" s="3">
        <v>1.0</v>
      </c>
      <c r="D6982" s="3">
        <v>0.0</v>
      </c>
      <c r="E6982" s="3">
        <v>0.0</v>
      </c>
      <c r="F6982" s="3" t="s">
        <v>20043</v>
      </c>
      <c r="G6982" s="3">
        <v>1.0</v>
      </c>
      <c r="H6982" s="3">
        <v>0.1</v>
      </c>
      <c r="I6982" s="3" t="s">
        <v>48</v>
      </c>
      <c r="J6982" s="3" t="s">
        <v>20044</v>
      </c>
      <c r="K6982" s="3" t="s">
        <v>675</v>
      </c>
      <c r="L6982" s="3" t="str">
        <f>IFERROR(__xludf.DUMMYFUNCTION("GOOGLETRANSLATE(F6982,""id"",""en"")"),"wow cool bang your statement is the ugly person Ronaldo, the compartment of high school Messi Heee all just when Ronaldo carrying Portugal, Euro and Nation League Haaa is surprised I am Portugal compared to Argentina")</f>
        <v>wow cool bang your statement is the ugly person Ronaldo, the compartment of high school Messi Heee all just when Ronaldo carrying Portugal, Euro and Nation League Haaa is surprised I am Portugal compared to Argentina</v>
      </c>
    </row>
    <row r="6983" ht="15.75" customHeight="1">
      <c r="A6983" s="1">
        <v>8188.0</v>
      </c>
      <c r="B6983" s="3" t="s">
        <v>20045</v>
      </c>
      <c r="C6983" s="3">
        <v>0.0</v>
      </c>
      <c r="D6983" s="3">
        <v>0.0</v>
      </c>
      <c r="E6983" s="3">
        <v>3.0</v>
      </c>
      <c r="F6983" s="3" t="s">
        <v>20046</v>
      </c>
      <c r="G6983" s="3">
        <v>0.0</v>
      </c>
      <c r="H6983" s="3">
        <v>0.0</v>
      </c>
      <c r="I6983" s="3" t="s">
        <v>13</v>
      </c>
      <c r="J6983" s="3" t="s">
        <v>20047</v>
      </c>
      <c r="K6983" s="3" t="s">
        <v>437</v>
      </c>
      <c r="L6983" s="3" t="str">
        <f>IFERROR(__xludf.DUMMYFUNCTION("GOOGLETRANSLATE(F6983,""id"",""en"")"),"That is not a French fan but the dodo penance they will definitely defend the opposing team from Argentina so that Messi champions are calm")</f>
        <v>That is not a French fan but the dodo penance they will definitely defend the opposing team from Argentina so that Messi champions are calm</v>
      </c>
    </row>
    <row r="6984" ht="15.75" customHeight="1">
      <c r="A6984" s="1">
        <v>8189.0</v>
      </c>
      <c r="B6984" s="3" t="s">
        <v>20048</v>
      </c>
      <c r="C6984" s="3">
        <v>1.0</v>
      </c>
      <c r="D6984" s="3">
        <v>0.0</v>
      </c>
      <c r="E6984" s="3">
        <v>0.0</v>
      </c>
      <c r="F6984" s="3" t="s">
        <v>20049</v>
      </c>
      <c r="G6984" s="3">
        <v>0.0</v>
      </c>
      <c r="H6984" s="3">
        <v>0.0</v>
      </c>
      <c r="I6984" s="3" t="s">
        <v>13</v>
      </c>
      <c r="J6984" s="3" t="s">
        <v>20050</v>
      </c>
      <c r="K6984" s="3" t="s">
        <v>510</v>
      </c>
      <c r="L6984" s="3" t="str">
        <f>IFERROR(__xludf.DUMMYFUNCTION("GOOGLETRANSLATE(F6984,""id"",""en"")"),"What is certain is that Argentina is a French champion runner Morocco Moroccan is not granted Kadrun more and more so")</f>
        <v>What is certain is that Argentina is a French champion runner Morocco Moroccan is not granted Kadrun more and more so</v>
      </c>
    </row>
    <row r="6985" ht="15.75" customHeight="1">
      <c r="A6985" s="1">
        <v>8190.0</v>
      </c>
      <c r="B6985" s="3" t="s">
        <v>20051</v>
      </c>
      <c r="C6985" s="3">
        <v>0.0</v>
      </c>
      <c r="D6985" s="3">
        <v>0.0</v>
      </c>
      <c r="E6985" s="3">
        <v>0.0</v>
      </c>
      <c r="F6985" s="3" t="s">
        <v>20052</v>
      </c>
      <c r="G6985" s="3">
        <v>0.0</v>
      </c>
      <c r="H6985" s="3">
        <v>0.0</v>
      </c>
      <c r="I6985" s="3" t="s">
        <v>13</v>
      </c>
      <c r="J6985" s="3" t="s">
        <v>20053</v>
      </c>
      <c r="K6985" s="3" t="s">
        <v>41</v>
      </c>
      <c r="L6985" s="3" t="str">
        <f>IFERROR(__xludf.DUMMYFUNCTION("GOOGLETRANSLATE(F6985,""id"",""en"")"),"mece udh nadzar yesterday if Argentina champions want to cut hair")</f>
        <v>mece udh nadzar yesterday if Argentina champions want to cut hair</v>
      </c>
    </row>
    <row r="6986" ht="15.75" customHeight="1">
      <c r="A6986" s="1">
        <v>8191.0</v>
      </c>
      <c r="B6986" s="3" t="s">
        <v>20054</v>
      </c>
      <c r="C6986" s="3">
        <v>1.0</v>
      </c>
      <c r="D6986" s="3">
        <v>0.0</v>
      </c>
      <c r="E6986" s="3">
        <v>0.0</v>
      </c>
      <c r="F6986" s="3" t="s">
        <v>20055</v>
      </c>
      <c r="G6986" s="3">
        <v>0.0</v>
      </c>
      <c r="H6986" s="3">
        <v>0.0</v>
      </c>
      <c r="I6986" s="3" t="s">
        <v>13</v>
      </c>
      <c r="J6986" s="3" t="s">
        <v>20056</v>
      </c>
      <c r="K6986" s="3" t="s">
        <v>50</v>
      </c>
      <c r="L6986" s="3" t="str">
        <f>IFERROR(__xludf.DUMMYFUNCTION("GOOGLETRANSLATE(F6986,""id"",""en"")"),"Like to be surprised at the residents of Bang Dodo who still received Argentina Champion World Cup")</f>
        <v>Like to be surprised at the residents of Bang Dodo who still received Argentina Champion World Cup</v>
      </c>
    </row>
    <row r="6987" ht="15.75" customHeight="1">
      <c r="A6987" s="1">
        <v>8192.0</v>
      </c>
      <c r="B6987" s="3" t="s">
        <v>20057</v>
      </c>
      <c r="C6987" s="3">
        <v>3.0</v>
      </c>
      <c r="D6987" s="3">
        <v>0.0</v>
      </c>
      <c r="E6987" s="3">
        <v>3.0</v>
      </c>
      <c r="F6987" s="3" t="s">
        <v>20058</v>
      </c>
      <c r="G6987" s="3">
        <v>0.0</v>
      </c>
      <c r="H6987" s="3">
        <v>0.0</v>
      </c>
      <c r="I6987" s="3" t="s">
        <v>13</v>
      </c>
      <c r="J6987" s="3" t="s">
        <v>20059</v>
      </c>
      <c r="K6987" s="3" t="s">
        <v>1552</v>
      </c>
      <c r="L6987" s="3" t="str">
        <f>IFERROR(__xludf.DUMMYFUNCTION("GOOGLETRANSLATE(F6987,""id"",""en"")"),"Seeing Argentina champions like seeing Sastri champion Olim, yeah")</f>
        <v>Seeing Argentina champions like seeing Sastri champion Olim, yeah</v>
      </c>
    </row>
    <row r="6988" ht="15.75" customHeight="1">
      <c r="A6988" s="1">
        <v>8193.0</v>
      </c>
      <c r="B6988" s="3" t="s">
        <v>20060</v>
      </c>
      <c r="C6988" s="3">
        <v>0.0</v>
      </c>
      <c r="D6988" s="3">
        <v>0.0</v>
      </c>
      <c r="E6988" s="3">
        <v>0.0</v>
      </c>
      <c r="F6988" s="3" t="s">
        <v>20061</v>
      </c>
      <c r="G6988" s="3">
        <v>0.0</v>
      </c>
      <c r="H6988" s="3">
        <v>0.0</v>
      </c>
      <c r="I6988" s="3" t="s">
        <v>13</v>
      </c>
      <c r="J6988" s="3" t="s">
        <v>20062</v>
      </c>
      <c r="K6988" s="3" t="s">
        <v>236</v>
      </c>
      <c r="L6988" s="3" t="str">
        <f>IFERROR(__xludf.DUMMYFUNCTION("GOOGLETRANSLATE(F6988,""id"",""en"")"),"a song that always reminds beautiful words disappear without meaning without the presence of her yuhuuu")</f>
        <v>a song that always reminds beautiful words disappear without meaning without the presence of her yuhuuu</v>
      </c>
    </row>
    <row r="6989" ht="15.75" customHeight="1">
      <c r="A6989" s="1">
        <v>8194.0</v>
      </c>
      <c r="B6989" s="3" t="s">
        <v>20063</v>
      </c>
      <c r="C6989" s="3">
        <v>0.0</v>
      </c>
      <c r="D6989" s="3">
        <v>0.0</v>
      </c>
      <c r="E6989" s="3">
        <v>3.0</v>
      </c>
      <c r="F6989" s="3" t="s">
        <v>20064</v>
      </c>
      <c r="G6989" s="3">
        <v>0.65</v>
      </c>
      <c r="H6989" s="3">
        <v>0.35</v>
      </c>
      <c r="I6989" s="3" t="s">
        <v>48</v>
      </c>
      <c r="J6989" s="3" t="s">
        <v>20065</v>
      </c>
      <c r="K6989" s="3" t="s">
        <v>3612</v>
      </c>
      <c r="L6989" s="3" t="str">
        <f>IFERROR(__xludf.DUMMYFUNCTION("GOOGLETRANSLATE(F6989,""id"",""en"")"),"Finally, after a long wait, Leo Messi brought Argentina to the World Cup champion which was the last World Cup for Messi Dream Come True Leo")</f>
        <v>Finally, after a long wait, Leo Messi brought Argentina to the World Cup champion which was the last World Cup for Messi Dream Come True Leo</v>
      </c>
    </row>
    <row r="6990" ht="15.75" customHeight="1">
      <c r="A6990" s="1">
        <v>8195.0</v>
      </c>
      <c r="B6990" s="3" t="s">
        <v>20066</v>
      </c>
      <c r="C6990" s="3">
        <v>1.0</v>
      </c>
      <c r="D6990" s="3">
        <v>0.0</v>
      </c>
      <c r="E6990" s="3">
        <v>0.0</v>
      </c>
      <c r="F6990" s="3" t="s">
        <v>20067</v>
      </c>
      <c r="G6990" s="3">
        <v>0.0</v>
      </c>
      <c r="H6990" s="3">
        <v>0.0</v>
      </c>
      <c r="I6990" s="3" t="s">
        <v>13</v>
      </c>
      <c r="J6990" s="3" t="s">
        <v>20068</v>
      </c>
      <c r="K6990" s="3" t="s">
        <v>3497</v>
      </c>
      <c r="L6990" s="3" t="str">
        <f>IFERROR(__xludf.DUMMYFUNCTION("GOOGLETRANSLATE(F6990,""id"",""en"")"),"smile just smile right Argentina champions")</f>
        <v>smile just smile right Argentina champions</v>
      </c>
    </row>
    <row r="6991" ht="15.75" customHeight="1">
      <c r="A6991" s="1">
        <v>8196.0</v>
      </c>
      <c r="B6991" s="3" t="s">
        <v>20069</v>
      </c>
      <c r="C6991" s="3">
        <v>0.0</v>
      </c>
      <c r="D6991" s="3">
        <v>0.0</v>
      </c>
      <c r="E6991" s="3">
        <v>0.0</v>
      </c>
      <c r="F6991" s="3" t="s">
        <v>20070</v>
      </c>
      <c r="G6991" s="3">
        <v>0.0</v>
      </c>
      <c r="H6991" s="3">
        <v>0.0</v>
      </c>
      <c r="I6991" s="3" t="s">
        <v>13</v>
      </c>
      <c r="J6991" s="3" t="s">
        <v>20071</v>
      </c>
      <c r="K6991" s="3" t="s">
        <v>41</v>
      </c>
      <c r="L6991" s="3" t="str">
        <f>IFERROR(__xludf.DUMMYFUNCTION("GOOGLETRANSLATE(F6991,""id"",""en"")"),"So remember there is saying Saudi Arabia will win if the opponent is Argentina")</f>
        <v>So remember there is saying Saudi Arabia will win if the opponent is Argentina</v>
      </c>
    </row>
    <row r="6992" ht="15.75" customHeight="1">
      <c r="A6992" s="1">
        <v>8197.0</v>
      </c>
      <c r="B6992" s="3" t="s">
        <v>20072</v>
      </c>
      <c r="C6992" s="3">
        <v>0.0</v>
      </c>
      <c r="D6992" s="3">
        <v>0.0</v>
      </c>
      <c r="E6992" s="3">
        <v>0.0</v>
      </c>
      <c r="F6992" s="3" t="s">
        <v>20073</v>
      </c>
      <c r="G6992" s="3">
        <v>0.3333333333333333</v>
      </c>
      <c r="H6992" s="3">
        <v>0.1666666666666667</v>
      </c>
      <c r="I6992" s="3" t="s">
        <v>48</v>
      </c>
      <c r="J6992" s="3" t="s">
        <v>20074</v>
      </c>
      <c r="K6992" s="3" t="s">
        <v>633</v>
      </c>
      <c r="L6992" s="3" t="str">
        <f>IFERROR(__xludf.DUMMYFUNCTION("GOOGLETRANSLATE(F6992,""id"",""en"")"),"Argentina, if you still play Messi, you can print the history of the champion in a river, good for Argentina and you can defeat as a goat, it's not guessed now because it is still long but it is estimated that the team is like")</f>
        <v>Argentina, if you still play Messi, you can print the history of the champion in a river, good for Argentina and you can defeat as a goat, it's not guessed now because it is still long but it is estimated that the team is like</v>
      </c>
    </row>
    <row r="6993" ht="15.75" customHeight="1">
      <c r="A6993" s="1">
        <v>8198.0</v>
      </c>
      <c r="B6993" s="3" t="s">
        <v>20075</v>
      </c>
      <c r="C6993" s="3">
        <v>0.0</v>
      </c>
      <c r="D6993" s="3">
        <v>0.0</v>
      </c>
      <c r="E6993" s="3">
        <v>0.0</v>
      </c>
      <c r="F6993" s="3" t="s">
        <v>20076</v>
      </c>
      <c r="G6993" s="3">
        <v>0.0</v>
      </c>
      <c r="H6993" s="3">
        <v>0.0</v>
      </c>
      <c r="I6993" s="3" t="s">
        <v>13</v>
      </c>
      <c r="J6993" s="3" t="s">
        <v>20077</v>
      </c>
      <c r="K6993" s="3" t="s">
        <v>510</v>
      </c>
      <c r="L6993" s="3" t="str">
        <f>IFERROR(__xludf.DUMMYFUNCTION("GOOGLETRANSLATE(F6993,""id"",""en"")"),"The guessed actually Argentina because the championship river was only losing fitting to be chaotic predictions")</f>
        <v>The guessed actually Argentina because the championship river was only losing fitting to be chaotic predictions</v>
      </c>
    </row>
    <row r="6994" ht="15.75" customHeight="1">
      <c r="A6994" s="1">
        <v>8199.0</v>
      </c>
      <c r="B6994" s="3" t="s">
        <v>20078</v>
      </c>
      <c r="C6994" s="3">
        <v>0.0</v>
      </c>
      <c r="D6994" s="3">
        <v>0.0</v>
      </c>
      <c r="E6994" s="3">
        <v>0.0</v>
      </c>
      <c r="F6994" s="3" t="s">
        <v>20079</v>
      </c>
      <c r="G6994" s="3">
        <v>0.6</v>
      </c>
      <c r="H6994" s="3">
        <v>0.2</v>
      </c>
      <c r="I6994" s="3" t="s">
        <v>48</v>
      </c>
      <c r="J6994" s="3" t="s">
        <v>20080</v>
      </c>
      <c r="K6994" s="3" t="s">
        <v>41</v>
      </c>
      <c r="L6994" s="3" t="str">
        <f>IFERROR(__xludf.DUMMYFUNCTION("GOOGLETRANSLATE(F6994,""id"",""en"")"),"Crazy Nitro World Games Bmx Best Trick via Dos")</f>
        <v>Crazy Nitro World Games Bmx Best Trick via Dos</v>
      </c>
    </row>
    <row r="6995" ht="15.75" customHeight="1">
      <c r="A6995" s="1">
        <v>8200.0</v>
      </c>
      <c r="B6995" s="3" t="s">
        <v>20081</v>
      </c>
      <c r="C6995" s="3">
        <v>0.0</v>
      </c>
      <c r="D6995" s="3">
        <v>0.0</v>
      </c>
      <c r="E6995" s="3">
        <v>0.0</v>
      </c>
      <c r="F6995" s="3" t="s">
        <v>20082</v>
      </c>
      <c r="G6995" s="3">
        <v>0.0</v>
      </c>
      <c r="H6995" s="3">
        <v>0.0</v>
      </c>
      <c r="I6995" s="3" t="s">
        <v>13</v>
      </c>
      <c r="J6995" s="3" t="s">
        <v>20083</v>
      </c>
      <c r="K6995" s="3" t="s">
        <v>15</v>
      </c>
      <c r="L6995" s="3" t="str">
        <f>IFERROR(__xludf.DUMMYFUNCTION("GOOGLETRANSLATE(F6995,""id"",""en"")"),"The Mystery of Aguero joined the Argentina World Cup Champion")</f>
        <v>The Mystery of Aguero joined the Argentina World Cup Champion</v>
      </c>
    </row>
    <row r="6996" ht="15.75" customHeight="1">
      <c r="A6996" s="1">
        <v>8201.0</v>
      </c>
      <c r="B6996" s="3" t="s">
        <v>20084</v>
      </c>
      <c r="C6996" s="3">
        <v>0.0</v>
      </c>
      <c r="D6996" s="3">
        <v>0.0</v>
      </c>
      <c r="E6996" s="3">
        <v>4.0</v>
      </c>
      <c r="F6996" s="3" t="s">
        <v>20082</v>
      </c>
      <c r="G6996" s="3">
        <v>0.0</v>
      </c>
      <c r="H6996" s="3">
        <v>0.0</v>
      </c>
      <c r="I6996" s="3" t="s">
        <v>13</v>
      </c>
      <c r="J6996" s="3" t="s">
        <v>20083</v>
      </c>
      <c r="K6996" s="3" t="s">
        <v>15</v>
      </c>
      <c r="L6996" s="3" t="str">
        <f>IFERROR(__xludf.DUMMYFUNCTION("GOOGLETRANSLATE(F6996,""id"",""en"")"),"The Mystery of Aguero joined the Argentina World Cup Champion")</f>
        <v>The Mystery of Aguero joined the Argentina World Cup Champion</v>
      </c>
    </row>
    <row r="6997" ht="15.75" customHeight="1">
      <c r="A6997" s="1">
        <v>8202.0</v>
      </c>
      <c r="B6997" s="3" t="s">
        <v>20085</v>
      </c>
      <c r="C6997" s="3">
        <v>0.0</v>
      </c>
      <c r="D6997" s="3">
        <v>0.0</v>
      </c>
      <c r="E6997" s="3">
        <v>0.0</v>
      </c>
      <c r="F6997" s="3" t="s">
        <v>20086</v>
      </c>
      <c r="G6997" s="3">
        <v>0.0</v>
      </c>
      <c r="H6997" s="3">
        <v>0.0</v>
      </c>
      <c r="I6997" s="3" t="s">
        <v>13</v>
      </c>
      <c r="J6997" s="3" t="s">
        <v>20087</v>
      </c>
      <c r="K6997" s="3" t="s">
        <v>50</v>
      </c>
      <c r="L6997" s="3" t="str">
        <f>IFERROR(__xludf.DUMMYFUNCTION("GOOGLETRANSLATE(F6997,""id"",""en"")"),"Argentina World Cup Champion Toni Kroos Finds Lionel Messi's Quality Thumbs up")</f>
        <v>Argentina World Cup Champion Toni Kroos Finds Lionel Messi's Quality Thumbs up</v>
      </c>
    </row>
    <row r="6998" ht="15.75" customHeight="1">
      <c r="A6998" s="1">
        <v>8203.0</v>
      </c>
      <c r="B6998" s="3" t="s">
        <v>20088</v>
      </c>
      <c r="C6998" s="3">
        <v>0.0</v>
      </c>
      <c r="D6998" s="3">
        <v>0.0</v>
      </c>
      <c r="E6998" s="3">
        <v>0.0</v>
      </c>
      <c r="F6998" s="3" t="s">
        <v>20089</v>
      </c>
      <c r="G6998" s="3">
        <v>0.0</v>
      </c>
      <c r="H6998" s="3">
        <v>0.0</v>
      </c>
      <c r="I6998" s="3" t="s">
        <v>13</v>
      </c>
      <c r="J6998" s="3" t="s">
        <v>20090</v>
      </c>
      <c r="K6998" s="3" t="s">
        <v>50</v>
      </c>
      <c r="L6998" s="3" t="str">
        <f>IFERROR(__xludf.DUMMYFUNCTION("GOOGLETRANSLATE(F6998,""id"",""en"")"),"Argentine effect Lionel Messi Sold Out Out Out World Cup Champion")</f>
        <v>Argentine effect Lionel Messi Sold Out Out Out World Cup Champion</v>
      </c>
    </row>
    <row r="6999" ht="15.75" customHeight="1">
      <c r="A6999" s="1">
        <v>8204.0</v>
      </c>
      <c r="B6999" s="3" t="s">
        <v>20091</v>
      </c>
      <c r="C6999" s="3">
        <v>0.0</v>
      </c>
      <c r="D6999" s="3">
        <v>0.0</v>
      </c>
      <c r="E6999" s="3">
        <v>0.0</v>
      </c>
      <c r="F6999" s="3" t="s">
        <v>20092</v>
      </c>
      <c r="G6999" s="3">
        <v>1.0</v>
      </c>
      <c r="H6999" s="3">
        <v>0.0</v>
      </c>
      <c r="I6999" s="3" t="s">
        <v>13</v>
      </c>
      <c r="J6999" s="3" t="s">
        <v>20093</v>
      </c>
      <c r="K6999" s="3" t="s">
        <v>205</v>
      </c>
      <c r="L6999" s="3" t="str">
        <f>IFERROR(__xludf.DUMMYFUNCTION("GOOGLETRANSLATE(F6999,""id"",""en"")"),"I think they are waiting for their moments and believe that they will see Argentina, especially if they are almost champions yesterday became a venue for revenge for their previous failures")</f>
        <v>I think they are waiting for their moments and believe that they will see Argentina, especially if they are almost champions yesterday became a venue for revenge for their previous failures</v>
      </c>
    </row>
    <row r="7000" ht="15.75" customHeight="1">
      <c r="A7000" s="1">
        <v>8205.0</v>
      </c>
      <c r="B7000" s="3" t="s">
        <v>20094</v>
      </c>
      <c r="C7000" s="3">
        <v>0.0</v>
      </c>
      <c r="D7000" s="3">
        <v>0.0</v>
      </c>
      <c r="E7000" s="3">
        <v>0.0</v>
      </c>
      <c r="F7000" s="3" t="s">
        <v>20095</v>
      </c>
      <c r="G7000" s="3">
        <v>1.0</v>
      </c>
      <c r="H7000" s="3">
        <v>0.0</v>
      </c>
      <c r="I7000" s="3" t="s">
        <v>13</v>
      </c>
      <c r="J7000" s="3" t="s">
        <v>20096</v>
      </c>
      <c r="K7000" s="3" t="s">
        <v>495</v>
      </c>
      <c r="L7000" s="3" t="str">
        <f>IFERROR(__xludf.DUMMYFUNCTION("GOOGLETRANSLATE(F7000,""id"",""en"")"),"sorry for the hilarious Argentina national team can penetrate the final and champion because of the committee just proud of the fans' fans will be rampaging even hahahha")</f>
        <v>sorry for the hilarious Argentina national team can penetrate the final and champion because of the committee just proud of the fans' fans will be rampaging even hahahha</v>
      </c>
    </row>
    <row r="7001" ht="15.75" customHeight="1">
      <c r="A7001" s="1">
        <v>8206.0</v>
      </c>
      <c r="B7001" s="3" t="s">
        <v>20097</v>
      </c>
      <c r="C7001" s="3">
        <v>1.0</v>
      </c>
      <c r="D7001" s="3">
        <v>0.0</v>
      </c>
      <c r="E7001" s="3">
        <v>0.0</v>
      </c>
      <c r="F7001" s="3" t="s">
        <v>20098</v>
      </c>
      <c r="G7001" s="3">
        <v>0.0</v>
      </c>
      <c r="H7001" s="3">
        <v>0.0</v>
      </c>
      <c r="I7001" s="3" t="s">
        <v>13</v>
      </c>
      <c r="J7001" s="3" t="s">
        <v>20099</v>
      </c>
      <c r="K7001" s="3" t="s">
        <v>1335</v>
      </c>
      <c r="L7001" s="3" t="str">
        <f>IFERROR(__xludf.DUMMYFUNCTION("GOOGLETRANSLATE(F7001,""id"",""en"")"),"Argentina World Cup Champion Champion Kali So")</f>
        <v>Argentina World Cup Champion Champion Kali So</v>
      </c>
    </row>
    <row r="7002" ht="15.75" customHeight="1">
      <c r="A7002" s="1">
        <v>8207.0</v>
      </c>
      <c r="B7002" s="3" t="s">
        <v>20100</v>
      </c>
      <c r="C7002" s="3">
        <v>0.0</v>
      </c>
      <c r="D7002" s="3">
        <v>0.0</v>
      </c>
      <c r="E7002" s="3">
        <v>1.0</v>
      </c>
      <c r="F7002" s="3" t="s">
        <v>20101</v>
      </c>
      <c r="G7002" s="3">
        <v>0.0</v>
      </c>
      <c r="H7002" s="3">
        <v>0.0</v>
      </c>
      <c r="I7002" s="3" t="s">
        <v>13</v>
      </c>
      <c r="J7002" s="3" t="s">
        <v>20102</v>
      </c>
      <c r="K7002" s="3" t="s">
        <v>35</v>
      </c>
      <c r="L7002" s="3" t="str">
        <f>IFERROR(__xludf.DUMMYFUNCTION("GOOGLETRANSLATE(F7002,""id"",""en"")"),"A little entertainment for Argentina Bagus Argentina to become a champion at least not think too much about its current economic poverty")</f>
        <v>A little entertainment for Argentina Bagus Argentina to become a champion at least not think too much about its current economic poverty</v>
      </c>
    </row>
    <row r="7003" ht="15.75" customHeight="1">
      <c r="A7003" s="1">
        <v>8208.0</v>
      </c>
      <c r="B7003" s="3" t="s">
        <v>20103</v>
      </c>
      <c r="C7003" s="3">
        <v>1.0</v>
      </c>
      <c r="D7003" s="3">
        <v>0.0</v>
      </c>
      <c r="E7003" s="3">
        <v>0.0</v>
      </c>
      <c r="F7003" s="3" t="s">
        <v>20104</v>
      </c>
      <c r="G7003" s="3">
        <v>0.0</v>
      </c>
      <c r="H7003" s="3">
        <v>0.0</v>
      </c>
      <c r="I7003" s="3" t="s">
        <v>13</v>
      </c>
      <c r="J7003" s="3" t="s">
        <v>20105</v>
      </c>
      <c r="K7003" s="3" t="s">
        <v>41</v>
      </c>
      <c r="L7003" s="3" t="str">
        <f>IFERROR(__xludf.DUMMYFUNCTION("GOOGLETRANSLATE(F7003,""id"",""en"")"),"Lautaro Martinez The most contributed player in the Argentine title this time")</f>
        <v>Lautaro Martinez The most contributed player in the Argentine title this time</v>
      </c>
    </row>
    <row r="7004" ht="15.75" customHeight="1">
      <c r="A7004" s="1">
        <v>8209.0</v>
      </c>
      <c r="B7004" s="3" t="s">
        <v>20106</v>
      </c>
      <c r="C7004" s="3">
        <v>0.0</v>
      </c>
      <c r="D7004" s="3">
        <v>0.0</v>
      </c>
      <c r="E7004" s="3">
        <v>0.0</v>
      </c>
      <c r="F7004" s="3" t="s">
        <v>20107</v>
      </c>
      <c r="G7004" s="3">
        <v>1.0</v>
      </c>
      <c r="H7004" s="3">
        <v>0.0</v>
      </c>
      <c r="I7004" s="3" t="s">
        <v>13</v>
      </c>
      <c r="J7004" s="3" t="s">
        <v>20108</v>
      </c>
      <c r="K7004" s="3" t="s">
        <v>45</v>
      </c>
      <c r="L7004" s="3" t="str">
        <f>IFERROR(__xludf.DUMMYFUNCTION("GOOGLETRANSLATE(F7004,""id"",""en"")"),"tokped like I say Argentina congratulations on the knockout phase group champion not of course my Dutch opponents are a bit of Argentina semi -final meeting between Croatia or Brazil I dare to bet I finished Argentina Palin")</f>
        <v>tokped like I say Argentina congratulations on the knockout phase group champion not of course my Dutch opponents are a bit of Argentina semi -final meeting between Croatia or Brazil I dare to bet I finished Argentina Palin</v>
      </c>
    </row>
    <row r="7005" ht="15.75" customHeight="1">
      <c r="A7005" s="1">
        <v>8210.0</v>
      </c>
      <c r="B7005" s="3" t="s">
        <v>20109</v>
      </c>
      <c r="C7005" s="3">
        <v>0.0</v>
      </c>
      <c r="D7005" s="3">
        <v>0.0</v>
      </c>
      <c r="E7005" s="3">
        <v>0.0</v>
      </c>
      <c r="F7005" s="3" t="s">
        <v>20110</v>
      </c>
      <c r="G7005" s="3">
        <v>0.0</v>
      </c>
      <c r="H7005" s="3">
        <v>0.0</v>
      </c>
      <c r="I7005" s="3" t="s">
        <v>13</v>
      </c>
      <c r="J7005" s="3" t="s">
        <v>20111</v>
      </c>
      <c r="K7005" s="3" t="s">
        <v>1854</v>
      </c>
      <c r="L7005" s="3" t="str">
        <f>IFERROR(__xludf.DUMMYFUNCTION("GOOGLETRANSLATE(F7005,""id"",""en"")"),"I have read Raden Mandasia so I chose a bearded turtle, I actually annoyed Messi to become a champion with Argentina but the legendary heroic story must be told to tell the future soccer fans because")</f>
        <v>I have read Raden Mandasia so I chose a bearded turtle, I actually annoyed Messi to become a champion with Argentina but the legendary heroic story must be told to tell the future soccer fans because</v>
      </c>
    </row>
    <row r="7006" ht="15.75" customHeight="1">
      <c r="A7006" s="1">
        <v>8211.0</v>
      </c>
      <c r="B7006" s="3" t="s">
        <v>20112</v>
      </c>
      <c r="C7006" s="3">
        <v>1.0</v>
      </c>
      <c r="D7006" s="3">
        <v>0.0</v>
      </c>
      <c r="E7006" s="3">
        <v>0.0</v>
      </c>
      <c r="F7006" s="3" t="s">
        <v>20113</v>
      </c>
      <c r="G7006" s="3">
        <v>0.0</v>
      </c>
      <c r="H7006" s="3">
        <v>0.0</v>
      </c>
      <c r="I7006" s="3" t="s">
        <v>13</v>
      </c>
      <c r="J7006" s="3" t="s">
        <v>20114</v>
      </c>
      <c r="K7006" s="3" t="s">
        <v>123</v>
      </c>
      <c r="L7006" s="3" t="str">
        <f>IFERROR(__xludf.DUMMYFUNCTION("GOOGLETRANSLATE(F7006,""id"",""en"")"),"No need to widen where to answer first if the opponents of France Argentina do not give the penalty who becomes the champion answer bro")</f>
        <v>No need to widen where to answer first if the opponents of France Argentina do not give the penalty who becomes the champion answer bro</v>
      </c>
    </row>
    <row r="7007" ht="15.75" customHeight="1">
      <c r="A7007" s="1">
        <v>8212.0</v>
      </c>
      <c r="B7007" s="3" t="s">
        <v>20115</v>
      </c>
      <c r="C7007" s="3">
        <v>0.0</v>
      </c>
      <c r="D7007" s="3">
        <v>0.0</v>
      </c>
      <c r="E7007" s="3">
        <v>0.0</v>
      </c>
      <c r="F7007" s="3" t="s">
        <v>17033</v>
      </c>
      <c r="G7007" s="3">
        <v>0.0</v>
      </c>
      <c r="H7007" s="3">
        <v>0.0</v>
      </c>
      <c r="I7007" s="3" t="s">
        <v>13</v>
      </c>
      <c r="J7007" s="3" t="s">
        <v>17034</v>
      </c>
      <c r="K7007" s="3" t="s">
        <v>82</v>
      </c>
      <c r="L7007" s="3" t="str">
        <f>IFERROR(__xludf.DUMMYFUNCTION("GOOGLETRANSLATE(F7007,""id"",""en"")"),"hbd sis, I hope Argentina won the World Cup")</f>
        <v>hbd sis, I hope Argentina won the World Cup</v>
      </c>
    </row>
    <row r="7008" ht="15.75" customHeight="1">
      <c r="A7008" s="1">
        <v>8213.0</v>
      </c>
      <c r="B7008" s="3" t="s">
        <v>20116</v>
      </c>
      <c r="C7008" s="3">
        <v>1.0</v>
      </c>
      <c r="D7008" s="3">
        <v>0.0</v>
      </c>
      <c r="E7008" s="3">
        <v>0.0</v>
      </c>
      <c r="F7008" s="3" t="s">
        <v>20117</v>
      </c>
      <c r="G7008" s="3">
        <v>0.4</v>
      </c>
      <c r="H7008" s="3">
        <v>0.2</v>
      </c>
      <c r="I7008" s="3" t="s">
        <v>48</v>
      </c>
      <c r="J7008" s="3" t="s">
        <v>20118</v>
      </c>
      <c r="K7008" s="3" t="s">
        <v>1628</v>
      </c>
      <c r="L7008" s="3" t="str">
        <f>IFERROR(__xludf.DUMMYFUNCTION("GOOGLETRANSLATE(F7008,""id"",""en"")"),"Now I ask if the French opponents Argentina don't give the penalty who wins who will become the champion answer bro hahaha again, the penalty is sinking the Argentina facts")</f>
        <v>Now I ask if the French opponents Argentina don't give the penalty who wins who will become the champion answer bro hahaha again, the penalty is sinking the Argentina facts</v>
      </c>
    </row>
    <row r="7009" ht="15.75" customHeight="1">
      <c r="A7009" s="1">
        <v>8214.0</v>
      </c>
      <c r="B7009" s="3" t="s">
        <v>20119</v>
      </c>
      <c r="C7009" s="3">
        <v>2.0</v>
      </c>
      <c r="D7009" s="3">
        <v>0.0</v>
      </c>
      <c r="E7009" s="3">
        <v>2.0</v>
      </c>
      <c r="F7009" s="3" t="s">
        <v>20120</v>
      </c>
      <c r="G7009" s="3">
        <v>0.0</v>
      </c>
      <c r="H7009" s="3">
        <v>0.0</v>
      </c>
      <c r="I7009" s="3" t="s">
        <v>13</v>
      </c>
      <c r="J7009" s="3" t="s">
        <v>20121</v>
      </c>
      <c r="K7009" s="3" t="s">
        <v>1293</v>
      </c>
      <c r="L7009" s="3" t="str">
        <f>IFERROR(__xludf.DUMMYFUNCTION("GOOGLETRANSLATE(F7009,""id"",""en"")"),"Redsindo believes Bung Helmy's prediction and bald are Argentina champion when meeting the Dutch he said the Netherlands would have won just want to be Kibulin sheep")</f>
        <v>Redsindo believes Bung Helmy's prediction and bald are Argentina champion when meeting the Dutch he said the Netherlands would have won just want to be Kibulin sheep</v>
      </c>
    </row>
    <row r="7010" ht="15.75" customHeight="1">
      <c r="A7010" s="1">
        <v>8215.0</v>
      </c>
      <c r="B7010" s="3" t="s">
        <v>20122</v>
      </c>
      <c r="C7010" s="3">
        <v>0.0</v>
      </c>
      <c r="D7010" s="3">
        <v>0.0</v>
      </c>
      <c r="E7010" s="3">
        <v>0.0</v>
      </c>
      <c r="F7010" s="3" t="s">
        <v>20123</v>
      </c>
      <c r="G7010" s="3">
        <v>0.0</v>
      </c>
      <c r="H7010" s="3">
        <v>0.0</v>
      </c>
      <c r="I7010" s="3" t="s">
        <v>13</v>
      </c>
      <c r="J7010" s="3" t="s">
        <v>20124</v>
      </c>
      <c r="K7010" s="3" t="s">
        <v>510</v>
      </c>
      <c r="L7010" s="3" t="str">
        <f>IFERROR(__xludf.DUMMYFUNCTION("GOOGLETRANSLATE(F7010,""id"",""en"")"),"Argentina jersey sells well after the World Cup champion is sold up to millions of online stores")</f>
        <v>Argentina jersey sells well after the World Cup champion is sold up to millions of online stores</v>
      </c>
    </row>
    <row r="7011" ht="15.75" customHeight="1">
      <c r="A7011" s="1">
        <v>8216.0</v>
      </c>
      <c r="B7011" s="3" t="s">
        <v>20125</v>
      </c>
      <c r="C7011" s="3">
        <v>0.0</v>
      </c>
      <c r="D7011" s="3">
        <v>0.0</v>
      </c>
      <c r="E7011" s="3">
        <v>0.0</v>
      </c>
      <c r="F7011" s="3" t="s">
        <v>20126</v>
      </c>
      <c r="G7011" s="3">
        <v>0.0</v>
      </c>
      <c r="H7011" s="3">
        <v>0.0</v>
      </c>
      <c r="I7011" s="3" t="s">
        <v>13</v>
      </c>
      <c r="J7011" s="3" t="s">
        <v>20127</v>
      </c>
      <c r="K7011" s="3" t="s">
        <v>4784</v>
      </c>
      <c r="L7011" s="3" t="str">
        <f>IFERROR(__xludf.DUMMYFUNCTION("GOOGLETRANSLATE(F7011,""id"",""en"")"),"Read again, the majority of Argentina fans are the first time I saw Argentina the last champion Argentina champion, then I already saw even Argentinian fans, maybe I hadn't seen it yet")</f>
        <v>Read again, the majority of Argentina fans are the first time I saw Argentina the last champion Argentina champion, then I already saw even Argentinian fans, maybe I hadn't seen it yet</v>
      </c>
    </row>
    <row r="7012" ht="15.75" customHeight="1">
      <c r="A7012" s="1">
        <v>8217.0</v>
      </c>
      <c r="B7012" s="3" t="s">
        <v>20128</v>
      </c>
      <c r="C7012" s="3">
        <v>1.0</v>
      </c>
      <c r="D7012" s="3">
        <v>0.0</v>
      </c>
      <c r="E7012" s="3">
        <v>0.0</v>
      </c>
      <c r="F7012" s="3" t="s">
        <v>17033</v>
      </c>
      <c r="G7012" s="3">
        <v>0.0</v>
      </c>
      <c r="H7012" s="3">
        <v>0.0</v>
      </c>
      <c r="I7012" s="3" t="s">
        <v>13</v>
      </c>
      <c r="J7012" s="3" t="s">
        <v>17034</v>
      </c>
      <c r="K7012" s="3" t="s">
        <v>82</v>
      </c>
      <c r="L7012" s="3" t="str">
        <f>IFERROR(__xludf.DUMMYFUNCTION("GOOGLETRANSLATE(F7012,""id"",""en"")"),"hbd sis, I hope Argentina won the World Cup")</f>
        <v>hbd sis, I hope Argentina won the World Cup</v>
      </c>
    </row>
    <row r="7013" ht="15.75" customHeight="1">
      <c r="A7013" s="1">
        <v>8218.0</v>
      </c>
      <c r="B7013" s="3" t="s">
        <v>20129</v>
      </c>
      <c r="C7013" s="3">
        <v>0.0</v>
      </c>
      <c r="D7013" s="3">
        <v>0.0</v>
      </c>
      <c r="E7013" s="3">
        <v>0.0</v>
      </c>
      <c r="F7013" s="3" t="s">
        <v>20130</v>
      </c>
      <c r="G7013" s="3">
        <v>0.0</v>
      </c>
      <c r="H7013" s="3">
        <v>0.0</v>
      </c>
      <c r="I7013" s="3" t="s">
        <v>13</v>
      </c>
      <c r="J7013" s="3" t="s">
        <v>20131</v>
      </c>
      <c r="K7013" s="3" t="s">
        <v>41</v>
      </c>
      <c r="L7013" s="3" t="str">
        <f>IFERROR(__xludf.DUMMYFUNCTION("GOOGLETRANSLATE(F7013,""id"",""en"")"),"The month again Argentina Champion World Cup for the fourth time")</f>
        <v>The month again Argentina Champion World Cup for the fourth time</v>
      </c>
    </row>
    <row r="7014" ht="15.75" customHeight="1">
      <c r="A7014" s="1">
        <v>8219.0</v>
      </c>
      <c r="B7014" s="3" t="s">
        <v>20132</v>
      </c>
      <c r="C7014" s="3">
        <v>2.0</v>
      </c>
      <c r="D7014" s="3">
        <v>0.0</v>
      </c>
      <c r="E7014" s="3">
        <v>5.0</v>
      </c>
      <c r="F7014" s="3" t="s">
        <v>19529</v>
      </c>
      <c r="G7014" s="3">
        <v>0.2333333333333333</v>
      </c>
      <c r="H7014" s="3">
        <v>-0.25</v>
      </c>
      <c r="I7014" s="3" t="s">
        <v>179</v>
      </c>
      <c r="J7014" s="3" t="s">
        <v>19530</v>
      </c>
      <c r="K7014" s="3" t="s">
        <v>50</v>
      </c>
      <c r="L7014" s="3" t="str">
        <f>IFERROR(__xludf.DUMMYFUNCTION("GOOGLETRANSLATE(F7014,""id"",""en"")"),"WORLD CUP CHARACTER WARNAI PARADE AGERTINE CHAMPIONS")</f>
        <v>WORLD CUP CHARACTER WARNAI PARADE AGERTINE CHAMPIONS</v>
      </c>
    </row>
    <row r="7015" ht="15.75" customHeight="1">
      <c r="A7015" s="1">
        <v>8220.0</v>
      </c>
      <c r="B7015" s="3" t="s">
        <v>20133</v>
      </c>
      <c r="C7015" s="3">
        <v>0.0</v>
      </c>
      <c r="D7015" s="3">
        <v>0.0</v>
      </c>
      <c r="E7015" s="3">
        <v>0.0</v>
      </c>
      <c r="F7015" s="3" t="s">
        <v>20134</v>
      </c>
      <c r="G7015" s="3">
        <v>0.0</v>
      </c>
      <c r="H7015" s="3">
        <v>0.0</v>
      </c>
      <c r="I7015" s="3" t="s">
        <v>13</v>
      </c>
      <c r="J7015" s="3" t="s">
        <v>20135</v>
      </c>
      <c r="K7015" s="3" t="s">
        <v>2023</v>
      </c>
      <c r="L7015" s="3" t="str">
        <f>IFERROR(__xludf.DUMMYFUNCTION("GOOGLETRANSLATE(F7015,""id"",""en"")"),"Feeling I Gaenak Bet After Argentina Champion KEK Man City will win UCL Amit Amit City until the UCL Naudzubillah champion")</f>
        <v>Feeling I Gaenak Bet After Argentina Champion KEK Man City will win UCL Amit Amit City until the UCL Naudzubillah champion</v>
      </c>
    </row>
    <row r="7016" ht="15.75" customHeight="1">
      <c r="A7016" s="1">
        <v>8221.0</v>
      </c>
      <c r="B7016" s="3" t="s">
        <v>20136</v>
      </c>
      <c r="C7016" s="3">
        <v>5.0</v>
      </c>
      <c r="D7016" s="3">
        <v>8.0</v>
      </c>
      <c r="E7016" s="3">
        <v>38.0</v>
      </c>
      <c r="F7016" s="3" t="s">
        <v>20137</v>
      </c>
      <c r="G7016" s="3">
        <v>0.0</v>
      </c>
      <c r="H7016" s="3">
        <v>0.0</v>
      </c>
      <c r="I7016" s="3" t="s">
        <v>13</v>
      </c>
      <c r="J7016" s="3" t="s">
        <v>20138</v>
      </c>
      <c r="K7016" s="3" t="s">
        <v>1349</v>
      </c>
      <c r="L7016" s="3" t="str">
        <f>IFERROR(__xludf.DUMMYFUNCTION("GOOGLETRANSLATE(F7016,""id"",""en"")"),"estimated there are more than million people who participated in the celebration of the World Cup champion from the Argentine national team more than million people all")</f>
        <v>estimated there are more than million people who participated in the celebration of the World Cup champion from the Argentine national team more than million people all</v>
      </c>
    </row>
    <row r="7017" ht="15.75" customHeight="1">
      <c r="A7017" s="1">
        <v>8222.0</v>
      </c>
      <c r="B7017" s="3" t="s">
        <v>20139</v>
      </c>
      <c r="C7017" s="3">
        <v>1.0</v>
      </c>
      <c r="D7017" s="3">
        <v>0.0</v>
      </c>
      <c r="E7017" s="3">
        <v>0.0</v>
      </c>
      <c r="F7017" s="3" t="s">
        <v>20140</v>
      </c>
      <c r="G7017" s="3">
        <v>0.0</v>
      </c>
      <c r="H7017" s="3">
        <v>0.0</v>
      </c>
      <c r="I7017" s="3" t="s">
        <v>13</v>
      </c>
      <c r="J7017" s="3" t="s">
        <v>20141</v>
      </c>
      <c r="K7017" s="3" t="s">
        <v>15</v>
      </c>
      <c r="L7017" s="3" t="str">
        <f>IFERROR(__xludf.DUMMYFUNCTION("GOOGLETRANSLATE(F7017,""id"",""en"")"),"Celebrate or People's Party Yeuh Argentina Tea Champion")</f>
        <v>Celebrate or People's Party Yeuh Argentina Tea Champion</v>
      </c>
    </row>
    <row r="7018" ht="15.75" customHeight="1">
      <c r="A7018" s="1">
        <v>8223.0</v>
      </c>
      <c r="B7018" s="3" t="s">
        <v>20142</v>
      </c>
      <c r="C7018" s="3">
        <v>2.0</v>
      </c>
      <c r="D7018" s="3">
        <v>0.0</v>
      </c>
      <c r="E7018" s="3">
        <v>0.0</v>
      </c>
      <c r="F7018" s="3" t="s">
        <v>20143</v>
      </c>
      <c r="G7018" s="3">
        <v>0.0</v>
      </c>
      <c r="H7018" s="3">
        <v>0.0</v>
      </c>
      <c r="I7018" s="3" t="s">
        <v>13</v>
      </c>
      <c r="J7018" s="3" t="s">
        <v>20144</v>
      </c>
      <c r="K7018" s="3" t="s">
        <v>1428</v>
      </c>
      <c r="L7018" s="3" t="str">
        <f>IFERROR(__xludf.DUMMYFUNCTION("GOOGLETRANSLATE(F7018,""id"",""en"")"),"Naaahh finally admitted that Argentina champions thanks to FIFA settings, important champions, Messi, became Goat, not care about winning through penalties, it was also important to lift the wkwkwk paraaahhh trophy")</f>
        <v>Naaahh finally admitted that Argentina champions thanks to FIFA settings, important champions, Messi, became Goat, not care about winning through penalties, it was also important to lift the wkwkwk paraaahhh trophy</v>
      </c>
    </row>
    <row r="7019" ht="15.75" customHeight="1">
      <c r="A7019" s="1">
        <v>8224.0</v>
      </c>
      <c r="B7019" s="3" t="s">
        <v>20145</v>
      </c>
      <c r="C7019" s="3">
        <v>1.0</v>
      </c>
      <c r="D7019" s="3">
        <v>0.0</v>
      </c>
      <c r="E7019" s="3">
        <v>0.0</v>
      </c>
      <c r="F7019" s="3" t="s">
        <v>20146</v>
      </c>
      <c r="G7019" s="3">
        <v>0.0</v>
      </c>
      <c r="H7019" s="3">
        <v>0.0</v>
      </c>
      <c r="I7019" s="3" t="s">
        <v>13</v>
      </c>
      <c r="J7019" s="3" t="s">
        <v>20147</v>
      </c>
      <c r="K7019" s="3" t="s">
        <v>149</v>
      </c>
      <c r="L7019" s="3" t="str">
        <f>IFERROR(__xludf.DUMMYFUNCTION("GOOGLETRANSLATE(F7019,""id"",""en"")"),"Why do you say consistent problems every team there must be a consistent time rich city now often loses to Liverpool but still the Arab champion can win lawa")</f>
        <v>Why do you say consistent problems every team there must be a consistent time rich city now often loses to Liverpool but still the Arab champion can win lawa</v>
      </c>
    </row>
    <row r="7020" ht="15.75" customHeight="1">
      <c r="A7020" s="1">
        <v>8225.0</v>
      </c>
      <c r="B7020" s="3" t="s">
        <v>20148</v>
      </c>
      <c r="C7020" s="3">
        <v>0.0</v>
      </c>
      <c r="D7020" s="3">
        <v>0.0</v>
      </c>
      <c r="E7020" s="3">
        <v>0.0</v>
      </c>
      <c r="F7020" s="3" t="s">
        <v>20149</v>
      </c>
      <c r="G7020" s="3">
        <v>0.0</v>
      </c>
      <c r="H7020" s="3">
        <v>0.0</v>
      </c>
      <c r="I7020" s="3" t="s">
        <v>13</v>
      </c>
      <c r="J7020" s="3" t="s">
        <v>20150</v>
      </c>
      <c r="K7020" s="3" t="s">
        <v>50</v>
      </c>
      <c r="L7020" s="3" t="str">
        <f>IFERROR(__xludf.DUMMYFUNCTION("GOOGLETRANSLATE(F7020,""id"",""en"")"),"This is the amazing end of the story from Lionel Messi to Argentina World Cup champions")</f>
        <v>This is the amazing end of the story from Lionel Messi to Argentina World Cup champions</v>
      </c>
    </row>
    <row r="7021" ht="15.75" customHeight="1">
      <c r="A7021" s="1">
        <v>8226.0</v>
      </c>
      <c r="B7021" s="3" t="s">
        <v>20151</v>
      </c>
      <c r="C7021" s="3">
        <v>0.0</v>
      </c>
      <c r="D7021" s="3">
        <v>8.0</v>
      </c>
      <c r="E7021" s="3">
        <v>36.0</v>
      </c>
      <c r="F7021" s="3" t="s">
        <v>20152</v>
      </c>
      <c r="G7021" s="3">
        <v>0.0</v>
      </c>
      <c r="H7021" s="3">
        <v>0.0</v>
      </c>
      <c r="I7021" s="3" t="s">
        <v>13</v>
      </c>
      <c r="J7021" s="3" t="s">
        <v>20153</v>
      </c>
      <c r="K7021" s="3" t="s">
        <v>433</v>
      </c>
      <c r="L7021" s="3" t="str">
        <f>IFERROR(__xludf.DUMMYFUNCTION("GOOGLETRANSLATE(F7021,""id"",""en"")"),"The current situation of Jalan May Jalan Juli Buenos Aires Argentina Center for the Albiceleste title celebration")</f>
        <v>The current situation of Jalan May Jalan Juli Buenos Aires Argentina Center for the Albiceleste title celebration</v>
      </c>
    </row>
    <row r="7022" ht="15.75" customHeight="1">
      <c r="A7022" s="1">
        <v>8227.0</v>
      </c>
      <c r="B7022" s="3" t="s">
        <v>20154</v>
      </c>
      <c r="C7022" s="3">
        <v>0.0</v>
      </c>
      <c r="D7022" s="3">
        <v>0.0</v>
      </c>
      <c r="E7022" s="3">
        <v>1.0</v>
      </c>
      <c r="F7022" s="3" t="s">
        <v>20155</v>
      </c>
      <c r="G7022" s="3">
        <v>0.0</v>
      </c>
      <c r="H7022" s="3">
        <v>0.0</v>
      </c>
      <c r="I7022" s="3" t="s">
        <v>13</v>
      </c>
      <c r="J7022" s="3" t="s">
        <v>20156</v>
      </c>
      <c r="K7022" s="3" t="s">
        <v>3882</v>
      </c>
      <c r="L7022" s="3" t="str">
        <f>IFERROR(__xludf.DUMMYFUNCTION("GOOGLETRANSLATE(F7022,""id"",""en"")"),"Lionel Messi's post after becoming a World Cup champion with Argentina broke the most Instagram likes records of Messi uploaded a series of happy moments in the celebration of Argentina champions after winning the World Cup trophy on Monday morning WIB Fr"&amp;"iday")</f>
        <v>Lionel Messi's post after becoming a World Cup champion with Argentina broke the most Instagram likes records of Messi uploaded a series of happy moments in the celebration of Argentina champions after winning the World Cup trophy on Monday morning WIB Friday</v>
      </c>
    </row>
    <row r="7023" ht="15.75" customHeight="1">
      <c r="A7023" s="1">
        <v>8228.0</v>
      </c>
      <c r="B7023" s="3" t="s">
        <v>20157</v>
      </c>
      <c r="C7023" s="3">
        <v>0.0</v>
      </c>
      <c r="D7023" s="3">
        <v>0.0</v>
      </c>
      <c r="E7023" s="3">
        <v>0.0</v>
      </c>
      <c r="F7023" s="3" t="s">
        <v>20158</v>
      </c>
      <c r="G7023" s="3">
        <v>0.0</v>
      </c>
      <c r="H7023" s="3">
        <v>0.0</v>
      </c>
      <c r="I7023" s="3" t="s">
        <v>13</v>
      </c>
      <c r="J7023" s="3" t="s">
        <v>20159</v>
      </c>
      <c r="K7023" s="3" t="s">
        <v>644</v>
      </c>
      <c r="L7023" s="3" t="str">
        <f>IFERROR(__xludf.DUMMYFUNCTION("GOOGLETRANSLATE(F7023,""id"",""en"")"),"still the Argentine celebration of the championship")</f>
        <v>still the Argentine celebration of the championship</v>
      </c>
    </row>
    <row r="7024" ht="15.75" customHeight="1">
      <c r="A7024" s="1">
        <v>8229.0</v>
      </c>
      <c r="B7024" s="3" t="s">
        <v>20160</v>
      </c>
      <c r="C7024" s="3">
        <v>0.0</v>
      </c>
      <c r="D7024" s="3">
        <v>0.0</v>
      </c>
      <c r="E7024" s="3">
        <v>1.0</v>
      </c>
      <c r="F7024" s="3" t="s">
        <v>20161</v>
      </c>
      <c r="G7024" s="3">
        <v>0.0</v>
      </c>
      <c r="H7024" s="3">
        <v>0.0</v>
      </c>
      <c r="I7024" s="3" t="s">
        <v>13</v>
      </c>
      <c r="J7024" s="3" t="s">
        <v>20162</v>
      </c>
      <c r="K7024" s="3" t="s">
        <v>15</v>
      </c>
      <c r="L7024" s="3" t="str">
        <f>IFERROR(__xludf.DUMMYFUNCTION("GOOGLETRANSLATE(F7024,""id"",""en"")"),"Argentina topic champion is still very warm until today huft")</f>
        <v>Argentina topic champion is still very warm until today huft</v>
      </c>
    </row>
    <row r="7025" ht="15.75" customHeight="1">
      <c r="A7025" s="1">
        <v>8230.0</v>
      </c>
      <c r="B7025" s="3" t="s">
        <v>20163</v>
      </c>
      <c r="C7025" s="3">
        <v>0.0</v>
      </c>
      <c r="D7025" s="3">
        <v>0.0</v>
      </c>
      <c r="E7025" s="3">
        <v>0.0</v>
      </c>
      <c r="F7025" s="3" t="s">
        <v>20164</v>
      </c>
      <c r="G7025" s="3">
        <v>0.0</v>
      </c>
      <c r="H7025" s="3">
        <v>0.0</v>
      </c>
      <c r="I7025" s="3" t="s">
        <v>13</v>
      </c>
      <c r="J7025" s="3" t="s">
        <v>20165</v>
      </c>
      <c r="K7025" s="3" t="s">
        <v>71</v>
      </c>
      <c r="L7025" s="3" t="str">
        <f>IFERROR(__xludf.DUMMYFUNCTION("GOOGLETRANSLATE(F7025,""id"",""en"")"),"Why is the Argentina Negata MJD the world of football world champion because the president is Pakde Jokowi such as it makes sense")</f>
        <v>Why is the Argentina Negata MJD the world of football world champion because the president is Pakde Jokowi such as it makes sense</v>
      </c>
    </row>
    <row r="7026" ht="15.75" customHeight="1">
      <c r="A7026" s="1">
        <v>8231.0</v>
      </c>
      <c r="B7026" s="3" t="s">
        <v>20166</v>
      </c>
      <c r="C7026" s="3">
        <v>1.0</v>
      </c>
      <c r="D7026" s="3">
        <v>0.0</v>
      </c>
      <c r="E7026" s="3">
        <v>0.0</v>
      </c>
      <c r="F7026" s="3" t="s">
        <v>20167</v>
      </c>
      <c r="G7026" s="3">
        <v>0.0</v>
      </c>
      <c r="H7026" s="3">
        <v>0.0</v>
      </c>
      <c r="I7026" s="3" t="s">
        <v>13</v>
      </c>
      <c r="J7026" s="3" t="s">
        <v>20168</v>
      </c>
      <c r="K7026" s="3" t="s">
        <v>19</v>
      </c>
      <c r="L7026" s="3" t="str">
        <f>IFERROR(__xludf.DUMMYFUNCTION("GOOGLETRANSLATE(F7026,""id"",""en"")"),"the first time in the history of chatting at length with Kang Gojek the topic of Argentina Champion")</f>
        <v>the first time in the history of chatting at length with Kang Gojek the topic of Argentina Champion</v>
      </c>
    </row>
    <row r="7027" ht="15.75" customHeight="1">
      <c r="A7027" s="1">
        <v>8232.0</v>
      </c>
      <c r="B7027" s="3" t="s">
        <v>20169</v>
      </c>
      <c r="C7027" s="3">
        <v>0.0</v>
      </c>
      <c r="D7027" s="3">
        <v>0.0</v>
      </c>
      <c r="E7027" s="3">
        <v>0.0</v>
      </c>
      <c r="F7027" s="3" t="s">
        <v>20170</v>
      </c>
      <c r="G7027" s="3">
        <v>0.0</v>
      </c>
      <c r="H7027" s="3">
        <v>0.0</v>
      </c>
      <c r="I7027" s="3" t="s">
        <v>13</v>
      </c>
      <c r="J7027" s="3" t="s">
        <v>20171</v>
      </c>
      <c r="K7027" s="3" t="s">
        <v>657</v>
      </c>
      <c r="L7027" s="3" t="str">
        <f>IFERROR(__xludf.DUMMYFUNCTION("GOOGLETRANSLATE(F7027,""id"",""en"")"),"The Argentine government helped the national team champion world cup to relieve public unrest due to inflation at least until the next day")</f>
        <v>The Argentine government helped the national team champion world cup to relieve public unrest due to inflation at least until the next day</v>
      </c>
    </row>
    <row r="7028" ht="15.75" customHeight="1">
      <c r="A7028" s="1">
        <v>8233.0</v>
      </c>
      <c r="B7028" s="3" t="s">
        <v>20172</v>
      </c>
      <c r="C7028" s="3">
        <v>1.0</v>
      </c>
      <c r="D7028" s="3">
        <v>0.0</v>
      </c>
      <c r="E7028" s="3">
        <v>0.0</v>
      </c>
      <c r="F7028" s="3" t="s">
        <v>20173</v>
      </c>
      <c r="G7028" s="3">
        <v>0.7</v>
      </c>
      <c r="H7028" s="3">
        <v>0.1</v>
      </c>
      <c r="I7028" s="3" t="s">
        <v>48</v>
      </c>
      <c r="J7028" s="3" t="s">
        <v>20174</v>
      </c>
      <c r="K7028" s="3" t="s">
        <v>633</v>
      </c>
      <c r="L7028" s="3" t="str">
        <f>IFERROR(__xludf.DUMMYFUNCTION("GOOGLETRANSLATE(F7028,""id"",""en"")"),"Glad Argentina Won The Cup Least Puts Messi Peace Crazy Friend's Friend He already has no national team and the club he used to have been a champion.")</f>
        <v>Glad Argentina Won The Cup Least Puts Messi Peace Crazy Friend's Friend He already has no national team and the club he used to have been a champion.</v>
      </c>
    </row>
    <row r="7029" ht="15.75" customHeight="1">
      <c r="A7029" s="1">
        <v>8234.0</v>
      </c>
      <c r="B7029" s="3" t="s">
        <v>20175</v>
      </c>
      <c r="C7029" s="3">
        <v>0.0</v>
      </c>
      <c r="D7029" s="3">
        <v>0.0</v>
      </c>
      <c r="E7029" s="3">
        <v>0.0</v>
      </c>
      <c r="F7029" s="3" t="s">
        <v>20176</v>
      </c>
      <c r="G7029" s="3">
        <v>0.0</v>
      </c>
      <c r="H7029" s="3">
        <v>0.0</v>
      </c>
      <c r="I7029" s="3" t="s">
        <v>13</v>
      </c>
      <c r="J7029" s="3" t="s">
        <v>20177</v>
      </c>
      <c r="K7029" s="3" t="s">
        <v>50</v>
      </c>
      <c r="L7029" s="3" t="str">
        <f>IFERROR(__xludf.DUMMYFUNCTION("GOOGLETRANSLATE(F7029,""id"",""en"")"),"Argentina DPR Speaker has made twibon congratulations and successful champions of the pildun not yet")</f>
        <v>Argentina DPR Speaker has made twibon congratulations and successful champions of the pildun not yet</v>
      </c>
    </row>
    <row r="7030" ht="15.75" customHeight="1">
      <c r="A7030" s="1">
        <v>8235.0</v>
      </c>
      <c r="B7030" s="3" t="s">
        <v>20178</v>
      </c>
      <c r="C7030" s="3">
        <v>0.0</v>
      </c>
      <c r="D7030" s="3">
        <v>0.0</v>
      </c>
      <c r="E7030" s="3">
        <v>0.0</v>
      </c>
      <c r="F7030" s="3" t="s">
        <v>20179</v>
      </c>
      <c r="G7030" s="3">
        <v>0.0</v>
      </c>
      <c r="H7030" s="3">
        <v>0.0</v>
      </c>
      <c r="I7030" s="3" t="s">
        <v>13</v>
      </c>
      <c r="J7030" s="3" t="s">
        <v>20180</v>
      </c>
      <c r="K7030" s="3" t="s">
        <v>699</v>
      </c>
      <c r="L7030" s="3" t="str">
        <f>IFERROR(__xludf.DUMMYFUNCTION("GOOGLETRANSLATE(F7030,""id"",""en"")"),"This is a person whose jackets like Ibuk Ibuk yaa pretentious to take the hey aguero Argentina champion cup because of early retirement")</f>
        <v>This is a person whose jackets like Ibuk Ibuk yaa pretentious to take the hey aguero Argentina champion cup because of early retirement</v>
      </c>
    </row>
    <row r="7031" ht="15.75" customHeight="1">
      <c r="A7031" s="1">
        <v>8236.0</v>
      </c>
      <c r="B7031" s="3" t="s">
        <v>20181</v>
      </c>
      <c r="C7031" s="3">
        <v>0.0</v>
      </c>
      <c r="D7031" s="3">
        <v>0.0</v>
      </c>
      <c r="E7031" s="3">
        <v>4.0</v>
      </c>
      <c r="F7031" s="3" t="s">
        <v>20182</v>
      </c>
      <c r="G7031" s="3">
        <v>0.0</v>
      </c>
      <c r="H7031" s="3">
        <v>0.0</v>
      </c>
      <c r="I7031" s="3" t="s">
        <v>13</v>
      </c>
      <c r="J7031" s="3" t="s">
        <v>20183</v>
      </c>
      <c r="K7031" s="3" t="s">
        <v>15</v>
      </c>
      <c r="L7031" s="3" t="str">
        <f>IFERROR(__xludf.DUMMYFUNCTION("GOOGLETRANSLATE(F7031,""id"",""en"")"),"calm Portugal still in the heart Bang even though Argentina was the champion")</f>
        <v>calm Portugal still in the heart Bang even though Argentina was the champion</v>
      </c>
    </row>
    <row r="7032" ht="15.75" customHeight="1">
      <c r="A7032" s="1">
        <v>8237.0</v>
      </c>
      <c r="B7032" s="3" t="s">
        <v>20184</v>
      </c>
      <c r="C7032" s="3">
        <v>0.0</v>
      </c>
      <c r="D7032" s="3">
        <v>0.0</v>
      </c>
      <c r="E7032" s="3">
        <v>0.0</v>
      </c>
      <c r="F7032" s="3" t="s">
        <v>20185</v>
      </c>
      <c r="G7032" s="3">
        <v>0.0</v>
      </c>
      <c r="H7032" s="3">
        <v>0.0</v>
      </c>
      <c r="I7032" s="3" t="s">
        <v>13</v>
      </c>
      <c r="J7032" s="3" t="s">
        <v>20186</v>
      </c>
      <c r="K7032" s="3" t="s">
        <v>1097</v>
      </c>
      <c r="L7032" s="3" t="str">
        <f>IFERROR(__xludf.DUMMYFUNCTION("GOOGLETRANSLATE(F7032,""id"",""en"")"),"Why is Argentina Pilduun champion because if my heart is only a winner wleowleowleo")</f>
        <v>Why is Argentina Pilduun champion because if my heart is only a winner wleowleowleo</v>
      </c>
    </row>
    <row r="7033" ht="15.75" customHeight="1">
      <c r="A7033" s="1">
        <v>8238.0</v>
      </c>
      <c r="B7033" s="3" t="s">
        <v>20187</v>
      </c>
      <c r="C7033" s="3">
        <v>0.0</v>
      </c>
      <c r="D7033" s="3">
        <v>0.0</v>
      </c>
      <c r="E7033" s="3">
        <v>1.0</v>
      </c>
      <c r="F7033" s="3" t="s">
        <v>20188</v>
      </c>
      <c r="G7033" s="3">
        <v>0.0</v>
      </c>
      <c r="H7033" s="3">
        <v>0.0</v>
      </c>
      <c r="I7033" s="3" t="s">
        <v>13</v>
      </c>
      <c r="J7033" s="3" t="s">
        <v>20189</v>
      </c>
      <c r="K7033" s="3" t="s">
        <v>273</v>
      </c>
      <c r="L7033" s="3" t="str">
        <f>IFERROR(__xludf.DUMMYFUNCTION("GOOGLETRANSLATE(F7033,""id"",""en"")"),"Waah finally Argentina won France lost to me with Argentina the soccer player is good at all that has always been the champion and the world cup of Messi and others is cool")</f>
        <v>Waah finally Argentina won France lost to me with Argentina the soccer player is good at all that has always been the champion and the world cup of Messi and others is cool</v>
      </c>
    </row>
    <row r="7034" ht="15.75" customHeight="1">
      <c r="A7034" s="1">
        <v>8239.0</v>
      </c>
      <c r="B7034" s="3" t="s">
        <v>20190</v>
      </c>
      <c r="C7034" s="3">
        <v>1.0</v>
      </c>
      <c r="D7034" s="3">
        <v>0.0</v>
      </c>
      <c r="E7034" s="3">
        <v>1.0</v>
      </c>
      <c r="F7034" s="3" t="s">
        <v>20191</v>
      </c>
      <c r="G7034" s="3">
        <v>0.0</v>
      </c>
      <c r="H7034" s="3">
        <v>0.0</v>
      </c>
      <c r="I7034" s="3" t="s">
        <v>13</v>
      </c>
      <c r="J7034" s="3" t="s">
        <v>20192</v>
      </c>
      <c r="K7034" s="3" t="s">
        <v>1045</v>
      </c>
      <c r="L7034" s="3" t="str">
        <f>IFERROR(__xludf.DUMMYFUNCTION("GOOGLETRANSLATE(F7034,""id"",""en"")"),"What's wrong with he is proud of his country champion, he legend of Argentine football must retire early because he's a lot of illness to the Argentine national team in Pilduun Qatar, he believes that the Argentine people are proud")</f>
        <v>What's wrong with he is proud of his country champion, he legend of Argentine football must retire early because he's a lot of illness to the Argentine national team in Pilduun Qatar, he believes that the Argentine people are proud</v>
      </c>
    </row>
    <row r="7035" ht="15.75" customHeight="1">
      <c r="A7035" s="1">
        <v>8240.0</v>
      </c>
      <c r="B7035" s="3" t="s">
        <v>20193</v>
      </c>
      <c r="C7035" s="3">
        <v>0.0</v>
      </c>
      <c r="D7035" s="3">
        <v>0.0</v>
      </c>
      <c r="E7035" s="3">
        <v>1.0</v>
      </c>
      <c r="F7035" s="3" t="s">
        <v>20194</v>
      </c>
      <c r="G7035" s="3">
        <v>0.0</v>
      </c>
      <c r="H7035" s="3">
        <v>0.0</v>
      </c>
      <c r="I7035" s="3" t="s">
        <v>13</v>
      </c>
      <c r="J7035" s="3" t="s">
        <v>20195</v>
      </c>
      <c r="K7035" s="3" t="s">
        <v>1854</v>
      </c>
      <c r="L7035" s="3" t="str">
        <f>IFERROR(__xludf.DUMMYFUNCTION("GOOGLETRANSLATE(F7035,""id"",""en"")"),"Butterfly Effect The two photos below are one of the concrete proofs that the butterfly effect is true that we can indirectly assume that it")</f>
        <v>Butterfly Effect The two photos below are one of the concrete proofs that the butterfly effect is true that we can indirectly assume that it</v>
      </c>
    </row>
    <row r="7036" ht="15.75" customHeight="1">
      <c r="A7036" s="1">
        <v>8241.0</v>
      </c>
      <c r="B7036" s="3" t="s">
        <v>20196</v>
      </c>
      <c r="C7036" s="3">
        <v>0.0</v>
      </c>
      <c r="D7036" s="3">
        <v>0.0</v>
      </c>
      <c r="E7036" s="3">
        <v>0.0</v>
      </c>
      <c r="F7036" s="3" t="s">
        <v>20197</v>
      </c>
      <c r="G7036" s="3">
        <v>0.0</v>
      </c>
      <c r="H7036" s="3">
        <v>0.0</v>
      </c>
      <c r="I7036" s="3" t="s">
        <v>13</v>
      </c>
      <c r="J7036" s="3" t="s">
        <v>20198</v>
      </c>
      <c r="K7036" s="3" t="s">
        <v>520</v>
      </c>
      <c r="L7036" s="3" t="str">
        <f>IFERROR(__xludf.DUMMYFUNCTION("GOOGLETRANSLATE(F7036,""id"",""en"")"),"Indonesian Best Digital Wallet Two Three Football Happy Argentina World Cup Champion Don't Forget to Check the Best Digital Wallet")</f>
        <v>Indonesian Best Digital Wallet Two Three Football Happy Argentina World Cup Champion Don't Forget to Check the Best Digital Wallet</v>
      </c>
    </row>
    <row r="7037" ht="15.75" customHeight="1">
      <c r="A7037" s="1">
        <v>8242.0</v>
      </c>
      <c r="B7037" s="3" t="s">
        <v>20199</v>
      </c>
      <c r="C7037" s="3">
        <v>1.0</v>
      </c>
      <c r="D7037" s="3">
        <v>0.0</v>
      </c>
      <c r="E7037" s="3">
        <v>6.0</v>
      </c>
      <c r="F7037" s="3" t="s">
        <v>20200</v>
      </c>
      <c r="G7037" s="3">
        <v>0.0</v>
      </c>
      <c r="H7037" s="3">
        <v>0.0</v>
      </c>
      <c r="I7037" s="3" t="s">
        <v>13</v>
      </c>
      <c r="J7037" s="3" t="s">
        <v>20201</v>
      </c>
      <c r="K7037" s="3" t="s">
        <v>1518</v>
      </c>
      <c r="L7037" s="3" t="str">
        <f>IFERROR(__xludf.DUMMYFUNCTION("GOOGLETRANSLATE(F7037,""id"",""en"")"),"Mlyd Diary Cycling habits can grow in my opinion more suitable for close range activities if applied directly by Jakarta workers, for example, having to commute to dozens of definitely just so")</f>
        <v>Mlyd Diary Cycling habits can grow in my opinion more suitable for close range activities if applied directly by Jakarta workers, for example, having to commute to dozens of definitely just so</v>
      </c>
    </row>
    <row r="7038" ht="15.75" customHeight="1">
      <c r="A7038" s="1">
        <v>8243.0</v>
      </c>
      <c r="B7038" s="3" t="s">
        <v>20202</v>
      </c>
      <c r="C7038" s="3">
        <v>0.0</v>
      </c>
      <c r="D7038" s="3">
        <v>0.0</v>
      </c>
      <c r="E7038" s="3">
        <v>0.0</v>
      </c>
      <c r="F7038" s="3" t="s">
        <v>20203</v>
      </c>
      <c r="G7038" s="3">
        <v>0.0</v>
      </c>
      <c r="H7038" s="3">
        <v>0.0</v>
      </c>
      <c r="I7038" s="3" t="s">
        <v>13</v>
      </c>
      <c r="J7038" s="3" t="s">
        <v>20204</v>
      </c>
      <c r="K7038" s="3" t="s">
        <v>633</v>
      </c>
      <c r="L7038" s="3" t="str">
        <f>IFERROR(__xludf.DUMMYFUNCTION("GOOGLETRANSLATE(F7038,""id"",""en"")"),"If the chatter of his friend's husband, the issue of Argentina Messi is set to champion the pildun, maybe there is a true because the club overshadowing Messi has a kluarga thani qatar sports investment")</f>
        <v>If the chatter of his friend's husband, the issue of Argentina Messi is set to champion the pildun, maybe there is a true because the club overshadowing Messi has a kluarga thani qatar sports investment</v>
      </c>
    </row>
    <row r="7039" ht="15.75" customHeight="1">
      <c r="A7039" s="1">
        <v>8244.0</v>
      </c>
      <c r="B7039" s="3" t="s">
        <v>20205</v>
      </c>
      <c r="C7039" s="3">
        <v>0.0</v>
      </c>
      <c r="D7039" s="3">
        <v>0.0</v>
      </c>
      <c r="E7039" s="3">
        <v>0.0</v>
      </c>
      <c r="F7039" s="3" t="s">
        <v>20206</v>
      </c>
      <c r="G7039" s="3">
        <v>0.0</v>
      </c>
      <c r="H7039" s="3">
        <v>0.0</v>
      </c>
      <c r="I7039" s="3" t="s">
        <v>13</v>
      </c>
      <c r="J7039" s="3" t="s">
        <v>20207</v>
      </c>
      <c r="K7039" s="3" t="s">
        <v>433</v>
      </c>
      <c r="L7039" s="3" t="str">
        <f>IFERROR(__xludf.DUMMYFUNCTION("GOOGLETRANSLATE(F7039,""id"",""en"")"),"Rio Janeiro is Brazil's celebration of the Argentina Buenos Agentine championship.")</f>
        <v>Rio Janeiro is Brazil's celebration of the Argentina Buenos Agentine championship.</v>
      </c>
    </row>
    <row r="7040" ht="15.75" customHeight="1">
      <c r="A7040" s="1">
        <v>8245.0</v>
      </c>
      <c r="B7040" s="3" t="s">
        <v>20208</v>
      </c>
      <c r="C7040" s="3">
        <v>0.0</v>
      </c>
      <c r="D7040" s="3">
        <v>0.0</v>
      </c>
      <c r="E7040" s="3">
        <v>0.0</v>
      </c>
      <c r="F7040" s="3" t="s">
        <v>20209</v>
      </c>
      <c r="G7040" s="3">
        <v>0.3333333333333333</v>
      </c>
      <c r="H7040" s="3">
        <v>0.1666666666666667</v>
      </c>
      <c r="I7040" s="3" t="s">
        <v>48</v>
      </c>
      <c r="J7040" s="3" t="s">
        <v>20210</v>
      </c>
      <c r="K7040" s="3" t="s">
        <v>699</v>
      </c>
      <c r="L7040" s="3" t="str">
        <f>IFERROR(__xludf.DUMMYFUNCTION("GOOGLETRANSLATE(F7040,""id"",""en"")"),"if yesterday Argentina failed to win the same championship with Messi already played out instead of the champion once the champion was the forgiveness of his supporters")</f>
        <v>if yesterday Argentina failed to win the same championship with Messi already played out instead of the champion once the champion was the forgiveness of his supporters</v>
      </c>
    </row>
    <row r="7041" ht="15.75" customHeight="1">
      <c r="A7041" s="1">
        <v>8246.0</v>
      </c>
      <c r="B7041" s="3" t="s">
        <v>20211</v>
      </c>
      <c r="C7041" s="3">
        <v>0.0</v>
      </c>
      <c r="D7041" s="3">
        <v>0.0</v>
      </c>
      <c r="E7041" s="3">
        <v>3.0</v>
      </c>
      <c r="F7041" s="3" t="s">
        <v>20212</v>
      </c>
      <c r="G7041" s="3">
        <v>0.0</v>
      </c>
      <c r="H7041" s="3">
        <v>0.0</v>
      </c>
      <c r="I7041" s="3" t="s">
        <v>13</v>
      </c>
      <c r="J7041" s="3" t="s">
        <v>20213</v>
      </c>
      <c r="K7041" s="3" t="s">
        <v>31</v>
      </c>
      <c r="L7041" s="3" t="str">
        <f>IFERROR(__xludf.DUMMYFUNCTION("GOOGLETRANSLATE(F7041,""id"",""en"")"),"Argentina won the World Cup")</f>
        <v>Argentina won the World Cup</v>
      </c>
    </row>
    <row r="7042" ht="15.75" customHeight="1">
      <c r="A7042" s="1">
        <v>8247.0</v>
      </c>
      <c r="B7042" s="3" t="s">
        <v>20214</v>
      </c>
      <c r="C7042" s="3">
        <v>0.0</v>
      </c>
      <c r="D7042" s="3">
        <v>0.0</v>
      </c>
      <c r="E7042" s="3">
        <v>0.0</v>
      </c>
      <c r="F7042" s="3" t="s">
        <v>20215</v>
      </c>
      <c r="G7042" s="3">
        <v>0.0</v>
      </c>
      <c r="H7042" s="3">
        <v>0.0</v>
      </c>
      <c r="I7042" s="3" t="s">
        <v>13</v>
      </c>
      <c r="J7042" s="3" t="s">
        <v>20216</v>
      </c>
      <c r="K7042" s="3" t="s">
        <v>41</v>
      </c>
      <c r="L7042" s="3" t="str">
        <f>IFERROR(__xludf.DUMMYFUNCTION("GOOGLETRANSLATE(F7042,""id"",""en"")"),"Argentina Champion Male Parubaya Polman Taun Nazar Walking")</f>
        <v>Argentina Champion Male Parubaya Polman Taun Nazar Walking</v>
      </c>
    </row>
    <row r="7043" ht="15.75" customHeight="1">
      <c r="A7043" s="1">
        <v>8248.0</v>
      </c>
      <c r="B7043" s="3" t="s">
        <v>20217</v>
      </c>
      <c r="C7043" s="3">
        <v>0.0</v>
      </c>
      <c r="D7043" s="3">
        <v>0.0</v>
      </c>
      <c r="E7043" s="3">
        <v>1.0</v>
      </c>
      <c r="F7043" s="3" t="s">
        <v>20218</v>
      </c>
      <c r="G7043" s="3">
        <v>0.0</v>
      </c>
      <c r="H7043" s="3">
        <v>0.0</v>
      </c>
      <c r="I7043" s="3" t="s">
        <v>13</v>
      </c>
      <c r="J7043" s="3" t="s">
        <v>20219</v>
      </c>
      <c r="K7043" s="3" t="s">
        <v>131</v>
      </c>
      <c r="L7043" s="3" t="str">
        <f>IFERROR(__xludf.DUMMYFUNCTION("GOOGLETRANSLATE(F7043,""id"",""en"")"),"Yesterday Saudi Arabia was a national holiday when he defeated Argentina guessing who now got the Argentine national holiday when the World Cup champion was on vacation and partying")</f>
        <v>Yesterday Saudi Arabia was a national holiday when he defeated Argentina guessing who now got the Argentine national holiday when the World Cup champion was on vacation and partying</v>
      </c>
    </row>
    <row r="7044" ht="15.75" customHeight="1">
      <c r="A7044" s="1">
        <v>8249.0</v>
      </c>
      <c r="B7044" s="3" t="s">
        <v>20220</v>
      </c>
      <c r="C7044" s="3">
        <v>1.0</v>
      </c>
      <c r="D7044" s="3">
        <v>0.0</v>
      </c>
      <c r="E7044" s="3">
        <v>1.0</v>
      </c>
      <c r="F7044" s="3" t="s">
        <v>20221</v>
      </c>
      <c r="G7044" s="3">
        <v>0.0</v>
      </c>
      <c r="H7044" s="3">
        <v>0.0</v>
      </c>
      <c r="I7044" s="3" t="s">
        <v>13</v>
      </c>
      <c r="J7044" s="3" t="s">
        <v>20222</v>
      </c>
      <c r="K7044" s="3" t="s">
        <v>374</v>
      </c>
      <c r="L7044" s="3" t="str">
        <f>IFERROR(__xludf.DUMMYFUNCTION("GOOGLETRANSLATE(F7044,""id"",""en"")"),"I just read the title of the title like this Argentina champions of the Indonesian World Cup when the problem is the first title of Argentina, the Copa America that year alone, the Youth Pledge has not been formed Naar Republiek Indonesia has not been wri"&amp;"tten, they have champions")</f>
        <v>I just read the title of the title like this Argentina champions of the Indonesian World Cup when the problem is the first title of Argentina, the Copa America that year alone, the Youth Pledge has not been formed Naar Republiek Indonesia has not been written, they have champions</v>
      </c>
    </row>
    <row r="7045" ht="15.75" customHeight="1">
      <c r="A7045" s="1">
        <v>8250.0</v>
      </c>
      <c r="B7045" s="3" t="s">
        <v>20223</v>
      </c>
      <c r="C7045" s="3">
        <v>0.0</v>
      </c>
      <c r="D7045" s="3">
        <v>0.0</v>
      </c>
      <c r="E7045" s="3">
        <v>0.0</v>
      </c>
      <c r="F7045" s="3" t="s">
        <v>20224</v>
      </c>
      <c r="G7045" s="3">
        <v>0.0</v>
      </c>
      <c r="H7045" s="3">
        <v>0.0</v>
      </c>
      <c r="I7045" s="3" t="s">
        <v>13</v>
      </c>
      <c r="J7045" s="3" t="s">
        <v>20225</v>
      </c>
      <c r="K7045" s="3" t="s">
        <v>192</v>
      </c>
      <c r="L7045" s="3" t="str">
        <f>IFERROR(__xludf.DUMMYFUNCTION("GOOGLETRANSLATE(F7045,""id"",""en"")"),"Messi Argentina is also helping with colleagues who believe she is all out so playing for Messi world champion while Portugal clearly Cristiano lost power since making the podcast look starting to not be trusted especially with bru")</f>
        <v>Messi Argentina is also helping with colleagues who believe she is all out so playing for Messi world champion while Portugal clearly Cristiano lost power since making the podcast look starting to not be trusted especially with bru</v>
      </c>
    </row>
    <row r="7046" ht="15.75" customHeight="1">
      <c r="A7046" s="1">
        <v>8251.0</v>
      </c>
      <c r="B7046" s="3" t="s">
        <v>20226</v>
      </c>
      <c r="C7046" s="3">
        <v>1.0</v>
      </c>
      <c r="D7046" s="3">
        <v>0.0</v>
      </c>
      <c r="E7046" s="3">
        <v>0.0</v>
      </c>
      <c r="F7046" s="3" t="s">
        <v>20227</v>
      </c>
      <c r="G7046" s="3">
        <v>0.6</v>
      </c>
      <c r="H7046" s="3">
        <v>0.1</v>
      </c>
      <c r="I7046" s="3" t="s">
        <v>48</v>
      </c>
      <c r="J7046" s="3" t="s">
        <v>20228</v>
      </c>
      <c r="K7046" s="3" t="s">
        <v>20229</v>
      </c>
      <c r="L7046" s="3" t="str">
        <f>IFERROR(__xludf.DUMMYFUNCTION("GOOGLETRANSLATE(F7046,""id"",""en"")"),"Everyone already has their respective destiny so there is a term if the Benzema plays the final, the France will be the champion for me, if I can not, if the final is not injured.")</f>
        <v>Everyone already has their respective destiny so there is a term if the Benzema plays the final, the France will be the champion for me, if I can not, if the final is not injured.</v>
      </c>
    </row>
    <row r="7047" ht="15.75" customHeight="1">
      <c r="A7047" s="1">
        <v>8252.0</v>
      </c>
      <c r="B7047" s="3" t="s">
        <v>20230</v>
      </c>
      <c r="C7047" s="3">
        <v>1.0</v>
      </c>
      <c r="D7047" s="3">
        <v>0.0</v>
      </c>
      <c r="E7047" s="3">
        <v>0.0</v>
      </c>
      <c r="F7047" s="3" t="s">
        <v>20231</v>
      </c>
      <c r="G7047" s="3">
        <v>0.0</v>
      </c>
      <c r="H7047" s="3">
        <v>0.0</v>
      </c>
      <c r="I7047" s="3" t="s">
        <v>13</v>
      </c>
      <c r="J7047" s="3" t="s">
        <v>20232</v>
      </c>
      <c r="K7047" s="3" t="s">
        <v>644</v>
      </c>
      <c r="L7047" s="3" t="str">
        <f>IFERROR(__xludf.DUMMYFUNCTION("GOOGLETRANSLATE(F7047,""id"",""en"")"),"Argentina Champion Tumban Inflation")</f>
        <v>Argentina Champion Tumban Inflation</v>
      </c>
    </row>
    <row r="7048" ht="15.75" customHeight="1">
      <c r="A7048" s="1">
        <v>8253.0</v>
      </c>
      <c r="B7048" s="3" t="s">
        <v>20233</v>
      </c>
      <c r="C7048" s="3">
        <v>0.0</v>
      </c>
      <c r="D7048" s="3">
        <v>0.0</v>
      </c>
      <c r="E7048" s="3">
        <v>0.0</v>
      </c>
      <c r="F7048" s="3" t="s">
        <v>20234</v>
      </c>
      <c r="G7048" s="3">
        <v>0.0</v>
      </c>
      <c r="H7048" s="3">
        <v>0.0</v>
      </c>
      <c r="I7048" s="3" t="s">
        <v>13</v>
      </c>
      <c r="J7048" s="3" t="s">
        <v>20235</v>
      </c>
      <c r="K7048" s="3" t="s">
        <v>910</v>
      </c>
      <c r="L7048" s="3" t="str">
        <f>IFERROR(__xludf.DUMMYFUNCTION("GOOGLETRANSLATE(F7048,""id"",""en"")"),"only stupid people hate Argentina champion Settings your knees hollow brain not filled with donkey stupid donkey if you like the ball to need nton, nton, the cartoon sincan so the brains are rich in siro")</f>
        <v>only stupid people hate Argentina champion Settings your knees hollow brain not filled with donkey stupid donkey if you like the ball to need nton, nton, the cartoon sincan so the brains are rich in siro</v>
      </c>
    </row>
    <row r="7049" ht="15.75" customHeight="1">
      <c r="A7049" s="1">
        <v>8254.0</v>
      </c>
      <c r="B7049" s="3" t="s">
        <v>20236</v>
      </c>
      <c r="C7049" s="3">
        <v>0.0</v>
      </c>
      <c r="D7049" s="3">
        <v>0.0</v>
      </c>
      <c r="E7049" s="3">
        <v>0.0</v>
      </c>
      <c r="F7049" s="3" t="s">
        <v>20237</v>
      </c>
      <c r="G7049" s="3">
        <v>0.0</v>
      </c>
      <c r="H7049" s="3">
        <v>0.0</v>
      </c>
      <c r="I7049" s="3" t="s">
        <v>13</v>
      </c>
      <c r="J7049" s="3" t="s">
        <v>20238</v>
      </c>
      <c r="K7049" s="3" t="s">
        <v>19</v>
      </c>
      <c r="L7049" s="3" t="str">
        <f>IFERROR(__xludf.DUMMYFUNCTION("GOOGLETRANSLATE(F7049,""id"",""en"")"),"Save coins to buy Argentina pack too, but the reserves are not complete, fortunately, to be the champion yesterday")</f>
        <v>Save coins to buy Argentina pack too, but the reserves are not complete, fortunately, to be the champion yesterday</v>
      </c>
    </row>
    <row r="7050" ht="15.75" customHeight="1">
      <c r="A7050" s="1">
        <v>8255.0</v>
      </c>
      <c r="B7050" s="3" t="s">
        <v>20239</v>
      </c>
      <c r="C7050" s="3">
        <v>0.0</v>
      </c>
      <c r="D7050" s="3">
        <v>0.0</v>
      </c>
      <c r="E7050" s="3">
        <v>0.0</v>
      </c>
      <c r="F7050" s="3" t="s">
        <v>20240</v>
      </c>
      <c r="G7050" s="3">
        <v>0.825</v>
      </c>
      <c r="H7050" s="3">
        <v>-0.07500000000000001</v>
      </c>
      <c r="I7050" s="3" t="s">
        <v>179</v>
      </c>
      <c r="J7050" s="3" t="s">
        <v>20241</v>
      </c>
      <c r="K7050" s="3" t="s">
        <v>2117</v>
      </c>
      <c r="L7050" s="3" t="str">
        <f>IFERROR(__xludf.DUMMYFUNCTION("GOOGLETRANSLATE(F7050,""id"",""en"")"),"sad but true")</f>
        <v>sad but true</v>
      </c>
    </row>
    <row r="7051" ht="15.75" customHeight="1">
      <c r="A7051" s="1">
        <v>8256.0</v>
      </c>
      <c r="B7051" s="3" t="s">
        <v>20242</v>
      </c>
      <c r="C7051" s="3">
        <v>0.0</v>
      </c>
      <c r="D7051" s="3">
        <v>0.0</v>
      </c>
      <c r="E7051" s="3">
        <v>0.0</v>
      </c>
      <c r="F7051" s="3" t="s">
        <v>20243</v>
      </c>
      <c r="G7051" s="3">
        <v>0.0</v>
      </c>
      <c r="H7051" s="3">
        <v>0.0</v>
      </c>
      <c r="I7051" s="3" t="s">
        <v>13</v>
      </c>
      <c r="J7051" s="3" t="s">
        <v>20244</v>
      </c>
      <c r="K7051" s="3" t="s">
        <v>82</v>
      </c>
      <c r="L7051" s="3" t="str">
        <f>IFERROR(__xludf.DUMMYFUNCTION("GOOGLETRANSLATE(F7051,""id"",""en"")"),"Argentina Heroes who brought champions not only Lionel Messi")</f>
        <v>Argentina Heroes who brought champions not only Lionel Messi</v>
      </c>
    </row>
    <row r="7052" ht="15.75" customHeight="1">
      <c r="A7052" s="1">
        <v>8257.0</v>
      </c>
      <c r="B7052" s="3" t="s">
        <v>20245</v>
      </c>
      <c r="C7052" s="3">
        <v>0.0</v>
      </c>
      <c r="D7052" s="3">
        <v>0.0</v>
      </c>
      <c r="E7052" s="3">
        <v>0.0</v>
      </c>
      <c r="F7052" s="3" t="s">
        <v>20246</v>
      </c>
      <c r="G7052" s="3">
        <v>1.0</v>
      </c>
      <c r="H7052" s="3">
        <v>0.0</v>
      </c>
      <c r="I7052" s="3" t="s">
        <v>13</v>
      </c>
      <c r="J7052" s="3" t="s">
        <v>20247</v>
      </c>
      <c r="K7052" s="3" t="s">
        <v>266</v>
      </c>
      <c r="L7052" s="3" t="str">
        <f>IFERROR(__xludf.DUMMYFUNCTION("GOOGLETRANSLATE(F7052,""id"",""en"")"),"It is not his supporters a little leaning France outside that he heard the rumors of the quarter -finals of the Argentine champion seeing the final yesterday as if not sure that the number of goals to the goal and ended in a penalty drama like the Argenti"&amp;"na news was the champion")</f>
        <v>It is not his supporters a little leaning France outside that he heard the rumors of the quarter -finals of the Argentine champion seeing the final yesterday as if not sure that the number of goals to the goal and ended in a penalty drama like the Argentina news was the champion</v>
      </c>
    </row>
    <row r="7053" ht="15.75" customHeight="1">
      <c r="A7053" s="1">
        <v>8258.0</v>
      </c>
      <c r="B7053" s="3" t="s">
        <v>20248</v>
      </c>
      <c r="C7053" s="3">
        <v>0.0</v>
      </c>
      <c r="D7053" s="3">
        <v>0.0</v>
      </c>
      <c r="E7053" s="3">
        <v>0.0</v>
      </c>
      <c r="F7053" s="3" t="s">
        <v>20249</v>
      </c>
      <c r="G7053" s="3">
        <v>0.0</v>
      </c>
      <c r="H7053" s="3">
        <v>0.0</v>
      </c>
      <c r="I7053" s="3" t="s">
        <v>13</v>
      </c>
      <c r="J7053" s="3" t="s">
        <v>20250</v>
      </c>
      <c r="K7053" s="3" t="s">
        <v>584</v>
      </c>
      <c r="L7053" s="3" t="str">
        <f>IFERROR(__xludf.DUMMYFUNCTION("GOOGLETRANSLATE(F7053,""id"",""en"")"),"Buenos Aires a few hours ago spilled the people of the street celebrating the world champion had united the people split because of the vice president as well as President Cristina Fernandez Kirchner detained by Cristina was the progressive Argentina Lula"&amp;".")</f>
        <v>Buenos Aires a few hours ago spilled the people of the street celebrating the world champion had united the people split because of the vice president as well as President Cristina Fernandez Kirchner detained by Cristina was the progressive Argentina Lula.</v>
      </c>
    </row>
    <row r="7054" ht="15.75" customHeight="1">
      <c r="A7054" s="1">
        <v>8259.0</v>
      </c>
      <c r="B7054" s="3" t="s">
        <v>20251</v>
      </c>
      <c r="C7054" s="3">
        <v>1.0</v>
      </c>
      <c r="D7054" s="3">
        <v>3.0</v>
      </c>
      <c r="E7054" s="3">
        <v>9.0</v>
      </c>
      <c r="F7054" s="3" t="s">
        <v>20252</v>
      </c>
      <c r="G7054" s="3">
        <v>0.0</v>
      </c>
      <c r="H7054" s="3">
        <v>0.0</v>
      </c>
      <c r="I7054" s="3" t="s">
        <v>13</v>
      </c>
      <c r="J7054" s="3" t="s">
        <v>20253</v>
      </c>
      <c r="K7054" s="3" t="s">
        <v>491</v>
      </c>
      <c r="L7054" s="3" t="str">
        <f>IFERROR(__xludf.DUMMYFUNCTION("GOOGLETRANSLATE(F7054,""id"",""en"")"),"Lionel Messi is indeed no match World Cup not only bringing Argentina champion Messi also posted a record for the sake of record")</f>
        <v>Lionel Messi is indeed no match World Cup not only bringing Argentina champion Messi also posted a record for the sake of record</v>
      </c>
    </row>
    <row r="7055" ht="15.75" customHeight="1">
      <c r="A7055" s="1">
        <v>8260.0</v>
      </c>
      <c r="B7055" s="3" t="s">
        <v>20254</v>
      </c>
      <c r="C7055" s="3">
        <v>0.0</v>
      </c>
      <c r="D7055" s="3">
        <v>0.0</v>
      </c>
      <c r="E7055" s="3">
        <v>7.0</v>
      </c>
      <c r="F7055" s="3" t="s">
        <v>20252</v>
      </c>
      <c r="G7055" s="3">
        <v>0.0</v>
      </c>
      <c r="H7055" s="3">
        <v>0.0</v>
      </c>
      <c r="I7055" s="3" t="s">
        <v>13</v>
      </c>
      <c r="J7055" s="3" t="s">
        <v>20253</v>
      </c>
      <c r="K7055" s="3" t="s">
        <v>491</v>
      </c>
      <c r="L7055" s="3" t="str">
        <f>IFERROR(__xludf.DUMMYFUNCTION("GOOGLETRANSLATE(F7055,""id"",""en"")"),"Lionel Messi is indeed no match World Cup not only bringing Argentina champion Messi also posted a record for the sake of record")</f>
        <v>Lionel Messi is indeed no match World Cup not only bringing Argentina champion Messi also posted a record for the sake of record</v>
      </c>
    </row>
    <row r="7056" ht="15.75" customHeight="1">
      <c r="A7056" s="1">
        <v>8261.0</v>
      </c>
      <c r="B7056" s="3" t="s">
        <v>20255</v>
      </c>
      <c r="C7056" s="3">
        <v>3.0</v>
      </c>
      <c r="D7056" s="3">
        <v>0.0</v>
      </c>
      <c r="E7056" s="3">
        <v>17.0</v>
      </c>
      <c r="F7056" s="3" t="s">
        <v>20256</v>
      </c>
      <c r="G7056" s="3">
        <v>0.0</v>
      </c>
      <c r="H7056" s="3">
        <v>0.0</v>
      </c>
      <c r="I7056" s="3" t="s">
        <v>13</v>
      </c>
      <c r="J7056" s="3" t="s">
        <v>20257</v>
      </c>
      <c r="K7056" s="3" t="s">
        <v>510</v>
      </c>
      <c r="L7056" s="3" t="str">
        <f>IFERROR(__xludf.DUMMYFUNCTION("GOOGLETRANSLATE(F7056,""id"",""en"")"),"realized that starting in January the World Cup champion with Lionel Messi would be free to negotiate contracts with other clubs")</f>
        <v>realized that starting in January the World Cup champion with Lionel Messi would be free to negotiate contracts with other clubs</v>
      </c>
    </row>
    <row r="7057" ht="15.75" customHeight="1">
      <c r="A7057" s="1">
        <v>8262.0</v>
      </c>
      <c r="B7057" s="3" t="s">
        <v>20258</v>
      </c>
      <c r="C7057" s="3">
        <v>0.0</v>
      </c>
      <c r="D7057" s="3">
        <v>0.0</v>
      </c>
      <c r="E7057" s="3">
        <v>0.0</v>
      </c>
      <c r="F7057" s="3" t="s">
        <v>20259</v>
      </c>
      <c r="G7057" s="3">
        <v>0.0</v>
      </c>
      <c r="H7057" s="3">
        <v>0.0</v>
      </c>
      <c r="I7057" s="3" t="s">
        <v>13</v>
      </c>
      <c r="J7057" s="3" t="s">
        <v>20260</v>
      </c>
      <c r="K7057" s="3" t="s">
        <v>20261</v>
      </c>
      <c r="L7057" s="3" t="str">
        <f>IFERROR(__xludf.DUMMYFUNCTION("GOOGLETRANSLATE(F7057,""id"",""en"")"),"Argentina Champion Again Vamos Argentina")</f>
        <v>Argentina Champion Again Vamos Argentina</v>
      </c>
    </row>
    <row r="7058" ht="15.75" customHeight="1">
      <c r="A7058" s="1">
        <v>8263.0</v>
      </c>
      <c r="B7058" s="3" t="s">
        <v>20262</v>
      </c>
      <c r="C7058" s="3">
        <v>0.0</v>
      </c>
      <c r="D7058" s="3">
        <v>0.0</v>
      </c>
      <c r="E7058" s="3">
        <v>0.0</v>
      </c>
      <c r="F7058" s="3" t="s">
        <v>20263</v>
      </c>
      <c r="G7058" s="3">
        <v>0.0</v>
      </c>
      <c r="H7058" s="3">
        <v>0.0</v>
      </c>
      <c r="I7058" s="3" t="s">
        <v>13</v>
      </c>
      <c r="J7058" s="3" t="s">
        <v>20264</v>
      </c>
      <c r="K7058" s="3" t="s">
        <v>41</v>
      </c>
      <c r="L7058" s="3" t="str">
        <f>IFERROR(__xludf.DUMMYFUNCTION("GOOGLETRANSLATE(F7058,""id"",""en"")"),"Argentina Champion World Cup Tuah Paper Forecast Messi Room")</f>
        <v>Argentina Champion World Cup Tuah Paper Forecast Messi Room</v>
      </c>
    </row>
    <row r="7059" ht="15.75" customHeight="1">
      <c r="A7059" s="1">
        <v>8264.0</v>
      </c>
      <c r="B7059" s="3" t="s">
        <v>20265</v>
      </c>
      <c r="C7059" s="3">
        <v>0.0</v>
      </c>
      <c r="D7059" s="3">
        <v>0.0</v>
      </c>
      <c r="E7059" s="3">
        <v>0.0</v>
      </c>
      <c r="F7059" s="3" t="s">
        <v>20266</v>
      </c>
      <c r="G7059" s="3">
        <v>0.0</v>
      </c>
      <c r="H7059" s="3">
        <v>0.0</v>
      </c>
      <c r="I7059" s="3" t="s">
        <v>13</v>
      </c>
      <c r="J7059" s="3" t="s">
        <v>20267</v>
      </c>
      <c r="K7059" s="3" t="s">
        <v>2117</v>
      </c>
      <c r="L7059" s="3" t="str">
        <f>IFERROR(__xludf.DUMMYFUNCTION("GOOGLETRANSLATE(F7059,""id"",""en"")"),"Hooray Argentina Champion")</f>
        <v>Hooray Argentina Champion</v>
      </c>
    </row>
    <row r="7060" ht="15.75" customHeight="1">
      <c r="A7060" s="1">
        <v>8265.0</v>
      </c>
      <c r="B7060" s="3" t="s">
        <v>20268</v>
      </c>
      <c r="C7060" s="3">
        <v>1.0</v>
      </c>
      <c r="D7060" s="3">
        <v>1.0</v>
      </c>
      <c r="E7060" s="3">
        <v>4.0</v>
      </c>
      <c r="F7060" s="3" t="s">
        <v>20269</v>
      </c>
      <c r="G7060" s="3">
        <v>1.0</v>
      </c>
      <c r="H7060" s="3">
        <v>1.0</v>
      </c>
      <c r="I7060" s="3" t="s">
        <v>48</v>
      </c>
      <c r="J7060" s="3" t="s">
        <v>20270</v>
      </c>
      <c r="K7060" s="3" t="s">
        <v>75</v>
      </c>
      <c r="L7060" s="3" t="str">
        <f>IFERROR(__xludf.DUMMYFUNCTION("GOOGLETRANSLATE(F7060,""id"",""en"")"),"Argentina Champion World Cup The Greatest All Time Debate is Completed")</f>
        <v>Argentina Champion World Cup The Greatest All Time Debate is Completed</v>
      </c>
    </row>
    <row r="7061" ht="15.75" customHeight="1">
      <c r="A7061" s="1">
        <v>8266.0</v>
      </c>
      <c r="B7061" s="3" t="s">
        <v>20271</v>
      </c>
      <c r="C7061" s="3">
        <v>0.0</v>
      </c>
      <c r="D7061" s="3">
        <v>0.0</v>
      </c>
      <c r="E7061" s="3">
        <v>0.0</v>
      </c>
      <c r="F7061" s="3" t="s">
        <v>20272</v>
      </c>
      <c r="G7061" s="3">
        <v>0.0</v>
      </c>
      <c r="H7061" s="3">
        <v>0.0</v>
      </c>
      <c r="I7061" s="3" t="s">
        <v>13</v>
      </c>
      <c r="J7061" s="3" t="s">
        <v>20273</v>
      </c>
      <c r="K7061" s="3" t="s">
        <v>50</v>
      </c>
      <c r="L7061" s="3" t="str">
        <f>IFERROR(__xludf.DUMMYFUNCTION("GOOGLETRANSLATE(F7061,""id"",""en"")"),"All finalists have prepared the bus just to bother to receive Argentina champions hhhhh")</f>
        <v>All finalists have prepared the bus just to bother to receive Argentina champions hhhhh</v>
      </c>
    </row>
    <row r="7062" ht="15.75" customHeight="1">
      <c r="A7062" s="1">
        <v>8267.0</v>
      </c>
      <c r="B7062" s="3" t="s">
        <v>20274</v>
      </c>
      <c r="C7062" s="3">
        <v>0.0</v>
      </c>
      <c r="D7062" s="3">
        <v>0.0</v>
      </c>
      <c r="E7062" s="3">
        <v>0.0</v>
      </c>
      <c r="F7062" s="3" t="s">
        <v>20275</v>
      </c>
      <c r="G7062" s="3">
        <v>0.0</v>
      </c>
      <c r="H7062" s="3">
        <v>0.0</v>
      </c>
      <c r="I7062" s="3" t="s">
        <v>13</v>
      </c>
      <c r="J7062" s="3" t="s">
        <v>20276</v>
      </c>
      <c r="K7062" s="3" t="s">
        <v>75</v>
      </c>
      <c r="L7062" s="3" t="str">
        <f>IFERROR(__xludf.DUMMYFUNCTION("GOOGLETRANSLATE(F7062,""id"",""en"")"),"Moments of Argentine players celebrate the success of the World Cup championship with family")</f>
        <v>Moments of Argentine players celebrate the success of the World Cup championship with family</v>
      </c>
    </row>
    <row r="7063" ht="15.75" customHeight="1">
      <c r="A7063" s="1">
        <v>8268.0</v>
      </c>
      <c r="B7063" s="3" t="s">
        <v>20277</v>
      </c>
      <c r="C7063" s="3">
        <v>0.0</v>
      </c>
      <c r="D7063" s="3">
        <v>0.0</v>
      </c>
      <c r="E7063" s="3">
        <v>1.0</v>
      </c>
      <c r="F7063" s="3" t="s">
        <v>20278</v>
      </c>
      <c r="G7063" s="3">
        <v>0.0</v>
      </c>
      <c r="H7063" s="3">
        <v>0.0</v>
      </c>
      <c r="I7063" s="3" t="s">
        <v>13</v>
      </c>
      <c r="J7063" s="3" t="s">
        <v>20279</v>
      </c>
      <c r="K7063" s="3" t="s">
        <v>308</v>
      </c>
      <c r="L7063" s="3" t="str">
        <f>IFERROR(__xludf.DUMMYFUNCTION("GOOGLETRANSLATE(F7063,""id"",""en"")"),"yes it's true and right because it can beat the Argentine team only Saudi Arabia must be Saudi Arabia players feel proud to be able to beat Argentina the Qatar world champion")</f>
        <v>yes it's true and right because it can beat the Argentine team only Saudi Arabia must be Saudi Arabia players feel proud to be able to beat Argentina the Qatar world champion</v>
      </c>
    </row>
    <row r="7064" ht="15.75" customHeight="1">
      <c r="A7064" s="1">
        <v>8269.0</v>
      </c>
      <c r="B7064" s="3" t="s">
        <v>20280</v>
      </c>
      <c r="C7064" s="3">
        <v>0.0</v>
      </c>
      <c r="D7064" s="3">
        <v>0.0</v>
      </c>
      <c r="E7064" s="3">
        <v>0.0</v>
      </c>
      <c r="F7064" s="3" t="s">
        <v>20269</v>
      </c>
      <c r="G7064" s="3">
        <v>1.0</v>
      </c>
      <c r="H7064" s="3">
        <v>1.0</v>
      </c>
      <c r="I7064" s="3" t="s">
        <v>48</v>
      </c>
      <c r="J7064" s="3" t="s">
        <v>20270</v>
      </c>
      <c r="K7064" s="3" t="s">
        <v>75</v>
      </c>
      <c r="L7064" s="3" t="str">
        <f>IFERROR(__xludf.DUMMYFUNCTION("GOOGLETRANSLATE(F7064,""id"",""en"")"),"Argentina Champion World Cup The Greatest All Time Debate is Completed")</f>
        <v>Argentina Champion World Cup The Greatest All Time Debate is Completed</v>
      </c>
    </row>
    <row r="7065" ht="15.75" customHeight="1">
      <c r="A7065" s="1">
        <v>8270.0</v>
      </c>
      <c r="B7065" s="3" t="s">
        <v>20281</v>
      </c>
      <c r="C7065" s="3">
        <v>0.0</v>
      </c>
      <c r="D7065" s="3">
        <v>0.0</v>
      </c>
      <c r="E7065" s="3">
        <v>2.0</v>
      </c>
      <c r="F7065" s="3" t="s">
        <v>20282</v>
      </c>
      <c r="G7065" s="3">
        <v>0.0</v>
      </c>
      <c r="H7065" s="3">
        <v>0.0</v>
      </c>
      <c r="I7065" s="3" t="s">
        <v>13</v>
      </c>
      <c r="J7065" s="3" t="s">
        <v>20283</v>
      </c>
      <c r="K7065" s="3" t="s">
        <v>823</v>
      </c>
      <c r="L7065" s="3" t="str">
        <f>IFERROR(__xludf.DUMMYFUNCTION("GOOGLETRANSLATE(F7065,""id"",""en"")"),"Bang Fuad was wrong Argentina said that he succumbed to Saudi opponents to meet Brazil and even then, he won the group and met one chart of Brazil and if the Saudi opponent won it was clear that it was very clear")</f>
        <v>Bang Fuad was wrong Argentina said that he succumbed to Saudi opponents to meet Brazil and even then, he won the group and met one chart of Brazil and if the Saudi opponent won it was clear that it was very clear</v>
      </c>
    </row>
    <row r="7066" ht="15.75" customHeight="1">
      <c r="A7066" s="1">
        <v>8271.0</v>
      </c>
      <c r="B7066" s="3" t="s">
        <v>20284</v>
      </c>
      <c r="C7066" s="3">
        <v>0.0</v>
      </c>
      <c r="D7066" s="3">
        <v>0.0</v>
      </c>
      <c r="E7066" s="3">
        <v>0.0</v>
      </c>
      <c r="F7066" s="3" t="s">
        <v>20285</v>
      </c>
      <c r="G7066" s="3">
        <v>0.0</v>
      </c>
      <c r="H7066" s="3">
        <v>0.0</v>
      </c>
      <c r="I7066" s="3" t="s">
        <v>13</v>
      </c>
      <c r="J7066" s="3" t="s">
        <v>20286</v>
      </c>
      <c r="K7066" s="3" t="s">
        <v>82</v>
      </c>
      <c r="L7066" s="3" t="str">
        <f>IFERROR(__xludf.DUMMYFUNCTION("GOOGLETRANSLATE(F7066,""id"",""en"")"),"Argentina just like this, just imagine that Indonesia who won the World Cup")</f>
        <v>Argentina just like this, just imagine that Indonesia who won the World Cup</v>
      </c>
    </row>
    <row r="7067" ht="15.75" customHeight="1">
      <c r="A7067" s="1">
        <v>8272.0</v>
      </c>
      <c r="B7067" s="3" t="s">
        <v>20287</v>
      </c>
      <c r="C7067" s="3">
        <v>0.0</v>
      </c>
      <c r="D7067" s="3">
        <v>0.0</v>
      </c>
      <c r="E7067" s="3">
        <v>13.0</v>
      </c>
      <c r="F7067" s="3" t="s">
        <v>20288</v>
      </c>
      <c r="G7067" s="3">
        <v>0.0</v>
      </c>
      <c r="H7067" s="3">
        <v>0.0</v>
      </c>
      <c r="I7067" s="3" t="s">
        <v>13</v>
      </c>
      <c r="J7067" s="3" t="s">
        <v>20289</v>
      </c>
      <c r="K7067" s="3" t="s">
        <v>1045</v>
      </c>
      <c r="L7067" s="3" t="str">
        <f>IFERROR(__xludf.DUMMYFUNCTION("GOOGLETRANSLATE(F7067,""id"",""en"")"),"Yes, but there are also those who exchange somewhat when Mussolini sends Argentina's eyes to pull Luis Monti behind Italy Italia Monti is accommodated by Juventus and finally bring Italy in the world champion")</f>
        <v>Yes, but there are also those who exchange somewhat when Mussolini sends Argentina's eyes to pull Luis Monti behind Italy Italia Monti is accommodated by Juventus and finally bring Italy in the world champion</v>
      </c>
    </row>
    <row r="7068" ht="15.75" customHeight="1">
      <c r="A7068" s="1">
        <v>8273.0</v>
      </c>
      <c r="B7068" s="3" t="s">
        <v>20290</v>
      </c>
      <c r="C7068" s="3">
        <v>0.0</v>
      </c>
      <c r="D7068" s="3">
        <v>0.0</v>
      </c>
      <c r="E7068" s="3">
        <v>0.0</v>
      </c>
      <c r="F7068" s="3" t="s">
        <v>20291</v>
      </c>
      <c r="G7068" s="3">
        <v>0.0</v>
      </c>
      <c r="H7068" s="3">
        <v>0.0</v>
      </c>
      <c r="I7068" s="3" t="s">
        <v>13</v>
      </c>
      <c r="J7068" s="3" t="s">
        <v>20292</v>
      </c>
      <c r="K7068" s="3" t="s">
        <v>54</v>
      </c>
      <c r="L7068" s="3" t="str">
        <f>IFERROR(__xludf.DUMMYFUNCTION("GOOGLETRANSLATE(F7068,""id"",""en"")"),"Internet Explorer Hopefully Tonight Argentina Champion")</f>
        <v>Internet Explorer Hopefully Tonight Argentina Champion</v>
      </c>
    </row>
    <row r="7069" ht="15.75" customHeight="1">
      <c r="A7069" s="1">
        <v>8274.0</v>
      </c>
      <c r="B7069" s="3" t="s">
        <v>20293</v>
      </c>
      <c r="C7069" s="3">
        <v>0.0</v>
      </c>
      <c r="D7069" s="3">
        <v>0.0</v>
      </c>
      <c r="E7069" s="3">
        <v>0.0</v>
      </c>
      <c r="F7069" s="3" t="s">
        <v>20294</v>
      </c>
      <c r="G7069" s="3">
        <v>0.0</v>
      </c>
      <c r="H7069" s="3">
        <v>0.0</v>
      </c>
      <c r="I7069" s="3" t="s">
        <v>13</v>
      </c>
      <c r="J7069" s="3" t="s">
        <v>20295</v>
      </c>
      <c r="K7069" s="3" t="s">
        <v>54</v>
      </c>
      <c r="L7069" s="3" t="str">
        <f>IFERROR(__xludf.DUMMYFUNCTION("GOOGLETRANSLATE(F7069,""id"",""en"")"),"Hooray Argentina World Champion according to my prediction")</f>
        <v>Hooray Argentina World Champion according to my prediction</v>
      </c>
    </row>
    <row r="7070" ht="15.75" customHeight="1">
      <c r="A7070" s="1">
        <v>8275.0</v>
      </c>
      <c r="B7070" s="3" t="s">
        <v>20296</v>
      </c>
      <c r="C7070" s="3">
        <v>0.0</v>
      </c>
      <c r="D7070" s="3">
        <v>0.0</v>
      </c>
      <c r="E7070" s="3">
        <v>0.0</v>
      </c>
      <c r="F7070" s="3" t="s">
        <v>20297</v>
      </c>
      <c r="G7070" s="3">
        <v>0.0</v>
      </c>
      <c r="H7070" s="3">
        <v>0.0</v>
      </c>
      <c r="I7070" s="3" t="s">
        <v>13</v>
      </c>
      <c r="J7070" s="3" t="s">
        <v>20298</v>
      </c>
      <c r="K7070" s="3" t="s">
        <v>2117</v>
      </c>
      <c r="L7070" s="3" t="str">
        <f>IFERROR(__xludf.DUMMYFUNCTION("GOOGLETRANSLATE(F7070,""id"",""en"")"),"Argentina is lucky to be champions")</f>
        <v>Argentina is lucky to be champions</v>
      </c>
    </row>
    <row r="7071" ht="15.75" customHeight="1">
      <c r="A7071" s="1">
        <v>8276.0</v>
      </c>
      <c r="B7071" s="3" t="s">
        <v>20299</v>
      </c>
      <c r="C7071" s="3">
        <v>0.0</v>
      </c>
      <c r="D7071" s="3">
        <v>0.0</v>
      </c>
      <c r="E7071" s="3">
        <v>0.0</v>
      </c>
      <c r="F7071" s="3" t="s">
        <v>20300</v>
      </c>
      <c r="G7071" s="3">
        <v>0.0</v>
      </c>
      <c r="H7071" s="3">
        <v>0.0</v>
      </c>
      <c r="I7071" s="3" t="s">
        <v>13</v>
      </c>
      <c r="J7071" s="3" t="s">
        <v>20301</v>
      </c>
      <c r="K7071" s="3" t="s">
        <v>31</v>
      </c>
      <c r="L7071" s="3" t="str">
        <f>IFERROR(__xludf.DUMMYFUNCTION("GOOGLETRANSLATE(F7071,""id"",""en"")"),"Hey Argentina World Champion Mas")</f>
        <v>Hey Argentina World Champion Mas</v>
      </c>
    </row>
    <row r="7072" ht="15.75" customHeight="1">
      <c r="A7072" s="1">
        <v>8277.0</v>
      </c>
      <c r="B7072" s="3" t="s">
        <v>20302</v>
      </c>
      <c r="C7072" s="3">
        <v>2.0</v>
      </c>
      <c r="D7072" s="3">
        <v>1.0</v>
      </c>
      <c r="E7072" s="3">
        <v>22.0</v>
      </c>
      <c r="F7072" s="3" t="s">
        <v>20303</v>
      </c>
      <c r="G7072" s="3">
        <v>0.0</v>
      </c>
      <c r="H7072" s="3">
        <v>0.0</v>
      </c>
      <c r="I7072" s="3" t="s">
        <v>13</v>
      </c>
      <c r="J7072" s="3" t="s">
        <v>20304</v>
      </c>
      <c r="K7072" s="3" t="s">
        <v>50</v>
      </c>
      <c r="L7072" s="3" t="str">
        <f>IFERROR(__xludf.DUMMYFUNCTION("GOOGLETRANSLATE(F7072,""id"",""en"")"),"The Argentine people were so enthusiastic about welcoming their heroes who returned to bring the championship trophy")</f>
        <v>The Argentine people were so enthusiastic about welcoming their heroes who returned to bring the championship trophy</v>
      </c>
    </row>
    <row r="7073" ht="15.75" customHeight="1">
      <c r="A7073" s="1">
        <v>8278.0</v>
      </c>
      <c r="B7073" s="3" t="s">
        <v>20305</v>
      </c>
      <c r="C7073" s="3">
        <v>0.0</v>
      </c>
      <c r="D7073" s="3">
        <v>0.0</v>
      </c>
      <c r="E7073" s="3">
        <v>0.0</v>
      </c>
      <c r="F7073" s="3" t="s">
        <v>20306</v>
      </c>
      <c r="G7073" s="3">
        <v>0.0</v>
      </c>
      <c r="H7073" s="3">
        <v>0.0</v>
      </c>
      <c r="I7073" s="3" t="s">
        <v>13</v>
      </c>
      <c r="J7073" s="3" t="s">
        <v>20307</v>
      </c>
      <c r="K7073" s="3" t="s">
        <v>2117</v>
      </c>
      <c r="L7073" s="3" t="str">
        <f>IFERROR(__xludf.DUMMYFUNCTION("GOOGLETRANSLATE(F7073,""id"",""en"")"),"See Argentina Champion")</f>
        <v>See Argentina Champion</v>
      </c>
    </row>
    <row r="7074" ht="15.75" customHeight="1">
      <c r="A7074" s="1">
        <v>8279.0</v>
      </c>
      <c r="B7074" s="3" t="s">
        <v>20308</v>
      </c>
      <c r="C7074" s="3">
        <v>0.0</v>
      </c>
      <c r="D7074" s="3">
        <v>0.0</v>
      </c>
      <c r="E7074" s="3">
        <v>0.0</v>
      </c>
      <c r="F7074" s="3" t="s">
        <v>20309</v>
      </c>
      <c r="G7074" s="3">
        <v>0.0</v>
      </c>
      <c r="H7074" s="3">
        <v>0.0</v>
      </c>
      <c r="I7074" s="3" t="s">
        <v>13</v>
      </c>
      <c r="J7074" s="3" t="s">
        <v>20310</v>
      </c>
      <c r="K7074" s="3" t="s">
        <v>31</v>
      </c>
      <c r="L7074" s="3" t="str">
        <f>IFERROR(__xludf.DUMMYFUNCTION("GOOGLETRANSLATE(F7074,""id"",""en"")"),"Hooray Argentina Champion according to my prediction")</f>
        <v>Hooray Argentina Champion according to my prediction</v>
      </c>
    </row>
    <row r="7075" ht="15.75" customHeight="1">
      <c r="A7075" s="1">
        <v>8280.0</v>
      </c>
      <c r="B7075" s="3" t="s">
        <v>20311</v>
      </c>
      <c r="C7075" s="3">
        <v>0.0</v>
      </c>
      <c r="D7075" s="3">
        <v>0.0</v>
      </c>
      <c r="E7075" s="3">
        <v>5.0</v>
      </c>
      <c r="F7075" s="3" t="s">
        <v>20312</v>
      </c>
      <c r="G7075" s="3">
        <v>0.0</v>
      </c>
      <c r="H7075" s="3">
        <v>0.0</v>
      </c>
      <c r="I7075" s="3" t="s">
        <v>13</v>
      </c>
      <c r="J7075" s="3" t="s">
        <v>20313</v>
      </c>
      <c r="K7075" s="3" t="s">
        <v>215</v>
      </c>
      <c r="L7075" s="3" t="str">
        <f>IFERROR(__xludf.DUMMYFUNCTION("GOOGLETRANSLATE(F7075,""id"",""en"")"),"At first I intended to be a joke whose perspective was the chairman of PSSI joined in holding the championship trophy so I chose the phrase of the Argentine PSSA soccer union instead of AFA to be relate to the word PSSI so information")</f>
        <v>At first I intended to be a joke whose perspective was the chairman of PSSI joined in holding the championship trophy so I chose the phrase of the Argentine PSSA soccer union instead of AFA to be relate to the word PSSI so information</v>
      </c>
    </row>
    <row r="7076" ht="15.75" customHeight="1">
      <c r="A7076" s="1">
        <v>8281.0</v>
      </c>
      <c r="B7076" s="3" t="s">
        <v>20314</v>
      </c>
      <c r="C7076" s="3">
        <v>0.0</v>
      </c>
      <c r="D7076" s="3">
        <v>1.0</v>
      </c>
      <c r="E7076" s="3">
        <v>2.0</v>
      </c>
      <c r="F7076" s="3" t="s">
        <v>20315</v>
      </c>
      <c r="G7076" s="3">
        <v>0.0</v>
      </c>
      <c r="H7076" s="3">
        <v>0.0</v>
      </c>
      <c r="I7076" s="3" t="s">
        <v>13</v>
      </c>
      <c r="J7076" s="3" t="s">
        <v>20316</v>
      </c>
      <c r="K7076" s="3" t="s">
        <v>15</v>
      </c>
      <c r="L7076" s="3" t="str">
        <f>IFERROR(__xludf.DUMMYFUNCTION("GOOGLETRANSLATE(F7076,""id"",""en"")"),"Argentina Champion Papu Bernazar Jumping from the Balcony of the Presidential Palace")</f>
        <v>Argentina Champion Papu Bernazar Jumping from the Balcony of the Presidential Palace</v>
      </c>
    </row>
    <row r="7077" ht="15.75" customHeight="1">
      <c r="A7077" s="1">
        <v>8282.0</v>
      </c>
      <c r="B7077" s="3" t="s">
        <v>20317</v>
      </c>
      <c r="C7077" s="3">
        <v>0.0</v>
      </c>
      <c r="D7077" s="3">
        <v>0.0</v>
      </c>
      <c r="E7077" s="3">
        <v>0.0</v>
      </c>
      <c r="F7077" s="3" t="s">
        <v>20318</v>
      </c>
      <c r="G7077" s="3">
        <v>1.0</v>
      </c>
      <c r="H7077" s="3">
        <v>0.0</v>
      </c>
      <c r="I7077" s="3" t="s">
        <v>13</v>
      </c>
      <c r="J7077" s="3" t="s">
        <v>20319</v>
      </c>
      <c r="K7077" s="3" t="s">
        <v>20320</v>
      </c>
      <c r="L7077" s="3" t="str">
        <f>IFERROR(__xludf.DUMMYFUNCTION("GOOGLETRANSLATE(F7077,""id"",""en"")"),"Crowded people who are capable of Messi are Argentina Punca Champion World Cup, but for me if you tell you to choose between Emi Martinez and Messi, it will be a big factor I will choose EMI EVEN I MESSI TEAM HAVE SAVES NOT NIMINED ALL TIME CRUCIAL LIKE P"&amp;"ENALTY SHOOOTUT AND THAT ONE")</f>
        <v>Crowded people who are capable of Messi are Argentina Punca Champion World Cup, but for me if you tell you to choose between Emi Martinez and Messi, it will be a big factor I will choose EMI EVEN I MESSI TEAM HAVE SAVES NOT NIMINED ALL TIME CRUCIAL LIKE PENALTY SHOOOTUT AND THAT ONE</v>
      </c>
    </row>
    <row r="7078" ht="15.75" customHeight="1">
      <c r="A7078" s="1">
        <v>8283.0</v>
      </c>
      <c r="B7078" s="3" t="s">
        <v>20321</v>
      </c>
      <c r="C7078" s="3">
        <v>0.0</v>
      </c>
      <c r="D7078" s="3">
        <v>0.0</v>
      </c>
      <c r="E7078" s="3">
        <v>0.0</v>
      </c>
      <c r="F7078" s="3" t="s">
        <v>20322</v>
      </c>
      <c r="G7078" s="3">
        <v>0.0</v>
      </c>
      <c r="H7078" s="3">
        <v>0.0</v>
      </c>
      <c r="I7078" s="3" t="s">
        <v>13</v>
      </c>
      <c r="J7078" s="3" t="s">
        <v>20323</v>
      </c>
      <c r="K7078" s="3" t="s">
        <v>41</v>
      </c>
      <c r="L7078" s="3" t="str">
        <f>IFERROR(__xludf.DUMMYFUNCTION("GOOGLETRANSLATE(F7078,""id"",""en"")"),"Wow, you will definitely be all for Argentina because you already know the championship")</f>
        <v>Wow, you will definitely be all for Argentina because you already know the championship</v>
      </c>
    </row>
    <row r="7079" ht="15.75" customHeight="1">
      <c r="A7079" s="1">
        <v>8284.0</v>
      </c>
      <c r="B7079" s="3" t="s">
        <v>20324</v>
      </c>
      <c r="C7079" s="3">
        <v>0.0</v>
      </c>
      <c r="D7079" s="3">
        <v>0.0</v>
      </c>
      <c r="E7079" s="3">
        <v>34.0</v>
      </c>
      <c r="F7079" s="3" t="s">
        <v>20325</v>
      </c>
      <c r="G7079" s="3">
        <v>0.0</v>
      </c>
      <c r="H7079" s="3">
        <v>0.0</v>
      </c>
      <c r="I7079" s="3" t="s">
        <v>13</v>
      </c>
      <c r="J7079" s="3" t="s">
        <v>20326</v>
      </c>
      <c r="K7079" s="3" t="s">
        <v>14216</v>
      </c>
      <c r="L7079" s="3" t="str">
        <f>IFERROR(__xludf.DUMMYFUNCTION("GOOGLETRANSLATE(F7079,""id"",""en"")"),"Argentina Indonesian Champion Champion SEA Games Argentina Champion Indonesia")</f>
        <v>Argentina Indonesian Champion Champion SEA Games Argentina Champion Indonesia</v>
      </c>
    </row>
    <row r="7080" ht="15.75" customHeight="1">
      <c r="A7080" s="1">
        <v>8285.0</v>
      </c>
      <c r="B7080" s="3" t="s">
        <v>20327</v>
      </c>
      <c r="C7080" s="3">
        <v>0.0</v>
      </c>
      <c r="D7080" s="3">
        <v>0.0</v>
      </c>
      <c r="E7080" s="3">
        <v>0.0</v>
      </c>
      <c r="F7080" s="3" t="s">
        <v>20328</v>
      </c>
      <c r="G7080" s="3">
        <v>0.0</v>
      </c>
      <c r="H7080" s="3">
        <v>0.0</v>
      </c>
      <c r="I7080" s="3" t="s">
        <v>13</v>
      </c>
      <c r="J7080" s="3" t="s">
        <v>20329</v>
      </c>
      <c r="K7080" s="3" t="s">
        <v>16174</v>
      </c>
      <c r="L7080" s="3" t="str">
        <f>IFERROR(__xludf.DUMMYFUNCTION("GOOGLETRANSLATE(F7080,""id"",""en"")"),"Akwokwokwok")</f>
        <v>Akwokwokwok</v>
      </c>
    </row>
    <row r="7081" ht="15.75" customHeight="1">
      <c r="A7081" s="1">
        <v>8286.0</v>
      </c>
      <c r="B7081" s="3" t="s">
        <v>20330</v>
      </c>
      <c r="C7081" s="3">
        <v>0.0</v>
      </c>
      <c r="D7081" s="3">
        <v>3.0</v>
      </c>
      <c r="E7081" s="3">
        <v>0.0</v>
      </c>
      <c r="F7081" s="3" t="s">
        <v>20331</v>
      </c>
      <c r="G7081" s="3">
        <v>0.0</v>
      </c>
      <c r="H7081" s="3">
        <v>0.0</v>
      </c>
      <c r="I7081" s="3" t="s">
        <v>13</v>
      </c>
      <c r="J7081" s="3" t="s">
        <v>20332</v>
      </c>
      <c r="K7081" s="3" t="s">
        <v>75</v>
      </c>
      <c r="L7081" s="3" t="str">
        <f>IFERROR(__xludf.DUMMYFUNCTION("GOOGLETRANSLATE(F7081,""id"",""en"")"),"Argentine World Cup Champion Set December as a National Holidays")</f>
        <v>Argentine World Cup Champion Set December as a National Holidays</v>
      </c>
    </row>
    <row r="7082" ht="15.75" customHeight="1">
      <c r="A7082" s="1">
        <v>8287.0</v>
      </c>
      <c r="B7082" s="3" t="s">
        <v>20333</v>
      </c>
      <c r="C7082" s="3">
        <v>0.0</v>
      </c>
      <c r="D7082" s="3">
        <v>4.0</v>
      </c>
      <c r="E7082" s="3">
        <v>0.0</v>
      </c>
      <c r="F7082" s="3" t="s">
        <v>20331</v>
      </c>
      <c r="G7082" s="3">
        <v>0.0</v>
      </c>
      <c r="H7082" s="3">
        <v>0.0</v>
      </c>
      <c r="I7082" s="3" t="s">
        <v>13</v>
      </c>
      <c r="J7082" s="3" t="s">
        <v>20332</v>
      </c>
      <c r="K7082" s="3" t="s">
        <v>75</v>
      </c>
      <c r="L7082" s="3" t="str">
        <f>IFERROR(__xludf.DUMMYFUNCTION("GOOGLETRANSLATE(F7082,""id"",""en"")"),"Argentine World Cup Champion Set December as a National Holidays")</f>
        <v>Argentine World Cup Champion Set December as a National Holidays</v>
      </c>
    </row>
    <row r="7083" ht="15.75" customHeight="1">
      <c r="A7083" s="1">
        <v>8288.0</v>
      </c>
      <c r="B7083" s="3" t="s">
        <v>20334</v>
      </c>
      <c r="C7083" s="3">
        <v>0.0</v>
      </c>
      <c r="D7083" s="3">
        <v>4.0</v>
      </c>
      <c r="E7083" s="3">
        <v>0.0</v>
      </c>
      <c r="F7083" s="3" t="s">
        <v>20331</v>
      </c>
      <c r="G7083" s="3">
        <v>0.0</v>
      </c>
      <c r="H7083" s="3">
        <v>0.0</v>
      </c>
      <c r="I7083" s="3" t="s">
        <v>13</v>
      </c>
      <c r="J7083" s="3" t="s">
        <v>20332</v>
      </c>
      <c r="K7083" s="3" t="s">
        <v>75</v>
      </c>
      <c r="L7083" s="3" t="str">
        <f>IFERROR(__xludf.DUMMYFUNCTION("GOOGLETRANSLATE(F7083,""id"",""en"")"),"Argentine World Cup Champion Set December as a National Holidays")</f>
        <v>Argentine World Cup Champion Set December as a National Holidays</v>
      </c>
    </row>
    <row r="7084" ht="15.75" customHeight="1">
      <c r="A7084" s="1">
        <v>8289.0</v>
      </c>
      <c r="B7084" s="3" t="s">
        <v>20335</v>
      </c>
      <c r="C7084" s="3">
        <v>0.0</v>
      </c>
      <c r="D7084" s="3">
        <v>4.0</v>
      </c>
      <c r="E7084" s="3">
        <v>0.0</v>
      </c>
      <c r="F7084" s="3" t="s">
        <v>20331</v>
      </c>
      <c r="G7084" s="3">
        <v>0.0</v>
      </c>
      <c r="H7084" s="3">
        <v>0.0</v>
      </c>
      <c r="I7084" s="3" t="s">
        <v>13</v>
      </c>
      <c r="J7084" s="3" t="s">
        <v>20332</v>
      </c>
      <c r="K7084" s="3" t="s">
        <v>75</v>
      </c>
      <c r="L7084" s="3" t="str">
        <f>IFERROR(__xludf.DUMMYFUNCTION("GOOGLETRANSLATE(F7084,""id"",""en"")"),"Argentine World Cup Champion Set December as a National Holidays")</f>
        <v>Argentine World Cup Champion Set December as a National Holidays</v>
      </c>
    </row>
    <row r="7085" ht="15.75" customHeight="1">
      <c r="A7085" s="1">
        <v>8290.0</v>
      </c>
      <c r="B7085" s="3" t="s">
        <v>20336</v>
      </c>
      <c r="C7085" s="3">
        <v>0.0</v>
      </c>
      <c r="D7085" s="3">
        <v>0.0</v>
      </c>
      <c r="E7085" s="3">
        <v>0.0</v>
      </c>
      <c r="F7085" s="3" t="s">
        <v>20337</v>
      </c>
      <c r="G7085" s="3">
        <v>0.0</v>
      </c>
      <c r="H7085" s="3">
        <v>0.0</v>
      </c>
      <c r="I7085" s="3" t="s">
        <v>13</v>
      </c>
      <c r="J7085" s="3" t="s">
        <v>20338</v>
      </c>
      <c r="K7085" s="3" t="s">
        <v>14571</v>
      </c>
      <c r="L7085" s="3" t="str">
        <f>IFERROR(__xludf.DUMMYFUNCTION("GOOGLETRANSLATE(F7085,""id"",""en"")"),"Raden Kanjeng")</f>
        <v>Raden Kanjeng</v>
      </c>
    </row>
    <row r="7086" ht="15.75" customHeight="1">
      <c r="A7086" s="1">
        <v>8291.0</v>
      </c>
      <c r="B7086" s="3" t="s">
        <v>20339</v>
      </c>
      <c r="C7086" s="3">
        <v>3.0</v>
      </c>
      <c r="D7086" s="3">
        <v>14.0</v>
      </c>
      <c r="E7086" s="3">
        <v>44.0</v>
      </c>
      <c r="F7086" s="3" t="s">
        <v>20340</v>
      </c>
      <c r="G7086" s="3">
        <v>0.0</v>
      </c>
      <c r="H7086" s="3">
        <v>0.0</v>
      </c>
      <c r="I7086" s="3" t="s">
        <v>13</v>
      </c>
      <c r="J7086" s="3" t="s">
        <v>20341</v>
      </c>
      <c r="K7086" s="3" t="s">
        <v>123</v>
      </c>
      <c r="L7086" s="3" t="str">
        <f>IFERROR(__xludf.DUMMYFUNCTION("GOOGLETRANSLATE(F7086,""id"",""en"")"),"back and forth because he was the world cup champion in Argentina's economic conditions, it's not good to open the data")</f>
        <v>back and forth because he was the world cup champion in Argentina's economic conditions, it's not good to open the data</v>
      </c>
    </row>
    <row r="7087" ht="15.75" customHeight="1">
      <c r="A7087" s="1">
        <v>8292.0</v>
      </c>
      <c r="B7087" s="3" t="s">
        <v>20342</v>
      </c>
      <c r="C7087" s="3">
        <v>0.0</v>
      </c>
      <c r="D7087" s="3">
        <v>0.0</v>
      </c>
      <c r="E7087" s="3">
        <v>0.0</v>
      </c>
      <c r="F7087" s="3" t="s">
        <v>20343</v>
      </c>
      <c r="G7087" s="3">
        <v>0.0</v>
      </c>
      <c r="H7087" s="3">
        <v>0.0</v>
      </c>
      <c r="I7087" s="3" t="s">
        <v>13</v>
      </c>
      <c r="J7087" s="3" t="s">
        <v>20344</v>
      </c>
      <c r="K7087" s="3" t="s">
        <v>71</v>
      </c>
      <c r="L7087" s="3" t="str">
        <f>IFERROR(__xludf.DUMMYFUNCTION("GOOGLETRANSLATE(F7087,""id"",""en"")"),"This Argentina is quite tacky, all champions are left to hold a trophy similar to the Konoha country")</f>
        <v>This Argentina is quite tacky, all champions are left to hold a trophy similar to the Konoha country</v>
      </c>
    </row>
    <row r="7088" ht="15.75" customHeight="1">
      <c r="A7088" s="1">
        <v>8293.0</v>
      </c>
      <c r="B7088" s="3" t="s">
        <v>20345</v>
      </c>
      <c r="C7088" s="3">
        <v>0.0</v>
      </c>
      <c r="D7088" s="3">
        <v>0.0</v>
      </c>
      <c r="E7088" s="3">
        <v>0.0</v>
      </c>
      <c r="F7088" s="3" t="s">
        <v>20346</v>
      </c>
      <c r="G7088" s="3">
        <v>0.0</v>
      </c>
      <c r="H7088" s="3">
        <v>0.0</v>
      </c>
      <c r="I7088" s="3" t="s">
        <v>13</v>
      </c>
      <c r="J7088" s="3" t="s">
        <v>20347</v>
      </c>
      <c r="K7088" s="3" t="s">
        <v>123</v>
      </c>
      <c r="L7088" s="3" t="str">
        <f>IFERROR(__xludf.DUMMYFUNCTION("GOOGLETRANSLATE(F7088,""id"",""en"")"),"The last time there was a world cup champion in a row the next event was eliminated because of the war but because yesterday the Argentine champion was safe")</f>
        <v>The last time there was a world cup champion in a row the next event was eliminated because of the war but because yesterday the Argentine champion was safe</v>
      </c>
    </row>
    <row r="7089" ht="15.75" customHeight="1">
      <c r="A7089" s="1">
        <v>8294.0</v>
      </c>
      <c r="B7089" s="3" t="s">
        <v>20348</v>
      </c>
      <c r="C7089" s="3">
        <v>0.0</v>
      </c>
      <c r="D7089" s="3">
        <v>0.0</v>
      </c>
      <c r="E7089" s="3">
        <v>0.0</v>
      </c>
      <c r="F7089" s="3" t="s">
        <v>20349</v>
      </c>
      <c r="G7089" s="3">
        <v>0.0</v>
      </c>
      <c r="H7089" s="3">
        <v>0.0</v>
      </c>
      <c r="I7089" s="3" t="s">
        <v>13</v>
      </c>
      <c r="J7089" s="3" t="s">
        <v>20350</v>
      </c>
      <c r="K7089" s="3" t="s">
        <v>19</v>
      </c>
      <c r="L7089" s="3" t="str">
        <f>IFERROR(__xludf.DUMMYFUNCTION("GOOGLETRANSLATE(F7089,""id"",""en"")"),"It was revealed this was the reason Lionel Messi was worn by Bisht's black robe when Argentina won the World Cup")</f>
        <v>It was revealed this was the reason Lionel Messi was worn by Bisht's black robe when Argentina won the World Cup</v>
      </c>
    </row>
    <row r="7090" ht="15.75" customHeight="1">
      <c r="A7090" s="1">
        <v>8295.0</v>
      </c>
      <c r="B7090" s="3" t="s">
        <v>20351</v>
      </c>
      <c r="C7090" s="3">
        <v>0.0</v>
      </c>
      <c r="D7090" s="3">
        <v>0.0</v>
      </c>
      <c r="E7090" s="3">
        <v>2.0</v>
      </c>
      <c r="F7090" s="3" t="s">
        <v>20352</v>
      </c>
      <c r="G7090" s="3">
        <v>0.0</v>
      </c>
      <c r="H7090" s="3">
        <v>0.0</v>
      </c>
      <c r="I7090" s="3" t="s">
        <v>13</v>
      </c>
      <c r="J7090" s="3" t="s">
        <v>20353</v>
      </c>
      <c r="K7090" s="3" t="s">
        <v>348</v>
      </c>
      <c r="L7090" s="3" t="str">
        <f>IFERROR(__xludf.DUMMYFUNCTION("GOOGLETRANSLATE(F7090,""id"",""en"")"),"Emiliano Martinez becomes one of the figures who stole the attention of the Argentine national team goalkeeper performances and brought his country to win the title")</f>
        <v>Emiliano Martinez becomes one of the figures who stole the attention of the Argentine national team goalkeeper performances and brought his country to win the title</v>
      </c>
    </row>
    <row r="7091" ht="15.75" customHeight="1">
      <c r="A7091" s="1">
        <v>8296.0</v>
      </c>
      <c r="B7091" s="3" t="s">
        <v>20354</v>
      </c>
      <c r="C7091" s="3">
        <v>0.0</v>
      </c>
      <c r="D7091" s="3">
        <v>0.0</v>
      </c>
      <c r="E7091" s="3">
        <v>0.0</v>
      </c>
      <c r="F7091" s="3" t="s">
        <v>20355</v>
      </c>
      <c r="G7091" s="3">
        <v>0.0</v>
      </c>
      <c r="H7091" s="3">
        <v>0.0</v>
      </c>
      <c r="I7091" s="3" t="s">
        <v>13</v>
      </c>
      <c r="J7091" s="3" t="s">
        <v>20356</v>
      </c>
      <c r="K7091" s="3" t="s">
        <v>205</v>
      </c>
      <c r="L7091" s="3" t="str">
        <f>IFERROR(__xludf.DUMMYFUNCTION("GOOGLETRANSLATE(F7091,""id"",""en"")"),"Yes, it's clear that the Argentine people's time settings have gathered aries, even though Argentina is not necessarily the champion, FIFA's way to fall by Marwah Ronaldo is clear")</f>
        <v>Yes, it's clear that the Argentine people's time settings have gathered aries, even though Argentina is not necessarily the champion, FIFA's way to fall by Marwah Ronaldo is clear</v>
      </c>
    </row>
    <row r="7092" ht="15.75" customHeight="1">
      <c r="A7092" s="1">
        <v>8297.0</v>
      </c>
      <c r="B7092" s="3" t="s">
        <v>20357</v>
      </c>
      <c r="C7092" s="3">
        <v>0.0</v>
      </c>
      <c r="D7092" s="3">
        <v>0.0</v>
      </c>
      <c r="E7092" s="3">
        <v>2.0</v>
      </c>
      <c r="F7092" s="3" t="s">
        <v>20358</v>
      </c>
      <c r="G7092" s="3">
        <v>0.0</v>
      </c>
      <c r="H7092" s="3">
        <v>0.0</v>
      </c>
      <c r="I7092" s="3" t="s">
        <v>13</v>
      </c>
      <c r="J7092" s="3" t="s">
        <v>20359</v>
      </c>
      <c r="K7092" s="3" t="s">
        <v>82</v>
      </c>
      <c r="L7092" s="3" t="str">
        <f>IFERROR(__xludf.DUMMYFUNCTION("GOOGLETRANSLATE(F7092,""id"",""en"")"),"Aguero Champion World Cup with Argentina Vamossssss")</f>
        <v>Aguero Champion World Cup with Argentina Vamossssss</v>
      </c>
    </row>
    <row r="7093" ht="15.75" customHeight="1">
      <c r="A7093" s="1">
        <v>8298.0</v>
      </c>
      <c r="B7093" s="3" t="s">
        <v>20360</v>
      </c>
      <c r="C7093" s="3">
        <v>0.0</v>
      </c>
      <c r="D7093" s="3">
        <v>2.0</v>
      </c>
      <c r="E7093" s="3">
        <v>1.0</v>
      </c>
      <c r="F7093" s="3" t="s">
        <v>20361</v>
      </c>
      <c r="G7093" s="3">
        <v>0.0</v>
      </c>
      <c r="H7093" s="3">
        <v>0.0</v>
      </c>
      <c r="I7093" s="3" t="s">
        <v>13</v>
      </c>
      <c r="J7093" s="3" t="s">
        <v>20362</v>
      </c>
      <c r="K7093" s="3" t="s">
        <v>54</v>
      </c>
      <c r="L7093" s="3" t="str">
        <f>IFERROR(__xludf.DUMMYFUNCTION("GOOGLETRANSLATE(F7093,""id"",""en"")"),"Argentina is the champion but the party is even Madrid fans")</f>
        <v>Argentina is the champion but the party is even Madrid fans</v>
      </c>
    </row>
    <row r="7094" ht="15.75" customHeight="1">
      <c r="A7094" s="1">
        <v>8299.0</v>
      </c>
      <c r="B7094" s="3" t="s">
        <v>20363</v>
      </c>
      <c r="C7094" s="3">
        <v>0.0</v>
      </c>
      <c r="D7094" s="3">
        <v>0.0</v>
      </c>
      <c r="E7094" s="3">
        <v>0.0</v>
      </c>
      <c r="F7094" s="3" t="s">
        <v>20364</v>
      </c>
      <c r="G7094" s="3">
        <v>0.0</v>
      </c>
      <c r="H7094" s="3">
        <v>0.0</v>
      </c>
      <c r="I7094" s="3" t="s">
        <v>13</v>
      </c>
      <c r="J7094" s="3" t="s">
        <v>20365</v>
      </c>
      <c r="K7094" s="3" t="s">
        <v>1552</v>
      </c>
      <c r="L7094" s="3" t="str">
        <f>IFERROR(__xludf.DUMMYFUNCTION("GOOGLETRANSLATE(F7094,""id"",""en"")"),"Why is Barca fans happy Argentina champions PDHL no Barca Argentina player")</f>
        <v>Why is Barca fans happy Argentina champions PDHL no Barca Argentina player</v>
      </c>
    </row>
    <row r="7095" ht="15.75" customHeight="1">
      <c r="A7095" s="1">
        <v>8300.0</v>
      </c>
      <c r="B7095" s="3" t="s">
        <v>20366</v>
      </c>
      <c r="C7095" s="3">
        <v>0.0</v>
      </c>
      <c r="D7095" s="3">
        <v>0.0</v>
      </c>
      <c r="E7095" s="3">
        <v>0.0</v>
      </c>
      <c r="F7095" s="3" t="s">
        <v>20367</v>
      </c>
      <c r="G7095" s="3">
        <v>0.0</v>
      </c>
      <c r="H7095" s="3">
        <v>0.0</v>
      </c>
      <c r="I7095" s="3" t="s">
        <v>13</v>
      </c>
      <c r="J7095" s="3" t="s">
        <v>20368</v>
      </c>
      <c r="K7095" s="3" t="s">
        <v>31</v>
      </c>
      <c r="L7095" s="3" t="str">
        <f>IFERROR(__xludf.DUMMYFUNCTION("GOOGLETRANSLATE(F7095,""id"",""en"")"),"Argentina can win the era of Mr. Jokowi")</f>
        <v>Argentina can win the era of Mr. Jokowi</v>
      </c>
    </row>
    <row r="7096" ht="15.75" customHeight="1">
      <c r="A7096" s="1">
        <v>8301.0</v>
      </c>
      <c r="B7096" s="3" t="s">
        <v>20369</v>
      </c>
      <c r="C7096" s="3">
        <v>0.0</v>
      </c>
      <c r="D7096" s="3">
        <v>0.0</v>
      </c>
      <c r="E7096" s="3">
        <v>0.0</v>
      </c>
      <c r="F7096" s="3" t="s">
        <v>20370</v>
      </c>
      <c r="G7096" s="3">
        <v>0.0</v>
      </c>
      <c r="H7096" s="3">
        <v>0.0</v>
      </c>
      <c r="I7096" s="3" t="s">
        <v>13</v>
      </c>
      <c r="J7096" s="3" t="s">
        <v>20371</v>
      </c>
      <c r="K7096" s="3" t="s">
        <v>50</v>
      </c>
      <c r="L7096" s="3" t="str">
        <f>IFERROR(__xludf.DUMMYFUNCTION("GOOGLETRANSLATE(F7096,""id"",""en"")"),"How much money did Argentina earn after winning the Qatar World Cup")</f>
        <v>How much money did Argentina earn after winning the Qatar World Cup</v>
      </c>
    </row>
    <row r="7097" ht="15.75" customHeight="1">
      <c r="A7097" s="1">
        <v>8302.0</v>
      </c>
      <c r="B7097" s="3" t="s">
        <v>20372</v>
      </c>
      <c r="C7097" s="3">
        <v>0.0</v>
      </c>
      <c r="D7097" s="3">
        <v>0.0</v>
      </c>
      <c r="E7097" s="3">
        <v>0.0</v>
      </c>
      <c r="F7097" s="3" t="s">
        <v>20086</v>
      </c>
      <c r="G7097" s="3">
        <v>0.0</v>
      </c>
      <c r="H7097" s="3">
        <v>0.0</v>
      </c>
      <c r="I7097" s="3" t="s">
        <v>13</v>
      </c>
      <c r="J7097" s="3" t="s">
        <v>20087</v>
      </c>
      <c r="K7097" s="3" t="s">
        <v>50</v>
      </c>
      <c r="L7097" s="3" t="str">
        <f>IFERROR(__xludf.DUMMYFUNCTION("GOOGLETRANSLATE(F7097,""id"",""en"")"),"Argentina World Cup Champion Toni Kroos Finds Lionel Messi's Quality Thumbs up")</f>
        <v>Argentina World Cup Champion Toni Kroos Finds Lionel Messi's Quality Thumbs up</v>
      </c>
    </row>
    <row r="7098" ht="15.75" customHeight="1">
      <c r="A7098" s="1">
        <v>8303.0</v>
      </c>
      <c r="B7098" s="3" t="s">
        <v>20373</v>
      </c>
      <c r="C7098" s="3">
        <v>0.0</v>
      </c>
      <c r="D7098" s="3">
        <v>0.0</v>
      </c>
      <c r="E7098" s="3">
        <v>0.0</v>
      </c>
      <c r="F7098" s="3" t="s">
        <v>20374</v>
      </c>
      <c r="G7098" s="3">
        <v>0.0</v>
      </c>
      <c r="H7098" s="3">
        <v>0.0</v>
      </c>
      <c r="I7098" s="3" t="s">
        <v>13</v>
      </c>
      <c r="J7098" s="3" t="s">
        <v>20375</v>
      </c>
      <c r="K7098" s="3" t="s">
        <v>19</v>
      </c>
      <c r="L7098" s="3" t="str">
        <f>IFERROR(__xludf.DUMMYFUNCTION("GOOGLETRANSLATE(F7098,""id"",""en"")"),"What is Lionel Messi's footballer after Argentina champions of the World Cup he slept with his trophy")</f>
        <v>What is Lionel Messi's footballer after Argentina champions of the World Cup he slept with his trophy</v>
      </c>
    </row>
    <row r="7099" ht="15.75" customHeight="1">
      <c r="A7099" s="1">
        <v>8304.0</v>
      </c>
      <c r="B7099" s="3" t="s">
        <v>20376</v>
      </c>
      <c r="C7099" s="3">
        <v>0.0</v>
      </c>
      <c r="D7099" s="3">
        <v>0.0</v>
      </c>
      <c r="E7099" s="3">
        <v>0.0</v>
      </c>
      <c r="F7099" s="3" t="s">
        <v>20377</v>
      </c>
      <c r="G7099" s="3">
        <v>0.0</v>
      </c>
      <c r="H7099" s="3">
        <v>0.0</v>
      </c>
      <c r="I7099" s="3" t="s">
        <v>13</v>
      </c>
      <c r="J7099" s="3" t="s">
        <v>20378</v>
      </c>
      <c r="K7099" s="3" t="s">
        <v>942</v>
      </c>
      <c r="L7099" s="3" t="str">
        <f>IFERROR(__xludf.DUMMYFUNCTION("GOOGLETRANSLATE(F7099,""id"",""en"")"),"All were silent when Argentina became world champion because Argentina deserves to hold the title")</f>
        <v>All were silent when Argentina became world champion because Argentina deserves to hold the title</v>
      </c>
    </row>
    <row r="7100" ht="15.75" customHeight="1">
      <c r="A7100" s="1">
        <v>8305.0</v>
      </c>
      <c r="B7100" s="3" t="s">
        <v>20379</v>
      </c>
      <c r="C7100" s="3">
        <v>0.0</v>
      </c>
      <c r="D7100" s="3">
        <v>0.0</v>
      </c>
      <c r="E7100" s="3">
        <v>0.0</v>
      </c>
      <c r="F7100" s="3" t="s">
        <v>20379</v>
      </c>
      <c r="G7100" s="3">
        <v>0.4666666666666666</v>
      </c>
      <c r="H7100" s="3">
        <v>0.1833333333333333</v>
      </c>
      <c r="I7100" s="3" t="s">
        <v>48</v>
      </c>
      <c r="J7100" s="3" t="s">
        <v>20380</v>
      </c>
      <c r="K7100" s="3" t="s">
        <v>90</v>
      </c>
      <c r="L7100" s="3" t="str">
        <f>IFERROR(__xludf.DUMMYFUNCTION("GOOGLETRANSLATE(F7100,""id"",""en"")"),"Time lapse instrument is top notch and the whole synth bass piano when entering the chorus is Argentina, aka world champion")</f>
        <v>Time lapse instrument is top notch and the whole synth bass piano when entering the chorus is Argentina, aka world champion</v>
      </c>
    </row>
    <row r="7101" ht="15.75" customHeight="1">
      <c r="A7101" s="1">
        <v>8306.0</v>
      </c>
      <c r="B7101" s="3" t="s">
        <v>20381</v>
      </c>
      <c r="C7101" s="3">
        <v>0.0</v>
      </c>
      <c r="D7101" s="3">
        <v>0.0</v>
      </c>
      <c r="E7101" s="3">
        <v>0.0</v>
      </c>
      <c r="F7101" s="3" t="s">
        <v>20382</v>
      </c>
      <c r="G7101" s="3">
        <v>0.0</v>
      </c>
      <c r="H7101" s="3">
        <v>0.0</v>
      </c>
      <c r="I7101" s="3" t="s">
        <v>13</v>
      </c>
      <c r="J7101" s="3" t="s">
        <v>20383</v>
      </c>
      <c r="K7101" s="3" t="s">
        <v>3156</v>
      </c>
      <c r="L7101" s="3" t="str">
        <f>IFERROR(__xludf.DUMMYFUNCTION("GOOGLETRANSLATE(F7101,""id"",""en"")"),"Gara Argentina Champion World Cup I arrived with the song Argentina Delicious Woi Argentina Songs Later Good with Spanish Songs")</f>
        <v>Gara Argentina Champion World Cup I arrived with the song Argentina Delicious Woi Argentina Songs Later Good with Spanish Songs</v>
      </c>
    </row>
    <row r="7102" ht="15.75" customHeight="1">
      <c r="A7102" s="1">
        <v>8307.0</v>
      </c>
      <c r="B7102" s="3" t="s">
        <v>20384</v>
      </c>
      <c r="C7102" s="3">
        <v>0.0</v>
      </c>
      <c r="D7102" s="3">
        <v>0.0</v>
      </c>
      <c r="E7102" s="3">
        <v>0.0</v>
      </c>
      <c r="F7102" s="3" t="s">
        <v>20385</v>
      </c>
      <c r="G7102" s="3">
        <v>0.0</v>
      </c>
      <c r="H7102" s="3">
        <v>0.0</v>
      </c>
      <c r="I7102" s="3" t="s">
        <v>13</v>
      </c>
      <c r="J7102" s="3" t="s">
        <v>20386</v>
      </c>
      <c r="K7102" s="3" t="s">
        <v>15</v>
      </c>
      <c r="L7102" s="3" t="str">
        <f>IFERROR(__xludf.DUMMYFUNCTION("GOOGLETRANSLATE(F7102,""id"",""en"")"),"The difference between Messi and Maradona when carrying Argentina Champion World Cup")</f>
        <v>The difference between Messi and Maradona when carrying Argentina Champion World Cup</v>
      </c>
    </row>
    <row r="7103" ht="15.75" customHeight="1">
      <c r="A7103" s="1">
        <v>8308.0</v>
      </c>
      <c r="B7103" s="3" t="s">
        <v>20387</v>
      </c>
      <c r="C7103" s="3">
        <v>3.0</v>
      </c>
      <c r="D7103" s="3">
        <v>0.0</v>
      </c>
      <c r="E7103" s="3">
        <v>43.0</v>
      </c>
      <c r="F7103" s="3" t="s">
        <v>20388</v>
      </c>
      <c r="G7103" s="3">
        <v>0.0</v>
      </c>
      <c r="H7103" s="3">
        <v>0.0</v>
      </c>
      <c r="I7103" s="3" t="s">
        <v>13</v>
      </c>
      <c r="J7103" s="3" t="s">
        <v>20389</v>
      </c>
      <c r="K7103" s="3" t="s">
        <v>1359</v>
      </c>
      <c r="L7103" s="3" t="str">
        <f>IFERROR(__xludf.DUMMYFUNCTION("GOOGLETRANSLATE(F7103,""id"",""en"")"),"where is the original trophy champion can save the original YGY trophy and it's Argentina's trophy")</f>
        <v>where is the original trophy champion can save the original YGY trophy and it's Argentina's trophy</v>
      </c>
    </row>
    <row r="7104" ht="15.75" customHeight="1">
      <c r="A7104" s="1">
        <v>8309.0</v>
      </c>
      <c r="B7104" s="3" t="s">
        <v>20390</v>
      </c>
      <c r="C7104" s="3">
        <v>1.0</v>
      </c>
      <c r="D7104" s="3">
        <v>0.0</v>
      </c>
      <c r="E7104" s="3">
        <v>0.0</v>
      </c>
      <c r="F7104" s="3" t="s">
        <v>20391</v>
      </c>
      <c r="G7104" s="3">
        <v>0.0</v>
      </c>
      <c r="H7104" s="3">
        <v>0.0</v>
      </c>
      <c r="I7104" s="3" t="s">
        <v>13</v>
      </c>
      <c r="J7104" s="3" t="s">
        <v>20392</v>
      </c>
      <c r="K7104" s="3" t="s">
        <v>165</v>
      </c>
      <c r="L7104" s="3" t="str">
        <f>IFERROR(__xludf.DUMMYFUNCTION("GOOGLETRANSLATE(F7104,""id"",""en"")"),"GPP is a free opinion but it is clear that Emi is the key to Argentina's victory and even Croatia goalkeeper is better than Bono during the proven party for the championship even the Croatia Maih goalkeeper was very good before meeting Messi")</f>
        <v>GPP is a free opinion but it is clear that Emi is the key to Argentina's victory and even Croatia goalkeeper is better than Bono during the proven party for the championship even the Croatia Maih goalkeeper was very good before meeting Messi</v>
      </c>
    </row>
    <row r="7105" ht="15.75" customHeight="1">
      <c r="A7105" s="1">
        <v>8310.0</v>
      </c>
      <c r="B7105" s="3" t="s">
        <v>20393</v>
      </c>
      <c r="C7105" s="3">
        <v>1.0</v>
      </c>
      <c r="D7105" s="3">
        <v>0.0</v>
      </c>
      <c r="E7105" s="3">
        <v>0.0</v>
      </c>
      <c r="F7105" s="3" t="s">
        <v>16103</v>
      </c>
      <c r="G7105" s="3">
        <v>0.0</v>
      </c>
      <c r="H7105" s="3">
        <v>0.0</v>
      </c>
      <c r="I7105" s="3" t="s">
        <v>13</v>
      </c>
      <c r="J7105" s="3" t="s">
        <v>16104</v>
      </c>
      <c r="K7105" s="3" t="s">
        <v>14571</v>
      </c>
      <c r="L7105" s="3" t="str">
        <f>IFERROR(__xludf.DUMMYFUNCTION("GOOGLETRANSLATE(F7105,""id"",""en"")"),"Argentina Champion")</f>
        <v>Argentina Champion</v>
      </c>
    </row>
    <row r="7106" ht="15.75" customHeight="1">
      <c r="A7106" s="1">
        <v>8311.0</v>
      </c>
      <c r="B7106" s="3" t="s">
        <v>20394</v>
      </c>
      <c r="C7106" s="3">
        <v>1.0</v>
      </c>
      <c r="D7106" s="3">
        <v>0.0</v>
      </c>
      <c r="E7106" s="3">
        <v>2.0</v>
      </c>
      <c r="F7106" s="3" t="s">
        <v>20395</v>
      </c>
      <c r="G7106" s="3">
        <v>0.0</v>
      </c>
      <c r="H7106" s="3">
        <v>0.0</v>
      </c>
      <c r="I7106" s="3" t="s">
        <v>13</v>
      </c>
      <c r="J7106" s="3" t="s">
        <v>20396</v>
      </c>
      <c r="K7106" s="3" t="s">
        <v>75</v>
      </c>
      <c r="L7106" s="3" t="str">
        <f>IFERROR(__xludf.DUMMYFUNCTION("GOOGLETRANSLATE(F7106,""id"",""en"")"),"Mac Allister the fighter midfielder helps Argentina world champion can be transported")</f>
        <v>Mac Allister the fighter midfielder helps Argentina world champion can be transported</v>
      </c>
    </row>
    <row r="7107" ht="15.75" customHeight="1">
      <c r="A7107" s="1">
        <v>8312.0</v>
      </c>
      <c r="B7107" s="3" t="s">
        <v>20397</v>
      </c>
      <c r="C7107" s="3">
        <v>1.0</v>
      </c>
      <c r="D7107" s="3">
        <v>0.0</v>
      </c>
      <c r="E7107" s="3">
        <v>0.0</v>
      </c>
      <c r="F7107" s="3" t="s">
        <v>20398</v>
      </c>
      <c r="G7107" s="3">
        <v>0.0</v>
      </c>
      <c r="H7107" s="3">
        <v>0.0</v>
      </c>
      <c r="I7107" s="3" t="s">
        <v>13</v>
      </c>
      <c r="J7107" s="3" t="s">
        <v>20399</v>
      </c>
      <c r="K7107" s="3" t="s">
        <v>614</v>
      </c>
      <c r="L7107" s="3" t="str">
        <f>IFERROR(__xludf.DUMMYFUNCTION("GOOGLETRANSLATE(F7107,""id"",""en"")"),"Pildun teaches us that motivation is the truth of the truth of Moroccan's life makes you proud and surprise all Argentina is happy Messi and French back back championship")</f>
        <v>Pildun teaches us that motivation is the truth of the truth of Moroccan's life makes you proud and surprise all Argentina is happy Messi and French back back championship</v>
      </c>
    </row>
    <row r="7108" ht="15.75" customHeight="1">
      <c r="A7108" s="1">
        <v>8313.0</v>
      </c>
      <c r="B7108" s="3" t="s">
        <v>20400</v>
      </c>
      <c r="C7108" s="3">
        <v>0.0</v>
      </c>
      <c r="D7108" s="3">
        <v>0.0</v>
      </c>
      <c r="E7108" s="3">
        <v>0.0</v>
      </c>
      <c r="F7108" s="3" t="s">
        <v>20401</v>
      </c>
      <c r="G7108" s="3">
        <v>0.0</v>
      </c>
      <c r="H7108" s="3">
        <v>0.0</v>
      </c>
      <c r="I7108" s="3" t="s">
        <v>13</v>
      </c>
      <c r="J7108" s="3" t="s">
        <v>20402</v>
      </c>
      <c r="K7108" s="3" t="s">
        <v>2117</v>
      </c>
      <c r="L7108" s="3" t="str">
        <f>IFERROR(__xludf.DUMMYFUNCTION("GOOGLETRANSLATE(F7108,""id"",""en"")"),"Argentina Champion Bro")</f>
        <v>Argentina Champion Bro</v>
      </c>
    </row>
    <row r="7109" ht="15.75" customHeight="1">
      <c r="A7109" s="1">
        <v>8314.0</v>
      </c>
      <c r="B7109" s="3" t="s">
        <v>20403</v>
      </c>
      <c r="C7109" s="3">
        <v>0.0</v>
      </c>
      <c r="D7109" s="3">
        <v>0.0</v>
      </c>
      <c r="E7109" s="3">
        <v>0.0</v>
      </c>
      <c r="F7109" s="3" t="s">
        <v>20404</v>
      </c>
      <c r="G7109" s="3">
        <v>0.0</v>
      </c>
      <c r="H7109" s="3">
        <v>0.0</v>
      </c>
      <c r="I7109" s="3" t="s">
        <v>13</v>
      </c>
      <c r="J7109" s="3" t="s">
        <v>20405</v>
      </c>
      <c r="K7109" s="3" t="s">
        <v>71</v>
      </c>
      <c r="L7109" s="3" t="str">
        <f>IFERROR(__xludf.DUMMYFUNCTION("GOOGLETRANSLATE(F7109,""id"",""en"")"),"World Cup Champion Sri Mulyani Argentina's subordinates are not only good at the ball but also the full debt via")</f>
        <v>World Cup Champion Sri Mulyani Argentina's subordinates are not only good at the ball but also the full debt via</v>
      </c>
    </row>
    <row r="7110" ht="15.75" customHeight="1">
      <c r="A7110" s="1">
        <v>8315.0</v>
      </c>
      <c r="B7110" s="3" t="s">
        <v>20406</v>
      </c>
      <c r="C7110" s="3">
        <v>0.0</v>
      </c>
      <c r="D7110" s="3">
        <v>0.0</v>
      </c>
      <c r="E7110" s="3">
        <v>0.0</v>
      </c>
      <c r="F7110" s="3" t="s">
        <v>20407</v>
      </c>
      <c r="G7110" s="3">
        <v>0.0</v>
      </c>
      <c r="H7110" s="3">
        <v>0.0</v>
      </c>
      <c r="I7110" s="3" t="s">
        <v>13</v>
      </c>
      <c r="J7110" s="3" t="s">
        <v>20408</v>
      </c>
      <c r="K7110" s="3" t="s">
        <v>510</v>
      </c>
      <c r="L7110" s="3" t="str">
        <f>IFERROR(__xludf.DUMMYFUNCTION("GOOGLETRANSLATE(F7110,""id"",""en"")"),"Back Argentina continues to win the Apertura Clausura League. Continue to Champion Copa Libertadores New Complete")</f>
        <v>Back Argentina continues to win the Apertura Clausura League. Continue to Champion Copa Libertadores New Complete</v>
      </c>
    </row>
    <row r="7111" ht="15.75" customHeight="1">
      <c r="A7111" s="1">
        <v>8316.0</v>
      </c>
      <c r="B7111" s="3" t="s">
        <v>20409</v>
      </c>
      <c r="C7111" s="3">
        <v>0.0</v>
      </c>
      <c r="D7111" s="3">
        <v>0.0</v>
      </c>
      <c r="E7111" s="3">
        <v>1.0</v>
      </c>
      <c r="F7111" s="3" t="s">
        <v>20410</v>
      </c>
      <c r="G7111" s="3">
        <v>0.3</v>
      </c>
      <c r="H7111" s="3">
        <v>1.0</v>
      </c>
      <c r="I7111" s="3" t="s">
        <v>48</v>
      </c>
      <c r="J7111" s="3" t="s">
        <v>20411</v>
      </c>
      <c r="K7111" s="3" t="s">
        <v>2215</v>
      </c>
      <c r="L7111" s="3" t="str">
        <f>IFERROR(__xludf.DUMMYFUNCTION("GOOGLETRANSLATE(F7111,""id"",""en"")"),"The output of Taiwan December Result Shio Monkey Prediction Nusantara Tuesday December Best Shio Tiger BBFS")</f>
        <v>The output of Taiwan December Result Shio Monkey Prediction Nusantara Tuesday December Best Shio Tiger BBFS</v>
      </c>
    </row>
    <row r="7112" ht="15.75" customHeight="1">
      <c r="A7112" s="1">
        <v>8317.0</v>
      </c>
      <c r="B7112" s="3" t="s">
        <v>20412</v>
      </c>
      <c r="C7112" s="3">
        <v>0.0</v>
      </c>
      <c r="D7112" s="3">
        <v>0.0</v>
      </c>
      <c r="E7112" s="3">
        <v>0.0</v>
      </c>
      <c r="F7112" s="3" t="s">
        <v>20413</v>
      </c>
      <c r="G7112" s="3">
        <v>0.0</v>
      </c>
      <c r="H7112" s="3">
        <v>0.0</v>
      </c>
      <c r="I7112" s="3" t="s">
        <v>13</v>
      </c>
      <c r="J7112" s="3" t="s">
        <v>20414</v>
      </c>
      <c r="K7112" s="3" t="s">
        <v>31</v>
      </c>
      <c r="L7112" s="3" t="str">
        <f>IFERROR(__xludf.DUMMYFUNCTION("GOOGLETRANSLATE(F7112,""id"",""en"")"),"SAH Argentina World Cup Champion")</f>
        <v>SAH Argentina World Cup Champion</v>
      </c>
    </row>
    <row r="7113" ht="15.75" customHeight="1">
      <c r="A7113" s="1">
        <v>8318.0</v>
      </c>
      <c r="B7113" s="3" t="s">
        <v>20415</v>
      </c>
      <c r="C7113" s="3">
        <v>0.0</v>
      </c>
      <c r="D7113" s="3">
        <v>0.0</v>
      </c>
      <c r="E7113" s="3">
        <v>0.0</v>
      </c>
      <c r="F7113" s="3" t="s">
        <v>20416</v>
      </c>
      <c r="G7113" s="3">
        <v>0.0</v>
      </c>
      <c r="H7113" s="3">
        <v>0.0</v>
      </c>
      <c r="I7113" s="3" t="s">
        <v>13</v>
      </c>
      <c r="J7113" s="3" t="s">
        <v>20417</v>
      </c>
      <c r="K7113" s="3" t="s">
        <v>491</v>
      </c>
      <c r="L7113" s="3" t="str">
        <f>IFERROR(__xludf.DUMMYFUNCTION("GOOGLETRANSLATE(F7113,""id"",""en"")"),"examples of chairman of the federation are good because there is always a head of the Argentina federation, his team -champion he joined the trophy")</f>
        <v>examples of chairman of the federation are good because there is always a head of the Argentina federation, his team -champion he joined the trophy</v>
      </c>
    </row>
    <row r="7114" ht="15.75" customHeight="1">
      <c r="A7114" s="1">
        <v>8319.0</v>
      </c>
      <c r="B7114" s="3" t="s">
        <v>20418</v>
      </c>
      <c r="C7114" s="3">
        <v>0.0</v>
      </c>
      <c r="D7114" s="3">
        <v>0.0</v>
      </c>
      <c r="E7114" s="3">
        <v>0.0</v>
      </c>
      <c r="F7114" s="3" t="s">
        <v>18471</v>
      </c>
      <c r="G7114" s="3">
        <v>0.0</v>
      </c>
      <c r="H7114" s="3">
        <v>0.0</v>
      </c>
      <c r="I7114" s="3" t="s">
        <v>13</v>
      </c>
      <c r="J7114" s="3" t="s">
        <v>18472</v>
      </c>
      <c r="K7114" s="3" t="s">
        <v>54</v>
      </c>
      <c r="L7114" s="3" t="str">
        <f>IFERROR(__xludf.DUMMYFUNCTION("GOOGLETRANSLATE(F7114,""id"",""en"")"),"Argentina World Champion Mission Messi Completed")</f>
        <v>Argentina World Champion Mission Messi Completed</v>
      </c>
    </row>
    <row r="7115" ht="15.75" customHeight="1">
      <c r="A7115" s="1">
        <v>8320.0</v>
      </c>
      <c r="B7115" s="3" t="s">
        <v>20419</v>
      </c>
      <c r="C7115" s="3">
        <v>0.0</v>
      </c>
      <c r="D7115" s="3">
        <v>0.0</v>
      </c>
      <c r="E7115" s="3">
        <v>1.0</v>
      </c>
      <c r="F7115" s="3" t="s">
        <v>20420</v>
      </c>
      <c r="G7115" s="3">
        <v>0.0</v>
      </c>
      <c r="H7115" s="3">
        <v>0.0</v>
      </c>
      <c r="I7115" s="3" t="s">
        <v>13</v>
      </c>
      <c r="J7115" s="3" t="s">
        <v>20421</v>
      </c>
      <c r="K7115" s="3" t="s">
        <v>15</v>
      </c>
      <c r="L7115" s="3" t="str">
        <f>IFERROR(__xludf.DUMMYFUNCTION("GOOGLETRANSLATE(F7115,""id"",""en"")"),"Only the Jokowi Argentina era won the football world championship title again")</f>
        <v>Only the Jokowi Argentina era won the football world championship title again</v>
      </c>
    </row>
    <row r="7116" ht="15.75" customHeight="1">
      <c r="A7116" s="1">
        <v>8321.0</v>
      </c>
      <c r="B7116" s="3" t="s">
        <v>20422</v>
      </c>
      <c r="C7116" s="3">
        <v>0.0</v>
      </c>
      <c r="D7116" s="3">
        <v>0.0</v>
      </c>
      <c r="E7116" s="3">
        <v>0.0</v>
      </c>
      <c r="F7116" s="3" t="s">
        <v>20423</v>
      </c>
      <c r="G7116" s="3">
        <v>0.0</v>
      </c>
      <c r="H7116" s="3">
        <v>0.0</v>
      </c>
      <c r="I7116" s="3" t="s">
        <v>13</v>
      </c>
      <c r="J7116" s="3" t="s">
        <v>20424</v>
      </c>
      <c r="K7116" s="3" t="s">
        <v>31</v>
      </c>
      <c r="L7116" s="3" t="str">
        <f>IFERROR(__xludf.DUMMYFUNCTION("GOOGLETRANSLATE(F7116,""id"",""en"")"),"Argentina remains world champion wkwkwk")</f>
        <v>Argentina remains world champion wkwkwk</v>
      </c>
    </row>
    <row r="7117" ht="15.75" customHeight="1">
      <c r="A7117" s="1">
        <v>8322.0</v>
      </c>
      <c r="B7117" s="3" t="s">
        <v>20425</v>
      </c>
      <c r="C7117" s="3">
        <v>0.0</v>
      </c>
      <c r="D7117" s="3">
        <v>0.0</v>
      </c>
      <c r="E7117" s="3">
        <v>0.0</v>
      </c>
      <c r="F7117" s="3" t="s">
        <v>20426</v>
      </c>
      <c r="G7117" s="3">
        <v>0.0</v>
      </c>
      <c r="H7117" s="3">
        <v>0.0</v>
      </c>
      <c r="I7117" s="3" t="s">
        <v>13</v>
      </c>
      <c r="J7117" s="3" t="s">
        <v>20427</v>
      </c>
      <c r="K7117" s="3" t="s">
        <v>15</v>
      </c>
      <c r="L7117" s="3" t="str">
        <f>IFERROR(__xludf.DUMMYFUNCTION("GOOGLETRANSLATE(F7117,""id"",""en"")"),"Busettt hot really like Argentina champion wkwkwk")</f>
        <v>Busettt hot really like Argentina champion wkwkwk</v>
      </c>
    </row>
    <row r="7118" ht="15.75" customHeight="1">
      <c r="A7118" s="1">
        <v>8323.0</v>
      </c>
      <c r="B7118" s="3" t="s">
        <v>20428</v>
      </c>
      <c r="C7118" s="3">
        <v>0.0</v>
      </c>
      <c r="D7118" s="3">
        <v>0.0</v>
      </c>
      <c r="E7118" s="3">
        <v>0.0</v>
      </c>
      <c r="F7118" s="3" t="s">
        <v>20429</v>
      </c>
      <c r="G7118" s="3">
        <v>0.0</v>
      </c>
      <c r="H7118" s="3">
        <v>0.0</v>
      </c>
      <c r="I7118" s="3" t="s">
        <v>13</v>
      </c>
      <c r="J7118" s="3" t="s">
        <v>20430</v>
      </c>
      <c r="K7118" s="3" t="s">
        <v>82</v>
      </c>
      <c r="L7118" s="3" t="str">
        <f>IFERROR(__xludf.DUMMYFUNCTION("GOOGLETRANSLATE(F7118,""id"",""en"")"),"Teganing Wae Bang Ben Koyo Argentina Champion")</f>
        <v>Teganing Wae Bang Ben Koyo Argentina Champion</v>
      </c>
    </row>
    <row r="7119" ht="15.75" customHeight="1">
      <c r="A7119" s="1">
        <v>8324.0</v>
      </c>
      <c r="B7119" s="3" t="s">
        <v>20431</v>
      </c>
      <c r="C7119" s="3">
        <v>0.0</v>
      </c>
      <c r="D7119" s="3">
        <v>0.0</v>
      </c>
      <c r="E7119" s="3">
        <v>0.0</v>
      </c>
      <c r="F7119" s="3" t="s">
        <v>20432</v>
      </c>
      <c r="G7119" s="3">
        <v>0.3</v>
      </c>
      <c r="H7119" s="3">
        <v>0.2</v>
      </c>
      <c r="I7119" s="3" t="s">
        <v>48</v>
      </c>
      <c r="J7119" s="3" t="s">
        <v>20433</v>
      </c>
      <c r="K7119" s="3" t="s">
        <v>205</v>
      </c>
      <c r="L7119" s="3" t="str">
        <f>IFERROR(__xludf.DUMMYFUNCTION("GOOGLETRANSLATE(F7119,""id"",""en"")"),"Argentina without Messi is still still a dark horse team because the coach and support Messi is good but can't win the top of Portugal, replace the coach and minus Ronaldo can be more scary")</f>
        <v>Argentina without Messi is still still a dark horse team because the coach and support Messi is good but can't win the top of Portugal, replace the coach and minus Ronaldo can be more scary</v>
      </c>
    </row>
    <row r="7120" ht="15.75" customHeight="1">
      <c r="A7120" s="1">
        <v>8325.0</v>
      </c>
      <c r="B7120" s="3" t="s">
        <v>20434</v>
      </c>
      <c r="C7120" s="3">
        <v>0.0</v>
      </c>
      <c r="D7120" s="3">
        <v>0.0</v>
      </c>
      <c r="E7120" s="3">
        <v>0.0</v>
      </c>
      <c r="F7120" s="3" t="s">
        <v>20435</v>
      </c>
      <c r="G7120" s="3">
        <v>0.0</v>
      </c>
      <c r="H7120" s="3">
        <v>0.0</v>
      </c>
      <c r="I7120" s="3" t="s">
        <v>13</v>
      </c>
      <c r="J7120" s="3" t="s">
        <v>20436</v>
      </c>
      <c r="K7120" s="3" t="s">
        <v>2117</v>
      </c>
      <c r="L7120" s="3" t="str">
        <f>IFERROR(__xludf.DUMMYFUNCTION("GOOGLETRANSLATE(F7120,""id"",""en"")"),"in the framework of Argentina champion wkwk")</f>
        <v>in the framework of Argentina champion wkwk</v>
      </c>
    </row>
    <row r="7121" ht="15.75" customHeight="1">
      <c r="A7121" s="1">
        <v>8326.0</v>
      </c>
      <c r="B7121" s="3" t="s">
        <v>20437</v>
      </c>
      <c r="C7121" s="3">
        <v>0.0</v>
      </c>
      <c r="D7121" s="3">
        <v>0.0</v>
      </c>
      <c r="E7121" s="3">
        <v>1.0</v>
      </c>
      <c r="F7121" s="3" t="s">
        <v>20438</v>
      </c>
      <c r="G7121" s="3">
        <v>0.0</v>
      </c>
      <c r="H7121" s="3">
        <v>0.0</v>
      </c>
      <c r="I7121" s="3" t="s">
        <v>13</v>
      </c>
      <c r="J7121" s="3" t="s">
        <v>20439</v>
      </c>
      <c r="K7121" s="3" t="s">
        <v>14571</v>
      </c>
      <c r="L7121" s="3" t="str">
        <f>IFERROR(__xludf.DUMMYFUNCTION("GOOGLETRANSLATE(F7121,""id"",""en"")"),"funny anjirrr")</f>
        <v>funny anjirrr</v>
      </c>
    </row>
    <row r="7122" ht="15.75" customHeight="1">
      <c r="A7122" s="1">
        <v>8327.0</v>
      </c>
      <c r="B7122" s="3" t="s">
        <v>20440</v>
      </c>
      <c r="C7122" s="3">
        <v>0.0</v>
      </c>
      <c r="D7122" s="3">
        <v>0.0</v>
      </c>
      <c r="E7122" s="3">
        <v>0.0</v>
      </c>
      <c r="F7122" s="3" t="s">
        <v>20441</v>
      </c>
      <c r="G7122" s="3">
        <v>0.0</v>
      </c>
      <c r="H7122" s="3">
        <v>0.0</v>
      </c>
      <c r="I7122" s="3" t="s">
        <v>13</v>
      </c>
      <c r="J7122" s="3" t="s">
        <v>20442</v>
      </c>
      <c r="K7122" s="3" t="s">
        <v>823</v>
      </c>
      <c r="L7122" s="3" t="str">
        <f>IFERROR(__xludf.DUMMYFUNCTION("GOOGLETRANSLATE(F7122,""id"",""en"")"),"Tuesday football reports from BeritaMedia Penampilana Emi Martinez World Cup is a big key to the success of Argentina to win Emiliano Martinez's performance during the World Cup has opened speculation to pull out from Aston")</f>
        <v>Tuesday football reports from BeritaMedia Penampilana Emi Martinez World Cup is a big key to the success of Argentina to win Emiliano Martinez's performance during the World Cup has opened speculation to pull out from Aston</v>
      </c>
    </row>
    <row r="7123" ht="15.75" customHeight="1">
      <c r="A7123" s="1">
        <v>8328.0</v>
      </c>
      <c r="B7123" s="3" t="s">
        <v>20443</v>
      </c>
      <c r="C7123" s="3">
        <v>2.0</v>
      </c>
      <c r="D7123" s="3">
        <v>0.0</v>
      </c>
      <c r="E7123" s="3">
        <v>8.0</v>
      </c>
      <c r="F7123" s="3" t="s">
        <v>20444</v>
      </c>
      <c r="G7123" s="3">
        <v>1.0</v>
      </c>
      <c r="H7123" s="3">
        <v>0.0</v>
      </c>
      <c r="I7123" s="3" t="s">
        <v>13</v>
      </c>
      <c r="J7123" s="3" t="s">
        <v>20445</v>
      </c>
      <c r="K7123" s="3" t="s">
        <v>240</v>
      </c>
      <c r="L7123" s="3" t="str">
        <f>IFERROR(__xludf.DUMMYFUNCTION("GOOGLETRANSLATE(F7123,""id"",""en"")"),"Benzema is deliberately invited so that Argentina's championship plans are failing to prove that the final is only mbampe who wants France to win")</f>
        <v>Benzema is deliberately invited so that Argentina's championship plans are failing to prove that the final is only mbampe who wants France to win</v>
      </c>
    </row>
    <row r="7124" ht="15.75" customHeight="1">
      <c r="A7124" s="1">
        <v>8329.0</v>
      </c>
      <c r="B7124" s="3" t="s">
        <v>20446</v>
      </c>
      <c r="C7124" s="3">
        <v>0.0</v>
      </c>
      <c r="D7124" s="3">
        <v>0.0</v>
      </c>
      <c r="E7124" s="3">
        <v>0.0</v>
      </c>
      <c r="F7124" s="3" t="s">
        <v>20447</v>
      </c>
      <c r="G7124" s="3">
        <v>0.0</v>
      </c>
      <c r="H7124" s="3">
        <v>0.0</v>
      </c>
      <c r="I7124" s="3" t="s">
        <v>13</v>
      </c>
      <c r="J7124" s="3" t="s">
        <v>20448</v>
      </c>
      <c r="K7124" s="3" t="s">
        <v>510</v>
      </c>
      <c r="L7124" s="3" t="str">
        <f>IFERROR(__xludf.DUMMYFUNCTION("GOOGLETRANSLATE(F7124,""id"",""en"")"),"the joke of butt netizens Varane Helps Argentina World Cup Champion DetikSport Google News Sports News")</f>
        <v>the joke of butt netizens Varane Helps Argentina World Cup Champion DetikSport Google News Sports News</v>
      </c>
    </row>
    <row r="7125" ht="15.75" customHeight="1">
      <c r="A7125" s="1">
        <v>8330.0</v>
      </c>
      <c r="B7125" s="3" t="s">
        <v>20449</v>
      </c>
      <c r="C7125" s="3">
        <v>0.0</v>
      </c>
      <c r="D7125" s="3">
        <v>0.0</v>
      </c>
      <c r="E7125" s="3">
        <v>0.0</v>
      </c>
      <c r="F7125" s="3" t="s">
        <v>20450</v>
      </c>
      <c r="G7125" s="3">
        <v>0.0</v>
      </c>
      <c r="H7125" s="3">
        <v>0.0</v>
      </c>
      <c r="I7125" s="3" t="s">
        <v>13</v>
      </c>
      <c r="J7125" s="3" t="s">
        <v>20451</v>
      </c>
      <c r="K7125" s="3" t="s">
        <v>75</v>
      </c>
      <c r="L7125" s="3" t="str">
        <f>IFERROR(__xludf.DUMMYFUNCTION("GOOGLETRANSLATE(F7125,""id"",""en"")"),"The reaction of Cristiano Ronaldo's sister after Argentina Champion World Cup")</f>
        <v>The reaction of Cristiano Ronaldo's sister after Argentina Champion World Cup</v>
      </c>
    </row>
    <row r="7126" ht="15.75" customHeight="1">
      <c r="A7126" s="1">
        <v>8331.0</v>
      </c>
      <c r="B7126" s="3" t="s">
        <v>20452</v>
      </c>
      <c r="C7126" s="3">
        <v>0.0</v>
      </c>
      <c r="D7126" s="3">
        <v>0.0</v>
      </c>
      <c r="E7126" s="3">
        <v>1.0</v>
      </c>
      <c r="F7126" s="3" t="s">
        <v>20453</v>
      </c>
      <c r="G7126" s="3">
        <v>0.0</v>
      </c>
      <c r="H7126" s="3">
        <v>0.0</v>
      </c>
      <c r="I7126" s="3" t="s">
        <v>13</v>
      </c>
      <c r="J7126" s="3" t="s">
        <v>20454</v>
      </c>
      <c r="K7126" s="3" t="s">
        <v>240</v>
      </c>
      <c r="L7126" s="3" t="str">
        <f>IFERROR(__xludf.DUMMYFUNCTION("GOOGLETRANSLATE(F7126,""id"",""en"")"),"Politics is like a soccer game initially Argentina lost to Saudi Arabia, he didn't know now")</f>
        <v>Politics is like a soccer game initially Argentina lost to Saudi Arabia, he didn't know now</v>
      </c>
    </row>
    <row r="7127" ht="15.75" customHeight="1">
      <c r="A7127" s="1">
        <v>8332.0</v>
      </c>
      <c r="B7127" s="3" t="s">
        <v>20455</v>
      </c>
      <c r="C7127" s="3">
        <v>0.0</v>
      </c>
      <c r="D7127" s="3">
        <v>0.0</v>
      </c>
      <c r="E7127" s="3">
        <v>0.0</v>
      </c>
      <c r="F7127" s="3" t="s">
        <v>20456</v>
      </c>
      <c r="G7127" s="3">
        <v>0.0</v>
      </c>
      <c r="H7127" s="3">
        <v>0.0</v>
      </c>
      <c r="I7127" s="3" t="s">
        <v>13</v>
      </c>
      <c r="J7127" s="3" t="s">
        <v>20457</v>
      </c>
      <c r="K7127" s="3" t="s">
        <v>75</v>
      </c>
      <c r="L7127" s="3" t="str">
        <f>IFERROR(__xludf.DUMMYFUNCTION("GOOGLETRANSLATE(F7127,""id"",""en"")"),"Epect Argentina Champion to this day the threat is still the same as not eating worthy of the next two weeks")</f>
        <v>Epect Argentina Champion to this day the threat is still the same as not eating worthy of the next two weeks</v>
      </c>
    </row>
    <row r="7128" ht="15.75" customHeight="1">
      <c r="A7128" s="1">
        <v>8333.0</v>
      </c>
      <c r="B7128" s="3" t="s">
        <v>20458</v>
      </c>
      <c r="C7128" s="3">
        <v>0.0</v>
      </c>
      <c r="D7128" s="3">
        <v>0.0</v>
      </c>
      <c r="E7128" s="3">
        <v>3.0</v>
      </c>
      <c r="F7128" s="3" t="s">
        <v>20459</v>
      </c>
      <c r="G7128" s="3">
        <v>0.0</v>
      </c>
      <c r="H7128" s="3">
        <v>0.0</v>
      </c>
      <c r="I7128" s="3" t="s">
        <v>13</v>
      </c>
      <c r="J7128" s="3" t="s">
        <v>20460</v>
      </c>
      <c r="K7128" s="3" t="s">
        <v>495</v>
      </c>
      <c r="L7128" s="3" t="str">
        <f>IFERROR(__xludf.DUMMYFUNCTION("GOOGLETRANSLATE(F7128,""id"",""en"")"),"Lionel Messi and Argentina's squad have returned and immediately held the World Cup championship trophy there was a moment of Pulga almost caught in an electric cable")</f>
        <v>Lionel Messi and Argentina's squad have returned and immediately held the World Cup championship trophy there was a moment of Pulga almost caught in an electric cable</v>
      </c>
    </row>
    <row r="7129" ht="15.75" customHeight="1">
      <c r="A7129" s="1">
        <v>8334.0</v>
      </c>
      <c r="B7129" s="3" t="s">
        <v>20461</v>
      </c>
      <c r="C7129" s="3">
        <v>1.0</v>
      </c>
      <c r="D7129" s="3">
        <v>0.0</v>
      </c>
      <c r="E7129" s="3">
        <v>15.0</v>
      </c>
      <c r="F7129" s="3" t="s">
        <v>20462</v>
      </c>
      <c r="G7129" s="3">
        <v>0.0</v>
      </c>
      <c r="H7129" s="3">
        <v>0.0</v>
      </c>
      <c r="I7129" s="3" t="s">
        <v>13</v>
      </c>
      <c r="J7129" s="3" t="s">
        <v>20463</v>
      </c>
      <c r="K7129" s="3" t="s">
        <v>358</v>
      </c>
      <c r="L7129" s="3" t="str">
        <f>IFERROR(__xludf.DUMMYFUNCTION("GOOGLETRANSLATE(F7129,""id"",""en"")"),"How come he is high than Lautaro Lautaro, it's still useful, min for exe penalty without His Majesty Lautaro Argentina, maybe the champion is ahh.")</f>
        <v>How come he is high than Lautaro Lautaro, it's still useful, min for exe penalty without His Majesty Lautaro Argentina, maybe the champion is ahh.</v>
      </c>
    </row>
    <row r="7130" ht="15.75" customHeight="1">
      <c r="A7130" s="1">
        <v>8335.0</v>
      </c>
      <c r="B7130" s="3" t="s">
        <v>20464</v>
      </c>
      <c r="C7130" s="3">
        <v>0.0</v>
      </c>
      <c r="D7130" s="3">
        <v>0.0</v>
      </c>
      <c r="E7130" s="3">
        <v>0.0</v>
      </c>
      <c r="F7130" s="3" t="s">
        <v>20465</v>
      </c>
      <c r="G7130" s="3">
        <v>0.5</v>
      </c>
      <c r="H7130" s="3">
        <v>0.5</v>
      </c>
      <c r="I7130" s="3" t="s">
        <v>48</v>
      </c>
      <c r="J7130" s="3" t="s">
        <v>20466</v>
      </c>
      <c r="K7130" s="3" t="s">
        <v>20467</v>
      </c>
      <c r="L7130" s="3" t="str">
        <f>IFERROR(__xludf.DUMMYFUNCTION("GOOGLETRANSLATE(F7130,""id"",""en"")"),"Argentina Champion World Cup World Cup Argentina Top Scorer Mario Kempes World Cup Mexico Top Scorer Diego Maradona World Cup Qatar Top Scorer Lionel Messi")</f>
        <v>Argentina Champion World Cup World Cup Argentina Top Scorer Mario Kempes World Cup Mexico Top Scorer Diego Maradona World Cup Qatar Top Scorer Lionel Messi</v>
      </c>
    </row>
    <row r="7131" ht="15.75" customHeight="1">
      <c r="A7131" s="1">
        <v>8336.0</v>
      </c>
      <c r="B7131" s="3" t="s">
        <v>20468</v>
      </c>
      <c r="C7131" s="3">
        <v>0.0</v>
      </c>
      <c r="D7131" s="3">
        <v>0.0</v>
      </c>
      <c r="E7131" s="3">
        <v>0.0</v>
      </c>
      <c r="F7131" s="3" t="s">
        <v>20469</v>
      </c>
      <c r="G7131" s="3">
        <v>0.0</v>
      </c>
      <c r="H7131" s="3">
        <v>0.0</v>
      </c>
      <c r="I7131" s="3" t="s">
        <v>13</v>
      </c>
      <c r="J7131" s="3" t="s">
        <v>20470</v>
      </c>
      <c r="K7131" s="3" t="s">
        <v>236</v>
      </c>
      <c r="L7131" s="3" t="str">
        <f>IFERROR(__xludf.DUMMYFUNCTION("GOOGLETRANSLATE(F7131,""id"",""en"")"),"Seconds video seconds Messi was almost crucified during the Argentine championship parade")</f>
        <v>Seconds video seconds Messi was almost crucified during the Argentine championship parade</v>
      </c>
    </row>
    <row r="7132" ht="15.75" customHeight="1">
      <c r="A7132" s="1">
        <v>8337.0</v>
      </c>
      <c r="B7132" s="3" t="s">
        <v>20471</v>
      </c>
      <c r="C7132" s="3">
        <v>0.0</v>
      </c>
      <c r="D7132" s="3">
        <v>0.0</v>
      </c>
      <c r="E7132" s="3">
        <v>0.0</v>
      </c>
      <c r="F7132" s="3" t="s">
        <v>20472</v>
      </c>
      <c r="G7132" s="3">
        <v>0.0</v>
      </c>
      <c r="H7132" s="3">
        <v>0.0</v>
      </c>
      <c r="I7132" s="3" t="s">
        <v>13</v>
      </c>
      <c r="J7132" s="3" t="s">
        <v>20473</v>
      </c>
      <c r="K7132" s="3" t="s">
        <v>942</v>
      </c>
      <c r="L7132" s="3" t="str">
        <f>IFERROR(__xludf.DUMMYFUNCTION("GOOGLETRANSLATE(F7132,""id"",""en"")"),"However, the true champion of Saudi Arabia because Argentina lost to Saudi Arabia undeniable")</f>
        <v>However, the true champion of Saudi Arabia because Argentina lost to Saudi Arabia undeniable</v>
      </c>
    </row>
    <row r="7133" ht="15.75" customHeight="1">
      <c r="A7133" s="1">
        <v>8338.0</v>
      </c>
      <c r="B7133" s="3" t="s">
        <v>20474</v>
      </c>
      <c r="C7133" s="3">
        <v>0.0</v>
      </c>
      <c r="D7133" s="3">
        <v>0.0</v>
      </c>
      <c r="E7133" s="3">
        <v>0.0</v>
      </c>
      <c r="F7133" s="3" t="s">
        <v>20475</v>
      </c>
      <c r="G7133" s="3">
        <v>0.0</v>
      </c>
      <c r="H7133" s="3">
        <v>0.0</v>
      </c>
      <c r="I7133" s="3" t="s">
        <v>13</v>
      </c>
      <c r="J7133" s="3" t="s">
        <v>20476</v>
      </c>
      <c r="K7133" s="3" t="s">
        <v>19</v>
      </c>
      <c r="L7133" s="3" t="str">
        <f>IFERROR(__xludf.DUMMYFUNCTION("GOOGLETRANSLATE(F7133,""id"",""en"")"),"The Argentine national team received a prize of USD million trillion after becoming the World Cup championship")</f>
        <v>The Argentine national team received a prize of USD million trillion after becoming the World Cup championship</v>
      </c>
    </row>
    <row r="7134" ht="15.75" customHeight="1">
      <c r="A7134" s="1">
        <v>8339.0</v>
      </c>
      <c r="B7134" s="3" t="s">
        <v>20477</v>
      </c>
      <c r="C7134" s="3">
        <v>0.0</v>
      </c>
      <c r="D7134" s="3">
        <v>0.0</v>
      </c>
      <c r="E7134" s="3">
        <v>0.0</v>
      </c>
      <c r="F7134" s="3" t="s">
        <v>20478</v>
      </c>
      <c r="G7134" s="3">
        <v>0.0</v>
      </c>
      <c r="H7134" s="3">
        <v>0.0</v>
      </c>
      <c r="I7134" s="3" t="s">
        <v>13</v>
      </c>
      <c r="J7134" s="3" t="s">
        <v>20479</v>
      </c>
      <c r="K7134" s="3" t="s">
        <v>699</v>
      </c>
      <c r="L7134" s="3" t="str">
        <f>IFERROR(__xludf.DUMMYFUNCTION("GOOGLETRANSLATE(F7134,""id"",""en"")"),"Lionel Messi brought the Argentine national team to the Qatar World Cup champion he also uploaded a photo of him sleeping with the World Cup trophy")</f>
        <v>Lionel Messi brought the Argentine national team to the Qatar World Cup champion he also uploaded a photo of him sleeping with the World Cup trophy</v>
      </c>
    </row>
    <row r="7135" ht="15.75" customHeight="1">
      <c r="A7135" s="1">
        <v>8340.0</v>
      </c>
      <c r="B7135" s="3" t="s">
        <v>20480</v>
      </c>
      <c r="C7135" s="3">
        <v>0.0</v>
      </c>
      <c r="D7135" s="3">
        <v>0.0</v>
      </c>
      <c r="E7135" s="3">
        <v>0.0</v>
      </c>
      <c r="F7135" s="3" t="s">
        <v>20481</v>
      </c>
      <c r="G7135" s="3">
        <v>0.0</v>
      </c>
      <c r="H7135" s="3">
        <v>0.0</v>
      </c>
      <c r="I7135" s="3" t="s">
        <v>13</v>
      </c>
      <c r="J7135" s="3" t="s">
        <v>20482</v>
      </c>
      <c r="K7135" s="3" t="s">
        <v>433</v>
      </c>
      <c r="L7135" s="3" t="str">
        <f>IFERROR(__xludf.DUMMYFUNCTION("GOOGLETRANSLATE(F7135,""id"",""en"")"),"The most Gacor French national team scored the most goals to beat the Argentine championship")</f>
        <v>The most Gacor French national team scored the most goals to beat the Argentine championship</v>
      </c>
    </row>
    <row r="7136" ht="15.75" customHeight="1">
      <c r="A7136" s="1">
        <v>8341.0</v>
      </c>
      <c r="B7136" s="3" t="s">
        <v>20483</v>
      </c>
      <c r="C7136" s="3">
        <v>0.0</v>
      </c>
      <c r="D7136" s="3">
        <v>0.0</v>
      </c>
      <c r="E7136" s="3">
        <v>0.0</v>
      </c>
      <c r="F7136" s="3" t="s">
        <v>20484</v>
      </c>
      <c r="G7136" s="3">
        <v>0.0</v>
      </c>
      <c r="H7136" s="3">
        <v>0.0</v>
      </c>
      <c r="I7136" s="3" t="s">
        <v>13</v>
      </c>
      <c r="J7136" s="3" t="s">
        <v>20485</v>
      </c>
      <c r="K7136" s="3" t="s">
        <v>1887</v>
      </c>
      <c r="L7136" s="3" t="str">
        <f>IFERROR(__xludf.DUMMYFUNCTION("GOOGLETRANSLATE(F7136,""id"",""en"")"),"Nakula according to me is not Argentina, but Onel Essi is a bearded man in the city of Buenos Aires, receiving the Gold Cup Qatar World Cup Championship")</f>
        <v>Nakula according to me is not Argentina, but Onel Essi is a bearded man in the city of Buenos Aires, receiving the Gold Cup Qatar World Cup Championship</v>
      </c>
    </row>
    <row r="7137" ht="15.75" customHeight="1">
      <c r="A7137" s="1">
        <v>8342.0</v>
      </c>
      <c r="B7137" s="3" t="s">
        <v>20486</v>
      </c>
      <c r="C7137" s="3">
        <v>0.0</v>
      </c>
      <c r="D7137" s="3">
        <v>0.0</v>
      </c>
      <c r="E7137" s="3">
        <v>6.0</v>
      </c>
      <c r="F7137" s="3" t="s">
        <v>20487</v>
      </c>
      <c r="G7137" s="3">
        <v>0.0</v>
      </c>
      <c r="H7137" s="3">
        <v>0.0</v>
      </c>
      <c r="I7137" s="3" t="s">
        <v>13</v>
      </c>
      <c r="J7137" s="3" t="s">
        <v>20488</v>
      </c>
      <c r="K7137" s="3" t="s">
        <v>71</v>
      </c>
      <c r="L7137" s="3" t="str">
        <f>IFERROR(__xludf.DUMMYFUNCTION("GOOGLETRANSLATE(F7137,""id"",""en"")"),"The hardest and bitter moments had been over to the end until finally Maria managed to deliver Argentina World Cup champions")</f>
        <v>The hardest and bitter moments had been over to the end until finally Maria managed to deliver Argentina World Cup champions</v>
      </c>
    </row>
    <row r="7138" ht="15.75" customHeight="1">
      <c r="A7138" s="1">
        <v>8343.0</v>
      </c>
      <c r="B7138" s="3" t="s">
        <v>20489</v>
      </c>
      <c r="C7138" s="3">
        <v>2.0</v>
      </c>
      <c r="D7138" s="3">
        <v>10.0</v>
      </c>
      <c r="E7138" s="3">
        <v>32.0</v>
      </c>
      <c r="F7138" s="3" t="s">
        <v>20490</v>
      </c>
      <c r="G7138" s="3">
        <v>0.0</v>
      </c>
      <c r="H7138" s="3">
        <v>0.0</v>
      </c>
      <c r="I7138" s="3" t="s">
        <v>13</v>
      </c>
      <c r="J7138" s="3" t="s">
        <v>20491</v>
      </c>
      <c r="K7138" s="3" t="s">
        <v>75</v>
      </c>
      <c r="L7138" s="3" t="str">
        <f>IFERROR(__xludf.DUMMYFUNCTION("GOOGLETRANSLATE(F7138,""id"",""en"")"),"Angel Maria, the son of charcoal sellers delivering Argentina World Cup champions")</f>
        <v>Angel Maria, the son of charcoal sellers delivering Argentina World Cup champions</v>
      </c>
    </row>
    <row r="7139" ht="15.75" customHeight="1">
      <c r="A7139" s="1">
        <v>8344.0</v>
      </c>
      <c r="B7139" s="3" t="s">
        <v>20492</v>
      </c>
      <c r="C7139" s="3">
        <v>0.0</v>
      </c>
      <c r="D7139" s="3">
        <v>0.0</v>
      </c>
      <c r="E7139" s="3">
        <v>0.0</v>
      </c>
      <c r="F7139" s="3" t="s">
        <v>20493</v>
      </c>
      <c r="G7139" s="3">
        <v>0.0</v>
      </c>
      <c r="H7139" s="3">
        <v>0.0</v>
      </c>
      <c r="I7139" s="3" t="s">
        <v>13</v>
      </c>
      <c r="J7139" s="3" t="s">
        <v>20494</v>
      </c>
      <c r="K7139" s="3" t="s">
        <v>1566</v>
      </c>
      <c r="L7139" s="3" t="str">
        <f>IFERROR(__xludf.DUMMYFUNCTION("GOOGLETRANSLATE(F7139,""id"",""en"")"),"When I defeated, I didn't become a champion, it's better to become a champion of Argentina.")</f>
        <v>When I defeated, I didn't become a champion, it's better to become a champion of Argentina.</v>
      </c>
    </row>
    <row r="7140" ht="15.75" customHeight="1">
      <c r="A7140" s="1">
        <v>8345.0</v>
      </c>
      <c r="B7140" s="3" t="s">
        <v>20495</v>
      </c>
      <c r="C7140" s="3">
        <v>0.0</v>
      </c>
      <c r="D7140" s="3">
        <v>0.0</v>
      </c>
      <c r="E7140" s="3">
        <v>0.0</v>
      </c>
      <c r="F7140" s="3" t="s">
        <v>20496</v>
      </c>
      <c r="G7140" s="3">
        <v>0.0</v>
      </c>
      <c r="H7140" s="3">
        <v>0.0</v>
      </c>
      <c r="I7140" s="3" t="s">
        <v>13</v>
      </c>
      <c r="J7140" s="3" t="s">
        <v>20497</v>
      </c>
      <c r="K7140" s="3" t="s">
        <v>510</v>
      </c>
      <c r="L7140" s="3" t="str">
        <f>IFERROR(__xludf.DUMMYFUNCTION("GOOGLETRANSLATE(F7140,""id"",""en"")"),"Everyone praised Messi even though Argentina won because of Martinez's penalties, the real heroes")</f>
        <v>Everyone praised Messi even though Argentina won because of Martinez's penalties, the real heroes</v>
      </c>
    </row>
    <row r="7141" ht="15.75" customHeight="1">
      <c r="A7141" s="1">
        <v>8346.0</v>
      </c>
      <c r="B7141" s="3" t="s">
        <v>20498</v>
      </c>
      <c r="C7141" s="3">
        <v>0.0</v>
      </c>
      <c r="D7141" s="3">
        <v>0.0</v>
      </c>
      <c r="E7141" s="3">
        <v>0.0</v>
      </c>
      <c r="F7141" s="3" t="s">
        <v>20499</v>
      </c>
      <c r="G7141" s="3">
        <v>0.0</v>
      </c>
      <c r="H7141" s="3">
        <v>0.0</v>
      </c>
      <c r="I7141" s="3" t="s">
        <v>13</v>
      </c>
      <c r="J7141" s="3" t="s">
        <v>20500</v>
      </c>
      <c r="K7141" s="3" t="s">
        <v>244</v>
      </c>
      <c r="L7141" s="3" t="str">
        <f>IFERROR(__xludf.DUMMYFUNCTION("GOOGLETRANSLATE(F7141,""id"",""en"")"),"sorry for his friend Messi champion Argentina who was discussed only Messi patiently son")</f>
        <v>sorry for his friend Messi champion Argentina who was discussed only Messi patiently son</v>
      </c>
    </row>
    <row r="7142" ht="15.75" customHeight="1">
      <c r="A7142" s="1">
        <v>8347.0</v>
      </c>
      <c r="B7142" s="3" t="s">
        <v>20501</v>
      </c>
      <c r="C7142" s="3">
        <v>0.0</v>
      </c>
      <c r="D7142" s="3">
        <v>0.0</v>
      </c>
      <c r="E7142" s="3">
        <v>1.0</v>
      </c>
      <c r="F7142" s="3" t="s">
        <v>20459</v>
      </c>
      <c r="G7142" s="3">
        <v>0.0</v>
      </c>
      <c r="H7142" s="3">
        <v>0.0</v>
      </c>
      <c r="I7142" s="3" t="s">
        <v>13</v>
      </c>
      <c r="J7142" s="3" t="s">
        <v>20460</v>
      </c>
      <c r="K7142" s="3" t="s">
        <v>495</v>
      </c>
      <c r="L7142" s="3" t="str">
        <f>IFERROR(__xludf.DUMMYFUNCTION("GOOGLETRANSLATE(F7142,""id"",""en"")"),"Lionel Messi and Argentina's squad have returned and immediately held the World Cup championship trophy there was a moment of Pulga almost caught in an electric cable")</f>
        <v>Lionel Messi and Argentina's squad have returned and immediately held the World Cup championship trophy there was a moment of Pulga almost caught in an electric cable</v>
      </c>
    </row>
    <row r="7143" ht="15.75" customHeight="1">
      <c r="A7143" s="1">
        <v>8348.0</v>
      </c>
      <c r="B7143" s="3" t="s">
        <v>20502</v>
      </c>
      <c r="C7143" s="3">
        <v>0.0</v>
      </c>
      <c r="D7143" s="3">
        <v>1.0</v>
      </c>
      <c r="E7143" s="3">
        <v>0.0</v>
      </c>
      <c r="F7143" s="3" t="s">
        <v>20503</v>
      </c>
      <c r="G7143" s="3">
        <v>0.0</v>
      </c>
      <c r="H7143" s="3">
        <v>0.0</v>
      </c>
      <c r="I7143" s="3" t="s">
        <v>13</v>
      </c>
      <c r="J7143" s="3" t="s">
        <v>20504</v>
      </c>
      <c r="K7143" s="3" t="s">
        <v>54</v>
      </c>
      <c r="L7143" s="3" t="str">
        <f>IFERROR(__xludf.DUMMYFUNCTION("GOOGLETRANSLATE(F7143,""id"",""en"")"),"portrait of the celebration of Argentina Buenos Aires champions")</f>
        <v>portrait of the celebration of Argentina Buenos Aires champions</v>
      </c>
    </row>
    <row r="7144" ht="15.75" customHeight="1">
      <c r="A7144" s="1">
        <v>8349.0</v>
      </c>
      <c r="B7144" s="3" t="s">
        <v>20505</v>
      </c>
      <c r="C7144" s="3">
        <v>0.0</v>
      </c>
      <c r="D7144" s="3">
        <v>0.0</v>
      </c>
      <c r="E7144" s="3">
        <v>1.0</v>
      </c>
      <c r="F7144" s="3" t="s">
        <v>20506</v>
      </c>
      <c r="G7144" s="3">
        <v>0.0</v>
      </c>
      <c r="H7144" s="3">
        <v>0.0</v>
      </c>
      <c r="I7144" s="3" t="s">
        <v>13</v>
      </c>
      <c r="J7144" s="3" t="s">
        <v>20507</v>
      </c>
      <c r="K7144" s="3" t="s">
        <v>71</v>
      </c>
      <c r="L7144" s="3" t="str">
        <f>IFERROR(__xludf.DUMMYFUNCTION("GOOGLETRANSLATE(F7144,""id"",""en"")"),"The female audience is desperate to take off clothes as soon as Argentina champions of the Qatar World Cup also read the course of the match")</f>
        <v>The female audience is desperate to take off clothes as soon as Argentina champions of the Qatar World Cup also read the course of the match</v>
      </c>
    </row>
    <row r="7145" ht="15.75" customHeight="1">
      <c r="A7145" s="1">
        <v>8350.0</v>
      </c>
      <c r="B7145" s="3" t="s">
        <v>20508</v>
      </c>
      <c r="C7145" s="3">
        <v>1.0</v>
      </c>
      <c r="D7145" s="3">
        <v>0.0</v>
      </c>
      <c r="E7145" s="3">
        <v>0.0</v>
      </c>
      <c r="F7145" s="3" t="s">
        <v>20509</v>
      </c>
      <c r="G7145" s="3">
        <v>0.0</v>
      </c>
      <c r="H7145" s="3">
        <v>0.0</v>
      </c>
      <c r="I7145" s="3" t="s">
        <v>13</v>
      </c>
      <c r="J7145" s="3" t="s">
        <v>20510</v>
      </c>
      <c r="K7145" s="3" t="s">
        <v>41</v>
      </c>
      <c r="L7145" s="3" t="str">
        <f>IFERROR(__xludf.DUMMYFUNCTION("GOOGLETRANSLATE(F7145,""id"",""en"")"),"even though he's the only world cup champion player for Argentina")</f>
        <v>even though he's the only world cup champion player for Argentina</v>
      </c>
    </row>
    <row r="7146" ht="15.75" customHeight="1">
      <c r="A7146" s="1">
        <v>8351.0</v>
      </c>
      <c r="B7146" s="3" t="s">
        <v>20511</v>
      </c>
      <c r="C7146" s="3">
        <v>0.0</v>
      </c>
      <c r="D7146" s="3">
        <v>0.0</v>
      </c>
      <c r="E7146" s="3">
        <v>0.0</v>
      </c>
      <c r="F7146" s="3" t="s">
        <v>20512</v>
      </c>
      <c r="G7146" s="3">
        <v>0.0</v>
      </c>
      <c r="H7146" s="3">
        <v>0.0</v>
      </c>
      <c r="I7146" s="3" t="s">
        <v>13</v>
      </c>
      <c r="J7146" s="3" t="s">
        <v>20513</v>
      </c>
      <c r="K7146" s="3" t="s">
        <v>15</v>
      </c>
      <c r="L7146" s="3" t="str">
        <f>IFERROR(__xludf.DUMMYFUNCTION("GOOGLETRANSLATE(F7146,""id"",""en"")"),"And I can only answer hehe but Germany Argentina champion wkwkwk")</f>
        <v>And I can only answer hehe but Germany Argentina champion wkwkwk</v>
      </c>
    </row>
    <row r="7147" ht="15.75" customHeight="1">
      <c r="A7147" s="1">
        <v>8352.0</v>
      </c>
      <c r="B7147" s="3" t="s">
        <v>20514</v>
      </c>
      <c r="C7147" s="3">
        <v>0.0</v>
      </c>
      <c r="D7147" s="3">
        <v>0.0</v>
      </c>
      <c r="E7147" s="3">
        <v>0.0</v>
      </c>
      <c r="F7147" s="3" t="s">
        <v>20515</v>
      </c>
      <c r="G7147" s="3">
        <v>0.0</v>
      </c>
      <c r="H7147" s="3">
        <v>0.0</v>
      </c>
      <c r="I7147" s="3" t="s">
        <v>13</v>
      </c>
      <c r="J7147" s="3" t="s">
        <v>20516</v>
      </c>
      <c r="K7147" s="3" t="s">
        <v>41</v>
      </c>
      <c r="L7147" s="3" t="str">
        <f>IFERROR(__xludf.DUMMYFUNCTION("GOOGLETRANSLATE(F7147,""id"",""en"")"),"Meh Seng champion Argentina France Brazil but I'm still England")</f>
        <v>Meh Seng champion Argentina France Brazil but I'm still England</v>
      </c>
    </row>
    <row r="7148" ht="15.75" customHeight="1">
      <c r="A7148" s="1">
        <v>8353.0</v>
      </c>
      <c r="B7148" s="3" t="s">
        <v>20517</v>
      </c>
      <c r="C7148" s="3">
        <v>1.0</v>
      </c>
      <c r="D7148" s="3">
        <v>0.0</v>
      </c>
      <c r="E7148" s="3">
        <v>0.0</v>
      </c>
      <c r="F7148" s="3" t="s">
        <v>20518</v>
      </c>
      <c r="G7148" s="3">
        <v>0.0</v>
      </c>
      <c r="H7148" s="3">
        <v>0.0</v>
      </c>
      <c r="I7148" s="3" t="s">
        <v>13</v>
      </c>
      <c r="J7148" s="3" t="s">
        <v>20519</v>
      </c>
      <c r="K7148" s="3" t="s">
        <v>50</v>
      </c>
      <c r="L7148" s="3" t="str">
        <f>IFERROR(__xludf.DUMMYFUNCTION("GOOGLETRANSLATE(F7148,""id"",""en"")"),"huhu yeah, it's really bad when I want to be a Piludun injury where is the Argentina champion again")</f>
        <v>huhu yeah, it's really bad when I want to be a Piludun injury where is the Argentina champion again</v>
      </c>
    </row>
    <row r="7149" ht="15.75" customHeight="1">
      <c r="A7149" s="1">
        <v>8354.0</v>
      </c>
      <c r="B7149" s="3" t="s">
        <v>20520</v>
      </c>
      <c r="C7149" s="3">
        <v>0.0</v>
      </c>
      <c r="D7149" s="3">
        <v>0.0</v>
      </c>
      <c r="E7149" s="3">
        <v>0.0</v>
      </c>
      <c r="F7149" s="3" t="s">
        <v>20521</v>
      </c>
      <c r="G7149" s="3">
        <v>0.0</v>
      </c>
      <c r="H7149" s="3">
        <v>0.0</v>
      </c>
      <c r="I7149" s="3" t="s">
        <v>13</v>
      </c>
      <c r="J7149" s="3" t="s">
        <v>20522</v>
      </c>
      <c r="K7149" s="3" t="s">
        <v>50</v>
      </c>
      <c r="L7149" s="3" t="str">
        <f>IFERROR(__xludf.DUMMYFUNCTION("GOOGLETRANSLATE(F7149,""id"",""en"")"),"Cristiano Ronaldo's girlfriend was highlighted by netizens after Argentina, what's the World Cup champion")</f>
        <v>Cristiano Ronaldo's girlfriend was highlighted by netizens after Argentina, what's the World Cup champion</v>
      </c>
    </row>
    <row r="7150" ht="15.75" customHeight="1">
      <c r="A7150" s="1">
        <v>8355.0</v>
      </c>
      <c r="B7150" s="3" t="s">
        <v>20523</v>
      </c>
      <c r="C7150" s="3">
        <v>0.0</v>
      </c>
      <c r="D7150" s="3">
        <v>0.0</v>
      </c>
      <c r="E7150" s="3">
        <v>0.0</v>
      </c>
      <c r="F7150" s="3" t="s">
        <v>20524</v>
      </c>
      <c r="G7150" s="3">
        <v>0.0</v>
      </c>
      <c r="H7150" s="3">
        <v>0.0</v>
      </c>
      <c r="I7150" s="3" t="s">
        <v>13</v>
      </c>
      <c r="J7150" s="3" t="s">
        <v>20525</v>
      </c>
      <c r="K7150" s="3" t="s">
        <v>15</v>
      </c>
      <c r="L7150" s="3" t="str">
        <f>IFERROR(__xludf.DUMMYFUNCTION("GOOGLETRANSLATE(F7150,""id"",""en"")"),"Argentina Champion Brother Cristiano Ronaldo World Cup The worst")</f>
        <v>Argentina Champion Brother Cristiano Ronaldo World Cup The worst</v>
      </c>
    </row>
    <row r="7151" ht="15.75" customHeight="1">
      <c r="A7151" s="1">
        <v>8356.0</v>
      </c>
      <c r="B7151" s="3" t="s">
        <v>20526</v>
      </c>
      <c r="C7151" s="3">
        <v>0.0</v>
      </c>
      <c r="D7151" s="3">
        <v>0.0</v>
      </c>
      <c r="E7151" s="3">
        <v>1.0</v>
      </c>
      <c r="F7151" s="3" t="s">
        <v>20527</v>
      </c>
      <c r="G7151" s="3">
        <v>0.3</v>
      </c>
      <c r="H7151" s="3">
        <v>1.0</v>
      </c>
      <c r="I7151" s="3" t="s">
        <v>48</v>
      </c>
      <c r="J7151" s="3" t="s">
        <v>20528</v>
      </c>
      <c r="K7151" s="3" t="s">
        <v>2215</v>
      </c>
      <c r="L7151" s="3" t="str">
        <f>IFERROR(__xludf.DUMMYFUNCTION("GOOGLETRANSLATE(F7151,""id"",""en"")"),"Mongolia December Output Result Shio Buffalo Taiwan Prediction Tuesday December Best Shio Naga BBFS")</f>
        <v>Mongolia December Output Result Shio Buffalo Taiwan Prediction Tuesday December Best Shio Naga BBFS</v>
      </c>
    </row>
    <row r="7152" ht="15.75" customHeight="1">
      <c r="A7152" s="1">
        <v>8357.0</v>
      </c>
      <c r="B7152" s="3" t="s">
        <v>20529</v>
      </c>
      <c r="C7152" s="3">
        <v>0.0</v>
      </c>
      <c r="D7152" s="3">
        <v>0.0</v>
      </c>
      <c r="E7152" s="3">
        <v>0.0</v>
      </c>
      <c r="F7152" s="3" t="s">
        <v>20530</v>
      </c>
      <c r="G7152" s="3">
        <v>0.0</v>
      </c>
      <c r="H7152" s="3">
        <v>0.0</v>
      </c>
      <c r="I7152" s="3" t="s">
        <v>13</v>
      </c>
      <c r="J7152" s="3" t="s">
        <v>20531</v>
      </c>
      <c r="K7152" s="3" t="s">
        <v>2117</v>
      </c>
      <c r="L7152" s="3" t="str">
        <f>IFERROR(__xludf.DUMMYFUNCTION("GOOGLETRANSLATE(F7152,""id"",""en"")"),"Whatever is Argentina Champion")</f>
        <v>Whatever is Argentina Champion</v>
      </c>
    </row>
    <row r="7153" ht="15.75" customHeight="1">
      <c r="A7153" s="1">
        <v>8358.0</v>
      </c>
      <c r="B7153" s="3" t="s">
        <v>20532</v>
      </c>
      <c r="C7153" s="3">
        <v>0.0</v>
      </c>
      <c r="D7153" s="3">
        <v>0.0</v>
      </c>
      <c r="E7153" s="3">
        <v>1.0</v>
      </c>
      <c r="F7153" s="3" t="s">
        <v>20533</v>
      </c>
      <c r="G7153" s="3">
        <v>0.0</v>
      </c>
      <c r="H7153" s="3">
        <v>0.0</v>
      </c>
      <c r="I7153" s="3" t="s">
        <v>13</v>
      </c>
      <c r="J7153" s="3" t="s">
        <v>20534</v>
      </c>
      <c r="K7153" s="3" t="s">
        <v>644</v>
      </c>
      <c r="L7153" s="3" t="str">
        <f>IFERROR(__xludf.DUMMYFUNCTION("GOOGLETRANSLATE(F7153,""id"",""en"")"),"definitely defeat the Argentina championship party")</f>
        <v>definitely defeat the Argentina championship party</v>
      </c>
    </row>
    <row r="7154" ht="15.75" customHeight="1">
      <c r="A7154" s="1">
        <v>8359.0</v>
      </c>
      <c r="B7154" s="3" t="s">
        <v>20535</v>
      </c>
      <c r="C7154" s="3">
        <v>0.0</v>
      </c>
      <c r="D7154" s="3">
        <v>1.0</v>
      </c>
      <c r="E7154" s="3">
        <v>0.0</v>
      </c>
      <c r="F7154" s="3" t="s">
        <v>20536</v>
      </c>
      <c r="G7154" s="3">
        <v>0.0</v>
      </c>
      <c r="H7154" s="3">
        <v>0.0</v>
      </c>
      <c r="I7154" s="3" t="s">
        <v>13</v>
      </c>
      <c r="J7154" s="3" t="s">
        <v>20537</v>
      </c>
      <c r="K7154" s="3" t="s">
        <v>240</v>
      </c>
      <c r="L7154" s="3" t="str">
        <f>IFERROR(__xludf.DUMMYFUNCTION("GOOGLETRANSLATE(F7154,""id"",""en"")"),"Paulo Dybala is rarely played when delivering Argentina World Cup champions but the Rome striker also has a share in the glory of Albiceleste")</f>
        <v>Paulo Dybala is rarely played when delivering Argentina World Cup champions but the Rome striker also has a share in the glory of Albiceleste</v>
      </c>
    </row>
    <row r="7155" ht="15.75" customHeight="1">
      <c r="A7155" s="1">
        <v>8360.0</v>
      </c>
      <c r="B7155" s="3" t="s">
        <v>20538</v>
      </c>
      <c r="C7155" s="3">
        <v>0.0</v>
      </c>
      <c r="D7155" s="3">
        <v>0.0</v>
      </c>
      <c r="E7155" s="3">
        <v>0.0</v>
      </c>
      <c r="F7155" s="3" t="s">
        <v>20539</v>
      </c>
      <c r="G7155" s="3">
        <v>0.0</v>
      </c>
      <c r="H7155" s="3">
        <v>0.0</v>
      </c>
      <c r="I7155" s="3" t="s">
        <v>13</v>
      </c>
      <c r="J7155" s="3" t="s">
        <v>20540</v>
      </c>
      <c r="K7155" s="3" t="s">
        <v>2907</v>
      </c>
      <c r="L7155" s="3" t="str">
        <f>IFERROR(__xludf.DUMMYFUNCTION("GOOGLETRANSLATE(F7155,""id"",""en"")"),"Fortunately, Argentina is the champion if it failed to win the championship, Lutaro Martines will be misinterpreted by Argentina fans")</f>
        <v>Fortunately, Argentina is the champion if it failed to win the championship, Lutaro Martines will be misinterpreted by Argentina fans</v>
      </c>
    </row>
    <row r="7156" ht="15.75" customHeight="1">
      <c r="A7156" s="1">
        <v>8361.0</v>
      </c>
      <c r="B7156" s="3" t="s">
        <v>20541</v>
      </c>
      <c r="C7156" s="3">
        <v>0.0</v>
      </c>
      <c r="D7156" s="3">
        <v>0.0</v>
      </c>
      <c r="E7156" s="3">
        <v>0.0</v>
      </c>
      <c r="F7156" s="3" t="s">
        <v>20542</v>
      </c>
      <c r="G7156" s="3">
        <v>0.0</v>
      </c>
      <c r="H7156" s="3">
        <v>0.0</v>
      </c>
      <c r="I7156" s="3" t="s">
        <v>13</v>
      </c>
      <c r="J7156" s="3" t="s">
        <v>20543</v>
      </c>
      <c r="K7156" s="3" t="s">
        <v>2117</v>
      </c>
      <c r="L7156" s="3" t="str">
        <f>IFERROR(__xludf.DUMMYFUNCTION("GOOGLETRANSLATE(F7156,""id"",""en"")"),"Argentina World Champion")</f>
        <v>Argentina World Champion</v>
      </c>
    </row>
    <row r="7157" ht="15.75" customHeight="1">
      <c r="A7157" s="1">
        <v>8362.0</v>
      </c>
      <c r="B7157" s="3" t="s">
        <v>20544</v>
      </c>
      <c r="C7157" s="3">
        <v>0.0</v>
      </c>
      <c r="D7157" s="3">
        <v>0.0</v>
      </c>
      <c r="E7157" s="3">
        <v>0.0</v>
      </c>
      <c r="F7157" s="3" t="s">
        <v>20545</v>
      </c>
      <c r="G7157" s="3">
        <v>0.0</v>
      </c>
      <c r="H7157" s="3">
        <v>0.0</v>
      </c>
      <c r="I7157" s="3" t="s">
        <v>13</v>
      </c>
      <c r="J7157" s="3" t="s">
        <v>20546</v>
      </c>
      <c r="K7157" s="3" t="s">
        <v>54</v>
      </c>
      <c r="L7157" s="3" t="str">
        <f>IFERROR(__xludf.DUMMYFUNCTION("GOOGLETRANSLATE(F7157,""id"",""en"")"),"Eve Kroso Sumuk Ket Argentina Champion")</f>
        <v>Eve Kroso Sumuk Ket Argentina Champion</v>
      </c>
    </row>
    <row r="7158" ht="15.75" customHeight="1">
      <c r="A7158" s="1">
        <v>8363.0</v>
      </c>
      <c r="B7158" s="3" t="s">
        <v>20547</v>
      </c>
      <c r="C7158" s="3">
        <v>0.0</v>
      </c>
      <c r="D7158" s="3">
        <v>0.0</v>
      </c>
      <c r="E7158" s="3">
        <v>0.0</v>
      </c>
      <c r="F7158" s="3" t="s">
        <v>20548</v>
      </c>
      <c r="G7158" s="3">
        <v>0.0</v>
      </c>
      <c r="H7158" s="3">
        <v>0.0</v>
      </c>
      <c r="I7158" s="3" t="s">
        <v>13</v>
      </c>
      <c r="J7158" s="3" t="s">
        <v>20549</v>
      </c>
      <c r="K7158" s="3" t="s">
        <v>127</v>
      </c>
      <c r="L7158" s="3" t="str">
        <f>IFERROR(__xludf.DUMMYFUNCTION("GOOGLETRANSLATE(F7158,""id"",""en"")"),"NOVA Indonesia's Latest Football News Clicks Brother Ronaldo After Seeing Messi Champion With Argentina This Worst World Cup")</f>
        <v>NOVA Indonesia's Latest Football News Clicks Brother Ronaldo After Seeing Messi Champion With Argentina This Worst World Cup</v>
      </c>
    </row>
    <row r="7159" ht="15.75" customHeight="1">
      <c r="A7159" s="1">
        <v>8364.0</v>
      </c>
      <c r="B7159" s="3" t="s">
        <v>20550</v>
      </c>
      <c r="C7159" s="3">
        <v>2.0</v>
      </c>
      <c r="D7159" s="3">
        <v>0.0</v>
      </c>
      <c r="E7159" s="3">
        <v>5.0</v>
      </c>
      <c r="F7159" s="3" t="s">
        <v>20551</v>
      </c>
      <c r="G7159" s="3">
        <v>0.0</v>
      </c>
      <c r="H7159" s="3">
        <v>0.0</v>
      </c>
      <c r="I7159" s="3" t="s">
        <v>13</v>
      </c>
      <c r="J7159" s="3" t="s">
        <v>20552</v>
      </c>
      <c r="K7159" s="3" t="s">
        <v>1518</v>
      </c>
      <c r="L7159" s="3" t="str">
        <f>IFERROR(__xludf.DUMMYFUNCTION("GOOGLETRANSLATE(F7159,""id"",""en"")"),"Argentine moment Champion became the talk of the world community there are a number of reasons, one of which is a fierce duel in the top party that forced a penalty shootout match")</f>
        <v>Argentine moment Champion became the talk of the world community there are a number of reasons, one of which is a fierce duel in the top party that forced a penalty shootout match</v>
      </c>
    </row>
    <row r="7160" ht="15.75" customHeight="1">
      <c r="A7160" s="1">
        <v>8365.0</v>
      </c>
      <c r="B7160" s="3" t="s">
        <v>20553</v>
      </c>
      <c r="C7160" s="3">
        <v>0.0</v>
      </c>
      <c r="D7160" s="3">
        <v>0.0</v>
      </c>
      <c r="E7160" s="3">
        <v>0.0</v>
      </c>
      <c r="F7160" s="3" t="s">
        <v>20450</v>
      </c>
      <c r="G7160" s="3">
        <v>0.0</v>
      </c>
      <c r="H7160" s="3">
        <v>0.0</v>
      </c>
      <c r="I7160" s="3" t="s">
        <v>13</v>
      </c>
      <c r="J7160" s="3" t="s">
        <v>20451</v>
      </c>
      <c r="K7160" s="3" t="s">
        <v>75</v>
      </c>
      <c r="L7160" s="3" t="str">
        <f>IFERROR(__xludf.DUMMYFUNCTION("GOOGLETRANSLATE(F7160,""id"",""en"")"),"The reaction of Cristiano Ronaldo's sister after Argentina Champion World Cup")</f>
        <v>The reaction of Cristiano Ronaldo's sister after Argentina Champion World Cup</v>
      </c>
    </row>
    <row r="7161" ht="15.75" customHeight="1">
      <c r="A7161" s="1">
        <v>8366.0</v>
      </c>
      <c r="B7161" s="3" t="s">
        <v>20554</v>
      </c>
      <c r="C7161" s="3">
        <v>3.0</v>
      </c>
      <c r="D7161" s="3">
        <v>0.0</v>
      </c>
      <c r="E7161" s="3">
        <v>2.0</v>
      </c>
      <c r="F7161" s="3" t="s">
        <v>20555</v>
      </c>
      <c r="G7161" s="3">
        <v>0.0</v>
      </c>
      <c r="H7161" s="3">
        <v>0.0</v>
      </c>
      <c r="I7161" s="3" t="s">
        <v>13</v>
      </c>
      <c r="J7161" s="3" t="s">
        <v>20556</v>
      </c>
      <c r="K7161" s="3" t="s">
        <v>19</v>
      </c>
      <c r="L7161" s="3" t="str">
        <f>IFERROR(__xludf.DUMMYFUNCTION("GOOGLETRANSLATE(F7161,""id"",""en"")"),"World Cup Champion Sri Mulyani Argentina")</f>
        <v>World Cup Champion Sri Mulyani Argentina</v>
      </c>
    </row>
    <row r="7162" ht="15.75" customHeight="1">
      <c r="A7162" s="1">
        <v>8367.0</v>
      </c>
      <c r="B7162" s="3" t="s">
        <v>20557</v>
      </c>
      <c r="C7162" s="3">
        <v>1.0</v>
      </c>
      <c r="D7162" s="3">
        <v>6.0</v>
      </c>
      <c r="E7162" s="3">
        <v>14.0</v>
      </c>
      <c r="F7162" s="3" t="s">
        <v>20558</v>
      </c>
      <c r="G7162" s="3">
        <v>0.0</v>
      </c>
      <c r="H7162" s="3">
        <v>0.0</v>
      </c>
      <c r="I7162" s="3" t="s">
        <v>13</v>
      </c>
      <c r="J7162" s="3" t="s">
        <v>20559</v>
      </c>
      <c r="K7162" s="3" t="s">
        <v>1656</v>
      </c>
      <c r="L7162" s="3" t="str">
        <f>IFERROR(__xludf.DUMMYFUNCTION("GOOGLETRANSLATE(F7162,""id"",""en"")"),"Nov inflation is still relatively good, of course the achievement when the world faces an increase in food and energy prices, we can control by maintaining food supply and energy subsidies and even inflation in other countries to double digits including A"&amp;"rgentina world champion")</f>
        <v>Nov inflation is still relatively good, of course the achievement when the world faces an increase in food and energy prices, we can control by maintaining food supply and energy subsidies and even inflation in other countries to double digits including Argentina world champion</v>
      </c>
    </row>
    <row r="7163" ht="15.75" customHeight="1">
      <c r="A7163" s="1">
        <v>8368.0</v>
      </c>
      <c r="B7163" s="3" t="s">
        <v>20560</v>
      </c>
      <c r="C7163" s="3">
        <v>0.0</v>
      </c>
      <c r="D7163" s="3">
        <v>0.0</v>
      </c>
      <c r="E7163" s="3">
        <v>0.0</v>
      </c>
      <c r="F7163" s="3" t="s">
        <v>20561</v>
      </c>
      <c r="G7163" s="3">
        <v>0.0</v>
      </c>
      <c r="H7163" s="3">
        <v>0.0</v>
      </c>
      <c r="I7163" s="3" t="s">
        <v>13</v>
      </c>
      <c r="J7163" s="3" t="s">
        <v>20562</v>
      </c>
      <c r="K7163" s="3" t="s">
        <v>41</v>
      </c>
      <c r="L7163" s="3" t="str">
        <f>IFERROR(__xludf.DUMMYFUNCTION("GOOGLETRANSLATE(F7163,""id"",""en"")"),"Argentina Champion World Cup Messi Best Player of All Time")</f>
        <v>Argentina Champion World Cup Messi Best Player of All Time</v>
      </c>
    </row>
    <row r="7164" ht="15.75" customHeight="1">
      <c r="A7164" s="1">
        <v>8369.0</v>
      </c>
      <c r="B7164" s="3" t="s">
        <v>20563</v>
      </c>
      <c r="C7164" s="3">
        <v>0.0</v>
      </c>
      <c r="D7164" s="3">
        <v>0.0</v>
      </c>
      <c r="E7164" s="3">
        <v>0.0</v>
      </c>
      <c r="F7164" s="3" t="s">
        <v>20564</v>
      </c>
      <c r="G7164" s="3">
        <v>0.0</v>
      </c>
      <c r="H7164" s="3">
        <v>0.0</v>
      </c>
      <c r="I7164" s="3" t="s">
        <v>13</v>
      </c>
      <c r="J7164" s="3" t="s">
        <v>20565</v>
      </c>
      <c r="K7164" s="3" t="s">
        <v>286</v>
      </c>
      <c r="L7164" s="3" t="str">
        <f>IFERROR(__xludf.DUMMYFUNCTION("GOOGLETRANSLATE(F7164,""id"",""en"")"),"Announcement of the winner of the world's biggest sports party championship event held once a year FIFA World Cup has been completed and the Argentine national team managed to come out as the full World Cup championship")</f>
        <v>Announcement of the winner of the world's biggest sports party championship event held once a year FIFA World Cup has been completed and the Argentine national team managed to come out as the full World Cup championship</v>
      </c>
    </row>
    <row r="7165" ht="15.75" customHeight="1">
      <c r="A7165" s="1">
        <v>8370.0</v>
      </c>
      <c r="B7165" s="3" t="s">
        <v>20566</v>
      </c>
      <c r="C7165" s="3">
        <v>0.0</v>
      </c>
      <c r="D7165" s="3">
        <v>0.0</v>
      </c>
      <c r="E7165" s="3">
        <v>1.0</v>
      </c>
      <c r="F7165" s="3" t="s">
        <v>20567</v>
      </c>
      <c r="G7165" s="3">
        <v>0.0</v>
      </c>
      <c r="H7165" s="3">
        <v>0.0</v>
      </c>
      <c r="I7165" s="3" t="s">
        <v>13</v>
      </c>
      <c r="J7165" s="3" t="s">
        <v>20568</v>
      </c>
      <c r="K7165" s="3" t="s">
        <v>240</v>
      </c>
      <c r="L7165" s="3" t="str">
        <f>IFERROR(__xludf.DUMMYFUNCTION("GOOGLETRANSLATE(F7165,""id"",""en"")"),"MBABPE is still young, the year is still long, Messi can bring Argentina in the world champion after participating if Ronaldo is clearly finished")</f>
        <v>MBABPE is still young, the year is still long, Messi can bring Argentina in the world champion after participating if Ronaldo is clearly finished</v>
      </c>
    </row>
    <row r="7166" ht="15.75" customHeight="1">
      <c r="A7166" s="1">
        <v>8371.0</v>
      </c>
      <c r="B7166" s="3" t="s">
        <v>20569</v>
      </c>
      <c r="C7166" s="3">
        <v>0.0</v>
      </c>
      <c r="D7166" s="3">
        <v>0.0</v>
      </c>
      <c r="E7166" s="3">
        <v>0.0</v>
      </c>
      <c r="F7166" s="3" t="s">
        <v>20570</v>
      </c>
      <c r="G7166" s="3">
        <v>0.0</v>
      </c>
      <c r="H7166" s="3">
        <v>0.0</v>
      </c>
      <c r="I7166" s="3" t="s">
        <v>13</v>
      </c>
      <c r="J7166" s="3" t="s">
        <v>20571</v>
      </c>
      <c r="K7166" s="3" t="s">
        <v>495</v>
      </c>
      <c r="L7166" s="3" t="str">
        <f>IFERROR(__xludf.DUMMYFUNCTION("GOOGLETRANSLATE(F7166,""id"",""en"")"),"Argentina won the World Cup while I was your heart to become the second champion, I was France was tired of fighting but still ended in eroded")</f>
        <v>Argentina won the World Cup while I was your heart to become the second champion, I was France was tired of fighting but still ended in eroded</v>
      </c>
    </row>
    <row r="7167" ht="15.75" customHeight="1">
      <c r="A7167" s="1">
        <v>8372.0</v>
      </c>
      <c r="B7167" s="3" t="s">
        <v>20572</v>
      </c>
      <c r="C7167" s="3">
        <v>1.0</v>
      </c>
      <c r="D7167" s="3">
        <v>1.0</v>
      </c>
      <c r="E7167" s="3">
        <v>47.0</v>
      </c>
      <c r="F7167" s="3" t="s">
        <v>20573</v>
      </c>
      <c r="G7167" s="3">
        <v>0.4</v>
      </c>
      <c r="H7167" s="3">
        <v>0.2</v>
      </c>
      <c r="I7167" s="3" t="s">
        <v>48</v>
      </c>
      <c r="J7167" s="3" t="s">
        <v>20574</v>
      </c>
      <c r="K7167" s="3" t="s">
        <v>19</v>
      </c>
      <c r="L7167" s="3" t="str">
        <f>IFERROR(__xludf.DUMMYFUNCTION("GOOGLETRANSLATE(F7167,""id"",""en"")"),"Thank you for keeping the promise to say Argentina champions don't believe hahaha, deck")</f>
        <v>Thank you for keeping the promise to say Argentina champions don't believe hahaha, deck</v>
      </c>
    </row>
    <row r="7168" ht="15.75" customHeight="1">
      <c r="A7168" s="1">
        <v>8373.0</v>
      </c>
      <c r="B7168" s="3" t="s">
        <v>20575</v>
      </c>
      <c r="C7168" s="3">
        <v>0.0</v>
      </c>
      <c r="D7168" s="3">
        <v>0.0</v>
      </c>
      <c r="E7168" s="3">
        <v>0.0</v>
      </c>
      <c r="F7168" s="3" t="s">
        <v>20576</v>
      </c>
      <c r="G7168" s="3">
        <v>0.0</v>
      </c>
      <c r="H7168" s="3">
        <v>0.0</v>
      </c>
      <c r="I7168" s="3" t="s">
        <v>13</v>
      </c>
      <c r="J7168" s="3" t="s">
        <v>20577</v>
      </c>
      <c r="K7168" s="3" t="s">
        <v>240</v>
      </c>
      <c r="L7168" s="3" t="str">
        <f>IFERROR(__xludf.DUMMYFUNCTION("GOOGLETRANSLATE(F7168,""id"",""en"")"),"Difficult Argentina managed to win the World Cup while I was in your heart, the second place was France had tried to fight but it ended in eroded")</f>
        <v>Difficult Argentina managed to win the World Cup while I was in your heart, the second place was France had tried to fight but it ended in eroded</v>
      </c>
    </row>
    <row r="7169" ht="15.75" customHeight="1">
      <c r="A7169" s="1">
        <v>8374.0</v>
      </c>
      <c r="B7169" s="3" t="s">
        <v>20578</v>
      </c>
      <c r="C7169" s="3">
        <v>1.0</v>
      </c>
      <c r="D7169" s="3">
        <v>0.0</v>
      </c>
      <c r="E7169" s="3">
        <v>1.0</v>
      </c>
      <c r="F7169" s="3" t="s">
        <v>20579</v>
      </c>
      <c r="G7169" s="3">
        <v>1.0</v>
      </c>
      <c r="H7169" s="3">
        <v>0.9</v>
      </c>
      <c r="I7169" s="3" t="s">
        <v>48</v>
      </c>
      <c r="J7169" s="3" t="s">
        <v>20580</v>
      </c>
      <c r="K7169" s="3" t="s">
        <v>266</v>
      </c>
      <c r="L7169" s="3" t="str">
        <f>IFERROR(__xludf.DUMMYFUNCTION("GOOGLETRANSLATE(F7169,""id"",""en"")"),"The Official World Cup ended marked by Argentina to become the champion of the Friends of the Qatar Pedoololi as the host of the World Cup successfully showing the ideal Muslim life but not only Qatar Supporter until the players also showed it")</f>
        <v>The Official World Cup ended marked by Argentina to become the champion of the Friends of the Qatar Pedoololi as the host of the World Cup successfully showing the ideal Muslim life but not only Qatar Supporter until the players also showed it</v>
      </c>
    </row>
    <row r="7170" ht="15.75" customHeight="1">
      <c r="A7170" s="1">
        <v>8375.0</v>
      </c>
      <c r="B7170" s="3" t="s">
        <v>20581</v>
      </c>
      <c r="C7170" s="3">
        <v>0.0</v>
      </c>
      <c r="D7170" s="3">
        <v>0.0</v>
      </c>
      <c r="E7170" s="3">
        <v>0.0</v>
      </c>
      <c r="F7170" s="3" t="s">
        <v>20582</v>
      </c>
      <c r="G7170" s="3">
        <v>0.0</v>
      </c>
      <c r="H7170" s="3">
        <v>0.0</v>
      </c>
      <c r="I7170" s="3" t="s">
        <v>13</v>
      </c>
      <c r="J7170" s="3" t="s">
        <v>20583</v>
      </c>
      <c r="K7170" s="3" t="s">
        <v>27</v>
      </c>
      <c r="L7170" s="3" t="str">
        <f>IFERROR(__xludf.DUMMYFUNCTION("GOOGLETRANSLATE(F7170,""id"",""en"")"),"The Argentina national team returned his country on Tuesday morning Lionel Messi and friends had been welcomed by residents of Jalan Obelisco Buenos Aires to be the center of the title of the title")</f>
        <v>The Argentina national team returned his country on Tuesday morning Lionel Messi and friends had been welcomed by residents of Jalan Obelisco Buenos Aires to be the center of the title of the title</v>
      </c>
    </row>
    <row r="7171" ht="15.75" customHeight="1">
      <c r="A7171" s="1">
        <v>8376.0</v>
      </c>
      <c r="B7171" s="3" t="s">
        <v>20584</v>
      </c>
      <c r="C7171" s="3">
        <v>0.0</v>
      </c>
      <c r="D7171" s="3">
        <v>0.0</v>
      </c>
      <c r="E7171" s="3">
        <v>0.0</v>
      </c>
      <c r="F7171" s="3" t="s">
        <v>20585</v>
      </c>
      <c r="G7171" s="3">
        <v>0.0</v>
      </c>
      <c r="H7171" s="3">
        <v>0.0</v>
      </c>
      <c r="I7171" s="3" t="s">
        <v>13</v>
      </c>
      <c r="J7171" s="3" t="s">
        <v>20586</v>
      </c>
      <c r="K7171" s="3" t="s">
        <v>1097</v>
      </c>
      <c r="L7171" s="3" t="str">
        <f>IFERROR(__xludf.DUMMYFUNCTION("GOOGLETRANSLATE(F7171,""id"",""en"")"),"because Argentina champions want to watch Argentina movies, hopefully neat")</f>
        <v>because Argentina champions want to watch Argentina movies, hopefully neat</v>
      </c>
    </row>
    <row r="7172" ht="15.75" customHeight="1">
      <c r="A7172" s="1">
        <v>8378.0</v>
      </c>
      <c r="B7172" s="3" t="s">
        <v>20587</v>
      </c>
      <c r="C7172" s="3">
        <v>0.0</v>
      </c>
      <c r="D7172" s="3">
        <v>0.0</v>
      </c>
      <c r="E7172" s="3">
        <v>0.0</v>
      </c>
      <c r="F7172" s="3" t="s">
        <v>20588</v>
      </c>
      <c r="G7172" s="3">
        <v>0.0</v>
      </c>
      <c r="H7172" s="3">
        <v>0.0</v>
      </c>
      <c r="I7172" s="3" t="s">
        <v>13</v>
      </c>
      <c r="J7172" s="3" t="s">
        <v>20589</v>
      </c>
      <c r="K7172" s="3" t="s">
        <v>15</v>
      </c>
      <c r="L7172" s="3" t="str">
        <f>IFERROR(__xludf.DUMMYFUNCTION("GOOGLETRANSLATE(F7172,""id"",""en"")"),"thanks to Mr. Jokowi Argentina this year's World Cup championship")</f>
        <v>thanks to Mr. Jokowi Argentina this year's World Cup championship</v>
      </c>
    </row>
    <row r="7173" ht="15.75" customHeight="1">
      <c r="A7173" s="1">
        <v>8379.0</v>
      </c>
      <c r="B7173" s="3" t="s">
        <v>20590</v>
      </c>
      <c r="C7173" s="3">
        <v>1.0</v>
      </c>
      <c r="D7173" s="3">
        <v>0.0</v>
      </c>
      <c r="E7173" s="3">
        <v>0.0</v>
      </c>
      <c r="F7173" s="3" t="s">
        <v>20591</v>
      </c>
      <c r="G7173" s="3">
        <v>0.1</v>
      </c>
      <c r="H7173" s="3">
        <v>0.0</v>
      </c>
      <c r="I7173" s="3" t="s">
        <v>13</v>
      </c>
      <c r="J7173" s="3" t="s">
        <v>20592</v>
      </c>
      <c r="K7173" s="3" t="s">
        <v>1061</v>
      </c>
      <c r="L7173" s="3" t="str">
        <f>IFERROR(__xludf.DUMMYFUNCTION("GOOGLETRANSLATE(F7173,""id"",""en"")"),"Redsindo Well that understands that I mean Madrid Barca Big English will definitely expose the champion, Argentina is also like that, so care for the contents of the squad, who knows that ARGEN is a team like that, Portugal.")</f>
        <v>Redsindo Well that understands that I mean Madrid Barca Big English will definitely expose the champion, Argentina is also like that, so care for the contents of the squad, who knows that ARGEN is a team like that, Portugal.</v>
      </c>
    </row>
    <row r="7174" ht="15.75" customHeight="1">
      <c r="A7174" s="1">
        <v>8380.0</v>
      </c>
      <c r="B7174" s="3" t="s">
        <v>20593</v>
      </c>
      <c r="C7174" s="3">
        <v>0.0</v>
      </c>
      <c r="D7174" s="3">
        <v>0.0</v>
      </c>
      <c r="E7174" s="3">
        <v>0.0</v>
      </c>
      <c r="F7174" s="3" t="s">
        <v>20594</v>
      </c>
      <c r="G7174" s="3">
        <v>0.0</v>
      </c>
      <c r="H7174" s="3">
        <v>0.0</v>
      </c>
      <c r="I7174" s="3" t="s">
        <v>13</v>
      </c>
      <c r="J7174" s="3" t="s">
        <v>20595</v>
      </c>
      <c r="K7174" s="3" t="s">
        <v>41</v>
      </c>
      <c r="L7174" s="3" t="str">
        <f>IFERROR(__xludf.DUMMYFUNCTION("GOOGLETRANSLATE(F7174,""id"",""en"")"),"deserves a great appreciation to bring Argentina to the Copa and Pildun champions")</f>
        <v>deserves a great appreciation to bring Argentina to the Copa and Pildun champions</v>
      </c>
    </row>
    <row r="7175" ht="15.75" customHeight="1">
      <c r="A7175" s="1">
        <v>8381.0</v>
      </c>
      <c r="B7175" s="3" t="s">
        <v>20596</v>
      </c>
      <c r="C7175" s="3">
        <v>4.0</v>
      </c>
      <c r="D7175" s="3">
        <v>13.0</v>
      </c>
      <c r="E7175" s="3">
        <v>67.0</v>
      </c>
      <c r="F7175" s="3" t="s">
        <v>20597</v>
      </c>
      <c r="G7175" s="3">
        <v>0.0</v>
      </c>
      <c r="H7175" s="3">
        <v>0.0</v>
      </c>
      <c r="I7175" s="3" t="s">
        <v>13</v>
      </c>
      <c r="J7175" s="3" t="s">
        <v>20598</v>
      </c>
      <c r="K7175" s="3" t="s">
        <v>4281</v>
      </c>
      <c r="L7175" s="3" t="str">
        <f>IFERROR(__xludf.DUMMYFUNCTION("GOOGLETRANSLATE(F7175,""id"",""en"")"),"The Argentine champion destiny seems to be a match when their nation lost the pride of Passarella et al won the World Cup in Military Military Pressure Maradona World Cup champion after defeat in the Malvinas War Lionel Messi champion in the condition of "&amp;"the economic crisis")</f>
        <v>The Argentine champion destiny seems to be a match when their nation lost the pride of Passarella et al won the World Cup in Military Military Pressure Maradona World Cup champion after defeat in the Malvinas War Lionel Messi champion in the condition of the economic crisis</v>
      </c>
    </row>
    <row r="7176" ht="15.75" customHeight="1">
      <c r="A7176" s="1">
        <v>8382.0</v>
      </c>
      <c r="B7176" s="3" t="s">
        <v>20599</v>
      </c>
      <c r="C7176" s="3">
        <v>3.0</v>
      </c>
      <c r="D7176" s="3">
        <v>4.0</v>
      </c>
      <c r="E7176" s="3">
        <v>33.0</v>
      </c>
      <c r="F7176" s="3" t="s">
        <v>20600</v>
      </c>
      <c r="G7176" s="3">
        <v>0.0</v>
      </c>
      <c r="H7176" s="3">
        <v>0.0</v>
      </c>
      <c r="I7176" s="3" t="s">
        <v>13</v>
      </c>
      <c r="J7176" s="3" t="s">
        <v>20601</v>
      </c>
      <c r="K7176" s="3" t="s">
        <v>675</v>
      </c>
      <c r="L7176" s="3" t="str">
        <f>IFERROR(__xludf.DUMMYFUNCTION("GOOGLETRANSLATE(F7176,""id"",""en"")"),"Messi repeatedly failed to bring Argentina to become a champion to stop but finally back this year we see lifting the world cup trophy as high as the hard work of hard work and cooperation with all Argentine players")</f>
        <v>Messi repeatedly failed to bring Argentina to become a champion to stop but finally back this year we see lifting the world cup trophy as high as the hard work of hard work and cooperation with all Argentine players</v>
      </c>
    </row>
    <row r="7177" ht="15.75" customHeight="1">
      <c r="A7177" s="1">
        <v>8383.0</v>
      </c>
      <c r="B7177" s="3" t="s">
        <v>20602</v>
      </c>
      <c r="C7177" s="3">
        <v>0.0</v>
      </c>
      <c r="D7177" s="3">
        <v>0.0</v>
      </c>
      <c r="E7177" s="3">
        <v>0.0</v>
      </c>
      <c r="F7177" s="3" t="s">
        <v>20561</v>
      </c>
      <c r="G7177" s="3">
        <v>0.0</v>
      </c>
      <c r="H7177" s="3">
        <v>0.0</v>
      </c>
      <c r="I7177" s="3" t="s">
        <v>13</v>
      </c>
      <c r="J7177" s="3" t="s">
        <v>20562</v>
      </c>
      <c r="K7177" s="3" t="s">
        <v>41</v>
      </c>
      <c r="L7177" s="3" t="str">
        <f>IFERROR(__xludf.DUMMYFUNCTION("GOOGLETRANSLATE(F7177,""id"",""en"")"),"Argentina Champion World Cup Messi Best Player of All Time")</f>
        <v>Argentina Champion World Cup Messi Best Player of All Time</v>
      </c>
    </row>
    <row r="7178" ht="15.75" customHeight="1">
      <c r="A7178" s="1">
        <v>8384.0</v>
      </c>
      <c r="B7178" s="3" t="s">
        <v>20603</v>
      </c>
      <c r="C7178" s="3">
        <v>0.0</v>
      </c>
      <c r="D7178" s="3">
        <v>0.0</v>
      </c>
      <c r="E7178" s="3">
        <v>0.0</v>
      </c>
      <c r="F7178" s="3" t="s">
        <v>20604</v>
      </c>
      <c r="G7178" s="3">
        <v>0.0</v>
      </c>
      <c r="H7178" s="3">
        <v>0.0</v>
      </c>
      <c r="I7178" s="3" t="s">
        <v>13</v>
      </c>
      <c r="J7178" s="3" t="s">
        <v>20605</v>
      </c>
      <c r="K7178" s="3" t="s">
        <v>725</v>
      </c>
      <c r="L7178" s="3" t="str">
        <f>IFERROR(__xludf.DUMMYFUNCTION("GOOGLETRANSLATE(F7178,""id"",""en"")"),"Nothing bullshit there is no setting, especially since the two teams are equally balanced, just think about how to set the settings witnessed by hundreds of millions of viewers around the world of Argentina, even if France the champion feels it feels too")</f>
        <v>Nothing bullshit there is no setting, especially since the two teams are equally balanced, just think about how to set the settings witnessed by hundreds of millions of viewers around the world of Argentina, even if France the champion feels it feels too</v>
      </c>
    </row>
    <row r="7179" ht="15.75" customHeight="1">
      <c r="A7179" s="1">
        <v>8385.0</v>
      </c>
      <c r="B7179" s="3" t="s">
        <v>20606</v>
      </c>
      <c r="C7179" s="3">
        <v>0.0</v>
      </c>
      <c r="D7179" s="3">
        <v>0.0</v>
      </c>
      <c r="E7179" s="3">
        <v>0.0</v>
      </c>
      <c r="F7179" s="3" t="s">
        <v>20607</v>
      </c>
      <c r="G7179" s="3">
        <v>0.0</v>
      </c>
      <c r="H7179" s="3">
        <v>0.0</v>
      </c>
      <c r="I7179" s="3" t="s">
        <v>13</v>
      </c>
      <c r="J7179" s="3" t="s">
        <v>20608</v>
      </c>
      <c r="K7179" s="3" t="s">
        <v>31</v>
      </c>
      <c r="L7179" s="3" t="str">
        <f>IFERROR(__xludf.DUMMYFUNCTION("GOOGLETRANSLATE(F7179,""id"",""en"")"),"Argentina Champion according to Always Feeling")</f>
        <v>Argentina Champion according to Always Feeling</v>
      </c>
    </row>
    <row r="7180" ht="15.75" customHeight="1">
      <c r="A7180" s="1">
        <v>8386.0</v>
      </c>
      <c r="B7180" s="3" t="s">
        <v>20609</v>
      </c>
      <c r="C7180" s="3">
        <v>1.0</v>
      </c>
      <c r="D7180" s="3">
        <v>0.0</v>
      </c>
      <c r="E7180" s="3">
        <v>0.0</v>
      </c>
      <c r="F7180" s="3" t="s">
        <v>20610</v>
      </c>
      <c r="G7180" s="3">
        <v>0.0</v>
      </c>
      <c r="H7180" s="3">
        <v>0.0</v>
      </c>
      <c r="I7180" s="3" t="s">
        <v>13</v>
      </c>
      <c r="J7180" s="3" t="s">
        <v>20611</v>
      </c>
      <c r="K7180" s="3" t="s">
        <v>15</v>
      </c>
      <c r="L7180" s="3" t="str">
        <f>IFERROR(__xludf.DUMMYFUNCTION("GOOGLETRANSLATE(F7180,""id"",""en"")"),"No need to win like Argentina to collect masses as above but enough")</f>
        <v>No need to win like Argentina to collect masses as above but enough</v>
      </c>
    </row>
    <row r="7181" ht="15.75" customHeight="1">
      <c r="A7181" s="1">
        <v>8387.0</v>
      </c>
      <c r="B7181" s="3" t="s">
        <v>20612</v>
      </c>
      <c r="C7181" s="3">
        <v>0.0</v>
      </c>
      <c r="D7181" s="3">
        <v>0.0</v>
      </c>
      <c r="E7181" s="3">
        <v>0.0</v>
      </c>
      <c r="F7181" s="3" t="s">
        <v>20613</v>
      </c>
      <c r="G7181" s="3">
        <v>1.0</v>
      </c>
      <c r="H7181" s="3">
        <v>0.1</v>
      </c>
      <c r="I7181" s="3" t="s">
        <v>48</v>
      </c>
      <c r="J7181" s="3" t="s">
        <v>20614</v>
      </c>
      <c r="K7181" s="3" t="s">
        <v>2610</v>
      </c>
      <c r="L7181" s="3" t="str">
        <f>IFERROR(__xludf.DUMMYFUNCTION("GOOGLETRANSLATE(F7181,""id"",""en"")"),"Before the World Cup took place, I stopped by the Alpen Food Industry, the Cikarang region was given by Mr. Agung Cream and the picture was Lionel Messi and he brought Argentina this time Wow")</f>
        <v>Before the World Cup took place, I stopped by the Alpen Food Industry, the Cikarang region was given by Mr. Agung Cream and the picture was Lionel Messi and he brought Argentina this time Wow</v>
      </c>
    </row>
    <row r="7182" ht="15.75" customHeight="1">
      <c r="A7182" s="1">
        <v>8388.0</v>
      </c>
      <c r="B7182" s="3" t="s">
        <v>20615</v>
      </c>
      <c r="C7182" s="3">
        <v>1.0</v>
      </c>
      <c r="D7182" s="3">
        <v>0.0</v>
      </c>
      <c r="E7182" s="3">
        <v>0.0</v>
      </c>
      <c r="F7182" s="3" t="s">
        <v>20616</v>
      </c>
      <c r="G7182" s="3">
        <v>0.0</v>
      </c>
      <c r="H7182" s="3">
        <v>0.0</v>
      </c>
      <c r="I7182" s="3" t="s">
        <v>13</v>
      </c>
      <c r="J7182" s="3" t="s">
        <v>20617</v>
      </c>
      <c r="K7182" s="3" t="s">
        <v>82</v>
      </c>
      <c r="L7182" s="3" t="str">
        <f>IFERROR(__xludf.DUMMYFUNCTION("GOOGLETRANSLATE(F7182,""id"",""en"")"),"Argentina Champion Georgina is happy or sad")</f>
        <v>Argentina Champion Georgina is happy or sad</v>
      </c>
    </row>
    <row r="7183" ht="15.75" customHeight="1">
      <c r="A7183" s="1">
        <v>8389.0</v>
      </c>
      <c r="B7183" s="3" t="s">
        <v>20618</v>
      </c>
      <c r="C7183" s="3">
        <v>0.0</v>
      </c>
      <c r="D7183" s="3">
        <v>0.0</v>
      </c>
      <c r="E7183" s="3">
        <v>0.0</v>
      </c>
      <c r="F7183" s="3" t="s">
        <v>20619</v>
      </c>
      <c r="G7183" s="3">
        <v>0.0</v>
      </c>
      <c r="H7183" s="3">
        <v>0.0</v>
      </c>
      <c r="I7183" s="3" t="s">
        <v>13</v>
      </c>
      <c r="J7183" s="3" t="s">
        <v>20620</v>
      </c>
      <c r="K7183" s="3" t="s">
        <v>15</v>
      </c>
      <c r="L7183" s="3" t="str">
        <f>IFERROR(__xludf.DUMMYFUNCTION("GOOGLETRANSLATE(F7183,""id"",""en"")"),"The reason Argentina won the World Cup champion via")</f>
        <v>The reason Argentina won the World Cup champion via</v>
      </c>
    </row>
    <row r="7184" ht="15.75" customHeight="1">
      <c r="A7184" s="1">
        <v>8390.0</v>
      </c>
      <c r="B7184" s="3" t="s">
        <v>20621</v>
      </c>
      <c r="C7184" s="3">
        <v>0.0</v>
      </c>
      <c r="D7184" s="3">
        <v>0.0</v>
      </c>
      <c r="E7184" s="3">
        <v>0.0</v>
      </c>
      <c r="F7184" s="3" t="s">
        <v>20622</v>
      </c>
      <c r="G7184" s="3">
        <v>0.2333333333333333</v>
      </c>
      <c r="H7184" s="3">
        <v>-0.25</v>
      </c>
      <c r="I7184" s="3" t="s">
        <v>179</v>
      </c>
      <c r="J7184" s="3" t="s">
        <v>20623</v>
      </c>
      <c r="K7184" s="3" t="s">
        <v>19</v>
      </c>
      <c r="L7184" s="3" t="str">
        <f>IFERROR(__xludf.DUMMYFUNCTION("GOOGLETRANSLATE(F7184,""id"",""en"")"),"The Argentine government set a national holiday one day for the World Cup championship parade via")</f>
        <v>The Argentine government set a national holiday one day for the World Cup championship parade via</v>
      </c>
    </row>
    <row r="7185" ht="15.75" customHeight="1">
      <c r="A7185" s="1">
        <v>8391.0</v>
      </c>
      <c r="B7185" s="3" t="s">
        <v>20624</v>
      </c>
      <c r="C7185" s="3">
        <v>0.0</v>
      </c>
      <c r="D7185" s="3">
        <v>0.0</v>
      </c>
      <c r="E7185" s="3">
        <v>0.0</v>
      </c>
      <c r="F7185" s="3" t="s">
        <v>20625</v>
      </c>
      <c r="G7185" s="3">
        <v>0.0</v>
      </c>
      <c r="H7185" s="3">
        <v>0.0</v>
      </c>
      <c r="I7185" s="3" t="s">
        <v>13</v>
      </c>
      <c r="J7185" s="3" t="s">
        <v>20626</v>
      </c>
      <c r="K7185" s="3" t="s">
        <v>510</v>
      </c>
      <c r="L7185" s="3" t="str">
        <f>IFERROR(__xludf.DUMMYFUNCTION("GOOGLETRANSLATE(F7185,""id"",""en"")"),"Believe it or not Argentina World Cup champions because of the red bracelet that was once used by Cristian Gonzales via")</f>
        <v>Believe it or not Argentina World Cup champions because of the red bracelet that was once used by Cristian Gonzales via</v>
      </c>
    </row>
    <row r="7186" ht="15.75" customHeight="1">
      <c r="A7186" s="1">
        <v>8392.0</v>
      </c>
      <c r="B7186" s="3" t="s">
        <v>20627</v>
      </c>
      <c r="C7186" s="3">
        <v>1.0</v>
      </c>
      <c r="D7186" s="3">
        <v>0.0</v>
      </c>
      <c r="E7186" s="3">
        <v>1.0</v>
      </c>
      <c r="F7186" s="3" t="s">
        <v>20628</v>
      </c>
      <c r="G7186" s="3">
        <v>0.525</v>
      </c>
      <c r="H7186" s="3">
        <v>-0.07500000000000001</v>
      </c>
      <c r="I7186" s="3" t="s">
        <v>179</v>
      </c>
      <c r="J7186" s="3" t="s">
        <v>20629</v>
      </c>
      <c r="K7186" s="3" t="s">
        <v>510</v>
      </c>
      <c r="L7186" s="3" t="str">
        <f>IFERROR(__xludf.DUMMYFUNCTION("GOOGLETRANSLATE(F7186,""id"",""en"")"),"Yes, just random, tbtb keintetan rafathar must be full of smile this Argentina world champion wkwkwk")</f>
        <v>Yes, just random, tbtb keintetan rafathar must be full of smile this Argentina world champion wkwkwk</v>
      </c>
    </row>
    <row r="7187" ht="15.75" customHeight="1">
      <c r="A7187" s="1">
        <v>8393.0</v>
      </c>
      <c r="B7187" s="3" t="s">
        <v>20630</v>
      </c>
      <c r="C7187" s="3">
        <v>0.0</v>
      </c>
      <c r="D7187" s="3">
        <v>0.0</v>
      </c>
      <c r="E7187" s="3">
        <v>0.0</v>
      </c>
      <c r="F7187" s="3" t="s">
        <v>20631</v>
      </c>
      <c r="G7187" s="3">
        <v>0.0</v>
      </c>
      <c r="H7187" s="3">
        <v>0.0</v>
      </c>
      <c r="I7187" s="3" t="s">
        <v>13</v>
      </c>
      <c r="J7187" s="3" t="s">
        <v>20632</v>
      </c>
      <c r="K7187" s="3" t="s">
        <v>31</v>
      </c>
      <c r="L7187" s="3" t="str">
        <f>IFERROR(__xludf.DUMMYFUNCTION("GOOGLETRANSLATE(F7187,""id"",""en"")"),"Grateful Argentina Champion World Cup")</f>
        <v>Grateful Argentina Champion World Cup</v>
      </c>
    </row>
    <row r="7188" ht="15.75" customHeight="1">
      <c r="A7188" s="1">
        <v>8395.0</v>
      </c>
      <c r="B7188" s="3" t="s">
        <v>20633</v>
      </c>
      <c r="C7188" s="3">
        <v>1.0</v>
      </c>
      <c r="D7188" s="3">
        <v>0.0</v>
      </c>
      <c r="E7188" s="3">
        <v>0.0</v>
      </c>
      <c r="F7188" s="3" t="s">
        <v>20634</v>
      </c>
      <c r="G7188" s="3">
        <v>0.0</v>
      </c>
      <c r="H7188" s="3">
        <v>0.0</v>
      </c>
      <c r="I7188" s="3" t="s">
        <v>13</v>
      </c>
      <c r="J7188" s="3" t="s">
        <v>20635</v>
      </c>
      <c r="K7188" s="3" t="s">
        <v>135</v>
      </c>
      <c r="L7188" s="3" t="str">
        <f>IFERROR(__xludf.DUMMYFUNCTION("GOOGLETRANSLATE(F7188,""id"",""en"")"),"ARD actually there is a similarity between Lautaro and Giroud, France is a world champion as long as he goes with the same as sea, this is different from the French mainstay player since the pildun")</f>
        <v>ARD actually there is a similarity between Lautaro and Giroud, France is a world champion as long as he goes with the same as sea, this is different from the French mainstay player since the pildun</v>
      </c>
    </row>
    <row r="7189" ht="15.75" customHeight="1">
      <c r="A7189" s="1">
        <v>8396.0</v>
      </c>
      <c r="B7189" s="3" t="s">
        <v>20636</v>
      </c>
      <c r="C7189" s="3">
        <v>0.0</v>
      </c>
      <c r="D7189" s="3">
        <v>0.0</v>
      </c>
      <c r="E7189" s="3">
        <v>0.0</v>
      </c>
      <c r="F7189" s="3" t="s">
        <v>20561</v>
      </c>
      <c r="G7189" s="3">
        <v>0.0</v>
      </c>
      <c r="H7189" s="3">
        <v>0.0</v>
      </c>
      <c r="I7189" s="3" t="s">
        <v>13</v>
      </c>
      <c r="J7189" s="3" t="s">
        <v>20562</v>
      </c>
      <c r="K7189" s="3" t="s">
        <v>41</v>
      </c>
      <c r="L7189" s="3" t="str">
        <f>IFERROR(__xludf.DUMMYFUNCTION("GOOGLETRANSLATE(F7189,""id"",""en"")"),"Argentina Champion World Cup Messi Best Player of All Time")</f>
        <v>Argentina Champion World Cup Messi Best Player of All Time</v>
      </c>
    </row>
    <row r="7190" ht="15.75" customHeight="1">
      <c r="A7190" s="1">
        <v>8397.0</v>
      </c>
      <c r="B7190" s="3" t="s">
        <v>20637</v>
      </c>
      <c r="C7190" s="3">
        <v>0.0</v>
      </c>
      <c r="D7190" s="3">
        <v>0.0</v>
      </c>
      <c r="E7190" s="3">
        <v>2.0</v>
      </c>
      <c r="F7190" s="3" t="s">
        <v>20638</v>
      </c>
      <c r="G7190" s="3">
        <v>0.0</v>
      </c>
      <c r="H7190" s="3">
        <v>0.0</v>
      </c>
      <c r="I7190" s="3" t="s">
        <v>13</v>
      </c>
      <c r="J7190" s="3" t="s">
        <v>20639</v>
      </c>
      <c r="K7190" s="3" t="s">
        <v>240</v>
      </c>
      <c r="L7190" s="3" t="str">
        <f>IFERROR(__xludf.DUMMYFUNCTION("GOOGLETRANSLATE(F7190,""id"",""en"")"),"Argentina will not be top FIFA ranking this month even though the Brazilian World Cup champion still survives since last February")</f>
        <v>Argentina will not be top FIFA ranking this month even though the Brazilian World Cup champion still survives since last February</v>
      </c>
    </row>
    <row r="7191" ht="15.75" customHeight="1">
      <c r="A7191" s="1">
        <v>8398.0</v>
      </c>
      <c r="B7191" s="3" t="s">
        <v>20640</v>
      </c>
      <c r="C7191" s="3">
        <v>0.0</v>
      </c>
      <c r="D7191" s="3">
        <v>4.0</v>
      </c>
      <c r="E7191" s="3">
        <v>0.0</v>
      </c>
      <c r="F7191" s="3" t="s">
        <v>20641</v>
      </c>
      <c r="G7191" s="3">
        <v>0.2333333333333333</v>
      </c>
      <c r="H7191" s="3">
        <v>-0.25</v>
      </c>
      <c r="I7191" s="3" t="s">
        <v>179</v>
      </c>
      <c r="J7191" s="3" t="s">
        <v>20642</v>
      </c>
      <c r="K7191" s="3" t="s">
        <v>50</v>
      </c>
      <c r="L7191" s="3" t="str">
        <f>IFERROR(__xludf.DUMMYFUNCTION("GOOGLETRANSLATE(F7191,""id"",""en"")"),"Almost Lionel Messi survived the Argentine Mini Parade accident Champion World Cup")</f>
        <v>Almost Lionel Messi survived the Argentine Mini Parade accident Champion World Cup</v>
      </c>
    </row>
    <row r="7192" ht="15.75" customHeight="1">
      <c r="A7192" s="1">
        <v>8399.0</v>
      </c>
      <c r="B7192" s="3" t="s">
        <v>20643</v>
      </c>
      <c r="C7192" s="3">
        <v>1.0</v>
      </c>
      <c r="D7192" s="3">
        <v>3.0</v>
      </c>
      <c r="E7192" s="3">
        <v>10.0</v>
      </c>
      <c r="F7192" s="3" t="s">
        <v>20644</v>
      </c>
      <c r="G7192" s="3">
        <v>0.0</v>
      </c>
      <c r="H7192" s="3">
        <v>0.0</v>
      </c>
      <c r="I7192" s="3" t="s">
        <v>13</v>
      </c>
      <c r="J7192" s="3" t="s">
        <v>20645</v>
      </c>
      <c r="K7192" s="3" t="s">
        <v>495</v>
      </c>
      <c r="L7192" s="3" t="str">
        <f>IFERROR(__xludf.DUMMYFUNCTION("GOOGLETRANSLATE(F7192,""id"",""en"")"),"Argentina Champion World Cup after beating France a crucial moment of the match made netizens joke about the size of Raphael Varane's buttocks")</f>
        <v>Argentina Champion World Cup after beating France a crucial moment of the match made netizens joke about the size of Raphael Varane's buttocks</v>
      </c>
    </row>
    <row r="7193" ht="15.75" customHeight="1">
      <c r="A7193" s="1">
        <v>8400.0</v>
      </c>
      <c r="B7193" s="3" t="s">
        <v>20646</v>
      </c>
      <c r="C7193" s="3">
        <v>0.0</v>
      </c>
      <c r="D7193" s="3">
        <v>0.0</v>
      </c>
      <c r="E7193" s="3">
        <v>0.0</v>
      </c>
      <c r="F7193" s="3" t="s">
        <v>20647</v>
      </c>
      <c r="G7193" s="3">
        <v>0.0</v>
      </c>
      <c r="H7193" s="3">
        <v>0.0</v>
      </c>
      <c r="I7193" s="3" t="s">
        <v>13</v>
      </c>
      <c r="J7193" s="3" t="s">
        <v>20648</v>
      </c>
      <c r="K7193" s="3" t="s">
        <v>11862</v>
      </c>
      <c r="L7193" s="3" t="str">
        <f>IFERROR(__xludf.DUMMYFUNCTION("GOOGLETRANSLATE(F7193,""id"",""en"")"),"Messi now has another burden so far Messi suffers from Argentina even though it is happy Barcelona because every time he fails to bring Argentina the champion Messi is always blasphemed by Argentina now, so Messi has now has a burden again")</f>
        <v>Messi now has another burden so far Messi suffers from Argentina even though it is happy Barcelona because every time he fails to bring Argentina the champion Messi is always blasphemed by Argentina now, so Messi has now has a burden again</v>
      </c>
    </row>
    <row r="7194" ht="15.75" customHeight="1">
      <c r="A7194" s="1">
        <v>8401.0</v>
      </c>
      <c r="B7194" s="3" t="s">
        <v>20649</v>
      </c>
      <c r="C7194" s="3">
        <v>0.0</v>
      </c>
      <c r="D7194" s="3">
        <v>0.0</v>
      </c>
      <c r="E7194" s="3">
        <v>1.0</v>
      </c>
      <c r="F7194" s="3" t="s">
        <v>20374</v>
      </c>
      <c r="G7194" s="3">
        <v>0.0</v>
      </c>
      <c r="H7194" s="3">
        <v>0.0</v>
      </c>
      <c r="I7194" s="3" t="s">
        <v>13</v>
      </c>
      <c r="J7194" s="3" t="s">
        <v>20375</v>
      </c>
      <c r="K7194" s="3" t="s">
        <v>19</v>
      </c>
      <c r="L7194" s="3" t="str">
        <f>IFERROR(__xludf.DUMMYFUNCTION("GOOGLETRANSLATE(F7194,""id"",""en"")"),"What is Lionel Messi's footballer after Argentina champions of the World Cup he slept with his trophy")</f>
        <v>What is Lionel Messi's footballer after Argentina champions of the World Cup he slept with his trophy</v>
      </c>
    </row>
    <row r="7195" ht="15.75" customHeight="1">
      <c r="A7195" s="1">
        <v>8403.0</v>
      </c>
      <c r="B7195" s="3" t="s">
        <v>20650</v>
      </c>
      <c r="C7195" s="3">
        <v>0.0</v>
      </c>
      <c r="D7195" s="3">
        <v>0.0</v>
      </c>
      <c r="E7195" s="3">
        <v>1.0</v>
      </c>
      <c r="F7195" s="3" t="s">
        <v>20651</v>
      </c>
      <c r="G7195" s="3">
        <v>0.0</v>
      </c>
      <c r="H7195" s="3">
        <v>0.0</v>
      </c>
      <c r="I7195" s="3" t="s">
        <v>13</v>
      </c>
      <c r="J7195" s="3" t="s">
        <v>20652</v>
      </c>
      <c r="K7195" s="3" t="s">
        <v>433</v>
      </c>
      <c r="L7195" s="3" t="str">
        <f>IFERROR(__xludf.DUMMYFUNCTION("GOOGLETRANSLATE(F7195,""id"",""en"")"),"It was an Argentine national team inspired by Messi until he wanted to win the world with Messi Goblok")</f>
        <v>It was an Argentine national team inspired by Messi until he wanted to win the world with Messi Goblok</v>
      </c>
    </row>
    <row r="7196" ht="15.75" customHeight="1">
      <c r="A7196" s="1">
        <v>8404.0</v>
      </c>
      <c r="B7196" s="3" t="s">
        <v>20653</v>
      </c>
      <c r="C7196" s="3">
        <v>1.0</v>
      </c>
      <c r="D7196" s="3">
        <v>0.0</v>
      </c>
      <c r="E7196" s="3">
        <v>0.0</v>
      </c>
      <c r="F7196" s="3" t="s">
        <v>20654</v>
      </c>
      <c r="G7196" s="3">
        <v>0.0</v>
      </c>
      <c r="H7196" s="3">
        <v>0.0</v>
      </c>
      <c r="I7196" s="3" t="s">
        <v>13</v>
      </c>
      <c r="J7196" s="3" t="s">
        <v>20655</v>
      </c>
      <c r="K7196" s="3" t="s">
        <v>54</v>
      </c>
      <c r="L7196" s="3" t="str">
        <f>IFERROR(__xludf.DUMMYFUNCTION("GOOGLETRANSLATE(F7196,""id"",""en"")"),"The only Argentine champions were running the trophy")</f>
        <v>The only Argentine champions were running the trophy</v>
      </c>
    </row>
    <row r="7197" ht="15.75" customHeight="1">
      <c r="A7197" s="1">
        <v>8405.0</v>
      </c>
      <c r="B7197" s="3" t="s">
        <v>20656</v>
      </c>
      <c r="C7197" s="3">
        <v>0.0</v>
      </c>
      <c r="D7197" s="3">
        <v>0.0</v>
      </c>
      <c r="E7197" s="3">
        <v>0.0</v>
      </c>
      <c r="F7197" s="3" t="s">
        <v>20657</v>
      </c>
      <c r="G7197" s="3">
        <v>0.0</v>
      </c>
      <c r="H7197" s="3">
        <v>0.0</v>
      </c>
      <c r="I7197" s="3" t="s">
        <v>13</v>
      </c>
      <c r="J7197" s="3" t="s">
        <v>20658</v>
      </c>
      <c r="K7197" s="3" t="s">
        <v>1942</v>
      </c>
      <c r="L7197" s="3" t="str">
        <f>IFERROR(__xludf.DUMMYFUNCTION("GOOGLETRANSLATE(F7197,""id"",""en"")"),"ahaha even though when yesterday the English league, which until the past week still determined the club that champions Liverpool and City have prepared the championship celebration clothes, but only those who succeeded in France and also prepared it, but"&amp;" it wasn't used right right, right?")</f>
        <v>ahaha even though when yesterday the English league, which until the past week still determined the club that champions Liverpool and City have prepared the championship celebration clothes, but only those who succeeded in France and also prepared it, but it wasn't used right right, right?</v>
      </c>
    </row>
    <row r="7198" ht="15.75" customHeight="1">
      <c r="A7198" s="1">
        <v>8406.0</v>
      </c>
      <c r="B7198" s="3" t="s">
        <v>20659</v>
      </c>
      <c r="C7198" s="3">
        <v>1.0</v>
      </c>
      <c r="D7198" s="3">
        <v>0.0</v>
      </c>
      <c r="E7198" s="3">
        <v>19.0</v>
      </c>
      <c r="F7198" s="3" t="s">
        <v>20660</v>
      </c>
      <c r="G7198" s="3">
        <v>0.0</v>
      </c>
      <c r="H7198" s="3">
        <v>0.0</v>
      </c>
      <c r="I7198" s="3" t="s">
        <v>13</v>
      </c>
      <c r="J7198" s="3" t="s">
        <v>20661</v>
      </c>
      <c r="K7198" s="3" t="s">
        <v>433</v>
      </c>
      <c r="L7198" s="3" t="str">
        <f>IFERROR(__xludf.DUMMYFUNCTION("GOOGLETRANSLATE(F7198,""id"",""en"")"),"Honestly, I still thought because of Anton Sujarno wanted to lick the buttocks of Eti Argentina World Cup champions")</f>
        <v>Honestly, I still thought because of Anton Sujarno wanted to lick the buttocks of Eti Argentina World Cup champions</v>
      </c>
    </row>
    <row r="7199" ht="15.75" customHeight="1">
      <c r="A7199" s="1">
        <v>8407.0</v>
      </c>
      <c r="B7199" s="3" t="s">
        <v>20662</v>
      </c>
      <c r="C7199" s="3">
        <v>0.0</v>
      </c>
      <c r="D7199" s="3">
        <v>0.0</v>
      </c>
      <c r="E7199" s="3">
        <v>0.0</v>
      </c>
      <c r="F7199" s="3" t="s">
        <v>20662</v>
      </c>
      <c r="G7199" s="3">
        <v>0.0</v>
      </c>
      <c r="H7199" s="3">
        <v>0.0</v>
      </c>
      <c r="I7199" s="3" t="s">
        <v>13</v>
      </c>
      <c r="J7199" s="3" t="s">
        <v>20663</v>
      </c>
      <c r="K7199" s="3" t="s">
        <v>2117</v>
      </c>
      <c r="L7199" s="3" t="str">
        <f>IFERROR(__xludf.DUMMYFUNCTION("GOOGLETRANSLATE(F7199,""id"",""en"")"),"Improve Teros Bosss")</f>
        <v>Improve Teros Bosss</v>
      </c>
    </row>
    <row r="7200" ht="15.75" customHeight="1">
      <c r="A7200" s="1">
        <v>8408.0</v>
      </c>
      <c r="B7200" s="3" t="s">
        <v>20664</v>
      </c>
      <c r="C7200" s="3">
        <v>0.0</v>
      </c>
      <c r="D7200" s="3">
        <v>0.0</v>
      </c>
      <c r="E7200" s="3">
        <v>0.0</v>
      </c>
      <c r="F7200" s="3" t="s">
        <v>20665</v>
      </c>
      <c r="G7200" s="3">
        <v>0.0</v>
      </c>
      <c r="H7200" s="3">
        <v>0.0</v>
      </c>
      <c r="I7200" s="3" t="s">
        <v>13</v>
      </c>
      <c r="J7200" s="3" t="s">
        <v>20666</v>
      </c>
      <c r="K7200" s="3" t="s">
        <v>510</v>
      </c>
      <c r="L7200" s="3" t="str">
        <f>IFERROR(__xludf.DUMMYFUNCTION("GOOGLETRANSLATE(F7200,""id"",""en"")"),"Gosh, Head of Lionel Messi, almost caught in an electric cable during the Argentine Kirab World Cup championship")</f>
        <v>Gosh, Head of Lionel Messi, almost caught in an electric cable during the Argentine Kirab World Cup championship</v>
      </c>
    </row>
    <row r="7201" ht="15.75" customHeight="1">
      <c r="A7201" s="1">
        <v>8409.0</v>
      </c>
      <c r="B7201" s="3" t="s">
        <v>20667</v>
      </c>
      <c r="C7201" s="3">
        <v>0.0</v>
      </c>
      <c r="D7201" s="3">
        <v>0.0</v>
      </c>
      <c r="E7201" s="3">
        <v>0.0</v>
      </c>
      <c r="F7201" s="3" t="s">
        <v>20668</v>
      </c>
      <c r="G7201" s="3">
        <v>0.0</v>
      </c>
      <c r="H7201" s="3">
        <v>0.0</v>
      </c>
      <c r="I7201" s="3" t="s">
        <v>13</v>
      </c>
      <c r="J7201" s="3" t="s">
        <v>20669</v>
      </c>
      <c r="K7201" s="3" t="s">
        <v>82</v>
      </c>
      <c r="L7201" s="3" t="str">
        <f>IFERROR(__xludf.DUMMYFUNCTION("GOOGLETRANSLATE(F7201,""id"",""en"")"),"the Argentina champion for the World Cup champion is blamed, sir again")</f>
        <v>the Argentina champion for the World Cup champion is blamed, sir again</v>
      </c>
    </row>
    <row r="7202" ht="15.75" customHeight="1">
      <c r="A7202" s="1">
        <v>8410.0</v>
      </c>
      <c r="B7202" s="3" t="s">
        <v>20670</v>
      </c>
      <c r="C7202" s="3">
        <v>0.0</v>
      </c>
      <c r="D7202" s="3">
        <v>0.0</v>
      </c>
      <c r="E7202" s="3">
        <v>2.0</v>
      </c>
      <c r="F7202" s="3" t="s">
        <v>20671</v>
      </c>
      <c r="G7202" s="3">
        <v>0.0</v>
      </c>
      <c r="H7202" s="3">
        <v>0.0</v>
      </c>
      <c r="I7202" s="3" t="s">
        <v>13</v>
      </c>
      <c r="J7202" s="3" t="s">
        <v>20672</v>
      </c>
      <c r="K7202" s="3" t="s">
        <v>495</v>
      </c>
      <c r="L7202" s="3" t="str">
        <f>IFERROR(__xludf.DUMMYFUNCTION("GOOGLETRANSLATE(F7202,""id"",""en"")"),"Argentina won the World Cup after defeating France through a penalty shootout, bring home up to hundreds of billions")</f>
        <v>Argentina won the World Cup after defeating France through a penalty shootout, bring home up to hundreds of billions</v>
      </c>
    </row>
    <row r="7203" ht="15.75" customHeight="1">
      <c r="A7203" s="1">
        <v>8411.0</v>
      </c>
      <c r="B7203" s="3" t="s">
        <v>20673</v>
      </c>
      <c r="C7203" s="3">
        <v>2.0</v>
      </c>
      <c r="D7203" s="3">
        <v>0.0</v>
      </c>
      <c r="E7203" s="3">
        <v>3.0</v>
      </c>
      <c r="F7203" s="3" t="s">
        <v>20674</v>
      </c>
      <c r="G7203" s="3">
        <v>0.0</v>
      </c>
      <c r="H7203" s="3">
        <v>0.0</v>
      </c>
      <c r="I7203" s="3" t="s">
        <v>13</v>
      </c>
      <c r="J7203" s="3" t="s">
        <v>20675</v>
      </c>
      <c r="K7203" s="3" t="s">
        <v>50</v>
      </c>
      <c r="L7203" s="3" t="str">
        <f>IFERROR(__xludf.DUMMYFUNCTION("GOOGLETRANSLATE(F7203,""id"",""en"")"),"Ronaldo's sister after seeing Messi champion with Argentina, the worst World Cup")</f>
        <v>Ronaldo's sister after seeing Messi champion with Argentina, the worst World Cup</v>
      </c>
    </row>
    <row r="7204" ht="15.75" customHeight="1">
      <c r="A7204" s="1">
        <v>8412.0</v>
      </c>
      <c r="B7204" s="3" t="s">
        <v>20676</v>
      </c>
      <c r="C7204" s="3">
        <v>1.0</v>
      </c>
      <c r="D7204" s="3">
        <v>0.0</v>
      </c>
      <c r="E7204" s="3">
        <v>0.0</v>
      </c>
      <c r="F7204" s="3" t="s">
        <v>20677</v>
      </c>
      <c r="G7204" s="3">
        <v>0.0</v>
      </c>
      <c r="H7204" s="3">
        <v>0.0</v>
      </c>
      <c r="I7204" s="3" t="s">
        <v>13</v>
      </c>
      <c r="J7204" s="3" t="s">
        <v>20678</v>
      </c>
      <c r="K7204" s="3" t="s">
        <v>510</v>
      </c>
      <c r="L7204" s="3" t="str">
        <f>IFERROR(__xludf.DUMMYFUNCTION("GOOGLETRANSLATE(F7204,""id"",""en"")"),"Imagine Without Messi Yesterday Argentina Will Champion Wkwkwk Many Thanks to Barcelona Bosss players")</f>
        <v>Imagine Without Messi Yesterday Argentina Will Champion Wkwkwk Many Thanks to Barcelona Bosss players</v>
      </c>
    </row>
    <row r="7205" ht="15.75" customHeight="1">
      <c r="A7205" s="1">
        <v>8413.0</v>
      </c>
      <c r="B7205" s="3" t="s">
        <v>20679</v>
      </c>
      <c r="C7205" s="3">
        <v>0.0</v>
      </c>
      <c r="D7205" s="3">
        <v>0.0</v>
      </c>
      <c r="E7205" s="3">
        <v>0.0</v>
      </c>
      <c r="F7205" s="3" t="s">
        <v>20680</v>
      </c>
      <c r="G7205" s="3">
        <v>0.0</v>
      </c>
      <c r="H7205" s="3">
        <v>0.0</v>
      </c>
      <c r="I7205" s="3" t="s">
        <v>13</v>
      </c>
      <c r="J7205" s="3" t="s">
        <v>20681</v>
      </c>
      <c r="K7205" s="3" t="s">
        <v>437</v>
      </c>
      <c r="L7205" s="3" t="str">
        <f>IFERROR(__xludf.DUMMYFUNCTION("GOOGLETRANSLATE(F7205,""id"",""en"")"),"if anis lists GPP if the list of advantages from opo jal wira wiri rono rene remarks Argentina is overflowing, you know the champion")</f>
        <v>if anis lists GPP if the list of advantages from opo jal wira wiri rono rene remarks Argentina is overflowing, you know the champion</v>
      </c>
    </row>
    <row r="7206" ht="15.75" customHeight="1">
      <c r="A7206" s="1">
        <v>8414.0</v>
      </c>
      <c r="B7206" s="3" t="s">
        <v>20682</v>
      </c>
      <c r="C7206" s="3">
        <v>0.0</v>
      </c>
      <c r="D7206" s="3">
        <v>0.0</v>
      </c>
      <c r="E7206" s="3">
        <v>0.0</v>
      </c>
      <c r="F7206" s="3" t="s">
        <v>20683</v>
      </c>
      <c r="G7206" s="3">
        <v>0.0</v>
      </c>
      <c r="H7206" s="3">
        <v>0.0</v>
      </c>
      <c r="I7206" s="3" t="s">
        <v>13</v>
      </c>
      <c r="J7206" s="3" t="s">
        <v>20684</v>
      </c>
      <c r="K7206" s="3" t="s">
        <v>644</v>
      </c>
      <c r="L7206" s="3" t="str">
        <f>IFERROR(__xludf.DUMMYFUNCTION("GOOGLETRANSLATE(F7206,""id"",""en"")"),"It's useless Argentina TTP Champion")</f>
        <v>It's useless Argentina TTP Champion</v>
      </c>
    </row>
    <row r="7207" ht="15.75" customHeight="1">
      <c r="A7207" s="1">
        <v>8415.0</v>
      </c>
      <c r="B7207" s="3" t="s">
        <v>20685</v>
      </c>
      <c r="C7207" s="3">
        <v>0.0</v>
      </c>
      <c r="D7207" s="3">
        <v>0.0</v>
      </c>
      <c r="E7207" s="3">
        <v>0.0</v>
      </c>
      <c r="F7207" s="3" t="s">
        <v>20686</v>
      </c>
      <c r="G7207" s="3">
        <v>0.0</v>
      </c>
      <c r="H7207" s="3">
        <v>0.0</v>
      </c>
      <c r="I7207" s="3" t="s">
        <v>13</v>
      </c>
      <c r="J7207" s="3" t="s">
        <v>20687</v>
      </c>
      <c r="K7207" s="3" t="s">
        <v>4609</v>
      </c>
      <c r="L7207" s="3" t="str">
        <f>IFERROR(__xludf.DUMMYFUNCTION("GOOGLETRANSLATE(F7207,""id"",""en"")"),"The Qatar World Cup has ended and has given birth to Argentina as the World Cup champion who has been waiting for the year since the World Cup")</f>
        <v>The Qatar World Cup has ended and has given birth to Argentina as the World Cup champion who has been waiting for the year since the World Cup</v>
      </c>
    </row>
    <row r="7208" ht="15.75" customHeight="1">
      <c r="A7208" s="1">
        <v>8416.0</v>
      </c>
      <c r="B7208" s="3" t="s">
        <v>20688</v>
      </c>
      <c r="C7208" s="3">
        <v>0.0</v>
      </c>
      <c r="D7208" s="3">
        <v>1.0</v>
      </c>
      <c r="E7208" s="3">
        <v>2.0</v>
      </c>
      <c r="F7208" s="3" t="s">
        <v>20689</v>
      </c>
      <c r="G7208" s="3">
        <v>0.0</v>
      </c>
      <c r="H7208" s="3">
        <v>0.0</v>
      </c>
      <c r="I7208" s="3" t="s">
        <v>13</v>
      </c>
      <c r="J7208" s="3" t="s">
        <v>20690</v>
      </c>
      <c r="K7208" s="3" t="s">
        <v>75</v>
      </c>
      <c r="L7208" s="3" t="str">
        <f>IFERROR(__xludf.DUMMYFUNCTION("GOOGLETRANSLATE(F7208,""id"",""en"")"),"Congratulations to the Argentine national team who won the world soccer party champion")</f>
        <v>Congratulations to the Argentine national team who won the world soccer party champion</v>
      </c>
    </row>
    <row r="7209" ht="15.75" customHeight="1">
      <c r="A7209" s="1">
        <v>8418.0</v>
      </c>
      <c r="B7209" s="3" t="s">
        <v>20691</v>
      </c>
      <c r="C7209" s="3">
        <v>0.0</v>
      </c>
      <c r="D7209" s="3">
        <v>0.0</v>
      </c>
      <c r="E7209" s="3">
        <v>0.0</v>
      </c>
      <c r="F7209" s="3" t="s">
        <v>20692</v>
      </c>
      <c r="G7209" s="3">
        <v>0.0</v>
      </c>
      <c r="H7209" s="3">
        <v>0.0</v>
      </c>
      <c r="I7209" s="3" t="s">
        <v>13</v>
      </c>
      <c r="J7209" s="3" t="s">
        <v>20693</v>
      </c>
      <c r="K7209" s="3" t="s">
        <v>75</v>
      </c>
      <c r="L7209" s="3" t="str">
        <f>IFERROR(__xludf.DUMMYFUNCTION("GOOGLETRANSLATE(F7209,""id"",""en"")"),"Initially a temporary coach but successfully brought Argentina champions Copa America and World Cup")</f>
        <v>Initially a temporary coach but successfully brought Argentina champions Copa America and World Cup</v>
      </c>
    </row>
    <row r="7210" ht="15.75" customHeight="1">
      <c r="A7210" s="1">
        <v>8419.0</v>
      </c>
      <c r="B7210" s="3" t="s">
        <v>20694</v>
      </c>
      <c r="C7210" s="3">
        <v>0.0</v>
      </c>
      <c r="D7210" s="3">
        <v>0.0</v>
      </c>
      <c r="E7210" s="3">
        <v>0.0</v>
      </c>
      <c r="F7210" s="3" t="s">
        <v>20695</v>
      </c>
      <c r="G7210" s="3">
        <v>0.0</v>
      </c>
      <c r="H7210" s="3">
        <v>0.0</v>
      </c>
      <c r="I7210" s="3" t="s">
        <v>13</v>
      </c>
      <c r="J7210" s="3" t="s">
        <v>20696</v>
      </c>
      <c r="K7210" s="3" t="s">
        <v>2215</v>
      </c>
      <c r="L7210" s="3" t="str">
        <f>IFERROR(__xludf.DUMMYFUNCTION("GOOGLETRANSLATE(F7210,""id"",""en"")"),"The history of the World Cup World Cup trophy has officially ended on Sunday December with Argentina as the champion this year")</f>
        <v>The history of the World Cup World Cup trophy has officially ended on Sunday December with Argentina as the champion this year</v>
      </c>
    </row>
    <row r="7211" ht="15.75" customHeight="1">
      <c r="A7211" s="1">
        <v>8420.0</v>
      </c>
      <c r="B7211" s="3" t="s">
        <v>20697</v>
      </c>
      <c r="C7211" s="3">
        <v>0.0</v>
      </c>
      <c r="D7211" s="3">
        <v>0.0</v>
      </c>
      <c r="E7211" s="3">
        <v>0.0</v>
      </c>
      <c r="F7211" s="3" t="s">
        <v>20698</v>
      </c>
      <c r="G7211" s="3">
        <v>0.0</v>
      </c>
      <c r="H7211" s="3">
        <v>0.0</v>
      </c>
      <c r="I7211" s="3" t="s">
        <v>13</v>
      </c>
      <c r="J7211" s="3" t="s">
        <v>20699</v>
      </c>
      <c r="K7211" s="3" t="s">
        <v>644</v>
      </c>
      <c r="L7211" s="3" t="str">
        <f>IFERROR(__xludf.DUMMYFUNCTION("GOOGLETRANSLATE(F7211,""id"",""en"")"),"Argentina Champion Pilduun Temporary Indonesia")</f>
        <v>Argentina Champion Pilduun Temporary Indonesia</v>
      </c>
    </row>
    <row r="7212" ht="15.75" customHeight="1">
      <c r="A7212" s="1">
        <v>8421.0</v>
      </c>
      <c r="B7212" s="3" t="s">
        <v>20700</v>
      </c>
      <c r="C7212" s="3">
        <v>1.0</v>
      </c>
      <c r="D7212" s="3">
        <v>0.0</v>
      </c>
      <c r="E7212" s="3">
        <v>0.0</v>
      </c>
      <c r="F7212" s="3" t="s">
        <v>20701</v>
      </c>
      <c r="G7212" s="3">
        <v>0.0</v>
      </c>
      <c r="H7212" s="3">
        <v>0.0</v>
      </c>
      <c r="I7212" s="3" t="s">
        <v>13</v>
      </c>
      <c r="J7212" s="3" t="s">
        <v>20702</v>
      </c>
      <c r="K7212" s="3" t="s">
        <v>437</v>
      </c>
      <c r="L7212" s="3" t="str">
        <f>IFERROR(__xludf.DUMMYFUNCTION("GOOGLETRANSLATE(F7212,""id"",""en"")"),"Yes, yes, it is important that Argentina has champions, claiming to want to be a champion for the pildun, but it continues to be a backup player")</f>
        <v>Yes, yes, it is important that Argentina has champions, claiming to want to be a champion for the pildun, but it continues to be a backup player</v>
      </c>
    </row>
    <row r="7213" ht="15.75" customHeight="1">
      <c r="A7213" s="1">
        <v>8422.0</v>
      </c>
      <c r="B7213" s="3" t="s">
        <v>20703</v>
      </c>
      <c r="C7213" s="3">
        <v>0.0</v>
      </c>
      <c r="D7213" s="3">
        <v>0.0</v>
      </c>
      <c r="E7213" s="3">
        <v>0.0</v>
      </c>
      <c r="F7213" s="3" t="s">
        <v>16103</v>
      </c>
      <c r="G7213" s="3">
        <v>0.0</v>
      </c>
      <c r="H7213" s="3">
        <v>0.0</v>
      </c>
      <c r="I7213" s="3" t="s">
        <v>13</v>
      </c>
      <c r="J7213" s="3" t="s">
        <v>16104</v>
      </c>
      <c r="K7213" s="3" t="s">
        <v>14571</v>
      </c>
      <c r="L7213" s="3" t="str">
        <f>IFERROR(__xludf.DUMMYFUNCTION("GOOGLETRANSLATE(F7213,""id"",""en"")"),"Argentina Champion")</f>
        <v>Argentina Champion</v>
      </c>
    </row>
    <row r="7214" ht="15.75" customHeight="1">
      <c r="A7214" s="1">
        <v>8423.0</v>
      </c>
      <c r="B7214" s="3" t="s">
        <v>20704</v>
      </c>
      <c r="C7214" s="3">
        <v>0.0</v>
      </c>
      <c r="D7214" s="3">
        <v>0.0</v>
      </c>
      <c r="E7214" s="3">
        <v>7.0</v>
      </c>
      <c r="F7214" s="3" t="s">
        <v>20692</v>
      </c>
      <c r="G7214" s="3">
        <v>0.0</v>
      </c>
      <c r="H7214" s="3">
        <v>0.0</v>
      </c>
      <c r="I7214" s="3" t="s">
        <v>13</v>
      </c>
      <c r="J7214" s="3" t="s">
        <v>20693</v>
      </c>
      <c r="K7214" s="3" t="s">
        <v>75</v>
      </c>
      <c r="L7214" s="3" t="str">
        <f>IFERROR(__xludf.DUMMYFUNCTION("GOOGLETRANSLATE(F7214,""id"",""en"")"),"Initially a temporary coach but successfully brought Argentina champions Copa America and World Cup")</f>
        <v>Initially a temporary coach but successfully brought Argentina champions Copa America and World Cup</v>
      </c>
    </row>
    <row r="7215" ht="15.75" customHeight="1">
      <c r="A7215" s="1">
        <v>8424.0</v>
      </c>
      <c r="B7215" s="3" t="s">
        <v>20705</v>
      </c>
      <c r="C7215" s="3">
        <v>0.0</v>
      </c>
      <c r="D7215" s="3">
        <v>0.0</v>
      </c>
      <c r="E7215" s="3">
        <v>0.0</v>
      </c>
      <c r="F7215" s="3" t="s">
        <v>20706</v>
      </c>
      <c r="G7215" s="3">
        <v>0.0</v>
      </c>
      <c r="H7215" s="3">
        <v>0.0</v>
      </c>
      <c r="I7215" s="3" t="s">
        <v>13</v>
      </c>
      <c r="J7215" s="3" t="s">
        <v>16104</v>
      </c>
      <c r="K7215" s="3" t="s">
        <v>14571</v>
      </c>
      <c r="L7215" s="3" t="str">
        <f>IFERROR(__xludf.DUMMYFUNCTION("GOOGLETRANSLATE(F7215,""id"",""en"")"),"Because Argentina is the champion")</f>
        <v>Because Argentina is the champion</v>
      </c>
    </row>
    <row r="7216" ht="15.75" customHeight="1">
      <c r="A7216" s="1">
        <v>8425.0</v>
      </c>
      <c r="B7216" s="3" t="s">
        <v>20707</v>
      </c>
      <c r="C7216" s="3">
        <v>0.0</v>
      </c>
      <c r="D7216" s="3">
        <v>0.0</v>
      </c>
      <c r="E7216" s="3">
        <v>0.0</v>
      </c>
      <c r="F7216" s="3" t="s">
        <v>20561</v>
      </c>
      <c r="G7216" s="3">
        <v>0.0</v>
      </c>
      <c r="H7216" s="3">
        <v>0.0</v>
      </c>
      <c r="I7216" s="3" t="s">
        <v>13</v>
      </c>
      <c r="J7216" s="3" t="s">
        <v>20562</v>
      </c>
      <c r="K7216" s="3" t="s">
        <v>41</v>
      </c>
      <c r="L7216" s="3" t="str">
        <f>IFERROR(__xludf.DUMMYFUNCTION("GOOGLETRANSLATE(F7216,""id"",""en"")"),"Argentina Champion World Cup Messi Best Player of All Time")</f>
        <v>Argentina Champion World Cup Messi Best Player of All Time</v>
      </c>
    </row>
    <row r="7217" ht="15.75" customHeight="1">
      <c r="A7217" s="1">
        <v>8426.0</v>
      </c>
      <c r="B7217" s="3" t="s">
        <v>20708</v>
      </c>
      <c r="C7217" s="3">
        <v>1.0</v>
      </c>
      <c r="D7217" s="3">
        <v>1.0</v>
      </c>
      <c r="E7217" s="3">
        <v>10.0</v>
      </c>
      <c r="F7217" s="3" t="s">
        <v>20709</v>
      </c>
      <c r="G7217" s="3">
        <v>0.0</v>
      </c>
      <c r="H7217" s="3">
        <v>0.0</v>
      </c>
      <c r="I7217" s="3" t="s">
        <v>13</v>
      </c>
      <c r="J7217" s="3" t="s">
        <v>20710</v>
      </c>
      <c r="K7217" s="3" t="s">
        <v>657</v>
      </c>
      <c r="L7217" s="3" t="str">
        <f>IFERROR(__xludf.DUMMYFUNCTION("GOOGLETRANSLATE(F7217,""id"",""en"")"),"Naah, Kmrin is very loud, supporting England, ABG's turn to Argentina Champion instead follows the trophy")</f>
        <v>Naah, Kmrin is very loud, supporting England, ABG's turn to Argentina Champion instead follows the trophy</v>
      </c>
    </row>
    <row r="7218" ht="15.75" customHeight="1">
      <c r="A7218" s="1">
        <v>8427.0</v>
      </c>
      <c r="B7218" s="3" t="s">
        <v>20711</v>
      </c>
      <c r="C7218" s="3">
        <v>0.0</v>
      </c>
      <c r="D7218" s="3">
        <v>0.0</v>
      </c>
      <c r="E7218" s="3">
        <v>4.0</v>
      </c>
      <c r="F7218" s="3" t="s">
        <v>20712</v>
      </c>
      <c r="G7218" s="3">
        <v>0.0</v>
      </c>
      <c r="H7218" s="3">
        <v>0.0</v>
      </c>
      <c r="I7218" s="3" t="s">
        <v>13</v>
      </c>
      <c r="J7218" s="3" t="s">
        <v>20713</v>
      </c>
      <c r="K7218" s="3" t="s">
        <v>127</v>
      </c>
      <c r="L7218" s="3" t="str">
        <f>IFERROR(__xludf.DUMMYFUNCTION("GOOGLETRANSLATE(F7218,""id"",""en"")"),"Xavi Hernandez appreciated the success of Lionel Messi to deliver Argentina World Cup champions according to him Pulga deserves the title")</f>
        <v>Xavi Hernandez appreciated the success of Lionel Messi to deliver Argentina World Cup champions according to him Pulga deserves the title</v>
      </c>
    </row>
    <row r="7219" ht="15.75" customHeight="1">
      <c r="A7219" s="1">
        <v>8428.0</v>
      </c>
      <c r="B7219" s="3" t="s">
        <v>20714</v>
      </c>
      <c r="C7219" s="3">
        <v>0.0</v>
      </c>
      <c r="D7219" s="3">
        <v>0.0</v>
      </c>
      <c r="E7219" s="3">
        <v>0.0</v>
      </c>
      <c r="F7219" s="3" t="s">
        <v>20715</v>
      </c>
      <c r="G7219" s="3">
        <v>0.0</v>
      </c>
      <c r="H7219" s="3">
        <v>0.0</v>
      </c>
      <c r="I7219" s="3" t="s">
        <v>13</v>
      </c>
      <c r="J7219" s="3" t="s">
        <v>20716</v>
      </c>
      <c r="K7219" s="3" t="s">
        <v>149</v>
      </c>
      <c r="L7219" s="3" t="str">
        <f>IFERROR(__xludf.DUMMYFUNCTION("GOOGLETRANSLATE(F7219,""id"",""en"")"),"Messi Safari Victory of Lionel Messi and Argentina Squad have returned and immediately held a World Cup championship trophy there was a Pulga moment that was almost caught in an electric cable")</f>
        <v>Messi Safari Victory of Lionel Messi and Argentina Squad have returned and immediately held a World Cup championship trophy there was a Pulga moment that was almost caught in an electric cable</v>
      </c>
    </row>
    <row r="7220" ht="15.75" customHeight="1">
      <c r="A7220" s="1">
        <v>8429.0</v>
      </c>
      <c r="B7220" s="3" t="s">
        <v>20717</v>
      </c>
      <c r="C7220" s="3">
        <v>0.0</v>
      </c>
      <c r="D7220" s="3">
        <v>0.0</v>
      </c>
      <c r="E7220" s="3">
        <v>0.0</v>
      </c>
      <c r="F7220" s="3" t="s">
        <v>20715</v>
      </c>
      <c r="G7220" s="3">
        <v>0.0</v>
      </c>
      <c r="H7220" s="3">
        <v>0.0</v>
      </c>
      <c r="I7220" s="3" t="s">
        <v>13</v>
      </c>
      <c r="J7220" s="3" t="s">
        <v>20716</v>
      </c>
      <c r="K7220" s="3" t="s">
        <v>149</v>
      </c>
      <c r="L7220" s="3" t="str">
        <f>IFERROR(__xludf.DUMMYFUNCTION("GOOGLETRANSLATE(F7220,""id"",""en"")"),"Messi Safari Victory of Lionel Messi and Argentina Squad have returned and immediately held a World Cup championship trophy there was a Pulga moment that was almost caught in an electric cable")</f>
        <v>Messi Safari Victory of Lionel Messi and Argentina Squad have returned and immediately held a World Cup championship trophy there was a Pulga moment that was almost caught in an electric cable</v>
      </c>
    </row>
    <row r="7221" ht="15.75" customHeight="1">
      <c r="A7221" s="1">
        <v>8430.0</v>
      </c>
      <c r="B7221" s="3" t="s">
        <v>20718</v>
      </c>
      <c r="C7221" s="3">
        <v>1.0</v>
      </c>
      <c r="D7221" s="3">
        <v>0.0</v>
      </c>
      <c r="E7221" s="3">
        <v>0.0</v>
      </c>
      <c r="F7221" s="3" t="s">
        <v>20719</v>
      </c>
      <c r="G7221" s="3">
        <v>0.0</v>
      </c>
      <c r="H7221" s="3">
        <v>0.0</v>
      </c>
      <c r="I7221" s="3" t="s">
        <v>13</v>
      </c>
      <c r="J7221" s="3" t="s">
        <v>20720</v>
      </c>
      <c r="K7221" s="3" t="s">
        <v>1300</v>
      </c>
      <c r="L7221" s="3" t="str">
        <f>IFERROR(__xludf.DUMMYFUNCTION("GOOGLETRANSLATE(F7221,""id"",""en"")"),"There are gossip circulating if Messi asks PSG so that Argentina can win the Qatar Worldcup when the negotiation of Messi from Barca PSG is said to be in the contract of Argentina requirements for Qatar champions so that Messi wants to move PSG by Qatar.")</f>
        <v>There are gossip circulating if Messi asks PSG so that Argentina can win the Qatar Worldcup when the negotiation of Messi from Barca PSG is said to be in the contract of Argentina requirements for Qatar champions so that Messi wants to move PSG by Qatar.</v>
      </c>
    </row>
    <row r="7222" ht="15.75" customHeight="1">
      <c r="A7222" s="1">
        <v>8431.0</v>
      </c>
      <c r="B7222" s="3" t="s">
        <v>20721</v>
      </c>
      <c r="C7222" s="3">
        <v>0.0</v>
      </c>
      <c r="D7222" s="3">
        <v>0.0</v>
      </c>
      <c r="E7222" s="3">
        <v>0.0</v>
      </c>
      <c r="F7222" s="3" t="s">
        <v>20722</v>
      </c>
      <c r="G7222" s="3">
        <v>0.0</v>
      </c>
      <c r="H7222" s="3">
        <v>0.0</v>
      </c>
      <c r="I7222" s="3" t="s">
        <v>13</v>
      </c>
      <c r="J7222" s="3" t="s">
        <v>20723</v>
      </c>
      <c r="K7222" s="3" t="s">
        <v>71</v>
      </c>
      <c r="L7222" s="3" t="str">
        <f>IFERROR(__xludf.DUMMYFUNCTION("GOOGLETRANSLATE(F7222,""id"",""en"")"),"The story of Mario Gotze once made Lionel Messi heartbroken now Argentina World Cup Champion")</f>
        <v>The story of Mario Gotze once made Lionel Messi heartbroken now Argentina World Cup Champion</v>
      </c>
    </row>
    <row r="7223" ht="15.75" customHeight="1">
      <c r="A7223" s="1">
        <v>8432.0</v>
      </c>
      <c r="B7223" s="3" t="s">
        <v>20724</v>
      </c>
      <c r="C7223" s="3">
        <v>0.0</v>
      </c>
      <c r="D7223" s="3">
        <v>0.0</v>
      </c>
      <c r="E7223" s="3">
        <v>1.0</v>
      </c>
      <c r="F7223" s="3" t="s">
        <v>20644</v>
      </c>
      <c r="G7223" s="3">
        <v>0.0</v>
      </c>
      <c r="H7223" s="3">
        <v>0.0</v>
      </c>
      <c r="I7223" s="3" t="s">
        <v>13</v>
      </c>
      <c r="J7223" s="3" t="s">
        <v>20645</v>
      </c>
      <c r="K7223" s="3" t="s">
        <v>495</v>
      </c>
      <c r="L7223" s="3" t="str">
        <f>IFERROR(__xludf.DUMMYFUNCTION("GOOGLETRANSLATE(F7223,""id"",""en"")"),"Argentina Champion World Cup after beating France a crucial moment of the match made netizens joke about the size of Raphael Varane's buttocks")</f>
        <v>Argentina Champion World Cup after beating France a crucial moment of the match made netizens joke about the size of Raphael Varane's buttocks</v>
      </c>
    </row>
    <row r="7224" ht="15.75" customHeight="1">
      <c r="A7224" s="1">
        <v>8433.0</v>
      </c>
      <c r="B7224" s="3" t="s">
        <v>20725</v>
      </c>
      <c r="C7224" s="3">
        <v>1.0</v>
      </c>
      <c r="D7224" s="3">
        <v>0.0</v>
      </c>
      <c r="E7224" s="3">
        <v>1.0</v>
      </c>
      <c r="F7224" s="3" t="s">
        <v>20726</v>
      </c>
      <c r="G7224" s="3">
        <v>0.0</v>
      </c>
      <c r="H7224" s="3">
        <v>0.0</v>
      </c>
      <c r="I7224" s="3" t="s">
        <v>13</v>
      </c>
      <c r="J7224" s="3" t="s">
        <v>20727</v>
      </c>
      <c r="K7224" s="3" t="s">
        <v>41</v>
      </c>
      <c r="L7224" s="3" t="str">
        <f>IFERROR(__xludf.DUMMYFUNCTION("GOOGLETRANSLATE(F7224,""id"",""en"")"),"most of the Monas according to my gmn indo champion Pilduun KEK Argentina")</f>
        <v>most of the Monas according to my gmn indo champion Pilduun KEK Argentina</v>
      </c>
    </row>
    <row r="7225" ht="15.75" customHeight="1">
      <c r="A7225" s="1">
        <v>8434.0</v>
      </c>
      <c r="B7225" s="3" t="s">
        <v>20728</v>
      </c>
      <c r="C7225" s="3">
        <v>0.0</v>
      </c>
      <c r="D7225" s="3">
        <v>0.0</v>
      </c>
      <c r="E7225" s="3">
        <v>0.0</v>
      </c>
      <c r="F7225" s="3" t="s">
        <v>20729</v>
      </c>
      <c r="G7225" s="3">
        <v>0.0</v>
      </c>
      <c r="H7225" s="3">
        <v>0.0</v>
      </c>
      <c r="I7225" s="3" t="s">
        <v>13</v>
      </c>
      <c r="J7225" s="3" t="s">
        <v>20730</v>
      </c>
      <c r="K7225" s="3" t="s">
        <v>433</v>
      </c>
      <c r="L7225" s="3" t="str">
        <f>IFERROR(__xludf.DUMMYFUNCTION("GOOGLETRANSLATE(F7225,""id"",""en"")"),"see Greysia Polii Apriyani Rahayu champion Olimima yesterday just joined the cry, especially he brought Argentina champions after the year")</f>
        <v>see Greysia Polii Apriyani Rahayu champion Olimima yesterday just joined the cry, especially he brought Argentina champions after the year</v>
      </c>
    </row>
    <row r="7226" ht="15.75" customHeight="1">
      <c r="A7226" s="1">
        <v>8435.0</v>
      </c>
      <c r="B7226" s="3" t="s">
        <v>20731</v>
      </c>
      <c r="C7226" s="3">
        <v>0.0</v>
      </c>
      <c r="D7226" s="3">
        <v>0.0</v>
      </c>
      <c r="E7226" s="3">
        <v>0.0</v>
      </c>
      <c r="F7226" s="3" t="s">
        <v>20732</v>
      </c>
      <c r="G7226" s="3">
        <v>0.0</v>
      </c>
      <c r="H7226" s="3">
        <v>0.0</v>
      </c>
      <c r="I7226" s="3" t="s">
        <v>13</v>
      </c>
      <c r="J7226" s="3" t="s">
        <v>20733</v>
      </c>
      <c r="K7226" s="3" t="s">
        <v>236</v>
      </c>
      <c r="L7226" s="3" t="str">
        <f>IFERROR(__xludf.DUMMYFUNCTION("GOOGLETRANSLATE(F7226,""id"",""en"")"),"that Argentina became the prize champion for what players for school")</f>
        <v>that Argentina became the prize champion for what players for school</v>
      </c>
    </row>
    <row r="7227" ht="15.75" customHeight="1">
      <c r="A7227" s="1">
        <v>8437.0</v>
      </c>
      <c r="B7227" s="3" t="s">
        <v>20734</v>
      </c>
      <c r="C7227" s="3">
        <v>1.0</v>
      </c>
      <c r="D7227" s="3">
        <v>0.0</v>
      </c>
      <c r="E7227" s="3">
        <v>2.0</v>
      </c>
      <c r="F7227" s="3" t="s">
        <v>20735</v>
      </c>
      <c r="G7227" s="3">
        <v>0.0</v>
      </c>
      <c r="H7227" s="3">
        <v>0.0</v>
      </c>
      <c r="I7227" s="3" t="s">
        <v>13</v>
      </c>
      <c r="J7227" s="3" t="s">
        <v>20736</v>
      </c>
      <c r="K7227" s="3" t="s">
        <v>883</v>
      </c>
      <c r="L7227" s="3" t="str">
        <f>IFERROR(__xludf.DUMMYFUNCTION("GOOGLETRANSLATE(F7227,""id"",""en"")"),"The world champion squad will depart on Tuesday afternoon Obelisk to celebrate world championship performances with its fans. Thus the official statement of the Federation Federation Twitter account")</f>
        <v>The world champion squad will depart on Tuesday afternoon Obelisk to celebrate world championship performances with its fans. Thus the official statement of the Federation Federation Twitter account</v>
      </c>
    </row>
    <row r="7228" ht="15.75" customHeight="1">
      <c r="A7228" s="1">
        <v>8438.0</v>
      </c>
      <c r="B7228" s="3" t="s">
        <v>20737</v>
      </c>
      <c r="C7228" s="3">
        <v>2.0</v>
      </c>
      <c r="D7228" s="3">
        <v>6.0</v>
      </c>
      <c r="E7228" s="3">
        <v>14.0</v>
      </c>
      <c r="F7228" s="3" t="s">
        <v>20738</v>
      </c>
      <c r="G7228" s="3">
        <v>0.0</v>
      </c>
      <c r="H7228" s="3">
        <v>0.0</v>
      </c>
      <c r="I7228" s="3" t="s">
        <v>13</v>
      </c>
      <c r="J7228" s="3" t="s">
        <v>20739</v>
      </c>
      <c r="K7228" s="3" t="s">
        <v>437</v>
      </c>
      <c r="L7228" s="3" t="str">
        <f>IFERROR(__xludf.DUMMYFUNCTION("GOOGLETRANSLATE(F7228,""id"",""en"")"),"The Argentine government set Tuesday December as a national holiday to celebrate the success of the national team after becoming a Qatar champion")</f>
        <v>The Argentine government set Tuesday December as a national holiday to celebrate the success of the national team after becoming a Qatar champion</v>
      </c>
    </row>
    <row r="7229" ht="15.75" customHeight="1">
      <c r="A7229" s="1">
        <v>8439.0</v>
      </c>
      <c r="B7229" s="3" t="s">
        <v>20740</v>
      </c>
      <c r="C7229" s="3">
        <v>3.0</v>
      </c>
      <c r="D7229" s="3">
        <v>0.0</v>
      </c>
      <c r="E7229" s="3">
        <v>6.0</v>
      </c>
      <c r="F7229" s="3" t="s">
        <v>20741</v>
      </c>
      <c r="G7229" s="3">
        <v>0.3333333333333333</v>
      </c>
      <c r="H7229" s="3">
        <v>0.1666666666666667</v>
      </c>
      <c r="I7229" s="3" t="s">
        <v>48</v>
      </c>
      <c r="J7229" s="3" t="s">
        <v>20742</v>
      </c>
      <c r="K7229" s="3" t="s">
        <v>149</v>
      </c>
      <c r="L7229" s="3" t="str">
        <f>IFERROR(__xludf.DUMMYFUNCTION("GOOGLETRANSLATE(F7229,""id"",""en"")"),"Congratulations for Messi and Argentina to become Eits world champions, but if Messi and Mbappe can be pitted again, right?")</f>
        <v>Congratulations for Messi and Argentina to become Eits world champions, but if Messi and Mbappe can be pitted again, right?</v>
      </c>
    </row>
    <row r="7230" ht="15.75" customHeight="1">
      <c r="A7230" s="1">
        <v>8440.0</v>
      </c>
      <c r="B7230" s="3" t="s">
        <v>20743</v>
      </c>
      <c r="C7230" s="3">
        <v>0.0</v>
      </c>
      <c r="D7230" s="3">
        <v>0.0</v>
      </c>
      <c r="E7230" s="3">
        <v>0.0</v>
      </c>
      <c r="F7230" s="3" t="s">
        <v>20744</v>
      </c>
      <c r="G7230" s="3">
        <v>1.0</v>
      </c>
      <c r="H7230" s="3">
        <v>0.0</v>
      </c>
      <c r="I7230" s="3" t="s">
        <v>13</v>
      </c>
      <c r="J7230" s="3" t="s">
        <v>20745</v>
      </c>
      <c r="K7230" s="3" t="s">
        <v>495</v>
      </c>
      <c r="L7230" s="3" t="str">
        <f>IFERROR(__xludf.DUMMYFUNCTION("GOOGLETRANSLATE(F7230,""id"",""en"")"),"Maria, when the final wasn't there really, Argentina's first goal, because of her contribution, she could now feel the world champion")</f>
        <v>Maria, when the final wasn't there really, Argentina's first goal, because of her contribution, she could now feel the world champion</v>
      </c>
    </row>
    <row r="7231" ht="15.75" customHeight="1">
      <c r="A7231" s="1">
        <v>8441.0</v>
      </c>
      <c r="B7231" s="3" t="s">
        <v>20746</v>
      </c>
      <c r="C7231" s="3">
        <v>0.0</v>
      </c>
      <c r="D7231" s="3">
        <v>0.0</v>
      </c>
      <c r="E7231" s="3">
        <v>0.0</v>
      </c>
      <c r="F7231" s="3" t="s">
        <v>20747</v>
      </c>
      <c r="G7231" s="3">
        <v>0.5</v>
      </c>
      <c r="H7231" s="3">
        <v>0.0</v>
      </c>
      <c r="I7231" s="3" t="s">
        <v>13</v>
      </c>
      <c r="J7231" s="3" t="s">
        <v>20748</v>
      </c>
      <c r="K7231" s="3" t="s">
        <v>433</v>
      </c>
      <c r="L7231" s="3" t="str">
        <f>IFERROR(__xludf.DUMMYFUNCTION("GOOGLETRANSLATE(F7231,""id"",""en"")"),"Just happy Argentina Champion New Day Draw Malaysia Open has made it slapped for not being happy for a moment")</f>
        <v>Just happy Argentina Champion New Day Draw Malaysia Open has made it slapped for not being happy for a moment</v>
      </c>
    </row>
    <row r="7232" ht="15.75" customHeight="1">
      <c r="A7232" s="1">
        <v>8442.0</v>
      </c>
      <c r="B7232" s="3" t="s">
        <v>20749</v>
      </c>
      <c r="C7232" s="3">
        <v>0.0</v>
      </c>
      <c r="D7232" s="3">
        <v>0.0</v>
      </c>
      <c r="E7232" s="3">
        <v>0.0</v>
      </c>
      <c r="F7232" s="3" t="s">
        <v>20750</v>
      </c>
      <c r="G7232" s="3">
        <v>0.0</v>
      </c>
      <c r="H7232" s="3">
        <v>0.0</v>
      </c>
      <c r="I7232" s="3" t="s">
        <v>13</v>
      </c>
      <c r="J7232" s="3" t="s">
        <v>20751</v>
      </c>
      <c r="K7232" s="3" t="s">
        <v>2117</v>
      </c>
      <c r="L7232" s="3" t="str">
        <f>IFERROR(__xludf.DUMMYFUNCTION("GOOGLETRANSLATE(F7232,""id"",""en"")"),"Anindyajkt Argentina")</f>
        <v>Anindyajkt Argentina</v>
      </c>
    </row>
    <row r="7233" ht="15.75" customHeight="1">
      <c r="A7233" s="1">
        <v>8443.0</v>
      </c>
      <c r="B7233" s="3" t="s">
        <v>20752</v>
      </c>
      <c r="C7233" s="3">
        <v>0.0</v>
      </c>
      <c r="D7233" s="3">
        <v>0.0</v>
      </c>
      <c r="E7233" s="3">
        <v>0.0</v>
      </c>
      <c r="F7233" s="3" t="s">
        <v>20753</v>
      </c>
      <c r="G7233" s="3">
        <v>0.0</v>
      </c>
      <c r="H7233" s="3">
        <v>0.0</v>
      </c>
      <c r="I7233" s="3" t="s">
        <v>13</v>
      </c>
      <c r="J7233" s="3" t="s">
        <v>20754</v>
      </c>
      <c r="K7233" s="3" t="s">
        <v>82</v>
      </c>
      <c r="L7233" s="3" t="str">
        <f>IFERROR(__xludf.DUMMYFUNCTION("GOOGLETRANSLATE(F7233,""id"",""en"")"),"Argentina won the world champion after defeating France")</f>
        <v>Argentina won the world champion after defeating France</v>
      </c>
    </row>
    <row r="7234" ht="15.75" customHeight="1">
      <c r="A7234" s="1">
        <v>8444.0</v>
      </c>
      <c r="B7234" s="3" t="s">
        <v>20755</v>
      </c>
      <c r="C7234" s="3">
        <v>0.0</v>
      </c>
      <c r="D7234" s="3">
        <v>0.0</v>
      </c>
      <c r="E7234" s="3">
        <v>0.0</v>
      </c>
      <c r="F7234" s="3" t="s">
        <v>20756</v>
      </c>
      <c r="G7234" s="3">
        <v>0.0</v>
      </c>
      <c r="H7234" s="3">
        <v>0.0</v>
      </c>
      <c r="I7234" s="3" t="s">
        <v>13</v>
      </c>
      <c r="J7234" s="3" t="s">
        <v>20757</v>
      </c>
      <c r="K7234" s="3" t="s">
        <v>15</v>
      </c>
      <c r="L7234" s="3" t="str">
        <f>IFERROR(__xludf.DUMMYFUNCTION("GOOGLETRANSLATE(F7234,""id"",""en"")"),"Saudi Arabia in its true world champion who is able to defeat Argentina")</f>
        <v>Saudi Arabia in its true world champion who is able to defeat Argentina</v>
      </c>
    </row>
    <row r="7235" ht="15.75" customHeight="1">
      <c r="A7235" s="1">
        <v>8445.0</v>
      </c>
      <c r="B7235" s="3" t="s">
        <v>20758</v>
      </c>
      <c r="C7235" s="3">
        <v>0.0</v>
      </c>
      <c r="D7235" s="3">
        <v>0.0</v>
      </c>
      <c r="E7235" s="3">
        <v>2.0</v>
      </c>
      <c r="F7235" s="3" t="s">
        <v>20759</v>
      </c>
      <c r="G7235" s="3">
        <v>0.0</v>
      </c>
      <c r="H7235" s="3">
        <v>0.0</v>
      </c>
      <c r="I7235" s="3" t="s">
        <v>13</v>
      </c>
      <c r="J7235" s="3" t="s">
        <v>20760</v>
      </c>
      <c r="K7235" s="3" t="s">
        <v>31</v>
      </c>
      <c r="L7235" s="3" t="str">
        <f>IFERROR(__xludf.DUMMYFUNCTION("GOOGLETRANSLATE(F7235,""id"",""en"")"),"Yes, it's not willing to be Argentina champions")</f>
        <v>Yes, it's not willing to be Argentina champions</v>
      </c>
    </row>
    <row r="7236" ht="15.75" customHeight="1">
      <c r="A7236" s="1">
        <v>8446.0</v>
      </c>
      <c r="B7236" s="3" t="s">
        <v>20761</v>
      </c>
      <c r="C7236" s="3">
        <v>0.0</v>
      </c>
      <c r="D7236" s="3">
        <v>0.0</v>
      </c>
      <c r="E7236" s="3">
        <v>0.0</v>
      </c>
      <c r="F7236" s="3" t="s">
        <v>20762</v>
      </c>
      <c r="G7236" s="3">
        <v>0.0</v>
      </c>
      <c r="H7236" s="3">
        <v>0.0</v>
      </c>
      <c r="I7236" s="3" t="s">
        <v>13</v>
      </c>
      <c r="J7236" s="3" t="s">
        <v>20763</v>
      </c>
      <c r="K7236" s="3" t="s">
        <v>41</v>
      </c>
      <c r="L7236" s="3" t="str">
        <f>IFERROR(__xludf.DUMMYFUNCTION("GOOGLETRANSLATE(F7236,""id"",""en"")"),"The champion was paraded around Buenos Aires after arriving in Argentina")</f>
        <v>The champion was paraded around Buenos Aires after arriving in Argentina</v>
      </c>
    </row>
    <row r="7237" ht="15.75" customHeight="1">
      <c r="A7237" s="1">
        <v>8447.0</v>
      </c>
      <c r="B7237" s="3" t="s">
        <v>20764</v>
      </c>
      <c r="C7237" s="3">
        <v>0.0</v>
      </c>
      <c r="D7237" s="3">
        <v>0.0</v>
      </c>
      <c r="E7237" s="3">
        <v>0.0</v>
      </c>
      <c r="F7237" s="3" t="s">
        <v>20765</v>
      </c>
      <c r="G7237" s="3">
        <v>0.0</v>
      </c>
      <c r="H7237" s="3">
        <v>0.0</v>
      </c>
      <c r="I7237" s="3" t="s">
        <v>13</v>
      </c>
      <c r="J7237" s="3" t="s">
        <v>20766</v>
      </c>
      <c r="K7237" s="3" t="s">
        <v>35</v>
      </c>
      <c r="L7237" s="3" t="str">
        <f>IFERROR(__xludf.DUMMYFUNCTION("GOOGLETRANSLATE(F7237,""id"",""en"")"),"Amazingly, Indonesia Argentina, the world champion has never defeated Indonesia, believed trying to find")</f>
        <v>Amazingly, Indonesia Argentina, the world champion has never defeated Indonesia, believed trying to find</v>
      </c>
    </row>
    <row r="7238" ht="15.75" customHeight="1">
      <c r="A7238" s="1">
        <v>8448.0</v>
      </c>
      <c r="B7238" s="3" t="s">
        <v>20767</v>
      </c>
      <c r="C7238" s="3">
        <v>0.0</v>
      </c>
      <c r="D7238" s="3">
        <v>0.0</v>
      </c>
      <c r="E7238" s="3">
        <v>1.0</v>
      </c>
      <c r="F7238" s="3" t="s">
        <v>20768</v>
      </c>
      <c r="G7238" s="3">
        <v>0.0</v>
      </c>
      <c r="H7238" s="3">
        <v>0.0</v>
      </c>
      <c r="I7238" s="3" t="s">
        <v>13</v>
      </c>
      <c r="J7238" s="3" t="s">
        <v>20769</v>
      </c>
      <c r="K7238" s="3" t="s">
        <v>41</v>
      </c>
      <c r="L7238" s="3" t="str">
        <f>IFERROR(__xludf.DUMMYFUNCTION("GOOGLETRANSLATE(F7238,""id"",""en"")"),"Argentina Champion World Cup One Country Celebrates National Holidays")</f>
        <v>Argentina Champion World Cup One Country Celebrates National Holidays</v>
      </c>
    </row>
    <row r="7239" ht="15.75" customHeight="1">
      <c r="A7239" s="1">
        <v>8449.0</v>
      </c>
      <c r="B7239" s="3" t="s">
        <v>20770</v>
      </c>
      <c r="C7239" s="3">
        <v>0.0</v>
      </c>
      <c r="D7239" s="3">
        <v>0.0</v>
      </c>
      <c r="E7239" s="3">
        <v>0.0</v>
      </c>
      <c r="F7239" s="3" t="s">
        <v>20771</v>
      </c>
      <c r="G7239" s="3">
        <v>0.0</v>
      </c>
      <c r="H7239" s="3">
        <v>0.0</v>
      </c>
      <c r="I7239" s="3" t="s">
        <v>13</v>
      </c>
      <c r="J7239" s="3" t="s">
        <v>20772</v>
      </c>
      <c r="K7239" s="3" t="s">
        <v>273</v>
      </c>
      <c r="L7239" s="3" t="str">
        <f>IFERROR(__xludf.DUMMYFUNCTION("GOOGLETRANSLATE(F7239,""id"",""en"")"),"Hi football lovers, especially those who have won the World Cup, are now present in the Argentina World Cup Import jersey available in various sizes and of course it is the right choice for you to celebrate the Argentina victory, the check check")</f>
        <v>Hi football lovers, especially those who have won the World Cup, are now present in the Argentina World Cup Import jersey available in various sizes and of course it is the right choice for you to celebrate the Argentina victory, the check check</v>
      </c>
    </row>
    <row r="7240" ht="15.75" customHeight="1">
      <c r="A7240" s="1">
        <v>8450.0</v>
      </c>
      <c r="B7240" s="3" t="s">
        <v>20773</v>
      </c>
      <c r="C7240" s="3">
        <v>0.0</v>
      </c>
      <c r="D7240" s="3">
        <v>0.0</v>
      </c>
      <c r="E7240" s="3">
        <v>6.0</v>
      </c>
      <c r="F7240" s="3" t="s">
        <v>20774</v>
      </c>
      <c r="G7240" s="3">
        <v>0.0</v>
      </c>
      <c r="H7240" s="3">
        <v>0.0</v>
      </c>
      <c r="I7240" s="3" t="s">
        <v>13</v>
      </c>
      <c r="J7240" s="3" t="s">
        <v>20775</v>
      </c>
      <c r="K7240" s="3" t="s">
        <v>823</v>
      </c>
      <c r="L7240" s="3" t="str">
        <f>IFERROR(__xludf.DUMMYFUNCTION("GOOGLETRANSLATE(F7240,""id"",""en"")"),"Besides winning the World Cup championship with Argentina, he finally broke the Instagram likes record, Messi legitimately became the owner of the contents with the world's most likes to break the record that was previously owned by the record egg")</f>
        <v>Besides winning the World Cup championship with Argentina, he finally broke the Instagram likes record, Messi legitimately became the owner of the contents with the world's most likes to break the record that was previously owned by the record egg</v>
      </c>
    </row>
    <row r="7241" ht="15.75" customHeight="1">
      <c r="A7241" s="1">
        <v>8451.0</v>
      </c>
      <c r="B7241" s="3" t="s">
        <v>20776</v>
      </c>
      <c r="C7241" s="3">
        <v>0.0</v>
      </c>
      <c r="D7241" s="3">
        <v>0.0</v>
      </c>
      <c r="E7241" s="3">
        <v>0.0</v>
      </c>
      <c r="F7241" s="3" t="s">
        <v>20777</v>
      </c>
      <c r="G7241" s="3">
        <v>0.0</v>
      </c>
      <c r="H7241" s="3">
        <v>0.0</v>
      </c>
      <c r="I7241" s="3" t="s">
        <v>13</v>
      </c>
      <c r="J7241" s="3" t="s">
        <v>20778</v>
      </c>
      <c r="K7241" s="3" t="s">
        <v>1061</v>
      </c>
      <c r="L7241" s="3" t="str">
        <f>IFERROR(__xludf.DUMMYFUNCTION("GOOGLETRANSLATE(F7241,""id"",""en"")"),"I feel sorry for Aguero he is actually still good just because it hurts, so he must retire, however health for everything so when Aguero comes down celebrating Argentina, the champion is very happy")</f>
        <v>I feel sorry for Aguero he is actually still good just because it hurts, so he must retire, however health for everything so when Aguero comes down celebrating Argentina, the champion is very happy</v>
      </c>
    </row>
    <row r="7242" ht="15.75" customHeight="1">
      <c r="A7242" s="1">
        <v>8452.0</v>
      </c>
      <c r="B7242" s="3" t="s">
        <v>20779</v>
      </c>
      <c r="C7242" s="3">
        <v>0.0</v>
      </c>
      <c r="D7242" s="3">
        <v>0.0</v>
      </c>
      <c r="E7242" s="3">
        <v>8.0</v>
      </c>
      <c r="F7242" s="3" t="s">
        <v>20780</v>
      </c>
      <c r="G7242" s="3">
        <v>0.0</v>
      </c>
      <c r="H7242" s="3">
        <v>0.0</v>
      </c>
      <c r="I7242" s="3" t="s">
        <v>13</v>
      </c>
      <c r="J7242" s="3" t="s">
        <v>20781</v>
      </c>
      <c r="K7242" s="3" t="s">
        <v>495</v>
      </c>
      <c r="L7242" s="3" t="str">
        <f>IFERROR(__xludf.DUMMYFUNCTION("GOOGLETRANSLATE(F7242,""id"",""en"")"),"Kylian Mbappe has tried loudly but Lionel Messi who determined the Argentina path to become the World Cup champion both hugged each other after the match")</f>
        <v>Kylian Mbappe has tried loudly but Lionel Messi who determined the Argentina path to become the World Cup champion both hugged each other after the match</v>
      </c>
    </row>
    <row r="7243" ht="15.75" customHeight="1">
      <c r="A7243" s="1">
        <v>8453.0</v>
      </c>
      <c r="B7243" s="3" t="s">
        <v>20782</v>
      </c>
      <c r="C7243" s="3">
        <v>0.0</v>
      </c>
      <c r="D7243" s="3">
        <v>0.0</v>
      </c>
      <c r="E7243" s="3">
        <v>2.0</v>
      </c>
      <c r="F7243" s="3" t="s">
        <v>20783</v>
      </c>
      <c r="G7243" s="3">
        <v>0.0</v>
      </c>
      <c r="H7243" s="3">
        <v>0.0</v>
      </c>
      <c r="I7243" s="3" t="s">
        <v>13</v>
      </c>
      <c r="J7243" s="3" t="s">
        <v>20784</v>
      </c>
      <c r="K7243" s="3" t="s">
        <v>437</v>
      </c>
      <c r="L7243" s="3" t="str">
        <f>IFERROR(__xludf.DUMMYFUNCTION("GOOGLETRANSLATE(F7243,""id"",""en"")"),"Argentina is expected to rise in FIFA ranking after the World Cup champion but it is estimated that success is not enough to shift Brazil the peak is the reason")</f>
        <v>Argentina is expected to rise in FIFA ranking after the World Cup champion but it is estimated that success is not enough to shift Brazil the peak is the reason</v>
      </c>
    </row>
    <row r="7244" ht="15.75" customHeight="1">
      <c r="A7244" s="1">
        <v>8454.0</v>
      </c>
      <c r="B7244" s="3" t="s">
        <v>20785</v>
      </c>
      <c r="C7244" s="3">
        <v>0.0</v>
      </c>
      <c r="D7244" s="3">
        <v>0.0</v>
      </c>
      <c r="E7244" s="3">
        <v>0.0</v>
      </c>
      <c r="F7244" s="3" t="s">
        <v>20786</v>
      </c>
      <c r="G7244" s="3">
        <v>0.0</v>
      </c>
      <c r="H7244" s="3">
        <v>0.0</v>
      </c>
      <c r="I7244" s="3" t="s">
        <v>13</v>
      </c>
      <c r="J7244" s="3" t="s">
        <v>20787</v>
      </c>
      <c r="K7244" s="3" t="s">
        <v>19</v>
      </c>
      <c r="L7244" s="3" t="str">
        <f>IFERROR(__xludf.DUMMYFUNCTION("GOOGLETRANSLATE(F7244,""id"",""en"")"),"now happy is not a problem anymore but my genie when Argentina can bring home the World Cup champion this year")</f>
        <v>now happy is not a problem anymore but my genie when Argentina can bring home the World Cup champion this year</v>
      </c>
    </row>
    <row r="7245" ht="15.75" customHeight="1">
      <c r="A7245" s="1">
        <v>8455.0</v>
      </c>
      <c r="B7245" s="3" t="s">
        <v>20788</v>
      </c>
      <c r="C7245" s="3">
        <v>1.0</v>
      </c>
      <c r="D7245" s="3">
        <v>0.0</v>
      </c>
      <c r="E7245" s="3">
        <v>0.0</v>
      </c>
      <c r="F7245" s="3" t="s">
        <v>20789</v>
      </c>
      <c r="G7245" s="3">
        <v>0.0</v>
      </c>
      <c r="H7245" s="3">
        <v>0.0</v>
      </c>
      <c r="I7245" s="3" t="s">
        <v>13</v>
      </c>
      <c r="J7245" s="3" t="s">
        <v>20790</v>
      </c>
      <c r="K7245" s="3" t="s">
        <v>2117</v>
      </c>
      <c r="L7245" s="3" t="str">
        <f>IFERROR(__xludf.DUMMYFUNCTION("GOOGLETRANSLATE(F7245,""id"",""en"")"),"Auto raised salary")</f>
        <v>Auto raised salary</v>
      </c>
    </row>
    <row r="7246" ht="15.75" customHeight="1">
      <c r="A7246" s="1">
        <v>8456.0</v>
      </c>
      <c r="B7246" s="3" t="s">
        <v>20791</v>
      </c>
      <c r="C7246" s="3">
        <v>0.0</v>
      </c>
      <c r="D7246" s="3">
        <v>2.0</v>
      </c>
      <c r="E7246" s="3">
        <v>3.0</v>
      </c>
      <c r="F7246" s="3" t="s">
        <v>20792</v>
      </c>
      <c r="G7246" s="3">
        <v>0.0</v>
      </c>
      <c r="H7246" s="3">
        <v>0.0</v>
      </c>
      <c r="I7246" s="3" t="s">
        <v>13</v>
      </c>
      <c r="J7246" s="3" t="s">
        <v>20793</v>
      </c>
      <c r="K7246" s="3" t="s">
        <v>75</v>
      </c>
      <c r="L7246" s="3" t="str">
        <f>IFERROR(__xludf.DUMMYFUNCTION("GOOGLETRANSLATE(F7246,""id"",""en"")"),"The Argentine government set a national holiday for the Duia Cup championship celebration party")</f>
        <v>The Argentine government set a national holiday for the Duia Cup championship celebration party</v>
      </c>
    </row>
    <row r="7247" ht="15.75" customHeight="1">
      <c r="A7247" s="1">
        <v>8457.0</v>
      </c>
      <c r="B7247" s="3" t="s">
        <v>20794</v>
      </c>
      <c r="C7247" s="3">
        <v>0.0</v>
      </c>
      <c r="D7247" s="3">
        <v>5.0</v>
      </c>
      <c r="E7247" s="3">
        <v>1.0</v>
      </c>
      <c r="F7247" s="3" t="s">
        <v>20123</v>
      </c>
      <c r="G7247" s="3">
        <v>0.0</v>
      </c>
      <c r="H7247" s="3">
        <v>0.0</v>
      </c>
      <c r="I7247" s="3" t="s">
        <v>13</v>
      </c>
      <c r="J7247" s="3" t="s">
        <v>20124</v>
      </c>
      <c r="K7247" s="3" t="s">
        <v>510</v>
      </c>
      <c r="L7247" s="3" t="str">
        <f>IFERROR(__xludf.DUMMYFUNCTION("GOOGLETRANSLATE(F7247,""id"",""en"")"),"Argentina jersey sells well after the World Cup champion is sold up to millions of online stores")</f>
        <v>Argentina jersey sells well after the World Cup champion is sold up to millions of online stores</v>
      </c>
    </row>
    <row r="7248" ht="15.75" customHeight="1">
      <c r="A7248" s="1">
        <v>8458.0</v>
      </c>
      <c r="B7248" s="3" t="s">
        <v>20795</v>
      </c>
      <c r="C7248" s="3">
        <v>1.0</v>
      </c>
      <c r="D7248" s="3">
        <v>0.0</v>
      </c>
      <c r="E7248" s="3">
        <v>0.0</v>
      </c>
      <c r="F7248" s="3" t="s">
        <v>20796</v>
      </c>
      <c r="G7248" s="3">
        <v>0.0</v>
      </c>
      <c r="H7248" s="3">
        <v>0.0</v>
      </c>
      <c r="I7248" s="3" t="s">
        <v>13</v>
      </c>
      <c r="J7248" s="3" t="s">
        <v>20797</v>
      </c>
      <c r="K7248" s="3" t="s">
        <v>2117</v>
      </c>
      <c r="L7248" s="3" t="str">
        <f>IFERROR(__xludf.DUMMYFUNCTION("GOOGLETRANSLATE(F7248,""id"",""en"")"),"Argentina Goat Champion")</f>
        <v>Argentina Goat Champion</v>
      </c>
    </row>
    <row r="7249" ht="15.75" customHeight="1">
      <c r="A7249" s="1">
        <v>8459.0</v>
      </c>
      <c r="B7249" s="3" t="s">
        <v>20798</v>
      </c>
      <c r="C7249" s="3">
        <v>0.0</v>
      </c>
      <c r="D7249" s="3">
        <v>0.0</v>
      </c>
      <c r="E7249" s="3">
        <v>0.0</v>
      </c>
      <c r="F7249" s="3" t="s">
        <v>20799</v>
      </c>
      <c r="G7249" s="3">
        <v>0.0</v>
      </c>
      <c r="H7249" s="3">
        <v>0.0</v>
      </c>
      <c r="I7249" s="3" t="s">
        <v>13</v>
      </c>
      <c r="J7249" s="3" t="s">
        <v>20800</v>
      </c>
      <c r="K7249" s="3" t="s">
        <v>31</v>
      </c>
      <c r="L7249" s="3" t="str">
        <f>IFERROR(__xludf.DUMMYFUNCTION("GOOGLETRANSLATE(F7249,""id"",""en"")"),"if Indonesia champions AFF Argentina will definitely pass")</f>
        <v>if Indonesia champions AFF Argentina will definitely pass</v>
      </c>
    </row>
    <row r="7250" ht="15.75" customHeight="1">
      <c r="A7250" s="1">
        <v>8460.0</v>
      </c>
      <c r="B7250" s="3" t="s">
        <v>20801</v>
      </c>
      <c r="C7250" s="3">
        <v>0.0</v>
      </c>
      <c r="D7250" s="3">
        <v>0.0</v>
      </c>
      <c r="E7250" s="3">
        <v>1.0</v>
      </c>
      <c r="F7250" s="3" t="s">
        <v>20802</v>
      </c>
      <c r="G7250" s="3">
        <v>0.0</v>
      </c>
      <c r="H7250" s="3">
        <v>0.0</v>
      </c>
      <c r="I7250" s="3" t="s">
        <v>13</v>
      </c>
      <c r="J7250" s="3" t="s">
        <v>20803</v>
      </c>
      <c r="K7250" s="3" t="s">
        <v>1912</v>
      </c>
      <c r="L7250" s="3" t="str">
        <f>IFERROR(__xludf.DUMMYFUNCTION("GOOGLETRANSLATE(F7250,""id"",""en"")"),"Messi's upload celebrates her Instgram account champion now has a million upload likes containing photo collage. One of which is a celebration such as when Maradona brought Argentina World Cup champions")</f>
        <v>Messi's upload celebrates her Instgram account champion now has a million upload likes containing photo collage. One of which is a celebration such as when Maradona brought Argentina World Cup champions</v>
      </c>
    </row>
    <row r="7251" ht="15.75" customHeight="1">
      <c r="A7251" s="1">
        <v>8461.0</v>
      </c>
      <c r="B7251" s="3" t="s">
        <v>20804</v>
      </c>
      <c r="C7251" s="3">
        <v>0.0</v>
      </c>
      <c r="D7251" s="3">
        <v>0.0</v>
      </c>
      <c r="E7251" s="3">
        <v>0.0</v>
      </c>
      <c r="F7251" s="3" t="s">
        <v>20805</v>
      </c>
      <c r="G7251" s="3">
        <v>0.0</v>
      </c>
      <c r="H7251" s="3">
        <v>0.0</v>
      </c>
      <c r="I7251" s="3" t="s">
        <v>13</v>
      </c>
      <c r="J7251" s="3" t="s">
        <v>20806</v>
      </c>
      <c r="K7251" s="3" t="s">
        <v>433</v>
      </c>
      <c r="L7251" s="3" t="str">
        <f>IFERROR(__xludf.DUMMYFUNCTION("GOOGLETRANSLATE(F7251,""id"",""en"")"),"If Argentina champions World Cup, he was still the best of the best very grateful to be able to live his great era")</f>
        <v>If Argentina champions World Cup, he was still the best of the best very grateful to be able to live his great era</v>
      </c>
    </row>
    <row r="7252" ht="15.75" customHeight="1">
      <c r="A7252" s="1">
        <v>8462.0</v>
      </c>
      <c r="B7252" s="3" t="s">
        <v>20807</v>
      </c>
      <c r="C7252" s="3">
        <v>0.0</v>
      </c>
      <c r="D7252" s="3">
        <v>0.0</v>
      </c>
      <c r="E7252" s="3">
        <v>1.0</v>
      </c>
      <c r="F7252" s="3" t="s">
        <v>20808</v>
      </c>
      <c r="G7252" s="3">
        <v>0.0</v>
      </c>
      <c r="H7252" s="3">
        <v>0.0</v>
      </c>
      <c r="I7252" s="3" t="s">
        <v>13</v>
      </c>
      <c r="J7252" s="3" t="s">
        <v>20809</v>
      </c>
      <c r="K7252" s="3" t="s">
        <v>75</v>
      </c>
      <c r="L7252" s="3" t="str">
        <f>IFERROR(__xludf.DUMMYFUNCTION("GOOGLETRANSLATE(F7252,""id"",""en"")"),"Nobar Champion World Cup FIFA World Cup Qatar Argentina France")</f>
        <v>Nobar Champion World Cup FIFA World Cup Qatar Argentina France</v>
      </c>
    </row>
    <row r="7253" ht="15.75" customHeight="1">
      <c r="A7253" s="1">
        <v>8464.0</v>
      </c>
      <c r="B7253" s="3" t="s">
        <v>20810</v>
      </c>
      <c r="C7253" s="3">
        <v>0.0</v>
      </c>
      <c r="D7253" s="3">
        <v>0.0</v>
      </c>
      <c r="E7253" s="3">
        <v>0.0</v>
      </c>
      <c r="F7253" s="3" t="s">
        <v>20811</v>
      </c>
      <c r="G7253" s="3">
        <v>0.0</v>
      </c>
      <c r="H7253" s="3">
        <v>0.0</v>
      </c>
      <c r="I7253" s="3" t="s">
        <v>13</v>
      </c>
      <c r="J7253" s="3" t="s">
        <v>20812</v>
      </c>
      <c r="K7253" s="3" t="s">
        <v>1045</v>
      </c>
      <c r="L7253" s="3" t="str">
        <f>IFERROR(__xludf.DUMMYFUNCTION("GOOGLETRANSLATE(F7253,""id"",""en"")"),"This is for the Dodolovers' Manasin because Portugal and Argentina Dodo Tournament Champion Euro and the Damage are Damage for Messi Fans Argentina.")</f>
        <v>This is for the Dodolovers' Manasin because Portugal and Argentina Dodo Tournament Champion Euro and the Damage are Damage for Messi Fans Argentina.</v>
      </c>
    </row>
    <row r="7254" ht="15.75" customHeight="1">
      <c r="A7254" s="1">
        <v>8465.0</v>
      </c>
      <c r="B7254" s="3" t="s">
        <v>20813</v>
      </c>
      <c r="C7254" s="3">
        <v>1.0</v>
      </c>
      <c r="D7254" s="3">
        <v>2.0</v>
      </c>
      <c r="E7254" s="3">
        <v>102.0</v>
      </c>
      <c r="F7254" s="3" t="s">
        <v>20814</v>
      </c>
      <c r="G7254" s="3">
        <v>0.0</v>
      </c>
      <c r="H7254" s="3">
        <v>0.0</v>
      </c>
      <c r="I7254" s="3" t="s">
        <v>13</v>
      </c>
      <c r="J7254" s="3" t="s">
        <v>20815</v>
      </c>
      <c r="K7254" s="3" t="s">
        <v>510</v>
      </c>
      <c r="L7254" s="3" t="str">
        <f>IFERROR(__xludf.DUMMYFUNCTION("GOOGLETRANSLATE(F7254,""id"",""en"")"),"Want to use for a lap doormat, what will change the fact that world champion is Argentina")</f>
        <v>Want to use for a lap doormat, what will change the fact that world champion is Argentina</v>
      </c>
    </row>
    <row r="7255" ht="15.75" customHeight="1">
      <c r="A7255" s="1">
        <v>8466.0</v>
      </c>
      <c r="B7255" s="3" t="s">
        <v>20816</v>
      </c>
      <c r="C7255" s="3">
        <v>0.0</v>
      </c>
      <c r="D7255" s="3">
        <v>0.0</v>
      </c>
      <c r="E7255" s="3">
        <v>2.0</v>
      </c>
      <c r="F7255" s="3" t="s">
        <v>20817</v>
      </c>
      <c r="G7255" s="3">
        <v>0.0</v>
      </c>
      <c r="H7255" s="3">
        <v>0.0</v>
      </c>
      <c r="I7255" s="3" t="s">
        <v>13</v>
      </c>
      <c r="J7255" s="3" t="s">
        <v>20818</v>
      </c>
      <c r="K7255" s="3" t="s">
        <v>41</v>
      </c>
      <c r="L7255" s="3" t="str">
        <f>IFERROR(__xludf.DUMMYFUNCTION("GOOGLETRANSLATE(F7255,""id"",""en"")"),"Have a Brazilian team, why is he off the Argentina champion wkwk")</f>
        <v>Have a Brazilian team, why is he off the Argentina champion wkwk</v>
      </c>
    </row>
    <row r="7256" ht="15.75" customHeight="1">
      <c r="A7256" s="1">
        <v>8467.0</v>
      </c>
      <c r="B7256" s="3" t="s">
        <v>20819</v>
      </c>
      <c r="C7256" s="3">
        <v>0.0</v>
      </c>
      <c r="D7256" s="3">
        <v>0.0</v>
      </c>
      <c r="E7256" s="3">
        <v>0.0</v>
      </c>
      <c r="F7256" s="3" t="s">
        <v>20820</v>
      </c>
      <c r="G7256" s="3">
        <v>0.5</v>
      </c>
      <c r="H7256" s="3">
        <v>0.5</v>
      </c>
      <c r="I7256" s="3" t="s">
        <v>48</v>
      </c>
      <c r="J7256" s="3" t="s">
        <v>20821</v>
      </c>
      <c r="K7256" s="3" t="s">
        <v>2341</v>
      </c>
      <c r="L7256" s="3" t="str">
        <f>IFERROR(__xludf.DUMMYFUNCTION("GOOGLETRANSLATE(F7256,""id"",""en"")"),"Bismillah, hopefully lucky champions of the Argentine World Cup Top Scorer Mario Kempes World Cup Top Scorer Diego Armando Maradona World Cup Gol Qatar Top Scorer Lione")</f>
        <v>Bismillah, hopefully lucky champions of the Argentine World Cup Top Scorer Mario Kempes World Cup Top Scorer Diego Armando Maradona World Cup Gol Qatar Top Scorer Lione</v>
      </c>
    </row>
    <row r="7257" ht="15.75" customHeight="1">
      <c r="A7257" s="1">
        <v>8468.0</v>
      </c>
      <c r="B7257" s="3" t="s">
        <v>20822</v>
      </c>
      <c r="C7257" s="3">
        <v>3.0</v>
      </c>
      <c r="D7257" s="3">
        <v>0.0</v>
      </c>
      <c r="E7257" s="3">
        <v>2.0</v>
      </c>
      <c r="F7257" s="3" t="s">
        <v>20823</v>
      </c>
      <c r="G7257" s="3">
        <v>0.0</v>
      </c>
      <c r="H7257" s="3">
        <v>0.0</v>
      </c>
      <c r="I7257" s="3" t="s">
        <v>13</v>
      </c>
      <c r="J7257" s="3" t="s">
        <v>20824</v>
      </c>
      <c r="K7257" s="3" t="s">
        <v>883</v>
      </c>
      <c r="L7257" s="3" t="str">
        <f>IFERROR(__xludf.DUMMYFUNCTION("GOOGLETRANSLATE(F7257,""id"",""en"")"),"how much is to compare Ronaldo with Messi while the country is very different in the quality of Argentina, often the world cup champion is Portugal and even then the European Cup champion because there is")</f>
        <v>how much is to compare Ronaldo with Messi while the country is very different in the quality of Argentina, often the world cup champion is Portugal and even then the European Cup champion because there is</v>
      </c>
    </row>
    <row r="7258" ht="15.75" customHeight="1">
      <c r="A7258" s="1">
        <v>8469.0</v>
      </c>
      <c r="B7258" s="3" t="s">
        <v>20825</v>
      </c>
      <c r="C7258" s="3">
        <v>0.0</v>
      </c>
      <c r="D7258" s="3">
        <v>0.0</v>
      </c>
      <c r="E7258" s="3">
        <v>0.0</v>
      </c>
      <c r="F7258" s="3" t="s">
        <v>20695</v>
      </c>
      <c r="G7258" s="3">
        <v>0.0</v>
      </c>
      <c r="H7258" s="3">
        <v>0.0</v>
      </c>
      <c r="I7258" s="3" t="s">
        <v>13</v>
      </c>
      <c r="J7258" s="3" t="s">
        <v>20696</v>
      </c>
      <c r="K7258" s="3" t="s">
        <v>2215</v>
      </c>
      <c r="L7258" s="3" t="str">
        <f>IFERROR(__xludf.DUMMYFUNCTION("GOOGLETRANSLATE(F7258,""id"",""en"")"),"The history of the World Cup World Cup trophy has officially ended on Sunday December with Argentina as the champion this year")</f>
        <v>The history of the World Cup World Cup trophy has officially ended on Sunday December with Argentina as the champion this year</v>
      </c>
    </row>
    <row r="7259" ht="15.75" customHeight="1">
      <c r="A7259" s="1">
        <v>8470.0</v>
      </c>
      <c r="B7259" s="3" t="s">
        <v>20826</v>
      </c>
      <c r="C7259" s="3">
        <v>0.0</v>
      </c>
      <c r="D7259" s="3">
        <v>0.0</v>
      </c>
      <c r="E7259" s="3">
        <v>0.0</v>
      </c>
      <c r="F7259" s="3" t="s">
        <v>20827</v>
      </c>
      <c r="G7259" s="3">
        <v>0.0</v>
      </c>
      <c r="H7259" s="3">
        <v>0.0</v>
      </c>
      <c r="I7259" s="3" t="s">
        <v>13</v>
      </c>
      <c r="J7259" s="3" t="s">
        <v>20828</v>
      </c>
      <c r="K7259" s="3" t="s">
        <v>54</v>
      </c>
      <c r="L7259" s="3" t="str">
        <f>IFERROR(__xludf.DUMMYFUNCTION("GOOGLETRANSLATE(F7259,""id"",""en"")"),"Argentina World Cup Champion Not Top FIFA")</f>
        <v>Argentina World Cup Champion Not Top FIFA</v>
      </c>
    </row>
    <row r="7260" ht="15.75" customHeight="1">
      <c r="A7260" s="1">
        <v>8471.0</v>
      </c>
      <c r="B7260" s="3" t="s">
        <v>20829</v>
      </c>
      <c r="C7260" s="3">
        <v>0.0</v>
      </c>
      <c r="D7260" s="3">
        <v>0.0</v>
      </c>
      <c r="E7260" s="3">
        <v>0.0</v>
      </c>
      <c r="F7260" s="3" t="s">
        <v>20830</v>
      </c>
      <c r="G7260" s="3">
        <v>0.0</v>
      </c>
      <c r="H7260" s="3">
        <v>0.0</v>
      </c>
      <c r="I7260" s="3" t="s">
        <v>13</v>
      </c>
      <c r="J7260" s="3" t="s">
        <v>20831</v>
      </c>
      <c r="K7260" s="3" t="s">
        <v>82</v>
      </c>
      <c r="L7260" s="3" t="str">
        <f>IFERROR(__xludf.DUMMYFUNCTION("GOOGLETRANSLATE(F7260,""id"",""en"")"),"Messi almost got cable during the Argentine championship parade")</f>
        <v>Messi almost got cable during the Argentine championship parade</v>
      </c>
    </row>
    <row r="7261" ht="15.75" customHeight="1">
      <c r="A7261" s="1">
        <v>8472.0</v>
      </c>
      <c r="B7261" s="3" t="s">
        <v>20832</v>
      </c>
      <c r="C7261" s="3">
        <v>0.0</v>
      </c>
      <c r="D7261" s="3">
        <v>0.0</v>
      </c>
      <c r="E7261" s="3">
        <v>2.0</v>
      </c>
      <c r="F7261" s="3" t="s">
        <v>20780</v>
      </c>
      <c r="G7261" s="3">
        <v>0.0</v>
      </c>
      <c r="H7261" s="3">
        <v>0.0</v>
      </c>
      <c r="I7261" s="3" t="s">
        <v>13</v>
      </c>
      <c r="J7261" s="3" t="s">
        <v>20781</v>
      </c>
      <c r="K7261" s="3" t="s">
        <v>495</v>
      </c>
      <c r="L7261" s="3" t="str">
        <f>IFERROR(__xludf.DUMMYFUNCTION("GOOGLETRANSLATE(F7261,""id"",""en"")"),"Kylian Mbappe has tried loudly but Lionel Messi who determined the Argentina path to become the World Cup champion both hugged each other after the match")</f>
        <v>Kylian Mbappe has tried loudly but Lionel Messi who determined the Argentina path to become the World Cup champion both hugged each other after the match</v>
      </c>
    </row>
    <row r="7262" ht="15.75" customHeight="1">
      <c r="A7262" s="1">
        <v>8473.0</v>
      </c>
      <c r="B7262" s="3" t="s">
        <v>20833</v>
      </c>
      <c r="C7262" s="3">
        <v>3.0</v>
      </c>
      <c r="D7262" s="3">
        <v>6.0</v>
      </c>
      <c r="E7262" s="3">
        <v>86.0</v>
      </c>
      <c r="F7262" s="3" t="s">
        <v>20834</v>
      </c>
      <c r="G7262" s="3">
        <v>0.0</v>
      </c>
      <c r="H7262" s="3">
        <v>0.0</v>
      </c>
      <c r="I7262" s="3" t="s">
        <v>13</v>
      </c>
      <c r="J7262" s="3" t="s">
        <v>20835</v>
      </c>
      <c r="K7262" s="3" t="s">
        <v>614</v>
      </c>
      <c r="L7262" s="3" t="str">
        <f>IFERROR(__xludf.DUMMYFUNCTION("GOOGLETRANSLATE(F7262,""id"",""en"")"),"The wait produced results even though the four editions of the World Cup failed Lionel Messi remained convinced that God would give the way to finally lead Argentina World Champion at the age of the year")</f>
        <v>The wait produced results even though the four editions of the World Cup failed Lionel Messi remained convinced that God would give the way to finally lead Argentina World Champion at the age of the year</v>
      </c>
    </row>
    <row r="7263" ht="15.75" customHeight="1">
      <c r="A7263" s="1">
        <v>8474.0</v>
      </c>
      <c r="B7263" s="3" t="s">
        <v>20836</v>
      </c>
      <c r="C7263" s="3">
        <v>0.0</v>
      </c>
      <c r="D7263" s="3">
        <v>0.0</v>
      </c>
      <c r="E7263" s="3">
        <v>0.0</v>
      </c>
      <c r="F7263" s="3" t="s">
        <v>20837</v>
      </c>
      <c r="G7263" s="3">
        <v>0.0</v>
      </c>
      <c r="H7263" s="3">
        <v>0.0</v>
      </c>
      <c r="I7263" s="3" t="s">
        <v>13</v>
      </c>
      <c r="J7263" s="3" t="s">
        <v>20838</v>
      </c>
      <c r="K7263" s="3" t="s">
        <v>19</v>
      </c>
      <c r="L7263" s="3" t="str">
        <f>IFERROR(__xludf.DUMMYFUNCTION("GOOGLETRANSLATE(F7263,""id"",""en"")"),"Feeling Indonesia can win the AFF champion this edition, hopefully it can be achieved like Argentina Jagoin")</f>
        <v>Feeling Indonesia can win the AFF champion this edition, hopefully it can be achieved like Argentina Jagoin</v>
      </c>
    </row>
    <row r="7264" ht="15.75" customHeight="1">
      <c r="A7264" s="1">
        <v>8475.0</v>
      </c>
      <c r="B7264" s="3" t="s">
        <v>20839</v>
      </c>
      <c r="C7264" s="3">
        <v>3.0</v>
      </c>
      <c r="D7264" s="3">
        <v>0.0</v>
      </c>
      <c r="E7264" s="3">
        <v>1.0</v>
      </c>
      <c r="F7264" s="3" t="s">
        <v>20840</v>
      </c>
      <c r="G7264" s="3">
        <v>0.0</v>
      </c>
      <c r="H7264" s="3">
        <v>0.0</v>
      </c>
      <c r="I7264" s="3" t="s">
        <v>13</v>
      </c>
      <c r="J7264" s="3" t="s">
        <v>20841</v>
      </c>
      <c r="K7264" s="3" t="s">
        <v>445</v>
      </c>
      <c r="L7264" s="3" t="str">
        <f>IFERROR(__xludf.DUMMYFUNCTION("GOOGLETRANSLATE(F7264,""id"",""en"")"),"Read again, the majority of Argentina fans are the first time I saw Argentina the last champion Argentina was the champion, then I already saw even Argentinian fans, maybe I hadn't seen it yet")</f>
        <v>Read again, the majority of Argentina fans are the first time I saw Argentina the last champion Argentina was the champion, then I already saw even Argentinian fans, maybe I hadn't seen it yet</v>
      </c>
    </row>
    <row r="7265" ht="15.75" customHeight="1">
      <c r="A7265" s="1">
        <v>8476.0</v>
      </c>
      <c r="B7265" s="3" t="s">
        <v>20842</v>
      </c>
      <c r="C7265" s="3">
        <v>0.0</v>
      </c>
      <c r="D7265" s="3">
        <v>0.0</v>
      </c>
      <c r="E7265" s="3">
        <v>1.0</v>
      </c>
      <c r="F7265" s="3" t="s">
        <v>20843</v>
      </c>
      <c r="G7265" s="3">
        <v>0.3</v>
      </c>
      <c r="H7265" s="3">
        <v>1.0</v>
      </c>
      <c r="I7265" s="3" t="s">
        <v>48</v>
      </c>
      <c r="J7265" s="3" t="s">
        <v>20844</v>
      </c>
      <c r="K7265" s="3" t="s">
        <v>2215</v>
      </c>
      <c r="L7265" s="3" t="str">
        <f>IFERROR(__xludf.DUMMYFUNCTION("GOOGLETRANSLATE(F7265,""id"",""en"")"),"Chinese output December Result Shio Naga Prediction Japan Tuesday December Best Shio Bbfs Dogs")</f>
        <v>Chinese output December Result Shio Naga Prediction Japan Tuesday December Best Shio Bbfs Dogs</v>
      </c>
    </row>
    <row r="7266" ht="15.75" customHeight="1">
      <c r="A7266" s="1">
        <v>8477.0</v>
      </c>
      <c r="B7266" s="3" t="s">
        <v>20845</v>
      </c>
      <c r="C7266" s="3">
        <v>0.0</v>
      </c>
      <c r="D7266" s="3">
        <v>0.0</v>
      </c>
      <c r="E7266" s="3">
        <v>0.0</v>
      </c>
      <c r="F7266" s="3" t="s">
        <v>20846</v>
      </c>
      <c r="G7266" s="3">
        <v>0.0</v>
      </c>
      <c r="H7266" s="3">
        <v>0.0</v>
      </c>
      <c r="I7266" s="3" t="s">
        <v>13</v>
      </c>
      <c r="J7266" s="3" t="s">
        <v>20847</v>
      </c>
      <c r="K7266" s="3" t="s">
        <v>127</v>
      </c>
      <c r="L7266" s="3" t="str">
        <f>IFERROR(__xludf.DUMMYFUNCTION("GOOGLETRANSLATE(F7266,""id"",""en"")"),"Latest Football News Nova Indonesia Clicking Argentina World Cup Champion Brighton hope to maintain Mac Allister as long as possible")</f>
        <v>Latest Football News Nova Indonesia Clicking Argentina World Cup Champion Brighton hope to maintain Mac Allister as long as possible</v>
      </c>
    </row>
    <row r="7267" ht="15.75" customHeight="1">
      <c r="A7267" s="1">
        <v>8478.0</v>
      </c>
      <c r="B7267" s="3" t="s">
        <v>20848</v>
      </c>
      <c r="C7267" s="3">
        <v>0.0</v>
      </c>
      <c r="D7267" s="3">
        <v>0.0</v>
      </c>
      <c r="E7267" s="3">
        <v>0.0</v>
      </c>
      <c r="F7267" s="3" t="s">
        <v>20849</v>
      </c>
      <c r="G7267" s="3">
        <v>0.0</v>
      </c>
      <c r="H7267" s="3">
        <v>0.0</v>
      </c>
      <c r="I7267" s="3" t="s">
        <v>13</v>
      </c>
      <c r="J7267" s="3" t="s">
        <v>20850</v>
      </c>
      <c r="K7267" s="3" t="s">
        <v>240</v>
      </c>
      <c r="L7267" s="3" t="str">
        <f>IFERROR(__xludf.DUMMYFUNCTION("GOOGLETRANSLATE(F7267,""id"",""en"")"),"Latest Football News Nova Indonesia Click Scaloni After Argentina Champion World Cup I hope Maradona enjoyed it from above")</f>
        <v>Latest Football News Nova Indonesia Click Scaloni After Argentina Champion World Cup I hope Maradona enjoyed it from above</v>
      </c>
    </row>
    <row r="7268" ht="15.75" customHeight="1">
      <c r="A7268" s="1">
        <v>8479.0</v>
      </c>
      <c r="B7268" s="3" t="s">
        <v>20851</v>
      </c>
      <c r="C7268" s="3">
        <v>0.0</v>
      </c>
      <c r="D7268" s="3">
        <v>0.0</v>
      </c>
      <c r="E7268" s="3">
        <v>0.0</v>
      </c>
      <c r="F7268" s="3" t="s">
        <v>20852</v>
      </c>
      <c r="G7268" s="3">
        <v>0.0</v>
      </c>
      <c r="H7268" s="3">
        <v>0.0</v>
      </c>
      <c r="I7268" s="3" t="s">
        <v>13</v>
      </c>
      <c r="J7268" s="3" t="s">
        <v>20853</v>
      </c>
      <c r="K7268" s="3" t="s">
        <v>644</v>
      </c>
      <c r="L7268" s="3" t="str">
        <f>IFERROR(__xludf.DUMMYFUNCTION("GOOGLETRANSLATE(F7268,""id"",""en"")"),"Argentine celebration world champion")</f>
        <v>Argentine celebration world champion</v>
      </c>
    </row>
    <row r="7269" ht="15.75" customHeight="1">
      <c r="A7269" s="1">
        <v>8480.0</v>
      </c>
      <c r="B7269" s="3" t="s">
        <v>20854</v>
      </c>
      <c r="C7269" s="3">
        <v>0.0</v>
      </c>
      <c r="D7269" s="3">
        <v>0.0</v>
      </c>
      <c r="E7269" s="3">
        <v>0.0</v>
      </c>
      <c r="F7269" s="3" t="s">
        <v>20855</v>
      </c>
      <c r="G7269" s="3">
        <v>0.0</v>
      </c>
      <c r="H7269" s="3">
        <v>0.0</v>
      </c>
      <c r="I7269" s="3" t="s">
        <v>13</v>
      </c>
      <c r="J7269" s="3" t="s">
        <v>20856</v>
      </c>
      <c r="K7269" s="3" t="s">
        <v>31</v>
      </c>
      <c r="L7269" s="3" t="str">
        <f>IFERROR(__xludf.DUMMYFUNCTION("GOOGLETRANSLATE(F7269,""id"",""en"")"),"champion so that it can be a national holiday like Argentina")</f>
        <v>champion so that it can be a national holiday like Argentina</v>
      </c>
    </row>
    <row r="7270" ht="15.75" customHeight="1">
      <c r="A7270" s="1">
        <v>8481.0</v>
      </c>
      <c r="B7270" s="3" t="s">
        <v>20857</v>
      </c>
      <c r="C7270" s="3">
        <v>0.0</v>
      </c>
      <c r="D7270" s="3">
        <v>0.0</v>
      </c>
      <c r="E7270" s="3">
        <v>0.0</v>
      </c>
      <c r="F7270" s="3" t="s">
        <v>20858</v>
      </c>
      <c r="G7270" s="3">
        <v>0.0</v>
      </c>
      <c r="H7270" s="3">
        <v>0.0</v>
      </c>
      <c r="I7270" s="3" t="s">
        <v>13</v>
      </c>
      <c r="J7270" s="3" t="s">
        <v>20859</v>
      </c>
      <c r="K7270" s="3" t="s">
        <v>477</v>
      </c>
      <c r="L7270" s="3" t="str">
        <f>IFERROR(__xludf.DUMMYFUNCTION("GOOGLETRANSLATE(F7270,""id"",""en"")"),"who said the people of Argentina Gapengen Argentina who won the World Cup")</f>
        <v>who said the people of Argentina Gapengen Argentina who won the World Cup</v>
      </c>
    </row>
    <row r="7271" ht="15.75" customHeight="1">
      <c r="A7271" s="1">
        <v>8483.0</v>
      </c>
      <c r="B7271" s="3" t="s">
        <v>20860</v>
      </c>
      <c r="C7271" s="3">
        <v>0.0</v>
      </c>
      <c r="D7271" s="3">
        <v>0.0</v>
      </c>
      <c r="E7271" s="3">
        <v>0.0</v>
      </c>
      <c r="F7271" s="3" t="s">
        <v>20861</v>
      </c>
      <c r="G7271" s="3">
        <v>0.0</v>
      </c>
      <c r="H7271" s="3">
        <v>0.0</v>
      </c>
      <c r="I7271" s="3" t="s">
        <v>13</v>
      </c>
      <c r="J7271" s="3" t="s">
        <v>20862</v>
      </c>
      <c r="K7271" s="3" t="s">
        <v>244</v>
      </c>
      <c r="L7271" s="3" t="str">
        <f>IFERROR(__xludf.DUMMYFUNCTION("GOOGLETRANSLATE(F7271,""id"",""en"")"),"People don't understand the work of the team, only Messi brought Argentina to the championship")</f>
        <v>People don't understand the work of the team, only Messi brought Argentina to the championship</v>
      </c>
    </row>
    <row r="7272" ht="15.75" customHeight="1">
      <c r="A7272" s="1">
        <v>8484.0</v>
      </c>
      <c r="B7272" s="3" t="s">
        <v>20863</v>
      </c>
      <c r="C7272" s="3">
        <v>0.0</v>
      </c>
      <c r="D7272" s="3">
        <v>0.0</v>
      </c>
      <c r="E7272" s="3">
        <v>0.0</v>
      </c>
      <c r="F7272" s="3" t="s">
        <v>20864</v>
      </c>
      <c r="G7272" s="3">
        <v>0.0</v>
      </c>
      <c r="H7272" s="3">
        <v>0.0</v>
      </c>
      <c r="I7272" s="3" t="s">
        <v>13</v>
      </c>
      <c r="J7272" s="3" t="s">
        <v>20865</v>
      </c>
      <c r="K7272" s="3" t="s">
        <v>15</v>
      </c>
      <c r="L7272" s="3" t="str">
        <f>IFERROR(__xludf.DUMMYFUNCTION("GOOGLETRANSLATE(F7272,""id"",""en"")"),"Argentina Design Champion soon don't blink later with excessive xixixi")</f>
        <v>Argentina Design Champion soon don't blink later with excessive xixixi</v>
      </c>
    </row>
    <row r="7273" ht="15.75" customHeight="1">
      <c r="A7273" s="1">
        <v>8485.0</v>
      </c>
      <c r="B7273" s="3" t="s">
        <v>20866</v>
      </c>
      <c r="C7273" s="3">
        <v>0.0</v>
      </c>
      <c r="D7273" s="3">
        <v>0.0</v>
      </c>
      <c r="E7273" s="3">
        <v>0.0</v>
      </c>
      <c r="F7273" s="3" t="s">
        <v>20867</v>
      </c>
      <c r="G7273" s="3">
        <v>0.0</v>
      </c>
      <c r="H7273" s="3">
        <v>0.0</v>
      </c>
      <c r="I7273" s="3" t="s">
        <v>13</v>
      </c>
      <c r="J7273" s="3" t="s">
        <v>20868</v>
      </c>
      <c r="K7273" s="3" t="s">
        <v>23</v>
      </c>
      <c r="L7273" s="3" t="str">
        <f>IFERROR(__xludf.DUMMYFUNCTION("GOOGLETRANSLATE(F7273,""id"",""en"")"),"It is Redsindo, then why do you really take care of that person, he is a country he believes and he is a former Argentine national team player, he is only he believed")</f>
        <v>It is Redsindo, then why do you really take care of that person, he is a country he believes and he is a former Argentine national team player, he is only he believed</v>
      </c>
    </row>
    <row r="7274" ht="15.75" customHeight="1">
      <c r="A7274" s="1">
        <v>8486.0</v>
      </c>
      <c r="B7274" s="3" t="s">
        <v>20869</v>
      </c>
      <c r="C7274" s="3">
        <v>0.0</v>
      </c>
      <c r="D7274" s="3">
        <v>0.0</v>
      </c>
      <c r="E7274" s="3">
        <v>0.0</v>
      </c>
      <c r="F7274" s="3" t="s">
        <v>20870</v>
      </c>
      <c r="G7274" s="3">
        <v>0.0</v>
      </c>
      <c r="H7274" s="3">
        <v>0.0</v>
      </c>
      <c r="I7274" s="3" t="s">
        <v>13</v>
      </c>
      <c r="J7274" s="3" t="s">
        <v>20871</v>
      </c>
      <c r="K7274" s="3" t="s">
        <v>19</v>
      </c>
      <c r="L7274" s="3" t="str">
        <f>IFERROR(__xludf.DUMMYFUNCTION("GOOGLETRANSLATE(F7274,""id"",""en"")"),"Lionel Messi almost caught cable that across during the celebration of the Argentine national team champions of the World Cup")</f>
        <v>Lionel Messi almost caught cable that across during the celebration of the Argentine national team champions of the World Cup</v>
      </c>
    </row>
    <row r="7275" ht="15.75" customHeight="1">
      <c r="A7275" s="1">
        <v>8487.0</v>
      </c>
      <c r="B7275" s="3" t="s">
        <v>20872</v>
      </c>
      <c r="C7275" s="3">
        <v>0.0</v>
      </c>
      <c r="D7275" s="3">
        <v>0.0</v>
      </c>
      <c r="E7275" s="3">
        <v>0.0</v>
      </c>
      <c r="F7275" s="3" t="s">
        <v>20873</v>
      </c>
      <c r="G7275" s="3">
        <v>0.5</v>
      </c>
      <c r="H7275" s="3">
        <v>0.5</v>
      </c>
      <c r="I7275" s="3" t="s">
        <v>48</v>
      </c>
      <c r="J7275" s="3" t="s">
        <v>20874</v>
      </c>
      <c r="K7275" s="3" t="s">
        <v>1656</v>
      </c>
      <c r="L7275" s="3" t="str">
        <f>IFERROR(__xludf.DUMMYFUNCTION("GOOGLETRANSLATE(F7275,""id"",""en"")"),"It's true that my prediction champion Argentina The best player Messi top score is almost really different from the Ninja Brazil and Belgian Kuras and Belgium can be expected to be Brazil")</f>
        <v>It's true that my prediction champion Argentina The best player Messi top score is almost really different from the Ninja Brazil and Belgian Kuras and Belgium can be expected to be Brazil</v>
      </c>
    </row>
    <row r="7276" ht="15.75" customHeight="1">
      <c r="A7276" s="1">
        <v>8488.0</v>
      </c>
      <c r="B7276" s="3" t="s">
        <v>20875</v>
      </c>
      <c r="C7276" s="3">
        <v>0.0</v>
      </c>
      <c r="D7276" s="3">
        <v>0.0</v>
      </c>
      <c r="E7276" s="3">
        <v>0.0</v>
      </c>
      <c r="F7276" s="3" t="s">
        <v>20876</v>
      </c>
      <c r="G7276" s="3">
        <v>0.0</v>
      </c>
      <c r="H7276" s="3">
        <v>0.0</v>
      </c>
      <c r="I7276" s="3" t="s">
        <v>13</v>
      </c>
      <c r="J7276" s="3" t="s">
        <v>20877</v>
      </c>
      <c r="K7276" s="3" t="s">
        <v>82</v>
      </c>
      <c r="L7276" s="3" t="str">
        <f>IFERROR(__xludf.DUMMYFUNCTION("GOOGLETRANSLATE(F7276,""id"",""en"")"),"if you can predict Argentina, it's better to gambling for gambling")</f>
        <v>if you can predict Argentina, it's better to gambling for gambling</v>
      </c>
    </row>
    <row r="7277" ht="15.75" customHeight="1">
      <c r="A7277" s="1">
        <v>8489.0</v>
      </c>
      <c r="B7277" s="3" t="s">
        <v>20878</v>
      </c>
      <c r="C7277" s="3">
        <v>0.0</v>
      </c>
      <c r="D7277" s="3">
        <v>0.0</v>
      </c>
      <c r="E7277" s="3">
        <v>0.0</v>
      </c>
      <c r="F7277" s="3" t="s">
        <v>20879</v>
      </c>
      <c r="G7277" s="3">
        <v>0.0</v>
      </c>
      <c r="H7277" s="3">
        <v>0.0</v>
      </c>
      <c r="I7277" s="3" t="s">
        <v>13</v>
      </c>
      <c r="J7277" s="3" t="s">
        <v>20880</v>
      </c>
      <c r="K7277" s="3" t="s">
        <v>15662</v>
      </c>
      <c r="L7277" s="3" t="str">
        <f>IFERROR(__xludf.DUMMYFUNCTION("GOOGLETRANSLATE(F7277,""id"",""en"")"),"That's easy to just prepare the one Argentina bus, the other France who is the champion who lives in each team is also prepared the championship costume because the French runner doesn't use the champion jersey")</f>
        <v>That's easy to just prepare the one Argentina bus, the other France who is the champion who lives in each team is also prepared the championship costume because the French runner doesn't use the champion jersey</v>
      </c>
    </row>
    <row r="7278" ht="15.75" customHeight="1">
      <c r="A7278" s="1">
        <v>8490.0</v>
      </c>
      <c r="B7278" s="3" t="s">
        <v>20881</v>
      </c>
      <c r="C7278" s="3">
        <v>0.0</v>
      </c>
      <c r="D7278" s="3">
        <v>0.0</v>
      </c>
      <c r="E7278" s="3">
        <v>0.0</v>
      </c>
      <c r="F7278" s="3" t="s">
        <v>20882</v>
      </c>
      <c r="G7278" s="3">
        <v>0.0</v>
      </c>
      <c r="H7278" s="3">
        <v>0.0</v>
      </c>
      <c r="I7278" s="3" t="s">
        <v>13</v>
      </c>
      <c r="J7278" s="3" t="s">
        <v>20883</v>
      </c>
      <c r="K7278" s="3" t="s">
        <v>54</v>
      </c>
      <c r="L7278" s="3" t="str">
        <f>IFERROR(__xludf.DUMMYFUNCTION("GOOGLETRANSLATE(F7278,""id"",""en"")"),"Argentina got a leave for the championship of its citizens")</f>
        <v>Argentina got a leave for the championship of its citizens</v>
      </c>
    </row>
    <row r="7279" ht="15.75" customHeight="1">
      <c r="A7279" s="1">
        <v>8491.0</v>
      </c>
      <c r="B7279" s="3" t="s">
        <v>20884</v>
      </c>
      <c r="C7279" s="3">
        <v>0.0</v>
      </c>
      <c r="D7279" s="3">
        <v>1.0</v>
      </c>
      <c r="E7279" s="3">
        <v>3.0</v>
      </c>
      <c r="F7279" s="3" t="s">
        <v>20123</v>
      </c>
      <c r="G7279" s="3">
        <v>0.0</v>
      </c>
      <c r="H7279" s="3">
        <v>0.0</v>
      </c>
      <c r="I7279" s="3" t="s">
        <v>13</v>
      </c>
      <c r="J7279" s="3" t="s">
        <v>20124</v>
      </c>
      <c r="K7279" s="3" t="s">
        <v>510</v>
      </c>
      <c r="L7279" s="3" t="str">
        <f>IFERROR(__xludf.DUMMYFUNCTION("GOOGLETRANSLATE(F7279,""id"",""en"")"),"Argentina jersey sells well after the World Cup champion is sold up to millions of online stores")</f>
        <v>Argentina jersey sells well after the World Cup champion is sold up to millions of online stores</v>
      </c>
    </row>
    <row r="7280" ht="15.75" customHeight="1">
      <c r="A7280" s="1">
        <v>8492.0</v>
      </c>
      <c r="B7280" s="3" t="s">
        <v>20885</v>
      </c>
      <c r="C7280" s="3">
        <v>0.0</v>
      </c>
      <c r="D7280" s="3">
        <v>0.0</v>
      </c>
      <c r="E7280" s="3">
        <v>0.0</v>
      </c>
      <c r="F7280" s="3" t="s">
        <v>20886</v>
      </c>
      <c r="G7280" s="3">
        <v>0.0</v>
      </c>
      <c r="H7280" s="3">
        <v>0.0</v>
      </c>
      <c r="I7280" s="3" t="s">
        <v>13</v>
      </c>
      <c r="J7280" s="3" t="s">
        <v>20887</v>
      </c>
      <c r="K7280" s="3" t="s">
        <v>15</v>
      </c>
      <c r="L7280" s="3" t="str">
        <f>IFERROR(__xludf.DUMMYFUNCTION("GOOGLETRANSLATE(F7280,""id"",""en"")"),"Video After champion Argentina player scissors of goal net")</f>
        <v>Video After champion Argentina player scissors of goal net</v>
      </c>
    </row>
    <row r="7281" ht="15.75" customHeight="1">
      <c r="A7281" s="1">
        <v>8493.0</v>
      </c>
      <c r="B7281" s="3" t="s">
        <v>20888</v>
      </c>
      <c r="C7281" s="3">
        <v>0.0</v>
      </c>
      <c r="D7281" s="3">
        <v>0.0</v>
      </c>
      <c r="E7281" s="3">
        <v>0.0</v>
      </c>
      <c r="F7281" s="3" t="s">
        <v>20753</v>
      </c>
      <c r="G7281" s="3">
        <v>0.0</v>
      </c>
      <c r="H7281" s="3">
        <v>0.0</v>
      </c>
      <c r="I7281" s="3" t="s">
        <v>13</v>
      </c>
      <c r="J7281" s="3" t="s">
        <v>20754</v>
      </c>
      <c r="K7281" s="3" t="s">
        <v>82</v>
      </c>
      <c r="L7281" s="3" t="str">
        <f>IFERROR(__xludf.DUMMYFUNCTION("GOOGLETRANSLATE(F7281,""id"",""en"")"),"Argentina won the world champion after defeating France")</f>
        <v>Argentina won the world champion after defeating France</v>
      </c>
    </row>
    <row r="7282" ht="15.75" customHeight="1">
      <c r="A7282" s="1">
        <v>8494.0</v>
      </c>
      <c r="B7282" s="3" t="s">
        <v>20889</v>
      </c>
      <c r="C7282" s="3">
        <v>0.0</v>
      </c>
      <c r="D7282" s="3">
        <v>0.0</v>
      </c>
      <c r="E7282" s="3">
        <v>1.0</v>
      </c>
      <c r="F7282" s="3" t="s">
        <v>20890</v>
      </c>
      <c r="G7282" s="3">
        <v>0.0</v>
      </c>
      <c r="H7282" s="3">
        <v>0.0</v>
      </c>
      <c r="I7282" s="3" t="s">
        <v>13</v>
      </c>
      <c r="J7282" s="3" t="s">
        <v>20891</v>
      </c>
      <c r="K7282" s="3" t="s">
        <v>50</v>
      </c>
      <c r="L7282" s="3" t="str">
        <f>IFERROR(__xludf.DUMMYFUNCTION("GOOGLETRANSLATE(F7282,""id"",""en"")"),"Argentina Champion World Cup Brighton hope to maintain Mac Allister for as long as possible")</f>
        <v>Argentina Champion World Cup Brighton hope to maintain Mac Allister for as long as possible</v>
      </c>
    </row>
    <row r="7283" ht="15.75" customHeight="1">
      <c r="A7283" s="1">
        <v>8495.0</v>
      </c>
      <c r="B7283" s="3" t="s">
        <v>20892</v>
      </c>
      <c r="C7283" s="3">
        <v>0.0</v>
      </c>
      <c r="D7283" s="3">
        <v>0.0</v>
      </c>
      <c r="E7283" s="3">
        <v>0.0</v>
      </c>
      <c r="F7283" s="3" t="s">
        <v>20893</v>
      </c>
      <c r="G7283" s="3">
        <v>0.0</v>
      </c>
      <c r="H7283" s="3">
        <v>0.0</v>
      </c>
      <c r="I7283" s="3" t="s">
        <v>13</v>
      </c>
      <c r="J7283" s="3" t="s">
        <v>20894</v>
      </c>
      <c r="K7283" s="3" t="s">
        <v>2907</v>
      </c>
      <c r="L7283" s="3" t="str">
        <f>IFERROR(__xludf.DUMMYFUNCTION("GOOGLETRANSLATE(F7283,""id"",""en"")"),"I haven't been hit by coffee in the afternoon, I'm upset I am sad but let the important thing Argentina champions")</f>
        <v>I haven't been hit by coffee in the afternoon, I'm upset I am sad but let the important thing Argentina champions</v>
      </c>
    </row>
    <row r="7284" ht="15.75" customHeight="1">
      <c r="A7284" s="1">
        <v>8496.0</v>
      </c>
      <c r="B7284" s="3" t="s">
        <v>20895</v>
      </c>
      <c r="C7284" s="3">
        <v>1.0</v>
      </c>
      <c r="D7284" s="3">
        <v>0.0</v>
      </c>
      <c r="E7284" s="3">
        <v>6.0</v>
      </c>
      <c r="F7284" s="3" t="s">
        <v>20896</v>
      </c>
      <c r="G7284" s="3">
        <v>0.0</v>
      </c>
      <c r="H7284" s="3">
        <v>0.0</v>
      </c>
      <c r="I7284" s="3" t="s">
        <v>13</v>
      </c>
      <c r="J7284" s="3" t="s">
        <v>20897</v>
      </c>
      <c r="K7284" s="3" t="s">
        <v>15</v>
      </c>
      <c r="L7284" s="3" t="str">
        <f>IFERROR(__xludf.DUMMYFUNCTION("GOOGLETRANSLATE(F7284,""id"",""en"")"),"After champions of players and supporters Argentina scissors of goal net")</f>
        <v>After champions of players and supporters Argentina scissors of goal net</v>
      </c>
    </row>
    <row r="7285" ht="15.75" customHeight="1">
      <c r="A7285" s="1">
        <v>8497.0</v>
      </c>
      <c r="B7285" s="3" t="s">
        <v>20898</v>
      </c>
      <c r="C7285" s="3">
        <v>0.0</v>
      </c>
      <c r="D7285" s="3">
        <v>0.0</v>
      </c>
      <c r="E7285" s="3">
        <v>0.0</v>
      </c>
      <c r="F7285" s="3" t="s">
        <v>20899</v>
      </c>
      <c r="G7285" s="3">
        <v>0.0</v>
      </c>
      <c r="H7285" s="3">
        <v>0.0</v>
      </c>
      <c r="I7285" s="3" t="s">
        <v>13</v>
      </c>
      <c r="J7285" s="3" t="s">
        <v>20900</v>
      </c>
      <c r="K7285" s="3" t="s">
        <v>19</v>
      </c>
      <c r="L7285" s="3" t="str">
        <f>IFERROR(__xludf.DUMMYFUNCTION("GOOGLETRANSLATE(F7285,""id"",""en"")"),"Mbah Ketum Argentine Football Federation Can Money How many dollars from the World Cup championship prize")</f>
        <v>Mbah Ketum Argentine Football Federation Can Money How many dollars from the World Cup championship prize</v>
      </c>
    </row>
    <row r="7286" ht="15.75" customHeight="1">
      <c r="A7286" s="1">
        <v>8498.0</v>
      </c>
      <c r="B7286" s="3" t="s">
        <v>20901</v>
      </c>
      <c r="C7286" s="3">
        <v>0.0</v>
      </c>
      <c r="D7286" s="3">
        <v>0.0</v>
      </c>
      <c r="E7286" s="3">
        <v>0.0</v>
      </c>
      <c r="F7286" s="3" t="s">
        <v>20561</v>
      </c>
      <c r="G7286" s="3">
        <v>0.0</v>
      </c>
      <c r="H7286" s="3">
        <v>0.0</v>
      </c>
      <c r="I7286" s="3" t="s">
        <v>13</v>
      </c>
      <c r="J7286" s="3" t="s">
        <v>20562</v>
      </c>
      <c r="K7286" s="3" t="s">
        <v>41</v>
      </c>
      <c r="L7286" s="3" t="str">
        <f>IFERROR(__xludf.DUMMYFUNCTION("GOOGLETRANSLATE(F7286,""id"",""en"")"),"Argentina Champion World Cup Messi Best Player of All Time")</f>
        <v>Argentina Champion World Cup Messi Best Player of All Time</v>
      </c>
    </row>
    <row r="7287" ht="15.75" customHeight="1">
      <c r="A7287" s="1">
        <v>8499.0</v>
      </c>
      <c r="B7287" s="3" t="s">
        <v>20902</v>
      </c>
      <c r="C7287" s="3">
        <v>0.0</v>
      </c>
      <c r="D7287" s="3">
        <v>0.0</v>
      </c>
      <c r="E7287" s="3">
        <v>0.0</v>
      </c>
      <c r="F7287" s="3" t="s">
        <v>20903</v>
      </c>
      <c r="G7287" s="3">
        <v>0.0</v>
      </c>
      <c r="H7287" s="3">
        <v>0.0</v>
      </c>
      <c r="I7287" s="3" t="s">
        <v>13</v>
      </c>
      <c r="J7287" s="3" t="s">
        <v>20904</v>
      </c>
      <c r="K7287" s="3" t="s">
        <v>50</v>
      </c>
      <c r="L7287" s="3" t="str">
        <f>IFERROR(__xludf.DUMMYFUNCTION("GOOGLETRANSLATE(F7287,""id"",""en"")"),"Sad after Argentina, Georgina World Cup champion Rodriguez is prohibited from joining celebrations")</f>
        <v>Sad after Argentina, Georgina World Cup champion Rodriguez is prohibited from joining celebrations</v>
      </c>
    </row>
    <row r="7288" ht="15.75" customHeight="1">
      <c r="A7288" s="1">
        <v>8500.0</v>
      </c>
      <c r="B7288" s="3" t="s">
        <v>20905</v>
      </c>
      <c r="C7288" s="3">
        <v>0.0</v>
      </c>
      <c r="D7288" s="3">
        <v>0.0</v>
      </c>
      <c r="E7288" s="3">
        <v>0.0</v>
      </c>
      <c r="F7288" s="3" t="s">
        <v>20906</v>
      </c>
      <c r="G7288" s="3">
        <v>0.0</v>
      </c>
      <c r="H7288" s="3">
        <v>0.0</v>
      </c>
      <c r="I7288" s="3" t="s">
        <v>13</v>
      </c>
      <c r="J7288" s="3" t="s">
        <v>20907</v>
      </c>
      <c r="K7288" s="3" t="s">
        <v>15</v>
      </c>
      <c r="L7288" s="3" t="str">
        <f>IFERROR(__xludf.DUMMYFUNCTION("GOOGLETRANSLATE(F7288,""id"",""en"")"),"It was revealed that the secret of Argentina Champion World Cup defeat France")</f>
        <v>It was revealed that the secret of Argentina Champion World Cup defeat France</v>
      </c>
    </row>
    <row r="7289" ht="15.75" customHeight="1">
      <c r="A7289" s="1">
        <v>8501.0</v>
      </c>
      <c r="B7289" s="3" t="s">
        <v>20908</v>
      </c>
      <c r="C7289" s="3">
        <v>0.0</v>
      </c>
      <c r="D7289" s="3">
        <v>0.0</v>
      </c>
      <c r="E7289" s="3">
        <v>0.0</v>
      </c>
      <c r="F7289" s="3" t="s">
        <v>20909</v>
      </c>
      <c r="G7289" s="3">
        <v>0.0</v>
      </c>
      <c r="H7289" s="3">
        <v>0.0</v>
      </c>
      <c r="I7289" s="3" t="s">
        <v>13</v>
      </c>
      <c r="J7289" s="3" t="s">
        <v>20910</v>
      </c>
      <c r="K7289" s="3" t="s">
        <v>3819</v>
      </c>
      <c r="L7289" s="3" t="str">
        <f>IFERROR(__xludf.DUMMYFUNCTION("GOOGLETRANSLATE(F7289,""id"",""en"")"),"Argentina is very worthy of champion compared to Francis they failed to prove their words because it really could be silenced by Messi and his team Argentina should be Argentina the Penalty of French players was smart in deceiving referees and diving")</f>
        <v>Argentina is very worthy of champion compared to Francis they failed to prove their words because it really could be silenced by Messi and his team Argentina should be Argentina the Penalty of French players was smart in deceiving referees and diving</v>
      </c>
    </row>
    <row r="7290" ht="15.75" customHeight="1">
      <c r="A7290" s="1">
        <v>8502.0</v>
      </c>
      <c r="B7290" s="3" t="s">
        <v>20911</v>
      </c>
      <c r="C7290" s="3">
        <v>2.0</v>
      </c>
      <c r="D7290" s="3">
        <v>0.0</v>
      </c>
      <c r="E7290" s="3">
        <v>11.0</v>
      </c>
      <c r="F7290" s="3" t="s">
        <v>20912</v>
      </c>
      <c r="G7290" s="3">
        <v>0.0</v>
      </c>
      <c r="H7290" s="3">
        <v>0.0</v>
      </c>
      <c r="I7290" s="3" t="s">
        <v>13</v>
      </c>
      <c r="J7290" s="3" t="s">
        <v>20913</v>
      </c>
      <c r="K7290" s="3" t="s">
        <v>236</v>
      </c>
      <c r="L7290" s="3" t="str">
        <f>IFERROR(__xludf.DUMMYFUNCTION("GOOGLETRANSLATE(F7290,""id"",""en"")"),"Argentina has champions World Cup, bro, Bro, extends France, times")</f>
        <v>Argentina has champions World Cup, bro, Bro, extends France, times</v>
      </c>
    </row>
    <row r="7291" ht="15.75" customHeight="1">
      <c r="A7291" s="1">
        <v>8503.0</v>
      </c>
      <c r="B7291" s="3" t="s">
        <v>20914</v>
      </c>
      <c r="C7291" s="3">
        <v>0.0</v>
      </c>
      <c r="D7291" s="3">
        <v>0.0</v>
      </c>
      <c r="E7291" s="3">
        <v>0.0</v>
      </c>
      <c r="F7291" s="3" t="s">
        <v>20915</v>
      </c>
      <c r="G7291" s="3">
        <v>0.0</v>
      </c>
      <c r="H7291" s="3">
        <v>0.0</v>
      </c>
      <c r="I7291" s="3" t="s">
        <v>13</v>
      </c>
      <c r="J7291" s="3" t="s">
        <v>20916</v>
      </c>
      <c r="K7291" s="3" t="s">
        <v>16174</v>
      </c>
      <c r="L7291" s="3" t="str">
        <f>IFERROR(__xludf.DUMMYFUNCTION("GOOGLETRANSLATE(F7291,""id"",""en"")"),"Jkt")</f>
        <v>Jkt</v>
      </c>
    </row>
    <row r="7292" ht="15.75" customHeight="1">
      <c r="A7292" s="1">
        <v>8504.0</v>
      </c>
      <c r="B7292" s="3" t="s">
        <v>20917</v>
      </c>
      <c r="C7292" s="3">
        <v>2.0</v>
      </c>
      <c r="D7292" s="3">
        <v>2.0</v>
      </c>
      <c r="E7292" s="3">
        <v>64.0</v>
      </c>
      <c r="F7292" s="3" t="s">
        <v>20918</v>
      </c>
      <c r="G7292" s="3">
        <v>0.0</v>
      </c>
      <c r="H7292" s="3">
        <v>0.0</v>
      </c>
      <c r="I7292" s="3" t="s">
        <v>13</v>
      </c>
      <c r="J7292" s="3" t="s">
        <v>20919</v>
      </c>
      <c r="K7292" s="3" t="s">
        <v>50</v>
      </c>
      <c r="L7292" s="3" t="str">
        <f>IFERROR(__xludf.DUMMYFUNCTION("GOOGLETRANSLATE(F7292,""id"",""en"")"),"It failed really, Scaloni Aimar Samuel was Argentina's retainer when champions were champions of Malaysia")</f>
        <v>It failed really, Scaloni Aimar Samuel was Argentina's retainer when champions were champions of Malaysia</v>
      </c>
    </row>
    <row r="7293" ht="15.75" customHeight="1">
      <c r="A7293" s="1">
        <v>8505.0</v>
      </c>
      <c r="B7293" s="3" t="s">
        <v>20920</v>
      </c>
      <c r="C7293" s="3">
        <v>0.0</v>
      </c>
      <c r="D7293" s="3">
        <v>0.0</v>
      </c>
      <c r="E7293" s="3">
        <v>0.0</v>
      </c>
      <c r="F7293" s="3" t="s">
        <v>20921</v>
      </c>
      <c r="G7293" s="3">
        <v>0.0</v>
      </c>
      <c r="H7293" s="3">
        <v>0.0</v>
      </c>
      <c r="I7293" s="3" t="s">
        <v>13</v>
      </c>
      <c r="J7293" s="3" t="s">
        <v>20922</v>
      </c>
      <c r="K7293" s="3" t="s">
        <v>82</v>
      </c>
      <c r="L7293" s="3" t="str">
        <f>IFERROR(__xludf.DUMMYFUNCTION("GOOGLETRANSLATE(F7293,""id"",""en"")"),"Argentina Champion Pilduun Iwan Bule Factos")</f>
        <v>Argentina Champion Pilduun Iwan Bule Factos</v>
      </c>
    </row>
    <row r="7294" ht="15.75" customHeight="1">
      <c r="A7294" s="1">
        <v>8506.0</v>
      </c>
      <c r="B7294" s="3" t="s">
        <v>20923</v>
      </c>
      <c r="C7294" s="3">
        <v>0.0</v>
      </c>
      <c r="D7294" s="3">
        <v>0.0</v>
      </c>
      <c r="E7294" s="3">
        <v>0.0</v>
      </c>
      <c r="F7294" s="3" t="s">
        <v>20924</v>
      </c>
      <c r="G7294" s="3">
        <v>0.2333333333333333</v>
      </c>
      <c r="H7294" s="3">
        <v>-0.25</v>
      </c>
      <c r="I7294" s="3" t="s">
        <v>179</v>
      </c>
      <c r="J7294" s="3" t="s">
        <v>20925</v>
      </c>
      <c r="K7294" s="3" t="s">
        <v>41</v>
      </c>
      <c r="L7294" s="3" t="str">
        <f>IFERROR(__xludf.DUMMYFUNCTION("GOOGLETRANSLATE(F7294,""id"",""en"")"),"Argentina set a national holiday to hold the World Cup championship parade")</f>
        <v>Argentina set a national holiday to hold the World Cup championship parade</v>
      </c>
    </row>
    <row r="7295" ht="15.75" customHeight="1">
      <c r="A7295" s="1">
        <v>8507.0</v>
      </c>
      <c r="B7295" s="3" t="s">
        <v>20926</v>
      </c>
      <c r="C7295" s="3">
        <v>0.0</v>
      </c>
      <c r="D7295" s="3">
        <v>0.0</v>
      </c>
      <c r="E7295" s="3">
        <v>0.0</v>
      </c>
      <c r="F7295" s="3" t="s">
        <v>20927</v>
      </c>
      <c r="G7295" s="3">
        <v>0.0</v>
      </c>
      <c r="H7295" s="3">
        <v>0.0</v>
      </c>
      <c r="I7295" s="3" t="s">
        <v>13</v>
      </c>
      <c r="J7295" s="3" t="s">
        <v>20781</v>
      </c>
      <c r="K7295" s="3" t="s">
        <v>495</v>
      </c>
      <c r="L7295" s="3" t="str">
        <f>IFERROR(__xludf.DUMMYFUNCTION("GOOGLETRANSLATE(F7295,""id"",""en"")"),"Kylian Mbappe has tried hard but Lionel Messi who determined the Argentina path to become the World Cup champion both hugging each other after the match")</f>
        <v>Kylian Mbappe has tried hard but Lionel Messi who determined the Argentina path to become the World Cup champion both hugging each other after the match</v>
      </c>
    </row>
    <row r="7296" ht="15.75" customHeight="1">
      <c r="A7296" s="1">
        <v>8508.0</v>
      </c>
      <c r="B7296" s="3" t="s">
        <v>20928</v>
      </c>
      <c r="C7296" s="3">
        <v>1.0</v>
      </c>
      <c r="D7296" s="3">
        <v>1.0</v>
      </c>
      <c r="E7296" s="3">
        <v>0.0</v>
      </c>
      <c r="F7296" s="3" t="s">
        <v>20929</v>
      </c>
      <c r="G7296" s="3">
        <v>0.3333333333333333</v>
      </c>
      <c r="H7296" s="3">
        <v>0.1666666666666667</v>
      </c>
      <c r="I7296" s="3" t="s">
        <v>48</v>
      </c>
      <c r="J7296" s="3" t="s">
        <v>20930</v>
      </c>
      <c r="K7296" s="3" t="s">
        <v>725</v>
      </c>
      <c r="L7296" s="3" t="str">
        <f>IFERROR(__xludf.DUMMYFUNCTION("GOOGLETRANSLATE(F7296,""id"",""en"")"),"If you still want to complicate the trophy, you should consider moving one of the clubs that play Europa League or all of South America, especially Argentina, targets league champions and Copa Libertadores")</f>
        <v>If you still want to complicate the trophy, you should consider moving one of the clubs that play Europa League or all of South America, especially Argentina, targets league champions and Copa Libertadores</v>
      </c>
    </row>
    <row r="7297" ht="15.75" customHeight="1">
      <c r="A7297" s="1">
        <v>8509.0</v>
      </c>
      <c r="B7297" s="3" t="s">
        <v>20931</v>
      </c>
      <c r="C7297" s="3">
        <v>7.0</v>
      </c>
      <c r="D7297" s="3">
        <v>21.0</v>
      </c>
      <c r="E7297" s="3">
        <v>68.0</v>
      </c>
      <c r="F7297" s="3" t="s">
        <v>20932</v>
      </c>
      <c r="G7297" s="3">
        <v>0.0</v>
      </c>
      <c r="H7297" s="3">
        <v>0.0</v>
      </c>
      <c r="I7297" s="3" t="s">
        <v>13</v>
      </c>
      <c r="J7297" s="3" t="s">
        <v>20933</v>
      </c>
      <c r="K7297" s="3" t="s">
        <v>27</v>
      </c>
      <c r="L7297" s="3" t="str">
        <f>IFERROR(__xludf.DUMMYFUNCTION("GOOGLETRANSLATE(F7297,""id"",""en"")"),"Congratulations to supporters of Messi Argentina, his team won the World Cup and you are lucky to be the winner of the guess guess with prizes")</f>
        <v>Congratulations to supporters of Messi Argentina, his team won the World Cup and you are lucky to be the winner of the guess guess with prizes</v>
      </c>
    </row>
    <row r="7298" ht="15.75" customHeight="1">
      <c r="A7298" s="1">
        <v>8510.0</v>
      </c>
      <c r="B7298" s="3" t="s">
        <v>20934</v>
      </c>
      <c r="C7298" s="3">
        <v>46.0</v>
      </c>
      <c r="D7298" s="3">
        <v>130.0</v>
      </c>
      <c r="E7298" s="3">
        <v>1117.0</v>
      </c>
      <c r="F7298" s="3" t="s">
        <v>20935</v>
      </c>
      <c r="G7298" s="3">
        <v>0.0</v>
      </c>
      <c r="H7298" s="3">
        <v>0.0</v>
      </c>
      <c r="I7298" s="3" t="s">
        <v>13</v>
      </c>
      <c r="J7298" s="3" t="s">
        <v>20936</v>
      </c>
      <c r="K7298" s="3" t="s">
        <v>11136</v>
      </c>
      <c r="L7298" s="3" t="str">
        <f>IFERROR(__xludf.DUMMYFUNCTION("GOOGLETRANSLATE(F7298,""id"",""en"")"),"Argentine golden generation alumni failed to become champions when the field redeemed it by bringing Argentina to become the champion of the edge of the British golden generation alumni failed")</f>
        <v>Argentine golden generation alumni failed to become champions when the field redeemed it by bringing Argentina to become the champion of the edge of the British golden generation alumni failed</v>
      </c>
    </row>
    <row r="7299" ht="15.75" customHeight="1">
      <c r="A7299" s="1">
        <v>8511.0</v>
      </c>
      <c r="B7299" s="3" t="s">
        <v>20937</v>
      </c>
      <c r="C7299" s="3">
        <v>0.0</v>
      </c>
      <c r="D7299" s="3">
        <v>0.0</v>
      </c>
      <c r="E7299" s="3">
        <v>0.0</v>
      </c>
      <c r="F7299" s="3" t="s">
        <v>20938</v>
      </c>
      <c r="G7299" s="3">
        <v>0.0</v>
      </c>
      <c r="H7299" s="3">
        <v>0.0</v>
      </c>
      <c r="I7299" s="3" t="s">
        <v>13</v>
      </c>
      <c r="J7299" s="3" t="s">
        <v>20939</v>
      </c>
      <c r="K7299" s="3" t="s">
        <v>82</v>
      </c>
      <c r="L7299" s="3" t="str">
        <f>IFERROR(__xludf.DUMMYFUNCTION("GOOGLETRANSLATE(F7299,""id"",""en"")"),"Aguerolah has been credited with bringing Argentina Vamos Aguero champions")</f>
        <v>Aguerolah has been credited with bringing Argentina Vamos Aguero champions</v>
      </c>
    </row>
    <row r="7300" ht="15.75" customHeight="1">
      <c r="A7300" s="1">
        <v>8512.0</v>
      </c>
      <c r="B7300" s="3" t="s">
        <v>20940</v>
      </c>
      <c r="C7300" s="3">
        <v>0.0</v>
      </c>
      <c r="D7300" s="3">
        <v>3.0</v>
      </c>
      <c r="E7300" s="3">
        <v>0.0</v>
      </c>
      <c r="F7300" s="3" t="s">
        <v>20941</v>
      </c>
      <c r="G7300" s="3">
        <v>0.0</v>
      </c>
      <c r="H7300" s="3">
        <v>0.0</v>
      </c>
      <c r="I7300" s="3" t="s">
        <v>13</v>
      </c>
      <c r="J7300" s="3" t="s">
        <v>20942</v>
      </c>
      <c r="K7300" s="3" t="s">
        <v>50</v>
      </c>
      <c r="L7300" s="3" t="str">
        <f>IFERROR(__xludf.DUMMYFUNCTION("GOOGLETRANSLATE(F7300,""id"",""en"")"),"Argentina national team video paraded after winning the Qatar World Cup title")</f>
        <v>Argentina national team video paraded after winning the Qatar World Cup title</v>
      </c>
    </row>
    <row r="7301" ht="15.75" customHeight="1">
      <c r="A7301" s="1">
        <v>8513.0</v>
      </c>
      <c r="B7301" s="3" t="s">
        <v>20943</v>
      </c>
      <c r="C7301" s="3">
        <v>2.0</v>
      </c>
      <c r="D7301" s="3">
        <v>0.0</v>
      </c>
      <c r="E7301" s="3">
        <v>4.0</v>
      </c>
      <c r="F7301" s="3" t="s">
        <v>20944</v>
      </c>
      <c r="G7301" s="3">
        <v>0.0</v>
      </c>
      <c r="H7301" s="3">
        <v>0.0</v>
      </c>
      <c r="I7301" s="3" t="s">
        <v>13</v>
      </c>
      <c r="J7301" s="3" t="s">
        <v>20945</v>
      </c>
      <c r="K7301" s="3" t="s">
        <v>1479</v>
      </c>
      <c r="L7301" s="3" t="str">
        <f>IFERROR(__xludf.DUMMYFUNCTION("GOOGLETRANSLATE(F7301,""id"",""en"")"),"Nunez Match Pildun Goal City Reserve Player Alvarez Match Pildun Goal Bring Argentina Champion")</f>
        <v>Nunez Match Pildun Goal City Reserve Player Alvarez Match Pildun Goal Bring Argentina Champion</v>
      </c>
    </row>
    <row r="7302" ht="15.75" customHeight="1">
      <c r="A7302" s="1">
        <v>8514.0</v>
      </c>
      <c r="B7302" s="3" t="s">
        <v>20946</v>
      </c>
      <c r="C7302" s="3">
        <v>0.0</v>
      </c>
      <c r="D7302" s="3">
        <v>1.0</v>
      </c>
      <c r="E7302" s="3">
        <v>4.0</v>
      </c>
      <c r="F7302" s="3" t="s">
        <v>20947</v>
      </c>
      <c r="G7302" s="3">
        <v>0.0</v>
      </c>
      <c r="H7302" s="3">
        <v>0.0</v>
      </c>
      <c r="I7302" s="3" t="s">
        <v>13</v>
      </c>
      <c r="J7302" s="3" t="s">
        <v>20948</v>
      </c>
      <c r="K7302" s="3" t="s">
        <v>510</v>
      </c>
      <c r="L7302" s="3" t="str">
        <f>IFERROR(__xludf.DUMMYFUNCTION("GOOGLETRANSLATE(F7302,""id"",""en"")"),"Aemiliano Martinez performed brilliantly to bring Argentina to the World Cup champion only the Polah was considered to cover up his performance")</f>
        <v>Aemiliano Martinez performed brilliantly to bring Argentina to the World Cup champion only the Polah was considered to cover up his performance</v>
      </c>
    </row>
    <row r="7303" ht="15.75" customHeight="1">
      <c r="A7303" s="1">
        <v>8515.0</v>
      </c>
      <c r="B7303" s="3" t="s">
        <v>20949</v>
      </c>
      <c r="C7303" s="3">
        <v>0.0</v>
      </c>
      <c r="D7303" s="3">
        <v>0.0</v>
      </c>
      <c r="E7303" s="3">
        <v>0.0</v>
      </c>
      <c r="F7303" s="3" t="s">
        <v>20950</v>
      </c>
      <c r="G7303" s="3">
        <v>0.0</v>
      </c>
      <c r="H7303" s="3">
        <v>0.0</v>
      </c>
      <c r="I7303" s="3" t="s">
        <v>13</v>
      </c>
      <c r="J7303" s="3" t="s">
        <v>20951</v>
      </c>
      <c r="K7303" s="3" t="s">
        <v>644</v>
      </c>
      <c r="L7303" s="3" t="str">
        <f>IFERROR(__xludf.DUMMYFUNCTION("GOOGLETRANSLATE(F7303,""id"",""en"")"),"Argentina What Champion Dong")</f>
        <v>Argentina What Champion Dong</v>
      </c>
    </row>
    <row r="7304" ht="15.75" customHeight="1">
      <c r="A7304" s="1">
        <v>8516.0</v>
      </c>
      <c r="B7304" s="3" t="s">
        <v>20952</v>
      </c>
      <c r="C7304" s="3">
        <v>0.0</v>
      </c>
      <c r="D7304" s="3">
        <v>0.0</v>
      </c>
      <c r="E7304" s="3">
        <v>0.0</v>
      </c>
      <c r="F7304" s="3" t="s">
        <v>20953</v>
      </c>
      <c r="G7304" s="3">
        <v>0.0</v>
      </c>
      <c r="H7304" s="3">
        <v>0.0</v>
      </c>
      <c r="I7304" s="3" t="s">
        <v>13</v>
      </c>
      <c r="J7304" s="3" t="s">
        <v>20954</v>
      </c>
      <c r="K7304" s="3" t="s">
        <v>644</v>
      </c>
      <c r="L7304" s="3" t="str">
        <f>IFERROR(__xludf.DUMMYFUNCTION("GOOGLETRANSLATE(F7304,""id"",""en"")"),"Messi Champion Thanks to Indonesia")</f>
        <v>Messi Champion Thanks to Indonesia</v>
      </c>
    </row>
    <row r="7305" ht="15.75" customHeight="1">
      <c r="A7305" s="1">
        <v>8517.0</v>
      </c>
      <c r="B7305" s="3" t="s">
        <v>20955</v>
      </c>
      <c r="C7305" s="3">
        <v>0.0</v>
      </c>
      <c r="D7305" s="3">
        <v>0.0</v>
      </c>
      <c r="E7305" s="3">
        <v>2.0</v>
      </c>
      <c r="F7305" s="3" t="s">
        <v>20956</v>
      </c>
      <c r="G7305" s="3">
        <v>0.0</v>
      </c>
      <c r="H7305" s="3">
        <v>0.0</v>
      </c>
      <c r="I7305" s="3" t="s">
        <v>13</v>
      </c>
      <c r="J7305" s="3" t="s">
        <v>20957</v>
      </c>
      <c r="K7305" s="3" t="s">
        <v>75</v>
      </c>
      <c r="L7305" s="3" t="str">
        <f>IFERROR(__xludf.DUMMYFUNCTION("GOOGLETRANSLATE(F7305,""id"",""en"")"),"Scaloni after Argentina, I hope Maradona will enjoy it from above")</f>
        <v>Scaloni after Argentina, I hope Maradona will enjoy it from above</v>
      </c>
    </row>
    <row r="7306" ht="15.75" customHeight="1">
      <c r="A7306" s="1">
        <v>8518.0</v>
      </c>
      <c r="B7306" s="3" t="s">
        <v>20958</v>
      </c>
      <c r="C7306" s="3">
        <v>0.0</v>
      </c>
      <c r="D7306" s="3">
        <v>0.0</v>
      </c>
      <c r="E7306" s="3">
        <v>0.0</v>
      </c>
      <c r="F7306" s="3" t="s">
        <v>20959</v>
      </c>
      <c r="G7306" s="3">
        <v>0.0</v>
      </c>
      <c r="H7306" s="3">
        <v>0.0</v>
      </c>
      <c r="I7306" s="3" t="s">
        <v>13</v>
      </c>
      <c r="J7306" s="3" t="s">
        <v>20960</v>
      </c>
      <c r="K7306" s="3" t="s">
        <v>58</v>
      </c>
      <c r="L7306" s="3" t="str">
        <f>IFERROR(__xludf.DUMMYFUNCTION("GOOGLETRANSLATE(F7306,""id"",""en"")"),"There are a number of things that must be known Argentina again won the Ukraine world champion still in the dangers of Odong Odong and Bentor Street Dilemma")</f>
        <v>There are a number of things that must be known Argentina again won the Ukraine world champion still in the dangers of Odong Odong and Bentor Street Dilemma</v>
      </c>
    </row>
    <row r="7307" ht="15.75" customHeight="1">
      <c r="A7307" s="1">
        <v>8519.0</v>
      </c>
      <c r="B7307" s="3" t="s">
        <v>20961</v>
      </c>
      <c r="C7307" s="3">
        <v>0.0</v>
      </c>
      <c r="D7307" s="3">
        <v>0.0</v>
      </c>
      <c r="E7307" s="3">
        <v>3.0</v>
      </c>
      <c r="F7307" s="3" t="s">
        <v>20962</v>
      </c>
      <c r="G7307" s="3">
        <v>0.0</v>
      </c>
      <c r="H7307" s="3">
        <v>0.0</v>
      </c>
      <c r="I7307" s="3" t="s">
        <v>13</v>
      </c>
      <c r="J7307" s="3" t="s">
        <v>20963</v>
      </c>
      <c r="K7307" s="3" t="s">
        <v>15</v>
      </c>
      <c r="L7307" s="3" t="str">
        <f>IFERROR(__xludf.DUMMYFUNCTION("GOOGLETRANSLATE(F7307,""id"",""en"")"),"How many prizes did Argentina received after the World Cup championship")</f>
        <v>How many prizes did Argentina received after the World Cup championship</v>
      </c>
    </row>
    <row r="7308" ht="15.75" customHeight="1">
      <c r="A7308" s="1">
        <v>8520.0</v>
      </c>
      <c r="B7308" s="3" t="s">
        <v>20964</v>
      </c>
      <c r="C7308" s="3">
        <v>0.0</v>
      </c>
      <c r="D7308" s="3">
        <v>0.0</v>
      </c>
      <c r="E7308" s="3">
        <v>1.0</v>
      </c>
      <c r="F7308" s="3" t="s">
        <v>20965</v>
      </c>
      <c r="G7308" s="3">
        <v>1.0</v>
      </c>
      <c r="H7308" s="3">
        <v>0.0</v>
      </c>
      <c r="I7308" s="3" t="s">
        <v>13</v>
      </c>
      <c r="J7308" s="3" t="s">
        <v>20966</v>
      </c>
      <c r="K7308" s="3" t="s">
        <v>883</v>
      </c>
      <c r="L7308" s="3" t="str">
        <f>IFERROR(__xludf.DUMMYFUNCTION("GOOGLETRANSLATE(F7308,""id"",""en"")"),"The fans cheered crying hugging and raising the Argentine flag when they gathered to watch the final match the fans were happy Argentina could become champions for the third time")</f>
        <v>The fans cheered crying hugging and raising the Argentine flag when they gathered to watch the final match the fans were happy Argentina could become champions for the third time</v>
      </c>
    </row>
    <row r="7309" ht="15.75" customHeight="1">
      <c r="A7309" s="1">
        <v>8521.0</v>
      </c>
      <c r="B7309" s="3" t="s">
        <v>20967</v>
      </c>
      <c r="C7309" s="3">
        <v>0.0</v>
      </c>
      <c r="D7309" s="3">
        <v>0.0</v>
      </c>
      <c r="E7309" s="3">
        <v>0.0</v>
      </c>
      <c r="F7309" s="3" t="s">
        <v>20968</v>
      </c>
      <c r="G7309" s="3">
        <v>0.0</v>
      </c>
      <c r="H7309" s="3">
        <v>0.0</v>
      </c>
      <c r="I7309" s="3" t="s">
        <v>13</v>
      </c>
      <c r="J7309" s="3" t="s">
        <v>20969</v>
      </c>
      <c r="K7309" s="3" t="s">
        <v>82</v>
      </c>
      <c r="L7309" s="3" t="str">
        <f>IFERROR(__xludf.DUMMYFUNCTION("GOOGLETRANSLATE(F7309,""id"",""en"")"),"Argentina Lose Beginning Aniss's Final Champion")</f>
        <v>Argentina Lose Beginning Aniss's Final Champion</v>
      </c>
    </row>
    <row r="7310" ht="15.75" customHeight="1">
      <c r="A7310" s="1">
        <v>8522.0</v>
      </c>
      <c r="B7310" s="3" t="s">
        <v>20970</v>
      </c>
      <c r="C7310" s="3">
        <v>0.0</v>
      </c>
      <c r="D7310" s="3">
        <v>0.0</v>
      </c>
      <c r="E7310" s="3">
        <v>0.0</v>
      </c>
      <c r="F7310" s="3" t="s">
        <v>20971</v>
      </c>
      <c r="G7310" s="3">
        <v>0.0</v>
      </c>
      <c r="H7310" s="3">
        <v>0.0</v>
      </c>
      <c r="I7310" s="3" t="s">
        <v>13</v>
      </c>
      <c r="J7310" s="3" t="s">
        <v>20972</v>
      </c>
      <c r="K7310" s="3" t="s">
        <v>15</v>
      </c>
      <c r="L7310" s="3" t="str">
        <f>IFERROR(__xludf.DUMMYFUNCTION("GOOGLETRANSLATE(F7310,""id"",""en"")"),"Because I am Argentina, I added, thank you Messi")</f>
        <v>Because I am Argentina, I added, thank you Messi</v>
      </c>
    </row>
    <row r="7311" ht="15.75" customHeight="1">
      <c r="A7311" s="1">
        <v>8523.0</v>
      </c>
      <c r="B7311" s="3" t="s">
        <v>20973</v>
      </c>
      <c r="C7311" s="3">
        <v>1.0</v>
      </c>
      <c r="D7311" s="3">
        <v>0.0</v>
      </c>
      <c r="E7311" s="3">
        <v>0.0</v>
      </c>
      <c r="F7311" s="3" t="s">
        <v>20974</v>
      </c>
      <c r="G7311" s="3">
        <v>0.0</v>
      </c>
      <c r="H7311" s="3">
        <v>0.0</v>
      </c>
      <c r="I7311" s="3" t="s">
        <v>13</v>
      </c>
      <c r="J7311" s="3" t="s">
        <v>20975</v>
      </c>
      <c r="K7311" s="3" t="s">
        <v>19</v>
      </c>
      <c r="L7311" s="3" t="str">
        <f>IFERROR(__xludf.DUMMYFUNCTION("GOOGLETRANSLATE(F7311,""id"",""en"")"),"Anjir even chose Argentina before the match began to be a very won champion")</f>
        <v>Anjir even chose Argentina before the match began to be a very won champion</v>
      </c>
    </row>
    <row r="7312" ht="15.75" customHeight="1">
      <c r="A7312" s="1">
        <v>8525.0</v>
      </c>
      <c r="B7312" s="3" t="s">
        <v>20976</v>
      </c>
      <c r="C7312" s="3">
        <v>0.0</v>
      </c>
      <c r="D7312" s="3">
        <v>0.0</v>
      </c>
      <c r="E7312" s="3">
        <v>0.0</v>
      </c>
      <c r="F7312" s="3" t="s">
        <v>20977</v>
      </c>
      <c r="G7312" s="3">
        <v>0.0</v>
      </c>
      <c r="H7312" s="3">
        <v>0.0</v>
      </c>
      <c r="I7312" s="3" t="s">
        <v>13</v>
      </c>
      <c r="J7312" s="3" t="s">
        <v>20978</v>
      </c>
      <c r="K7312" s="3" t="s">
        <v>1469</v>
      </c>
      <c r="L7312" s="3" t="str">
        <f>IFERROR(__xludf.DUMMYFUNCTION("GOOGLETRANSLATE(F7312,""id"",""en"")"),"right if you know who knows that he will not even champion, he will join and Argentina has become the World Cup champion")</f>
        <v>right if you know who knows that he will not even champion, he will join and Argentina has become the World Cup champion</v>
      </c>
    </row>
    <row r="7313" ht="15.75" customHeight="1">
      <c r="A7313" s="1">
        <v>8526.0</v>
      </c>
      <c r="B7313" s="3" t="s">
        <v>20979</v>
      </c>
      <c r="C7313" s="3">
        <v>0.0</v>
      </c>
      <c r="D7313" s="3">
        <v>0.0</v>
      </c>
      <c r="E7313" s="3">
        <v>0.0</v>
      </c>
      <c r="F7313" s="3" t="s">
        <v>20980</v>
      </c>
      <c r="G7313" s="3">
        <v>0.0</v>
      </c>
      <c r="H7313" s="3">
        <v>0.0</v>
      </c>
      <c r="I7313" s="3" t="s">
        <v>13</v>
      </c>
      <c r="J7313" s="3" t="s">
        <v>20981</v>
      </c>
      <c r="K7313" s="3" t="s">
        <v>20982</v>
      </c>
      <c r="L7313" s="3" t="str">
        <f>IFERROR(__xludf.DUMMYFUNCTION("GOOGLETRANSLATE(F7313,""id"",""en"")"),"World Cup Champion Champion World Cup Argentina Mexico and Qatar Mario Kempes Gol Diego Maradona Gol Lionel Messi Gol")</f>
        <v>World Cup Champion Champion World Cup Argentina Mexico and Qatar Mario Kempes Gol Diego Maradona Gol Lionel Messi Gol</v>
      </c>
    </row>
    <row r="7314" ht="15.75" customHeight="1">
      <c r="A7314" s="1">
        <v>8527.0</v>
      </c>
      <c r="B7314" s="3" t="s">
        <v>20983</v>
      </c>
      <c r="C7314" s="3">
        <v>0.0</v>
      </c>
      <c r="D7314" s="3">
        <v>0.0</v>
      </c>
      <c r="E7314" s="3">
        <v>0.0</v>
      </c>
      <c r="F7314" s="3" t="s">
        <v>20947</v>
      </c>
      <c r="G7314" s="3">
        <v>0.0</v>
      </c>
      <c r="H7314" s="3">
        <v>0.0</v>
      </c>
      <c r="I7314" s="3" t="s">
        <v>13</v>
      </c>
      <c r="J7314" s="3" t="s">
        <v>20948</v>
      </c>
      <c r="K7314" s="3" t="s">
        <v>510</v>
      </c>
      <c r="L7314" s="3" t="str">
        <f>IFERROR(__xludf.DUMMYFUNCTION("GOOGLETRANSLATE(F7314,""id"",""en"")"),"Aemiliano Martinez performed brilliantly to bring Argentina to the World Cup champion only the Polah was considered to cover up his performance")</f>
        <v>Aemiliano Martinez performed brilliantly to bring Argentina to the World Cup champion only the Polah was considered to cover up his performance</v>
      </c>
    </row>
    <row r="7315" ht="15.75" customHeight="1">
      <c r="A7315" s="1">
        <v>8528.0</v>
      </c>
      <c r="B7315" s="3" t="s">
        <v>20984</v>
      </c>
      <c r="C7315" s="3">
        <v>0.0</v>
      </c>
      <c r="D7315" s="3">
        <v>0.0</v>
      </c>
      <c r="E7315" s="3">
        <v>0.0</v>
      </c>
      <c r="F7315" s="3" t="s">
        <v>20985</v>
      </c>
      <c r="G7315" s="3">
        <v>0.0</v>
      </c>
      <c r="H7315" s="3">
        <v>0.0</v>
      </c>
      <c r="I7315" s="3" t="s">
        <v>13</v>
      </c>
      <c r="J7315" s="3" t="s">
        <v>20986</v>
      </c>
      <c r="K7315" s="3" t="s">
        <v>54</v>
      </c>
      <c r="L7315" s="3" t="str">
        <f>IFERROR(__xludf.DUMMYFUNCTION("GOOGLETRANSLATE(F7315,""id"",""en"")"),"Yes Argentina champions but become an avatar")</f>
        <v>Yes Argentina champions but become an avatar</v>
      </c>
    </row>
    <row r="7316" ht="15.75" customHeight="1">
      <c r="A7316" s="1">
        <v>8529.0</v>
      </c>
      <c r="B7316" s="3" t="s">
        <v>20987</v>
      </c>
      <c r="C7316" s="3">
        <v>0.0</v>
      </c>
      <c r="D7316" s="3">
        <v>0.0</v>
      </c>
      <c r="E7316" s="3">
        <v>0.0</v>
      </c>
      <c r="F7316" s="3" t="s">
        <v>20988</v>
      </c>
      <c r="G7316" s="3">
        <v>0.0</v>
      </c>
      <c r="H7316" s="3">
        <v>0.0</v>
      </c>
      <c r="I7316" s="3" t="s">
        <v>13</v>
      </c>
      <c r="J7316" s="3" t="s">
        <v>20989</v>
      </c>
      <c r="K7316" s="3" t="s">
        <v>644</v>
      </c>
      <c r="L7316" s="3" t="str">
        <f>IFERROR(__xludf.DUMMYFUNCTION("GOOGLETRANSLATE(F7316,""id"",""en"")"),"Argentina Champion French Runner")</f>
        <v>Argentina Champion French Runner</v>
      </c>
    </row>
    <row r="7317" ht="15.75" customHeight="1">
      <c r="A7317" s="1">
        <v>8530.0</v>
      </c>
      <c r="B7317" s="3" t="s">
        <v>20990</v>
      </c>
      <c r="C7317" s="3">
        <v>0.0</v>
      </c>
      <c r="D7317" s="3">
        <v>0.0</v>
      </c>
      <c r="E7317" s="3">
        <v>0.0</v>
      </c>
      <c r="F7317" s="3" t="s">
        <v>20991</v>
      </c>
      <c r="G7317" s="3">
        <v>0.0</v>
      </c>
      <c r="H7317" s="3">
        <v>0.0</v>
      </c>
      <c r="I7317" s="3" t="s">
        <v>13</v>
      </c>
      <c r="J7317" s="3" t="s">
        <v>20992</v>
      </c>
      <c r="K7317" s="3" t="s">
        <v>1628</v>
      </c>
      <c r="L7317" s="3" t="str">
        <f>IFERROR(__xludf.DUMMYFUNCTION("GOOGLETRANSLATE(F7317,""id"",""en"")"),"Alhamdulillah, finally since Argentina always failed to win the new World Cup in the Jokowi Argentina government succeeded in the world champion again.")</f>
        <v>Alhamdulillah, finally since Argentina always failed to win the new World Cup in the Jokowi Argentina government succeeded in the world champion again.</v>
      </c>
    </row>
    <row r="7318" ht="15.75" customHeight="1">
      <c r="A7318" s="1">
        <v>8531.0</v>
      </c>
      <c r="B7318" s="3" t="s">
        <v>20993</v>
      </c>
      <c r="C7318" s="3">
        <v>0.0</v>
      </c>
      <c r="D7318" s="3">
        <v>0.0</v>
      </c>
      <c r="E7318" s="3">
        <v>2.0</v>
      </c>
      <c r="F7318" s="3" t="s">
        <v>20712</v>
      </c>
      <c r="G7318" s="3">
        <v>0.0</v>
      </c>
      <c r="H7318" s="3">
        <v>0.0</v>
      </c>
      <c r="I7318" s="3" t="s">
        <v>13</v>
      </c>
      <c r="J7318" s="3" t="s">
        <v>20713</v>
      </c>
      <c r="K7318" s="3" t="s">
        <v>127</v>
      </c>
      <c r="L7318" s="3" t="str">
        <f>IFERROR(__xludf.DUMMYFUNCTION("GOOGLETRANSLATE(F7318,""id"",""en"")"),"Xavi Hernandez appreciated the success of Lionel Messi to deliver Argentina World Cup champions according to him Pulga deserves the title")</f>
        <v>Xavi Hernandez appreciated the success of Lionel Messi to deliver Argentina World Cup champions according to him Pulga deserves the title</v>
      </c>
    </row>
    <row r="7319" ht="15.75" customHeight="1">
      <c r="A7319" s="1">
        <v>8532.0</v>
      </c>
      <c r="B7319" s="3" t="s">
        <v>20994</v>
      </c>
      <c r="C7319" s="3">
        <v>0.0</v>
      </c>
      <c r="D7319" s="3">
        <v>0.0</v>
      </c>
      <c r="E7319" s="3">
        <v>0.0</v>
      </c>
      <c r="F7319" s="3" t="s">
        <v>20995</v>
      </c>
      <c r="G7319" s="3">
        <v>0.0</v>
      </c>
      <c r="H7319" s="3">
        <v>0.0</v>
      </c>
      <c r="I7319" s="3" t="s">
        <v>13</v>
      </c>
      <c r="J7319" s="3" t="s">
        <v>20996</v>
      </c>
      <c r="K7319" s="3" t="s">
        <v>15</v>
      </c>
      <c r="L7319" s="3" t="str">
        <f>IFERROR(__xludf.DUMMYFUNCTION("GOOGLETRANSLATE(F7319,""id"",""en"")"),"Disassembled this Secret of the Success of Argentina Champion World Cup Champion")</f>
        <v>Disassembled this Secret of the Success of Argentina Champion World Cup Champion</v>
      </c>
    </row>
    <row r="7320" ht="15.75" customHeight="1">
      <c r="A7320" s="1">
        <v>8533.0</v>
      </c>
      <c r="B7320" s="3" t="s">
        <v>20997</v>
      </c>
      <c r="C7320" s="3">
        <v>0.0</v>
      </c>
      <c r="D7320" s="3">
        <v>0.0</v>
      </c>
      <c r="E7320" s="3">
        <v>0.0</v>
      </c>
      <c r="F7320" s="3" t="s">
        <v>20998</v>
      </c>
      <c r="G7320" s="3">
        <v>0.0</v>
      </c>
      <c r="H7320" s="3">
        <v>0.0</v>
      </c>
      <c r="I7320" s="3" t="s">
        <v>13</v>
      </c>
      <c r="J7320" s="3" t="s">
        <v>20999</v>
      </c>
      <c r="K7320" s="3" t="s">
        <v>240</v>
      </c>
      <c r="L7320" s="3" t="str">
        <f>IFERROR(__xludf.DUMMYFUNCTION("GOOGLETRANSLATE(F7320,""id"",""en"")"),"Latest Football News Nova Indonesia Click Starting from the Motivation Chat Scaloni Messi Argentina World Champion for the third time")</f>
        <v>Latest Football News Nova Indonesia Click Starting from the Motivation Chat Scaloni Messi Argentina World Champion for the third time</v>
      </c>
    </row>
    <row r="7321" ht="15.75" customHeight="1">
      <c r="A7321" s="1">
        <v>8534.0</v>
      </c>
      <c r="B7321" s="3" t="s">
        <v>21000</v>
      </c>
      <c r="C7321" s="3">
        <v>0.0</v>
      </c>
      <c r="D7321" s="3">
        <v>0.0</v>
      </c>
      <c r="E7321" s="3">
        <v>0.0</v>
      </c>
      <c r="F7321" s="3" t="s">
        <v>21001</v>
      </c>
      <c r="G7321" s="3">
        <v>0.0</v>
      </c>
      <c r="H7321" s="3">
        <v>0.0</v>
      </c>
      <c r="I7321" s="3" t="s">
        <v>13</v>
      </c>
      <c r="J7321" s="3" t="s">
        <v>21002</v>
      </c>
      <c r="K7321" s="3" t="s">
        <v>236</v>
      </c>
      <c r="L7321" s="3" t="str">
        <f>IFERROR(__xludf.DUMMYFUNCTION("GOOGLETRANSLATE(F7321,""id"",""en"")"),"Asheljkt yesterday Argentina world champion now you are champions in my heart Cel")</f>
        <v>Asheljkt yesterday Argentina world champion now you are champions in my heart Cel</v>
      </c>
    </row>
    <row r="7322" ht="15.75" customHeight="1">
      <c r="A7322" s="1">
        <v>8535.0</v>
      </c>
      <c r="B7322" s="3" t="s">
        <v>21003</v>
      </c>
      <c r="C7322" s="3">
        <v>0.0</v>
      </c>
      <c r="D7322" s="3">
        <v>0.0</v>
      </c>
      <c r="E7322" s="3">
        <v>0.0</v>
      </c>
      <c r="F7322" s="3" t="s">
        <v>21004</v>
      </c>
      <c r="G7322" s="3">
        <v>0.0</v>
      </c>
      <c r="H7322" s="3">
        <v>0.0</v>
      </c>
      <c r="I7322" s="3" t="s">
        <v>13</v>
      </c>
      <c r="J7322" s="3" t="s">
        <v>21005</v>
      </c>
      <c r="K7322" s="3" t="s">
        <v>1335</v>
      </c>
      <c r="L7322" s="3" t="str">
        <f>IFERROR(__xludf.DUMMYFUNCTION("GOOGLETRANSLATE(F7322,""id"",""en"")"),"that's a pipe settings, pipes want Argentina to Champion")</f>
        <v>that's a pipe settings, pipes want Argentina to Champion</v>
      </c>
    </row>
    <row r="7323" ht="15.75" customHeight="1">
      <c r="A7323" s="1">
        <v>8536.0</v>
      </c>
      <c r="B7323" s="3" t="s">
        <v>21006</v>
      </c>
      <c r="C7323" s="3">
        <v>0.0</v>
      </c>
      <c r="D7323" s="3">
        <v>0.0</v>
      </c>
      <c r="E7323" s="3">
        <v>0.0</v>
      </c>
      <c r="F7323" s="3" t="s">
        <v>21007</v>
      </c>
      <c r="G7323" s="3">
        <v>0.3333333333333333</v>
      </c>
      <c r="H7323" s="3">
        <v>0.1666666666666667</v>
      </c>
      <c r="I7323" s="3" t="s">
        <v>48</v>
      </c>
      <c r="J7323" s="3" t="s">
        <v>21008</v>
      </c>
      <c r="K7323" s="3" t="s">
        <v>1414</v>
      </c>
      <c r="L7323" s="3" t="str">
        <f>IFERROR(__xludf.DUMMYFUNCTION("GOOGLETRANSLATE(F7323,""id"",""en"")"),"I am a fan of Messi but really appreciate Ronaldo World Cup clearly I support Argentina but Argentina failed")</f>
        <v>I am a fan of Messi but really appreciate Ronaldo World Cup clearly I support Argentina but Argentina failed</v>
      </c>
    </row>
    <row r="7324" ht="15.75" customHeight="1">
      <c r="A7324" s="1">
        <v>8537.0</v>
      </c>
      <c r="B7324" s="3" t="s">
        <v>21009</v>
      </c>
      <c r="C7324" s="3">
        <v>0.0</v>
      </c>
      <c r="D7324" s="3">
        <v>0.0</v>
      </c>
      <c r="E7324" s="3">
        <v>0.0</v>
      </c>
      <c r="F7324" s="3" t="s">
        <v>21010</v>
      </c>
      <c r="G7324" s="3">
        <v>0.0</v>
      </c>
      <c r="H7324" s="3">
        <v>0.0</v>
      </c>
      <c r="I7324" s="3" t="s">
        <v>13</v>
      </c>
      <c r="J7324" s="3" t="s">
        <v>21011</v>
      </c>
      <c r="K7324" s="3" t="s">
        <v>510</v>
      </c>
      <c r="L7324" s="3" t="str">
        <f>IFERROR(__xludf.DUMMYFUNCTION("GOOGLETRANSLATE(F7324,""id"",""en"")"),"Argentina World Champion Scaloni recalls the sweet moments of Malaysia CNN Indonesia Google News Sports")</f>
        <v>Argentina World Champion Scaloni recalls the sweet moments of Malaysia CNN Indonesia Google News Sports</v>
      </c>
    </row>
    <row r="7325" ht="15.75" customHeight="1">
      <c r="A7325" s="1">
        <v>8538.0</v>
      </c>
      <c r="B7325" s="3" t="s">
        <v>21012</v>
      </c>
      <c r="C7325" s="3">
        <v>0.0</v>
      </c>
      <c r="D7325" s="3">
        <v>0.0</v>
      </c>
      <c r="E7325" s="3">
        <v>0.0</v>
      </c>
      <c r="F7325" s="3" t="s">
        <v>21013</v>
      </c>
      <c r="G7325" s="3">
        <v>0.0</v>
      </c>
      <c r="H7325" s="3">
        <v>0.0</v>
      </c>
      <c r="I7325" s="3" t="s">
        <v>13</v>
      </c>
      <c r="J7325" s="3" t="s">
        <v>21014</v>
      </c>
      <c r="K7325" s="3" t="s">
        <v>15</v>
      </c>
      <c r="L7325" s="3" t="str">
        <f>IFERROR(__xludf.DUMMYFUNCTION("GOOGLETRANSLATE(F7325,""id"",""en"")"),"Argentina is still under Brazil despite being the World Cup champion")</f>
        <v>Argentina is still under Brazil despite being the World Cup champion</v>
      </c>
    </row>
    <row r="7326" ht="15.75" customHeight="1">
      <c r="A7326" s="1">
        <v>8539.0</v>
      </c>
      <c r="B7326" s="3" t="s">
        <v>21015</v>
      </c>
      <c r="C7326" s="3">
        <v>0.0</v>
      </c>
      <c r="D7326" s="3">
        <v>1.0</v>
      </c>
      <c r="E7326" s="3">
        <v>3.0</v>
      </c>
      <c r="F7326" s="3" t="s">
        <v>21016</v>
      </c>
      <c r="G7326" s="3">
        <v>0.0</v>
      </c>
      <c r="H7326" s="3">
        <v>0.0</v>
      </c>
      <c r="I7326" s="3" t="s">
        <v>13</v>
      </c>
      <c r="J7326" s="3" t="s">
        <v>21017</v>
      </c>
      <c r="K7326" s="3" t="s">
        <v>657</v>
      </c>
      <c r="L7326" s="3" t="str">
        <f>IFERROR(__xludf.DUMMYFUNCTION("GOOGLETRANSLATE(F7326,""id"",""en"")"),"The success of Argentina Champion World Cup made Adidas big profit because the jersey was sold out and even dared to sell up to million")</f>
        <v>The success of Argentina Champion World Cup made Adidas big profit because the jersey was sold out and even dared to sell up to million</v>
      </c>
    </row>
    <row r="7327" ht="15.75" customHeight="1">
      <c r="A7327" s="1">
        <v>8540.0</v>
      </c>
      <c r="B7327" s="3" t="s">
        <v>21018</v>
      </c>
      <c r="C7327" s="3">
        <v>0.0</v>
      </c>
      <c r="D7327" s="3">
        <v>0.0</v>
      </c>
      <c r="E7327" s="3">
        <v>1.0</v>
      </c>
      <c r="F7327" s="3" t="s">
        <v>21019</v>
      </c>
      <c r="G7327" s="3">
        <v>0.0</v>
      </c>
      <c r="H7327" s="3">
        <v>0.0</v>
      </c>
      <c r="I7327" s="3" t="s">
        <v>13</v>
      </c>
      <c r="J7327" s="3" t="s">
        <v>21020</v>
      </c>
      <c r="K7327" s="3" t="s">
        <v>58</v>
      </c>
      <c r="L7327" s="3" t="str">
        <f>IFERROR(__xludf.DUMMYFUNCTION("GOOGLETRANSLATE(F7327,""id"",""en"")"),"Saudi Arabia is not in vaining the next day when he loses Argentina Argentina to become the champion now")</f>
        <v>Saudi Arabia is not in vaining the next day when he loses Argentina Argentina to become the champion now</v>
      </c>
    </row>
    <row r="7328" ht="15.75" customHeight="1">
      <c r="A7328" s="1">
        <v>8541.0</v>
      </c>
      <c r="B7328" s="3" t="s">
        <v>21021</v>
      </c>
      <c r="C7328" s="3">
        <v>1.0</v>
      </c>
      <c r="D7328" s="3">
        <v>0.0</v>
      </c>
      <c r="E7328" s="3">
        <v>5.0</v>
      </c>
      <c r="F7328" s="3" t="s">
        <v>21022</v>
      </c>
      <c r="G7328" s="3">
        <v>0.0</v>
      </c>
      <c r="H7328" s="3">
        <v>0.0</v>
      </c>
      <c r="I7328" s="3" t="s">
        <v>13</v>
      </c>
      <c r="J7328" s="3" t="s">
        <v>21023</v>
      </c>
      <c r="K7328" s="3" t="s">
        <v>2023</v>
      </c>
      <c r="L7328" s="3" t="str">
        <f>IFERROR(__xludf.DUMMYFUNCTION("GOOGLETRANSLATE(F7328,""id"",""en"")"),"Radite Molina Argentina and Brazil Runner lost Scoreline France Runner but not defeated Scoreline only runner only through penalty shootouts so I said France")</f>
        <v>Radite Molina Argentina and Brazil Runner lost Scoreline France Runner but not defeated Scoreline only runner only through penalty shootouts so I said France</v>
      </c>
    </row>
    <row r="7329" ht="15.75" customHeight="1">
      <c r="A7329" s="1">
        <v>8542.0</v>
      </c>
      <c r="B7329" s="3" t="s">
        <v>21024</v>
      </c>
      <c r="C7329" s="3">
        <v>0.0</v>
      </c>
      <c r="D7329" s="3">
        <v>1.0</v>
      </c>
      <c r="E7329" s="3">
        <v>10.0</v>
      </c>
      <c r="F7329" s="3" t="s">
        <v>20947</v>
      </c>
      <c r="G7329" s="3">
        <v>0.0</v>
      </c>
      <c r="H7329" s="3">
        <v>0.0</v>
      </c>
      <c r="I7329" s="3" t="s">
        <v>13</v>
      </c>
      <c r="J7329" s="3" t="s">
        <v>20948</v>
      </c>
      <c r="K7329" s="3" t="s">
        <v>510</v>
      </c>
      <c r="L7329" s="3" t="str">
        <f>IFERROR(__xludf.DUMMYFUNCTION("GOOGLETRANSLATE(F7329,""id"",""en"")"),"Aemiliano Martinez performed brilliantly to bring Argentina to the World Cup champion only the Polah was considered to cover up his performance")</f>
        <v>Aemiliano Martinez performed brilliantly to bring Argentina to the World Cup champion only the Polah was considered to cover up his performance</v>
      </c>
    </row>
    <row r="7330" ht="15.75" customHeight="1">
      <c r="A7330" s="1">
        <v>8544.0</v>
      </c>
      <c r="B7330" s="3" t="s">
        <v>21025</v>
      </c>
      <c r="C7330" s="3">
        <v>0.0</v>
      </c>
      <c r="D7330" s="3">
        <v>0.0</v>
      </c>
      <c r="E7330" s="3">
        <v>0.0</v>
      </c>
      <c r="F7330" s="3" t="s">
        <v>21026</v>
      </c>
      <c r="G7330" s="3">
        <v>0.0</v>
      </c>
      <c r="H7330" s="3">
        <v>0.0</v>
      </c>
      <c r="I7330" s="3" t="s">
        <v>13</v>
      </c>
      <c r="J7330" s="3" t="s">
        <v>21027</v>
      </c>
      <c r="K7330" s="3" t="s">
        <v>19</v>
      </c>
      <c r="L7330" s="3" t="str">
        <f>IFERROR(__xludf.DUMMYFUNCTION("GOOGLETRANSLATE(F7330,""id"",""en"")"),"Believe it or not Argentina World Cup champions because of the Red Bracelet Amuits that Cristian Gonzales once used")</f>
        <v>Believe it or not Argentina World Cup champions because of the Red Bracelet Amuits that Cristian Gonzales once used</v>
      </c>
    </row>
    <row r="7331" ht="15.75" customHeight="1">
      <c r="A7331" s="1">
        <v>8545.0</v>
      </c>
      <c r="B7331" s="3" t="s">
        <v>21028</v>
      </c>
      <c r="C7331" s="3">
        <v>1.0</v>
      </c>
      <c r="D7331" s="3">
        <v>0.0</v>
      </c>
      <c r="E7331" s="3">
        <v>3.0</v>
      </c>
      <c r="F7331" s="3" t="s">
        <v>21029</v>
      </c>
      <c r="G7331" s="3">
        <v>0.7666666666666666</v>
      </c>
      <c r="H7331" s="3">
        <v>0.06666666666666667</v>
      </c>
      <c r="I7331" s="3" t="s">
        <v>48</v>
      </c>
      <c r="J7331" s="3" t="s">
        <v>21030</v>
      </c>
      <c r="K7331" s="3" t="s">
        <v>520</v>
      </c>
      <c r="L7331" s="3" t="str">
        <f>IFERROR(__xludf.DUMMYFUNCTION("GOOGLETRANSLATE(F7331,""id"",""en"")"),"Molina doesn't know Argentina and it's already included in the modern era or not, but AGGA is the same as the champion in the final again, West Germany, the final Brazilian champion is even sadistic again")</f>
        <v>Molina doesn't know Argentina and it's already included in the modern era or not, but AGGA is the same as the champion in the final again, West Germany, the final Brazilian champion is even sadistic again</v>
      </c>
    </row>
    <row r="7332" ht="15.75" customHeight="1">
      <c r="A7332" s="1">
        <v>8546.0</v>
      </c>
      <c r="B7332" s="3" t="s">
        <v>21031</v>
      </c>
      <c r="C7332" s="3">
        <v>0.0</v>
      </c>
      <c r="D7332" s="3">
        <v>0.0</v>
      </c>
      <c r="E7332" s="3">
        <v>0.0</v>
      </c>
      <c r="F7332" s="3" t="s">
        <v>21032</v>
      </c>
      <c r="G7332" s="3">
        <v>0.0</v>
      </c>
      <c r="H7332" s="3">
        <v>0.0</v>
      </c>
      <c r="I7332" s="3" t="s">
        <v>13</v>
      </c>
      <c r="J7332" s="3" t="s">
        <v>21033</v>
      </c>
      <c r="K7332" s="3" t="s">
        <v>82</v>
      </c>
      <c r="L7332" s="3" t="str">
        <f>IFERROR(__xludf.DUMMYFUNCTION("GOOGLETRANSLATE(F7332,""id"",""en"")"),"If Indonesia, the world champion, was a week, I would like to")</f>
        <v>If Indonesia, the world champion, was a week, I would like to</v>
      </c>
    </row>
    <row r="7333" ht="15.75" customHeight="1">
      <c r="A7333" s="1">
        <v>8547.0</v>
      </c>
      <c r="B7333" s="3" t="s">
        <v>21034</v>
      </c>
      <c r="C7333" s="3">
        <v>2.0</v>
      </c>
      <c r="D7333" s="3">
        <v>0.0</v>
      </c>
      <c r="E7333" s="3">
        <v>1.0</v>
      </c>
      <c r="F7333" s="3" t="s">
        <v>21035</v>
      </c>
      <c r="G7333" s="3">
        <v>1.0</v>
      </c>
      <c r="H7333" s="3">
        <v>0.0</v>
      </c>
      <c r="I7333" s="3" t="s">
        <v>13</v>
      </c>
      <c r="J7333" s="3" t="s">
        <v>21036</v>
      </c>
      <c r="K7333" s="3" t="s">
        <v>27</v>
      </c>
      <c r="L7333" s="3" t="str">
        <f>IFERROR(__xludf.DUMMYFUNCTION("GOOGLETRANSLATE(F7333,""id"",""en"")"),"The final of Qatar who won Argentina who lost France, why the most noisy was the Indonesian people who said Argentina was champions because of the settings of the referee even to Aguero to celebrate the kemmemangan so it was even a matter")</f>
        <v>The final of Qatar who won Argentina who lost France, why the most noisy was the Indonesian people who said Argentina was champions because of the settings of the referee even to Aguero to celebrate the kemmemangan so it was even a matter</v>
      </c>
    </row>
    <row r="7334" ht="15.75" customHeight="1">
      <c r="A7334" s="1">
        <v>8549.0</v>
      </c>
      <c r="B7334" s="3" t="s">
        <v>21037</v>
      </c>
      <c r="C7334" s="3">
        <v>0.0</v>
      </c>
      <c r="D7334" s="3">
        <v>0.0</v>
      </c>
      <c r="E7334" s="3">
        <v>0.0</v>
      </c>
      <c r="F7334" s="3" t="s">
        <v>20995</v>
      </c>
      <c r="G7334" s="3">
        <v>0.0</v>
      </c>
      <c r="H7334" s="3">
        <v>0.0</v>
      </c>
      <c r="I7334" s="3" t="s">
        <v>13</v>
      </c>
      <c r="J7334" s="3" t="s">
        <v>20996</v>
      </c>
      <c r="K7334" s="3" t="s">
        <v>15</v>
      </c>
      <c r="L7334" s="3" t="str">
        <f>IFERROR(__xludf.DUMMYFUNCTION("GOOGLETRANSLATE(F7334,""id"",""en"")"),"Disassembled this Secret of the Success of Argentina Champion World Cup Champion")</f>
        <v>Disassembled this Secret of the Success of Argentina Champion World Cup Champion</v>
      </c>
    </row>
    <row r="7335" ht="15.75" customHeight="1">
      <c r="A7335" s="1">
        <v>8550.0</v>
      </c>
      <c r="B7335" s="3" t="s">
        <v>21038</v>
      </c>
      <c r="C7335" s="3">
        <v>0.0</v>
      </c>
      <c r="D7335" s="3">
        <v>0.0</v>
      </c>
      <c r="E7335" s="3">
        <v>1.0</v>
      </c>
      <c r="F7335" s="3" t="s">
        <v>21039</v>
      </c>
      <c r="G7335" s="3">
        <v>0.3333333333333333</v>
      </c>
      <c r="H7335" s="3">
        <v>0.1666666666666667</v>
      </c>
      <c r="I7335" s="3" t="s">
        <v>48</v>
      </c>
      <c r="J7335" s="3" t="s">
        <v>21040</v>
      </c>
      <c r="K7335" s="3" t="s">
        <v>35</v>
      </c>
      <c r="L7335" s="3" t="str">
        <f>IFERROR(__xludf.DUMMYFUNCTION("GOOGLETRANSLATE(F7335,""id"",""en"")"),"Don't underestimate and play with Messi to win the World Cup Sports")</f>
        <v>Don't underestimate and play with Messi to win the World Cup Sports</v>
      </c>
    </row>
    <row r="7336" ht="15.75" customHeight="1">
      <c r="A7336" s="1">
        <v>8551.0</v>
      </c>
      <c r="B7336" s="3" t="s">
        <v>21041</v>
      </c>
      <c r="C7336" s="3">
        <v>1.0</v>
      </c>
      <c r="D7336" s="3">
        <v>0.0</v>
      </c>
      <c r="E7336" s="3">
        <v>1.0</v>
      </c>
      <c r="F7336" s="3" t="s">
        <v>21042</v>
      </c>
      <c r="G7336" s="3">
        <v>0.3333333333333333</v>
      </c>
      <c r="H7336" s="3">
        <v>0.1666666666666667</v>
      </c>
      <c r="I7336" s="3" t="s">
        <v>48</v>
      </c>
      <c r="J7336" s="3" t="s">
        <v>21043</v>
      </c>
      <c r="K7336" s="3" t="s">
        <v>903</v>
      </c>
      <c r="L7336" s="3" t="str">
        <f>IFERROR(__xludf.DUMMYFUNCTION("GOOGLETRANSLATE(F7336,""id"",""en"")"),"Gossip or Basic Hoax of the Messi Contract Clause for the priority to play for Argentina is not asking for the conditions for champions Pilduun why not Brazil champions Neymar moved PSG first")</f>
        <v>Gossip or Basic Hoax of the Messi Contract Clause for the priority to play for Argentina is not asking for the conditions for champions Pilduun why not Brazil champions Neymar moved PSG first</v>
      </c>
    </row>
    <row r="7337" ht="15.75" customHeight="1">
      <c r="A7337" s="1">
        <v>8552.0</v>
      </c>
      <c r="B7337" s="3" t="s">
        <v>21044</v>
      </c>
      <c r="C7337" s="3">
        <v>0.0</v>
      </c>
      <c r="D7337" s="3">
        <v>0.0</v>
      </c>
      <c r="E7337" s="3">
        <v>0.0</v>
      </c>
      <c r="G7337" s="3">
        <v>0.0</v>
      </c>
      <c r="H7337" s="3">
        <v>0.0</v>
      </c>
      <c r="I7337" s="3" t="s">
        <v>13</v>
      </c>
      <c r="J7337" s="3" t="s">
        <v>16049</v>
      </c>
      <c r="K7337" s="3" t="s">
        <v>16050</v>
      </c>
      <c r="L7337" s="3" t="str">
        <f>IFERROR(__xludf.DUMMYFUNCTION("GOOGLETRANSLATE(F7337,""id"",""en"")"),"#VALUE!")</f>
        <v>#VALUE!</v>
      </c>
    </row>
    <row r="7338" ht="15.75" customHeight="1">
      <c r="A7338" s="1">
        <v>8553.0</v>
      </c>
      <c r="B7338" s="3" t="s">
        <v>21045</v>
      </c>
      <c r="C7338" s="3">
        <v>0.0</v>
      </c>
      <c r="D7338" s="3">
        <v>0.0</v>
      </c>
      <c r="E7338" s="3">
        <v>0.0</v>
      </c>
      <c r="F7338" s="3" t="s">
        <v>21046</v>
      </c>
      <c r="G7338" s="3">
        <v>0.0</v>
      </c>
      <c r="H7338" s="3">
        <v>0.0</v>
      </c>
      <c r="I7338" s="3" t="s">
        <v>13</v>
      </c>
      <c r="J7338" s="3" t="s">
        <v>21047</v>
      </c>
      <c r="K7338" s="3" t="s">
        <v>19</v>
      </c>
      <c r="L7338" s="3" t="str">
        <f>IFERROR(__xludf.DUMMYFUNCTION("GOOGLETRANSLATE(F7338,""id"",""en"")"),"Argentina convoy champion Mango Kempel Sidolig Route Tamblong Ngamandian Statue Maradona")</f>
        <v>Argentina convoy champion Mango Kempel Sidolig Route Tamblong Ngamandian Statue Maradona</v>
      </c>
    </row>
    <row r="7339" ht="15.75" customHeight="1">
      <c r="A7339" s="1">
        <v>8554.0</v>
      </c>
      <c r="B7339" s="3" t="s">
        <v>21048</v>
      </c>
      <c r="C7339" s="3">
        <v>0.0</v>
      </c>
      <c r="D7339" s="3">
        <v>0.0</v>
      </c>
      <c r="E7339" s="3">
        <v>0.0</v>
      </c>
      <c r="F7339" s="3" t="s">
        <v>21049</v>
      </c>
      <c r="G7339" s="3">
        <v>0.0</v>
      </c>
      <c r="H7339" s="3">
        <v>0.0</v>
      </c>
      <c r="I7339" s="3" t="s">
        <v>13</v>
      </c>
      <c r="J7339" s="3" t="s">
        <v>21050</v>
      </c>
      <c r="K7339" s="3" t="s">
        <v>75</v>
      </c>
      <c r="L7339" s="3" t="str">
        <f>IFERROR(__xludf.DUMMYFUNCTION("GOOGLETRANSLATE(F7339,""id"",""en"")"),"Starting from the scaloni motivational chat of Messi Argentina World Champion for the third time")</f>
        <v>Starting from the scaloni motivational chat of Messi Argentina World Champion for the third time</v>
      </c>
    </row>
    <row r="7340" ht="15.75" customHeight="1">
      <c r="A7340" s="1">
        <v>8555.0</v>
      </c>
      <c r="B7340" s="3" t="s">
        <v>21051</v>
      </c>
      <c r="C7340" s="3">
        <v>3.0</v>
      </c>
      <c r="D7340" s="3">
        <v>3.0</v>
      </c>
      <c r="E7340" s="3">
        <v>18.0</v>
      </c>
      <c r="F7340" s="3" t="s">
        <v>21052</v>
      </c>
      <c r="G7340" s="3">
        <v>0.8333333333333333</v>
      </c>
      <c r="H7340" s="3">
        <v>0.1666666666666667</v>
      </c>
      <c r="I7340" s="3" t="s">
        <v>48</v>
      </c>
      <c r="J7340" s="3" t="s">
        <v>21053</v>
      </c>
      <c r="K7340" s="3" t="s">
        <v>823</v>
      </c>
      <c r="L7340" s="3" t="str">
        <f>IFERROR(__xludf.DUMMYFUNCTION("GOOGLETRANSLATE(F7340,""id"",""en"")"),"Angel Maria became the first player in the history of the four -finals of a different competition and all of Argentina became the champion, really, it was really super.")</f>
        <v>Angel Maria became the first player in the history of the four -finals of a different competition and all of Argentina became the champion, really, it was really super.</v>
      </c>
    </row>
    <row r="7341" ht="15.75" customHeight="1">
      <c r="A7341" s="1">
        <v>8556.0</v>
      </c>
      <c r="B7341" s="3" t="s">
        <v>21054</v>
      </c>
      <c r="C7341" s="3">
        <v>3.0</v>
      </c>
      <c r="D7341" s="3">
        <v>0.0</v>
      </c>
      <c r="E7341" s="3">
        <v>21.0</v>
      </c>
      <c r="F7341" s="3" t="s">
        <v>21055</v>
      </c>
      <c r="G7341" s="3">
        <v>0.0</v>
      </c>
      <c r="H7341" s="3">
        <v>0.0</v>
      </c>
      <c r="I7341" s="3" t="s">
        <v>13</v>
      </c>
      <c r="J7341" s="3" t="s">
        <v>21056</v>
      </c>
      <c r="K7341" s="3" t="s">
        <v>4236</v>
      </c>
      <c r="L7341" s="3" t="str">
        <f>IFERROR(__xludf.DUMMYFUNCTION("GOOGLETRANSLATE(F7341,""id"",""en"")"),"Country and the acquisition of the FIFA Brazil World Cup champion Kali Kali Kali German Kali Uruguay Kali Argentina French Kali Kali Kali Kali Spain Indonesia next time")</f>
        <v>Country and the acquisition of the FIFA Brazil World Cup champion Kali Kali Kali German Kali Uruguay Kali Argentina French Kali Kali Kali Kali Spain Indonesia next time</v>
      </c>
    </row>
    <row r="7342" ht="15.75" customHeight="1">
      <c r="A7342" s="1">
        <v>8557.0</v>
      </c>
      <c r="B7342" s="3" t="s">
        <v>21057</v>
      </c>
      <c r="C7342" s="3">
        <v>0.0</v>
      </c>
      <c r="D7342" s="3">
        <v>0.0</v>
      </c>
      <c r="E7342" s="3">
        <v>0.0</v>
      </c>
      <c r="F7342" s="3" t="s">
        <v>21058</v>
      </c>
      <c r="G7342" s="3">
        <v>0.0</v>
      </c>
      <c r="H7342" s="3">
        <v>0.0</v>
      </c>
      <c r="I7342" s="3" t="s">
        <v>13</v>
      </c>
      <c r="J7342" s="3" t="s">
        <v>21059</v>
      </c>
      <c r="K7342" s="3" t="s">
        <v>2117</v>
      </c>
      <c r="L7342" s="3" t="str">
        <f>IFERROR(__xludf.DUMMYFUNCTION("GOOGLETRANSLATE(F7342,""id"",""en"")"),"Happy Argentina Champion")</f>
        <v>Happy Argentina Champion</v>
      </c>
    </row>
    <row r="7343" ht="15.75" customHeight="1">
      <c r="A7343" s="1">
        <v>8558.0</v>
      </c>
      <c r="B7343" s="3" t="s">
        <v>21060</v>
      </c>
      <c r="C7343" s="3">
        <v>1.0</v>
      </c>
      <c r="D7343" s="3">
        <v>0.0</v>
      </c>
      <c r="E7343" s="3">
        <v>2.0</v>
      </c>
      <c r="F7343" s="3" t="s">
        <v>21061</v>
      </c>
      <c r="G7343" s="3">
        <v>0.0</v>
      </c>
      <c r="H7343" s="3">
        <v>0.0</v>
      </c>
      <c r="I7343" s="3" t="s">
        <v>13</v>
      </c>
      <c r="J7343" s="3" t="s">
        <v>21062</v>
      </c>
      <c r="K7343" s="3" t="s">
        <v>1628</v>
      </c>
      <c r="L7343" s="3" t="str">
        <f>IFERROR(__xludf.DUMMYFUNCTION("GOOGLETRANSLATE(F7343,""id"",""en"")"),"Who hasn't been able to move from the World Cup after waiting for Argentina, finally the Eits world soccer party champion even though France didn't win but Mbappe managed to attract the attention of the world, you know")</f>
        <v>Who hasn't been able to move from the World Cup after waiting for Argentina, finally the Eits world soccer party champion even though France didn't win but Mbappe managed to attract the attention of the world, you know</v>
      </c>
    </row>
    <row r="7344" ht="15.75" customHeight="1">
      <c r="A7344" s="1">
        <v>8559.0</v>
      </c>
      <c r="B7344" s="3" t="s">
        <v>21063</v>
      </c>
      <c r="C7344" s="3">
        <v>0.0</v>
      </c>
      <c r="D7344" s="3">
        <v>1.0</v>
      </c>
      <c r="E7344" s="3">
        <v>0.0</v>
      </c>
      <c r="F7344" s="3" t="s">
        <v>21064</v>
      </c>
      <c r="G7344" s="3">
        <v>0.0</v>
      </c>
      <c r="H7344" s="3">
        <v>0.0</v>
      </c>
      <c r="I7344" s="3" t="s">
        <v>13</v>
      </c>
      <c r="J7344" s="3" t="s">
        <v>21065</v>
      </c>
      <c r="K7344" s="3" t="s">
        <v>31</v>
      </c>
      <c r="L7344" s="3" t="str">
        <f>IFERROR(__xludf.DUMMYFUNCTION("GOOGLETRANSLATE(F7344,""id"",""en"")"),"Argentina Champion Click to see the content")</f>
        <v>Argentina Champion Click to see the content</v>
      </c>
    </row>
    <row r="7345" ht="15.75" customHeight="1">
      <c r="A7345" s="1">
        <v>8560.0</v>
      </c>
      <c r="B7345" s="3" t="s">
        <v>21066</v>
      </c>
      <c r="C7345" s="3">
        <v>2.0</v>
      </c>
      <c r="D7345" s="3">
        <v>0.0</v>
      </c>
      <c r="E7345" s="3">
        <v>0.0</v>
      </c>
      <c r="F7345" s="3" t="s">
        <v>21067</v>
      </c>
      <c r="G7345" s="3">
        <v>0.0</v>
      </c>
      <c r="H7345" s="3">
        <v>0.0</v>
      </c>
      <c r="I7345" s="3" t="s">
        <v>13</v>
      </c>
      <c r="J7345" s="3" t="s">
        <v>21068</v>
      </c>
      <c r="K7345" s="3" t="s">
        <v>41</v>
      </c>
      <c r="L7345" s="3" t="str">
        <f>IFERROR(__xludf.DUMMYFUNCTION("GOOGLETRANSLATE(F7345,""id"",""en"")"),"Messi's second goal was considered unauthorized by Argentina to fail to win")</f>
        <v>Messi's second goal was considered unauthorized by Argentina to fail to win</v>
      </c>
    </row>
    <row r="7346" ht="15.75" customHeight="1">
      <c r="A7346" s="1">
        <v>8561.0</v>
      </c>
      <c r="B7346" s="3" t="s">
        <v>21069</v>
      </c>
      <c r="C7346" s="3">
        <v>0.0</v>
      </c>
      <c r="D7346" s="3">
        <v>0.0</v>
      </c>
      <c r="E7346" s="3">
        <v>1.0</v>
      </c>
      <c r="F7346" s="3" t="s">
        <v>21070</v>
      </c>
      <c r="G7346" s="3">
        <v>0.0</v>
      </c>
      <c r="H7346" s="3">
        <v>0.0</v>
      </c>
      <c r="I7346" s="3" t="s">
        <v>13</v>
      </c>
      <c r="J7346" s="3" t="s">
        <v>21071</v>
      </c>
      <c r="K7346" s="3" t="s">
        <v>510</v>
      </c>
      <c r="L7346" s="3" t="str">
        <f>IFERROR(__xludf.DUMMYFUNCTION("GOOGLETRANSLATE(F7346,""id"",""en"")"),"Video makes Argentina fans emotion invited a blind man to feel the celebration of world champions through songs")</f>
        <v>Video makes Argentina fans emotion invited a blind man to feel the celebration of world champions through songs</v>
      </c>
    </row>
    <row r="7347" ht="15.75" customHeight="1">
      <c r="A7347" s="1">
        <v>8562.0</v>
      </c>
      <c r="B7347" s="3" t="s">
        <v>21072</v>
      </c>
      <c r="C7347" s="3">
        <v>0.0</v>
      </c>
      <c r="D7347" s="3">
        <v>0.0</v>
      </c>
      <c r="E7347" s="3">
        <v>1.0</v>
      </c>
      <c r="F7347" s="3" t="s">
        <v>20941</v>
      </c>
      <c r="G7347" s="3">
        <v>0.0</v>
      </c>
      <c r="H7347" s="3">
        <v>0.0</v>
      </c>
      <c r="I7347" s="3" t="s">
        <v>13</v>
      </c>
      <c r="J7347" s="3" t="s">
        <v>20942</v>
      </c>
      <c r="K7347" s="3" t="s">
        <v>50</v>
      </c>
      <c r="L7347" s="3" t="str">
        <f>IFERROR(__xludf.DUMMYFUNCTION("GOOGLETRANSLATE(F7347,""id"",""en"")"),"Argentina national team video paraded after winning the Qatar World Cup title")</f>
        <v>Argentina national team video paraded after winning the Qatar World Cup title</v>
      </c>
    </row>
    <row r="7348" ht="15.75" customHeight="1">
      <c r="A7348" s="1">
        <v>8563.0</v>
      </c>
      <c r="B7348" s="3" t="s">
        <v>21073</v>
      </c>
      <c r="C7348" s="3">
        <v>0.0</v>
      </c>
      <c r="D7348" s="3">
        <v>0.0</v>
      </c>
      <c r="E7348" s="3">
        <v>1.0</v>
      </c>
      <c r="F7348" s="3" t="s">
        <v>21070</v>
      </c>
      <c r="G7348" s="3">
        <v>0.0</v>
      </c>
      <c r="H7348" s="3">
        <v>0.0</v>
      </c>
      <c r="I7348" s="3" t="s">
        <v>13</v>
      </c>
      <c r="J7348" s="3" t="s">
        <v>21071</v>
      </c>
      <c r="K7348" s="3" t="s">
        <v>510</v>
      </c>
      <c r="L7348" s="3" t="str">
        <f>IFERROR(__xludf.DUMMYFUNCTION("GOOGLETRANSLATE(F7348,""id"",""en"")"),"Video makes Argentina fans emotion invited a blind man to feel the celebration of world champions through songs")</f>
        <v>Video makes Argentina fans emotion invited a blind man to feel the celebration of world champions through songs</v>
      </c>
    </row>
    <row r="7349" ht="15.75" customHeight="1">
      <c r="A7349" s="1">
        <v>8564.0</v>
      </c>
      <c r="B7349" s="3" t="s">
        <v>21074</v>
      </c>
      <c r="C7349" s="3">
        <v>0.0</v>
      </c>
      <c r="D7349" s="3">
        <v>0.0</v>
      </c>
      <c r="E7349" s="3">
        <v>0.0</v>
      </c>
      <c r="F7349" s="3" t="s">
        <v>21075</v>
      </c>
      <c r="G7349" s="3">
        <v>1.0</v>
      </c>
      <c r="H7349" s="3">
        <v>0.0</v>
      </c>
      <c r="I7349" s="3" t="s">
        <v>13</v>
      </c>
      <c r="J7349" s="3" t="s">
        <v>21076</v>
      </c>
      <c r="K7349" s="3" t="s">
        <v>184</v>
      </c>
      <c r="L7349" s="3" t="str">
        <f>IFERROR(__xludf.DUMMYFUNCTION("GOOGLETRANSLATE(F7349,""id"",""en"")"),"He prepared the bus stupid said the settings of settings if the settings just met Portugal against Argentina Final or Dodolover, so the hot")</f>
        <v>He prepared the bus stupid said the settings of settings if the settings just met Portugal against Argentina Final or Dodolover, so the hot</v>
      </c>
    </row>
    <row r="7350" ht="15.75" customHeight="1">
      <c r="A7350" s="1">
        <v>8565.0</v>
      </c>
      <c r="B7350" s="3" t="s">
        <v>21077</v>
      </c>
      <c r="C7350" s="3">
        <v>2.0</v>
      </c>
      <c r="D7350" s="3">
        <v>3.0</v>
      </c>
      <c r="E7350" s="3">
        <v>7.0</v>
      </c>
      <c r="F7350" s="3" t="s">
        <v>21016</v>
      </c>
      <c r="G7350" s="3">
        <v>0.0</v>
      </c>
      <c r="H7350" s="3">
        <v>0.0</v>
      </c>
      <c r="I7350" s="3" t="s">
        <v>13</v>
      </c>
      <c r="J7350" s="3" t="s">
        <v>21017</v>
      </c>
      <c r="K7350" s="3" t="s">
        <v>657</v>
      </c>
      <c r="L7350" s="3" t="str">
        <f>IFERROR(__xludf.DUMMYFUNCTION("GOOGLETRANSLATE(F7350,""id"",""en"")"),"The success of Argentina Champion World Cup made Adidas big profit because the jersey was sold out and even dared to sell up to million")</f>
        <v>The success of Argentina Champion World Cup made Adidas big profit because the jersey was sold out and even dared to sell up to million</v>
      </c>
    </row>
    <row r="7351" ht="15.75" customHeight="1">
      <c r="A7351" s="1">
        <v>8566.0</v>
      </c>
      <c r="B7351" s="3" t="s">
        <v>21078</v>
      </c>
      <c r="C7351" s="3">
        <v>3.0</v>
      </c>
      <c r="D7351" s="3">
        <v>0.0</v>
      </c>
      <c r="E7351" s="3">
        <v>22.0</v>
      </c>
      <c r="F7351" s="3" t="s">
        <v>21079</v>
      </c>
      <c r="G7351" s="3">
        <v>0.6</v>
      </c>
      <c r="H7351" s="3">
        <v>-0.1</v>
      </c>
      <c r="I7351" s="3" t="s">
        <v>179</v>
      </c>
      <c r="J7351" s="3" t="s">
        <v>21080</v>
      </c>
      <c r="K7351" s="3" t="s">
        <v>1293</v>
      </c>
      <c r="L7351" s="3" t="str">
        <f>IFERROR(__xludf.DUMMYFUNCTION("GOOGLETRANSLATE(F7351,""id"",""en"")"),"Logically, if this is true the settings make Argentina champion the world cup can but make the UCL champion PSG can or at least Qatar is set to pass the group")</f>
        <v>Logically, if this is true the settings make Argentina champion the world cup can but make the UCL champion PSG can or at least Qatar is set to pass the group</v>
      </c>
    </row>
    <row r="7352" ht="15.75" customHeight="1">
      <c r="A7352" s="1">
        <v>8567.0</v>
      </c>
      <c r="B7352" s="3" t="s">
        <v>21081</v>
      </c>
      <c r="C7352" s="3">
        <v>0.0</v>
      </c>
      <c r="D7352" s="3">
        <v>0.0</v>
      </c>
      <c r="E7352" s="3">
        <v>3.0</v>
      </c>
      <c r="F7352" s="3" t="s">
        <v>20641</v>
      </c>
      <c r="G7352" s="3">
        <v>0.2333333333333333</v>
      </c>
      <c r="H7352" s="3">
        <v>-0.25</v>
      </c>
      <c r="I7352" s="3" t="s">
        <v>179</v>
      </c>
      <c r="J7352" s="3" t="s">
        <v>20642</v>
      </c>
      <c r="K7352" s="3" t="s">
        <v>50</v>
      </c>
      <c r="L7352" s="3" t="str">
        <f>IFERROR(__xludf.DUMMYFUNCTION("GOOGLETRANSLATE(F7352,""id"",""en"")"),"Almost Lionel Messi survived the Argentine Mini Parade accident Champion World Cup")</f>
        <v>Almost Lionel Messi survived the Argentine Mini Parade accident Champion World Cup</v>
      </c>
    </row>
    <row r="7353" ht="15.75" customHeight="1">
      <c r="A7353" s="1">
        <v>8568.0</v>
      </c>
      <c r="B7353" s="3" t="s">
        <v>21082</v>
      </c>
      <c r="C7353" s="3">
        <v>1.0</v>
      </c>
      <c r="D7353" s="3">
        <v>0.0</v>
      </c>
      <c r="E7353" s="3">
        <v>0.0</v>
      </c>
      <c r="F7353" s="3" t="s">
        <v>21083</v>
      </c>
      <c r="G7353" s="3">
        <v>0.0</v>
      </c>
      <c r="H7353" s="3">
        <v>0.0</v>
      </c>
      <c r="I7353" s="3" t="s">
        <v>13</v>
      </c>
      <c r="J7353" s="3" t="s">
        <v>21084</v>
      </c>
      <c r="K7353" s="3" t="s">
        <v>437</v>
      </c>
      <c r="L7353" s="3" t="str">
        <f>IFERROR(__xludf.DUMMYFUNCTION("GOOGLETRANSLATE(F7353,""id"",""en"")"),"Jakarta CNN Indonesia Lionel Messi and friends have arrived Argentina after returning from the Qatar World Cup with the championship trophy")</f>
        <v>Jakarta CNN Indonesia Lionel Messi and friends have arrived Argentina after returning from the Qatar World Cup with the championship trophy</v>
      </c>
    </row>
    <row r="7354" ht="15.75" customHeight="1">
      <c r="A7354" s="1">
        <v>8569.0</v>
      </c>
      <c r="B7354" s="3" t="s">
        <v>21085</v>
      </c>
      <c r="C7354" s="3">
        <v>0.0</v>
      </c>
      <c r="D7354" s="3">
        <v>0.0</v>
      </c>
      <c r="E7354" s="3">
        <v>0.0</v>
      </c>
      <c r="F7354" s="3" t="s">
        <v>20561</v>
      </c>
      <c r="G7354" s="3">
        <v>0.0</v>
      </c>
      <c r="H7354" s="3">
        <v>0.0</v>
      </c>
      <c r="I7354" s="3" t="s">
        <v>13</v>
      </c>
      <c r="J7354" s="3" t="s">
        <v>20562</v>
      </c>
      <c r="K7354" s="3" t="s">
        <v>41</v>
      </c>
      <c r="L7354" s="3" t="str">
        <f>IFERROR(__xludf.DUMMYFUNCTION("GOOGLETRANSLATE(F7354,""id"",""en"")"),"Argentina Champion World Cup Messi Best Player of All Time")</f>
        <v>Argentina Champion World Cup Messi Best Player of All Time</v>
      </c>
    </row>
    <row r="7355" ht="15.75" customHeight="1">
      <c r="A7355" s="1">
        <v>8570.0</v>
      </c>
      <c r="B7355" s="3" t="s">
        <v>21086</v>
      </c>
      <c r="C7355" s="3">
        <v>0.0</v>
      </c>
      <c r="D7355" s="3">
        <v>0.0</v>
      </c>
      <c r="E7355" s="3">
        <v>0.0</v>
      </c>
      <c r="F7355" s="3" t="s">
        <v>21087</v>
      </c>
      <c r="G7355" s="3">
        <v>0.0</v>
      </c>
      <c r="H7355" s="3">
        <v>0.0</v>
      </c>
      <c r="I7355" s="3" t="s">
        <v>13</v>
      </c>
      <c r="J7355" s="3" t="s">
        <v>21088</v>
      </c>
      <c r="K7355" s="3" t="s">
        <v>35</v>
      </c>
      <c r="L7355" s="3" t="str">
        <f>IFERROR(__xludf.DUMMYFUNCTION("GOOGLETRANSLATE(F7355,""id"",""en"")"),"Seconds Seconds Lionel Messi arrived Argentina lifting the public trophy was welcomed by a red carpet")</f>
        <v>Seconds Seconds Lionel Messi arrived Argentina lifting the public trophy was welcomed by a red carpet</v>
      </c>
    </row>
    <row r="7356" ht="15.75" customHeight="1">
      <c r="A7356" s="1">
        <v>8571.0</v>
      </c>
      <c r="B7356" s="3" t="s">
        <v>21089</v>
      </c>
      <c r="C7356" s="3">
        <v>1.0</v>
      </c>
      <c r="D7356" s="3">
        <v>2.0</v>
      </c>
      <c r="E7356" s="3">
        <v>2.0</v>
      </c>
      <c r="F7356" s="3" t="s">
        <v>21090</v>
      </c>
      <c r="G7356" s="3">
        <v>0.75</v>
      </c>
      <c r="H7356" s="3">
        <v>0.0</v>
      </c>
      <c r="I7356" s="3" t="s">
        <v>13</v>
      </c>
      <c r="J7356" s="3" t="s">
        <v>21091</v>
      </c>
      <c r="K7356" s="3" t="s">
        <v>695</v>
      </c>
      <c r="L7356" s="3" t="str">
        <f>IFERROR(__xludf.DUMMYFUNCTION("GOOGLETRANSLATE(F7356,""id"",""en"")"),"The man who just delivered Argentina to become the World Cup champion has an income of hundreds of millions")</f>
        <v>The man who just delivered Argentina to become the World Cup champion has an income of hundreds of millions</v>
      </c>
    </row>
    <row r="7357" ht="15.75" customHeight="1">
      <c r="A7357" s="1">
        <v>8572.0</v>
      </c>
      <c r="B7357" s="3" t="s">
        <v>21092</v>
      </c>
      <c r="C7357" s="3">
        <v>0.0</v>
      </c>
      <c r="D7357" s="3">
        <v>0.0</v>
      </c>
      <c r="E7357" s="3">
        <v>0.0</v>
      </c>
      <c r="F7357" s="3" t="s">
        <v>21093</v>
      </c>
      <c r="G7357" s="3">
        <v>0.0</v>
      </c>
      <c r="H7357" s="3">
        <v>0.0</v>
      </c>
      <c r="I7357" s="3" t="s">
        <v>13</v>
      </c>
      <c r="J7357" s="3" t="s">
        <v>21094</v>
      </c>
      <c r="K7357" s="3" t="s">
        <v>1097</v>
      </c>
      <c r="L7357" s="3" t="str">
        <f>IFERROR(__xludf.DUMMYFUNCTION("GOOGLETRANSLATE(F7357,""id"",""en"")"),"Thinking of thinking if it is not Argentina who will win this will not be the peak")</f>
        <v>Thinking of thinking if it is not Argentina who will win this will not be the peak</v>
      </c>
    </row>
    <row r="7358" ht="15.75" customHeight="1">
      <c r="A7358" s="1">
        <v>8573.0</v>
      </c>
      <c r="B7358" s="3" t="s">
        <v>21095</v>
      </c>
      <c r="C7358" s="3">
        <v>2.0</v>
      </c>
      <c r="D7358" s="3">
        <v>0.0</v>
      </c>
      <c r="E7358" s="3">
        <v>2.0</v>
      </c>
      <c r="F7358" s="3" t="s">
        <v>21096</v>
      </c>
      <c r="G7358" s="3">
        <v>0.0</v>
      </c>
      <c r="H7358" s="3">
        <v>0.0</v>
      </c>
      <c r="I7358" s="3" t="s">
        <v>13</v>
      </c>
      <c r="J7358" s="3" t="s">
        <v>21097</v>
      </c>
      <c r="K7358" s="3" t="s">
        <v>45</v>
      </c>
      <c r="L7358" s="3" t="str">
        <f>IFERROR(__xludf.DUMMYFUNCTION("GOOGLETRANSLATE(F7358,""id"",""en"")"),"This event repeated when Maradona was a golden period with Napoli managed to bring Napoli for the first year of League, the Pildun Italy and Argentina succeeded")</f>
        <v>This event repeated when Maradona was a golden period with Napoli managed to bring Napoli for the first year of League, the Pildun Italy and Argentina succeeded</v>
      </c>
    </row>
    <row r="7359" ht="15.75" customHeight="1">
      <c r="A7359" s="1">
        <v>8574.0</v>
      </c>
      <c r="B7359" s="3" t="s">
        <v>21098</v>
      </c>
      <c r="C7359" s="3">
        <v>0.0</v>
      </c>
      <c r="D7359" s="3">
        <v>3.0</v>
      </c>
      <c r="E7359" s="3">
        <v>0.0</v>
      </c>
      <c r="F7359" s="3" t="s">
        <v>21099</v>
      </c>
      <c r="G7359" s="3">
        <v>0.0</v>
      </c>
      <c r="H7359" s="3">
        <v>0.0</v>
      </c>
      <c r="I7359" s="3" t="s">
        <v>13</v>
      </c>
      <c r="J7359" s="3" t="s">
        <v>21100</v>
      </c>
      <c r="K7359" s="3" t="s">
        <v>19</v>
      </c>
      <c r="L7359" s="3" t="str">
        <f>IFERROR(__xludf.DUMMYFUNCTION("GOOGLETRANSLATE(F7359,""id"",""en"")"),"Argentina Video World Champion Lionel Messi Proves Yourself GOAT compared to Cristiano Ronaldo")</f>
        <v>Argentina Video World Champion Lionel Messi Proves Yourself GOAT compared to Cristiano Ronaldo</v>
      </c>
    </row>
    <row r="7360" ht="15.75" customHeight="1">
      <c r="A7360" s="1">
        <v>8575.0</v>
      </c>
      <c r="B7360" s="3" t="s">
        <v>21101</v>
      </c>
      <c r="C7360" s="3">
        <v>48.0</v>
      </c>
      <c r="D7360" s="3">
        <v>1.0</v>
      </c>
      <c r="E7360" s="3">
        <v>6.0</v>
      </c>
      <c r="F7360" s="3" t="s">
        <v>21102</v>
      </c>
      <c r="G7360" s="3">
        <v>0.0</v>
      </c>
      <c r="H7360" s="3">
        <v>0.0</v>
      </c>
      <c r="I7360" s="3" t="s">
        <v>13</v>
      </c>
      <c r="J7360" s="3" t="s">
        <v>21103</v>
      </c>
      <c r="K7360" s="3" t="s">
        <v>2013</v>
      </c>
      <c r="L7360" s="3" t="str">
        <f>IFERROR(__xludf.DUMMYFUNCTION("GOOGLETRANSLATE(F7360,""id"",""en"")"),"There are gossip circulating if Messi asks PSG so that Argentina can win the Qatar Worldcup when the negotiation of Messi from Barca PSG is said to be in the contract of Argentina requirements for Qatar champions so that Messi wants to move")</f>
        <v>There are gossip circulating if Messi asks PSG so that Argentina can win the Qatar Worldcup when the negotiation of Messi from Barca PSG is said to be in the contract of Argentina requirements for Qatar champions so that Messi wants to move</v>
      </c>
    </row>
    <row r="7361" ht="15.75" customHeight="1">
      <c r="A7361" s="1">
        <v>8576.0</v>
      </c>
      <c r="B7361" s="3" t="s">
        <v>21104</v>
      </c>
      <c r="C7361" s="3">
        <v>0.0</v>
      </c>
      <c r="D7361" s="3">
        <v>0.0</v>
      </c>
      <c r="E7361" s="3">
        <v>1.0</v>
      </c>
      <c r="F7361" s="3" t="s">
        <v>21105</v>
      </c>
      <c r="G7361" s="3">
        <v>0.0</v>
      </c>
      <c r="H7361" s="3">
        <v>0.0</v>
      </c>
      <c r="I7361" s="3" t="s">
        <v>13</v>
      </c>
      <c r="J7361" s="3" t="s">
        <v>21106</v>
      </c>
      <c r="K7361" s="3" t="s">
        <v>41</v>
      </c>
      <c r="L7361" s="3" t="str">
        <f>IFERROR(__xludf.DUMMYFUNCTION("GOOGLETRANSLATE(F7361,""id"",""en"")"),"can bring Argentina champion Pilduun Mario Kempes Maradona Lautaro Martinez")</f>
        <v>can bring Argentina champion Pilduun Mario Kempes Maradona Lautaro Martinez</v>
      </c>
    </row>
    <row r="7362" ht="15.75" customHeight="1">
      <c r="A7362" s="1">
        <v>8577.0</v>
      </c>
      <c r="B7362" s="3" t="s">
        <v>21107</v>
      </c>
      <c r="C7362" s="3">
        <v>0.0</v>
      </c>
      <c r="D7362" s="3">
        <v>0.0</v>
      </c>
      <c r="E7362" s="3">
        <v>1.0</v>
      </c>
      <c r="F7362" s="3" t="s">
        <v>21108</v>
      </c>
      <c r="G7362" s="3">
        <v>0.3571428571428572</v>
      </c>
      <c r="H7362" s="3">
        <v>0.0</v>
      </c>
      <c r="I7362" s="3" t="s">
        <v>13</v>
      </c>
      <c r="J7362" s="3" t="s">
        <v>21109</v>
      </c>
      <c r="K7362" s="3" t="s">
        <v>463</v>
      </c>
      <c r="L7362" s="3" t="str">
        <f>IFERROR(__xludf.DUMMYFUNCTION("GOOGLETRANSLATE(F7362,""id"",""en"")"),"This is more funny, I love the state national team champion AFF continues to go on the field to join the celebration and continue to make the wrong faith where Aguero supporters Argentina joined a simple celebration")</f>
        <v>This is more funny, I love the state national team champion AFF continues to go on the field to join the celebration and continue to make the wrong faith where Aguero supporters Argentina joined a simple celebration</v>
      </c>
    </row>
    <row r="7363" ht="15.75" customHeight="1">
      <c r="A7363" s="1">
        <v>8578.0</v>
      </c>
      <c r="B7363" s="3" t="s">
        <v>21110</v>
      </c>
      <c r="C7363" s="3">
        <v>0.0</v>
      </c>
      <c r="D7363" s="3">
        <v>0.0</v>
      </c>
      <c r="E7363" s="3">
        <v>0.0</v>
      </c>
      <c r="F7363" s="3" t="s">
        <v>21111</v>
      </c>
      <c r="G7363" s="3">
        <v>0.0</v>
      </c>
      <c r="H7363" s="3">
        <v>0.0</v>
      </c>
      <c r="I7363" s="3" t="s">
        <v>13</v>
      </c>
      <c r="J7363" s="3" t="s">
        <v>21112</v>
      </c>
      <c r="K7363" s="3" t="s">
        <v>31</v>
      </c>
      <c r="L7363" s="3" t="str">
        <f>IFERROR(__xludf.DUMMYFUNCTION("GOOGLETRANSLATE(F7363,""id"",""en"")"),"Satrio Dick Argentina Champion GBLOCK")</f>
        <v>Satrio Dick Argentina Champion GBLOCK</v>
      </c>
    </row>
    <row r="7364" ht="15.75" customHeight="1">
      <c r="A7364" s="1">
        <v>8579.0</v>
      </c>
      <c r="B7364" s="3" t="s">
        <v>21113</v>
      </c>
      <c r="C7364" s="3">
        <v>0.0</v>
      </c>
      <c r="D7364" s="3">
        <v>0.0</v>
      </c>
      <c r="E7364" s="3">
        <v>0.0</v>
      </c>
      <c r="F7364" s="3" t="s">
        <v>20995</v>
      </c>
      <c r="G7364" s="3">
        <v>0.0</v>
      </c>
      <c r="H7364" s="3">
        <v>0.0</v>
      </c>
      <c r="I7364" s="3" t="s">
        <v>13</v>
      </c>
      <c r="J7364" s="3" t="s">
        <v>20996</v>
      </c>
      <c r="K7364" s="3" t="s">
        <v>15</v>
      </c>
      <c r="L7364" s="3" t="str">
        <f>IFERROR(__xludf.DUMMYFUNCTION("GOOGLETRANSLATE(F7364,""id"",""en"")"),"Disassembled this Secret of the Success of Argentina Champion World Cup Champion")</f>
        <v>Disassembled this Secret of the Success of Argentina Champion World Cup Champion</v>
      </c>
    </row>
    <row r="7365" ht="15.75" customHeight="1">
      <c r="A7365" s="1">
        <v>8580.0</v>
      </c>
      <c r="B7365" s="3" t="s">
        <v>21114</v>
      </c>
      <c r="C7365" s="3">
        <v>0.0</v>
      </c>
      <c r="D7365" s="3">
        <v>0.0</v>
      </c>
      <c r="E7365" s="3">
        <v>3.0</v>
      </c>
      <c r="F7365" s="3" t="s">
        <v>21115</v>
      </c>
      <c r="G7365" s="3">
        <v>0.0</v>
      </c>
      <c r="H7365" s="3">
        <v>0.0</v>
      </c>
      <c r="I7365" s="3" t="s">
        <v>13</v>
      </c>
      <c r="J7365" s="3" t="s">
        <v>21116</v>
      </c>
      <c r="K7365" s="3" t="s">
        <v>75</v>
      </c>
      <c r="L7365" s="3" t="str">
        <f>IFERROR(__xludf.DUMMYFUNCTION("GOOGLETRANSLATE(F7365,""id"",""en"")"),"Celebrate Argentina World Cup Champion Maluku citizens Street convoy")</f>
        <v>Celebrate Argentina World Cup Champion Maluku citizens Street convoy</v>
      </c>
    </row>
    <row r="7366" ht="15.75" customHeight="1">
      <c r="A7366" s="1">
        <v>8581.0</v>
      </c>
      <c r="B7366" s="3" t="s">
        <v>21117</v>
      </c>
      <c r="C7366" s="3">
        <v>0.0</v>
      </c>
      <c r="D7366" s="3">
        <v>0.0</v>
      </c>
      <c r="E7366" s="3">
        <v>0.0</v>
      </c>
      <c r="F7366" s="3" t="s">
        <v>21118</v>
      </c>
      <c r="G7366" s="3">
        <v>0.0</v>
      </c>
      <c r="H7366" s="3">
        <v>0.0</v>
      </c>
      <c r="I7366" s="3" t="s">
        <v>13</v>
      </c>
      <c r="J7366" s="3" t="s">
        <v>21119</v>
      </c>
      <c r="K7366" s="3" t="s">
        <v>952</v>
      </c>
      <c r="L7366" s="3" t="str">
        <f>IFERROR(__xludf.DUMMYFUNCTION("GOOGLETRANSLATE(F7366,""id"",""en"")"),"Argentine awaits Argentina champions until we cry we also wait for the AFF Cup champion")</f>
        <v>Argentine awaits Argentina champions until we cry we also wait for the AFF Cup champion</v>
      </c>
    </row>
    <row r="7367" ht="15.75" customHeight="1">
      <c r="A7367" s="1">
        <v>8582.0</v>
      </c>
      <c r="B7367" s="3" t="s">
        <v>21120</v>
      </c>
      <c r="C7367" s="3">
        <v>3.0</v>
      </c>
      <c r="D7367" s="3">
        <v>0.0</v>
      </c>
      <c r="E7367" s="3">
        <v>2.0</v>
      </c>
      <c r="F7367" s="3" t="s">
        <v>21121</v>
      </c>
      <c r="G7367" s="3">
        <v>0.0</v>
      </c>
      <c r="H7367" s="3">
        <v>0.0</v>
      </c>
      <c r="I7367" s="3" t="s">
        <v>13</v>
      </c>
      <c r="J7367" s="3" t="s">
        <v>21122</v>
      </c>
      <c r="K7367" s="3" t="s">
        <v>75</v>
      </c>
      <c r="L7367" s="3" t="str">
        <f>IFERROR(__xludf.DUMMYFUNCTION("GOOGLETRANSLATE(F7367,""id"",""en"")"),"Reportedly no less than a shaman claimed to help Argentina Champion World Cup")</f>
        <v>Reportedly no less than a shaman claimed to help Argentina Champion World Cup</v>
      </c>
    </row>
    <row r="7368" ht="15.75" customHeight="1">
      <c r="A7368" s="1">
        <v>8583.0</v>
      </c>
      <c r="B7368" s="3" t="s">
        <v>21123</v>
      </c>
      <c r="C7368" s="3">
        <v>0.0</v>
      </c>
      <c r="D7368" s="3">
        <v>0.0</v>
      </c>
      <c r="E7368" s="3">
        <v>3.0</v>
      </c>
      <c r="F7368" s="3" t="s">
        <v>21124</v>
      </c>
      <c r="G7368" s="3">
        <v>0.0</v>
      </c>
      <c r="H7368" s="3">
        <v>0.0</v>
      </c>
      <c r="I7368" s="3" t="s">
        <v>13</v>
      </c>
      <c r="J7368" s="3" t="s">
        <v>21125</v>
      </c>
      <c r="K7368" s="3" t="s">
        <v>240</v>
      </c>
      <c r="L7368" s="3" t="str">
        <f>IFERROR(__xludf.DUMMYFUNCTION("GOOGLETRANSLATE(F7368,""id"",""en"")"),"Argentina won the World Cup for the third time after an extraordinary match last weekend how many prizes they won")</f>
        <v>Argentina won the World Cup for the third time after an extraordinary match last weekend how many prizes they won</v>
      </c>
    </row>
    <row r="7369" ht="15.75" customHeight="1">
      <c r="A7369" s="1">
        <v>8584.0</v>
      </c>
      <c r="B7369" s="3" t="s">
        <v>21126</v>
      </c>
      <c r="C7369" s="3">
        <v>0.0</v>
      </c>
      <c r="D7369" s="3">
        <v>0.0</v>
      </c>
      <c r="E7369" s="3">
        <v>0.0</v>
      </c>
      <c r="F7369" s="3" t="s">
        <v>21127</v>
      </c>
      <c r="G7369" s="3">
        <v>0.0</v>
      </c>
      <c r="H7369" s="3">
        <v>0.0</v>
      </c>
      <c r="I7369" s="3" t="s">
        <v>13</v>
      </c>
      <c r="J7369" s="3" t="s">
        <v>21128</v>
      </c>
      <c r="K7369" s="3" t="s">
        <v>50</v>
      </c>
      <c r="L7369" s="3" t="str">
        <f>IFERROR(__xludf.DUMMYFUNCTION("GOOGLETRANSLATE(F7369,""id"",""en"")"),"Mobile Celebrates Argentina World Cup Champion with Messi WWCD Ligagame Esports event")</f>
        <v>Mobile Celebrates Argentina World Cup Champion with Messi WWCD Ligagame Esports event</v>
      </c>
    </row>
    <row r="7370" ht="15.75" customHeight="1">
      <c r="A7370" s="1">
        <v>8585.0</v>
      </c>
      <c r="B7370" s="3" t="s">
        <v>21129</v>
      </c>
      <c r="C7370" s="3">
        <v>0.0</v>
      </c>
      <c r="D7370" s="3">
        <v>0.0</v>
      </c>
      <c r="E7370" s="3">
        <v>1.0</v>
      </c>
      <c r="F7370" s="3" t="s">
        <v>21130</v>
      </c>
      <c r="G7370" s="3">
        <v>0.0</v>
      </c>
      <c r="H7370" s="3">
        <v>0.0</v>
      </c>
      <c r="I7370" s="3" t="s">
        <v>13</v>
      </c>
      <c r="J7370" s="3" t="s">
        <v>21131</v>
      </c>
      <c r="K7370" s="3" t="s">
        <v>54</v>
      </c>
      <c r="L7370" s="3" t="str">
        <f>IFERROR(__xludf.DUMMYFUNCTION("GOOGLETRANSLATE(F7370,""id"",""en"")"),"there is no Italy, fortunately there is Argentina champion wkwkw")</f>
        <v>there is no Italy, fortunately there is Argentina champion wkwkw</v>
      </c>
    </row>
    <row r="7371" ht="15.75" customHeight="1">
      <c r="A7371" s="1">
        <v>8586.0</v>
      </c>
      <c r="B7371" s="3" t="s">
        <v>21132</v>
      </c>
      <c r="C7371" s="3">
        <v>0.0</v>
      </c>
      <c r="D7371" s="3">
        <v>0.0</v>
      </c>
      <c r="E7371" s="3">
        <v>0.0</v>
      </c>
      <c r="F7371" s="3" t="s">
        <v>21133</v>
      </c>
      <c r="G7371" s="3">
        <v>0.5</v>
      </c>
      <c r="H7371" s="3">
        <v>0.5</v>
      </c>
      <c r="I7371" s="3" t="s">
        <v>48</v>
      </c>
      <c r="J7371" s="3" t="s">
        <v>21134</v>
      </c>
      <c r="K7371" s="3" t="s">
        <v>71</v>
      </c>
      <c r="L7371" s="3" t="str">
        <f>IFERROR(__xludf.DUMMYFUNCTION("GOOGLETRANSLATE(F7371,""id"",""en"")"),"Top Story Lionel Messi and Argentina Team Dinner Celebrate World Cup Champion See More")</f>
        <v>Top Story Lionel Messi and Argentina Team Dinner Celebrate World Cup Champion See More</v>
      </c>
    </row>
    <row r="7372" ht="15.75" customHeight="1">
      <c r="A7372" s="1">
        <v>8587.0</v>
      </c>
      <c r="B7372" s="3" t="s">
        <v>21135</v>
      </c>
      <c r="C7372" s="3">
        <v>0.0</v>
      </c>
      <c r="D7372" s="3">
        <v>1.0</v>
      </c>
      <c r="E7372" s="3">
        <v>0.0</v>
      </c>
      <c r="F7372" s="3" t="s">
        <v>21136</v>
      </c>
      <c r="G7372" s="3">
        <v>0.0</v>
      </c>
      <c r="H7372" s="3">
        <v>0.0</v>
      </c>
      <c r="I7372" s="3" t="s">
        <v>13</v>
      </c>
      <c r="J7372" s="3" t="s">
        <v>21137</v>
      </c>
      <c r="K7372" s="3" t="s">
        <v>15</v>
      </c>
      <c r="L7372" s="3" t="str">
        <f>IFERROR(__xludf.DUMMYFUNCTION("GOOGLETRANSLATE(F7372,""id"",""en"")"),"Argentine Moment Photo Celebrating World Cup title")</f>
        <v>Argentine Moment Photo Celebrating World Cup title</v>
      </c>
    </row>
    <row r="7373" ht="15.75" customHeight="1">
      <c r="A7373" s="1">
        <v>8588.0</v>
      </c>
      <c r="B7373" s="3" t="s">
        <v>21138</v>
      </c>
      <c r="C7373" s="3">
        <v>0.0</v>
      </c>
      <c r="D7373" s="3">
        <v>0.0</v>
      </c>
      <c r="E7373" s="3">
        <v>0.0</v>
      </c>
      <c r="F7373" s="3" t="s">
        <v>21139</v>
      </c>
      <c r="G7373" s="3">
        <v>0.0</v>
      </c>
      <c r="H7373" s="3">
        <v>0.0</v>
      </c>
      <c r="I7373" s="3" t="s">
        <v>13</v>
      </c>
      <c r="J7373" s="3" t="s">
        <v>21140</v>
      </c>
      <c r="K7373" s="3" t="s">
        <v>58</v>
      </c>
      <c r="L7373" s="3" t="str">
        <f>IFERROR(__xludf.DUMMYFUNCTION("GOOGLETRANSLATE(F7373,""id"",""en"")"),"Argentina Champion World Cup How Ranking FIFA Latest Argentina and Brazilian Difference Points")</f>
        <v>Argentina Champion World Cup How Ranking FIFA Latest Argentina and Brazilian Difference Points</v>
      </c>
    </row>
    <row r="7374" ht="15.75" customHeight="1">
      <c r="A7374" s="1">
        <v>8589.0</v>
      </c>
      <c r="B7374" s="3" t="s">
        <v>21141</v>
      </c>
      <c r="C7374" s="3">
        <v>0.0</v>
      </c>
      <c r="D7374" s="3">
        <v>0.0</v>
      </c>
      <c r="E7374" s="3">
        <v>0.0</v>
      </c>
      <c r="F7374" s="3" t="s">
        <v>21142</v>
      </c>
      <c r="G7374" s="3">
        <v>0.0</v>
      </c>
      <c r="H7374" s="3">
        <v>0.0</v>
      </c>
      <c r="I7374" s="3" t="s">
        <v>13</v>
      </c>
      <c r="J7374" s="3" t="s">
        <v>21143</v>
      </c>
      <c r="K7374" s="3" t="s">
        <v>82</v>
      </c>
      <c r="L7374" s="3" t="str">
        <f>IFERROR(__xludf.DUMMYFUNCTION("GOOGLETRANSLATE(F7374,""id"",""en"")"),"World Cup Champion Messi I want to continue playing for Argentina")</f>
        <v>World Cup Champion Messi I want to continue playing for Argentina</v>
      </c>
    </row>
    <row r="7375" ht="15.75" customHeight="1">
      <c r="A7375" s="1">
        <v>8590.0</v>
      </c>
      <c r="B7375" s="3" t="s">
        <v>21144</v>
      </c>
      <c r="C7375" s="3">
        <v>0.0</v>
      </c>
      <c r="D7375" s="3">
        <v>0.0</v>
      </c>
      <c r="E7375" s="3">
        <v>5.0</v>
      </c>
      <c r="F7375" s="3" t="s">
        <v>21026</v>
      </c>
      <c r="G7375" s="3">
        <v>0.0</v>
      </c>
      <c r="H7375" s="3">
        <v>0.0</v>
      </c>
      <c r="I7375" s="3" t="s">
        <v>13</v>
      </c>
      <c r="J7375" s="3" t="s">
        <v>21027</v>
      </c>
      <c r="K7375" s="3" t="s">
        <v>19</v>
      </c>
      <c r="L7375" s="3" t="str">
        <f>IFERROR(__xludf.DUMMYFUNCTION("GOOGLETRANSLATE(F7375,""id"",""en"")"),"Believe it or not Argentina World Cup champions because of the Red Bracelet Amuits that Cristian Gonzales once used")</f>
        <v>Believe it or not Argentina World Cup champions because of the Red Bracelet Amuits that Cristian Gonzales once used</v>
      </c>
    </row>
    <row r="7376" ht="15.75" customHeight="1">
      <c r="A7376" s="1">
        <v>8591.0</v>
      </c>
      <c r="B7376" s="3" t="s">
        <v>21145</v>
      </c>
      <c r="C7376" s="3">
        <v>0.0</v>
      </c>
      <c r="D7376" s="3">
        <v>0.0</v>
      </c>
      <c r="E7376" s="3">
        <v>0.0</v>
      </c>
      <c r="F7376" s="3" t="s">
        <v>21146</v>
      </c>
      <c r="G7376" s="3">
        <v>0.0</v>
      </c>
      <c r="H7376" s="3">
        <v>0.0</v>
      </c>
      <c r="I7376" s="3" t="s">
        <v>13</v>
      </c>
      <c r="J7376" s="3" t="s">
        <v>21147</v>
      </c>
      <c r="K7376" s="3" t="s">
        <v>127</v>
      </c>
      <c r="L7376" s="3" t="str">
        <f>IFERROR(__xludf.DUMMYFUNCTION("GOOGLETRANSLATE(F7376,""id"",""en"")"),"On the grumbling of Argentina Squad, the contents of the club's mediocre player even though his mentality was ready to die for Messi to lift the Pilduun Cup for the championship")</f>
        <v>On the grumbling of Argentina Squad, the contents of the club's mediocre player even though his mentality was ready to die for Messi to lift the Pilduun Cup for the championship</v>
      </c>
    </row>
    <row r="7377" ht="15.75" customHeight="1">
      <c r="A7377" s="1">
        <v>8592.0</v>
      </c>
      <c r="B7377" s="3" t="s">
        <v>21148</v>
      </c>
      <c r="C7377" s="3">
        <v>2.0</v>
      </c>
      <c r="D7377" s="3">
        <v>1.0</v>
      </c>
      <c r="E7377" s="3">
        <v>2.0</v>
      </c>
      <c r="F7377" s="3" t="s">
        <v>21149</v>
      </c>
      <c r="G7377" s="3">
        <v>0.0</v>
      </c>
      <c r="H7377" s="3">
        <v>0.0</v>
      </c>
      <c r="I7377" s="3" t="s">
        <v>13</v>
      </c>
      <c r="J7377" s="3" t="s">
        <v>21150</v>
      </c>
      <c r="K7377" s="3" t="s">
        <v>75</v>
      </c>
      <c r="L7377" s="3" t="str">
        <f>IFERROR(__xludf.DUMMYFUNCTION("GOOGLETRANSLATE(F7377,""id"",""en"")"),"Argentina Prediction Champion Romy Rafael and Ury are nicknamed Indonesian Mentalist Duo")</f>
        <v>Argentina Prediction Champion Romy Rafael and Ury are nicknamed Indonesian Mentalist Duo</v>
      </c>
    </row>
    <row r="7378" ht="15.75" customHeight="1">
      <c r="A7378" s="1">
        <v>8593.0</v>
      </c>
      <c r="B7378" s="3" t="s">
        <v>21151</v>
      </c>
      <c r="C7378" s="3">
        <v>0.0</v>
      </c>
      <c r="D7378" s="3">
        <v>0.0</v>
      </c>
      <c r="E7378" s="3">
        <v>0.0</v>
      </c>
      <c r="F7378" s="3" t="s">
        <v>21152</v>
      </c>
      <c r="G7378" s="3">
        <v>0.0</v>
      </c>
      <c r="H7378" s="3">
        <v>0.0</v>
      </c>
      <c r="I7378" s="3" t="s">
        <v>13</v>
      </c>
      <c r="J7378" s="3" t="s">
        <v>21153</v>
      </c>
      <c r="K7378" s="3" t="s">
        <v>71</v>
      </c>
      <c r="L7378" s="3" t="str">
        <f>IFERROR(__xludf.DUMMYFUNCTION("GOOGLETRANSLATE(F7378,""id"",""en"")"),"NOVA Indonesia's Latest Football News Clicks Argentina World Cup Champion Suarez Calls Messi Directly")</f>
        <v>NOVA Indonesia's Latest Football News Clicks Argentina World Cup Champion Suarez Calls Messi Directly</v>
      </c>
    </row>
    <row r="7379" ht="15.75" customHeight="1">
      <c r="A7379" s="1">
        <v>8594.0</v>
      </c>
      <c r="B7379" s="3" t="s">
        <v>21154</v>
      </c>
      <c r="C7379" s="3">
        <v>1.0</v>
      </c>
      <c r="D7379" s="3">
        <v>0.0</v>
      </c>
      <c r="E7379" s="3">
        <v>0.0</v>
      </c>
      <c r="F7379" s="3" t="s">
        <v>21155</v>
      </c>
      <c r="G7379" s="3">
        <v>0.0</v>
      </c>
      <c r="H7379" s="3">
        <v>0.0</v>
      </c>
      <c r="I7379" s="3" t="s">
        <v>13</v>
      </c>
      <c r="J7379" s="3" t="s">
        <v>21156</v>
      </c>
      <c r="K7379" s="3" t="s">
        <v>1061</v>
      </c>
      <c r="L7379" s="3" t="str">
        <f>IFERROR(__xludf.DUMMYFUNCTION("GOOGLETRANSLATE(F7379,""id"",""en"")"),"The enthusiasm of the Argentine also could not be separated from their long wait during the year since the second world title Maradona edition had to be Messi first who could bring the World Cup trophy home Buenos Aires")</f>
        <v>The enthusiasm of the Argentine also could not be separated from their long wait during the year since the second world title Maradona edition had to be Messi first who could bring the World Cup trophy home Buenos Aires</v>
      </c>
    </row>
    <row r="7380" ht="15.75" customHeight="1">
      <c r="A7380" s="1">
        <v>8595.0</v>
      </c>
      <c r="B7380" s="3" t="s">
        <v>21157</v>
      </c>
      <c r="C7380" s="3">
        <v>1.0</v>
      </c>
      <c r="D7380" s="3">
        <v>0.0</v>
      </c>
      <c r="E7380" s="3">
        <v>0.0</v>
      </c>
      <c r="F7380" s="3" t="s">
        <v>21158</v>
      </c>
      <c r="G7380" s="3">
        <v>0.0</v>
      </c>
      <c r="H7380" s="3">
        <v>0.0</v>
      </c>
      <c r="I7380" s="3" t="s">
        <v>13</v>
      </c>
      <c r="J7380" s="3" t="s">
        <v>21159</v>
      </c>
      <c r="K7380" s="3" t="s">
        <v>286</v>
      </c>
      <c r="L7380" s="3" t="str">
        <f>IFERROR(__xludf.DUMMYFUNCTION("GOOGLETRANSLATE(F7380,""id"",""en"")"),"This can be seen from the residents of Buenos Aires who spilled out the curious streets how the atmosphere of the Argentinian national team welcoming after they returned from Qatar, I thought how would it happen if Indonesia won the World Cup")</f>
        <v>This can be seen from the residents of Buenos Aires who spilled out the curious streets how the atmosphere of the Argentinian national team welcoming after they returned from Qatar, I thought how would it happen if Indonesia won the World Cup</v>
      </c>
    </row>
    <row r="7381" ht="15.75" customHeight="1">
      <c r="A7381" s="1">
        <v>8596.0</v>
      </c>
      <c r="B7381" s="3" t="s">
        <v>21160</v>
      </c>
      <c r="C7381" s="3">
        <v>1.0</v>
      </c>
      <c r="D7381" s="3">
        <v>0.0</v>
      </c>
      <c r="E7381" s="3">
        <v>0.0</v>
      </c>
      <c r="F7381" s="3" t="s">
        <v>21161</v>
      </c>
      <c r="G7381" s="3">
        <v>0.0</v>
      </c>
      <c r="H7381" s="3">
        <v>0.0</v>
      </c>
      <c r="I7381" s="3" t="s">
        <v>13</v>
      </c>
      <c r="J7381" s="3" t="s">
        <v>21162</v>
      </c>
      <c r="K7381" s="3" t="s">
        <v>433</v>
      </c>
      <c r="L7381" s="3" t="str">
        <f>IFERROR(__xludf.DUMMYFUNCTION("GOOGLETRANSLATE(F7381,""id"",""en"")"),"Buddies Joy of the Argentine Society still continues with the success of Argentina to embrace the world title for the third time")</f>
        <v>Buddies Joy of the Argentine Society still continues with the success of Argentina to embrace the world title for the third time</v>
      </c>
    </row>
    <row r="7382" ht="15.75" customHeight="1">
      <c r="A7382" s="1">
        <v>8597.0</v>
      </c>
      <c r="B7382" s="3" t="s">
        <v>21163</v>
      </c>
      <c r="C7382" s="3">
        <v>0.0</v>
      </c>
      <c r="D7382" s="3">
        <v>0.0</v>
      </c>
      <c r="E7382" s="3">
        <v>0.0</v>
      </c>
      <c r="F7382" s="3" t="s">
        <v>21164</v>
      </c>
      <c r="G7382" s="3">
        <v>0.0</v>
      </c>
      <c r="H7382" s="3">
        <v>0.0</v>
      </c>
      <c r="I7382" s="3" t="s">
        <v>13</v>
      </c>
      <c r="J7382" s="3" t="s">
        <v>21165</v>
      </c>
      <c r="K7382" s="3" t="s">
        <v>104</v>
      </c>
      <c r="L7382" s="3" t="str">
        <f>IFERROR(__xludf.DUMMYFUNCTION("GOOGLETRANSLATE(F7382,""id"",""en"")"),"Is it true that there is gossip circulating if Messi asks PSG so that Argentina can win the Qatar Worldcup when negotiating Messi from Barca PSG said there is a contract for Argentina requirements for Qatar champions so that Messi wants")</f>
        <v>Is it true that there is gossip circulating if Messi asks PSG so that Argentina can win the Qatar Worldcup when negotiating Messi from Barca PSG said there is a contract for Argentina requirements for Qatar champions so that Messi wants</v>
      </c>
    </row>
    <row r="7383" ht="15.75" customHeight="1">
      <c r="A7383" s="1">
        <v>8598.0</v>
      </c>
      <c r="B7383" s="3" t="s">
        <v>21166</v>
      </c>
      <c r="C7383" s="3">
        <v>0.0</v>
      </c>
      <c r="D7383" s="3">
        <v>0.0</v>
      </c>
      <c r="E7383" s="3">
        <v>0.0</v>
      </c>
      <c r="F7383" s="3" t="s">
        <v>21167</v>
      </c>
      <c r="G7383" s="3">
        <v>0.0</v>
      </c>
      <c r="H7383" s="3">
        <v>0.0</v>
      </c>
      <c r="I7383" s="3" t="s">
        <v>13</v>
      </c>
      <c r="J7383" s="3" t="s">
        <v>21168</v>
      </c>
      <c r="K7383" s="3" t="s">
        <v>495</v>
      </c>
      <c r="L7383" s="3" t="str">
        <f>IFERROR(__xludf.DUMMYFUNCTION("GOOGLETRANSLATE(F7383,""id"",""en"")"),"Wonderkid Argentina Julian Alvarez Shining World Cup thanks to his neat performance that managed to bring Albiceleste to win the title for the third time")</f>
        <v>Wonderkid Argentina Julian Alvarez Shining World Cup thanks to his neat performance that managed to bring Albiceleste to win the title for the third time</v>
      </c>
    </row>
    <row r="7384" ht="15.75" customHeight="1">
      <c r="A7384" s="1">
        <v>8599.0</v>
      </c>
      <c r="B7384" s="3" t="s">
        <v>21169</v>
      </c>
      <c r="C7384" s="3">
        <v>0.0</v>
      </c>
      <c r="D7384" s="3">
        <v>1.0</v>
      </c>
      <c r="E7384" s="3">
        <v>0.0</v>
      </c>
      <c r="F7384" s="3" t="s">
        <v>21170</v>
      </c>
      <c r="G7384" s="3">
        <v>0.0</v>
      </c>
      <c r="H7384" s="3">
        <v>0.0</v>
      </c>
      <c r="I7384" s="3" t="s">
        <v>13</v>
      </c>
      <c r="J7384" s="3" t="s">
        <v>21171</v>
      </c>
      <c r="K7384" s="3" t="s">
        <v>75</v>
      </c>
      <c r="L7384" s="3" t="str">
        <f>IFERROR(__xludf.DUMMYFUNCTION("GOOGLETRANSLATE(F7384,""id"",""en"")"),"Argentina Brazilian World Cup Champion remains FIFA's first ranking")</f>
        <v>Argentina Brazilian World Cup Champion remains FIFA's first ranking</v>
      </c>
    </row>
    <row r="7385" ht="15.75" customHeight="1">
      <c r="A7385" s="1">
        <v>8600.0</v>
      </c>
      <c r="B7385" s="3" t="s">
        <v>21172</v>
      </c>
      <c r="C7385" s="3">
        <v>0.0</v>
      </c>
      <c r="D7385" s="3">
        <v>0.0</v>
      </c>
      <c r="E7385" s="3">
        <v>0.0</v>
      </c>
      <c r="F7385" s="3" t="s">
        <v>20783</v>
      </c>
      <c r="G7385" s="3">
        <v>0.0</v>
      </c>
      <c r="H7385" s="3">
        <v>0.0</v>
      </c>
      <c r="I7385" s="3" t="s">
        <v>13</v>
      </c>
      <c r="J7385" s="3" t="s">
        <v>20784</v>
      </c>
      <c r="K7385" s="3" t="s">
        <v>437</v>
      </c>
      <c r="L7385" s="3" t="str">
        <f>IFERROR(__xludf.DUMMYFUNCTION("GOOGLETRANSLATE(F7385,""id"",""en"")"),"Argentina is expected to rise in FIFA ranking after the World Cup champion but it is estimated that success is not enough to shift Brazil the peak is the reason")</f>
        <v>Argentina is expected to rise in FIFA ranking after the World Cup champion but it is estimated that success is not enough to shift Brazil the peak is the reason</v>
      </c>
    </row>
    <row r="7386" ht="15.75" customHeight="1">
      <c r="A7386" s="1">
        <v>8601.0</v>
      </c>
      <c r="B7386" s="3" t="s">
        <v>21173</v>
      </c>
      <c r="C7386" s="3">
        <v>0.0</v>
      </c>
      <c r="D7386" s="3">
        <v>0.0</v>
      </c>
      <c r="E7386" s="3">
        <v>0.0</v>
      </c>
      <c r="F7386" s="3" t="s">
        <v>21174</v>
      </c>
      <c r="G7386" s="3">
        <v>0.0</v>
      </c>
      <c r="H7386" s="3">
        <v>0.0</v>
      </c>
      <c r="I7386" s="3" t="s">
        <v>13</v>
      </c>
      <c r="J7386" s="3" t="s">
        <v>21175</v>
      </c>
      <c r="K7386" s="3" t="s">
        <v>644</v>
      </c>
      <c r="L7386" s="3" t="str">
        <f>IFERROR(__xludf.DUMMYFUNCTION("GOOGLETRANSLATE(F7386,""id"",""en"")"),"Celebrating Argentina Hell Champion")</f>
        <v>Celebrating Argentina Hell Champion</v>
      </c>
    </row>
    <row r="7387" ht="15.75" customHeight="1">
      <c r="A7387" s="1">
        <v>8602.0</v>
      </c>
      <c r="B7387" s="3" t="s">
        <v>21176</v>
      </c>
      <c r="C7387" s="3">
        <v>0.0</v>
      </c>
      <c r="D7387" s="3">
        <v>0.0</v>
      </c>
      <c r="E7387" s="3">
        <v>0.0</v>
      </c>
      <c r="F7387" s="3" t="s">
        <v>21177</v>
      </c>
      <c r="G7387" s="3">
        <v>0.0</v>
      </c>
      <c r="H7387" s="3">
        <v>0.0</v>
      </c>
      <c r="I7387" s="3" t="s">
        <v>13</v>
      </c>
      <c r="J7387" s="3" t="s">
        <v>21178</v>
      </c>
      <c r="K7387" s="3" t="s">
        <v>15</v>
      </c>
      <c r="L7387" s="3" t="str">
        <f>IFERROR(__xludf.DUMMYFUNCTION("GOOGLETRANSLATE(F7387,""id"",""en"")"),"Argentina Champion of the Best Scaloni World Cup for Messi")</f>
        <v>Argentina Champion of the Best Scaloni World Cup for Messi</v>
      </c>
    </row>
    <row r="7388" ht="15.75" customHeight="1">
      <c r="A7388" s="1">
        <v>8603.0</v>
      </c>
      <c r="B7388" s="3" t="s">
        <v>21179</v>
      </c>
      <c r="C7388" s="3">
        <v>0.0</v>
      </c>
      <c r="D7388" s="3">
        <v>0.0</v>
      </c>
      <c r="E7388" s="3">
        <v>0.0</v>
      </c>
      <c r="F7388" s="3" t="s">
        <v>21180</v>
      </c>
      <c r="G7388" s="3">
        <v>0.0</v>
      </c>
      <c r="H7388" s="3">
        <v>0.0</v>
      </c>
      <c r="I7388" s="3" t="s">
        <v>13</v>
      </c>
      <c r="J7388" s="3" t="s">
        <v>21181</v>
      </c>
      <c r="K7388" s="3" t="s">
        <v>644</v>
      </c>
      <c r="L7388" s="3" t="str">
        <f>IFERROR(__xludf.DUMMYFUNCTION("GOOGLETRANSLATE(F7388,""id"",""en"")"),"the Argentine champion who was embraced in their embrace")</f>
        <v>the Argentine champion who was embraced in their embrace</v>
      </c>
    </row>
    <row r="7389" ht="15.75" customHeight="1">
      <c r="A7389" s="1">
        <v>8604.0</v>
      </c>
      <c r="B7389" s="3" t="s">
        <v>21182</v>
      </c>
      <c r="C7389" s="3">
        <v>0.0</v>
      </c>
      <c r="D7389" s="3">
        <v>0.0</v>
      </c>
      <c r="E7389" s="3">
        <v>0.0</v>
      </c>
      <c r="F7389" s="3" t="s">
        <v>21183</v>
      </c>
      <c r="G7389" s="3">
        <v>0.0</v>
      </c>
      <c r="H7389" s="3">
        <v>0.0</v>
      </c>
      <c r="I7389" s="3" t="s">
        <v>13</v>
      </c>
      <c r="J7389" s="3" t="s">
        <v>21184</v>
      </c>
      <c r="K7389" s="3" t="s">
        <v>82</v>
      </c>
      <c r="L7389" s="3" t="str">
        <f>IFERROR(__xludf.DUMMYFUNCTION("GOOGLETRANSLATE(F7389,""id"",""en"")"),"The reason Argentina won the World Cup championship")</f>
        <v>The reason Argentina won the World Cup championship</v>
      </c>
    </row>
    <row r="7390" ht="15.75" customHeight="1">
      <c r="A7390" s="1">
        <v>8605.0</v>
      </c>
      <c r="B7390" s="3" t="s">
        <v>21185</v>
      </c>
      <c r="C7390" s="3">
        <v>0.0</v>
      </c>
      <c r="D7390" s="3">
        <v>0.0</v>
      </c>
      <c r="E7390" s="3">
        <v>0.0</v>
      </c>
      <c r="F7390" s="3" t="s">
        <v>21186</v>
      </c>
      <c r="G7390" s="3">
        <v>0.3</v>
      </c>
      <c r="H7390" s="3">
        <v>0.2</v>
      </c>
      <c r="I7390" s="3" t="s">
        <v>48</v>
      </c>
      <c r="J7390" s="3" t="s">
        <v>21187</v>
      </c>
      <c r="K7390" s="3" t="s">
        <v>50</v>
      </c>
      <c r="L7390" s="3" t="str">
        <f>IFERROR(__xludf.DUMMYFUNCTION("GOOGLETRANSLATE(F7390,""id"",""en"")"),"Haha Kadrun was hit by Prank so that Denny's heat was Argentina fans and championed him in the world champion")</f>
        <v>Haha Kadrun was hit by Prank so that Denny's heat was Argentina fans and championed him in the world champion</v>
      </c>
    </row>
    <row r="7391" ht="15.75" customHeight="1">
      <c r="A7391" s="1">
        <v>8606.0</v>
      </c>
      <c r="B7391" s="3" t="s">
        <v>21188</v>
      </c>
      <c r="C7391" s="3">
        <v>0.0</v>
      </c>
      <c r="D7391" s="3">
        <v>0.0</v>
      </c>
      <c r="E7391" s="3">
        <v>3.0</v>
      </c>
      <c r="F7391" s="3" t="s">
        <v>21188</v>
      </c>
      <c r="G7391" s="3">
        <v>0.0</v>
      </c>
      <c r="H7391" s="3">
        <v>0.0</v>
      </c>
      <c r="I7391" s="3" t="s">
        <v>13</v>
      </c>
      <c r="J7391" s="3" t="s">
        <v>21189</v>
      </c>
      <c r="K7391" s="3" t="s">
        <v>54</v>
      </c>
      <c r="L7391" s="3" t="str">
        <f>IFERROR(__xludf.DUMMYFUNCTION("GOOGLETRANSLATE(F7391,""id"",""en"")"),"Argentina residents are always crazy")</f>
        <v>Argentina residents are always crazy</v>
      </c>
    </row>
    <row r="7392" ht="15.75" customHeight="1">
      <c r="A7392" s="1">
        <v>8607.0</v>
      </c>
      <c r="B7392" s="3" t="s">
        <v>21190</v>
      </c>
      <c r="C7392" s="3">
        <v>0.0</v>
      </c>
      <c r="D7392" s="3">
        <v>0.0</v>
      </c>
      <c r="E7392" s="3">
        <v>1.0</v>
      </c>
      <c r="F7392" s="3" t="s">
        <v>21191</v>
      </c>
      <c r="G7392" s="3">
        <v>1.0</v>
      </c>
      <c r="H7392" s="3">
        <v>0.0</v>
      </c>
      <c r="I7392" s="3" t="s">
        <v>13</v>
      </c>
      <c r="J7392" s="3" t="s">
        <v>21192</v>
      </c>
      <c r="K7392" s="3" t="s">
        <v>1293</v>
      </c>
      <c r="L7392" s="3" t="str">
        <f>IFERROR(__xludf.DUMMYFUNCTION("GOOGLETRANSLATE(F7392,""id"",""en"")"),"Argentina should be a champion when the West German final was cheated by Argentina FIFA Europe hostile to Maradona at that time said the father was not yet born")</f>
        <v>Argentina should be a champion when the West German final was cheated by Argentina FIFA Europe hostile to Maradona at that time said the father was not yet born</v>
      </c>
    </row>
    <row r="7393" ht="15.75" customHeight="1">
      <c r="A7393" s="1">
        <v>8608.0</v>
      </c>
      <c r="B7393" s="3" t="s">
        <v>21193</v>
      </c>
      <c r="C7393" s="3">
        <v>0.0</v>
      </c>
      <c r="D7393" s="3">
        <v>0.0</v>
      </c>
      <c r="E7393" s="3">
        <v>2.0</v>
      </c>
      <c r="F7393" s="3" t="s">
        <v>21194</v>
      </c>
      <c r="G7393" s="3">
        <v>0.0</v>
      </c>
      <c r="H7393" s="3">
        <v>0.0</v>
      </c>
      <c r="I7393" s="3" t="s">
        <v>13</v>
      </c>
      <c r="J7393" s="3" t="s">
        <v>21195</v>
      </c>
      <c r="K7393" s="3" t="s">
        <v>27</v>
      </c>
      <c r="L7393" s="3" t="str">
        <f>IFERROR(__xludf.DUMMYFUNCTION("GOOGLETRANSLATE(F7393,""id"",""en"")"),"Vice President Vice President RUF Amin has the view that Indonesian football must make the Moroccan national team inspiration even though the team that won and the runner of the World Cup is Argentina and France")</f>
        <v>Vice President Vice President RUF Amin has the view that Indonesian football must make the Moroccan national team inspiration even though the team that won and the runner of the World Cup is Argentina and France</v>
      </c>
    </row>
    <row r="7394" ht="15.75" customHeight="1">
      <c r="A7394" s="1">
        <v>8609.0</v>
      </c>
      <c r="B7394" s="3" t="s">
        <v>21196</v>
      </c>
      <c r="C7394" s="3">
        <v>0.0</v>
      </c>
      <c r="D7394" s="3">
        <v>0.0</v>
      </c>
      <c r="E7394" s="3">
        <v>6.0</v>
      </c>
      <c r="F7394" s="3" t="s">
        <v>21197</v>
      </c>
      <c r="G7394" s="3">
        <v>0.0</v>
      </c>
      <c r="H7394" s="3">
        <v>0.0</v>
      </c>
      <c r="I7394" s="3" t="s">
        <v>13</v>
      </c>
      <c r="J7394" s="3" t="s">
        <v>21198</v>
      </c>
      <c r="K7394" s="3" t="s">
        <v>491</v>
      </c>
      <c r="L7394" s="3" t="str">
        <f>IFERROR(__xludf.DUMMYFUNCTION("GOOGLETRANSLATE(F7394,""id"",""en"")"),"The Argentine people have actually celebrated the World Cup Jalan Jalan Jalan Since Lionel Messi won the championship")</f>
        <v>The Argentine people have actually celebrated the World Cup Jalan Jalan Jalan Since Lionel Messi won the championship</v>
      </c>
    </row>
    <row r="7395" ht="15.75" customHeight="1">
      <c r="A7395" s="1">
        <v>8610.0</v>
      </c>
      <c r="B7395" s="3" t="s">
        <v>21199</v>
      </c>
      <c r="C7395" s="3">
        <v>0.0</v>
      </c>
      <c r="D7395" s="3">
        <v>0.0</v>
      </c>
      <c r="E7395" s="3">
        <v>5.0</v>
      </c>
      <c r="F7395" s="3" t="s">
        <v>21200</v>
      </c>
      <c r="G7395" s="3">
        <v>0.0</v>
      </c>
      <c r="H7395" s="3">
        <v>0.0</v>
      </c>
      <c r="I7395" s="3" t="s">
        <v>13</v>
      </c>
      <c r="J7395" s="3" t="s">
        <v>21201</v>
      </c>
      <c r="K7395" s="3" t="s">
        <v>127</v>
      </c>
      <c r="L7395" s="3" t="str">
        <f>IFERROR(__xludf.DUMMYFUNCTION("GOOGLETRANSLATE(F7395,""id"",""en"")"),"This is the profile of Captain Argentina that succeeded in making the Tango World Cup champion Mario Kempes Diego Armando Maradona and Lionel Messi")</f>
        <v>This is the profile of Captain Argentina that succeeded in making the Tango World Cup champion Mario Kempes Diego Armando Maradona and Lionel Messi</v>
      </c>
    </row>
    <row r="7396" ht="15.75" customHeight="1">
      <c r="A7396" s="1">
        <v>8611.0</v>
      </c>
      <c r="B7396" s="3" t="s">
        <v>21202</v>
      </c>
      <c r="C7396" s="3">
        <v>0.0</v>
      </c>
      <c r="D7396" s="3">
        <v>0.0</v>
      </c>
      <c r="E7396" s="3">
        <v>1.0</v>
      </c>
      <c r="F7396" s="3" t="s">
        <v>21203</v>
      </c>
      <c r="G7396" s="3">
        <v>0.3333333333333333</v>
      </c>
      <c r="H7396" s="3">
        <v>0.1666666666666667</v>
      </c>
      <c r="I7396" s="3" t="s">
        <v>48</v>
      </c>
      <c r="J7396" s="3" t="s">
        <v>21204</v>
      </c>
      <c r="K7396" s="3" t="s">
        <v>58</v>
      </c>
      <c r="L7396" s="3" t="str">
        <f>IFERROR(__xludf.DUMMYFUNCTION("GOOGLETRANSLATE(F7396,""id"",""en"")"),"Bringing the name Argentina Winning World Champion This is the factor of Lionel Messi to play the World Cup")</f>
        <v>Bringing the name Argentina Winning World Champion This is the factor of Lionel Messi to play the World Cup</v>
      </c>
    </row>
    <row r="7397" ht="15.75" customHeight="1">
      <c r="A7397" s="1">
        <v>8612.0</v>
      </c>
      <c r="B7397" s="3" t="s">
        <v>21205</v>
      </c>
      <c r="C7397" s="3">
        <v>0.0</v>
      </c>
      <c r="D7397" s="3">
        <v>0.0</v>
      </c>
      <c r="E7397" s="3">
        <v>0.0</v>
      </c>
      <c r="F7397" s="3" t="s">
        <v>21206</v>
      </c>
      <c r="G7397" s="3">
        <v>0.5</v>
      </c>
      <c r="H7397" s="3">
        <v>0.25</v>
      </c>
      <c r="I7397" s="3" t="s">
        <v>48</v>
      </c>
      <c r="J7397" s="3" t="s">
        <v>21207</v>
      </c>
      <c r="K7397" s="3" t="s">
        <v>433</v>
      </c>
      <c r="L7397" s="3" t="str">
        <f>IFERROR(__xludf.DUMMYFUNCTION("GOOGLETRANSLATE(F7397,""id"",""en"")"),"Gosh, the temperature of the country playing from the admin pattern can be like this, the red lightning lightning and super all that goes down")</f>
        <v>Gosh, the temperature of the country playing from the admin pattern can be like this, the red lightning lightning and super all that goes down</v>
      </c>
    </row>
    <row r="7398" ht="15.75" customHeight="1">
      <c r="A7398" s="1">
        <v>8613.0</v>
      </c>
      <c r="B7398" s="3" t="s">
        <v>21208</v>
      </c>
      <c r="C7398" s="3">
        <v>0.0</v>
      </c>
      <c r="D7398" s="3">
        <v>0.0</v>
      </c>
      <c r="E7398" s="3">
        <v>0.0</v>
      </c>
      <c r="F7398" s="3" t="s">
        <v>21209</v>
      </c>
      <c r="G7398" s="3">
        <v>0.0</v>
      </c>
      <c r="H7398" s="3">
        <v>0.0</v>
      </c>
      <c r="I7398" s="3" t="s">
        <v>13</v>
      </c>
      <c r="J7398" s="3" t="s">
        <v>21210</v>
      </c>
      <c r="K7398" s="3" t="s">
        <v>1097</v>
      </c>
      <c r="L7398" s="3" t="str">
        <f>IFERROR(__xludf.DUMMYFUNCTION("GOOGLETRANSLATE(F7398,""id"",""en"")"),"World Celebrity Reactions See Argentina and Messi World Cup Champion")</f>
        <v>World Celebrity Reactions See Argentina and Messi World Cup Champion</v>
      </c>
    </row>
    <row r="7399" ht="15.75" customHeight="1">
      <c r="A7399" s="1">
        <v>8614.0</v>
      </c>
      <c r="B7399" s="3" t="s">
        <v>21211</v>
      </c>
      <c r="C7399" s="3">
        <v>0.0</v>
      </c>
      <c r="D7399" s="3">
        <v>0.0</v>
      </c>
      <c r="E7399" s="3">
        <v>0.0</v>
      </c>
      <c r="F7399" s="3" t="s">
        <v>21212</v>
      </c>
      <c r="G7399" s="3">
        <v>0.0</v>
      </c>
      <c r="H7399" s="3">
        <v>0.0</v>
      </c>
      <c r="I7399" s="3" t="s">
        <v>13</v>
      </c>
      <c r="J7399" s="3" t="s">
        <v>21213</v>
      </c>
      <c r="K7399" s="3" t="s">
        <v>15</v>
      </c>
      <c r="L7399" s="3" t="str">
        <f>IFERROR(__xludf.DUMMYFUNCTION("GOOGLETRANSLATE(F7399,""id"",""en"")"),"Arabic beating Argentina directly on national holidays especially this world champion")</f>
        <v>Arabic beating Argentina directly on national holidays especially this world champion</v>
      </c>
    </row>
    <row r="7400" ht="15.75" customHeight="1">
      <c r="A7400" s="1">
        <v>8615.0</v>
      </c>
      <c r="B7400" s="3" t="s">
        <v>21214</v>
      </c>
      <c r="C7400" s="3">
        <v>0.0</v>
      </c>
      <c r="D7400" s="3">
        <v>0.0</v>
      </c>
      <c r="E7400" s="3">
        <v>0.0</v>
      </c>
      <c r="F7400" s="3" t="s">
        <v>21215</v>
      </c>
      <c r="G7400" s="3">
        <v>0.0</v>
      </c>
      <c r="H7400" s="3">
        <v>0.0</v>
      </c>
      <c r="I7400" s="3" t="s">
        <v>13</v>
      </c>
      <c r="J7400" s="3" t="s">
        <v>21216</v>
      </c>
      <c r="K7400" s="3" t="s">
        <v>75</v>
      </c>
      <c r="L7400" s="3" t="str">
        <f>IFERROR(__xludf.DUMMYFUNCTION("GOOGLETRANSLATE(F7400,""id"",""en"")"),"Argentina Champion Brother Brother Cristiano Ronaldo Called This Worst World Cup")</f>
        <v>Argentina Champion Brother Brother Cristiano Ronaldo Called This Worst World Cup</v>
      </c>
    </row>
    <row r="7401" ht="15.75" customHeight="1">
      <c r="A7401" s="1">
        <v>8616.0</v>
      </c>
      <c r="B7401" s="3" t="s">
        <v>21217</v>
      </c>
      <c r="C7401" s="3">
        <v>0.0</v>
      </c>
      <c r="D7401" s="3">
        <v>0.0</v>
      </c>
      <c r="E7401" s="3">
        <v>0.0</v>
      </c>
      <c r="F7401" s="3" t="s">
        <v>21218</v>
      </c>
      <c r="G7401" s="3">
        <v>0.0</v>
      </c>
      <c r="H7401" s="3">
        <v>0.0</v>
      </c>
      <c r="I7401" s="3" t="s">
        <v>13</v>
      </c>
      <c r="J7401" s="3" t="s">
        <v>21219</v>
      </c>
      <c r="K7401" s="3" t="s">
        <v>3164</v>
      </c>
      <c r="L7401" s="3" t="str">
        <f>IFERROR(__xludf.DUMMYFUNCTION("GOOGLETRANSLATE(F7401,""id"",""en"")"),"Viral Info Celebrates the Argentine World Cup Champion National Holidays The World Champion Viral Info")</f>
        <v>Viral Info Celebrates the Argentine World Cup Champion National Holidays The World Champion Viral Info</v>
      </c>
    </row>
    <row r="7402" ht="15.75" customHeight="1">
      <c r="A7402" s="1">
        <v>8617.0</v>
      </c>
      <c r="B7402" s="3" t="s">
        <v>21220</v>
      </c>
      <c r="C7402" s="3">
        <v>0.0</v>
      </c>
      <c r="D7402" s="3">
        <v>0.0</v>
      </c>
      <c r="E7402" s="3">
        <v>2.0</v>
      </c>
      <c r="F7402" s="3" t="s">
        <v>21221</v>
      </c>
      <c r="G7402" s="3">
        <v>0.0</v>
      </c>
      <c r="H7402" s="3">
        <v>0.0</v>
      </c>
      <c r="I7402" s="3" t="s">
        <v>13</v>
      </c>
      <c r="J7402" s="3" t="s">
        <v>21222</v>
      </c>
      <c r="K7402" s="3" t="s">
        <v>3346</v>
      </c>
      <c r="L7402" s="3" t="str">
        <f>IFERROR(__xludf.DUMMYFUNCTION("GOOGLETRANSLATE(F7402,""id"",""en"")"),"Yesterday Argentina was finished being the World Cup champion so when did I become your heart champion")</f>
        <v>Yesterday Argentina was finished being the World Cup champion so when did I become your heart champion</v>
      </c>
    </row>
    <row r="7403" ht="15.75" customHeight="1">
      <c r="A7403" s="1">
        <v>8618.0</v>
      </c>
      <c r="B7403" s="3" t="s">
        <v>21223</v>
      </c>
      <c r="C7403" s="3">
        <v>0.0</v>
      </c>
      <c r="D7403" s="3">
        <v>0.0</v>
      </c>
      <c r="E7403" s="3">
        <v>0.0</v>
      </c>
      <c r="F7403" s="3" t="s">
        <v>21016</v>
      </c>
      <c r="G7403" s="3">
        <v>0.0</v>
      </c>
      <c r="H7403" s="3">
        <v>0.0</v>
      </c>
      <c r="I7403" s="3" t="s">
        <v>13</v>
      </c>
      <c r="J7403" s="3" t="s">
        <v>21017</v>
      </c>
      <c r="K7403" s="3" t="s">
        <v>657</v>
      </c>
      <c r="L7403" s="3" t="str">
        <f>IFERROR(__xludf.DUMMYFUNCTION("GOOGLETRANSLATE(F7403,""id"",""en"")"),"The success of Argentina Champion World Cup made Adidas big profit because the jersey was sold out and even dared to sell up to million")</f>
        <v>The success of Argentina Champion World Cup made Adidas big profit because the jersey was sold out and even dared to sell up to million</v>
      </c>
    </row>
    <row r="7404" ht="15.75" customHeight="1">
      <c r="A7404" s="1">
        <v>8619.0</v>
      </c>
      <c r="B7404" s="3" t="s">
        <v>21224</v>
      </c>
      <c r="C7404" s="3">
        <v>0.0</v>
      </c>
      <c r="D7404" s="3">
        <v>0.0</v>
      </c>
      <c r="E7404" s="3">
        <v>0.0</v>
      </c>
      <c r="F7404" s="3" t="s">
        <v>21225</v>
      </c>
      <c r="G7404" s="3">
        <v>0.0</v>
      </c>
      <c r="H7404" s="3">
        <v>0.0</v>
      </c>
      <c r="I7404" s="3" t="s">
        <v>13</v>
      </c>
      <c r="J7404" s="3" t="s">
        <v>21226</v>
      </c>
      <c r="K7404" s="3" t="s">
        <v>433</v>
      </c>
      <c r="L7404" s="3" t="str">
        <f>IFERROR(__xludf.DUMMYFUNCTION("GOOGLETRANSLATE(F7404,""id"",""en"")"),"Claudio Tapia is clearly very strange Argentina champion should he be there and take the trophy to not understand anymore")</f>
        <v>Claudio Tapia is clearly very strange Argentina champion should he be there and take the trophy to not understand anymore</v>
      </c>
    </row>
    <row r="7405" ht="15.75" customHeight="1">
      <c r="A7405" s="1">
        <v>8620.0</v>
      </c>
      <c r="B7405" s="3" t="s">
        <v>21227</v>
      </c>
      <c r="C7405" s="3">
        <v>0.0</v>
      </c>
      <c r="D7405" s="3">
        <v>0.0</v>
      </c>
      <c r="E7405" s="3">
        <v>5.0</v>
      </c>
      <c r="F7405" s="3" t="s">
        <v>21228</v>
      </c>
      <c r="G7405" s="3">
        <v>0.0</v>
      </c>
      <c r="H7405" s="3">
        <v>0.0</v>
      </c>
      <c r="I7405" s="3" t="s">
        <v>13</v>
      </c>
      <c r="J7405" s="3" t="s">
        <v>21229</v>
      </c>
      <c r="K7405" s="3" t="s">
        <v>50</v>
      </c>
      <c r="L7405" s="3" t="str">
        <f>IFERROR(__xludf.DUMMYFUNCTION("GOOGLETRANSLATE(F7405,""id"",""en"")"),"This is funny, France can't win the penalty fight against Argentina, how do you want to win")</f>
        <v>This is funny, France can't win the penalty fight against Argentina, how do you want to win</v>
      </c>
    </row>
    <row r="7406" ht="15.75" customHeight="1">
      <c r="A7406" s="1">
        <v>8621.0</v>
      </c>
      <c r="B7406" s="3" t="s">
        <v>21230</v>
      </c>
      <c r="C7406" s="3">
        <v>0.0</v>
      </c>
      <c r="D7406" s="3">
        <v>0.0</v>
      </c>
      <c r="E7406" s="3">
        <v>0.0</v>
      </c>
      <c r="F7406" s="3" t="s">
        <v>21231</v>
      </c>
      <c r="G7406" s="3">
        <v>0.0</v>
      </c>
      <c r="H7406" s="3">
        <v>0.0</v>
      </c>
      <c r="I7406" s="3" t="s">
        <v>13</v>
      </c>
      <c r="J7406" s="3" t="s">
        <v>21232</v>
      </c>
      <c r="K7406" s="3" t="s">
        <v>644</v>
      </c>
      <c r="L7406" s="3" t="str">
        <f>IFERROR(__xludf.DUMMYFUNCTION("GOOGLETRANSLATE(F7406,""id"",""en"")"),"Argentina Thanksgiving Champion Pildun")</f>
        <v>Argentina Thanksgiving Champion Pildun</v>
      </c>
    </row>
    <row r="7407" ht="15.75" customHeight="1">
      <c r="A7407" s="1">
        <v>8622.0</v>
      </c>
      <c r="B7407" s="3" t="s">
        <v>21233</v>
      </c>
      <c r="C7407" s="3">
        <v>0.0</v>
      </c>
      <c r="D7407" s="3">
        <v>0.0</v>
      </c>
      <c r="E7407" s="3">
        <v>0.0</v>
      </c>
      <c r="F7407" s="3" t="s">
        <v>21234</v>
      </c>
      <c r="G7407" s="3">
        <v>0.0</v>
      </c>
      <c r="H7407" s="3">
        <v>0.0</v>
      </c>
      <c r="I7407" s="3" t="s">
        <v>13</v>
      </c>
      <c r="J7407" s="3" t="s">
        <v>21235</v>
      </c>
      <c r="K7407" s="3" t="s">
        <v>942</v>
      </c>
      <c r="L7407" s="3" t="str">
        <f>IFERROR(__xludf.DUMMYFUNCTION("GOOGLETRANSLATE(F7407,""id"",""en"")"),"Iteh Apalan Mr. Iki weighed Argentine player Seng champion Wingi")</f>
        <v>Iteh Apalan Mr. Iki weighed Argentine player Seng champion Wingi</v>
      </c>
    </row>
    <row r="7408" ht="15.75" customHeight="1">
      <c r="A7408" s="1">
        <v>8623.0</v>
      </c>
      <c r="B7408" s="3" t="s">
        <v>21236</v>
      </c>
      <c r="C7408" s="3">
        <v>0.0</v>
      </c>
      <c r="D7408" s="3">
        <v>1.0</v>
      </c>
      <c r="E7408" s="3">
        <v>5.0</v>
      </c>
      <c r="F7408" s="3" t="s">
        <v>21237</v>
      </c>
      <c r="G7408" s="3">
        <v>0.0</v>
      </c>
      <c r="H7408" s="3">
        <v>0.0</v>
      </c>
      <c r="I7408" s="3" t="s">
        <v>13</v>
      </c>
      <c r="J7408" s="3" t="s">
        <v>21238</v>
      </c>
      <c r="K7408" s="3" t="s">
        <v>15</v>
      </c>
      <c r="L7408" s="3" t="str">
        <f>IFERROR(__xludf.DUMMYFUNCTION("GOOGLETRANSLATE(F7408,""id"",""en"")"),"Argentina World Champion Scaloni recalls the sweet moment of Malaysia")</f>
        <v>Argentina World Champion Scaloni recalls the sweet moment of Malaysia</v>
      </c>
    </row>
    <row r="7409" ht="15.75" customHeight="1">
      <c r="A7409" s="1">
        <v>8624.0</v>
      </c>
      <c r="B7409" s="3" t="s">
        <v>21239</v>
      </c>
      <c r="C7409" s="3">
        <v>0.0</v>
      </c>
      <c r="D7409" s="3">
        <v>0.0</v>
      </c>
      <c r="E7409" s="3">
        <v>2.0</v>
      </c>
      <c r="F7409" s="3" t="s">
        <v>21183</v>
      </c>
      <c r="G7409" s="3">
        <v>0.0</v>
      </c>
      <c r="H7409" s="3">
        <v>0.0</v>
      </c>
      <c r="I7409" s="3" t="s">
        <v>13</v>
      </c>
      <c r="J7409" s="3" t="s">
        <v>21184</v>
      </c>
      <c r="K7409" s="3" t="s">
        <v>82</v>
      </c>
      <c r="L7409" s="3" t="str">
        <f>IFERROR(__xludf.DUMMYFUNCTION("GOOGLETRANSLATE(F7409,""id"",""en"")"),"The reason Argentina won the World Cup championship")</f>
        <v>The reason Argentina won the World Cup championship</v>
      </c>
    </row>
    <row r="7410" ht="15.75" customHeight="1">
      <c r="A7410" s="1">
        <v>8625.0</v>
      </c>
      <c r="B7410" s="3" t="s">
        <v>21240</v>
      </c>
      <c r="C7410" s="3">
        <v>0.0</v>
      </c>
      <c r="D7410" s="3">
        <v>0.0</v>
      </c>
      <c r="E7410" s="3">
        <v>1.0</v>
      </c>
      <c r="F7410" s="3" t="s">
        <v>21241</v>
      </c>
      <c r="G7410" s="3">
        <v>0.0</v>
      </c>
      <c r="H7410" s="3">
        <v>0.0</v>
      </c>
      <c r="I7410" s="3" t="s">
        <v>13</v>
      </c>
      <c r="J7410" s="3" t="s">
        <v>21242</v>
      </c>
      <c r="K7410" s="3" t="s">
        <v>71</v>
      </c>
      <c r="L7410" s="3" t="str">
        <f>IFERROR(__xludf.DUMMYFUNCTION("GOOGLETRANSLATE(F7410,""id"",""en"")"),"Lionel Messi's Sweet Final Video Bring Argentina World Cup Champion Kylian Mbappe Heir to the throne")</f>
        <v>Lionel Messi's Sweet Final Video Bring Argentina World Cup Champion Kylian Mbappe Heir to the throne</v>
      </c>
    </row>
    <row r="7411" ht="15.75" customHeight="1">
      <c r="A7411" s="1">
        <v>8626.0</v>
      </c>
      <c r="B7411" s="3" t="s">
        <v>21243</v>
      </c>
      <c r="C7411" s="3">
        <v>1.0</v>
      </c>
      <c r="D7411" s="3">
        <v>0.0</v>
      </c>
      <c r="E7411" s="3">
        <v>34.0</v>
      </c>
      <c r="F7411" s="3" t="s">
        <v>21244</v>
      </c>
      <c r="G7411" s="3">
        <v>0.0</v>
      </c>
      <c r="H7411" s="3">
        <v>0.0</v>
      </c>
      <c r="I7411" s="3" t="s">
        <v>13</v>
      </c>
      <c r="J7411" s="3" t="s">
        <v>21245</v>
      </c>
      <c r="K7411" s="3" t="s">
        <v>695</v>
      </c>
      <c r="L7411" s="3" t="str">
        <f>IFERROR(__xludf.DUMMYFUNCTION("GOOGLETRANSLATE(F7411,""id"",""en"")"),"It is not important that the manifesting works or not for us to give him a gap when looking for Argentina is indeed a world champion but a penalties are like robbing the feeling")</f>
        <v>It is not important that the manifesting works or not for us to give him a gap when looking for Argentina is indeed a world champion but a penalties are like robbing the feeling</v>
      </c>
    </row>
    <row r="7412" ht="15.75" customHeight="1">
      <c r="A7412" s="1">
        <v>8627.0</v>
      </c>
      <c r="B7412" s="3" t="s">
        <v>21246</v>
      </c>
      <c r="C7412" s="3">
        <v>0.0</v>
      </c>
      <c r="D7412" s="3">
        <v>0.0</v>
      </c>
      <c r="E7412" s="3">
        <v>1.0</v>
      </c>
      <c r="F7412" s="3" t="s">
        <v>21247</v>
      </c>
      <c r="G7412" s="3">
        <v>0.0</v>
      </c>
      <c r="H7412" s="3">
        <v>0.0</v>
      </c>
      <c r="I7412" s="3" t="s">
        <v>13</v>
      </c>
      <c r="J7412" s="3" t="s">
        <v>21248</v>
      </c>
      <c r="K7412" s="3" t="s">
        <v>75</v>
      </c>
      <c r="L7412" s="3" t="str">
        <f>IFERROR(__xludf.DUMMYFUNCTION("GOOGLETRANSLATE(F7412,""id"",""en"")"),"Poor students my hope we won the Indonesian Argentine World Cup")</f>
        <v>Poor students my hope we won the Indonesian Argentine World Cup</v>
      </c>
    </row>
    <row r="7413" ht="15.75" customHeight="1">
      <c r="A7413" s="1">
        <v>8628.0</v>
      </c>
      <c r="B7413" s="3" t="s">
        <v>21249</v>
      </c>
      <c r="C7413" s="3">
        <v>0.0</v>
      </c>
      <c r="D7413" s="3">
        <v>0.0</v>
      </c>
      <c r="E7413" s="3">
        <v>0.0</v>
      </c>
      <c r="F7413" s="3" t="s">
        <v>21250</v>
      </c>
      <c r="G7413" s="3">
        <v>0.0</v>
      </c>
      <c r="H7413" s="3">
        <v>0.0</v>
      </c>
      <c r="I7413" s="3" t="s">
        <v>13</v>
      </c>
      <c r="J7413" s="3" t="s">
        <v>21251</v>
      </c>
      <c r="K7413" s="3" t="s">
        <v>19</v>
      </c>
      <c r="L7413" s="3" t="str">
        <f>IFERROR(__xludf.DUMMYFUNCTION("GOOGLETRANSLATE(F7413,""id"",""en"")"),"Where was Messi anchored after successfully bringing Argentina to become a world champion of attractive offer to surface")</f>
        <v>Where was Messi anchored after successfully bringing Argentina to become a world champion of attractive offer to surface</v>
      </c>
    </row>
    <row r="7414" ht="15.75" customHeight="1">
      <c r="A7414" s="1">
        <v>8629.0</v>
      </c>
      <c r="B7414" s="3" t="s">
        <v>21252</v>
      </c>
      <c r="C7414" s="3">
        <v>0.0</v>
      </c>
      <c r="D7414" s="3">
        <v>4.0</v>
      </c>
      <c r="E7414" s="3">
        <v>0.0</v>
      </c>
      <c r="F7414" s="3" t="s">
        <v>21253</v>
      </c>
      <c r="G7414" s="3">
        <v>0.0</v>
      </c>
      <c r="H7414" s="3">
        <v>0.0</v>
      </c>
      <c r="I7414" s="3" t="s">
        <v>13</v>
      </c>
      <c r="J7414" s="3" t="s">
        <v>21254</v>
      </c>
      <c r="K7414" s="3" t="s">
        <v>41</v>
      </c>
      <c r="L7414" s="3" t="str">
        <f>IFERROR(__xludf.DUMMYFUNCTION("GOOGLETRANSLATE(F7414,""id"",""en"")"),"Argentine World Cup Champion Announces National Holidays")</f>
        <v>Argentine World Cup Champion Announces National Holidays</v>
      </c>
    </row>
    <row r="7415" ht="15.75" customHeight="1">
      <c r="A7415" s="1">
        <v>8630.0</v>
      </c>
      <c r="B7415" s="3" t="s">
        <v>21255</v>
      </c>
      <c r="C7415" s="3">
        <v>0.0</v>
      </c>
      <c r="D7415" s="3">
        <v>0.0</v>
      </c>
      <c r="E7415" s="3">
        <v>1.0</v>
      </c>
      <c r="F7415" s="3" t="s">
        <v>21256</v>
      </c>
      <c r="G7415" s="3">
        <v>0.0</v>
      </c>
      <c r="H7415" s="3">
        <v>0.0</v>
      </c>
      <c r="I7415" s="3" t="s">
        <v>13</v>
      </c>
      <c r="J7415" s="3" t="s">
        <v>21257</v>
      </c>
      <c r="K7415" s="3" t="s">
        <v>15</v>
      </c>
      <c r="L7415" s="3" t="str">
        <f>IFERROR(__xludf.DUMMYFUNCTION("GOOGLETRANSLATE(F7415,""id"",""en"")"),"Argentina Champion World Cup Suarez immediately called Messi")</f>
        <v>Argentina Champion World Cup Suarez immediately called Messi</v>
      </c>
    </row>
    <row r="7416" ht="15.75" customHeight="1">
      <c r="A7416" s="1">
        <v>8631.0</v>
      </c>
      <c r="B7416" s="3" t="s">
        <v>21258</v>
      </c>
      <c r="C7416" s="3">
        <v>0.0</v>
      </c>
      <c r="D7416" s="3">
        <v>0.0</v>
      </c>
      <c r="E7416" s="3">
        <v>0.0</v>
      </c>
      <c r="F7416" s="3" t="s">
        <v>21259</v>
      </c>
      <c r="G7416" s="3">
        <v>0.0</v>
      </c>
      <c r="H7416" s="3">
        <v>0.0</v>
      </c>
      <c r="I7416" s="3" t="s">
        <v>13</v>
      </c>
      <c r="J7416" s="3" t="s">
        <v>21260</v>
      </c>
      <c r="K7416" s="3" t="s">
        <v>633</v>
      </c>
      <c r="L7416" s="3" t="str">
        <f>IFERROR(__xludf.DUMMYFUNCTION("GOOGLETRANSLATE(F7416,""id"",""en"")"),"Argentina's menports, how come they don't participate in giving a podium throphy for a portfolio if you want to nyaleg or have brought Argentina to the World Cup championship")</f>
        <v>Argentina's menports, how come they don't participate in giving a podium throphy for a portfolio if you want to nyaleg or have brought Argentina to the World Cup championship</v>
      </c>
    </row>
    <row r="7417" ht="15.75" customHeight="1">
      <c r="A7417" s="1">
        <v>8632.0</v>
      </c>
      <c r="B7417" s="3" t="s">
        <v>21261</v>
      </c>
      <c r="C7417" s="3">
        <v>0.0</v>
      </c>
      <c r="D7417" s="3">
        <v>0.0</v>
      </c>
      <c r="E7417" s="3">
        <v>0.0</v>
      </c>
      <c r="F7417" s="3" t="s">
        <v>21090</v>
      </c>
      <c r="G7417" s="3">
        <v>0.75</v>
      </c>
      <c r="H7417" s="3">
        <v>0.0</v>
      </c>
      <c r="I7417" s="3" t="s">
        <v>13</v>
      </c>
      <c r="J7417" s="3" t="s">
        <v>21091</v>
      </c>
      <c r="K7417" s="3" t="s">
        <v>695</v>
      </c>
      <c r="L7417" s="3" t="str">
        <f>IFERROR(__xludf.DUMMYFUNCTION("GOOGLETRANSLATE(F7417,""id"",""en"")"),"The man who just delivered Argentina to become the World Cup champion has an income of hundreds of millions")</f>
        <v>The man who just delivered Argentina to become the World Cup champion has an income of hundreds of millions</v>
      </c>
    </row>
    <row r="7418" ht="15.75" customHeight="1">
      <c r="A7418" s="1">
        <v>8633.0</v>
      </c>
      <c r="B7418" s="3" t="s">
        <v>21262</v>
      </c>
      <c r="C7418" s="3">
        <v>0.0</v>
      </c>
      <c r="D7418" s="3">
        <v>0.0</v>
      </c>
      <c r="E7418" s="3">
        <v>0.0</v>
      </c>
      <c r="F7418" s="3" t="s">
        <v>21263</v>
      </c>
      <c r="G7418" s="3">
        <v>0.0</v>
      </c>
      <c r="H7418" s="3">
        <v>0.0</v>
      </c>
      <c r="I7418" s="3" t="s">
        <v>13</v>
      </c>
      <c r="J7418" s="3" t="s">
        <v>21264</v>
      </c>
      <c r="K7418" s="3" t="s">
        <v>41</v>
      </c>
      <c r="L7418" s="3" t="str">
        <f>IFERROR(__xludf.DUMMYFUNCTION("GOOGLETRANSLATE(F7418,""id"",""en"")"),"Two months before the World Cup began Rodrigo Paul had predicted Argentina Champion")</f>
        <v>Two months before the World Cup began Rodrigo Paul had predicted Argentina Champion</v>
      </c>
    </row>
    <row r="7419" ht="15.75" customHeight="1">
      <c r="A7419" s="1">
        <v>8634.0</v>
      </c>
      <c r="B7419" s="3" t="s">
        <v>21265</v>
      </c>
      <c r="C7419" s="3">
        <v>0.0</v>
      </c>
      <c r="D7419" s="3">
        <v>0.0</v>
      </c>
      <c r="E7419" s="3">
        <v>0.0</v>
      </c>
      <c r="F7419" s="3" t="s">
        <v>21241</v>
      </c>
      <c r="G7419" s="3">
        <v>0.0</v>
      </c>
      <c r="H7419" s="3">
        <v>0.0</v>
      </c>
      <c r="I7419" s="3" t="s">
        <v>13</v>
      </c>
      <c r="J7419" s="3" t="s">
        <v>21242</v>
      </c>
      <c r="K7419" s="3" t="s">
        <v>71</v>
      </c>
      <c r="L7419" s="3" t="str">
        <f>IFERROR(__xludf.DUMMYFUNCTION("GOOGLETRANSLATE(F7419,""id"",""en"")"),"Lionel Messi's Sweet Final Video Bring Argentina World Cup Champion Kylian Mbappe Heir to the throne")</f>
        <v>Lionel Messi's Sweet Final Video Bring Argentina World Cup Champion Kylian Mbappe Heir to the throne</v>
      </c>
    </row>
    <row r="7420" ht="15.75" customHeight="1">
      <c r="A7420" s="1">
        <v>8635.0</v>
      </c>
      <c r="B7420" s="3" t="s">
        <v>21266</v>
      </c>
      <c r="C7420" s="3">
        <v>0.0</v>
      </c>
      <c r="D7420" s="3">
        <v>0.0</v>
      </c>
      <c r="E7420" s="3">
        <v>0.0</v>
      </c>
      <c r="F7420" s="3" t="s">
        <v>21267</v>
      </c>
      <c r="G7420" s="3">
        <v>0.0</v>
      </c>
      <c r="H7420" s="3">
        <v>0.0</v>
      </c>
      <c r="I7420" s="3" t="s">
        <v>13</v>
      </c>
      <c r="J7420" s="3" t="s">
        <v>21268</v>
      </c>
      <c r="K7420" s="3" t="s">
        <v>1335</v>
      </c>
      <c r="L7420" s="3" t="str">
        <f>IFERROR(__xludf.DUMMYFUNCTION("GOOGLETRANSLATE(F7420,""id"",""en"")"),"Argentina World Cup again won the world champion")</f>
        <v>Argentina World Cup again won the world champion</v>
      </c>
    </row>
    <row r="7421" ht="15.75" customHeight="1">
      <c r="A7421" s="1">
        <v>8636.0</v>
      </c>
      <c r="B7421" s="3" t="s">
        <v>21269</v>
      </c>
      <c r="C7421" s="3">
        <v>0.0</v>
      </c>
      <c r="D7421" s="3">
        <v>1.0</v>
      </c>
      <c r="E7421" s="3">
        <v>4.0</v>
      </c>
      <c r="F7421" s="3" t="s">
        <v>21270</v>
      </c>
      <c r="G7421" s="3">
        <v>0.0</v>
      </c>
      <c r="H7421" s="3">
        <v>0.0</v>
      </c>
      <c r="I7421" s="3" t="s">
        <v>13</v>
      </c>
      <c r="J7421" s="3" t="s">
        <v>21271</v>
      </c>
      <c r="K7421" s="3" t="s">
        <v>240</v>
      </c>
      <c r="L7421" s="3" t="str">
        <f>IFERROR(__xludf.DUMMYFUNCTION("GOOGLETRANSLATE(F7421,""id"",""en"")"),"Argentina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422" ht="15.75" customHeight="1">
      <c r="A7422" s="1">
        <v>8637.0</v>
      </c>
      <c r="B7422" s="3" t="s">
        <v>21272</v>
      </c>
      <c r="C7422" s="3">
        <v>0.0</v>
      </c>
      <c r="D7422" s="3">
        <v>0.0</v>
      </c>
      <c r="E7422" s="3">
        <v>0.0</v>
      </c>
      <c r="F7422" s="3" t="s">
        <v>21273</v>
      </c>
      <c r="G7422" s="3">
        <v>0.5</v>
      </c>
      <c r="H7422" s="3">
        <v>0.3</v>
      </c>
      <c r="I7422" s="3" t="s">
        <v>48</v>
      </c>
      <c r="J7422" s="3" t="s">
        <v>21274</v>
      </c>
      <c r="K7422" s="3" t="s">
        <v>495</v>
      </c>
      <c r="L7422" s="3" t="str">
        <f>IFERROR(__xludf.DUMMYFUNCTION("GOOGLETRANSLATE(F7422,""id"",""en"")"),"considering that Argentina won the World Cup along with that Captain Albiceleste Lionel Messi also won an award as the best player by receiving Golden Gall")</f>
        <v>considering that Argentina won the World Cup along with that Captain Albiceleste Lionel Messi also won an award as the best player by receiving Golden Gall</v>
      </c>
    </row>
    <row r="7423" ht="15.75" customHeight="1">
      <c r="A7423" s="1">
        <v>8638.0</v>
      </c>
      <c r="B7423" s="3" t="s">
        <v>21275</v>
      </c>
      <c r="C7423" s="3">
        <v>3.0</v>
      </c>
      <c r="D7423" s="3">
        <v>0.0</v>
      </c>
      <c r="E7423" s="3">
        <v>37.0</v>
      </c>
      <c r="F7423" s="3" t="s">
        <v>21276</v>
      </c>
      <c r="G7423" s="3">
        <v>0.0</v>
      </c>
      <c r="H7423" s="3">
        <v>0.0</v>
      </c>
      <c r="I7423" s="3" t="s">
        <v>13</v>
      </c>
      <c r="J7423" s="3" t="s">
        <v>21277</v>
      </c>
      <c r="K7423" s="3" t="s">
        <v>1628</v>
      </c>
      <c r="L7423" s="3" t="str">
        <f>IFERROR(__xludf.DUMMYFUNCTION("GOOGLETRANSLATE(F7423,""id"",""en"")"),"inform you, bro, so every big event, whatever the organizer has presented two properties for championship celebrations such as buses for Argentina and buses for France and other champion properties and the committee")</f>
        <v>inform you, bro, so every big event, whatever the organizer has presented two properties for championship celebrations such as buses for Argentina and buses for France and other champion properties and the committee</v>
      </c>
    </row>
    <row r="7424" ht="15.75" customHeight="1">
      <c r="A7424" s="1">
        <v>8639.0</v>
      </c>
      <c r="B7424" s="3" t="s">
        <v>21278</v>
      </c>
      <c r="C7424" s="3">
        <v>0.0</v>
      </c>
      <c r="D7424" s="3">
        <v>0.0</v>
      </c>
      <c r="E7424" s="3">
        <v>0.0</v>
      </c>
      <c r="F7424" s="3" t="s">
        <v>21279</v>
      </c>
      <c r="G7424" s="3">
        <v>0.0</v>
      </c>
      <c r="H7424" s="3">
        <v>0.0</v>
      </c>
      <c r="I7424" s="3" t="s">
        <v>13</v>
      </c>
      <c r="J7424" s="3" t="s">
        <v>21280</v>
      </c>
      <c r="K7424" s="3" t="s">
        <v>50</v>
      </c>
      <c r="L7424" s="3" t="str">
        <f>IFERROR(__xludf.DUMMYFUNCTION("GOOGLETRANSLATE(F7424,""id"",""en"")"),"Without hesitation, Barack Obama called Messi as a goat after Argentina champions of the World Cup")</f>
        <v>Without hesitation, Barack Obama called Messi as a goat after Argentina champions of the World Cup</v>
      </c>
    </row>
    <row r="7425" ht="15.75" customHeight="1">
      <c r="A7425" s="1">
        <v>8640.0</v>
      </c>
      <c r="B7425" s="3" t="s">
        <v>21281</v>
      </c>
      <c r="C7425" s="3">
        <v>0.0</v>
      </c>
      <c r="D7425" s="3">
        <v>0.0</v>
      </c>
      <c r="E7425" s="3">
        <v>1.0</v>
      </c>
      <c r="F7425" s="3" t="s">
        <v>21282</v>
      </c>
      <c r="G7425" s="3">
        <v>1.0</v>
      </c>
      <c r="H7425" s="3">
        <v>0.0</v>
      </c>
      <c r="I7425" s="3" t="s">
        <v>13</v>
      </c>
      <c r="J7425" s="3" t="s">
        <v>21283</v>
      </c>
      <c r="K7425" s="3" t="s">
        <v>21284</v>
      </c>
      <c r="L7425" s="3" t="str">
        <f>IFERROR(__xludf.DUMMYFUNCTION("GOOGLETRANSLATE(F7425,""id"",""en"")"),"Dream of seeing Italy Champion Euro Championship Together with Argentina Copa America champions have been realized last year's dream of seeing Italy and Argentina met the final not yet realized Forza Italy Vamos Argentina")</f>
        <v>Dream of seeing Italy Champion Euro Championship Together with Argentina Copa America champions have been realized last year's dream of seeing Italy and Argentina met the final not yet realized Forza Italy Vamos Argentina</v>
      </c>
    </row>
    <row r="7426" ht="15.75" customHeight="1">
      <c r="A7426" s="1">
        <v>8641.0</v>
      </c>
      <c r="B7426" s="3" t="s">
        <v>21285</v>
      </c>
      <c r="C7426" s="3">
        <v>0.0</v>
      </c>
      <c r="D7426" s="3">
        <v>0.0</v>
      </c>
      <c r="E7426" s="3">
        <v>6.0</v>
      </c>
      <c r="F7426" s="3" t="s">
        <v>21090</v>
      </c>
      <c r="G7426" s="3">
        <v>0.75</v>
      </c>
      <c r="H7426" s="3">
        <v>0.0</v>
      </c>
      <c r="I7426" s="3" t="s">
        <v>13</v>
      </c>
      <c r="J7426" s="3" t="s">
        <v>21091</v>
      </c>
      <c r="K7426" s="3" t="s">
        <v>695</v>
      </c>
      <c r="L7426" s="3" t="str">
        <f>IFERROR(__xludf.DUMMYFUNCTION("GOOGLETRANSLATE(F7426,""id"",""en"")"),"The man who just delivered Argentina to become the World Cup champion has an income of hundreds of millions")</f>
        <v>The man who just delivered Argentina to become the World Cup champion has an income of hundreds of millions</v>
      </c>
    </row>
    <row r="7427" ht="15.75" customHeight="1">
      <c r="A7427" s="1">
        <v>8642.0</v>
      </c>
      <c r="B7427" s="3" t="s">
        <v>21286</v>
      </c>
      <c r="C7427" s="3">
        <v>0.0</v>
      </c>
      <c r="D7427" s="3">
        <v>0.0</v>
      </c>
      <c r="E7427" s="3">
        <v>2.0</v>
      </c>
      <c r="F7427" s="3" t="s">
        <v>21287</v>
      </c>
      <c r="G7427" s="3">
        <v>0.5</v>
      </c>
      <c r="H7427" s="3">
        <v>0.5</v>
      </c>
      <c r="I7427" s="3" t="s">
        <v>48</v>
      </c>
      <c r="J7427" s="3" t="s">
        <v>21288</v>
      </c>
      <c r="K7427" s="3" t="s">
        <v>348</v>
      </c>
      <c r="L7427" s="3" t="str">
        <f>IFERROR(__xludf.DUMMYFUNCTION("GOOGLETRANSLATE(F7427,""id"",""en"")"),"Sometimes seeing this Ronaldog fans, I think things like this will be discussed until then they are really looking for a topic and at any time will not be able to accept the fact that Argentina champions Cry more Puszy")</f>
        <v>Sometimes seeing this Ronaldog fans, I think things like this will be discussed until then they are really looking for a topic and at any time will not be able to accept the fact that Argentina champions Cry more Puszy</v>
      </c>
    </row>
    <row r="7428" ht="15.75" customHeight="1">
      <c r="A7428" s="1">
        <v>8643.0</v>
      </c>
      <c r="B7428" s="3" t="s">
        <v>21289</v>
      </c>
      <c r="C7428" s="3">
        <v>0.0</v>
      </c>
      <c r="D7428" s="3">
        <v>0.0</v>
      </c>
      <c r="E7428" s="3">
        <v>1.0</v>
      </c>
      <c r="F7428" s="3" t="s">
        <v>21290</v>
      </c>
      <c r="G7428" s="3">
        <v>0.0</v>
      </c>
      <c r="H7428" s="3">
        <v>0.0</v>
      </c>
      <c r="I7428" s="3" t="s">
        <v>13</v>
      </c>
      <c r="J7428" s="3" t="s">
        <v>21291</v>
      </c>
      <c r="K7428" s="3" t="s">
        <v>437</v>
      </c>
      <c r="L7428" s="3" t="str">
        <f>IFERROR(__xludf.DUMMYFUNCTION("GOOGLETRANSLATE(F7428,""id"",""en"")"),"Argentine coach Lionel Scaloni revealed his conversation with Lionel Messi he was sure that the conversation was the trigger for his team to the World Cup championship")</f>
        <v>Argentine coach Lionel Scaloni revealed his conversation with Lionel Messi he was sure that the conversation was the trigger for his team to the World Cup championship</v>
      </c>
    </row>
    <row r="7429" ht="15.75" customHeight="1">
      <c r="A7429" s="1">
        <v>8644.0</v>
      </c>
      <c r="B7429" s="3" t="s">
        <v>21292</v>
      </c>
      <c r="C7429" s="3">
        <v>0.0</v>
      </c>
      <c r="D7429" s="3">
        <v>1.0</v>
      </c>
      <c r="E7429" s="3">
        <v>0.0</v>
      </c>
      <c r="F7429" s="3" t="s">
        <v>21290</v>
      </c>
      <c r="G7429" s="3">
        <v>0.0</v>
      </c>
      <c r="H7429" s="3">
        <v>0.0</v>
      </c>
      <c r="I7429" s="3" t="s">
        <v>13</v>
      </c>
      <c r="J7429" s="3" t="s">
        <v>21291</v>
      </c>
      <c r="K7429" s="3" t="s">
        <v>437</v>
      </c>
      <c r="L7429" s="3" t="str">
        <f>IFERROR(__xludf.DUMMYFUNCTION("GOOGLETRANSLATE(F7429,""id"",""en"")"),"Argentine coach Lionel Scaloni revealed his conversation with Lionel Messi he was sure that the conversation was the trigger for his team to the World Cup championship")</f>
        <v>Argentine coach Lionel Scaloni revealed his conversation with Lionel Messi he was sure that the conversation was the trigger for his team to the World Cup championship</v>
      </c>
    </row>
    <row r="7430" ht="15.75" customHeight="1">
      <c r="A7430" s="1">
        <v>8645.0</v>
      </c>
      <c r="B7430" s="3" t="s">
        <v>21293</v>
      </c>
      <c r="C7430" s="3">
        <v>0.0</v>
      </c>
      <c r="D7430" s="3">
        <v>0.0</v>
      </c>
      <c r="E7430" s="3">
        <v>0.0</v>
      </c>
      <c r="F7430" s="3" t="s">
        <v>21294</v>
      </c>
      <c r="G7430" s="3">
        <v>0.0</v>
      </c>
      <c r="H7430" s="3">
        <v>0.0</v>
      </c>
      <c r="I7430" s="3" t="s">
        <v>13</v>
      </c>
      <c r="J7430" s="3" t="s">
        <v>21295</v>
      </c>
      <c r="K7430" s="3" t="s">
        <v>82</v>
      </c>
      <c r="L7430" s="3" t="str">
        <f>IFERROR(__xludf.DUMMYFUNCTION("GOOGLETRANSLATE(F7430,""id"",""en"")"),"sinking with the news of Argentina World Cup champions")</f>
        <v>sinking with the news of Argentina World Cup champions</v>
      </c>
    </row>
    <row r="7431" ht="15.75" customHeight="1">
      <c r="A7431" s="1">
        <v>8646.0</v>
      </c>
      <c r="B7431" s="3" t="s">
        <v>21296</v>
      </c>
      <c r="C7431" s="3">
        <v>0.0</v>
      </c>
      <c r="D7431" s="3">
        <v>0.0</v>
      </c>
      <c r="E7431" s="3">
        <v>1.0</v>
      </c>
      <c r="F7431" s="3" t="s">
        <v>21297</v>
      </c>
      <c r="G7431" s="3">
        <v>0.0</v>
      </c>
      <c r="H7431" s="3">
        <v>0.0</v>
      </c>
      <c r="I7431" s="3" t="s">
        <v>13</v>
      </c>
      <c r="J7431" s="3" t="s">
        <v>21298</v>
      </c>
      <c r="K7431" s="3" t="s">
        <v>437</v>
      </c>
      <c r="L7431" s="3" t="str">
        <f>IFERROR(__xludf.DUMMYFUNCTION("GOOGLETRANSLATE(F7431,""id"",""en"")"),"I agreed that Mr. Jokowi was the period because since the time of Jokowi, Argentina could win the World Cup yet to be a director")</f>
        <v>I agreed that Mr. Jokowi was the period because since the time of Jokowi, Argentina could win the World Cup yet to be a director</v>
      </c>
    </row>
    <row r="7432" ht="15.75" customHeight="1">
      <c r="A7432" s="1">
        <v>8647.0</v>
      </c>
      <c r="B7432" s="3" t="s">
        <v>21299</v>
      </c>
      <c r="C7432" s="3">
        <v>0.0</v>
      </c>
      <c r="D7432" s="3">
        <v>0.0</v>
      </c>
      <c r="E7432" s="3">
        <v>1.0</v>
      </c>
      <c r="F7432" s="3" t="s">
        <v>21300</v>
      </c>
      <c r="G7432" s="3">
        <v>0.0</v>
      </c>
      <c r="H7432" s="3">
        <v>0.0</v>
      </c>
      <c r="I7432" s="3" t="s">
        <v>13</v>
      </c>
      <c r="J7432" s="3" t="s">
        <v>21301</v>
      </c>
      <c r="K7432" s="3" t="s">
        <v>31</v>
      </c>
      <c r="L7432" s="3" t="str">
        <f>IFERROR(__xludf.DUMMYFUNCTION("GOOGLETRANSLATE(F7432,""id"",""en"")"),"Argentina Champion Ruling Merda Fans")</f>
        <v>Argentina Champion Ruling Merda Fans</v>
      </c>
    </row>
    <row r="7433" ht="15.75" customHeight="1">
      <c r="A7433" s="1">
        <v>8648.0</v>
      </c>
      <c r="B7433" s="3" t="s">
        <v>21302</v>
      </c>
      <c r="C7433" s="3">
        <v>0.0</v>
      </c>
      <c r="D7433" s="3">
        <v>1.0</v>
      </c>
      <c r="E7433" s="3">
        <v>2.0</v>
      </c>
      <c r="F7433" s="3" t="s">
        <v>21303</v>
      </c>
      <c r="G7433" s="3">
        <v>0.0</v>
      </c>
      <c r="H7433" s="3">
        <v>0.0</v>
      </c>
      <c r="I7433" s="3" t="s">
        <v>13</v>
      </c>
      <c r="J7433" s="3" t="s">
        <v>21304</v>
      </c>
      <c r="K7433" s="3" t="s">
        <v>90</v>
      </c>
      <c r="L7433" s="3" t="str">
        <f>IFERROR(__xludf.DUMMYFUNCTION("GOOGLETRANSLATE(F7433,""id"",""en"")"),"Difficult Argentina succeeded in winning the World Cup while I was your heart to become the second champion, I was France was tired of fighting but still ended in eroded")</f>
        <v>Difficult Argentina succeeded in winning the World Cup while I was your heart to become the second champion, I was France was tired of fighting but still ended in eroded</v>
      </c>
    </row>
    <row r="7434" ht="15.75" customHeight="1">
      <c r="A7434" s="1">
        <v>8649.0</v>
      </c>
      <c r="B7434" s="3" t="s">
        <v>21305</v>
      </c>
      <c r="C7434" s="3">
        <v>0.0</v>
      </c>
      <c r="D7434" s="3">
        <v>1.0</v>
      </c>
      <c r="E7434" s="3">
        <v>6.0</v>
      </c>
      <c r="F7434" s="3" t="s">
        <v>21306</v>
      </c>
      <c r="G7434" s="3">
        <v>0.0</v>
      </c>
      <c r="H7434" s="3">
        <v>0.0</v>
      </c>
      <c r="I7434" s="3" t="s">
        <v>13</v>
      </c>
      <c r="J7434" s="3" t="s">
        <v>21307</v>
      </c>
      <c r="K7434" s="3" t="s">
        <v>437</v>
      </c>
      <c r="L7434" s="3" t="str">
        <f>IFERROR(__xludf.DUMMYFUNCTION("GOOGLETRANSLATE(F7434,""id"",""en"")"),"Argentina's success in winning the World Cup makes Juventus remain the top of the club with the most world champion owners")</f>
        <v>Argentina's success in winning the World Cup makes Juventus remain the top of the club with the most world champion owners</v>
      </c>
    </row>
    <row r="7435" ht="15.75" customHeight="1">
      <c r="A7435" s="1">
        <v>8650.0</v>
      </c>
      <c r="B7435" s="3" t="s">
        <v>21308</v>
      </c>
      <c r="C7435" s="3">
        <v>0.0</v>
      </c>
      <c r="D7435" s="3">
        <v>0.0</v>
      </c>
      <c r="E7435" s="3">
        <v>0.0</v>
      </c>
      <c r="F7435" s="3" t="s">
        <v>21309</v>
      </c>
      <c r="G7435" s="3">
        <v>0.0</v>
      </c>
      <c r="H7435" s="3">
        <v>0.0</v>
      </c>
      <c r="I7435" s="3" t="s">
        <v>13</v>
      </c>
      <c r="J7435" s="3" t="s">
        <v>21310</v>
      </c>
      <c r="K7435" s="3" t="s">
        <v>695</v>
      </c>
      <c r="L7435" s="3" t="str">
        <f>IFERROR(__xludf.DUMMYFUNCTION("GOOGLETRANSLATE(F7435,""id"",""en"")"),"The Argentine government set today Tuesday December as a national holiday this was decided after Lionel Messi et al managed to become the World Cup championship")</f>
        <v>The Argentine government set today Tuesday December as a national holiday this was decided after Lionel Messi et al managed to become the World Cup championship</v>
      </c>
    </row>
    <row r="7436" ht="15.75" customHeight="1">
      <c r="A7436" s="1">
        <v>8651.0</v>
      </c>
      <c r="B7436" s="3" t="s">
        <v>21311</v>
      </c>
      <c r="C7436" s="3">
        <v>1.0</v>
      </c>
      <c r="D7436" s="3">
        <v>0.0</v>
      </c>
      <c r="E7436" s="3">
        <v>0.0</v>
      </c>
      <c r="F7436" s="3" t="s">
        <v>21312</v>
      </c>
      <c r="G7436" s="3">
        <v>0.0</v>
      </c>
      <c r="H7436" s="3">
        <v>0.0</v>
      </c>
      <c r="I7436" s="3" t="s">
        <v>13</v>
      </c>
      <c r="J7436" s="3" t="s">
        <v>21313</v>
      </c>
      <c r="K7436" s="3" t="s">
        <v>205</v>
      </c>
      <c r="L7436" s="3" t="str">
        <f>IFERROR(__xludf.DUMMYFUNCTION("GOOGLETRANSLATE(F7436,""id"",""en"")"),"It's a luxurious Portugal, how come you can win bro, even though there are famous Argentine players, old old old old age, messi Maria Dybala")</f>
        <v>It's a luxurious Portugal, how come you can win bro, even though there are famous Argentine players, old old old old age, messi Maria Dybala</v>
      </c>
    </row>
    <row r="7437" ht="15.75" customHeight="1">
      <c r="A7437" s="1">
        <v>8652.0</v>
      </c>
      <c r="B7437" s="3" t="s">
        <v>21314</v>
      </c>
      <c r="C7437" s="3">
        <v>0.0</v>
      </c>
      <c r="D7437" s="3">
        <v>0.0</v>
      </c>
      <c r="E7437" s="3">
        <v>0.0</v>
      </c>
      <c r="F7437" s="3" t="s">
        <v>21315</v>
      </c>
      <c r="G7437" s="3">
        <v>0.0</v>
      </c>
      <c r="H7437" s="3">
        <v>0.0</v>
      </c>
      <c r="I7437" s="3" t="s">
        <v>13</v>
      </c>
      <c r="J7437" s="3" t="s">
        <v>21316</v>
      </c>
      <c r="K7437" s="3" t="s">
        <v>41</v>
      </c>
      <c r="L7437" s="3" t="str">
        <f>IFERROR(__xludf.DUMMYFUNCTION("GOOGLETRANSLATE(F7437,""id"",""en"")"),"Redsindo is sitting on the key players champion Argentina or Bodyguard Messi")</f>
        <v>Redsindo is sitting on the key players champion Argentina or Bodyguard Messi</v>
      </c>
    </row>
    <row r="7438" ht="15.75" customHeight="1">
      <c r="A7438" s="1">
        <v>8653.0</v>
      </c>
      <c r="B7438" s="3" t="s">
        <v>21317</v>
      </c>
      <c r="C7438" s="3">
        <v>13.0</v>
      </c>
      <c r="D7438" s="3">
        <v>34.0</v>
      </c>
      <c r="E7438" s="3">
        <v>353.0</v>
      </c>
      <c r="F7438" s="3" t="s">
        <v>21318</v>
      </c>
      <c r="G7438" s="3">
        <v>0.0</v>
      </c>
      <c r="H7438" s="3">
        <v>0.0</v>
      </c>
      <c r="I7438" s="3" t="s">
        <v>13</v>
      </c>
      <c r="J7438" s="3" t="s">
        <v>21319</v>
      </c>
      <c r="K7438" s="3" t="s">
        <v>75</v>
      </c>
      <c r="L7438" s="3" t="str">
        <f>IFERROR(__xludf.DUMMYFUNCTION("GOOGLETRANSLATE(F7438,""id"",""en"")"),"greetings from the leader for the success of Argentina to become the champion of the Qatar World Cup")</f>
        <v>greetings from the leader for the success of Argentina to become the champion of the Qatar World Cup</v>
      </c>
    </row>
    <row r="7439" ht="15.75" customHeight="1">
      <c r="A7439" s="1">
        <v>8654.0</v>
      </c>
      <c r="B7439" s="3" t="s">
        <v>21320</v>
      </c>
      <c r="C7439" s="3">
        <v>3.0</v>
      </c>
      <c r="D7439" s="3">
        <v>0.0</v>
      </c>
      <c r="E7439" s="3">
        <v>0.0</v>
      </c>
      <c r="F7439" s="3" t="s">
        <v>21321</v>
      </c>
      <c r="G7439" s="3">
        <v>0.0</v>
      </c>
      <c r="H7439" s="3">
        <v>0.0</v>
      </c>
      <c r="I7439" s="3" t="s">
        <v>13</v>
      </c>
      <c r="J7439" s="3" t="s">
        <v>21322</v>
      </c>
      <c r="K7439" s="3" t="s">
        <v>1097</v>
      </c>
      <c r="L7439" s="3" t="str">
        <f>IFERROR(__xludf.DUMMYFUNCTION("GOOGLETRANSLATE(F7439,""id"",""en"")"),"Redsindo Begonya where the Argentina champion is the boss of the free champion")</f>
        <v>Redsindo Begonya where the Argentina champion is the boss of the free champion</v>
      </c>
    </row>
    <row r="7440" ht="15.75" customHeight="1">
      <c r="A7440" s="1">
        <v>8655.0</v>
      </c>
      <c r="B7440" s="3" t="s">
        <v>21323</v>
      </c>
      <c r="C7440" s="3">
        <v>0.0</v>
      </c>
      <c r="D7440" s="3">
        <v>0.0</v>
      </c>
      <c r="E7440" s="3">
        <v>1.0</v>
      </c>
      <c r="F7440" s="3" t="s">
        <v>21324</v>
      </c>
      <c r="G7440" s="3">
        <v>0.3</v>
      </c>
      <c r="H7440" s="3">
        <v>1.0</v>
      </c>
      <c r="I7440" s="3" t="s">
        <v>48</v>
      </c>
      <c r="J7440" s="3" t="s">
        <v>21325</v>
      </c>
      <c r="K7440" s="3" t="s">
        <v>2215</v>
      </c>
      <c r="L7440" s="3" t="str">
        <f>IFERROR(__xludf.DUMMYFUNCTION("GOOGLETRANSLATE(F7440,""id"",""en"")"),"The output of Sydney December Result Shio Naga China Prediction Tuesday December Best Shio Rabbit BBFS")</f>
        <v>The output of Sydney December Result Shio Naga China Prediction Tuesday December Best Shio Rabbit BBFS</v>
      </c>
    </row>
    <row r="7441" ht="15.75" customHeight="1">
      <c r="A7441" s="1">
        <v>8656.0</v>
      </c>
      <c r="B7441" s="3" t="s">
        <v>21326</v>
      </c>
      <c r="C7441" s="3">
        <v>1.0</v>
      </c>
      <c r="D7441" s="3">
        <v>0.0</v>
      </c>
      <c r="E7441" s="3">
        <v>0.0</v>
      </c>
      <c r="F7441" s="3" t="s">
        <v>21327</v>
      </c>
      <c r="G7441" s="3">
        <v>0.2333333333333333</v>
      </c>
      <c r="H7441" s="3">
        <v>-0.25</v>
      </c>
      <c r="I7441" s="3" t="s">
        <v>179</v>
      </c>
      <c r="J7441" s="3" t="s">
        <v>21328</v>
      </c>
      <c r="K7441" s="3" t="s">
        <v>127</v>
      </c>
      <c r="L7441" s="3" t="str">
        <f>IFERROR(__xludf.DUMMYFUNCTION("GOOGLETRANSLATE(F7441,""id"",""en"")"),"After landing the Argentine championship squad, it will take the bus open to start the victory parade to the Obelisk Monument Local time")</f>
        <v>After landing the Argentine championship squad, it will take the bus open to start the victory parade to the Obelisk Monument Local time</v>
      </c>
    </row>
    <row r="7442" ht="15.75" customHeight="1">
      <c r="A7442" s="1">
        <v>8657.0</v>
      </c>
      <c r="B7442" s="3" t="s">
        <v>21329</v>
      </c>
      <c r="C7442" s="3">
        <v>1.0</v>
      </c>
      <c r="D7442" s="3">
        <v>0.0</v>
      </c>
      <c r="E7442" s="3">
        <v>0.0</v>
      </c>
      <c r="F7442" s="3" t="s">
        <v>21330</v>
      </c>
      <c r="G7442" s="3">
        <v>0.0</v>
      </c>
      <c r="H7442" s="3">
        <v>0.0</v>
      </c>
      <c r="I7442" s="3" t="s">
        <v>13</v>
      </c>
      <c r="J7442" s="3" t="s">
        <v>21331</v>
      </c>
      <c r="K7442" s="3" t="s">
        <v>675</v>
      </c>
      <c r="L7442" s="3" t="str">
        <f>IFERROR(__xludf.DUMMYFUNCTION("GOOGLETRANSLATE(F7442,""id"",""en"")"),"Argentina national team on Tuesday morning landed Ministro Pistarini International Airport Ezeiza Buenos Aires Lionel Messi and friends were greeted by a sea of ​​Argentina who was waiting for the presence of the Qatar World Cup champion")</f>
        <v>Argentina national team on Tuesday morning landed Ministro Pistarini International Airport Ezeiza Buenos Aires Lionel Messi and friends were greeted by a sea of ​​Argentina who was waiting for the presence of the Qatar World Cup champion</v>
      </c>
    </row>
    <row r="7443" ht="15.75" customHeight="1">
      <c r="A7443" s="1">
        <v>8658.0</v>
      </c>
      <c r="B7443" s="3" t="s">
        <v>21332</v>
      </c>
      <c r="C7443" s="3">
        <v>0.0</v>
      </c>
      <c r="D7443" s="3">
        <v>1.0</v>
      </c>
      <c r="E7443" s="3">
        <v>4.0</v>
      </c>
      <c r="F7443" s="3" t="s">
        <v>21333</v>
      </c>
      <c r="G7443" s="3">
        <v>0.0</v>
      </c>
      <c r="H7443" s="3">
        <v>0.0</v>
      </c>
      <c r="I7443" s="3" t="s">
        <v>13</v>
      </c>
      <c r="J7443" s="3" t="s">
        <v>21334</v>
      </c>
      <c r="K7443" s="3" t="s">
        <v>899</v>
      </c>
      <c r="L7443" s="3" t="str">
        <f>IFERROR(__xludf.DUMMYFUNCTION("GOOGLETRANSLATE(F7443,""id"",""en"")"),"Golkar Party politician who championed Argentina World Cup champion Qatar Dedi Mulyadi Member of Parlians Indah Indriani North Luwu Regent Ahmed Zaki Iskandar Regent of Tangerang Agun Gunandjar Sudarsa Member of DPR")</f>
        <v>Golkar Party politician who championed Argentina World Cup champion Qatar Dedi Mulyadi Member of Parlians Indah Indriani North Luwu Regent Ahmed Zaki Iskandar Regent of Tangerang Agun Gunandjar Sudarsa Member of DPR</v>
      </c>
    </row>
    <row r="7444" ht="15.75" customHeight="1">
      <c r="A7444" s="1">
        <v>8659.0</v>
      </c>
      <c r="B7444" s="3" t="s">
        <v>21335</v>
      </c>
      <c r="C7444" s="3">
        <v>2.0</v>
      </c>
      <c r="D7444" s="3">
        <v>1.0</v>
      </c>
      <c r="E7444" s="3">
        <v>5.0</v>
      </c>
      <c r="F7444" s="3" t="s">
        <v>21336</v>
      </c>
      <c r="G7444" s="3">
        <v>0.0</v>
      </c>
      <c r="H7444" s="3">
        <v>0.0</v>
      </c>
      <c r="I7444" s="3" t="s">
        <v>13</v>
      </c>
      <c r="J7444" s="3" t="s">
        <v>21337</v>
      </c>
      <c r="K7444" s="3" t="s">
        <v>614</v>
      </c>
      <c r="L7444" s="3" t="str">
        <f>IFERROR(__xludf.DUMMYFUNCTION("GOOGLETRANSLATE(F7444,""id"",""en"")"),"Argentine free champion Alberto Fernandez announced on December as a national holiday after Lionel Messi et al Champion the Qatar World Cup")</f>
        <v>Argentine free champion Alberto Fernandez announced on December as a national holiday after Lionel Messi et al Champion the Qatar World Cup</v>
      </c>
    </row>
    <row r="7445" ht="15.75" customHeight="1">
      <c r="A7445" s="1">
        <v>8660.0</v>
      </c>
      <c r="B7445" s="3" t="s">
        <v>21338</v>
      </c>
      <c r="C7445" s="3">
        <v>0.0</v>
      </c>
      <c r="D7445" s="3">
        <v>0.0</v>
      </c>
      <c r="E7445" s="3">
        <v>0.0</v>
      </c>
      <c r="F7445" s="3" t="s">
        <v>21339</v>
      </c>
      <c r="G7445" s="3">
        <v>0.0</v>
      </c>
      <c r="H7445" s="3">
        <v>0.0</v>
      </c>
      <c r="I7445" s="3" t="s">
        <v>13</v>
      </c>
      <c r="J7445" s="3" t="s">
        <v>21340</v>
      </c>
      <c r="K7445" s="3" t="s">
        <v>41</v>
      </c>
      <c r="L7445" s="3" t="str">
        <f>IFERROR(__xludf.DUMMYFUNCTION("GOOGLETRANSLATE(F7445,""id"",""en"")"),"Blog Diem Argentina Champion Kbny Watching GNI KEK Larvae")</f>
        <v>Blog Diem Argentina Champion Kbny Watching GNI KEK Larvae</v>
      </c>
    </row>
    <row r="7446" ht="15.75" customHeight="1">
      <c r="A7446" s="1">
        <v>8661.0</v>
      </c>
      <c r="B7446" s="3" t="s">
        <v>21341</v>
      </c>
      <c r="C7446" s="3">
        <v>7.0</v>
      </c>
      <c r="D7446" s="3">
        <v>457.0</v>
      </c>
      <c r="E7446" s="3">
        <v>2398.0</v>
      </c>
      <c r="F7446" s="3" t="s">
        <v>21342</v>
      </c>
      <c r="G7446" s="3">
        <v>0.0</v>
      </c>
      <c r="H7446" s="3">
        <v>0.0</v>
      </c>
      <c r="I7446" s="3" t="s">
        <v>13</v>
      </c>
      <c r="J7446" s="3" t="s">
        <v>21343</v>
      </c>
      <c r="K7446" s="3" t="s">
        <v>520</v>
      </c>
      <c r="L7446" s="3" t="str">
        <f>IFERROR(__xludf.DUMMYFUNCTION("GOOGLETRANSLATE(F7446,""id"",""en"")"),"like watching movies but sometimes like watching funny Japanese anime funny also for Argentina for the World Cup champion, definitely get an iPhone")</f>
        <v>like watching movies but sometimes like watching funny Japanese anime funny also for Argentina for the World Cup champion, definitely get an iPhone</v>
      </c>
    </row>
    <row r="7447" ht="15.75" customHeight="1">
      <c r="A7447" s="1">
        <v>8662.0</v>
      </c>
      <c r="B7447" s="3" t="s">
        <v>21344</v>
      </c>
      <c r="C7447" s="3">
        <v>0.0</v>
      </c>
      <c r="D7447" s="3">
        <v>0.0</v>
      </c>
      <c r="E7447" s="3">
        <v>0.0</v>
      </c>
      <c r="F7447" s="3" t="s">
        <v>21345</v>
      </c>
      <c r="G7447" s="3">
        <v>0.5</v>
      </c>
      <c r="H7447" s="3">
        <v>0.5</v>
      </c>
      <c r="I7447" s="3" t="s">
        <v>48</v>
      </c>
      <c r="J7447" s="3" t="s">
        <v>21346</v>
      </c>
      <c r="K7447" s="3" t="s">
        <v>45</v>
      </c>
      <c r="L7447" s="3" t="str">
        <f>IFERROR(__xludf.DUMMYFUNCTION("GOOGLETRANSLATE(F7447,""id"",""en"")"),"So actually the Qatar FIFA World Cup has been paid by FIFA MBAPPE so the Argentina top score is the champion of Messi has given many benefits to FIFA and the LGBT campaign is successful.")</f>
        <v>So actually the Qatar FIFA World Cup has been paid by FIFA MBAPPE so the Argentina top score is the champion of Messi has given many benefits to FIFA and the LGBT campaign is successful.</v>
      </c>
    </row>
    <row r="7448" ht="15.75" customHeight="1">
      <c r="A7448" s="1">
        <v>8663.0</v>
      </c>
      <c r="B7448" s="3" t="s">
        <v>21347</v>
      </c>
      <c r="C7448" s="3">
        <v>1.0</v>
      </c>
      <c r="D7448" s="3">
        <v>0.0</v>
      </c>
      <c r="E7448" s="3">
        <v>0.0</v>
      </c>
      <c r="F7448" s="3" t="s">
        <v>21348</v>
      </c>
      <c r="G7448" s="3">
        <v>1.0</v>
      </c>
      <c r="H7448" s="3">
        <v>0.0</v>
      </c>
      <c r="I7448" s="3" t="s">
        <v>13</v>
      </c>
      <c r="J7448" s="3" t="s">
        <v>21349</v>
      </c>
      <c r="K7448" s="3" t="s">
        <v>215</v>
      </c>
      <c r="L7448" s="3" t="str">
        <f>IFERROR(__xludf.DUMMYFUNCTION("GOOGLETRANSLATE(F7448,""id"",""en"")"),"Stupid, the name has entered the final, everything has been prepared to become a champion, the Argentine player also uses a special jersey when the trophy handing over the settings will also see that the big league team is almost certain")</f>
        <v>Stupid, the name has entered the final, everything has been prepared to become a champion, the Argentine player also uses a special jersey when the trophy handing over the settings will also see that the big league team is almost certain</v>
      </c>
    </row>
    <row r="7449" ht="15.75" customHeight="1">
      <c r="A7449" s="1">
        <v>8664.0</v>
      </c>
      <c r="B7449" s="3" t="s">
        <v>21350</v>
      </c>
      <c r="C7449" s="3">
        <v>0.0</v>
      </c>
      <c r="D7449" s="3">
        <v>0.0</v>
      </c>
      <c r="E7449" s="3">
        <v>2.0</v>
      </c>
      <c r="F7449" s="3" t="s">
        <v>21351</v>
      </c>
      <c r="G7449" s="3">
        <v>0.0</v>
      </c>
      <c r="H7449" s="3">
        <v>0.0</v>
      </c>
      <c r="I7449" s="3" t="s">
        <v>13</v>
      </c>
      <c r="J7449" s="3" t="s">
        <v>21352</v>
      </c>
      <c r="K7449" s="3" t="s">
        <v>1854</v>
      </c>
      <c r="L7449" s="3" t="str">
        <f>IFERROR(__xludf.DUMMYFUNCTION("GOOGLETRANSLATE(F7449,""id"",""en"")"),"Argentina national team on Tuesday morning landed Ministro Pistarini International Airport Ezeiza Buenos Aires with Airbus Lionel Messi and friends was greeted by a sea of ​​Argentine who was waiting for the presence of the championship")</f>
        <v>Argentina national team on Tuesday morning landed Ministro Pistarini International Airport Ezeiza Buenos Aires with Airbus Lionel Messi and friends was greeted by a sea of ​​Argentine who was waiting for the presence of the championship</v>
      </c>
    </row>
    <row r="7450" ht="15.75" customHeight="1">
      <c r="A7450" s="1">
        <v>8665.0</v>
      </c>
      <c r="B7450" s="3" t="s">
        <v>21353</v>
      </c>
      <c r="C7450" s="3">
        <v>1.0</v>
      </c>
      <c r="D7450" s="3">
        <v>0.0</v>
      </c>
      <c r="E7450" s="3">
        <v>0.0</v>
      </c>
      <c r="F7450" s="3" t="s">
        <v>21354</v>
      </c>
      <c r="G7450" s="3">
        <v>0.0</v>
      </c>
      <c r="H7450" s="3">
        <v>0.0</v>
      </c>
      <c r="I7450" s="3" t="s">
        <v>13</v>
      </c>
      <c r="J7450" s="3" t="s">
        <v>21355</v>
      </c>
      <c r="K7450" s="3" t="s">
        <v>445</v>
      </c>
      <c r="L7450" s="3" t="str">
        <f>IFERROR(__xludf.DUMMYFUNCTION("GOOGLETRANSLATE(F7450,""id"",""en"")"),"Pratamaaa In fact, almost all Barca fans yesterday supported Argentina to see Messi champions, the majority of Madrid fans supported France because I didn't want to win the rival champion.")</f>
        <v>Pratamaaa In fact, almost all Barca fans yesterday supported Argentina to see Messi champions, the majority of Madrid fans supported France because I didn't want to win the rival champion.</v>
      </c>
    </row>
    <row r="7451" ht="15.75" customHeight="1">
      <c r="A7451" s="1">
        <v>8666.0</v>
      </c>
      <c r="B7451" s="3" t="s">
        <v>21356</v>
      </c>
      <c r="C7451" s="3">
        <v>0.0</v>
      </c>
      <c r="D7451" s="3">
        <v>0.0</v>
      </c>
      <c r="E7451" s="3">
        <v>0.0</v>
      </c>
      <c r="F7451" s="3" t="s">
        <v>21357</v>
      </c>
      <c r="G7451" s="3">
        <v>1.0</v>
      </c>
      <c r="H7451" s="3">
        <v>0.0</v>
      </c>
      <c r="I7451" s="3" t="s">
        <v>13</v>
      </c>
      <c r="J7451" s="3" t="s">
        <v>21358</v>
      </c>
      <c r="K7451" s="3" t="s">
        <v>192</v>
      </c>
      <c r="L7451" s="3" t="str">
        <f>IFERROR(__xludf.DUMMYFUNCTION("GOOGLETRANSLATE(F7451,""id"",""en"")"),"so don't really stupid before the final party, both France and Argentina, has provided fifa jersey bus etc. If one of them is the champion who lives in other examples can see from the MotoGP rider when they are the right champions")</f>
        <v>so don't really stupid before the final party, both France and Argentina, has provided fifa jersey bus etc. If one of them is the champion who lives in other examples can see from the MotoGP rider when they are the right champions</v>
      </c>
    </row>
    <row r="7452" ht="15.75" customHeight="1">
      <c r="A7452" s="1">
        <v>8667.0</v>
      </c>
      <c r="B7452" s="3" t="s">
        <v>21359</v>
      </c>
      <c r="C7452" s="3">
        <v>0.0</v>
      </c>
      <c r="D7452" s="3">
        <v>0.0</v>
      </c>
      <c r="E7452" s="3">
        <v>1.0</v>
      </c>
      <c r="F7452" s="3" t="s">
        <v>21360</v>
      </c>
      <c r="G7452" s="3">
        <v>0.0</v>
      </c>
      <c r="H7452" s="3">
        <v>0.0</v>
      </c>
      <c r="I7452" s="3" t="s">
        <v>13</v>
      </c>
      <c r="J7452" s="3" t="s">
        <v>21361</v>
      </c>
      <c r="K7452" s="3" t="s">
        <v>437</v>
      </c>
      <c r="L7452" s="3" t="str">
        <f>IFERROR(__xludf.DUMMYFUNCTION("GOOGLETRANSLATE(F7452,""id"",""en"")"),"Seriously, but at least the Argentine national team championship, if our national team, the Southeast Asia level is still not in the same time and we also print a lot of debt")</f>
        <v>Seriously, but at least the Argentine national team championship, if our national team, the Southeast Asia level is still not in the same time and we also print a lot of debt</v>
      </c>
    </row>
    <row r="7453" ht="15.75" customHeight="1">
      <c r="A7453" s="1">
        <v>8668.0</v>
      </c>
      <c r="B7453" s="3" t="s">
        <v>21362</v>
      </c>
      <c r="C7453" s="3">
        <v>0.0</v>
      </c>
      <c r="D7453" s="3">
        <v>0.0</v>
      </c>
      <c r="E7453" s="3">
        <v>2.0</v>
      </c>
      <c r="F7453" s="3" t="s">
        <v>21363</v>
      </c>
      <c r="G7453" s="3">
        <v>0.0</v>
      </c>
      <c r="H7453" s="3">
        <v>0.0</v>
      </c>
      <c r="I7453" s="3" t="s">
        <v>13</v>
      </c>
      <c r="J7453" s="3" t="s">
        <v>21364</v>
      </c>
      <c r="K7453" s="3" t="s">
        <v>54</v>
      </c>
      <c r="L7453" s="3" t="str">
        <f>IFERROR(__xludf.DUMMYFUNCTION("GOOGLETRANSLATE(F7453,""id"",""en"")"),"Salt Bae just nimbrung Argentina Champion Masa")</f>
        <v>Salt Bae just nimbrung Argentina Champion Masa</v>
      </c>
    </row>
    <row r="7454" ht="15.75" customHeight="1">
      <c r="A7454" s="1">
        <v>8669.0</v>
      </c>
      <c r="B7454" s="3" t="s">
        <v>21365</v>
      </c>
      <c r="C7454" s="3">
        <v>0.0</v>
      </c>
      <c r="D7454" s="3">
        <v>0.0</v>
      </c>
      <c r="E7454" s="3">
        <v>0.0</v>
      </c>
      <c r="F7454" s="3" t="s">
        <v>21366</v>
      </c>
      <c r="G7454" s="3">
        <v>0.0</v>
      </c>
      <c r="H7454" s="3">
        <v>0.0</v>
      </c>
      <c r="I7454" s="3" t="s">
        <v>13</v>
      </c>
      <c r="J7454" s="3" t="s">
        <v>21367</v>
      </c>
      <c r="K7454" s="3" t="s">
        <v>644</v>
      </c>
      <c r="L7454" s="3" t="str">
        <f>IFERROR(__xludf.DUMMYFUNCTION("GOOGLETRANSLATE(F7454,""id"",""en"")"),"Congratulations Argentina's Brother Champion")</f>
        <v>Congratulations Argentina's Brother Champion</v>
      </c>
    </row>
    <row r="7455" ht="15.75" customHeight="1">
      <c r="A7455" s="1">
        <v>8670.0</v>
      </c>
      <c r="B7455" s="3" t="s">
        <v>21368</v>
      </c>
      <c r="C7455" s="3">
        <v>0.0</v>
      </c>
      <c r="D7455" s="3">
        <v>0.0</v>
      </c>
      <c r="E7455" s="3">
        <v>0.0</v>
      </c>
      <c r="F7455" s="3" t="s">
        <v>21369</v>
      </c>
      <c r="G7455" s="3">
        <v>0.0</v>
      </c>
      <c r="H7455" s="3">
        <v>0.0</v>
      </c>
      <c r="I7455" s="3" t="s">
        <v>13</v>
      </c>
      <c r="J7455" s="3" t="s">
        <v>21370</v>
      </c>
      <c r="K7455" s="3" t="s">
        <v>1469</v>
      </c>
      <c r="L7455" s="3" t="str">
        <f>IFERROR(__xludf.DUMMYFUNCTION("GOOGLETRANSLATE(F7455,""id"",""en"")"),"FIFA Word Cup has been completed and Argentina who managed to become a champion, hopefully the FIFA Word Cup will be watched it together at home")</f>
        <v>FIFA Word Cup has been completed and Argentina who managed to become a champion, hopefully the FIFA Word Cup will be watched it together at home</v>
      </c>
    </row>
    <row r="7456" ht="15.75" customHeight="1">
      <c r="A7456" s="1">
        <v>8671.0</v>
      </c>
      <c r="B7456" s="3" t="s">
        <v>21371</v>
      </c>
      <c r="C7456" s="3">
        <v>12.0</v>
      </c>
      <c r="D7456" s="3">
        <v>1.0</v>
      </c>
      <c r="E7456" s="3">
        <v>0.0</v>
      </c>
      <c r="F7456" s="3" t="s">
        <v>21372</v>
      </c>
      <c r="G7456" s="3">
        <v>0.0</v>
      </c>
      <c r="H7456" s="3">
        <v>0.0</v>
      </c>
      <c r="I7456" s="3" t="s">
        <v>13</v>
      </c>
      <c r="J7456" s="3" t="s">
        <v>21373</v>
      </c>
      <c r="K7456" s="3" t="s">
        <v>491</v>
      </c>
      <c r="L7456" s="3" t="str">
        <f>IFERROR(__xludf.DUMMYFUNCTION("GOOGLETRANSLATE(F7456,""id"",""en"")"),"Already in the afternoon, what is the time to eat ANAAAK ARGENTINA, I became a champion for me when you champion in your heart")</f>
        <v>Already in the afternoon, what is the time to eat ANAAAK ARGENTINA, I became a champion for me when you champion in your heart</v>
      </c>
    </row>
    <row r="7457" ht="15.75" customHeight="1">
      <c r="A7457" s="1">
        <v>8672.0</v>
      </c>
      <c r="B7457" s="3" t="s">
        <v>21374</v>
      </c>
      <c r="C7457" s="3">
        <v>0.0</v>
      </c>
      <c r="D7457" s="3">
        <v>0.0</v>
      </c>
      <c r="E7457" s="3">
        <v>0.0</v>
      </c>
      <c r="F7457" s="3" t="s">
        <v>21375</v>
      </c>
      <c r="G7457" s="3">
        <v>0.0</v>
      </c>
      <c r="H7457" s="3">
        <v>0.0</v>
      </c>
      <c r="I7457" s="3" t="s">
        <v>13</v>
      </c>
      <c r="J7457" s="3" t="s">
        <v>21376</v>
      </c>
      <c r="K7457" s="3" t="s">
        <v>54</v>
      </c>
      <c r="L7457" s="3" t="str">
        <f>IFERROR(__xludf.DUMMYFUNCTION("GOOGLETRANSLATE(F7457,""id"",""en"")"),"with sis I'm also happy Argentina champions")</f>
        <v>with sis I'm also happy Argentina champions</v>
      </c>
    </row>
    <row r="7458" ht="15.75" customHeight="1">
      <c r="A7458" s="1">
        <v>8673.0</v>
      </c>
      <c r="B7458" s="3" t="s">
        <v>21377</v>
      </c>
      <c r="C7458" s="3">
        <v>0.0</v>
      </c>
      <c r="D7458" s="3">
        <v>0.0</v>
      </c>
      <c r="E7458" s="3">
        <v>1.0</v>
      </c>
      <c r="F7458" s="3" t="s">
        <v>21378</v>
      </c>
      <c r="G7458" s="3">
        <v>0.0</v>
      </c>
      <c r="H7458" s="3">
        <v>0.0</v>
      </c>
      <c r="I7458" s="3" t="s">
        <v>13</v>
      </c>
      <c r="J7458" s="3" t="s">
        <v>21379</v>
      </c>
      <c r="K7458" s="3" t="s">
        <v>644</v>
      </c>
      <c r="L7458" s="3" t="str">
        <f>IFERROR(__xludf.DUMMYFUNCTION("GOOGLETRANSLATE(F7458,""id"",""en"")"),"Argentina Champion World Cup")</f>
        <v>Argentina Champion World Cup</v>
      </c>
    </row>
    <row r="7459" ht="15.75" customHeight="1">
      <c r="A7459" s="1">
        <v>8674.0</v>
      </c>
      <c r="B7459" s="3" t="s">
        <v>21380</v>
      </c>
      <c r="C7459" s="3">
        <v>0.0</v>
      </c>
      <c r="D7459" s="3">
        <v>0.0</v>
      </c>
      <c r="E7459" s="3">
        <v>0.0</v>
      </c>
      <c r="F7459" s="3" t="s">
        <v>21381</v>
      </c>
      <c r="G7459" s="3">
        <v>0.0</v>
      </c>
      <c r="H7459" s="3">
        <v>0.0</v>
      </c>
      <c r="I7459" s="3" t="s">
        <v>13</v>
      </c>
      <c r="J7459" s="3" t="s">
        <v>21382</v>
      </c>
      <c r="K7459" s="3" t="s">
        <v>15</v>
      </c>
      <c r="L7459" s="3" t="str">
        <f>IFERROR(__xludf.DUMMYFUNCTION("GOOGLETRANSLATE(F7459,""id"",""en"")"),"Celebrate the Argentine World Cup Champion Announces National Holidays")</f>
        <v>Celebrate the Argentine World Cup Champion Announces National Holidays</v>
      </c>
    </row>
    <row r="7460" ht="15.75" customHeight="1">
      <c r="A7460" s="1">
        <v>8675.0</v>
      </c>
      <c r="B7460" s="3" t="s">
        <v>21383</v>
      </c>
      <c r="C7460" s="3">
        <v>1.0</v>
      </c>
      <c r="D7460" s="3">
        <v>2.0</v>
      </c>
      <c r="E7460" s="3">
        <v>32.0</v>
      </c>
      <c r="F7460" s="3" t="s">
        <v>21384</v>
      </c>
      <c r="G7460" s="3">
        <v>0.1</v>
      </c>
      <c r="H7460" s="3">
        <v>-0.1</v>
      </c>
      <c r="I7460" s="3" t="s">
        <v>179</v>
      </c>
      <c r="J7460" s="3" t="s">
        <v>21385</v>
      </c>
      <c r="K7460" s="3" t="s">
        <v>45</v>
      </c>
      <c r="L7460" s="3" t="str">
        <f>IFERROR(__xludf.DUMMYFUNCTION("GOOGLETRANSLATE(F7460,""id"",""en"")"),"The moment of a grand event such as the World Cup event cannot be fully avoided from becoming a place to load the message of messages and political propaganda as the Argentine tournament the World Cup champion Qatar but in politically Palestine is the win"&amp;"ner there")</f>
        <v>The moment of a grand event such as the World Cup event cannot be fully avoided from becoming a place to load the message of messages and political propaganda as the Argentine tournament the World Cup champion Qatar but in politically Palestine is the winner there</v>
      </c>
    </row>
    <row r="7461" ht="15.75" customHeight="1">
      <c r="A7461" s="1">
        <v>8676.0</v>
      </c>
      <c r="B7461" s="3" t="s">
        <v>21386</v>
      </c>
      <c r="C7461" s="3">
        <v>0.0</v>
      </c>
      <c r="D7461" s="3">
        <v>0.0</v>
      </c>
      <c r="E7461" s="3">
        <v>2.0</v>
      </c>
      <c r="F7461" s="3" t="s">
        <v>21387</v>
      </c>
      <c r="G7461" s="3">
        <v>0.0</v>
      </c>
      <c r="H7461" s="3">
        <v>0.0</v>
      </c>
      <c r="I7461" s="3" t="s">
        <v>13</v>
      </c>
      <c r="J7461" s="3" t="s">
        <v>21388</v>
      </c>
      <c r="K7461" s="3" t="s">
        <v>286</v>
      </c>
      <c r="L7461" s="3" t="str">
        <f>IFERROR(__xludf.DUMMYFUNCTION("GOOGLETRANSLATE(F7461,""id"",""en"")"),"The character has been understood by the fact that the facts are clear but our society is indeed happy to promise the success of Mr. Jokowi's latest Argentina World Cup champion after the year only in the era of Mr. Jokowi BGM")</f>
        <v>The character has been understood by the fact that the facts are clear but our society is indeed happy to promise the success of Mr. Jokowi's latest Argentina World Cup champion after the year only in the era of Mr. Jokowi BGM</v>
      </c>
    </row>
    <row r="7462" ht="15.75" customHeight="1">
      <c r="A7462" s="1">
        <v>8677.0</v>
      </c>
      <c r="B7462" s="3" t="s">
        <v>21389</v>
      </c>
      <c r="C7462" s="3">
        <v>0.0</v>
      </c>
      <c r="D7462" s="3">
        <v>0.0</v>
      </c>
      <c r="E7462" s="3">
        <v>1.0</v>
      </c>
      <c r="F7462" s="3" t="s">
        <v>21390</v>
      </c>
      <c r="G7462" s="3">
        <v>0.0</v>
      </c>
      <c r="H7462" s="3">
        <v>0.0</v>
      </c>
      <c r="I7462" s="3" t="s">
        <v>13</v>
      </c>
      <c r="J7462" s="3" t="s">
        <v>21391</v>
      </c>
      <c r="K7462" s="3" t="s">
        <v>75</v>
      </c>
      <c r="L7462" s="3" t="str">
        <f>IFERROR(__xludf.DUMMYFUNCTION("GOOGLETRANSLATE(F7462,""id"",""en"")"),"Lionel Messi and Argentina Team Dinner Celebrates World Cup Champion")</f>
        <v>Lionel Messi and Argentina Team Dinner Celebrates World Cup Champion</v>
      </c>
    </row>
    <row r="7463" ht="15.75" customHeight="1">
      <c r="A7463" s="1">
        <v>8678.0</v>
      </c>
      <c r="B7463" s="3" t="s">
        <v>21392</v>
      </c>
      <c r="C7463" s="3">
        <v>0.0</v>
      </c>
      <c r="D7463" s="3">
        <v>0.0</v>
      </c>
      <c r="E7463" s="3">
        <v>0.0</v>
      </c>
      <c r="F7463" s="3" t="s">
        <v>21393</v>
      </c>
      <c r="G7463" s="3">
        <v>0.0</v>
      </c>
      <c r="H7463" s="3">
        <v>0.0</v>
      </c>
      <c r="I7463" s="3" t="s">
        <v>13</v>
      </c>
      <c r="J7463" s="3" t="s">
        <v>21394</v>
      </c>
      <c r="K7463" s="3" t="s">
        <v>50</v>
      </c>
      <c r="L7463" s="3" t="str">
        <f>IFERROR(__xludf.DUMMYFUNCTION("GOOGLETRANSLATE(F7463,""id"",""en"")"),"posters that show Argentina, just champions of personal photos, are more like a Gotham country")</f>
        <v>posters that show Argentina, just champions of personal photos, are more like a Gotham country</v>
      </c>
    </row>
    <row r="7464" ht="15.75" customHeight="1">
      <c r="A7464" s="1">
        <v>8679.0</v>
      </c>
      <c r="B7464" s="3" t="s">
        <v>21395</v>
      </c>
      <c r="C7464" s="3">
        <v>0.0</v>
      </c>
      <c r="D7464" s="3">
        <v>0.0</v>
      </c>
      <c r="E7464" s="3">
        <v>0.0</v>
      </c>
      <c r="F7464" s="3" t="s">
        <v>21396</v>
      </c>
      <c r="G7464" s="3">
        <v>0.0</v>
      </c>
      <c r="H7464" s="3">
        <v>0.0</v>
      </c>
      <c r="I7464" s="3" t="s">
        <v>13</v>
      </c>
      <c r="J7464" s="3" t="s">
        <v>21397</v>
      </c>
      <c r="K7464" s="3" t="s">
        <v>644</v>
      </c>
      <c r="L7464" s="3" t="str">
        <f>IFERROR(__xludf.DUMMYFUNCTION("GOOGLETRANSLATE(F7464,""id"",""en"")"),"Congratulations Sis Argentina Champion")</f>
        <v>Congratulations Sis Argentina Champion</v>
      </c>
    </row>
    <row r="7465" ht="15.75" customHeight="1">
      <c r="A7465" s="1">
        <v>8681.0</v>
      </c>
      <c r="B7465" s="3" t="s">
        <v>21398</v>
      </c>
      <c r="C7465" s="3">
        <v>0.0</v>
      </c>
      <c r="D7465" s="3">
        <v>1.0</v>
      </c>
      <c r="E7465" s="3">
        <v>5.0</v>
      </c>
      <c r="F7465" s="3" t="s">
        <v>21399</v>
      </c>
      <c r="G7465" s="3">
        <v>0.0</v>
      </c>
      <c r="H7465" s="3">
        <v>0.0</v>
      </c>
      <c r="I7465" s="3" t="s">
        <v>13</v>
      </c>
      <c r="J7465" s="3" t="s">
        <v>21400</v>
      </c>
      <c r="K7465" s="3" t="s">
        <v>286</v>
      </c>
      <c r="L7465" s="3" t="str">
        <f>IFERROR(__xludf.DUMMYFUNCTION("GOOGLETRANSLATE(F7465,""id"",""en"")"),"City of Buenos Aires Millions of Argentine Citizens Participating in the Famous Monument Obelix Amazing Drone Scenery Describe the joy of Argentinians who have long been waiting for other news titles")</f>
        <v>City of Buenos Aires Millions of Argentine Citizens Participating in the Famous Monument Obelix Amazing Drone Scenery Describe the joy of Argentinians who have long been waiting for other news titles</v>
      </c>
    </row>
    <row r="7466" ht="15.75" customHeight="1">
      <c r="A7466" s="1">
        <v>8682.0</v>
      </c>
      <c r="B7466" s="3" t="s">
        <v>21401</v>
      </c>
      <c r="C7466" s="3">
        <v>0.0</v>
      </c>
      <c r="D7466" s="3">
        <v>0.0</v>
      </c>
      <c r="E7466" s="3">
        <v>0.0</v>
      </c>
      <c r="F7466" s="3" t="s">
        <v>21402</v>
      </c>
      <c r="G7466" s="3">
        <v>0.6</v>
      </c>
      <c r="H7466" s="3">
        <v>0.5</v>
      </c>
      <c r="I7466" s="3" t="s">
        <v>48</v>
      </c>
      <c r="J7466" s="3" t="s">
        <v>21403</v>
      </c>
      <c r="K7466" s="3" t="s">
        <v>644</v>
      </c>
      <c r="L7466" s="3" t="str">
        <f>IFERROR(__xludf.DUMMYFUNCTION("GOOGLETRANSLATE(F7466,""id"",""en"")"),"How can you love care, sis")</f>
        <v>How can you love care, sis</v>
      </c>
    </row>
    <row r="7467" ht="15.75" customHeight="1">
      <c r="A7467" s="1">
        <v>8683.0</v>
      </c>
      <c r="B7467" s="3" t="s">
        <v>21404</v>
      </c>
      <c r="C7467" s="3">
        <v>0.0</v>
      </c>
      <c r="D7467" s="3">
        <v>0.0</v>
      </c>
      <c r="E7467" s="3">
        <v>0.0</v>
      </c>
      <c r="F7467" s="3" t="s">
        <v>21405</v>
      </c>
      <c r="G7467" s="3">
        <v>0.0</v>
      </c>
      <c r="H7467" s="3">
        <v>0.0</v>
      </c>
      <c r="I7467" s="3" t="s">
        <v>13</v>
      </c>
      <c r="J7467" s="3" t="s">
        <v>21406</v>
      </c>
      <c r="K7467" s="3" t="s">
        <v>286</v>
      </c>
      <c r="L7467" s="3" t="str">
        <f>IFERROR(__xludf.DUMMYFUNCTION("GOOGLETRANSLATE(F7467,""id"",""en"")"),"Portugal does not have a football heritage and Eusebio used to make Portugal can finish not counting and then forgetting with Luis Figo and Deco when the last Argentina champion Messi has not been born cuy")</f>
        <v>Portugal does not have a football heritage and Eusebio used to make Portugal can finish not counting and then forgetting with Luis Figo and Deco when the last Argentina champion Messi has not been born cuy</v>
      </c>
    </row>
    <row r="7468" ht="15.75" customHeight="1">
      <c r="A7468" s="1">
        <v>8684.0</v>
      </c>
      <c r="B7468" s="3" t="s">
        <v>21407</v>
      </c>
      <c r="C7468" s="3">
        <v>0.0</v>
      </c>
      <c r="D7468" s="3">
        <v>0.0</v>
      </c>
      <c r="E7468" s="3">
        <v>0.0</v>
      </c>
      <c r="F7468" s="3" t="s">
        <v>21253</v>
      </c>
      <c r="G7468" s="3">
        <v>0.0</v>
      </c>
      <c r="H7468" s="3">
        <v>0.0</v>
      </c>
      <c r="I7468" s="3" t="s">
        <v>13</v>
      </c>
      <c r="J7468" s="3" t="s">
        <v>21254</v>
      </c>
      <c r="K7468" s="3" t="s">
        <v>41</v>
      </c>
      <c r="L7468" s="3" t="str">
        <f>IFERROR(__xludf.DUMMYFUNCTION("GOOGLETRANSLATE(F7468,""id"",""en"")"),"Argentine World Cup Champion Announces National Holidays")</f>
        <v>Argentine World Cup Champion Announces National Holidays</v>
      </c>
    </row>
    <row r="7469" ht="15.75" customHeight="1">
      <c r="A7469" s="1">
        <v>8685.0</v>
      </c>
      <c r="B7469" s="3" t="s">
        <v>21408</v>
      </c>
      <c r="C7469" s="3">
        <v>1.0</v>
      </c>
      <c r="D7469" s="3">
        <v>0.0</v>
      </c>
      <c r="E7469" s="3">
        <v>0.0</v>
      </c>
      <c r="F7469" s="3" t="s">
        <v>21409</v>
      </c>
      <c r="G7469" s="3">
        <v>0.0</v>
      </c>
      <c r="H7469" s="3">
        <v>0.0</v>
      </c>
      <c r="I7469" s="3" t="s">
        <v>13</v>
      </c>
      <c r="J7469" s="3" t="s">
        <v>21410</v>
      </c>
      <c r="K7469" s="3" t="s">
        <v>75</v>
      </c>
      <c r="L7469" s="3" t="str">
        <f>IFERROR(__xludf.DUMMYFUNCTION("GOOGLETRANSLATE(F7469,""id"",""en"")"),"wasswww almost there will be Argentina news losing the Messi during the world champion celebration")</f>
        <v>wasswww almost there will be Argentina news losing the Messi during the world champion celebration</v>
      </c>
    </row>
    <row r="7470" ht="15.75" customHeight="1">
      <c r="A7470" s="1">
        <v>8686.0</v>
      </c>
      <c r="B7470" s="3" t="s">
        <v>21411</v>
      </c>
      <c r="C7470" s="3">
        <v>0.0</v>
      </c>
      <c r="D7470" s="3">
        <v>0.0</v>
      </c>
      <c r="E7470" s="3">
        <v>0.0</v>
      </c>
      <c r="F7470" s="3" t="s">
        <v>21412</v>
      </c>
      <c r="G7470" s="3">
        <v>0.0</v>
      </c>
      <c r="H7470" s="3">
        <v>0.0</v>
      </c>
      <c r="I7470" s="3" t="s">
        <v>13</v>
      </c>
      <c r="J7470" s="3" t="s">
        <v>21413</v>
      </c>
      <c r="K7470" s="3" t="s">
        <v>1097</v>
      </c>
      <c r="L7470" s="3" t="str">
        <f>IFERROR(__xludf.DUMMYFUNCTION("GOOGLETRANSLATE(F7470,""id"",""en"")"),"Redsindo Salt Bae Just Nimbrung Argentina Champion Aguero may nimbrung")</f>
        <v>Redsindo Salt Bae Just Nimbrung Argentina Champion Aguero may nimbrung</v>
      </c>
    </row>
    <row r="7471" ht="15.75" customHeight="1">
      <c r="A7471" s="1">
        <v>8687.0</v>
      </c>
      <c r="B7471" s="3" t="s">
        <v>21414</v>
      </c>
      <c r="C7471" s="3">
        <v>1.0</v>
      </c>
      <c r="D7471" s="3">
        <v>0.0</v>
      </c>
      <c r="E7471" s="3">
        <v>0.0</v>
      </c>
      <c r="F7471" s="3" t="s">
        <v>21415</v>
      </c>
      <c r="G7471" s="3">
        <v>0.0</v>
      </c>
      <c r="H7471" s="3">
        <v>0.0</v>
      </c>
      <c r="I7471" s="3" t="s">
        <v>13</v>
      </c>
      <c r="J7471" s="3" t="s">
        <v>21416</v>
      </c>
      <c r="K7471" s="3" t="s">
        <v>50</v>
      </c>
      <c r="L7471" s="3" t="str">
        <f>IFERROR(__xludf.DUMMYFUNCTION("GOOGLETRANSLATE(F7471,""id"",""en"")"),"Why is it lacking what Argentina Playmaker is Riquelme Aimar Veron EMG, the fate of the championship")</f>
        <v>Why is it lacking what Argentina Playmaker is Riquelme Aimar Veron EMG, the fate of the championship</v>
      </c>
    </row>
    <row r="7472" ht="15.75" customHeight="1">
      <c r="A7472" s="1">
        <v>8688.0</v>
      </c>
      <c r="B7472" s="3" t="s">
        <v>21417</v>
      </c>
      <c r="C7472" s="3">
        <v>0.0</v>
      </c>
      <c r="D7472" s="3">
        <v>0.0</v>
      </c>
      <c r="E7472" s="3">
        <v>0.0</v>
      </c>
      <c r="F7472" s="3" t="s">
        <v>21418</v>
      </c>
      <c r="G7472" s="3">
        <v>0.0</v>
      </c>
      <c r="H7472" s="3">
        <v>0.0</v>
      </c>
      <c r="I7472" s="3" t="s">
        <v>13</v>
      </c>
      <c r="J7472" s="3" t="s">
        <v>21419</v>
      </c>
      <c r="K7472" s="3" t="s">
        <v>123</v>
      </c>
      <c r="L7472" s="3" t="str">
        <f>IFERROR(__xludf.DUMMYFUNCTION("GOOGLETRANSLATE(F7472,""id"",""en"")"),"Soccer players other than Zidane made me follow the ball unfortunately he never won the World Cup with the Argentine national team")</f>
        <v>Soccer players other than Zidane made me follow the ball unfortunately he never won the World Cup with the Argentine national team</v>
      </c>
    </row>
    <row r="7473" ht="15.75" customHeight="1">
      <c r="A7473" s="1">
        <v>8689.0</v>
      </c>
      <c r="B7473" s="3" t="s">
        <v>21420</v>
      </c>
      <c r="C7473" s="3">
        <v>0.0</v>
      </c>
      <c r="D7473" s="3">
        <v>0.0</v>
      </c>
      <c r="E7473" s="3">
        <v>0.0</v>
      </c>
      <c r="F7473" s="3" t="s">
        <v>21421</v>
      </c>
      <c r="G7473" s="3">
        <v>0.0</v>
      </c>
      <c r="H7473" s="3">
        <v>0.0</v>
      </c>
      <c r="I7473" s="3" t="s">
        <v>13</v>
      </c>
      <c r="J7473" s="3" t="s">
        <v>21422</v>
      </c>
      <c r="K7473" s="3" t="s">
        <v>584</v>
      </c>
      <c r="L7473" s="3" t="str">
        <f>IFERROR(__xludf.DUMMYFUNCTION("GOOGLETRANSLATE(F7473,""id"",""en"")"),"He doesn't know, BTS is really magic that he really successfully uses magic.")</f>
        <v>He doesn't know, BTS is really magic that he really successfully uses magic.</v>
      </c>
    </row>
    <row r="7474" ht="15.75" customHeight="1">
      <c r="A7474" s="1">
        <v>8690.0</v>
      </c>
      <c r="B7474" s="3" t="s">
        <v>21423</v>
      </c>
      <c r="C7474" s="3">
        <v>0.0</v>
      </c>
      <c r="D7474" s="3">
        <v>0.0</v>
      </c>
      <c r="E7474" s="3">
        <v>0.0</v>
      </c>
      <c r="F7474" s="3" t="s">
        <v>21424</v>
      </c>
      <c r="G7474" s="3">
        <v>0.0</v>
      </c>
      <c r="H7474" s="3">
        <v>0.0</v>
      </c>
      <c r="I7474" s="3" t="s">
        <v>13</v>
      </c>
      <c r="J7474" s="3" t="s">
        <v>21425</v>
      </c>
      <c r="K7474" s="3" t="s">
        <v>15</v>
      </c>
      <c r="L7474" s="3" t="str">
        <f>IFERROR(__xludf.DUMMYFUNCTION("GOOGLETRANSLATE(F7474,""id"",""en"")"),"feel that the atmosphere is really cool especially when Argentina is champion beuh")</f>
        <v>feel that the atmosphere is really cool especially when Argentina is champion beuh</v>
      </c>
    </row>
    <row r="7475" ht="15.75" customHeight="1">
      <c r="A7475" s="1">
        <v>8691.0</v>
      </c>
      <c r="B7475" s="3" t="s">
        <v>21426</v>
      </c>
      <c r="C7475" s="3">
        <v>0.0</v>
      </c>
      <c r="D7475" s="3">
        <v>0.0</v>
      </c>
      <c r="E7475" s="3">
        <v>0.0</v>
      </c>
      <c r="F7475" s="3" t="s">
        <v>21427</v>
      </c>
      <c r="G7475" s="3">
        <v>0.0</v>
      </c>
      <c r="H7475" s="3">
        <v>0.0</v>
      </c>
      <c r="I7475" s="3" t="s">
        <v>13</v>
      </c>
      <c r="J7475" s="3" t="s">
        <v>21428</v>
      </c>
      <c r="K7475" s="3" t="s">
        <v>1518</v>
      </c>
      <c r="L7475" s="3" t="str">
        <f>IFERROR(__xludf.DUMMYFUNCTION("GOOGLETRANSLATE(F7475,""id"",""en"")"),"Barcelona President Joan Laporta congratulates Lionel Messi after bringing Argentina to the World Cup champion he said debt football to Pulga FRZ in full")</f>
        <v>Barcelona President Joan Laporta congratulates Lionel Messi after bringing Argentina to the World Cup champion he said debt football to Pulga FRZ in full</v>
      </c>
    </row>
    <row r="7476" ht="15.75" customHeight="1">
      <c r="A7476" s="1">
        <v>8692.0</v>
      </c>
      <c r="B7476" s="3" t="s">
        <v>21429</v>
      </c>
      <c r="C7476" s="3">
        <v>0.0</v>
      </c>
      <c r="D7476" s="3">
        <v>0.0</v>
      </c>
      <c r="E7476" s="3">
        <v>1.0</v>
      </c>
      <c r="F7476" s="3" t="s">
        <v>21430</v>
      </c>
      <c r="G7476" s="3">
        <v>0.0</v>
      </c>
      <c r="H7476" s="3">
        <v>0.0</v>
      </c>
      <c r="I7476" s="3" t="s">
        <v>13</v>
      </c>
      <c r="J7476" s="3" t="s">
        <v>21431</v>
      </c>
      <c r="K7476" s="3" t="s">
        <v>14571</v>
      </c>
      <c r="L7476" s="3" t="str">
        <f>IFERROR(__xludf.DUMMYFUNCTION("GOOGLETRANSLATE(F7476,""id"",""en"")"),"Where's the sender")</f>
        <v>Where's the sender</v>
      </c>
    </row>
    <row r="7477" ht="15.75" customHeight="1">
      <c r="A7477" s="1">
        <v>8693.0</v>
      </c>
      <c r="B7477" s="3" t="s">
        <v>21432</v>
      </c>
      <c r="C7477" s="3">
        <v>0.0</v>
      </c>
      <c r="D7477" s="3">
        <v>0.0</v>
      </c>
      <c r="E7477" s="3">
        <v>0.0</v>
      </c>
      <c r="F7477" s="3" t="s">
        <v>20561</v>
      </c>
      <c r="G7477" s="3">
        <v>0.0</v>
      </c>
      <c r="H7477" s="3">
        <v>0.0</v>
      </c>
      <c r="I7477" s="3" t="s">
        <v>13</v>
      </c>
      <c r="J7477" s="3" t="s">
        <v>20562</v>
      </c>
      <c r="K7477" s="3" t="s">
        <v>41</v>
      </c>
      <c r="L7477" s="3" t="str">
        <f>IFERROR(__xludf.DUMMYFUNCTION("GOOGLETRANSLATE(F7477,""id"",""en"")"),"Argentina Champion World Cup Messi Best Player of All Time")</f>
        <v>Argentina Champion World Cup Messi Best Player of All Time</v>
      </c>
    </row>
    <row r="7478" ht="15.75" customHeight="1">
      <c r="A7478" s="1">
        <v>8694.0</v>
      </c>
      <c r="B7478" s="3" t="s">
        <v>21433</v>
      </c>
      <c r="C7478" s="3">
        <v>0.0</v>
      </c>
      <c r="D7478" s="3">
        <v>0.0</v>
      </c>
      <c r="E7478" s="3">
        <v>0.0</v>
      </c>
      <c r="F7478" s="3" t="s">
        <v>21434</v>
      </c>
      <c r="G7478" s="3">
        <v>0.0</v>
      </c>
      <c r="H7478" s="3">
        <v>0.0</v>
      </c>
      <c r="I7478" s="3" t="s">
        <v>13</v>
      </c>
      <c r="J7478" s="3" t="s">
        <v>21435</v>
      </c>
      <c r="K7478" s="3" t="s">
        <v>71</v>
      </c>
      <c r="L7478" s="3" t="str">
        <f>IFERROR(__xludf.DUMMYFUNCTION("GOOGLETRANSLATE(F7478,""id"",""en"")"),"Still feels the moment of the night of Argentina champions at the same time I was putting music with the results of satisfying double goosebumps")</f>
        <v>Still feels the moment of the night of Argentina champions at the same time I was putting music with the results of satisfying double goosebumps</v>
      </c>
    </row>
    <row r="7479" ht="15.75" customHeight="1">
      <c r="A7479" s="1">
        <v>8695.0</v>
      </c>
      <c r="B7479" s="3" t="s">
        <v>21436</v>
      </c>
      <c r="C7479" s="3">
        <v>0.0</v>
      </c>
      <c r="D7479" s="3">
        <v>0.0</v>
      </c>
      <c r="E7479" s="3">
        <v>0.0</v>
      </c>
      <c r="F7479" s="3" t="s">
        <v>21437</v>
      </c>
      <c r="G7479" s="3">
        <v>0.0</v>
      </c>
      <c r="H7479" s="3">
        <v>0.0</v>
      </c>
      <c r="I7479" s="3" t="s">
        <v>13</v>
      </c>
      <c r="J7479" s="3" t="s">
        <v>21438</v>
      </c>
      <c r="K7479" s="3" t="s">
        <v>31</v>
      </c>
      <c r="L7479" s="3" t="str">
        <f>IFERROR(__xludf.DUMMYFUNCTION("GOOGLETRANSLATE(F7479,""id"",""en"")"),"Argentina The Jersey Price Champion is directly")</f>
        <v>Argentina The Jersey Price Champion is directly</v>
      </c>
    </row>
    <row r="7480" ht="15.75" customHeight="1">
      <c r="A7480" s="1">
        <v>8696.0</v>
      </c>
      <c r="B7480" s="3" t="s">
        <v>21439</v>
      </c>
      <c r="C7480" s="3">
        <v>1.0</v>
      </c>
      <c r="D7480" s="3">
        <v>2.0</v>
      </c>
      <c r="E7480" s="3">
        <v>10.0</v>
      </c>
      <c r="F7480" s="3" t="s">
        <v>21440</v>
      </c>
      <c r="G7480" s="3">
        <v>0.0</v>
      </c>
      <c r="H7480" s="3">
        <v>0.0</v>
      </c>
      <c r="I7480" s="3" t="s">
        <v>13</v>
      </c>
      <c r="J7480" s="3" t="s">
        <v>21441</v>
      </c>
      <c r="K7480" s="3" t="s">
        <v>127</v>
      </c>
      <c r="L7480" s="3" t="str">
        <f>IFERROR(__xludf.DUMMYFUNCTION("GOOGLETRANSLATE(F7480,""id"",""en"")"),"Lionel Messi brought Argentina to the World Cup champion how lucky the Tango team had great talent again after the Diego Maradona era")</f>
        <v>Lionel Messi brought Argentina to the World Cup champion how lucky the Tango team had great talent again after the Diego Maradona era</v>
      </c>
    </row>
    <row r="7481" ht="15.75" customHeight="1">
      <c r="A7481" s="1">
        <v>8697.0</v>
      </c>
      <c r="B7481" s="3" t="s">
        <v>21442</v>
      </c>
      <c r="C7481" s="3">
        <v>0.0</v>
      </c>
      <c r="D7481" s="3">
        <v>0.0</v>
      </c>
      <c r="E7481" s="3">
        <v>1.0</v>
      </c>
      <c r="F7481" s="3" t="s">
        <v>21443</v>
      </c>
      <c r="G7481" s="3">
        <v>0.0</v>
      </c>
      <c r="H7481" s="3">
        <v>0.0</v>
      </c>
      <c r="I7481" s="3" t="s">
        <v>13</v>
      </c>
      <c r="J7481" s="3" t="s">
        <v>21444</v>
      </c>
      <c r="K7481" s="3" t="s">
        <v>1345</v>
      </c>
      <c r="L7481" s="3" t="str">
        <f>IFERROR(__xludf.DUMMYFUNCTION("GOOGLETRANSLATE(F7481,""id"",""en"")"),"Morocco Croatia's position champion French champion Argentina you champion champion disappointing parents")</f>
        <v>Morocco Croatia's position champion French champion Argentina you champion champion disappointing parents</v>
      </c>
    </row>
    <row r="7482" ht="15.75" customHeight="1">
      <c r="A7482" s="1">
        <v>8698.0</v>
      </c>
      <c r="B7482" s="3" t="s">
        <v>21445</v>
      </c>
      <c r="C7482" s="3">
        <v>0.0</v>
      </c>
      <c r="D7482" s="3">
        <v>1.0</v>
      </c>
      <c r="E7482" s="3">
        <v>0.0</v>
      </c>
      <c r="F7482" s="3" t="s">
        <v>21446</v>
      </c>
      <c r="G7482" s="3">
        <v>0.0</v>
      </c>
      <c r="H7482" s="3">
        <v>0.0</v>
      </c>
      <c r="I7482" s="3" t="s">
        <v>13</v>
      </c>
      <c r="J7482" s="3" t="s">
        <v>21447</v>
      </c>
      <c r="K7482" s="3" t="s">
        <v>75</v>
      </c>
      <c r="L7482" s="3" t="str">
        <f>IFERROR(__xludf.DUMMYFUNCTION("GOOGLETRANSLATE(F7482,""id"",""en"")"),"Solid creeping tofu the crowd of Argentine people when the Qatar World Cup championship")</f>
        <v>Solid creeping tofu the crowd of Argentine people when the Qatar World Cup championship</v>
      </c>
    </row>
    <row r="7483" ht="15.75" customHeight="1">
      <c r="A7483" s="1">
        <v>8699.0</v>
      </c>
      <c r="B7483" s="3" t="s">
        <v>21448</v>
      </c>
      <c r="C7483" s="3">
        <v>1.0</v>
      </c>
      <c r="D7483" s="3">
        <v>0.0</v>
      </c>
      <c r="E7483" s="3">
        <v>0.0</v>
      </c>
      <c r="F7483" s="3" t="s">
        <v>21449</v>
      </c>
      <c r="G7483" s="3">
        <v>0.0</v>
      </c>
      <c r="H7483" s="3">
        <v>0.0</v>
      </c>
      <c r="I7483" s="3" t="s">
        <v>13</v>
      </c>
      <c r="J7483" s="3" t="s">
        <v>21450</v>
      </c>
      <c r="K7483" s="3" t="s">
        <v>31</v>
      </c>
      <c r="L7483" s="3" t="str">
        <f>IFERROR(__xludf.DUMMYFUNCTION("GOOGLETRANSLATE(F7483,""id"",""en"")"),"It's better to see Argentina Champion")</f>
        <v>It's better to see Argentina Champion</v>
      </c>
    </row>
    <row r="7484" ht="15.75" customHeight="1">
      <c r="A7484" s="1">
        <v>8700.0</v>
      </c>
      <c r="B7484" s="3" t="s">
        <v>21451</v>
      </c>
      <c r="C7484" s="3">
        <v>0.0</v>
      </c>
      <c r="D7484" s="3">
        <v>0.0</v>
      </c>
      <c r="E7484" s="3">
        <v>0.0</v>
      </c>
      <c r="F7484" s="3" t="s">
        <v>21452</v>
      </c>
      <c r="G7484" s="3">
        <v>0.0</v>
      </c>
      <c r="H7484" s="3">
        <v>0.0</v>
      </c>
      <c r="I7484" s="3" t="s">
        <v>13</v>
      </c>
      <c r="J7484" s="3" t="s">
        <v>21453</v>
      </c>
      <c r="K7484" s="3" t="s">
        <v>510</v>
      </c>
      <c r="L7484" s="3" t="str">
        <f>IFERROR(__xludf.DUMMYFUNCTION("GOOGLETRANSLATE(F7484,""id"",""en"")"),"Indonesian Mentalist Duo Prediction Romy and Ury Rafael turned out to be right guessing Argentina to become champions")</f>
        <v>Indonesian Mentalist Duo Prediction Romy and Ury Rafael turned out to be right guessing Argentina to become champions</v>
      </c>
    </row>
    <row r="7485" ht="15.75" customHeight="1">
      <c r="A7485" s="1">
        <v>8701.0</v>
      </c>
      <c r="B7485" s="3" t="s">
        <v>21454</v>
      </c>
      <c r="C7485" s="3">
        <v>0.0</v>
      </c>
      <c r="D7485" s="3">
        <v>0.0</v>
      </c>
      <c r="E7485" s="3">
        <v>0.0</v>
      </c>
      <c r="F7485" s="3" t="s">
        <v>21455</v>
      </c>
      <c r="G7485" s="3">
        <v>0.3</v>
      </c>
      <c r="H7485" s="3">
        <v>0.2</v>
      </c>
      <c r="I7485" s="3" t="s">
        <v>48</v>
      </c>
      <c r="J7485" s="3" t="s">
        <v>21456</v>
      </c>
      <c r="K7485" s="3" t="s">
        <v>644</v>
      </c>
      <c r="L7485" s="3" t="str">
        <f>IFERROR(__xludf.DUMMYFUNCTION("GOOGLETRANSLATE(F7485,""id"",""en"")"),"especially since Argentina champions haha")</f>
        <v>especially since Argentina champions haha</v>
      </c>
    </row>
    <row r="7486" ht="15.75" customHeight="1">
      <c r="A7486" s="1">
        <v>8702.0</v>
      </c>
      <c r="B7486" s="3" t="s">
        <v>21457</v>
      </c>
      <c r="C7486" s="3">
        <v>4.0</v>
      </c>
      <c r="D7486" s="3">
        <v>9.0</v>
      </c>
      <c r="E7486" s="3">
        <v>80.0</v>
      </c>
      <c r="F7486" s="3" t="s">
        <v>21458</v>
      </c>
      <c r="G7486" s="3">
        <v>0.3</v>
      </c>
      <c r="H7486" s="3">
        <v>0.2</v>
      </c>
      <c r="I7486" s="3" t="s">
        <v>48</v>
      </c>
      <c r="J7486" s="3" t="s">
        <v>21459</v>
      </c>
      <c r="K7486" s="3" t="s">
        <v>695</v>
      </c>
      <c r="L7486" s="3" t="str">
        <f>IFERROR(__xludf.DUMMYFUNCTION("GOOGLETRANSLATE(F7486,""id"",""en"")"),"Messi was finally able to match the achievements of Maradona by bringing Argentina to become world champion according to Jebereeteam already legitimate this means Messi became the real goat")</f>
        <v>Messi was finally able to match the achievements of Maradona by bringing Argentina to become world champion according to Jebereeteam already legitimate this means Messi became the real goat</v>
      </c>
    </row>
    <row r="7487" ht="15.75" customHeight="1">
      <c r="A7487" s="1">
        <v>8703.0</v>
      </c>
      <c r="B7487" s="3" t="s">
        <v>21460</v>
      </c>
      <c r="C7487" s="3">
        <v>9.0</v>
      </c>
      <c r="D7487" s="3">
        <v>37.0</v>
      </c>
      <c r="E7487" s="3">
        <v>240.0</v>
      </c>
      <c r="F7487" s="3" t="s">
        <v>21461</v>
      </c>
      <c r="G7487" s="3">
        <v>0.0</v>
      </c>
      <c r="H7487" s="3">
        <v>0.0</v>
      </c>
      <c r="I7487" s="3" t="s">
        <v>13</v>
      </c>
      <c r="J7487" s="3" t="s">
        <v>21462</v>
      </c>
      <c r="K7487" s="3" t="s">
        <v>215</v>
      </c>
      <c r="L7487" s="3" t="str">
        <f>IFERROR(__xludf.DUMMYFUNCTION("GOOGLETRANSLATE(F7487,""id"",""en"")"),"Buenos Aires a few hours ago spilled the people of the street celebrating the world champion united the people split because of the vice president as well as President Cristina Fernandez Kirchner detained by Cristina was the progressive Argentina lula hat"&amp;"ed by his opponent")</f>
        <v>Buenos Aires a few hours ago spilled the people of the street celebrating the world champion united the people split because of the vice president as well as President Cristina Fernandez Kirchner detained by Cristina was the progressive Argentina lula hated by his opponent</v>
      </c>
    </row>
    <row r="7488" ht="15.75" customHeight="1">
      <c r="A7488" s="1">
        <v>8704.0</v>
      </c>
      <c r="B7488" s="3" t="s">
        <v>21463</v>
      </c>
      <c r="C7488" s="3">
        <v>0.0</v>
      </c>
      <c r="D7488" s="3">
        <v>0.0</v>
      </c>
      <c r="E7488" s="3">
        <v>0.0</v>
      </c>
      <c r="F7488" s="3" t="s">
        <v>21464</v>
      </c>
      <c r="G7488" s="3">
        <v>0.0</v>
      </c>
      <c r="H7488" s="3">
        <v>0.0</v>
      </c>
      <c r="I7488" s="3" t="s">
        <v>13</v>
      </c>
      <c r="J7488" s="3" t="s">
        <v>21465</v>
      </c>
      <c r="K7488" s="3" t="s">
        <v>82</v>
      </c>
      <c r="L7488" s="3" t="str">
        <f>IFERROR(__xludf.DUMMYFUNCTION("GOOGLETRANSLATE(F7488,""id"",""en"")"),"Ranking FIFA after Argentina Champion World Cup")</f>
        <v>Ranking FIFA after Argentina Champion World Cup</v>
      </c>
    </row>
    <row r="7489" ht="15.75" customHeight="1">
      <c r="A7489" s="1">
        <v>8705.0</v>
      </c>
      <c r="B7489" s="3" t="s">
        <v>21466</v>
      </c>
      <c r="C7489" s="3">
        <v>0.0</v>
      </c>
      <c r="D7489" s="3">
        <v>0.0</v>
      </c>
      <c r="E7489" s="3">
        <v>0.0</v>
      </c>
      <c r="F7489" s="3" t="s">
        <v>21467</v>
      </c>
      <c r="G7489" s="3">
        <v>0.0</v>
      </c>
      <c r="H7489" s="3">
        <v>0.0</v>
      </c>
      <c r="I7489" s="3" t="s">
        <v>13</v>
      </c>
      <c r="J7489" s="3" t="s">
        <v>21468</v>
      </c>
      <c r="K7489" s="3" t="s">
        <v>16803</v>
      </c>
      <c r="L7489" s="3" t="str">
        <f>IFERROR(__xludf.DUMMYFUNCTION("GOOGLETRANSLATE(F7489,""id"",""en"")"),"The bus is indeed set up by FIFA for the two candidates for the Argentina bus, one French bus doesn't have a Portuguese bus, there is no oath")</f>
        <v>The bus is indeed set up by FIFA for the two candidates for the Argentina bus, one French bus doesn't have a Portuguese bus, there is no oath</v>
      </c>
    </row>
    <row r="7490" ht="15.75" customHeight="1">
      <c r="A7490" s="1">
        <v>8706.0</v>
      </c>
      <c r="B7490" s="3" t="s">
        <v>21469</v>
      </c>
      <c r="C7490" s="3">
        <v>0.0</v>
      </c>
      <c r="D7490" s="3">
        <v>0.0</v>
      </c>
      <c r="E7490" s="3">
        <v>2.0</v>
      </c>
      <c r="F7490" s="3" t="s">
        <v>21470</v>
      </c>
      <c r="G7490" s="3">
        <v>0.0</v>
      </c>
      <c r="H7490" s="3">
        <v>0.0</v>
      </c>
      <c r="I7490" s="3" t="s">
        <v>13</v>
      </c>
      <c r="J7490" s="3" t="s">
        <v>21471</v>
      </c>
      <c r="K7490" s="3" t="s">
        <v>54</v>
      </c>
      <c r="L7490" s="3" t="str">
        <f>IFERROR(__xludf.DUMMYFUNCTION("GOOGLETRANSLATE(F7490,""id"",""en"")"),"Year for Messi Bringing Argentina World Champion")</f>
        <v>Year for Messi Bringing Argentina World Champion</v>
      </c>
    </row>
    <row r="7491" ht="15.75" customHeight="1">
      <c r="A7491" s="1">
        <v>8707.0</v>
      </c>
      <c r="B7491" s="3" t="s">
        <v>21472</v>
      </c>
      <c r="C7491" s="3">
        <v>0.0</v>
      </c>
      <c r="D7491" s="3">
        <v>0.0</v>
      </c>
      <c r="E7491" s="3">
        <v>0.0</v>
      </c>
      <c r="F7491" s="3" t="s">
        <v>21473</v>
      </c>
      <c r="G7491" s="3">
        <v>0.0</v>
      </c>
      <c r="H7491" s="3">
        <v>0.0</v>
      </c>
      <c r="I7491" s="3" t="s">
        <v>13</v>
      </c>
      <c r="J7491" s="3" t="s">
        <v>21474</v>
      </c>
      <c r="K7491" s="3" t="s">
        <v>244</v>
      </c>
      <c r="L7491" s="3" t="str">
        <f>IFERROR(__xludf.DUMMYFUNCTION("GOOGLETRANSLATE(F7491,""id"",""en"")"),"In addition to the Argentina Cup as the Champion of the Qatar World Cup, received a prize of money as much as a billion")</f>
        <v>In addition to the Argentina Cup as the Champion of the Qatar World Cup, received a prize of money as much as a billion</v>
      </c>
    </row>
    <row r="7492" ht="15.75" customHeight="1">
      <c r="A7492" s="1">
        <v>8708.0</v>
      </c>
      <c r="B7492" s="3" t="s">
        <v>21475</v>
      </c>
      <c r="C7492" s="3">
        <v>0.0</v>
      </c>
      <c r="D7492" s="3">
        <v>0.0</v>
      </c>
      <c r="E7492" s="3">
        <v>1.0</v>
      </c>
      <c r="F7492" s="3" t="s">
        <v>21476</v>
      </c>
      <c r="G7492" s="3">
        <v>0.0</v>
      </c>
      <c r="H7492" s="3">
        <v>0.0</v>
      </c>
      <c r="I7492" s="3" t="s">
        <v>13</v>
      </c>
      <c r="J7492" s="3" t="s">
        <v>21477</v>
      </c>
      <c r="K7492" s="3" t="s">
        <v>236</v>
      </c>
      <c r="L7492" s="3" t="str">
        <f>IFERROR(__xludf.DUMMYFUNCTION("GOOGLETRANSLATE(F7492,""id"",""en"")"),"If that is also the original content, he even sells a lot of people's content.")</f>
        <v>If that is also the original content, he even sells a lot of people's content.</v>
      </c>
    </row>
    <row r="7493" ht="15.75" customHeight="1">
      <c r="A7493" s="1">
        <v>8709.0</v>
      </c>
      <c r="B7493" s="3" t="s">
        <v>21478</v>
      </c>
      <c r="C7493" s="3">
        <v>1.0</v>
      </c>
      <c r="D7493" s="3">
        <v>1.0</v>
      </c>
      <c r="E7493" s="3">
        <v>19.0</v>
      </c>
      <c r="F7493" s="3" t="s">
        <v>21479</v>
      </c>
      <c r="G7493" s="3">
        <v>0.0</v>
      </c>
      <c r="H7493" s="3">
        <v>0.0</v>
      </c>
      <c r="I7493" s="3" t="s">
        <v>13</v>
      </c>
      <c r="J7493" s="3" t="s">
        <v>21480</v>
      </c>
      <c r="K7493" s="3" t="s">
        <v>286</v>
      </c>
      <c r="L7493" s="3" t="str">
        <f>IFERROR(__xludf.DUMMYFUNCTION("GOOGLETRANSLATE(F7493,""id"",""en"")"),"The player starts a football career with an imperfect physical condition that Barca is transformed by Barca Monster, but when it comes to the mentality of the leadership, there is no cure for the national team from being bullied by Argentina supporters")</f>
        <v>The player starts a football career with an imperfect physical condition that Barca is transformed by Barca Monster, but when it comes to the mentality of the leadership, there is no cure for the national team from being bullied by Argentina supporters</v>
      </c>
    </row>
    <row r="7494" ht="15.75" customHeight="1">
      <c r="A7494" s="1">
        <v>8710.0</v>
      </c>
      <c r="B7494" s="3" t="s">
        <v>21481</v>
      </c>
      <c r="C7494" s="3">
        <v>0.0</v>
      </c>
      <c r="D7494" s="3">
        <v>1.0</v>
      </c>
      <c r="E7494" s="3">
        <v>3.0</v>
      </c>
      <c r="F7494" s="3" t="s">
        <v>21482</v>
      </c>
      <c r="G7494" s="3">
        <v>0.0</v>
      </c>
      <c r="H7494" s="3">
        <v>0.0</v>
      </c>
      <c r="I7494" s="3" t="s">
        <v>13</v>
      </c>
      <c r="J7494" s="3" t="s">
        <v>21483</v>
      </c>
      <c r="K7494" s="3" t="s">
        <v>499</v>
      </c>
      <c r="L7494" s="3" t="str">
        <f>IFERROR(__xludf.DUMMYFUNCTION("GOOGLETRANSLATE(F7494,""id"",""en"")"),"Photo of Messi soaring the World Cup trophy while describing Argentina's brilliant victory over the defending champions of France received more than million like social media platforms")</f>
        <v>Photo of Messi soaring the World Cup trophy while describing Argentina's brilliant victory over the defending champions of France received more than million like social media platforms</v>
      </c>
    </row>
    <row r="7495" ht="15.75" customHeight="1">
      <c r="A7495" s="1">
        <v>8711.0</v>
      </c>
      <c r="B7495" s="3" t="s">
        <v>21484</v>
      </c>
      <c r="C7495" s="3">
        <v>0.0</v>
      </c>
      <c r="D7495" s="3">
        <v>0.0</v>
      </c>
      <c r="E7495" s="3">
        <v>0.0</v>
      </c>
      <c r="F7495" s="3" t="s">
        <v>21485</v>
      </c>
      <c r="G7495" s="3">
        <v>0.0</v>
      </c>
      <c r="H7495" s="3">
        <v>0.0</v>
      </c>
      <c r="I7495" s="3" t="s">
        <v>13</v>
      </c>
      <c r="J7495" s="3" t="s">
        <v>21486</v>
      </c>
      <c r="K7495" s="3" t="s">
        <v>31</v>
      </c>
      <c r="L7495" s="3" t="str">
        <f>IFERROR(__xludf.DUMMYFUNCTION("GOOGLETRANSLATE(F7495,""id"",""en"")"),"just want to say which try to try")</f>
        <v>just want to say which try to try</v>
      </c>
    </row>
    <row r="7496" ht="15.75" customHeight="1">
      <c r="A7496" s="1">
        <v>8712.0</v>
      </c>
      <c r="B7496" s="3" t="s">
        <v>21487</v>
      </c>
      <c r="C7496" s="3">
        <v>0.0</v>
      </c>
      <c r="D7496" s="3">
        <v>0.0</v>
      </c>
      <c r="E7496" s="3">
        <v>1.0</v>
      </c>
      <c r="F7496" s="3" t="s">
        <v>21488</v>
      </c>
      <c r="G7496" s="3">
        <v>0.0</v>
      </c>
      <c r="H7496" s="3">
        <v>0.0</v>
      </c>
      <c r="I7496" s="3" t="s">
        <v>13</v>
      </c>
      <c r="J7496" s="3" t="s">
        <v>21489</v>
      </c>
      <c r="K7496" s="3" t="s">
        <v>50</v>
      </c>
      <c r="L7496" s="3" t="str">
        <f>IFERROR(__xludf.DUMMYFUNCTION("GOOGLETRANSLATE(F7496,""id"",""en"")"),"Argentina Champion may be because the football federation is not a stupid person like the country")</f>
        <v>Argentina Champion may be because the football federation is not a stupid person like the country</v>
      </c>
    </row>
    <row r="7497" ht="15.75" customHeight="1">
      <c r="A7497" s="1">
        <v>8713.0</v>
      </c>
      <c r="B7497" s="3" t="s">
        <v>21490</v>
      </c>
      <c r="C7497" s="3">
        <v>11.0</v>
      </c>
      <c r="D7497" s="3">
        <v>71.0</v>
      </c>
      <c r="E7497" s="3">
        <v>660.0</v>
      </c>
      <c r="F7497" s="3" t="s">
        <v>21491</v>
      </c>
      <c r="G7497" s="3">
        <v>0.0</v>
      </c>
      <c r="H7497" s="3">
        <v>0.0</v>
      </c>
      <c r="I7497" s="3" t="s">
        <v>13</v>
      </c>
      <c r="J7497" s="3" t="s">
        <v>21492</v>
      </c>
      <c r="K7497" s="3" t="s">
        <v>456</v>
      </c>
      <c r="L7497" s="3" t="str">
        <f>IFERROR(__xludf.DUMMYFUNCTION("GOOGLETRANSLATE(F7497,""id"",""en"")"),"The Argentine national team world champion has arrived Ezeiza Buenos Aires Airport will hold a World Cup championship celebration party with Messi DKKDI Obelisk Monument of the Argentine Government has set this Tuesday as a national holiday")</f>
        <v>The Argentine national team world champion has arrived Ezeiza Buenos Aires Airport will hold a World Cup championship celebration party with Messi DKKDI Obelisk Monument of the Argentine Government has set this Tuesday as a national holiday</v>
      </c>
    </row>
    <row r="7498" ht="15.75" customHeight="1">
      <c r="A7498" s="1">
        <v>8714.0</v>
      </c>
      <c r="B7498" s="3" t="s">
        <v>21493</v>
      </c>
      <c r="C7498" s="3">
        <v>0.0</v>
      </c>
      <c r="D7498" s="3">
        <v>0.0</v>
      </c>
      <c r="E7498" s="3">
        <v>0.0</v>
      </c>
      <c r="F7498" s="3" t="s">
        <v>21494</v>
      </c>
      <c r="G7498" s="3">
        <v>0.0</v>
      </c>
      <c r="H7498" s="3">
        <v>0.0</v>
      </c>
      <c r="I7498" s="3" t="s">
        <v>13</v>
      </c>
      <c r="J7498" s="3" t="s">
        <v>21495</v>
      </c>
      <c r="K7498" s="3" t="s">
        <v>3497</v>
      </c>
      <c r="L7498" s="3" t="str">
        <f>IFERROR(__xludf.DUMMYFUNCTION("GOOGLETRANSLATE(F7498,""id"",""en"")"),"Argentina Another champion is just a foam foam of the crowd")</f>
        <v>Argentina Another champion is just a foam foam of the crowd</v>
      </c>
    </row>
    <row r="7499" ht="15.75" customHeight="1">
      <c r="A7499" s="1">
        <v>8715.0</v>
      </c>
      <c r="B7499" s="3" t="s">
        <v>21496</v>
      </c>
      <c r="C7499" s="3">
        <v>0.0</v>
      </c>
      <c r="D7499" s="3">
        <v>2.0</v>
      </c>
      <c r="E7499" s="3">
        <v>21.0</v>
      </c>
      <c r="F7499" s="3" t="s">
        <v>21497</v>
      </c>
      <c r="G7499" s="3">
        <v>0.0</v>
      </c>
      <c r="H7499" s="3">
        <v>0.0</v>
      </c>
      <c r="I7499" s="3" t="s">
        <v>13</v>
      </c>
      <c r="J7499" s="3" t="s">
        <v>21498</v>
      </c>
      <c r="K7499" s="3" t="s">
        <v>1628</v>
      </c>
      <c r="L7499" s="3" t="str">
        <f>IFERROR(__xludf.DUMMYFUNCTION("GOOGLETRANSLATE(F7499,""id"",""en"")"),"Argentina completed the waiting for the year to tower the World Cup trophy overcoming France accepting the determination of the Tahniah Argentina Kick World Cup Champion Follow our peeled")</f>
        <v>Argentina completed the waiting for the year to tower the World Cup trophy overcoming France accepting the determination of the Tahniah Argentina Kick World Cup Champion Follow our peeled</v>
      </c>
    </row>
    <row r="7500" ht="15.75" customHeight="1">
      <c r="A7500" s="1">
        <v>8716.0</v>
      </c>
      <c r="B7500" s="3" t="s">
        <v>21499</v>
      </c>
      <c r="C7500" s="3">
        <v>1.0</v>
      </c>
      <c r="D7500" s="3">
        <v>0.0</v>
      </c>
      <c r="E7500" s="3">
        <v>7.0</v>
      </c>
      <c r="F7500" s="3" t="s">
        <v>21270</v>
      </c>
      <c r="G7500" s="3">
        <v>0.0</v>
      </c>
      <c r="H7500" s="3">
        <v>0.0</v>
      </c>
      <c r="I7500" s="3" t="s">
        <v>13</v>
      </c>
      <c r="J7500" s="3" t="s">
        <v>21271</v>
      </c>
      <c r="K7500" s="3" t="s">
        <v>240</v>
      </c>
      <c r="L7500" s="3" t="str">
        <f>IFERROR(__xludf.DUMMYFUNCTION("GOOGLETRANSLATE(F7500,""id"",""en"")"),"Argentina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501" ht="15.75" customHeight="1">
      <c r="A7501" s="1">
        <v>8717.0</v>
      </c>
      <c r="B7501" s="3" t="s">
        <v>21500</v>
      </c>
      <c r="C7501" s="3">
        <v>0.0</v>
      </c>
      <c r="D7501" s="3">
        <v>0.0</v>
      </c>
      <c r="E7501" s="3">
        <v>0.0</v>
      </c>
      <c r="F7501" s="3" t="s">
        <v>21501</v>
      </c>
      <c r="G7501" s="3">
        <v>0.3333333333333333</v>
      </c>
      <c r="H7501" s="3">
        <v>0.1666666666666667</v>
      </c>
      <c r="I7501" s="3" t="s">
        <v>48</v>
      </c>
      <c r="J7501" s="3" t="s">
        <v>21502</v>
      </c>
      <c r="K7501" s="3" t="s">
        <v>273</v>
      </c>
      <c r="L7501" s="3" t="str">
        <f>IFERROR(__xludf.DUMMYFUNCTION("GOOGLETRANSLATE(F7501,""id"",""en"")"),"Even though I never felt the champion of Pablo Aimar and Juan Roman Riquelme Tango Argentina, I would never forget the style of playing simplicity and humility that made me fall in love to idolize them")</f>
        <v>Even though I never felt the champion of Pablo Aimar and Juan Roman Riquelme Tango Argentina, I would never forget the style of playing simplicity and humility that made me fall in love to idolize them</v>
      </c>
    </row>
    <row r="7502" ht="15.75" customHeight="1">
      <c r="A7502" s="1">
        <v>8718.0</v>
      </c>
      <c r="B7502" s="3" t="s">
        <v>21503</v>
      </c>
      <c r="C7502" s="3">
        <v>0.0</v>
      </c>
      <c r="D7502" s="3">
        <v>0.0</v>
      </c>
      <c r="E7502" s="3">
        <v>1.0</v>
      </c>
      <c r="F7502" s="3" t="s">
        <v>21504</v>
      </c>
      <c r="G7502" s="3">
        <v>0.0</v>
      </c>
      <c r="H7502" s="3">
        <v>0.0</v>
      </c>
      <c r="I7502" s="3" t="s">
        <v>13</v>
      </c>
      <c r="J7502" s="3" t="s">
        <v>21505</v>
      </c>
      <c r="K7502" s="3" t="s">
        <v>50</v>
      </c>
      <c r="L7502" s="3" t="str">
        <f>IFERROR(__xludf.DUMMYFUNCTION("GOOGLETRANSLATE(F7502,""id"",""en"")"),"Messi Waiting for a Crazy Buenos Aires Party After Argentina World Cup Champion")</f>
        <v>Messi Waiting for a Crazy Buenos Aires Party After Argentina World Cup Champion</v>
      </c>
    </row>
    <row r="7503" ht="15.75" customHeight="1">
      <c r="A7503" s="1">
        <v>8719.0</v>
      </c>
      <c r="B7503" s="3" t="s">
        <v>21506</v>
      </c>
      <c r="C7503" s="3">
        <v>1.0</v>
      </c>
      <c r="D7503" s="3">
        <v>0.0</v>
      </c>
      <c r="E7503" s="3">
        <v>1.0</v>
      </c>
      <c r="F7503" s="3" t="s">
        <v>21507</v>
      </c>
      <c r="G7503" s="3">
        <v>0.0</v>
      </c>
      <c r="H7503" s="3">
        <v>0.0</v>
      </c>
      <c r="I7503" s="3" t="s">
        <v>13</v>
      </c>
      <c r="J7503" s="3" t="s">
        <v>21508</v>
      </c>
      <c r="K7503" s="3" t="s">
        <v>657</v>
      </c>
      <c r="L7503" s="3" t="str">
        <f>IFERROR(__xludf.DUMMYFUNCTION("GOOGLETRANSLATE(F7503,""id"",""en"")"),"I don't know it's weird, FIFA, I don't know yet, who is the champion, how come there is already Argentina Champione")</f>
        <v>I don't know it's weird, FIFA, I don't know yet, who is the champion, how come there is already Argentina Champione</v>
      </c>
    </row>
    <row r="7504" ht="15.75" customHeight="1">
      <c r="A7504" s="1">
        <v>8720.0</v>
      </c>
      <c r="B7504" s="3" t="s">
        <v>21509</v>
      </c>
      <c r="C7504" s="3">
        <v>1.0</v>
      </c>
      <c r="D7504" s="3">
        <v>0.0</v>
      </c>
      <c r="E7504" s="3">
        <v>0.0</v>
      </c>
      <c r="F7504" s="3" t="s">
        <v>21510</v>
      </c>
      <c r="G7504" s="3">
        <v>0.0</v>
      </c>
      <c r="H7504" s="3">
        <v>0.0</v>
      </c>
      <c r="I7504" s="3" t="s">
        <v>13</v>
      </c>
      <c r="J7504" s="3" t="s">
        <v>21511</v>
      </c>
      <c r="K7504" s="3" t="s">
        <v>244</v>
      </c>
      <c r="L7504" s="3" t="str">
        <f>IFERROR(__xludf.DUMMYFUNCTION("GOOGLETRANSLATE(F7504,""id"",""en"")"),"Albiceleste Original World Cup can be brought by Argentina because it's really not the champion")</f>
        <v>Albiceleste Original World Cup can be brought by Argentina because it's really not the champion</v>
      </c>
    </row>
    <row r="7505" ht="15.75" customHeight="1">
      <c r="A7505" s="1">
        <v>8721.0</v>
      </c>
      <c r="B7505" s="3" t="s">
        <v>21512</v>
      </c>
      <c r="C7505" s="3">
        <v>0.0</v>
      </c>
      <c r="D7505" s="3">
        <v>77.0</v>
      </c>
      <c r="E7505" s="3">
        <v>253.0</v>
      </c>
      <c r="F7505" s="3" t="s">
        <v>21513</v>
      </c>
      <c r="G7505" s="3">
        <v>0.0</v>
      </c>
      <c r="H7505" s="3">
        <v>0.0</v>
      </c>
      <c r="I7505" s="3" t="s">
        <v>13</v>
      </c>
      <c r="J7505" s="3" t="s">
        <v>21514</v>
      </c>
      <c r="K7505" s="3" t="s">
        <v>463</v>
      </c>
      <c r="L7505" s="3" t="str">
        <f>IFERROR(__xludf.DUMMYFUNCTION("GOOGLETRANSLATE(F7505,""id"",""en"")"),"Girls Girls Indo Girls Like Watching Movies But sometimes like watching Japanese Anime Funny Cute Congratulations also for Argentina for World Cup Champion Certain")</f>
        <v>Girls Girls Indo Girls Like Watching Movies But sometimes like watching Japanese Anime Funny Cute Congratulations also for Argentina for World Cup Champion Certain</v>
      </c>
    </row>
    <row r="7506" ht="15.75" customHeight="1">
      <c r="A7506" s="1">
        <v>8722.0</v>
      </c>
      <c r="B7506" s="3" t="s">
        <v>21515</v>
      </c>
      <c r="C7506" s="3">
        <v>5.0</v>
      </c>
      <c r="D7506" s="3">
        <v>0.0</v>
      </c>
      <c r="E7506" s="3">
        <v>1.0</v>
      </c>
      <c r="F7506" s="3" t="s">
        <v>21516</v>
      </c>
      <c r="G7506" s="3">
        <v>0.0</v>
      </c>
      <c r="H7506" s="3">
        <v>0.0</v>
      </c>
      <c r="I7506" s="3" t="s">
        <v>13</v>
      </c>
      <c r="J7506" s="3" t="s">
        <v>21517</v>
      </c>
      <c r="K7506" s="3" t="s">
        <v>883</v>
      </c>
      <c r="L7506" s="3" t="str">
        <f>IFERROR(__xludf.DUMMYFUNCTION("GOOGLETRANSLATE(F7506,""id"",""en"")"),"Lionel Messi with other Argentine players lifted the World Cup trophy after becoming the World Cup champion Lusail Stadium Qatar Monday")</f>
        <v>Lionel Messi with other Argentine players lifted the World Cup trophy after becoming the World Cup champion Lusail Stadium Qatar Monday</v>
      </c>
    </row>
    <row r="7507" ht="15.75" customHeight="1">
      <c r="A7507" s="1">
        <v>8723.0</v>
      </c>
      <c r="B7507" s="3" t="s">
        <v>21518</v>
      </c>
      <c r="C7507" s="3">
        <v>1.0</v>
      </c>
      <c r="D7507" s="3">
        <v>0.0</v>
      </c>
      <c r="E7507" s="3">
        <v>0.0</v>
      </c>
      <c r="F7507" s="3" t="s">
        <v>21519</v>
      </c>
      <c r="G7507" s="3">
        <v>0.0</v>
      </c>
      <c r="H7507" s="3">
        <v>0.0</v>
      </c>
      <c r="I7507" s="3" t="s">
        <v>13</v>
      </c>
      <c r="J7507" s="3" t="s">
        <v>21520</v>
      </c>
      <c r="K7507" s="3" t="s">
        <v>657</v>
      </c>
      <c r="L7507" s="3" t="str">
        <f>IFERROR(__xludf.DUMMYFUNCTION("GOOGLETRANSLATE(F7507,""id"",""en"")"),"Qatar's football party is finished with Argentina to appear as the next champion of the World Cup edition will be held in the future")</f>
        <v>Qatar's football party is finished with Argentina to appear as the next champion of the World Cup edition will be held in the future</v>
      </c>
    </row>
    <row r="7508" ht="15.75" customHeight="1">
      <c r="A7508" s="1">
        <v>8724.0</v>
      </c>
      <c r="B7508" s="3" t="s">
        <v>21521</v>
      </c>
      <c r="C7508" s="3">
        <v>0.0</v>
      </c>
      <c r="D7508" s="3">
        <v>0.0</v>
      </c>
      <c r="E7508" s="3">
        <v>0.0</v>
      </c>
      <c r="F7508" s="3" t="s">
        <v>21522</v>
      </c>
      <c r="G7508" s="3">
        <v>0.6</v>
      </c>
      <c r="H7508" s="3">
        <v>-0.05</v>
      </c>
      <c r="I7508" s="3" t="s">
        <v>179</v>
      </c>
      <c r="J7508" s="3" t="s">
        <v>21523</v>
      </c>
      <c r="K7508" s="3" t="s">
        <v>765</v>
      </c>
      <c r="L7508" s="3" t="str">
        <f>IFERROR(__xludf.DUMMYFUNCTION("GOOGLETRANSLATE(F7508,""id"",""en"")"),"Moreover, Belgium hasn't said if it's too old, the basic mental tempe before the penalties of the final match begins, it is clear that Argentina will be champions because of their track record during the previous penalties and even the Copa America")</f>
        <v>Moreover, Belgium hasn't said if it's too old, the basic mental tempe before the penalties of the final match begins, it is clear that Argentina will be champions because of their track record during the previous penalties and even the Copa America</v>
      </c>
    </row>
    <row r="7509" ht="15.75" customHeight="1">
      <c r="A7509" s="1">
        <v>8725.0</v>
      </c>
      <c r="B7509" s="3" t="s">
        <v>21524</v>
      </c>
      <c r="C7509" s="3">
        <v>3.0</v>
      </c>
      <c r="D7509" s="3">
        <v>6.0</v>
      </c>
      <c r="E7509" s="3">
        <v>37.0</v>
      </c>
      <c r="F7509" s="3" t="s">
        <v>21525</v>
      </c>
      <c r="G7509" s="3">
        <v>0.0</v>
      </c>
      <c r="H7509" s="3">
        <v>0.0</v>
      </c>
      <c r="I7509" s="3" t="s">
        <v>13</v>
      </c>
      <c r="J7509" s="3" t="s">
        <v>21526</v>
      </c>
      <c r="K7509" s="3" t="s">
        <v>54</v>
      </c>
      <c r="L7509" s="3" t="str">
        <f>IFERROR(__xludf.DUMMYFUNCTION("GOOGLETRANSLATE(F7509,""id"",""en"")"),"gosh, you just won almost wretched")</f>
        <v>gosh, you just won almost wretched</v>
      </c>
    </row>
    <row r="7510" ht="15.75" customHeight="1">
      <c r="A7510" s="1">
        <v>8726.0</v>
      </c>
      <c r="B7510" s="3" t="s">
        <v>21527</v>
      </c>
      <c r="C7510" s="3">
        <v>0.0</v>
      </c>
      <c r="D7510" s="3">
        <v>0.0</v>
      </c>
      <c r="E7510" s="3">
        <v>0.0</v>
      </c>
      <c r="F7510" s="3" t="s">
        <v>17033</v>
      </c>
      <c r="G7510" s="3">
        <v>0.0</v>
      </c>
      <c r="H7510" s="3">
        <v>0.0</v>
      </c>
      <c r="I7510" s="3" t="s">
        <v>13</v>
      </c>
      <c r="J7510" s="3" t="s">
        <v>17034</v>
      </c>
      <c r="K7510" s="3" t="s">
        <v>82</v>
      </c>
      <c r="L7510" s="3" t="str">
        <f>IFERROR(__xludf.DUMMYFUNCTION("GOOGLETRANSLATE(F7510,""id"",""en"")"),"hbd sis, I hope Argentina won the World Cup")</f>
        <v>hbd sis, I hope Argentina won the World Cup</v>
      </c>
    </row>
    <row r="7511" ht="15.75" customHeight="1">
      <c r="A7511" s="1">
        <v>8727.0</v>
      </c>
      <c r="B7511" s="3" t="s">
        <v>21528</v>
      </c>
      <c r="C7511" s="3">
        <v>0.0</v>
      </c>
      <c r="D7511" s="3">
        <v>1.0</v>
      </c>
      <c r="E7511" s="3">
        <v>0.0</v>
      </c>
      <c r="F7511" s="3" t="s">
        <v>21529</v>
      </c>
      <c r="G7511" s="3">
        <v>0.0</v>
      </c>
      <c r="H7511" s="3">
        <v>0.0</v>
      </c>
      <c r="I7511" s="3" t="s">
        <v>13</v>
      </c>
      <c r="J7511" s="3" t="s">
        <v>21530</v>
      </c>
      <c r="K7511" s="3" t="s">
        <v>41</v>
      </c>
      <c r="L7511" s="3" t="str">
        <f>IFERROR(__xludf.DUMMYFUNCTION("GOOGLETRANSLATE(F7511,""id"",""en"")"),"Welcome Messi as the Argentina World Cup championship on the national holiday")</f>
        <v>Welcome Messi as the Argentina World Cup championship on the national holiday</v>
      </c>
    </row>
    <row r="7512" ht="15.75" customHeight="1">
      <c r="A7512" s="1">
        <v>8728.0</v>
      </c>
      <c r="B7512" s="3" t="s">
        <v>21531</v>
      </c>
      <c r="C7512" s="3">
        <v>0.0</v>
      </c>
      <c r="D7512" s="3">
        <v>0.0</v>
      </c>
      <c r="E7512" s="3">
        <v>0.0</v>
      </c>
      <c r="F7512" s="3" t="s">
        <v>21532</v>
      </c>
      <c r="G7512" s="3">
        <v>0.0</v>
      </c>
      <c r="H7512" s="3">
        <v>0.0</v>
      </c>
      <c r="I7512" s="3" t="s">
        <v>13</v>
      </c>
      <c r="J7512" s="3" t="s">
        <v>21533</v>
      </c>
      <c r="K7512" s="3" t="s">
        <v>54</v>
      </c>
      <c r="L7512" s="3" t="str">
        <f>IFERROR(__xludf.DUMMYFUNCTION("GOOGLETRANSLATE(F7512,""id"",""en"")"),"Pele Argentina Champion Maradona must smile now")</f>
        <v>Pele Argentina Champion Maradona must smile now</v>
      </c>
    </row>
    <row r="7513" ht="15.75" customHeight="1">
      <c r="A7513" s="1">
        <v>8729.0</v>
      </c>
      <c r="B7513" s="3" t="s">
        <v>21534</v>
      </c>
      <c r="C7513" s="3">
        <v>0.0</v>
      </c>
      <c r="D7513" s="3">
        <v>0.0</v>
      </c>
      <c r="E7513" s="3">
        <v>6.0</v>
      </c>
      <c r="F7513" s="3" t="s">
        <v>21535</v>
      </c>
      <c r="G7513" s="3">
        <v>0.0</v>
      </c>
      <c r="H7513" s="3">
        <v>0.0</v>
      </c>
      <c r="I7513" s="3" t="s">
        <v>13</v>
      </c>
      <c r="J7513" s="3" t="s">
        <v>21536</v>
      </c>
      <c r="K7513" s="3" t="s">
        <v>1345</v>
      </c>
      <c r="L7513" s="3" t="str">
        <f>IFERROR(__xludf.DUMMYFUNCTION("GOOGLETRANSLATE(F7513,""id"",""en"")"),"Wahh German Champion Western Argentina Champion Eastern region is really cool Germany")</f>
        <v>Wahh German Champion Western Argentina Champion Eastern region is really cool Germany</v>
      </c>
    </row>
    <row r="7514" ht="15.75" customHeight="1">
      <c r="A7514" s="1">
        <v>8730.0</v>
      </c>
      <c r="B7514" s="3" t="s">
        <v>21537</v>
      </c>
      <c r="C7514" s="3">
        <v>0.0</v>
      </c>
      <c r="D7514" s="3">
        <v>0.0</v>
      </c>
      <c r="E7514" s="3">
        <v>2.0</v>
      </c>
      <c r="F7514" s="3" t="s">
        <v>21538</v>
      </c>
      <c r="G7514" s="3">
        <v>0.0</v>
      </c>
      <c r="H7514" s="3">
        <v>0.0</v>
      </c>
      <c r="I7514" s="3" t="s">
        <v>13</v>
      </c>
      <c r="J7514" s="3" t="s">
        <v>21539</v>
      </c>
      <c r="K7514" s="3" t="s">
        <v>127</v>
      </c>
      <c r="L7514" s="3" t="str">
        <f>IFERROR(__xludf.DUMMYFUNCTION("GOOGLETRANSLATE(F7514,""id"",""en"")"),"GBLK Squad Prancia BGTU The car model is not just Argentina, just like this, Dodo's fans are not yet received if Messi is champion wkwkwk")</f>
        <v>GBLK Squad Prancia BGTU The car model is not just Argentina, just like this, Dodo's fans are not yet received if Messi is champion wkwkwk</v>
      </c>
    </row>
    <row r="7515" ht="15.75" customHeight="1">
      <c r="A7515" s="1">
        <v>8731.0</v>
      </c>
      <c r="B7515" s="3" t="s">
        <v>21540</v>
      </c>
      <c r="C7515" s="3">
        <v>0.0</v>
      </c>
      <c r="D7515" s="3">
        <v>0.0</v>
      </c>
      <c r="E7515" s="3">
        <v>0.0</v>
      </c>
      <c r="F7515" s="3" t="s">
        <v>21541</v>
      </c>
      <c r="G7515" s="3">
        <v>0.0</v>
      </c>
      <c r="H7515" s="3">
        <v>0.0</v>
      </c>
      <c r="I7515" s="3" t="s">
        <v>13</v>
      </c>
      <c r="J7515" s="3" t="s">
        <v>21542</v>
      </c>
      <c r="K7515" s="3" t="s">
        <v>603</v>
      </c>
      <c r="L7515" s="3" t="str">
        <f>IFERROR(__xludf.DUMMYFUNCTION("GOOGLETRANSLATE(F7515,""id"",""en"")"),"want to underline that Argentina is absolutely champion from all minutes performance running to become champion holding the trophy or what else want to bacot loses no need to ngelist")</f>
        <v>want to underline that Argentina is absolutely champion from all minutes performance running to become champion holding the trophy or what else want to bacot loses no need to ngelist</v>
      </c>
    </row>
    <row r="7516" ht="15.75" customHeight="1">
      <c r="A7516" s="1">
        <v>8732.0</v>
      </c>
      <c r="B7516" s="3" t="s">
        <v>21543</v>
      </c>
      <c r="C7516" s="3">
        <v>0.0</v>
      </c>
      <c r="D7516" s="3">
        <v>0.0</v>
      </c>
      <c r="E7516" s="3">
        <v>0.0</v>
      </c>
      <c r="F7516" s="3" t="s">
        <v>20695</v>
      </c>
      <c r="G7516" s="3">
        <v>0.0</v>
      </c>
      <c r="H7516" s="3">
        <v>0.0</v>
      </c>
      <c r="I7516" s="3" t="s">
        <v>13</v>
      </c>
      <c r="J7516" s="3" t="s">
        <v>20696</v>
      </c>
      <c r="K7516" s="3" t="s">
        <v>2215</v>
      </c>
      <c r="L7516" s="3" t="str">
        <f>IFERROR(__xludf.DUMMYFUNCTION("GOOGLETRANSLATE(F7516,""id"",""en"")"),"The history of the World Cup World Cup trophy has officially ended on Sunday December with Argentina as the champion this year")</f>
        <v>The history of the World Cup World Cup trophy has officially ended on Sunday December with Argentina as the champion this year</v>
      </c>
    </row>
    <row r="7517" ht="15.75" customHeight="1">
      <c r="A7517" s="1">
        <v>8733.0</v>
      </c>
      <c r="B7517" s="3" t="s">
        <v>21544</v>
      </c>
      <c r="C7517" s="3">
        <v>0.0</v>
      </c>
      <c r="D7517" s="3">
        <v>0.0</v>
      </c>
      <c r="E7517" s="3">
        <v>0.0</v>
      </c>
      <c r="F7517" s="3" t="s">
        <v>21545</v>
      </c>
      <c r="G7517" s="3">
        <v>0.0</v>
      </c>
      <c r="H7517" s="3">
        <v>0.0</v>
      </c>
      <c r="I7517" s="3" t="s">
        <v>13</v>
      </c>
      <c r="J7517" s="3" t="s">
        <v>21546</v>
      </c>
      <c r="K7517" s="3" t="s">
        <v>15</v>
      </c>
      <c r="L7517" s="3" t="str">
        <f>IFERROR(__xludf.DUMMYFUNCTION("GOOGLETRANSLATE(F7517,""id"",""en"")"),"In fact, Argentina can win the Messi era after his striker Lautaro Martinez")</f>
        <v>In fact, Argentina can win the Messi era after his striker Lautaro Martinez</v>
      </c>
    </row>
    <row r="7518" ht="15.75" customHeight="1">
      <c r="A7518" s="1">
        <v>8734.0</v>
      </c>
      <c r="B7518" s="3" t="s">
        <v>21547</v>
      </c>
      <c r="C7518" s="3">
        <v>1.0</v>
      </c>
      <c r="D7518" s="3">
        <v>0.0</v>
      </c>
      <c r="E7518" s="3">
        <v>0.0</v>
      </c>
      <c r="F7518" s="3" t="s">
        <v>21548</v>
      </c>
      <c r="G7518" s="3">
        <v>0.0</v>
      </c>
      <c r="H7518" s="3">
        <v>0.0</v>
      </c>
      <c r="I7518" s="3" t="s">
        <v>13</v>
      </c>
      <c r="J7518" s="3" t="s">
        <v>21549</v>
      </c>
      <c r="K7518" s="3" t="s">
        <v>426</v>
      </c>
      <c r="L7518" s="3" t="str">
        <f>IFERROR(__xludf.DUMMYFUNCTION("GOOGLETRANSLATE(F7518,""id"",""en"")"),"There are actually many reasons for friends who do not accept the victory of Argentina because he is a supporter of the team who loses talking about winning Argentina still champions do not need to ngelist because the adupinalti adupinalti is part of test"&amp;"ing the smart goalkeeper")</f>
        <v>There are actually many reasons for friends who do not accept the victory of Argentina because he is a supporter of the team who loses talking about winning Argentina still champions do not need to ngelist because the adupinalti adupinalti is part of testing the smart goalkeeper</v>
      </c>
    </row>
    <row r="7519" ht="15.75" customHeight="1">
      <c r="A7519" s="1">
        <v>8735.0</v>
      </c>
      <c r="B7519" s="3" t="s">
        <v>21550</v>
      </c>
      <c r="C7519" s="3">
        <v>0.0</v>
      </c>
      <c r="D7519" s="3">
        <v>0.0</v>
      </c>
      <c r="E7519" s="3">
        <v>0.0</v>
      </c>
      <c r="F7519" s="3" t="s">
        <v>21551</v>
      </c>
      <c r="G7519" s="3">
        <v>0.0</v>
      </c>
      <c r="H7519" s="3">
        <v>0.0</v>
      </c>
      <c r="I7519" s="3" t="s">
        <v>13</v>
      </c>
      <c r="J7519" s="3" t="s">
        <v>21552</v>
      </c>
      <c r="K7519" s="3" t="s">
        <v>35</v>
      </c>
      <c r="L7519" s="3" t="str">
        <f>IFERROR(__xludf.DUMMYFUNCTION("GOOGLETRANSLATE(F7519,""id"",""en"")"),"because the settings from the president of PSG to promise Argentina champions so that Messi survived PSG Next Year")</f>
        <v>because the settings from the president of PSG to promise Argentina champions so that Messi survived PSG Next Year</v>
      </c>
    </row>
    <row r="7520" ht="15.75" customHeight="1">
      <c r="A7520" s="1">
        <v>8736.0</v>
      </c>
      <c r="B7520" s="3" t="s">
        <v>21553</v>
      </c>
      <c r="C7520" s="3">
        <v>3.0</v>
      </c>
      <c r="D7520" s="3">
        <v>5.0</v>
      </c>
      <c r="E7520" s="3">
        <v>128.0</v>
      </c>
      <c r="F7520" s="3" t="s">
        <v>21554</v>
      </c>
      <c r="G7520" s="3">
        <v>0.0</v>
      </c>
      <c r="H7520" s="3">
        <v>0.0</v>
      </c>
      <c r="I7520" s="3" t="s">
        <v>13</v>
      </c>
      <c r="J7520" s="3" t="s">
        <v>21555</v>
      </c>
      <c r="K7520" s="3" t="s">
        <v>82</v>
      </c>
      <c r="L7520" s="3" t="str">
        <f>IFERROR(__xludf.DUMMYFUNCTION("GOOGLETRANSLATE(F7520,""id"",""en"")"),"Only the era of Iwan Bule Argentina can be world champion")</f>
        <v>Only the era of Iwan Bule Argentina can be world champion</v>
      </c>
    </row>
    <row r="7521" ht="15.75" customHeight="1">
      <c r="A7521" s="1">
        <v>8737.0</v>
      </c>
      <c r="B7521" s="3" t="s">
        <v>21556</v>
      </c>
      <c r="C7521" s="3">
        <v>0.0</v>
      </c>
      <c r="D7521" s="3">
        <v>0.0</v>
      </c>
      <c r="E7521" s="3">
        <v>0.0</v>
      </c>
      <c r="F7521" s="3" t="s">
        <v>21557</v>
      </c>
      <c r="G7521" s="3">
        <v>0.0</v>
      </c>
      <c r="H7521" s="3">
        <v>0.0</v>
      </c>
      <c r="I7521" s="3" t="s">
        <v>13</v>
      </c>
      <c r="J7521" s="3" t="s">
        <v>21558</v>
      </c>
      <c r="K7521" s="3" t="s">
        <v>1349</v>
      </c>
      <c r="L7521" s="3" t="str">
        <f>IFERROR(__xludf.DUMMYFUNCTION("GOOGLETRANSLATE(F7521,""id"",""en"")"),"Argentina is said to be a World Cup champion but apparently lost to Saudi Arabia means that the true champion of Qatar is Saudi Arabia")</f>
        <v>Argentina is said to be a World Cup champion but apparently lost to Saudi Arabia means that the true champion of Qatar is Saudi Arabia</v>
      </c>
    </row>
    <row r="7522" ht="15.75" customHeight="1">
      <c r="A7522" s="1">
        <v>8738.0</v>
      </c>
      <c r="B7522" s="3" t="s">
        <v>21559</v>
      </c>
      <c r="C7522" s="3">
        <v>0.0</v>
      </c>
      <c r="D7522" s="3">
        <v>0.0</v>
      </c>
      <c r="E7522" s="3">
        <v>5.0</v>
      </c>
      <c r="F7522" s="3" t="s">
        <v>21440</v>
      </c>
      <c r="G7522" s="3">
        <v>0.0</v>
      </c>
      <c r="H7522" s="3">
        <v>0.0</v>
      </c>
      <c r="I7522" s="3" t="s">
        <v>13</v>
      </c>
      <c r="J7522" s="3" t="s">
        <v>21441</v>
      </c>
      <c r="K7522" s="3" t="s">
        <v>127</v>
      </c>
      <c r="L7522" s="3" t="str">
        <f>IFERROR(__xludf.DUMMYFUNCTION("GOOGLETRANSLATE(F7522,""id"",""en"")"),"Lionel Messi brought Argentina to the World Cup champion how lucky the Tango team had great talent again after the Diego Maradona era")</f>
        <v>Lionel Messi brought Argentina to the World Cup champion how lucky the Tango team had great talent again after the Diego Maradona era</v>
      </c>
    </row>
    <row r="7523" ht="15.75" customHeight="1">
      <c r="A7523" s="1">
        <v>8739.0</v>
      </c>
      <c r="B7523" s="3" t="s">
        <v>21560</v>
      </c>
      <c r="C7523" s="3">
        <v>0.0</v>
      </c>
      <c r="D7523" s="3">
        <v>0.0</v>
      </c>
      <c r="E7523" s="3">
        <v>0.0</v>
      </c>
      <c r="F7523" s="3" t="s">
        <v>21561</v>
      </c>
      <c r="G7523" s="3">
        <v>0.0</v>
      </c>
      <c r="H7523" s="3">
        <v>0.0</v>
      </c>
      <c r="I7523" s="3" t="s">
        <v>13</v>
      </c>
      <c r="J7523" s="3" t="s">
        <v>21562</v>
      </c>
      <c r="K7523" s="3" t="s">
        <v>477</v>
      </c>
      <c r="L7523" s="3" t="str">
        <f>IFERROR(__xludf.DUMMYFUNCTION("GOOGLETRANSLATE(F7523,""id"",""en"")"),"Min Diary Reminder Argentina Champion World Cup Min")</f>
        <v>Min Diary Reminder Argentina Champion World Cup Min</v>
      </c>
    </row>
    <row r="7524" ht="15.75" customHeight="1">
      <c r="A7524" s="1">
        <v>8741.0</v>
      </c>
      <c r="B7524" s="3" t="s">
        <v>21563</v>
      </c>
      <c r="C7524" s="3">
        <v>1.0</v>
      </c>
      <c r="D7524" s="3">
        <v>0.0</v>
      </c>
      <c r="E7524" s="3">
        <v>0.0</v>
      </c>
      <c r="F7524" s="3" t="s">
        <v>21564</v>
      </c>
      <c r="G7524" s="3">
        <v>0.75</v>
      </c>
      <c r="H7524" s="3">
        <v>0.0</v>
      </c>
      <c r="I7524" s="3" t="s">
        <v>13</v>
      </c>
      <c r="J7524" s="3" t="s">
        <v>21565</v>
      </c>
      <c r="K7524" s="3" t="s">
        <v>10085</v>
      </c>
      <c r="L7524" s="3" t="str">
        <f>IFERROR(__xludf.DUMMYFUNCTION("GOOGLETRANSLATE(F7524,""id"",""en"")"),"Guess the World Cup of the Play Card Guess the Snapshot Prize Distribution Distribution Collection of UWCT Prize Card Champion Argentina National Team Runner French National Team Card Ranking National Team Card and Croatia and Morocco")</f>
        <v>Guess the World Cup of the Play Card Guess the Snapshot Prize Distribution Distribution Collection of UWCT Prize Card Champion Argentina National Team Runner French National Team Card Ranking National Team Card and Croatia and Morocco</v>
      </c>
    </row>
    <row r="7525" ht="15.75" customHeight="1">
      <c r="A7525" s="1">
        <v>8742.0</v>
      </c>
      <c r="B7525" s="3" t="s">
        <v>21566</v>
      </c>
      <c r="C7525" s="3">
        <v>2.0</v>
      </c>
      <c r="D7525" s="3">
        <v>2.0</v>
      </c>
      <c r="E7525" s="3">
        <v>116.0</v>
      </c>
      <c r="F7525" s="3" t="s">
        <v>21567</v>
      </c>
      <c r="G7525" s="3">
        <v>1.0</v>
      </c>
      <c r="H7525" s="3">
        <v>0.0</v>
      </c>
      <c r="I7525" s="3" t="s">
        <v>13</v>
      </c>
      <c r="J7525" s="3" t="s">
        <v>21568</v>
      </c>
      <c r="K7525" s="3" t="s">
        <v>90</v>
      </c>
      <c r="L7525" s="3" t="str">
        <f>IFERROR(__xludf.DUMMYFUNCTION("GOOGLETRANSLATE(F7525,""id"",""en"")"),"The champion candidates must have prepared each Argentina and French bus for example champion clothes, they must have prepared for the final counsela")</f>
        <v>The champion candidates must have prepared each Argentina and French bus for example champion clothes, they must have prepared for the final counsela</v>
      </c>
    </row>
    <row r="7526" ht="15.75" customHeight="1">
      <c r="A7526" s="1">
        <v>8743.0</v>
      </c>
      <c r="B7526" s="3" t="s">
        <v>21569</v>
      </c>
      <c r="C7526" s="3">
        <v>2.0</v>
      </c>
      <c r="D7526" s="3">
        <v>0.0</v>
      </c>
      <c r="E7526" s="3">
        <v>16.0</v>
      </c>
      <c r="F7526" s="3" t="s">
        <v>21570</v>
      </c>
      <c r="G7526" s="3">
        <v>0.0</v>
      </c>
      <c r="H7526" s="3">
        <v>0.0</v>
      </c>
      <c r="I7526" s="3" t="s">
        <v>13</v>
      </c>
      <c r="J7526" s="3" t="s">
        <v>21571</v>
      </c>
      <c r="K7526" s="3" t="s">
        <v>1699</v>
      </c>
      <c r="L7526" s="3" t="str">
        <f>IFERROR(__xludf.DUMMYFUNCTION("GOOGLETRANSLATE(F7526,""id"",""en"")"),"This is a real brother, Aguero's younger sibling is Agentina's coach, even scaloni, just a doll back, the Argentine champion is Sergio Kun Aguero, the most contributing not to tell the media")</f>
        <v>This is a real brother, Aguero's younger sibling is Agentina's coach, even scaloni, just a doll back, the Argentine champion is Sergio Kun Aguero, the most contributing not to tell the media</v>
      </c>
    </row>
    <row r="7527" ht="15.75" customHeight="1">
      <c r="A7527" s="1">
        <v>8744.0</v>
      </c>
      <c r="B7527" s="3" t="s">
        <v>21572</v>
      </c>
      <c r="C7527" s="3">
        <v>0.0</v>
      </c>
      <c r="D7527" s="3">
        <v>0.0</v>
      </c>
      <c r="E7527" s="3">
        <v>0.0</v>
      </c>
      <c r="F7527" s="3" t="s">
        <v>21573</v>
      </c>
      <c r="G7527" s="3">
        <v>0.0</v>
      </c>
      <c r="H7527" s="3">
        <v>0.0</v>
      </c>
      <c r="I7527" s="3" t="s">
        <v>13</v>
      </c>
      <c r="J7527" s="3" t="s">
        <v>21574</v>
      </c>
      <c r="K7527" s="3" t="s">
        <v>657</v>
      </c>
      <c r="L7527" s="3" t="str">
        <f>IFERROR(__xludf.DUMMYFUNCTION("GOOGLETRANSLATE(F7527,""id"",""en"")"),"Argentine champions lose France so the monthly monthly month of the chaos of the clash and the koid of Indo people wkwkw")</f>
        <v>Argentine champions lose France so the monthly monthly month of the chaos of the clash and the koid of Indo people wkwkw</v>
      </c>
    </row>
    <row r="7528" ht="15.75" customHeight="1">
      <c r="A7528" s="1">
        <v>8745.0</v>
      </c>
      <c r="B7528" s="3" t="s">
        <v>21575</v>
      </c>
      <c r="C7528" s="3">
        <v>0.0</v>
      </c>
      <c r="D7528" s="3">
        <v>0.0</v>
      </c>
      <c r="E7528" s="3">
        <v>0.0</v>
      </c>
      <c r="F7528" s="3" t="s">
        <v>21576</v>
      </c>
      <c r="G7528" s="3">
        <v>0.0</v>
      </c>
      <c r="H7528" s="3">
        <v>0.0</v>
      </c>
      <c r="I7528" s="3" t="s">
        <v>13</v>
      </c>
      <c r="J7528" s="3" t="s">
        <v>21577</v>
      </c>
      <c r="K7528" s="3" t="s">
        <v>6117</v>
      </c>
      <c r="L7528" s="3" t="str">
        <f>IFERROR(__xludf.DUMMYFUNCTION("GOOGLETRANSLATE(F7528,""id"",""en"")"),"Idn I had thought so when Argentina failed to win the World Cup just try Messi Bela Spain at that time because from the year of the Spanish national team prime Messi was able to sway")</f>
        <v>Idn I had thought so when Argentina failed to win the World Cup just try Messi Bela Spain at that time because from the year of the Spanish national team prime Messi was able to sway</v>
      </c>
    </row>
    <row r="7529" ht="15.75" customHeight="1">
      <c r="A7529" s="1">
        <v>8746.0</v>
      </c>
      <c r="B7529" s="3" t="s">
        <v>21578</v>
      </c>
      <c r="C7529" s="3">
        <v>1.0</v>
      </c>
      <c r="D7529" s="3">
        <v>0.0</v>
      </c>
      <c r="E7529" s="3">
        <v>0.0</v>
      </c>
      <c r="F7529" s="3" t="s">
        <v>21579</v>
      </c>
      <c r="G7529" s="3">
        <v>0.0</v>
      </c>
      <c r="H7529" s="3">
        <v>0.0</v>
      </c>
      <c r="I7529" s="3" t="s">
        <v>13</v>
      </c>
      <c r="J7529" s="3" t="s">
        <v>21580</v>
      </c>
      <c r="K7529" s="3" t="s">
        <v>1970</v>
      </c>
      <c r="L7529" s="3" t="str">
        <f>IFERROR(__xludf.DUMMYFUNCTION("GOOGLETRANSLATE(F7529,""id"",""en"")"),"This is if there is a thread about the contribution per player all Argentine matches until the champion is great if I see all players have an important moment both for attacking or defending")</f>
        <v>This is if there is a thread about the contribution per player all Argentine matches until the champion is great if I see all players have an important moment both for attacking or defending</v>
      </c>
    </row>
    <row r="7530" ht="15.75" customHeight="1">
      <c r="A7530" s="1">
        <v>8747.0</v>
      </c>
      <c r="B7530" s="3" t="s">
        <v>21581</v>
      </c>
      <c r="C7530" s="3">
        <v>1.0</v>
      </c>
      <c r="D7530" s="3">
        <v>0.0</v>
      </c>
      <c r="E7530" s="3">
        <v>0.0</v>
      </c>
      <c r="F7530" s="3" t="s">
        <v>21582</v>
      </c>
      <c r="G7530" s="3">
        <v>0.0</v>
      </c>
      <c r="H7530" s="3">
        <v>0.0</v>
      </c>
      <c r="I7530" s="3" t="s">
        <v>13</v>
      </c>
      <c r="J7530" s="3" t="s">
        <v>21583</v>
      </c>
      <c r="K7530" s="3" t="s">
        <v>41</v>
      </c>
      <c r="L7530" s="3" t="str">
        <f>IFERROR(__xludf.DUMMYFUNCTION("GOOGLETRANSLATE(F7530,""id"",""en"")"),"Redsindo feels that Argentina has always been underestimated always expressed the championship")</f>
        <v>Redsindo feels that Argentina has always been underestimated always expressed the championship</v>
      </c>
    </row>
    <row r="7531" ht="15.75" customHeight="1">
      <c r="A7531" s="1">
        <v>8748.0</v>
      </c>
      <c r="B7531" s="3" t="s">
        <v>21584</v>
      </c>
      <c r="C7531" s="3">
        <v>0.0</v>
      </c>
      <c r="D7531" s="3">
        <v>0.0</v>
      </c>
      <c r="E7531" s="3">
        <v>0.0</v>
      </c>
      <c r="F7531" s="3" t="s">
        <v>21585</v>
      </c>
      <c r="G7531" s="3">
        <v>0.0</v>
      </c>
      <c r="H7531" s="3">
        <v>0.0</v>
      </c>
      <c r="I7531" s="3" t="s">
        <v>13</v>
      </c>
      <c r="J7531" s="3" t="s">
        <v>21586</v>
      </c>
      <c r="K7531" s="3" t="s">
        <v>75</v>
      </c>
      <c r="L7531" s="3" t="str">
        <f>IFERROR(__xludf.DUMMYFUNCTION("GOOGLETRANSLATE(F7531,""id"",""en"")"),"The cause of Argentina is the champion of one of the fish so his ancestors are maupay")</f>
        <v>The cause of Argentina is the champion of one of the fish so his ancestors are maupay</v>
      </c>
    </row>
    <row r="7532" ht="15.75" customHeight="1">
      <c r="A7532" s="1">
        <v>8749.0</v>
      </c>
      <c r="B7532" s="3" t="s">
        <v>21587</v>
      </c>
      <c r="C7532" s="3">
        <v>0.0</v>
      </c>
      <c r="D7532" s="3">
        <v>4.0</v>
      </c>
      <c r="E7532" s="3">
        <v>37.0</v>
      </c>
      <c r="F7532" s="3" t="s">
        <v>21588</v>
      </c>
      <c r="G7532" s="3">
        <v>0.0</v>
      </c>
      <c r="H7532" s="3">
        <v>0.0</v>
      </c>
      <c r="I7532" s="3" t="s">
        <v>13</v>
      </c>
      <c r="J7532" s="3" t="s">
        <v>21589</v>
      </c>
      <c r="K7532" s="3" t="s">
        <v>614</v>
      </c>
      <c r="L7532" s="3" t="str">
        <f>IFERROR(__xludf.DUMMYFUNCTION("GOOGLETRANSLATE(F7532,""id"",""en"")"),"Despite losing to Argentina and failed to win the World Cup but the French players and coaches were still appreciated by President Emmanuel Macron and were welcomed by French citizens Paris Messi")</f>
        <v>Despite losing to Argentina and failed to win the World Cup but the French players and coaches were still appreciated by President Emmanuel Macron and were welcomed by French citizens Paris Messi</v>
      </c>
    </row>
    <row r="7533" ht="15.75" customHeight="1">
      <c r="A7533" s="1">
        <v>8750.0</v>
      </c>
      <c r="B7533" s="3" t="s">
        <v>21590</v>
      </c>
      <c r="C7533" s="3">
        <v>0.0</v>
      </c>
      <c r="D7533" s="3">
        <v>0.0</v>
      </c>
      <c r="E7533" s="3">
        <v>0.0</v>
      </c>
      <c r="F7533" s="3" t="s">
        <v>21591</v>
      </c>
      <c r="G7533" s="3">
        <v>0.0</v>
      </c>
      <c r="H7533" s="3">
        <v>0.0</v>
      </c>
      <c r="I7533" s="3" t="s">
        <v>13</v>
      </c>
      <c r="J7533" s="3" t="s">
        <v>21592</v>
      </c>
      <c r="K7533" s="3" t="s">
        <v>19</v>
      </c>
      <c r="L7533" s="3" t="str">
        <f>IFERROR(__xludf.DUMMYFUNCTION("GOOGLETRANSLATE(F7533,""id"",""en"")"),"all of you are too busy with the Argentina world champion until I forgot if Susanti moved to move")</f>
        <v>all of you are too busy with the Argentina world champion until I forgot if Susanti moved to move</v>
      </c>
    </row>
    <row r="7534" ht="15.75" customHeight="1">
      <c r="A7534" s="1">
        <v>8751.0</v>
      </c>
      <c r="B7534" s="3" t="s">
        <v>21593</v>
      </c>
      <c r="C7534" s="3">
        <v>0.0</v>
      </c>
      <c r="D7534" s="3">
        <v>5.0</v>
      </c>
      <c r="E7534" s="3">
        <v>17.0</v>
      </c>
      <c r="F7534" s="3" t="s">
        <v>21594</v>
      </c>
      <c r="G7534" s="3">
        <v>0.0</v>
      </c>
      <c r="H7534" s="3">
        <v>0.0</v>
      </c>
      <c r="I7534" s="3" t="s">
        <v>13</v>
      </c>
      <c r="J7534" s="3" t="s">
        <v>21595</v>
      </c>
      <c r="K7534" s="3" t="s">
        <v>90</v>
      </c>
      <c r="L7534" s="3" t="str">
        <f>IFERROR(__xludf.DUMMYFUNCTION("GOOGLETRANSLATE(F7534,""id"",""en"")"),"maybe he laughed as well as me when I was the last penalty to enter the Anjir, I felt a dream of seeing Argentina and Messi championed the World Cup")</f>
        <v>maybe he laughed as well as me when I was the last penalty to enter the Anjir, I felt a dream of seeing Argentina and Messi championed the World Cup</v>
      </c>
    </row>
    <row r="7535" ht="15.75" customHeight="1">
      <c r="A7535" s="1">
        <v>8752.0</v>
      </c>
      <c r="B7535" s="3" t="s">
        <v>21596</v>
      </c>
      <c r="C7535" s="3">
        <v>0.0</v>
      </c>
      <c r="D7535" s="3">
        <v>1.0</v>
      </c>
      <c r="E7535" s="3">
        <v>2.0</v>
      </c>
      <c r="F7535" s="3" t="s">
        <v>21597</v>
      </c>
      <c r="G7535" s="3">
        <v>0.0</v>
      </c>
      <c r="H7535" s="3">
        <v>0.0</v>
      </c>
      <c r="I7535" s="3" t="s">
        <v>13</v>
      </c>
      <c r="J7535" s="3" t="s">
        <v>21598</v>
      </c>
      <c r="K7535" s="3" t="s">
        <v>510</v>
      </c>
      <c r="L7535" s="3" t="str">
        <f>IFERROR(__xludf.DUMMYFUNCTION("GOOGLETRANSLATE(F7535,""id"",""en"")"),"It's not enough just one need two lion for finally becoming a world champion again Felicitaciones Argentina Gracias Lionel Scaloni")</f>
        <v>It's not enough just one need two lion for finally becoming a world champion again Felicitaciones Argentina Gracias Lionel Scaloni</v>
      </c>
    </row>
    <row r="7536" ht="15.75" customHeight="1">
      <c r="A7536" s="1">
        <v>8753.0</v>
      </c>
      <c r="B7536" s="3" t="s">
        <v>21599</v>
      </c>
      <c r="C7536" s="3">
        <v>0.0</v>
      </c>
      <c r="D7536" s="3">
        <v>1.0</v>
      </c>
      <c r="E7536" s="3">
        <v>3.0</v>
      </c>
      <c r="F7536" s="3" t="s">
        <v>21306</v>
      </c>
      <c r="G7536" s="3">
        <v>0.0</v>
      </c>
      <c r="H7536" s="3">
        <v>0.0</v>
      </c>
      <c r="I7536" s="3" t="s">
        <v>13</v>
      </c>
      <c r="J7536" s="3" t="s">
        <v>21307</v>
      </c>
      <c r="K7536" s="3" t="s">
        <v>437</v>
      </c>
      <c r="L7536" s="3" t="str">
        <f>IFERROR(__xludf.DUMMYFUNCTION("GOOGLETRANSLATE(F7536,""id"",""en"")"),"Argentina's success in winning the World Cup makes Juventus remain the top of the club with the most world champion owners")</f>
        <v>Argentina's success in winning the World Cup makes Juventus remain the top of the club with the most world champion owners</v>
      </c>
    </row>
    <row r="7537" ht="15.75" customHeight="1">
      <c r="A7537" s="1">
        <v>8754.0</v>
      </c>
      <c r="B7537" s="3" t="s">
        <v>21600</v>
      </c>
      <c r="C7537" s="3">
        <v>4.0</v>
      </c>
      <c r="D7537" s="3">
        <v>3.0</v>
      </c>
      <c r="E7537" s="3">
        <v>37.0</v>
      </c>
      <c r="F7537" s="3" t="s">
        <v>21601</v>
      </c>
      <c r="G7537" s="3">
        <v>0.0</v>
      </c>
      <c r="H7537" s="3">
        <v>0.0</v>
      </c>
      <c r="I7537" s="3" t="s">
        <v>13</v>
      </c>
      <c r="J7537" s="3" t="s">
        <v>21602</v>
      </c>
      <c r="K7537" s="3" t="s">
        <v>574</v>
      </c>
      <c r="L7537" s="3" t="str">
        <f>IFERROR(__xludf.DUMMYFUNCTION("GOOGLETRANSLATE(F7537,""id"",""en"")"),"This cool coach is spicy criticism with Maradona almost want to retreat Hey Alm Maradona to see that you will be proud of Argentina World Champion This Year's Hand Lionel Scaloni")</f>
        <v>This cool coach is spicy criticism with Maradona almost want to retreat Hey Alm Maradona to see that you will be proud of Argentina World Champion This Year's Hand Lionel Scaloni</v>
      </c>
    </row>
    <row r="7538" ht="15.75" customHeight="1">
      <c r="A7538" s="1">
        <v>8755.0</v>
      </c>
      <c r="B7538" s="3" t="s">
        <v>21603</v>
      </c>
      <c r="C7538" s="3">
        <v>2.0</v>
      </c>
      <c r="D7538" s="3">
        <v>0.0</v>
      </c>
      <c r="E7538" s="3">
        <v>0.0</v>
      </c>
      <c r="F7538" s="3" t="s">
        <v>21604</v>
      </c>
      <c r="G7538" s="3">
        <v>0.0</v>
      </c>
      <c r="H7538" s="3">
        <v>0.0</v>
      </c>
      <c r="I7538" s="3" t="s">
        <v>13</v>
      </c>
      <c r="J7538" s="3" t="s">
        <v>21605</v>
      </c>
      <c r="K7538" s="3" t="s">
        <v>1045</v>
      </c>
      <c r="L7538" s="3" t="str">
        <f>IFERROR(__xludf.DUMMYFUNCTION("GOOGLETRANSLATE(F7538,""id"",""en"")"),"Ronaldo made Portugal successful before it had never been achieved while Argentina had champions before meshit was like a word, how to compare mbappe and hahand pildun")</f>
        <v>Ronaldo made Portugal successful before it had never been achieved while Argentina had champions before meshit was like a word, how to compare mbappe and hahand pildun</v>
      </c>
    </row>
    <row r="7539" ht="15.75" customHeight="1">
      <c r="A7539" s="1">
        <v>8756.0</v>
      </c>
      <c r="B7539" s="3" t="s">
        <v>21606</v>
      </c>
      <c r="C7539" s="3">
        <v>0.0</v>
      </c>
      <c r="D7539" s="3">
        <v>0.0</v>
      </c>
      <c r="E7539" s="3">
        <v>0.0</v>
      </c>
      <c r="F7539" s="3" t="s">
        <v>21607</v>
      </c>
      <c r="G7539" s="3">
        <v>0.0</v>
      </c>
      <c r="H7539" s="3">
        <v>0.0</v>
      </c>
      <c r="I7539" s="3" t="s">
        <v>13</v>
      </c>
      <c r="J7539" s="3" t="s">
        <v>21608</v>
      </c>
      <c r="K7539" s="3" t="s">
        <v>484</v>
      </c>
      <c r="L7539" s="3" t="str">
        <f>IFERROR(__xludf.DUMMYFUNCTION("GOOGLETRANSLATE(F7539,""id"",""en"")"),"LinkedIn posting Argentina champion world cup tea for what siiii tea works what do you do and what to do what")</f>
        <v>LinkedIn posting Argentina champion world cup tea for what siiii tea works what do you do and what to do what</v>
      </c>
    </row>
    <row r="7540" ht="15.75" customHeight="1">
      <c r="A7540" s="1">
        <v>8757.0</v>
      </c>
      <c r="B7540" s="3" t="s">
        <v>21609</v>
      </c>
      <c r="C7540" s="3">
        <v>3.0</v>
      </c>
      <c r="D7540" s="3">
        <v>0.0</v>
      </c>
      <c r="E7540" s="3">
        <v>0.0</v>
      </c>
      <c r="F7540" s="3" t="s">
        <v>21610</v>
      </c>
      <c r="G7540" s="3">
        <v>0.3333333333333333</v>
      </c>
      <c r="H7540" s="3">
        <v>0.1666666666666667</v>
      </c>
      <c r="I7540" s="3" t="s">
        <v>48</v>
      </c>
      <c r="J7540" s="3" t="s">
        <v>21611</v>
      </c>
      <c r="K7540" s="3" t="s">
        <v>41</v>
      </c>
      <c r="L7540" s="3" t="str">
        <f>IFERROR(__xludf.DUMMYFUNCTION("GOOGLETRANSLATE(F7540,""id"",""en"")"),"Redsindo has a guarantee or not if Aguero plays Argentina will be champions")</f>
        <v>Redsindo has a guarantee or not if Aguero plays Argentina will be champions</v>
      </c>
    </row>
    <row r="7541" ht="15.75" customHeight="1">
      <c r="A7541" s="1">
        <v>8758.0</v>
      </c>
      <c r="B7541" s="3" t="s">
        <v>21612</v>
      </c>
      <c r="C7541" s="3">
        <v>0.0</v>
      </c>
      <c r="D7541" s="3">
        <v>0.0</v>
      </c>
      <c r="E7541" s="3">
        <v>0.0</v>
      </c>
      <c r="F7541" s="3" t="s">
        <v>21613</v>
      </c>
      <c r="G7541" s="3">
        <v>0.0</v>
      </c>
      <c r="H7541" s="3">
        <v>0.0</v>
      </c>
      <c r="I7541" s="3" t="s">
        <v>13</v>
      </c>
      <c r="J7541" s="3" t="s">
        <v>21614</v>
      </c>
      <c r="K7541" s="3" t="s">
        <v>127</v>
      </c>
      <c r="L7541" s="3" t="str">
        <f>IFERROR(__xludf.DUMMYFUNCTION("GOOGLETRANSLATE(F7541,""id"",""en"")"),"Argentina has officially won but the third goal from Messi The Goat is still difficult to accept by fans across from Hadeuh Sumber Maria Tuesday")</f>
        <v>Argentina has officially won but the third goal from Messi The Goat is still difficult to accept by fans across from Hadeuh Sumber Maria Tuesday</v>
      </c>
    </row>
    <row r="7542" ht="15.75" customHeight="1">
      <c r="A7542" s="1">
        <v>8760.0</v>
      </c>
      <c r="B7542" s="3" t="s">
        <v>21615</v>
      </c>
      <c r="C7542" s="3">
        <v>0.0</v>
      </c>
      <c r="D7542" s="3">
        <v>0.0</v>
      </c>
      <c r="E7542" s="3">
        <v>0.0</v>
      </c>
      <c r="F7542" s="3" t="s">
        <v>21616</v>
      </c>
      <c r="G7542" s="3">
        <v>0.0</v>
      </c>
      <c r="H7542" s="3">
        <v>0.0</v>
      </c>
      <c r="I7542" s="3" t="s">
        <v>13</v>
      </c>
      <c r="J7542" s="3" t="s">
        <v>21617</v>
      </c>
      <c r="K7542" s="3" t="s">
        <v>75</v>
      </c>
      <c r="L7542" s="3" t="str">
        <f>IFERROR(__xludf.DUMMYFUNCTION("GOOGLETRANSLATE(F7542,""id"",""en"")"),"Argentina is the installment champion there is still time to be folbek so you want to invest")</f>
        <v>Argentina is the installment champion there is still time to be folbek so you want to invest</v>
      </c>
    </row>
    <row r="7543" ht="15.75" customHeight="1">
      <c r="A7543" s="1">
        <v>8761.0</v>
      </c>
      <c r="B7543" s="3" t="s">
        <v>21618</v>
      </c>
      <c r="C7543" s="3">
        <v>0.0</v>
      </c>
      <c r="D7543" s="3">
        <v>0.0</v>
      </c>
      <c r="E7543" s="3">
        <v>1.0</v>
      </c>
      <c r="F7543" s="3" t="s">
        <v>21619</v>
      </c>
      <c r="G7543" s="3">
        <v>0.0</v>
      </c>
      <c r="H7543" s="3">
        <v>0.0</v>
      </c>
      <c r="I7543" s="3" t="s">
        <v>13</v>
      </c>
      <c r="J7543" s="3" t="s">
        <v>21620</v>
      </c>
      <c r="K7543" s="3" t="s">
        <v>75</v>
      </c>
      <c r="L7543" s="3" t="str">
        <f>IFERROR(__xludf.DUMMYFUNCTION("GOOGLETRANSLATE(F7543,""id"",""en"")"),"Tweet Mas sampean said happy Argentina yesterday the World Cup championship")</f>
        <v>Tweet Mas sampean said happy Argentina yesterday the World Cup championship</v>
      </c>
    </row>
    <row r="7544" ht="15.75" customHeight="1">
      <c r="A7544" s="1">
        <v>8762.0</v>
      </c>
      <c r="B7544" s="3" t="s">
        <v>21621</v>
      </c>
      <c r="C7544" s="3">
        <v>0.0</v>
      </c>
      <c r="D7544" s="3">
        <v>0.0</v>
      </c>
      <c r="E7544" s="3">
        <v>0.0</v>
      </c>
      <c r="F7544" s="3" t="s">
        <v>21622</v>
      </c>
      <c r="G7544" s="3">
        <v>0.0</v>
      </c>
      <c r="H7544" s="3">
        <v>0.0</v>
      </c>
      <c r="I7544" s="3" t="s">
        <v>13</v>
      </c>
      <c r="J7544" s="3" t="s">
        <v>21623</v>
      </c>
      <c r="K7544" s="3" t="s">
        <v>286</v>
      </c>
      <c r="L7544" s="3" t="str">
        <f>IFERROR(__xludf.DUMMYFUNCTION("GOOGLETRANSLATE(F7544,""id"",""en"")"),"Millions of Argentine will hold a World Cup championship celebration party with Messi and Monument Friends Obelisk Buenos Aires Argentina government has set this Tuesday as a national holiday")</f>
        <v>Millions of Argentine will hold a World Cup championship celebration party with Messi and Monument Friends Obelisk Buenos Aires Argentina government has set this Tuesday as a national holiday</v>
      </c>
    </row>
    <row r="7545" ht="15.75" customHeight="1">
      <c r="A7545" s="1">
        <v>8763.0</v>
      </c>
      <c r="B7545" s="3" t="s">
        <v>21624</v>
      </c>
      <c r="C7545" s="3">
        <v>2.0</v>
      </c>
      <c r="D7545" s="3">
        <v>0.0</v>
      </c>
      <c r="E7545" s="3">
        <v>10.0</v>
      </c>
      <c r="F7545" s="3" t="s">
        <v>21625</v>
      </c>
      <c r="G7545" s="3">
        <v>0.0</v>
      </c>
      <c r="H7545" s="3">
        <v>0.0</v>
      </c>
      <c r="I7545" s="3" t="s">
        <v>13</v>
      </c>
      <c r="J7545" s="3" t="s">
        <v>21626</v>
      </c>
      <c r="K7545" s="3" t="s">
        <v>236</v>
      </c>
      <c r="L7545" s="3" t="str">
        <f>IFERROR(__xludf.DUMMYFUNCTION("GOOGLETRANSLATE(F7545,""id"",""en"")"),"The coach I chose scaloni in my opinion adapability he is an important factor in Argentina")</f>
        <v>The coach I chose scaloni in my opinion adapability he is an important factor in Argentina</v>
      </c>
    </row>
    <row r="7546" ht="15.75" customHeight="1">
      <c r="A7546" s="1">
        <v>8764.0</v>
      </c>
      <c r="B7546" s="3" t="s">
        <v>21627</v>
      </c>
      <c r="C7546" s="3">
        <v>0.0</v>
      </c>
      <c r="D7546" s="3">
        <v>0.0</v>
      </c>
      <c r="E7546" s="3">
        <v>0.0</v>
      </c>
      <c r="F7546" s="3" t="s">
        <v>21628</v>
      </c>
      <c r="G7546" s="3">
        <v>0.0</v>
      </c>
      <c r="H7546" s="3">
        <v>0.0</v>
      </c>
      <c r="I7546" s="3" t="s">
        <v>13</v>
      </c>
      <c r="J7546" s="3" t="s">
        <v>21629</v>
      </c>
      <c r="K7546" s="3" t="s">
        <v>50</v>
      </c>
      <c r="L7546" s="3" t="str">
        <f>IFERROR(__xludf.DUMMYFUNCTION("GOOGLETRANSLATE(F7546,""id"",""en"")"),"Lionel Messi issued his heart after bringing Argentina World Cup champions")</f>
        <v>Lionel Messi issued his heart after bringing Argentina World Cup champions</v>
      </c>
    </row>
    <row r="7547" ht="15.75" customHeight="1">
      <c r="A7547" s="1">
        <v>8765.0</v>
      </c>
      <c r="B7547" s="3" t="s">
        <v>21630</v>
      </c>
      <c r="C7547" s="3">
        <v>0.0</v>
      </c>
      <c r="D7547" s="3">
        <v>0.0</v>
      </c>
      <c r="E7547" s="3">
        <v>0.0</v>
      </c>
      <c r="F7547" s="3" t="s">
        <v>21631</v>
      </c>
      <c r="G7547" s="3">
        <v>0.0</v>
      </c>
      <c r="H7547" s="3">
        <v>0.0</v>
      </c>
      <c r="I7547" s="3" t="s">
        <v>13</v>
      </c>
      <c r="J7547" s="3" t="s">
        <v>21632</v>
      </c>
      <c r="K7547" s="3" t="s">
        <v>2117</v>
      </c>
      <c r="L7547" s="3" t="str">
        <f>IFERROR(__xludf.DUMMYFUNCTION("GOOGLETRANSLATE(F7547,""id"",""en"")"),"Qatar Pilduun Champion")</f>
        <v>Qatar Pilduun Champion</v>
      </c>
    </row>
    <row r="7548" ht="15.75" customHeight="1">
      <c r="A7548" s="1">
        <v>8766.0</v>
      </c>
      <c r="B7548" s="3" t="s">
        <v>21633</v>
      </c>
      <c r="C7548" s="3">
        <v>0.0</v>
      </c>
      <c r="D7548" s="3">
        <v>0.0</v>
      </c>
      <c r="E7548" s="3">
        <v>0.0</v>
      </c>
      <c r="F7548" s="3" t="s">
        <v>21634</v>
      </c>
      <c r="G7548" s="3">
        <v>0.0</v>
      </c>
      <c r="H7548" s="3">
        <v>0.0</v>
      </c>
      <c r="I7548" s="3" t="s">
        <v>13</v>
      </c>
      <c r="J7548" s="3" t="s">
        <v>21635</v>
      </c>
      <c r="K7548" s="3" t="s">
        <v>123</v>
      </c>
      <c r="L7548" s="3" t="str">
        <f>IFERROR(__xludf.DUMMYFUNCTION("GOOGLETRANSLATE(F7548,""id"",""en"")"),"There is no relationship and the role of the Argentine national team so imagine that our senior national team championship championship can be taken away")</f>
        <v>There is no relationship and the role of the Argentine national team so imagine that our senior national team championship championship can be taken away</v>
      </c>
    </row>
    <row r="7549" ht="15.75" customHeight="1">
      <c r="A7549" s="1">
        <v>8767.0</v>
      </c>
      <c r="B7549" s="3" t="s">
        <v>21636</v>
      </c>
      <c r="C7549" s="3">
        <v>0.0</v>
      </c>
      <c r="D7549" s="3">
        <v>0.0</v>
      </c>
      <c r="E7549" s="3">
        <v>0.0</v>
      </c>
      <c r="F7549" s="3" t="s">
        <v>21637</v>
      </c>
      <c r="G7549" s="3">
        <v>0.0</v>
      </c>
      <c r="H7549" s="3">
        <v>0.0</v>
      </c>
      <c r="I7549" s="3" t="s">
        <v>13</v>
      </c>
      <c r="J7549" s="3" t="s">
        <v>21638</v>
      </c>
      <c r="K7549" s="3" t="s">
        <v>510</v>
      </c>
      <c r="L7549" s="3" t="str">
        <f>IFERROR(__xludf.DUMMYFUNCTION("GOOGLETRANSLATE(F7549,""id"",""en"")"),"Argentina World Champion Government General Lionel Messi National Holidays Can't Puts Party")</f>
        <v>Argentina World Champion Government General Lionel Messi National Holidays Can't Puts Party</v>
      </c>
    </row>
    <row r="7550" ht="15.75" customHeight="1">
      <c r="A7550" s="1">
        <v>8768.0</v>
      </c>
      <c r="B7550" s="3" t="s">
        <v>21639</v>
      </c>
      <c r="C7550" s="3">
        <v>0.0</v>
      </c>
      <c r="D7550" s="3">
        <v>0.0</v>
      </c>
      <c r="E7550" s="3">
        <v>3.0</v>
      </c>
      <c r="F7550" s="3" t="s">
        <v>21622</v>
      </c>
      <c r="G7550" s="3">
        <v>0.0</v>
      </c>
      <c r="H7550" s="3">
        <v>0.0</v>
      </c>
      <c r="I7550" s="3" t="s">
        <v>13</v>
      </c>
      <c r="J7550" s="3" t="s">
        <v>21623</v>
      </c>
      <c r="K7550" s="3" t="s">
        <v>286</v>
      </c>
      <c r="L7550" s="3" t="str">
        <f>IFERROR(__xludf.DUMMYFUNCTION("GOOGLETRANSLATE(F7550,""id"",""en"")"),"Millions of Argentine will hold a World Cup championship celebration party with Messi and Monument Friends Obelisk Buenos Aires Argentina government has set this Tuesday as a national holiday")</f>
        <v>Millions of Argentine will hold a World Cup championship celebration party with Messi and Monument Friends Obelisk Buenos Aires Argentina government has set this Tuesday as a national holiday</v>
      </c>
    </row>
    <row r="7551" ht="15.75" customHeight="1">
      <c r="A7551" s="1">
        <v>8769.0</v>
      </c>
      <c r="B7551" s="3" t="s">
        <v>21640</v>
      </c>
      <c r="C7551" s="3">
        <v>0.0</v>
      </c>
      <c r="D7551" s="3">
        <v>0.0</v>
      </c>
      <c r="E7551" s="3">
        <v>0.0</v>
      </c>
      <c r="F7551" s="3" t="s">
        <v>21641</v>
      </c>
      <c r="G7551" s="3">
        <v>0.0</v>
      </c>
      <c r="H7551" s="3">
        <v>0.0</v>
      </c>
      <c r="I7551" s="3" t="s">
        <v>13</v>
      </c>
      <c r="J7551" s="3" t="s">
        <v>21642</v>
      </c>
      <c r="K7551" s="3" t="s">
        <v>35</v>
      </c>
      <c r="L7551" s="3" t="str">
        <f>IFERROR(__xludf.DUMMYFUNCTION("GOOGLETRANSLATE(F7551,""id"",""en"")"),"Argentine shaman viral performs the ritual of protecting Messi to want the Argentine national team to win the World Cup")</f>
        <v>Argentine shaman viral performs the ritual of protecting Messi to want the Argentine national team to win the World Cup</v>
      </c>
    </row>
    <row r="7552" ht="15.75" customHeight="1">
      <c r="A7552" s="1">
        <v>8770.0</v>
      </c>
      <c r="B7552" s="3" t="s">
        <v>21643</v>
      </c>
      <c r="C7552" s="3">
        <v>1.0</v>
      </c>
      <c r="D7552" s="3">
        <v>0.0</v>
      </c>
      <c r="E7552" s="3">
        <v>0.0</v>
      </c>
      <c r="F7552" s="3" t="s">
        <v>21644</v>
      </c>
      <c r="G7552" s="3">
        <v>0.0</v>
      </c>
      <c r="H7552" s="3">
        <v>0.0</v>
      </c>
      <c r="I7552" s="3" t="s">
        <v>13</v>
      </c>
      <c r="J7552" s="3" t="s">
        <v>21645</v>
      </c>
      <c r="K7552" s="3" t="s">
        <v>149</v>
      </c>
      <c r="L7552" s="3" t="str">
        <f>IFERROR(__xludf.DUMMYFUNCTION("GOOGLETRANSLATE(F7552,""id"",""en"")"),"The action of cutting the goal net turned out to have become a tradition for the Argentine World Cup champion tradition was carried out by Lionel Scaloni after celebrating such as Nicolas Otamendi and Paulo Dybala")</f>
        <v>The action of cutting the goal net turned out to have become a tradition for the Argentine World Cup champion tradition was carried out by Lionel Scaloni after celebrating such as Nicolas Otamendi and Paulo Dybala</v>
      </c>
    </row>
    <row r="7553" ht="15.75" customHeight="1">
      <c r="A7553" s="1">
        <v>8771.0</v>
      </c>
      <c r="B7553" s="3" t="s">
        <v>21646</v>
      </c>
      <c r="C7553" s="3">
        <v>0.0</v>
      </c>
      <c r="D7553" s="3">
        <v>0.0</v>
      </c>
      <c r="E7553" s="3">
        <v>0.0</v>
      </c>
      <c r="F7553" s="3" t="s">
        <v>21647</v>
      </c>
      <c r="G7553" s="3">
        <v>0.0</v>
      </c>
      <c r="H7553" s="3">
        <v>0.0</v>
      </c>
      <c r="I7553" s="3" t="s">
        <v>13</v>
      </c>
      <c r="J7553" s="3" t="s">
        <v>21648</v>
      </c>
      <c r="K7553" s="3" t="s">
        <v>41</v>
      </c>
      <c r="L7553" s="3" t="str">
        <f>IFERROR(__xludf.DUMMYFUNCTION("GOOGLETRANSLATE(F7553,""id"",""en"")"),"This is the original Qatar that we watched yesterday was the act of media that set Argentina as champions")</f>
        <v>This is the original Qatar that we watched yesterday was the act of media that set Argentina as champions</v>
      </c>
    </row>
    <row r="7554" ht="15.75" customHeight="1">
      <c r="A7554" s="1">
        <v>8772.0</v>
      </c>
      <c r="B7554" s="3" t="s">
        <v>21649</v>
      </c>
      <c r="C7554" s="3">
        <v>1.0</v>
      </c>
      <c r="D7554" s="3">
        <v>0.0</v>
      </c>
      <c r="E7554" s="3">
        <v>0.0</v>
      </c>
      <c r="F7554" s="3" t="s">
        <v>21650</v>
      </c>
      <c r="G7554" s="3">
        <v>0.0</v>
      </c>
      <c r="H7554" s="3">
        <v>0.0</v>
      </c>
      <c r="I7554" s="3" t="s">
        <v>13</v>
      </c>
      <c r="J7554" s="3" t="s">
        <v>21651</v>
      </c>
      <c r="K7554" s="3" t="s">
        <v>1061</v>
      </c>
      <c r="L7554" s="3" t="str">
        <f>IFERROR(__xludf.DUMMYFUNCTION("GOOGLETRANSLATE(F7554,""id"",""en"")"),"The results of the match laid Argentina as champions for the first time in the last year of France to runner and Croatia in the third ranking team ranked up to the details in the following picture")</f>
        <v>The results of the match laid Argentina as champions for the first time in the last year of France to runner and Croatia in the third ranking team ranked up to the details in the following picture</v>
      </c>
    </row>
    <row r="7555" ht="15.75" customHeight="1">
      <c r="A7555" s="1">
        <v>8773.0</v>
      </c>
      <c r="B7555" s="3" t="s">
        <v>21652</v>
      </c>
      <c r="C7555" s="3">
        <v>1.0</v>
      </c>
      <c r="D7555" s="3">
        <v>1.0</v>
      </c>
      <c r="E7555" s="3">
        <v>16.0</v>
      </c>
      <c r="F7555" s="3" t="s">
        <v>21653</v>
      </c>
      <c r="G7555" s="3">
        <v>0.0</v>
      </c>
      <c r="H7555" s="3">
        <v>0.0</v>
      </c>
      <c r="I7555" s="3" t="s">
        <v>13</v>
      </c>
      <c r="J7555" s="3" t="s">
        <v>21654</v>
      </c>
      <c r="K7555" s="3" t="s">
        <v>823</v>
      </c>
      <c r="L7555" s="3" t="str">
        <f>IFERROR(__xludf.DUMMYFUNCTION("GOOGLETRANSLATE(F7555,""id"",""en"")"),"This is definitely his father if the Mini Soccer Nike Adidas Shoes Ori Nike Adidas Origi Socks Argentina Messi Ori because after the champion when passing the ball ngeshoot hilariously caught from the kicking of his child")</f>
        <v>This is definitely his father if the Mini Soccer Nike Adidas Shoes Ori Nike Adidas Origi Socks Argentina Messi Ori because after the champion when passing the ball ngeshoot hilariously caught from the kicking of his child</v>
      </c>
    </row>
    <row r="7556" ht="15.75" customHeight="1">
      <c r="A7556" s="1">
        <v>8774.0</v>
      </c>
      <c r="B7556" s="3" t="s">
        <v>21655</v>
      </c>
      <c r="C7556" s="3">
        <v>0.0</v>
      </c>
      <c r="D7556" s="3">
        <v>0.0</v>
      </c>
      <c r="E7556" s="3">
        <v>0.0</v>
      </c>
      <c r="F7556" s="3" t="s">
        <v>21656</v>
      </c>
      <c r="G7556" s="3">
        <v>0.0</v>
      </c>
      <c r="H7556" s="3">
        <v>0.0</v>
      </c>
      <c r="I7556" s="3" t="s">
        <v>13</v>
      </c>
      <c r="J7556" s="3" t="s">
        <v>21657</v>
      </c>
      <c r="K7556" s="3" t="s">
        <v>75</v>
      </c>
      <c r="L7556" s="3" t="str">
        <f>IFERROR(__xludf.DUMMYFUNCTION("GOOGLETRANSLATE(F7556,""id"",""en"")"),"Daniel Craig's slide uses Argentina jersey in the context of the World Cup championship")</f>
        <v>Daniel Craig's slide uses Argentina jersey in the context of the World Cup championship</v>
      </c>
    </row>
    <row r="7557" ht="15.75" customHeight="1">
      <c r="A7557" s="1">
        <v>8775.0</v>
      </c>
      <c r="B7557" s="3" t="s">
        <v>21658</v>
      </c>
      <c r="C7557" s="3">
        <v>0.0</v>
      </c>
      <c r="D7557" s="3">
        <v>0.0</v>
      </c>
      <c r="E7557" s="3">
        <v>0.0</v>
      </c>
      <c r="F7557" s="3" t="s">
        <v>21659</v>
      </c>
      <c r="G7557" s="3">
        <v>0.0</v>
      </c>
      <c r="H7557" s="3">
        <v>0.0</v>
      </c>
      <c r="I7557" s="3" t="s">
        <v>13</v>
      </c>
      <c r="J7557" s="3" t="s">
        <v>21660</v>
      </c>
      <c r="K7557" s="3" t="s">
        <v>35</v>
      </c>
      <c r="L7557" s="3" t="str">
        <f>IFERROR(__xludf.DUMMYFUNCTION("GOOGLETRANSLATE(F7557,""id"",""en"")"),"Argentina is the champion, I think Messi has a thanksgiving at home")</f>
        <v>Argentina is the champion, I think Messi has a thanksgiving at home</v>
      </c>
    </row>
    <row r="7558" ht="15.75" customHeight="1">
      <c r="A7558" s="1">
        <v>8776.0</v>
      </c>
      <c r="B7558" s="3" t="s">
        <v>21661</v>
      </c>
      <c r="C7558" s="3">
        <v>0.0</v>
      </c>
      <c r="D7558" s="3">
        <v>0.0</v>
      </c>
      <c r="E7558" s="3">
        <v>0.0</v>
      </c>
      <c r="F7558" s="3" t="s">
        <v>21662</v>
      </c>
      <c r="G7558" s="3">
        <v>0.0</v>
      </c>
      <c r="H7558" s="3">
        <v>0.0</v>
      </c>
      <c r="I7558" s="3" t="s">
        <v>13</v>
      </c>
      <c r="J7558" s="3" t="s">
        <v>21663</v>
      </c>
      <c r="K7558" s="3" t="s">
        <v>71</v>
      </c>
      <c r="L7558" s="3" t="str">
        <f>IFERROR(__xludf.DUMMYFUNCTION("GOOGLETRANSLATE(F7558,""id"",""en"")"),"even though maybe actually it is not the reason Argentina is suitable for the champion for them they did not accept but because this person brought home hahah")</f>
        <v>even though maybe actually it is not the reason Argentina is suitable for the champion for them they did not accept but because this person brought home hahah</v>
      </c>
    </row>
    <row r="7559" ht="15.75" customHeight="1">
      <c r="A7559" s="1">
        <v>8777.0</v>
      </c>
      <c r="B7559" s="3" t="s">
        <v>21664</v>
      </c>
      <c r="C7559" s="3">
        <v>2.0</v>
      </c>
      <c r="D7559" s="3">
        <v>0.0</v>
      </c>
      <c r="E7559" s="3">
        <v>0.0</v>
      </c>
      <c r="F7559" s="3" t="s">
        <v>21665</v>
      </c>
      <c r="G7559" s="3">
        <v>0.6666666666666666</v>
      </c>
      <c r="H7559" s="3">
        <v>0.3333333333333333</v>
      </c>
      <c r="I7559" s="3" t="s">
        <v>48</v>
      </c>
      <c r="J7559" s="3" t="s">
        <v>21666</v>
      </c>
      <c r="K7559" s="3" t="s">
        <v>633</v>
      </c>
      <c r="L7559" s="3" t="str">
        <f>IFERROR(__xludf.DUMMYFUNCTION("GOOGLETRANSLATE(F7559,""id"",""en"")"),"Instagram there says that Argentina is suitable for champions because they play like like come bro the grand finals the biggest stage football what you expect")</f>
        <v>Instagram there says that Argentina is suitable for champions because they play like like come bro the grand finals the biggest stage football what you expect</v>
      </c>
    </row>
    <row r="7560" ht="15.75" customHeight="1">
      <c r="A7560" s="1">
        <v>8778.0</v>
      </c>
      <c r="B7560" s="3" t="s">
        <v>21667</v>
      </c>
      <c r="C7560" s="3">
        <v>0.0</v>
      </c>
      <c r="D7560" s="3">
        <v>0.0</v>
      </c>
      <c r="E7560" s="3">
        <v>0.0</v>
      </c>
      <c r="F7560" s="3" t="s">
        <v>21668</v>
      </c>
      <c r="G7560" s="3">
        <v>0.0</v>
      </c>
      <c r="H7560" s="3">
        <v>0.0</v>
      </c>
      <c r="I7560" s="3" t="s">
        <v>13</v>
      </c>
      <c r="J7560" s="3" t="s">
        <v>21669</v>
      </c>
      <c r="K7560" s="3" t="s">
        <v>1699</v>
      </c>
      <c r="L7560" s="3" t="str">
        <f>IFERROR(__xludf.DUMMYFUNCTION("GOOGLETRANSLATE(F7560,""id"",""en"")"),"Redsindo Argentina Golden Generation Era is also in my opinion when Messi young I see after losing Messi so it's more legowo not too ambitious again international champion for Argentina Kelegowoan")</f>
        <v>Redsindo Argentina Golden Generation Era is also in my opinion when Messi young I see after losing Messi so it's more legowo not too ambitious again international champion for Argentina Kelegowoan</v>
      </c>
    </row>
    <row r="7561" ht="15.75" customHeight="1">
      <c r="A7561" s="1">
        <v>8779.0</v>
      </c>
      <c r="B7561" s="3" t="s">
        <v>21670</v>
      </c>
      <c r="C7561" s="3">
        <v>1.0</v>
      </c>
      <c r="D7561" s="3">
        <v>0.0</v>
      </c>
      <c r="E7561" s="3">
        <v>0.0</v>
      </c>
      <c r="F7561" s="3" t="s">
        <v>21671</v>
      </c>
      <c r="G7561" s="3">
        <v>0.0</v>
      </c>
      <c r="H7561" s="3">
        <v>0.0</v>
      </c>
      <c r="I7561" s="3" t="s">
        <v>13</v>
      </c>
      <c r="J7561" s="3" t="s">
        <v>21672</v>
      </c>
      <c r="K7561" s="3" t="s">
        <v>4236</v>
      </c>
      <c r="L7561" s="3" t="str">
        <f>IFERROR(__xludf.DUMMYFUNCTION("GOOGLETRANSLATE(F7561,""id"",""en"")"),"Already World Champion in the Argentina World Cup first won the title later in the year Mexico won the title and the last Argentina had just won the Qatar World Cup")</f>
        <v>Already World Champion in the Argentina World Cup first won the title later in the year Mexico won the title and the last Argentina had just won the Qatar World Cup</v>
      </c>
    </row>
    <row r="7562" ht="15.75" customHeight="1">
      <c r="A7562" s="1">
        <v>8780.0</v>
      </c>
      <c r="B7562" s="3" t="s">
        <v>21673</v>
      </c>
      <c r="C7562" s="3">
        <v>2.0</v>
      </c>
      <c r="D7562" s="3">
        <v>0.0</v>
      </c>
      <c r="E7562" s="3">
        <v>1.0</v>
      </c>
      <c r="F7562" s="3" t="s">
        <v>21674</v>
      </c>
      <c r="G7562" s="3">
        <v>0.1</v>
      </c>
      <c r="H7562" s="3">
        <v>0.0</v>
      </c>
      <c r="I7562" s="3" t="s">
        <v>13</v>
      </c>
      <c r="J7562" s="3" t="s">
        <v>21675</v>
      </c>
      <c r="K7562" s="3" t="s">
        <v>675</v>
      </c>
      <c r="L7562" s="3" t="str">
        <f>IFERROR(__xludf.DUMMYFUNCTION("GOOGLETRANSLATE(F7562,""id"",""en"")"),"And the ball is not about the BOS star player but the whole team that is intact and solid Argentina in a flying hour already has a good history of the football")</f>
        <v>And the ball is not about the BOS star player but the whole team that is intact and solid Argentina in a flying hour already has a good history of the football</v>
      </c>
    </row>
    <row r="7563" ht="15.75" customHeight="1">
      <c r="A7563" s="1">
        <v>8781.0</v>
      </c>
      <c r="B7563" s="3" t="s">
        <v>21676</v>
      </c>
      <c r="C7563" s="3">
        <v>0.0</v>
      </c>
      <c r="D7563" s="3">
        <v>0.0</v>
      </c>
      <c r="E7563" s="3">
        <v>0.0</v>
      </c>
      <c r="F7563" s="3" t="s">
        <v>21677</v>
      </c>
      <c r="G7563" s="3">
        <v>0.0</v>
      </c>
      <c r="H7563" s="3">
        <v>0.0</v>
      </c>
      <c r="I7563" s="3" t="s">
        <v>13</v>
      </c>
      <c r="J7563" s="3" t="s">
        <v>21678</v>
      </c>
      <c r="K7563" s="3" t="s">
        <v>1656</v>
      </c>
      <c r="L7563" s="3" t="str">
        <f>IFERROR(__xludf.DUMMYFUNCTION("GOOGLETRANSLATE(F7563,""id"",""en"")"),"It's better to score a goal scoring while owing than the bottom who can only owe than to score a goal let alone be the main world champion Messi The Goat also alluded to Argentina as a great nation")</f>
        <v>It's better to score a goal scoring while owing than the bottom who can only owe than to score a goal let alone be the main world champion Messi The Goat also alluded to Argentina as a great nation</v>
      </c>
    </row>
    <row r="7564" ht="15.75" customHeight="1">
      <c r="A7564" s="1">
        <v>8782.0</v>
      </c>
      <c r="B7564" s="3" t="s">
        <v>21679</v>
      </c>
      <c r="C7564" s="3">
        <v>4.0</v>
      </c>
      <c r="D7564" s="3">
        <v>97.0</v>
      </c>
      <c r="E7564" s="3">
        <v>360.0</v>
      </c>
      <c r="F7564" s="3" t="s">
        <v>21680</v>
      </c>
      <c r="G7564" s="3">
        <v>0.15</v>
      </c>
      <c r="H7564" s="3">
        <v>0.1</v>
      </c>
      <c r="I7564" s="3" t="s">
        <v>48</v>
      </c>
      <c r="J7564" s="3" t="s">
        <v>21681</v>
      </c>
      <c r="K7564" s="3" t="s">
        <v>910</v>
      </c>
      <c r="L7564" s="3" t="str">
        <f>IFERROR(__xludf.DUMMYFUNCTION("GOOGLETRANSLATE(F7564,""id"",""en"")"),"Messi finally won the World Cup with Argentina against defending champions Argentina being able to excel first to make it difficult for France, especially the first round how the Big Thanks match for Retweet")</f>
        <v>Messi finally won the World Cup with Argentina against defending champions Argentina being able to excel first to make it difficult for France, especially the first round how the Big Thanks match for Retweet</v>
      </c>
    </row>
    <row r="7565" ht="15.75" customHeight="1">
      <c r="A7565" s="1">
        <v>8783.0</v>
      </c>
      <c r="B7565" s="3" t="s">
        <v>21682</v>
      </c>
      <c r="C7565" s="3">
        <v>0.0</v>
      </c>
      <c r="D7565" s="3">
        <v>0.0</v>
      </c>
      <c r="E7565" s="3">
        <v>0.0</v>
      </c>
      <c r="F7565" s="3" t="s">
        <v>21683</v>
      </c>
      <c r="G7565" s="3">
        <v>0.0</v>
      </c>
      <c r="H7565" s="3">
        <v>0.0</v>
      </c>
      <c r="I7565" s="3" t="s">
        <v>13</v>
      </c>
      <c r="J7565" s="3" t="s">
        <v>21684</v>
      </c>
      <c r="K7565" s="3" t="s">
        <v>50</v>
      </c>
      <c r="L7565" s="3" t="str">
        <f>IFERROR(__xludf.DUMMYFUNCTION("GOOGLETRANSLATE(F7565,""id"",""en"")"),"Argentina Champion World Cup FIFA Ranking Still Holding Brazil Moroccil Rising Drastic")</f>
        <v>Argentina Champion World Cup FIFA Ranking Still Holding Brazil Moroccil Rising Drastic</v>
      </c>
    </row>
    <row r="7566" ht="15.75" customHeight="1">
      <c r="A7566" s="1">
        <v>8784.0</v>
      </c>
      <c r="B7566" s="3" t="s">
        <v>21685</v>
      </c>
      <c r="C7566" s="3">
        <v>0.0</v>
      </c>
      <c r="D7566" s="3">
        <v>0.0</v>
      </c>
      <c r="E7566" s="3">
        <v>1.0</v>
      </c>
      <c r="F7566" s="3" t="s">
        <v>21686</v>
      </c>
      <c r="G7566" s="3">
        <v>0.2333333333333333</v>
      </c>
      <c r="H7566" s="3">
        <v>-0.25</v>
      </c>
      <c r="I7566" s="3" t="s">
        <v>179</v>
      </c>
      <c r="J7566" s="3" t="s">
        <v>21687</v>
      </c>
      <c r="K7566" s="3" t="s">
        <v>510</v>
      </c>
      <c r="L7566" s="3" t="str">
        <f>IFERROR(__xludf.DUMMYFUNCTION("GOOGLETRANSLATE(F7566,""id"",""en"")"),"The Argentine government set a national holiday for one day to carry out the World Cup championship parade")</f>
        <v>The Argentine government set a national holiday for one day to carry out the World Cup championship parade</v>
      </c>
    </row>
    <row r="7567" ht="15.75" customHeight="1">
      <c r="A7567" s="1">
        <v>8785.0</v>
      </c>
      <c r="B7567" s="3" t="s">
        <v>21688</v>
      </c>
      <c r="C7567" s="3">
        <v>0.0</v>
      </c>
      <c r="D7567" s="3">
        <v>0.0</v>
      </c>
      <c r="E7567" s="3">
        <v>0.0</v>
      </c>
      <c r="F7567" s="3" t="s">
        <v>21689</v>
      </c>
      <c r="G7567" s="3">
        <v>1.0</v>
      </c>
      <c r="H7567" s="3">
        <v>0.1</v>
      </c>
      <c r="I7567" s="3" t="s">
        <v>48</v>
      </c>
      <c r="J7567" s="3" t="s">
        <v>21690</v>
      </c>
      <c r="K7567" s="3" t="s">
        <v>1293</v>
      </c>
      <c r="L7567" s="3" t="str">
        <f>IFERROR(__xludf.DUMMYFUNCTION("GOOGLETRANSLATE(F7567,""id"",""en"")"),"Wow yes, the role of the Chairperson of PSSI is very important, only the era is Argentina champion the World Cup Wow Pak Iriawan Cool")</f>
        <v>Wow yes, the role of the Chairperson of PSSI is very important, only the era is Argentina champion the World Cup Wow Pak Iriawan Cool</v>
      </c>
    </row>
    <row r="7568" ht="15.75" customHeight="1">
      <c r="A7568" s="1">
        <v>8786.0</v>
      </c>
      <c r="B7568" s="3" t="s">
        <v>21691</v>
      </c>
      <c r="C7568" s="3">
        <v>0.0</v>
      </c>
      <c r="D7568" s="3">
        <v>0.0</v>
      </c>
      <c r="E7568" s="3">
        <v>1.0</v>
      </c>
      <c r="F7568" s="3" t="s">
        <v>21692</v>
      </c>
      <c r="G7568" s="3">
        <v>0.0</v>
      </c>
      <c r="H7568" s="3">
        <v>0.0</v>
      </c>
      <c r="I7568" s="3" t="s">
        <v>13</v>
      </c>
      <c r="J7568" s="3" t="s">
        <v>21693</v>
      </c>
      <c r="K7568" s="3" t="s">
        <v>54</v>
      </c>
      <c r="L7568" s="3" t="str">
        <f>IFERROR(__xludf.DUMMYFUNCTION("GOOGLETRANSLATE(F7568,""id"",""en"")"),"Argentina's rear and backward instinct")</f>
        <v>Argentina's rear and backward instinct</v>
      </c>
    </row>
    <row r="7569" ht="15.75" customHeight="1">
      <c r="A7569" s="1">
        <v>8787.0</v>
      </c>
      <c r="B7569" s="3" t="s">
        <v>21694</v>
      </c>
      <c r="C7569" s="3">
        <v>0.0</v>
      </c>
      <c r="D7569" s="3">
        <v>0.0</v>
      </c>
      <c r="E7569" s="3">
        <v>0.0</v>
      </c>
      <c r="F7569" s="3" t="s">
        <v>21692</v>
      </c>
      <c r="G7569" s="3">
        <v>0.0</v>
      </c>
      <c r="H7569" s="3">
        <v>0.0</v>
      </c>
      <c r="I7569" s="3" t="s">
        <v>13</v>
      </c>
      <c r="J7569" s="3" t="s">
        <v>21693</v>
      </c>
      <c r="K7569" s="3" t="s">
        <v>54</v>
      </c>
      <c r="L7569" s="3" t="str">
        <f>IFERROR(__xludf.DUMMYFUNCTION("GOOGLETRANSLATE(F7569,""id"",""en"")"),"Argentina's rear and backward instinct")</f>
        <v>Argentina's rear and backward instinct</v>
      </c>
    </row>
    <row r="7570" ht="15.75" customHeight="1">
      <c r="A7570" s="1">
        <v>8788.0</v>
      </c>
      <c r="B7570" s="3" t="s">
        <v>21695</v>
      </c>
      <c r="C7570" s="3">
        <v>0.0</v>
      </c>
      <c r="D7570" s="3">
        <v>1.0</v>
      </c>
      <c r="E7570" s="3">
        <v>0.0</v>
      </c>
      <c r="F7570" s="3" t="s">
        <v>21696</v>
      </c>
      <c r="G7570" s="3">
        <v>0.0</v>
      </c>
      <c r="H7570" s="3">
        <v>0.0</v>
      </c>
      <c r="I7570" s="3" t="s">
        <v>13</v>
      </c>
      <c r="J7570" s="3" t="s">
        <v>21697</v>
      </c>
      <c r="K7570" s="3" t="s">
        <v>71</v>
      </c>
      <c r="L7570" s="3" t="str">
        <f>IFERROR(__xludf.DUMMYFUNCTION("GOOGLETRANSLATE(F7570,""id"",""en"")"),"Argentina Champion World Cup Indonesian Politicians Congratulations on using the netizen poster what is the relationship")</f>
        <v>Argentina Champion World Cup Indonesian Politicians Congratulations on using the netizen poster what is the relationship</v>
      </c>
    </row>
    <row r="7571" ht="15.75" customHeight="1">
      <c r="A7571" s="1">
        <v>8789.0</v>
      </c>
      <c r="B7571" s="3" t="s">
        <v>21698</v>
      </c>
      <c r="C7571" s="3">
        <v>0.0</v>
      </c>
      <c r="D7571" s="3">
        <v>0.0</v>
      </c>
      <c r="E7571" s="3">
        <v>0.0</v>
      </c>
      <c r="F7571" s="3" t="s">
        <v>21699</v>
      </c>
      <c r="G7571" s="3">
        <v>0.0</v>
      </c>
      <c r="H7571" s="3">
        <v>0.0</v>
      </c>
      <c r="I7571" s="3" t="s">
        <v>13</v>
      </c>
      <c r="J7571" s="3" t="s">
        <v>21700</v>
      </c>
      <c r="K7571" s="3" t="s">
        <v>433</v>
      </c>
      <c r="L7571" s="3" t="str">
        <f>IFERROR(__xludf.DUMMYFUNCTION("GOOGLETRANSLATE(F7571,""id"",""en"")"),"Welcome Messi DKK Lautan Human Buenos Aires The capital of Argentina is ready to welcome the world champion")</f>
        <v>Welcome Messi DKK Lautan Human Buenos Aires The capital of Argentina is ready to welcome the world champion</v>
      </c>
    </row>
    <row r="7572" ht="15.75" customHeight="1">
      <c r="A7572" s="1">
        <v>8790.0</v>
      </c>
      <c r="B7572" s="3" t="s">
        <v>21701</v>
      </c>
      <c r="C7572" s="3">
        <v>0.0</v>
      </c>
      <c r="D7572" s="3">
        <v>0.0</v>
      </c>
      <c r="E7572" s="3">
        <v>0.0</v>
      </c>
      <c r="F7572" s="3" t="s">
        <v>21702</v>
      </c>
      <c r="G7572" s="3">
        <v>0.0</v>
      </c>
      <c r="H7572" s="3">
        <v>0.0</v>
      </c>
      <c r="I7572" s="3" t="s">
        <v>13</v>
      </c>
      <c r="J7572" s="3" t="s">
        <v>21703</v>
      </c>
      <c r="K7572" s="3" t="s">
        <v>19</v>
      </c>
      <c r="L7572" s="3" t="str">
        <f>IFERROR(__xludf.DUMMYFUNCTION("GOOGLETRANSLATE(F7572,""id"",""en"")"),"Successfully deliver Argentina World Cup champion Martinez spoke up about its controversial celebration")</f>
        <v>Successfully deliver Argentina World Cup champion Martinez spoke up about its controversial celebration</v>
      </c>
    </row>
    <row r="7573" ht="15.75" customHeight="1">
      <c r="A7573" s="1">
        <v>8791.0</v>
      </c>
      <c r="B7573" s="3" t="s">
        <v>21704</v>
      </c>
      <c r="C7573" s="3">
        <v>1.0</v>
      </c>
      <c r="D7573" s="3">
        <v>0.0</v>
      </c>
      <c r="E7573" s="3">
        <v>0.0</v>
      </c>
      <c r="F7573" s="3" t="s">
        <v>21705</v>
      </c>
      <c r="G7573" s="3">
        <v>0.0</v>
      </c>
      <c r="H7573" s="3">
        <v>0.0</v>
      </c>
      <c r="I7573" s="3" t="s">
        <v>13</v>
      </c>
      <c r="J7573" s="3" t="s">
        <v>21706</v>
      </c>
      <c r="K7573" s="3" t="s">
        <v>1293</v>
      </c>
      <c r="L7573" s="3" t="str">
        <f>IFERROR(__xludf.DUMMYFUNCTION("GOOGLETRANSLATE(F7573,""id"",""en"")"),"It feels mixed one side of a very happy side, finally Argentina can champion Pilduun after so many years the other side is sad because Messi will retire")</f>
        <v>It feels mixed one side of a very happy side, finally Argentina can champion Pilduun after so many years the other side is sad because Messi will retire</v>
      </c>
    </row>
    <row r="7574" ht="15.75" customHeight="1">
      <c r="A7574" s="1">
        <v>8792.0</v>
      </c>
      <c r="B7574" s="3" t="s">
        <v>21707</v>
      </c>
      <c r="C7574" s="3">
        <v>0.0</v>
      </c>
      <c r="D7574" s="3">
        <v>0.0</v>
      </c>
      <c r="E7574" s="3">
        <v>0.0</v>
      </c>
      <c r="F7574" s="3" t="s">
        <v>21708</v>
      </c>
      <c r="G7574" s="3">
        <v>0.0</v>
      </c>
      <c r="H7574" s="3">
        <v>0.0</v>
      </c>
      <c r="I7574" s="3" t="s">
        <v>13</v>
      </c>
      <c r="J7574" s="3" t="s">
        <v>21709</v>
      </c>
      <c r="K7574" s="3" t="s">
        <v>82</v>
      </c>
      <c r="L7574" s="3" t="str">
        <f>IFERROR(__xludf.DUMMYFUNCTION("GOOGLETRANSLATE(F7574,""id"",""en"")"),"We make a sound of demonstration of the Argentine Champion Achievement Party")</f>
        <v>We make a sound of demonstration of the Argentine Champion Achievement Party</v>
      </c>
    </row>
    <row r="7575" ht="15.75" customHeight="1">
      <c r="A7575" s="1">
        <v>8793.0</v>
      </c>
      <c r="B7575" s="3" t="s">
        <v>21710</v>
      </c>
      <c r="C7575" s="3">
        <v>1.0</v>
      </c>
      <c r="D7575" s="3">
        <v>0.0</v>
      </c>
      <c r="E7575" s="3">
        <v>0.0</v>
      </c>
      <c r="F7575" s="3" t="s">
        <v>21711</v>
      </c>
      <c r="G7575" s="3">
        <v>0.0</v>
      </c>
      <c r="H7575" s="3">
        <v>0.0</v>
      </c>
      <c r="I7575" s="3" t="s">
        <v>13</v>
      </c>
      <c r="J7575" s="3" t="s">
        <v>21712</v>
      </c>
      <c r="K7575" s="3" t="s">
        <v>54</v>
      </c>
      <c r="L7575" s="3" t="str">
        <f>IFERROR(__xludf.DUMMYFUNCTION("GOOGLETRANSLATE(F7575,""id"",""en"")"),"still vibes moved because of Argentina champions this year")</f>
        <v>still vibes moved because of Argentina champions this year</v>
      </c>
    </row>
    <row r="7576" ht="15.75" customHeight="1">
      <c r="A7576" s="1">
        <v>8794.0</v>
      </c>
      <c r="B7576" s="3" t="s">
        <v>21713</v>
      </c>
      <c r="C7576" s="3">
        <v>0.0</v>
      </c>
      <c r="D7576" s="3">
        <v>0.0</v>
      </c>
      <c r="E7576" s="3">
        <v>0.0</v>
      </c>
      <c r="F7576" s="3" t="s">
        <v>21714</v>
      </c>
      <c r="G7576" s="3">
        <v>0.0</v>
      </c>
      <c r="H7576" s="3">
        <v>0.0</v>
      </c>
      <c r="I7576" s="3" t="s">
        <v>13</v>
      </c>
      <c r="J7576" s="3" t="s">
        <v>21715</v>
      </c>
      <c r="K7576" s="3" t="s">
        <v>75</v>
      </c>
      <c r="L7576" s="3" t="str">
        <f>IFERROR(__xludf.DUMMYFUNCTION("GOOGLETRANSLATE(F7576,""id"",""en"")"),"So Ilfill and Salt Bae because of the behavior of the stadium after Argentina Champion")</f>
        <v>So Ilfill and Salt Bae because of the behavior of the stadium after Argentina Champion</v>
      </c>
    </row>
    <row r="7577" ht="15.75" customHeight="1">
      <c r="A7577" s="1">
        <v>8795.0</v>
      </c>
      <c r="B7577" s="3" t="s">
        <v>21716</v>
      </c>
      <c r="C7577" s="3">
        <v>0.0</v>
      </c>
      <c r="D7577" s="3">
        <v>0.0</v>
      </c>
      <c r="E7577" s="3">
        <v>1.0</v>
      </c>
      <c r="F7577" s="3" t="s">
        <v>21717</v>
      </c>
      <c r="G7577" s="3">
        <v>0.0</v>
      </c>
      <c r="H7577" s="3">
        <v>0.0</v>
      </c>
      <c r="I7577" s="3" t="s">
        <v>13</v>
      </c>
      <c r="J7577" s="3" t="s">
        <v>21718</v>
      </c>
      <c r="K7577" s="3" t="s">
        <v>50</v>
      </c>
      <c r="L7577" s="3" t="str">
        <f>IFERROR(__xludf.DUMMYFUNCTION("GOOGLETRANSLATE(F7577,""id"",""en"")"),"At most, Indonesia and Argentina are still in common with the AFF Cup.")</f>
        <v>At most, Indonesia and Argentina are still in common with the AFF Cup.</v>
      </c>
    </row>
    <row r="7578" ht="15.75" customHeight="1">
      <c r="A7578" s="1">
        <v>8796.0</v>
      </c>
      <c r="B7578" s="3" t="s">
        <v>21719</v>
      </c>
      <c r="C7578" s="3">
        <v>0.0</v>
      </c>
      <c r="D7578" s="3">
        <v>0.0</v>
      </c>
      <c r="E7578" s="3">
        <v>0.0</v>
      </c>
      <c r="F7578" s="3" t="s">
        <v>21720</v>
      </c>
      <c r="G7578" s="3">
        <v>0.0</v>
      </c>
      <c r="H7578" s="3">
        <v>0.0</v>
      </c>
      <c r="I7578" s="3" t="s">
        <v>13</v>
      </c>
      <c r="J7578" s="3" t="s">
        <v>21721</v>
      </c>
      <c r="K7578" s="3" t="s">
        <v>2610</v>
      </c>
      <c r="L7578" s="3" t="str">
        <f>IFERROR(__xludf.DUMMYFUNCTION("GOOGLETRANSLATE(F7578,""id"",""en"")"),"After there are only developing country fans, the name is also still proceeding to be patient, Argentina for the World Cup champion again takes a long time.")</f>
        <v>After there are only developing country fans, the name is also still proceeding to be patient, Argentina for the World Cup champion again takes a long time.</v>
      </c>
    </row>
    <row r="7579" ht="15.75" customHeight="1">
      <c r="A7579" s="1">
        <v>8797.0</v>
      </c>
      <c r="B7579" s="3" t="s">
        <v>21722</v>
      </c>
      <c r="C7579" s="3">
        <v>0.0</v>
      </c>
      <c r="D7579" s="3">
        <v>0.0</v>
      </c>
      <c r="E7579" s="3">
        <v>0.0</v>
      </c>
      <c r="F7579" s="3" t="s">
        <v>21723</v>
      </c>
      <c r="G7579" s="3">
        <v>0.0</v>
      </c>
      <c r="H7579" s="3">
        <v>0.0</v>
      </c>
      <c r="I7579" s="3" t="s">
        <v>13</v>
      </c>
      <c r="J7579" s="3" t="s">
        <v>21724</v>
      </c>
      <c r="K7579" s="3" t="s">
        <v>54</v>
      </c>
      <c r="L7579" s="3" t="str">
        <f>IFERROR(__xludf.DUMMYFUNCTION("GOOGLETRANSLATE(F7579,""id"",""en"")"),"Rungkad's instinct and secret behind Argentina Champion")</f>
        <v>Rungkad's instinct and secret behind Argentina Champion</v>
      </c>
    </row>
    <row r="7580" ht="15.75" customHeight="1">
      <c r="A7580" s="1">
        <v>8798.0</v>
      </c>
      <c r="B7580" s="3" t="s">
        <v>21725</v>
      </c>
      <c r="C7580" s="3">
        <v>0.0</v>
      </c>
      <c r="D7580" s="3">
        <v>0.0</v>
      </c>
      <c r="E7580" s="3">
        <v>0.0</v>
      </c>
      <c r="F7580" s="3" t="s">
        <v>21726</v>
      </c>
      <c r="G7580" s="3">
        <v>0.0</v>
      </c>
      <c r="H7580" s="3">
        <v>0.0</v>
      </c>
      <c r="I7580" s="3" t="s">
        <v>13</v>
      </c>
      <c r="J7580" s="3" t="s">
        <v>21727</v>
      </c>
      <c r="K7580" s="3" t="s">
        <v>19</v>
      </c>
      <c r="L7580" s="3" t="str">
        <f>IFERROR(__xludf.DUMMYFUNCTION("GOOGLETRANSLATE(F7580,""id"",""en"")"),"Already the second day since Argentina the champion has no fliyer greeting from officials who like to find faces")</f>
        <v>Already the second day since Argentina the champion has no fliyer greeting from officials who like to find faces</v>
      </c>
    </row>
    <row r="7581" ht="15.75" customHeight="1">
      <c r="A7581" s="1">
        <v>8799.0</v>
      </c>
      <c r="B7581" s="3" t="s">
        <v>21728</v>
      </c>
      <c r="C7581" s="3">
        <v>0.0</v>
      </c>
      <c r="D7581" s="3">
        <v>0.0</v>
      </c>
      <c r="E7581" s="3">
        <v>0.0</v>
      </c>
      <c r="F7581" s="3" t="s">
        <v>21729</v>
      </c>
      <c r="G7581" s="3">
        <v>0.0</v>
      </c>
      <c r="H7581" s="3">
        <v>0.0</v>
      </c>
      <c r="I7581" s="3" t="s">
        <v>13</v>
      </c>
      <c r="J7581" s="3" t="s">
        <v>21730</v>
      </c>
      <c r="K7581" s="3" t="s">
        <v>58</v>
      </c>
      <c r="L7581" s="3" t="str">
        <f>IFERROR(__xludf.DUMMYFUNCTION("GOOGLETRANSLATE(F7581,""id"",""en"")"),"Alhamdulillah, Argentina, world champion and Messi is now officially the world's best player of all time")</f>
        <v>Alhamdulillah, Argentina, world champion and Messi is now officially the world's best player of all time</v>
      </c>
    </row>
    <row r="7582" ht="15.75" customHeight="1">
      <c r="A7582" s="1">
        <v>8800.0</v>
      </c>
      <c r="B7582" s="3" t="s">
        <v>21731</v>
      </c>
      <c r="C7582" s="3">
        <v>0.0</v>
      </c>
      <c r="D7582" s="3">
        <v>0.0</v>
      </c>
      <c r="E7582" s="3">
        <v>0.0</v>
      </c>
      <c r="F7582" s="3" t="s">
        <v>21732</v>
      </c>
      <c r="G7582" s="3">
        <v>0.0</v>
      </c>
      <c r="H7582" s="3">
        <v>0.0</v>
      </c>
      <c r="I7582" s="3" t="s">
        <v>13</v>
      </c>
      <c r="J7582" s="3" t="s">
        <v>21733</v>
      </c>
      <c r="K7582" s="3" t="s">
        <v>1045</v>
      </c>
      <c r="L7582" s="3" t="str">
        <f>IFERROR(__xludf.DUMMYFUNCTION("GOOGLETRANSLATE(F7582,""id"",""en"")"),"why instead a good ball does not guarantee the country can be standard seeing England now again the Argentine crisis whose world cup champion is also an economy again African state inflation that passes the World Cup KEK")</f>
        <v>why instead a good ball does not guarantee the country can be standard seeing England now again the Argentine crisis whose world cup champion is also an economy again African state inflation that passes the World Cup KEK</v>
      </c>
    </row>
    <row r="7583" ht="15.75" customHeight="1">
      <c r="A7583" s="1">
        <v>8801.0</v>
      </c>
      <c r="B7583" s="3" t="s">
        <v>21734</v>
      </c>
      <c r="C7583" s="3">
        <v>0.0</v>
      </c>
      <c r="D7583" s="3">
        <v>0.0</v>
      </c>
      <c r="E7583" s="3">
        <v>2.0</v>
      </c>
      <c r="F7583" s="3" t="s">
        <v>21735</v>
      </c>
      <c r="G7583" s="3">
        <v>0.0</v>
      </c>
      <c r="H7583" s="3">
        <v>0.0</v>
      </c>
      <c r="I7583" s="3" t="s">
        <v>13</v>
      </c>
      <c r="J7583" s="3" t="s">
        <v>21736</v>
      </c>
      <c r="K7583" s="3" t="s">
        <v>699</v>
      </c>
      <c r="L7583" s="3" t="str">
        <f>IFERROR(__xludf.DUMMYFUNCTION("GOOGLETRANSLATE(F7583,""id"",""en"")"),"The Qatar World Cup event was over and Argentina came out as the world champion of the Minister of BUMN wanting an example of Qatar in organizing the World Cup Indonesia")</f>
        <v>The Qatar World Cup event was over and Argentina came out as the world champion of the Minister of BUMN wanting an example of Qatar in organizing the World Cup Indonesia</v>
      </c>
    </row>
    <row r="7584" ht="15.75" customHeight="1">
      <c r="A7584" s="1">
        <v>8802.0</v>
      </c>
      <c r="B7584" s="3" t="s">
        <v>21737</v>
      </c>
      <c r="C7584" s="3">
        <v>0.0</v>
      </c>
      <c r="D7584" s="3">
        <v>0.0</v>
      </c>
      <c r="E7584" s="3">
        <v>1.0</v>
      </c>
      <c r="F7584" s="3" t="s">
        <v>21738</v>
      </c>
      <c r="G7584" s="3">
        <v>0.0</v>
      </c>
      <c r="H7584" s="3">
        <v>0.0</v>
      </c>
      <c r="I7584" s="3" t="s">
        <v>13</v>
      </c>
      <c r="J7584" s="3" t="s">
        <v>21739</v>
      </c>
      <c r="K7584" s="3" t="s">
        <v>16174</v>
      </c>
      <c r="L7584" s="3" t="str">
        <f>IFERROR(__xludf.DUMMYFUNCTION("GOOGLETRANSLATE(F7584,""id"",""en"")"),"Ayokkkk")</f>
        <v>Ayokkkk</v>
      </c>
    </row>
    <row r="7585" ht="15.75" customHeight="1">
      <c r="A7585" s="1">
        <v>8803.0</v>
      </c>
      <c r="B7585" s="3" t="s">
        <v>21740</v>
      </c>
      <c r="C7585" s="3">
        <v>0.0</v>
      </c>
      <c r="D7585" s="3">
        <v>0.0</v>
      </c>
      <c r="E7585" s="3">
        <v>0.0</v>
      </c>
      <c r="F7585" s="3" t="s">
        <v>20561</v>
      </c>
      <c r="G7585" s="3">
        <v>0.0</v>
      </c>
      <c r="H7585" s="3">
        <v>0.0</v>
      </c>
      <c r="I7585" s="3" t="s">
        <v>13</v>
      </c>
      <c r="J7585" s="3" t="s">
        <v>20562</v>
      </c>
      <c r="K7585" s="3" t="s">
        <v>41</v>
      </c>
      <c r="L7585" s="3" t="str">
        <f>IFERROR(__xludf.DUMMYFUNCTION("GOOGLETRANSLATE(F7585,""id"",""en"")"),"Argentina Champion World Cup Messi Best Player of All Time")</f>
        <v>Argentina Champion World Cup Messi Best Player of All Time</v>
      </c>
    </row>
    <row r="7586" ht="15.75" customHeight="1">
      <c r="A7586" s="1">
        <v>8804.0</v>
      </c>
      <c r="B7586" s="3" t="s">
        <v>21741</v>
      </c>
      <c r="C7586" s="3">
        <v>18.0</v>
      </c>
      <c r="D7586" s="3">
        <v>19.0</v>
      </c>
      <c r="E7586" s="3">
        <v>217.0</v>
      </c>
      <c r="F7586" s="3" t="s">
        <v>21742</v>
      </c>
      <c r="G7586" s="3">
        <v>0.0</v>
      </c>
      <c r="H7586" s="3">
        <v>0.0</v>
      </c>
      <c r="I7586" s="3" t="s">
        <v>13</v>
      </c>
      <c r="J7586" s="3" t="s">
        <v>21743</v>
      </c>
      <c r="K7586" s="3" t="s">
        <v>2907</v>
      </c>
      <c r="L7586" s="3" t="str">
        <f>IFERROR(__xludf.DUMMYFUNCTION("GOOGLETRANSLATE(F7586,""id"",""en"")"),"Italy did not pass the World Cup but Argentina alias Little Italy became a world champion hehehehehehe klaar")</f>
        <v>Italy did not pass the World Cup but Argentina alias Little Italy became a world champion hehehehehehe klaar</v>
      </c>
    </row>
    <row r="7587" ht="15.75" customHeight="1">
      <c r="A7587" s="1">
        <v>8805.0</v>
      </c>
      <c r="B7587" s="3" t="s">
        <v>21744</v>
      </c>
      <c r="C7587" s="3">
        <v>18.0</v>
      </c>
      <c r="D7587" s="3">
        <v>28.0</v>
      </c>
      <c r="E7587" s="3">
        <v>253.0</v>
      </c>
      <c r="F7587" s="3" t="s">
        <v>21745</v>
      </c>
      <c r="G7587" s="3">
        <v>1.0</v>
      </c>
      <c r="H7587" s="3">
        <v>0.0</v>
      </c>
      <c r="I7587" s="3" t="s">
        <v>13</v>
      </c>
      <c r="J7587" s="3" t="s">
        <v>21746</v>
      </c>
      <c r="K7587" s="3" t="s">
        <v>45</v>
      </c>
      <c r="L7587" s="3" t="str">
        <f>IFERROR(__xludf.DUMMYFUNCTION("GOOGLETRANSLATE(F7587,""id"",""en"")"),"Many of the Italians Argentine who became the famous athlete Scaloni Messi Dybala Batistuta Simeone Maria Maradona Ginobili etc. It is not surprising that yesterday many Italians supported Argentina to become champions let alone the enemy of France Final "&amp;"Wkwkwk")</f>
        <v>Many of the Italians Argentine who became the famous athlete Scaloni Messi Dybala Batistuta Simeone Maria Maradona Ginobili etc. It is not surprising that yesterday many Italians supported Argentina to become champions let alone the enemy of France Final Wkwkwk</v>
      </c>
    </row>
    <row r="7588" ht="15.75" customHeight="1">
      <c r="A7588" s="1">
        <v>8806.0</v>
      </c>
      <c r="B7588" s="3" t="s">
        <v>21747</v>
      </c>
      <c r="C7588" s="3">
        <v>0.0</v>
      </c>
      <c r="D7588" s="3">
        <v>0.0</v>
      </c>
      <c r="E7588" s="3">
        <v>0.0</v>
      </c>
      <c r="F7588" s="3" t="s">
        <v>21748</v>
      </c>
      <c r="G7588" s="3">
        <v>0.0</v>
      </c>
      <c r="H7588" s="3">
        <v>0.0</v>
      </c>
      <c r="I7588" s="3" t="s">
        <v>13</v>
      </c>
      <c r="J7588" s="3" t="s">
        <v>21749</v>
      </c>
      <c r="K7588" s="3" t="s">
        <v>82</v>
      </c>
      <c r="L7588" s="3" t="str">
        <f>IFERROR(__xludf.DUMMYFUNCTION("GOOGLETRANSLATE(F7588,""id"",""en"")"),"Rina Rita Argentine Women Participating in the Universe Champion")</f>
        <v>Rina Rita Argentine Women Participating in the Universe Champion</v>
      </c>
    </row>
    <row r="7589" ht="15.75" customHeight="1">
      <c r="A7589" s="1">
        <v>8807.0</v>
      </c>
      <c r="B7589" s="3" t="s">
        <v>21750</v>
      </c>
      <c r="C7589" s="3">
        <v>0.0</v>
      </c>
      <c r="D7589" s="3">
        <v>0.0</v>
      </c>
      <c r="E7589" s="3">
        <v>0.0</v>
      </c>
      <c r="F7589" s="3" t="s">
        <v>21751</v>
      </c>
      <c r="G7589" s="3">
        <v>0.0</v>
      </c>
      <c r="H7589" s="3">
        <v>0.0</v>
      </c>
      <c r="I7589" s="3" t="s">
        <v>13</v>
      </c>
      <c r="J7589" s="3" t="s">
        <v>21752</v>
      </c>
      <c r="K7589" s="3" t="s">
        <v>75</v>
      </c>
      <c r="L7589" s="3" t="str">
        <f>IFERROR(__xludf.DUMMYFUNCTION("GOOGLETRANSLATE(F7589,""id"",""en"")"),"Argentina Controversy Champion World Cup Cnn Indonesia Google Sports News")</f>
        <v>Argentina Controversy Champion World Cup Cnn Indonesia Google Sports News</v>
      </c>
    </row>
    <row r="7590" ht="15.75" customHeight="1">
      <c r="A7590" s="1">
        <v>8808.0</v>
      </c>
      <c r="B7590" s="3" t="s">
        <v>21753</v>
      </c>
      <c r="C7590" s="3">
        <v>0.0</v>
      </c>
      <c r="D7590" s="3">
        <v>0.0</v>
      </c>
      <c r="E7590" s="3">
        <v>0.0</v>
      </c>
      <c r="F7590" s="3" t="s">
        <v>21754</v>
      </c>
      <c r="G7590" s="3">
        <v>0.0</v>
      </c>
      <c r="H7590" s="3">
        <v>0.0</v>
      </c>
      <c r="I7590" s="3" t="s">
        <v>13</v>
      </c>
      <c r="J7590" s="3" t="s">
        <v>21755</v>
      </c>
      <c r="K7590" s="3" t="s">
        <v>437</v>
      </c>
      <c r="L7590" s="3" t="str">
        <f>IFERROR(__xludf.DUMMYFUNCTION("GOOGLETRANSLATE(F7590,""id"",""en"")"),"envy but only limited to the feeling of jealousy, don't get push the guy is too excessive as long as you don't ask")</f>
        <v>envy but only limited to the feeling of jealousy, don't get push the guy is too excessive as long as you don't ask</v>
      </c>
    </row>
    <row r="7591" ht="15.75" customHeight="1">
      <c r="A7591" s="1">
        <v>8809.0</v>
      </c>
      <c r="B7591" s="3" t="s">
        <v>21756</v>
      </c>
      <c r="C7591" s="3">
        <v>0.0</v>
      </c>
      <c r="D7591" s="3">
        <v>0.0</v>
      </c>
      <c r="E7591" s="3">
        <v>0.0</v>
      </c>
      <c r="F7591" s="3" t="s">
        <v>21757</v>
      </c>
      <c r="G7591" s="3">
        <v>0.0</v>
      </c>
      <c r="H7591" s="3">
        <v>0.0</v>
      </c>
      <c r="I7591" s="3" t="s">
        <v>13</v>
      </c>
      <c r="J7591" s="3" t="s">
        <v>21758</v>
      </c>
      <c r="K7591" s="3" t="s">
        <v>477</v>
      </c>
      <c r="L7591" s="3" t="str">
        <f>IFERROR(__xludf.DUMMYFUNCTION("GOOGLETRANSLATE(F7591,""id"",""en"")"),"Sing Argentina Champion Sing Seneng Meh Sak Dunyo")</f>
        <v>Sing Argentina Champion Sing Seneng Meh Sak Dunyo</v>
      </c>
    </row>
    <row r="7592" ht="15.75" customHeight="1">
      <c r="A7592" s="1">
        <v>8810.0</v>
      </c>
      <c r="B7592" s="3" t="s">
        <v>21759</v>
      </c>
      <c r="C7592" s="3">
        <v>2.0</v>
      </c>
      <c r="D7592" s="3">
        <v>0.0</v>
      </c>
      <c r="E7592" s="3">
        <v>1.0</v>
      </c>
      <c r="F7592" s="3" t="s">
        <v>21760</v>
      </c>
      <c r="G7592" s="3">
        <v>0.0</v>
      </c>
      <c r="H7592" s="3">
        <v>0.0</v>
      </c>
      <c r="I7592" s="3" t="s">
        <v>13</v>
      </c>
      <c r="J7592" s="3" t="s">
        <v>21761</v>
      </c>
      <c r="K7592" s="3" t="s">
        <v>449</v>
      </c>
      <c r="L7592" s="3" t="str">
        <f>IFERROR(__xludf.DUMMYFUNCTION("GOOGLETRANSLATE(F7592,""id"",""en"")"),"Redsindo Celebration As a only reason, the Retired National Team Retired and the Copa America Alumni, but his style feels to sweat the Argentine title and even the coach staff is more worthy")</f>
        <v>Redsindo Celebration As a only reason, the Retired National Team Retired and the Copa America Alumni, but his style feels to sweat the Argentine title and even the coach staff is more worthy</v>
      </c>
    </row>
    <row r="7593" ht="15.75" customHeight="1">
      <c r="A7593" s="1">
        <v>8811.0</v>
      </c>
      <c r="B7593" s="3" t="s">
        <v>21762</v>
      </c>
      <c r="C7593" s="3">
        <v>0.0</v>
      </c>
      <c r="D7593" s="3">
        <v>0.0</v>
      </c>
      <c r="E7593" s="3">
        <v>4.0</v>
      </c>
      <c r="F7593" s="3" t="s">
        <v>21763</v>
      </c>
      <c r="G7593" s="3">
        <v>0.0</v>
      </c>
      <c r="H7593" s="3">
        <v>0.0</v>
      </c>
      <c r="I7593" s="3" t="s">
        <v>13</v>
      </c>
      <c r="J7593" s="3" t="s">
        <v>21764</v>
      </c>
      <c r="K7593" s="3" t="s">
        <v>41</v>
      </c>
      <c r="L7593" s="3" t="str">
        <f>IFERROR(__xludf.DUMMYFUNCTION("GOOGLETRANSLATE(F7593,""id"",""en"")"),"Seeing the location of the Argentina champion party Buenos Aires Obelisk Monument")</f>
        <v>Seeing the location of the Argentina champion party Buenos Aires Obelisk Monument</v>
      </c>
    </row>
    <row r="7594" ht="15.75" customHeight="1">
      <c r="A7594" s="1">
        <v>8812.0</v>
      </c>
      <c r="B7594" s="3" t="s">
        <v>21765</v>
      </c>
      <c r="C7594" s="3">
        <v>0.0</v>
      </c>
      <c r="D7594" s="3">
        <v>0.0</v>
      </c>
      <c r="E7594" s="3">
        <v>0.0</v>
      </c>
      <c r="F7594" s="3" t="s">
        <v>21766</v>
      </c>
      <c r="G7594" s="3">
        <v>0.0</v>
      </c>
      <c r="H7594" s="3">
        <v>0.0</v>
      </c>
      <c r="I7594" s="3" t="s">
        <v>13</v>
      </c>
      <c r="J7594" s="3" t="s">
        <v>21767</v>
      </c>
      <c r="K7594" s="3" t="s">
        <v>41</v>
      </c>
      <c r="L7594" s="3" t="str">
        <f>IFERROR(__xludf.DUMMYFUNCTION("GOOGLETRANSLATE(F7594,""id"",""en"")"),"Celebrate Argentina World Cup Champion Set National Holidays")</f>
        <v>Celebrate Argentina World Cup Champion Set National Holidays</v>
      </c>
    </row>
    <row r="7595" ht="15.75" customHeight="1">
      <c r="A7595" s="1">
        <v>8813.0</v>
      </c>
      <c r="B7595" s="3" t="s">
        <v>21768</v>
      </c>
      <c r="C7595" s="3">
        <v>0.0</v>
      </c>
      <c r="D7595" s="3">
        <v>0.0</v>
      </c>
      <c r="E7595" s="3">
        <v>0.0</v>
      </c>
      <c r="F7595" s="3" t="s">
        <v>21769</v>
      </c>
      <c r="G7595" s="3">
        <v>0.0</v>
      </c>
      <c r="H7595" s="3">
        <v>0.0</v>
      </c>
      <c r="I7595" s="3" t="s">
        <v>13</v>
      </c>
      <c r="J7595" s="3" t="s">
        <v>21770</v>
      </c>
      <c r="K7595" s="3" t="s">
        <v>75</v>
      </c>
      <c r="L7595" s="3" t="str">
        <f>IFERROR(__xludf.DUMMYFUNCTION("GOOGLETRANSLATE(F7595,""id"",""en"")"),"Bring Argentina World Cup Champion Emiliano Martinez goalkeeper has the opportunity")</f>
        <v>Bring Argentina World Cup Champion Emiliano Martinez goalkeeper has the opportunity</v>
      </c>
    </row>
    <row r="7596" ht="15.75" customHeight="1">
      <c r="A7596" s="1">
        <v>8814.0</v>
      </c>
      <c r="B7596" s="3" t="s">
        <v>21771</v>
      </c>
      <c r="C7596" s="3">
        <v>0.0</v>
      </c>
      <c r="D7596" s="3">
        <v>0.0</v>
      </c>
      <c r="E7596" s="3">
        <v>23.0</v>
      </c>
      <c r="F7596" s="3" t="s">
        <v>21729</v>
      </c>
      <c r="G7596" s="3">
        <v>0.0</v>
      </c>
      <c r="H7596" s="3">
        <v>0.0</v>
      </c>
      <c r="I7596" s="3" t="s">
        <v>13</v>
      </c>
      <c r="J7596" s="3" t="s">
        <v>21730</v>
      </c>
      <c r="K7596" s="3" t="s">
        <v>58</v>
      </c>
      <c r="L7596" s="3" t="str">
        <f>IFERROR(__xludf.DUMMYFUNCTION("GOOGLETRANSLATE(F7596,""id"",""en"")"),"Alhamdulillah, Argentina, world champion and Messi is now officially the world's best player of all time")</f>
        <v>Alhamdulillah, Argentina, world champion and Messi is now officially the world's best player of all time</v>
      </c>
    </row>
    <row r="7597" ht="15.75" customHeight="1">
      <c r="A7597" s="1">
        <v>8815.0</v>
      </c>
      <c r="B7597" s="3" t="s">
        <v>21772</v>
      </c>
      <c r="C7597" s="3">
        <v>1.0</v>
      </c>
      <c r="D7597" s="3">
        <v>0.0</v>
      </c>
      <c r="E7597" s="3">
        <v>0.0</v>
      </c>
      <c r="F7597" s="3" t="s">
        <v>21773</v>
      </c>
      <c r="G7597" s="3">
        <v>0.0</v>
      </c>
      <c r="H7597" s="3">
        <v>0.0</v>
      </c>
      <c r="I7597" s="3" t="s">
        <v>13</v>
      </c>
      <c r="J7597" s="3" t="s">
        <v>21774</v>
      </c>
      <c r="K7597" s="3" t="s">
        <v>82</v>
      </c>
      <c r="L7597" s="3" t="str">
        <f>IFERROR(__xludf.DUMMYFUNCTION("GOOGLETRANSLATE(F7597,""id"",""en"")"),"Another year ready to convoy again who knows Argentina can win Euro")</f>
        <v>Another year ready to convoy again who knows Argentina can win Euro</v>
      </c>
    </row>
    <row r="7598" ht="15.75" customHeight="1">
      <c r="A7598" s="1">
        <v>8816.0</v>
      </c>
      <c r="B7598" s="3" t="s">
        <v>21775</v>
      </c>
      <c r="C7598" s="3">
        <v>0.0</v>
      </c>
      <c r="D7598" s="3">
        <v>0.0</v>
      </c>
      <c r="E7598" s="3">
        <v>0.0</v>
      </c>
      <c r="F7598" s="3" t="s">
        <v>21776</v>
      </c>
      <c r="G7598" s="3">
        <v>0.0</v>
      </c>
      <c r="H7598" s="3">
        <v>0.0</v>
      </c>
      <c r="I7598" s="3" t="s">
        <v>13</v>
      </c>
      <c r="J7598" s="3" t="s">
        <v>21777</v>
      </c>
      <c r="K7598" s="3" t="s">
        <v>127</v>
      </c>
      <c r="L7598" s="3" t="str">
        <f>IFERROR(__xludf.DUMMYFUNCTION("GOOGLETRANSLATE(F7598,""id"",""en"")"),"Kakanwil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7599" ht="15.75" customHeight="1">
      <c r="A7599" s="1">
        <v>8817.0</v>
      </c>
      <c r="B7599" s="3" t="s">
        <v>21778</v>
      </c>
      <c r="C7599" s="3">
        <v>0.0</v>
      </c>
      <c r="D7599" s="3">
        <v>0.0</v>
      </c>
      <c r="E7599" s="3">
        <v>0.0</v>
      </c>
      <c r="F7599" s="3" t="s">
        <v>20561</v>
      </c>
      <c r="G7599" s="3">
        <v>0.0</v>
      </c>
      <c r="H7599" s="3">
        <v>0.0</v>
      </c>
      <c r="I7599" s="3" t="s">
        <v>13</v>
      </c>
      <c r="J7599" s="3" t="s">
        <v>20562</v>
      </c>
      <c r="K7599" s="3" t="s">
        <v>41</v>
      </c>
      <c r="L7599" s="3" t="str">
        <f>IFERROR(__xludf.DUMMYFUNCTION("GOOGLETRANSLATE(F7599,""id"",""en"")"),"Argentina Champion World Cup Messi Best Player of All Time")</f>
        <v>Argentina Champion World Cup Messi Best Player of All Time</v>
      </c>
    </row>
    <row r="7600" ht="15.75" customHeight="1">
      <c r="A7600" s="1">
        <v>8818.0</v>
      </c>
      <c r="B7600" s="3" t="s">
        <v>21779</v>
      </c>
      <c r="C7600" s="3">
        <v>0.0</v>
      </c>
      <c r="D7600" s="3">
        <v>0.0</v>
      </c>
      <c r="E7600" s="3">
        <v>0.0</v>
      </c>
      <c r="F7600" s="3" t="s">
        <v>21780</v>
      </c>
      <c r="G7600" s="3">
        <v>0.0</v>
      </c>
      <c r="H7600" s="3">
        <v>0.0</v>
      </c>
      <c r="I7600" s="3" t="s">
        <v>13</v>
      </c>
      <c r="J7600" s="3" t="s">
        <v>21781</v>
      </c>
      <c r="K7600" s="3" t="s">
        <v>50</v>
      </c>
      <c r="L7600" s="3" t="str">
        <f>IFERROR(__xludf.DUMMYFUNCTION("GOOGLETRANSLATE(F7600,""id"",""en"")"),"French supporting officials were dicked")</f>
        <v>French supporting officials were dicked</v>
      </c>
    </row>
    <row r="7601" ht="15.75" customHeight="1">
      <c r="A7601" s="1">
        <v>8819.0</v>
      </c>
      <c r="B7601" s="3" t="s">
        <v>21782</v>
      </c>
      <c r="C7601" s="3">
        <v>0.0</v>
      </c>
      <c r="D7601" s="3">
        <v>0.0</v>
      </c>
      <c r="E7601" s="3">
        <v>0.0</v>
      </c>
      <c r="F7601" s="3" t="s">
        <v>21783</v>
      </c>
      <c r="G7601" s="3">
        <v>0.0</v>
      </c>
      <c r="H7601" s="3">
        <v>0.0</v>
      </c>
      <c r="I7601" s="3" t="s">
        <v>13</v>
      </c>
      <c r="J7601" s="3" t="s">
        <v>21784</v>
      </c>
      <c r="K7601" s="3" t="s">
        <v>41</v>
      </c>
      <c r="L7601" s="3" t="str">
        <f>IFERROR(__xludf.DUMMYFUNCTION("GOOGLETRANSLATE(F7601,""id"",""en"")"),"Winning a penalty shootout over France Argentina Champion World Cup")</f>
        <v>Winning a penalty shootout over France Argentina Champion World Cup</v>
      </c>
    </row>
    <row r="7602" ht="15.75" customHeight="1">
      <c r="A7602" s="1">
        <v>8820.0</v>
      </c>
      <c r="B7602" s="3" t="s">
        <v>21785</v>
      </c>
      <c r="C7602" s="3">
        <v>1.0</v>
      </c>
      <c r="D7602" s="3">
        <v>1.0</v>
      </c>
      <c r="E7602" s="3">
        <v>20.0</v>
      </c>
      <c r="F7602" s="3" t="s">
        <v>21786</v>
      </c>
      <c r="G7602" s="3">
        <v>0.0</v>
      </c>
      <c r="H7602" s="3">
        <v>0.0</v>
      </c>
      <c r="I7602" s="3" t="s">
        <v>13</v>
      </c>
      <c r="J7602" s="3" t="s">
        <v>21787</v>
      </c>
      <c r="K7602" s="3" t="s">
        <v>495</v>
      </c>
      <c r="L7602" s="3" t="str">
        <f>IFERROR(__xludf.DUMMYFUNCTION("GOOGLETRANSLATE(F7602,""id"",""en"")"),"why the world cup champion is Argentina why not Indonesia or Sri Lanka or Timor Leste because everything will be won by those who are experts in the field if we are experts")</f>
        <v>why the world cup champion is Argentina why not Indonesia or Sri Lanka or Timor Leste because everything will be won by those who are experts in the field if we are experts</v>
      </c>
    </row>
    <row r="7603" ht="15.75" customHeight="1">
      <c r="A7603" s="1">
        <v>8821.0</v>
      </c>
      <c r="B7603" s="3" t="s">
        <v>21788</v>
      </c>
      <c r="C7603" s="3">
        <v>0.0</v>
      </c>
      <c r="D7603" s="3">
        <v>4.0</v>
      </c>
      <c r="E7603" s="3">
        <v>0.0</v>
      </c>
      <c r="F7603" s="3" t="s">
        <v>21789</v>
      </c>
      <c r="G7603" s="3">
        <v>0.5</v>
      </c>
      <c r="H7603" s="3">
        <v>0.5</v>
      </c>
      <c r="I7603" s="3" t="s">
        <v>48</v>
      </c>
      <c r="J7603" s="3" t="s">
        <v>21790</v>
      </c>
      <c r="K7603" s="3" t="s">
        <v>240</v>
      </c>
      <c r="L7603" s="3" t="str">
        <f>IFERROR(__xludf.DUMMYFUNCTION("GOOGLETRANSLATE(F7603,""id"",""en"")"),"Top Football News Attitude Emiliano Mart Nez after Argentina won the World Cup Roy Keane")</f>
        <v>Top Football News Attitude Emiliano Mart Nez after Argentina won the World Cup Roy Keane</v>
      </c>
    </row>
    <row r="7604" ht="15.75" customHeight="1">
      <c r="A7604" s="1">
        <v>8822.0</v>
      </c>
      <c r="B7604" s="3" t="s">
        <v>21791</v>
      </c>
      <c r="C7604" s="3">
        <v>0.0</v>
      </c>
      <c r="D7604" s="3">
        <v>0.0</v>
      </c>
      <c r="E7604" s="3">
        <v>0.0</v>
      </c>
      <c r="F7604" s="3" t="s">
        <v>21792</v>
      </c>
      <c r="G7604" s="3">
        <v>0.0</v>
      </c>
      <c r="H7604" s="3">
        <v>0.0</v>
      </c>
      <c r="I7604" s="3" t="s">
        <v>13</v>
      </c>
      <c r="J7604" s="3" t="s">
        <v>21793</v>
      </c>
      <c r="K7604" s="3" t="s">
        <v>1552</v>
      </c>
      <c r="L7604" s="3" t="str">
        <f>IFERROR(__xludf.DUMMYFUNCTION("GOOGLETRANSLATE(F7604,""id"",""en"")"),"The Argentine player is also not as luxurious as France and Portugal too, but how come the championship")</f>
        <v>The Argentine player is also not as luxurious as France and Portugal too, but how come the championship</v>
      </c>
    </row>
    <row r="7605" ht="15.75" customHeight="1">
      <c r="A7605" s="1">
        <v>8823.0</v>
      </c>
      <c r="B7605" s="3" t="s">
        <v>21794</v>
      </c>
      <c r="C7605" s="3">
        <v>0.0</v>
      </c>
      <c r="D7605" s="3">
        <v>0.0</v>
      </c>
      <c r="E7605" s="3">
        <v>0.0</v>
      </c>
      <c r="F7605" s="3" t="s">
        <v>21795</v>
      </c>
      <c r="G7605" s="3">
        <v>0.0</v>
      </c>
      <c r="H7605" s="3">
        <v>0.0</v>
      </c>
      <c r="I7605" s="3" t="s">
        <v>13</v>
      </c>
      <c r="J7605" s="3" t="s">
        <v>21796</v>
      </c>
      <c r="K7605" s="3" t="s">
        <v>584</v>
      </c>
      <c r="L7605" s="3" t="str">
        <f>IFERROR(__xludf.DUMMYFUNCTION("GOOGLETRANSLATE(F7605,""id"",""en"")"),"The French national team failed the World Cup champion after being defeated by Argentina, the top party ironically, a series of French players such as Aurelien Tchouameni Kolo Muani to Kingsley Coman immediately received racist treatment from the fans")</f>
        <v>The French national team failed the World Cup champion after being defeated by Argentina, the top party ironically, a series of French players such as Aurelien Tchouameni Kolo Muani to Kingsley Coman immediately received racist treatment from the fans</v>
      </c>
    </row>
    <row r="7606" ht="15.75" customHeight="1">
      <c r="A7606" s="1">
        <v>8824.0</v>
      </c>
      <c r="B7606" s="3" t="s">
        <v>21797</v>
      </c>
      <c r="C7606" s="3">
        <v>1.0</v>
      </c>
      <c r="D7606" s="3">
        <v>0.0</v>
      </c>
      <c r="E7606" s="3">
        <v>0.0</v>
      </c>
      <c r="F7606" s="3" t="s">
        <v>21798</v>
      </c>
      <c r="G7606" s="3">
        <v>0.0</v>
      </c>
      <c r="H7606" s="3">
        <v>0.0</v>
      </c>
      <c r="I7606" s="3" t="s">
        <v>13</v>
      </c>
      <c r="J7606" s="3" t="s">
        <v>21799</v>
      </c>
      <c r="K7606" s="3" t="s">
        <v>31</v>
      </c>
      <c r="L7606" s="3" t="str">
        <f>IFERROR(__xludf.DUMMYFUNCTION("GOOGLETRANSLATE(F7606,""id"",""en"")"),"Celebrating Messi and Argentina World Champion")</f>
        <v>Celebrating Messi and Argentina World Champion</v>
      </c>
    </row>
    <row r="7607" ht="15.75" customHeight="1">
      <c r="A7607" s="1">
        <v>8825.0</v>
      </c>
      <c r="B7607" s="3" t="s">
        <v>21800</v>
      </c>
      <c r="C7607" s="3">
        <v>0.0</v>
      </c>
      <c r="D7607" s="3">
        <v>0.0</v>
      </c>
      <c r="E7607" s="3">
        <v>4.0</v>
      </c>
      <c r="F7607" s="3" t="s">
        <v>21801</v>
      </c>
      <c r="G7607" s="3">
        <v>0.0</v>
      </c>
      <c r="H7607" s="3">
        <v>0.0</v>
      </c>
      <c r="I7607" s="3" t="s">
        <v>13</v>
      </c>
      <c r="J7607" s="3" t="s">
        <v>21802</v>
      </c>
      <c r="K7607" s="3" t="s">
        <v>437</v>
      </c>
      <c r="L7607" s="3" t="str">
        <f>IFERROR(__xludf.DUMMYFUNCTION("GOOGLETRANSLATE(F7607,""id"",""en"")"),"Congratulations Messi This Best Achievement During Your Career Becomes a Congratulations for Argentina Warm World Cup Champion Warm Salam Salam")</f>
        <v>Congratulations Messi This Best Achievement During Your Career Becomes a Congratulations for Argentina Warm World Cup Champion Warm Salam Salam</v>
      </c>
    </row>
    <row r="7608" ht="15.75" customHeight="1">
      <c r="A7608" s="1">
        <v>8826.0</v>
      </c>
      <c r="B7608" s="3" t="s">
        <v>21803</v>
      </c>
      <c r="C7608" s="3">
        <v>0.0</v>
      </c>
      <c r="D7608" s="3">
        <v>0.0</v>
      </c>
      <c r="E7608" s="3">
        <v>0.0</v>
      </c>
      <c r="F7608" s="3" t="s">
        <v>21804</v>
      </c>
      <c r="G7608" s="3">
        <v>0.0</v>
      </c>
      <c r="H7608" s="3">
        <v>0.0</v>
      </c>
      <c r="I7608" s="3" t="s">
        <v>13</v>
      </c>
      <c r="J7608" s="3" t="s">
        <v>21805</v>
      </c>
      <c r="K7608" s="3" t="s">
        <v>499</v>
      </c>
      <c r="L7608" s="3" t="str">
        <f>IFERROR(__xludf.DUMMYFUNCTION("GOOGLETRANSLATE(F7608,""id"",""en"")"),"PDI -P politician Budiman Sudjatmiko said a beautiful way to end an era when seeing Lionel Messi led Argentina to become the World Cup championship")</f>
        <v>PDI -P politician Budiman Sudjatmiko said a beautiful way to end an era when seeing Lionel Messi led Argentina to become the World Cup championship</v>
      </c>
    </row>
    <row r="7609" ht="15.75" customHeight="1">
      <c r="A7609" s="1">
        <v>8827.0</v>
      </c>
      <c r="B7609" s="3" t="s">
        <v>21806</v>
      </c>
      <c r="C7609" s="3">
        <v>0.0</v>
      </c>
      <c r="D7609" s="3">
        <v>3.0</v>
      </c>
      <c r="E7609" s="3">
        <v>5.0</v>
      </c>
      <c r="F7609" s="3" t="s">
        <v>21807</v>
      </c>
      <c r="G7609" s="3">
        <v>0.0</v>
      </c>
      <c r="H7609" s="3">
        <v>0.0</v>
      </c>
      <c r="I7609" s="3" t="s">
        <v>13</v>
      </c>
      <c r="J7609" s="3" t="s">
        <v>21808</v>
      </c>
      <c r="K7609" s="3" t="s">
        <v>15</v>
      </c>
      <c r="L7609" s="3" t="str">
        <f>IFERROR(__xludf.DUMMYFUNCTION("GOOGLETRANSLATE(F7609,""id"",""en"")"),"Argentina World Champion One Country Celebrates National Holidays")</f>
        <v>Argentina World Champion One Country Celebrates National Holidays</v>
      </c>
    </row>
    <row r="7610" ht="15.75" customHeight="1">
      <c r="A7610" s="1">
        <v>8828.0</v>
      </c>
      <c r="B7610" s="3" t="s">
        <v>21809</v>
      </c>
      <c r="C7610" s="3">
        <v>1.0</v>
      </c>
      <c r="D7610" s="3">
        <v>0.0</v>
      </c>
      <c r="E7610" s="3">
        <v>0.0</v>
      </c>
      <c r="F7610" s="3" t="s">
        <v>21810</v>
      </c>
      <c r="G7610" s="3">
        <v>0.0</v>
      </c>
      <c r="H7610" s="3">
        <v>0.0</v>
      </c>
      <c r="I7610" s="3" t="s">
        <v>13</v>
      </c>
      <c r="J7610" s="3" t="s">
        <v>21811</v>
      </c>
      <c r="K7610" s="3" t="s">
        <v>286</v>
      </c>
      <c r="L7610" s="3" t="str">
        <f>IFERROR(__xludf.DUMMYFUNCTION("GOOGLETRANSLATE(F7610,""id"",""en"")"),"Redsindo but he borrowed a medal for people to continue to join the champion convoy, the fact is that Aguero is not part of the Argentine national team who won the World Cup if later the Argentine Und President")</f>
        <v>Redsindo but he borrowed a medal for people to continue to join the champion convoy, the fact is that Aguero is not part of the Argentine national team who won the World Cup if later the Argentine Und President</v>
      </c>
    </row>
    <row r="7611" ht="15.75" customHeight="1">
      <c r="A7611" s="1">
        <v>8829.0</v>
      </c>
      <c r="B7611" s="3" t="s">
        <v>21812</v>
      </c>
      <c r="C7611" s="3">
        <v>0.0</v>
      </c>
      <c r="D7611" s="3">
        <v>1.0</v>
      </c>
      <c r="E7611" s="3">
        <v>0.0</v>
      </c>
      <c r="F7611" s="3" t="s">
        <v>21813</v>
      </c>
      <c r="G7611" s="3">
        <v>0.0</v>
      </c>
      <c r="H7611" s="3">
        <v>0.0</v>
      </c>
      <c r="I7611" s="3" t="s">
        <v>13</v>
      </c>
      <c r="J7611" s="3" t="s">
        <v>21814</v>
      </c>
      <c r="K7611" s="3" t="s">
        <v>358</v>
      </c>
      <c r="L7611" s="3" t="str">
        <f>IFERROR(__xludf.DUMMYFUNCTION("GOOGLETRANSLATE(F7611,""id"",""en"")"),"The world cup is already done who has a tua if Argentina champions want to get married quickly and get married to world war")</f>
        <v>The world cup is already done who has a tua if Argentina champions want to get married quickly and get married to world war</v>
      </c>
    </row>
    <row r="7612" ht="15.75" customHeight="1">
      <c r="A7612" s="1">
        <v>8830.0</v>
      </c>
      <c r="B7612" s="3" t="s">
        <v>21815</v>
      </c>
      <c r="C7612" s="3">
        <v>0.0</v>
      </c>
      <c r="D7612" s="3">
        <v>0.0</v>
      </c>
      <c r="E7612" s="3">
        <v>0.0</v>
      </c>
      <c r="F7612" s="3" t="s">
        <v>21816</v>
      </c>
      <c r="G7612" s="3">
        <v>0.0</v>
      </c>
      <c r="H7612" s="3">
        <v>0.0</v>
      </c>
      <c r="I7612" s="3" t="s">
        <v>13</v>
      </c>
      <c r="J7612" s="3" t="s">
        <v>21817</v>
      </c>
      <c r="K7612" s="3" t="s">
        <v>75</v>
      </c>
      <c r="L7612" s="3" t="str">
        <f>IFERROR(__xludf.DUMMYFUNCTION("GOOGLETRANSLATE(F7612,""id"",""en"")"),"I had a vow yesterday if Argentina was a gratitude to be paid off today")</f>
        <v>I had a vow yesterday if Argentina was a gratitude to be paid off today</v>
      </c>
    </row>
    <row r="7613" ht="15.75" customHeight="1">
      <c r="A7613" s="1">
        <v>8831.0</v>
      </c>
      <c r="B7613" s="3" t="s">
        <v>21818</v>
      </c>
      <c r="C7613" s="3">
        <v>1.0</v>
      </c>
      <c r="D7613" s="3">
        <v>2.0</v>
      </c>
      <c r="E7613" s="3">
        <v>4.0</v>
      </c>
      <c r="F7613" s="3" t="s">
        <v>21819</v>
      </c>
      <c r="G7613" s="3">
        <v>0.0</v>
      </c>
      <c r="H7613" s="3">
        <v>0.0</v>
      </c>
      <c r="I7613" s="3" t="s">
        <v>13</v>
      </c>
      <c r="J7613" s="3" t="s">
        <v>21820</v>
      </c>
      <c r="K7613" s="3" t="s">
        <v>614</v>
      </c>
      <c r="L7613" s="3" t="str">
        <f>IFERROR(__xludf.DUMMYFUNCTION("GOOGLETRANSLATE(F7613,""id"",""en"")"),"The world's biggest soccer competition curtains officially closed by the FIFA Qatar World Cup, Argentina, there are some wisdoms we can learn closely with the life of a threat")</f>
        <v>The world's biggest soccer competition curtains officially closed by the FIFA Qatar World Cup, Argentina, there are some wisdoms we can learn closely with the life of a threat</v>
      </c>
    </row>
    <row r="7614" ht="15.75" customHeight="1">
      <c r="A7614" s="1">
        <v>8832.0</v>
      </c>
      <c r="B7614" s="3" t="s">
        <v>21821</v>
      </c>
      <c r="C7614" s="3">
        <v>1.0</v>
      </c>
      <c r="D7614" s="3">
        <v>0.0</v>
      </c>
      <c r="E7614" s="3">
        <v>1.0</v>
      </c>
      <c r="F7614" s="3" t="s">
        <v>21822</v>
      </c>
      <c r="G7614" s="3">
        <v>0.0</v>
      </c>
      <c r="H7614" s="3">
        <v>0.0</v>
      </c>
      <c r="I7614" s="3" t="s">
        <v>13</v>
      </c>
      <c r="J7614" s="3" t="s">
        <v>21823</v>
      </c>
      <c r="K7614" s="3" t="s">
        <v>437</v>
      </c>
      <c r="L7614" s="3" t="str">
        <f>IFERROR(__xludf.DUMMYFUNCTION("GOOGLETRANSLATE(F7614,""id"",""en"")"),"Lionel Messi was able to bring Argentina in the world champion only occurred in the time of Jokowi the president who did what about Jokowi's life")</f>
        <v>Lionel Messi was able to bring Argentina in the world champion only occurred in the time of Jokowi the president who did what about Jokowi's life</v>
      </c>
    </row>
    <row r="7615" ht="15.75" customHeight="1">
      <c r="A7615" s="1">
        <v>8833.0</v>
      </c>
      <c r="B7615" s="3" t="s">
        <v>21824</v>
      </c>
      <c r="C7615" s="3">
        <v>1.0</v>
      </c>
      <c r="D7615" s="3">
        <v>3.0</v>
      </c>
      <c r="E7615" s="3">
        <v>8.0</v>
      </c>
      <c r="F7615" s="3" t="s">
        <v>21825</v>
      </c>
      <c r="G7615" s="3">
        <v>0.0</v>
      </c>
      <c r="H7615" s="3">
        <v>0.0</v>
      </c>
      <c r="I7615" s="3" t="s">
        <v>13</v>
      </c>
      <c r="J7615" s="3" t="s">
        <v>21826</v>
      </c>
      <c r="K7615" s="3" t="s">
        <v>71</v>
      </c>
      <c r="L7615" s="3" t="str">
        <f>IFERROR(__xludf.DUMMYFUNCTION("GOOGLETRANSLATE(F7615,""id"",""en"")"),"Celebrity Controversy Chef Salt Bae Holding and Lifting the World Cup Trophy Moment Celebration Argentina Champion")</f>
        <v>Celebrity Controversy Chef Salt Bae Holding and Lifting the World Cup Trophy Moment Celebration Argentina Champion</v>
      </c>
    </row>
    <row r="7616" ht="15.75" customHeight="1">
      <c r="A7616" s="1">
        <v>8834.0</v>
      </c>
      <c r="B7616" s="3" t="s">
        <v>21827</v>
      </c>
      <c r="C7616" s="3">
        <v>0.0</v>
      </c>
      <c r="D7616" s="3">
        <v>0.0</v>
      </c>
      <c r="E7616" s="3">
        <v>0.0</v>
      </c>
      <c r="F7616" s="3" t="s">
        <v>21828</v>
      </c>
      <c r="G7616" s="3">
        <v>0.0</v>
      </c>
      <c r="H7616" s="3">
        <v>0.0</v>
      </c>
      <c r="I7616" s="3" t="s">
        <v>13</v>
      </c>
      <c r="J7616" s="3" t="s">
        <v>21829</v>
      </c>
      <c r="K7616" s="3" t="s">
        <v>41</v>
      </c>
      <c r="L7616" s="3" t="str">
        <f>IFERROR(__xludf.DUMMYFUNCTION("GOOGLETRANSLATE(F7616,""id"",""en"")"),"Budiman said about Messi Bringing Argentina World Cup Champion")</f>
        <v>Budiman said about Messi Bringing Argentina World Cup Champion</v>
      </c>
    </row>
    <row r="7617" ht="15.75" customHeight="1">
      <c r="A7617" s="1">
        <v>8835.0</v>
      </c>
      <c r="B7617" s="3" t="s">
        <v>21830</v>
      </c>
      <c r="C7617" s="3">
        <v>1.0</v>
      </c>
      <c r="D7617" s="3">
        <v>8.0</v>
      </c>
      <c r="E7617" s="3">
        <v>38.0</v>
      </c>
      <c r="F7617" s="3" t="s">
        <v>21831</v>
      </c>
      <c r="G7617" s="3">
        <v>0.0</v>
      </c>
      <c r="H7617" s="3">
        <v>0.0</v>
      </c>
      <c r="I7617" s="3" t="s">
        <v>13</v>
      </c>
      <c r="J7617" s="3" t="s">
        <v>21832</v>
      </c>
      <c r="K7617" s="3" t="s">
        <v>192</v>
      </c>
      <c r="L7617" s="3" t="str">
        <f>IFERROR(__xludf.DUMMYFUNCTION("GOOGLETRANSLATE(F7617,""id"",""en"")"),"The Argentine champion destiny seems to be a match when their country lost the pride of Maradona to bring home the World Cup trophy after a shameful defeat in the Malvinas War Daniel Passarella et al won the World Cup under military junta pressure")</f>
        <v>The Argentine champion destiny seems to be a match when their country lost the pride of Maradona to bring home the World Cup trophy after a shameful defeat in the Malvinas War Daniel Passarella et al won the World Cup under military junta pressure</v>
      </c>
    </row>
    <row r="7618" ht="15.75" customHeight="1">
      <c r="A7618" s="1">
        <v>8836.0</v>
      </c>
      <c r="B7618" s="3" t="s">
        <v>21833</v>
      </c>
      <c r="C7618" s="3">
        <v>1.0</v>
      </c>
      <c r="D7618" s="3">
        <v>0.0</v>
      </c>
      <c r="E7618" s="3">
        <v>0.0</v>
      </c>
      <c r="F7618" s="3" t="s">
        <v>21834</v>
      </c>
      <c r="G7618" s="3">
        <v>0.0</v>
      </c>
      <c r="H7618" s="3">
        <v>0.0</v>
      </c>
      <c r="I7618" s="3" t="s">
        <v>13</v>
      </c>
      <c r="J7618" s="3" t="s">
        <v>21835</v>
      </c>
      <c r="K7618" s="3" t="s">
        <v>41</v>
      </c>
      <c r="L7618" s="3" t="str">
        <f>IFERROR(__xludf.DUMMYFUNCTION("GOOGLETRANSLATE(F7618,""id"",""en"")"),"Bringing Argentina World Champion Does Not Make Messi Become a Football Goat")</f>
        <v>Bringing Argentina World Champion Does Not Make Messi Become a Football Goat</v>
      </c>
    </row>
    <row r="7619" ht="15.75" customHeight="1">
      <c r="A7619" s="1">
        <v>8837.0</v>
      </c>
      <c r="B7619" s="3" t="s">
        <v>21836</v>
      </c>
      <c r="C7619" s="3">
        <v>8.0</v>
      </c>
      <c r="D7619" s="3">
        <v>57.0</v>
      </c>
      <c r="E7619" s="3">
        <v>238.0</v>
      </c>
      <c r="F7619" s="3" t="s">
        <v>21837</v>
      </c>
      <c r="G7619" s="3">
        <v>0.0</v>
      </c>
      <c r="H7619" s="3">
        <v>0.0</v>
      </c>
      <c r="I7619" s="3" t="s">
        <v>13</v>
      </c>
      <c r="J7619" s="3" t="s">
        <v>21838</v>
      </c>
      <c r="K7619" s="3" t="s">
        <v>3721</v>
      </c>
      <c r="L7619" s="3" t="str">
        <f>IFERROR(__xludf.DUMMYFUNCTION("GOOGLETRANSLATE(F7619,""id"",""en"")"),"Lionel Messi brought Argentina to the World Cup champion when his country was frantic to overcome the acute economic crisis for a moment Argentine forgot to poverty threatening poverty at this time all happy partying usually this momentum of politicians m"&amp;"ade banners and banners")</f>
        <v>Lionel Messi brought Argentina to the World Cup champion when his country was frantic to overcome the acute economic crisis for a moment Argentine forgot to poverty threatening poverty at this time all happy partying usually this momentum of politicians made banners and banners</v>
      </c>
    </row>
    <row r="7620" ht="15.75" customHeight="1">
      <c r="A7620" s="1">
        <v>8838.0</v>
      </c>
      <c r="B7620" s="3" t="s">
        <v>21839</v>
      </c>
      <c r="C7620" s="3">
        <v>0.0</v>
      </c>
      <c r="D7620" s="3">
        <v>0.0</v>
      </c>
      <c r="E7620" s="3">
        <v>0.0</v>
      </c>
      <c r="F7620" s="3" t="s">
        <v>21840</v>
      </c>
      <c r="G7620" s="3">
        <v>0.4545454545454545</v>
      </c>
      <c r="H7620" s="3">
        <v>0.1363636363636364</v>
      </c>
      <c r="I7620" s="3" t="s">
        <v>48</v>
      </c>
      <c r="J7620" s="3" t="s">
        <v>21841</v>
      </c>
      <c r="K7620" s="3" t="s">
        <v>903</v>
      </c>
      <c r="L7620" s="3" t="str">
        <f>IFERROR(__xludf.DUMMYFUNCTION("GOOGLETRANSLATE(F7620,""id"",""en"")"),"Already Fix Argentina Champion World Cup Qotar and Messi Officially Becomes New Legend Question Fortunately what are you making a fuss so that it will continue to be viral if it's already viral can remove the title")</f>
        <v>Already Fix Argentina Champion World Cup Qotar and Messi Officially Becomes New Legend Question Fortunately what are you making a fuss so that it will continue to be viral if it's already viral can remove the title</v>
      </c>
    </row>
    <row r="7621" ht="15.75" customHeight="1">
      <c r="A7621" s="1">
        <v>8839.0</v>
      </c>
      <c r="B7621" s="3" t="s">
        <v>21842</v>
      </c>
      <c r="C7621" s="3">
        <v>0.0</v>
      </c>
      <c r="D7621" s="3">
        <v>1.0</v>
      </c>
      <c r="E7621" s="3">
        <v>0.0</v>
      </c>
      <c r="F7621" s="3" t="s">
        <v>21843</v>
      </c>
      <c r="G7621" s="3">
        <v>0.2333333333333333</v>
      </c>
      <c r="H7621" s="3">
        <v>-0.25</v>
      </c>
      <c r="I7621" s="3" t="s">
        <v>179</v>
      </c>
      <c r="J7621" s="3" t="s">
        <v>21844</v>
      </c>
      <c r="K7621" s="3" t="s">
        <v>149</v>
      </c>
      <c r="L7621" s="3" t="str">
        <f>IFERROR(__xludf.DUMMYFUNCTION("GOOGLETRANSLATE(F7621,""id"",""en"")"),"Argentina National Holidays Celebrate World Cup Champion Welcomes Messi DKK Argentina Becomes Sea of ​​Human Ehsan Percy Jackson Commander of TNI Give")</f>
        <v>Argentina National Holidays Celebrate World Cup Champion Welcomes Messi DKK Argentina Becomes Sea of ​​Human Ehsan Percy Jackson Commander of TNI Give</v>
      </c>
    </row>
    <row r="7622" ht="15.75" customHeight="1">
      <c r="A7622" s="1">
        <v>8840.0</v>
      </c>
      <c r="B7622" s="3" t="s">
        <v>21845</v>
      </c>
      <c r="C7622" s="3">
        <v>0.0</v>
      </c>
      <c r="D7622" s="3">
        <v>0.0</v>
      </c>
      <c r="E7622" s="3">
        <v>0.0</v>
      </c>
      <c r="F7622" s="3" t="s">
        <v>21846</v>
      </c>
      <c r="G7622" s="3">
        <v>0.0</v>
      </c>
      <c r="H7622" s="3">
        <v>0.0</v>
      </c>
      <c r="I7622" s="3" t="s">
        <v>13</v>
      </c>
      <c r="J7622" s="3" t="s">
        <v>21847</v>
      </c>
      <c r="K7622" s="3" t="s">
        <v>15</v>
      </c>
      <c r="L7622" s="3" t="str">
        <f>IFERROR(__xludf.DUMMYFUNCTION("GOOGLETRANSLATE(F7622,""id"",""en"")"),"Argentina Player Issue Jersey can be hit by a state champion wkwkw")</f>
        <v>Argentina Player Issue Jersey can be hit by a state champion wkwkw</v>
      </c>
    </row>
    <row r="7623" ht="15.75" customHeight="1">
      <c r="A7623" s="1">
        <v>8841.0</v>
      </c>
      <c r="B7623" s="3" t="s">
        <v>21848</v>
      </c>
      <c r="C7623" s="3">
        <v>0.0</v>
      </c>
      <c r="D7623" s="3">
        <v>0.0</v>
      </c>
      <c r="E7623" s="3">
        <v>0.0</v>
      </c>
      <c r="F7623" s="3" t="s">
        <v>21849</v>
      </c>
      <c r="G7623" s="3">
        <v>0.0</v>
      </c>
      <c r="H7623" s="3">
        <v>0.0</v>
      </c>
      <c r="I7623" s="3" t="s">
        <v>13</v>
      </c>
      <c r="J7623" s="3" t="s">
        <v>21850</v>
      </c>
      <c r="K7623" s="3" t="s">
        <v>437</v>
      </c>
      <c r="L7623" s="3" t="str">
        <f>IFERROR(__xludf.DUMMYFUNCTION("GOOGLETRANSLATE(F7623,""id"",""en"")"),"Bang Dennysiregar missed his hopes, but GPP his name is also the forecast of Argentina.")</f>
        <v>Bang Dennysiregar missed his hopes, but GPP his name is also the forecast of Argentina.</v>
      </c>
    </row>
    <row r="7624" ht="15.75" customHeight="1">
      <c r="A7624" s="1">
        <v>8842.0</v>
      </c>
      <c r="B7624" s="3" t="s">
        <v>21851</v>
      </c>
      <c r="C7624" s="3">
        <v>0.0</v>
      </c>
      <c r="D7624" s="3">
        <v>0.0</v>
      </c>
      <c r="E7624" s="3">
        <v>1.0</v>
      </c>
      <c r="F7624" s="3" t="s">
        <v>21852</v>
      </c>
      <c r="G7624" s="3">
        <v>0.0</v>
      </c>
      <c r="H7624" s="3">
        <v>0.0</v>
      </c>
      <c r="I7624" s="3" t="s">
        <v>13</v>
      </c>
      <c r="J7624" s="3" t="s">
        <v>21853</v>
      </c>
      <c r="K7624" s="3" t="s">
        <v>20467</v>
      </c>
      <c r="L7624" s="3" t="str">
        <f>IFERROR(__xludf.DUMMYFUNCTION("GOOGLETRANSLATE(F7624,""id"",""en"")"),"After the World Cup champion with Argentina Messi has the opportunity to win the eighth ballon Lionel Messi has just won the World Cup champion with Argentina Messi now has the opportunity to win Ballon")</f>
        <v>After the World Cup champion with Argentina Messi has the opportunity to win the eighth ballon Lionel Messi has just won the World Cup champion with Argentina Messi now has the opportunity to win Ballon</v>
      </c>
    </row>
    <row r="7625" ht="15.75" customHeight="1">
      <c r="A7625" s="1">
        <v>8843.0</v>
      </c>
      <c r="B7625" s="3" t="s">
        <v>21854</v>
      </c>
      <c r="C7625" s="3">
        <v>0.0</v>
      </c>
      <c r="D7625" s="3">
        <v>0.0</v>
      </c>
      <c r="E7625" s="3">
        <v>1.0</v>
      </c>
      <c r="F7625" s="3" t="s">
        <v>21855</v>
      </c>
      <c r="G7625" s="3">
        <v>0.0</v>
      </c>
      <c r="H7625" s="3">
        <v>0.0</v>
      </c>
      <c r="I7625" s="3" t="s">
        <v>13</v>
      </c>
      <c r="J7625" s="3" t="s">
        <v>21856</v>
      </c>
      <c r="K7625" s="3" t="s">
        <v>54</v>
      </c>
      <c r="L7625" s="3" t="str">
        <f>IFERROR(__xludf.DUMMYFUNCTION("GOOGLETRANSLATE(F7625,""id"",""en"")"),"Argentina Champion World Cup after years")</f>
        <v>Argentina Champion World Cup after years</v>
      </c>
    </row>
    <row r="7626" ht="15.75" customHeight="1">
      <c r="A7626" s="1">
        <v>8844.0</v>
      </c>
      <c r="B7626" s="3" t="s">
        <v>21857</v>
      </c>
      <c r="C7626" s="3">
        <v>0.0</v>
      </c>
      <c r="D7626" s="3">
        <v>0.0</v>
      </c>
      <c r="E7626" s="3">
        <v>0.0</v>
      </c>
      <c r="F7626" s="3" t="s">
        <v>21858</v>
      </c>
      <c r="G7626" s="3">
        <v>0.5</v>
      </c>
      <c r="H7626" s="3">
        <v>0.5</v>
      </c>
      <c r="I7626" s="3" t="s">
        <v>48</v>
      </c>
      <c r="J7626" s="3" t="s">
        <v>21859</v>
      </c>
      <c r="K7626" s="3" t="s">
        <v>657</v>
      </c>
      <c r="L7626" s="3" t="str">
        <f>IFERROR(__xludf.DUMMYFUNCTION("GOOGLETRANSLATE(F7626,""id"",""en"")"),"Top News of Merdeka People's Newspaper Argentina World Cup Champion Fernandez is busy replying Twitter Congratulations")</f>
        <v>Top News of Merdeka People's Newspaper Argentina World Cup Champion Fernandez is busy replying Twitter Congratulations</v>
      </c>
    </row>
    <row r="7627" ht="15.75" customHeight="1">
      <c r="A7627" s="1">
        <v>8845.0</v>
      </c>
      <c r="B7627" s="3" t="s">
        <v>21860</v>
      </c>
      <c r="C7627" s="3">
        <v>14.0</v>
      </c>
      <c r="D7627" s="3">
        <v>0.0</v>
      </c>
      <c r="E7627" s="3">
        <v>2.0</v>
      </c>
      <c r="F7627" s="3" t="s">
        <v>21861</v>
      </c>
      <c r="G7627" s="3">
        <v>0.0</v>
      </c>
      <c r="H7627" s="3">
        <v>0.0</v>
      </c>
      <c r="I7627" s="3" t="s">
        <v>13</v>
      </c>
      <c r="J7627" s="3" t="s">
        <v>21862</v>
      </c>
      <c r="K7627" s="3" t="s">
        <v>3519</v>
      </c>
      <c r="L7627" s="3" t="str">
        <f>IFERROR(__xludf.DUMMYFUNCTION("GOOGLETRANSLATE(F7627,""id"",""en"")"),"well, this is the new champion, the new champion gives a national holiday like that country, it's really won.")</f>
        <v>well, this is the new champion, the new champion gives a national holiday like that country, it's really won.</v>
      </c>
    </row>
    <row r="7628" ht="15.75" customHeight="1">
      <c r="A7628" s="1">
        <v>8846.0</v>
      </c>
      <c r="B7628" s="3" t="s">
        <v>21863</v>
      </c>
      <c r="C7628" s="3">
        <v>1.0</v>
      </c>
      <c r="D7628" s="3">
        <v>0.0</v>
      </c>
      <c r="E7628" s="3">
        <v>1.0</v>
      </c>
      <c r="F7628" s="3" t="s">
        <v>21834</v>
      </c>
      <c r="G7628" s="3">
        <v>0.0</v>
      </c>
      <c r="H7628" s="3">
        <v>0.0</v>
      </c>
      <c r="I7628" s="3" t="s">
        <v>13</v>
      </c>
      <c r="J7628" s="3" t="s">
        <v>21835</v>
      </c>
      <c r="K7628" s="3" t="s">
        <v>41</v>
      </c>
      <c r="L7628" s="3" t="str">
        <f>IFERROR(__xludf.DUMMYFUNCTION("GOOGLETRANSLATE(F7628,""id"",""en"")"),"Bringing Argentina World Champion Does Not Make Messi Become a Football Goat")</f>
        <v>Bringing Argentina World Champion Does Not Make Messi Become a Football Goat</v>
      </c>
    </row>
    <row r="7629" ht="15.75" customHeight="1">
      <c r="A7629" s="1">
        <v>8847.0</v>
      </c>
      <c r="B7629" s="3" t="s">
        <v>21864</v>
      </c>
      <c r="C7629" s="3">
        <v>0.0</v>
      </c>
      <c r="D7629" s="3">
        <v>0.0</v>
      </c>
      <c r="E7629" s="3">
        <v>0.0</v>
      </c>
      <c r="F7629" s="3" t="s">
        <v>21865</v>
      </c>
      <c r="G7629" s="3">
        <v>0.0</v>
      </c>
      <c r="H7629" s="3">
        <v>0.0</v>
      </c>
      <c r="I7629" s="3" t="s">
        <v>13</v>
      </c>
      <c r="J7629" s="3" t="s">
        <v>21866</v>
      </c>
      <c r="K7629" s="3" t="s">
        <v>50</v>
      </c>
      <c r="L7629" s="3" t="str">
        <f>IFERROR(__xludf.DUMMYFUNCTION("GOOGLETRANSLATE(F7629,""id"",""en"")"),"The champion is Argentina who says still people with the logo of the political party wkwk meni are almost gamble")</f>
        <v>The champion is Argentina who says still people with the logo of the political party wkwk meni are almost gamble</v>
      </c>
    </row>
    <row r="7630" ht="15.75" customHeight="1">
      <c r="A7630" s="1">
        <v>8848.0</v>
      </c>
      <c r="B7630" s="3" t="s">
        <v>21867</v>
      </c>
      <c r="C7630" s="3">
        <v>1.0</v>
      </c>
      <c r="D7630" s="3">
        <v>0.0</v>
      </c>
      <c r="E7630" s="3">
        <v>4.0</v>
      </c>
      <c r="F7630" s="3" t="s">
        <v>21868</v>
      </c>
      <c r="G7630" s="3">
        <v>1.0</v>
      </c>
      <c r="H7630" s="3">
        <v>0.0</v>
      </c>
      <c r="I7630" s="3" t="s">
        <v>13</v>
      </c>
      <c r="J7630" s="3" t="s">
        <v>21869</v>
      </c>
      <c r="K7630" s="3" t="s">
        <v>286</v>
      </c>
      <c r="L7630" s="3" t="str">
        <f>IFERROR(__xludf.DUMMYFUNCTION("GOOGLETRANSLATE(F7630,""id"",""en"")"),"Molina Argentina lost Scoreline Brazil lost Scoreline only France after the champion kept backtoback Final Runner CMN LWT Adu Penalty if it was the old era of Jules Rimet Baru")</f>
        <v>Molina Argentina lost Scoreline Brazil lost Scoreline only France after the champion kept backtoback Final Runner CMN LWT Adu Penalty if it was the old era of Jules Rimet Baru</v>
      </c>
    </row>
    <row r="7631" ht="15.75" customHeight="1">
      <c r="A7631" s="1">
        <v>8849.0</v>
      </c>
      <c r="B7631" s="3" t="s">
        <v>21870</v>
      </c>
      <c r="C7631" s="3">
        <v>3.0</v>
      </c>
      <c r="D7631" s="3">
        <v>1.0</v>
      </c>
      <c r="E7631" s="3">
        <v>12.0</v>
      </c>
      <c r="F7631" s="3" t="s">
        <v>21871</v>
      </c>
      <c r="G7631" s="3">
        <v>0.0</v>
      </c>
      <c r="H7631" s="3">
        <v>0.0</v>
      </c>
      <c r="I7631" s="3" t="s">
        <v>13</v>
      </c>
      <c r="J7631" s="3" t="s">
        <v>21872</v>
      </c>
      <c r="K7631" s="3" t="s">
        <v>510</v>
      </c>
      <c r="L7631" s="3" t="str">
        <f>IFERROR(__xludf.DUMMYFUNCTION("GOOGLETRANSLATE(F7631,""id"",""en"")"),"I sent Messi shortly after Argentina won against France and became a champion in a foreign language of course")</f>
        <v>I sent Messi shortly after Argentina won against France and became a champion in a foreign language of course</v>
      </c>
    </row>
    <row r="7632" ht="15.75" customHeight="1">
      <c r="A7632" s="1">
        <v>8850.0</v>
      </c>
      <c r="B7632" s="3" t="s">
        <v>21873</v>
      </c>
      <c r="C7632" s="3">
        <v>0.0</v>
      </c>
      <c r="D7632" s="3">
        <v>0.0</v>
      </c>
      <c r="E7632" s="3">
        <v>0.0</v>
      </c>
      <c r="F7632" s="3" t="s">
        <v>21874</v>
      </c>
      <c r="G7632" s="3">
        <v>0.2333333333333333</v>
      </c>
      <c r="H7632" s="3">
        <v>-0.25</v>
      </c>
      <c r="I7632" s="3" t="s">
        <v>179</v>
      </c>
      <c r="J7632" s="3" t="s">
        <v>21875</v>
      </c>
      <c r="K7632" s="3" t="s">
        <v>41</v>
      </c>
      <c r="L7632" s="3" t="str">
        <f>IFERROR(__xludf.DUMMYFUNCTION("GOOGLETRANSLATE(F7632,""id"",""en"")"),"The World Cup Champion Parade was determined by the Argentine government as a national holiday")</f>
        <v>The World Cup Champion Parade was determined by the Argentine government as a national holiday</v>
      </c>
    </row>
    <row r="7633" ht="15.75" customHeight="1">
      <c r="A7633" s="1">
        <v>8851.0</v>
      </c>
      <c r="B7633" s="3" t="s">
        <v>21876</v>
      </c>
      <c r="C7633" s="3">
        <v>0.0</v>
      </c>
      <c r="D7633" s="3">
        <v>1.0</v>
      </c>
      <c r="E7633" s="3">
        <v>0.0</v>
      </c>
      <c r="F7633" s="3" t="s">
        <v>21877</v>
      </c>
      <c r="G7633" s="3">
        <v>0.0</v>
      </c>
      <c r="H7633" s="3">
        <v>0.0</v>
      </c>
      <c r="I7633" s="3" t="s">
        <v>13</v>
      </c>
      <c r="J7633" s="3" t="s">
        <v>21878</v>
      </c>
      <c r="K7633" s="3" t="s">
        <v>15</v>
      </c>
      <c r="L7633" s="3" t="str">
        <f>IFERROR(__xludf.DUMMYFUNCTION("GOOGLETRANSLATE(F7633,""id"",""en"")"),"Witching forces Figure Behind the Argentine World Championship Title")</f>
        <v>Witching forces Figure Behind the Argentine World Championship Title</v>
      </c>
    </row>
    <row r="7634" ht="15.75" customHeight="1">
      <c r="A7634" s="1">
        <v>8852.0</v>
      </c>
      <c r="B7634" s="3" t="s">
        <v>21879</v>
      </c>
      <c r="C7634" s="3">
        <v>0.0</v>
      </c>
      <c r="D7634" s="3">
        <v>0.0</v>
      </c>
      <c r="E7634" s="3">
        <v>0.0</v>
      </c>
      <c r="F7634" s="3" t="s">
        <v>21880</v>
      </c>
      <c r="G7634" s="3">
        <v>0.0</v>
      </c>
      <c r="H7634" s="3">
        <v>0.0</v>
      </c>
      <c r="I7634" s="3" t="s">
        <v>13</v>
      </c>
      <c r="J7634" s="3" t="s">
        <v>21881</v>
      </c>
      <c r="K7634" s="3" t="s">
        <v>75</v>
      </c>
      <c r="L7634" s="3" t="str">
        <f>IFERROR(__xludf.DUMMYFUNCTION("GOOGLETRANSLATE(F7634,""id"",""en"")"),"This world champion is the expression of the feelings of Lionel Messi Antonela Roccuzzo's wife")</f>
        <v>This world champion is the expression of the feelings of Lionel Messi Antonela Roccuzzo's wife</v>
      </c>
    </row>
    <row r="7635" ht="15.75" customHeight="1">
      <c r="A7635" s="1">
        <v>8853.0</v>
      </c>
      <c r="B7635" s="3" t="s">
        <v>21882</v>
      </c>
      <c r="C7635" s="3">
        <v>0.0</v>
      </c>
      <c r="D7635" s="3">
        <v>0.0</v>
      </c>
      <c r="E7635" s="3">
        <v>0.0</v>
      </c>
      <c r="F7635" s="3" t="s">
        <v>21883</v>
      </c>
      <c r="G7635" s="3">
        <v>0.0</v>
      </c>
      <c r="H7635" s="3">
        <v>0.0</v>
      </c>
      <c r="I7635" s="3" t="s">
        <v>13</v>
      </c>
      <c r="J7635" s="3" t="s">
        <v>21884</v>
      </c>
      <c r="K7635" s="3" t="s">
        <v>1489</v>
      </c>
      <c r="L7635" s="3" t="str">
        <f>IFERROR(__xludf.DUMMYFUNCTION("GOOGLETRANSLATE(F7635,""id"",""en"")"),"Lionel Messi is reluctant to retire after lifting the World Cup Gold Topfise focus after winning the World Cup title with Argentina Team Lionel Messi dismissed the news that he would retire")</f>
        <v>Lionel Messi is reluctant to retire after lifting the World Cup Gold Topfise focus after winning the World Cup title with Argentina Team Lionel Messi dismissed the news that he would retire</v>
      </c>
    </row>
    <row r="7636" ht="15.75" customHeight="1">
      <c r="A7636" s="1">
        <v>8854.0</v>
      </c>
      <c r="B7636" s="3" t="s">
        <v>21885</v>
      </c>
      <c r="C7636" s="3">
        <v>0.0</v>
      </c>
      <c r="D7636" s="3">
        <v>0.0</v>
      </c>
      <c r="E7636" s="3">
        <v>0.0</v>
      </c>
      <c r="F7636" s="3" t="s">
        <v>21886</v>
      </c>
      <c r="G7636" s="3">
        <v>0.0</v>
      </c>
      <c r="H7636" s="3">
        <v>0.0</v>
      </c>
      <c r="I7636" s="3" t="s">
        <v>13</v>
      </c>
      <c r="J7636" s="3" t="s">
        <v>21887</v>
      </c>
      <c r="K7636" s="3" t="s">
        <v>1061</v>
      </c>
      <c r="L7636" s="3" t="str">
        <f>IFERROR(__xludf.DUMMYFUNCTION("GOOGLETRANSLATE(F7636,""id"",""en"")"),"Argentine Victory Conversion Using a Motorcycle with a Youth Noise Stabbed Until Killed Focusing on Celebrating the Victory of his favorite team as the World Cup Champion of a Teen Manado North Sulawesi instead")</f>
        <v>Argentine Victory Conversion Using a Motorcycle with a Youth Noise Stabbed Until Killed Focusing on Celebrating the Victory of his favorite team as the World Cup Champion of a Teen Manado North Sulawesi instead</v>
      </c>
    </row>
    <row r="7637" ht="15.75" customHeight="1">
      <c r="A7637" s="1">
        <v>8855.0</v>
      </c>
      <c r="B7637" s="3" t="s">
        <v>21888</v>
      </c>
      <c r="C7637" s="3">
        <v>0.0</v>
      </c>
      <c r="D7637" s="3">
        <v>0.0</v>
      </c>
      <c r="E7637" s="3">
        <v>0.0</v>
      </c>
      <c r="F7637" s="3" t="s">
        <v>21889</v>
      </c>
      <c r="G7637" s="3">
        <v>0.0</v>
      </c>
      <c r="H7637" s="3">
        <v>0.0</v>
      </c>
      <c r="I7637" s="3" t="s">
        <v>13</v>
      </c>
      <c r="J7637" s="3" t="s">
        <v>21890</v>
      </c>
      <c r="K7637" s="3" t="s">
        <v>41</v>
      </c>
      <c r="L7637" s="3" t="str">
        <f>IFERROR(__xludf.DUMMYFUNCTION("GOOGLETRANSLATE(F7637,""id"",""en"")"),"List of Argentina World Cup Champions Add Brazilian Title Still")</f>
        <v>List of Argentina World Cup Champions Add Brazilian Title Still</v>
      </c>
    </row>
    <row r="7638" ht="15.75" customHeight="1">
      <c r="A7638" s="1">
        <v>8856.0</v>
      </c>
      <c r="B7638" s="3" t="s">
        <v>21891</v>
      </c>
      <c r="C7638" s="3">
        <v>0.0</v>
      </c>
      <c r="D7638" s="3">
        <v>0.0</v>
      </c>
      <c r="E7638" s="3">
        <v>0.0</v>
      </c>
      <c r="F7638" s="3" t="s">
        <v>21892</v>
      </c>
      <c r="G7638" s="3">
        <v>0.0</v>
      </c>
      <c r="H7638" s="3">
        <v>0.0</v>
      </c>
      <c r="I7638" s="3" t="s">
        <v>13</v>
      </c>
      <c r="J7638" s="3" t="s">
        <v>21893</v>
      </c>
      <c r="K7638" s="3" t="s">
        <v>16174</v>
      </c>
      <c r="L7638" s="3" t="str">
        <f>IFERROR(__xludf.DUMMYFUNCTION("GOOGLETRANSLATE(F7638,""id"",""en"")"),"Ayokkk")</f>
        <v>Ayokkk</v>
      </c>
    </row>
    <row r="7639" ht="15.75" customHeight="1">
      <c r="A7639" s="1">
        <v>8857.0</v>
      </c>
      <c r="B7639" s="3" t="s">
        <v>21894</v>
      </c>
      <c r="C7639" s="3">
        <v>0.0</v>
      </c>
      <c r="D7639" s="3">
        <v>0.0</v>
      </c>
      <c r="E7639" s="3">
        <v>0.0</v>
      </c>
      <c r="F7639" s="3" t="s">
        <v>21895</v>
      </c>
      <c r="G7639" s="3">
        <v>0.0</v>
      </c>
      <c r="H7639" s="3">
        <v>0.0</v>
      </c>
      <c r="I7639" s="3" t="s">
        <v>13</v>
      </c>
      <c r="J7639" s="3" t="s">
        <v>21896</v>
      </c>
      <c r="K7639" s="3" t="s">
        <v>41</v>
      </c>
      <c r="L7639" s="3" t="str">
        <f>IFERROR(__xludf.DUMMYFUNCTION("GOOGLETRANSLATE(F7639,""id"",""en"")"),"eastblue wakakakaka is it because Argentina is the champion wakakaka not thinking about here hehehee")</f>
        <v>eastblue wakakakaka is it because Argentina is the champion wakakaka not thinking about here hehehee</v>
      </c>
    </row>
    <row r="7640" ht="15.75" customHeight="1">
      <c r="A7640" s="1">
        <v>8858.0</v>
      </c>
      <c r="B7640" s="3" t="s">
        <v>21897</v>
      </c>
      <c r="C7640" s="3">
        <v>0.0</v>
      </c>
      <c r="D7640" s="3">
        <v>0.0</v>
      </c>
      <c r="E7640" s="3">
        <v>2.0</v>
      </c>
      <c r="F7640" s="3" t="s">
        <v>21898</v>
      </c>
      <c r="G7640" s="3">
        <v>0.0</v>
      </c>
      <c r="H7640" s="3">
        <v>0.0</v>
      </c>
      <c r="I7640" s="3" t="s">
        <v>13</v>
      </c>
      <c r="J7640" s="3" t="s">
        <v>21899</v>
      </c>
      <c r="K7640" s="3" t="s">
        <v>644</v>
      </c>
      <c r="L7640" s="3" t="str">
        <f>IFERROR(__xludf.DUMMYFUNCTION("GOOGLETRANSLATE(F7640,""id"",""en"")"),"the one who champions Argentina who trending YouTube")</f>
        <v>the one who champions Argentina who trending YouTube</v>
      </c>
    </row>
    <row r="7641" ht="15.75" customHeight="1">
      <c r="A7641" s="1">
        <v>8859.0</v>
      </c>
      <c r="B7641" s="3" t="s">
        <v>21900</v>
      </c>
      <c r="C7641" s="3">
        <v>0.0</v>
      </c>
      <c r="D7641" s="3">
        <v>0.0</v>
      </c>
      <c r="E7641" s="3">
        <v>3.0</v>
      </c>
      <c r="F7641" s="3" t="s">
        <v>21901</v>
      </c>
      <c r="G7641" s="3">
        <v>0.0</v>
      </c>
      <c r="H7641" s="3">
        <v>0.0</v>
      </c>
      <c r="I7641" s="3" t="s">
        <v>13</v>
      </c>
      <c r="J7641" s="3" t="s">
        <v>21902</v>
      </c>
      <c r="K7641" s="3" t="s">
        <v>123</v>
      </c>
      <c r="L7641" s="3" t="str">
        <f>IFERROR(__xludf.DUMMYFUNCTION("GOOGLETRANSLATE(F7641,""id"",""en"")"),"Albiceleste until now still shuddered at Argentina Champion World Cup seeing one player to come and hug Messi")</f>
        <v>Albiceleste until now still shuddered at Argentina Champion World Cup seeing one player to come and hug Messi</v>
      </c>
    </row>
    <row r="7642" ht="15.75" customHeight="1">
      <c r="A7642" s="1">
        <v>8860.0</v>
      </c>
      <c r="B7642" s="3" t="s">
        <v>21903</v>
      </c>
      <c r="C7642" s="3">
        <v>0.0</v>
      </c>
      <c r="D7642" s="3">
        <v>0.0</v>
      </c>
      <c r="E7642" s="3">
        <v>0.0</v>
      </c>
      <c r="F7642" s="3" t="s">
        <v>21904</v>
      </c>
      <c r="G7642" s="3">
        <v>1.0</v>
      </c>
      <c r="H7642" s="3">
        <v>0.0</v>
      </c>
      <c r="I7642" s="3" t="s">
        <v>13</v>
      </c>
      <c r="J7642" s="3" t="s">
        <v>21905</v>
      </c>
      <c r="K7642" s="3" t="s">
        <v>903</v>
      </c>
      <c r="L7642" s="3" t="str">
        <f>IFERROR(__xludf.DUMMYFUNCTION("GOOGLETRANSLATE(F7642,""id"",""en"")"),"Argentina Champion FIFA World Cup Qatar Argentina National Team officially won the World Cup after the final defeats France see the full news click the following link")</f>
        <v>Argentina Champion FIFA World Cup Qatar Argentina National Team officially won the World Cup after the final defeats France see the full news click the following link</v>
      </c>
    </row>
    <row r="7643" ht="15.75" customHeight="1">
      <c r="A7643" s="1">
        <v>8861.0</v>
      </c>
      <c r="B7643" s="3" t="s">
        <v>21906</v>
      </c>
      <c r="C7643" s="3">
        <v>0.0</v>
      </c>
      <c r="D7643" s="3">
        <v>1.0</v>
      </c>
      <c r="E7643" s="3">
        <v>0.0</v>
      </c>
      <c r="F7643" s="3" t="s">
        <v>21907</v>
      </c>
      <c r="G7643" s="3">
        <v>0.45</v>
      </c>
      <c r="H7643" s="3">
        <v>0.04999999999999999</v>
      </c>
      <c r="I7643" s="3" t="s">
        <v>48</v>
      </c>
      <c r="J7643" s="3" t="s">
        <v>21908</v>
      </c>
      <c r="K7643" s="3" t="s">
        <v>41</v>
      </c>
      <c r="L7643" s="3" t="str">
        <f>IFERROR(__xludf.DUMMYFUNCTION("GOOGLETRANSLATE(F7643,""id"",""en"")"),"Top Tekno Game FIFA Argentina Prediction World Cup Champion")</f>
        <v>Top Tekno Game FIFA Argentina Prediction World Cup Champion</v>
      </c>
    </row>
    <row r="7644" ht="15.75" customHeight="1">
      <c r="A7644" s="1">
        <v>8862.0</v>
      </c>
      <c r="B7644" s="3" t="s">
        <v>21909</v>
      </c>
      <c r="C7644" s="3">
        <v>0.0</v>
      </c>
      <c r="D7644" s="3">
        <v>0.0</v>
      </c>
      <c r="E7644" s="3">
        <v>2.0</v>
      </c>
      <c r="F7644" s="3" t="s">
        <v>21910</v>
      </c>
      <c r="G7644" s="3">
        <v>0.0</v>
      </c>
      <c r="H7644" s="3">
        <v>0.0</v>
      </c>
      <c r="I7644" s="3" t="s">
        <v>13</v>
      </c>
      <c r="J7644" s="3" t="s">
        <v>21911</v>
      </c>
      <c r="K7644" s="3" t="s">
        <v>184</v>
      </c>
      <c r="L7644" s="3" t="str">
        <f>IFERROR(__xludf.DUMMYFUNCTION("GOOGLETRANSLATE(F7644,""id"",""en"")"),"Carlo Ancelotti praised the performance of Lionel Scaloni who was able to deliver Argentina to become a world champion assessed Scaloni to do extraordinary work")</f>
        <v>Carlo Ancelotti praised the performance of Lionel Scaloni who was able to deliver Argentina to become a world champion assessed Scaloni to do extraordinary work</v>
      </c>
    </row>
    <row r="7645" ht="15.75" customHeight="1">
      <c r="A7645" s="1">
        <v>8863.0</v>
      </c>
      <c r="B7645" s="3" t="s">
        <v>21912</v>
      </c>
      <c r="C7645" s="3">
        <v>0.0</v>
      </c>
      <c r="D7645" s="3">
        <v>0.0</v>
      </c>
      <c r="E7645" s="3">
        <v>0.0</v>
      </c>
      <c r="F7645" s="3" t="s">
        <v>21913</v>
      </c>
      <c r="G7645" s="3">
        <v>0.0</v>
      </c>
      <c r="H7645" s="3">
        <v>0.0</v>
      </c>
      <c r="I7645" s="3" t="s">
        <v>13</v>
      </c>
      <c r="J7645" s="3" t="s">
        <v>21914</v>
      </c>
      <c r="K7645" s="3" t="s">
        <v>574</v>
      </c>
      <c r="L7645" s="3" t="str">
        <f>IFERROR(__xludf.DUMMYFUNCTION("GOOGLETRANSLATE(F7645,""id"",""en"")"),"Argentina won the World Cup Pele gave us a follow -up comment for other interesting news Argentina Seokjin Breakfast Messi Dybala Aguero Lautaro Ehsan Republic Churchill Swiss Drake")</f>
        <v>Argentina won the World Cup Pele gave us a follow -up comment for other interesting news Argentina Seokjin Breakfast Messi Dybala Aguero Lautaro Ehsan Republic Churchill Swiss Drake</v>
      </c>
    </row>
    <row r="7646" ht="15.75" customHeight="1">
      <c r="A7646" s="1">
        <v>8864.0</v>
      </c>
      <c r="B7646" s="3" t="s">
        <v>21915</v>
      </c>
      <c r="C7646" s="3">
        <v>0.0</v>
      </c>
      <c r="D7646" s="3">
        <v>0.0</v>
      </c>
      <c r="E7646" s="3">
        <v>0.0</v>
      </c>
      <c r="F7646" s="3" t="s">
        <v>21916</v>
      </c>
      <c r="G7646" s="3">
        <v>0.0</v>
      </c>
      <c r="H7646" s="3">
        <v>0.0</v>
      </c>
      <c r="I7646" s="3" t="s">
        <v>13</v>
      </c>
      <c r="J7646" s="3" t="s">
        <v>21917</v>
      </c>
      <c r="K7646" s="3" t="s">
        <v>31</v>
      </c>
      <c r="L7646" s="3" t="str">
        <f>IFERROR(__xludf.DUMMYFUNCTION("GOOGLETRANSLATE(F7646,""id"",""en"")"),"STAN ADA TORO Argentina Champion Copa and")</f>
        <v>STAN ADA TORO Argentina Champion Copa and</v>
      </c>
    </row>
    <row r="7647" ht="15.75" customHeight="1">
      <c r="A7647" s="1">
        <v>8865.0</v>
      </c>
      <c r="B7647" s="3" t="s">
        <v>21918</v>
      </c>
      <c r="C7647" s="3">
        <v>0.0</v>
      </c>
      <c r="D7647" s="3">
        <v>0.0</v>
      </c>
      <c r="E7647" s="3">
        <v>0.0</v>
      </c>
      <c r="F7647" s="3" t="s">
        <v>21919</v>
      </c>
      <c r="G7647" s="3">
        <v>0.0</v>
      </c>
      <c r="H7647" s="3">
        <v>0.0</v>
      </c>
      <c r="I7647" s="3" t="s">
        <v>13</v>
      </c>
      <c r="J7647" s="3" t="s">
        <v>21920</v>
      </c>
      <c r="K7647" s="3" t="s">
        <v>510</v>
      </c>
      <c r="L7647" s="3" t="str">
        <f>IFERROR(__xludf.DUMMYFUNCTION("GOOGLETRANSLATE(F7647,""id"",""en"")"),"Insta Story looks ordinary until someone is still reposting if the Argentina champion is the settings wkwkwkwkwk not really")</f>
        <v>Insta Story looks ordinary until someone is still reposting if the Argentina champion is the settings wkwkwkwkwk not really</v>
      </c>
    </row>
    <row r="7648" ht="15.75" customHeight="1">
      <c r="A7648" s="1">
        <v>8867.0</v>
      </c>
      <c r="B7648" s="3" t="s">
        <v>21921</v>
      </c>
      <c r="C7648" s="3">
        <v>0.0</v>
      </c>
      <c r="D7648" s="3">
        <v>4.0</v>
      </c>
      <c r="E7648" s="3">
        <v>0.0</v>
      </c>
      <c r="F7648" s="3" t="s">
        <v>21922</v>
      </c>
      <c r="G7648" s="3">
        <v>0.2333333333333333</v>
      </c>
      <c r="H7648" s="3">
        <v>-0.25</v>
      </c>
      <c r="I7648" s="3" t="s">
        <v>179</v>
      </c>
      <c r="J7648" s="3" t="s">
        <v>21923</v>
      </c>
      <c r="K7648" s="3" t="s">
        <v>50</v>
      </c>
      <c r="L7648" s="3" t="str">
        <f>IFERROR(__xludf.DUMMYFUNCTION("GOOGLETRANSLATE(F7648,""id"",""en"")"),"Argentina is preparing to welcome the return of Lionel Messi Holds the World Cup Champion Parade")</f>
        <v>Argentina is preparing to welcome the return of Lionel Messi Holds the World Cup Champion Parade</v>
      </c>
    </row>
    <row r="7649" ht="15.75" customHeight="1">
      <c r="A7649" s="1">
        <v>8868.0</v>
      </c>
      <c r="B7649" s="3" t="s">
        <v>21924</v>
      </c>
      <c r="C7649" s="3">
        <v>0.0</v>
      </c>
      <c r="D7649" s="3">
        <v>0.0</v>
      </c>
      <c r="E7649" s="3">
        <v>1.0</v>
      </c>
      <c r="F7649" s="3" t="s">
        <v>21925</v>
      </c>
      <c r="G7649" s="3">
        <v>0.0</v>
      </c>
      <c r="H7649" s="3">
        <v>0.0</v>
      </c>
      <c r="I7649" s="3" t="s">
        <v>13</v>
      </c>
      <c r="J7649" s="3" t="s">
        <v>21926</v>
      </c>
      <c r="K7649" s="3" t="s">
        <v>50</v>
      </c>
      <c r="L7649" s="3" t="str">
        <f>IFERROR(__xludf.DUMMYFUNCTION("GOOGLETRANSLATE(F7649,""id"",""en"")"),"Before the World Cup began Rodrigo Paul had the Argentina inkle to come out as champions")</f>
        <v>Before the World Cup began Rodrigo Paul had the Argentina inkle to come out as champions</v>
      </c>
    </row>
    <row r="7650" ht="15.75" customHeight="1">
      <c r="A7650" s="1">
        <v>8869.0</v>
      </c>
      <c r="B7650" s="3" t="s">
        <v>21927</v>
      </c>
      <c r="C7650" s="3">
        <v>0.0</v>
      </c>
      <c r="D7650" s="3">
        <v>0.0</v>
      </c>
      <c r="E7650" s="3">
        <v>0.0</v>
      </c>
      <c r="F7650" s="3" t="s">
        <v>21789</v>
      </c>
      <c r="G7650" s="3">
        <v>0.5</v>
      </c>
      <c r="H7650" s="3">
        <v>0.5</v>
      </c>
      <c r="I7650" s="3" t="s">
        <v>48</v>
      </c>
      <c r="J7650" s="3" t="s">
        <v>21790</v>
      </c>
      <c r="K7650" s="3" t="s">
        <v>240</v>
      </c>
      <c r="L7650" s="3" t="str">
        <f>IFERROR(__xludf.DUMMYFUNCTION("GOOGLETRANSLATE(F7650,""id"",""en"")"),"Top Football News Attitude Emiliano Mart Nez after Argentina won the World Cup Roy Keane")</f>
        <v>Top Football News Attitude Emiliano Mart Nez after Argentina won the World Cup Roy Keane</v>
      </c>
    </row>
    <row r="7651" ht="15.75" customHeight="1">
      <c r="A7651" s="1">
        <v>8870.0</v>
      </c>
      <c r="B7651" s="3" t="s">
        <v>21928</v>
      </c>
      <c r="C7651" s="3">
        <v>0.0</v>
      </c>
      <c r="D7651" s="3">
        <v>0.0</v>
      </c>
      <c r="E7651" s="3">
        <v>0.0</v>
      </c>
      <c r="F7651" s="3" t="s">
        <v>21929</v>
      </c>
      <c r="G7651" s="3">
        <v>0.0</v>
      </c>
      <c r="H7651" s="3">
        <v>0.0</v>
      </c>
      <c r="I7651" s="3" t="s">
        <v>13</v>
      </c>
      <c r="J7651" s="3" t="s">
        <v>21930</v>
      </c>
      <c r="K7651" s="3" t="s">
        <v>510</v>
      </c>
      <c r="L7651" s="3" t="str">
        <f>IFERROR(__xludf.DUMMYFUNCTION("GOOGLETRANSLATE(F7651,""id"",""en"")"),"FIFA Ranking Update After Argentina won the Tango team's World Cup not the top")</f>
        <v>FIFA Ranking Update After Argentina won the Tango team's World Cup not the top</v>
      </c>
    </row>
    <row r="7652" ht="15.75" customHeight="1">
      <c r="A7652" s="1">
        <v>8871.0</v>
      </c>
      <c r="B7652" s="3" t="s">
        <v>21931</v>
      </c>
      <c r="C7652" s="3">
        <v>0.0</v>
      </c>
      <c r="D7652" s="3">
        <v>3.0</v>
      </c>
      <c r="E7652" s="3">
        <v>6.0</v>
      </c>
      <c r="F7652" s="3" t="s">
        <v>21932</v>
      </c>
      <c r="G7652" s="3">
        <v>0.0</v>
      </c>
      <c r="H7652" s="3">
        <v>0.0</v>
      </c>
      <c r="I7652" s="3" t="s">
        <v>13</v>
      </c>
      <c r="J7652" s="3" t="s">
        <v>21933</v>
      </c>
      <c r="K7652" s="3" t="s">
        <v>1317</v>
      </c>
      <c r="L7652" s="3" t="str">
        <f>IFERROR(__xludf.DUMMYFUNCTION("GOOGLETRANSLATE(F7652,""id"",""en"")"),"Argentina successfully won the World Cup that means the Tango team has won the World Cup")</f>
        <v>Argentina successfully won the World Cup that means the Tango team has won the World Cup</v>
      </c>
    </row>
    <row r="7653" ht="15.75" customHeight="1">
      <c r="A7653" s="1">
        <v>8872.0</v>
      </c>
      <c r="B7653" s="3" t="s">
        <v>21934</v>
      </c>
      <c r="C7653" s="3">
        <v>1.0</v>
      </c>
      <c r="D7653" s="3">
        <v>0.0</v>
      </c>
      <c r="E7653" s="3">
        <v>1.0</v>
      </c>
      <c r="F7653" s="3" t="s">
        <v>21935</v>
      </c>
      <c r="G7653" s="3">
        <v>0.0</v>
      </c>
      <c r="H7653" s="3">
        <v>0.0</v>
      </c>
      <c r="I7653" s="3" t="s">
        <v>13</v>
      </c>
      <c r="J7653" s="3" t="s">
        <v>21936</v>
      </c>
      <c r="K7653" s="3" t="s">
        <v>240</v>
      </c>
      <c r="L7653" s="3" t="str">
        <f>IFERROR(__xludf.DUMMYFUNCTION("GOOGLETRANSLATE(F7653,""id"",""en"")"),"Gempita Argentina's victory won the World Cup made millions of residents gather buenos Aires like this appearance from the air")</f>
        <v>Gempita Argentina's victory won the World Cup made millions of residents gather buenos Aires like this appearance from the air</v>
      </c>
    </row>
    <row r="7654" ht="15.75" customHeight="1">
      <c r="A7654" s="1">
        <v>8873.0</v>
      </c>
      <c r="B7654" s="3" t="s">
        <v>21937</v>
      </c>
      <c r="C7654" s="3">
        <v>5.0</v>
      </c>
      <c r="D7654" s="3">
        <v>0.0</v>
      </c>
      <c r="E7654" s="3">
        <v>0.0</v>
      </c>
      <c r="F7654" s="3" t="s">
        <v>21938</v>
      </c>
      <c r="G7654" s="3">
        <v>1.0</v>
      </c>
      <c r="H7654" s="3">
        <v>0.0</v>
      </c>
      <c r="I7654" s="3" t="s">
        <v>13</v>
      </c>
      <c r="J7654" s="3" t="s">
        <v>21939</v>
      </c>
      <c r="K7654" s="3" t="s">
        <v>232</v>
      </c>
      <c r="L7654" s="3" t="str">
        <f>IFERROR(__xludf.DUMMYFUNCTION("GOOGLETRANSLATE(F7654,""id"",""en"")"),"hahaa who has a grudge against Messi, I am a grudge with Mario Gotze because he made a goal by Messi Argentina champion Oya one more revenge with Wiltord Trezeguet Final Euro")</f>
        <v>hahaa who has a grudge against Messi, I am a grudge with Mario Gotze because he made a goal by Messi Argentina champion Oya one more revenge with Wiltord Trezeguet Final Euro</v>
      </c>
    </row>
    <row r="7655" ht="15.75" customHeight="1">
      <c r="A7655" s="1">
        <v>8874.0</v>
      </c>
      <c r="B7655" s="3" t="s">
        <v>21940</v>
      </c>
      <c r="C7655" s="3">
        <v>0.0</v>
      </c>
      <c r="D7655" s="3">
        <v>0.0</v>
      </c>
      <c r="E7655" s="3">
        <v>0.0</v>
      </c>
      <c r="F7655" s="3" t="s">
        <v>21941</v>
      </c>
      <c r="G7655" s="3">
        <v>0.0</v>
      </c>
      <c r="H7655" s="3">
        <v>0.0</v>
      </c>
      <c r="I7655" s="3" t="s">
        <v>13</v>
      </c>
      <c r="J7655" s="3" t="s">
        <v>21942</v>
      </c>
      <c r="K7655" s="3" t="s">
        <v>15</v>
      </c>
      <c r="L7655" s="3" t="str">
        <f>IFERROR(__xludf.DUMMYFUNCTION("GOOGLETRANSLATE(F7655,""id"",""en"")"),"Hopefully Indonesia champions AFF so that the national holiday is also rich in Argentina")</f>
        <v>Hopefully Indonesia champions AFF so that the national holiday is also rich in Argentina</v>
      </c>
    </row>
    <row r="7656" ht="15.75" customHeight="1">
      <c r="A7656" s="1">
        <v>8875.0</v>
      </c>
      <c r="B7656" s="3" t="s">
        <v>21943</v>
      </c>
      <c r="C7656" s="3">
        <v>0.0</v>
      </c>
      <c r="D7656" s="3">
        <v>0.0</v>
      </c>
      <c r="E7656" s="3">
        <v>2.0</v>
      </c>
      <c r="F7656" s="3" t="s">
        <v>21944</v>
      </c>
      <c r="G7656" s="3">
        <v>0.0</v>
      </c>
      <c r="H7656" s="3">
        <v>0.0</v>
      </c>
      <c r="I7656" s="3" t="s">
        <v>13</v>
      </c>
      <c r="J7656" s="3" t="s">
        <v>21945</v>
      </c>
      <c r="K7656" s="3" t="s">
        <v>31</v>
      </c>
      <c r="L7656" s="3" t="str">
        <f>IFERROR(__xludf.DUMMYFUNCTION("GOOGLETRANSLATE(F7656,""id"",""en"")"),"the Argentina champion who trending YouTube Persib")</f>
        <v>the Argentina champion who trending YouTube Persib</v>
      </c>
    </row>
    <row r="7657" ht="15.75" customHeight="1">
      <c r="A7657" s="1">
        <v>8876.0</v>
      </c>
      <c r="B7657" s="3" t="s">
        <v>21946</v>
      </c>
      <c r="C7657" s="3">
        <v>0.0</v>
      </c>
      <c r="D7657" s="3">
        <v>0.0</v>
      </c>
      <c r="E7657" s="3">
        <v>0.0</v>
      </c>
      <c r="F7657" s="3" t="s">
        <v>21947</v>
      </c>
      <c r="G7657" s="3">
        <v>0.0</v>
      </c>
      <c r="H7657" s="3">
        <v>0.0</v>
      </c>
      <c r="I7657" s="3" t="s">
        <v>13</v>
      </c>
      <c r="J7657" s="3" t="s">
        <v>21948</v>
      </c>
      <c r="K7657" s="3" t="s">
        <v>41</v>
      </c>
      <c r="L7657" s="3" t="str">
        <f>IFERROR(__xludf.DUMMYFUNCTION("GOOGLETRANSLATE(F7657,""id"",""en"")"),"Enek, Bang, Kaji Maen Kabeh Argentina, still champions")</f>
        <v>Enek, Bang, Kaji Maen Kabeh Argentina, still champions</v>
      </c>
    </row>
    <row r="7658" ht="15.75" customHeight="1">
      <c r="A7658" s="1">
        <v>8877.0</v>
      </c>
      <c r="B7658" s="3" t="s">
        <v>21949</v>
      </c>
      <c r="C7658" s="3">
        <v>0.0</v>
      </c>
      <c r="D7658" s="3">
        <v>0.0</v>
      </c>
      <c r="E7658" s="3">
        <v>1.0</v>
      </c>
      <c r="F7658" s="3" t="s">
        <v>21950</v>
      </c>
      <c r="G7658" s="3">
        <v>0.3</v>
      </c>
      <c r="H7658" s="3">
        <v>1.0</v>
      </c>
      <c r="I7658" s="3" t="s">
        <v>48</v>
      </c>
      <c r="J7658" s="3" t="s">
        <v>21951</v>
      </c>
      <c r="K7658" s="3" t="s">
        <v>15</v>
      </c>
      <c r="L7658" s="3" t="str">
        <f>IFERROR(__xludf.DUMMYFUNCTION("GOOGLETRANSLATE(F7658,""id"",""en"")"),"Cambodia Prediction Tuesday December Best Shio BBFS Mouse")</f>
        <v>Cambodia Prediction Tuesday December Best Shio BBFS Mouse</v>
      </c>
    </row>
    <row r="7659" ht="15.75" customHeight="1">
      <c r="A7659" s="1">
        <v>8878.0</v>
      </c>
      <c r="B7659" s="3" t="s">
        <v>21952</v>
      </c>
      <c r="C7659" s="3">
        <v>0.0</v>
      </c>
      <c r="D7659" s="3">
        <v>0.0</v>
      </c>
      <c r="E7659" s="3">
        <v>0.0</v>
      </c>
      <c r="F7659" s="3" t="s">
        <v>21953</v>
      </c>
      <c r="G7659" s="3">
        <v>0.0</v>
      </c>
      <c r="H7659" s="3">
        <v>0.0</v>
      </c>
      <c r="I7659" s="3" t="s">
        <v>13</v>
      </c>
      <c r="J7659" s="3" t="s">
        <v>21954</v>
      </c>
      <c r="K7659" s="3" t="s">
        <v>75</v>
      </c>
      <c r="L7659" s="3" t="str">
        <f>IFERROR(__xludf.DUMMYFUNCTION("GOOGLETRANSLATE(F7659,""id"",""en"")"),"Messi Dramatic Maints Congratulations for Team Argentina as World Cup Champion")</f>
        <v>Messi Dramatic Maints Congratulations for Team Argentina as World Cup Champion</v>
      </c>
    </row>
    <row r="7660" ht="15.75" customHeight="1">
      <c r="A7660" s="1">
        <v>8879.0</v>
      </c>
      <c r="B7660" s="3" t="s">
        <v>21955</v>
      </c>
      <c r="C7660" s="3">
        <v>2.0</v>
      </c>
      <c r="D7660" s="3">
        <v>1.0</v>
      </c>
      <c r="E7660" s="3">
        <v>8.0</v>
      </c>
      <c r="F7660" s="3" t="s">
        <v>21956</v>
      </c>
      <c r="G7660" s="3">
        <v>0.0</v>
      </c>
      <c r="H7660" s="3">
        <v>0.0</v>
      </c>
      <c r="I7660" s="3" t="s">
        <v>13</v>
      </c>
      <c r="J7660" s="3" t="s">
        <v>21957</v>
      </c>
      <c r="K7660" s="3" t="s">
        <v>75</v>
      </c>
      <c r="L7660" s="3" t="str">
        <f>IFERROR(__xludf.DUMMYFUNCTION("GOOGLETRANSLATE(F7660,""id"",""en"")"),"Even though the age group champion why the Chairman of the Argentina Ball Federation did not join the photo")</f>
        <v>Even though the age group champion why the Chairman of the Argentina Ball Federation did not join the photo</v>
      </c>
    </row>
    <row r="7661" ht="15.75" customHeight="1">
      <c r="A7661" s="1">
        <v>8880.0</v>
      </c>
      <c r="B7661" s="3" t="s">
        <v>21958</v>
      </c>
      <c r="C7661" s="3">
        <v>0.0</v>
      </c>
      <c r="D7661" s="3">
        <v>0.0</v>
      </c>
      <c r="E7661" s="3">
        <v>0.0</v>
      </c>
      <c r="F7661" s="3" t="s">
        <v>21959</v>
      </c>
      <c r="G7661" s="3">
        <v>0.0</v>
      </c>
      <c r="H7661" s="3">
        <v>0.0</v>
      </c>
      <c r="I7661" s="3" t="s">
        <v>13</v>
      </c>
      <c r="J7661" s="3" t="s">
        <v>21960</v>
      </c>
      <c r="K7661" s="3" t="s">
        <v>644</v>
      </c>
      <c r="L7661" s="3" t="str">
        <f>IFERROR(__xludf.DUMMYFUNCTION("GOOGLETRANSLATE(F7661,""id"",""en"")"),"the opinion of those who don't like Argentina champions")</f>
        <v>the opinion of those who don't like Argentina champions</v>
      </c>
    </row>
    <row r="7662" ht="15.75" customHeight="1">
      <c r="A7662" s="1">
        <v>8881.0</v>
      </c>
      <c r="B7662" s="3" t="s">
        <v>21961</v>
      </c>
      <c r="C7662" s="3">
        <v>4.0</v>
      </c>
      <c r="D7662" s="3">
        <v>0.0</v>
      </c>
      <c r="E7662" s="3">
        <v>2.0</v>
      </c>
      <c r="F7662" s="3" t="s">
        <v>21962</v>
      </c>
      <c r="G7662" s="3">
        <v>0.0</v>
      </c>
      <c r="H7662" s="3">
        <v>0.0</v>
      </c>
      <c r="I7662" s="3" t="s">
        <v>13</v>
      </c>
      <c r="J7662" s="3" t="s">
        <v>21963</v>
      </c>
      <c r="K7662" s="3" t="s">
        <v>1428</v>
      </c>
      <c r="L7662" s="3" t="str">
        <f>IFERROR(__xludf.DUMMYFUNCTION("GOOGLETRANSLATE(F7662,""id"",""en"")"),"Redsindo isn't wrong, it's just a good thing, I just know shame until we use a medal of people and join in the convoy of champions, it feels that he is part of the team, I am sure that this person will follow when the entire team of coach players")</f>
        <v>Redsindo isn't wrong, it's just a good thing, I just know shame until we use a medal of people and join in the convoy of champions, it feels that he is part of the team, I am sure that this person will follow when the entire team of coach players</v>
      </c>
    </row>
    <row r="7663" ht="15.75" customHeight="1">
      <c r="A7663" s="1">
        <v>8882.0</v>
      </c>
      <c r="B7663" s="3" t="s">
        <v>21964</v>
      </c>
      <c r="C7663" s="3">
        <v>0.0</v>
      </c>
      <c r="D7663" s="3">
        <v>4.0</v>
      </c>
      <c r="E7663" s="3">
        <v>11.0</v>
      </c>
      <c r="F7663" s="3" t="s">
        <v>21965</v>
      </c>
      <c r="G7663" s="3">
        <v>0.0</v>
      </c>
      <c r="H7663" s="3">
        <v>0.0</v>
      </c>
      <c r="I7663" s="3" t="s">
        <v>13</v>
      </c>
      <c r="J7663" s="3" t="s">
        <v>21966</v>
      </c>
      <c r="K7663" s="3" t="s">
        <v>584</v>
      </c>
      <c r="L7663" s="3" t="str">
        <f>IFERROR(__xludf.DUMMYFUNCTION("GOOGLETRANSLATE(F7663,""id"",""en"")"),"This article from four years ago had to be revised because Messi had brought Argentina to the Copa America champion and then the World Cup confirmed himself as possible")</f>
        <v>This article from four years ago had to be revised because Messi had brought Argentina to the Copa America champion and then the World Cup confirmed himself as possible</v>
      </c>
    </row>
    <row r="7664" ht="15.75" customHeight="1">
      <c r="A7664" s="1">
        <v>8883.0</v>
      </c>
      <c r="B7664" s="3" t="s">
        <v>21967</v>
      </c>
      <c r="C7664" s="3">
        <v>1.0</v>
      </c>
      <c r="D7664" s="3">
        <v>0.0</v>
      </c>
      <c r="E7664" s="3">
        <v>1.0</v>
      </c>
      <c r="F7664" s="3" t="s">
        <v>21968</v>
      </c>
      <c r="G7664" s="3">
        <v>0.0</v>
      </c>
      <c r="H7664" s="3">
        <v>0.0</v>
      </c>
      <c r="I7664" s="3" t="s">
        <v>13</v>
      </c>
      <c r="J7664" s="3" t="s">
        <v>21969</v>
      </c>
      <c r="K7664" s="3" t="s">
        <v>15</v>
      </c>
      <c r="L7664" s="3" t="str">
        <f>IFERROR(__xludf.DUMMYFUNCTION("GOOGLETRANSLATE(F7664,""id"",""en"")"),"The country that miserable despite winning the World Cup why the thread")</f>
        <v>The country that miserable despite winning the World Cup why the thread</v>
      </c>
    </row>
    <row r="7665" ht="15.75" customHeight="1">
      <c r="A7665" s="1">
        <v>8884.0</v>
      </c>
      <c r="B7665" s="3" t="s">
        <v>21970</v>
      </c>
      <c r="C7665" s="3">
        <v>0.0</v>
      </c>
      <c r="D7665" s="3">
        <v>0.0</v>
      </c>
      <c r="E7665" s="3">
        <v>0.0</v>
      </c>
      <c r="F7665" s="3" t="s">
        <v>21971</v>
      </c>
      <c r="G7665" s="3">
        <v>0.0</v>
      </c>
      <c r="H7665" s="3">
        <v>0.0</v>
      </c>
      <c r="I7665" s="3" t="s">
        <v>13</v>
      </c>
      <c r="J7665" s="3" t="s">
        <v>21972</v>
      </c>
      <c r="K7665" s="3" t="s">
        <v>499</v>
      </c>
      <c r="L7665" s="3" t="str">
        <f>IFERROR(__xludf.DUMMYFUNCTION("GOOGLETRANSLATE(F7665,""id"",""en"")"),"Argentine captain Lionel Messi feels very happy until now every time you wake up smiles yourself remember the champion of the congrats all deserve")</f>
        <v>Argentine captain Lionel Messi feels very happy until now every time you wake up smiles yourself remember the champion of the congrats all deserve</v>
      </c>
    </row>
    <row r="7666" ht="15.75" customHeight="1">
      <c r="A7666" s="1">
        <v>8885.0</v>
      </c>
      <c r="B7666" s="3" t="s">
        <v>21973</v>
      </c>
      <c r="C7666" s="3">
        <v>0.0</v>
      </c>
      <c r="D7666" s="3">
        <v>0.0</v>
      </c>
      <c r="E7666" s="3">
        <v>0.0</v>
      </c>
      <c r="F7666" s="3" t="s">
        <v>21974</v>
      </c>
      <c r="G7666" s="3">
        <v>0.0</v>
      </c>
      <c r="H7666" s="3">
        <v>0.0</v>
      </c>
      <c r="I7666" s="3" t="s">
        <v>13</v>
      </c>
      <c r="J7666" s="3" t="s">
        <v>21975</v>
      </c>
      <c r="K7666" s="3" t="s">
        <v>75</v>
      </c>
      <c r="L7666" s="3" t="str">
        <f>IFERROR(__xludf.DUMMYFUNCTION("GOOGLETRANSLATE(F7666,""id"",""en"")"),"Argentina's most popular photo of the World Cup champion until Jokowi submitted KUR")</f>
        <v>Argentina's most popular photo of the World Cup champion until Jokowi submitted KUR</v>
      </c>
    </row>
    <row r="7667" ht="15.75" customHeight="1">
      <c r="A7667" s="1">
        <v>8886.0</v>
      </c>
      <c r="B7667" s="3" t="s">
        <v>21976</v>
      </c>
      <c r="C7667" s="3">
        <v>0.0</v>
      </c>
      <c r="D7667" s="3">
        <v>0.0</v>
      </c>
      <c r="E7667" s="3">
        <v>1.0</v>
      </c>
      <c r="F7667" s="3" t="s">
        <v>21977</v>
      </c>
      <c r="G7667" s="3">
        <v>0.0</v>
      </c>
      <c r="H7667" s="3">
        <v>0.0</v>
      </c>
      <c r="I7667" s="3" t="s">
        <v>13</v>
      </c>
      <c r="J7667" s="3" t="s">
        <v>21978</v>
      </c>
      <c r="K7667" s="3" t="s">
        <v>499</v>
      </c>
      <c r="L7667" s="3" t="str">
        <f>IFERROR(__xludf.DUMMYFUNCTION("GOOGLETRANSLATE(F7667,""id"",""en"")"),"After winning the World Cup title with Argentina Team Lionel Messi dismissed the news he would retire after lifting the Qatar Golden Trophy for other News")</f>
        <v>After winning the World Cup title with Argentina Team Lionel Messi dismissed the news he would retire after lifting the Qatar Golden Trophy for other News</v>
      </c>
    </row>
    <row r="7668" ht="15.75" customHeight="1">
      <c r="A7668" s="1">
        <v>8887.0</v>
      </c>
      <c r="B7668" s="3" t="s">
        <v>21979</v>
      </c>
      <c r="C7668" s="3">
        <v>2.0</v>
      </c>
      <c r="D7668" s="3">
        <v>1.0</v>
      </c>
      <c r="E7668" s="3">
        <v>0.0</v>
      </c>
      <c r="F7668" s="3" t="s">
        <v>21980</v>
      </c>
      <c r="G7668" s="3">
        <v>0.0</v>
      </c>
      <c r="H7668" s="3">
        <v>0.0</v>
      </c>
      <c r="I7668" s="3" t="s">
        <v>13</v>
      </c>
      <c r="J7668" s="3" t="s">
        <v>21981</v>
      </c>
      <c r="K7668" s="3" t="s">
        <v>19</v>
      </c>
      <c r="L7668" s="3" t="str">
        <f>IFERROR(__xludf.DUMMYFUNCTION("GOOGLETRANSLATE(F7668,""id"",""en"")"),"One month escorting Argentina the championship ladder now is the time to return to barracks as an Italian fan I say goodbye")</f>
        <v>One month escorting Argentina the championship ladder now is the time to return to barracks as an Italian fan I say goodbye</v>
      </c>
    </row>
    <row r="7669" ht="15.75" customHeight="1">
      <c r="A7669" s="1">
        <v>8888.0</v>
      </c>
      <c r="B7669" s="3" t="s">
        <v>21982</v>
      </c>
      <c r="C7669" s="3">
        <v>0.0</v>
      </c>
      <c r="D7669" s="3">
        <v>1.0</v>
      </c>
      <c r="E7669" s="3">
        <v>6.0</v>
      </c>
      <c r="F7669" s="3" t="s">
        <v>21910</v>
      </c>
      <c r="G7669" s="3">
        <v>0.0</v>
      </c>
      <c r="H7669" s="3">
        <v>0.0</v>
      </c>
      <c r="I7669" s="3" t="s">
        <v>13</v>
      </c>
      <c r="J7669" s="3" t="s">
        <v>21911</v>
      </c>
      <c r="K7669" s="3" t="s">
        <v>184</v>
      </c>
      <c r="L7669" s="3" t="str">
        <f>IFERROR(__xludf.DUMMYFUNCTION("GOOGLETRANSLATE(F7669,""id"",""en"")"),"Carlo Ancelotti praised the performance of Lionel Scaloni who was able to deliver Argentina to become a world champion assessed Scaloni to do extraordinary work")</f>
        <v>Carlo Ancelotti praised the performance of Lionel Scaloni who was able to deliver Argentina to become a world champion assessed Scaloni to do extraordinary work</v>
      </c>
    </row>
    <row r="7670" ht="15.75" customHeight="1">
      <c r="A7670" s="1">
        <v>8889.0</v>
      </c>
      <c r="B7670" s="3" t="s">
        <v>21983</v>
      </c>
      <c r="C7670" s="3">
        <v>0.0</v>
      </c>
      <c r="D7670" s="3">
        <v>0.0</v>
      </c>
      <c r="E7670" s="3">
        <v>0.0</v>
      </c>
      <c r="F7670" s="3" t="s">
        <v>21984</v>
      </c>
      <c r="G7670" s="3">
        <v>0.0</v>
      </c>
      <c r="H7670" s="3">
        <v>0.0</v>
      </c>
      <c r="I7670" s="3" t="s">
        <v>13</v>
      </c>
      <c r="J7670" s="3" t="s">
        <v>21985</v>
      </c>
      <c r="K7670" s="3" t="s">
        <v>50</v>
      </c>
      <c r="L7670" s="3" t="str">
        <f>IFERROR(__xludf.DUMMYFUNCTION("GOOGLETRANSLATE(F7670,""id"",""en"")"),"Argentina immediately has a new red date or not after champion champions in the world")</f>
        <v>Argentina immediately has a new red date or not after champion champions in the world</v>
      </c>
    </row>
    <row r="7671" ht="15.75" customHeight="1">
      <c r="A7671" s="1">
        <v>8890.0</v>
      </c>
      <c r="B7671" s="3" t="s">
        <v>21986</v>
      </c>
      <c r="C7671" s="3">
        <v>0.0</v>
      </c>
      <c r="D7671" s="3">
        <v>0.0</v>
      </c>
      <c r="E7671" s="3">
        <v>0.0</v>
      </c>
      <c r="F7671" s="3" t="s">
        <v>21987</v>
      </c>
      <c r="G7671" s="3">
        <v>0.0</v>
      </c>
      <c r="H7671" s="3">
        <v>0.0</v>
      </c>
      <c r="I7671" s="3" t="s">
        <v>13</v>
      </c>
      <c r="J7671" s="3" t="s">
        <v>21988</v>
      </c>
      <c r="K7671" s="3" t="s">
        <v>1097</v>
      </c>
      <c r="L7671" s="3" t="str">
        <f>IFERROR(__xludf.DUMMYFUNCTION("GOOGLETRANSLATE(F7671,""id"",""en"")"),"If Argentina wins all Argentine people have the right to believe")</f>
        <v>If Argentina wins all Argentine people have the right to believe</v>
      </c>
    </row>
    <row r="7672" ht="15.75" customHeight="1">
      <c r="A7672" s="1">
        <v>8891.0</v>
      </c>
      <c r="B7672" s="3" t="s">
        <v>21989</v>
      </c>
      <c r="C7672" s="3">
        <v>0.0</v>
      </c>
      <c r="D7672" s="3">
        <v>0.0</v>
      </c>
      <c r="E7672" s="3">
        <v>0.0</v>
      </c>
      <c r="F7672" s="3" t="s">
        <v>21990</v>
      </c>
      <c r="G7672" s="3">
        <v>0.0</v>
      </c>
      <c r="H7672" s="3">
        <v>0.0</v>
      </c>
      <c r="I7672" s="3" t="s">
        <v>13</v>
      </c>
      <c r="J7672" s="3" t="s">
        <v>21991</v>
      </c>
      <c r="K7672" s="3" t="s">
        <v>54</v>
      </c>
      <c r="L7672" s="3" t="str">
        <f>IFERROR(__xludf.DUMMYFUNCTION("GOOGLETRANSLATE(F7672,""id"",""en"")"),"Molina Argentina defender Dri Spurs Champion")</f>
        <v>Molina Argentina defender Dri Spurs Champion</v>
      </c>
    </row>
    <row r="7673" ht="15.75" customHeight="1">
      <c r="A7673" s="1">
        <v>8892.0</v>
      </c>
      <c r="B7673" s="3" t="s">
        <v>21992</v>
      </c>
      <c r="C7673" s="3">
        <v>0.0</v>
      </c>
      <c r="D7673" s="3">
        <v>0.0</v>
      </c>
      <c r="E7673" s="3">
        <v>4.0</v>
      </c>
      <c r="F7673" s="3" t="s">
        <v>21993</v>
      </c>
      <c r="G7673" s="3">
        <v>0.0</v>
      </c>
      <c r="H7673" s="3">
        <v>0.0</v>
      </c>
      <c r="I7673" s="3" t="s">
        <v>13</v>
      </c>
      <c r="J7673" s="3" t="s">
        <v>21994</v>
      </c>
      <c r="K7673" s="3" t="s">
        <v>184</v>
      </c>
      <c r="L7673" s="3" t="str">
        <f>IFERROR(__xludf.DUMMYFUNCTION("GOOGLETRANSLATE(F7673,""id"",""en"")"),"Argentina Champion Setting the proof of Mbappe only scored even though he could be even more if he agreed with this theory Fix Mbappe far over Ronaldo")</f>
        <v>Argentina Champion Setting the proof of Mbappe only scored even though he could be even more if he agreed with this theory Fix Mbappe far over Ronaldo</v>
      </c>
    </row>
    <row r="7674" ht="15.75" customHeight="1">
      <c r="A7674" s="1">
        <v>8893.0</v>
      </c>
      <c r="B7674" s="3" t="s">
        <v>21995</v>
      </c>
      <c r="C7674" s="3">
        <v>0.0</v>
      </c>
      <c r="D7674" s="3">
        <v>4.0</v>
      </c>
      <c r="E7674" s="3">
        <v>7.0</v>
      </c>
      <c r="F7674" s="3" t="s">
        <v>21996</v>
      </c>
      <c r="G7674" s="3">
        <v>0.0</v>
      </c>
      <c r="H7674" s="3">
        <v>0.0</v>
      </c>
      <c r="I7674" s="3" t="s">
        <v>13</v>
      </c>
      <c r="J7674" s="3" t="s">
        <v>21997</v>
      </c>
      <c r="K7674" s="3" t="s">
        <v>3401</v>
      </c>
      <c r="L7674" s="3" t="str">
        <f>IFERROR(__xludf.DUMMYFUNCTION("GOOGLETRANSLATE(F7674,""id"",""en"")"),"Yeayyy Argentina won the Qatar World Cup prediction and hero, Mr. Erick Thohir claimed to be inspired by Qatar to be the host and would also be applied later when Indonesia became the host of the World Cup next year")</f>
        <v>Yeayyy Argentina won the Qatar World Cup prediction and hero, Mr. Erick Thohir claimed to be inspired by Qatar to be the host and would also be applied later when Indonesia became the host of the World Cup next year</v>
      </c>
    </row>
    <row r="7675" ht="15.75" customHeight="1">
      <c r="A7675" s="1">
        <v>8894.0</v>
      </c>
      <c r="B7675" s="3" t="s">
        <v>21998</v>
      </c>
      <c r="C7675" s="3">
        <v>0.0</v>
      </c>
      <c r="D7675" s="3">
        <v>0.0</v>
      </c>
      <c r="E7675" s="3">
        <v>0.0</v>
      </c>
      <c r="F7675" s="3" t="s">
        <v>21999</v>
      </c>
      <c r="G7675" s="3">
        <v>0.0</v>
      </c>
      <c r="H7675" s="3">
        <v>0.0</v>
      </c>
      <c r="I7675" s="3" t="s">
        <v>13</v>
      </c>
      <c r="J7675" s="3" t="s">
        <v>22000</v>
      </c>
      <c r="K7675" s="3" t="s">
        <v>16671</v>
      </c>
      <c r="L7675" s="3" t="str">
        <f>IFERROR(__xludf.DUMMYFUNCTION("GOOGLETRANSLATE(F7675,""id"",""en"")"),"Time who hosts the Qatar Qatar World Cup has a PSG PSG club there is Messi Mbappe ever champions with France while Messi has not yet Messi with the Argentine national team champion World Cup Qatar")</f>
        <v>Time who hosts the Qatar Qatar World Cup has a PSG PSG club there is Messi Mbappe ever champions with France while Messi has not yet Messi with the Argentine national team champion World Cup Qatar</v>
      </c>
    </row>
    <row r="7676" ht="15.75" customHeight="1">
      <c r="A7676" s="1">
        <v>8895.0</v>
      </c>
      <c r="B7676" s="3" t="s">
        <v>22001</v>
      </c>
      <c r="C7676" s="3">
        <v>2.0</v>
      </c>
      <c r="D7676" s="3">
        <v>0.0</v>
      </c>
      <c r="E7676" s="3">
        <v>9.0</v>
      </c>
      <c r="F7676" s="3" t="s">
        <v>21935</v>
      </c>
      <c r="G7676" s="3">
        <v>0.0</v>
      </c>
      <c r="H7676" s="3">
        <v>0.0</v>
      </c>
      <c r="I7676" s="3" t="s">
        <v>13</v>
      </c>
      <c r="J7676" s="3" t="s">
        <v>21936</v>
      </c>
      <c r="K7676" s="3" t="s">
        <v>240</v>
      </c>
      <c r="L7676" s="3" t="str">
        <f>IFERROR(__xludf.DUMMYFUNCTION("GOOGLETRANSLATE(F7676,""id"",""en"")"),"Gempita Argentina's victory won the World Cup made millions of residents gather buenos Aires like this appearance from the air")</f>
        <v>Gempita Argentina's victory won the World Cup made millions of residents gather buenos Aires like this appearance from the air</v>
      </c>
    </row>
    <row r="7677" ht="15.75" customHeight="1">
      <c r="A7677" s="1">
        <v>8896.0</v>
      </c>
      <c r="B7677" s="3" t="s">
        <v>22002</v>
      </c>
      <c r="C7677" s="3">
        <v>9.0</v>
      </c>
      <c r="D7677" s="3">
        <v>9.0</v>
      </c>
      <c r="E7677" s="3">
        <v>58.0</v>
      </c>
      <c r="F7677" s="3" t="s">
        <v>22003</v>
      </c>
      <c r="G7677" s="3">
        <v>0.0</v>
      </c>
      <c r="H7677" s="3">
        <v>0.0</v>
      </c>
      <c r="I7677" s="3" t="s">
        <v>13</v>
      </c>
      <c r="J7677" s="3" t="s">
        <v>22004</v>
      </c>
      <c r="K7677" s="3" t="s">
        <v>1628</v>
      </c>
      <c r="L7677" s="3" t="str">
        <f>IFERROR(__xludf.DUMMYFUNCTION("GOOGLETRANSLATE(F7677,""id"",""en"")"),"The World Cup has finished the Argentine national team won after defeating the French national team through the penalties you know there is a fact that happened in the World Cup and the information")</f>
        <v>The World Cup has finished the Argentine national team won after defeating the French national team through the penalties you know there is a fact that happened in the World Cup and the information</v>
      </c>
    </row>
    <row r="7678" ht="15.75" customHeight="1">
      <c r="A7678" s="1">
        <v>8897.0</v>
      </c>
      <c r="B7678" s="3" t="s">
        <v>22005</v>
      </c>
      <c r="C7678" s="3">
        <v>1.0</v>
      </c>
      <c r="D7678" s="3">
        <v>0.0</v>
      </c>
      <c r="E7678" s="3">
        <v>0.0</v>
      </c>
      <c r="F7678" s="3" t="s">
        <v>22006</v>
      </c>
      <c r="G7678" s="3">
        <v>0.0</v>
      </c>
      <c r="H7678" s="3">
        <v>0.0</v>
      </c>
      <c r="I7678" s="3" t="s">
        <v>13</v>
      </c>
      <c r="J7678" s="3" t="s">
        <v>22007</v>
      </c>
      <c r="K7678" s="3" t="s">
        <v>2117</v>
      </c>
      <c r="L7678" s="3" t="str">
        <f>IFERROR(__xludf.DUMMYFUNCTION("GOOGLETRANSLATE(F7678,""id"",""en"")"),"Still sincere Argentina Champion")</f>
        <v>Still sincere Argentina Champion</v>
      </c>
    </row>
    <row r="7679" ht="15.75" customHeight="1">
      <c r="A7679" s="1">
        <v>8898.0</v>
      </c>
      <c r="B7679" s="3" t="s">
        <v>22008</v>
      </c>
      <c r="C7679" s="3">
        <v>0.0</v>
      </c>
      <c r="D7679" s="3">
        <v>0.0</v>
      </c>
      <c r="E7679" s="3">
        <v>0.0</v>
      </c>
      <c r="F7679" s="3" t="s">
        <v>22009</v>
      </c>
      <c r="G7679" s="3">
        <v>0.0</v>
      </c>
      <c r="H7679" s="3">
        <v>0.0</v>
      </c>
      <c r="I7679" s="3" t="s">
        <v>13</v>
      </c>
      <c r="J7679" s="3" t="s">
        <v>22010</v>
      </c>
      <c r="K7679" s="3" t="s">
        <v>240</v>
      </c>
      <c r="L7679" s="3" t="str">
        <f>IFERROR(__xludf.DUMMYFUNCTION("GOOGLETRANSLATE(F7679,""id"",""en"")"),"how come the number is the jumawa, the Argentine national team is the champion who can lift the trophy that is golin is really strange")</f>
        <v>how come the number is the jumawa, the Argentine national team is the champion who can lift the trophy that is golin is really strange</v>
      </c>
    </row>
    <row r="7680" ht="15.75" customHeight="1">
      <c r="A7680" s="1">
        <v>8899.0</v>
      </c>
      <c r="B7680" s="3" t="s">
        <v>22011</v>
      </c>
      <c r="C7680" s="3">
        <v>0.0</v>
      </c>
      <c r="D7680" s="3">
        <v>0.0</v>
      </c>
      <c r="E7680" s="3">
        <v>0.0</v>
      </c>
      <c r="F7680" s="3" t="s">
        <v>22012</v>
      </c>
      <c r="G7680" s="3">
        <v>0.0</v>
      </c>
      <c r="H7680" s="3">
        <v>0.0</v>
      </c>
      <c r="I7680" s="3" t="s">
        <v>13</v>
      </c>
      <c r="J7680" s="3" t="s">
        <v>22013</v>
      </c>
      <c r="K7680" s="3" t="s">
        <v>19</v>
      </c>
      <c r="L7680" s="3" t="str">
        <f>IFERROR(__xludf.DUMMYFUNCTION("GOOGLETRANSLATE(F7680,""id"",""en"")"),"After Lionel Messi managed to bring Argentina World Cup Champion Cristiano Ronaldo got ridicule from netizens")</f>
        <v>After Lionel Messi managed to bring Argentina World Cup Champion Cristiano Ronaldo got ridicule from netizens</v>
      </c>
    </row>
    <row r="7681" ht="15.75" customHeight="1">
      <c r="A7681" s="1">
        <v>8900.0</v>
      </c>
      <c r="B7681" s="3" t="s">
        <v>22014</v>
      </c>
      <c r="C7681" s="3">
        <v>2.0</v>
      </c>
      <c r="D7681" s="3">
        <v>0.0</v>
      </c>
      <c r="E7681" s="3">
        <v>0.0</v>
      </c>
      <c r="F7681" s="3" t="s">
        <v>22015</v>
      </c>
      <c r="G7681" s="3">
        <v>0.0</v>
      </c>
      <c r="H7681" s="3">
        <v>0.0</v>
      </c>
      <c r="I7681" s="3" t="s">
        <v>13</v>
      </c>
      <c r="J7681" s="3" t="s">
        <v>22016</v>
      </c>
      <c r="K7681" s="3" t="s">
        <v>358</v>
      </c>
      <c r="L7681" s="3" t="str">
        <f>IFERROR(__xludf.DUMMYFUNCTION("GOOGLETRANSLATE(F7681,""id"",""en"")"),"That's the squad champion on the luxury elite all the time of Argentina Bkin was surprised")</f>
        <v>That's the squad champion on the luxury elite all the time of Argentina Bkin was surprised</v>
      </c>
    </row>
    <row r="7682" ht="15.75" customHeight="1">
      <c r="A7682" s="1">
        <v>8901.0</v>
      </c>
      <c r="B7682" s="3" t="s">
        <v>22017</v>
      </c>
      <c r="C7682" s="3">
        <v>0.0</v>
      </c>
      <c r="D7682" s="3">
        <v>0.0</v>
      </c>
      <c r="E7682" s="3">
        <v>0.0</v>
      </c>
      <c r="F7682" s="3" t="s">
        <v>22018</v>
      </c>
      <c r="G7682" s="3">
        <v>0.0</v>
      </c>
      <c r="H7682" s="3">
        <v>0.0</v>
      </c>
      <c r="I7682" s="3" t="s">
        <v>13</v>
      </c>
      <c r="J7682" s="3" t="s">
        <v>22019</v>
      </c>
      <c r="K7682" s="3" t="s">
        <v>15</v>
      </c>
      <c r="L7682" s="3" t="str">
        <f>IFERROR(__xludf.DUMMYFUNCTION("GOOGLETRANSLATE(F7682,""id"",""en"")"),"Argentine successful key player champion world cup champion")</f>
        <v>Argentine successful key player champion world cup champion</v>
      </c>
    </row>
    <row r="7683" ht="15.75" customHeight="1">
      <c r="A7683" s="1">
        <v>8902.0</v>
      </c>
      <c r="B7683" s="3" t="s">
        <v>22020</v>
      </c>
      <c r="C7683" s="3">
        <v>0.0</v>
      </c>
      <c r="D7683" s="3">
        <v>0.0</v>
      </c>
      <c r="E7683" s="3">
        <v>0.0</v>
      </c>
      <c r="F7683" s="3" t="s">
        <v>22021</v>
      </c>
      <c r="G7683" s="3">
        <v>0.0</v>
      </c>
      <c r="H7683" s="3">
        <v>0.0</v>
      </c>
      <c r="I7683" s="3" t="s">
        <v>13</v>
      </c>
      <c r="J7683" s="3" t="s">
        <v>22022</v>
      </c>
      <c r="K7683" s="3" t="s">
        <v>75</v>
      </c>
      <c r="L7683" s="3" t="str">
        <f>IFERROR(__xludf.DUMMYFUNCTION("GOOGLETRANSLATE(F7683,""id"",""en"")"),"Ronaldo Sangeng Lionel Messi After Bringing Argentina World Cup Champion")</f>
        <v>Ronaldo Sangeng Lionel Messi After Bringing Argentina World Cup Champion</v>
      </c>
    </row>
    <row r="7684" ht="15.75" customHeight="1">
      <c r="A7684" s="1">
        <v>8903.0</v>
      </c>
      <c r="B7684" s="3" t="s">
        <v>22023</v>
      </c>
      <c r="C7684" s="3">
        <v>0.0</v>
      </c>
      <c r="D7684" s="3">
        <v>0.0</v>
      </c>
      <c r="E7684" s="3">
        <v>0.0</v>
      </c>
      <c r="F7684" s="3" t="s">
        <v>22024</v>
      </c>
      <c r="G7684" s="3">
        <v>0.0</v>
      </c>
      <c r="H7684" s="3">
        <v>0.0</v>
      </c>
      <c r="I7684" s="3" t="s">
        <v>13</v>
      </c>
      <c r="J7684" s="3" t="s">
        <v>22025</v>
      </c>
      <c r="K7684" s="3" t="s">
        <v>1974</v>
      </c>
      <c r="L7684" s="3" t="str">
        <f>IFERROR(__xludf.DUMMYFUNCTION("GOOGLETRANSLATE(F7684,""id"",""en"")"),"Germany World Cup Champion Reus entered the squad because the French injury champion Benzema World Cup entered the KEK squad of Argentina's internal problems Celso injured so it did not enter the squad to pity the fate of Reus Benzema and Celso")</f>
        <v>Germany World Cup Champion Reus entered the squad because the French injury champion Benzema World Cup entered the KEK squad of Argentina's internal problems Celso injured so it did not enter the squad to pity the fate of Reus Benzema and Celso</v>
      </c>
    </row>
    <row r="7685" ht="15.75" customHeight="1">
      <c r="A7685" s="1">
        <v>8904.0</v>
      </c>
      <c r="B7685" s="3" t="s">
        <v>22026</v>
      </c>
      <c r="C7685" s="3">
        <v>0.0</v>
      </c>
      <c r="D7685" s="3">
        <v>0.0</v>
      </c>
      <c r="E7685" s="3">
        <v>0.0</v>
      </c>
      <c r="F7685" s="3" t="s">
        <v>22027</v>
      </c>
      <c r="G7685" s="3">
        <v>0.0</v>
      </c>
      <c r="H7685" s="3">
        <v>0.0</v>
      </c>
      <c r="I7685" s="3" t="s">
        <v>13</v>
      </c>
      <c r="J7685" s="3" t="s">
        <v>22028</v>
      </c>
      <c r="K7685" s="3" t="s">
        <v>54</v>
      </c>
      <c r="L7685" s="3" t="str">
        <f>IFERROR(__xludf.DUMMYFUNCTION("GOOGLETRANSLATE(F7685,""id"",""en"")"),"Argentina The World Cup Champion is also okay")</f>
        <v>Argentina The World Cup Champion is also okay</v>
      </c>
    </row>
    <row r="7686" ht="15.75" customHeight="1">
      <c r="A7686" s="1">
        <v>8905.0</v>
      </c>
      <c r="B7686" s="3" t="s">
        <v>22029</v>
      </c>
      <c r="C7686" s="3">
        <v>17.0</v>
      </c>
      <c r="D7686" s="3">
        <v>102.0</v>
      </c>
      <c r="E7686" s="3">
        <v>714.0</v>
      </c>
      <c r="F7686" s="3" t="s">
        <v>22030</v>
      </c>
      <c r="G7686" s="3">
        <v>0.0</v>
      </c>
      <c r="H7686" s="3">
        <v>0.0</v>
      </c>
      <c r="I7686" s="3" t="s">
        <v>13</v>
      </c>
      <c r="J7686" s="3" t="s">
        <v>22031</v>
      </c>
      <c r="K7686" s="3" t="s">
        <v>510</v>
      </c>
      <c r="L7686" s="3" t="str">
        <f>IFERROR(__xludf.DUMMYFUNCTION("GOOGLETRANSLATE(F7686,""id"",""en"")"),"Buenos Aires The government officially dismissed all Argentine activities to celebrate the Tango Team title")</f>
        <v>Buenos Aires The government officially dismissed all Argentine activities to celebrate the Tango Team title</v>
      </c>
    </row>
    <row r="7687" ht="15.75" customHeight="1">
      <c r="A7687" s="1">
        <v>8906.0</v>
      </c>
      <c r="B7687" s="3" t="s">
        <v>22032</v>
      </c>
      <c r="C7687" s="3">
        <v>0.0</v>
      </c>
      <c r="D7687" s="3">
        <v>0.0</v>
      </c>
      <c r="E7687" s="3">
        <v>0.0</v>
      </c>
      <c r="F7687" s="3" t="s">
        <v>22033</v>
      </c>
      <c r="G7687" s="3">
        <v>0.0</v>
      </c>
      <c r="H7687" s="3">
        <v>0.0</v>
      </c>
      <c r="I7687" s="3" t="s">
        <v>13</v>
      </c>
      <c r="J7687" s="3" t="s">
        <v>22034</v>
      </c>
      <c r="K7687" s="3" t="s">
        <v>19</v>
      </c>
      <c r="L7687" s="3" t="str">
        <f>IFERROR(__xludf.DUMMYFUNCTION("GOOGLETRANSLATE(F7687,""id"",""en"")"),"Write the message of Lionel Messi Rodrigo Paul's room has started Argentina World Cup champions")</f>
        <v>Write the message of Lionel Messi Rodrigo Paul's room has started Argentina World Cup champions</v>
      </c>
    </row>
    <row r="7688" ht="15.75" customHeight="1">
      <c r="A7688" s="1">
        <v>8907.0</v>
      </c>
      <c r="B7688" s="3" t="s">
        <v>22035</v>
      </c>
      <c r="C7688" s="3">
        <v>0.0</v>
      </c>
      <c r="D7688" s="3">
        <v>0.0</v>
      </c>
      <c r="E7688" s="3">
        <v>0.0</v>
      </c>
      <c r="F7688" s="3" t="s">
        <v>22036</v>
      </c>
      <c r="G7688" s="3">
        <v>0.0</v>
      </c>
      <c r="H7688" s="3">
        <v>0.0</v>
      </c>
      <c r="I7688" s="3" t="s">
        <v>13</v>
      </c>
      <c r="J7688" s="3" t="s">
        <v>22037</v>
      </c>
      <c r="K7688" s="3" t="s">
        <v>903</v>
      </c>
      <c r="L7688" s="3" t="str">
        <f>IFERROR(__xludf.DUMMYFUNCTION("GOOGLETRANSLATE(F7688,""id"",""en"")"),"The World Cup held three countries of the Qatar World Cup has ended with Argentina to win the title after bending France through the penalty of the Lusail Stadium Sunday")</f>
        <v>The World Cup held three countries of the Qatar World Cup has ended with Argentina to win the title after bending France through the penalty of the Lusail Stadium Sunday</v>
      </c>
    </row>
    <row r="7689" ht="15.75" customHeight="1">
      <c r="A7689" s="1">
        <v>8908.0</v>
      </c>
      <c r="B7689" s="3" t="s">
        <v>22038</v>
      </c>
      <c r="C7689" s="3">
        <v>0.0</v>
      </c>
      <c r="D7689" s="3">
        <v>0.0</v>
      </c>
      <c r="E7689" s="3">
        <v>1.0</v>
      </c>
      <c r="F7689" s="3" t="s">
        <v>22039</v>
      </c>
      <c r="G7689" s="3">
        <v>0.0</v>
      </c>
      <c r="H7689" s="3">
        <v>0.0</v>
      </c>
      <c r="I7689" s="3" t="s">
        <v>13</v>
      </c>
      <c r="J7689" s="3" t="s">
        <v>22040</v>
      </c>
      <c r="K7689" s="3" t="s">
        <v>184</v>
      </c>
      <c r="L7689" s="3" t="str">
        <f>IFERROR(__xludf.DUMMYFUNCTION("GOOGLETRANSLATE(F7689,""id"",""en"")"),"Molina yesterday DIFinal Mbappe is really a French carrying difference with Argentina Pemaen Argentina is dead for Messi to become a world champion")</f>
        <v>Molina yesterday DIFinal Mbappe is really a French carrying difference with Argentina Pemaen Argentina is dead for Messi to become a world champion</v>
      </c>
    </row>
    <row r="7690" ht="15.75" customHeight="1">
      <c r="A7690" s="1">
        <v>8909.0</v>
      </c>
      <c r="B7690" s="3" t="s">
        <v>22041</v>
      </c>
      <c r="C7690" s="3">
        <v>0.0</v>
      </c>
      <c r="D7690" s="3">
        <v>0.0</v>
      </c>
      <c r="E7690" s="3">
        <v>0.0</v>
      </c>
      <c r="F7690" s="3" t="s">
        <v>22042</v>
      </c>
      <c r="G7690" s="3">
        <v>0.0</v>
      </c>
      <c r="H7690" s="3">
        <v>0.0</v>
      </c>
      <c r="I7690" s="3" t="s">
        <v>13</v>
      </c>
      <c r="J7690" s="3" t="s">
        <v>22043</v>
      </c>
      <c r="K7690" s="3" t="s">
        <v>41</v>
      </c>
      <c r="L7690" s="3" t="str">
        <f>IFERROR(__xludf.DUMMYFUNCTION("GOOGLETRANSLATE(F7690,""id"",""en"")"),"Argentina Brazilian World Cup Champion is still number one ranking FIFA")</f>
        <v>Argentina Brazilian World Cup Champion is still number one ranking FIFA</v>
      </c>
    </row>
    <row r="7691" ht="15.75" customHeight="1">
      <c r="A7691" s="1">
        <v>8910.0</v>
      </c>
      <c r="B7691" s="3" t="s">
        <v>22044</v>
      </c>
      <c r="C7691" s="3">
        <v>0.0</v>
      </c>
      <c r="D7691" s="3">
        <v>0.0</v>
      </c>
      <c r="E7691" s="3">
        <v>0.0</v>
      </c>
      <c r="F7691" s="3" t="s">
        <v>22045</v>
      </c>
      <c r="G7691" s="3">
        <v>0.0</v>
      </c>
      <c r="H7691" s="3">
        <v>0.0</v>
      </c>
      <c r="I7691" s="3" t="s">
        <v>13</v>
      </c>
      <c r="J7691" s="3" t="s">
        <v>22046</v>
      </c>
      <c r="K7691" s="3" t="s">
        <v>15</v>
      </c>
      <c r="L7691" s="3" t="str">
        <f>IFERROR(__xludf.DUMMYFUNCTION("GOOGLETRANSLATE(F7691,""id"",""en"")"),"Argentina Gabakal Champion If Neal Maupay Makes Injury to Bernd Leno")</f>
        <v>Argentina Gabakal Champion If Neal Maupay Makes Injury to Bernd Leno</v>
      </c>
    </row>
    <row r="7692" ht="15.75" customHeight="1">
      <c r="A7692" s="1">
        <v>8911.0</v>
      </c>
      <c r="B7692" s="3" t="s">
        <v>22047</v>
      </c>
      <c r="C7692" s="3">
        <v>0.0</v>
      </c>
      <c r="D7692" s="3">
        <v>0.0</v>
      </c>
      <c r="E7692" s="3">
        <v>4.0</v>
      </c>
      <c r="F7692" s="3" t="s">
        <v>22048</v>
      </c>
      <c r="G7692" s="3">
        <v>0.0</v>
      </c>
      <c r="H7692" s="3">
        <v>0.0</v>
      </c>
      <c r="I7692" s="3" t="s">
        <v>13</v>
      </c>
      <c r="J7692" s="3" t="s">
        <v>22049</v>
      </c>
      <c r="K7692" s="3" t="s">
        <v>228</v>
      </c>
      <c r="L7692" s="3" t="str">
        <f>IFERROR(__xludf.DUMMYFUNCTION("GOOGLETRANSLATE(F7692,""id"",""en"")"),"Messi lost to make a lot of Argentina players' hard efforts to prove that the young players are young, what are the people of Portugal, what are the efforts to be athletes to help with the champions, what do you really")</f>
        <v>Messi lost to make a lot of Argentina players' hard efforts to prove that the young players are young, what are the people of Portugal, what are the efforts to be athletes to help with the champions, what do you really</v>
      </c>
    </row>
    <row r="7693" ht="15.75" customHeight="1">
      <c r="A7693" s="1">
        <v>8912.0</v>
      </c>
      <c r="B7693" s="3" t="s">
        <v>22050</v>
      </c>
      <c r="C7693" s="3">
        <v>0.0</v>
      </c>
      <c r="D7693" s="3">
        <v>1.0</v>
      </c>
      <c r="E7693" s="3">
        <v>1.0</v>
      </c>
      <c r="F7693" s="3" t="s">
        <v>22051</v>
      </c>
      <c r="G7693" s="3">
        <v>0.0</v>
      </c>
      <c r="H7693" s="3">
        <v>0.0</v>
      </c>
      <c r="I7693" s="3" t="s">
        <v>13</v>
      </c>
      <c r="J7693" s="3" t="s">
        <v>22052</v>
      </c>
      <c r="K7693" s="3" t="s">
        <v>127</v>
      </c>
      <c r="L7693" s="3" t="str">
        <f>IFERROR(__xludf.DUMMYFUNCTION("GOOGLETRANSLATE(F7693,""id"",""en"")"),"Argentine President Only Selfie Future Not Following Appears Podium Champion like the Chairperson of the PSSW of the All Football Association of Wakanda Katroook")</f>
        <v>Argentine President Only Selfie Future Not Following Appears Podium Champion like the Chairperson of the PSSW of the All Football Association of Wakanda Katroook</v>
      </c>
    </row>
    <row r="7694" ht="15.75" customHeight="1">
      <c r="A7694" s="1">
        <v>8913.0</v>
      </c>
      <c r="B7694" s="3" t="s">
        <v>22053</v>
      </c>
      <c r="C7694" s="3">
        <v>1.0</v>
      </c>
      <c r="D7694" s="3">
        <v>0.0</v>
      </c>
      <c r="E7694" s="3">
        <v>0.0</v>
      </c>
      <c r="F7694" s="3" t="s">
        <v>22054</v>
      </c>
      <c r="G7694" s="3">
        <v>0.0</v>
      </c>
      <c r="H7694" s="3">
        <v>0.0</v>
      </c>
      <c r="I7694" s="3" t="s">
        <v>13</v>
      </c>
      <c r="J7694" s="3" t="s">
        <v>22055</v>
      </c>
      <c r="K7694" s="3" t="s">
        <v>1428</v>
      </c>
      <c r="L7694" s="3" t="str">
        <f>IFERROR(__xludf.DUMMYFUNCTION("GOOGLETRANSLATE(F7694,""id"",""en"")"),"Yen Lautaro Raono, Argentina, the Champion Shelf of the Messi Goal, Seko Shoot Lautaro Lautaro, the Elek Joss Movement Finishing.")</f>
        <v>Yen Lautaro Raono, Argentina, the Champion Shelf of the Messi Goal, Seko Shoot Lautaro Lautaro, the Elek Joss Movement Finishing.</v>
      </c>
    </row>
    <row r="7695" ht="15.75" customHeight="1">
      <c r="A7695" s="1">
        <v>8914.0</v>
      </c>
      <c r="B7695" s="3" t="s">
        <v>22056</v>
      </c>
      <c r="C7695" s="3">
        <v>2.0</v>
      </c>
      <c r="D7695" s="3">
        <v>5.0</v>
      </c>
      <c r="E7695" s="3">
        <v>26.0</v>
      </c>
      <c r="F7695" s="3" t="s">
        <v>22057</v>
      </c>
      <c r="G7695" s="3">
        <v>0.0</v>
      </c>
      <c r="H7695" s="3">
        <v>0.0</v>
      </c>
      <c r="I7695" s="3" t="s">
        <v>13</v>
      </c>
      <c r="J7695" s="3" t="s">
        <v>22058</v>
      </c>
      <c r="K7695" s="3" t="s">
        <v>75</v>
      </c>
      <c r="L7695" s="3" t="str">
        <f>IFERROR(__xludf.DUMMYFUNCTION("GOOGLETRANSLATE(F7695,""id"",""en"")"),"Gift Money Champion World Cup obtained by Argentina see the full infographic")</f>
        <v>Gift Money Champion World Cup obtained by Argentina see the full infographic</v>
      </c>
    </row>
    <row r="7696" ht="15.75" customHeight="1">
      <c r="A7696" s="1">
        <v>8915.0</v>
      </c>
      <c r="B7696" s="3" t="s">
        <v>22059</v>
      </c>
      <c r="C7696" s="3">
        <v>6.0</v>
      </c>
      <c r="D7696" s="3">
        <v>0.0</v>
      </c>
      <c r="E7696" s="3">
        <v>0.0</v>
      </c>
      <c r="F7696" s="3" t="s">
        <v>22060</v>
      </c>
      <c r="G7696" s="3">
        <v>0.0</v>
      </c>
      <c r="H7696" s="3">
        <v>0.0</v>
      </c>
      <c r="I7696" s="3" t="s">
        <v>13</v>
      </c>
      <c r="J7696" s="3" t="s">
        <v>22061</v>
      </c>
      <c r="K7696" s="3" t="s">
        <v>823</v>
      </c>
      <c r="L7696" s="3" t="str">
        <f>IFERROR(__xludf.DUMMYFUNCTION("GOOGLETRANSLATE(F7696,""id"",""en"")"),"Redsindo, you know, he has a contribution to Tri before the Pilduun of Messi's room himself when he lost to Saudi Arabia, then he came")</f>
        <v>Redsindo, you know, he has a contribution to Tri before the Pilduun of Messi's room himself when he lost to Saudi Arabia, then he came</v>
      </c>
    </row>
    <row r="7697" ht="15.75" customHeight="1">
      <c r="A7697" s="1">
        <v>8916.0</v>
      </c>
      <c r="B7697" s="3" t="s">
        <v>22062</v>
      </c>
      <c r="C7697" s="3">
        <v>0.0</v>
      </c>
      <c r="D7697" s="3">
        <v>0.0</v>
      </c>
      <c r="E7697" s="3">
        <v>0.0</v>
      </c>
      <c r="F7697" s="3" t="s">
        <v>22063</v>
      </c>
      <c r="G7697" s="3">
        <v>0.0</v>
      </c>
      <c r="H7697" s="3">
        <v>0.0</v>
      </c>
      <c r="I7697" s="3" t="s">
        <v>13</v>
      </c>
      <c r="J7697" s="3" t="s">
        <v>22064</v>
      </c>
      <c r="K7697" s="3" t="s">
        <v>236</v>
      </c>
      <c r="L7697" s="3" t="str">
        <f>IFERROR(__xludf.DUMMYFUNCTION("GOOGLETRANSLATE(F7697,""id"",""en"")"),"It's clear that Argentina is still a stupid championship")</f>
        <v>It's clear that Argentina is still a stupid championship</v>
      </c>
    </row>
    <row r="7698" ht="15.75" customHeight="1">
      <c r="A7698" s="1">
        <v>8917.0</v>
      </c>
      <c r="B7698" s="3" t="s">
        <v>22065</v>
      </c>
      <c r="C7698" s="3">
        <v>0.0</v>
      </c>
      <c r="D7698" s="3">
        <v>0.0</v>
      </c>
      <c r="E7698" s="3">
        <v>0.0</v>
      </c>
      <c r="F7698" s="3" t="s">
        <v>22066</v>
      </c>
      <c r="G7698" s="3">
        <v>0.0</v>
      </c>
      <c r="H7698" s="3">
        <v>0.0</v>
      </c>
      <c r="I7698" s="3" t="s">
        <v>13</v>
      </c>
      <c r="J7698" s="3" t="s">
        <v>22067</v>
      </c>
      <c r="K7698" s="3" t="s">
        <v>54</v>
      </c>
      <c r="L7698" s="3" t="str">
        <f>IFERROR(__xludf.DUMMYFUNCTION("GOOGLETRANSLATE(F7698,""id"",""en"")"),"Cipung greetings at that time chose Argentina to come out as champions")</f>
        <v>Cipung greetings at that time chose Argentina to come out as champions</v>
      </c>
    </row>
    <row r="7699" ht="15.75" customHeight="1">
      <c r="A7699" s="1">
        <v>8918.0</v>
      </c>
      <c r="B7699" s="3" t="s">
        <v>22068</v>
      </c>
      <c r="C7699" s="3">
        <v>0.0</v>
      </c>
      <c r="D7699" s="3">
        <v>0.0</v>
      </c>
      <c r="E7699" s="3">
        <v>0.0</v>
      </c>
      <c r="F7699" s="3" t="s">
        <v>22069</v>
      </c>
      <c r="G7699" s="3">
        <v>0.0</v>
      </c>
      <c r="H7699" s="3">
        <v>0.0</v>
      </c>
      <c r="I7699" s="3" t="s">
        <v>13</v>
      </c>
      <c r="J7699" s="3" t="s">
        <v>22070</v>
      </c>
      <c r="K7699" s="3" t="s">
        <v>31</v>
      </c>
      <c r="L7699" s="3" t="str">
        <f>IFERROR(__xludf.DUMMYFUNCTION("GOOGLETRANSLATE(F7699,""id"",""en"")"),"A piece of variable makes Argentina Champion")</f>
        <v>A piece of variable makes Argentina Champion</v>
      </c>
    </row>
    <row r="7700" ht="15.75" customHeight="1">
      <c r="A7700" s="1">
        <v>8919.0</v>
      </c>
      <c r="B7700" s="3" t="s">
        <v>22071</v>
      </c>
      <c r="C7700" s="3">
        <v>0.0</v>
      </c>
      <c r="D7700" s="3">
        <v>0.0</v>
      </c>
      <c r="E7700" s="3">
        <v>0.0</v>
      </c>
      <c r="F7700" s="3" t="s">
        <v>22072</v>
      </c>
      <c r="G7700" s="3">
        <v>0.0</v>
      </c>
      <c r="H7700" s="3">
        <v>0.0</v>
      </c>
      <c r="I7700" s="3" t="s">
        <v>13</v>
      </c>
      <c r="J7700" s="3" t="s">
        <v>22073</v>
      </c>
      <c r="K7700" s="3" t="s">
        <v>510</v>
      </c>
      <c r="L7700" s="3" t="str">
        <f>IFERROR(__xludf.DUMMYFUNCTION("GOOGLETRANSLATE(F7700,""id"",""en"")"),"Bring Argentina World Cup Champion Messi Approaching Ballon CNN Indonesia Google Sports News")</f>
        <v>Bring Argentina World Cup Champion Messi Approaching Ballon CNN Indonesia Google Sports News</v>
      </c>
    </row>
    <row r="7701" ht="15.75" customHeight="1">
      <c r="A7701" s="1">
        <v>8920.0</v>
      </c>
      <c r="B7701" s="3" t="s">
        <v>22074</v>
      </c>
      <c r="C7701" s="3">
        <v>0.0</v>
      </c>
      <c r="D7701" s="3">
        <v>0.0</v>
      </c>
      <c r="E7701" s="3">
        <v>0.0</v>
      </c>
      <c r="F7701" s="3" t="s">
        <v>22075</v>
      </c>
      <c r="G7701" s="3">
        <v>0.0</v>
      </c>
      <c r="H7701" s="3">
        <v>0.0</v>
      </c>
      <c r="I7701" s="3" t="s">
        <v>13</v>
      </c>
      <c r="J7701" s="3" t="s">
        <v>22076</v>
      </c>
      <c r="K7701" s="3" t="s">
        <v>82</v>
      </c>
      <c r="L7701" s="3" t="str">
        <f>IFERROR(__xludf.DUMMYFUNCTION("GOOGLETRANSLATE(F7701,""id"",""en"")"),"Luck successfully swooped sharply and annulled the champions for Argentina")</f>
        <v>Luck successfully swooped sharply and annulled the champions for Argentina</v>
      </c>
    </row>
    <row r="7702" ht="15.75" customHeight="1">
      <c r="A7702" s="1">
        <v>8921.0</v>
      </c>
      <c r="B7702" s="3" t="s">
        <v>22077</v>
      </c>
      <c r="C7702" s="3">
        <v>0.0</v>
      </c>
      <c r="D7702" s="3">
        <v>0.0</v>
      </c>
      <c r="E7702" s="3">
        <v>0.0</v>
      </c>
      <c r="F7702" s="3" t="s">
        <v>22078</v>
      </c>
      <c r="G7702" s="3">
        <v>0.0</v>
      </c>
      <c r="H7702" s="3">
        <v>0.0</v>
      </c>
      <c r="I7702" s="3" t="s">
        <v>13</v>
      </c>
      <c r="J7702" s="3" t="s">
        <v>22079</v>
      </c>
      <c r="K7702" s="3" t="s">
        <v>19</v>
      </c>
      <c r="L7702" s="3" t="str">
        <f>IFERROR(__xludf.DUMMYFUNCTION("GOOGLETRANSLATE(F7702,""id"",""en"")"),"Again, Buenos Aires Argentina Jablay is not a free hold of the World Cup championship")</f>
        <v>Again, Buenos Aires Argentina Jablay is not a free hold of the World Cup championship</v>
      </c>
    </row>
    <row r="7703" ht="15.75" customHeight="1">
      <c r="A7703" s="1">
        <v>8922.0</v>
      </c>
      <c r="B7703" s="3" t="s">
        <v>22080</v>
      </c>
      <c r="C7703" s="3">
        <v>0.0</v>
      </c>
      <c r="D7703" s="3">
        <v>0.0</v>
      </c>
      <c r="E7703" s="3">
        <v>0.0</v>
      </c>
      <c r="F7703" s="3" t="s">
        <v>22081</v>
      </c>
      <c r="G7703" s="3">
        <v>0.0</v>
      </c>
      <c r="H7703" s="3">
        <v>0.0</v>
      </c>
      <c r="I7703" s="3" t="s">
        <v>13</v>
      </c>
      <c r="J7703" s="3" t="s">
        <v>22082</v>
      </c>
      <c r="K7703" s="3" t="s">
        <v>54</v>
      </c>
      <c r="L7703" s="3" t="str">
        <f>IFERROR(__xludf.DUMMYFUNCTION("GOOGLETRANSLATE(F7703,""id"",""en"")"),"what is their relationship with this Argentina champion Anj")</f>
        <v>what is their relationship with this Argentina champion Anj</v>
      </c>
    </row>
    <row r="7704" ht="15.75" customHeight="1">
      <c r="A7704" s="1">
        <v>8923.0</v>
      </c>
      <c r="B7704" s="3" t="s">
        <v>22083</v>
      </c>
      <c r="C7704" s="3">
        <v>0.0</v>
      </c>
      <c r="D7704" s="3">
        <v>0.0</v>
      </c>
      <c r="E7704" s="3">
        <v>2.0</v>
      </c>
      <c r="F7704" s="3" t="s">
        <v>22084</v>
      </c>
      <c r="G7704" s="3">
        <v>0.0</v>
      </c>
      <c r="H7704" s="3">
        <v>0.0</v>
      </c>
      <c r="I7704" s="3" t="s">
        <v>13</v>
      </c>
      <c r="J7704" s="3" t="s">
        <v>22085</v>
      </c>
      <c r="K7704" s="3" t="s">
        <v>1552</v>
      </c>
      <c r="L7704" s="3" t="str">
        <f>IFERROR(__xludf.DUMMYFUNCTION("GOOGLETRANSLATE(F7704,""id"",""en"")"),"If he entered the Argentina squad, it would be a champion, right?")</f>
        <v>If he entered the Argentina squad, it would be a champion, right?</v>
      </c>
    </row>
    <row r="7705" ht="15.75" customHeight="1">
      <c r="A7705" s="1">
        <v>8924.0</v>
      </c>
      <c r="B7705" s="3" t="s">
        <v>22086</v>
      </c>
      <c r="C7705" s="3">
        <v>0.0</v>
      </c>
      <c r="D7705" s="3">
        <v>0.0</v>
      </c>
      <c r="E7705" s="3">
        <v>0.0</v>
      </c>
      <c r="F7705" s="3" t="s">
        <v>22087</v>
      </c>
      <c r="G7705" s="3">
        <v>0.0</v>
      </c>
      <c r="H7705" s="3">
        <v>0.0</v>
      </c>
      <c r="I7705" s="3" t="s">
        <v>13</v>
      </c>
      <c r="J7705" s="3" t="s">
        <v>22088</v>
      </c>
      <c r="K7705" s="3" t="s">
        <v>495</v>
      </c>
      <c r="L7705" s="3" t="str">
        <f>IFERROR(__xludf.DUMMYFUNCTION("GOOGLETRANSLATE(F7705,""id"",""en"")"),"Argentina successfully won the World Cup championship trophy from outside the supporting field supports various ways to come Qatar to run the ritual")</f>
        <v>Argentina successfully won the World Cup championship trophy from outside the supporting field supports various ways to come Qatar to run the ritual</v>
      </c>
    </row>
    <row r="7706" ht="15.75" customHeight="1">
      <c r="A7706" s="1">
        <v>8925.0</v>
      </c>
      <c r="B7706" s="3" t="s">
        <v>22089</v>
      </c>
      <c r="C7706" s="3">
        <v>0.0</v>
      </c>
      <c r="D7706" s="3">
        <v>6.0</v>
      </c>
      <c r="E7706" s="3">
        <v>13.0</v>
      </c>
      <c r="F7706" s="3" t="s">
        <v>22090</v>
      </c>
      <c r="G7706" s="3">
        <v>0.2333333333333333</v>
      </c>
      <c r="H7706" s="3">
        <v>-0.25</v>
      </c>
      <c r="I7706" s="3" t="s">
        <v>179</v>
      </c>
      <c r="J7706" s="3" t="s">
        <v>22091</v>
      </c>
      <c r="K7706" s="3" t="s">
        <v>50</v>
      </c>
      <c r="L7706" s="3" t="str">
        <f>IFERROR(__xludf.DUMMYFUNCTION("GOOGLETRANSLATE(F7706,""id"",""en"")"),"The Argentine government set a national holiday one day for the World Cup championship parade")</f>
        <v>The Argentine government set a national holiday one day for the World Cup championship parade</v>
      </c>
    </row>
    <row r="7707" ht="15.75" customHeight="1">
      <c r="A7707" s="1">
        <v>8926.0</v>
      </c>
      <c r="B7707" s="3" t="s">
        <v>22092</v>
      </c>
      <c r="C7707" s="3">
        <v>0.0</v>
      </c>
      <c r="D7707" s="3">
        <v>0.0</v>
      </c>
      <c r="E7707" s="3">
        <v>0.0</v>
      </c>
      <c r="F7707" s="3" t="s">
        <v>22093</v>
      </c>
      <c r="G7707" s="3">
        <v>0.0</v>
      </c>
      <c r="H7707" s="3">
        <v>0.0</v>
      </c>
      <c r="I7707" s="3" t="s">
        <v>13</v>
      </c>
      <c r="J7707" s="3" t="s">
        <v>22094</v>
      </c>
      <c r="K7707" s="3" t="s">
        <v>41</v>
      </c>
      <c r="L7707" s="3" t="str">
        <f>IFERROR(__xludf.DUMMYFUNCTION("GOOGLETRANSLATE(F7707,""id"",""en"")"),"When Lautaro Martinez was higher than Messi disturbing the moment of Argentina champions")</f>
        <v>When Lautaro Martinez was higher than Messi disturbing the moment of Argentina champions</v>
      </c>
    </row>
    <row r="7708" ht="15.75" customHeight="1">
      <c r="A7708" s="1">
        <v>8927.0</v>
      </c>
      <c r="B7708" s="3" t="s">
        <v>22095</v>
      </c>
      <c r="C7708" s="3">
        <v>2.0</v>
      </c>
      <c r="D7708" s="3">
        <v>3.0</v>
      </c>
      <c r="E7708" s="3">
        <v>4.0</v>
      </c>
      <c r="F7708" s="3" t="s">
        <v>22096</v>
      </c>
      <c r="G7708" s="3">
        <v>0.0</v>
      </c>
      <c r="H7708" s="3">
        <v>0.0</v>
      </c>
      <c r="I7708" s="3" t="s">
        <v>13</v>
      </c>
      <c r="J7708" s="3" t="s">
        <v>22097</v>
      </c>
      <c r="K7708" s="3" t="s">
        <v>31</v>
      </c>
      <c r="L7708" s="3" t="str">
        <f>IFERROR(__xludf.DUMMYFUNCTION("GOOGLETRANSLATE(F7708,""id"",""en"")"),"Argentine Controversy World Cup Champion")</f>
        <v>Argentine Controversy World Cup Champion</v>
      </c>
    </row>
    <row r="7709" ht="15.75" customHeight="1">
      <c r="A7709" s="1">
        <v>8928.0</v>
      </c>
      <c r="B7709" s="3" t="s">
        <v>22098</v>
      </c>
      <c r="C7709" s="3">
        <v>8.0</v>
      </c>
      <c r="D7709" s="3">
        <v>0.0</v>
      </c>
      <c r="E7709" s="3">
        <v>0.0</v>
      </c>
      <c r="F7709" s="3" t="s">
        <v>22099</v>
      </c>
      <c r="G7709" s="3">
        <v>0.6166666666666667</v>
      </c>
      <c r="H7709" s="3">
        <v>0.6166666666666667</v>
      </c>
      <c r="I7709" s="3" t="s">
        <v>48</v>
      </c>
      <c r="J7709" s="3" t="s">
        <v>22100</v>
      </c>
      <c r="K7709" s="3" t="s">
        <v>495</v>
      </c>
      <c r="L7709" s="3" t="str">
        <f>IFERROR(__xludf.DUMMYFUNCTION("GOOGLETRANSLATE(F7709,""id"",""en"")"),"Molina if Benzema joined the World Cup, France would be easy win against Argentina, FIFA made it easier for the championship")</f>
        <v>Molina if Benzema joined the World Cup, France would be easy win against Argentina, FIFA made it easier for the championship</v>
      </c>
    </row>
    <row r="7710" ht="15.75" customHeight="1">
      <c r="A7710" s="1">
        <v>8929.0</v>
      </c>
      <c r="B7710" s="3" t="s">
        <v>22101</v>
      </c>
      <c r="C7710" s="3">
        <v>1.0</v>
      </c>
      <c r="D7710" s="3">
        <v>0.0</v>
      </c>
      <c r="E7710" s="3">
        <v>2.0</v>
      </c>
      <c r="F7710" s="3" t="s">
        <v>22102</v>
      </c>
      <c r="G7710" s="3">
        <v>0.0</v>
      </c>
      <c r="H7710" s="3">
        <v>0.0</v>
      </c>
      <c r="I7710" s="3" t="s">
        <v>13</v>
      </c>
      <c r="J7710" s="3" t="s">
        <v>22103</v>
      </c>
      <c r="K7710" s="3" t="s">
        <v>58</v>
      </c>
      <c r="L7710" s="3" t="str">
        <f>IFERROR(__xludf.DUMMYFUNCTION("GOOGLETRANSLATE(F7710,""id"",""en"")"),"Lawas during Aguero Maen Argentina national team has been champion anyway while Lautaro has been held")</f>
        <v>Lawas during Aguero Maen Argentina national team has been champion anyway while Lautaro has been held</v>
      </c>
    </row>
    <row r="7711" ht="15.75" customHeight="1">
      <c r="A7711" s="1">
        <v>8930.0</v>
      </c>
      <c r="B7711" s="3" t="s">
        <v>22104</v>
      </c>
      <c r="C7711" s="3">
        <v>0.0</v>
      </c>
      <c r="D7711" s="3">
        <v>0.0</v>
      </c>
      <c r="E7711" s="3">
        <v>0.0</v>
      </c>
      <c r="F7711" s="3" t="s">
        <v>22105</v>
      </c>
      <c r="G7711" s="3">
        <v>0.0</v>
      </c>
      <c r="H7711" s="3">
        <v>0.0</v>
      </c>
      <c r="I7711" s="3" t="s">
        <v>13</v>
      </c>
      <c r="J7711" s="3" t="s">
        <v>22106</v>
      </c>
      <c r="K7711" s="3" t="s">
        <v>50</v>
      </c>
      <c r="L7711" s="3" t="str">
        <f>IFERROR(__xludf.DUMMYFUNCTION("GOOGLETRANSLATE(F7711,""id"",""en"")"),"Argentina set a national holiday Celebrating the success of Lionel Messi Champion World Cup")</f>
        <v>Argentina set a national holiday Celebrating the success of Lionel Messi Champion World Cup</v>
      </c>
    </row>
    <row r="7712" ht="15.75" customHeight="1">
      <c r="A7712" s="1">
        <v>8931.0</v>
      </c>
      <c r="B7712" s="3" t="s">
        <v>22107</v>
      </c>
      <c r="C7712" s="3">
        <v>0.0</v>
      </c>
      <c r="D7712" s="3">
        <v>0.0</v>
      </c>
      <c r="E7712" s="3">
        <v>0.0</v>
      </c>
      <c r="F7712" s="3" t="s">
        <v>22108</v>
      </c>
      <c r="G7712" s="3">
        <v>0.0</v>
      </c>
      <c r="H7712" s="3">
        <v>0.0</v>
      </c>
      <c r="I7712" s="3" t="s">
        <v>13</v>
      </c>
      <c r="J7712" s="3" t="s">
        <v>22109</v>
      </c>
      <c r="K7712" s="3" t="s">
        <v>2117</v>
      </c>
      <c r="L7712" s="3" t="str">
        <f>IFERROR(__xludf.DUMMYFUNCTION("GOOGLETRANSLATE(F7712,""id"",""en"")"),"No Argentina Champion")</f>
        <v>No Argentina Champion</v>
      </c>
    </row>
    <row r="7713" ht="15.75" customHeight="1">
      <c r="A7713" s="1">
        <v>8932.0</v>
      </c>
      <c r="B7713" s="3" t="s">
        <v>22110</v>
      </c>
      <c r="C7713" s="3">
        <v>7.0</v>
      </c>
      <c r="D7713" s="3">
        <v>1.0</v>
      </c>
      <c r="E7713" s="3">
        <v>2.0</v>
      </c>
      <c r="F7713" s="3" t="s">
        <v>22111</v>
      </c>
      <c r="G7713" s="3">
        <v>0.0</v>
      </c>
      <c r="H7713" s="3">
        <v>0.0</v>
      </c>
      <c r="I7713" s="3" t="s">
        <v>13</v>
      </c>
      <c r="J7713" s="3" t="s">
        <v>22112</v>
      </c>
      <c r="K7713" s="3" t="s">
        <v>22113</v>
      </c>
      <c r="L7713" s="3" t="str">
        <f>IFERROR(__xludf.DUMMYFUNCTION("GOOGLETRANSLATE(F7713,""id"",""en"")"),"The majority of Argentina fans may be on this celebrity because this is the first time they see Argentina champion World Cup if the majority of France fans are on average, I've seen France Champion World Cup champions")</f>
        <v>The majority of Argentina fans may be on this celebrity because this is the first time they see Argentina champion World Cup if the majority of France fans are on average, I've seen France Champion World Cup champions</v>
      </c>
    </row>
    <row r="7714" ht="15.75" customHeight="1">
      <c r="A7714" s="1">
        <v>8933.0</v>
      </c>
      <c r="B7714" s="3" t="s">
        <v>22114</v>
      </c>
      <c r="C7714" s="3">
        <v>0.0</v>
      </c>
      <c r="D7714" s="3">
        <v>0.0</v>
      </c>
      <c r="E7714" s="3">
        <v>0.0</v>
      </c>
      <c r="F7714" s="3" t="s">
        <v>22115</v>
      </c>
      <c r="G7714" s="3">
        <v>0.0</v>
      </c>
      <c r="H7714" s="3">
        <v>0.0</v>
      </c>
      <c r="I7714" s="3" t="s">
        <v>13</v>
      </c>
      <c r="J7714" s="3" t="s">
        <v>22116</v>
      </c>
      <c r="K7714" s="3" t="s">
        <v>236</v>
      </c>
      <c r="L7714" s="3" t="str">
        <f>IFERROR(__xludf.DUMMYFUNCTION("GOOGLETRANSLATE(F7714,""id"",""en"")"),"The Argentine goalkeeper successfully married the title of the best goalkeeper and the World Cup champion")</f>
        <v>The Argentine goalkeeper successfully married the title of the best goalkeeper and the World Cup champion</v>
      </c>
    </row>
    <row r="7715" ht="15.75" customHeight="1">
      <c r="A7715" s="1">
        <v>8934.0</v>
      </c>
      <c r="B7715" s="3" t="s">
        <v>22117</v>
      </c>
      <c r="C7715" s="3">
        <v>0.0</v>
      </c>
      <c r="D7715" s="3">
        <v>0.0</v>
      </c>
      <c r="E7715" s="3">
        <v>1.0</v>
      </c>
      <c r="F7715" s="3" t="s">
        <v>22118</v>
      </c>
      <c r="G7715" s="3">
        <v>0.0</v>
      </c>
      <c r="H7715" s="3">
        <v>0.0</v>
      </c>
      <c r="I7715" s="3" t="s">
        <v>13</v>
      </c>
      <c r="J7715" s="3" t="s">
        <v>22119</v>
      </c>
      <c r="K7715" s="3" t="s">
        <v>644</v>
      </c>
      <c r="L7715" s="3" t="str">
        <f>IFERROR(__xludf.DUMMYFUNCTION("GOOGLETRANSLATE(F7715,""id"",""en"")"),"Argentina Video World Champion")</f>
        <v>Argentina Video World Champion</v>
      </c>
    </row>
    <row r="7716" ht="15.75" customHeight="1">
      <c r="A7716" s="1">
        <v>8935.0</v>
      </c>
      <c r="B7716" s="3" t="s">
        <v>22120</v>
      </c>
      <c r="C7716" s="3">
        <v>0.0</v>
      </c>
      <c r="D7716" s="3">
        <v>0.0</v>
      </c>
      <c r="E7716" s="3">
        <v>0.0</v>
      </c>
      <c r="F7716" s="3" t="s">
        <v>22121</v>
      </c>
      <c r="G7716" s="3">
        <v>0.0</v>
      </c>
      <c r="H7716" s="3">
        <v>0.0</v>
      </c>
      <c r="I7716" s="3" t="s">
        <v>13</v>
      </c>
      <c r="J7716" s="3" t="s">
        <v>22122</v>
      </c>
      <c r="K7716" s="3" t="s">
        <v>41</v>
      </c>
      <c r="L7716" s="3" t="str">
        <f>IFERROR(__xludf.DUMMYFUNCTION("GOOGLETRANSLATE(F7716,""id"",""en"")"),"For Messi the world title for Argentina is like a debt that is paid in full")</f>
        <v>For Messi the world title for Argentina is like a debt that is paid in full</v>
      </c>
    </row>
    <row r="7717" ht="15.75" customHeight="1">
      <c r="A7717" s="1">
        <v>8936.0</v>
      </c>
      <c r="B7717" s="3" t="s">
        <v>22123</v>
      </c>
      <c r="C7717" s="3">
        <v>0.0</v>
      </c>
      <c r="D7717" s="3">
        <v>0.0</v>
      </c>
      <c r="E7717" s="3">
        <v>5.0</v>
      </c>
      <c r="F7717" s="3" t="s">
        <v>22121</v>
      </c>
      <c r="G7717" s="3">
        <v>0.0</v>
      </c>
      <c r="H7717" s="3">
        <v>0.0</v>
      </c>
      <c r="I7717" s="3" t="s">
        <v>13</v>
      </c>
      <c r="J7717" s="3" t="s">
        <v>22122</v>
      </c>
      <c r="K7717" s="3" t="s">
        <v>41</v>
      </c>
      <c r="L7717" s="3" t="str">
        <f>IFERROR(__xludf.DUMMYFUNCTION("GOOGLETRANSLATE(F7717,""id"",""en"")"),"For Messi the world title for Argentina is like a debt that is paid in full")</f>
        <v>For Messi the world title for Argentina is like a debt that is paid in full</v>
      </c>
    </row>
    <row r="7718" ht="15.75" customHeight="1">
      <c r="A7718" s="1">
        <v>8937.0</v>
      </c>
      <c r="B7718" s="3" t="s">
        <v>22124</v>
      </c>
      <c r="C7718" s="3">
        <v>0.0</v>
      </c>
      <c r="D7718" s="3">
        <v>0.0</v>
      </c>
      <c r="E7718" s="3">
        <v>3.0</v>
      </c>
      <c r="F7718" s="3" t="s">
        <v>20542</v>
      </c>
      <c r="G7718" s="3">
        <v>0.0</v>
      </c>
      <c r="H7718" s="3">
        <v>0.0</v>
      </c>
      <c r="I7718" s="3" t="s">
        <v>13</v>
      </c>
      <c r="J7718" s="3" t="s">
        <v>20543</v>
      </c>
      <c r="K7718" s="3" t="s">
        <v>2117</v>
      </c>
      <c r="L7718" s="3" t="str">
        <f>IFERROR(__xludf.DUMMYFUNCTION("GOOGLETRANSLATE(F7718,""id"",""en"")"),"Argentina World Champion")</f>
        <v>Argentina World Champion</v>
      </c>
    </row>
    <row r="7719" ht="15.75" customHeight="1">
      <c r="A7719" s="1">
        <v>8938.0</v>
      </c>
      <c r="B7719" s="3" t="s">
        <v>22125</v>
      </c>
      <c r="C7719" s="3">
        <v>0.0</v>
      </c>
      <c r="D7719" s="3">
        <v>0.0</v>
      </c>
      <c r="E7719" s="3">
        <v>1.0</v>
      </c>
      <c r="F7719" s="3" t="s">
        <v>22126</v>
      </c>
      <c r="G7719" s="3">
        <v>0.5</v>
      </c>
      <c r="H7719" s="3">
        <v>0.5</v>
      </c>
      <c r="I7719" s="3" t="s">
        <v>48</v>
      </c>
      <c r="J7719" s="3" t="s">
        <v>22127</v>
      </c>
      <c r="K7719" s="3" t="s">
        <v>614</v>
      </c>
      <c r="L7719" s="3" t="str">
        <f>IFERROR(__xludf.DUMMYFUNCTION("GOOGLETRANSLATE(F7719,""id"",""en"")"),"Argentine national team main goalkeeper Emiliano Martinez is now in the spotlight after Argentina champions of the World Cup by beating France in the penalty of the Lusail Iconic Stadium Sunday")</f>
        <v>Argentine national team main goalkeeper Emiliano Martinez is now in the spotlight after Argentina champions of the World Cup by beating France in the penalty of the Lusail Iconic Stadium Sunday</v>
      </c>
    </row>
    <row r="7720" ht="15.75" customHeight="1">
      <c r="A7720" s="1">
        <v>8939.0</v>
      </c>
      <c r="B7720" s="3" t="s">
        <v>22128</v>
      </c>
      <c r="C7720" s="3">
        <v>0.0</v>
      </c>
      <c r="D7720" s="3">
        <v>0.0</v>
      </c>
      <c r="E7720" s="3">
        <v>0.0</v>
      </c>
      <c r="F7720" s="3" t="s">
        <v>22129</v>
      </c>
      <c r="G7720" s="3">
        <v>0.0</v>
      </c>
      <c r="H7720" s="3">
        <v>0.0</v>
      </c>
      <c r="I7720" s="3" t="s">
        <v>13</v>
      </c>
      <c r="J7720" s="3" t="s">
        <v>22130</v>
      </c>
      <c r="K7720" s="3" t="s">
        <v>1782</v>
      </c>
      <c r="L7720" s="3" t="str">
        <f>IFERROR(__xludf.DUMMYFUNCTION("GOOGLETRANSLATE(F7720,""id"",""en"")"),"good facts facts better Argentina champions")</f>
        <v>good facts facts better Argentina champions</v>
      </c>
    </row>
    <row r="7721" ht="15.75" customHeight="1">
      <c r="A7721" s="1">
        <v>8940.0</v>
      </c>
      <c r="B7721" s="3" t="s">
        <v>22131</v>
      </c>
      <c r="C7721" s="3">
        <v>0.0</v>
      </c>
      <c r="D7721" s="3">
        <v>0.0</v>
      </c>
      <c r="E7721" s="3">
        <v>0.0</v>
      </c>
      <c r="F7721" s="3" t="s">
        <v>22132</v>
      </c>
      <c r="G7721" s="3">
        <v>0.0</v>
      </c>
      <c r="H7721" s="3">
        <v>0.0</v>
      </c>
      <c r="I7721" s="3" t="s">
        <v>13</v>
      </c>
      <c r="J7721" s="3" t="s">
        <v>22133</v>
      </c>
      <c r="K7721" s="3" t="s">
        <v>2610</v>
      </c>
      <c r="L7721" s="3" t="str">
        <f>IFERROR(__xludf.DUMMYFUNCTION("GOOGLETRANSLATE(F7721,""id"",""en"")"),"World cup champions survived Argentina but remember the two rak'ahs of the dawn of the Sunnah Qabliyah Prayer Prayer is better than the world and everything in it is Muslim and that you will definitely get it if you always do it amen")</f>
        <v>World cup champions survived Argentina but remember the two rak'ahs of the dawn of the Sunnah Qabliyah Prayer Prayer is better than the world and everything in it is Muslim and that you will definitely get it if you always do it amen</v>
      </c>
    </row>
    <row r="7722" ht="15.75" customHeight="1">
      <c r="A7722" s="1">
        <v>8941.0</v>
      </c>
      <c r="B7722" s="3" t="s">
        <v>22134</v>
      </c>
      <c r="C7722" s="3">
        <v>1.0</v>
      </c>
      <c r="D7722" s="3">
        <v>0.0</v>
      </c>
      <c r="E7722" s="3">
        <v>1.0</v>
      </c>
      <c r="F7722" s="3" t="s">
        <v>22135</v>
      </c>
      <c r="G7722" s="3">
        <v>0.0</v>
      </c>
      <c r="H7722" s="3">
        <v>0.0</v>
      </c>
      <c r="I7722" s="3" t="s">
        <v>13</v>
      </c>
      <c r="J7722" s="3" t="s">
        <v>22136</v>
      </c>
      <c r="K7722" s="3" t="s">
        <v>54</v>
      </c>
      <c r="L7722" s="3" t="str">
        <f>IFERROR(__xludf.DUMMYFUNCTION("GOOGLETRANSLATE(F7722,""id"",""en"")"),"Official all know Argentina champions because of FIFA")</f>
        <v>Official all know Argentina champions because of FIFA</v>
      </c>
    </row>
    <row r="7723" ht="15.75" customHeight="1">
      <c r="A7723" s="1">
        <v>8942.0</v>
      </c>
      <c r="B7723" s="3" t="s">
        <v>22137</v>
      </c>
      <c r="C7723" s="3">
        <v>0.0</v>
      </c>
      <c r="D7723" s="3">
        <v>0.0</v>
      </c>
      <c r="E7723" s="3">
        <v>0.0</v>
      </c>
      <c r="F7723" s="3" t="s">
        <v>22138</v>
      </c>
      <c r="G7723" s="3">
        <v>0.0</v>
      </c>
      <c r="H7723" s="3">
        <v>0.0</v>
      </c>
      <c r="I7723" s="3" t="s">
        <v>13</v>
      </c>
      <c r="J7723" s="3" t="s">
        <v>22139</v>
      </c>
      <c r="K7723" s="3" t="s">
        <v>54</v>
      </c>
      <c r="L7723" s="3" t="str">
        <f>IFERROR(__xludf.DUMMYFUNCTION("GOOGLETRANSLATE(F7723,""id"",""en"")"),"Tahuu or Kembae Champion Argentina")</f>
        <v>Tahuu or Kembae Champion Argentina</v>
      </c>
    </row>
    <row r="7724" ht="15.75" customHeight="1">
      <c r="A7724" s="1">
        <v>8943.0</v>
      </c>
      <c r="B7724" s="3" t="s">
        <v>22140</v>
      </c>
      <c r="C7724" s="3">
        <v>0.0</v>
      </c>
      <c r="D7724" s="3">
        <v>0.0</v>
      </c>
      <c r="E7724" s="3">
        <v>1.0</v>
      </c>
      <c r="F7724" s="3" t="s">
        <v>22141</v>
      </c>
      <c r="G7724" s="3">
        <v>0.0</v>
      </c>
      <c r="H7724" s="3">
        <v>0.0</v>
      </c>
      <c r="I7724" s="3" t="s">
        <v>13</v>
      </c>
      <c r="J7724" s="3" t="s">
        <v>22142</v>
      </c>
      <c r="K7724" s="3" t="s">
        <v>71</v>
      </c>
      <c r="L7724" s="3" t="str">
        <f>IFERROR(__xludf.DUMMYFUNCTION("GOOGLETRANSLATE(F7724,""id"",""en"")"),"World Cup Champion Brings Prizes Nearly Trillion Argentina National Holidays Welcome Messi et al Via")</f>
        <v>World Cup Champion Brings Prizes Nearly Trillion Argentina National Holidays Welcome Messi et al Via</v>
      </c>
    </row>
    <row r="7725" ht="15.75" customHeight="1">
      <c r="A7725" s="1">
        <v>8944.0</v>
      </c>
      <c r="B7725" s="3" t="s">
        <v>22143</v>
      </c>
      <c r="C7725" s="3">
        <v>0.0</v>
      </c>
      <c r="D7725" s="3">
        <v>0.0</v>
      </c>
      <c r="E7725" s="3">
        <v>0.0</v>
      </c>
      <c r="F7725" s="3" t="s">
        <v>22075</v>
      </c>
      <c r="G7725" s="3">
        <v>0.0</v>
      </c>
      <c r="H7725" s="3">
        <v>0.0</v>
      </c>
      <c r="I7725" s="3" t="s">
        <v>13</v>
      </c>
      <c r="J7725" s="3" t="s">
        <v>22076</v>
      </c>
      <c r="K7725" s="3" t="s">
        <v>82</v>
      </c>
      <c r="L7725" s="3" t="str">
        <f>IFERROR(__xludf.DUMMYFUNCTION("GOOGLETRANSLATE(F7725,""id"",""en"")"),"Luck successfully swooped sharply and annulled the champions for Argentina")</f>
        <v>Luck successfully swooped sharply and annulled the champions for Argentina</v>
      </c>
    </row>
    <row r="7726" ht="15.75" customHeight="1">
      <c r="A7726" s="1">
        <v>8945.0</v>
      </c>
      <c r="B7726" s="3" t="s">
        <v>22144</v>
      </c>
      <c r="C7726" s="3">
        <v>0.0</v>
      </c>
      <c r="D7726" s="3">
        <v>0.0</v>
      </c>
      <c r="E7726" s="3">
        <v>0.0</v>
      </c>
      <c r="F7726" s="3" t="s">
        <v>22145</v>
      </c>
      <c r="G7726" s="3">
        <v>0.0</v>
      </c>
      <c r="H7726" s="3">
        <v>0.0</v>
      </c>
      <c r="I7726" s="3" t="s">
        <v>13</v>
      </c>
      <c r="J7726" s="3" t="s">
        <v>22146</v>
      </c>
      <c r="K7726" s="3" t="s">
        <v>82</v>
      </c>
      <c r="L7726" s="3" t="str">
        <f>IFERROR(__xludf.DUMMYFUNCTION("GOOGLETRANSLATE(F7726,""id"",""en"")"),"Argentina is indeed a world champion but his condition is quite pathetic")</f>
        <v>Argentina is indeed a world champion but his condition is quite pathetic</v>
      </c>
    </row>
    <row r="7727" ht="15.75" customHeight="1">
      <c r="A7727" s="1">
        <v>8946.0</v>
      </c>
      <c r="B7727" s="3" t="s">
        <v>22147</v>
      </c>
      <c r="C7727" s="3">
        <v>0.0</v>
      </c>
      <c r="D7727" s="3">
        <v>0.0</v>
      </c>
      <c r="E7727" s="3">
        <v>0.0</v>
      </c>
      <c r="F7727" s="3" t="s">
        <v>22148</v>
      </c>
      <c r="G7727" s="3">
        <v>0.1</v>
      </c>
      <c r="H7727" s="3">
        <v>-0.1</v>
      </c>
      <c r="I7727" s="3" t="s">
        <v>179</v>
      </c>
      <c r="J7727" s="3" t="s">
        <v>22149</v>
      </c>
      <c r="K7727" s="3" t="s">
        <v>71</v>
      </c>
      <c r="L7727" s="3" t="str">
        <f>IFERROR(__xludf.DUMMYFUNCTION("GOOGLETRANSLATE(F7727,""id"",""en"")"),"Btw Happy Argentina has become a champion for more info visit or contact the BTN Contact Center")</f>
        <v>Btw Happy Argentina has become a champion for more info visit or contact the BTN Contact Center</v>
      </c>
    </row>
    <row r="7728" ht="15.75" customHeight="1">
      <c r="A7728" s="1">
        <v>8947.0</v>
      </c>
      <c r="B7728" s="3" t="s">
        <v>22150</v>
      </c>
      <c r="C7728" s="3">
        <v>1.0</v>
      </c>
      <c r="D7728" s="3">
        <v>0.0</v>
      </c>
      <c r="E7728" s="3">
        <v>0.0</v>
      </c>
      <c r="F7728" s="3" t="s">
        <v>22151</v>
      </c>
      <c r="G7728" s="3">
        <v>1.0</v>
      </c>
      <c r="H7728" s="3">
        <v>0.0</v>
      </c>
      <c r="I7728" s="3" t="s">
        <v>13</v>
      </c>
      <c r="J7728" s="3" t="s">
        <v>22152</v>
      </c>
      <c r="K7728" s="3" t="s">
        <v>4784</v>
      </c>
      <c r="L7728" s="3" t="str">
        <f>IFERROR(__xludf.DUMMYFUNCTION("GOOGLETRANSLATE(F7728,""id"",""en"")"),"Argentina lost to the final giving birth to the superior seeds of the national team for the Argentina squad and long Portuguese, just like that, so that the Portuguese were good at good people in Portuguese.")</f>
        <v>Argentina lost to the final giving birth to the superior seeds of the national team for the Argentina squad and long Portuguese, just like that, so that the Portuguese were good at good people in Portuguese.</v>
      </c>
    </row>
    <row r="7729" ht="15.75" customHeight="1">
      <c r="A7729" s="1">
        <v>8948.0</v>
      </c>
      <c r="B7729" s="3" t="s">
        <v>22153</v>
      </c>
      <c r="C7729" s="3">
        <v>3.0</v>
      </c>
      <c r="D7729" s="3">
        <v>0.0</v>
      </c>
      <c r="E7729" s="3">
        <v>17.0</v>
      </c>
      <c r="F7729" s="3" t="s">
        <v>22154</v>
      </c>
      <c r="G7729" s="3">
        <v>0.0</v>
      </c>
      <c r="H7729" s="3">
        <v>0.0</v>
      </c>
      <c r="I7729" s="3" t="s">
        <v>13</v>
      </c>
      <c r="J7729" s="3" t="s">
        <v>22155</v>
      </c>
      <c r="K7729" s="3" t="s">
        <v>437</v>
      </c>
      <c r="L7729" s="3" t="str">
        <f>IFERROR(__xludf.DUMMYFUNCTION("GOOGLETRANSLATE(F7729,""id"",""en"")"),"Let me, in my opinion, while the Argentina squad objected, he was considered a champion for the pildun and GPP anyway, if this heart disease was almost certain to enter the squad")</f>
        <v>Let me, in my opinion, while the Argentina squad objected, he was considered a champion for the pildun and GPP anyway, if this heart disease was almost certain to enter the squad</v>
      </c>
    </row>
    <row r="7730" ht="15.75" customHeight="1">
      <c r="A7730" s="1">
        <v>8949.0</v>
      </c>
      <c r="B7730" s="3" t="s">
        <v>22156</v>
      </c>
      <c r="C7730" s="3">
        <v>0.0</v>
      </c>
      <c r="D7730" s="3">
        <v>4.0</v>
      </c>
      <c r="E7730" s="3">
        <v>7.0</v>
      </c>
      <c r="F7730" s="3" t="s">
        <v>22157</v>
      </c>
      <c r="G7730" s="3">
        <v>0.25</v>
      </c>
      <c r="H7730" s="3">
        <v>0.03125</v>
      </c>
      <c r="I7730" s="3" t="s">
        <v>48</v>
      </c>
      <c r="J7730" s="3" t="s">
        <v>22158</v>
      </c>
      <c r="K7730" s="3" t="s">
        <v>495</v>
      </c>
      <c r="L7730" s="3" t="str">
        <f>IFERROR(__xludf.DUMMYFUNCTION("GOOGLETRANSLATE(F7730,""id"",""en"")"),"The most ulce can make Argentina champion, he said Copa America finalistsa world cup entered the treble international major trophy")</f>
        <v>The most ulce can make Argentina champion, he said Copa America finalistsa world cup entered the treble international major trophy</v>
      </c>
    </row>
    <row r="7731" ht="15.75" customHeight="1">
      <c r="A7731" s="1">
        <v>8950.0</v>
      </c>
      <c r="B7731" s="3" t="s">
        <v>22159</v>
      </c>
      <c r="C7731" s="3">
        <v>0.0</v>
      </c>
      <c r="D7731" s="3">
        <v>6.0</v>
      </c>
      <c r="E7731" s="3">
        <v>15.0</v>
      </c>
      <c r="F7731" s="3" t="s">
        <v>22160</v>
      </c>
      <c r="G7731" s="3">
        <v>0.0</v>
      </c>
      <c r="H7731" s="3">
        <v>0.0</v>
      </c>
      <c r="I7731" s="3" t="s">
        <v>13</v>
      </c>
      <c r="J7731" s="3" t="s">
        <v>22161</v>
      </c>
      <c r="K7731" s="3" t="s">
        <v>127</v>
      </c>
      <c r="L7731" s="3" t="str">
        <f>IFERROR(__xludf.DUMMYFUNCTION("GOOGLETRANSLATE(F7731,""id"",""en"")"),"Trivia Traditional Bisht Robe was awarded to Lionel Messi as a sign of the hero who was triumphant helping Argentina emerged champions of the Qatar World Cup")</f>
        <v>Trivia Traditional Bisht Robe was awarded to Lionel Messi as a sign of the hero who was triumphant helping Argentina emerged champions of the Qatar World Cup</v>
      </c>
    </row>
    <row r="7732" ht="15.75" customHeight="1">
      <c r="A7732" s="1">
        <v>8951.0</v>
      </c>
      <c r="B7732" s="3" t="s">
        <v>22162</v>
      </c>
      <c r="C7732" s="3">
        <v>0.0</v>
      </c>
      <c r="D7732" s="3">
        <v>0.0</v>
      </c>
      <c r="E7732" s="3">
        <v>0.0</v>
      </c>
      <c r="F7732" s="3" t="s">
        <v>22121</v>
      </c>
      <c r="G7732" s="3">
        <v>0.0</v>
      </c>
      <c r="H7732" s="3">
        <v>0.0</v>
      </c>
      <c r="I7732" s="3" t="s">
        <v>13</v>
      </c>
      <c r="J7732" s="3" t="s">
        <v>22122</v>
      </c>
      <c r="K7732" s="3" t="s">
        <v>41</v>
      </c>
      <c r="L7732" s="3" t="str">
        <f>IFERROR(__xludf.DUMMYFUNCTION("GOOGLETRANSLATE(F7732,""id"",""en"")"),"For Messi the world title for Argentina is like a debt that is paid in full")</f>
        <v>For Messi the world title for Argentina is like a debt that is paid in full</v>
      </c>
    </row>
    <row r="7733" ht="15.75" customHeight="1">
      <c r="A7733" s="1">
        <v>8952.0</v>
      </c>
      <c r="B7733" s="3" t="s">
        <v>22163</v>
      </c>
      <c r="C7733" s="3">
        <v>1.0</v>
      </c>
      <c r="D7733" s="3">
        <v>0.0</v>
      </c>
      <c r="E7733" s="3">
        <v>0.0</v>
      </c>
      <c r="F7733" s="3" t="s">
        <v>22164</v>
      </c>
      <c r="G7733" s="3">
        <v>0.0</v>
      </c>
      <c r="H7733" s="3">
        <v>0.0</v>
      </c>
      <c r="I7733" s="3" t="s">
        <v>13</v>
      </c>
      <c r="J7733" s="3" t="s">
        <v>22165</v>
      </c>
      <c r="K7733" s="3" t="s">
        <v>495</v>
      </c>
      <c r="L7733" s="3" t="str">
        <f>IFERROR(__xludf.DUMMYFUNCTION("GOOGLETRANSLATE(F7733,""id"",""en"")"),"There is no reason that is not that even though he may have enough portion of winning Uwis behind Kerjo Maneh, not tanting to Karo Argentina's championship relationship")</f>
        <v>There is no reason that is not that even though he may have enough portion of winning Uwis behind Kerjo Maneh, not tanting to Karo Argentina's championship relationship</v>
      </c>
    </row>
    <row r="7734" ht="15.75" customHeight="1">
      <c r="A7734" s="1">
        <v>8953.0</v>
      </c>
      <c r="B7734" s="3" t="s">
        <v>22166</v>
      </c>
      <c r="C7734" s="3">
        <v>0.0</v>
      </c>
      <c r="D7734" s="3">
        <v>0.0</v>
      </c>
      <c r="E7734" s="3">
        <v>0.0</v>
      </c>
      <c r="F7734" s="3" t="s">
        <v>22167</v>
      </c>
      <c r="G7734" s="3">
        <v>0.0</v>
      </c>
      <c r="H7734" s="3">
        <v>0.0</v>
      </c>
      <c r="I7734" s="3" t="s">
        <v>13</v>
      </c>
      <c r="J7734" s="3" t="s">
        <v>22168</v>
      </c>
      <c r="K7734" s="3" t="s">
        <v>1061</v>
      </c>
      <c r="L7734" s="3" t="str">
        <f>IFERROR(__xludf.DUMMYFUNCTION("GOOGLETRANSLATE(F7734,""id"",""en"")"),"The results must also follow the Copa America and now I also see the World Cup so I respect it too and feels natural they are a happy Argentina champion.")</f>
        <v>The results must also follow the Copa America and now I also see the World Cup so I respect it too and feels natural they are a happy Argentina champion.</v>
      </c>
    </row>
    <row r="7735" ht="15.75" customHeight="1">
      <c r="A7735" s="1">
        <v>8954.0</v>
      </c>
      <c r="B7735" s="3" t="s">
        <v>22169</v>
      </c>
      <c r="C7735" s="3">
        <v>1.0</v>
      </c>
      <c r="D7735" s="3">
        <v>0.0</v>
      </c>
      <c r="E7735" s="3">
        <v>0.0</v>
      </c>
      <c r="F7735" s="3" t="s">
        <v>22170</v>
      </c>
      <c r="G7735" s="3">
        <v>0.0</v>
      </c>
      <c r="H7735" s="3">
        <v>0.0</v>
      </c>
      <c r="I7735" s="3" t="s">
        <v>13</v>
      </c>
      <c r="J7735" s="3" t="s">
        <v>22171</v>
      </c>
      <c r="K7735" s="3" t="s">
        <v>6117</v>
      </c>
      <c r="L7735" s="3" t="str">
        <f>IFERROR(__xludf.DUMMYFUNCTION("GOOGLETRANSLATE(F7735,""id"",""en"")"),"After the year Lebi Gak Champion Argentina can come out as the champion of the Messi era with a trip that was stumbling with Seok but eventually came out as champion the exciting match was successfully presented by the French team to be a big team to be a"&amp;"ware of")</f>
        <v>After the year Lebi Gak Champion Argentina can come out as the champion of the Messi era with a trip that was stumbling with Seok but eventually came out as champion the exciting match was successfully presented by the French team to be a big team to be aware of</v>
      </c>
    </row>
    <row r="7736" ht="15.75" customHeight="1">
      <c r="A7736" s="1">
        <v>8955.0</v>
      </c>
      <c r="B7736" s="3" t="s">
        <v>22172</v>
      </c>
      <c r="C7736" s="3">
        <v>0.0</v>
      </c>
      <c r="D7736" s="3">
        <v>0.0</v>
      </c>
      <c r="E7736" s="3">
        <v>1.0</v>
      </c>
      <c r="F7736" s="3" t="s">
        <v>22173</v>
      </c>
      <c r="G7736" s="3">
        <v>0.75</v>
      </c>
      <c r="H7736" s="3">
        <v>0.375</v>
      </c>
      <c r="I7736" s="3" t="s">
        <v>48</v>
      </c>
      <c r="J7736" s="3" t="s">
        <v>22174</v>
      </c>
      <c r="K7736" s="3" t="s">
        <v>433</v>
      </c>
      <c r="L7736" s="3" t="str">
        <f>IFERROR(__xludf.DUMMYFUNCTION("GOOGLETRANSLATE(F7736,""id"",""en"")"),"Excited until Indo can lift the Ciki Cup that Argentina can champion Pilduun taste Indo can also be BGD, it should be")</f>
        <v>Excited until Indo can lift the Ciki Cup that Argentina can champion Pilduun taste Indo can also be BGD, it should be</v>
      </c>
    </row>
    <row r="7737" ht="15.75" customHeight="1">
      <c r="A7737" s="1">
        <v>8956.0</v>
      </c>
      <c r="B7737" s="3" t="s">
        <v>22175</v>
      </c>
      <c r="C7737" s="3">
        <v>0.0</v>
      </c>
      <c r="D7737" s="3">
        <v>0.0</v>
      </c>
      <c r="E7737" s="3">
        <v>1.0</v>
      </c>
      <c r="F7737" s="3" t="s">
        <v>22176</v>
      </c>
      <c r="G7737" s="3">
        <v>0.0</v>
      </c>
      <c r="H7737" s="3">
        <v>0.0</v>
      </c>
      <c r="I7737" s="3" t="s">
        <v>13</v>
      </c>
      <c r="J7737" s="3" t="s">
        <v>22177</v>
      </c>
      <c r="K7737" s="3" t="s">
        <v>123</v>
      </c>
      <c r="L7737" s="3" t="str">
        <f>IFERROR(__xludf.DUMMYFUNCTION("GOOGLETRANSLATE(F7737,""id"",""en"")"),"to become the champion of the Qatar World Cup Argentina came humiliated home with the online slot site trophy")</f>
        <v>to become the champion of the Qatar World Cup Argentina came humiliated home with the online slot site trophy</v>
      </c>
    </row>
    <row r="7738" ht="15.75" customHeight="1">
      <c r="A7738" s="1">
        <v>8957.0</v>
      </c>
      <c r="B7738" s="3" t="s">
        <v>22178</v>
      </c>
      <c r="C7738" s="3">
        <v>1.0</v>
      </c>
      <c r="D7738" s="3">
        <v>0.0</v>
      </c>
      <c r="E7738" s="3">
        <v>0.0</v>
      </c>
      <c r="F7738" s="3" t="s">
        <v>22179</v>
      </c>
      <c r="G7738" s="3">
        <v>0.2</v>
      </c>
      <c r="H7738" s="3">
        <v>-0.1</v>
      </c>
      <c r="I7738" s="3" t="s">
        <v>179</v>
      </c>
      <c r="J7738" s="3" t="s">
        <v>22180</v>
      </c>
      <c r="K7738" s="3" t="s">
        <v>3819</v>
      </c>
      <c r="L7738" s="3" t="str">
        <f>IFERROR(__xludf.DUMMYFUNCTION("GOOGLETRANSLATE(F7738,""id"",""en"")"),"Why can I say that the Argentine generation already has a mental champion from history that created its legend in the first world cup and the Argentina new generation of Copa will maintain Argentina's throne and improve")</f>
        <v>Why can I say that the Argentine generation already has a mental champion from history that created its legend in the first world cup and the Argentina new generation of Copa will maintain Argentina's throne and improve</v>
      </c>
    </row>
    <row r="7739" ht="15.75" customHeight="1">
      <c r="A7739" s="1">
        <v>8958.0</v>
      </c>
      <c r="B7739" s="3" t="s">
        <v>22181</v>
      </c>
      <c r="C7739" s="3">
        <v>1.0</v>
      </c>
      <c r="D7739" s="3">
        <v>0.0</v>
      </c>
      <c r="E7739" s="3">
        <v>8.0</v>
      </c>
      <c r="F7739" s="3" t="s">
        <v>21570</v>
      </c>
      <c r="G7739" s="3">
        <v>0.0</v>
      </c>
      <c r="H7739" s="3">
        <v>0.0</v>
      </c>
      <c r="I7739" s="3" t="s">
        <v>13</v>
      </c>
      <c r="J7739" s="3" t="s">
        <v>21571</v>
      </c>
      <c r="K7739" s="3" t="s">
        <v>1699</v>
      </c>
      <c r="L7739" s="3" t="str">
        <f>IFERROR(__xludf.DUMMYFUNCTION("GOOGLETRANSLATE(F7739,""id"",""en"")"),"This is a real brother, Aguero's younger sibling is Agentina's coach, even scaloni, just a doll back, the Argentine champion is Sergio Kun Aguero, the most contributing not to tell the media")</f>
        <v>This is a real brother, Aguero's younger sibling is Agentina's coach, even scaloni, just a doll back, the Argentine champion is Sergio Kun Aguero, the most contributing not to tell the media</v>
      </c>
    </row>
    <row r="7740" ht="15.75" customHeight="1">
      <c r="A7740" s="1">
        <v>8959.0</v>
      </c>
      <c r="B7740" s="3" t="s">
        <v>22182</v>
      </c>
      <c r="C7740" s="3">
        <v>0.0</v>
      </c>
      <c r="D7740" s="3">
        <v>0.0</v>
      </c>
      <c r="E7740" s="3">
        <v>0.0</v>
      </c>
      <c r="F7740" s="3" t="s">
        <v>22183</v>
      </c>
      <c r="G7740" s="3">
        <v>0.0</v>
      </c>
      <c r="H7740" s="3">
        <v>0.0</v>
      </c>
      <c r="I7740" s="3" t="s">
        <v>13</v>
      </c>
      <c r="J7740" s="3" t="s">
        <v>22184</v>
      </c>
      <c r="K7740" s="3" t="s">
        <v>75</v>
      </c>
      <c r="L7740" s="3" t="str">
        <f>IFERROR(__xludf.DUMMYFUNCTION("GOOGLETRANSLATE(F7740,""id"",""en"")"),"The myth of the curse of the Drake World Sports finally officially broke after Argentina Champion")</f>
        <v>The myth of the curse of the Drake World Sports finally officially broke after Argentina Champion</v>
      </c>
    </row>
    <row r="7741" ht="15.75" customHeight="1">
      <c r="A7741" s="1">
        <v>8960.0</v>
      </c>
      <c r="B7741" s="3" t="s">
        <v>22185</v>
      </c>
      <c r="C7741" s="3">
        <v>2.0</v>
      </c>
      <c r="D7741" s="3">
        <v>0.0</v>
      </c>
      <c r="E7741" s="3">
        <v>0.0</v>
      </c>
      <c r="F7741" s="3" t="s">
        <v>22186</v>
      </c>
      <c r="G7741" s="3">
        <v>0.2</v>
      </c>
      <c r="H7741" s="3">
        <v>-0.1</v>
      </c>
      <c r="I7741" s="3" t="s">
        <v>179</v>
      </c>
      <c r="J7741" s="3" t="s">
        <v>22187</v>
      </c>
      <c r="K7741" s="3" t="s">
        <v>308</v>
      </c>
      <c r="L7741" s="3" t="str">
        <f>IFERROR(__xludf.DUMMYFUNCTION("GOOGLETRANSLATE(F7741,""id"",""en"")"),"Indeed there is a name that is Portugal legend, but the only ones who can control Europe can get Ronaldo Portugal can get two era titles of Ronaldo Squad Gold, not necessarily champions because there is a mental champion Argentina is currently champion be"&amp;"cause")</f>
        <v>Indeed there is a name that is Portugal legend, but the only ones who can control Europe can get Ronaldo Portugal can get two era titles of Ronaldo Squad Gold, not necessarily champions because there is a mental champion Argentina is currently champion because</v>
      </c>
    </row>
    <row r="7742" ht="15.75" customHeight="1">
      <c r="A7742" s="1">
        <v>8961.0</v>
      </c>
      <c r="B7742" s="3" t="s">
        <v>22188</v>
      </c>
      <c r="C7742" s="3">
        <v>1.0</v>
      </c>
      <c r="D7742" s="3">
        <v>0.0</v>
      </c>
      <c r="E7742" s="3">
        <v>0.0</v>
      </c>
      <c r="F7742" s="3" t="s">
        <v>22189</v>
      </c>
      <c r="G7742" s="3">
        <v>0.0</v>
      </c>
      <c r="H7742" s="3">
        <v>0.0</v>
      </c>
      <c r="I7742" s="3" t="s">
        <v>13</v>
      </c>
      <c r="J7742" s="3" t="s">
        <v>22190</v>
      </c>
      <c r="K7742" s="3" t="s">
        <v>149</v>
      </c>
      <c r="L7742" s="3" t="str">
        <f>IFERROR(__xludf.DUMMYFUNCTION("GOOGLETRANSLATE(F7742,""id"",""en"")"),"Mendang people are better even though the eusebio point is great in terms of individuals with the club but not with the national team champion euro even when it is determined when there are many talented talents now")</f>
        <v>Mendang people are better even though the eusebio point is great in terms of individuals with the club but not with the national team champion euro even when it is determined when there are many talented talents now</v>
      </c>
    </row>
    <row r="7743" ht="15.75" customHeight="1">
      <c r="A7743" s="1">
        <v>8962.0</v>
      </c>
      <c r="B7743" s="3" t="s">
        <v>22191</v>
      </c>
      <c r="C7743" s="3">
        <v>0.0</v>
      </c>
      <c r="D7743" s="3">
        <v>0.0</v>
      </c>
      <c r="E7743" s="3">
        <v>0.0</v>
      </c>
      <c r="F7743" s="3" t="s">
        <v>22192</v>
      </c>
      <c r="G7743" s="3">
        <v>0.0</v>
      </c>
      <c r="H7743" s="3">
        <v>0.0</v>
      </c>
      <c r="I7743" s="3" t="s">
        <v>13</v>
      </c>
      <c r="J7743" s="3" t="s">
        <v>22193</v>
      </c>
      <c r="K7743" s="3" t="s">
        <v>699</v>
      </c>
      <c r="L7743" s="3" t="str">
        <f>IFERROR(__xludf.DUMMYFUNCTION("GOOGLETRANSLATE(F7743,""id"",""en"")"),"Lionel Messi became a sportsman with the world's most likes after uploading the moment of Argentina in the World Football World Cup champion")</f>
        <v>Lionel Messi became a sportsman with the world's most likes after uploading the moment of Argentina in the World Football World Cup champion</v>
      </c>
    </row>
    <row r="7744" ht="15.75" customHeight="1">
      <c r="A7744" s="1">
        <v>8963.0</v>
      </c>
      <c r="B7744" s="3" t="s">
        <v>22194</v>
      </c>
      <c r="C7744" s="3">
        <v>0.0</v>
      </c>
      <c r="D7744" s="3">
        <v>0.0</v>
      </c>
      <c r="E7744" s="3">
        <v>0.0</v>
      </c>
      <c r="F7744" s="3" t="s">
        <v>22195</v>
      </c>
      <c r="G7744" s="3">
        <v>0.9</v>
      </c>
      <c r="H7744" s="3">
        <v>0.7</v>
      </c>
      <c r="I7744" s="3" t="s">
        <v>48</v>
      </c>
      <c r="J7744" s="3" t="s">
        <v>22196</v>
      </c>
      <c r="K7744" s="3" t="s">
        <v>1317</v>
      </c>
      <c r="L7744" s="3" t="str">
        <f>IFERROR(__xludf.DUMMYFUNCTION("GOOGLETRANSLATE(F7744,""id"",""en"")"),"The year of time Argentina lost to Germany and failed to win Maradona was also angry and claimed that everything had been set so that Argentina lost and Germany became a champion, the point was that all were still difficult to be fair")</f>
        <v>The year of time Argentina lost to Germany and failed to win Maradona was also angry and claimed that everything had been set so that Argentina lost and Germany became a champion, the point was that all were still difficult to be fair</v>
      </c>
    </row>
    <row r="7745" ht="15.75" customHeight="1">
      <c r="A7745" s="1">
        <v>8964.0</v>
      </c>
      <c r="B7745" s="3" t="s">
        <v>22197</v>
      </c>
      <c r="C7745" s="3">
        <v>2.0</v>
      </c>
      <c r="D7745" s="3">
        <v>0.0</v>
      </c>
      <c r="E7745" s="3">
        <v>3.0</v>
      </c>
      <c r="F7745" s="3" t="s">
        <v>22198</v>
      </c>
      <c r="G7745" s="3">
        <v>0.0</v>
      </c>
      <c r="H7745" s="3">
        <v>0.0</v>
      </c>
      <c r="I7745" s="3" t="s">
        <v>13</v>
      </c>
      <c r="J7745" s="3" t="s">
        <v>22199</v>
      </c>
      <c r="K7745" s="3" t="s">
        <v>54</v>
      </c>
      <c r="L7745" s="3" t="str">
        <f>IFERROR(__xludf.DUMMYFUNCTION("GOOGLETRANSLATE(F7745,""id"",""en"")"),"The champion is Argentina Mas Bud, not Spain")</f>
        <v>The champion is Argentina Mas Bud, not Spain</v>
      </c>
    </row>
    <row r="7746" ht="15.75" customHeight="1">
      <c r="A7746" s="1">
        <v>8965.0</v>
      </c>
      <c r="B7746" s="3" t="s">
        <v>22200</v>
      </c>
      <c r="C7746" s="3">
        <v>25.0</v>
      </c>
      <c r="D7746" s="3">
        <v>1.0</v>
      </c>
      <c r="E7746" s="3">
        <v>12.0</v>
      </c>
      <c r="F7746" s="3" t="s">
        <v>22201</v>
      </c>
      <c r="G7746" s="3">
        <v>0.2</v>
      </c>
      <c r="H7746" s="3">
        <v>-0.1</v>
      </c>
      <c r="I7746" s="3" t="s">
        <v>179</v>
      </c>
      <c r="J7746" s="3" t="s">
        <v>22202</v>
      </c>
      <c r="K7746" s="3" t="s">
        <v>374</v>
      </c>
      <c r="L7746" s="3" t="str">
        <f>IFERROR(__xludf.DUMMYFUNCTION("GOOGLETRANSLATE(F7746,""id"",""en"")"),"The simple goat of this Historian Warisi Historical Warisi by Maradona makes the young generation of Argentina inspired to have a mental champion earlier while Ronaldo bequeathed everything from the hard work of never giving up the championship mentality "&amp;"to the Portuguese young generation")</f>
        <v>The simple goat of this Historian Warisi Historical Warisi by Maradona makes the young generation of Argentina inspired to have a mental champion earlier while Ronaldo bequeathed everything from the hard work of never giving up the championship mentality to the Portuguese young generation</v>
      </c>
    </row>
    <row r="7747" ht="15.75" customHeight="1">
      <c r="A7747" s="1">
        <v>8966.0</v>
      </c>
      <c r="B7747" s="3" t="s">
        <v>22203</v>
      </c>
      <c r="C7747" s="3">
        <v>0.0</v>
      </c>
      <c r="D7747" s="3">
        <v>0.0</v>
      </c>
      <c r="E7747" s="3">
        <v>1.0</v>
      </c>
      <c r="F7747" s="3" t="s">
        <v>22204</v>
      </c>
      <c r="G7747" s="3">
        <v>0.0</v>
      </c>
      <c r="H7747" s="3">
        <v>0.0</v>
      </c>
      <c r="I7747" s="3" t="s">
        <v>13</v>
      </c>
      <c r="J7747" s="3" t="s">
        <v>22205</v>
      </c>
      <c r="K7747" s="3" t="s">
        <v>82</v>
      </c>
      <c r="L7747" s="3" t="str">
        <f>IFERROR(__xludf.DUMMYFUNCTION("GOOGLETRANSLATE(F7747,""id"",""en"")"),"Ms. Celebration of Argentina Victory Champion World Cup")</f>
        <v>Ms. Celebration of Argentina Victory Champion World Cup</v>
      </c>
    </row>
    <row r="7748" ht="15.75" customHeight="1">
      <c r="A7748" s="1">
        <v>8967.0</v>
      </c>
      <c r="B7748" s="3" t="s">
        <v>22206</v>
      </c>
      <c r="C7748" s="3">
        <v>0.0</v>
      </c>
      <c r="D7748" s="3">
        <v>0.0</v>
      </c>
      <c r="E7748" s="3">
        <v>0.0</v>
      </c>
      <c r="F7748" s="3" t="s">
        <v>22207</v>
      </c>
      <c r="G7748" s="3">
        <v>0.0</v>
      </c>
      <c r="H7748" s="3">
        <v>0.0</v>
      </c>
      <c r="I7748" s="3" t="s">
        <v>13</v>
      </c>
      <c r="J7748" s="3" t="s">
        <v>22208</v>
      </c>
      <c r="K7748" s="3" t="s">
        <v>54</v>
      </c>
      <c r="L7748" s="3" t="str">
        <f>IFERROR(__xludf.DUMMYFUNCTION("GOOGLETRANSLATE(F7748,""id"",""en"")"),"Congratulation Argentina Champion Worldcup after dealing with France")</f>
        <v>Congratulation Argentina Champion Worldcup after dealing with France</v>
      </c>
    </row>
    <row r="7749" ht="15.75" customHeight="1">
      <c r="A7749" s="1">
        <v>8968.0</v>
      </c>
      <c r="B7749" s="3" t="s">
        <v>22209</v>
      </c>
      <c r="C7749" s="3">
        <v>0.0</v>
      </c>
      <c r="D7749" s="3">
        <v>0.0</v>
      </c>
      <c r="E7749" s="3">
        <v>0.0</v>
      </c>
      <c r="F7749" s="3" t="s">
        <v>22210</v>
      </c>
      <c r="G7749" s="3">
        <v>0.0</v>
      </c>
      <c r="H7749" s="3">
        <v>0.0</v>
      </c>
      <c r="I7749" s="3" t="s">
        <v>13</v>
      </c>
      <c r="J7749" s="3" t="s">
        <v>22211</v>
      </c>
      <c r="K7749" s="3" t="s">
        <v>50</v>
      </c>
      <c r="L7749" s="3" t="str">
        <f>IFERROR(__xludf.DUMMYFUNCTION("GOOGLETRANSLATE(F7749,""id"",""en"")"),"Argentine Infographic The Best Messi Champion and Mbappe Most Rain Cuan World Cup")</f>
        <v>Argentine Infographic The Best Messi Champion and Mbappe Most Rain Cuan World Cup</v>
      </c>
    </row>
    <row r="7750" ht="15.75" customHeight="1">
      <c r="A7750" s="1">
        <v>8969.0</v>
      </c>
      <c r="B7750" s="3" t="s">
        <v>22212</v>
      </c>
      <c r="C7750" s="3">
        <v>0.0</v>
      </c>
      <c r="D7750" s="3">
        <v>0.0</v>
      </c>
      <c r="E7750" s="3">
        <v>2.0</v>
      </c>
      <c r="F7750" s="3" t="s">
        <v>22213</v>
      </c>
      <c r="G7750" s="3">
        <v>0.0</v>
      </c>
      <c r="H7750" s="3">
        <v>0.0</v>
      </c>
      <c r="I7750" s="3" t="s">
        <v>13</v>
      </c>
      <c r="J7750" s="3" t="s">
        <v>22214</v>
      </c>
      <c r="K7750" s="3" t="s">
        <v>41</v>
      </c>
      <c r="L7750" s="3" t="str">
        <f>IFERROR(__xludf.DUMMYFUNCTION("GOOGLETRANSLATE(F7750,""id"",""en"")"),"The country champions of the President of the President Argentina showing off the front selfie")</f>
        <v>The country champions of the President of the President Argentina showing off the front selfie</v>
      </c>
    </row>
    <row r="7751" ht="15.75" customHeight="1">
      <c r="A7751" s="1">
        <v>8970.0</v>
      </c>
      <c r="B7751" s="3" t="s">
        <v>22215</v>
      </c>
      <c r="C7751" s="3">
        <v>0.0</v>
      </c>
      <c r="D7751" s="3">
        <v>0.0</v>
      </c>
      <c r="E7751" s="3">
        <v>0.0</v>
      </c>
      <c r="F7751" s="3" t="s">
        <v>22216</v>
      </c>
      <c r="G7751" s="3">
        <v>0.0</v>
      </c>
      <c r="H7751" s="3">
        <v>0.0</v>
      </c>
      <c r="I7751" s="3" t="s">
        <v>13</v>
      </c>
      <c r="J7751" s="3" t="s">
        <v>22217</v>
      </c>
      <c r="K7751" s="3" t="s">
        <v>1628</v>
      </c>
      <c r="L7751" s="3" t="str">
        <f>IFERROR(__xludf.DUMMYFUNCTION("GOOGLETRANSLATE(F7751,""id"",""en"")"),"Praise God after the year of Argentina always failed to win the World Cup finally only in the government of Mr. Argentina succeeded in the world champion again thank you very much Mr. Jokowi")</f>
        <v>Praise God after the year of Argentina always failed to win the World Cup finally only in the government of Mr. Argentina succeeded in the world champion again thank you very much Mr. Jokowi</v>
      </c>
    </row>
    <row r="7752" ht="15.75" customHeight="1">
      <c r="A7752" s="1">
        <v>8971.0</v>
      </c>
      <c r="B7752" s="3" t="s">
        <v>22218</v>
      </c>
      <c r="C7752" s="3">
        <v>0.0</v>
      </c>
      <c r="D7752" s="3">
        <v>0.0</v>
      </c>
      <c r="E7752" s="3">
        <v>0.0</v>
      </c>
      <c r="F7752" s="3" t="s">
        <v>22219</v>
      </c>
      <c r="G7752" s="3">
        <v>0.0</v>
      </c>
      <c r="H7752" s="3">
        <v>0.0</v>
      </c>
      <c r="I7752" s="3" t="s">
        <v>13</v>
      </c>
      <c r="J7752" s="3" t="s">
        <v>22220</v>
      </c>
      <c r="K7752" s="3" t="s">
        <v>15</v>
      </c>
      <c r="L7752" s="3" t="str">
        <f>IFERROR(__xludf.DUMMYFUNCTION("GOOGLETRANSLATE(F7752,""id"",""en"")"),"Video of his country champions President Argentina showing off the front selfie")</f>
        <v>Video of his country champions President Argentina showing off the front selfie</v>
      </c>
    </row>
    <row r="7753" ht="15.75" customHeight="1">
      <c r="A7753" s="1">
        <v>8972.0</v>
      </c>
      <c r="B7753" s="3" t="s">
        <v>22221</v>
      </c>
      <c r="C7753" s="3">
        <v>0.0</v>
      </c>
      <c r="D7753" s="3">
        <v>0.0</v>
      </c>
      <c r="E7753" s="3">
        <v>0.0</v>
      </c>
      <c r="F7753" s="3" t="s">
        <v>22222</v>
      </c>
      <c r="G7753" s="3">
        <v>0.0</v>
      </c>
      <c r="H7753" s="3">
        <v>0.0</v>
      </c>
      <c r="I7753" s="3" t="s">
        <v>13</v>
      </c>
      <c r="J7753" s="3" t="s">
        <v>22223</v>
      </c>
      <c r="K7753" s="3" t="s">
        <v>1428</v>
      </c>
      <c r="L7753" s="3" t="str">
        <f>IFERROR(__xludf.DUMMYFUNCTION("GOOGLETRANSLATE(F7753,""id"",""en"")"),"Again Viral a video piece that described Messi hugging with his mother in the middle of the field after bringing Argentina World Cup Champion Mother who hugged Messi was the Argentina national team chef Sumber")</f>
        <v>Again Viral a video piece that described Messi hugging with his mother in the middle of the field after bringing Argentina World Cup Champion Mother who hugged Messi was the Argentina national team chef Sumber</v>
      </c>
    </row>
    <row r="7754" ht="15.75" customHeight="1">
      <c r="A7754" s="1">
        <v>8973.0</v>
      </c>
      <c r="B7754" s="3" t="s">
        <v>22224</v>
      </c>
      <c r="C7754" s="3">
        <v>1.0</v>
      </c>
      <c r="D7754" s="3">
        <v>0.0</v>
      </c>
      <c r="E7754" s="3">
        <v>7.0</v>
      </c>
      <c r="F7754" s="3" t="s">
        <v>21026</v>
      </c>
      <c r="G7754" s="3">
        <v>0.0</v>
      </c>
      <c r="H7754" s="3">
        <v>0.0</v>
      </c>
      <c r="I7754" s="3" t="s">
        <v>13</v>
      </c>
      <c r="J7754" s="3" t="s">
        <v>21027</v>
      </c>
      <c r="K7754" s="3" t="s">
        <v>19</v>
      </c>
      <c r="L7754" s="3" t="str">
        <f>IFERROR(__xludf.DUMMYFUNCTION("GOOGLETRANSLATE(F7754,""id"",""en"")"),"Believe it or not Argentina World Cup champions because of the Red Bracelet Amuits that Cristian Gonzales once used")</f>
        <v>Believe it or not Argentina World Cup champions because of the Red Bracelet Amuits that Cristian Gonzales once used</v>
      </c>
    </row>
    <row r="7755" ht="15.75" customHeight="1">
      <c r="A7755" s="1">
        <v>8974.0</v>
      </c>
      <c r="B7755" s="3" t="s">
        <v>22225</v>
      </c>
      <c r="C7755" s="3">
        <v>1.0</v>
      </c>
      <c r="D7755" s="3">
        <v>0.0</v>
      </c>
      <c r="E7755" s="3">
        <v>1.0</v>
      </c>
      <c r="F7755" s="3" t="s">
        <v>22226</v>
      </c>
      <c r="G7755" s="3">
        <v>0.0</v>
      </c>
      <c r="H7755" s="3">
        <v>0.0</v>
      </c>
      <c r="I7755" s="3" t="s">
        <v>13</v>
      </c>
      <c r="J7755" s="3" t="s">
        <v>22227</v>
      </c>
      <c r="K7755" s="3" t="s">
        <v>31</v>
      </c>
      <c r="L7755" s="3" t="str">
        <f>IFERROR(__xludf.DUMMYFUNCTION("GOOGLETRANSLATE(F7755,""id"",""en"")"),"know Argentina champions because he joined playing")</f>
        <v>know Argentina champions because he joined playing</v>
      </c>
    </row>
    <row r="7756" ht="15.75" customHeight="1">
      <c r="A7756" s="1">
        <v>8975.0</v>
      </c>
      <c r="B7756" s="3" t="s">
        <v>22228</v>
      </c>
      <c r="C7756" s="3">
        <v>1.0</v>
      </c>
      <c r="D7756" s="3">
        <v>0.0</v>
      </c>
      <c r="E7756" s="3">
        <v>1.0</v>
      </c>
      <c r="F7756" s="3" t="s">
        <v>22229</v>
      </c>
      <c r="G7756" s="3">
        <v>0.2</v>
      </c>
      <c r="H7756" s="3">
        <v>0.2</v>
      </c>
      <c r="I7756" s="3" t="s">
        <v>48</v>
      </c>
      <c r="J7756" s="3" t="s">
        <v>22230</v>
      </c>
      <c r="K7756" s="3" t="s">
        <v>31</v>
      </c>
      <c r="L7756" s="3" t="str">
        <f>IFERROR(__xludf.DUMMYFUNCTION("GOOGLETRANSLATE(F7756,""id"",""en"")"),"Thanks for Argentina, it's a champion")</f>
        <v>Thanks for Argentina, it's a champion</v>
      </c>
    </row>
    <row r="7757" ht="15.75" customHeight="1">
      <c r="A7757" s="1">
        <v>8976.0</v>
      </c>
      <c r="B7757" s="3" t="s">
        <v>22231</v>
      </c>
      <c r="C7757" s="3">
        <v>0.0</v>
      </c>
      <c r="D7757" s="3">
        <v>0.0</v>
      </c>
      <c r="E7757" s="3">
        <v>1.0</v>
      </c>
      <c r="F7757" s="3" t="s">
        <v>22232</v>
      </c>
      <c r="G7757" s="3">
        <v>0.0</v>
      </c>
      <c r="H7757" s="3">
        <v>0.0</v>
      </c>
      <c r="I7757" s="3" t="s">
        <v>13</v>
      </c>
      <c r="J7757" s="3" t="s">
        <v>22233</v>
      </c>
      <c r="K7757" s="3" t="s">
        <v>244</v>
      </c>
      <c r="L7757" s="3" t="str">
        <f>IFERROR(__xludf.DUMMYFUNCTION("GOOGLETRANSLATE(F7757,""id"",""en"")"),"It's Argentina's turn to champion org so in detail about regulation, yeah, cool cool")</f>
        <v>It's Argentina's turn to champion org so in detail about regulation, yeah, cool cool</v>
      </c>
    </row>
    <row r="7758" ht="15.75" customHeight="1">
      <c r="A7758" s="1">
        <v>8977.0</v>
      </c>
      <c r="B7758" s="3" t="s">
        <v>22234</v>
      </c>
      <c r="C7758" s="3">
        <v>0.0</v>
      </c>
      <c r="D7758" s="3">
        <v>0.0</v>
      </c>
      <c r="E7758" s="3">
        <v>0.0</v>
      </c>
      <c r="F7758" s="3" t="s">
        <v>22235</v>
      </c>
      <c r="G7758" s="3">
        <v>0.0</v>
      </c>
      <c r="H7758" s="3">
        <v>0.0</v>
      </c>
      <c r="I7758" s="3" t="s">
        <v>13</v>
      </c>
      <c r="J7758" s="3" t="s">
        <v>22236</v>
      </c>
      <c r="K7758" s="3" t="s">
        <v>510</v>
      </c>
      <c r="L7758" s="3" t="str">
        <f>IFERROR(__xludf.DUMMYFUNCTION("GOOGLETRANSLATE(F7758,""id"",""en"")"),"Ancelotti Praise the Performance of Scaloni Bring Argentina World Cup Champion DetikSport Google News Sports News")</f>
        <v>Ancelotti Praise the Performance of Scaloni Bring Argentina World Cup Champion DetikSport Google News Sports News</v>
      </c>
    </row>
    <row r="7759" ht="15.75" customHeight="1">
      <c r="A7759" s="1">
        <v>8978.0</v>
      </c>
      <c r="B7759" s="3" t="s">
        <v>22237</v>
      </c>
      <c r="C7759" s="3">
        <v>0.0</v>
      </c>
      <c r="D7759" s="3">
        <v>1.0</v>
      </c>
      <c r="E7759" s="3">
        <v>1.0</v>
      </c>
      <c r="F7759" s="3" t="s">
        <v>22238</v>
      </c>
      <c r="G7759" s="3">
        <v>0.0</v>
      </c>
      <c r="H7759" s="3">
        <v>0.0</v>
      </c>
      <c r="I7759" s="3" t="s">
        <v>13</v>
      </c>
      <c r="J7759" s="3" t="s">
        <v>22239</v>
      </c>
      <c r="K7759" s="3" t="s">
        <v>584</v>
      </c>
      <c r="L7759" s="3" t="str">
        <f>IFERROR(__xludf.DUMMYFUNCTION("GOOGLETRANSLATE(F7759,""id"",""en"")"),"Alhir Years who happy Messi succeeded in bringing Argentina champion FIFA World Cup Qatar and my new book from Lighthouse Cafe to classrooms was launched by SIP Publishing Purwokerto Closing a beautiful year")</f>
        <v>Alhir Years who happy Messi succeeded in bringing Argentina champion FIFA World Cup Qatar and my new book from Lighthouse Cafe to classrooms was launched by SIP Publishing Purwokerto Closing a beautiful year</v>
      </c>
    </row>
    <row r="7760" ht="15.75" customHeight="1">
      <c r="A7760" s="1">
        <v>8979.0</v>
      </c>
      <c r="B7760" s="3" t="s">
        <v>22240</v>
      </c>
      <c r="C7760" s="3">
        <v>0.0</v>
      </c>
      <c r="D7760" s="3">
        <v>0.0</v>
      </c>
      <c r="E7760" s="3">
        <v>0.0</v>
      </c>
      <c r="F7760" s="3" t="s">
        <v>22241</v>
      </c>
      <c r="G7760" s="3">
        <v>0.0</v>
      </c>
      <c r="H7760" s="3">
        <v>0.0</v>
      </c>
      <c r="I7760" s="3" t="s">
        <v>13</v>
      </c>
      <c r="J7760" s="3" t="s">
        <v>16942</v>
      </c>
      <c r="K7760" s="3" t="s">
        <v>644</v>
      </c>
      <c r="L7760" s="3" t="str">
        <f>IFERROR(__xludf.DUMMYFUNCTION("GOOGLETRANSLATE(F7760,""id"",""en"")"),"Argentina Champion World Cup")</f>
        <v>Argentina Champion World Cup</v>
      </c>
    </row>
    <row r="7761" ht="15.75" customHeight="1">
      <c r="A7761" s="1">
        <v>8980.0</v>
      </c>
      <c r="B7761" s="3" t="s">
        <v>22242</v>
      </c>
      <c r="C7761" s="3">
        <v>2.0</v>
      </c>
      <c r="D7761" s="3">
        <v>0.0</v>
      </c>
      <c r="E7761" s="3">
        <v>0.0</v>
      </c>
      <c r="F7761" s="3" t="s">
        <v>22243</v>
      </c>
      <c r="G7761" s="3">
        <v>0.0</v>
      </c>
      <c r="H7761" s="3">
        <v>0.0</v>
      </c>
      <c r="I7761" s="3" t="s">
        <v>13</v>
      </c>
      <c r="J7761" s="3" t="s">
        <v>22244</v>
      </c>
      <c r="K7761" s="3" t="s">
        <v>358</v>
      </c>
      <c r="L7761" s="3" t="str">
        <f>IFERROR(__xludf.DUMMYFUNCTION("GOOGLETRANSLATE(F7761,""id"",""en"")"),"btw why does finalissima only have a region champion in Argentina and Italy, the history is how serious I just found out because when yesterday Argentina won")</f>
        <v>btw why does finalissima only have a region champion in Argentina and Italy, the history is how serious I just found out because when yesterday Argentina won</v>
      </c>
    </row>
    <row r="7762" ht="15.75" customHeight="1">
      <c r="A7762" s="1">
        <v>8981.0</v>
      </c>
      <c r="B7762" s="3" t="s">
        <v>22245</v>
      </c>
      <c r="C7762" s="3">
        <v>0.0</v>
      </c>
      <c r="D7762" s="3">
        <v>0.0</v>
      </c>
      <c r="E7762" s="3">
        <v>0.0</v>
      </c>
      <c r="F7762" s="3" t="s">
        <v>22246</v>
      </c>
      <c r="G7762" s="3">
        <v>0.0</v>
      </c>
      <c r="H7762" s="3">
        <v>0.0</v>
      </c>
      <c r="I7762" s="3" t="s">
        <v>13</v>
      </c>
      <c r="J7762" s="3" t="s">
        <v>22247</v>
      </c>
      <c r="K7762" s="3" t="s">
        <v>657</v>
      </c>
      <c r="L7762" s="3" t="str">
        <f>IFERROR(__xludf.DUMMYFUNCTION("GOOGLETRANSLATE(F7762,""id"",""en"")"),"if this world cup is setting, the French champion is the problem because people in all Argentina cook bookies want to lose")</f>
        <v>if this world cup is setting, the French champion is the problem because people in all Argentina cook bookies want to lose</v>
      </c>
    </row>
    <row r="7763" ht="15.75" customHeight="1">
      <c r="A7763" s="1">
        <v>8982.0</v>
      </c>
      <c r="B7763" s="3" t="s">
        <v>22248</v>
      </c>
      <c r="C7763" s="3">
        <v>0.0</v>
      </c>
      <c r="D7763" s="3">
        <v>0.0</v>
      </c>
      <c r="E7763" s="3">
        <v>1.0</v>
      </c>
      <c r="F7763" s="3" t="s">
        <v>22249</v>
      </c>
      <c r="G7763" s="3">
        <v>0.0</v>
      </c>
      <c r="H7763" s="3">
        <v>0.0</v>
      </c>
      <c r="I7763" s="3" t="s">
        <v>13</v>
      </c>
      <c r="J7763" s="3" t="s">
        <v>22250</v>
      </c>
      <c r="K7763" s="3" t="s">
        <v>510</v>
      </c>
      <c r="L7763" s="3" t="str">
        <f>IFERROR(__xludf.DUMMYFUNCTION("GOOGLETRANSLATE(F7763,""id"",""en"")"),"Argentina can win one factor, Mike Maignan is injured by Hugo Lloris, not nepis, a penalty")</f>
        <v>Argentina can win one factor, Mike Maignan is injured by Hugo Lloris, not nepis, a penalty</v>
      </c>
    </row>
    <row r="7764" ht="15.75" customHeight="1">
      <c r="A7764" s="1">
        <v>8983.0</v>
      </c>
      <c r="B7764" s="3" t="s">
        <v>22251</v>
      </c>
      <c r="C7764" s="3">
        <v>0.0</v>
      </c>
      <c r="D7764" s="3">
        <v>0.0</v>
      </c>
      <c r="E7764" s="3">
        <v>0.0</v>
      </c>
      <c r="F7764" s="3" t="s">
        <v>22252</v>
      </c>
      <c r="G7764" s="3">
        <v>1.0</v>
      </c>
      <c r="H7764" s="3">
        <v>0.0</v>
      </c>
      <c r="I7764" s="3" t="s">
        <v>13</v>
      </c>
      <c r="J7764" s="3" t="s">
        <v>22253</v>
      </c>
      <c r="K7764" s="3" t="s">
        <v>75</v>
      </c>
      <c r="L7764" s="3" t="str">
        <f>IFERROR(__xludf.DUMMYFUNCTION("GOOGLETRANSLATE(F7764,""id"",""en"")"),"know France lost final against Argentina but you still defending my heart wkwk")</f>
        <v>know France lost final against Argentina but you still defending my heart wkwk</v>
      </c>
    </row>
    <row r="7765" ht="15.75" customHeight="1">
      <c r="A7765" s="1">
        <v>8984.0</v>
      </c>
      <c r="B7765" s="3" t="s">
        <v>22254</v>
      </c>
      <c r="C7765" s="3">
        <v>0.0</v>
      </c>
      <c r="D7765" s="3">
        <v>1.0</v>
      </c>
      <c r="E7765" s="3">
        <v>0.0</v>
      </c>
      <c r="F7765" s="3" t="s">
        <v>22255</v>
      </c>
      <c r="G7765" s="3">
        <v>0.0</v>
      </c>
      <c r="H7765" s="3">
        <v>0.0</v>
      </c>
      <c r="I7765" s="3" t="s">
        <v>13</v>
      </c>
      <c r="J7765" s="3" t="s">
        <v>22256</v>
      </c>
      <c r="K7765" s="3" t="s">
        <v>82</v>
      </c>
      <c r="L7765" s="3" t="str">
        <f>IFERROR(__xludf.DUMMYFUNCTION("GOOGLETRANSLATE(F7765,""id"",""en"")"),"Add a handsome joint using a world champion patch")</f>
        <v>Add a handsome joint using a world champion patch</v>
      </c>
    </row>
    <row r="7766" ht="15.75" customHeight="1">
      <c r="A7766" s="1">
        <v>8985.0</v>
      </c>
      <c r="B7766" s="3" t="s">
        <v>22257</v>
      </c>
      <c r="C7766" s="3">
        <v>1.0</v>
      </c>
      <c r="D7766" s="3">
        <v>0.0</v>
      </c>
      <c r="E7766" s="3">
        <v>0.0</v>
      </c>
      <c r="F7766" s="3" t="s">
        <v>22258</v>
      </c>
      <c r="G7766" s="3">
        <v>0.0</v>
      </c>
      <c r="H7766" s="3">
        <v>0.0</v>
      </c>
      <c r="I7766" s="3" t="s">
        <v>13</v>
      </c>
      <c r="J7766" s="3" t="s">
        <v>22259</v>
      </c>
      <c r="K7766" s="3" t="s">
        <v>50</v>
      </c>
      <c r="L7766" s="3" t="str">
        <f>IFERROR(__xludf.DUMMYFUNCTION("GOOGLETRANSLATE(F7766,""id"",""en"")"),"Celebrate the Argentine World title set a national holiday on Tuesday this December")</f>
        <v>Celebrate the Argentine World title set a national holiday on Tuesday this December</v>
      </c>
    </row>
    <row r="7767" ht="15.75" customHeight="1">
      <c r="A7767" s="1">
        <v>8986.0</v>
      </c>
      <c r="B7767" s="3" t="s">
        <v>22260</v>
      </c>
      <c r="C7767" s="3">
        <v>0.0</v>
      </c>
      <c r="D7767" s="3">
        <v>0.0</v>
      </c>
      <c r="E7767" s="3">
        <v>0.0</v>
      </c>
      <c r="F7767" s="3" t="s">
        <v>22261</v>
      </c>
      <c r="G7767" s="3">
        <v>0.0</v>
      </c>
      <c r="H7767" s="3">
        <v>0.0</v>
      </c>
      <c r="I7767" s="3" t="s">
        <v>13</v>
      </c>
      <c r="J7767" s="3" t="s">
        <v>22262</v>
      </c>
      <c r="K7767" s="3" t="s">
        <v>75</v>
      </c>
      <c r="L7767" s="3" t="str">
        <f>IFERROR(__xludf.DUMMYFUNCTION("GOOGLETRANSLATE(F7767,""id"",""en"")"),"DLVR Again Roy Keane Serang Brazil after Argentina Champion World Cup")</f>
        <v>DLVR Again Roy Keane Serang Brazil after Argentina Champion World Cup</v>
      </c>
    </row>
    <row r="7768" ht="15.75" customHeight="1">
      <c r="A7768" s="1">
        <v>8987.0</v>
      </c>
      <c r="B7768" s="3" t="s">
        <v>22263</v>
      </c>
      <c r="C7768" s="3">
        <v>2.0</v>
      </c>
      <c r="D7768" s="3">
        <v>0.0</v>
      </c>
      <c r="E7768" s="3">
        <v>4.0</v>
      </c>
      <c r="F7768" s="3" t="s">
        <v>22264</v>
      </c>
      <c r="G7768" s="3">
        <v>0.0</v>
      </c>
      <c r="H7768" s="3">
        <v>0.0</v>
      </c>
      <c r="I7768" s="3" t="s">
        <v>13</v>
      </c>
      <c r="J7768" s="3" t="s">
        <v>22265</v>
      </c>
      <c r="K7768" s="3" t="s">
        <v>437</v>
      </c>
      <c r="L7768" s="3" t="str">
        <f>IFERROR(__xludf.DUMMYFUNCTION("GOOGLETRANSLATE(F7768,""id"",""en"")"),"idn uel can be the champion as long as the play is insistent and compact, don't be mostly shut up for the example of Argentina, the players are all insistent")</f>
        <v>idn uel can be the champion as long as the play is insistent and compact, don't be mostly shut up for the example of Argentina, the players are all insistent</v>
      </c>
    </row>
    <row r="7769" ht="15.75" customHeight="1">
      <c r="A7769" s="1">
        <v>8988.0</v>
      </c>
      <c r="B7769" s="3" t="s">
        <v>22266</v>
      </c>
      <c r="C7769" s="3">
        <v>0.0</v>
      </c>
      <c r="D7769" s="3">
        <v>4.0</v>
      </c>
      <c r="E7769" s="3">
        <v>0.0</v>
      </c>
      <c r="F7769" s="3" t="s">
        <v>22267</v>
      </c>
      <c r="G7769" s="3">
        <v>0.0</v>
      </c>
      <c r="H7769" s="3">
        <v>0.0</v>
      </c>
      <c r="I7769" s="3" t="s">
        <v>13</v>
      </c>
      <c r="J7769" s="3" t="s">
        <v>22268</v>
      </c>
      <c r="K7769" s="3" t="s">
        <v>75</v>
      </c>
      <c r="L7769" s="3" t="str">
        <f>IFERROR(__xludf.DUMMYFUNCTION("GOOGLETRANSLATE(F7769,""id"",""en"")"),"Interesting Facts After Argentina World Cup Champion Moment Lionel Messi")</f>
        <v>Interesting Facts After Argentina World Cup Champion Moment Lionel Messi</v>
      </c>
    </row>
    <row r="7770" ht="15.75" customHeight="1">
      <c r="A7770" s="1">
        <v>8989.0</v>
      </c>
      <c r="B7770" s="3" t="s">
        <v>22269</v>
      </c>
      <c r="C7770" s="3">
        <v>0.0</v>
      </c>
      <c r="D7770" s="3">
        <v>0.0</v>
      </c>
      <c r="E7770" s="3">
        <v>0.0</v>
      </c>
      <c r="F7770" s="3" t="s">
        <v>22270</v>
      </c>
      <c r="G7770" s="3">
        <v>0.0</v>
      </c>
      <c r="H7770" s="3">
        <v>0.0</v>
      </c>
      <c r="I7770" s="3" t="s">
        <v>13</v>
      </c>
      <c r="J7770" s="3" t="s">
        <v>22271</v>
      </c>
      <c r="K7770" s="3" t="s">
        <v>41</v>
      </c>
      <c r="L7770" s="3" t="str">
        <f>IFERROR(__xludf.DUMMYFUNCTION("GOOGLETRANSLATE(F7770,""id"",""en"")"),"Only the leadership of Iwan Bule Argentina could win the World Cup")</f>
        <v>Only the leadership of Iwan Bule Argentina could win the World Cup</v>
      </c>
    </row>
    <row r="7771" ht="15.75" customHeight="1">
      <c r="A7771" s="1">
        <v>8990.0</v>
      </c>
      <c r="B7771" s="3" t="s">
        <v>22272</v>
      </c>
      <c r="C7771" s="3">
        <v>0.0</v>
      </c>
      <c r="D7771" s="3">
        <v>3.0</v>
      </c>
      <c r="E7771" s="3">
        <v>23.0</v>
      </c>
      <c r="F7771" s="3" t="s">
        <v>22273</v>
      </c>
      <c r="G7771" s="3">
        <v>0.2333333333333333</v>
      </c>
      <c r="H7771" s="3">
        <v>-0.25</v>
      </c>
      <c r="I7771" s="3" t="s">
        <v>179</v>
      </c>
      <c r="J7771" s="3" t="s">
        <v>22274</v>
      </c>
      <c r="K7771" s="3" t="s">
        <v>1428</v>
      </c>
      <c r="L7771" s="3" t="str">
        <f>IFERROR(__xludf.DUMMYFUNCTION("GOOGLETRANSLATE(F7771,""id"",""en"")"),"Argentine supporters who are in the streets of the city of Lusail Doha welcomed the parade of the Argentine players all the players were on an open bus with the trophy they had just achieved how it felt like")</f>
        <v>Argentine supporters who are in the streets of the city of Lusail Doha welcomed the parade of the Argentine players all the players were on an open bus with the trophy they had just achieved how it felt like</v>
      </c>
    </row>
    <row r="7772" ht="15.75" customHeight="1">
      <c r="A7772" s="1">
        <v>8991.0</v>
      </c>
      <c r="B7772" s="3" t="s">
        <v>22275</v>
      </c>
      <c r="C7772" s="3">
        <v>0.0</v>
      </c>
      <c r="D7772" s="3">
        <v>0.0</v>
      </c>
      <c r="E7772" s="3">
        <v>0.0</v>
      </c>
      <c r="F7772" s="3" t="s">
        <v>22276</v>
      </c>
      <c r="G7772" s="3">
        <v>0.0</v>
      </c>
      <c r="H7772" s="3">
        <v>0.0</v>
      </c>
      <c r="I7772" s="3" t="s">
        <v>13</v>
      </c>
      <c r="J7772" s="3" t="s">
        <v>22277</v>
      </c>
      <c r="K7772" s="3" t="s">
        <v>644</v>
      </c>
      <c r="L7772" s="3" t="str">
        <f>IFERROR(__xludf.DUMMYFUNCTION("GOOGLETRANSLATE(F7772,""id"",""en"")"),"Argentina is again an economic recession but can win")</f>
        <v>Argentina is again an economic recession but can win</v>
      </c>
    </row>
    <row r="7773" ht="15.75" customHeight="1">
      <c r="A7773" s="1">
        <v>8992.0</v>
      </c>
      <c r="B7773" s="3" t="s">
        <v>22278</v>
      </c>
      <c r="C7773" s="3">
        <v>0.0</v>
      </c>
      <c r="D7773" s="3">
        <v>0.0</v>
      </c>
      <c r="E7773" s="3">
        <v>0.0</v>
      </c>
      <c r="F7773" s="3" t="s">
        <v>22279</v>
      </c>
      <c r="G7773" s="3">
        <v>0.0</v>
      </c>
      <c r="H7773" s="3">
        <v>0.0</v>
      </c>
      <c r="I7773" s="3" t="s">
        <v>13</v>
      </c>
      <c r="J7773" s="3" t="s">
        <v>22280</v>
      </c>
      <c r="K7773" s="3" t="s">
        <v>657</v>
      </c>
      <c r="L7773" s="3" t="str">
        <f>IFERROR(__xludf.DUMMYFUNCTION("GOOGLETRANSLATE(F7773,""id"",""en"")"),"Head of Regional Office of Kemenkumham Central Java Yuspahruddin Argentina World Champion Andri Lesmano Cooperation and Spirit is the key to success")</f>
        <v>Head of Regional Office of Kemenkumham Central Java Yuspahruddin Argentina World Champion Andri Lesmano Cooperation and Spirit is the key to success</v>
      </c>
    </row>
    <row r="7774" ht="15.75" customHeight="1">
      <c r="A7774" s="1">
        <v>8993.0</v>
      </c>
      <c r="B7774" s="3" t="s">
        <v>22281</v>
      </c>
      <c r="C7774" s="3">
        <v>0.0</v>
      </c>
      <c r="D7774" s="3">
        <v>0.0</v>
      </c>
      <c r="E7774" s="3">
        <v>0.0</v>
      </c>
      <c r="F7774" s="3" t="s">
        <v>22282</v>
      </c>
      <c r="G7774" s="3">
        <v>0.0</v>
      </c>
      <c r="H7774" s="3">
        <v>0.0</v>
      </c>
      <c r="I7774" s="3" t="s">
        <v>13</v>
      </c>
      <c r="J7774" s="3" t="s">
        <v>22283</v>
      </c>
      <c r="K7774" s="3" t="s">
        <v>15</v>
      </c>
      <c r="L7774" s="3" t="str">
        <f>IFERROR(__xludf.DUMMYFUNCTION("GOOGLETRANSLATE(F7774,""id"",""en"")"),"This astonishing this is an extraordinary bonus for the Argentine soccer national team")</f>
        <v>This astonishing this is an extraordinary bonus for the Argentine soccer national team</v>
      </c>
    </row>
    <row r="7775" ht="15.75" customHeight="1">
      <c r="A7775" s="1">
        <v>8994.0</v>
      </c>
      <c r="B7775" s="3" t="s">
        <v>22284</v>
      </c>
      <c r="C7775" s="3">
        <v>0.0</v>
      </c>
      <c r="D7775" s="3">
        <v>0.0</v>
      </c>
      <c r="E7775" s="3">
        <v>0.0</v>
      </c>
      <c r="F7775" s="3" t="s">
        <v>22285</v>
      </c>
      <c r="G7775" s="3">
        <v>0.0</v>
      </c>
      <c r="H7775" s="3">
        <v>0.0</v>
      </c>
      <c r="I7775" s="3" t="s">
        <v>13</v>
      </c>
      <c r="J7775" s="3" t="s">
        <v>22286</v>
      </c>
      <c r="K7775" s="3" t="s">
        <v>41</v>
      </c>
      <c r="L7775" s="3" t="str">
        <f>IFERROR(__xludf.DUMMYFUNCTION("GOOGLETRANSLATE(F7775,""id"",""en"")"),"Argentina World Cup Champion Sets a National Holidays December")</f>
        <v>Argentina World Cup Champion Sets a National Holidays December</v>
      </c>
    </row>
    <row r="7776" ht="15.75" customHeight="1">
      <c r="A7776" s="1">
        <v>8995.0</v>
      </c>
      <c r="B7776" s="3" t="s">
        <v>22287</v>
      </c>
      <c r="C7776" s="3">
        <v>2.0</v>
      </c>
      <c r="D7776" s="3">
        <v>4.0</v>
      </c>
      <c r="E7776" s="3">
        <v>2.0</v>
      </c>
      <c r="F7776" s="3" t="s">
        <v>22288</v>
      </c>
      <c r="G7776" s="3">
        <v>0.0</v>
      </c>
      <c r="H7776" s="3">
        <v>0.0</v>
      </c>
      <c r="I7776" s="3" t="s">
        <v>13</v>
      </c>
      <c r="J7776" s="3" t="s">
        <v>22289</v>
      </c>
      <c r="K7776" s="3" t="s">
        <v>15</v>
      </c>
      <c r="L7776" s="3" t="str">
        <f>IFERROR(__xludf.DUMMYFUNCTION("GOOGLETRANSLATE(F7776,""id"",""en"")"),"Argentina This champion is only a dream of all of us actually living in the influence of Genjutsu")</f>
        <v>Argentina This champion is only a dream of all of us actually living in the influence of Genjutsu</v>
      </c>
    </row>
    <row r="7777" ht="15.75" customHeight="1">
      <c r="A7777" s="1">
        <v>8996.0</v>
      </c>
      <c r="B7777" s="3" t="s">
        <v>22290</v>
      </c>
      <c r="C7777" s="3">
        <v>0.0</v>
      </c>
      <c r="D7777" s="3">
        <v>0.0</v>
      </c>
      <c r="E7777" s="3">
        <v>2.0</v>
      </c>
      <c r="F7777" s="3" t="s">
        <v>22291</v>
      </c>
      <c r="G7777" s="3">
        <v>0.0</v>
      </c>
      <c r="H7777" s="3">
        <v>0.0</v>
      </c>
      <c r="I7777" s="3" t="s">
        <v>13</v>
      </c>
      <c r="J7777" s="3" t="s">
        <v>22292</v>
      </c>
      <c r="K7777" s="3" t="s">
        <v>441</v>
      </c>
      <c r="L7777" s="3" t="str">
        <f>IFERROR(__xludf.DUMMYFUNCTION("GOOGLETRANSLATE(F7777,""id"",""en"")"),"Let him, he is a former pro footballer, he is an Argentine citizen, he is a former Argentine player, he's a legend of Argentina unless he is an ARGEN citizen, who is famous and not a footballer, he also participates in the championship together")</f>
        <v>Let him, he is a former pro footballer, he is an Argentine citizen, he is a former Argentine player, he's a legend of Argentina unless he is an ARGEN citizen, who is famous and not a footballer, he also participates in the championship together</v>
      </c>
    </row>
    <row r="7778" ht="15.75" customHeight="1">
      <c r="A7778" s="1">
        <v>8997.0</v>
      </c>
      <c r="B7778" s="3" t="s">
        <v>22293</v>
      </c>
      <c r="C7778" s="3">
        <v>0.0</v>
      </c>
      <c r="D7778" s="3">
        <v>0.0</v>
      </c>
      <c r="E7778" s="3">
        <v>8.0</v>
      </c>
      <c r="F7778" s="3" t="s">
        <v>22294</v>
      </c>
      <c r="G7778" s="3">
        <v>0.75</v>
      </c>
      <c r="H7778" s="3">
        <v>0.0</v>
      </c>
      <c r="I7778" s="3" t="s">
        <v>13</v>
      </c>
      <c r="J7778" s="3" t="s">
        <v>22295</v>
      </c>
      <c r="K7778" s="3" t="s">
        <v>510</v>
      </c>
      <c r="L7778" s="3" t="str">
        <f>IFERROR(__xludf.DUMMYFUNCTION("GOOGLETRANSLATE(F7778,""id"",""en"")"),"After being tired of playing FIFA champion Messi Indonesia to feel the Indonesian Traditional Massage Congratulations for Argentina")</f>
        <v>After being tired of playing FIFA champion Messi Indonesia to feel the Indonesian Traditional Massage Congratulations for Argentina</v>
      </c>
    </row>
    <row r="7779" ht="15.75" customHeight="1">
      <c r="A7779" s="1">
        <v>8998.0</v>
      </c>
      <c r="B7779" s="3" t="s">
        <v>22296</v>
      </c>
      <c r="C7779" s="3">
        <v>0.0</v>
      </c>
      <c r="D7779" s="3">
        <v>0.0</v>
      </c>
      <c r="E7779" s="3">
        <v>0.0</v>
      </c>
      <c r="F7779" s="3" t="s">
        <v>22297</v>
      </c>
      <c r="G7779" s="3">
        <v>0.0</v>
      </c>
      <c r="H7779" s="3">
        <v>0.0</v>
      </c>
      <c r="I7779" s="3" t="s">
        <v>13</v>
      </c>
      <c r="J7779" s="3" t="s">
        <v>22298</v>
      </c>
      <c r="K7779" s="3" t="s">
        <v>644</v>
      </c>
      <c r="L7779" s="3" t="str">
        <f>IFERROR(__xludf.DUMMYFUNCTION("GOOGLETRANSLATE(F7779,""id"",""en"")"),"Skrang Argentina and Messi have won")</f>
        <v>Skrang Argentina and Messi have won</v>
      </c>
    </row>
    <row r="7780" ht="15.75" customHeight="1">
      <c r="A7780" s="1">
        <v>8999.0</v>
      </c>
      <c r="B7780" s="3" t="s">
        <v>22299</v>
      </c>
      <c r="C7780" s="3">
        <v>0.0</v>
      </c>
      <c r="D7780" s="3">
        <v>0.0</v>
      </c>
      <c r="E7780" s="3">
        <v>0.0</v>
      </c>
      <c r="F7780" s="3" t="s">
        <v>22300</v>
      </c>
      <c r="G7780" s="3">
        <v>0.0</v>
      </c>
      <c r="H7780" s="3">
        <v>0.0</v>
      </c>
      <c r="I7780" s="3" t="s">
        <v>13</v>
      </c>
      <c r="J7780" s="3" t="s">
        <v>22301</v>
      </c>
      <c r="K7780" s="3" t="s">
        <v>15</v>
      </c>
      <c r="L7780" s="3" t="str">
        <f>IFERROR(__xludf.DUMMYFUNCTION("GOOGLETRANSLATE(F7780,""id"",""en"")"),"Argentina Champion World Cup and Record Lionel Messi")</f>
        <v>Argentina Champion World Cup and Record Lionel Messi</v>
      </c>
    </row>
    <row r="7781" ht="15.75" customHeight="1">
      <c r="A7781" s="1">
        <v>9000.0</v>
      </c>
      <c r="B7781" s="3" t="s">
        <v>22302</v>
      </c>
      <c r="C7781" s="3">
        <v>0.0</v>
      </c>
      <c r="D7781" s="3">
        <v>0.0</v>
      </c>
      <c r="E7781" s="3">
        <v>4.0</v>
      </c>
      <c r="F7781" s="3" t="s">
        <v>22303</v>
      </c>
      <c r="G7781" s="3">
        <v>0.0</v>
      </c>
      <c r="H7781" s="3">
        <v>0.0</v>
      </c>
      <c r="I7781" s="3" t="s">
        <v>13</v>
      </c>
      <c r="J7781" s="3" t="s">
        <v>22304</v>
      </c>
      <c r="K7781" s="3" t="s">
        <v>495</v>
      </c>
      <c r="L7781" s="3" t="str">
        <f>IFERROR(__xludf.DUMMYFUNCTION("GOOGLETRANSLATE(F7781,""id"",""en"")"),"The Argentine people will party with the Buenos Aires players celebrating the World Cup title Lionel Messi impatiently waiting for that moment")</f>
        <v>The Argentine people will party with the Buenos Aires players celebrating the World Cup title Lionel Messi impatiently waiting for that moment</v>
      </c>
    </row>
    <row r="7782" ht="15.75" customHeight="1">
      <c r="A7782" s="1">
        <v>9001.0</v>
      </c>
      <c r="B7782" s="3" t="s">
        <v>22305</v>
      </c>
      <c r="C7782" s="3">
        <v>1.0</v>
      </c>
      <c r="D7782" s="3">
        <v>0.0</v>
      </c>
      <c r="E7782" s="3">
        <v>1.0</v>
      </c>
      <c r="F7782" s="3" t="s">
        <v>22306</v>
      </c>
      <c r="G7782" s="3">
        <v>0.0</v>
      </c>
      <c r="H7782" s="3">
        <v>0.0</v>
      </c>
      <c r="I7782" s="3" t="s">
        <v>13</v>
      </c>
      <c r="J7782" s="3" t="s">
        <v>22307</v>
      </c>
      <c r="K7782" s="3" t="s">
        <v>82</v>
      </c>
      <c r="L7782" s="3" t="str">
        <f>IFERROR(__xludf.DUMMYFUNCTION("GOOGLETRANSLATE(F7782,""id"",""en"")"),"Messi Bring Argentina World Champion Ronaldo is still silent")</f>
        <v>Messi Bring Argentina World Champion Ronaldo is still silent</v>
      </c>
    </row>
    <row r="7783" ht="15.75" customHeight="1">
      <c r="A7783" s="1">
        <v>9002.0</v>
      </c>
      <c r="B7783" s="3" t="s">
        <v>22308</v>
      </c>
      <c r="C7783" s="3">
        <v>0.0</v>
      </c>
      <c r="D7783" s="3">
        <v>0.0</v>
      </c>
      <c r="E7783" s="3">
        <v>0.0</v>
      </c>
      <c r="F7783" s="3" t="s">
        <v>22309</v>
      </c>
      <c r="G7783" s="3">
        <v>0.0</v>
      </c>
      <c r="H7783" s="3">
        <v>0.0</v>
      </c>
      <c r="I7783" s="3" t="s">
        <v>13</v>
      </c>
      <c r="J7783" s="3" t="s">
        <v>22310</v>
      </c>
      <c r="K7783" s="3" t="s">
        <v>644</v>
      </c>
      <c r="L7783" s="3" t="str">
        <f>IFERROR(__xludf.DUMMYFUNCTION("GOOGLETRANSLATE(F7783,""id"",""en"")"),"Wkwkwkw Got The Joke")</f>
        <v>Wkwkwkw Got The Joke</v>
      </c>
    </row>
    <row r="7784" ht="15.75" customHeight="1">
      <c r="A7784" s="1">
        <v>9003.0</v>
      </c>
      <c r="B7784" s="3" t="s">
        <v>22311</v>
      </c>
      <c r="C7784" s="3">
        <v>0.0</v>
      </c>
      <c r="D7784" s="3">
        <v>0.0</v>
      </c>
      <c r="E7784" s="3">
        <v>0.0</v>
      </c>
      <c r="F7784" s="3" t="s">
        <v>22312</v>
      </c>
      <c r="G7784" s="3">
        <v>0.0</v>
      </c>
      <c r="H7784" s="3">
        <v>0.0</v>
      </c>
      <c r="I7784" s="3" t="s">
        <v>13</v>
      </c>
      <c r="J7784" s="3" t="s">
        <v>22313</v>
      </c>
      <c r="K7784" s="3" t="s">
        <v>657</v>
      </c>
      <c r="L7784" s="3" t="str">
        <f>IFERROR(__xludf.DUMMYFUNCTION("GOOGLETRANSLATE(F7784,""id"",""en"")"),"once made Messi broken heart Gotze Girang Argentina World Champion CNN Indonesia Google Sports News")</f>
        <v>once made Messi broken heart Gotze Girang Argentina World Champion CNN Indonesia Google Sports News</v>
      </c>
    </row>
    <row r="7785" ht="15.75" customHeight="1">
      <c r="A7785" s="1">
        <v>9004.0</v>
      </c>
      <c r="B7785" s="3" t="s">
        <v>22314</v>
      </c>
      <c r="C7785" s="3">
        <v>0.0</v>
      </c>
      <c r="D7785" s="3">
        <v>0.0</v>
      </c>
      <c r="E7785" s="3">
        <v>0.0</v>
      </c>
      <c r="F7785" s="3" t="s">
        <v>22315</v>
      </c>
      <c r="G7785" s="3">
        <v>0.3333333333333333</v>
      </c>
      <c r="H7785" s="3">
        <v>0.1666666666666667</v>
      </c>
      <c r="I7785" s="3" t="s">
        <v>48</v>
      </c>
      <c r="J7785" s="3" t="s">
        <v>22316</v>
      </c>
      <c r="K7785" s="3" t="s">
        <v>682</v>
      </c>
      <c r="L7785" s="3" t="str">
        <f>IFERROR(__xludf.DUMMYFUNCTION("GOOGLETRANSLATE(F7785,""id"",""en"")"),"Info Playing Lionel Messi World Cup Champion Cristiano Ronaldo Still Choose Portuguese Stars Cristiano Ronaldo until now still chose to be silent following the success of his rival Lionel Messi won the World Cup with Argentina")</f>
        <v>Info Playing Lionel Messi World Cup Champion Cristiano Ronaldo Still Choose Portuguese Stars Cristiano Ronaldo until now still chose to be silent following the success of his rival Lionel Messi won the World Cup with Argentina</v>
      </c>
    </row>
    <row r="7786" ht="15.75" customHeight="1">
      <c r="A7786" s="1">
        <v>9005.0</v>
      </c>
      <c r="B7786" s="3" t="s">
        <v>22317</v>
      </c>
      <c r="C7786" s="3">
        <v>1.0</v>
      </c>
      <c r="D7786" s="3">
        <v>0.0</v>
      </c>
      <c r="E7786" s="3">
        <v>1.0</v>
      </c>
      <c r="F7786" s="3" t="s">
        <v>22241</v>
      </c>
      <c r="G7786" s="3">
        <v>0.0</v>
      </c>
      <c r="H7786" s="3">
        <v>0.0</v>
      </c>
      <c r="I7786" s="3" t="s">
        <v>13</v>
      </c>
      <c r="J7786" s="3" t="s">
        <v>16942</v>
      </c>
      <c r="K7786" s="3" t="s">
        <v>644</v>
      </c>
      <c r="L7786" s="3" t="str">
        <f>IFERROR(__xludf.DUMMYFUNCTION("GOOGLETRANSLATE(F7786,""id"",""en"")"),"Argentina Champion World Cup")</f>
        <v>Argentina Champion World Cup</v>
      </c>
    </row>
    <row r="7787" ht="15.75" customHeight="1">
      <c r="A7787" s="1">
        <v>9006.0</v>
      </c>
      <c r="B7787" s="3" t="s">
        <v>22318</v>
      </c>
      <c r="C7787" s="3">
        <v>0.0</v>
      </c>
      <c r="D7787" s="3">
        <v>0.0</v>
      </c>
      <c r="E7787" s="3">
        <v>0.0</v>
      </c>
      <c r="F7787" s="3" t="s">
        <v>22319</v>
      </c>
      <c r="G7787" s="3">
        <v>0.0</v>
      </c>
      <c r="H7787" s="3">
        <v>0.0</v>
      </c>
      <c r="I7787" s="3" t="s">
        <v>13</v>
      </c>
      <c r="J7787" s="3" t="s">
        <v>22320</v>
      </c>
      <c r="K7787" s="3" t="s">
        <v>90</v>
      </c>
      <c r="L7787" s="3" t="str">
        <f>IFERROR(__xludf.DUMMYFUNCTION("GOOGLETRANSLATE(F7787,""id"",""en"")"),"In the morning I thought after the day after Lionel Messi won the World Cup with Argentina why not many congratulations from Elite Indonesia hmmmm")</f>
        <v>In the morning I thought after the day after Lionel Messi won the World Cup with Argentina why not many congratulations from Elite Indonesia hmmmm</v>
      </c>
    </row>
    <row r="7788" ht="15.75" customHeight="1">
      <c r="A7788" s="1">
        <v>9007.0</v>
      </c>
      <c r="B7788" s="3" t="s">
        <v>22321</v>
      </c>
      <c r="C7788" s="3">
        <v>1.0</v>
      </c>
      <c r="D7788" s="3">
        <v>0.0</v>
      </c>
      <c r="E7788" s="3">
        <v>0.0</v>
      </c>
      <c r="F7788" s="3" t="s">
        <v>22322</v>
      </c>
      <c r="G7788" s="3">
        <v>0.0</v>
      </c>
      <c r="H7788" s="3">
        <v>0.0</v>
      </c>
      <c r="I7788" s="3" t="s">
        <v>13</v>
      </c>
      <c r="J7788" s="3" t="s">
        <v>22323</v>
      </c>
      <c r="K7788" s="3" t="s">
        <v>1912</v>
      </c>
      <c r="L7788" s="3" t="str">
        <f>IFERROR(__xludf.DUMMYFUNCTION("GOOGLETRANSLATE(F7788,""id"",""en"")"),"and gaperlu comparing the European Cup with the Copa America again and Italian Euro champions yesterday were defeated by Argentina French world champions were previously defeated by Argentina so if he had a brain to leave the old -fashioned thought")</f>
        <v>and gaperlu comparing the European Cup with the Copa America again and Italian Euro champions yesterday were defeated by Argentina French world champions were previously defeated by Argentina so if he had a brain to leave the old -fashioned thought</v>
      </c>
    </row>
    <row r="7789" ht="15.75" customHeight="1">
      <c r="A7789" s="1">
        <v>9008.0</v>
      </c>
      <c r="B7789" s="3" t="s">
        <v>22324</v>
      </c>
      <c r="C7789" s="3">
        <v>0.0</v>
      </c>
      <c r="D7789" s="3">
        <v>0.0</v>
      </c>
      <c r="E7789" s="3">
        <v>0.0</v>
      </c>
      <c r="F7789" s="3" t="s">
        <v>22325</v>
      </c>
      <c r="G7789" s="3">
        <v>0.0</v>
      </c>
      <c r="H7789" s="3">
        <v>0.0</v>
      </c>
      <c r="I7789" s="3" t="s">
        <v>13</v>
      </c>
      <c r="J7789" s="3" t="s">
        <v>22326</v>
      </c>
      <c r="K7789" s="3" t="s">
        <v>15</v>
      </c>
      <c r="L7789" s="3" t="str">
        <f>IFERROR(__xludf.DUMMYFUNCTION("GOOGLETRANSLATE(F7789,""id"",""en"")"),"Redsindo Georgina also made Argentine Celebration Status Champion but Dodo was excluded")</f>
        <v>Redsindo Georgina also made Argentine Celebration Status Champion but Dodo was excluded</v>
      </c>
    </row>
    <row r="7790" ht="15.75" customHeight="1">
      <c r="A7790" s="1">
        <v>9009.0</v>
      </c>
      <c r="B7790" s="3" t="s">
        <v>22327</v>
      </c>
      <c r="C7790" s="3">
        <v>0.0</v>
      </c>
      <c r="D7790" s="3">
        <v>0.0</v>
      </c>
      <c r="E7790" s="3">
        <v>0.0</v>
      </c>
      <c r="F7790" s="3" t="s">
        <v>22192</v>
      </c>
      <c r="G7790" s="3">
        <v>0.0</v>
      </c>
      <c r="H7790" s="3">
        <v>0.0</v>
      </c>
      <c r="I7790" s="3" t="s">
        <v>13</v>
      </c>
      <c r="J7790" s="3" t="s">
        <v>22193</v>
      </c>
      <c r="K7790" s="3" t="s">
        <v>699</v>
      </c>
      <c r="L7790" s="3" t="str">
        <f>IFERROR(__xludf.DUMMYFUNCTION("GOOGLETRANSLATE(F7790,""id"",""en"")"),"Lionel Messi became a sportsman with the world's most likes after uploading the moment of Argentina in the World Football World Cup champion")</f>
        <v>Lionel Messi became a sportsman with the world's most likes after uploading the moment of Argentina in the World Football World Cup champion</v>
      </c>
    </row>
    <row r="7791" ht="15.75" customHeight="1">
      <c r="A7791" s="1">
        <v>9010.0</v>
      </c>
      <c r="B7791" s="3" t="s">
        <v>22328</v>
      </c>
      <c r="C7791" s="3">
        <v>0.0</v>
      </c>
      <c r="D7791" s="3">
        <v>0.0</v>
      </c>
      <c r="E7791" s="3">
        <v>2.0</v>
      </c>
      <c r="F7791" s="3" t="s">
        <v>22267</v>
      </c>
      <c r="G7791" s="3">
        <v>0.0</v>
      </c>
      <c r="H7791" s="3">
        <v>0.0</v>
      </c>
      <c r="I7791" s="3" t="s">
        <v>13</v>
      </c>
      <c r="J7791" s="3" t="s">
        <v>22268</v>
      </c>
      <c r="K7791" s="3" t="s">
        <v>75</v>
      </c>
      <c r="L7791" s="3" t="str">
        <f>IFERROR(__xludf.DUMMYFUNCTION("GOOGLETRANSLATE(F7791,""id"",""en"")"),"Interesting Facts After Argentina World Cup Champion Moment Lionel Messi")</f>
        <v>Interesting Facts After Argentina World Cup Champion Moment Lionel Messi</v>
      </c>
    </row>
    <row r="7792" ht="15.75" customHeight="1">
      <c r="A7792" s="1">
        <v>9011.0</v>
      </c>
      <c r="B7792" s="3" t="s">
        <v>22329</v>
      </c>
      <c r="C7792" s="3">
        <v>0.0</v>
      </c>
      <c r="D7792" s="3">
        <v>0.0</v>
      </c>
      <c r="E7792" s="3">
        <v>0.0</v>
      </c>
      <c r="F7792" s="3" t="s">
        <v>22241</v>
      </c>
      <c r="G7792" s="3">
        <v>0.0</v>
      </c>
      <c r="H7792" s="3">
        <v>0.0</v>
      </c>
      <c r="I7792" s="3" t="s">
        <v>13</v>
      </c>
      <c r="J7792" s="3" t="s">
        <v>16942</v>
      </c>
      <c r="K7792" s="3" t="s">
        <v>644</v>
      </c>
      <c r="L7792" s="3" t="str">
        <f>IFERROR(__xludf.DUMMYFUNCTION("GOOGLETRANSLATE(F7792,""id"",""en"")"),"Argentina Champion World Cup")</f>
        <v>Argentina Champion World Cup</v>
      </c>
    </row>
    <row r="7793" ht="15.75" customHeight="1">
      <c r="A7793" s="1">
        <v>9012.0</v>
      </c>
      <c r="B7793" s="3" t="s">
        <v>22330</v>
      </c>
      <c r="C7793" s="3">
        <v>0.0</v>
      </c>
      <c r="D7793" s="3">
        <v>0.0</v>
      </c>
      <c r="E7793" s="3">
        <v>0.0</v>
      </c>
      <c r="F7793" s="3" t="s">
        <v>22331</v>
      </c>
      <c r="G7793" s="3">
        <v>0.5</v>
      </c>
      <c r="H7793" s="3">
        <v>0.5</v>
      </c>
      <c r="I7793" s="3" t="s">
        <v>48</v>
      </c>
      <c r="J7793" s="3" t="s">
        <v>22332</v>
      </c>
      <c r="K7793" s="3" t="s">
        <v>71</v>
      </c>
      <c r="L7793" s="3" t="str">
        <f>IFERROR(__xludf.DUMMYFUNCTION("GOOGLETRANSLATE(F7793,""id"",""en"")"),"Argentina Champion Runner French third Kroatia Top Kylian Mbappe Best Player Lionel Messi")</f>
        <v>Argentina Champion Runner French third Kroatia Top Kylian Mbappe Best Player Lionel Messi</v>
      </c>
    </row>
    <row r="7794" ht="15.75" customHeight="1">
      <c r="A7794" s="1">
        <v>9013.0</v>
      </c>
      <c r="B7794" s="3" t="s">
        <v>22333</v>
      </c>
      <c r="C7794" s="3">
        <v>0.0</v>
      </c>
      <c r="D7794" s="3">
        <v>1.0</v>
      </c>
      <c r="E7794" s="3">
        <v>3.0</v>
      </c>
      <c r="F7794" s="3" t="s">
        <v>22334</v>
      </c>
      <c r="G7794" s="3">
        <v>0.0</v>
      </c>
      <c r="H7794" s="3">
        <v>0.0</v>
      </c>
      <c r="I7794" s="3" t="s">
        <v>13</v>
      </c>
      <c r="J7794" s="3" t="s">
        <v>22335</v>
      </c>
      <c r="K7794" s="3" t="s">
        <v>437</v>
      </c>
      <c r="L7794" s="3" t="str">
        <f>IFERROR(__xludf.DUMMYFUNCTION("GOOGLETRANSLATE(F7794,""id"",""en"")"),"Great Argentina is the same as Arabsaudi Jady for a holiday to celebrate victory and champion World Cup Qatar")</f>
        <v>Great Argentina is the same as Arabsaudi Jady for a holiday to celebrate victory and champion World Cup Qatar</v>
      </c>
    </row>
    <row r="7795" ht="15.75" customHeight="1">
      <c r="A7795" s="1">
        <v>9014.0</v>
      </c>
      <c r="B7795" s="3" t="s">
        <v>22336</v>
      </c>
      <c r="C7795" s="3">
        <v>0.0</v>
      </c>
      <c r="D7795" s="3">
        <v>1.0</v>
      </c>
      <c r="E7795" s="3">
        <v>3.0</v>
      </c>
      <c r="F7795" s="3" t="s">
        <v>22337</v>
      </c>
      <c r="G7795" s="3">
        <v>0.0</v>
      </c>
      <c r="H7795" s="3">
        <v>0.0</v>
      </c>
      <c r="I7795" s="3" t="s">
        <v>13</v>
      </c>
      <c r="J7795" s="3" t="s">
        <v>22338</v>
      </c>
      <c r="K7795" s="3" t="s">
        <v>15</v>
      </c>
      <c r="L7795" s="3" t="str">
        <f>IFERROR(__xludf.DUMMYFUNCTION("GOOGLETRANSLATE(F7795,""id"",""en"")"),"Bring Argentina World Cup Champion Messi Approaching Ballon")</f>
        <v>Bring Argentina World Cup Champion Messi Approaching Ballon</v>
      </c>
    </row>
    <row r="7796" ht="15.75" customHeight="1">
      <c r="A7796" s="1">
        <v>9015.0</v>
      </c>
      <c r="B7796" s="3" t="s">
        <v>22339</v>
      </c>
      <c r="C7796" s="3">
        <v>0.0</v>
      </c>
      <c r="D7796" s="3">
        <v>0.0</v>
      </c>
      <c r="E7796" s="3">
        <v>0.0</v>
      </c>
      <c r="F7796" s="3" t="s">
        <v>22340</v>
      </c>
      <c r="G7796" s="3">
        <v>0.0</v>
      </c>
      <c r="H7796" s="3">
        <v>0.0</v>
      </c>
      <c r="I7796" s="3" t="s">
        <v>13</v>
      </c>
      <c r="J7796" s="3" t="s">
        <v>22341</v>
      </c>
      <c r="K7796" s="3" t="s">
        <v>75</v>
      </c>
      <c r="L7796" s="3" t="str">
        <f>IFERROR(__xludf.DUMMYFUNCTION("GOOGLETRANSLATE(F7796,""id"",""en"")"),"Argentine dilemma world champion is only entertainment for them because in reality their country will go bankrupt")</f>
        <v>Argentine dilemma world champion is only entertainment for them because in reality their country will go bankrupt</v>
      </c>
    </row>
    <row r="7797" ht="15.75" customHeight="1">
      <c r="A7797" s="1">
        <v>9016.0</v>
      </c>
      <c r="B7797" s="3" t="s">
        <v>22342</v>
      </c>
      <c r="C7797" s="3">
        <v>0.0</v>
      </c>
      <c r="D7797" s="3">
        <v>4.0</v>
      </c>
      <c r="E7797" s="3">
        <v>0.0</v>
      </c>
      <c r="F7797" s="3" t="s">
        <v>22343</v>
      </c>
      <c r="G7797" s="3">
        <v>0.0</v>
      </c>
      <c r="H7797" s="3">
        <v>0.0</v>
      </c>
      <c r="I7797" s="3" t="s">
        <v>13</v>
      </c>
      <c r="J7797" s="3" t="s">
        <v>22344</v>
      </c>
      <c r="K7797" s="3" t="s">
        <v>50</v>
      </c>
      <c r="L7797" s="3" t="str">
        <f>IFERROR(__xludf.DUMMYFUNCTION("GOOGLETRANSLATE(F7797,""id"",""en"")"),"Argentina national team was paraded after winning the Qatar World Cup World Cup title")</f>
        <v>Argentina national team was paraded after winning the Qatar World Cup World Cup title</v>
      </c>
    </row>
    <row r="7798" ht="15.75" customHeight="1">
      <c r="A7798" s="1">
        <v>9017.0</v>
      </c>
      <c r="B7798" s="3" t="s">
        <v>22345</v>
      </c>
      <c r="C7798" s="3">
        <v>0.0</v>
      </c>
      <c r="D7798" s="3">
        <v>4.0</v>
      </c>
      <c r="E7798" s="3">
        <v>0.0</v>
      </c>
      <c r="F7798" s="3" t="s">
        <v>22346</v>
      </c>
      <c r="G7798" s="3">
        <v>0.0</v>
      </c>
      <c r="H7798" s="3">
        <v>0.0</v>
      </c>
      <c r="I7798" s="3" t="s">
        <v>13</v>
      </c>
      <c r="J7798" s="3" t="s">
        <v>22347</v>
      </c>
      <c r="K7798" s="3" t="s">
        <v>19</v>
      </c>
      <c r="L7798" s="3" t="str">
        <f>IFERROR(__xludf.DUMMYFUNCTION("GOOGLETRANSLATE(F7798,""id"",""en"")"),"Argentina World Champion Lionel Messi Proves Yourself GOAT compared to Cristiano Ronaldo Liputan")</f>
        <v>Argentina World Champion Lionel Messi Proves Yourself GOAT compared to Cristiano Ronaldo Liputan</v>
      </c>
    </row>
    <row r="7799" ht="15.75" customHeight="1">
      <c r="A7799" s="1">
        <v>9018.0</v>
      </c>
      <c r="B7799" s="3" t="s">
        <v>22348</v>
      </c>
      <c r="C7799" s="3">
        <v>4.0</v>
      </c>
      <c r="D7799" s="3">
        <v>4.0</v>
      </c>
      <c r="E7799" s="3">
        <v>11.0</v>
      </c>
      <c r="F7799" s="3" t="s">
        <v>22349</v>
      </c>
      <c r="G7799" s="3">
        <v>0.0</v>
      </c>
      <c r="H7799" s="3">
        <v>0.0</v>
      </c>
      <c r="I7799" s="3" t="s">
        <v>13</v>
      </c>
      <c r="J7799" s="3" t="s">
        <v>22350</v>
      </c>
      <c r="K7799" s="3" t="s">
        <v>510</v>
      </c>
      <c r="L7799" s="3" t="str">
        <f>IFERROR(__xludf.DUMMYFUNCTION("GOOGLETRANSLATE(F7799,""id"",""en"")"),"Fortunately for those of you who have experienced their champion countries to become world champions, congratulations on partying Argentina supporters")</f>
        <v>Fortunately for those of you who have experienced their champion countries to become world champions, congratulations on partying Argentina supporters</v>
      </c>
    </row>
    <row r="7800" ht="15.75" customHeight="1">
      <c r="A7800" s="1">
        <v>9019.0</v>
      </c>
      <c r="B7800" s="3" t="s">
        <v>22351</v>
      </c>
      <c r="C7800" s="3">
        <v>0.0</v>
      </c>
      <c r="D7800" s="3">
        <v>1.0</v>
      </c>
      <c r="E7800" s="3">
        <v>1.0</v>
      </c>
      <c r="F7800" s="3" t="s">
        <v>22352</v>
      </c>
      <c r="G7800" s="3">
        <v>0.0</v>
      </c>
      <c r="H7800" s="3">
        <v>0.0</v>
      </c>
      <c r="I7800" s="3" t="s">
        <v>13</v>
      </c>
      <c r="J7800" s="3" t="s">
        <v>22353</v>
      </c>
      <c r="K7800" s="3" t="s">
        <v>657</v>
      </c>
      <c r="L7800" s="3" t="str">
        <f>IFERROR(__xludf.DUMMYFUNCTION("GOOGLETRANSLATE(F7800,""id"",""en"")"),"Means deserves Argentina champions from the statistics of Indo netizens matches, especially supporters of Ronaldo, said that FIFA had been arranged for Messi")</f>
        <v>Means deserves Argentina champions from the statistics of Indo netizens matches, especially supporters of Ronaldo, said that FIFA had been arranged for Messi</v>
      </c>
    </row>
    <row r="7801" ht="15.75" customHeight="1">
      <c r="A7801" s="1">
        <v>9020.0</v>
      </c>
      <c r="B7801" s="3" t="s">
        <v>22354</v>
      </c>
      <c r="C7801" s="3">
        <v>0.0</v>
      </c>
      <c r="D7801" s="3">
        <v>0.0</v>
      </c>
      <c r="E7801" s="3">
        <v>0.0</v>
      </c>
      <c r="F7801" s="3" t="s">
        <v>22355</v>
      </c>
      <c r="G7801" s="3">
        <v>0.0</v>
      </c>
      <c r="H7801" s="3">
        <v>0.0</v>
      </c>
      <c r="I7801" s="3" t="s">
        <v>13</v>
      </c>
      <c r="J7801" s="3" t="s">
        <v>22356</v>
      </c>
      <c r="K7801" s="3" t="s">
        <v>484</v>
      </c>
      <c r="L7801" s="3" t="str">
        <f>IFERROR(__xludf.DUMMYFUNCTION("GOOGLETRANSLATE(F7801,""id"",""en"")"),"Noh Locit Argentina Champion when Mr. Iwan Bule served lacking or try sir, Mr. West Java")</f>
        <v>Noh Locit Argentina Champion when Mr. Iwan Bule served lacking or try sir, Mr. West Java</v>
      </c>
    </row>
    <row r="7802" ht="15.75" customHeight="1">
      <c r="A7802" s="1">
        <v>9021.0</v>
      </c>
      <c r="B7802" s="3" t="s">
        <v>22357</v>
      </c>
      <c r="C7802" s="3">
        <v>0.0</v>
      </c>
      <c r="D7802" s="3">
        <v>0.0</v>
      </c>
      <c r="E7802" s="3">
        <v>0.0</v>
      </c>
      <c r="F7802" s="3" t="s">
        <v>22358</v>
      </c>
      <c r="G7802" s="3">
        <v>0.2</v>
      </c>
      <c r="H7802" s="3">
        <v>-0.1</v>
      </c>
      <c r="I7802" s="3" t="s">
        <v>179</v>
      </c>
      <c r="J7802" s="3" t="s">
        <v>22359</v>
      </c>
      <c r="K7802" s="3" t="s">
        <v>90</v>
      </c>
      <c r="L7802" s="3" t="str">
        <f>IFERROR(__xludf.DUMMYFUNCTION("GOOGLETRANSLATE(F7802,""id"",""en"")"),"how do the fans next door keep it like he feels that he is an Argentine citizen even though if France, our champion is also normal, it is difficult for the mentality of the victim")</f>
        <v>how do the fans next door keep it like he feels that he is an Argentine citizen even though if France, our champion is also normal, it is difficult for the mentality of the victim</v>
      </c>
    </row>
    <row r="7803" ht="15.75" customHeight="1">
      <c r="A7803" s="1">
        <v>9022.0</v>
      </c>
      <c r="B7803" s="3" t="s">
        <v>22360</v>
      </c>
      <c r="C7803" s="3">
        <v>0.0</v>
      </c>
      <c r="D7803" s="3">
        <v>0.0</v>
      </c>
      <c r="E7803" s="3">
        <v>0.0</v>
      </c>
      <c r="F7803" s="3" t="s">
        <v>22361</v>
      </c>
      <c r="G7803" s="3">
        <v>0.0</v>
      </c>
      <c r="H7803" s="3">
        <v>0.0</v>
      </c>
      <c r="I7803" s="3" t="s">
        <v>13</v>
      </c>
      <c r="J7803" s="3" t="s">
        <v>22362</v>
      </c>
      <c r="K7803" s="3" t="s">
        <v>41</v>
      </c>
      <c r="L7803" s="3" t="str">
        <f>IFERROR(__xludf.DUMMYFUNCTION("GOOGLETRANSLATE(F7803,""id"",""en"")"),"Ancelotti Praise the Performance of Scaloni Bring Argentina World Cup Champion")</f>
        <v>Ancelotti Praise the Performance of Scaloni Bring Argentina World Cup Champion</v>
      </c>
    </row>
    <row r="7804" ht="15.75" customHeight="1">
      <c r="A7804" s="1">
        <v>9023.0</v>
      </c>
      <c r="B7804" s="3" t="s">
        <v>22363</v>
      </c>
      <c r="C7804" s="3">
        <v>0.0</v>
      </c>
      <c r="D7804" s="3">
        <v>0.0</v>
      </c>
      <c r="E7804" s="3">
        <v>0.0</v>
      </c>
      <c r="F7804" s="3" t="s">
        <v>22364</v>
      </c>
      <c r="G7804" s="3">
        <v>0.0</v>
      </c>
      <c r="H7804" s="3">
        <v>0.0</v>
      </c>
      <c r="I7804" s="3" t="s">
        <v>13</v>
      </c>
      <c r="J7804" s="3" t="s">
        <v>22365</v>
      </c>
      <c r="K7804" s="3" t="s">
        <v>82</v>
      </c>
      <c r="L7804" s="3" t="str">
        <f>IFERROR(__xludf.DUMMYFUNCTION("GOOGLETRANSLATE(F7804,""id"",""en"")"),"Upin Ipin, what knows Argentina who is world champion")</f>
        <v>Upin Ipin, what knows Argentina who is world champion</v>
      </c>
    </row>
    <row r="7805" ht="15.75" customHeight="1">
      <c r="A7805" s="1">
        <v>9024.0</v>
      </c>
      <c r="B7805" s="3" t="s">
        <v>22366</v>
      </c>
      <c r="C7805" s="3">
        <v>0.0</v>
      </c>
      <c r="D7805" s="3">
        <v>0.0</v>
      </c>
      <c r="E7805" s="3">
        <v>1.0</v>
      </c>
      <c r="F7805" s="3" t="s">
        <v>22367</v>
      </c>
      <c r="G7805" s="3">
        <v>0.0</v>
      </c>
      <c r="H7805" s="3">
        <v>0.0</v>
      </c>
      <c r="I7805" s="3" t="s">
        <v>13</v>
      </c>
      <c r="J7805" s="3" t="s">
        <v>22368</v>
      </c>
      <c r="K7805" s="3" t="s">
        <v>127</v>
      </c>
      <c r="L7805" s="3" t="str">
        <f>IFERROR(__xludf.DUMMYFUNCTION("GOOGLETRANSLATE(F7805,""id"",""en"")"),"Stephen Chow uploaded a moment where his pet dog guessed who was the World Cup champion and his guess was true, namely Argentina")</f>
        <v>Stephen Chow uploaded a moment where his pet dog guessed who was the World Cup champion and his guess was true, namely Argentina</v>
      </c>
    </row>
    <row r="7806" ht="15.75" customHeight="1">
      <c r="A7806" s="1">
        <v>9025.0</v>
      </c>
      <c r="B7806" s="3" t="s">
        <v>22369</v>
      </c>
      <c r="C7806" s="3">
        <v>1.0</v>
      </c>
      <c r="D7806" s="3">
        <v>0.0</v>
      </c>
      <c r="E7806" s="3">
        <v>0.0</v>
      </c>
      <c r="F7806" s="3" t="s">
        <v>22370</v>
      </c>
      <c r="G7806" s="3">
        <v>0.0</v>
      </c>
      <c r="H7806" s="3">
        <v>0.0</v>
      </c>
      <c r="I7806" s="3" t="s">
        <v>13</v>
      </c>
      <c r="J7806" s="3" t="s">
        <v>22371</v>
      </c>
      <c r="K7806" s="3" t="s">
        <v>491</v>
      </c>
      <c r="L7806" s="3" t="str">
        <f>IFERROR(__xludf.DUMMYFUNCTION("GOOGLETRANSLATE(F7806,""id"",""en"")"),"There is always a gap for the ranks of heartache, I don't know why the type of Gamau Argentina champions or French fans guessed")</f>
        <v>There is always a gap for the ranks of heartache, I don't know why the type of Gamau Argentina champions or French fans guessed</v>
      </c>
    </row>
    <row r="7807" ht="15.75" customHeight="1">
      <c r="A7807" s="1">
        <v>9026.0</v>
      </c>
      <c r="B7807" s="3" t="s">
        <v>22372</v>
      </c>
      <c r="C7807" s="3">
        <v>0.0</v>
      </c>
      <c r="D7807" s="3">
        <v>0.0</v>
      </c>
      <c r="E7807" s="3">
        <v>0.0</v>
      </c>
      <c r="F7807" s="3" t="s">
        <v>22373</v>
      </c>
      <c r="G7807" s="3">
        <v>0.0</v>
      </c>
      <c r="H7807" s="3">
        <v>0.0</v>
      </c>
      <c r="I7807" s="3" t="s">
        <v>13</v>
      </c>
      <c r="J7807" s="3" t="s">
        <v>22374</v>
      </c>
      <c r="K7807" s="3" t="s">
        <v>1428</v>
      </c>
      <c r="L7807" s="3" t="str">
        <f>IFERROR(__xludf.DUMMYFUNCTION("GOOGLETRANSLATE(F7807,""id"",""en"")"),"what is not at the same level as Europe is that Bang Mbappe Brazil's achievements have already champions Argentina times the champion of France has only been even better, but only losing the infrastructure and its management")</f>
        <v>what is not at the same level as Europe is that Bang Mbappe Brazil's achievements have already champions Argentina times the champion of France has only been even better, but only losing the infrastructure and its management</v>
      </c>
    </row>
    <row r="7808" ht="15.75" customHeight="1">
      <c r="A7808" s="1">
        <v>9027.0</v>
      </c>
      <c r="B7808" s="3" t="s">
        <v>22375</v>
      </c>
      <c r="C7808" s="3">
        <v>0.0</v>
      </c>
      <c r="D7808" s="3">
        <v>1.0</v>
      </c>
      <c r="E7808" s="3">
        <v>15.0</v>
      </c>
      <c r="F7808" s="3" t="s">
        <v>22376</v>
      </c>
      <c r="G7808" s="3">
        <v>0.0</v>
      </c>
      <c r="H7808" s="3">
        <v>0.0</v>
      </c>
      <c r="I7808" s="3" t="s">
        <v>13</v>
      </c>
      <c r="J7808" s="3" t="s">
        <v>22377</v>
      </c>
      <c r="K7808" s="3" t="s">
        <v>75</v>
      </c>
      <c r="L7808" s="3" t="str">
        <f>IFERROR(__xludf.DUMMYFUNCTION("GOOGLETRANSLATE(F7808,""id"",""en"")"),"Argentina Announces National Holidays for the World Cup Champion Celebration")</f>
        <v>Argentina Announces National Holidays for the World Cup Champion Celebration</v>
      </c>
    </row>
    <row r="7809" ht="15.75" customHeight="1">
      <c r="A7809" s="1">
        <v>9028.0</v>
      </c>
      <c r="B7809" s="3" t="s">
        <v>22378</v>
      </c>
      <c r="C7809" s="3">
        <v>0.0</v>
      </c>
      <c r="D7809" s="3">
        <v>0.0</v>
      </c>
      <c r="E7809" s="3">
        <v>1.0</v>
      </c>
      <c r="F7809" s="3" t="s">
        <v>22379</v>
      </c>
      <c r="G7809" s="3">
        <v>0.0</v>
      </c>
      <c r="H7809" s="3">
        <v>0.0</v>
      </c>
      <c r="I7809" s="3" t="s">
        <v>13</v>
      </c>
      <c r="J7809" s="3" t="s">
        <v>22380</v>
      </c>
      <c r="K7809" s="3" t="s">
        <v>15</v>
      </c>
      <c r="L7809" s="3" t="str">
        <f>IFERROR(__xludf.DUMMYFUNCTION("GOOGLETRANSLATE(F7809,""id"",""en"")"),"Get to know the Lusail Stadium where Argentina is the World Cup championship")</f>
        <v>Get to know the Lusail Stadium where Argentina is the World Cup championship</v>
      </c>
    </row>
    <row r="7810" ht="15.75" customHeight="1">
      <c r="A7810" s="1">
        <v>9029.0</v>
      </c>
      <c r="B7810" s="3" t="s">
        <v>22381</v>
      </c>
      <c r="C7810" s="3">
        <v>0.0</v>
      </c>
      <c r="D7810" s="3">
        <v>0.0</v>
      </c>
      <c r="E7810" s="3">
        <v>0.0</v>
      </c>
      <c r="F7810" s="3" t="s">
        <v>22382</v>
      </c>
      <c r="G7810" s="3">
        <v>1.0</v>
      </c>
      <c r="H7810" s="3">
        <v>0.0</v>
      </c>
      <c r="I7810" s="3" t="s">
        <v>13</v>
      </c>
      <c r="J7810" s="3" t="s">
        <v>22383</v>
      </c>
      <c r="K7810" s="3" t="s">
        <v>520</v>
      </c>
      <c r="L7810" s="3" t="str">
        <f>IFERROR(__xludf.DUMMYFUNCTION("GOOGLETRANSLATE(F7810,""id"",""en"")"),"He made Argentina, the champion immediately hated it when he saw him wkwkwk but when he saw he was now supporting the final Argentina yesterday being Rispekkk")</f>
        <v>He made Argentina, the champion immediately hated it when he saw him wkwkwk but when he saw he was now supporting the final Argentina yesterday being Rispekkk</v>
      </c>
    </row>
    <row r="7811" ht="15.75" customHeight="1">
      <c r="A7811" s="1">
        <v>9030.0</v>
      </c>
      <c r="B7811" s="3" t="s">
        <v>22384</v>
      </c>
      <c r="C7811" s="3">
        <v>0.0</v>
      </c>
      <c r="D7811" s="3">
        <v>0.0</v>
      </c>
      <c r="E7811" s="3">
        <v>0.0</v>
      </c>
      <c r="F7811" s="3" t="s">
        <v>22385</v>
      </c>
      <c r="G7811" s="3">
        <v>0.0</v>
      </c>
      <c r="H7811" s="3">
        <v>0.0</v>
      </c>
      <c r="I7811" s="3" t="s">
        <v>13</v>
      </c>
      <c r="J7811" s="3" t="s">
        <v>22386</v>
      </c>
      <c r="K7811" s="3" t="s">
        <v>510</v>
      </c>
      <c r="L7811" s="3" t="str">
        <f>IFERROR(__xludf.DUMMYFUNCTION("GOOGLETRANSLATE(F7811,""id"",""en"")"),"Lionel Messi Helps Argentina World Cup Champion Andres Iniesta End of Link Link")</f>
        <v>Lionel Messi Helps Argentina World Cup Champion Andres Iniesta End of Link Link</v>
      </c>
    </row>
    <row r="7812" ht="15.75" customHeight="1">
      <c r="A7812" s="1">
        <v>9031.0</v>
      </c>
      <c r="B7812" s="3" t="s">
        <v>22387</v>
      </c>
      <c r="C7812" s="3">
        <v>0.0</v>
      </c>
      <c r="D7812" s="3">
        <v>0.0</v>
      </c>
      <c r="E7812" s="3">
        <v>0.0</v>
      </c>
      <c r="F7812" s="3" t="s">
        <v>22388</v>
      </c>
      <c r="G7812" s="3">
        <v>0.0</v>
      </c>
      <c r="H7812" s="3">
        <v>0.0</v>
      </c>
      <c r="I7812" s="3" t="s">
        <v>13</v>
      </c>
      <c r="J7812" s="3" t="s">
        <v>22389</v>
      </c>
      <c r="K7812" s="3" t="s">
        <v>54</v>
      </c>
      <c r="L7812" s="3" t="str">
        <f>IFERROR(__xludf.DUMMYFUNCTION("GOOGLETRANSLATE(F7812,""id"",""en"")"),"Honestly, the spirit of this is the first title")</f>
        <v>Honestly, the spirit of this is the first title</v>
      </c>
    </row>
    <row r="7813" ht="15.75" customHeight="1">
      <c r="A7813" s="1">
        <v>9032.0</v>
      </c>
      <c r="B7813" s="3" t="s">
        <v>22390</v>
      </c>
      <c r="C7813" s="3">
        <v>0.0</v>
      </c>
      <c r="D7813" s="3">
        <v>0.0</v>
      </c>
      <c r="E7813" s="3">
        <v>0.0</v>
      </c>
      <c r="F7813" s="3" t="s">
        <v>22391</v>
      </c>
      <c r="G7813" s="3">
        <v>0.0</v>
      </c>
      <c r="H7813" s="3">
        <v>0.0</v>
      </c>
      <c r="I7813" s="3" t="s">
        <v>13</v>
      </c>
      <c r="J7813" s="3" t="s">
        <v>22392</v>
      </c>
      <c r="K7813" s="3" t="s">
        <v>15</v>
      </c>
      <c r="L7813" s="3" t="str">
        <f>IFERROR(__xludf.DUMMYFUNCTION("GOOGLETRANSLATE(F7813,""id"",""en"")"),"Sepurane Cak late in the Qatar World Cup Champion Champion")</f>
        <v>Sepurane Cak late in the Qatar World Cup Champion Champion</v>
      </c>
    </row>
    <row r="7814" ht="15.75" customHeight="1">
      <c r="A7814" s="1">
        <v>9033.0</v>
      </c>
      <c r="B7814" s="3" t="s">
        <v>22393</v>
      </c>
      <c r="C7814" s="3">
        <v>0.0</v>
      </c>
      <c r="D7814" s="3">
        <v>0.0</v>
      </c>
      <c r="E7814" s="3">
        <v>0.0</v>
      </c>
      <c r="F7814" s="3" t="s">
        <v>22394</v>
      </c>
      <c r="G7814" s="3">
        <v>0.0</v>
      </c>
      <c r="H7814" s="3">
        <v>0.0</v>
      </c>
      <c r="I7814" s="3" t="s">
        <v>13</v>
      </c>
      <c r="J7814" s="3" t="s">
        <v>22395</v>
      </c>
      <c r="K7814" s="3" t="s">
        <v>82</v>
      </c>
      <c r="L7814" s="3" t="str">
        <f>IFERROR(__xludf.DUMMYFUNCTION("GOOGLETRANSLATE(F7814,""id"",""en"")"),"Argentina World Cup Champion End waiting for the year")</f>
        <v>Argentina World Cup Champion End waiting for the year</v>
      </c>
    </row>
    <row r="7815" ht="15.75" customHeight="1">
      <c r="A7815" s="1">
        <v>9034.0</v>
      </c>
      <c r="B7815" s="3" t="s">
        <v>22396</v>
      </c>
      <c r="C7815" s="3">
        <v>0.0</v>
      </c>
      <c r="D7815" s="3">
        <v>0.0</v>
      </c>
      <c r="E7815" s="3">
        <v>0.0</v>
      </c>
      <c r="F7815" s="3" t="s">
        <v>22397</v>
      </c>
      <c r="G7815" s="3">
        <v>1.0</v>
      </c>
      <c r="H7815" s="3">
        <v>0.0</v>
      </c>
      <c r="I7815" s="3" t="s">
        <v>13</v>
      </c>
      <c r="J7815" s="3" t="s">
        <v>22398</v>
      </c>
      <c r="K7815" s="3" t="s">
        <v>657</v>
      </c>
      <c r="L7815" s="3" t="str">
        <f>IFERROR(__xludf.DUMMYFUNCTION("GOOGLETRANSLATE(F7815,""id"",""en"")"),"So I was more about the hard work of Martinez, the final rescue to the penalty that played a big role in the Argentina championship")</f>
        <v>So I was more about the hard work of Martinez, the final rescue to the penalty that played a big role in the Argentina championship</v>
      </c>
    </row>
    <row r="7816" ht="15.75" customHeight="1">
      <c r="A7816" s="1">
        <v>9035.0</v>
      </c>
      <c r="B7816" s="3" t="s">
        <v>22399</v>
      </c>
      <c r="C7816" s="3">
        <v>0.0</v>
      </c>
      <c r="D7816" s="3">
        <v>0.0</v>
      </c>
      <c r="E7816" s="3">
        <v>0.0</v>
      </c>
      <c r="F7816" s="3" t="s">
        <v>22400</v>
      </c>
      <c r="G7816" s="3">
        <v>0.4</v>
      </c>
      <c r="H7816" s="3">
        <v>0.1</v>
      </c>
      <c r="I7816" s="3" t="s">
        <v>48</v>
      </c>
      <c r="J7816" s="3" t="s">
        <v>22401</v>
      </c>
      <c r="K7816" s="3" t="s">
        <v>15</v>
      </c>
      <c r="L7816" s="3" t="str">
        <f>IFERROR(__xludf.DUMMYFUNCTION("GOOGLETRANSLATE(F7816,""id"",""en"")"),"Argentina Champion and Epic Mesidona Primadona Record Maradona")</f>
        <v>Argentina Champion and Epic Mesidona Primadona Record Maradona</v>
      </c>
    </row>
    <row r="7817" ht="15.75" customHeight="1">
      <c r="A7817" s="1">
        <v>9036.0</v>
      </c>
      <c r="B7817" s="3" t="s">
        <v>22402</v>
      </c>
      <c r="C7817" s="3">
        <v>0.0</v>
      </c>
      <c r="D7817" s="3">
        <v>0.0</v>
      </c>
      <c r="E7817" s="3">
        <v>0.0</v>
      </c>
      <c r="F7817" s="3" t="s">
        <v>22403</v>
      </c>
      <c r="G7817" s="3">
        <v>0.0</v>
      </c>
      <c r="H7817" s="3">
        <v>0.0</v>
      </c>
      <c r="I7817" s="3" t="s">
        <v>13</v>
      </c>
      <c r="J7817" s="3" t="s">
        <v>22404</v>
      </c>
      <c r="K7817" s="3" t="s">
        <v>610</v>
      </c>
      <c r="L7817" s="3" t="str">
        <f>IFERROR(__xludf.DUMMYFUNCTION("GOOGLETRANSLATE(F7817,""id"",""en"")"),"I, as a supporter of Morocco, congratulate Argentina supporters because I have champions, congratulations to France's supporters.")</f>
        <v>I, as a supporter of Morocco, congratulate Argentina supporters because I have champions, congratulations to France's supporters.</v>
      </c>
    </row>
    <row r="7818" ht="15.75" customHeight="1">
      <c r="A7818" s="1">
        <v>9037.0</v>
      </c>
      <c r="B7818" s="3" t="s">
        <v>22405</v>
      </c>
      <c r="C7818" s="3">
        <v>0.0</v>
      </c>
      <c r="D7818" s="3">
        <v>0.0</v>
      </c>
      <c r="E7818" s="3">
        <v>0.0</v>
      </c>
      <c r="F7818" s="3" t="s">
        <v>22406</v>
      </c>
      <c r="G7818" s="3">
        <v>0.0</v>
      </c>
      <c r="H7818" s="3">
        <v>0.0</v>
      </c>
      <c r="I7818" s="3" t="s">
        <v>13</v>
      </c>
      <c r="J7818" s="3" t="s">
        <v>22407</v>
      </c>
      <c r="K7818" s="3" t="s">
        <v>15</v>
      </c>
      <c r="L7818" s="3" t="str">
        <f>IFERROR(__xludf.DUMMYFUNCTION("GOOGLETRANSLATE(F7818,""id"",""en"")"),"Argentina The World Champion Party Crisis Sufficient Riaunews")</f>
        <v>Argentina The World Champion Party Crisis Sufficient Riaunews</v>
      </c>
    </row>
    <row r="7819" ht="15.75" customHeight="1">
      <c r="A7819" s="1">
        <v>9038.0</v>
      </c>
      <c r="B7819" s="3" t="s">
        <v>22408</v>
      </c>
      <c r="C7819" s="3">
        <v>0.0</v>
      </c>
      <c r="D7819" s="3">
        <v>0.0</v>
      </c>
      <c r="E7819" s="3">
        <v>0.0</v>
      </c>
      <c r="F7819" s="3" t="s">
        <v>22409</v>
      </c>
      <c r="G7819" s="3">
        <v>0.0</v>
      </c>
      <c r="H7819" s="3">
        <v>0.0</v>
      </c>
      <c r="I7819" s="3" t="s">
        <v>13</v>
      </c>
      <c r="J7819" s="3" t="s">
        <v>22410</v>
      </c>
      <c r="K7819" s="3" t="s">
        <v>41</v>
      </c>
      <c r="L7819" s="3" t="str">
        <f>IFERROR(__xludf.DUMMYFUNCTION("GOOGLETRANSLATE(F7819,""id"",""en"")"),"Curious to see you can or not Messi brought Argentina AFF Cup champions")</f>
        <v>Curious to see you can or not Messi brought Argentina AFF Cup champions</v>
      </c>
    </row>
    <row r="7820" ht="15.75" customHeight="1">
      <c r="A7820" s="1">
        <v>9039.0</v>
      </c>
      <c r="B7820" s="3" t="s">
        <v>22411</v>
      </c>
      <c r="C7820" s="3">
        <v>0.0</v>
      </c>
      <c r="D7820" s="3">
        <v>0.0</v>
      </c>
      <c r="E7820" s="3">
        <v>0.0</v>
      </c>
      <c r="F7820" s="3" t="s">
        <v>22412</v>
      </c>
      <c r="G7820" s="3">
        <v>0.0</v>
      </c>
      <c r="H7820" s="3">
        <v>0.0</v>
      </c>
      <c r="I7820" s="3" t="s">
        <v>13</v>
      </c>
      <c r="J7820" s="3" t="s">
        <v>22413</v>
      </c>
      <c r="K7820" s="3" t="s">
        <v>41</v>
      </c>
      <c r="L7820" s="3" t="str">
        <f>IFERROR(__xludf.DUMMYFUNCTION("GOOGLETRANSLATE(F7820,""id"",""en"")"),"Countries that win the World Cup via the latest Argentine penalty shootout")</f>
        <v>Countries that win the World Cup via the latest Argentine penalty shootout</v>
      </c>
    </row>
    <row r="7821" ht="15.75" customHeight="1">
      <c r="A7821" s="1">
        <v>9040.0</v>
      </c>
      <c r="B7821" s="3" t="s">
        <v>22414</v>
      </c>
      <c r="C7821" s="3">
        <v>0.0</v>
      </c>
      <c r="D7821" s="3">
        <v>0.0</v>
      </c>
      <c r="E7821" s="3">
        <v>0.0</v>
      </c>
      <c r="F7821" s="3" t="s">
        <v>22415</v>
      </c>
      <c r="G7821" s="3">
        <v>0.0</v>
      </c>
      <c r="H7821" s="3">
        <v>0.0</v>
      </c>
      <c r="I7821" s="3" t="s">
        <v>13</v>
      </c>
      <c r="J7821" s="3" t="s">
        <v>22416</v>
      </c>
      <c r="K7821" s="3" t="s">
        <v>3819</v>
      </c>
      <c r="L7821" s="3" t="str">
        <f>IFERROR(__xludf.DUMMYFUNCTION("GOOGLETRANSLATE(F7821,""id"",""en"")"),"Official Argentine government announced that this Tuesday was a national holiday to celebrate the victory of the Argentine national team of the World Cup Yok Yok Yok Indonesia champion AFF.")</f>
        <v>Official Argentine government announced that this Tuesday was a national holiday to celebrate the victory of the Argentine national team of the World Cup Yok Yok Yok Indonesia champion AFF.</v>
      </c>
    </row>
    <row r="7822" ht="15.75" customHeight="1">
      <c r="A7822" s="1">
        <v>9041.0</v>
      </c>
      <c r="B7822" s="3" t="s">
        <v>22417</v>
      </c>
      <c r="C7822" s="3">
        <v>0.0</v>
      </c>
      <c r="D7822" s="3">
        <v>0.0</v>
      </c>
      <c r="E7822" s="3">
        <v>0.0</v>
      </c>
      <c r="F7822" s="3" t="s">
        <v>22418</v>
      </c>
      <c r="G7822" s="3">
        <v>0.175</v>
      </c>
      <c r="H7822" s="3">
        <v>-0.175</v>
      </c>
      <c r="I7822" s="3" t="s">
        <v>179</v>
      </c>
      <c r="J7822" s="3" t="s">
        <v>22419</v>
      </c>
      <c r="K7822" s="3" t="s">
        <v>45</v>
      </c>
      <c r="L7822" s="3" t="str">
        <f>IFERROR(__xludf.DUMMYFUNCTION("GOOGLETRANSLATE(F7822,""id"",""en"")"),"France turned out to be the champion just know when you told me when I was the final Nnton with Argentina, I should hesitate to choose Argentina, but I really really want")</f>
        <v>France turned out to be the champion just know when you told me when I was the final Nnton with Argentina, I should hesitate to choose Argentina, but I really really want</v>
      </c>
    </row>
    <row r="7823" ht="15.75" customHeight="1">
      <c r="A7823" s="1">
        <v>9042.0</v>
      </c>
      <c r="B7823" s="3" t="s">
        <v>22420</v>
      </c>
      <c r="C7823" s="3">
        <v>0.0</v>
      </c>
      <c r="D7823" s="3">
        <v>0.0</v>
      </c>
      <c r="E7823" s="3">
        <v>0.0</v>
      </c>
      <c r="F7823" s="3" t="s">
        <v>22421</v>
      </c>
      <c r="G7823" s="3">
        <v>0.0</v>
      </c>
      <c r="H7823" s="3">
        <v>0.0</v>
      </c>
      <c r="I7823" s="3" t="s">
        <v>13</v>
      </c>
      <c r="J7823" s="3" t="s">
        <v>22422</v>
      </c>
      <c r="K7823" s="3" t="s">
        <v>82</v>
      </c>
      <c r="L7823" s="3" t="str">
        <f>IFERROR(__xludf.DUMMYFUNCTION("GOOGLETRANSLATE(F7823,""id"",""en"")"),"Argentina Champion thanks to Mr. Iwan Bule Steady")</f>
        <v>Argentina Champion thanks to Mr. Iwan Bule Steady</v>
      </c>
    </row>
    <row r="7824" ht="15.75" customHeight="1">
      <c r="A7824" s="1">
        <v>9043.0</v>
      </c>
      <c r="B7824" s="3" t="s">
        <v>22423</v>
      </c>
      <c r="C7824" s="3">
        <v>0.0</v>
      </c>
      <c r="D7824" s="3">
        <v>1.0</v>
      </c>
      <c r="E7824" s="3">
        <v>5.0</v>
      </c>
      <c r="F7824" s="3" t="s">
        <v>22424</v>
      </c>
      <c r="G7824" s="3">
        <v>0.0</v>
      </c>
      <c r="H7824" s="3">
        <v>0.0</v>
      </c>
      <c r="I7824" s="3" t="s">
        <v>13</v>
      </c>
      <c r="J7824" s="3" t="s">
        <v>22425</v>
      </c>
      <c r="K7824" s="3" t="s">
        <v>657</v>
      </c>
      <c r="L7824" s="3" t="str">
        <f>IFERROR(__xludf.DUMMYFUNCTION("GOOGLETRANSLATE(F7824,""id"",""en"")"),"World Cup Demand Argentina Champion Resented Garbage Club Fans Until Photographs of the Lautaro Reretweet Mulu Bhukakakakkkkkkkkkkkkkkkkkkkkkkkkkkkkkkkkkkkkkk")</f>
        <v>World Cup Demand Argentina Champion Resented Garbage Club Fans Until Photographs of the Lautaro Reretweet Mulu Bhukakakakkkkkkkkkkkkkkkkkkkkkkkkkkkkkkkkkkkkkk</v>
      </c>
    </row>
    <row r="7825" ht="15.75" customHeight="1">
      <c r="A7825" s="1">
        <v>9044.0</v>
      </c>
      <c r="B7825" s="3" t="s">
        <v>22426</v>
      </c>
      <c r="C7825" s="3">
        <v>0.0</v>
      </c>
      <c r="D7825" s="3">
        <v>0.0</v>
      </c>
      <c r="E7825" s="3">
        <v>0.0</v>
      </c>
      <c r="F7825" s="3" t="s">
        <v>22427</v>
      </c>
      <c r="G7825" s="3">
        <v>0.0</v>
      </c>
      <c r="H7825" s="3">
        <v>0.0</v>
      </c>
      <c r="I7825" s="3" t="s">
        <v>13</v>
      </c>
      <c r="J7825" s="3" t="s">
        <v>22428</v>
      </c>
      <c r="K7825" s="3" t="s">
        <v>75</v>
      </c>
      <c r="L7825" s="3" t="str">
        <f>IFERROR(__xludf.DUMMYFUNCTION("GOOGLETRANSLATE(F7825,""id"",""en"")"),"Argentina French world champion is late in hot Messi from the best player Via")</f>
        <v>Argentina French world champion is late in hot Messi from the best player Via</v>
      </c>
    </row>
    <row r="7826" ht="15.75" customHeight="1">
      <c r="A7826" s="1">
        <v>9045.0</v>
      </c>
      <c r="B7826" s="3" t="s">
        <v>22429</v>
      </c>
      <c r="C7826" s="3">
        <v>0.0</v>
      </c>
      <c r="D7826" s="3">
        <v>0.0</v>
      </c>
      <c r="E7826" s="3">
        <v>0.0</v>
      </c>
      <c r="F7826" s="3" t="s">
        <v>22430</v>
      </c>
      <c r="G7826" s="3">
        <v>0.0</v>
      </c>
      <c r="H7826" s="3">
        <v>0.0</v>
      </c>
      <c r="I7826" s="3" t="s">
        <v>13</v>
      </c>
      <c r="J7826" s="3" t="s">
        <v>22431</v>
      </c>
      <c r="K7826" s="3" t="s">
        <v>123</v>
      </c>
      <c r="L7826" s="3" t="str">
        <f>IFERROR(__xludf.DUMMYFUNCTION("GOOGLETRANSLATE(F7826,""id"",""en"")"),"if you are messi over Ronaldo before Argentina, the champion will be the usual champion, more and more silent")</f>
        <v>if you are messi over Ronaldo before Argentina, the champion will be the usual champion, more and more silent</v>
      </c>
    </row>
    <row r="7827" ht="15.75" customHeight="1">
      <c r="A7827" s="1">
        <v>9046.0</v>
      </c>
      <c r="B7827" s="3" t="s">
        <v>22432</v>
      </c>
      <c r="C7827" s="3">
        <v>0.0</v>
      </c>
      <c r="D7827" s="3">
        <v>0.0</v>
      </c>
      <c r="E7827" s="3">
        <v>1.0</v>
      </c>
      <c r="F7827" s="3" t="s">
        <v>22433</v>
      </c>
      <c r="G7827" s="3">
        <v>0.0</v>
      </c>
      <c r="H7827" s="3">
        <v>0.0</v>
      </c>
      <c r="I7827" s="3" t="s">
        <v>13</v>
      </c>
      <c r="J7827" s="3" t="s">
        <v>22434</v>
      </c>
      <c r="K7827" s="3" t="s">
        <v>510</v>
      </c>
      <c r="L7827" s="3" t="str">
        <f>IFERROR(__xludf.DUMMYFUNCTION("GOOGLETRANSLATE(F7827,""id"",""en"")"),"The mood of the Argentina championship trash fans is resentful until the photo of Lautaro Resetteweet all day BHUAKAKAKAKKKKKKKKKKKKKKKKKKKKKKKK")</f>
        <v>The mood of the Argentina championship trash fans is resentful until the photo of Lautaro Resetteweet all day BHUAKAKAKAKKKKKKKKKKKKKKKKKKKKKKKK</v>
      </c>
    </row>
    <row r="7828" ht="15.75" customHeight="1">
      <c r="A7828" s="1">
        <v>9047.0</v>
      </c>
      <c r="B7828" s="3" t="s">
        <v>22435</v>
      </c>
      <c r="C7828" s="3">
        <v>0.0</v>
      </c>
      <c r="D7828" s="3">
        <v>0.0</v>
      </c>
      <c r="E7828" s="3">
        <v>0.0</v>
      </c>
      <c r="F7828" s="3" t="s">
        <v>21776</v>
      </c>
      <c r="G7828" s="3">
        <v>0.0</v>
      </c>
      <c r="H7828" s="3">
        <v>0.0</v>
      </c>
      <c r="I7828" s="3" t="s">
        <v>13</v>
      </c>
      <c r="J7828" s="3" t="s">
        <v>21777</v>
      </c>
      <c r="K7828" s="3" t="s">
        <v>127</v>
      </c>
      <c r="L7828" s="3" t="str">
        <f>IFERROR(__xludf.DUMMYFUNCTION("GOOGLETRANSLATE(F7828,""id"",""en"")"),"Kakanwil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7829" ht="15.75" customHeight="1">
      <c r="A7829" s="1">
        <v>9048.0</v>
      </c>
      <c r="B7829" s="3" t="s">
        <v>22436</v>
      </c>
      <c r="C7829" s="3">
        <v>0.0</v>
      </c>
      <c r="D7829" s="3">
        <v>0.0</v>
      </c>
      <c r="E7829" s="3">
        <v>0.0</v>
      </c>
      <c r="F7829" s="3" t="s">
        <v>22437</v>
      </c>
      <c r="G7829" s="3">
        <v>0.0</v>
      </c>
      <c r="H7829" s="3">
        <v>0.0</v>
      </c>
      <c r="I7829" s="3" t="s">
        <v>13</v>
      </c>
      <c r="J7829" s="3" t="s">
        <v>22438</v>
      </c>
      <c r="K7829" s="3" t="s">
        <v>19</v>
      </c>
      <c r="L7829" s="3" t="str">
        <f>IFERROR(__xludf.DUMMYFUNCTION("GOOGLETRANSLATE(F7829,""id"",""en"")"),"The irony of the team of the Argentine World Cup won in debt of hundreds of thousands of trillion rupiah")</f>
        <v>The irony of the team of the Argentine World Cup won in debt of hundreds of thousands of trillion rupiah</v>
      </c>
    </row>
    <row r="7830" ht="15.75" customHeight="1">
      <c r="A7830" s="1">
        <v>9049.0</v>
      </c>
      <c r="B7830" s="3" t="s">
        <v>22439</v>
      </c>
      <c r="C7830" s="3">
        <v>2.0</v>
      </c>
      <c r="D7830" s="3">
        <v>3.0</v>
      </c>
      <c r="E7830" s="3">
        <v>21.0</v>
      </c>
      <c r="F7830" s="3" t="s">
        <v>22400</v>
      </c>
      <c r="G7830" s="3">
        <v>0.4</v>
      </c>
      <c r="H7830" s="3">
        <v>0.1</v>
      </c>
      <c r="I7830" s="3" t="s">
        <v>48</v>
      </c>
      <c r="J7830" s="3" t="s">
        <v>22401</v>
      </c>
      <c r="K7830" s="3" t="s">
        <v>15</v>
      </c>
      <c r="L7830" s="3" t="str">
        <f>IFERROR(__xludf.DUMMYFUNCTION("GOOGLETRANSLATE(F7830,""id"",""en"")"),"Argentina Champion and Epic Mesidona Primadona Record Maradona")</f>
        <v>Argentina Champion and Epic Mesidona Primadona Record Maradona</v>
      </c>
    </row>
    <row r="7831" ht="15.75" customHeight="1">
      <c r="A7831" s="1">
        <v>9050.0</v>
      </c>
      <c r="B7831" s="3" t="s">
        <v>22440</v>
      </c>
      <c r="C7831" s="3">
        <v>0.0</v>
      </c>
      <c r="D7831" s="3">
        <v>0.0</v>
      </c>
      <c r="E7831" s="3">
        <v>0.0</v>
      </c>
      <c r="F7831" s="3" t="s">
        <v>22441</v>
      </c>
      <c r="G7831" s="3">
        <v>0.0</v>
      </c>
      <c r="H7831" s="3">
        <v>0.0</v>
      </c>
      <c r="I7831" s="3" t="s">
        <v>13</v>
      </c>
      <c r="J7831" s="3" t="s">
        <v>22442</v>
      </c>
      <c r="K7831" s="3" t="s">
        <v>286</v>
      </c>
      <c r="L7831" s="3" t="str">
        <f>IFERROR(__xludf.DUMMYFUNCTION("GOOGLETRANSLATE(F7831,""id"",""en"")"),"But somehow I was so very, very strongly supported Messi Argentina from the start")</f>
        <v>But somehow I was so very, very strongly supported Messi Argentina from the start</v>
      </c>
    </row>
    <row r="7832" ht="15.75" customHeight="1">
      <c r="A7832" s="1">
        <v>9051.0</v>
      </c>
      <c r="B7832" s="3" t="s">
        <v>22443</v>
      </c>
      <c r="C7832" s="3">
        <v>0.0</v>
      </c>
      <c r="D7832" s="3">
        <v>0.0</v>
      </c>
      <c r="E7832" s="3">
        <v>0.0</v>
      </c>
      <c r="F7832" s="3" t="s">
        <v>22444</v>
      </c>
      <c r="G7832" s="3">
        <v>0.0</v>
      </c>
      <c r="H7832" s="3">
        <v>0.0</v>
      </c>
      <c r="I7832" s="3" t="s">
        <v>13</v>
      </c>
      <c r="J7832" s="3" t="s">
        <v>22445</v>
      </c>
      <c r="K7832" s="3" t="s">
        <v>584</v>
      </c>
      <c r="L7832" s="3" t="str">
        <f>IFERROR(__xludf.DUMMYFUNCTION("GOOGLETRANSLATE(F7832,""id"",""en"")"),"Siriiik really your life is really Aguero ever borrowing your money and not really back to the people who are so snenetful because the country wins the Pilduun lg.")</f>
        <v>Siriiik really your life is really Aguero ever borrowing your money and not really back to the people who are so snenetful because the country wins the Pilduun lg.</v>
      </c>
    </row>
    <row r="7833" ht="15.75" customHeight="1">
      <c r="A7833" s="1">
        <v>9052.0</v>
      </c>
      <c r="B7833" s="3" t="s">
        <v>22446</v>
      </c>
      <c r="C7833" s="3">
        <v>0.0</v>
      </c>
      <c r="D7833" s="3">
        <v>1.0</v>
      </c>
      <c r="E7833" s="3">
        <v>1.0</v>
      </c>
      <c r="F7833" s="3" t="s">
        <v>22447</v>
      </c>
      <c r="G7833" s="3">
        <v>0.4</v>
      </c>
      <c r="H7833" s="3">
        <v>0.1</v>
      </c>
      <c r="I7833" s="3" t="s">
        <v>48</v>
      </c>
      <c r="J7833" s="3" t="s">
        <v>22448</v>
      </c>
      <c r="K7833" s="3" t="s">
        <v>644</v>
      </c>
      <c r="L7833" s="3" t="str">
        <f>IFERROR(__xludf.DUMMYFUNCTION("GOOGLETRANSLATE(F7833,""id"",""en"")"),"Argentina Champion and Epic Record")</f>
        <v>Argentina Champion and Epic Record</v>
      </c>
    </row>
    <row r="7834" ht="15.75" customHeight="1">
      <c r="A7834" s="1">
        <v>9053.0</v>
      </c>
      <c r="B7834" s="3" t="s">
        <v>22449</v>
      </c>
      <c r="C7834" s="3">
        <v>0.0</v>
      </c>
      <c r="D7834" s="3">
        <v>0.0</v>
      </c>
      <c r="E7834" s="3">
        <v>7.0</v>
      </c>
      <c r="F7834" s="3" t="s">
        <v>22018</v>
      </c>
      <c r="G7834" s="3">
        <v>0.0</v>
      </c>
      <c r="H7834" s="3">
        <v>0.0</v>
      </c>
      <c r="I7834" s="3" t="s">
        <v>13</v>
      </c>
      <c r="J7834" s="3" t="s">
        <v>22019</v>
      </c>
      <c r="K7834" s="3" t="s">
        <v>15</v>
      </c>
      <c r="L7834" s="3" t="str">
        <f>IFERROR(__xludf.DUMMYFUNCTION("GOOGLETRANSLATE(F7834,""id"",""en"")"),"Argentine successful key player champion world cup champion")</f>
        <v>Argentine successful key player champion world cup champion</v>
      </c>
    </row>
    <row r="7835" ht="15.75" customHeight="1">
      <c r="A7835" s="1">
        <v>9054.0</v>
      </c>
      <c r="B7835" s="3" t="s">
        <v>22450</v>
      </c>
      <c r="C7835" s="3">
        <v>0.0</v>
      </c>
      <c r="D7835" s="3">
        <v>0.0</v>
      </c>
      <c r="E7835" s="3">
        <v>0.0</v>
      </c>
      <c r="F7835" s="3" t="s">
        <v>22451</v>
      </c>
      <c r="G7835" s="3">
        <v>0.0</v>
      </c>
      <c r="H7835" s="3">
        <v>0.0</v>
      </c>
      <c r="I7835" s="3" t="s">
        <v>13</v>
      </c>
      <c r="J7835" s="3" t="s">
        <v>22452</v>
      </c>
      <c r="K7835" s="3" t="s">
        <v>19</v>
      </c>
      <c r="L7835" s="3" t="str">
        <f>IFERROR(__xludf.DUMMYFUNCTION("GOOGLETRANSLATE(F7835,""id"",""en"")"),"Like the fans of the Argentina champion trash club they were resentful until the photo of the Lautaro was retweeted.")</f>
        <v>Like the fans of the Argentina champion trash club they were resentful until the photo of the Lautaro was retweeted.</v>
      </c>
    </row>
    <row r="7836" ht="15.75" customHeight="1">
      <c r="A7836" s="1">
        <v>9055.0</v>
      </c>
      <c r="B7836" s="3" t="s">
        <v>22453</v>
      </c>
      <c r="C7836" s="3">
        <v>0.0</v>
      </c>
      <c r="D7836" s="3">
        <v>0.0</v>
      </c>
      <c r="E7836" s="3">
        <v>0.0</v>
      </c>
      <c r="F7836" s="3" t="s">
        <v>22454</v>
      </c>
      <c r="G7836" s="3">
        <v>0.0</v>
      </c>
      <c r="H7836" s="3">
        <v>0.0</v>
      </c>
      <c r="I7836" s="3" t="s">
        <v>13</v>
      </c>
      <c r="J7836" s="3" t="s">
        <v>22455</v>
      </c>
      <c r="K7836" s="3" t="s">
        <v>205</v>
      </c>
      <c r="L7836" s="3" t="str">
        <f>IFERROR(__xludf.DUMMYFUNCTION("GOOGLETRANSLATE(F7836,""id"",""en"")"),"Fortunately, Argentina, the people's champions, can forget the economic crisis that is getting worse by the people's parties can forget the high inflation and foreign debt that is difficult to pay for more")</f>
        <v>Fortunately, Argentina, the people's champions, can forget the economic crisis that is getting worse by the people's parties can forget the high inflation and foreign debt that is difficult to pay for more</v>
      </c>
    </row>
    <row r="7837" ht="15.75" customHeight="1">
      <c r="A7837" s="1">
        <v>9056.0</v>
      </c>
      <c r="B7837" s="3" t="s">
        <v>22456</v>
      </c>
      <c r="C7837" s="3">
        <v>1.0</v>
      </c>
      <c r="D7837" s="3">
        <v>1.0</v>
      </c>
      <c r="E7837" s="3">
        <v>16.0</v>
      </c>
      <c r="F7837" s="3" t="s">
        <v>21910</v>
      </c>
      <c r="G7837" s="3">
        <v>0.0</v>
      </c>
      <c r="H7837" s="3">
        <v>0.0</v>
      </c>
      <c r="I7837" s="3" t="s">
        <v>13</v>
      </c>
      <c r="J7837" s="3" t="s">
        <v>21911</v>
      </c>
      <c r="K7837" s="3" t="s">
        <v>184</v>
      </c>
      <c r="L7837" s="3" t="str">
        <f>IFERROR(__xludf.DUMMYFUNCTION("GOOGLETRANSLATE(F7837,""id"",""en"")"),"Carlo Ancelotti praised the performance of Lionel Scaloni who was able to deliver Argentina to become a world champion assessed Scaloni to do extraordinary work")</f>
        <v>Carlo Ancelotti praised the performance of Lionel Scaloni who was able to deliver Argentina to become a world champion assessed Scaloni to do extraordinary work</v>
      </c>
    </row>
    <row r="7838" ht="15.75" customHeight="1">
      <c r="A7838" s="1">
        <v>9057.0</v>
      </c>
      <c r="B7838" s="3" t="s">
        <v>22457</v>
      </c>
      <c r="C7838" s="3">
        <v>0.0</v>
      </c>
      <c r="D7838" s="3">
        <v>1.0</v>
      </c>
      <c r="E7838" s="3">
        <v>27.0</v>
      </c>
      <c r="F7838" s="3" t="s">
        <v>21910</v>
      </c>
      <c r="G7838" s="3">
        <v>0.0</v>
      </c>
      <c r="H7838" s="3">
        <v>0.0</v>
      </c>
      <c r="I7838" s="3" t="s">
        <v>13</v>
      </c>
      <c r="J7838" s="3" t="s">
        <v>21911</v>
      </c>
      <c r="K7838" s="3" t="s">
        <v>184</v>
      </c>
      <c r="L7838" s="3" t="str">
        <f>IFERROR(__xludf.DUMMYFUNCTION("GOOGLETRANSLATE(F7838,""id"",""en"")"),"Carlo Ancelotti praised the performance of Lionel Scaloni who was able to deliver Argentina to become a world champion assessed Scaloni to do extraordinary work")</f>
        <v>Carlo Ancelotti praised the performance of Lionel Scaloni who was able to deliver Argentina to become a world champion assessed Scaloni to do extraordinary work</v>
      </c>
    </row>
    <row r="7839" ht="15.75" customHeight="1">
      <c r="A7839" s="1">
        <v>9058.0</v>
      </c>
      <c r="B7839" s="3" t="s">
        <v>22458</v>
      </c>
      <c r="C7839" s="3">
        <v>0.0</v>
      </c>
      <c r="D7839" s="3">
        <v>0.0</v>
      </c>
      <c r="E7839" s="3">
        <v>0.0</v>
      </c>
      <c r="F7839" s="3" t="s">
        <v>21910</v>
      </c>
      <c r="G7839" s="3">
        <v>0.0</v>
      </c>
      <c r="H7839" s="3">
        <v>0.0</v>
      </c>
      <c r="I7839" s="3" t="s">
        <v>13</v>
      </c>
      <c r="J7839" s="3" t="s">
        <v>21911</v>
      </c>
      <c r="K7839" s="3" t="s">
        <v>184</v>
      </c>
      <c r="L7839" s="3" t="str">
        <f>IFERROR(__xludf.DUMMYFUNCTION("GOOGLETRANSLATE(F7839,""id"",""en"")"),"Carlo Ancelotti praised the performance of Lionel Scaloni who was able to deliver Argentina to become a world champion assessed Scaloni to do extraordinary work")</f>
        <v>Carlo Ancelotti praised the performance of Lionel Scaloni who was able to deliver Argentina to become a world champion assessed Scaloni to do extraordinary work</v>
      </c>
    </row>
    <row r="7840" ht="15.75" customHeight="1">
      <c r="A7840" s="1">
        <v>9059.0</v>
      </c>
      <c r="B7840" s="3" t="s">
        <v>22459</v>
      </c>
      <c r="C7840" s="3">
        <v>0.0</v>
      </c>
      <c r="D7840" s="3">
        <v>1.0</v>
      </c>
      <c r="E7840" s="3">
        <v>2.0</v>
      </c>
      <c r="F7840" s="3" t="s">
        <v>22400</v>
      </c>
      <c r="G7840" s="3">
        <v>0.4</v>
      </c>
      <c r="H7840" s="3">
        <v>0.1</v>
      </c>
      <c r="I7840" s="3" t="s">
        <v>48</v>
      </c>
      <c r="J7840" s="3" t="s">
        <v>22401</v>
      </c>
      <c r="K7840" s="3" t="s">
        <v>15</v>
      </c>
      <c r="L7840" s="3" t="str">
        <f>IFERROR(__xludf.DUMMYFUNCTION("GOOGLETRANSLATE(F7840,""id"",""en"")"),"Argentina Champion and Epic Mesidona Primadona Record Maradona")</f>
        <v>Argentina Champion and Epic Mesidona Primadona Record Maradona</v>
      </c>
    </row>
    <row r="7841" ht="15.75" customHeight="1">
      <c r="A7841" s="1">
        <v>9060.0</v>
      </c>
      <c r="B7841" s="3" t="s">
        <v>22460</v>
      </c>
      <c r="C7841" s="3">
        <v>0.0</v>
      </c>
      <c r="D7841" s="3">
        <v>0.0</v>
      </c>
      <c r="E7841" s="3">
        <v>0.0</v>
      </c>
      <c r="F7841" s="3" t="s">
        <v>16103</v>
      </c>
      <c r="G7841" s="3">
        <v>0.0</v>
      </c>
      <c r="H7841" s="3">
        <v>0.0</v>
      </c>
      <c r="I7841" s="3" t="s">
        <v>13</v>
      </c>
      <c r="J7841" s="3" t="s">
        <v>16104</v>
      </c>
      <c r="K7841" s="3" t="s">
        <v>14571</v>
      </c>
      <c r="L7841" s="3" t="str">
        <f>IFERROR(__xludf.DUMMYFUNCTION("GOOGLETRANSLATE(F7841,""id"",""en"")"),"Argentina Champion")</f>
        <v>Argentina Champion</v>
      </c>
    </row>
    <row r="7842" ht="15.75" customHeight="1">
      <c r="A7842" s="1">
        <v>9061.0</v>
      </c>
      <c r="B7842" s="3" t="s">
        <v>22461</v>
      </c>
      <c r="C7842" s="3">
        <v>0.0</v>
      </c>
      <c r="D7842" s="3">
        <v>0.0</v>
      </c>
      <c r="E7842" s="3">
        <v>0.0</v>
      </c>
      <c r="F7842" s="3" t="s">
        <v>22462</v>
      </c>
      <c r="G7842" s="3">
        <v>0.2333333333333333</v>
      </c>
      <c r="H7842" s="3">
        <v>-0.25</v>
      </c>
      <c r="I7842" s="3" t="s">
        <v>179</v>
      </c>
      <c r="J7842" s="3" t="s">
        <v>22463</v>
      </c>
      <c r="K7842" s="3" t="s">
        <v>41</v>
      </c>
      <c r="L7842" s="3" t="str">
        <f>IFERROR(__xludf.DUMMYFUNCTION("GOOGLETRANSLATE(F7842,""id"",""en"")"),"The Argentina national team returned to bring the wrapping parade trophy to be prepared")</f>
        <v>The Argentina national team returned to bring the wrapping parade trophy to be prepared</v>
      </c>
    </row>
    <row r="7843" ht="15.75" customHeight="1">
      <c r="A7843" s="1">
        <v>9062.0</v>
      </c>
      <c r="B7843" s="3" t="s">
        <v>22464</v>
      </c>
      <c r="C7843" s="3">
        <v>0.0</v>
      </c>
      <c r="D7843" s="3">
        <v>3.0</v>
      </c>
      <c r="E7843" s="3">
        <v>12.0</v>
      </c>
      <c r="F7843" s="3" t="s">
        <v>22465</v>
      </c>
      <c r="G7843" s="3">
        <v>0.0</v>
      </c>
      <c r="H7843" s="3">
        <v>0.0</v>
      </c>
      <c r="I7843" s="3" t="s">
        <v>13</v>
      </c>
      <c r="J7843" s="3" t="s">
        <v>22466</v>
      </c>
      <c r="K7843" s="3" t="s">
        <v>82</v>
      </c>
      <c r="L7843" s="3" t="str">
        <f>IFERROR(__xludf.DUMMYFUNCTION("GOOGLETRANSLATE(F7843,""id"",""en"")"),"people celebrate victory as a world champion")</f>
        <v>people celebrate victory as a world champion</v>
      </c>
    </row>
    <row r="7844" ht="15.75" customHeight="1">
      <c r="A7844" s="1">
        <v>9063.0</v>
      </c>
      <c r="B7844" s="3" t="s">
        <v>22467</v>
      </c>
      <c r="C7844" s="3">
        <v>0.0</v>
      </c>
      <c r="D7844" s="3">
        <v>0.0</v>
      </c>
      <c r="E7844" s="3">
        <v>1.0</v>
      </c>
      <c r="F7844" s="3" t="s">
        <v>22468</v>
      </c>
      <c r="G7844" s="3">
        <v>0.0</v>
      </c>
      <c r="H7844" s="3">
        <v>0.0</v>
      </c>
      <c r="I7844" s="3" t="s">
        <v>13</v>
      </c>
      <c r="J7844" s="3" t="s">
        <v>22469</v>
      </c>
      <c r="K7844" s="3" t="s">
        <v>240</v>
      </c>
      <c r="L7844" s="3" t="str">
        <f>IFERROR(__xludf.DUMMYFUNCTION("GOOGLETRANSLATE(F7844,""id"",""en"")"),"The embrace of the victory of Mrs. Messi ran away from her son's argene after Argentina Champion World Cup Link Video Link")</f>
        <v>The embrace of the victory of Mrs. Messi ran away from her son's argene after Argentina Champion World Cup Link Video Link</v>
      </c>
    </row>
    <row r="7845" ht="15.75" customHeight="1">
      <c r="A7845" s="1">
        <v>9064.0</v>
      </c>
      <c r="B7845" s="3" t="s">
        <v>22470</v>
      </c>
      <c r="C7845" s="3">
        <v>0.0</v>
      </c>
      <c r="D7845" s="3">
        <v>0.0</v>
      </c>
      <c r="E7845" s="3">
        <v>0.0</v>
      </c>
      <c r="F7845" s="3" t="s">
        <v>22471</v>
      </c>
      <c r="G7845" s="3">
        <v>0.0</v>
      </c>
      <c r="H7845" s="3">
        <v>0.0</v>
      </c>
      <c r="I7845" s="3" t="s">
        <v>13</v>
      </c>
      <c r="J7845" s="3" t="s">
        <v>22472</v>
      </c>
      <c r="K7845" s="3" t="s">
        <v>35</v>
      </c>
      <c r="L7845" s="3" t="str">
        <f>IFERROR(__xludf.DUMMYFUNCTION("GOOGLETRANSLATE(F7845,""id"",""en"")"),"Macallister after champion with Messi next week must practice together with Welbeck wkwkw")</f>
        <v>Macallister after champion with Messi next week must practice together with Welbeck wkwkw</v>
      </c>
    </row>
    <row r="7846" ht="15.75" customHeight="1">
      <c r="A7846" s="1">
        <v>9065.0</v>
      </c>
      <c r="B7846" s="3" t="s">
        <v>22473</v>
      </c>
      <c r="C7846" s="3">
        <v>0.0</v>
      </c>
      <c r="D7846" s="3">
        <v>0.0</v>
      </c>
      <c r="E7846" s="3">
        <v>1.0</v>
      </c>
      <c r="F7846" s="3" t="s">
        <v>22474</v>
      </c>
      <c r="G7846" s="3">
        <v>0.0</v>
      </c>
      <c r="H7846" s="3">
        <v>0.0</v>
      </c>
      <c r="I7846" s="3" t="s">
        <v>13</v>
      </c>
      <c r="J7846" s="3" t="s">
        <v>22475</v>
      </c>
      <c r="K7846" s="3" t="s">
        <v>322</v>
      </c>
      <c r="L7846" s="3" t="str">
        <f>IFERROR(__xludf.DUMMYFUNCTION("GOOGLETRANSLATE(F7846,""id"",""en"")"),"Madrid Champion UCL Argentina World Champion")</f>
        <v>Madrid Champion UCL Argentina World Champion</v>
      </c>
    </row>
    <row r="7847" ht="15.75" customHeight="1">
      <c r="A7847" s="1">
        <v>9066.0</v>
      </c>
      <c r="B7847" s="3" t="s">
        <v>22476</v>
      </c>
      <c r="C7847" s="3">
        <v>0.0</v>
      </c>
      <c r="D7847" s="3">
        <v>0.0</v>
      </c>
      <c r="E7847" s="3">
        <v>0.0</v>
      </c>
      <c r="F7847" s="3" t="s">
        <v>22477</v>
      </c>
      <c r="G7847" s="3">
        <v>0.0</v>
      </c>
      <c r="H7847" s="3">
        <v>0.0</v>
      </c>
      <c r="I7847" s="3" t="s">
        <v>13</v>
      </c>
      <c r="J7847" s="3" t="s">
        <v>22478</v>
      </c>
      <c r="K7847" s="3" t="s">
        <v>15</v>
      </c>
      <c r="L7847" s="3" t="str">
        <f>IFERROR(__xludf.DUMMYFUNCTION("GOOGLETRANSLATE(F7847,""id"",""en"")"),"not really looking at the editing of Argentina Video Photo Champion")</f>
        <v>not really looking at the editing of Argentina Video Photo Champion</v>
      </c>
    </row>
    <row r="7848" ht="15.75" customHeight="1">
      <c r="A7848" s="1">
        <v>9067.0</v>
      </c>
      <c r="B7848" s="3" t="s">
        <v>22479</v>
      </c>
      <c r="C7848" s="3">
        <v>0.0</v>
      </c>
      <c r="D7848" s="3">
        <v>0.0</v>
      </c>
      <c r="E7848" s="3">
        <v>0.0</v>
      </c>
      <c r="F7848" s="3" t="s">
        <v>22480</v>
      </c>
      <c r="G7848" s="3">
        <v>0.0</v>
      </c>
      <c r="H7848" s="3">
        <v>0.0</v>
      </c>
      <c r="I7848" s="3" t="s">
        <v>13</v>
      </c>
      <c r="J7848" s="3" t="s">
        <v>22481</v>
      </c>
      <c r="K7848" s="3" t="s">
        <v>54</v>
      </c>
      <c r="L7848" s="3" t="str">
        <f>IFERROR(__xludf.DUMMYFUNCTION("GOOGLETRANSLATE(F7848,""id"",""en"")"),"Only the era of Mr. Harto Argentina Champion")</f>
        <v>Only the era of Mr. Harto Argentina Champion</v>
      </c>
    </row>
    <row r="7849" ht="15.75" customHeight="1">
      <c r="A7849" s="1">
        <v>9068.0</v>
      </c>
      <c r="B7849" s="3" t="s">
        <v>22482</v>
      </c>
      <c r="C7849" s="3">
        <v>0.0</v>
      </c>
      <c r="D7849" s="3">
        <v>0.0</v>
      </c>
      <c r="E7849" s="3">
        <v>2.0</v>
      </c>
      <c r="F7849" s="3" t="s">
        <v>22483</v>
      </c>
      <c r="G7849" s="3">
        <v>0.0</v>
      </c>
      <c r="H7849" s="3">
        <v>0.0</v>
      </c>
      <c r="I7849" s="3" t="s">
        <v>13</v>
      </c>
      <c r="J7849" s="3" t="s">
        <v>22484</v>
      </c>
      <c r="K7849" s="3" t="s">
        <v>41</v>
      </c>
      <c r="L7849" s="3" t="str">
        <f>IFERROR(__xludf.DUMMYFUNCTION("GOOGLETRANSLATE(F7849,""id"",""en"")"),"The mind of Bang Messi also had to champion the State Pildun besides Argentina was only complete")</f>
        <v>The mind of Bang Messi also had to champion the State Pildun besides Argentina was only complete</v>
      </c>
    </row>
    <row r="7850" ht="15.75" customHeight="1">
      <c r="A7850" s="1">
        <v>9069.0</v>
      </c>
      <c r="B7850" s="3" t="s">
        <v>22485</v>
      </c>
      <c r="C7850" s="3">
        <v>0.0</v>
      </c>
      <c r="D7850" s="3">
        <v>0.0</v>
      </c>
      <c r="E7850" s="3">
        <v>0.0</v>
      </c>
      <c r="F7850" s="3" t="s">
        <v>22486</v>
      </c>
      <c r="G7850" s="3">
        <v>0.0</v>
      </c>
      <c r="H7850" s="3">
        <v>0.0</v>
      </c>
      <c r="I7850" s="3" t="s">
        <v>13</v>
      </c>
      <c r="J7850" s="3" t="s">
        <v>22487</v>
      </c>
      <c r="K7850" s="3" t="s">
        <v>6117</v>
      </c>
      <c r="L7850" s="3" t="str">
        <f>IFERROR(__xludf.DUMMYFUNCTION("GOOGLETRANSLATE(F7850,""id"",""en"")"),"Good morning to supporters of the French national team, keep up the spirit and need to cry good morning your Argentina supporters are worthy")</f>
        <v>Good morning to supporters of the French national team, keep up the spirit and need to cry good morning your Argentina supporters are worthy</v>
      </c>
    </row>
    <row r="7851" ht="15.75" customHeight="1">
      <c r="A7851" s="1">
        <v>9070.0</v>
      </c>
      <c r="B7851" s="3" t="s">
        <v>22488</v>
      </c>
      <c r="C7851" s="3">
        <v>1.0</v>
      </c>
      <c r="D7851" s="3">
        <v>0.0</v>
      </c>
      <c r="E7851" s="3">
        <v>3.0</v>
      </c>
      <c r="F7851" s="3" t="s">
        <v>22489</v>
      </c>
      <c r="G7851" s="3">
        <v>0.0</v>
      </c>
      <c r="H7851" s="3">
        <v>0.0</v>
      </c>
      <c r="I7851" s="3" t="s">
        <v>13</v>
      </c>
      <c r="J7851" s="3" t="s">
        <v>22490</v>
      </c>
      <c r="K7851" s="3" t="s">
        <v>50</v>
      </c>
      <c r="L7851" s="3" t="str">
        <f>IFERROR(__xludf.DUMMYFUNCTION("GOOGLETRANSLATE(F7851,""id"",""en"")"),"There is no happy with Argentina champions if told to choose many French players who want to buy Min")</f>
        <v>There is no happy with Argentina champions if told to choose many French players who want to buy Min</v>
      </c>
    </row>
    <row r="7852" ht="15.75" customHeight="1">
      <c r="A7852" s="1">
        <v>9071.0</v>
      </c>
      <c r="B7852" s="3" t="s">
        <v>22491</v>
      </c>
      <c r="C7852" s="3">
        <v>0.0</v>
      </c>
      <c r="D7852" s="3">
        <v>0.0</v>
      </c>
      <c r="E7852" s="3">
        <v>1.0</v>
      </c>
      <c r="F7852" s="3" t="s">
        <v>22492</v>
      </c>
      <c r="G7852" s="3">
        <v>0.0</v>
      </c>
      <c r="H7852" s="3">
        <v>0.0</v>
      </c>
      <c r="I7852" s="3" t="s">
        <v>13</v>
      </c>
      <c r="J7852" s="3" t="s">
        <v>22493</v>
      </c>
      <c r="K7852" s="3" t="s">
        <v>657</v>
      </c>
      <c r="L7852" s="3" t="str">
        <f>IFERROR(__xludf.DUMMYFUNCTION("GOOGLETRANSLATE(F7852,""id"",""en"")"),"Mario Kempes Diego Maradona Leonel Messi Figur Man The Match Carrier World Cup for Argentina")</f>
        <v>Mario Kempes Diego Maradona Leonel Messi Figur Man The Match Carrier World Cup for Argentina</v>
      </c>
    </row>
    <row r="7853" ht="15.75" customHeight="1">
      <c r="A7853" s="1">
        <v>9072.0</v>
      </c>
      <c r="B7853" s="3" t="s">
        <v>22494</v>
      </c>
      <c r="C7853" s="3">
        <v>0.0</v>
      </c>
      <c r="D7853" s="3">
        <v>1.0</v>
      </c>
      <c r="E7853" s="3">
        <v>7.0</v>
      </c>
      <c r="F7853" s="3" t="s">
        <v>22495</v>
      </c>
      <c r="G7853" s="3">
        <v>0.0</v>
      </c>
      <c r="H7853" s="3">
        <v>0.0</v>
      </c>
      <c r="I7853" s="3" t="s">
        <v>13</v>
      </c>
      <c r="J7853" s="3" t="s">
        <v>22496</v>
      </c>
      <c r="K7853" s="3" t="s">
        <v>41</v>
      </c>
      <c r="L7853" s="3" t="str">
        <f>IFERROR(__xludf.DUMMYFUNCTION("GOOGLETRANSLATE(F7853,""id"",""en"")"),"Tweet, bro, how come you don't say Argentina champion Ngene Iki")</f>
        <v>Tweet, bro, how come you don't say Argentina champion Ngene Iki</v>
      </c>
    </row>
    <row r="7854" ht="15.75" customHeight="1">
      <c r="A7854" s="1">
        <v>9073.0</v>
      </c>
      <c r="B7854" s="3" t="s">
        <v>22497</v>
      </c>
      <c r="C7854" s="3">
        <v>0.0</v>
      </c>
      <c r="D7854" s="3">
        <v>0.0</v>
      </c>
      <c r="E7854" s="3">
        <v>1.0</v>
      </c>
      <c r="F7854" s="3" t="s">
        <v>22498</v>
      </c>
      <c r="G7854" s="3">
        <v>0.0</v>
      </c>
      <c r="H7854" s="3">
        <v>0.0</v>
      </c>
      <c r="I7854" s="3" t="s">
        <v>13</v>
      </c>
      <c r="J7854" s="3" t="s">
        <v>22499</v>
      </c>
      <c r="K7854" s="3" t="s">
        <v>31</v>
      </c>
      <c r="L7854" s="3" t="str">
        <f>IFERROR(__xludf.DUMMYFUNCTION("GOOGLETRANSLATE(F7854,""id"",""en"")"),"Argentina became champions and many were silent")</f>
        <v>Argentina became champions and many were silent</v>
      </c>
    </row>
    <row r="7855" ht="15.75" customHeight="1">
      <c r="A7855" s="1">
        <v>9074.0</v>
      </c>
      <c r="B7855" s="3" t="s">
        <v>22500</v>
      </c>
      <c r="C7855" s="3">
        <v>0.0</v>
      </c>
      <c r="D7855" s="3">
        <v>0.0</v>
      </c>
      <c r="E7855" s="3">
        <v>1.0</v>
      </c>
      <c r="F7855" s="3" t="s">
        <v>22501</v>
      </c>
      <c r="G7855" s="3">
        <v>0.0</v>
      </c>
      <c r="H7855" s="3">
        <v>0.0</v>
      </c>
      <c r="I7855" s="3" t="s">
        <v>13</v>
      </c>
      <c r="J7855" s="3" t="s">
        <v>22502</v>
      </c>
      <c r="K7855" s="3" t="s">
        <v>1479</v>
      </c>
      <c r="L7855" s="3" t="str">
        <f>IFERROR(__xludf.DUMMYFUNCTION("GOOGLETRANSLATE(F7855,""id"",""en"")"),"Let him, he is an Argentine, it is natural that he will trust his country, a champion, not Argentina, a lot")</f>
        <v>Let him, he is an Argentine, it is natural that he will trust his country, a champion, not Argentina, a lot</v>
      </c>
    </row>
    <row r="7856" ht="15.75" customHeight="1">
      <c r="A7856" s="1">
        <v>9075.0</v>
      </c>
      <c r="B7856" s="3" t="s">
        <v>22503</v>
      </c>
      <c r="C7856" s="3">
        <v>0.0</v>
      </c>
      <c r="D7856" s="3">
        <v>0.0</v>
      </c>
      <c r="E7856" s="3">
        <v>0.0</v>
      </c>
      <c r="F7856" s="3" t="s">
        <v>22504</v>
      </c>
      <c r="G7856" s="3">
        <v>0.0</v>
      </c>
      <c r="H7856" s="3">
        <v>0.0</v>
      </c>
      <c r="I7856" s="3" t="s">
        <v>13</v>
      </c>
      <c r="J7856" s="3" t="s">
        <v>22505</v>
      </c>
      <c r="K7856" s="3" t="s">
        <v>50</v>
      </c>
      <c r="L7856" s="3" t="str">
        <f>IFERROR(__xludf.DUMMYFUNCTION("GOOGLETRANSLATE(F7856,""id"",""en"")"),"Argentina World Champion Putra Maradona Praise Messi DetikSport Google News Sports News")</f>
        <v>Argentina World Champion Putra Maradona Praise Messi DetikSport Google News Sports News</v>
      </c>
    </row>
    <row r="7857" ht="15.75" customHeight="1">
      <c r="A7857" s="1">
        <v>9076.0</v>
      </c>
      <c r="B7857" s="3" t="s">
        <v>22506</v>
      </c>
      <c r="C7857" s="3">
        <v>1.0</v>
      </c>
      <c r="D7857" s="3">
        <v>0.0</v>
      </c>
      <c r="E7857" s="3">
        <v>0.0</v>
      </c>
      <c r="F7857" s="3" t="s">
        <v>22507</v>
      </c>
      <c r="G7857" s="3">
        <v>0.0</v>
      </c>
      <c r="H7857" s="3">
        <v>0.0</v>
      </c>
      <c r="I7857" s="3" t="s">
        <v>13</v>
      </c>
      <c r="J7857" s="3" t="s">
        <v>22508</v>
      </c>
      <c r="K7857" s="3" t="s">
        <v>82</v>
      </c>
      <c r="L7857" s="3" t="str">
        <f>IFERROR(__xludf.DUMMYFUNCTION("GOOGLETRANSLATE(F7857,""id"",""en"")"),"Only the era of Jokowi Argentina could be proven world champion")</f>
        <v>Only the era of Jokowi Argentina could be proven world champion</v>
      </c>
    </row>
    <row r="7858" ht="15.75" customHeight="1">
      <c r="A7858" s="1">
        <v>9077.0</v>
      </c>
      <c r="B7858" s="3" t="s">
        <v>22509</v>
      </c>
      <c r="C7858" s="3">
        <v>0.0</v>
      </c>
      <c r="D7858" s="3">
        <v>0.0</v>
      </c>
      <c r="E7858" s="3">
        <v>0.0</v>
      </c>
      <c r="F7858" s="3" t="s">
        <v>22510</v>
      </c>
      <c r="G7858" s="3">
        <v>0.0</v>
      </c>
      <c r="H7858" s="3">
        <v>0.0</v>
      </c>
      <c r="I7858" s="3" t="s">
        <v>13</v>
      </c>
      <c r="J7858" s="3" t="s">
        <v>22511</v>
      </c>
      <c r="K7858" s="3" t="s">
        <v>15</v>
      </c>
      <c r="L7858" s="3" t="str">
        <f>IFERROR(__xludf.DUMMYFUNCTION("GOOGLETRANSLATE(F7858,""id"",""en"")"),"Today I just want to remember Argentina World Cup champions")</f>
        <v>Today I just want to remember Argentina World Cup champions</v>
      </c>
    </row>
    <row r="7859" ht="15.75" customHeight="1">
      <c r="A7859" s="1">
        <v>9078.0</v>
      </c>
      <c r="B7859" s="3" t="s">
        <v>22512</v>
      </c>
      <c r="C7859" s="3">
        <v>0.0</v>
      </c>
      <c r="D7859" s="3">
        <v>0.0</v>
      </c>
      <c r="E7859" s="3">
        <v>0.0</v>
      </c>
      <c r="F7859" s="3" t="s">
        <v>22513</v>
      </c>
      <c r="G7859" s="3">
        <v>0.0</v>
      </c>
      <c r="H7859" s="3">
        <v>0.0</v>
      </c>
      <c r="I7859" s="3" t="s">
        <v>13</v>
      </c>
      <c r="J7859" s="3" t="s">
        <v>22514</v>
      </c>
      <c r="K7859" s="3" t="s">
        <v>1097</v>
      </c>
      <c r="L7859" s="3" t="str">
        <f>IFERROR(__xludf.DUMMYFUNCTION("GOOGLETRANSLATE(F7859,""id"",""en"")"),"Argentina World Champion This Complete result of all World Cup matches")</f>
        <v>Argentina World Champion This Complete result of all World Cup matches</v>
      </c>
    </row>
    <row r="7860" ht="15.75" customHeight="1">
      <c r="A7860" s="1">
        <v>9079.0</v>
      </c>
      <c r="B7860" s="3" t="s">
        <v>22515</v>
      </c>
      <c r="C7860" s="3">
        <v>0.0</v>
      </c>
      <c r="D7860" s="3">
        <v>0.0</v>
      </c>
      <c r="E7860" s="3">
        <v>0.0</v>
      </c>
      <c r="F7860" s="3" t="s">
        <v>22516</v>
      </c>
      <c r="G7860" s="3">
        <v>0.0</v>
      </c>
      <c r="H7860" s="3">
        <v>0.0</v>
      </c>
      <c r="I7860" s="3" t="s">
        <v>13</v>
      </c>
      <c r="J7860" s="3" t="s">
        <v>22517</v>
      </c>
      <c r="K7860" s="3" t="s">
        <v>82</v>
      </c>
      <c r="L7860" s="3" t="str">
        <f>IFERROR(__xludf.DUMMYFUNCTION("GOOGLETRANSLATE(F7860,""id"",""en"")"),"The World Cup is very desperate Messi and Argentina Champion")</f>
        <v>The World Cup is very desperate Messi and Argentina Champion</v>
      </c>
    </row>
    <row r="7861" ht="15.75" customHeight="1">
      <c r="A7861" s="1">
        <v>9080.0</v>
      </c>
      <c r="B7861" s="3" t="s">
        <v>22518</v>
      </c>
      <c r="C7861" s="3">
        <v>0.0</v>
      </c>
      <c r="D7861" s="3">
        <v>0.0</v>
      </c>
      <c r="E7861" s="3">
        <v>0.0</v>
      </c>
      <c r="F7861" s="3" t="s">
        <v>22519</v>
      </c>
      <c r="G7861" s="3">
        <v>0.0</v>
      </c>
      <c r="H7861" s="3">
        <v>0.0</v>
      </c>
      <c r="I7861" s="3" t="s">
        <v>13</v>
      </c>
      <c r="J7861" s="3" t="s">
        <v>22520</v>
      </c>
      <c r="K7861" s="3" t="s">
        <v>14229</v>
      </c>
      <c r="L7861" s="3" t="str">
        <f>IFERROR(__xludf.DUMMYFUNCTION("GOOGLETRANSLATE(F7861,""id"",""en"")"),"France Germany World Champion Ordinary people but Argentina world champion people are extraordinarily proud for some reason")</f>
        <v>France Germany World Champion Ordinary people but Argentina world champion people are extraordinarily proud for some reason</v>
      </c>
    </row>
    <row r="7862" ht="15.75" customHeight="1">
      <c r="A7862" s="1">
        <v>9081.0</v>
      </c>
      <c r="B7862" s="3" t="s">
        <v>22521</v>
      </c>
      <c r="C7862" s="3">
        <v>0.0</v>
      </c>
      <c r="D7862" s="3">
        <v>0.0</v>
      </c>
      <c r="E7862" s="3">
        <v>1.0</v>
      </c>
      <c r="F7862" s="3" t="s">
        <v>22522</v>
      </c>
      <c r="G7862" s="3">
        <v>0.0</v>
      </c>
      <c r="H7862" s="3">
        <v>0.0</v>
      </c>
      <c r="I7862" s="3" t="s">
        <v>13</v>
      </c>
      <c r="J7862" s="3" t="s">
        <v>22523</v>
      </c>
      <c r="K7862" s="3" t="s">
        <v>22524</v>
      </c>
      <c r="L7862" s="3" t="str">
        <f>IFERROR(__xludf.DUMMYFUNCTION("GOOGLETRANSLATE(F7862,""id"",""en"")"),"Argentina is as rich as Spain and equally defeated the final champion Spain lost to Swiss Agegen lost to Arabic")</f>
        <v>Argentina is as rich as Spain and equally defeated the final champion Spain lost to Swiss Agegen lost to Arabic</v>
      </c>
    </row>
    <row r="7863" ht="15.75" customHeight="1">
      <c r="A7863" s="1">
        <v>9082.0</v>
      </c>
      <c r="B7863" s="3" t="s">
        <v>22525</v>
      </c>
      <c r="C7863" s="3">
        <v>0.0</v>
      </c>
      <c r="D7863" s="3">
        <v>0.0</v>
      </c>
      <c r="E7863" s="3">
        <v>0.0</v>
      </c>
      <c r="F7863" s="3" t="s">
        <v>22526</v>
      </c>
      <c r="G7863" s="3">
        <v>0.0</v>
      </c>
      <c r="H7863" s="3">
        <v>0.0</v>
      </c>
      <c r="I7863" s="3" t="s">
        <v>13</v>
      </c>
      <c r="J7863" s="3" t="s">
        <v>22527</v>
      </c>
      <c r="K7863" s="3" t="s">
        <v>71</v>
      </c>
      <c r="L7863" s="3" t="str">
        <f>IFERROR(__xludf.DUMMYFUNCTION("GOOGLETRANSLATE(F7863,""id"",""en"")"),"Argentina won France, the champion of Oramg Indo was only a nobar of the capital of the noisy tea, the goblog unfaedah")</f>
        <v>Argentina won France, the champion of Oramg Indo was only a nobar of the capital of the noisy tea, the goblog unfaedah</v>
      </c>
    </row>
    <row r="7864" ht="15.75" customHeight="1">
      <c r="A7864" s="1">
        <v>9083.0</v>
      </c>
      <c r="B7864" s="3" t="s">
        <v>22528</v>
      </c>
      <c r="C7864" s="3">
        <v>0.0</v>
      </c>
      <c r="D7864" s="3">
        <v>0.0</v>
      </c>
      <c r="E7864" s="3">
        <v>0.0</v>
      </c>
      <c r="F7864" s="3" t="s">
        <v>22529</v>
      </c>
      <c r="G7864" s="3">
        <v>0.0</v>
      </c>
      <c r="H7864" s="3">
        <v>0.0</v>
      </c>
      <c r="I7864" s="3" t="s">
        <v>13</v>
      </c>
      <c r="J7864" s="3" t="s">
        <v>22530</v>
      </c>
      <c r="K7864" s="3" t="s">
        <v>9802</v>
      </c>
      <c r="L7864" s="3" t="str">
        <f>IFERROR(__xludf.DUMMYFUNCTION("GOOGLETRANSLATE(F7864,""id"",""en"")"),"Albiceleste fans Agen is currently increasing because there is a champion and there will be a new Messi retirement and can be seen where the Argentine loyalist or just admit the Argentine loyalist because there is a Messi Argentine Great Salam Dri Loyalis"&amp;"t Italia")</f>
        <v>Albiceleste fans Agen is currently increasing because there is a champion and there will be a new Messi retirement and can be seen where the Argentine loyalist or just admit the Argentine loyalist because there is a Messi Argentine Great Salam Dri Loyalist Italia</v>
      </c>
    </row>
    <row r="7865" ht="15.75" customHeight="1">
      <c r="A7865" s="1">
        <v>9084.0</v>
      </c>
      <c r="B7865" s="3" t="s">
        <v>22531</v>
      </c>
      <c r="C7865" s="3">
        <v>0.0</v>
      </c>
      <c r="D7865" s="3">
        <v>0.0</v>
      </c>
      <c r="E7865" s="3">
        <v>0.0</v>
      </c>
      <c r="F7865" s="3" t="s">
        <v>22532</v>
      </c>
      <c r="G7865" s="3">
        <v>0.0</v>
      </c>
      <c r="H7865" s="3">
        <v>0.0</v>
      </c>
      <c r="I7865" s="3" t="s">
        <v>13</v>
      </c>
      <c r="J7865" s="3" t="s">
        <v>22533</v>
      </c>
      <c r="K7865" s="3" t="s">
        <v>41</v>
      </c>
      <c r="L7865" s="3" t="str">
        <f>IFERROR(__xludf.DUMMYFUNCTION("GOOGLETRANSLATE(F7865,""id"",""en"")"),"Benzema was not called the national team France Argentina Champion World Cup Qatar")</f>
        <v>Benzema was not called the national team France Argentina Champion World Cup Qatar</v>
      </c>
    </row>
    <row r="7866" ht="15.75" customHeight="1">
      <c r="A7866" s="1">
        <v>9085.0</v>
      </c>
      <c r="B7866" s="3" t="s">
        <v>22534</v>
      </c>
      <c r="C7866" s="3">
        <v>37.0</v>
      </c>
      <c r="D7866" s="3">
        <v>348.0</v>
      </c>
      <c r="E7866" s="3">
        <v>1718.0</v>
      </c>
      <c r="F7866" s="3" t="s">
        <v>22535</v>
      </c>
      <c r="G7866" s="3">
        <v>0.0</v>
      </c>
      <c r="H7866" s="3">
        <v>0.0</v>
      </c>
      <c r="I7866" s="3" t="s">
        <v>13</v>
      </c>
      <c r="J7866" s="3" t="s">
        <v>22536</v>
      </c>
      <c r="K7866" s="3" t="s">
        <v>123</v>
      </c>
      <c r="L7866" s="3" t="str">
        <f>IFERROR(__xludf.DUMMYFUNCTION("GOOGLETRANSLATE(F7866,""id"",""en"")"),"The atmosphere of the capital of Argentina Buenos Aires when Gonzalo Montiel's penalty goal managed to bring Argentina to become Qatar champion")</f>
        <v>The atmosphere of the capital of Argentina Buenos Aires when Gonzalo Montiel's penalty goal managed to bring Argentina to become Qatar champion</v>
      </c>
    </row>
    <row r="7867" ht="15.75" customHeight="1">
      <c r="A7867" s="1">
        <v>9086.0</v>
      </c>
      <c r="B7867" s="3" t="s">
        <v>22537</v>
      </c>
      <c r="C7867" s="3">
        <v>0.0</v>
      </c>
      <c r="D7867" s="3">
        <v>0.0</v>
      </c>
      <c r="E7867" s="3">
        <v>8.0</v>
      </c>
      <c r="F7867" s="3" t="s">
        <v>22538</v>
      </c>
      <c r="G7867" s="3">
        <v>0.0</v>
      </c>
      <c r="H7867" s="3">
        <v>0.0</v>
      </c>
      <c r="I7867" s="3" t="s">
        <v>13</v>
      </c>
      <c r="J7867" s="3" t="s">
        <v>22539</v>
      </c>
      <c r="K7867" s="3" t="s">
        <v>75</v>
      </c>
      <c r="L7867" s="3" t="str">
        <f>IFERROR(__xludf.DUMMYFUNCTION("GOOGLETRANSLATE(F7867,""id"",""en"")"),"once made Messi broken heart Gotze Girang Argentina World Champion")</f>
        <v>once made Messi broken heart Gotze Girang Argentina World Champion</v>
      </c>
    </row>
    <row r="7868" ht="15.75" customHeight="1">
      <c r="A7868" s="1">
        <v>9087.0</v>
      </c>
      <c r="B7868" s="3" t="s">
        <v>22540</v>
      </c>
      <c r="C7868" s="3">
        <v>1.0</v>
      </c>
      <c r="D7868" s="3">
        <v>0.0</v>
      </c>
      <c r="E7868" s="3">
        <v>0.0</v>
      </c>
      <c r="F7868" s="3" t="s">
        <v>22541</v>
      </c>
      <c r="G7868" s="3">
        <v>0.0</v>
      </c>
      <c r="H7868" s="3">
        <v>0.0</v>
      </c>
      <c r="I7868" s="3" t="s">
        <v>13</v>
      </c>
      <c r="J7868" s="3" t="s">
        <v>22542</v>
      </c>
      <c r="K7868" s="3" t="s">
        <v>50</v>
      </c>
      <c r="L7868" s="3" t="str">
        <f>IFERROR(__xludf.DUMMYFUNCTION("GOOGLETRANSLATE(F7868,""id"",""en"")"),"After Argentina, the World Cup championship was over to who the greatest player in this era")</f>
        <v>After Argentina, the World Cup championship was over to who the greatest player in this era</v>
      </c>
    </row>
    <row r="7869" ht="15.75" customHeight="1">
      <c r="A7869" s="1">
        <v>9088.0</v>
      </c>
      <c r="B7869" s="3" t="s">
        <v>22543</v>
      </c>
      <c r="C7869" s="3">
        <v>1.0</v>
      </c>
      <c r="D7869" s="3">
        <v>0.0</v>
      </c>
      <c r="E7869" s="3">
        <v>1.0</v>
      </c>
      <c r="F7869" s="3" t="s">
        <v>22544</v>
      </c>
      <c r="G7869" s="3">
        <v>0.0</v>
      </c>
      <c r="H7869" s="3">
        <v>0.0</v>
      </c>
      <c r="I7869" s="3" t="s">
        <v>13</v>
      </c>
      <c r="J7869" s="3" t="s">
        <v>22545</v>
      </c>
      <c r="K7869" s="3" t="s">
        <v>75</v>
      </c>
      <c r="L7869" s="3" t="str">
        <f>IFERROR(__xludf.DUMMYFUNCTION("GOOGLETRANSLATE(F7869,""id"",""en"")"),"Mommy Brati because Jokowi became President of Argentina World Champion Moms")</f>
        <v>Mommy Brati because Jokowi became President of Argentina World Champion Moms</v>
      </c>
    </row>
    <row r="7870" ht="15.75" customHeight="1">
      <c r="A7870" s="1">
        <v>9089.0</v>
      </c>
      <c r="B7870" s="3" t="s">
        <v>22546</v>
      </c>
      <c r="C7870" s="3">
        <v>0.0</v>
      </c>
      <c r="D7870" s="3">
        <v>0.0</v>
      </c>
      <c r="E7870" s="3">
        <v>0.0</v>
      </c>
      <c r="F7870" s="3" t="s">
        <v>22547</v>
      </c>
      <c r="G7870" s="3">
        <v>0.0</v>
      </c>
      <c r="H7870" s="3">
        <v>0.0</v>
      </c>
      <c r="I7870" s="3" t="s">
        <v>13</v>
      </c>
      <c r="J7870" s="3" t="s">
        <v>22548</v>
      </c>
      <c r="K7870" s="3" t="s">
        <v>495</v>
      </c>
      <c r="L7870" s="3" t="str">
        <f>IFERROR(__xludf.DUMMYFUNCTION("GOOGLETRANSLATE(F7870,""id"",""en"")"),"Alvarez has entered the city champion Copa America World Cup with Argentina once in a big tournament immediately gacor")</f>
        <v>Alvarez has entered the city champion Copa America World Cup with Argentina once in a big tournament immediately gacor</v>
      </c>
    </row>
    <row r="7871" ht="15.75" customHeight="1">
      <c r="A7871" s="1">
        <v>9090.0</v>
      </c>
      <c r="B7871" s="3" t="s">
        <v>22549</v>
      </c>
      <c r="C7871" s="3">
        <v>0.0</v>
      </c>
      <c r="D7871" s="3">
        <v>0.0</v>
      </c>
      <c r="E7871" s="3">
        <v>0.0</v>
      </c>
      <c r="F7871" s="3" t="s">
        <v>22550</v>
      </c>
      <c r="G7871" s="3">
        <v>0.0</v>
      </c>
      <c r="H7871" s="3">
        <v>0.0</v>
      </c>
      <c r="I7871" s="3" t="s">
        <v>13</v>
      </c>
      <c r="J7871" s="3" t="s">
        <v>22551</v>
      </c>
      <c r="K7871" s="3" t="s">
        <v>205</v>
      </c>
      <c r="L7871" s="3" t="str">
        <f>IFERROR(__xludf.DUMMYFUNCTION("GOOGLETRANSLATE(F7871,""id"",""en"")"),"The Argentine national team finally ended the world of world titles after the year of Argentina again lifted the World Cup trophy after defeating France through a penalty shootout")</f>
        <v>The Argentine national team finally ended the world of world titles after the year of Argentina again lifted the World Cup trophy after defeating France through a penalty shootout</v>
      </c>
    </row>
    <row r="7872" ht="15.75" customHeight="1">
      <c r="A7872" s="1">
        <v>9091.0</v>
      </c>
      <c r="B7872" s="3" t="s">
        <v>22552</v>
      </c>
      <c r="C7872" s="3">
        <v>0.0</v>
      </c>
      <c r="D7872" s="3">
        <v>0.0</v>
      </c>
      <c r="E7872" s="3">
        <v>0.0</v>
      </c>
      <c r="F7872" s="3" t="s">
        <v>21776</v>
      </c>
      <c r="G7872" s="3">
        <v>0.0</v>
      </c>
      <c r="H7872" s="3">
        <v>0.0</v>
      </c>
      <c r="I7872" s="3" t="s">
        <v>13</v>
      </c>
      <c r="J7872" s="3" t="s">
        <v>21777</v>
      </c>
      <c r="K7872" s="3" t="s">
        <v>127</v>
      </c>
      <c r="L7872" s="3" t="str">
        <f>IFERROR(__xludf.DUMMYFUNCTION("GOOGLETRANSLATE(F7872,""id"",""en"")"),"Kakanwil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7873" ht="15.75" customHeight="1">
      <c r="A7873" s="1">
        <v>9092.0</v>
      </c>
      <c r="B7873" s="3" t="s">
        <v>22553</v>
      </c>
      <c r="C7873" s="3">
        <v>0.0</v>
      </c>
      <c r="D7873" s="3">
        <v>0.0</v>
      </c>
      <c r="E7873" s="3">
        <v>3.0</v>
      </c>
      <c r="F7873" s="3" t="s">
        <v>22554</v>
      </c>
      <c r="G7873" s="3">
        <v>0.0</v>
      </c>
      <c r="H7873" s="3">
        <v>0.0</v>
      </c>
      <c r="I7873" s="3" t="s">
        <v>13</v>
      </c>
      <c r="J7873" s="3" t="s">
        <v>22555</v>
      </c>
      <c r="K7873" s="3" t="s">
        <v>495</v>
      </c>
      <c r="L7873" s="3" t="str">
        <f>IFERROR(__xludf.DUMMYFUNCTION("GOOGLETRANSLATE(F7873,""id"",""en"")"),"Popular Global Today the French President is awkward after his embraced embedded mbappe to the meaning of the Messi robe when Argentina is the World Cup championship")</f>
        <v>Popular Global Today the French President is awkward after his embraced embedded mbappe to the meaning of the Messi robe when Argentina is the World Cup championship</v>
      </c>
    </row>
    <row r="7874" ht="15.75" customHeight="1">
      <c r="A7874" s="1">
        <v>9093.0</v>
      </c>
      <c r="B7874" s="3" t="s">
        <v>22556</v>
      </c>
      <c r="C7874" s="3">
        <v>1.0</v>
      </c>
      <c r="D7874" s="3">
        <v>0.0</v>
      </c>
      <c r="E7874" s="3">
        <v>0.0</v>
      </c>
      <c r="F7874" s="3" t="s">
        <v>22557</v>
      </c>
      <c r="G7874" s="3">
        <v>0.0</v>
      </c>
      <c r="H7874" s="3">
        <v>0.0</v>
      </c>
      <c r="I7874" s="3" t="s">
        <v>13</v>
      </c>
      <c r="J7874" s="3" t="s">
        <v>22558</v>
      </c>
      <c r="K7874" s="3" t="s">
        <v>236</v>
      </c>
      <c r="L7874" s="3" t="str">
        <f>IFERROR(__xludf.DUMMYFUNCTION("GOOGLETRANSLATE(F7874,""id"",""en"")"),"The facts of Argentina miserable to the euphoria of the Utas World Cup championship")</f>
        <v>The facts of Argentina miserable to the euphoria of the Utas World Cup championship</v>
      </c>
    </row>
    <row r="7875" ht="15.75" customHeight="1">
      <c r="A7875" s="1">
        <v>9094.0</v>
      </c>
      <c r="B7875" s="3" t="s">
        <v>22559</v>
      </c>
      <c r="C7875" s="3">
        <v>0.0</v>
      </c>
      <c r="D7875" s="3">
        <v>0.0</v>
      </c>
      <c r="E7875" s="3">
        <v>1.0</v>
      </c>
      <c r="F7875" s="3" t="s">
        <v>22560</v>
      </c>
      <c r="G7875" s="3">
        <v>0.0</v>
      </c>
      <c r="H7875" s="3">
        <v>0.0</v>
      </c>
      <c r="I7875" s="3" t="s">
        <v>13</v>
      </c>
      <c r="J7875" s="3" t="s">
        <v>22561</v>
      </c>
      <c r="K7875" s="3" t="s">
        <v>1479</v>
      </c>
      <c r="L7875" s="3" t="str">
        <f>IFERROR(__xludf.DUMMYFUNCTION("GOOGLETRANSLATE(F7875,""id"",""en"")"),"In the past Maradona who made the world champion now Messi who made the world champion very lucky Argentina")</f>
        <v>In the past Maradona who made the world champion now Messi who made the world champion very lucky Argentina</v>
      </c>
    </row>
    <row r="7876" ht="15.75" customHeight="1">
      <c r="A7876" s="1">
        <v>9095.0</v>
      </c>
      <c r="B7876" s="3" t="s">
        <v>22562</v>
      </c>
      <c r="C7876" s="3">
        <v>0.0</v>
      </c>
      <c r="D7876" s="3">
        <v>0.0</v>
      </c>
      <c r="E7876" s="3">
        <v>0.0</v>
      </c>
      <c r="F7876" s="3" t="s">
        <v>22563</v>
      </c>
      <c r="G7876" s="3">
        <v>0.0</v>
      </c>
      <c r="H7876" s="3">
        <v>0.0</v>
      </c>
      <c r="I7876" s="3" t="s">
        <v>13</v>
      </c>
      <c r="J7876" s="3" t="s">
        <v>22564</v>
      </c>
      <c r="K7876" s="3" t="s">
        <v>90</v>
      </c>
      <c r="L7876" s="3" t="str">
        <f>IFERROR(__xludf.DUMMYFUNCTION("GOOGLETRANSLATE(F7876,""id"",""en"")"),"Lionel Messi successfully won the World Cup with his team Argentina Bench audience there is a figure of his wife Antonela Roccuzzo who is tense until happy")</f>
        <v>Lionel Messi successfully won the World Cup with his team Argentina Bench audience there is a figure of his wife Antonela Roccuzzo who is tense until happy</v>
      </c>
    </row>
    <row r="7877" ht="15.75" customHeight="1">
      <c r="A7877" s="1">
        <v>9096.0</v>
      </c>
      <c r="B7877" s="3" t="s">
        <v>22565</v>
      </c>
      <c r="C7877" s="3">
        <v>0.0</v>
      </c>
      <c r="D7877" s="3">
        <v>0.0</v>
      </c>
      <c r="E7877" s="3">
        <v>0.0</v>
      </c>
      <c r="F7877" s="3" t="s">
        <v>22566</v>
      </c>
      <c r="G7877" s="3">
        <v>0.3</v>
      </c>
      <c r="H7877" s="3">
        <v>1.0</v>
      </c>
      <c r="I7877" s="3" t="s">
        <v>48</v>
      </c>
      <c r="J7877" s="3" t="s">
        <v>22567</v>
      </c>
      <c r="K7877" s="3" t="s">
        <v>127</v>
      </c>
      <c r="L7877" s="3" t="str">
        <f>IFERROR(__xludf.DUMMYFUNCTION("GOOGLETRANSLATE(F7877,""id"",""en"")"),"Cikidot yaa there is always a new most popular political Tabalong starting to stretch Argentina champion Lionel Messi The Best World")</f>
        <v>Cikidot yaa there is always a new most popular political Tabalong starting to stretch Argentina champion Lionel Messi The Best World</v>
      </c>
    </row>
    <row r="7878" ht="15.75" customHeight="1">
      <c r="A7878" s="1">
        <v>9097.0</v>
      </c>
      <c r="B7878" s="3" t="s">
        <v>22568</v>
      </c>
      <c r="C7878" s="3">
        <v>0.0</v>
      </c>
      <c r="D7878" s="3">
        <v>0.0</v>
      </c>
      <c r="E7878" s="3">
        <v>0.0</v>
      </c>
      <c r="F7878" s="3" t="s">
        <v>22569</v>
      </c>
      <c r="G7878" s="3">
        <v>0.0</v>
      </c>
      <c r="H7878" s="3">
        <v>0.0</v>
      </c>
      <c r="I7878" s="3" t="s">
        <v>13</v>
      </c>
      <c r="J7878" s="3" t="s">
        <v>22570</v>
      </c>
      <c r="K7878" s="3" t="s">
        <v>75</v>
      </c>
      <c r="L7878" s="3" t="str">
        <f>IFERROR(__xludf.DUMMYFUNCTION("GOOGLETRANSLATE(F7878,""id"",""en"")"),"The order of the champion of the Qatari Saudi Arabian French Croatian Qatar Cup")</f>
        <v>The order of the champion of the Qatari Saudi Arabian French Croatian Qatar Cup</v>
      </c>
    </row>
    <row r="7879" ht="15.75" customHeight="1">
      <c r="A7879" s="1">
        <v>9098.0</v>
      </c>
      <c r="B7879" s="3" t="s">
        <v>22571</v>
      </c>
      <c r="C7879" s="3">
        <v>0.0</v>
      </c>
      <c r="D7879" s="3">
        <v>0.0</v>
      </c>
      <c r="E7879" s="3">
        <v>0.0</v>
      </c>
      <c r="F7879" s="3" t="s">
        <v>22572</v>
      </c>
      <c r="G7879" s="3">
        <v>0.0</v>
      </c>
      <c r="H7879" s="3">
        <v>0.0</v>
      </c>
      <c r="I7879" s="3" t="s">
        <v>13</v>
      </c>
      <c r="J7879" s="3" t="s">
        <v>22573</v>
      </c>
      <c r="K7879" s="3" t="s">
        <v>19</v>
      </c>
      <c r="L7879" s="3" t="str">
        <f>IFERROR(__xludf.DUMMYFUNCTION("GOOGLETRANSLATE(F7879,""id"",""en"")"),"Maintain the tradition of Argentina national team players scissors of goal net after the World Cup championship")</f>
        <v>Maintain the tradition of Argentina national team players scissors of goal net after the World Cup championship</v>
      </c>
    </row>
    <row r="7880" ht="15.75" customHeight="1">
      <c r="A7880" s="1">
        <v>9099.0</v>
      </c>
      <c r="B7880" s="3" t="s">
        <v>22574</v>
      </c>
      <c r="C7880" s="3">
        <v>0.0</v>
      </c>
      <c r="D7880" s="3">
        <v>1.0</v>
      </c>
      <c r="E7880" s="3">
        <v>0.0</v>
      </c>
      <c r="F7880" s="3" t="s">
        <v>22575</v>
      </c>
      <c r="G7880" s="3">
        <v>0.0</v>
      </c>
      <c r="H7880" s="3">
        <v>0.0</v>
      </c>
      <c r="I7880" s="3" t="s">
        <v>13</v>
      </c>
      <c r="J7880" s="3" t="s">
        <v>22576</v>
      </c>
      <c r="K7880" s="3" t="s">
        <v>2413</v>
      </c>
      <c r="L7880" s="3" t="str">
        <f>IFERROR(__xludf.DUMMYFUNCTION("GOOGLETRANSLATE(F7880,""id"",""en"")"),"The champion of the Pildun has been the year of the Argentina Top score championship Mario Kempes goal year of the Mexican champion of his top scorer Diego Maradona's goal for the Qatar Topskor champion Lionel")</f>
        <v>The champion of the Pildun has been the year of the Argentina Top score championship Mario Kempes goal year of the Mexican champion of his top scorer Diego Maradona's goal for the Qatar Topskor champion Lionel</v>
      </c>
    </row>
    <row r="7881" ht="15.75" customHeight="1">
      <c r="A7881" s="1">
        <v>9100.0</v>
      </c>
      <c r="B7881" s="3" t="s">
        <v>22577</v>
      </c>
      <c r="C7881" s="3">
        <v>0.0</v>
      </c>
      <c r="D7881" s="3">
        <v>0.0</v>
      </c>
      <c r="E7881" s="3">
        <v>0.0</v>
      </c>
      <c r="F7881" s="3" t="s">
        <v>22578</v>
      </c>
      <c r="G7881" s="3">
        <v>0.0</v>
      </c>
      <c r="H7881" s="3">
        <v>0.0</v>
      </c>
      <c r="I7881" s="3" t="s">
        <v>13</v>
      </c>
      <c r="J7881" s="3" t="s">
        <v>22579</v>
      </c>
      <c r="K7881" s="3" t="s">
        <v>15</v>
      </c>
      <c r="L7881" s="3" t="str">
        <f>IFERROR(__xludf.DUMMYFUNCTION("GOOGLETRANSLATE(F7881,""id"",""en"")"),"Champion Try to mention the equivalent of Messi Ronaldo Jamnya Zidane")</f>
        <v>Champion Try to mention the equivalent of Messi Ronaldo Jamnya Zidane</v>
      </c>
    </row>
    <row r="7882" ht="15.75" customHeight="1">
      <c r="A7882" s="1">
        <v>9101.0</v>
      </c>
      <c r="B7882" s="3" t="s">
        <v>22580</v>
      </c>
      <c r="C7882" s="3">
        <v>2.0</v>
      </c>
      <c r="D7882" s="3">
        <v>1.0</v>
      </c>
      <c r="E7882" s="3">
        <v>24.0</v>
      </c>
      <c r="F7882" s="3" t="s">
        <v>22581</v>
      </c>
      <c r="G7882" s="3">
        <v>0.0</v>
      </c>
      <c r="H7882" s="3">
        <v>0.0</v>
      </c>
      <c r="I7882" s="3" t="s">
        <v>13</v>
      </c>
      <c r="J7882" s="3" t="s">
        <v>22582</v>
      </c>
      <c r="K7882" s="3" t="s">
        <v>82</v>
      </c>
      <c r="L7882" s="3" t="str">
        <f>IFERROR(__xludf.DUMMYFUNCTION("GOOGLETRANSLATE(F7882,""id"",""en"")"),"Don't forget Argentina Champion thanks to him Min")</f>
        <v>Don't forget Argentina Champion thanks to him Min</v>
      </c>
    </row>
    <row r="7883" ht="15.75" customHeight="1">
      <c r="A7883" s="1">
        <v>9102.0</v>
      </c>
      <c r="B7883" s="3" t="s">
        <v>22583</v>
      </c>
      <c r="C7883" s="3">
        <v>0.0</v>
      </c>
      <c r="D7883" s="3">
        <v>0.0</v>
      </c>
      <c r="E7883" s="3">
        <v>0.0</v>
      </c>
      <c r="F7883" s="3" t="s">
        <v>22584</v>
      </c>
      <c r="G7883" s="3">
        <v>0.0</v>
      </c>
      <c r="H7883" s="3">
        <v>0.0</v>
      </c>
      <c r="I7883" s="3" t="s">
        <v>13</v>
      </c>
      <c r="J7883" s="3" t="s">
        <v>22585</v>
      </c>
      <c r="K7883" s="3" t="s">
        <v>31</v>
      </c>
      <c r="L7883" s="3" t="str">
        <f>IFERROR(__xludf.DUMMYFUNCTION("GOOGLETRANSLATE(F7883,""id"",""en"")"),"Argentina Champion World Cup Qatar")</f>
        <v>Argentina Champion World Cup Qatar</v>
      </c>
    </row>
    <row r="7884" ht="15.75" customHeight="1">
      <c r="A7884" s="1">
        <v>9103.0</v>
      </c>
      <c r="B7884" s="3" t="s">
        <v>22586</v>
      </c>
      <c r="C7884" s="3">
        <v>0.0</v>
      </c>
      <c r="D7884" s="3">
        <v>0.0</v>
      </c>
      <c r="E7884" s="3">
        <v>0.0</v>
      </c>
      <c r="F7884" s="3" t="s">
        <v>22587</v>
      </c>
      <c r="G7884" s="3">
        <v>0.0</v>
      </c>
      <c r="H7884" s="3">
        <v>0.0</v>
      </c>
      <c r="I7884" s="3" t="s">
        <v>13</v>
      </c>
      <c r="J7884" s="3" t="s">
        <v>22588</v>
      </c>
      <c r="K7884" s="3" t="s">
        <v>495</v>
      </c>
      <c r="L7884" s="3" t="str">
        <f>IFERROR(__xludf.DUMMYFUNCTION("GOOGLETRANSLATE(F7884,""id"",""en"")"),"Why is Argentina when the world cup champion is the condition of the Sospol and football always contrast or not my writing yesterday relate")</f>
        <v>Why is Argentina when the world cup champion is the condition of the Sospol and football always contrast or not my writing yesterday relate</v>
      </c>
    </row>
    <row r="7885" ht="15.75" customHeight="1">
      <c r="A7885" s="1">
        <v>9104.0</v>
      </c>
      <c r="B7885" s="3" t="s">
        <v>22589</v>
      </c>
      <c r="C7885" s="3">
        <v>1.0</v>
      </c>
      <c r="D7885" s="3">
        <v>0.0</v>
      </c>
      <c r="E7885" s="3">
        <v>6.0</v>
      </c>
      <c r="F7885" s="3" t="s">
        <v>21922</v>
      </c>
      <c r="G7885" s="3">
        <v>0.2333333333333333</v>
      </c>
      <c r="H7885" s="3">
        <v>-0.25</v>
      </c>
      <c r="I7885" s="3" t="s">
        <v>179</v>
      </c>
      <c r="J7885" s="3" t="s">
        <v>21923</v>
      </c>
      <c r="K7885" s="3" t="s">
        <v>50</v>
      </c>
      <c r="L7885" s="3" t="str">
        <f>IFERROR(__xludf.DUMMYFUNCTION("GOOGLETRANSLATE(F7885,""id"",""en"")"),"Argentina is preparing to welcome the return of Lionel Messi Holds the World Cup Champion Parade")</f>
        <v>Argentina is preparing to welcome the return of Lionel Messi Holds the World Cup Champion Parade</v>
      </c>
    </row>
    <row r="7886" ht="15.75" customHeight="1">
      <c r="A7886" s="1">
        <v>9105.0</v>
      </c>
      <c r="B7886" s="3" t="s">
        <v>22590</v>
      </c>
      <c r="C7886" s="3">
        <v>0.0</v>
      </c>
      <c r="D7886" s="3">
        <v>0.0</v>
      </c>
      <c r="E7886" s="3">
        <v>0.0</v>
      </c>
      <c r="F7886" s="3" t="s">
        <v>22591</v>
      </c>
      <c r="G7886" s="3">
        <v>0.0</v>
      </c>
      <c r="H7886" s="3">
        <v>0.0</v>
      </c>
      <c r="I7886" s="3" t="s">
        <v>13</v>
      </c>
      <c r="J7886" s="3" t="s">
        <v>22592</v>
      </c>
      <c r="K7886" s="3" t="s">
        <v>54</v>
      </c>
      <c r="L7886" s="3" t="str">
        <f>IFERROR(__xludf.DUMMYFUNCTION("GOOGLETRANSLATE(F7886,""id"",""en"")"),"Still Receiving Argentina The Champion Lose how many million")</f>
        <v>Still Receiving Argentina The Champion Lose how many million</v>
      </c>
    </row>
    <row r="7887" ht="15.75" customHeight="1">
      <c r="A7887" s="1">
        <v>9106.0</v>
      </c>
      <c r="B7887" s="3" t="s">
        <v>22593</v>
      </c>
      <c r="C7887" s="3">
        <v>0.0</v>
      </c>
      <c r="D7887" s="3">
        <v>0.0</v>
      </c>
      <c r="E7887" s="3">
        <v>0.0</v>
      </c>
      <c r="F7887" s="3" t="s">
        <v>22594</v>
      </c>
      <c r="G7887" s="3">
        <v>0.0</v>
      </c>
      <c r="H7887" s="3">
        <v>0.0</v>
      </c>
      <c r="I7887" s="3" t="s">
        <v>13</v>
      </c>
      <c r="J7887" s="3" t="s">
        <v>22595</v>
      </c>
      <c r="K7887" s="3" t="s">
        <v>127</v>
      </c>
      <c r="L7887" s="3" t="str">
        <f>IFERROR(__xludf.DUMMYFUNCTION("GOOGLETRANSLATE(F7887,""id"",""en"")"),"waiting for the legend to die first and then the evidence champion the Copa America World Cup in the period of the year of Maradona's curse for Argentina")</f>
        <v>waiting for the legend to die first and then the evidence champion the Copa America World Cup in the period of the year of Maradona's curse for Argentina</v>
      </c>
    </row>
    <row r="7888" ht="15.75" customHeight="1">
      <c r="A7888" s="1">
        <v>9107.0</v>
      </c>
      <c r="B7888" s="3" t="s">
        <v>22596</v>
      </c>
      <c r="C7888" s="3">
        <v>0.0</v>
      </c>
      <c r="D7888" s="3">
        <v>0.0</v>
      </c>
      <c r="E7888" s="3">
        <v>0.0</v>
      </c>
      <c r="F7888" s="3" t="s">
        <v>22597</v>
      </c>
      <c r="G7888" s="3">
        <v>0.0</v>
      </c>
      <c r="H7888" s="3">
        <v>0.0</v>
      </c>
      <c r="I7888" s="3" t="s">
        <v>13</v>
      </c>
      <c r="J7888" s="3" t="s">
        <v>22598</v>
      </c>
      <c r="K7888" s="3" t="s">
        <v>71</v>
      </c>
      <c r="L7888" s="3" t="str">
        <f>IFERROR(__xludf.DUMMYFUNCTION("GOOGLETRANSLATE(F7888,""id"",""en"")"),"Lionel Messi Flood Congratulations from Legend and MotoGP Racer After Bringing Argentina World Cup Champion")</f>
        <v>Lionel Messi Flood Congratulations from Legend and MotoGP Racer After Bringing Argentina World Cup Champion</v>
      </c>
    </row>
    <row r="7889" ht="15.75" customHeight="1">
      <c r="A7889" s="1">
        <v>9108.0</v>
      </c>
      <c r="B7889" s="3" t="s">
        <v>22599</v>
      </c>
      <c r="C7889" s="3">
        <v>0.0</v>
      </c>
      <c r="D7889" s="3">
        <v>4.0</v>
      </c>
      <c r="E7889" s="3">
        <v>26.0</v>
      </c>
      <c r="F7889" s="3" t="s">
        <v>21270</v>
      </c>
      <c r="G7889" s="3">
        <v>0.0</v>
      </c>
      <c r="H7889" s="3">
        <v>0.0</v>
      </c>
      <c r="I7889" s="3" t="s">
        <v>13</v>
      </c>
      <c r="J7889" s="3" t="s">
        <v>21271</v>
      </c>
      <c r="K7889" s="3" t="s">
        <v>240</v>
      </c>
      <c r="L7889" s="3" t="str">
        <f>IFERROR(__xludf.DUMMYFUNCTION("GOOGLETRANSLATE(F7889,""id"",""en"")"),"Argentina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890" ht="15.75" customHeight="1">
      <c r="A7890" s="1">
        <v>9109.0</v>
      </c>
      <c r="B7890" s="3" t="s">
        <v>22600</v>
      </c>
      <c r="C7890" s="3">
        <v>0.0</v>
      </c>
      <c r="D7890" s="3">
        <v>0.0</v>
      </c>
      <c r="E7890" s="3">
        <v>0.0</v>
      </c>
      <c r="F7890" s="3" t="s">
        <v>22601</v>
      </c>
      <c r="G7890" s="3">
        <v>0.0</v>
      </c>
      <c r="H7890" s="3">
        <v>0.0</v>
      </c>
      <c r="I7890" s="3" t="s">
        <v>13</v>
      </c>
      <c r="J7890" s="3" t="s">
        <v>22602</v>
      </c>
      <c r="K7890" s="3" t="s">
        <v>41</v>
      </c>
      <c r="L7890" s="3" t="str">
        <f>IFERROR(__xludf.DUMMYFUNCTION("GOOGLETRANSLATE(F7890,""id"",""en"")"),"Canelo Alvarez has been making a fuss with Messi calling Argentina deserves champions")</f>
        <v>Canelo Alvarez has been making a fuss with Messi calling Argentina deserves champions</v>
      </c>
    </row>
    <row r="7891" ht="15.75" customHeight="1">
      <c r="A7891" s="1">
        <v>9110.0</v>
      </c>
      <c r="B7891" s="3" t="s">
        <v>22603</v>
      </c>
      <c r="C7891" s="3">
        <v>1.0</v>
      </c>
      <c r="D7891" s="3">
        <v>0.0</v>
      </c>
      <c r="E7891" s="3">
        <v>2.0</v>
      </c>
      <c r="F7891" s="3" t="s">
        <v>22604</v>
      </c>
      <c r="G7891" s="3">
        <v>0.0</v>
      </c>
      <c r="H7891" s="3">
        <v>0.0</v>
      </c>
      <c r="I7891" s="3" t="s">
        <v>13</v>
      </c>
      <c r="J7891" s="3" t="s">
        <v>22605</v>
      </c>
      <c r="K7891" s="3" t="s">
        <v>19</v>
      </c>
      <c r="L7891" s="3" t="str">
        <f>IFERROR(__xludf.DUMMYFUNCTION("GOOGLETRANSLATE(F7891,""id"",""en"")"),"Lionel Messi Helps Argentina World Cup Champion Andres Iniesta Long waiting long wait")</f>
        <v>Lionel Messi Helps Argentina World Cup Champion Andres Iniesta Long waiting long wait</v>
      </c>
    </row>
    <row r="7892" ht="15.75" customHeight="1">
      <c r="A7892" s="1">
        <v>9111.0</v>
      </c>
      <c r="B7892" s="3" t="s">
        <v>22606</v>
      </c>
      <c r="C7892" s="3">
        <v>0.0</v>
      </c>
      <c r="D7892" s="3">
        <v>1.0</v>
      </c>
      <c r="E7892" s="3">
        <v>16.0</v>
      </c>
      <c r="F7892" s="3" t="s">
        <v>21306</v>
      </c>
      <c r="G7892" s="3">
        <v>0.0</v>
      </c>
      <c r="H7892" s="3">
        <v>0.0</v>
      </c>
      <c r="I7892" s="3" t="s">
        <v>13</v>
      </c>
      <c r="J7892" s="3" t="s">
        <v>21307</v>
      </c>
      <c r="K7892" s="3" t="s">
        <v>437</v>
      </c>
      <c r="L7892" s="3" t="str">
        <f>IFERROR(__xludf.DUMMYFUNCTION("GOOGLETRANSLATE(F7892,""id"",""en"")"),"Argentina's success in winning the World Cup makes Juventus remain the top of the club with the most world champion owners")</f>
        <v>Argentina's success in winning the World Cup makes Juventus remain the top of the club with the most world champion owners</v>
      </c>
    </row>
    <row r="7893" ht="15.75" customHeight="1">
      <c r="A7893" s="1">
        <v>9112.0</v>
      </c>
      <c r="B7893" s="3" t="s">
        <v>22607</v>
      </c>
      <c r="C7893" s="3">
        <v>0.0</v>
      </c>
      <c r="D7893" s="3">
        <v>1.0</v>
      </c>
      <c r="E7893" s="3">
        <v>2.0</v>
      </c>
      <c r="F7893" s="3" t="s">
        <v>22608</v>
      </c>
      <c r="G7893" s="3">
        <v>0.0</v>
      </c>
      <c r="H7893" s="3">
        <v>0.0</v>
      </c>
      <c r="I7893" s="3" t="s">
        <v>13</v>
      </c>
      <c r="J7893" s="3" t="s">
        <v>22609</v>
      </c>
      <c r="K7893" s="3" t="s">
        <v>54</v>
      </c>
      <c r="L7893" s="3" t="str">
        <f>IFERROR(__xludf.DUMMYFUNCTION("GOOGLETRANSLATE(F7893,""id"",""en"")"),"Argentina Champion continues to fate this Kadrun")</f>
        <v>Argentina Champion continues to fate this Kadrun</v>
      </c>
    </row>
    <row r="7894" ht="15.75" customHeight="1">
      <c r="A7894" s="1">
        <v>9113.0</v>
      </c>
      <c r="B7894" s="3" t="s">
        <v>22610</v>
      </c>
      <c r="C7894" s="3">
        <v>2.0</v>
      </c>
      <c r="D7894" s="3">
        <v>7.0</v>
      </c>
      <c r="E7894" s="3">
        <v>51.0</v>
      </c>
      <c r="F7894" s="3" t="s">
        <v>22611</v>
      </c>
      <c r="G7894" s="3">
        <v>0.0</v>
      </c>
      <c r="H7894" s="3">
        <v>0.0</v>
      </c>
      <c r="I7894" s="3" t="s">
        <v>13</v>
      </c>
      <c r="J7894" s="3" t="s">
        <v>22612</v>
      </c>
      <c r="K7894" s="3" t="s">
        <v>75</v>
      </c>
      <c r="L7894" s="3" t="str">
        <f>IFERROR(__xludf.DUMMYFUNCTION("GOOGLETRANSLATE(F7894,""id"",""en"")"),"Argentina has champions of the world and justice for victims of the Kanjuruhan massacre remains still sure")</f>
        <v>Argentina has champions of the world and justice for victims of the Kanjuruhan massacre remains still sure</v>
      </c>
    </row>
    <row r="7895" ht="15.75" customHeight="1">
      <c r="A7895" s="1">
        <v>9114.0</v>
      </c>
      <c r="B7895" s="3" t="s">
        <v>22613</v>
      </c>
      <c r="C7895" s="3">
        <v>0.0</v>
      </c>
      <c r="D7895" s="3">
        <v>0.0</v>
      </c>
      <c r="E7895" s="3">
        <v>0.0</v>
      </c>
      <c r="F7895" s="3" t="s">
        <v>22614</v>
      </c>
      <c r="G7895" s="3">
        <v>0.0</v>
      </c>
      <c r="H7895" s="3">
        <v>0.0</v>
      </c>
      <c r="I7895" s="3" t="s">
        <v>13</v>
      </c>
      <c r="J7895" s="3" t="s">
        <v>22615</v>
      </c>
      <c r="K7895" s="3" t="s">
        <v>31</v>
      </c>
      <c r="L7895" s="3" t="str">
        <f>IFERROR(__xludf.DUMMYFUNCTION("GOOGLETRANSLATE(F7895,""id"",""en"")"),"we support Argentina PKB champion number")</f>
        <v>we support Argentina PKB champion number</v>
      </c>
    </row>
    <row r="7896" ht="15.75" customHeight="1">
      <c r="A7896" s="1">
        <v>9115.0</v>
      </c>
      <c r="B7896" s="3" t="s">
        <v>22616</v>
      </c>
      <c r="C7896" s="3">
        <v>0.0</v>
      </c>
      <c r="D7896" s="3">
        <v>0.0</v>
      </c>
      <c r="E7896" s="3">
        <v>0.0</v>
      </c>
      <c r="F7896" s="3" t="s">
        <v>22617</v>
      </c>
      <c r="G7896" s="3">
        <v>0.2333333333333333</v>
      </c>
      <c r="H7896" s="3">
        <v>-0.25</v>
      </c>
      <c r="I7896" s="3" t="s">
        <v>179</v>
      </c>
      <c r="J7896" s="3" t="s">
        <v>22618</v>
      </c>
      <c r="K7896" s="3" t="s">
        <v>50</v>
      </c>
      <c r="L7896" s="3" t="str">
        <f>IFERROR(__xludf.DUMMYFUNCTION("GOOGLETRANSLATE(F7896,""id"",""en"")"),"Argentina National Holidays Celebrate World Cup Champion Welcoming Messi et al")</f>
        <v>Argentina National Holidays Celebrate World Cup Champion Welcoming Messi et al</v>
      </c>
    </row>
    <row r="7897" ht="15.75" customHeight="1">
      <c r="A7897" s="1">
        <v>9116.0</v>
      </c>
      <c r="B7897" s="3" t="s">
        <v>22619</v>
      </c>
      <c r="C7897" s="3">
        <v>0.0</v>
      </c>
      <c r="D7897" s="3">
        <v>0.0</v>
      </c>
      <c r="E7897" s="3">
        <v>3.0</v>
      </c>
      <c r="F7897" s="3" t="s">
        <v>22620</v>
      </c>
      <c r="G7897" s="3">
        <v>0.0</v>
      </c>
      <c r="H7897" s="3">
        <v>0.0</v>
      </c>
      <c r="I7897" s="3" t="s">
        <v>13</v>
      </c>
      <c r="J7897" s="3" t="s">
        <v>22621</v>
      </c>
      <c r="K7897" s="3" t="s">
        <v>41</v>
      </c>
      <c r="L7897" s="3" t="str">
        <f>IFERROR(__xludf.DUMMYFUNCTION("GOOGLETRANSLATE(F7897,""id"",""en"")"),"Argentina Champion World Cup Lionel Messi Again Ahead of Cristiano Ronaldo")</f>
        <v>Argentina Champion World Cup Lionel Messi Again Ahead of Cristiano Ronaldo</v>
      </c>
    </row>
    <row r="7898" ht="15.75" customHeight="1">
      <c r="A7898" s="1">
        <v>9117.0</v>
      </c>
      <c r="B7898" s="3" t="s">
        <v>22622</v>
      </c>
      <c r="C7898" s="3">
        <v>0.0</v>
      </c>
      <c r="D7898" s="3">
        <v>0.0</v>
      </c>
      <c r="E7898" s="3">
        <v>0.0</v>
      </c>
      <c r="F7898" s="3" t="s">
        <v>22623</v>
      </c>
      <c r="G7898" s="3">
        <v>0.0</v>
      </c>
      <c r="H7898" s="3">
        <v>0.0</v>
      </c>
      <c r="I7898" s="3" t="s">
        <v>13</v>
      </c>
      <c r="J7898" s="3" t="s">
        <v>22624</v>
      </c>
      <c r="K7898" s="3" t="s">
        <v>574</v>
      </c>
      <c r="L7898" s="3" t="str">
        <f>IFERROR(__xludf.DUMMYFUNCTION("GOOGLETRANSLATE(F7898,""id"",""en"")"),"millions of Argentine people who are facing an economic crisis due to inflation celebrate the success of the national team champion in the Qatar World Cup or after and soccer of the people's economic life")</f>
        <v>millions of Argentine people who are facing an economic crisis due to inflation celebrate the success of the national team champion in the Qatar World Cup or after and soccer of the people's economic life</v>
      </c>
    </row>
    <row r="7899" ht="15.75" customHeight="1">
      <c r="A7899" s="1">
        <v>9118.0</v>
      </c>
      <c r="B7899" s="3" t="s">
        <v>22625</v>
      </c>
      <c r="C7899" s="3">
        <v>0.0</v>
      </c>
      <c r="D7899" s="3">
        <v>2.0</v>
      </c>
      <c r="E7899" s="3">
        <v>13.0</v>
      </c>
      <c r="F7899" s="3" t="s">
        <v>21270</v>
      </c>
      <c r="G7899" s="3">
        <v>0.0</v>
      </c>
      <c r="H7899" s="3">
        <v>0.0</v>
      </c>
      <c r="I7899" s="3" t="s">
        <v>13</v>
      </c>
      <c r="J7899" s="3" t="s">
        <v>21271</v>
      </c>
      <c r="K7899" s="3" t="s">
        <v>240</v>
      </c>
      <c r="L7899" s="3" t="str">
        <f>IFERROR(__xludf.DUMMYFUNCTION("GOOGLETRANSLATE(F7899,""id"",""en"")"),"Argentina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900" ht="15.75" customHeight="1">
      <c r="A7900" s="1">
        <v>9119.0</v>
      </c>
      <c r="B7900" s="3" t="s">
        <v>22626</v>
      </c>
      <c r="C7900" s="3">
        <v>0.0</v>
      </c>
      <c r="D7900" s="3">
        <v>0.0</v>
      </c>
      <c r="E7900" s="3">
        <v>0.0</v>
      </c>
      <c r="F7900" s="3" t="s">
        <v>21270</v>
      </c>
      <c r="G7900" s="3">
        <v>0.0</v>
      </c>
      <c r="H7900" s="3">
        <v>0.0</v>
      </c>
      <c r="I7900" s="3" t="s">
        <v>13</v>
      </c>
      <c r="J7900" s="3" t="s">
        <v>21271</v>
      </c>
      <c r="K7900" s="3" t="s">
        <v>240</v>
      </c>
      <c r="L7900" s="3" t="str">
        <f>IFERROR(__xludf.DUMMYFUNCTION("GOOGLETRANSLATE(F7900,""id"",""en"")"),"Argentina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901" ht="15.75" customHeight="1">
      <c r="A7901" s="1">
        <v>9120.0</v>
      </c>
      <c r="B7901" s="3" t="s">
        <v>22627</v>
      </c>
      <c r="C7901" s="3">
        <v>0.0</v>
      </c>
      <c r="D7901" s="3">
        <v>0.0</v>
      </c>
      <c r="E7901" s="3">
        <v>23.0</v>
      </c>
      <c r="F7901" s="3" t="s">
        <v>22628</v>
      </c>
      <c r="G7901" s="3">
        <v>0.0</v>
      </c>
      <c r="H7901" s="3">
        <v>0.0</v>
      </c>
      <c r="I7901" s="3" t="s">
        <v>13</v>
      </c>
      <c r="J7901" s="3" t="s">
        <v>22629</v>
      </c>
      <c r="K7901" s="3" t="s">
        <v>35</v>
      </c>
      <c r="L7901" s="3" t="str">
        <f>IFERROR(__xludf.DUMMYFUNCTION("GOOGLETRANSLATE(F7901,""id"",""en"")"),"Because the Argentine champion Messi if not Messi still die will die.")</f>
        <v>Because the Argentine champion Messi if not Messi still die will die.</v>
      </c>
    </row>
    <row r="7902" ht="15.75" customHeight="1">
      <c r="A7902" s="1">
        <v>9121.0</v>
      </c>
      <c r="B7902" s="3" t="s">
        <v>22630</v>
      </c>
      <c r="C7902" s="3">
        <v>0.0</v>
      </c>
      <c r="D7902" s="3">
        <v>0.0</v>
      </c>
      <c r="E7902" s="3">
        <v>0.0</v>
      </c>
      <c r="F7902" s="3" t="s">
        <v>21270</v>
      </c>
      <c r="G7902" s="3">
        <v>0.0</v>
      </c>
      <c r="H7902" s="3">
        <v>0.0</v>
      </c>
      <c r="I7902" s="3" t="s">
        <v>13</v>
      </c>
      <c r="J7902" s="3" t="s">
        <v>21271</v>
      </c>
      <c r="K7902" s="3" t="s">
        <v>240</v>
      </c>
      <c r="L7902" s="3" t="str">
        <f>IFERROR(__xludf.DUMMYFUNCTION("GOOGLETRANSLATE(F7902,""id"",""en"")"),"Argentina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903" ht="15.75" customHeight="1">
      <c r="A7903" s="1">
        <v>9122.0</v>
      </c>
      <c r="B7903" s="3" t="s">
        <v>22631</v>
      </c>
      <c r="C7903" s="3">
        <v>0.0</v>
      </c>
      <c r="D7903" s="3">
        <v>0.0</v>
      </c>
      <c r="E7903" s="3">
        <v>4.0</v>
      </c>
      <c r="F7903" s="3" t="s">
        <v>22623</v>
      </c>
      <c r="G7903" s="3">
        <v>0.0</v>
      </c>
      <c r="H7903" s="3">
        <v>0.0</v>
      </c>
      <c r="I7903" s="3" t="s">
        <v>13</v>
      </c>
      <c r="J7903" s="3" t="s">
        <v>22624</v>
      </c>
      <c r="K7903" s="3" t="s">
        <v>574</v>
      </c>
      <c r="L7903" s="3" t="str">
        <f>IFERROR(__xludf.DUMMYFUNCTION("GOOGLETRANSLATE(F7903,""id"",""en"")"),"millions of Argentine people who are facing an economic crisis due to inflation celebrate the success of the national team champion in the Qatar World Cup or after and soccer of the people's economic life")</f>
        <v>millions of Argentine people who are facing an economic crisis due to inflation celebrate the success of the national team champion in the Qatar World Cup or after and soccer of the people's economic life</v>
      </c>
    </row>
    <row r="7904" ht="15.75" customHeight="1">
      <c r="A7904" s="1">
        <v>9123.0</v>
      </c>
      <c r="B7904" s="3" t="s">
        <v>22632</v>
      </c>
      <c r="C7904" s="3">
        <v>0.0</v>
      </c>
      <c r="D7904" s="3">
        <v>4.0</v>
      </c>
      <c r="E7904" s="3">
        <v>25.0</v>
      </c>
      <c r="F7904" s="3" t="s">
        <v>22633</v>
      </c>
      <c r="G7904" s="3">
        <v>0.0</v>
      </c>
      <c r="H7904" s="3">
        <v>0.0</v>
      </c>
      <c r="I7904" s="3" t="s">
        <v>13</v>
      </c>
      <c r="J7904" s="3" t="s">
        <v>22634</v>
      </c>
      <c r="K7904" s="3" t="s">
        <v>16803</v>
      </c>
      <c r="L7904" s="3" t="str">
        <f>IFERROR(__xludf.DUMMYFUNCTION("GOOGLETRANSLATE(F7904,""id"",""en"")"),"Lionel Scaloni with Lionel Messi brought Argentina World Cup Champion Scaloni revealed Messi's talk that made him stare at the World Cup")</f>
        <v>Lionel Scaloni with Lionel Messi brought Argentina World Cup Champion Scaloni revealed Messi's talk that made him stare at the World Cup</v>
      </c>
    </row>
    <row r="7905" ht="15.75" customHeight="1">
      <c r="A7905" s="1">
        <v>9124.0</v>
      </c>
      <c r="B7905" s="3" t="s">
        <v>22635</v>
      </c>
      <c r="C7905" s="3">
        <v>0.0</v>
      </c>
      <c r="D7905" s="3">
        <v>1.0</v>
      </c>
      <c r="E7905" s="3">
        <v>10.0</v>
      </c>
      <c r="F7905" s="3" t="s">
        <v>22601</v>
      </c>
      <c r="G7905" s="3">
        <v>0.0</v>
      </c>
      <c r="H7905" s="3">
        <v>0.0</v>
      </c>
      <c r="I7905" s="3" t="s">
        <v>13</v>
      </c>
      <c r="J7905" s="3" t="s">
        <v>22602</v>
      </c>
      <c r="K7905" s="3" t="s">
        <v>41</v>
      </c>
      <c r="L7905" s="3" t="str">
        <f>IFERROR(__xludf.DUMMYFUNCTION("GOOGLETRANSLATE(F7905,""id"",""en"")"),"Canelo Alvarez has been making a fuss with Messi calling Argentina deserves champions")</f>
        <v>Canelo Alvarez has been making a fuss with Messi calling Argentina deserves champions</v>
      </c>
    </row>
    <row r="7906" ht="15.75" customHeight="1">
      <c r="A7906" s="1">
        <v>9125.0</v>
      </c>
      <c r="B7906" s="3" t="s">
        <v>22636</v>
      </c>
      <c r="C7906" s="3">
        <v>0.0</v>
      </c>
      <c r="D7906" s="3">
        <v>0.0</v>
      </c>
      <c r="E7906" s="3">
        <v>0.0</v>
      </c>
      <c r="F7906" s="3" t="s">
        <v>22637</v>
      </c>
      <c r="G7906" s="3">
        <v>0.3333333333333333</v>
      </c>
      <c r="H7906" s="3">
        <v>0.1666666666666667</v>
      </c>
      <c r="I7906" s="3" t="s">
        <v>48</v>
      </c>
      <c r="J7906" s="3" t="s">
        <v>22638</v>
      </c>
      <c r="K7906" s="3" t="s">
        <v>50</v>
      </c>
      <c r="L7906" s="3" t="str">
        <f>IFERROR(__xludf.DUMMYFUNCTION("GOOGLETRANSLATE(F7906,""id"",""en"")"),"Ronaldo Pro Palestine is why not setting them the champion and what are the Portugal referees from Argentina")</f>
        <v>Ronaldo Pro Palestine is why not setting them the champion and what are the Portugal referees from Argentina</v>
      </c>
    </row>
    <row r="7907" ht="15.75" customHeight="1">
      <c r="A7907" s="1">
        <v>9126.0</v>
      </c>
      <c r="B7907" s="3" t="s">
        <v>22639</v>
      </c>
      <c r="C7907" s="3">
        <v>1.0</v>
      </c>
      <c r="D7907" s="3">
        <v>0.0</v>
      </c>
      <c r="E7907" s="3">
        <v>14.0</v>
      </c>
      <c r="F7907" s="3" t="s">
        <v>22640</v>
      </c>
      <c r="G7907" s="3">
        <v>0.0</v>
      </c>
      <c r="H7907" s="3">
        <v>0.0</v>
      </c>
      <c r="I7907" s="3" t="s">
        <v>13</v>
      </c>
      <c r="J7907" s="3" t="s">
        <v>22641</v>
      </c>
      <c r="K7907" s="3" t="s">
        <v>495</v>
      </c>
      <c r="L7907" s="3" t="str">
        <f>IFERROR(__xludf.DUMMYFUNCTION("GOOGLETRANSLATE(F7907,""id"",""en"")"),"Kylian Mbappe through his Instagram account wrote that we would rise in his photo through the French World Cup trophy failed to win after losing to Argentina")</f>
        <v>Kylian Mbappe through his Instagram account wrote that we would rise in his photo through the French World Cup trophy failed to win after losing to Argentina</v>
      </c>
    </row>
    <row r="7908" ht="15.75" customHeight="1">
      <c r="A7908" s="1">
        <v>9127.0</v>
      </c>
      <c r="B7908" s="3" t="s">
        <v>22642</v>
      </c>
      <c r="C7908" s="3">
        <v>0.0</v>
      </c>
      <c r="D7908" s="3">
        <v>0.0</v>
      </c>
      <c r="E7908" s="3">
        <v>2.0</v>
      </c>
      <c r="F7908" s="3" t="s">
        <v>22643</v>
      </c>
      <c r="G7908" s="3">
        <v>0.1</v>
      </c>
      <c r="H7908" s="3">
        <v>0.0</v>
      </c>
      <c r="I7908" s="3" t="s">
        <v>13</v>
      </c>
      <c r="J7908" s="3" t="s">
        <v>22644</v>
      </c>
      <c r="K7908" s="3" t="s">
        <v>41</v>
      </c>
      <c r="L7908" s="3" t="str">
        <f>IFERROR(__xludf.DUMMYFUNCTION("GOOGLETRANSLATE(F7908,""id"",""en"")"),"Not only Messi Coach Smart and Solid Team Bringing Argentina Champion")</f>
        <v>Not only Messi Coach Smart and Solid Team Bringing Argentina Champion</v>
      </c>
    </row>
    <row r="7909" ht="15.75" customHeight="1">
      <c r="A7909" s="1">
        <v>9128.0</v>
      </c>
      <c r="B7909" s="3" t="s">
        <v>22645</v>
      </c>
      <c r="C7909" s="3">
        <v>0.0</v>
      </c>
      <c r="D7909" s="3">
        <v>0.0</v>
      </c>
      <c r="E7909" s="3">
        <v>0.0</v>
      </c>
      <c r="F7909" s="3" t="s">
        <v>22646</v>
      </c>
      <c r="G7909" s="3">
        <v>0.3333333333333333</v>
      </c>
      <c r="H7909" s="3">
        <v>0.1666666666666667</v>
      </c>
      <c r="I7909" s="3" t="s">
        <v>48</v>
      </c>
      <c r="J7909" s="3" t="s">
        <v>22647</v>
      </c>
      <c r="K7909" s="3" t="s">
        <v>22648</v>
      </c>
      <c r="L7909" s="3" t="str">
        <f>IFERROR(__xludf.DUMMYFUNCTION("GOOGLETRANSLATE(F7909,""id"",""en"")"),"If the feeling in the Argentina squad is a height with other teams high plg btul nmpk parades with the dutch mse with the France tgkla player with a high person mcm all the teams play mmg correctly for the champion if the haters are set for Argentina nmp")</f>
        <v>If the feeling in the Argentina squad is a height with other teams high plg btul nmpk parades with the dutch mse with the France tgkla player with a high person mcm all the teams play mmg correctly for the champion if the haters are set for Argentina nmp</v>
      </c>
    </row>
    <row r="7910" ht="15.75" customHeight="1">
      <c r="A7910" s="1">
        <v>9129.0</v>
      </c>
      <c r="B7910" s="3" t="s">
        <v>22649</v>
      </c>
      <c r="C7910" s="3">
        <v>1.0</v>
      </c>
      <c r="D7910" s="3">
        <v>0.0</v>
      </c>
      <c r="E7910" s="3">
        <v>0.0</v>
      </c>
      <c r="F7910" s="3" t="s">
        <v>22650</v>
      </c>
      <c r="G7910" s="3">
        <v>0.5944444444444444</v>
      </c>
      <c r="H7910" s="3">
        <v>0.05277777777777776</v>
      </c>
      <c r="I7910" s="3" t="s">
        <v>48</v>
      </c>
      <c r="J7910" s="3" t="s">
        <v>22651</v>
      </c>
      <c r="K7910" s="3" t="s">
        <v>15212</v>
      </c>
      <c r="L7910" s="3" t="str">
        <f>IFERROR(__xludf.DUMMYFUNCTION("GOOGLETRANSLATE(F7910,""id"",""en"")"),"nmpk beza if you know the ball psl comment with people know the ball commitment with attitude is important for one team to be deserved to win Argentina has a struggle playing again first game losing Pstu Dutch Mcm Final Final Lwn France with Mbappe Fresh "&amp;"Talent")</f>
        <v>nmpk beza if you know the ball psl comment with people know the ball commitment with attitude is important for one team to be deserved to win Argentina has a struggle playing again first game losing Pstu Dutch Mcm Final Final Lwn France with Mbappe Fresh Talent</v>
      </c>
    </row>
    <row r="7911" ht="15.75" customHeight="1">
      <c r="A7911" s="1">
        <v>9130.0</v>
      </c>
      <c r="B7911" s="3" t="s">
        <v>22652</v>
      </c>
      <c r="C7911" s="3">
        <v>0.0</v>
      </c>
      <c r="D7911" s="3">
        <v>0.0</v>
      </c>
      <c r="E7911" s="3">
        <v>1.0</v>
      </c>
      <c r="F7911" s="3" t="s">
        <v>22653</v>
      </c>
      <c r="G7911" s="3">
        <v>0.0</v>
      </c>
      <c r="H7911" s="3">
        <v>0.0</v>
      </c>
      <c r="I7911" s="3" t="s">
        <v>13</v>
      </c>
      <c r="J7911" s="3" t="s">
        <v>22654</v>
      </c>
      <c r="K7911" s="3" t="s">
        <v>41</v>
      </c>
      <c r="L7911" s="3" t="str">
        <f>IFERROR(__xludf.DUMMYFUNCTION("GOOGLETRANSLATE(F7911,""id"",""en"")"),"Bringing Argentina This World Cup Champion Rows of Lionel Messi's achievements")</f>
        <v>Bringing Argentina This World Cup Champion Rows of Lionel Messi's achievements</v>
      </c>
    </row>
    <row r="7912" ht="15.75" customHeight="1">
      <c r="A7912" s="1">
        <v>9131.0</v>
      </c>
      <c r="B7912" s="3" t="s">
        <v>22655</v>
      </c>
      <c r="C7912" s="3">
        <v>0.0</v>
      </c>
      <c r="D7912" s="3">
        <v>0.0</v>
      </c>
      <c r="E7912" s="3">
        <v>0.0</v>
      </c>
      <c r="F7912" s="3" t="s">
        <v>22643</v>
      </c>
      <c r="G7912" s="3">
        <v>0.1</v>
      </c>
      <c r="H7912" s="3">
        <v>0.0</v>
      </c>
      <c r="I7912" s="3" t="s">
        <v>13</v>
      </c>
      <c r="J7912" s="3" t="s">
        <v>22644</v>
      </c>
      <c r="K7912" s="3" t="s">
        <v>41</v>
      </c>
      <c r="L7912" s="3" t="str">
        <f>IFERROR(__xludf.DUMMYFUNCTION("GOOGLETRANSLATE(F7912,""id"",""en"")"),"Not only Messi Coach Smart and Solid Team Bringing Argentina Champion")</f>
        <v>Not only Messi Coach Smart and Solid Team Bringing Argentina Champion</v>
      </c>
    </row>
    <row r="7913" ht="15.75" customHeight="1">
      <c r="A7913" s="1">
        <v>9132.0</v>
      </c>
      <c r="B7913" s="3" t="s">
        <v>22656</v>
      </c>
      <c r="C7913" s="3">
        <v>0.0</v>
      </c>
      <c r="D7913" s="3">
        <v>0.0</v>
      </c>
      <c r="E7913" s="3">
        <v>0.0</v>
      </c>
      <c r="F7913" s="3" t="s">
        <v>22657</v>
      </c>
      <c r="G7913" s="3">
        <v>0.0</v>
      </c>
      <c r="H7913" s="3">
        <v>0.0</v>
      </c>
      <c r="I7913" s="3" t="s">
        <v>13</v>
      </c>
      <c r="J7913" s="3" t="s">
        <v>22658</v>
      </c>
      <c r="K7913" s="3" t="s">
        <v>699</v>
      </c>
      <c r="L7913" s="3" t="str">
        <f>IFERROR(__xludf.DUMMYFUNCTION("GOOGLETRANSLATE(F7913,""id"",""en"")"),"Argentina residents of Pora after Lionel Messi et al won the world championship match after defeating the defending champions of France")</f>
        <v>Argentina residents of Pora after Lionel Messi et al won the world championship match after defeating the defending champions of France</v>
      </c>
    </row>
    <row r="7914" ht="15.75" customHeight="1">
      <c r="A7914" s="1">
        <v>9133.0</v>
      </c>
      <c r="B7914" s="3" t="s">
        <v>22659</v>
      </c>
      <c r="C7914" s="3">
        <v>0.0</v>
      </c>
      <c r="D7914" s="3">
        <v>0.0</v>
      </c>
      <c r="E7914" s="3">
        <v>0.0</v>
      </c>
      <c r="F7914" s="3" t="s">
        <v>22660</v>
      </c>
      <c r="G7914" s="3">
        <v>0.0</v>
      </c>
      <c r="H7914" s="3">
        <v>0.0</v>
      </c>
      <c r="I7914" s="3" t="s">
        <v>13</v>
      </c>
      <c r="J7914" s="3" t="s">
        <v>22661</v>
      </c>
      <c r="K7914" s="3" t="s">
        <v>1293</v>
      </c>
      <c r="L7914" s="3" t="str">
        <f>IFERROR(__xludf.DUMMYFUNCTION("GOOGLETRANSLATE(F7914,""id"",""en"")"),"Argentina rumbled happily after their national team won the World Cup title in the middle of the crisis that was hit")</f>
        <v>Argentina rumbled happily after their national team won the World Cup title in the middle of the crisis that was hit</v>
      </c>
    </row>
    <row r="7915" ht="15.75" customHeight="1">
      <c r="A7915" s="1">
        <v>9134.0</v>
      </c>
      <c r="B7915" s="3" t="s">
        <v>22662</v>
      </c>
      <c r="C7915" s="3">
        <v>0.0</v>
      </c>
      <c r="D7915" s="3">
        <v>0.0</v>
      </c>
      <c r="E7915" s="3">
        <v>2.0</v>
      </c>
      <c r="F7915" s="3" t="s">
        <v>22663</v>
      </c>
      <c r="G7915" s="3">
        <v>0.0</v>
      </c>
      <c r="H7915" s="3">
        <v>0.0</v>
      </c>
      <c r="I7915" s="3" t="s">
        <v>13</v>
      </c>
      <c r="J7915" s="3" t="s">
        <v>22664</v>
      </c>
      <c r="K7915" s="3" t="s">
        <v>31</v>
      </c>
      <c r="L7915" s="3" t="str">
        <f>IFERROR(__xludf.DUMMYFUNCTION("GOOGLETRANSLATE(F7915,""id"",""en"")"),"Via who made Argentina Champion World Cup")</f>
        <v>Via who made Argentina Champion World Cup</v>
      </c>
    </row>
    <row r="7916" ht="15.75" customHeight="1">
      <c r="A7916" s="1">
        <v>9135.0</v>
      </c>
      <c r="B7916" s="3" t="s">
        <v>22665</v>
      </c>
      <c r="C7916" s="3">
        <v>0.0</v>
      </c>
      <c r="D7916" s="3">
        <v>0.0</v>
      </c>
      <c r="E7916" s="3">
        <v>0.0</v>
      </c>
      <c r="F7916" s="3" t="s">
        <v>22660</v>
      </c>
      <c r="G7916" s="3">
        <v>0.0</v>
      </c>
      <c r="H7916" s="3">
        <v>0.0</v>
      </c>
      <c r="I7916" s="3" t="s">
        <v>13</v>
      </c>
      <c r="J7916" s="3" t="s">
        <v>22661</v>
      </c>
      <c r="K7916" s="3" t="s">
        <v>1293</v>
      </c>
      <c r="L7916" s="3" t="str">
        <f>IFERROR(__xludf.DUMMYFUNCTION("GOOGLETRANSLATE(F7916,""id"",""en"")"),"Argentina rumbled happily after their national team won the World Cup title in the middle of the crisis that was hit")</f>
        <v>Argentina rumbled happily after their national team won the World Cup title in the middle of the crisis that was hit</v>
      </c>
    </row>
    <row r="7917" ht="15.75" customHeight="1">
      <c r="A7917" s="1">
        <v>9136.0</v>
      </c>
      <c r="B7917" s="3" t="s">
        <v>22666</v>
      </c>
      <c r="C7917" s="3">
        <v>0.0</v>
      </c>
      <c r="D7917" s="3">
        <v>1.0</v>
      </c>
      <c r="E7917" s="3">
        <v>4.0</v>
      </c>
      <c r="F7917" s="3" t="s">
        <v>22667</v>
      </c>
      <c r="G7917" s="3">
        <v>0.0</v>
      </c>
      <c r="H7917" s="3">
        <v>0.0</v>
      </c>
      <c r="I7917" s="3" t="s">
        <v>13</v>
      </c>
      <c r="J7917" s="3" t="s">
        <v>22668</v>
      </c>
      <c r="K7917" s="3" t="s">
        <v>50</v>
      </c>
      <c r="L7917" s="3" t="str">
        <f>IFERROR(__xludf.DUMMYFUNCTION("GOOGLETRANSLATE(F7917,""id"",""en"")"),"between Argentina World Cup Champion Lionel Messi is claimed to be a ballon winning")</f>
        <v>between Argentina World Cup Champion Lionel Messi is claimed to be a ballon winning</v>
      </c>
    </row>
    <row r="7918" ht="15.75" customHeight="1">
      <c r="A7918" s="1">
        <v>9137.0</v>
      </c>
      <c r="B7918" s="3" t="s">
        <v>22669</v>
      </c>
      <c r="C7918" s="3">
        <v>0.0</v>
      </c>
      <c r="D7918" s="3">
        <v>0.0</v>
      </c>
      <c r="E7918" s="3">
        <v>4.0</v>
      </c>
      <c r="F7918" s="3" t="s">
        <v>22640</v>
      </c>
      <c r="G7918" s="3">
        <v>0.0</v>
      </c>
      <c r="H7918" s="3">
        <v>0.0</v>
      </c>
      <c r="I7918" s="3" t="s">
        <v>13</v>
      </c>
      <c r="J7918" s="3" t="s">
        <v>22641</v>
      </c>
      <c r="K7918" s="3" t="s">
        <v>495</v>
      </c>
      <c r="L7918" s="3" t="str">
        <f>IFERROR(__xludf.DUMMYFUNCTION("GOOGLETRANSLATE(F7918,""id"",""en"")"),"Kylian Mbappe through his Instagram account wrote that we would rise in his photo through the French World Cup trophy failed to win after losing to Argentina")</f>
        <v>Kylian Mbappe through his Instagram account wrote that we would rise in his photo through the French World Cup trophy failed to win after losing to Argentina</v>
      </c>
    </row>
    <row r="7919" ht="15.75" customHeight="1">
      <c r="A7919" s="1">
        <v>9138.0</v>
      </c>
      <c r="B7919" s="3" t="s">
        <v>22670</v>
      </c>
      <c r="C7919" s="3">
        <v>0.0</v>
      </c>
      <c r="D7919" s="3">
        <v>0.0</v>
      </c>
      <c r="E7919" s="3">
        <v>0.0</v>
      </c>
      <c r="F7919" s="3" t="s">
        <v>22671</v>
      </c>
      <c r="G7919" s="3">
        <v>0.0</v>
      </c>
      <c r="H7919" s="3">
        <v>0.0</v>
      </c>
      <c r="I7919" s="3" t="s">
        <v>13</v>
      </c>
      <c r="J7919" s="3" t="s">
        <v>22672</v>
      </c>
      <c r="K7919" s="3" t="s">
        <v>510</v>
      </c>
      <c r="L7919" s="3" t="str">
        <f>IFERROR(__xludf.DUMMYFUNCTION("GOOGLETRANSLATE(F7919,""id"",""en"")"),"Imagine if all of that was wiped out")</f>
        <v>Imagine if all of that was wiped out</v>
      </c>
    </row>
    <row r="7920" ht="15.75" customHeight="1">
      <c r="A7920" s="1">
        <v>9139.0</v>
      </c>
      <c r="B7920" s="3" t="s">
        <v>22673</v>
      </c>
      <c r="C7920" s="3">
        <v>1.0</v>
      </c>
      <c r="D7920" s="3">
        <v>0.0</v>
      </c>
      <c r="E7920" s="3">
        <v>3.0</v>
      </c>
      <c r="F7920" s="3" t="s">
        <v>22674</v>
      </c>
      <c r="G7920" s="3">
        <v>0.3333333333333333</v>
      </c>
      <c r="H7920" s="3">
        <v>0.1666666666666667</v>
      </c>
      <c r="I7920" s="3" t="s">
        <v>48</v>
      </c>
      <c r="J7920" s="3" t="s">
        <v>22675</v>
      </c>
      <c r="K7920" s="3" t="s">
        <v>765</v>
      </c>
      <c r="L7920" s="3" t="str">
        <f>IFERROR(__xludf.DUMMYFUNCTION("GOOGLETRANSLATE(F7920,""id"",""en"")"),"This is one of the Argentine squad black players called the Baley Main Era Cector Player and Packing Caps he entered the Argentine squad who won the World Cup even though at that time he was Jad")</f>
        <v>This is one of the Argentine squad black players called the Baley Main Era Cector Player and Packing Caps he entered the Argentine squad who won the World Cup even though at that time he was Jad</v>
      </c>
    </row>
    <row r="7921" ht="15.75" customHeight="1">
      <c r="A7921" s="1">
        <v>9140.0</v>
      </c>
      <c r="B7921" s="3" t="s">
        <v>22676</v>
      </c>
      <c r="C7921" s="3">
        <v>0.0</v>
      </c>
      <c r="D7921" s="3">
        <v>0.0</v>
      </c>
      <c r="E7921" s="3">
        <v>0.0</v>
      </c>
      <c r="F7921" s="3" t="s">
        <v>22677</v>
      </c>
      <c r="G7921" s="3">
        <v>0.0</v>
      </c>
      <c r="H7921" s="3">
        <v>0.0</v>
      </c>
      <c r="I7921" s="3" t="s">
        <v>13</v>
      </c>
      <c r="J7921" s="3" t="s">
        <v>22678</v>
      </c>
      <c r="K7921" s="3" t="s">
        <v>1335</v>
      </c>
      <c r="L7921" s="3" t="str">
        <f>IFERROR(__xludf.DUMMYFUNCTION("GOOGLETRANSLATE(F7921,""id"",""en"")"),"Argentina World Cup Champion Who's Liered Champion")</f>
        <v>Argentina World Cup Champion Who's Liered Champion</v>
      </c>
    </row>
    <row r="7922" ht="15.75" customHeight="1">
      <c r="A7922" s="1">
        <v>9141.0</v>
      </c>
      <c r="B7922" s="3" t="s">
        <v>22679</v>
      </c>
      <c r="C7922" s="3">
        <v>0.0</v>
      </c>
      <c r="D7922" s="3">
        <v>0.0</v>
      </c>
      <c r="E7922" s="3">
        <v>1.0</v>
      </c>
      <c r="F7922" s="3" t="s">
        <v>22680</v>
      </c>
      <c r="G7922" s="3">
        <v>0.0</v>
      </c>
      <c r="H7922" s="3">
        <v>0.0</v>
      </c>
      <c r="I7922" s="3" t="s">
        <v>13</v>
      </c>
      <c r="J7922" s="3" t="s">
        <v>22681</v>
      </c>
      <c r="K7922" s="3" t="s">
        <v>50</v>
      </c>
      <c r="L7922" s="3" t="str">
        <f>IFERROR(__xludf.DUMMYFUNCTION("GOOGLETRANSLATE(F7922,""id"",""en"")"),"Argentina champions because the French goalkeeper is like a person who is not excited to catch the ball so suspicious")</f>
        <v>Argentina champions because the French goalkeeper is like a person who is not excited to catch the ball so suspicious</v>
      </c>
    </row>
    <row r="7923" ht="15.75" customHeight="1">
      <c r="A7923" s="1">
        <v>9142.0</v>
      </c>
      <c r="B7923" s="3" t="s">
        <v>22682</v>
      </c>
      <c r="C7923" s="3">
        <v>0.0</v>
      </c>
      <c r="D7923" s="3">
        <v>0.0</v>
      </c>
      <c r="E7923" s="3">
        <v>0.0</v>
      </c>
      <c r="F7923" s="3" t="s">
        <v>22683</v>
      </c>
      <c r="G7923" s="3">
        <v>0.0</v>
      </c>
      <c r="H7923" s="3">
        <v>0.0</v>
      </c>
      <c r="I7923" s="3" t="s">
        <v>13</v>
      </c>
      <c r="J7923" s="3" t="s">
        <v>22684</v>
      </c>
      <c r="K7923" s="3" t="s">
        <v>1265</v>
      </c>
      <c r="L7923" s="3" t="str">
        <f>IFERROR(__xludf.DUMMYFUNCTION("GOOGLETRANSLATE(F7923,""id"",""en"")"),"Qatar World Cup Champion Winning Lifting World Cup Tengo Argentina Team")</f>
        <v>Qatar World Cup Champion Winning Lifting World Cup Tengo Argentina Team</v>
      </c>
    </row>
    <row r="7924" ht="15.75" customHeight="1">
      <c r="A7924" s="1">
        <v>9143.0</v>
      </c>
      <c r="B7924" s="3" t="s">
        <v>22685</v>
      </c>
      <c r="C7924" s="3">
        <v>0.0</v>
      </c>
      <c r="D7924" s="3">
        <v>0.0</v>
      </c>
      <c r="E7924" s="3">
        <v>1.0</v>
      </c>
      <c r="F7924" s="3" t="s">
        <v>22686</v>
      </c>
      <c r="G7924" s="3">
        <v>0.0</v>
      </c>
      <c r="H7924" s="3">
        <v>0.0</v>
      </c>
      <c r="I7924" s="3" t="s">
        <v>13</v>
      </c>
      <c r="J7924" s="3" t="s">
        <v>22687</v>
      </c>
      <c r="K7924" s="3" t="s">
        <v>19</v>
      </c>
      <c r="L7924" s="3" t="str">
        <f>IFERROR(__xludf.DUMMYFUNCTION("GOOGLETRANSLATE(F7924,""id"",""en"")"),"MotoGP racer is busy saying happy Lionel Messi and Argentina champions of the World Cup but there are those who are disappointed")</f>
        <v>MotoGP racer is busy saying happy Lionel Messi and Argentina champions of the World Cup but there are those who are disappointed</v>
      </c>
    </row>
    <row r="7925" ht="15.75" customHeight="1">
      <c r="A7925" s="1">
        <v>9144.0</v>
      </c>
      <c r="B7925" s="3" t="s">
        <v>22688</v>
      </c>
      <c r="C7925" s="3">
        <v>0.0</v>
      </c>
      <c r="D7925" s="3">
        <v>0.0</v>
      </c>
      <c r="E7925" s="3">
        <v>1.0</v>
      </c>
      <c r="F7925" s="3" t="s">
        <v>22689</v>
      </c>
      <c r="G7925" s="3">
        <v>1.0</v>
      </c>
      <c r="H7925" s="3">
        <v>0.0</v>
      </c>
      <c r="I7925" s="3" t="s">
        <v>13</v>
      </c>
      <c r="J7925" s="3" t="s">
        <v>22690</v>
      </c>
      <c r="K7925" s="3" t="s">
        <v>1824</v>
      </c>
      <c r="L7925" s="3" t="str">
        <f>IFERROR(__xludf.DUMMYFUNCTION("GOOGLETRANSLATE(F7925,""id"",""en"")"),"Lionel Messi after relents the French French Argentina Party confirmed himself to become the champion of the FIFA World Cup through the penalty of the Lusial Qatar Stadium on Monday morning WIB History is the third title of Argentina")</f>
        <v>Lionel Messi after relents the French French Argentina Party confirmed himself to become the champion of the FIFA World Cup through the penalty of the Lusial Qatar Stadium on Monday morning WIB History is the third title of Argentina</v>
      </c>
    </row>
    <row r="7926" ht="15.75" customHeight="1">
      <c r="A7926" s="1">
        <v>9145.0</v>
      </c>
      <c r="B7926" s="3" t="s">
        <v>22691</v>
      </c>
      <c r="C7926" s="3">
        <v>0.0</v>
      </c>
      <c r="D7926" s="3">
        <v>0.0</v>
      </c>
      <c r="E7926" s="3">
        <v>0.0</v>
      </c>
      <c r="F7926" s="3" t="s">
        <v>22692</v>
      </c>
      <c r="G7926" s="3">
        <v>0.0</v>
      </c>
      <c r="H7926" s="3">
        <v>0.0</v>
      </c>
      <c r="I7926" s="3" t="s">
        <v>13</v>
      </c>
      <c r="J7926" s="3" t="s">
        <v>22693</v>
      </c>
      <c r="K7926" s="3" t="s">
        <v>41</v>
      </c>
      <c r="L7926" s="3" t="str">
        <f>IFERROR(__xludf.DUMMYFUNCTION("GOOGLETRANSLATE(F7926,""id"",""en"")"),"Argentina Champion World Cup Governor Arinal, they could because of the strength of the unity")</f>
        <v>Argentina Champion World Cup Governor Arinal, they could because of the strength of the unity</v>
      </c>
    </row>
    <row r="7927" ht="15.75" customHeight="1">
      <c r="A7927" s="1">
        <v>9146.0</v>
      </c>
      <c r="B7927" s="3" t="s">
        <v>22694</v>
      </c>
      <c r="C7927" s="3">
        <v>0.0</v>
      </c>
      <c r="D7927" s="3">
        <v>0.0</v>
      </c>
      <c r="E7927" s="3">
        <v>0.0</v>
      </c>
      <c r="F7927" s="3" t="s">
        <v>22695</v>
      </c>
      <c r="G7927" s="3">
        <v>0.0</v>
      </c>
      <c r="H7927" s="3">
        <v>0.0</v>
      </c>
      <c r="I7927" s="3" t="s">
        <v>13</v>
      </c>
      <c r="J7927" s="3" t="s">
        <v>22696</v>
      </c>
      <c r="K7927" s="3" t="s">
        <v>82</v>
      </c>
      <c r="L7927" s="3" t="str">
        <f>IFERROR(__xludf.DUMMYFUNCTION("GOOGLETRANSLATE(F7927,""id"",""en"")"),"Argentine Penalty Drama Champion World Cup")</f>
        <v>Argentine Penalty Drama Champion World Cup</v>
      </c>
    </row>
    <row r="7928" ht="15.75" customHeight="1">
      <c r="A7928" s="1">
        <v>9147.0</v>
      </c>
      <c r="B7928" s="3" t="s">
        <v>22697</v>
      </c>
      <c r="C7928" s="3">
        <v>0.0</v>
      </c>
      <c r="D7928" s="3">
        <v>0.0</v>
      </c>
      <c r="E7928" s="3">
        <v>1.0</v>
      </c>
      <c r="F7928" s="3" t="s">
        <v>22698</v>
      </c>
      <c r="G7928" s="3">
        <v>0.0</v>
      </c>
      <c r="H7928" s="3">
        <v>0.0</v>
      </c>
      <c r="I7928" s="3" t="s">
        <v>13</v>
      </c>
      <c r="J7928" s="3" t="s">
        <v>22699</v>
      </c>
      <c r="K7928" s="3" t="s">
        <v>19</v>
      </c>
      <c r="L7928" s="3" t="str">
        <f>IFERROR(__xludf.DUMMYFUNCTION("GOOGLETRANSLATE(F7928,""id"",""en"")"),"how come Argentina is champion because this green balloon but this is not a tofu")</f>
        <v>how come Argentina is champion because this green balloon but this is not a tofu</v>
      </c>
    </row>
    <row r="7929" ht="15.75" customHeight="1">
      <c r="A7929" s="1">
        <v>9148.0</v>
      </c>
      <c r="B7929" s="3" t="s">
        <v>22700</v>
      </c>
      <c r="C7929" s="3">
        <v>0.0</v>
      </c>
      <c r="D7929" s="3">
        <v>1.0</v>
      </c>
      <c r="E7929" s="3">
        <v>51.0</v>
      </c>
      <c r="F7929" s="3" t="s">
        <v>22701</v>
      </c>
      <c r="G7929" s="3">
        <v>0.0</v>
      </c>
      <c r="H7929" s="3">
        <v>0.0</v>
      </c>
      <c r="I7929" s="3" t="s">
        <v>13</v>
      </c>
      <c r="J7929" s="3" t="s">
        <v>22702</v>
      </c>
      <c r="K7929" s="3" t="s">
        <v>82</v>
      </c>
      <c r="L7929" s="3" t="str">
        <f>IFERROR(__xludf.DUMMYFUNCTION("GOOGLETRANSLATE(F7929,""id"",""en"")"),"Argentina Champion World Cup Buenos Aires Crazy")</f>
        <v>Argentina Champion World Cup Buenos Aires Crazy</v>
      </c>
    </row>
    <row r="7930" ht="15.75" customHeight="1">
      <c r="A7930" s="1">
        <v>9149.0</v>
      </c>
      <c r="B7930" s="3" t="s">
        <v>22703</v>
      </c>
      <c r="C7930" s="3">
        <v>1.0</v>
      </c>
      <c r="D7930" s="3">
        <v>0.0</v>
      </c>
      <c r="E7930" s="3">
        <v>1.0</v>
      </c>
      <c r="F7930" s="3" t="s">
        <v>22704</v>
      </c>
      <c r="G7930" s="3">
        <v>0.0</v>
      </c>
      <c r="H7930" s="3">
        <v>0.0</v>
      </c>
      <c r="I7930" s="3" t="s">
        <v>13</v>
      </c>
      <c r="J7930" s="3" t="s">
        <v>22705</v>
      </c>
      <c r="K7930" s="3" t="s">
        <v>15</v>
      </c>
      <c r="L7930" s="3" t="str">
        <f>IFERROR(__xludf.DUMMYFUNCTION("GOOGLETRANSLATE(F7930,""id"",""en"")"),"The Mainichi Shimbun Japan proclaimed and won the championship")</f>
        <v>The Mainichi Shimbun Japan proclaimed and won the championship</v>
      </c>
    </row>
    <row r="7931" ht="15.75" customHeight="1">
      <c r="A7931" s="1">
        <v>9150.0</v>
      </c>
      <c r="B7931" s="3" t="s">
        <v>22706</v>
      </c>
      <c r="C7931" s="3">
        <v>1.0</v>
      </c>
      <c r="D7931" s="3">
        <v>1.0</v>
      </c>
      <c r="E7931" s="3">
        <v>4.0</v>
      </c>
      <c r="F7931" s="3" t="s">
        <v>22707</v>
      </c>
      <c r="G7931" s="3">
        <v>0.0</v>
      </c>
      <c r="H7931" s="3">
        <v>0.0</v>
      </c>
      <c r="I7931" s="3" t="s">
        <v>13</v>
      </c>
      <c r="J7931" s="3" t="s">
        <v>22708</v>
      </c>
      <c r="K7931" s="3" t="s">
        <v>1349</v>
      </c>
      <c r="L7931" s="3" t="str">
        <f>IFERROR(__xludf.DUMMYFUNCTION("GOOGLETRANSLATE(F7931,""id"",""en"")"),"The Italian Media Media joined in celebrating the victory that won several Argentine players playing the Italian Club Serie club")</f>
        <v>The Italian Media Media joined in celebrating the victory that won several Argentine players playing the Italian Club Serie club</v>
      </c>
    </row>
    <row r="7932" ht="15.75" customHeight="1">
      <c r="A7932" s="1">
        <v>9151.0</v>
      </c>
      <c r="B7932" s="3" t="s">
        <v>22709</v>
      </c>
      <c r="C7932" s="3">
        <v>0.0</v>
      </c>
      <c r="D7932" s="3">
        <v>0.0</v>
      </c>
      <c r="E7932" s="3">
        <v>1.0</v>
      </c>
      <c r="F7932" s="3" t="s">
        <v>22710</v>
      </c>
      <c r="G7932" s="3">
        <v>0.0</v>
      </c>
      <c r="H7932" s="3">
        <v>0.0</v>
      </c>
      <c r="I7932" s="3" t="s">
        <v>13</v>
      </c>
      <c r="J7932" s="3" t="s">
        <v>22711</v>
      </c>
      <c r="K7932" s="3" t="s">
        <v>54</v>
      </c>
      <c r="L7932" s="3" t="str">
        <f>IFERROR(__xludf.DUMMYFUNCTION("GOOGLETRANSLATE(F7932,""id"",""en"")"),"South Korean media reported champions and heroes")</f>
        <v>South Korean media reported champions and heroes</v>
      </c>
    </row>
    <row r="7933" ht="15.75" customHeight="1">
      <c r="A7933" s="1">
        <v>9152.0</v>
      </c>
      <c r="B7933" s="3" t="s">
        <v>22712</v>
      </c>
      <c r="C7933" s="3">
        <v>0.0</v>
      </c>
      <c r="D7933" s="3">
        <v>0.0</v>
      </c>
      <c r="E7933" s="3">
        <v>0.0</v>
      </c>
      <c r="F7933" s="3" t="s">
        <v>22713</v>
      </c>
      <c r="G7933" s="3">
        <v>0.2166666666666667</v>
      </c>
      <c r="H7933" s="3">
        <v>0.08333333333333333</v>
      </c>
      <c r="I7933" s="3" t="s">
        <v>48</v>
      </c>
      <c r="J7933" s="3" t="s">
        <v>22714</v>
      </c>
      <c r="K7933" s="3" t="s">
        <v>1854</v>
      </c>
      <c r="L7933" s="3" t="str">
        <f>IFERROR(__xludf.DUMMYFUNCTION("GOOGLETRANSLATE(F7933,""id"",""en"")"),"Nilson seeing Argentina squad so the starting line of all medioker players except Messi in Dimaria sometimes playing sometimes not all from the decision of the coach want to play who Portugal is champion why I blame")</f>
        <v>Nilson seeing Argentina squad so the starting line of all medioker players except Messi in Dimaria sometimes playing sometimes not all from the decision of the coach want to play who Portugal is champion why I blame</v>
      </c>
    </row>
    <row r="7934" ht="15.75" customHeight="1">
      <c r="A7934" s="1">
        <v>9153.0</v>
      </c>
      <c r="B7934" s="3" t="s">
        <v>22715</v>
      </c>
      <c r="C7934" s="3">
        <v>0.0</v>
      </c>
      <c r="D7934" s="3">
        <v>0.0</v>
      </c>
      <c r="E7934" s="3">
        <v>0.0</v>
      </c>
      <c r="F7934" s="3" t="s">
        <v>22716</v>
      </c>
      <c r="G7934" s="3">
        <v>0.0</v>
      </c>
      <c r="H7934" s="3">
        <v>0.0</v>
      </c>
      <c r="I7934" s="3" t="s">
        <v>13</v>
      </c>
      <c r="J7934" s="3" t="s">
        <v>22717</v>
      </c>
      <c r="K7934" s="3" t="s">
        <v>1097</v>
      </c>
      <c r="L7934" s="3" t="str">
        <f>IFERROR(__xludf.DUMMYFUNCTION("GOOGLETRANSLATE(F7934,""id"",""en"")"),"Argentina Champion World Cup Prediction Agree Thailand Persis")</f>
        <v>Argentina Champion World Cup Prediction Agree Thailand Persis</v>
      </c>
    </row>
    <row r="7935" ht="15.75" customHeight="1">
      <c r="A7935" s="1">
        <v>9154.0</v>
      </c>
      <c r="B7935" s="3" t="s">
        <v>22718</v>
      </c>
      <c r="C7935" s="3">
        <v>1.0</v>
      </c>
      <c r="D7935" s="3">
        <v>0.0</v>
      </c>
      <c r="E7935" s="3">
        <v>0.0</v>
      </c>
      <c r="F7935" s="3" t="s">
        <v>22719</v>
      </c>
      <c r="G7935" s="3">
        <v>1.0</v>
      </c>
      <c r="H7935" s="3">
        <v>0.0</v>
      </c>
      <c r="I7935" s="3" t="s">
        <v>13</v>
      </c>
      <c r="J7935" s="3" t="s">
        <v>22720</v>
      </c>
      <c r="K7935" s="3" t="s">
        <v>358</v>
      </c>
      <c r="L7935" s="3" t="str">
        <f>IFERROR(__xludf.DUMMYFUNCTION("GOOGLETRANSLATE(F7935,""id"",""en"")"),"well in the end Argentina is the third winner after the year of the last champion if until the champion is not champion again, how come the final time is the final failed mah mah")</f>
        <v>well in the end Argentina is the third winner after the year of the last champion if until the champion is not champion again, how come the final time is the final failed mah mah</v>
      </c>
    </row>
    <row r="7936" ht="15.75" customHeight="1">
      <c r="A7936" s="1">
        <v>9155.0</v>
      </c>
      <c r="B7936" s="3" t="s">
        <v>22721</v>
      </c>
      <c r="C7936" s="3">
        <v>0.0</v>
      </c>
      <c r="D7936" s="3">
        <v>0.0</v>
      </c>
      <c r="E7936" s="3">
        <v>0.0</v>
      </c>
      <c r="F7936" s="3" t="s">
        <v>22722</v>
      </c>
      <c r="G7936" s="3">
        <v>1.0</v>
      </c>
      <c r="H7936" s="3">
        <v>1.0</v>
      </c>
      <c r="I7936" s="3" t="s">
        <v>48</v>
      </c>
      <c r="J7936" s="3" t="s">
        <v>22723</v>
      </c>
      <c r="K7936" s="3" t="s">
        <v>974</v>
      </c>
      <c r="L7936" s="3" t="str">
        <f>IFERROR(__xludf.DUMMYFUNCTION("GOOGLETRANSLATE(F7936,""id"",""en"")"),"The end of the December in December he acted in the world for the last time Messi might have succeeded in bringing Argentina Kefinal and defeating the previous edition champion and then returned Argentina with the status of the Greatest All Time World Cup"&amp;" championship")</f>
        <v>The end of the December in December he acted in the world for the last time Messi might have succeeded in bringing Argentina Kefinal and defeating the previous edition champion and then returned Argentina with the status of the Greatest All Time World Cup championship</v>
      </c>
    </row>
    <row r="7937" ht="15.75" customHeight="1">
      <c r="A7937" s="1">
        <v>9156.0</v>
      </c>
      <c r="B7937" s="3" t="s">
        <v>22724</v>
      </c>
      <c r="C7937" s="3">
        <v>3.0</v>
      </c>
      <c r="D7937" s="3">
        <v>0.0</v>
      </c>
      <c r="E7937" s="3">
        <v>0.0</v>
      </c>
      <c r="F7937" s="3" t="s">
        <v>22725</v>
      </c>
      <c r="G7937" s="3">
        <v>0.0</v>
      </c>
      <c r="H7937" s="3">
        <v>0.0</v>
      </c>
      <c r="I7937" s="3" t="s">
        <v>13</v>
      </c>
      <c r="J7937" s="3" t="s">
        <v>22726</v>
      </c>
      <c r="K7937" s="3" t="s">
        <v>27</v>
      </c>
      <c r="L7937" s="3" t="str">
        <f>IFERROR(__xludf.DUMMYFUNCTION("GOOGLETRANSLATE(F7937,""id"",""en"")"),"Acho, if it's old Messi, you should be more powerful because the age of the golden age of the footballer is still able")</f>
        <v>Acho, if it's old Messi, you should be more powerful because the age of the golden age of the footballer is still able</v>
      </c>
    </row>
    <row r="7938" ht="15.75" customHeight="1">
      <c r="A7938" s="1">
        <v>9157.0</v>
      </c>
      <c r="B7938" s="3" t="s">
        <v>22727</v>
      </c>
      <c r="C7938" s="3">
        <v>0.0</v>
      </c>
      <c r="D7938" s="3">
        <v>1.0</v>
      </c>
      <c r="E7938" s="3">
        <v>5.0</v>
      </c>
      <c r="F7938" s="3" t="s">
        <v>22728</v>
      </c>
      <c r="G7938" s="3">
        <v>0.0</v>
      </c>
      <c r="H7938" s="3">
        <v>0.0</v>
      </c>
      <c r="I7938" s="3" t="s">
        <v>13</v>
      </c>
      <c r="J7938" s="3" t="s">
        <v>22729</v>
      </c>
      <c r="K7938" s="3" t="s">
        <v>41</v>
      </c>
      <c r="L7938" s="3" t="str">
        <f>IFERROR(__xludf.DUMMYFUNCTION("GOOGLETRANSLATE(F7938,""id"",""en"")"),"Carlo Ancelotti revealed the reason Argentina deserves World Cup champions")</f>
        <v>Carlo Ancelotti revealed the reason Argentina deserves World Cup champions</v>
      </c>
    </row>
    <row r="7939" ht="15.75" customHeight="1">
      <c r="A7939" s="1">
        <v>9158.0</v>
      </c>
      <c r="B7939" s="3" t="s">
        <v>22730</v>
      </c>
      <c r="C7939" s="3">
        <v>1.0</v>
      </c>
      <c r="D7939" s="3">
        <v>2.0</v>
      </c>
      <c r="E7939" s="3">
        <v>7.0</v>
      </c>
      <c r="F7939" s="3" t="s">
        <v>21306</v>
      </c>
      <c r="G7939" s="3">
        <v>0.0</v>
      </c>
      <c r="H7939" s="3">
        <v>0.0</v>
      </c>
      <c r="I7939" s="3" t="s">
        <v>13</v>
      </c>
      <c r="J7939" s="3" t="s">
        <v>21307</v>
      </c>
      <c r="K7939" s="3" t="s">
        <v>437</v>
      </c>
      <c r="L7939" s="3" t="str">
        <f>IFERROR(__xludf.DUMMYFUNCTION("GOOGLETRANSLATE(F7939,""id"",""en"")"),"Argentina's success in winning the World Cup makes Juventus remain the top of the club with the most world champion owners")</f>
        <v>Argentina's success in winning the World Cup makes Juventus remain the top of the club with the most world champion owners</v>
      </c>
    </row>
    <row r="7940" ht="15.75" customHeight="1">
      <c r="A7940" s="1">
        <v>9159.0</v>
      </c>
      <c r="B7940" s="3" t="s">
        <v>22731</v>
      </c>
      <c r="C7940" s="3">
        <v>0.0</v>
      </c>
      <c r="D7940" s="3">
        <v>0.0</v>
      </c>
      <c r="E7940" s="3">
        <v>0.0</v>
      </c>
      <c r="F7940" s="3" t="s">
        <v>16103</v>
      </c>
      <c r="G7940" s="3">
        <v>0.0</v>
      </c>
      <c r="H7940" s="3">
        <v>0.0</v>
      </c>
      <c r="I7940" s="3" t="s">
        <v>13</v>
      </c>
      <c r="J7940" s="3" t="s">
        <v>16104</v>
      </c>
      <c r="K7940" s="3" t="s">
        <v>14571</v>
      </c>
      <c r="L7940" s="3" t="str">
        <f>IFERROR(__xludf.DUMMYFUNCTION("GOOGLETRANSLATE(F7940,""id"",""en"")"),"Argentina Champion")</f>
        <v>Argentina Champion</v>
      </c>
    </row>
    <row r="7941" ht="15.75" customHeight="1">
      <c r="A7941" s="1">
        <v>9160.0</v>
      </c>
      <c r="B7941" s="3" t="s">
        <v>22732</v>
      </c>
      <c r="C7941" s="3">
        <v>0.0</v>
      </c>
      <c r="D7941" s="3">
        <v>0.0</v>
      </c>
      <c r="E7941" s="3">
        <v>4.0</v>
      </c>
      <c r="F7941" s="3" t="s">
        <v>22733</v>
      </c>
      <c r="G7941" s="3">
        <v>0.0</v>
      </c>
      <c r="H7941" s="3">
        <v>0.0</v>
      </c>
      <c r="I7941" s="3" t="s">
        <v>13</v>
      </c>
      <c r="J7941" s="3" t="s">
        <v>22734</v>
      </c>
      <c r="K7941" s="3" t="s">
        <v>15</v>
      </c>
      <c r="L7941" s="3" t="str">
        <f>IFERROR(__xludf.DUMMYFUNCTION("GOOGLETRANSLATE(F7941,""id"",""en"")"),"Stars for Argentina after the World Cup champion for the third time")</f>
        <v>Stars for Argentina after the World Cup champion for the third time</v>
      </c>
    </row>
    <row r="7942" ht="15.75" customHeight="1">
      <c r="A7942" s="1">
        <v>9161.0</v>
      </c>
      <c r="B7942" s="3" t="s">
        <v>22735</v>
      </c>
      <c r="C7942" s="3">
        <v>1.0</v>
      </c>
      <c r="D7942" s="3">
        <v>0.0</v>
      </c>
      <c r="E7942" s="3">
        <v>0.0</v>
      </c>
      <c r="F7942" s="3" t="s">
        <v>22736</v>
      </c>
      <c r="G7942" s="3">
        <v>0.0</v>
      </c>
      <c r="H7942" s="3">
        <v>0.0</v>
      </c>
      <c r="I7942" s="3" t="s">
        <v>13</v>
      </c>
      <c r="J7942" s="3" t="s">
        <v>22737</v>
      </c>
      <c r="K7942" s="3" t="s">
        <v>1970</v>
      </c>
      <c r="L7942" s="3" t="str">
        <f>IFERROR(__xludf.DUMMYFUNCTION("GOOGLETRANSLATE(F7942,""id"",""en"")"),"IceBear Evra already said that Argentina was given a pinalty minute in the early minutes, it would definitely win the champion.")</f>
        <v>IceBear Evra already said that Argentina was given a pinalty minute in the early minutes, it would definitely win the champion.</v>
      </c>
    </row>
    <row r="7943" ht="15.75" customHeight="1">
      <c r="A7943" s="1">
        <v>9162.0</v>
      </c>
      <c r="B7943" s="3" t="s">
        <v>22738</v>
      </c>
      <c r="C7943" s="3">
        <v>0.0</v>
      </c>
      <c r="D7943" s="3">
        <v>0.0</v>
      </c>
      <c r="E7943" s="3">
        <v>0.0</v>
      </c>
      <c r="F7943" s="3" t="s">
        <v>22739</v>
      </c>
      <c r="G7943" s="3">
        <v>0.0</v>
      </c>
      <c r="H7943" s="3">
        <v>0.0</v>
      </c>
      <c r="I7943" s="3" t="s">
        <v>13</v>
      </c>
      <c r="J7943" s="3" t="s">
        <v>22740</v>
      </c>
      <c r="K7943" s="3" t="s">
        <v>54</v>
      </c>
      <c r="L7943" s="3" t="str">
        <f>IFERROR(__xludf.DUMMYFUNCTION("GOOGLETRANSLATE(F7943,""id"",""en"")"),"Argentine world champion goalkeeper why I show that gesture")</f>
        <v>Argentine world champion goalkeeper why I show that gesture</v>
      </c>
    </row>
    <row r="7944" ht="15.75" customHeight="1">
      <c r="A7944" s="1">
        <v>9163.0</v>
      </c>
      <c r="B7944" s="3" t="s">
        <v>22741</v>
      </c>
      <c r="C7944" s="3">
        <v>0.0</v>
      </c>
      <c r="D7944" s="3">
        <v>0.0</v>
      </c>
      <c r="E7944" s="3">
        <v>0.0</v>
      </c>
      <c r="F7944" s="3" t="s">
        <v>22742</v>
      </c>
      <c r="G7944" s="3">
        <v>0.0</v>
      </c>
      <c r="H7944" s="3">
        <v>0.0</v>
      </c>
      <c r="I7944" s="3" t="s">
        <v>13</v>
      </c>
      <c r="J7944" s="3" t="s">
        <v>22743</v>
      </c>
      <c r="K7944" s="3" t="s">
        <v>75</v>
      </c>
      <c r="L7944" s="3" t="str">
        <f>IFERROR(__xludf.DUMMYFUNCTION("GOOGLETRANSLATE(F7944,""id"",""en"")"),"Saudi Arabian Football National Team is more powerful because it has defeated Argentine world champion")</f>
        <v>Saudi Arabian Football National Team is more powerful because it has defeated Argentine world champion</v>
      </c>
    </row>
    <row r="7945" ht="15.75" customHeight="1">
      <c r="A7945" s="1">
        <v>9164.0</v>
      </c>
      <c r="B7945" s="3" t="s">
        <v>22744</v>
      </c>
      <c r="C7945" s="3">
        <v>0.0</v>
      </c>
      <c r="D7945" s="3">
        <v>0.0</v>
      </c>
      <c r="E7945" s="3">
        <v>0.0</v>
      </c>
      <c r="F7945" s="3" t="s">
        <v>22745</v>
      </c>
      <c r="G7945" s="3">
        <v>0.0</v>
      </c>
      <c r="H7945" s="3">
        <v>0.0</v>
      </c>
      <c r="I7945" s="3" t="s">
        <v>13</v>
      </c>
      <c r="J7945" s="3" t="s">
        <v>22746</v>
      </c>
      <c r="K7945" s="3" t="s">
        <v>2117</v>
      </c>
      <c r="L7945" s="3" t="str">
        <f>IFERROR(__xludf.DUMMYFUNCTION("GOOGLETRANSLATE(F7945,""id"",""en"")"),"still don't believe Argentina champions")</f>
        <v>still don't believe Argentina champions</v>
      </c>
    </row>
    <row r="7946" ht="15.75" customHeight="1">
      <c r="A7946" s="1">
        <v>9165.0</v>
      </c>
      <c r="B7946" s="3" t="s">
        <v>22747</v>
      </c>
      <c r="C7946" s="3">
        <v>0.0</v>
      </c>
      <c r="D7946" s="3">
        <v>0.0</v>
      </c>
      <c r="E7946" s="3">
        <v>0.0</v>
      </c>
      <c r="F7946" s="3" t="s">
        <v>22748</v>
      </c>
      <c r="G7946" s="3">
        <v>0.0</v>
      </c>
      <c r="H7946" s="3">
        <v>0.0</v>
      </c>
      <c r="I7946" s="3" t="s">
        <v>13</v>
      </c>
      <c r="J7946" s="3" t="s">
        <v>22749</v>
      </c>
      <c r="K7946" s="3" t="s">
        <v>491</v>
      </c>
      <c r="L7946" s="3" t="str">
        <f>IFERROR(__xludf.DUMMYFUNCTION("GOOGLETRANSLATE(F7946,""id"",""en"")"),"Congratulations to Argentina as the World Cup champion whether by congratulating us immediately become Argentina")</f>
        <v>Congratulations to Argentina as the World Cup champion whether by congratulating us immediately become Argentina</v>
      </c>
    </row>
    <row r="7947" ht="15.75" customHeight="1">
      <c r="A7947" s="1">
        <v>9166.0</v>
      </c>
      <c r="B7947" s="3" t="s">
        <v>22750</v>
      </c>
      <c r="C7947" s="3">
        <v>0.0</v>
      </c>
      <c r="D7947" s="3">
        <v>2.0</v>
      </c>
      <c r="E7947" s="3">
        <v>3.0</v>
      </c>
      <c r="F7947" s="3" t="s">
        <v>22751</v>
      </c>
      <c r="G7947" s="3">
        <v>0.0</v>
      </c>
      <c r="H7947" s="3">
        <v>0.0</v>
      </c>
      <c r="I7947" s="3" t="s">
        <v>13</v>
      </c>
      <c r="J7947" s="3" t="s">
        <v>22752</v>
      </c>
      <c r="K7947" s="3" t="s">
        <v>19</v>
      </c>
      <c r="L7947" s="3" t="str">
        <f>IFERROR(__xludf.DUMMYFUNCTION("GOOGLETRANSLATE(F7947,""id"",""en"")"),"Argentina Social Media Squad Reaction After World Cup Champion This said Messi")</f>
        <v>Argentina Social Media Squad Reaction After World Cup Champion This said Messi</v>
      </c>
    </row>
    <row r="7948" ht="15.75" customHeight="1">
      <c r="A7948" s="1">
        <v>9167.0</v>
      </c>
      <c r="B7948" s="3" t="s">
        <v>22753</v>
      </c>
      <c r="C7948" s="3">
        <v>1.0</v>
      </c>
      <c r="D7948" s="3">
        <v>2.0</v>
      </c>
      <c r="E7948" s="3">
        <v>23.0</v>
      </c>
      <c r="F7948" s="3" t="s">
        <v>22754</v>
      </c>
      <c r="G7948" s="3">
        <v>1.0</v>
      </c>
      <c r="H7948" s="3">
        <v>0.0</v>
      </c>
      <c r="I7948" s="3" t="s">
        <v>13</v>
      </c>
      <c r="J7948" s="3" t="s">
        <v>22755</v>
      </c>
      <c r="K7948" s="3" t="s">
        <v>184</v>
      </c>
      <c r="L7948" s="3" t="str">
        <f>IFERROR(__xludf.DUMMYFUNCTION("GOOGLETRANSLATE(F7948,""id"",""en"")"),"Kali Lusail Stadium is a silent witness to the Argentina World Cup Early Tango team.")</f>
        <v>Kali Lusail Stadium is a silent witness to the Argentina World Cup Early Tango team.</v>
      </c>
    </row>
    <row r="7949" ht="15.75" customHeight="1">
      <c r="A7949" s="1">
        <v>9168.0</v>
      </c>
      <c r="B7949" s="3" t="s">
        <v>22756</v>
      </c>
      <c r="C7949" s="3">
        <v>0.0</v>
      </c>
      <c r="D7949" s="3">
        <v>0.0</v>
      </c>
      <c r="E7949" s="3">
        <v>0.0</v>
      </c>
      <c r="F7949" s="3" t="s">
        <v>22757</v>
      </c>
      <c r="G7949" s="3">
        <v>0.0</v>
      </c>
      <c r="H7949" s="3">
        <v>0.0</v>
      </c>
      <c r="I7949" s="3" t="s">
        <v>13</v>
      </c>
      <c r="J7949" s="3" t="s">
        <v>22758</v>
      </c>
      <c r="K7949" s="3" t="s">
        <v>54</v>
      </c>
      <c r="L7949" s="3" t="str">
        <f>IFERROR(__xludf.DUMMYFUNCTION("GOOGLETRANSLATE(F7949,""id"",""en"")"),"Yesterday Argentina Champion Gara Diving Maria")</f>
        <v>Yesterday Argentina Champion Gara Diving Maria</v>
      </c>
    </row>
    <row r="7950" ht="15.75" customHeight="1">
      <c r="A7950" s="1">
        <v>9169.0</v>
      </c>
      <c r="B7950" s="3" t="s">
        <v>22759</v>
      </c>
      <c r="C7950" s="3">
        <v>0.0</v>
      </c>
      <c r="D7950" s="3">
        <v>0.0</v>
      </c>
      <c r="E7950" s="3">
        <v>0.0</v>
      </c>
      <c r="F7950" s="3" t="s">
        <v>22760</v>
      </c>
      <c r="G7950" s="3">
        <v>0.0</v>
      </c>
      <c r="H7950" s="3">
        <v>0.0</v>
      </c>
      <c r="I7950" s="3" t="s">
        <v>13</v>
      </c>
      <c r="J7950" s="3" t="s">
        <v>22761</v>
      </c>
      <c r="K7950" s="3" t="s">
        <v>50</v>
      </c>
      <c r="L7950" s="3" t="str">
        <f>IFERROR(__xludf.DUMMYFUNCTION("GOOGLETRANSLATE(F7950,""id"",""en"")"),"Udalah Argentina dick world champion kek stupid people also care")</f>
        <v>Udalah Argentina dick world champion kek stupid people also care</v>
      </c>
    </row>
    <row r="7951" ht="15.75" customHeight="1">
      <c r="A7951" s="1">
        <v>9170.0</v>
      </c>
      <c r="B7951" s="3" t="s">
        <v>22762</v>
      </c>
      <c r="C7951" s="3">
        <v>0.0</v>
      </c>
      <c r="D7951" s="3">
        <v>4.0</v>
      </c>
      <c r="E7951" s="3">
        <v>0.0</v>
      </c>
      <c r="F7951" s="3" t="s">
        <v>22763</v>
      </c>
      <c r="G7951" s="3">
        <v>0.0</v>
      </c>
      <c r="H7951" s="3">
        <v>0.0</v>
      </c>
      <c r="I7951" s="3" t="s">
        <v>13</v>
      </c>
      <c r="J7951" s="3" t="s">
        <v>22764</v>
      </c>
      <c r="K7951" s="3" t="s">
        <v>75</v>
      </c>
      <c r="L7951" s="3" t="str">
        <f>IFERROR(__xludf.DUMMYFUNCTION("GOOGLETRANSLATE(F7951,""id"",""en"")"),"Argentina World Cup Champion takes home net to remember memories")</f>
        <v>Argentina World Cup Champion takes home net to remember memories</v>
      </c>
    </row>
    <row r="7952" ht="15.75" customHeight="1">
      <c r="A7952" s="1">
        <v>9171.0</v>
      </c>
      <c r="B7952" s="3" t="s">
        <v>22765</v>
      </c>
      <c r="C7952" s="3">
        <v>0.0</v>
      </c>
      <c r="D7952" s="3">
        <v>4.0</v>
      </c>
      <c r="E7952" s="3">
        <v>0.0</v>
      </c>
      <c r="F7952" s="3" t="s">
        <v>22763</v>
      </c>
      <c r="G7952" s="3">
        <v>0.0</v>
      </c>
      <c r="H7952" s="3">
        <v>0.0</v>
      </c>
      <c r="I7952" s="3" t="s">
        <v>13</v>
      </c>
      <c r="J7952" s="3" t="s">
        <v>22764</v>
      </c>
      <c r="K7952" s="3" t="s">
        <v>75</v>
      </c>
      <c r="L7952" s="3" t="str">
        <f>IFERROR(__xludf.DUMMYFUNCTION("GOOGLETRANSLATE(F7952,""id"",""en"")"),"Argentina World Cup Champion takes home net to remember memories")</f>
        <v>Argentina World Cup Champion takes home net to remember memories</v>
      </c>
    </row>
    <row r="7953" ht="15.75" customHeight="1">
      <c r="A7953" s="1">
        <v>9172.0</v>
      </c>
      <c r="B7953" s="3" t="s">
        <v>22766</v>
      </c>
      <c r="C7953" s="3">
        <v>0.0</v>
      </c>
      <c r="D7953" s="3">
        <v>4.0</v>
      </c>
      <c r="E7953" s="3">
        <v>0.0</v>
      </c>
      <c r="F7953" s="3" t="s">
        <v>22763</v>
      </c>
      <c r="G7953" s="3">
        <v>0.0</v>
      </c>
      <c r="H7953" s="3">
        <v>0.0</v>
      </c>
      <c r="I7953" s="3" t="s">
        <v>13</v>
      </c>
      <c r="J7953" s="3" t="s">
        <v>22764</v>
      </c>
      <c r="K7953" s="3" t="s">
        <v>75</v>
      </c>
      <c r="L7953" s="3" t="str">
        <f>IFERROR(__xludf.DUMMYFUNCTION("GOOGLETRANSLATE(F7953,""id"",""en"")"),"Argentina World Cup Champion takes home net to remember memories")</f>
        <v>Argentina World Cup Champion takes home net to remember memories</v>
      </c>
    </row>
    <row r="7954" ht="15.75" customHeight="1">
      <c r="A7954" s="1">
        <v>9173.0</v>
      </c>
      <c r="B7954" s="3" t="s">
        <v>22767</v>
      </c>
      <c r="C7954" s="3">
        <v>0.0</v>
      </c>
      <c r="D7954" s="3">
        <v>3.0</v>
      </c>
      <c r="E7954" s="3">
        <v>0.0</v>
      </c>
      <c r="F7954" s="3" t="s">
        <v>22763</v>
      </c>
      <c r="G7954" s="3">
        <v>0.0</v>
      </c>
      <c r="H7954" s="3">
        <v>0.0</v>
      </c>
      <c r="I7954" s="3" t="s">
        <v>13</v>
      </c>
      <c r="J7954" s="3" t="s">
        <v>22764</v>
      </c>
      <c r="K7954" s="3" t="s">
        <v>75</v>
      </c>
      <c r="L7954" s="3" t="str">
        <f>IFERROR(__xludf.DUMMYFUNCTION("GOOGLETRANSLATE(F7954,""id"",""en"")"),"Argentina World Cup Champion takes home net to remember memories")</f>
        <v>Argentina World Cup Champion takes home net to remember memories</v>
      </c>
    </row>
    <row r="7955" ht="15.75" customHeight="1">
      <c r="A7955" s="1">
        <v>9174.0</v>
      </c>
      <c r="B7955" s="3" t="s">
        <v>22768</v>
      </c>
      <c r="C7955" s="3">
        <v>0.0</v>
      </c>
      <c r="D7955" s="3">
        <v>0.0</v>
      </c>
      <c r="E7955" s="3">
        <v>1.0</v>
      </c>
      <c r="F7955" s="3" t="s">
        <v>22769</v>
      </c>
      <c r="G7955" s="3">
        <v>0.3</v>
      </c>
      <c r="H7955" s="3">
        <v>0.2</v>
      </c>
      <c r="I7955" s="3" t="s">
        <v>48</v>
      </c>
      <c r="J7955" s="3" t="s">
        <v>22770</v>
      </c>
      <c r="K7955" s="3" t="s">
        <v>75</v>
      </c>
      <c r="L7955" s="3" t="str">
        <f>IFERROR(__xludf.DUMMYFUNCTION("GOOGLETRANSLATE(F7955,""id"",""en"")"),"Messi brought Argentina the World Cup Champion The Real Goat was answered already")</f>
        <v>Messi brought Argentina the World Cup Champion The Real Goat was answered already</v>
      </c>
    </row>
    <row r="7956" ht="15.75" customHeight="1">
      <c r="A7956" s="1">
        <v>9175.0</v>
      </c>
      <c r="B7956" s="3" t="s">
        <v>22771</v>
      </c>
      <c r="C7956" s="3">
        <v>0.0</v>
      </c>
      <c r="D7956" s="3">
        <v>0.0</v>
      </c>
      <c r="E7956" s="3">
        <v>0.0</v>
      </c>
      <c r="F7956" s="3" t="s">
        <v>22772</v>
      </c>
      <c r="G7956" s="3">
        <v>0.2</v>
      </c>
      <c r="H7956" s="3">
        <v>-0.1</v>
      </c>
      <c r="I7956" s="3" t="s">
        <v>179</v>
      </c>
      <c r="J7956" s="3" t="s">
        <v>22773</v>
      </c>
      <c r="K7956" s="3" t="s">
        <v>910</v>
      </c>
      <c r="L7956" s="3" t="str">
        <f>IFERROR(__xludf.DUMMYFUNCTION("GOOGLETRANSLATE(F7956,""id"",""en"")"),"Mental champion that is owned by Argentina is extraordinary but no less great mental by the French team and its supporters who want to admit their defeat with legowo compare with supporters")</f>
        <v>Mental champion that is owned by Argentina is extraordinary but no less great mental by the French team and its supporters who want to admit their defeat with legowo compare with supporters</v>
      </c>
    </row>
    <row r="7957" ht="15.75" customHeight="1">
      <c r="A7957" s="1">
        <v>9176.0</v>
      </c>
      <c r="B7957" s="3" t="s">
        <v>22774</v>
      </c>
      <c r="C7957" s="3">
        <v>0.0</v>
      </c>
      <c r="D7957" s="3">
        <v>0.0</v>
      </c>
      <c r="E7957" s="3">
        <v>0.0</v>
      </c>
      <c r="F7957" s="3" t="s">
        <v>22775</v>
      </c>
      <c r="G7957" s="3">
        <v>0.2</v>
      </c>
      <c r="H7957" s="3">
        <v>-0.1</v>
      </c>
      <c r="I7957" s="3" t="s">
        <v>179</v>
      </c>
      <c r="J7957" s="3" t="s">
        <v>22776</v>
      </c>
      <c r="K7957" s="3" t="s">
        <v>286</v>
      </c>
      <c r="L7957" s="3" t="str">
        <f>IFERROR(__xludf.DUMMYFUNCTION("GOOGLETRANSLATE(F7957,""id"",""en"")"),"Mental champion that is owned by Argentina and no less great mental Legowo France who admitted his defeat compare with supporters")</f>
        <v>Mental champion that is owned by Argentina and no less great mental Legowo France who admitted his defeat compare with supporters</v>
      </c>
    </row>
    <row r="7958" ht="15.75" customHeight="1">
      <c r="A7958" s="1">
        <v>9177.0</v>
      </c>
      <c r="B7958" s="3" t="s">
        <v>22777</v>
      </c>
      <c r="C7958" s="3">
        <v>0.0</v>
      </c>
      <c r="D7958" s="3">
        <v>0.0</v>
      </c>
      <c r="E7958" s="3">
        <v>1.0</v>
      </c>
      <c r="F7958" s="3" t="s">
        <v>22778</v>
      </c>
      <c r="G7958" s="3">
        <v>0.0</v>
      </c>
      <c r="H7958" s="3">
        <v>0.0</v>
      </c>
      <c r="I7958" s="3" t="s">
        <v>13</v>
      </c>
      <c r="J7958" s="3" t="s">
        <v>22779</v>
      </c>
      <c r="K7958" s="3" t="s">
        <v>184</v>
      </c>
      <c r="L7958" s="3" t="str">
        <f>IFERROR(__xludf.DUMMYFUNCTION("GOOGLETRANSLATE(F7958,""id"",""en"")"),"After Argentina, the World Cup champion wants to feel as a Ronaldo fan or hater Messi, it's okay, but I just want to know how it feels like what")</f>
        <v>After Argentina, the World Cup champion wants to feel as a Ronaldo fan or hater Messi, it's okay, but I just want to know how it feels like what</v>
      </c>
    </row>
    <row r="7959" ht="15.75" customHeight="1">
      <c r="A7959" s="1">
        <v>9178.0</v>
      </c>
      <c r="B7959" s="3" t="s">
        <v>22780</v>
      </c>
      <c r="C7959" s="3">
        <v>1.0</v>
      </c>
      <c r="D7959" s="3">
        <v>0.0</v>
      </c>
      <c r="E7959" s="3">
        <v>0.0</v>
      </c>
      <c r="F7959" s="3" t="s">
        <v>22781</v>
      </c>
      <c r="G7959" s="3">
        <v>0.0</v>
      </c>
      <c r="H7959" s="3">
        <v>0.0</v>
      </c>
      <c r="I7959" s="3" t="s">
        <v>13</v>
      </c>
      <c r="J7959" s="3" t="s">
        <v>22782</v>
      </c>
      <c r="K7959" s="3" t="s">
        <v>456</v>
      </c>
      <c r="L7959" s="3" t="str">
        <f>IFERROR(__xludf.DUMMYFUNCTION("GOOGLETRANSLATE(F7959,""id"",""en"")"),"Yesterday was one of the most memorable moments in my life to see Argentina Champion see Messi who really won the trophy that was crazy about being very grateful to be able to see and watch the idol since childhood winning the trophy")</f>
        <v>Yesterday was one of the most memorable moments in my life to see Argentina Champion see Messi who really won the trophy that was crazy about being very grateful to be able to see and watch the idol since childhood winning the trophy</v>
      </c>
    </row>
    <row r="7960" ht="15.75" customHeight="1">
      <c r="A7960" s="1">
        <v>9179.0</v>
      </c>
      <c r="B7960" s="3" t="s">
        <v>22783</v>
      </c>
      <c r="C7960" s="3">
        <v>0.0</v>
      </c>
      <c r="D7960" s="3">
        <v>0.0</v>
      </c>
      <c r="E7960" s="3">
        <v>0.0</v>
      </c>
      <c r="F7960" s="3" t="s">
        <v>22784</v>
      </c>
      <c r="G7960" s="3">
        <v>0.5</v>
      </c>
      <c r="H7960" s="3">
        <v>0.5</v>
      </c>
      <c r="I7960" s="3" t="s">
        <v>48</v>
      </c>
      <c r="J7960" s="3" t="s">
        <v>22785</v>
      </c>
      <c r="K7960" s="3" t="s">
        <v>433</v>
      </c>
      <c r="L7960" s="3" t="str">
        <f>IFERROR(__xludf.DUMMYFUNCTION("GOOGLETRANSLATE(F7960,""id"",""en"")"),"Scaloni entered the squad that passed a big one he brought Argentina World Champion Role of Head Coach Top Scaloni")</f>
        <v>Scaloni entered the squad that passed a big one he brought Argentina World Champion Role of Head Coach Top Scaloni</v>
      </c>
    </row>
    <row r="7961" ht="15.75" customHeight="1">
      <c r="A7961" s="1">
        <v>9180.0</v>
      </c>
      <c r="B7961" s="3" t="s">
        <v>22786</v>
      </c>
      <c r="C7961" s="3">
        <v>0.0</v>
      </c>
      <c r="D7961" s="3">
        <v>0.0</v>
      </c>
      <c r="E7961" s="3">
        <v>0.0</v>
      </c>
      <c r="F7961" s="3" t="s">
        <v>22787</v>
      </c>
      <c r="G7961" s="3">
        <v>0.0</v>
      </c>
      <c r="H7961" s="3">
        <v>0.0</v>
      </c>
      <c r="I7961" s="3" t="s">
        <v>13</v>
      </c>
      <c r="J7961" s="3" t="s">
        <v>22788</v>
      </c>
      <c r="K7961" s="3" t="s">
        <v>1293</v>
      </c>
      <c r="L7961" s="3" t="str">
        <f>IFERROR(__xludf.DUMMYFUNCTION("GOOGLETRANSLATE(F7961,""id"",""en"")"),"Expression of excitement after being bullied and hit by my heart sporadically both by France itself and by French fans more anti -Argentine champions")</f>
        <v>Expression of excitement after being bullied and hit by my heart sporadically both by France itself and by French fans more anti -Argentine champions</v>
      </c>
    </row>
    <row r="7962" ht="15.75" customHeight="1">
      <c r="A7962" s="1">
        <v>9181.0</v>
      </c>
      <c r="B7962" s="3" t="s">
        <v>22789</v>
      </c>
      <c r="C7962" s="3">
        <v>0.0</v>
      </c>
      <c r="D7962" s="3">
        <v>0.0</v>
      </c>
      <c r="E7962" s="3">
        <v>0.0</v>
      </c>
      <c r="F7962" s="3" t="s">
        <v>22790</v>
      </c>
      <c r="G7962" s="3">
        <v>0.0</v>
      </c>
      <c r="H7962" s="3">
        <v>0.0</v>
      </c>
      <c r="I7962" s="3" t="s">
        <v>13</v>
      </c>
      <c r="J7962" s="3" t="s">
        <v>22791</v>
      </c>
      <c r="K7962" s="3" t="s">
        <v>54</v>
      </c>
      <c r="L7962" s="3" t="str">
        <f>IFERROR(__xludf.DUMMYFUNCTION("GOOGLETRANSLATE(F7962,""id"",""en"")"),"Argentina is indeed a champion but the spirit of Mbappe has an opponent")</f>
        <v>Argentina is indeed a champion but the spirit of Mbappe has an opponent</v>
      </c>
    </row>
    <row r="7963" ht="15.75" customHeight="1">
      <c r="A7963" s="1">
        <v>9182.0</v>
      </c>
      <c r="B7963" s="3" t="s">
        <v>22792</v>
      </c>
      <c r="C7963" s="3">
        <v>0.0</v>
      </c>
      <c r="D7963" s="3">
        <v>0.0</v>
      </c>
      <c r="E7963" s="3">
        <v>0.0</v>
      </c>
      <c r="F7963" s="3" t="s">
        <v>22793</v>
      </c>
      <c r="G7963" s="3">
        <v>0.0</v>
      </c>
      <c r="H7963" s="3">
        <v>0.0</v>
      </c>
      <c r="I7963" s="3" t="s">
        <v>13</v>
      </c>
      <c r="J7963" s="3" t="s">
        <v>22794</v>
      </c>
      <c r="K7963" s="3" t="s">
        <v>15</v>
      </c>
      <c r="L7963" s="3" t="str">
        <f>IFERROR(__xludf.DUMMYFUNCTION("GOOGLETRANSLATE(F7963,""id"",""en"")"),"Argentina Champion Life Kek increasingly calm")</f>
        <v>Argentina Champion Life Kek increasingly calm</v>
      </c>
    </row>
    <row r="7964" ht="15.75" customHeight="1">
      <c r="A7964" s="1">
        <v>9183.0</v>
      </c>
      <c r="B7964" s="3" t="s">
        <v>22795</v>
      </c>
      <c r="C7964" s="3">
        <v>0.0</v>
      </c>
      <c r="D7964" s="3">
        <v>1.0</v>
      </c>
      <c r="E7964" s="3">
        <v>0.0</v>
      </c>
      <c r="F7964" s="3" t="s">
        <v>22796</v>
      </c>
      <c r="G7964" s="3">
        <v>0.0</v>
      </c>
      <c r="H7964" s="3">
        <v>0.0</v>
      </c>
      <c r="I7964" s="3" t="s">
        <v>13</v>
      </c>
      <c r="J7964" s="3" t="s">
        <v>22797</v>
      </c>
      <c r="K7964" s="3" t="s">
        <v>15</v>
      </c>
      <c r="L7964" s="3" t="str">
        <f>IFERROR(__xludf.DUMMYFUNCTION("GOOGLETRANSLATE(F7964,""id"",""en"")"),"After the Argentina national team champion is reportedly a pilgrimage to eat Wali Songo")</f>
        <v>After the Argentina national team champion is reportedly a pilgrimage to eat Wali Songo</v>
      </c>
    </row>
    <row r="7965" ht="15.75" customHeight="1">
      <c r="A7965" s="1">
        <v>9184.0</v>
      </c>
      <c r="B7965" s="3" t="s">
        <v>22798</v>
      </c>
      <c r="C7965" s="3">
        <v>0.0</v>
      </c>
      <c r="D7965" s="3">
        <v>0.0</v>
      </c>
      <c r="E7965" s="3">
        <v>0.0</v>
      </c>
      <c r="F7965" s="3" t="s">
        <v>22799</v>
      </c>
      <c r="G7965" s="3">
        <v>0.0</v>
      </c>
      <c r="H7965" s="3">
        <v>0.0</v>
      </c>
      <c r="I7965" s="3" t="s">
        <v>13</v>
      </c>
      <c r="J7965" s="3" t="s">
        <v>22800</v>
      </c>
      <c r="K7965" s="3" t="s">
        <v>50</v>
      </c>
      <c r="L7965" s="3" t="str">
        <f>IFERROR(__xludf.DUMMYFUNCTION("GOOGLETRANSLATE(F7965,""id"",""en"")"),"ahead of the most Argentine squad world cup title celebration followed")</f>
        <v>ahead of the most Argentine squad world cup title celebration followed</v>
      </c>
    </row>
    <row r="7966" ht="15.75" customHeight="1">
      <c r="A7966" s="1">
        <v>9185.0</v>
      </c>
      <c r="B7966" s="3" t="s">
        <v>22801</v>
      </c>
      <c r="C7966" s="3">
        <v>0.0</v>
      </c>
      <c r="D7966" s="3">
        <v>0.0</v>
      </c>
      <c r="E7966" s="3">
        <v>0.0</v>
      </c>
      <c r="F7966" s="3" t="s">
        <v>22802</v>
      </c>
      <c r="G7966" s="3">
        <v>0.0</v>
      </c>
      <c r="H7966" s="3">
        <v>0.0</v>
      </c>
      <c r="I7966" s="3" t="s">
        <v>13</v>
      </c>
      <c r="J7966" s="3" t="s">
        <v>22803</v>
      </c>
      <c r="K7966" s="3" t="s">
        <v>657</v>
      </c>
      <c r="L7966" s="3" t="str">
        <f>IFERROR(__xludf.DUMMYFUNCTION("GOOGLETRANSLATE(F7966,""id"",""en"")"),"Argentina World Cup Champion Arrigo Sacchi Messi cannot be compared to Maradona Read more.")</f>
        <v>Argentina World Cup Champion Arrigo Sacchi Messi cannot be compared to Maradona Read more.</v>
      </c>
    </row>
    <row r="7967" ht="15.75" customHeight="1">
      <c r="A7967" s="1">
        <v>9186.0</v>
      </c>
      <c r="B7967" s="3" t="s">
        <v>22804</v>
      </c>
      <c r="C7967" s="3">
        <v>0.0</v>
      </c>
      <c r="D7967" s="3">
        <v>0.0</v>
      </c>
      <c r="E7967" s="3">
        <v>0.0</v>
      </c>
      <c r="F7967" s="3" t="s">
        <v>22805</v>
      </c>
      <c r="G7967" s="3">
        <v>0.0</v>
      </c>
      <c r="H7967" s="3">
        <v>0.0</v>
      </c>
      <c r="I7967" s="3" t="s">
        <v>13</v>
      </c>
      <c r="J7967" s="3" t="s">
        <v>22806</v>
      </c>
      <c r="K7967" s="3" t="s">
        <v>2117</v>
      </c>
      <c r="L7967" s="3" t="str">
        <f>IFERROR(__xludf.DUMMYFUNCTION("GOOGLETRANSLATE(F7967,""id"",""en"")"),"Bismillah Argentina Champion")</f>
        <v>Bismillah Argentina Champion</v>
      </c>
    </row>
    <row r="7968" ht="15.75" customHeight="1">
      <c r="A7968" s="1">
        <v>9187.0</v>
      </c>
      <c r="B7968" s="3" t="s">
        <v>22807</v>
      </c>
      <c r="C7968" s="3">
        <v>0.0</v>
      </c>
      <c r="D7968" s="3">
        <v>0.0</v>
      </c>
      <c r="E7968" s="3">
        <v>0.0</v>
      </c>
      <c r="F7968" s="3" t="s">
        <v>22808</v>
      </c>
      <c r="G7968" s="3">
        <v>0.0</v>
      </c>
      <c r="H7968" s="3">
        <v>0.0</v>
      </c>
      <c r="I7968" s="3" t="s">
        <v>13</v>
      </c>
      <c r="J7968" s="3" t="s">
        <v>22809</v>
      </c>
      <c r="K7968" s="3" t="s">
        <v>35</v>
      </c>
      <c r="L7968" s="3" t="str">
        <f>IFERROR(__xludf.DUMMYFUNCTION("GOOGLETRANSLATE(F7968,""id"",""en"")"),"Want to see Messi champion because sorry Ronaldo on the other hand is also willing to champion again wkwk Argentina")</f>
        <v>Want to see Messi champion because sorry Ronaldo on the other hand is also willing to champion again wkwk Argentina</v>
      </c>
    </row>
    <row r="7969" ht="15.75" customHeight="1">
      <c r="A7969" s="1">
        <v>9188.0</v>
      </c>
      <c r="B7969" s="3" t="s">
        <v>22810</v>
      </c>
      <c r="C7969" s="3">
        <v>0.0</v>
      </c>
      <c r="D7969" s="3">
        <v>1.0</v>
      </c>
      <c r="E7969" s="3">
        <v>0.0</v>
      </c>
      <c r="F7969" s="3" t="s">
        <v>22811</v>
      </c>
      <c r="G7969" s="3">
        <v>0.0</v>
      </c>
      <c r="H7969" s="3">
        <v>0.0</v>
      </c>
      <c r="I7969" s="3" t="s">
        <v>13</v>
      </c>
      <c r="J7969" s="3" t="s">
        <v>22812</v>
      </c>
      <c r="K7969" s="3" t="s">
        <v>82</v>
      </c>
      <c r="L7969" s="3" t="str">
        <f>IFERROR(__xludf.DUMMYFUNCTION("GOOGLETRANSLATE(F7969,""id"",""en"")"),"Argentina Champion thanks to Mr. Ibul's hard work")</f>
        <v>Argentina Champion thanks to Mr. Ibul's hard work</v>
      </c>
    </row>
    <row r="7970" ht="15.75" customHeight="1">
      <c r="A7970" s="1">
        <v>9189.0</v>
      </c>
      <c r="B7970" s="3" t="s">
        <v>22813</v>
      </c>
      <c r="C7970" s="3">
        <v>0.0</v>
      </c>
      <c r="D7970" s="3">
        <v>2.0</v>
      </c>
      <c r="E7970" s="3">
        <v>11.0</v>
      </c>
      <c r="F7970" s="3" t="s">
        <v>22814</v>
      </c>
      <c r="G7970" s="3">
        <v>0.0</v>
      </c>
      <c r="H7970" s="3">
        <v>0.0</v>
      </c>
      <c r="I7970" s="3" t="s">
        <v>13</v>
      </c>
      <c r="J7970" s="3" t="s">
        <v>22815</v>
      </c>
      <c r="K7970" s="3" t="s">
        <v>41</v>
      </c>
      <c r="L7970" s="3" t="str">
        <f>IFERROR(__xludf.DUMMYFUNCTION("GOOGLETRANSLATE(F7970,""id"",""en"")"),"Pele congratulates Argentina after becoming the World Cup championship")</f>
        <v>Pele congratulates Argentina after becoming the World Cup championship</v>
      </c>
    </row>
    <row r="7971" ht="15.75" customHeight="1">
      <c r="A7971" s="1">
        <v>9190.0</v>
      </c>
      <c r="B7971" s="3" t="s">
        <v>22816</v>
      </c>
      <c r="C7971" s="3">
        <v>0.0</v>
      </c>
      <c r="D7971" s="3">
        <v>0.0</v>
      </c>
      <c r="E7971" s="3">
        <v>1.0</v>
      </c>
      <c r="F7971" s="3" t="s">
        <v>22817</v>
      </c>
      <c r="G7971" s="3">
        <v>0.0</v>
      </c>
      <c r="H7971" s="3">
        <v>0.0</v>
      </c>
      <c r="I7971" s="3" t="s">
        <v>13</v>
      </c>
      <c r="J7971" s="3" t="s">
        <v>22818</v>
      </c>
      <c r="K7971" s="3" t="s">
        <v>54</v>
      </c>
      <c r="L7971" s="3" t="str">
        <f>IFERROR(__xludf.DUMMYFUNCTION("GOOGLETRANSLATE(F7971,""id"",""en"")"),"Argentina won the World Cup championship")</f>
        <v>Argentina won the World Cup championship</v>
      </c>
    </row>
    <row r="7972" ht="15.75" customHeight="1">
      <c r="A7972" s="1">
        <v>9191.0</v>
      </c>
      <c r="B7972" s="3" t="s">
        <v>22819</v>
      </c>
      <c r="C7972" s="3">
        <v>0.0</v>
      </c>
      <c r="D7972" s="3">
        <v>0.0</v>
      </c>
      <c r="E7972" s="3">
        <v>0.0</v>
      </c>
      <c r="F7972" s="3" t="s">
        <v>22820</v>
      </c>
      <c r="G7972" s="3">
        <v>0.0</v>
      </c>
      <c r="H7972" s="3">
        <v>0.0</v>
      </c>
      <c r="I7972" s="3" t="s">
        <v>13</v>
      </c>
      <c r="J7972" s="3" t="s">
        <v>22821</v>
      </c>
      <c r="K7972" s="3" t="s">
        <v>510</v>
      </c>
      <c r="L7972" s="3" t="str">
        <f>IFERROR(__xludf.DUMMYFUNCTION("GOOGLETRANSLATE(F7972,""id"",""en"")"),"Argentina Champion World Cup Buenos Aires City Filled with Sea Human Link Video Link More")</f>
        <v>Argentina Champion World Cup Buenos Aires City Filled with Sea Human Link Video Link More</v>
      </c>
    </row>
    <row r="7973" ht="15.75" customHeight="1">
      <c r="A7973" s="1">
        <v>9192.0</v>
      </c>
      <c r="B7973" s="3" t="s">
        <v>22822</v>
      </c>
      <c r="C7973" s="3">
        <v>0.0</v>
      </c>
      <c r="D7973" s="3">
        <v>0.0</v>
      </c>
      <c r="E7973" s="3">
        <v>0.0</v>
      </c>
      <c r="F7973" s="3" t="s">
        <v>22823</v>
      </c>
      <c r="G7973" s="3">
        <v>0.0</v>
      </c>
      <c r="H7973" s="3">
        <v>0.0</v>
      </c>
      <c r="I7973" s="3" t="s">
        <v>13</v>
      </c>
      <c r="J7973" s="3" t="s">
        <v>22824</v>
      </c>
      <c r="K7973" s="3" t="s">
        <v>71</v>
      </c>
      <c r="L7973" s="3" t="str">
        <f>IFERROR(__xludf.DUMMYFUNCTION("GOOGLETRANSLATE(F7973,""id"",""en"")"),"Roger Federer was amazed by the success of Lionel Messi Bringing Argentina Special and Historic World Cup Champion")</f>
        <v>Roger Federer was amazed by the success of Lionel Messi Bringing Argentina Special and Historic World Cup Champion</v>
      </c>
    </row>
    <row r="7974" ht="15.75" customHeight="1">
      <c r="A7974" s="1">
        <v>9193.0</v>
      </c>
      <c r="B7974" s="3" t="s">
        <v>22825</v>
      </c>
      <c r="C7974" s="3">
        <v>0.0</v>
      </c>
      <c r="D7974" s="3">
        <v>0.0</v>
      </c>
      <c r="E7974" s="3">
        <v>0.0</v>
      </c>
      <c r="F7974" s="3" t="s">
        <v>22826</v>
      </c>
      <c r="G7974" s="3">
        <v>0.0</v>
      </c>
      <c r="H7974" s="3">
        <v>0.0</v>
      </c>
      <c r="I7974" s="3" t="s">
        <v>13</v>
      </c>
      <c r="J7974" s="3" t="s">
        <v>22827</v>
      </c>
      <c r="K7974" s="3" t="s">
        <v>1335</v>
      </c>
      <c r="L7974" s="3" t="str">
        <f>IFERROR(__xludf.DUMMYFUNCTION("GOOGLETRANSLATE(F7974,""id"",""en"")"),"Argentina champion because her mother was giving birth to maupay")</f>
        <v>Argentina champion because her mother was giving birth to maupay</v>
      </c>
    </row>
    <row r="7975" ht="15.75" customHeight="1">
      <c r="A7975" s="1">
        <v>9194.0</v>
      </c>
      <c r="B7975" s="3" t="s">
        <v>22828</v>
      </c>
      <c r="C7975" s="3">
        <v>0.0</v>
      </c>
      <c r="D7975" s="3">
        <v>0.0</v>
      </c>
      <c r="E7975" s="3">
        <v>0.0</v>
      </c>
      <c r="F7975" s="3" t="s">
        <v>22829</v>
      </c>
      <c r="G7975" s="3">
        <v>0.0</v>
      </c>
      <c r="H7975" s="3">
        <v>0.0</v>
      </c>
      <c r="I7975" s="3" t="s">
        <v>13</v>
      </c>
      <c r="J7975" s="3" t="s">
        <v>22830</v>
      </c>
      <c r="K7975" s="3" t="s">
        <v>50</v>
      </c>
      <c r="L7975" s="3" t="str">
        <f>IFERROR(__xludf.DUMMYFUNCTION("GOOGLETRANSLATE(F7975,""id"",""en"")"),"Argentine world champion goalkeeper Emi Martinez Why do I show gesture Google Sports News")</f>
        <v>Argentine world champion goalkeeper Emi Martinez Why do I show gesture Google Sports News</v>
      </c>
    </row>
    <row r="7976" ht="15.75" customHeight="1">
      <c r="A7976" s="1">
        <v>9195.0</v>
      </c>
      <c r="B7976" s="3" t="s">
        <v>22831</v>
      </c>
      <c r="C7976" s="3">
        <v>0.0</v>
      </c>
      <c r="D7976" s="3">
        <v>0.0</v>
      </c>
      <c r="E7976" s="3">
        <v>0.0</v>
      </c>
      <c r="F7976" s="3" t="s">
        <v>22832</v>
      </c>
      <c r="G7976" s="3">
        <v>0.0</v>
      </c>
      <c r="H7976" s="3">
        <v>0.0</v>
      </c>
      <c r="I7976" s="3" t="s">
        <v>13</v>
      </c>
      <c r="J7976" s="3" t="s">
        <v>22833</v>
      </c>
      <c r="K7976" s="3" t="s">
        <v>31</v>
      </c>
      <c r="L7976" s="3" t="str">
        <f>IFERROR(__xludf.DUMMYFUNCTION("GOOGLETRANSLATE(F7976,""id"",""en"")"),"There are still many who are Salty, Argentina, champions")</f>
        <v>There are still many who are Salty, Argentina, champions</v>
      </c>
    </row>
    <row r="7977" ht="15.75" customHeight="1">
      <c r="A7977" s="1">
        <v>9196.0</v>
      </c>
      <c r="B7977" s="3" t="s">
        <v>22834</v>
      </c>
      <c r="C7977" s="3">
        <v>0.0</v>
      </c>
      <c r="D7977" s="3">
        <v>0.0</v>
      </c>
      <c r="E7977" s="3">
        <v>0.0</v>
      </c>
      <c r="F7977" s="3" t="s">
        <v>22835</v>
      </c>
      <c r="G7977" s="3">
        <v>0.0</v>
      </c>
      <c r="H7977" s="3">
        <v>0.0</v>
      </c>
      <c r="I7977" s="3" t="s">
        <v>13</v>
      </c>
      <c r="J7977" s="3" t="s">
        <v>22836</v>
      </c>
      <c r="K7977" s="3" t="s">
        <v>75</v>
      </c>
      <c r="L7977" s="3" t="str">
        <f>IFERROR(__xludf.DUMMYFUNCTION("GOOGLETRANSLATE(F7977,""id"",""en"")"),"Salute to Messi, finally able to bring world champions for Argentina")</f>
        <v>Salute to Messi, finally able to bring world champions for Argentina</v>
      </c>
    </row>
    <row r="7978" ht="15.75" customHeight="1">
      <c r="A7978" s="1">
        <v>9197.0</v>
      </c>
      <c r="B7978" s="3" t="s">
        <v>22837</v>
      </c>
      <c r="C7978" s="3">
        <v>0.0</v>
      </c>
      <c r="D7978" s="3">
        <v>0.0</v>
      </c>
      <c r="E7978" s="3">
        <v>1.0</v>
      </c>
      <c r="F7978" s="3" t="s">
        <v>22838</v>
      </c>
      <c r="G7978" s="3">
        <v>0.0</v>
      </c>
      <c r="H7978" s="3">
        <v>0.0</v>
      </c>
      <c r="I7978" s="3" t="s">
        <v>13</v>
      </c>
      <c r="J7978" s="3" t="s">
        <v>22839</v>
      </c>
      <c r="K7978" s="3" t="s">
        <v>15</v>
      </c>
      <c r="L7978" s="3" t="str">
        <f>IFERROR(__xludf.DUMMYFUNCTION("GOOGLETRANSLATE(F7978,""id"",""en"")"),"I think this admin is the most hurt to see Argentina Champion")</f>
        <v>I think this admin is the most hurt to see Argentina Champion</v>
      </c>
    </row>
    <row r="7979" ht="15.75" customHeight="1">
      <c r="A7979" s="1">
        <v>9199.0</v>
      </c>
      <c r="B7979" s="3" t="s">
        <v>22840</v>
      </c>
      <c r="C7979" s="3">
        <v>0.0</v>
      </c>
      <c r="D7979" s="3">
        <v>0.0</v>
      </c>
      <c r="E7979" s="3">
        <v>0.0</v>
      </c>
      <c r="F7979" s="3" t="s">
        <v>22841</v>
      </c>
      <c r="G7979" s="3">
        <v>0.0</v>
      </c>
      <c r="H7979" s="3">
        <v>0.0</v>
      </c>
      <c r="I7979" s="3" t="s">
        <v>13</v>
      </c>
      <c r="J7979" s="3" t="s">
        <v>22842</v>
      </c>
      <c r="K7979" s="3" t="s">
        <v>31</v>
      </c>
      <c r="L7979" s="3" t="str">
        <f>IFERROR(__xludf.DUMMYFUNCTION("GOOGLETRANSLATE(F7979,""id"",""en"")"),"already sure from the beginning if Argentina would be champion")</f>
        <v>already sure from the beginning if Argentina would be champion</v>
      </c>
    </row>
    <row r="7980" ht="15.75" customHeight="1">
      <c r="A7980" s="1">
        <v>9200.0</v>
      </c>
      <c r="B7980" s="3" t="s">
        <v>22843</v>
      </c>
      <c r="C7980" s="3">
        <v>0.0</v>
      </c>
      <c r="D7980" s="3">
        <v>0.0</v>
      </c>
      <c r="E7980" s="3">
        <v>0.0</v>
      </c>
      <c r="F7980" s="3" t="s">
        <v>22844</v>
      </c>
      <c r="G7980" s="3">
        <v>0.0</v>
      </c>
      <c r="H7980" s="3">
        <v>0.0</v>
      </c>
      <c r="I7980" s="3" t="s">
        <v>13</v>
      </c>
      <c r="J7980" s="3" t="s">
        <v>22845</v>
      </c>
      <c r="K7980" s="3" t="s">
        <v>75</v>
      </c>
      <c r="L7980" s="3" t="str">
        <f>IFERROR(__xludf.DUMMYFUNCTION("GOOGLETRANSLATE(F7980,""id"",""en"")"),"With the release of Argentina as the World Cup champion, it's time to update the Rp. RPAL info")</f>
        <v>With the release of Argentina as the World Cup champion, it's time to update the Rp. RPAL info</v>
      </c>
    </row>
    <row r="7981" ht="15.75" customHeight="1">
      <c r="A7981" s="1">
        <v>9201.0</v>
      </c>
      <c r="B7981" s="3" t="s">
        <v>22846</v>
      </c>
      <c r="C7981" s="3">
        <v>0.0</v>
      </c>
      <c r="D7981" s="3">
        <v>0.0</v>
      </c>
      <c r="E7981" s="3">
        <v>10.0</v>
      </c>
      <c r="F7981" s="3" t="s">
        <v>22847</v>
      </c>
      <c r="G7981" s="3">
        <v>0.0</v>
      </c>
      <c r="H7981" s="3">
        <v>0.0</v>
      </c>
      <c r="I7981" s="3" t="s">
        <v>13</v>
      </c>
      <c r="J7981" s="3" t="s">
        <v>22848</v>
      </c>
      <c r="K7981" s="3" t="s">
        <v>50</v>
      </c>
      <c r="L7981" s="3" t="str">
        <f>IFERROR(__xludf.DUMMYFUNCTION("GOOGLETRANSLATE(F7981,""id"",""en"")"),"French President Emmanuel Macron congratulated Argentina who had won the World Cup")</f>
        <v>French President Emmanuel Macron congratulated Argentina who had won the World Cup</v>
      </c>
    </row>
    <row r="7982" ht="15.75" customHeight="1">
      <c r="A7982" s="1">
        <v>9202.0</v>
      </c>
      <c r="B7982" s="3" t="s">
        <v>22849</v>
      </c>
      <c r="C7982" s="3">
        <v>0.0</v>
      </c>
      <c r="D7982" s="3">
        <v>0.0</v>
      </c>
      <c r="E7982" s="3">
        <v>1.0</v>
      </c>
      <c r="F7982" s="3" t="s">
        <v>22850</v>
      </c>
      <c r="G7982" s="3">
        <v>0.0</v>
      </c>
      <c r="H7982" s="3">
        <v>0.0</v>
      </c>
      <c r="I7982" s="3" t="s">
        <v>13</v>
      </c>
      <c r="J7982" s="3" t="s">
        <v>22851</v>
      </c>
      <c r="K7982" s="3" t="s">
        <v>71</v>
      </c>
      <c r="L7982" s="3" t="str">
        <f>IFERROR(__xludf.DUMMYFUNCTION("GOOGLETRANSLATE(F7982,""id"",""en"")"),"Argentina Champion World Cup Street Buenos Aires is filled with a complete sea of ​​human link video link")</f>
        <v>Argentina Champion World Cup Street Buenos Aires is filled with a complete sea of ​​human link video link</v>
      </c>
    </row>
    <row r="7983" ht="15.75" customHeight="1">
      <c r="A7983" s="1">
        <v>9203.0</v>
      </c>
      <c r="B7983" s="3" t="s">
        <v>22852</v>
      </c>
      <c r="C7983" s="3">
        <v>1.0</v>
      </c>
      <c r="D7983" s="3">
        <v>2.0</v>
      </c>
      <c r="E7983" s="3">
        <v>23.0</v>
      </c>
      <c r="F7983" s="3" t="s">
        <v>22853</v>
      </c>
      <c r="G7983" s="3">
        <v>0.0</v>
      </c>
      <c r="H7983" s="3">
        <v>0.0</v>
      </c>
      <c r="I7983" s="3" t="s">
        <v>13</v>
      </c>
      <c r="J7983" s="3" t="s">
        <v>22854</v>
      </c>
      <c r="K7983" s="3" t="s">
        <v>437</v>
      </c>
      <c r="L7983" s="3" t="str">
        <f>IFERROR(__xludf.DUMMYFUNCTION("GOOGLETRANSLATE(F7983,""id"",""en"")"),"Lionel Messi brought Argentina to the World Cup champion how lucky Argentina had great talent again after the Diego Maradona era")</f>
        <v>Lionel Messi brought Argentina to the World Cup champion how lucky Argentina had great talent again after the Diego Maradona era</v>
      </c>
    </row>
    <row r="7984" ht="15.75" customHeight="1">
      <c r="A7984" s="1">
        <v>9204.0</v>
      </c>
      <c r="B7984" s="3" t="s">
        <v>22855</v>
      </c>
      <c r="C7984" s="3">
        <v>1.0</v>
      </c>
      <c r="D7984" s="3">
        <v>0.0</v>
      </c>
      <c r="E7984" s="3">
        <v>3.0</v>
      </c>
      <c r="F7984" s="3" t="s">
        <v>22856</v>
      </c>
      <c r="G7984" s="3">
        <v>0.0</v>
      </c>
      <c r="H7984" s="3">
        <v>0.0</v>
      </c>
      <c r="I7984" s="3" t="s">
        <v>13</v>
      </c>
      <c r="J7984" s="3" t="s">
        <v>22857</v>
      </c>
      <c r="K7984" s="3" t="s">
        <v>236</v>
      </c>
      <c r="L7984" s="3" t="str">
        <f>IFERROR(__xludf.DUMMYFUNCTION("GOOGLETRANSLATE(F7984,""id"",""en"")"),"Let it be strange that we Indonesian people take care of Argentine people again trying to win their country")</f>
        <v>Let it be strange that we Indonesian people take care of Argentine people again trying to win their country</v>
      </c>
    </row>
    <row r="7985" ht="15.75" customHeight="1">
      <c r="A7985" s="1">
        <v>9205.0</v>
      </c>
      <c r="B7985" s="3" t="s">
        <v>22858</v>
      </c>
      <c r="C7985" s="3">
        <v>0.0</v>
      </c>
      <c r="D7985" s="3">
        <v>0.0</v>
      </c>
      <c r="E7985" s="3">
        <v>0.0</v>
      </c>
      <c r="F7985" s="3" t="s">
        <v>22859</v>
      </c>
      <c r="G7985" s="3">
        <v>0.0</v>
      </c>
      <c r="H7985" s="3">
        <v>0.0</v>
      </c>
      <c r="I7985" s="3" t="s">
        <v>13</v>
      </c>
      <c r="J7985" s="3" t="s">
        <v>22860</v>
      </c>
      <c r="K7985" s="3" t="s">
        <v>31</v>
      </c>
      <c r="L7985" s="3" t="str">
        <f>IFERROR(__xludf.DUMMYFUNCTION("GOOGLETRANSLATE(F7985,""id"",""en"")"),"What's just Argentina is the championship")</f>
        <v>What's just Argentina is the championship</v>
      </c>
    </row>
    <row r="7986" ht="15.75" customHeight="1">
      <c r="A7986" s="1">
        <v>9206.0</v>
      </c>
      <c r="B7986" s="3" t="s">
        <v>22861</v>
      </c>
      <c r="C7986" s="3">
        <v>0.0</v>
      </c>
      <c r="D7986" s="3">
        <v>0.0</v>
      </c>
      <c r="E7986" s="3">
        <v>0.0</v>
      </c>
      <c r="F7986" s="3" t="s">
        <v>22829</v>
      </c>
      <c r="G7986" s="3">
        <v>0.0</v>
      </c>
      <c r="H7986" s="3">
        <v>0.0</v>
      </c>
      <c r="I7986" s="3" t="s">
        <v>13</v>
      </c>
      <c r="J7986" s="3" t="s">
        <v>22830</v>
      </c>
      <c r="K7986" s="3" t="s">
        <v>50</v>
      </c>
      <c r="L7986" s="3" t="str">
        <f>IFERROR(__xludf.DUMMYFUNCTION("GOOGLETRANSLATE(F7986,""id"",""en"")"),"Argentine world champion goalkeeper Emi Martinez Why do I show gesture Google Sports News")</f>
        <v>Argentine world champion goalkeeper Emi Martinez Why do I show gesture Google Sports News</v>
      </c>
    </row>
    <row r="7987" ht="15.75" customHeight="1">
      <c r="A7987" s="1">
        <v>9207.0</v>
      </c>
      <c r="B7987" s="3" t="s">
        <v>22862</v>
      </c>
      <c r="C7987" s="3">
        <v>0.0</v>
      </c>
      <c r="D7987" s="3">
        <v>0.0</v>
      </c>
      <c r="E7987" s="3">
        <v>0.0</v>
      </c>
      <c r="F7987" s="3" t="s">
        <v>22863</v>
      </c>
      <c r="G7987" s="3">
        <v>0.0</v>
      </c>
      <c r="H7987" s="3">
        <v>0.0</v>
      </c>
      <c r="I7987" s="3" t="s">
        <v>13</v>
      </c>
      <c r="J7987" s="3" t="s">
        <v>22864</v>
      </c>
      <c r="K7987" s="3" t="s">
        <v>244</v>
      </c>
      <c r="L7987" s="3" t="str">
        <f>IFERROR(__xludf.DUMMYFUNCTION("GOOGLETRANSLATE(F7987,""id"",""en"")"),"Argentine shaman viral performs the ritual of protecting Messi to want the Argentine national team to win the Cup")</f>
        <v>Argentine shaman viral performs the ritual of protecting Messi to want the Argentine national team to win the Cup</v>
      </c>
    </row>
    <row r="7988" ht="15.75" customHeight="1">
      <c r="A7988" s="1">
        <v>9208.0</v>
      </c>
      <c r="B7988" s="3" t="s">
        <v>22865</v>
      </c>
      <c r="C7988" s="3">
        <v>0.0</v>
      </c>
      <c r="D7988" s="3">
        <v>0.0</v>
      </c>
      <c r="E7988" s="3">
        <v>0.0</v>
      </c>
      <c r="F7988" s="3" t="s">
        <v>22866</v>
      </c>
      <c r="G7988" s="3">
        <v>0.0</v>
      </c>
      <c r="H7988" s="3">
        <v>0.0</v>
      </c>
      <c r="I7988" s="3" t="s">
        <v>13</v>
      </c>
      <c r="J7988" s="3" t="s">
        <v>22867</v>
      </c>
      <c r="K7988" s="3" t="s">
        <v>75</v>
      </c>
      <c r="L7988" s="3" t="str">
        <f>IFERROR(__xludf.DUMMYFUNCTION("GOOGLETRANSLATE(F7988,""id"",""en"")"),"Viral Success Lionel Messi Bringing Argentina World Cup Champion Has Been Pram")</f>
        <v>Viral Success Lionel Messi Bringing Argentina World Cup Champion Has Been Pram</v>
      </c>
    </row>
    <row r="7989" ht="15.75" customHeight="1">
      <c r="A7989" s="1">
        <v>9209.0</v>
      </c>
      <c r="B7989" s="3" t="s">
        <v>22868</v>
      </c>
      <c r="C7989" s="3">
        <v>0.0</v>
      </c>
      <c r="D7989" s="3">
        <v>4.0</v>
      </c>
      <c r="E7989" s="3">
        <v>0.0</v>
      </c>
      <c r="F7989" s="3" t="s">
        <v>22869</v>
      </c>
      <c r="G7989" s="3">
        <v>0.0</v>
      </c>
      <c r="H7989" s="3">
        <v>0.0</v>
      </c>
      <c r="I7989" s="3" t="s">
        <v>13</v>
      </c>
      <c r="J7989" s="3" t="s">
        <v>22870</v>
      </c>
      <c r="K7989" s="3" t="s">
        <v>71</v>
      </c>
      <c r="L7989" s="3" t="str">
        <f>IFERROR(__xludf.DUMMYFUNCTION("GOOGLETRANSLATE(F7989,""id"",""en"")"),"Lionel Messi's sweet headline brought Argentina World Cup champion Kylian Mbappe Heir to the throne")</f>
        <v>Lionel Messi's sweet headline brought Argentina World Cup champion Kylian Mbappe Heir to the throne</v>
      </c>
    </row>
    <row r="7990" ht="15.75" customHeight="1">
      <c r="A7990" s="1">
        <v>9210.0</v>
      </c>
      <c r="B7990" s="3" t="s">
        <v>22871</v>
      </c>
      <c r="C7990" s="3">
        <v>0.0</v>
      </c>
      <c r="D7990" s="3">
        <v>0.0</v>
      </c>
      <c r="E7990" s="3">
        <v>0.0</v>
      </c>
      <c r="F7990" s="3" t="s">
        <v>22872</v>
      </c>
      <c r="G7990" s="3">
        <v>1.0</v>
      </c>
      <c r="H7990" s="3">
        <v>0.0</v>
      </c>
      <c r="I7990" s="3" t="s">
        <v>13</v>
      </c>
      <c r="J7990" s="3" t="s">
        <v>22873</v>
      </c>
      <c r="K7990" s="3" t="s">
        <v>2907</v>
      </c>
      <c r="L7990" s="3" t="str">
        <f>IFERROR(__xludf.DUMMYFUNCTION("GOOGLETRANSLATE(F7990,""id"",""en"")"),"Argentina's ball world champion but the world champion is after you who after watching the final can be the dawn of the mosque")</f>
        <v>Argentina's ball world champion but the world champion is after you who after watching the final can be the dawn of the mosque</v>
      </c>
    </row>
    <row r="7991" ht="15.75" customHeight="1">
      <c r="A7991" s="1">
        <v>9211.0</v>
      </c>
      <c r="B7991" s="3" t="s">
        <v>22874</v>
      </c>
      <c r="C7991" s="3">
        <v>0.0</v>
      </c>
      <c r="D7991" s="3">
        <v>0.0</v>
      </c>
      <c r="E7991" s="3">
        <v>0.0</v>
      </c>
      <c r="F7991" s="3" t="s">
        <v>22875</v>
      </c>
      <c r="G7991" s="3">
        <v>0.0</v>
      </c>
      <c r="H7991" s="3">
        <v>0.0</v>
      </c>
      <c r="I7991" s="3" t="s">
        <v>13</v>
      </c>
      <c r="J7991" s="3" t="s">
        <v>22876</v>
      </c>
      <c r="K7991" s="3" t="s">
        <v>1317</v>
      </c>
      <c r="L7991" s="3" t="str">
        <f>IFERROR(__xludf.DUMMYFUNCTION("GOOGLETRANSLATE(F7991,""id"",""en"")"),"I don't understand the ball, Argentina is the champion why Messi is highly highlighted because he is the captain of him, he doesn't understand Portuguese, why Ronaldo is also discussed or France with Mbape doesn't understand anymore")</f>
        <v>I don't understand the ball, Argentina is the champion why Messi is highly highlighted because he is the captain of him, he doesn't understand Portuguese, why Ronaldo is also discussed or France with Mbape doesn't understand anymore</v>
      </c>
    </row>
    <row r="7992" ht="15.75" customHeight="1">
      <c r="A7992" s="1">
        <v>9212.0</v>
      </c>
      <c r="B7992" s="3" t="s">
        <v>22877</v>
      </c>
      <c r="C7992" s="3">
        <v>0.0</v>
      </c>
      <c r="D7992" s="3">
        <v>0.0</v>
      </c>
      <c r="E7992" s="3">
        <v>0.0</v>
      </c>
      <c r="F7992" s="3" t="s">
        <v>22878</v>
      </c>
      <c r="G7992" s="3">
        <v>0.0</v>
      </c>
      <c r="H7992" s="3">
        <v>0.0</v>
      </c>
      <c r="I7992" s="3" t="s">
        <v>13</v>
      </c>
      <c r="J7992" s="3" t="s">
        <v>22879</v>
      </c>
      <c r="K7992" s="3" t="s">
        <v>71</v>
      </c>
      <c r="L7992" s="3" t="str">
        <f>IFERROR(__xludf.DUMMYFUNCTION("GOOGLETRANSLATE(F7992,""id"",""en"")"),"watching backpass backpass defenders using knee wkwkwk don't be blind deaf I also recognize Argentina champions")</f>
        <v>watching backpass backpass defenders using knee wkwkwk don't be blind deaf I also recognize Argentina champions</v>
      </c>
    </row>
    <row r="7993" ht="15.75" customHeight="1">
      <c r="A7993" s="1">
        <v>9213.0</v>
      </c>
      <c r="B7993" s="3" t="s">
        <v>22880</v>
      </c>
      <c r="C7993" s="3">
        <v>3.0</v>
      </c>
      <c r="D7993" s="3">
        <v>5.0</v>
      </c>
      <c r="E7993" s="3">
        <v>50.0</v>
      </c>
      <c r="F7993" s="3" t="s">
        <v>22853</v>
      </c>
      <c r="G7993" s="3">
        <v>0.0</v>
      </c>
      <c r="H7993" s="3">
        <v>0.0</v>
      </c>
      <c r="I7993" s="3" t="s">
        <v>13</v>
      </c>
      <c r="J7993" s="3" t="s">
        <v>22854</v>
      </c>
      <c r="K7993" s="3" t="s">
        <v>437</v>
      </c>
      <c r="L7993" s="3" t="str">
        <f>IFERROR(__xludf.DUMMYFUNCTION("GOOGLETRANSLATE(F7993,""id"",""en"")"),"Lionel Messi brought Argentina to the World Cup champion how lucky Argentina had great talent again after the Diego Maradona era")</f>
        <v>Lionel Messi brought Argentina to the World Cup champion how lucky Argentina had great talent again after the Diego Maradona era</v>
      </c>
    </row>
    <row r="7994" ht="15.75" customHeight="1">
      <c r="A7994" s="1">
        <v>9214.0</v>
      </c>
      <c r="B7994" s="3" t="s">
        <v>22881</v>
      </c>
      <c r="C7994" s="3">
        <v>0.0</v>
      </c>
      <c r="D7994" s="3">
        <v>0.0</v>
      </c>
      <c r="E7994" s="3">
        <v>0.0</v>
      </c>
      <c r="F7994" s="3" t="s">
        <v>22882</v>
      </c>
      <c r="G7994" s="3">
        <v>0.0</v>
      </c>
      <c r="H7994" s="3">
        <v>0.0</v>
      </c>
      <c r="I7994" s="3" t="s">
        <v>13</v>
      </c>
      <c r="J7994" s="3" t="s">
        <v>22883</v>
      </c>
      <c r="K7994" s="3" t="s">
        <v>699</v>
      </c>
      <c r="L7994" s="3" t="str">
        <f>IFERROR(__xludf.DUMMYFUNCTION("GOOGLETRANSLATE(F7994,""id"",""en"")"),"yups agreeing very sophisticated technology to make the impression of elegant magnificent luxury champion Qatar is not only Argentina who champions Qatar extraordinary")</f>
        <v>yups agreeing very sophisticated technology to make the impression of elegant magnificent luxury champion Qatar is not only Argentina who champions Qatar extraordinary</v>
      </c>
    </row>
    <row r="7995" ht="15.75" customHeight="1">
      <c r="A7995" s="1">
        <v>9215.0</v>
      </c>
      <c r="B7995" s="3" t="s">
        <v>22884</v>
      </c>
      <c r="C7995" s="3">
        <v>0.0</v>
      </c>
      <c r="D7995" s="3">
        <v>0.0</v>
      </c>
      <c r="E7995" s="3">
        <v>0.0</v>
      </c>
      <c r="F7995" s="3" t="s">
        <v>22885</v>
      </c>
      <c r="G7995" s="3">
        <v>0.0</v>
      </c>
      <c r="H7995" s="3">
        <v>0.0</v>
      </c>
      <c r="I7995" s="3" t="s">
        <v>13</v>
      </c>
      <c r="J7995" s="3" t="s">
        <v>22886</v>
      </c>
      <c r="K7995" s="3" t="s">
        <v>244</v>
      </c>
      <c r="L7995" s="3" t="str">
        <f>IFERROR(__xludf.DUMMYFUNCTION("GOOGLETRANSLATE(F7995,""id"",""en"")"),"Walter Samuel is already trebel as a champion player as an assistant coach of the Argentine coach")</f>
        <v>Walter Samuel is already trebel as a champion player as an assistant coach of the Argentine coach</v>
      </c>
    </row>
    <row r="7996" ht="15.75" customHeight="1">
      <c r="A7996" s="1">
        <v>9216.0</v>
      </c>
      <c r="B7996" s="3" t="s">
        <v>22887</v>
      </c>
      <c r="C7996" s="3">
        <v>1.0</v>
      </c>
      <c r="D7996" s="3">
        <v>0.0</v>
      </c>
      <c r="E7996" s="3">
        <v>1.0</v>
      </c>
      <c r="F7996" s="3" t="s">
        <v>22888</v>
      </c>
      <c r="G7996" s="3">
        <v>0.0</v>
      </c>
      <c r="H7996" s="3">
        <v>0.0</v>
      </c>
      <c r="I7996" s="3" t="s">
        <v>13</v>
      </c>
      <c r="J7996" s="3" t="s">
        <v>22889</v>
      </c>
      <c r="K7996" s="3" t="s">
        <v>236</v>
      </c>
      <c r="L7996" s="3" t="str">
        <f>IFERROR(__xludf.DUMMYFUNCTION("GOOGLETRANSLATE(F7996,""id"",""en"")"),"Alhamdulilah Argentina has been champions for years but since Jokowi's leadership could win")</f>
        <v>Alhamdulilah Argentina has been champions for years but since Jokowi's leadership could win</v>
      </c>
    </row>
    <row r="7997" ht="15.75" customHeight="1">
      <c r="A7997" s="1">
        <v>9217.0</v>
      </c>
      <c r="B7997" s="3" t="s">
        <v>22890</v>
      </c>
      <c r="C7997" s="3">
        <v>1.0</v>
      </c>
      <c r="D7997" s="3">
        <v>0.0</v>
      </c>
      <c r="E7997" s="3">
        <v>0.0</v>
      </c>
      <c r="F7997" s="3" t="s">
        <v>22891</v>
      </c>
      <c r="G7997" s="3">
        <v>0.0</v>
      </c>
      <c r="H7997" s="3">
        <v>0.0</v>
      </c>
      <c r="I7997" s="3" t="s">
        <v>13</v>
      </c>
      <c r="J7997" s="3" t="s">
        <v>22892</v>
      </c>
      <c r="K7997" s="3" t="s">
        <v>2117</v>
      </c>
      <c r="L7997" s="3" t="str">
        <f>IFERROR(__xludf.DUMMYFUNCTION("GOOGLETRANSLATE(F7997,""id"",""en"")"),"Punten Argentina Champion")</f>
        <v>Punten Argentina Champion</v>
      </c>
    </row>
    <row r="7998" ht="15.75" customHeight="1">
      <c r="A7998" s="1">
        <v>9218.0</v>
      </c>
      <c r="B7998" s="3" t="s">
        <v>22893</v>
      </c>
      <c r="C7998" s="3">
        <v>0.0</v>
      </c>
      <c r="D7998" s="3">
        <v>0.0</v>
      </c>
      <c r="E7998" s="3">
        <v>0.0</v>
      </c>
      <c r="F7998" s="3" t="s">
        <v>22894</v>
      </c>
      <c r="G7998" s="3">
        <v>0.0</v>
      </c>
      <c r="H7998" s="3">
        <v>0.0</v>
      </c>
      <c r="I7998" s="3" t="s">
        <v>13</v>
      </c>
      <c r="J7998" s="3" t="s">
        <v>22895</v>
      </c>
      <c r="K7998" s="3" t="s">
        <v>1469</v>
      </c>
      <c r="L7998" s="3" t="str">
        <f>IFERROR(__xludf.DUMMYFUNCTION("GOOGLETRANSLATE(F7998,""id"",""en"")"),"After the previous Pilduun which in my opinion the euphoria did not feel like the previous pildun finally this year could feel the pildun again with its extraordinary vibes let alone Argentina Champion")</f>
        <v>After the previous Pilduun which in my opinion the euphoria did not feel like the previous pildun finally this year could feel the pildun again with its extraordinary vibes let alone Argentina Champion</v>
      </c>
    </row>
    <row r="7999" ht="15.75" customHeight="1">
      <c r="A7999" s="1">
        <v>9219.0</v>
      </c>
      <c r="B7999" s="3" t="s">
        <v>22896</v>
      </c>
      <c r="C7999" s="3">
        <v>0.0</v>
      </c>
      <c r="D7999" s="3">
        <v>0.0</v>
      </c>
      <c r="E7999" s="3">
        <v>0.0</v>
      </c>
      <c r="F7999" s="3" t="s">
        <v>22897</v>
      </c>
      <c r="G7999" s="3">
        <v>1.0</v>
      </c>
      <c r="H7999" s="3">
        <v>-0.8</v>
      </c>
      <c r="I7999" s="3" t="s">
        <v>179</v>
      </c>
      <c r="J7999" s="3" t="s">
        <v>22898</v>
      </c>
      <c r="K7999" s="3" t="s">
        <v>358</v>
      </c>
      <c r="L7999" s="3" t="str">
        <f>IFERROR(__xludf.DUMMYFUNCTION("GOOGLETRANSLATE(F7999,""id"",""en"")"),"Argentina champion so the hero of Emi can be the spotlight of Mateo from earlier there is just a base discussed this mate")</f>
        <v>Argentina champion so the hero of Emi can be the spotlight of Mateo from earlier there is just a base discussed this mate</v>
      </c>
    </row>
    <row r="8000" ht="15.75" customHeight="1">
      <c r="A8000" s="1">
        <v>9220.0</v>
      </c>
      <c r="B8000" s="3" t="s">
        <v>22899</v>
      </c>
      <c r="C8000" s="3">
        <v>0.0</v>
      </c>
      <c r="D8000" s="3">
        <v>0.0</v>
      </c>
      <c r="E8000" s="3">
        <v>0.0</v>
      </c>
      <c r="F8000" s="3" t="s">
        <v>22900</v>
      </c>
      <c r="G8000" s="3">
        <v>0.0</v>
      </c>
      <c r="H8000" s="3">
        <v>0.0</v>
      </c>
      <c r="I8000" s="3" t="s">
        <v>13</v>
      </c>
      <c r="J8000" s="3" t="s">
        <v>22901</v>
      </c>
      <c r="K8000" s="3" t="s">
        <v>127</v>
      </c>
      <c r="L8000" s="3" t="str">
        <f>IFERROR(__xludf.DUMMYFUNCTION("GOOGLETRANSLATE(F8000,""id"",""en"")"),"The vote of the sound is ilang when clearing the rules and passwords of the room wifi using the sign language wkwk, the important thing is Argentina is the champion")</f>
        <v>The vote of the sound is ilang when clearing the rules and passwords of the room wifi using the sign language wkwk, the important thing is Argentina is the champion</v>
      </c>
    </row>
    <row r="8001" ht="15.75" customHeight="1">
      <c r="A8001" s="1">
        <v>9221.0</v>
      </c>
      <c r="B8001" s="3" t="s">
        <v>22902</v>
      </c>
      <c r="C8001" s="3">
        <v>0.0</v>
      </c>
      <c r="D8001" s="3">
        <v>0.0</v>
      </c>
      <c r="E8001" s="3">
        <v>0.0</v>
      </c>
      <c r="F8001" s="3" t="s">
        <v>22903</v>
      </c>
      <c r="G8001" s="3">
        <v>0.0</v>
      </c>
      <c r="H8001" s="3">
        <v>0.0</v>
      </c>
      <c r="I8001" s="3" t="s">
        <v>13</v>
      </c>
      <c r="J8001" s="3" t="s">
        <v>22904</v>
      </c>
      <c r="K8001" s="3" t="s">
        <v>3346</v>
      </c>
      <c r="L8001" s="3" t="str">
        <f>IFERROR(__xludf.DUMMYFUNCTION("GOOGLETRANSLATE(F8001,""id"",""en"")"),"Info Pluim Signs Like Messi Bring Argentina Champion Inshaaallah Pluim Bring PSM Champion")</f>
        <v>Info Pluim Signs Like Messi Bring Argentina Champion Inshaaallah Pluim Bring PSM Champion</v>
      </c>
    </row>
    <row r="8002" ht="15.75" customHeight="1">
      <c r="A8002" s="1">
        <v>9222.0</v>
      </c>
      <c r="B8002" s="3" t="s">
        <v>22905</v>
      </c>
      <c r="C8002" s="3">
        <v>0.0</v>
      </c>
      <c r="D8002" s="3">
        <v>0.0</v>
      </c>
      <c r="E8002" s="3">
        <v>0.0</v>
      </c>
      <c r="F8002" s="3" t="s">
        <v>22906</v>
      </c>
      <c r="G8002" s="3">
        <v>0.0</v>
      </c>
      <c r="H8002" s="3">
        <v>0.0</v>
      </c>
      <c r="I8002" s="3" t="s">
        <v>13</v>
      </c>
      <c r="J8002" s="3" t="s">
        <v>22907</v>
      </c>
      <c r="K8002" s="3" t="s">
        <v>41</v>
      </c>
      <c r="L8002" s="3" t="str">
        <f>IFERROR(__xludf.DUMMYFUNCTION("GOOGLETRANSLATE(F8002,""id"",""en"")"),"World Cup Neymar gave Messi after Argentina Champion")</f>
        <v>World Cup Neymar gave Messi after Argentina Champion</v>
      </c>
    </row>
    <row r="8003" ht="15.75" customHeight="1">
      <c r="A8003" s="1">
        <v>9223.0</v>
      </c>
      <c r="B8003" s="3" t="s">
        <v>22908</v>
      </c>
      <c r="C8003" s="3">
        <v>0.0</v>
      </c>
      <c r="D8003" s="3">
        <v>0.0</v>
      </c>
      <c r="E8003" s="3">
        <v>0.0</v>
      </c>
      <c r="F8003" s="3" t="s">
        <v>22909</v>
      </c>
      <c r="G8003" s="3">
        <v>1.0</v>
      </c>
      <c r="H8003" s="3">
        <v>0.0</v>
      </c>
      <c r="I8003" s="3" t="s">
        <v>13</v>
      </c>
      <c r="J8003" s="3" t="s">
        <v>22910</v>
      </c>
      <c r="K8003" s="3" t="s">
        <v>675</v>
      </c>
      <c r="L8003" s="3" t="str">
        <f>IFERROR(__xludf.DUMMYFUNCTION("GOOGLETRANSLATE(F8003,""id"",""en"")"),"If Argentina loses the final, the coach might regret is to replace in the head with Acuna even though it is better to replace it and then with Paredes or Lisandro Martinez to withstand the onslaught")</f>
        <v>If Argentina loses the final, the coach might regret is to replace in the head with Acuna even though it is better to replace it and then with Paredes or Lisandro Martinez to withstand the onslaught</v>
      </c>
    </row>
    <row r="8004" ht="15.75" customHeight="1">
      <c r="A8004" s="1">
        <v>9224.0</v>
      </c>
      <c r="B8004" s="3" t="s">
        <v>22911</v>
      </c>
      <c r="C8004" s="3">
        <v>0.0</v>
      </c>
      <c r="D8004" s="3">
        <v>0.0</v>
      </c>
      <c r="E8004" s="3">
        <v>0.0</v>
      </c>
      <c r="F8004" s="3" t="s">
        <v>22912</v>
      </c>
      <c r="G8004" s="3">
        <v>0.0</v>
      </c>
      <c r="H8004" s="3">
        <v>0.0</v>
      </c>
      <c r="I8004" s="3" t="s">
        <v>13</v>
      </c>
      <c r="J8004" s="3" t="s">
        <v>22913</v>
      </c>
      <c r="K8004" s="3" t="s">
        <v>82</v>
      </c>
      <c r="L8004" s="3" t="str">
        <f>IFERROR(__xludf.DUMMYFUNCTION("GOOGLETRANSLATE(F8004,""id"",""en"")"),"Really there is news of the Argentina community praying ARGEN JUARA")</f>
        <v>Really there is news of the Argentina community praying ARGEN JUARA</v>
      </c>
    </row>
    <row r="8005" ht="15.75" customHeight="1">
      <c r="A8005" s="1">
        <v>9225.0</v>
      </c>
      <c r="B8005" s="3" t="s">
        <v>22914</v>
      </c>
      <c r="C8005" s="3">
        <v>0.0</v>
      </c>
      <c r="D8005" s="3">
        <v>0.0</v>
      </c>
      <c r="E8005" s="3">
        <v>0.0</v>
      </c>
      <c r="F8005" s="3" t="s">
        <v>22915</v>
      </c>
      <c r="G8005" s="3">
        <v>0.0</v>
      </c>
      <c r="H8005" s="3">
        <v>0.0</v>
      </c>
      <c r="I8005" s="3" t="s">
        <v>13</v>
      </c>
      <c r="J8005" s="3" t="s">
        <v>22916</v>
      </c>
      <c r="K8005" s="3" t="s">
        <v>644</v>
      </c>
      <c r="L8005" s="3" t="str">
        <f>IFERROR(__xludf.DUMMYFUNCTION("GOOGLETRANSLATE(F8005,""id"",""en"")"),"Argentina Year World Champion Again")</f>
        <v>Argentina Year World Champion Again</v>
      </c>
    </row>
    <row r="8006" ht="15.75" customHeight="1">
      <c r="A8006" s="1">
        <v>9226.0</v>
      </c>
      <c r="B8006" s="3" t="s">
        <v>22917</v>
      </c>
      <c r="C8006" s="3">
        <v>0.0</v>
      </c>
      <c r="D8006" s="3">
        <v>0.0</v>
      </c>
      <c r="E8006" s="3">
        <v>0.0</v>
      </c>
      <c r="F8006" s="3" t="s">
        <v>22918</v>
      </c>
      <c r="G8006" s="3">
        <v>0.0</v>
      </c>
      <c r="H8006" s="3">
        <v>0.0</v>
      </c>
      <c r="I8006" s="3" t="s">
        <v>13</v>
      </c>
      <c r="J8006" s="3" t="s">
        <v>22919</v>
      </c>
      <c r="K8006" s="3" t="s">
        <v>644</v>
      </c>
      <c r="L8006" s="3" t="str">
        <f>IFERROR(__xludf.DUMMYFUNCTION("GOOGLETRANSLATE(F8006,""id"",""en"")"),"This is like this is Argentina Champion")</f>
        <v>This is like this is Argentina Champion</v>
      </c>
    </row>
    <row r="8007" ht="15.75" customHeight="1">
      <c r="A8007" s="1">
        <v>9227.0</v>
      </c>
      <c r="B8007" s="3" t="s">
        <v>22920</v>
      </c>
      <c r="C8007" s="3">
        <v>0.0</v>
      </c>
      <c r="D8007" s="3">
        <v>0.0</v>
      </c>
      <c r="E8007" s="3">
        <v>0.0</v>
      </c>
      <c r="F8007" s="3" t="s">
        <v>22921</v>
      </c>
      <c r="G8007" s="3">
        <v>0.0</v>
      </c>
      <c r="H8007" s="3">
        <v>0.0</v>
      </c>
      <c r="I8007" s="3" t="s">
        <v>13</v>
      </c>
      <c r="J8007" s="3" t="s">
        <v>22922</v>
      </c>
      <c r="K8007" s="3" t="s">
        <v>31</v>
      </c>
      <c r="L8007" s="3" t="str">
        <f>IFERROR(__xludf.DUMMYFUNCTION("GOOGLETRANSLATE(F8007,""id"",""en"")"),"is really the case of Argentina champions")</f>
        <v>is really the case of Argentina champions</v>
      </c>
    </row>
    <row r="8008" ht="15.75" customHeight="1">
      <c r="A8008" s="1">
        <v>9228.0</v>
      </c>
      <c r="B8008" s="3" t="s">
        <v>22923</v>
      </c>
      <c r="C8008" s="3">
        <v>0.0</v>
      </c>
      <c r="D8008" s="3">
        <v>0.0</v>
      </c>
      <c r="E8008" s="3">
        <v>0.0</v>
      </c>
      <c r="F8008" s="3" t="s">
        <v>21776</v>
      </c>
      <c r="G8008" s="3">
        <v>0.0</v>
      </c>
      <c r="H8008" s="3">
        <v>0.0</v>
      </c>
      <c r="I8008" s="3" t="s">
        <v>13</v>
      </c>
      <c r="J8008" s="3" t="s">
        <v>21777</v>
      </c>
      <c r="K8008" s="3" t="s">
        <v>127</v>
      </c>
      <c r="L8008" s="3" t="str">
        <f>IFERROR(__xludf.DUMMYFUNCTION("GOOGLETRANSLATE(F8008,""id"",""en"")"),"Kakanwil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009" ht="15.75" customHeight="1">
      <c r="A8009" s="1">
        <v>9229.0</v>
      </c>
      <c r="B8009" s="3" t="s">
        <v>22924</v>
      </c>
      <c r="C8009" s="3">
        <v>1.0</v>
      </c>
      <c r="D8009" s="3">
        <v>0.0</v>
      </c>
      <c r="E8009" s="3">
        <v>0.0</v>
      </c>
      <c r="F8009" s="3" t="s">
        <v>22925</v>
      </c>
      <c r="G8009" s="3">
        <v>0.0</v>
      </c>
      <c r="H8009" s="3">
        <v>0.0</v>
      </c>
      <c r="I8009" s="3" t="s">
        <v>13</v>
      </c>
      <c r="J8009" s="3" t="s">
        <v>22926</v>
      </c>
      <c r="K8009" s="3" t="s">
        <v>1265</v>
      </c>
      <c r="L8009" s="3" t="str">
        <f>IFERROR(__xludf.DUMMYFUNCTION("GOOGLETRANSLATE(F8009,""id"",""en"")"),"Saudi Arabia is actually a world champion because of Arabic Arabic Arabic Argentina")</f>
        <v>Saudi Arabia is actually a world champion because of Arabic Arabic Arabic Argentina</v>
      </c>
    </row>
    <row r="8010" ht="15.75" customHeight="1">
      <c r="A8010" s="1">
        <v>9230.0</v>
      </c>
      <c r="B8010" s="3" t="s">
        <v>22927</v>
      </c>
      <c r="C8010" s="3">
        <v>0.0</v>
      </c>
      <c r="D8010" s="3">
        <v>0.0</v>
      </c>
      <c r="E8010" s="3">
        <v>0.0</v>
      </c>
      <c r="F8010" s="3" t="s">
        <v>22928</v>
      </c>
      <c r="G8010" s="3">
        <v>0.0</v>
      </c>
      <c r="H8010" s="3">
        <v>0.0</v>
      </c>
      <c r="I8010" s="3" t="s">
        <v>13</v>
      </c>
      <c r="J8010" s="3" t="s">
        <v>22929</v>
      </c>
      <c r="K8010" s="3" t="s">
        <v>19</v>
      </c>
      <c r="L8010" s="3" t="str">
        <f>IFERROR(__xludf.DUMMYFUNCTION("GOOGLETRANSLATE(F8010,""id"",""en"")"),"Ronaldo Puji Lionel Messi After Argentina World Cup Champion Called Pulga Jenius")</f>
        <v>Ronaldo Puji Lionel Messi After Argentina World Cup Champion Called Pulga Jenius</v>
      </c>
    </row>
    <row r="8011" ht="15.75" customHeight="1">
      <c r="A8011" s="1">
        <v>9231.0</v>
      </c>
      <c r="B8011" s="3" t="s">
        <v>22930</v>
      </c>
      <c r="C8011" s="3">
        <v>0.0</v>
      </c>
      <c r="D8011" s="3">
        <v>0.0</v>
      </c>
      <c r="E8011" s="3">
        <v>0.0</v>
      </c>
      <c r="F8011" s="3" t="s">
        <v>22931</v>
      </c>
      <c r="G8011" s="3">
        <v>0.0</v>
      </c>
      <c r="H8011" s="3">
        <v>0.0</v>
      </c>
      <c r="I8011" s="3" t="s">
        <v>13</v>
      </c>
      <c r="J8011" s="3" t="s">
        <v>22932</v>
      </c>
      <c r="K8011" s="3" t="s">
        <v>71</v>
      </c>
      <c r="L8011" s="3" t="str">
        <f>IFERROR(__xludf.DUMMYFUNCTION("GOOGLETRANSLATE(F8011,""id"",""en"")"),"The atmosphere of Argentina's dressing room after champion Messi party on Aguero's desk despicable French players")</f>
        <v>The atmosphere of Argentina's dressing room after champion Messi party on Aguero's desk despicable French players</v>
      </c>
    </row>
    <row r="8012" ht="15.75" customHeight="1">
      <c r="A8012" s="1">
        <v>9232.0</v>
      </c>
      <c r="B8012" s="3" t="s">
        <v>22933</v>
      </c>
      <c r="C8012" s="3">
        <v>0.0</v>
      </c>
      <c r="D8012" s="3">
        <v>2.0</v>
      </c>
      <c r="E8012" s="3">
        <v>6.0</v>
      </c>
      <c r="F8012" s="3" t="s">
        <v>22934</v>
      </c>
      <c r="G8012" s="3">
        <v>0.0</v>
      </c>
      <c r="H8012" s="3">
        <v>0.0</v>
      </c>
      <c r="I8012" s="3" t="s">
        <v>13</v>
      </c>
      <c r="J8012" s="3" t="s">
        <v>22935</v>
      </c>
      <c r="K8012" s="3" t="s">
        <v>75</v>
      </c>
      <c r="L8012" s="3" t="str">
        <f>IFERROR(__xludf.DUMMYFUNCTION("GOOGLETRANSLATE(F8012,""id"",""en"")"),"Argentina ranked FIFA despite the Moroccan Australian World Cup champions.")</f>
        <v>Argentina ranked FIFA despite the Moroccan Australian World Cup champions.</v>
      </c>
    </row>
    <row r="8013" ht="15.75" customHeight="1">
      <c r="A8013" s="1">
        <v>9233.0</v>
      </c>
      <c r="B8013" s="3" t="s">
        <v>22936</v>
      </c>
      <c r="C8013" s="3">
        <v>0.0</v>
      </c>
      <c r="D8013" s="3">
        <v>0.0</v>
      </c>
      <c r="E8013" s="3">
        <v>4.0</v>
      </c>
      <c r="F8013" s="3" t="s">
        <v>22869</v>
      </c>
      <c r="G8013" s="3">
        <v>0.0</v>
      </c>
      <c r="H8013" s="3">
        <v>0.0</v>
      </c>
      <c r="I8013" s="3" t="s">
        <v>13</v>
      </c>
      <c r="J8013" s="3" t="s">
        <v>22870</v>
      </c>
      <c r="K8013" s="3" t="s">
        <v>71</v>
      </c>
      <c r="L8013" s="3" t="str">
        <f>IFERROR(__xludf.DUMMYFUNCTION("GOOGLETRANSLATE(F8013,""id"",""en"")"),"Lionel Messi's sweet headline brought Argentina World Cup champion Kylian Mbappe Heir to the throne")</f>
        <v>Lionel Messi's sweet headline brought Argentina World Cup champion Kylian Mbappe Heir to the throne</v>
      </c>
    </row>
    <row r="8014" ht="15.75" customHeight="1">
      <c r="A8014" s="1">
        <v>9234.0</v>
      </c>
      <c r="B8014" s="3" t="s">
        <v>22937</v>
      </c>
      <c r="C8014" s="3">
        <v>2.0</v>
      </c>
      <c r="D8014" s="3">
        <v>0.0</v>
      </c>
      <c r="E8014" s="3">
        <v>1.0</v>
      </c>
      <c r="F8014" s="3" t="s">
        <v>22938</v>
      </c>
      <c r="G8014" s="3">
        <v>0.0</v>
      </c>
      <c r="H8014" s="3">
        <v>0.0</v>
      </c>
      <c r="I8014" s="3" t="s">
        <v>13</v>
      </c>
      <c r="J8014" s="3" t="s">
        <v>22939</v>
      </c>
      <c r="K8014" s="3" t="s">
        <v>426</v>
      </c>
      <c r="L8014" s="3" t="str">
        <f>IFERROR(__xludf.DUMMYFUNCTION("GOOGLETRANSLATE(F8014,""id"",""en"")"),"Nilson is very strange that players like Romero Paul Licha Mac Alister are called players with big names when talking about Lautaro, big players are still okay, he can also do what the Argentine squad is right")</f>
        <v>Nilson is very strange that players like Romero Paul Licha Mac Alister are called players with big names when talking about Lautaro, big players are still okay, he can also do what the Argentine squad is right</v>
      </c>
    </row>
    <row r="8015" ht="15.75" customHeight="1">
      <c r="A8015" s="1">
        <v>9235.0</v>
      </c>
      <c r="B8015" s="3" t="s">
        <v>22940</v>
      </c>
      <c r="C8015" s="3">
        <v>0.0</v>
      </c>
      <c r="D8015" s="3">
        <v>0.0</v>
      </c>
      <c r="E8015" s="3">
        <v>0.0</v>
      </c>
      <c r="F8015" s="3" t="s">
        <v>22941</v>
      </c>
      <c r="G8015" s="3">
        <v>0.0</v>
      </c>
      <c r="H8015" s="3">
        <v>0.0</v>
      </c>
      <c r="I8015" s="3" t="s">
        <v>13</v>
      </c>
      <c r="J8015" s="3" t="s">
        <v>22942</v>
      </c>
      <c r="K8015" s="3" t="s">
        <v>15</v>
      </c>
      <c r="L8015" s="3" t="str">
        <f>IFERROR(__xludf.DUMMYFUNCTION("GOOGLETRANSLATE(F8015,""id"",""en"")"),"Already almost the Argentine hours PSSI champions have not yet given a response")</f>
        <v>Already almost the Argentine hours PSSI champions have not yet given a response</v>
      </c>
    </row>
    <row r="8016" ht="15.75" customHeight="1">
      <c r="A8016" s="1">
        <v>9236.0</v>
      </c>
      <c r="B8016" s="3" t="s">
        <v>22943</v>
      </c>
      <c r="C8016" s="3">
        <v>0.0</v>
      </c>
      <c r="D8016" s="3">
        <v>0.0</v>
      </c>
      <c r="E8016" s="3">
        <v>0.0</v>
      </c>
      <c r="F8016" s="3" t="s">
        <v>22944</v>
      </c>
      <c r="G8016" s="3">
        <v>0.0</v>
      </c>
      <c r="H8016" s="3">
        <v>0.0</v>
      </c>
      <c r="I8016" s="3" t="s">
        <v>13</v>
      </c>
      <c r="J8016" s="3" t="s">
        <v>22945</v>
      </c>
      <c r="K8016" s="3" t="s">
        <v>75</v>
      </c>
      <c r="L8016" s="3" t="str">
        <f>IFERROR(__xludf.DUMMYFUNCTION("GOOGLETRANSLATE(F8016,""id"",""en"")"),"Argentina Champion World Cup After Defeating France Through Penalties")</f>
        <v>Argentina Champion World Cup After Defeating France Through Penalties</v>
      </c>
    </row>
    <row r="8017" ht="15.75" customHeight="1">
      <c r="A8017" s="1">
        <v>9237.0</v>
      </c>
      <c r="B8017" s="3" t="s">
        <v>22946</v>
      </c>
      <c r="C8017" s="3">
        <v>0.0</v>
      </c>
      <c r="D8017" s="3">
        <v>0.0</v>
      </c>
      <c r="E8017" s="3">
        <v>0.0</v>
      </c>
      <c r="F8017" s="3" t="s">
        <v>22947</v>
      </c>
      <c r="G8017" s="3">
        <v>0.0</v>
      </c>
      <c r="H8017" s="3">
        <v>0.0</v>
      </c>
      <c r="I8017" s="3" t="s">
        <v>13</v>
      </c>
      <c r="J8017" s="3" t="s">
        <v>22948</v>
      </c>
      <c r="K8017" s="3" t="s">
        <v>15</v>
      </c>
      <c r="L8017" s="3" t="str">
        <f>IFERROR(__xludf.DUMMYFUNCTION("GOOGLETRANSLATE(F8017,""id"",""en"")"),"Because of the president's jkw, Argentina is an extraordinary champion Jokowi mantab")</f>
        <v>Because of the president's jkw, Argentina is an extraordinary champion Jokowi mantab</v>
      </c>
    </row>
    <row r="8018" ht="15.75" customHeight="1">
      <c r="A8018" s="1">
        <v>9238.0</v>
      </c>
      <c r="B8018" s="3" t="s">
        <v>22949</v>
      </c>
      <c r="C8018" s="3">
        <v>0.0</v>
      </c>
      <c r="D8018" s="3">
        <v>0.0</v>
      </c>
      <c r="E8018" s="3">
        <v>0.0</v>
      </c>
      <c r="F8018" s="3" t="s">
        <v>22950</v>
      </c>
      <c r="G8018" s="3">
        <v>0.0</v>
      </c>
      <c r="H8018" s="3">
        <v>0.0</v>
      </c>
      <c r="I8018" s="3" t="s">
        <v>13</v>
      </c>
      <c r="J8018" s="3" t="s">
        <v>22951</v>
      </c>
      <c r="K8018" s="3" t="s">
        <v>236</v>
      </c>
      <c r="L8018" s="3" t="str">
        <f>IFERROR(__xludf.DUMMYFUNCTION("GOOGLETRANSLATE(F8018,""id"",""en"")"),"This is the High Priest of Argentina, the benefit of Argentina's momentum for political sales")</f>
        <v>This is the High Priest of Argentina, the benefit of Argentina's momentum for political sales</v>
      </c>
    </row>
    <row r="8019" ht="15.75" customHeight="1">
      <c r="A8019" s="1">
        <v>9239.0</v>
      </c>
      <c r="B8019" s="3" t="s">
        <v>22952</v>
      </c>
      <c r="C8019" s="3">
        <v>1.0</v>
      </c>
      <c r="D8019" s="3">
        <v>0.0</v>
      </c>
      <c r="E8019" s="3">
        <v>0.0</v>
      </c>
      <c r="F8019" s="3" t="s">
        <v>22953</v>
      </c>
      <c r="G8019" s="3">
        <v>0.0</v>
      </c>
      <c r="H8019" s="3">
        <v>0.0</v>
      </c>
      <c r="I8019" s="3" t="s">
        <v>13</v>
      </c>
      <c r="J8019" s="3" t="s">
        <v>22954</v>
      </c>
      <c r="K8019" s="3" t="s">
        <v>426</v>
      </c>
      <c r="L8019" s="3" t="str">
        <f>IFERROR(__xludf.DUMMYFUNCTION("GOOGLETRANSLATE(F8019,""id"",""en"")"),"obtained which is proof that Messi has stepped more in front of the rival Cristiano Ronaldo before when the World Cup began with my friends when talking about this really hoped that Argentina would become champions because of this")</f>
        <v>obtained which is proof that Messi has stepped more in front of the rival Cristiano Ronaldo before when the World Cup began with my friends when talking about this really hoped that Argentina would become champions because of this</v>
      </c>
    </row>
    <row r="8020" ht="15.75" customHeight="1">
      <c r="A8020" s="1">
        <v>9240.0</v>
      </c>
      <c r="B8020" s="3" t="s">
        <v>22955</v>
      </c>
      <c r="C8020" s="3">
        <v>0.0</v>
      </c>
      <c r="D8020" s="3">
        <v>0.0</v>
      </c>
      <c r="E8020" s="3">
        <v>0.0</v>
      </c>
      <c r="F8020" s="3" t="s">
        <v>22956</v>
      </c>
      <c r="G8020" s="3">
        <v>1.0</v>
      </c>
      <c r="H8020" s="3">
        <v>0.0</v>
      </c>
      <c r="I8020" s="3" t="s">
        <v>13</v>
      </c>
      <c r="J8020" s="3" t="s">
        <v>22957</v>
      </c>
      <c r="K8020" s="3" t="s">
        <v>1300</v>
      </c>
      <c r="L8020" s="3" t="str">
        <f>IFERROR(__xludf.DUMMYFUNCTION("GOOGLETRANSLATE(F8020,""id"",""en"")"),"Until the semi -finals are still some plot twish world cup this yr until the final gokilll for the world cup champion is Argentina in accordance with the song World Cup this year Dreamers by Mas Jungkook you are a dreamer and you already")</f>
        <v>Until the semi -finals are still some plot twish world cup this yr until the final gokilll for the world cup champion is Argentina in accordance with the song World Cup this year Dreamers by Mas Jungkook you are a dreamer and you already</v>
      </c>
    </row>
    <row r="8021" ht="15.75" customHeight="1">
      <c r="A8021" s="1">
        <v>9241.0</v>
      </c>
      <c r="B8021" s="3" t="s">
        <v>22958</v>
      </c>
      <c r="C8021" s="3">
        <v>0.0</v>
      </c>
      <c r="D8021" s="3">
        <v>1.0</v>
      </c>
      <c r="E8021" s="3">
        <v>9.0</v>
      </c>
      <c r="F8021" s="3" t="s">
        <v>22959</v>
      </c>
      <c r="G8021" s="3">
        <v>0.0</v>
      </c>
      <c r="H8021" s="3">
        <v>0.0</v>
      </c>
      <c r="I8021" s="3" t="s">
        <v>13</v>
      </c>
      <c r="J8021" s="3" t="s">
        <v>22960</v>
      </c>
      <c r="K8021" s="3" t="s">
        <v>82</v>
      </c>
      <c r="L8021" s="3" t="str">
        <f>IFERROR(__xludf.DUMMYFUNCTION("GOOGLETRANSLATE(F8021,""id"",""en"")"),"Argentina Champion Qatar American Latin Asian")</f>
        <v>Argentina Champion Qatar American Latin Asian</v>
      </c>
    </row>
    <row r="8022" ht="15.75" customHeight="1">
      <c r="A8022" s="1">
        <v>9242.0</v>
      </c>
      <c r="B8022" s="3" t="s">
        <v>22961</v>
      </c>
      <c r="C8022" s="3">
        <v>0.0</v>
      </c>
      <c r="D8022" s="3">
        <v>0.0</v>
      </c>
      <c r="E8022" s="3">
        <v>0.0</v>
      </c>
      <c r="F8022" s="3" t="s">
        <v>22962</v>
      </c>
      <c r="G8022" s="3">
        <v>0.0</v>
      </c>
      <c r="H8022" s="3">
        <v>0.0</v>
      </c>
      <c r="I8022" s="3" t="s">
        <v>13</v>
      </c>
      <c r="J8022" s="3" t="s">
        <v>22963</v>
      </c>
      <c r="K8022" s="3" t="s">
        <v>54</v>
      </c>
      <c r="L8022" s="3" t="str">
        <f>IFERROR(__xludf.DUMMYFUNCTION("GOOGLETRANSLATE(F8022,""id"",""en"")"),"Only Diera Jokowi Argentina can win the World Cup again")</f>
        <v>Only Diera Jokowi Argentina can win the World Cup again</v>
      </c>
    </row>
    <row r="8023" ht="15.75" customHeight="1">
      <c r="A8023" s="1">
        <v>9243.0</v>
      </c>
      <c r="B8023" s="3" t="s">
        <v>22964</v>
      </c>
      <c r="C8023" s="3">
        <v>0.0</v>
      </c>
      <c r="D8023" s="3">
        <v>0.0</v>
      </c>
      <c r="E8023" s="3">
        <v>0.0</v>
      </c>
      <c r="F8023" s="3" t="s">
        <v>16103</v>
      </c>
      <c r="G8023" s="3">
        <v>0.0</v>
      </c>
      <c r="H8023" s="3">
        <v>0.0</v>
      </c>
      <c r="I8023" s="3" t="s">
        <v>13</v>
      </c>
      <c r="J8023" s="3" t="s">
        <v>16104</v>
      </c>
      <c r="K8023" s="3" t="s">
        <v>14571</v>
      </c>
      <c r="L8023" s="3" t="str">
        <f>IFERROR(__xludf.DUMMYFUNCTION("GOOGLETRANSLATE(F8023,""id"",""en"")"),"Argentina Champion")</f>
        <v>Argentina Champion</v>
      </c>
    </row>
    <row r="8024" ht="15.75" customHeight="1">
      <c r="A8024" s="1">
        <v>9244.0</v>
      </c>
      <c r="B8024" s="3" t="s">
        <v>22965</v>
      </c>
      <c r="C8024" s="3">
        <v>0.0</v>
      </c>
      <c r="D8024" s="3">
        <v>0.0</v>
      </c>
      <c r="E8024" s="3">
        <v>0.0</v>
      </c>
      <c r="F8024" s="3" t="s">
        <v>22966</v>
      </c>
      <c r="G8024" s="3">
        <v>0.0</v>
      </c>
      <c r="H8024" s="3">
        <v>0.0</v>
      </c>
      <c r="I8024" s="3" t="s">
        <v>13</v>
      </c>
      <c r="J8024" s="3" t="s">
        <v>22967</v>
      </c>
      <c r="K8024" s="3" t="s">
        <v>41</v>
      </c>
      <c r="L8024" s="3" t="str">
        <f>IFERROR(__xludf.DUMMYFUNCTION("GOOGLETRANSLATE(F8024,""id"",""en"")"),"Congratulations to Argentina to become the championship of the Grand Cup grand event")</f>
        <v>Congratulations to Argentina to become the championship of the Grand Cup grand event</v>
      </c>
    </row>
    <row r="8025" ht="15.75" customHeight="1">
      <c r="A8025" s="1">
        <v>9245.0</v>
      </c>
      <c r="B8025" s="3" t="s">
        <v>22968</v>
      </c>
      <c r="C8025" s="3">
        <v>0.0</v>
      </c>
      <c r="D8025" s="3">
        <v>0.0</v>
      </c>
      <c r="E8025" s="3">
        <v>0.0</v>
      </c>
      <c r="F8025" s="3" t="s">
        <v>22969</v>
      </c>
      <c r="G8025" s="3">
        <v>0.0</v>
      </c>
      <c r="H8025" s="3">
        <v>0.0</v>
      </c>
      <c r="I8025" s="3" t="s">
        <v>13</v>
      </c>
      <c r="J8025" s="3" t="s">
        <v>22970</v>
      </c>
      <c r="K8025" s="3" t="s">
        <v>58</v>
      </c>
      <c r="L8025" s="3" t="str">
        <f>IFERROR(__xludf.DUMMYFUNCTION("GOOGLETRANSLATE(F8025,""id"",""en"")"),"Argentina has been proven to be the World Cup champion again, how are they, the great people champion France to become this champion")</f>
        <v>Argentina has been proven to be the World Cup champion again, how are they, the great people champion France to become this champion</v>
      </c>
    </row>
    <row r="8026" ht="15.75" customHeight="1">
      <c r="A8026" s="1">
        <v>9246.0</v>
      </c>
      <c r="B8026" s="3" t="s">
        <v>22971</v>
      </c>
      <c r="C8026" s="3">
        <v>0.0</v>
      </c>
      <c r="D8026" s="3">
        <v>0.0</v>
      </c>
      <c r="E8026" s="3">
        <v>0.0</v>
      </c>
      <c r="F8026" s="3" t="s">
        <v>22972</v>
      </c>
      <c r="G8026" s="3">
        <v>0.1</v>
      </c>
      <c r="H8026" s="3">
        <v>0.0</v>
      </c>
      <c r="I8026" s="3" t="s">
        <v>13</v>
      </c>
      <c r="J8026" s="3" t="s">
        <v>22973</v>
      </c>
      <c r="K8026" s="3" t="s">
        <v>903</v>
      </c>
      <c r="L8026" s="3" t="str">
        <f>IFERROR(__xludf.DUMMYFUNCTION("GOOGLETRANSLATE(F8026,""id"",""en"")"),"If FIFA wants to make Messi won what is the chance of French near Extra time, the opportunity for Goal Gede is the setting of the name of the destiny of emank uda dicagin Argentina champions")</f>
        <v>If FIFA wants to make Messi won what is the chance of French near Extra time, the opportunity for Goal Gede is the setting of the name of the destiny of emank uda dicagin Argentina champions</v>
      </c>
    </row>
    <row r="8027" ht="15.75" customHeight="1">
      <c r="A8027" s="1">
        <v>9247.0</v>
      </c>
      <c r="B8027" s="3" t="s">
        <v>22974</v>
      </c>
      <c r="C8027" s="3">
        <v>0.0</v>
      </c>
      <c r="D8027" s="3">
        <v>4.0</v>
      </c>
      <c r="E8027" s="3">
        <v>0.0</v>
      </c>
      <c r="F8027" s="3" t="s">
        <v>22975</v>
      </c>
      <c r="G8027" s="3">
        <v>0.0</v>
      </c>
      <c r="H8027" s="3">
        <v>0.0</v>
      </c>
      <c r="I8027" s="3" t="s">
        <v>13</v>
      </c>
      <c r="J8027" s="3" t="s">
        <v>22976</v>
      </c>
      <c r="K8027" s="3" t="s">
        <v>657</v>
      </c>
      <c r="L8027" s="3" t="str">
        <f>IFERROR(__xludf.DUMMYFUNCTION("GOOGLETRANSLATE(F8027,""id"",""en"")"),"Lionel Messi Wearing a Robe Giving Emir Qatar Celebrating World Cup Champion Former Argentina Bek")</f>
        <v>Lionel Messi Wearing a Robe Giving Emir Qatar Celebrating World Cup Champion Former Argentina Bek</v>
      </c>
    </row>
    <row r="8028" ht="15.75" customHeight="1">
      <c r="A8028" s="1">
        <v>9248.0</v>
      </c>
      <c r="B8028" s="3" t="s">
        <v>22977</v>
      </c>
      <c r="C8028" s="3">
        <v>0.0</v>
      </c>
      <c r="D8028" s="3">
        <v>0.0</v>
      </c>
      <c r="E8028" s="3">
        <v>0.0</v>
      </c>
      <c r="F8028" s="3" t="s">
        <v>22978</v>
      </c>
      <c r="G8028" s="3">
        <v>0.0</v>
      </c>
      <c r="H8028" s="3">
        <v>0.0</v>
      </c>
      <c r="I8028" s="3" t="s">
        <v>13</v>
      </c>
      <c r="J8028" s="3" t="s">
        <v>22979</v>
      </c>
      <c r="K8028" s="3" t="s">
        <v>31</v>
      </c>
      <c r="L8028" s="3" t="str">
        <f>IFERROR(__xludf.DUMMYFUNCTION("GOOGLETRANSLATE(F8028,""id"",""en"")"),"Argentina Champion But Pangi Taken School")</f>
        <v>Argentina Champion But Pangi Taken School</v>
      </c>
    </row>
    <row r="8029" ht="15.75" customHeight="1">
      <c r="A8029" s="1">
        <v>9249.0</v>
      </c>
      <c r="B8029" s="3" t="s">
        <v>22980</v>
      </c>
      <c r="C8029" s="3">
        <v>0.0</v>
      </c>
      <c r="D8029" s="3">
        <v>0.0</v>
      </c>
      <c r="E8029" s="3">
        <v>2.0</v>
      </c>
      <c r="F8029" s="3" t="s">
        <v>22633</v>
      </c>
      <c r="G8029" s="3">
        <v>0.0</v>
      </c>
      <c r="H8029" s="3">
        <v>0.0</v>
      </c>
      <c r="I8029" s="3" t="s">
        <v>13</v>
      </c>
      <c r="J8029" s="3" t="s">
        <v>22634</v>
      </c>
      <c r="K8029" s="3" t="s">
        <v>16803</v>
      </c>
      <c r="L8029" s="3" t="str">
        <f>IFERROR(__xludf.DUMMYFUNCTION("GOOGLETRANSLATE(F8029,""id"",""en"")"),"Lionel Scaloni with Lionel Messi brought Argentina World Cup Champion Scaloni revealed Messi's talk that made him stare at the World Cup")</f>
        <v>Lionel Scaloni with Lionel Messi brought Argentina World Cup Champion Scaloni revealed Messi's talk that made him stare at the World Cup</v>
      </c>
    </row>
    <row r="8030" ht="15.75" customHeight="1">
      <c r="A8030" s="1">
        <v>9250.0</v>
      </c>
      <c r="B8030" s="3" t="s">
        <v>22981</v>
      </c>
      <c r="C8030" s="3">
        <v>0.0</v>
      </c>
      <c r="D8030" s="3">
        <v>0.0</v>
      </c>
      <c r="E8030" s="3">
        <v>0.0</v>
      </c>
      <c r="F8030" s="3" t="s">
        <v>22982</v>
      </c>
      <c r="G8030" s="3">
        <v>0.2</v>
      </c>
      <c r="H8030" s="3">
        <v>0.125</v>
      </c>
      <c r="I8030" s="3" t="s">
        <v>48</v>
      </c>
      <c r="J8030" s="3" t="s">
        <v>22983</v>
      </c>
      <c r="K8030" s="3" t="s">
        <v>58</v>
      </c>
      <c r="L8030" s="3" t="str">
        <f>IFERROR(__xludf.DUMMYFUNCTION("GOOGLETRANSLATE(F8030,""id"",""en"")"),"alahhh relax, the new first day of Argentina at the beginning of PON was lost last championship")</f>
        <v>alahhh relax, the new first day of Argentina at the beginning of PON was lost last championship</v>
      </c>
    </row>
    <row r="8031" ht="15.75" customHeight="1">
      <c r="A8031" s="1">
        <v>9251.0</v>
      </c>
      <c r="B8031" s="3" t="s">
        <v>22984</v>
      </c>
      <c r="C8031" s="3">
        <v>0.0</v>
      </c>
      <c r="D8031" s="3">
        <v>0.0</v>
      </c>
      <c r="E8031" s="3">
        <v>0.0</v>
      </c>
      <c r="F8031" s="3" t="s">
        <v>22985</v>
      </c>
      <c r="G8031" s="3">
        <v>0.0</v>
      </c>
      <c r="H8031" s="3">
        <v>0.0</v>
      </c>
      <c r="I8031" s="3" t="s">
        <v>13</v>
      </c>
      <c r="J8031" s="3" t="s">
        <v>22986</v>
      </c>
      <c r="K8031" s="3" t="s">
        <v>1293</v>
      </c>
      <c r="L8031" s="3" t="str">
        <f>IFERROR(__xludf.DUMMYFUNCTION("GOOGLETRANSLATE(F8031,""id"",""en"")"),"Singaparna Ngala Jukut Ari Arit Stunning Garut Argentina Tos World Champion Iraha Abi Champion Mama -in -law Candidates")</f>
        <v>Singaparna Ngala Jukut Ari Arit Stunning Garut Argentina Tos World Champion Iraha Abi Champion Mama -in -law Candidates</v>
      </c>
    </row>
    <row r="8032" ht="15.75" customHeight="1">
      <c r="A8032" s="1">
        <v>9252.0</v>
      </c>
      <c r="B8032" s="3" t="s">
        <v>22987</v>
      </c>
      <c r="C8032" s="3">
        <v>0.0</v>
      </c>
      <c r="D8032" s="3">
        <v>0.0</v>
      </c>
      <c r="E8032" s="3">
        <v>0.0</v>
      </c>
      <c r="F8032" s="3" t="s">
        <v>22988</v>
      </c>
      <c r="G8032" s="3">
        <v>0.0</v>
      </c>
      <c r="H8032" s="3">
        <v>0.0</v>
      </c>
      <c r="I8032" s="3" t="s">
        <v>13</v>
      </c>
      <c r="J8032" s="3" t="s">
        <v>22989</v>
      </c>
      <c r="K8032" s="3" t="s">
        <v>82</v>
      </c>
      <c r="L8032" s="3" t="str">
        <f>IFERROR(__xludf.DUMMYFUNCTION("GOOGLETRANSLATE(F8032,""id"",""en"")"),"Memories of Argentina Messi Champion World Cup")</f>
        <v>Memories of Argentina Messi Champion World Cup</v>
      </c>
    </row>
    <row r="8033" ht="15.75" customHeight="1">
      <c r="A8033" s="1">
        <v>9253.0</v>
      </c>
      <c r="B8033" s="3" t="s">
        <v>22990</v>
      </c>
      <c r="C8033" s="3">
        <v>0.0</v>
      </c>
      <c r="D8033" s="3">
        <v>0.0</v>
      </c>
      <c r="E8033" s="3">
        <v>0.0</v>
      </c>
      <c r="F8033" s="3" t="s">
        <v>22991</v>
      </c>
      <c r="G8033" s="3">
        <v>0.0</v>
      </c>
      <c r="H8033" s="3">
        <v>0.0</v>
      </c>
      <c r="I8033" s="3" t="s">
        <v>13</v>
      </c>
      <c r="J8033" s="3" t="s">
        <v>22992</v>
      </c>
      <c r="K8033" s="3" t="s">
        <v>240</v>
      </c>
      <c r="L8033" s="3" t="str">
        <f>IFERROR(__xludf.DUMMYFUNCTION("GOOGLETRANSLATE(F8033,""id"",""en"")"),"means it is not French fortune to win and admit Argentina the champion if you want to imagine please just feel bad")</f>
        <v>means it is not French fortune to win and admit Argentina the champion if you want to imagine please just feel bad</v>
      </c>
    </row>
    <row r="8034" ht="15.75" customHeight="1">
      <c r="A8034" s="1">
        <v>9254.0</v>
      </c>
      <c r="B8034" s="3" t="s">
        <v>22993</v>
      </c>
      <c r="C8034" s="3">
        <v>0.0</v>
      </c>
      <c r="D8034" s="3">
        <v>0.0</v>
      </c>
      <c r="E8034" s="3">
        <v>0.0</v>
      </c>
      <c r="F8034" s="3" t="s">
        <v>22994</v>
      </c>
      <c r="G8034" s="3">
        <v>0.0</v>
      </c>
      <c r="H8034" s="3">
        <v>0.0</v>
      </c>
      <c r="I8034" s="3" t="s">
        <v>13</v>
      </c>
      <c r="J8034" s="3" t="s">
        <v>22995</v>
      </c>
      <c r="K8034" s="3" t="s">
        <v>58</v>
      </c>
      <c r="L8034" s="3" t="str">
        <f>IFERROR(__xludf.DUMMYFUNCTION("GOOGLETRANSLATE(F8034,""id"",""en"")"),"Wes means we are the same as lack of coffee, the important thing is that Argentina is the World Cup champion hahah")</f>
        <v>Wes means we are the same as lack of coffee, the important thing is that Argentina is the World Cup champion hahah</v>
      </c>
    </row>
    <row r="8035" ht="15.75" customHeight="1">
      <c r="A8035" s="1">
        <v>9255.0</v>
      </c>
      <c r="B8035" s="3" t="s">
        <v>22996</v>
      </c>
      <c r="C8035" s="3">
        <v>0.0</v>
      </c>
      <c r="D8035" s="3">
        <v>0.0</v>
      </c>
      <c r="E8035" s="3">
        <v>0.0</v>
      </c>
      <c r="F8035" s="3" t="s">
        <v>22997</v>
      </c>
      <c r="G8035" s="3">
        <v>0.0</v>
      </c>
      <c r="H8035" s="3">
        <v>0.0</v>
      </c>
      <c r="I8035" s="3" t="s">
        <v>13</v>
      </c>
      <c r="J8035" s="3" t="s">
        <v>22998</v>
      </c>
      <c r="K8035" s="3" t="s">
        <v>644</v>
      </c>
      <c r="L8035" s="3" t="str">
        <f>IFERROR(__xludf.DUMMYFUNCTION("GOOGLETRANSLATE(F8035,""id"",""en"")"),"Congratulations Argentina has become a champion")</f>
        <v>Congratulations Argentina has become a champion</v>
      </c>
    </row>
    <row r="8036" ht="15.75" customHeight="1">
      <c r="A8036" s="1">
        <v>9256.0</v>
      </c>
      <c r="B8036" s="3" t="s">
        <v>22999</v>
      </c>
      <c r="C8036" s="3">
        <v>0.0</v>
      </c>
      <c r="D8036" s="3">
        <v>0.0</v>
      </c>
      <c r="E8036" s="3">
        <v>0.0</v>
      </c>
      <c r="F8036" s="3" t="s">
        <v>22633</v>
      </c>
      <c r="G8036" s="3">
        <v>0.0</v>
      </c>
      <c r="H8036" s="3">
        <v>0.0</v>
      </c>
      <c r="I8036" s="3" t="s">
        <v>13</v>
      </c>
      <c r="J8036" s="3" t="s">
        <v>22634</v>
      </c>
      <c r="K8036" s="3" t="s">
        <v>16803</v>
      </c>
      <c r="L8036" s="3" t="str">
        <f>IFERROR(__xludf.DUMMYFUNCTION("GOOGLETRANSLATE(F8036,""id"",""en"")"),"Lionel Scaloni with Lionel Messi brought Argentina World Cup Champion Scaloni revealed Messi's talk that made him stare at the World Cup")</f>
        <v>Lionel Scaloni with Lionel Messi brought Argentina World Cup Champion Scaloni revealed Messi's talk that made him stare at the World Cup</v>
      </c>
    </row>
    <row r="8037" ht="15.75" customHeight="1">
      <c r="A8037" s="1">
        <v>9257.0</v>
      </c>
      <c r="B8037" s="3" t="s">
        <v>23000</v>
      </c>
      <c r="C8037" s="3">
        <v>0.0</v>
      </c>
      <c r="D8037" s="3">
        <v>0.0</v>
      </c>
      <c r="E8037" s="3">
        <v>1.0</v>
      </c>
      <c r="F8037" s="3" t="s">
        <v>23001</v>
      </c>
      <c r="G8037" s="3">
        <v>0.0</v>
      </c>
      <c r="H8037" s="3">
        <v>0.0</v>
      </c>
      <c r="I8037" s="3" t="s">
        <v>13</v>
      </c>
      <c r="J8037" s="3" t="s">
        <v>23002</v>
      </c>
      <c r="K8037" s="3" t="s">
        <v>31</v>
      </c>
      <c r="L8037" s="3" t="str">
        <f>IFERROR(__xludf.DUMMYFUNCTION("GOOGLETRANSLATE(F8037,""id"",""en"")"),"Argentina Sleman Champion Wins Bingah")</f>
        <v>Argentina Sleman Champion Wins Bingah</v>
      </c>
    </row>
    <row r="8038" ht="15.75" customHeight="1">
      <c r="A8038" s="1">
        <v>9258.0</v>
      </c>
      <c r="B8038" s="3" t="s">
        <v>23003</v>
      </c>
      <c r="C8038" s="3">
        <v>0.0</v>
      </c>
      <c r="D8038" s="3">
        <v>0.0</v>
      </c>
      <c r="E8038" s="3">
        <v>0.0</v>
      </c>
      <c r="F8038" s="3" t="s">
        <v>23004</v>
      </c>
      <c r="G8038" s="3">
        <v>0.0</v>
      </c>
      <c r="H8038" s="3">
        <v>0.0</v>
      </c>
      <c r="I8038" s="3" t="s">
        <v>13</v>
      </c>
      <c r="J8038" s="3" t="s">
        <v>23005</v>
      </c>
      <c r="K8038" s="3" t="s">
        <v>82</v>
      </c>
      <c r="L8038" s="3" t="str">
        <f>IFERROR(__xludf.DUMMYFUNCTION("GOOGLETRANSLATE(F8038,""id"",""en"")"),"Although Argentina is the champion and France runner they are all not Brazil")</f>
        <v>Although Argentina is the champion and France runner they are all not Brazil</v>
      </c>
    </row>
    <row r="8039" ht="15.75" customHeight="1">
      <c r="A8039" s="1">
        <v>9259.0</v>
      </c>
      <c r="B8039" s="3" t="s">
        <v>23006</v>
      </c>
      <c r="C8039" s="3">
        <v>0.0</v>
      </c>
      <c r="D8039" s="3">
        <v>0.0</v>
      </c>
      <c r="E8039" s="3">
        <v>0.0</v>
      </c>
      <c r="F8039" s="3" t="s">
        <v>23007</v>
      </c>
      <c r="G8039" s="3">
        <v>0.0</v>
      </c>
      <c r="H8039" s="3">
        <v>0.0</v>
      </c>
      <c r="I8039" s="3" t="s">
        <v>13</v>
      </c>
      <c r="J8039" s="3" t="s">
        <v>23008</v>
      </c>
      <c r="K8039" s="3" t="s">
        <v>75</v>
      </c>
      <c r="L8039" s="3" t="str">
        <f>IFERROR(__xludf.DUMMYFUNCTION("GOOGLETRANSLATE(F8039,""id"",""en"")"),"because the speech is not similar for him to Messi Argentina Funny Champion")</f>
        <v>because the speech is not similar for him to Messi Argentina Funny Champion</v>
      </c>
    </row>
    <row r="8040" ht="15.75" customHeight="1">
      <c r="A8040" s="1">
        <v>9260.0</v>
      </c>
      <c r="B8040" s="3" t="s">
        <v>23009</v>
      </c>
      <c r="C8040" s="3">
        <v>0.0</v>
      </c>
      <c r="D8040" s="3">
        <v>0.0</v>
      </c>
      <c r="E8040" s="3">
        <v>0.0</v>
      </c>
      <c r="F8040" s="3" t="s">
        <v>23010</v>
      </c>
      <c r="G8040" s="3">
        <v>0.0</v>
      </c>
      <c r="H8040" s="3">
        <v>0.0</v>
      </c>
      <c r="I8040" s="3" t="s">
        <v>13</v>
      </c>
      <c r="J8040" s="3" t="s">
        <v>23011</v>
      </c>
      <c r="K8040" s="3" t="s">
        <v>41</v>
      </c>
      <c r="L8040" s="3" t="str">
        <f>IFERROR(__xludf.DUMMYFUNCTION("GOOGLETRANSLATE(F8040,""id"",""en"")"),"fortunately you choose France, Bang, if Argentina can fail to win hehehe")</f>
        <v>fortunately you choose France, Bang, if Argentina can fail to win hehehe</v>
      </c>
    </row>
    <row r="8041" ht="15.75" customHeight="1">
      <c r="A8041" s="1">
        <v>9261.0</v>
      </c>
      <c r="B8041" s="3" t="s">
        <v>23012</v>
      </c>
      <c r="C8041" s="3">
        <v>0.0</v>
      </c>
      <c r="D8041" s="3">
        <v>0.0</v>
      </c>
      <c r="E8041" s="3">
        <v>0.0</v>
      </c>
      <c r="F8041" s="3" t="s">
        <v>23013</v>
      </c>
      <c r="G8041" s="3">
        <v>0.0</v>
      </c>
      <c r="H8041" s="3">
        <v>0.0</v>
      </c>
      <c r="I8041" s="3" t="s">
        <v>13</v>
      </c>
      <c r="J8041" s="3" t="s">
        <v>23014</v>
      </c>
      <c r="K8041" s="3" t="s">
        <v>27</v>
      </c>
      <c r="L8041" s="3" t="str">
        <f>IFERROR(__xludf.DUMMYFUNCTION("GOOGLETRANSLATE(F8041,""id"",""en"")"),"All of you are just an envious, you understand, you can only watch the tarkam different, you can join the World Cup team as well")</f>
        <v>All of you are just an envious, you understand, you can only watch the tarkam different, you can join the World Cup team as well</v>
      </c>
    </row>
    <row r="8042" ht="15.75" customHeight="1">
      <c r="A8042" s="1">
        <v>9262.0</v>
      </c>
      <c r="B8042" s="3" t="s">
        <v>23015</v>
      </c>
      <c r="C8042" s="3">
        <v>0.0</v>
      </c>
      <c r="D8042" s="3">
        <v>0.0</v>
      </c>
      <c r="E8042" s="3">
        <v>0.0</v>
      </c>
      <c r="F8042" s="3" t="s">
        <v>22633</v>
      </c>
      <c r="G8042" s="3">
        <v>0.0</v>
      </c>
      <c r="H8042" s="3">
        <v>0.0</v>
      </c>
      <c r="I8042" s="3" t="s">
        <v>13</v>
      </c>
      <c r="J8042" s="3" t="s">
        <v>22634</v>
      </c>
      <c r="K8042" s="3" t="s">
        <v>16803</v>
      </c>
      <c r="L8042" s="3" t="str">
        <f>IFERROR(__xludf.DUMMYFUNCTION("GOOGLETRANSLATE(F8042,""id"",""en"")"),"Lionel Scaloni with Lionel Messi brought Argentina World Cup Champion Scaloni revealed Messi's talk that made him stare at the World Cup")</f>
        <v>Lionel Scaloni with Lionel Messi brought Argentina World Cup Champion Scaloni revealed Messi's talk that made him stare at the World Cup</v>
      </c>
    </row>
    <row r="8043" ht="15.75" customHeight="1">
      <c r="A8043" s="1">
        <v>9263.0</v>
      </c>
      <c r="B8043" s="3" t="s">
        <v>23016</v>
      </c>
      <c r="C8043" s="3">
        <v>0.0</v>
      </c>
      <c r="D8043" s="3">
        <v>0.0</v>
      </c>
      <c r="E8043" s="3">
        <v>1.0</v>
      </c>
      <c r="F8043" s="3" t="s">
        <v>23017</v>
      </c>
      <c r="G8043" s="3">
        <v>0.0</v>
      </c>
      <c r="H8043" s="3">
        <v>0.0</v>
      </c>
      <c r="I8043" s="3" t="s">
        <v>13</v>
      </c>
      <c r="J8043" s="3" t="s">
        <v>23018</v>
      </c>
      <c r="K8043" s="3" t="s">
        <v>41</v>
      </c>
      <c r="L8043" s="3" t="str">
        <f>IFERROR(__xludf.DUMMYFUNCTION("GOOGLETRANSLATE(F8043,""id"",""en"")"),"Argentina Turning Point World Champion Scaloni Maupay Where Messi")</f>
        <v>Argentina Turning Point World Champion Scaloni Maupay Where Messi</v>
      </c>
    </row>
    <row r="8044" ht="15.75" customHeight="1">
      <c r="A8044" s="1">
        <v>9264.0</v>
      </c>
      <c r="B8044" s="3" t="s">
        <v>23019</v>
      </c>
      <c r="C8044" s="3">
        <v>0.0</v>
      </c>
      <c r="D8044" s="3">
        <v>0.0</v>
      </c>
      <c r="E8044" s="3">
        <v>0.0</v>
      </c>
      <c r="F8044" s="3" t="s">
        <v>23020</v>
      </c>
      <c r="G8044" s="3">
        <v>0.0</v>
      </c>
      <c r="H8044" s="3">
        <v>0.0</v>
      </c>
      <c r="I8044" s="3" t="s">
        <v>13</v>
      </c>
      <c r="J8044" s="3" t="s">
        <v>23021</v>
      </c>
      <c r="K8044" s="3" t="s">
        <v>50</v>
      </c>
      <c r="L8044" s="3" t="str">
        <f>IFERROR(__xludf.DUMMYFUNCTION("GOOGLETRANSLATE(F8044,""id"",""en"")"),"President Argentina uploads a photo of the front selfie after his country champions of the World Cup")</f>
        <v>President Argentina uploads a photo of the front selfie after his country champions of the World Cup</v>
      </c>
    </row>
    <row r="8045" ht="15.75" customHeight="1">
      <c r="A8045" s="1">
        <v>9265.0</v>
      </c>
      <c r="B8045" s="3" t="s">
        <v>23022</v>
      </c>
      <c r="C8045" s="3">
        <v>0.0</v>
      </c>
      <c r="D8045" s="3">
        <v>0.0</v>
      </c>
      <c r="E8045" s="3">
        <v>0.0</v>
      </c>
      <c r="F8045" s="3" t="s">
        <v>23023</v>
      </c>
      <c r="G8045" s="3">
        <v>0.0</v>
      </c>
      <c r="H8045" s="3">
        <v>0.0</v>
      </c>
      <c r="I8045" s="3" t="s">
        <v>13</v>
      </c>
      <c r="J8045" s="3" t="s">
        <v>23024</v>
      </c>
      <c r="K8045" s="3" t="s">
        <v>477</v>
      </c>
      <c r="L8045" s="3" t="str">
        <f>IFERROR(__xludf.DUMMYFUNCTION("GOOGLETRANSLATE(F8045,""id"",""en"")"),"Emiliano Martinez is really the key to Argentina Suwerrr champion")</f>
        <v>Emiliano Martinez is really the key to Argentina Suwerrr champion</v>
      </c>
    </row>
    <row r="8046" ht="15.75" customHeight="1">
      <c r="A8046" s="1">
        <v>9266.0</v>
      </c>
      <c r="B8046" s="3" t="s">
        <v>23025</v>
      </c>
      <c r="C8046" s="3">
        <v>0.0</v>
      </c>
      <c r="D8046" s="3">
        <v>0.0</v>
      </c>
      <c r="E8046" s="3">
        <v>0.0</v>
      </c>
      <c r="F8046" s="3" t="s">
        <v>23026</v>
      </c>
      <c r="G8046" s="3">
        <v>0.0</v>
      </c>
      <c r="H8046" s="3">
        <v>0.0</v>
      </c>
      <c r="I8046" s="3" t="s">
        <v>13</v>
      </c>
      <c r="J8046" s="3" t="s">
        <v>23027</v>
      </c>
      <c r="K8046" s="3" t="s">
        <v>54</v>
      </c>
      <c r="L8046" s="3" t="str">
        <f>IFERROR(__xludf.DUMMYFUNCTION("GOOGLETRANSLATE(F8046,""id"",""en"")"),"GPP Champion Argentina is important Madrid UCL")</f>
        <v>GPP Champion Argentina is important Madrid UCL</v>
      </c>
    </row>
    <row r="8047" ht="15.75" customHeight="1">
      <c r="A8047" s="1">
        <v>9267.0</v>
      </c>
      <c r="B8047" s="3" t="s">
        <v>23028</v>
      </c>
      <c r="C8047" s="3">
        <v>0.0</v>
      </c>
      <c r="D8047" s="3">
        <v>0.0</v>
      </c>
      <c r="E8047" s="3">
        <v>0.0</v>
      </c>
      <c r="F8047" s="3" t="s">
        <v>23029</v>
      </c>
      <c r="G8047" s="3">
        <v>0.0</v>
      </c>
      <c r="H8047" s="3">
        <v>0.0</v>
      </c>
      <c r="I8047" s="3" t="s">
        <v>13</v>
      </c>
      <c r="J8047" s="3" t="s">
        <v>23030</v>
      </c>
      <c r="K8047" s="3" t="s">
        <v>31</v>
      </c>
      <c r="L8047" s="3" t="str">
        <f>IFERROR(__xludf.DUMMYFUNCTION("GOOGLETRANSLATE(F8047,""id"",""en"")"),"Dramatic Argentina World Cup Champion")</f>
        <v>Dramatic Argentina World Cup Champion</v>
      </c>
    </row>
    <row r="8048" ht="15.75" customHeight="1">
      <c r="A8048" s="1">
        <v>9268.0</v>
      </c>
      <c r="B8048" s="3" t="s">
        <v>23031</v>
      </c>
      <c r="C8048" s="3">
        <v>0.0</v>
      </c>
      <c r="D8048" s="3">
        <v>0.0</v>
      </c>
      <c r="E8048" s="3">
        <v>0.0</v>
      </c>
      <c r="F8048" s="3" t="s">
        <v>23032</v>
      </c>
      <c r="G8048" s="3">
        <v>0.0</v>
      </c>
      <c r="H8048" s="3">
        <v>0.0</v>
      </c>
      <c r="I8048" s="3" t="s">
        <v>13</v>
      </c>
      <c r="J8048" s="3" t="s">
        <v>23033</v>
      </c>
      <c r="K8048" s="3" t="s">
        <v>633</v>
      </c>
      <c r="L8048" s="3" t="str">
        <f>IFERROR(__xludf.DUMMYFUNCTION("GOOGLETRANSLATE(F8048,""id"",""en"")"),"If you were born with a pazilian or the Netherlands or other strong countries, even such as Argentina, I was very confident that I could also feel the World Cup champion for Argentina and Lionel Messi")</f>
        <v>If you were born with a pazilian or the Netherlands or other strong countries, even such as Argentina, I was very confident that I could also feel the World Cup champion for Argentina and Lionel Messi</v>
      </c>
    </row>
    <row r="8049" ht="15.75" customHeight="1">
      <c r="A8049" s="1">
        <v>9269.0</v>
      </c>
      <c r="B8049" s="3" t="s">
        <v>23034</v>
      </c>
      <c r="C8049" s="3">
        <v>1.0</v>
      </c>
      <c r="D8049" s="3">
        <v>0.0</v>
      </c>
      <c r="E8049" s="3">
        <v>0.0</v>
      </c>
      <c r="F8049" s="3" t="s">
        <v>23035</v>
      </c>
      <c r="G8049" s="3">
        <v>1.0</v>
      </c>
      <c r="H8049" s="3">
        <v>1.0</v>
      </c>
      <c r="I8049" s="3" t="s">
        <v>48</v>
      </c>
      <c r="J8049" s="3" t="s">
        <v>23036</v>
      </c>
      <c r="K8049" s="3" t="s">
        <v>910</v>
      </c>
      <c r="L8049" s="3" t="str">
        <f>IFERROR(__xludf.DUMMYFUNCTION("GOOGLETRANSLATE(F8049,""id"",""en"")"),"Striker Messi Alvarez Mbappe Lionel Messi Pildun this time his EMG was shocked by Saudi Arabia on the first contribution of Messi to make Argentina rise and won goals and assistance motm Greicest Ever Goat matches")</f>
        <v>Striker Messi Alvarez Mbappe Lionel Messi Pildun this time his EMG was shocked by Saudi Arabia on the first contribution of Messi to make Argentina rise and won goals and assistance motm Greicest Ever Goat matches</v>
      </c>
    </row>
    <row r="8050" ht="15.75" customHeight="1">
      <c r="A8050" s="1">
        <v>9270.0</v>
      </c>
      <c r="B8050" s="3" t="s">
        <v>23037</v>
      </c>
      <c r="C8050" s="3">
        <v>0.0</v>
      </c>
      <c r="D8050" s="3">
        <v>0.0</v>
      </c>
      <c r="E8050" s="3">
        <v>0.0</v>
      </c>
      <c r="F8050" s="3" t="s">
        <v>23038</v>
      </c>
      <c r="G8050" s="3">
        <v>0.0</v>
      </c>
      <c r="H8050" s="3">
        <v>0.0</v>
      </c>
      <c r="I8050" s="3" t="s">
        <v>13</v>
      </c>
      <c r="J8050" s="3" t="s">
        <v>23039</v>
      </c>
      <c r="K8050" s="3" t="s">
        <v>433</v>
      </c>
      <c r="L8050" s="3" t="str">
        <f>IFERROR(__xludf.DUMMYFUNCTION("GOOGLETRANSLATE(F8050,""id"",""en"")"),"Seconds Changes in the atmosphere of the city of Buenos Aires when Argentina confirmed itself to win the World Cup")</f>
        <v>Seconds Changes in the atmosphere of the city of Buenos Aires when Argentina confirmed itself to win the World Cup</v>
      </c>
    </row>
    <row r="8051" ht="15.75" customHeight="1">
      <c r="A8051" s="1">
        <v>9271.0</v>
      </c>
      <c r="B8051" s="3" t="s">
        <v>23040</v>
      </c>
      <c r="C8051" s="3">
        <v>0.0</v>
      </c>
      <c r="D8051" s="3">
        <v>0.0</v>
      </c>
      <c r="E8051" s="3">
        <v>3.0</v>
      </c>
      <c r="F8051" s="3" t="s">
        <v>23041</v>
      </c>
      <c r="G8051" s="3">
        <v>0.0</v>
      </c>
      <c r="H8051" s="3">
        <v>0.0</v>
      </c>
      <c r="I8051" s="3" t="s">
        <v>13</v>
      </c>
      <c r="J8051" s="3" t="s">
        <v>23042</v>
      </c>
      <c r="K8051" s="3" t="s">
        <v>695</v>
      </c>
      <c r="L8051" s="3" t="str">
        <f>IFERROR(__xludf.DUMMYFUNCTION("GOOGLETRANSLATE(F8051,""id"",""en"")"),"Kadrun Khilafah Saudi Saudi French French Saudi Football Messi Adonai Elohim Allah Memories of World Cup Champion Football")</f>
        <v>Kadrun Khilafah Saudi Saudi French French Saudi Football Messi Adonai Elohim Allah Memories of World Cup Champion Football</v>
      </c>
    </row>
    <row r="8052" ht="15.75" customHeight="1">
      <c r="A8052" s="1">
        <v>9272.0</v>
      </c>
      <c r="B8052" s="3" t="s">
        <v>23043</v>
      </c>
      <c r="C8052" s="3">
        <v>0.0</v>
      </c>
      <c r="D8052" s="3">
        <v>0.0</v>
      </c>
      <c r="E8052" s="3">
        <v>2.0</v>
      </c>
      <c r="F8052" s="3" t="s">
        <v>23044</v>
      </c>
      <c r="G8052" s="3">
        <v>0.0</v>
      </c>
      <c r="H8052" s="3">
        <v>0.0</v>
      </c>
      <c r="I8052" s="3" t="s">
        <v>13</v>
      </c>
      <c r="J8052" s="3" t="s">
        <v>23045</v>
      </c>
      <c r="K8052" s="3" t="s">
        <v>510</v>
      </c>
      <c r="L8052" s="3" t="str">
        <f>IFERROR(__xludf.DUMMYFUNCTION("GOOGLETRANSLATE(F8052,""id"",""en"")"),"Lionel Messi's record who brought Argentina World Cup champions passed two legendary numbers of Pele and Maradona")</f>
        <v>Lionel Messi's record who brought Argentina World Cup champions passed two legendary numbers of Pele and Maradona</v>
      </c>
    </row>
    <row r="8053" ht="15.75" customHeight="1">
      <c r="A8053" s="1">
        <v>9273.0</v>
      </c>
      <c r="B8053" s="3" t="s">
        <v>23046</v>
      </c>
      <c r="C8053" s="3">
        <v>0.0</v>
      </c>
      <c r="D8053" s="3">
        <v>0.0</v>
      </c>
      <c r="E8053" s="3">
        <v>0.0</v>
      </c>
      <c r="F8053" s="3" t="s">
        <v>23047</v>
      </c>
      <c r="G8053" s="3">
        <v>0.0</v>
      </c>
      <c r="H8053" s="3">
        <v>0.0</v>
      </c>
      <c r="I8053" s="3" t="s">
        <v>13</v>
      </c>
      <c r="J8053" s="3" t="s">
        <v>23048</v>
      </c>
      <c r="K8053" s="3" t="s">
        <v>510</v>
      </c>
      <c r="L8053" s="3" t="str">
        <f>IFERROR(__xludf.DUMMYFUNCTION("GOOGLETRANSLATE(F8053,""id"",""en"")"),"John Terry Sindir Sergio Aguero who joined the celebration of the World Cup champion with Argentina")</f>
        <v>John Terry Sindir Sergio Aguero who joined the celebration of the World Cup champion with Argentina</v>
      </c>
    </row>
    <row r="8054" ht="15.75" customHeight="1">
      <c r="A8054" s="1">
        <v>9274.0</v>
      </c>
      <c r="B8054" s="3" t="s">
        <v>23049</v>
      </c>
      <c r="C8054" s="3">
        <v>0.0</v>
      </c>
      <c r="D8054" s="3">
        <v>0.0</v>
      </c>
      <c r="E8054" s="3">
        <v>0.0</v>
      </c>
      <c r="F8054" s="3" t="s">
        <v>23050</v>
      </c>
      <c r="G8054" s="3">
        <v>0.0</v>
      </c>
      <c r="H8054" s="3">
        <v>0.0</v>
      </c>
      <c r="I8054" s="3" t="s">
        <v>13</v>
      </c>
      <c r="J8054" s="3" t="s">
        <v>23051</v>
      </c>
      <c r="K8054" s="3" t="s">
        <v>15</v>
      </c>
      <c r="L8054" s="3" t="str">
        <f>IFERROR(__xludf.DUMMYFUNCTION("GOOGLETRANSLATE(F8054,""id"",""en"")"),"Argentina Champion World Cup Messi Ronaldo Completed")</f>
        <v>Argentina Champion World Cup Messi Ronaldo Completed</v>
      </c>
    </row>
    <row r="8055" ht="15.75" customHeight="1">
      <c r="A8055" s="1">
        <v>9275.0</v>
      </c>
      <c r="B8055" s="3" t="s">
        <v>23052</v>
      </c>
      <c r="C8055" s="3">
        <v>0.0</v>
      </c>
      <c r="D8055" s="3">
        <v>0.0</v>
      </c>
      <c r="E8055" s="3">
        <v>0.0</v>
      </c>
      <c r="F8055" s="3" t="s">
        <v>23053</v>
      </c>
      <c r="G8055" s="3">
        <v>0.0</v>
      </c>
      <c r="H8055" s="3">
        <v>0.0</v>
      </c>
      <c r="I8055" s="3" t="s">
        <v>13</v>
      </c>
      <c r="J8055" s="3" t="s">
        <v>23054</v>
      </c>
      <c r="K8055" s="3" t="s">
        <v>71</v>
      </c>
      <c r="L8055" s="3" t="str">
        <f>IFERROR(__xludf.DUMMYFUNCTION("GOOGLETRANSLATE(F8055,""id"",""en"")"),"Redsindo Maen Argentina National Team The stock of players and Brazil champions is indeed different for Ronaldo")</f>
        <v>Redsindo Maen Argentina National Team The stock of players and Brazil champions is indeed different for Ronaldo</v>
      </c>
    </row>
    <row r="8056" ht="15.75" customHeight="1">
      <c r="A8056" s="1">
        <v>9276.0</v>
      </c>
      <c r="B8056" s="3" t="s">
        <v>23055</v>
      </c>
      <c r="C8056" s="3">
        <v>0.0</v>
      </c>
      <c r="D8056" s="3">
        <v>1.0</v>
      </c>
      <c r="E8056" s="3">
        <v>1.0</v>
      </c>
      <c r="F8056" s="3" t="s">
        <v>23056</v>
      </c>
      <c r="G8056" s="3">
        <v>0.0</v>
      </c>
      <c r="H8056" s="3">
        <v>0.0</v>
      </c>
      <c r="I8056" s="3" t="s">
        <v>13</v>
      </c>
      <c r="J8056" s="3" t="s">
        <v>23057</v>
      </c>
      <c r="K8056" s="3" t="s">
        <v>41</v>
      </c>
      <c r="L8056" s="3" t="str">
        <f>IFERROR(__xludf.DUMMYFUNCTION("GOOGLETRANSLATE(F8056,""id"",""en"")"),"Rival Abadi Brazil said Brother to Argentina who won the World Cup")</f>
        <v>Rival Abadi Brazil said Brother to Argentina who won the World Cup</v>
      </c>
    </row>
    <row r="8057" ht="15.75" customHeight="1">
      <c r="A8057" s="1">
        <v>9277.0</v>
      </c>
      <c r="B8057" s="3" t="s">
        <v>23058</v>
      </c>
      <c r="C8057" s="3">
        <v>0.0</v>
      </c>
      <c r="D8057" s="3">
        <v>0.0</v>
      </c>
      <c r="E8057" s="3">
        <v>0.0</v>
      </c>
      <c r="F8057" s="3" t="s">
        <v>23059</v>
      </c>
      <c r="G8057" s="3">
        <v>0.0</v>
      </c>
      <c r="H8057" s="3">
        <v>0.0</v>
      </c>
      <c r="I8057" s="3" t="s">
        <v>13</v>
      </c>
      <c r="J8057" s="3" t="s">
        <v>23060</v>
      </c>
      <c r="K8057" s="3" t="s">
        <v>31</v>
      </c>
      <c r="L8057" s="3" t="str">
        <f>IFERROR(__xludf.DUMMYFUNCTION("GOOGLETRANSLATE(F8057,""id"",""en"")"),"Argentina champion is raging asking for anu recognition")</f>
        <v>Argentina champion is raging asking for anu recognition</v>
      </c>
    </row>
    <row r="8058" ht="15.75" customHeight="1">
      <c r="A8058" s="1">
        <v>9278.0</v>
      </c>
      <c r="B8058" s="3" t="s">
        <v>23061</v>
      </c>
      <c r="C8058" s="3">
        <v>0.0</v>
      </c>
      <c r="D8058" s="3">
        <v>0.0</v>
      </c>
      <c r="E8058" s="3">
        <v>0.0</v>
      </c>
      <c r="F8058" s="3" t="s">
        <v>23062</v>
      </c>
      <c r="G8058" s="3">
        <v>0.0</v>
      </c>
      <c r="H8058" s="3">
        <v>0.0</v>
      </c>
      <c r="I8058" s="3" t="s">
        <v>13</v>
      </c>
      <c r="J8058" s="3" t="s">
        <v>23063</v>
      </c>
      <c r="K8058" s="3" t="s">
        <v>31</v>
      </c>
      <c r="L8058" s="3" t="str">
        <f>IFERROR(__xludf.DUMMYFUNCTION("GOOGLETRANSLATE(F8058,""id"",""en"")"),"Congratulations Mas Muklas Argentina Champion")</f>
        <v>Congratulations Mas Muklas Argentina Champion</v>
      </c>
    </row>
    <row r="8059" ht="15.75" customHeight="1">
      <c r="A8059" s="1">
        <v>9279.0</v>
      </c>
      <c r="B8059" s="3" t="s">
        <v>23064</v>
      </c>
      <c r="C8059" s="3">
        <v>1.0</v>
      </c>
      <c r="D8059" s="3">
        <v>4.0</v>
      </c>
      <c r="E8059" s="3">
        <v>35.0</v>
      </c>
      <c r="F8059" s="3" t="s">
        <v>23065</v>
      </c>
      <c r="G8059" s="3">
        <v>0.0</v>
      </c>
      <c r="H8059" s="3">
        <v>0.0</v>
      </c>
      <c r="I8059" s="3" t="s">
        <v>13</v>
      </c>
      <c r="J8059" s="3" t="s">
        <v>23066</v>
      </c>
      <c r="K8059" s="3" t="s">
        <v>495</v>
      </c>
      <c r="L8059" s="3" t="str">
        <f>IFERROR(__xludf.DUMMYFUNCTION("GOOGLETRANSLATE(F8059,""id"",""en"")"),"The unique thing happened after the celebration of the World Cup Lusail Player Champion to the Argentine supporters cutting the goal net for memories")</f>
        <v>The unique thing happened after the celebration of the World Cup Lusail Player Champion to the Argentine supporters cutting the goal net for memories</v>
      </c>
    </row>
    <row r="8060" ht="15.75" customHeight="1">
      <c r="A8060" s="1">
        <v>9280.0</v>
      </c>
      <c r="B8060" s="3" t="s">
        <v>23067</v>
      </c>
      <c r="C8060" s="3">
        <v>16.0</v>
      </c>
      <c r="D8060" s="3">
        <v>23.0</v>
      </c>
      <c r="E8060" s="3">
        <v>78.0</v>
      </c>
      <c r="F8060" s="3" t="s">
        <v>23068</v>
      </c>
      <c r="G8060" s="3">
        <v>0.0</v>
      </c>
      <c r="H8060" s="3">
        <v>0.0</v>
      </c>
      <c r="I8060" s="3" t="s">
        <v>13</v>
      </c>
      <c r="J8060" s="3" t="s">
        <v>23069</v>
      </c>
      <c r="K8060" s="3" t="s">
        <v>644</v>
      </c>
      <c r="L8060" s="3" t="str">
        <f>IFERROR(__xludf.DUMMYFUNCTION("GOOGLETRANSLATE(F8060,""id"",""en"")"),"Argentina Champion Therefore, let's choose us")</f>
        <v>Argentina Champion Therefore, let's choose us</v>
      </c>
    </row>
    <row r="8061" ht="15.75" customHeight="1">
      <c r="A8061" s="1">
        <v>9281.0</v>
      </c>
      <c r="B8061" s="3" t="s">
        <v>23070</v>
      </c>
      <c r="C8061" s="3">
        <v>0.0</v>
      </c>
      <c r="D8061" s="3">
        <v>0.0</v>
      </c>
      <c r="E8061" s="3">
        <v>0.0</v>
      </c>
      <c r="F8061" s="3" t="s">
        <v>23071</v>
      </c>
      <c r="G8061" s="3">
        <v>0.0</v>
      </c>
      <c r="H8061" s="3">
        <v>0.0</v>
      </c>
      <c r="I8061" s="3" t="s">
        <v>13</v>
      </c>
      <c r="J8061" s="3" t="s">
        <v>23072</v>
      </c>
      <c r="K8061" s="3" t="s">
        <v>15</v>
      </c>
      <c r="L8061" s="3" t="str">
        <f>IFERROR(__xludf.DUMMYFUNCTION("GOOGLETRANSLATE(F8061,""id"",""en"")"),"still waiting for Luis van Gaal's statement about Argentina who won")</f>
        <v>still waiting for Luis van Gaal's statement about Argentina who won</v>
      </c>
    </row>
    <row r="8062" ht="15.75" customHeight="1">
      <c r="A8062" s="1">
        <v>9282.0</v>
      </c>
      <c r="B8062" s="3" t="s">
        <v>23073</v>
      </c>
      <c r="C8062" s="3">
        <v>3.0</v>
      </c>
      <c r="D8062" s="3">
        <v>0.0</v>
      </c>
      <c r="E8062" s="3">
        <v>0.0</v>
      </c>
      <c r="F8062" s="3" t="s">
        <v>23074</v>
      </c>
      <c r="G8062" s="3">
        <v>0.4</v>
      </c>
      <c r="H8062" s="3">
        <v>-0.3</v>
      </c>
      <c r="I8062" s="3" t="s">
        <v>179</v>
      </c>
      <c r="J8062" s="3" t="s">
        <v>23075</v>
      </c>
      <c r="K8062" s="3" t="s">
        <v>358</v>
      </c>
      <c r="L8062" s="3" t="str">
        <f>IFERROR(__xludf.DUMMYFUNCTION("GOOGLETRANSLATE(F8062,""id"",""en"")"),"Ath Least had done other players very special if Argentina champions while Kya Ranieri era he only could be a champion and before never")</f>
        <v>Ath Least had done other players very special if Argentina champions while Kya Ranieri era he only could be a champion and before never</v>
      </c>
    </row>
    <row r="8063" ht="15.75" customHeight="1">
      <c r="A8063" s="1">
        <v>9283.0</v>
      </c>
      <c r="B8063" s="3" t="s">
        <v>23076</v>
      </c>
      <c r="C8063" s="3">
        <v>3.0</v>
      </c>
      <c r="D8063" s="3">
        <v>0.0</v>
      </c>
      <c r="E8063" s="3">
        <v>1.0</v>
      </c>
      <c r="F8063" s="3" t="s">
        <v>23077</v>
      </c>
      <c r="G8063" s="3">
        <v>0.0</v>
      </c>
      <c r="H8063" s="3">
        <v>0.0</v>
      </c>
      <c r="I8063" s="3" t="s">
        <v>13</v>
      </c>
      <c r="J8063" s="3" t="s">
        <v>23078</v>
      </c>
      <c r="K8063" s="3" t="s">
        <v>16796</v>
      </c>
      <c r="L8063" s="3" t="str">
        <f>IFERROR(__xludf.DUMMYFUNCTION("GOOGLETRANSLATE(F8063,""id"",""en"")"),"Squad Argentina and Portugal as good as good Portugal lacking Diogo Jota, Argentina wins because Pinalty fighting without penalties will not be champions because the goalkeeper is really a penalties.")</f>
        <v>Squad Argentina and Portugal as good as good Portugal lacking Diogo Jota, Argentina wins because Pinalty fighting without penalties will not be champions because the goalkeeper is really a penalties.</v>
      </c>
    </row>
    <row r="8064" ht="15.75" customHeight="1">
      <c r="A8064" s="1">
        <v>9284.0</v>
      </c>
      <c r="B8064" s="3" t="s">
        <v>23079</v>
      </c>
      <c r="C8064" s="3">
        <v>0.0</v>
      </c>
      <c r="D8064" s="3">
        <v>0.0</v>
      </c>
      <c r="E8064" s="3">
        <v>0.0</v>
      </c>
      <c r="F8064" s="3" t="s">
        <v>22811</v>
      </c>
      <c r="G8064" s="3">
        <v>0.0</v>
      </c>
      <c r="H8064" s="3">
        <v>0.0</v>
      </c>
      <c r="I8064" s="3" t="s">
        <v>13</v>
      </c>
      <c r="J8064" s="3" t="s">
        <v>22812</v>
      </c>
      <c r="K8064" s="3" t="s">
        <v>82</v>
      </c>
      <c r="L8064" s="3" t="str">
        <f>IFERROR(__xludf.DUMMYFUNCTION("GOOGLETRANSLATE(F8064,""id"",""en"")"),"Argentina Champion thanks to Mr. Ibul's hard work")</f>
        <v>Argentina Champion thanks to Mr. Ibul's hard work</v>
      </c>
    </row>
    <row r="8065" ht="15.75" customHeight="1">
      <c r="A8065" s="1">
        <v>9285.0</v>
      </c>
      <c r="B8065" s="3" t="s">
        <v>23080</v>
      </c>
      <c r="C8065" s="3">
        <v>1.0</v>
      </c>
      <c r="D8065" s="3">
        <v>0.0</v>
      </c>
      <c r="E8065" s="3">
        <v>0.0</v>
      </c>
      <c r="F8065" s="3" t="s">
        <v>23081</v>
      </c>
      <c r="G8065" s="3">
        <v>0.0</v>
      </c>
      <c r="H8065" s="3">
        <v>0.0</v>
      </c>
      <c r="I8065" s="3" t="s">
        <v>13</v>
      </c>
      <c r="J8065" s="3" t="s">
        <v>23082</v>
      </c>
      <c r="K8065" s="3" t="s">
        <v>240</v>
      </c>
      <c r="L8065" s="3" t="str">
        <f>IFERROR(__xludf.DUMMYFUNCTION("GOOGLETRANSLATE(F8065,""id"",""en"")"),"And I also assume that if I meet arguments about Argentina the champion is also the most discussed there, just a discussion again")</f>
        <v>And I also assume that if I meet arguments about Argentina the champion is also the most discussed there, just a discussion again</v>
      </c>
    </row>
    <row r="8066" ht="15.75" customHeight="1">
      <c r="A8066" s="1">
        <v>9286.0</v>
      </c>
      <c r="B8066" s="3" t="s">
        <v>23083</v>
      </c>
      <c r="C8066" s="3">
        <v>0.0</v>
      </c>
      <c r="D8066" s="3">
        <v>0.0</v>
      </c>
      <c r="E8066" s="3">
        <v>1.0</v>
      </c>
      <c r="F8066" s="3" t="s">
        <v>23084</v>
      </c>
      <c r="G8066" s="3">
        <v>0.0</v>
      </c>
      <c r="H8066" s="3">
        <v>0.0</v>
      </c>
      <c r="I8066" s="3" t="s">
        <v>13</v>
      </c>
      <c r="J8066" s="3" t="s">
        <v>23085</v>
      </c>
      <c r="K8066" s="3" t="s">
        <v>41</v>
      </c>
      <c r="L8066" s="3" t="str">
        <f>IFERROR(__xludf.DUMMYFUNCTION("GOOGLETRANSLATE(F8066,""id"",""en"")"),"From yesterday I still liked your own smile, it turned out that the Argentine effect was still taste")</f>
        <v>From yesterday I still liked your own smile, it turned out that the Argentine effect was still taste</v>
      </c>
    </row>
    <row r="8067" ht="15.75" customHeight="1">
      <c r="A8067" s="1">
        <v>9287.0</v>
      </c>
      <c r="B8067" s="3" t="s">
        <v>23086</v>
      </c>
      <c r="C8067" s="3">
        <v>1.0</v>
      </c>
      <c r="D8067" s="3">
        <v>0.0</v>
      </c>
      <c r="E8067" s="3">
        <v>0.0</v>
      </c>
      <c r="F8067" s="3" t="s">
        <v>23087</v>
      </c>
      <c r="G8067" s="3">
        <v>0.0</v>
      </c>
      <c r="H8067" s="3">
        <v>0.0</v>
      </c>
      <c r="I8067" s="3" t="s">
        <v>13</v>
      </c>
      <c r="J8067" s="3" t="s">
        <v>23088</v>
      </c>
      <c r="K8067" s="3" t="s">
        <v>1925</v>
      </c>
      <c r="L8067" s="3" t="str">
        <f>IFERROR(__xludf.DUMMYFUNCTION("GOOGLETRANSLATE(F8067,""id"",""en"")"),"Argentina Champion World Cup But Brazil still has a ranking FIFA, how come it could be recently FIFA released the national team and Brazil's ranking update there is still a peak following the big list")</f>
        <v>Argentina Champion World Cup But Brazil still has a ranking FIFA, how come it could be recently FIFA released the national team and Brazil's ranking update there is still a peak following the big list</v>
      </c>
    </row>
    <row r="8068" ht="15.75" customHeight="1">
      <c r="A8068" s="1">
        <v>9288.0</v>
      </c>
      <c r="B8068" s="3" t="s">
        <v>23089</v>
      </c>
      <c r="C8068" s="3">
        <v>0.0</v>
      </c>
      <c r="D8068" s="3">
        <v>0.0</v>
      </c>
      <c r="E8068" s="3">
        <v>0.0</v>
      </c>
      <c r="F8068" s="3" t="s">
        <v>23090</v>
      </c>
      <c r="G8068" s="3">
        <v>0.0</v>
      </c>
      <c r="H8068" s="3">
        <v>0.0</v>
      </c>
      <c r="I8068" s="3" t="s">
        <v>13</v>
      </c>
      <c r="J8068" s="3" t="s">
        <v>23091</v>
      </c>
      <c r="K8068" s="3" t="s">
        <v>520</v>
      </c>
      <c r="L8068" s="3" t="str">
        <f>IFERROR(__xludf.DUMMYFUNCTION("GOOGLETRANSLATE(F8068,""id"",""en"")"),"Even if the benchmark the continent champion is also a long time ago Argentina was the last champion of the Copa America New Year Champion again the year later the World Cup is also so too")</f>
        <v>Even if the benchmark the continent champion is also a long time ago Argentina was the last champion of the Copa America New Year Champion again the year later the World Cup is also so too</v>
      </c>
    </row>
    <row r="8069" ht="15.75" customHeight="1">
      <c r="A8069" s="1">
        <v>9289.0</v>
      </c>
      <c r="B8069" s="3" t="s">
        <v>23092</v>
      </c>
      <c r="C8069" s="3">
        <v>2.0</v>
      </c>
      <c r="D8069" s="3">
        <v>0.0</v>
      </c>
      <c r="E8069" s="3">
        <v>0.0</v>
      </c>
      <c r="F8069" s="3" t="s">
        <v>23093</v>
      </c>
      <c r="G8069" s="3">
        <v>0.0</v>
      </c>
      <c r="H8069" s="3">
        <v>0.0</v>
      </c>
      <c r="I8069" s="3" t="s">
        <v>13</v>
      </c>
      <c r="J8069" s="3" t="s">
        <v>23094</v>
      </c>
      <c r="K8069" s="3" t="s">
        <v>614</v>
      </c>
      <c r="L8069" s="3" t="str">
        <f>IFERROR(__xludf.DUMMYFUNCTION("GOOGLETRANSLATE(F8069,""id"",""en"")"),"It is the bad of the Argentine generation there are many players in the contents of Kya Ederu Eliseu Adrieu Silva Rafa Silva Vierinha Bruno Alves Wiliam Carvalho Fonte")</f>
        <v>It is the bad of the Argentine generation there are many players in the contents of Kya Ederu Eliseu Adrieu Silva Rafa Silva Vierinha Bruno Alves Wiliam Carvalho Fonte</v>
      </c>
    </row>
    <row r="8070" ht="15.75" customHeight="1">
      <c r="A8070" s="1">
        <v>9290.0</v>
      </c>
      <c r="B8070" s="3" t="s">
        <v>23095</v>
      </c>
      <c r="C8070" s="3">
        <v>0.0</v>
      </c>
      <c r="D8070" s="3">
        <v>0.0</v>
      </c>
      <c r="E8070" s="3">
        <v>0.0</v>
      </c>
      <c r="F8070" s="3" t="s">
        <v>23096</v>
      </c>
      <c r="G8070" s="3">
        <v>0.0</v>
      </c>
      <c r="H8070" s="3">
        <v>0.0</v>
      </c>
      <c r="I8070" s="3" t="s">
        <v>13</v>
      </c>
      <c r="J8070" s="3" t="s">
        <v>23097</v>
      </c>
      <c r="K8070" s="3" t="s">
        <v>71</v>
      </c>
      <c r="L8070" s="3" t="str">
        <f>IFERROR(__xludf.DUMMYFUNCTION("GOOGLETRANSLATE(F8070,""id"",""en"")"),"Leandro Paredes's Story about the struggle to the main key to Argentina World Cup Champion Okezone Bola")</f>
        <v>Leandro Paredes's Story about the struggle to the main key to Argentina World Cup Champion Okezone Bola</v>
      </c>
    </row>
    <row r="8071" ht="15.75" customHeight="1">
      <c r="A8071" s="1">
        <v>9291.0</v>
      </c>
      <c r="B8071" s="3" t="s">
        <v>23098</v>
      </c>
      <c r="C8071" s="3">
        <v>0.0</v>
      </c>
      <c r="D8071" s="3">
        <v>0.0</v>
      </c>
      <c r="E8071" s="3">
        <v>0.0</v>
      </c>
      <c r="F8071" s="3" t="s">
        <v>23099</v>
      </c>
      <c r="G8071" s="3">
        <v>0.0</v>
      </c>
      <c r="H8071" s="3">
        <v>0.0</v>
      </c>
      <c r="I8071" s="3" t="s">
        <v>13</v>
      </c>
      <c r="J8071" s="3" t="s">
        <v>23100</v>
      </c>
      <c r="K8071" s="3" t="s">
        <v>1552</v>
      </c>
      <c r="L8071" s="3" t="str">
        <f>IFERROR(__xludf.DUMMYFUNCTION("GOOGLETRANSLATE(F8071,""id"",""en"")"),"Maradona left heaven Argentina champion Copa Argentina Champion World Cup")</f>
        <v>Maradona left heaven Argentina champion Copa Argentina Champion World Cup</v>
      </c>
    </row>
    <row r="8072" ht="15.75" customHeight="1">
      <c r="A8072" s="1">
        <v>9292.0</v>
      </c>
      <c r="B8072" s="3" t="s">
        <v>23101</v>
      </c>
      <c r="C8072" s="3">
        <v>0.0</v>
      </c>
      <c r="D8072" s="3">
        <v>0.0</v>
      </c>
      <c r="E8072" s="3">
        <v>0.0</v>
      </c>
      <c r="F8072" s="3" t="s">
        <v>23102</v>
      </c>
      <c r="G8072" s="3">
        <v>0.0</v>
      </c>
      <c r="H8072" s="3">
        <v>0.0</v>
      </c>
      <c r="I8072" s="3" t="s">
        <v>13</v>
      </c>
      <c r="J8072" s="3" t="s">
        <v>23103</v>
      </c>
      <c r="K8072" s="3" t="s">
        <v>41</v>
      </c>
      <c r="L8072" s="3" t="str">
        <f>IFERROR(__xludf.DUMMYFUNCTION("GOOGLETRANSLATE(F8072,""id"",""en"")"),"Mother Baik Bat Anjer got Argentina's State Money Champion")</f>
        <v>Mother Baik Bat Anjer got Argentina's State Money Champion</v>
      </c>
    </row>
    <row r="8073" ht="15.75" customHeight="1">
      <c r="A8073" s="1">
        <v>9293.0</v>
      </c>
      <c r="B8073" s="3" t="s">
        <v>23104</v>
      </c>
      <c r="C8073" s="3">
        <v>3.0</v>
      </c>
      <c r="D8073" s="3">
        <v>0.0</v>
      </c>
      <c r="E8073" s="3">
        <v>0.0</v>
      </c>
      <c r="F8073" s="3" t="s">
        <v>23105</v>
      </c>
      <c r="G8073" s="3">
        <v>0.0</v>
      </c>
      <c r="H8073" s="3">
        <v>0.0</v>
      </c>
      <c r="I8073" s="3" t="s">
        <v>13</v>
      </c>
      <c r="J8073" s="3" t="s">
        <v>23106</v>
      </c>
      <c r="K8073" s="3" t="s">
        <v>610</v>
      </c>
      <c r="L8073" s="3" t="str">
        <f>IFERROR(__xludf.DUMMYFUNCTION("GOOGLETRANSLATE(F8073,""id"",""en"")"),"Argentina before the new World Cup champion was the last champion Messi at that time BLM was born the last Copa America champion for the year of the Copa America championship")</f>
        <v>Argentina before the new World Cup champion was the last champion Messi at that time BLM was born the last Copa America champion for the year of the Copa America championship</v>
      </c>
    </row>
    <row r="8074" ht="15.75" customHeight="1">
      <c r="A8074" s="1">
        <v>9294.0</v>
      </c>
      <c r="B8074" s="3" t="s">
        <v>23107</v>
      </c>
      <c r="C8074" s="3">
        <v>0.0</v>
      </c>
      <c r="D8074" s="3">
        <v>1.0</v>
      </c>
      <c r="E8074" s="3">
        <v>1.0</v>
      </c>
      <c r="F8074" s="3" t="s">
        <v>23108</v>
      </c>
      <c r="G8074" s="3">
        <v>0.0</v>
      </c>
      <c r="H8074" s="3">
        <v>0.0</v>
      </c>
      <c r="I8074" s="3" t="s">
        <v>13</v>
      </c>
      <c r="J8074" s="3" t="s">
        <v>23109</v>
      </c>
      <c r="K8074" s="3" t="s">
        <v>15</v>
      </c>
      <c r="L8074" s="3" t="str">
        <f>IFERROR(__xludf.DUMMYFUNCTION("GOOGLETRANSLATE(F8074,""id"",""en"")"),"Argentina World Champion Neymar Calls Messi as Brother")</f>
        <v>Argentina World Champion Neymar Calls Messi as Brother</v>
      </c>
    </row>
    <row r="8075" ht="15.75" customHeight="1">
      <c r="A8075" s="1">
        <v>9295.0</v>
      </c>
      <c r="B8075" s="3" t="s">
        <v>23110</v>
      </c>
      <c r="C8075" s="3">
        <v>1.0</v>
      </c>
      <c r="D8075" s="3">
        <v>0.0</v>
      </c>
      <c r="E8075" s="3">
        <v>0.0</v>
      </c>
      <c r="F8075" s="3" t="s">
        <v>23111</v>
      </c>
      <c r="G8075" s="3">
        <v>0.0</v>
      </c>
      <c r="H8075" s="3">
        <v>0.0</v>
      </c>
      <c r="I8075" s="3" t="s">
        <v>13</v>
      </c>
      <c r="J8075" s="3" t="s">
        <v>23112</v>
      </c>
      <c r="K8075" s="3" t="s">
        <v>883</v>
      </c>
      <c r="L8075" s="3" t="str">
        <f>IFERROR(__xludf.DUMMYFUNCTION("GOOGLETRANSLATE(F8075,""id"",""en"")"),"Argentina was last champion for decades ago to be a different generation of players and people were already told earlier")</f>
        <v>Argentina was last champion for decades ago to be a different generation of players and people were already told earlier</v>
      </c>
    </row>
    <row r="8076" ht="15.75" customHeight="1">
      <c r="A8076" s="1">
        <v>9296.0</v>
      </c>
      <c r="B8076" s="3" t="s">
        <v>23113</v>
      </c>
      <c r="C8076" s="3">
        <v>0.0</v>
      </c>
      <c r="D8076" s="3">
        <v>1.0</v>
      </c>
      <c r="E8076" s="3">
        <v>14.0</v>
      </c>
      <c r="F8076" s="3" t="s">
        <v>23114</v>
      </c>
      <c r="G8076" s="3">
        <v>0.0</v>
      </c>
      <c r="H8076" s="3">
        <v>0.0</v>
      </c>
      <c r="I8076" s="3" t="s">
        <v>13</v>
      </c>
      <c r="J8076" s="3" t="s">
        <v>23115</v>
      </c>
      <c r="K8076" s="3" t="s">
        <v>205</v>
      </c>
      <c r="L8076" s="3" t="str">
        <f>IFERROR(__xludf.DUMMYFUNCTION("GOOGLETRANSLATE(F8076,""id"",""en"")"),"just make a small account make a tweet many teams will win, for example Argentina Brazil Germany, DELIGHT TWOET Tweet if the team is eliminated by the remaining marketing for viral")</f>
        <v>just make a small account make a tweet many teams will win, for example Argentina Brazil Germany, DELIGHT TWOET Tweet if the team is eliminated by the remaining marketing for viral</v>
      </c>
    </row>
    <row r="8077" ht="15.75" customHeight="1">
      <c r="A8077" s="1">
        <v>9297.0</v>
      </c>
      <c r="B8077" s="3" t="s">
        <v>23116</v>
      </c>
      <c r="C8077" s="3">
        <v>0.0</v>
      </c>
      <c r="D8077" s="3">
        <v>0.0</v>
      </c>
      <c r="E8077" s="3">
        <v>9.0</v>
      </c>
      <c r="F8077" s="3" t="s">
        <v>23117</v>
      </c>
      <c r="G8077" s="3">
        <v>0.0</v>
      </c>
      <c r="H8077" s="3">
        <v>0.0</v>
      </c>
      <c r="I8077" s="3" t="s">
        <v>13</v>
      </c>
      <c r="J8077" s="3" t="s">
        <v>23118</v>
      </c>
      <c r="K8077" s="3" t="s">
        <v>75</v>
      </c>
      <c r="L8077" s="3" t="str">
        <f>IFERROR(__xludf.DUMMYFUNCTION("GOOGLETRANSLATE(F8077,""id"",""en"")"),"Actually, Saudi Arabia, who won this year's pildun, was defeated Argentina beforehand")</f>
        <v>Actually, Saudi Arabia, who won this year's pildun, was defeated Argentina beforehand</v>
      </c>
    </row>
    <row r="8078" ht="15.75" customHeight="1">
      <c r="A8078" s="1">
        <v>9298.0</v>
      </c>
      <c r="B8078" s="3" t="s">
        <v>23119</v>
      </c>
      <c r="C8078" s="3">
        <v>0.0</v>
      </c>
      <c r="D8078" s="3">
        <v>0.0</v>
      </c>
      <c r="E8078" s="3">
        <v>1.0</v>
      </c>
      <c r="F8078" s="3" t="s">
        <v>23120</v>
      </c>
      <c r="G8078" s="3">
        <v>0.0</v>
      </c>
      <c r="H8078" s="3">
        <v>0.0</v>
      </c>
      <c r="I8078" s="3" t="s">
        <v>13</v>
      </c>
      <c r="J8078" s="3" t="s">
        <v>23121</v>
      </c>
      <c r="K8078" s="3" t="s">
        <v>644</v>
      </c>
      <c r="L8078" s="3" t="str">
        <f>IFERROR(__xludf.DUMMYFUNCTION("GOOGLETRANSLATE(F8078,""id"",""en"")"),"Champion is not only belonging to Argentina")</f>
        <v>Champion is not only belonging to Argentina</v>
      </c>
    </row>
    <row r="8079" ht="15.75" customHeight="1">
      <c r="A8079" s="1">
        <v>9299.0</v>
      </c>
      <c r="B8079" s="3" t="s">
        <v>23122</v>
      </c>
      <c r="C8079" s="3">
        <v>1.0</v>
      </c>
      <c r="D8079" s="3">
        <v>0.0</v>
      </c>
      <c r="E8079" s="3">
        <v>0.0</v>
      </c>
      <c r="F8079" s="3" t="s">
        <v>23123</v>
      </c>
      <c r="G8079" s="3">
        <v>0.0</v>
      </c>
      <c r="H8079" s="3">
        <v>0.0</v>
      </c>
      <c r="I8079" s="3" t="s">
        <v>13</v>
      </c>
      <c r="J8079" s="3" t="s">
        <v>23124</v>
      </c>
      <c r="K8079" s="3" t="s">
        <v>41</v>
      </c>
      <c r="L8079" s="3" t="str">
        <f>IFERROR(__xludf.DUMMYFUNCTION("GOOGLETRANSLATE(F8079,""id"",""en"")"),"Argentina often champions only BTW and finally before Messi was born in the year")</f>
        <v>Argentina often champions only BTW and finally before Messi was born in the year</v>
      </c>
    </row>
    <row r="8080" ht="15.75" customHeight="1">
      <c r="A8080" s="1">
        <v>9300.0</v>
      </c>
      <c r="B8080" s="3" t="s">
        <v>23125</v>
      </c>
      <c r="C8080" s="3">
        <v>0.0</v>
      </c>
      <c r="D8080" s="3">
        <v>2.0</v>
      </c>
      <c r="E8080" s="3">
        <v>15.0</v>
      </c>
      <c r="F8080" s="3" t="s">
        <v>23126</v>
      </c>
      <c r="G8080" s="3">
        <v>0.0</v>
      </c>
      <c r="H8080" s="3">
        <v>0.0</v>
      </c>
      <c r="I8080" s="3" t="s">
        <v>13</v>
      </c>
      <c r="J8080" s="3" t="s">
        <v>23127</v>
      </c>
      <c r="K8080" s="3" t="s">
        <v>90</v>
      </c>
      <c r="L8080" s="3" t="str">
        <f>IFERROR(__xludf.DUMMYFUNCTION("GOOGLETRANSLATE(F8080,""id"",""en"")"),"Lionel Messi wrote an Instagram message after Argentina Champion the Pulga World Cup could not believe the dream that continued to be nurtured finally realized")</f>
        <v>Lionel Messi wrote an Instagram message after Argentina Champion the Pulga World Cup could not believe the dream that continued to be nurtured finally realized</v>
      </c>
    </row>
    <row r="8081" ht="15.75" customHeight="1">
      <c r="A8081" s="1">
        <v>9301.0</v>
      </c>
      <c r="B8081" s="3" t="s">
        <v>23128</v>
      </c>
      <c r="C8081" s="3">
        <v>1.0</v>
      </c>
      <c r="D8081" s="3">
        <v>0.0</v>
      </c>
      <c r="E8081" s="3">
        <v>1.0</v>
      </c>
      <c r="F8081" s="3" t="s">
        <v>23129</v>
      </c>
      <c r="G8081" s="3">
        <v>0.0</v>
      </c>
      <c r="H8081" s="3">
        <v>0.0</v>
      </c>
      <c r="I8081" s="3" t="s">
        <v>13</v>
      </c>
      <c r="J8081" s="3" t="s">
        <v>23130</v>
      </c>
      <c r="K8081" s="3" t="s">
        <v>695</v>
      </c>
      <c r="L8081" s="3" t="str">
        <f>IFERROR(__xludf.DUMMYFUNCTION("GOOGLETRANSLATE(F8081,""id"",""en"")"),"I don't think Argentina world champion will be gawe mood, I don't work, sregep, soyo ndodro lehku is scrolled in Argentina content")</f>
        <v>I don't think Argentina world champion will be gawe mood, I don't work, sregep, soyo ndodro lehku is scrolled in Argentina content</v>
      </c>
    </row>
    <row r="8082" ht="15.75" customHeight="1">
      <c r="A8082" s="1">
        <v>9302.0</v>
      </c>
      <c r="B8082" s="3" t="s">
        <v>23131</v>
      </c>
      <c r="C8082" s="3">
        <v>0.0</v>
      </c>
      <c r="D8082" s="3">
        <v>0.0</v>
      </c>
      <c r="E8082" s="3">
        <v>0.0</v>
      </c>
      <c r="F8082" s="3" t="s">
        <v>23132</v>
      </c>
      <c r="G8082" s="3">
        <v>0.1</v>
      </c>
      <c r="H8082" s="3">
        <v>0.0</v>
      </c>
      <c r="I8082" s="3" t="s">
        <v>13</v>
      </c>
      <c r="J8082" s="3" t="s">
        <v>23133</v>
      </c>
      <c r="K8082" s="3" t="s">
        <v>1293</v>
      </c>
      <c r="L8082" s="3" t="str">
        <f>IFERROR(__xludf.DUMMYFUNCTION("GOOGLETRANSLATE(F8082,""id"",""en"")"),"Then Mr. Claudio Tapia made Argentine national team champion Lionel Messi Political Tool Political Transport for Buenos Aires")</f>
        <v>Then Mr. Claudio Tapia made Argentine national team champion Lionel Messi Political Tool Political Transport for Buenos Aires</v>
      </c>
    </row>
    <row r="8083" ht="15.75" customHeight="1">
      <c r="A8083" s="1">
        <v>9303.0</v>
      </c>
      <c r="B8083" s="3" t="s">
        <v>23134</v>
      </c>
      <c r="C8083" s="3">
        <v>1.0</v>
      </c>
      <c r="D8083" s="3">
        <v>0.0</v>
      </c>
      <c r="E8083" s="3">
        <v>0.0</v>
      </c>
      <c r="F8083" s="3" t="s">
        <v>23135</v>
      </c>
      <c r="G8083" s="3">
        <v>0.0</v>
      </c>
      <c r="H8083" s="3">
        <v>0.0</v>
      </c>
      <c r="I8083" s="3" t="s">
        <v>13</v>
      </c>
      <c r="J8083" s="3" t="s">
        <v>23136</v>
      </c>
      <c r="K8083" s="3" t="s">
        <v>495</v>
      </c>
      <c r="L8083" s="3" t="str">
        <f>IFERROR(__xludf.DUMMYFUNCTION("GOOGLETRANSLATE(F8083,""id"",""en"")"),"Four Lionel Scaloni Pablo Aimar Walter Walter Samuel and Roberto Ayala's best team Argentina coach Messi won the championship")</f>
        <v>Four Lionel Scaloni Pablo Aimar Walter Walter Samuel and Roberto Ayala's best team Argentina coach Messi won the championship</v>
      </c>
    </row>
    <row r="8084" ht="15.75" customHeight="1">
      <c r="A8084" s="1">
        <v>9304.0</v>
      </c>
      <c r="B8084" s="3" t="s">
        <v>23137</v>
      </c>
      <c r="C8084" s="3">
        <v>0.0</v>
      </c>
      <c r="D8084" s="3">
        <v>1.0</v>
      </c>
      <c r="E8084" s="3">
        <v>11.0</v>
      </c>
      <c r="F8084" s="3" t="s">
        <v>23138</v>
      </c>
      <c r="G8084" s="3">
        <v>0.0</v>
      </c>
      <c r="H8084" s="3">
        <v>0.0</v>
      </c>
      <c r="I8084" s="3" t="s">
        <v>13</v>
      </c>
      <c r="J8084" s="3" t="s">
        <v>23139</v>
      </c>
      <c r="K8084" s="3" t="s">
        <v>184</v>
      </c>
      <c r="L8084" s="3" t="str">
        <f>IFERROR(__xludf.DUMMYFUNCTION("GOOGLETRANSLATE(F8084,""id"",""en"")"),"Rodrigo Paul also contributed to carrying Argentina World Cup champion Paul was truly like an albiceleste bodyguard hard opponent to protect his territory")</f>
        <v>Rodrigo Paul also contributed to carrying Argentina World Cup champion Paul was truly like an albiceleste bodyguard hard opponent to protect his territory</v>
      </c>
    </row>
    <row r="8085" ht="15.75" customHeight="1">
      <c r="A8085" s="1">
        <v>9305.0</v>
      </c>
      <c r="B8085" s="3" t="s">
        <v>23140</v>
      </c>
      <c r="C8085" s="3">
        <v>1.0</v>
      </c>
      <c r="D8085" s="3">
        <v>0.0</v>
      </c>
      <c r="E8085" s="3">
        <v>0.0</v>
      </c>
      <c r="F8085" s="3" t="s">
        <v>18529</v>
      </c>
      <c r="G8085" s="3">
        <v>0.0</v>
      </c>
      <c r="H8085" s="3">
        <v>0.0</v>
      </c>
      <c r="I8085" s="3" t="s">
        <v>13</v>
      </c>
      <c r="J8085" s="3" t="s">
        <v>18530</v>
      </c>
      <c r="K8085" s="3" t="s">
        <v>2117</v>
      </c>
      <c r="L8085" s="3" t="str">
        <f>IFERROR(__xludf.DUMMYFUNCTION("GOOGLETRANSLATE(F8085,""id"",""en"")"),"Argentina deserves champions")</f>
        <v>Argentina deserves champions</v>
      </c>
    </row>
    <row r="8086" ht="15.75" customHeight="1">
      <c r="A8086" s="1">
        <v>9306.0</v>
      </c>
      <c r="B8086" s="3" t="s">
        <v>23141</v>
      </c>
      <c r="C8086" s="3">
        <v>1.0</v>
      </c>
      <c r="D8086" s="3">
        <v>0.0</v>
      </c>
      <c r="E8086" s="3">
        <v>0.0</v>
      </c>
      <c r="F8086" s="3" t="s">
        <v>23142</v>
      </c>
      <c r="G8086" s="3">
        <v>1.0</v>
      </c>
      <c r="H8086" s="3">
        <v>0.8</v>
      </c>
      <c r="I8086" s="3" t="s">
        <v>48</v>
      </c>
      <c r="J8086" s="3" t="s">
        <v>23143</v>
      </c>
      <c r="K8086" s="3" t="s">
        <v>240</v>
      </c>
      <c r="L8086" s="3" t="str">
        <f>IFERROR(__xludf.DUMMYFUNCTION("GOOGLETRANSLATE(F8086,""id"",""en"")"),"Sii has asked about this twit, I know the name Ditas Answer who is Argentina champion bro happy")</f>
        <v>Sii has asked about this twit, I know the name Ditas Answer who is Argentina champion bro happy</v>
      </c>
    </row>
    <row r="8087" ht="15.75" customHeight="1">
      <c r="A8087" s="1">
        <v>9307.0</v>
      </c>
      <c r="B8087" s="3" t="s">
        <v>23144</v>
      </c>
      <c r="C8087" s="3">
        <v>0.0</v>
      </c>
      <c r="D8087" s="3">
        <v>0.0</v>
      </c>
      <c r="E8087" s="3">
        <v>0.0</v>
      </c>
      <c r="F8087" s="3" t="s">
        <v>23145</v>
      </c>
      <c r="G8087" s="3">
        <v>1.0</v>
      </c>
      <c r="H8087" s="3">
        <v>0.0</v>
      </c>
      <c r="I8087" s="3" t="s">
        <v>13</v>
      </c>
      <c r="J8087" s="3" t="s">
        <v>23146</v>
      </c>
      <c r="K8087" s="3" t="s">
        <v>348</v>
      </c>
      <c r="L8087" s="3" t="str">
        <f>IFERROR(__xludf.DUMMYFUNCTION("GOOGLETRANSLATE(F8087,""id"",""en"")"),"France failed to win the World Cup after being defeated by Argentina, the final of the results made the future of Didier Deschamps widely speculated")</f>
        <v>France failed to win the World Cup after being defeated by Argentina, the final of the results made the future of Didier Deschamps widely speculated</v>
      </c>
    </row>
    <row r="8088" ht="15.75" customHeight="1">
      <c r="A8088" s="1">
        <v>9308.0</v>
      </c>
      <c r="B8088" s="3" t="s">
        <v>23147</v>
      </c>
      <c r="C8088" s="3">
        <v>0.0</v>
      </c>
      <c r="D8088" s="3">
        <v>0.0</v>
      </c>
      <c r="E8088" s="3">
        <v>1.0</v>
      </c>
      <c r="F8088" s="3" t="s">
        <v>23148</v>
      </c>
      <c r="G8088" s="3">
        <v>0.0</v>
      </c>
      <c r="H8088" s="3">
        <v>0.0</v>
      </c>
      <c r="I8088" s="3" t="s">
        <v>13</v>
      </c>
      <c r="J8088" s="3" t="s">
        <v>23149</v>
      </c>
      <c r="K8088" s="3" t="s">
        <v>19</v>
      </c>
      <c r="L8088" s="3" t="str">
        <f>IFERROR(__xludf.DUMMYFUNCTION("GOOGLETRANSLATE(F8088,""id"",""en"")"),"Argentina Champion World Cup Ketum PSSI Iwan Bule joined the giant trophy")</f>
        <v>Argentina Champion World Cup Ketum PSSI Iwan Bule joined the giant trophy</v>
      </c>
    </row>
    <row r="8089" ht="15.75" customHeight="1">
      <c r="A8089" s="1">
        <v>9309.0</v>
      </c>
      <c r="B8089" s="3" t="s">
        <v>23150</v>
      </c>
      <c r="C8089" s="3">
        <v>1.0</v>
      </c>
      <c r="D8089" s="3">
        <v>0.0</v>
      </c>
      <c r="E8089" s="3">
        <v>1.0</v>
      </c>
      <c r="F8089" s="3" t="s">
        <v>23151</v>
      </c>
      <c r="G8089" s="3">
        <v>0.0</v>
      </c>
      <c r="H8089" s="3">
        <v>0.0</v>
      </c>
      <c r="I8089" s="3" t="s">
        <v>13</v>
      </c>
      <c r="J8089" s="3" t="s">
        <v>23152</v>
      </c>
      <c r="K8089" s="3" t="s">
        <v>644</v>
      </c>
      <c r="L8089" s="3" t="str">
        <f>IFERROR(__xludf.DUMMYFUNCTION("GOOGLETRANSLATE(F8089,""id"",""en"")"),"Argentina World Champion Qatar")</f>
        <v>Argentina World Champion Qatar</v>
      </c>
    </row>
    <row r="8090" ht="15.75" customHeight="1">
      <c r="A8090" s="1">
        <v>9310.0</v>
      </c>
      <c r="B8090" s="3" t="s">
        <v>23153</v>
      </c>
      <c r="C8090" s="3">
        <v>0.0</v>
      </c>
      <c r="D8090" s="3">
        <v>0.0</v>
      </c>
      <c r="E8090" s="3">
        <v>0.0</v>
      </c>
      <c r="F8090" s="3" t="s">
        <v>23145</v>
      </c>
      <c r="G8090" s="3">
        <v>1.0</v>
      </c>
      <c r="H8090" s="3">
        <v>0.0</v>
      </c>
      <c r="I8090" s="3" t="s">
        <v>13</v>
      </c>
      <c r="J8090" s="3" t="s">
        <v>23146</v>
      </c>
      <c r="K8090" s="3" t="s">
        <v>348</v>
      </c>
      <c r="L8090" s="3" t="str">
        <f>IFERROR(__xludf.DUMMYFUNCTION("GOOGLETRANSLATE(F8090,""id"",""en"")"),"France failed to win the World Cup after being defeated by Argentina, the final of the results made the future of Didier Deschamps widely speculated")</f>
        <v>France failed to win the World Cup after being defeated by Argentina, the final of the results made the future of Didier Deschamps widely speculated</v>
      </c>
    </row>
    <row r="8091" ht="15.75" customHeight="1">
      <c r="A8091" s="1">
        <v>9311.0</v>
      </c>
      <c r="B8091" s="3" t="s">
        <v>23154</v>
      </c>
      <c r="C8091" s="3">
        <v>3.0</v>
      </c>
      <c r="D8091" s="3">
        <v>0.0</v>
      </c>
      <c r="E8091" s="3">
        <v>0.0</v>
      </c>
      <c r="F8091" s="3" t="s">
        <v>23155</v>
      </c>
      <c r="G8091" s="3">
        <v>0.0</v>
      </c>
      <c r="H8091" s="3">
        <v>0.0</v>
      </c>
      <c r="I8091" s="3" t="s">
        <v>13</v>
      </c>
      <c r="J8091" s="3" t="s">
        <v>23156</v>
      </c>
      <c r="K8091" s="3" t="s">
        <v>135</v>
      </c>
      <c r="L8091" s="3" t="str">
        <f>IFERROR(__xludf.DUMMYFUNCTION("GOOGLETRANSLATE(F8091,""id"",""en"")"),"Like the word Ronaldo Kya Ranieri carrying Leicester champion EPL it feels different before the team has never been a champion at all different from Argentina and often champions")</f>
        <v>Like the word Ronaldo Kya Ranieri carrying Leicester champion EPL it feels different before the team has never been a champion at all different from Argentina and often champions</v>
      </c>
    </row>
    <row r="8092" ht="15.75" customHeight="1">
      <c r="A8092" s="1">
        <v>9312.0</v>
      </c>
      <c r="B8092" s="3" t="s">
        <v>23157</v>
      </c>
      <c r="C8092" s="3">
        <v>0.0</v>
      </c>
      <c r="D8092" s="3">
        <v>0.0</v>
      </c>
      <c r="E8092" s="3">
        <v>0.0</v>
      </c>
      <c r="F8092" s="3" t="s">
        <v>23158</v>
      </c>
      <c r="G8092" s="3">
        <v>0.0</v>
      </c>
      <c r="H8092" s="3">
        <v>0.0</v>
      </c>
      <c r="I8092" s="3" t="s">
        <v>13</v>
      </c>
      <c r="J8092" s="3" t="s">
        <v>23159</v>
      </c>
      <c r="K8092" s="3" t="s">
        <v>244</v>
      </c>
      <c r="L8092" s="3" t="str">
        <f>IFERROR(__xludf.DUMMYFUNCTION("GOOGLETRANSLATE(F8092,""id"",""en"")"),"Congrast for Pulga who managed to bring Argentina out as World Cup Champion Info Info")</f>
        <v>Congrast for Pulga who managed to bring Argentina out as World Cup Champion Info Info</v>
      </c>
    </row>
    <row r="8093" ht="15.75" customHeight="1">
      <c r="A8093" s="1">
        <v>9313.0</v>
      </c>
      <c r="B8093" s="3" t="s">
        <v>23160</v>
      </c>
      <c r="C8093" s="3">
        <v>0.0</v>
      </c>
      <c r="D8093" s="3">
        <v>0.0</v>
      </c>
      <c r="E8093" s="3">
        <v>0.0</v>
      </c>
      <c r="F8093" s="3" t="s">
        <v>23161</v>
      </c>
      <c r="G8093" s="3">
        <v>0.0</v>
      </c>
      <c r="H8093" s="3">
        <v>0.0</v>
      </c>
      <c r="I8093" s="3" t="s">
        <v>13</v>
      </c>
      <c r="J8093" s="3" t="s">
        <v>23162</v>
      </c>
      <c r="K8093" s="3" t="s">
        <v>31</v>
      </c>
      <c r="L8093" s="3" t="str">
        <f>IFERROR(__xludf.DUMMYFUNCTION("GOOGLETRANSLATE(F8093,""id"",""en"")"),"Argentina PKB World Champion Tembaya")</f>
        <v>Argentina PKB World Champion Tembaya</v>
      </c>
    </row>
    <row r="8094" ht="15.75" customHeight="1">
      <c r="A8094" s="1">
        <v>9314.0</v>
      </c>
      <c r="B8094" s="3" t="s">
        <v>23163</v>
      </c>
      <c r="C8094" s="3">
        <v>0.0</v>
      </c>
      <c r="D8094" s="3">
        <v>0.0</v>
      </c>
      <c r="E8094" s="3">
        <v>0.0</v>
      </c>
      <c r="F8094" s="3" t="s">
        <v>23158</v>
      </c>
      <c r="G8094" s="3">
        <v>0.0</v>
      </c>
      <c r="H8094" s="3">
        <v>0.0</v>
      </c>
      <c r="I8094" s="3" t="s">
        <v>13</v>
      </c>
      <c r="J8094" s="3" t="s">
        <v>23159</v>
      </c>
      <c r="K8094" s="3" t="s">
        <v>244</v>
      </c>
      <c r="L8094" s="3" t="str">
        <f>IFERROR(__xludf.DUMMYFUNCTION("GOOGLETRANSLATE(F8094,""id"",""en"")"),"Congrast for Pulga who managed to bring Argentina out as World Cup Champion Info Info")</f>
        <v>Congrast for Pulga who managed to bring Argentina out as World Cup Champion Info Info</v>
      </c>
    </row>
    <row r="8095" ht="15.75" customHeight="1">
      <c r="A8095" s="1">
        <v>9315.0</v>
      </c>
      <c r="B8095" s="3" t="s">
        <v>23164</v>
      </c>
      <c r="C8095" s="3">
        <v>0.0</v>
      </c>
      <c r="D8095" s="3">
        <v>0.0</v>
      </c>
      <c r="E8095" s="3">
        <v>0.0</v>
      </c>
      <c r="F8095" s="3" t="s">
        <v>23165</v>
      </c>
      <c r="G8095" s="3">
        <v>0.0</v>
      </c>
      <c r="H8095" s="3">
        <v>0.0</v>
      </c>
      <c r="I8095" s="3" t="s">
        <v>13</v>
      </c>
      <c r="J8095" s="3" t="s">
        <v>23166</v>
      </c>
      <c r="K8095" s="3" t="s">
        <v>19</v>
      </c>
      <c r="L8095" s="3" t="str">
        <f>IFERROR(__xludf.DUMMYFUNCTION("GOOGLETRANSLATE(F8095,""id"",""en"")"),"Argentina Champion World Cup Shah Rukh Khan wrote a touching message for Lionel Messi")</f>
        <v>Argentina Champion World Cup Shah Rukh Khan wrote a touching message for Lionel Messi</v>
      </c>
    </row>
    <row r="8096" ht="15.75" customHeight="1">
      <c r="A8096" s="1">
        <v>9316.0</v>
      </c>
      <c r="B8096" s="3" t="s">
        <v>23167</v>
      </c>
      <c r="C8096" s="3">
        <v>1.0</v>
      </c>
      <c r="D8096" s="3">
        <v>1.0</v>
      </c>
      <c r="E8096" s="3">
        <v>0.0</v>
      </c>
      <c r="F8096" s="3" t="s">
        <v>23168</v>
      </c>
      <c r="G8096" s="3">
        <v>0.0</v>
      </c>
      <c r="H8096" s="3">
        <v>0.0</v>
      </c>
      <c r="I8096" s="3" t="s">
        <v>13</v>
      </c>
      <c r="J8096" s="3" t="s">
        <v>23169</v>
      </c>
      <c r="K8096" s="3" t="s">
        <v>1293</v>
      </c>
      <c r="L8096" s="3" t="str">
        <f>IFERROR(__xludf.DUMMYFUNCTION("GOOGLETRANSLATE(F8096,""id"",""en"")"),"After Argentina, world champions, you better, admin, I want to ask, what kind of movie, I really want to watch the year,")</f>
        <v>After Argentina, world champions, you better, admin, I want to ask, what kind of movie, I really want to watch the year,</v>
      </c>
    </row>
    <row r="8097" ht="15.75" customHeight="1">
      <c r="A8097" s="1">
        <v>9317.0</v>
      </c>
      <c r="B8097" s="3" t="s">
        <v>23170</v>
      </c>
      <c r="C8097" s="3">
        <v>0.0</v>
      </c>
      <c r="D8097" s="3">
        <v>0.0</v>
      </c>
      <c r="E8097" s="3">
        <v>0.0</v>
      </c>
      <c r="F8097" s="3" t="s">
        <v>23171</v>
      </c>
      <c r="G8097" s="3">
        <v>0.0</v>
      </c>
      <c r="H8097" s="3">
        <v>0.0</v>
      </c>
      <c r="I8097" s="3" t="s">
        <v>13</v>
      </c>
      <c r="J8097" s="3" t="s">
        <v>23172</v>
      </c>
      <c r="K8097" s="3" t="s">
        <v>510</v>
      </c>
      <c r="L8097" s="3" t="str">
        <f>IFERROR(__xludf.DUMMYFUNCTION("GOOGLETRANSLATE(F8097,""id"",""en"")"),"Happy Argentina for his world champion Lionel Andres Messi Best Player of All Time Respect")</f>
        <v>Happy Argentina for his world champion Lionel Andres Messi Best Player of All Time Respect</v>
      </c>
    </row>
    <row r="8098" ht="15.75" customHeight="1">
      <c r="A8098" s="1">
        <v>9318.0</v>
      </c>
      <c r="B8098" s="3" t="s">
        <v>23173</v>
      </c>
      <c r="C8098" s="3">
        <v>0.0</v>
      </c>
      <c r="D8098" s="3">
        <v>0.0</v>
      </c>
      <c r="E8098" s="3">
        <v>0.0</v>
      </c>
      <c r="F8098" s="3" t="s">
        <v>23174</v>
      </c>
      <c r="G8098" s="3">
        <v>0.0</v>
      </c>
      <c r="H8098" s="3">
        <v>0.0</v>
      </c>
      <c r="I8098" s="3" t="s">
        <v>13</v>
      </c>
      <c r="J8098" s="3" t="s">
        <v>23175</v>
      </c>
      <c r="K8098" s="3" t="s">
        <v>75</v>
      </c>
      <c r="L8098" s="3" t="str">
        <f>IFERROR(__xludf.DUMMYFUNCTION("GOOGLETRANSLATE(F8098,""id"",""en"")"),"World Cup Guard Argentine Player Tradition Net Scissors After Champion")</f>
        <v>World Cup Guard Argentine Player Tradition Net Scissors After Champion</v>
      </c>
    </row>
    <row r="8099" ht="15.75" customHeight="1">
      <c r="A8099" s="1">
        <v>9319.0</v>
      </c>
      <c r="B8099" s="3" t="s">
        <v>23176</v>
      </c>
      <c r="C8099" s="3">
        <v>0.0</v>
      </c>
      <c r="D8099" s="3">
        <v>0.0</v>
      </c>
      <c r="E8099" s="3">
        <v>1.0</v>
      </c>
      <c r="F8099" s="3" t="s">
        <v>23177</v>
      </c>
      <c r="G8099" s="3">
        <v>0.0</v>
      </c>
      <c r="H8099" s="3">
        <v>0.0</v>
      </c>
      <c r="I8099" s="3" t="s">
        <v>13</v>
      </c>
      <c r="J8099" s="3" t="s">
        <v>23178</v>
      </c>
      <c r="K8099" s="3" t="s">
        <v>82</v>
      </c>
      <c r="L8099" s="3" t="str">
        <f>IFERROR(__xludf.DUMMYFUNCTION("GOOGLETRANSLATE(F8099,""id"",""en"")"),"The best Qatar World Cup Argentina Champion")</f>
        <v>The best Qatar World Cup Argentina Champion</v>
      </c>
    </row>
    <row r="8100" ht="15.75" customHeight="1">
      <c r="A8100" s="1">
        <v>9320.0</v>
      </c>
      <c r="B8100" s="3" t="s">
        <v>23179</v>
      </c>
      <c r="C8100" s="3">
        <v>0.0</v>
      </c>
      <c r="D8100" s="3">
        <v>0.0</v>
      </c>
      <c r="E8100" s="3">
        <v>0.0</v>
      </c>
      <c r="F8100" s="3" t="s">
        <v>23180</v>
      </c>
      <c r="G8100" s="3">
        <v>0.0</v>
      </c>
      <c r="H8100" s="3">
        <v>0.0</v>
      </c>
      <c r="I8100" s="3" t="s">
        <v>13</v>
      </c>
      <c r="J8100" s="3" t="s">
        <v>23181</v>
      </c>
      <c r="K8100" s="3" t="s">
        <v>41</v>
      </c>
      <c r="L8100" s="3" t="str">
        <f>IFERROR(__xludf.DUMMYFUNCTION("GOOGLETRANSLATE(F8100,""id"",""en"")"),"Not Sia Nobar See Argentina Happy Messi the Legend of Champion")</f>
        <v>Not Sia Nobar See Argentina Happy Messi the Legend of Champion</v>
      </c>
    </row>
    <row r="8101" ht="15.75" customHeight="1">
      <c r="A8101" s="1">
        <v>9321.0</v>
      </c>
      <c r="B8101" s="3" t="s">
        <v>23182</v>
      </c>
      <c r="C8101" s="3">
        <v>0.0</v>
      </c>
      <c r="D8101" s="3">
        <v>0.0</v>
      </c>
      <c r="E8101" s="3">
        <v>0.0</v>
      </c>
      <c r="F8101" s="3" t="s">
        <v>23183</v>
      </c>
      <c r="G8101" s="3">
        <v>0.0</v>
      </c>
      <c r="H8101" s="3">
        <v>0.0</v>
      </c>
      <c r="I8101" s="3" t="s">
        <v>13</v>
      </c>
      <c r="J8101" s="3" t="s">
        <v>23184</v>
      </c>
      <c r="K8101" s="3" t="s">
        <v>82</v>
      </c>
      <c r="L8101" s="3" t="str">
        <f>IFERROR(__xludf.DUMMYFUNCTION("GOOGLETRANSLATE(F8101,""id"",""en"")"),"Redsindo Georgina is happy whether sad Argentina is champion")</f>
        <v>Redsindo Georgina is happy whether sad Argentina is champion</v>
      </c>
    </row>
    <row r="8102" ht="15.75" customHeight="1">
      <c r="A8102" s="1">
        <v>9322.0</v>
      </c>
      <c r="B8102" s="3" t="s">
        <v>23185</v>
      </c>
      <c r="C8102" s="3">
        <v>0.0</v>
      </c>
      <c r="D8102" s="3">
        <v>0.0</v>
      </c>
      <c r="E8102" s="3">
        <v>1.0</v>
      </c>
      <c r="F8102" s="3" t="s">
        <v>23186</v>
      </c>
      <c r="G8102" s="3">
        <v>0.0</v>
      </c>
      <c r="H8102" s="3">
        <v>0.0</v>
      </c>
      <c r="I8102" s="3" t="s">
        <v>13</v>
      </c>
      <c r="J8102" s="3" t="s">
        <v>23187</v>
      </c>
      <c r="K8102" s="3" t="s">
        <v>123</v>
      </c>
      <c r="L8102" s="3" t="str">
        <f>IFERROR(__xludf.DUMMYFUNCTION("GOOGLETRANSLATE(F8102,""id"",""en"")"),"Argentina Champion Qatar World Cup President Alberto Fernandez is busy replying to the congratulatory of the Social Media Leader")</f>
        <v>Argentina Champion Qatar World Cup President Alberto Fernandez is busy replying to the congratulatory of the Social Media Leader</v>
      </c>
    </row>
    <row r="8103" ht="15.75" customHeight="1">
      <c r="A8103" s="1">
        <v>9323.0</v>
      </c>
      <c r="B8103" s="3" t="s">
        <v>23188</v>
      </c>
      <c r="C8103" s="3">
        <v>1.0</v>
      </c>
      <c r="D8103" s="3">
        <v>0.0</v>
      </c>
      <c r="E8103" s="3">
        <v>0.0</v>
      </c>
      <c r="F8103" s="3" t="s">
        <v>23189</v>
      </c>
      <c r="G8103" s="3">
        <v>1.0</v>
      </c>
      <c r="H8103" s="3">
        <v>0.0</v>
      </c>
      <c r="I8103" s="3" t="s">
        <v>13</v>
      </c>
      <c r="J8103" s="3" t="s">
        <v>23190</v>
      </c>
      <c r="K8103" s="3" t="s">
        <v>16362</v>
      </c>
      <c r="L8103" s="3" t="str">
        <f>IFERROR(__xludf.DUMMYFUNCTION("GOOGLETRANSLATE(F8103,""id"",""en"")"),"From the French World Cup event, the final passed the final with the world championship while Argentina times the World Cup event can penetrate the final by becoming a champion and Italy has already been")</f>
        <v>From the French World Cup event, the final passed the final with the world championship while Argentina times the World Cup event can penetrate the final by becoming a champion and Italy has already been</v>
      </c>
    </row>
    <row r="8104" ht="15.75" customHeight="1">
      <c r="A8104" s="1">
        <v>9324.0</v>
      </c>
      <c r="B8104" s="3" t="s">
        <v>23191</v>
      </c>
      <c r="C8104" s="3">
        <v>0.0</v>
      </c>
      <c r="D8104" s="3">
        <v>0.0</v>
      </c>
      <c r="E8104" s="3">
        <v>0.0</v>
      </c>
      <c r="F8104" s="3" t="s">
        <v>23192</v>
      </c>
      <c r="G8104" s="3">
        <v>0.0</v>
      </c>
      <c r="H8104" s="3">
        <v>0.0</v>
      </c>
      <c r="I8104" s="3" t="s">
        <v>13</v>
      </c>
      <c r="J8104" s="3" t="s">
        <v>23193</v>
      </c>
      <c r="K8104" s="3" t="s">
        <v>19</v>
      </c>
      <c r="L8104" s="3" t="str">
        <f>IFERROR(__xludf.DUMMYFUNCTION("GOOGLETRANSLATE(F8104,""id"",""en"")"),"Liverpool if you want to join in the Argentina Hype Champion, you can use Mascherano photos, GPP")</f>
        <v>Liverpool if you want to join in the Argentina Hype Champion, you can use Mascherano photos, GPP</v>
      </c>
    </row>
    <row r="8105" ht="15.75" customHeight="1">
      <c r="A8105" s="1">
        <v>9325.0</v>
      </c>
      <c r="B8105" s="3" t="s">
        <v>23194</v>
      </c>
      <c r="C8105" s="3">
        <v>0.0</v>
      </c>
      <c r="D8105" s="3">
        <v>0.0</v>
      </c>
      <c r="E8105" s="3">
        <v>0.0</v>
      </c>
      <c r="F8105" s="3" t="s">
        <v>23195</v>
      </c>
      <c r="G8105" s="3">
        <v>0.0</v>
      </c>
      <c r="H8105" s="3">
        <v>0.0</v>
      </c>
      <c r="I8105" s="3" t="s">
        <v>13</v>
      </c>
      <c r="J8105" s="3" t="s">
        <v>23196</v>
      </c>
      <c r="K8105" s="3" t="s">
        <v>1293</v>
      </c>
      <c r="L8105" s="3" t="str">
        <f>IFERROR(__xludf.DUMMYFUNCTION("GOOGLETRANSLATE(F8105,""id"",""en"")"),"Funny with his supporters of France Indonesian people, he said Argentina, this setting champion, is the world's event, bro, I think it's a pity for such thoughts")</f>
        <v>Funny with his supporters of France Indonesian people, he said Argentina, this setting champion, is the world's event, bro, I think it's a pity for such thoughts</v>
      </c>
    </row>
    <row r="8106" ht="15.75" customHeight="1">
      <c r="A8106" s="1">
        <v>9326.0</v>
      </c>
      <c r="B8106" s="3" t="s">
        <v>23197</v>
      </c>
      <c r="C8106" s="3">
        <v>0.0</v>
      </c>
      <c r="D8106" s="3">
        <v>0.0</v>
      </c>
      <c r="E8106" s="3">
        <v>0.0</v>
      </c>
      <c r="F8106" s="3" t="s">
        <v>23198</v>
      </c>
      <c r="G8106" s="3">
        <v>0.0</v>
      </c>
      <c r="H8106" s="3">
        <v>0.0</v>
      </c>
      <c r="I8106" s="3" t="s">
        <v>13</v>
      </c>
      <c r="J8106" s="3" t="s">
        <v>23199</v>
      </c>
      <c r="K8106" s="3" t="s">
        <v>54</v>
      </c>
      <c r="L8106" s="3" t="str">
        <f>IFERROR(__xludf.DUMMYFUNCTION("GOOGLETRANSLATE(F8106,""id"",""en"")"),"happy because Argentina champions Pilduun Min")</f>
        <v>happy because Argentina champions Pilduun Min</v>
      </c>
    </row>
    <row r="8107" ht="15.75" customHeight="1">
      <c r="A8107" s="1">
        <v>9327.0</v>
      </c>
      <c r="B8107" s="3" t="s">
        <v>23200</v>
      </c>
      <c r="C8107" s="3">
        <v>0.0</v>
      </c>
      <c r="D8107" s="3">
        <v>0.0</v>
      </c>
      <c r="E8107" s="3">
        <v>0.0</v>
      </c>
      <c r="F8107" s="3" t="s">
        <v>22300</v>
      </c>
      <c r="G8107" s="3">
        <v>0.0</v>
      </c>
      <c r="H8107" s="3">
        <v>0.0</v>
      </c>
      <c r="I8107" s="3" t="s">
        <v>13</v>
      </c>
      <c r="J8107" s="3" t="s">
        <v>22301</v>
      </c>
      <c r="K8107" s="3" t="s">
        <v>15</v>
      </c>
      <c r="L8107" s="3" t="str">
        <f>IFERROR(__xludf.DUMMYFUNCTION("GOOGLETRANSLATE(F8107,""id"",""en"")"),"Argentina Champion World Cup and Record Lionel Messi")</f>
        <v>Argentina Champion World Cup and Record Lionel Messi</v>
      </c>
    </row>
    <row r="8108" ht="15.75" customHeight="1">
      <c r="A8108" s="1">
        <v>9328.0</v>
      </c>
      <c r="B8108" s="3" t="s">
        <v>23201</v>
      </c>
      <c r="C8108" s="3">
        <v>0.0</v>
      </c>
      <c r="D8108" s="3">
        <v>0.0</v>
      </c>
      <c r="E8108" s="3">
        <v>0.0</v>
      </c>
      <c r="F8108" s="3" t="s">
        <v>23202</v>
      </c>
      <c r="G8108" s="3">
        <v>0.0</v>
      </c>
      <c r="H8108" s="3">
        <v>0.0</v>
      </c>
      <c r="I8108" s="3" t="s">
        <v>13</v>
      </c>
      <c r="J8108" s="3" t="s">
        <v>23203</v>
      </c>
      <c r="K8108" s="3" t="s">
        <v>860</v>
      </c>
      <c r="L8108" s="3" t="str">
        <f>IFERROR(__xludf.DUMMYFUNCTION("GOOGLETRANSLATE(F8108,""id"",""en"")"),"Argentina lost and France was the winner only the referee did not give a final kick when the Frenchman fell next to the goal of the ARGEN OFTIMIS Bget France was the real championship")</f>
        <v>Argentina lost and France was the winner only the referee did not give a final kick when the Frenchman fell next to the goal of the ARGEN OFTIMIS Bget France was the real championship</v>
      </c>
    </row>
    <row r="8109" ht="15.75" customHeight="1">
      <c r="A8109" s="1">
        <v>9329.0</v>
      </c>
      <c r="B8109" s="3" t="s">
        <v>23204</v>
      </c>
      <c r="C8109" s="3">
        <v>1.0</v>
      </c>
      <c r="D8109" s="3">
        <v>0.0</v>
      </c>
      <c r="E8109" s="3">
        <v>1.0</v>
      </c>
      <c r="F8109" s="3" t="s">
        <v>22584</v>
      </c>
      <c r="G8109" s="3">
        <v>0.0</v>
      </c>
      <c r="H8109" s="3">
        <v>0.0</v>
      </c>
      <c r="I8109" s="3" t="s">
        <v>13</v>
      </c>
      <c r="J8109" s="3" t="s">
        <v>22585</v>
      </c>
      <c r="K8109" s="3" t="s">
        <v>31</v>
      </c>
      <c r="L8109" s="3" t="str">
        <f>IFERROR(__xludf.DUMMYFUNCTION("GOOGLETRANSLATE(F8109,""id"",""en"")"),"Argentina Champion World Cup Qatar")</f>
        <v>Argentina Champion World Cup Qatar</v>
      </c>
    </row>
    <row r="8110" ht="15.75" customHeight="1">
      <c r="A8110" s="1">
        <v>9330.0</v>
      </c>
      <c r="B8110" s="3" t="s">
        <v>23205</v>
      </c>
      <c r="C8110" s="3">
        <v>0.0</v>
      </c>
      <c r="D8110" s="3">
        <v>0.0</v>
      </c>
      <c r="E8110" s="3">
        <v>0.0</v>
      </c>
      <c r="F8110" s="3" t="s">
        <v>23206</v>
      </c>
      <c r="G8110" s="3">
        <v>0.0</v>
      </c>
      <c r="H8110" s="3">
        <v>0.0</v>
      </c>
      <c r="I8110" s="3" t="s">
        <v>13</v>
      </c>
      <c r="J8110" s="3" t="s">
        <v>23207</v>
      </c>
      <c r="K8110" s="3" t="s">
        <v>240</v>
      </c>
      <c r="L8110" s="3" t="str">
        <f>IFERROR(__xludf.DUMMYFUNCTION("GOOGLETRANSLATE(F8110,""id"",""en"")"),"succeeded in bringing the Argentine national team to win the World Cup making Lionel Messi busy with congratulations from MotoGP racer")</f>
        <v>succeeded in bringing the Argentine national team to win the World Cup making Lionel Messi busy with congratulations from MotoGP racer</v>
      </c>
    </row>
    <row r="8111" ht="15.75" customHeight="1">
      <c r="A8111" s="1">
        <v>9331.0</v>
      </c>
      <c r="B8111" s="3" t="s">
        <v>23208</v>
      </c>
      <c r="C8111" s="3">
        <v>0.0</v>
      </c>
      <c r="D8111" s="3">
        <v>0.0</v>
      </c>
      <c r="E8111" s="3">
        <v>0.0</v>
      </c>
      <c r="F8111" s="3" t="s">
        <v>23209</v>
      </c>
      <c r="G8111" s="3">
        <v>0.0</v>
      </c>
      <c r="H8111" s="3">
        <v>0.0</v>
      </c>
      <c r="I8111" s="3" t="s">
        <v>13</v>
      </c>
      <c r="J8111" s="3" t="s">
        <v>23210</v>
      </c>
      <c r="K8111" s="3" t="s">
        <v>644</v>
      </c>
      <c r="L8111" s="3" t="str">
        <f>IFERROR(__xludf.DUMMYFUNCTION("GOOGLETRANSLATE(F8111,""id"",""en"")"),"Alhamdulillah Argentina World Champion")</f>
        <v>Alhamdulillah Argentina World Champion</v>
      </c>
    </row>
    <row r="8112" ht="15.75" customHeight="1">
      <c r="A8112" s="1">
        <v>9332.0</v>
      </c>
      <c r="B8112" s="3" t="s">
        <v>23211</v>
      </c>
      <c r="C8112" s="3">
        <v>0.0</v>
      </c>
      <c r="D8112" s="3">
        <v>0.0</v>
      </c>
      <c r="E8112" s="3">
        <v>1.0</v>
      </c>
      <c r="F8112" s="3" t="s">
        <v>23212</v>
      </c>
      <c r="G8112" s="3">
        <v>0.0</v>
      </c>
      <c r="H8112" s="3">
        <v>0.0</v>
      </c>
      <c r="I8112" s="3" t="s">
        <v>13</v>
      </c>
      <c r="J8112" s="3" t="s">
        <v>23213</v>
      </c>
      <c r="K8112" s="3" t="s">
        <v>82</v>
      </c>
      <c r="L8112" s="3" t="str">
        <f>IFERROR(__xludf.DUMMYFUNCTION("GOOGLETRANSLATE(F8112,""id"",""en"")"),"Argentina Champion Sleman won really a memorable day")</f>
        <v>Argentina Champion Sleman won really a memorable day</v>
      </c>
    </row>
    <row r="8113" ht="15.75" customHeight="1">
      <c r="A8113" s="1">
        <v>9333.0</v>
      </c>
      <c r="B8113" s="3" t="s">
        <v>23214</v>
      </c>
      <c r="C8113" s="3">
        <v>0.0</v>
      </c>
      <c r="D8113" s="3">
        <v>0.0</v>
      </c>
      <c r="E8113" s="3">
        <v>0.0</v>
      </c>
      <c r="F8113" s="3" t="s">
        <v>23215</v>
      </c>
      <c r="G8113" s="3">
        <v>0.0</v>
      </c>
      <c r="H8113" s="3">
        <v>0.0</v>
      </c>
      <c r="I8113" s="3" t="s">
        <v>13</v>
      </c>
      <c r="J8113" s="3" t="s">
        <v>23216</v>
      </c>
      <c r="K8113" s="3" t="s">
        <v>1335</v>
      </c>
      <c r="L8113" s="3" t="str">
        <f>IFERROR(__xludf.DUMMYFUNCTION("GOOGLETRANSLATE(F8113,""id"",""en"")"),"Argentina Champion PSS Bonus Wins Points Points")</f>
        <v>Argentina Champion PSS Bonus Wins Points Points</v>
      </c>
    </row>
    <row r="8114" ht="15.75" customHeight="1">
      <c r="A8114" s="1">
        <v>9334.0</v>
      </c>
      <c r="B8114" s="3" t="s">
        <v>23217</v>
      </c>
      <c r="C8114" s="3">
        <v>0.0</v>
      </c>
      <c r="D8114" s="3">
        <v>1.0</v>
      </c>
      <c r="E8114" s="3">
        <v>1.0</v>
      </c>
      <c r="F8114" s="3" t="s">
        <v>23218</v>
      </c>
      <c r="G8114" s="3">
        <v>0.0</v>
      </c>
      <c r="H8114" s="3">
        <v>0.0</v>
      </c>
      <c r="I8114" s="3" t="s">
        <v>13</v>
      </c>
      <c r="J8114" s="3" t="s">
        <v>23219</v>
      </c>
      <c r="K8114" s="3" t="s">
        <v>19</v>
      </c>
      <c r="L8114" s="3" t="str">
        <f>IFERROR(__xludf.DUMMYFUNCTION("GOOGLETRANSLATE(F8114,""id"",""en"")"),"Leandro Paredes's Story about the struggle to the main key to Argentina World Cup champions")</f>
        <v>Leandro Paredes's Story about the struggle to the main key to Argentina World Cup champions</v>
      </c>
    </row>
    <row r="8115" ht="15.75" customHeight="1">
      <c r="A8115" s="1">
        <v>9335.0</v>
      </c>
      <c r="B8115" s="3" t="s">
        <v>23220</v>
      </c>
      <c r="C8115" s="3">
        <v>0.0</v>
      </c>
      <c r="D8115" s="3">
        <v>0.0</v>
      </c>
      <c r="E8115" s="3">
        <v>1.0</v>
      </c>
      <c r="F8115" s="3" t="s">
        <v>23221</v>
      </c>
      <c r="G8115" s="3">
        <v>0.0</v>
      </c>
      <c r="H8115" s="3">
        <v>0.0</v>
      </c>
      <c r="I8115" s="3" t="s">
        <v>13</v>
      </c>
      <c r="J8115" s="3" t="s">
        <v>23222</v>
      </c>
      <c r="K8115" s="3" t="s">
        <v>2907</v>
      </c>
      <c r="L8115" s="3" t="str">
        <f>IFERROR(__xludf.DUMMYFUNCTION("GOOGLETRANSLATE(F8115,""id"",""en"")"),"Bali United Champion Argentina Champion Manchester City Champion Boys Born Goat Candidates")</f>
        <v>Bali United Champion Argentina Champion Manchester City Champion Boys Born Goat Candidates</v>
      </c>
    </row>
    <row r="8116" ht="15.75" customHeight="1">
      <c r="A8116" s="1">
        <v>9336.0</v>
      </c>
      <c r="B8116" s="3" t="s">
        <v>23223</v>
      </c>
      <c r="C8116" s="3">
        <v>0.0</v>
      </c>
      <c r="D8116" s="3">
        <v>0.0</v>
      </c>
      <c r="E8116" s="3">
        <v>0.0</v>
      </c>
      <c r="F8116" s="3" t="s">
        <v>23224</v>
      </c>
      <c r="G8116" s="3">
        <v>0.0</v>
      </c>
      <c r="H8116" s="3">
        <v>0.0</v>
      </c>
      <c r="I8116" s="3" t="s">
        <v>13</v>
      </c>
      <c r="J8116" s="3" t="s">
        <v>23225</v>
      </c>
      <c r="K8116" s="3" t="s">
        <v>41</v>
      </c>
      <c r="L8116" s="3" t="str">
        <f>IFERROR(__xludf.DUMMYFUNCTION("GOOGLETRANSLATE(F8116,""id"",""en"")"),"Want Argentina or France who are champions still old people if I say")</f>
        <v>Want Argentina or France who are champions still old people if I say</v>
      </c>
    </row>
    <row r="8117" ht="15.75" customHeight="1">
      <c r="A8117" s="1">
        <v>9337.0</v>
      </c>
      <c r="B8117" s="3" t="s">
        <v>23226</v>
      </c>
      <c r="C8117" s="3">
        <v>0.0</v>
      </c>
      <c r="D8117" s="3">
        <v>0.0</v>
      </c>
      <c r="E8117" s="3">
        <v>0.0</v>
      </c>
      <c r="F8117" s="3" t="s">
        <v>23227</v>
      </c>
      <c r="G8117" s="3">
        <v>0.0</v>
      </c>
      <c r="H8117" s="3">
        <v>0.0</v>
      </c>
      <c r="I8117" s="3" t="s">
        <v>13</v>
      </c>
      <c r="J8117" s="3" t="s">
        <v>23228</v>
      </c>
      <c r="K8117" s="3" t="s">
        <v>1479</v>
      </c>
      <c r="L8117" s="3" t="str">
        <f>IFERROR(__xludf.DUMMYFUNCTION("GOOGLETRANSLATE(F8117,""id"",""en"")"),"In fact, the champion was France why the referee did not give a final sentence to Argentina when a Frenchman fell on two Argentine players")</f>
        <v>In fact, the champion was France why the referee did not give a final sentence to Argentina when a Frenchman fell on two Argentine players</v>
      </c>
    </row>
    <row r="8118" ht="15.75" customHeight="1">
      <c r="A8118" s="1">
        <v>9338.0</v>
      </c>
      <c r="B8118" s="3" t="s">
        <v>23229</v>
      </c>
      <c r="C8118" s="3">
        <v>0.0</v>
      </c>
      <c r="D8118" s="3">
        <v>0.0</v>
      </c>
      <c r="E8118" s="3">
        <v>0.0</v>
      </c>
      <c r="F8118" s="3" t="s">
        <v>23230</v>
      </c>
      <c r="G8118" s="3">
        <v>0.0</v>
      </c>
      <c r="H8118" s="3">
        <v>0.0</v>
      </c>
      <c r="I8118" s="3" t="s">
        <v>13</v>
      </c>
      <c r="J8118" s="3" t="s">
        <v>23231</v>
      </c>
      <c r="K8118" s="3" t="s">
        <v>35</v>
      </c>
      <c r="L8118" s="3" t="str">
        <f>IFERROR(__xludf.DUMMYFUNCTION("GOOGLETRANSLATE(F8118,""id"",""en"")"),"if I go back to the past, the December will say Argentina champions so that I am an All France")</f>
        <v>if I go back to the past, the December will say Argentina champions so that I am an All France</v>
      </c>
    </row>
    <row r="8119" ht="15.75" customHeight="1">
      <c r="A8119" s="1">
        <v>9339.0</v>
      </c>
      <c r="B8119" s="3" t="s">
        <v>23232</v>
      </c>
      <c r="C8119" s="3">
        <v>0.0</v>
      </c>
      <c r="D8119" s="3">
        <v>0.0</v>
      </c>
      <c r="E8119" s="3">
        <v>0.0</v>
      </c>
      <c r="F8119" s="3" t="s">
        <v>23233</v>
      </c>
      <c r="G8119" s="3">
        <v>0.0</v>
      </c>
      <c r="H8119" s="3">
        <v>0.0</v>
      </c>
      <c r="I8119" s="3" t="s">
        <v>13</v>
      </c>
      <c r="J8119" s="3" t="s">
        <v>23234</v>
      </c>
      <c r="K8119" s="3" t="s">
        <v>31</v>
      </c>
      <c r="L8119" s="3" t="str">
        <f>IFERROR(__xludf.DUMMYFUNCTION("GOOGLETRANSLATE(F8119,""id"",""en"")"),"Alhamdulillah Argentina finally world champion")</f>
        <v>Alhamdulillah Argentina finally world champion</v>
      </c>
    </row>
    <row r="8120" ht="15.75" customHeight="1">
      <c r="A8120" s="1">
        <v>9340.0</v>
      </c>
      <c r="B8120" s="3" t="s">
        <v>23235</v>
      </c>
      <c r="C8120" s="3">
        <v>0.0</v>
      </c>
      <c r="D8120" s="3">
        <v>0.0</v>
      </c>
      <c r="E8120" s="3">
        <v>0.0</v>
      </c>
      <c r="F8120" s="3" t="s">
        <v>23236</v>
      </c>
      <c r="G8120" s="3">
        <v>0.0</v>
      </c>
      <c r="H8120" s="3">
        <v>0.0</v>
      </c>
      <c r="I8120" s="3" t="s">
        <v>13</v>
      </c>
      <c r="J8120" s="3" t="s">
        <v>23237</v>
      </c>
      <c r="K8120" s="3" t="s">
        <v>31</v>
      </c>
      <c r="L8120" s="3" t="str">
        <f>IFERROR(__xludf.DUMMYFUNCTION("GOOGLETRANSLATE(F8120,""id"",""en"")"),"I have seen Argentina champion Vamose Messi")</f>
        <v>I have seen Argentina champion Vamose Messi</v>
      </c>
    </row>
    <row r="8121" ht="15.75" customHeight="1">
      <c r="A8121" s="1">
        <v>9341.0</v>
      </c>
      <c r="B8121" s="3" t="s">
        <v>23238</v>
      </c>
      <c r="C8121" s="3">
        <v>0.0</v>
      </c>
      <c r="D8121" s="3">
        <v>4.0</v>
      </c>
      <c r="E8121" s="3">
        <v>0.0</v>
      </c>
      <c r="F8121" s="3" t="s">
        <v>22241</v>
      </c>
      <c r="G8121" s="3">
        <v>0.0</v>
      </c>
      <c r="H8121" s="3">
        <v>0.0</v>
      </c>
      <c r="I8121" s="3" t="s">
        <v>13</v>
      </c>
      <c r="J8121" s="3" t="s">
        <v>16942</v>
      </c>
      <c r="K8121" s="3" t="s">
        <v>644</v>
      </c>
      <c r="L8121" s="3" t="str">
        <f>IFERROR(__xludf.DUMMYFUNCTION("GOOGLETRANSLATE(F8121,""id"",""en"")"),"Argentina Champion World Cup")</f>
        <v>Argentina Champion World Cup</v>
      </c>
    </row>
    <row r="8122" ht="15.75" customHeight="1">
      <c r="A8122" s="1">
        <v>9342.0</v>
      </c>
      <c r="B8122" s="3" t="s">
        <v>23239</v>
      </c>
      <c r="C8122" s="3">
        <v>0.0</v>
      </c>
      <c r="D8122" s="3">
        <v>0.0</v>
      </c>
      <c r="E8122" s="3">
        <v>0.0</v>
      </c>
      <c r="F8122" s="3" t="s">
        <v>23240</v>
      </c>
      <c r="G8122" s="3">
        <v>0.0</v>
      </c>
      <c r="H8122" s="3">
        <v>0.0</v>
      </c>
      <c r="I8122" s="3" t="s">
        <v>13</v>
      </c>
      <c r="J8122" s="3" t="s">
        <v>23241</v>
      </c>
      <c r="K8122" s="3" t="s">
        <v>574</v>
      </c>
      <c r="L8122" s="3" t="str">
        <f>IFERROR(__xludf.DUMMYFUNCTION("GOOGLETRANSLATE(F8122,""id"",""en"")"),"So that the SBNRNY champion is always a good benchmark or not the quality of the BTW squad, so I don't know how news is French Portugal Brazil and even England Pilduun this time failed to win the Kualita championship")</f>
        <v>So that the SBNRNY champion is always a good benchmark or not the quality of the BTW squad, so I don't know how news is French Portugal Brazil and even England Pilduun this time failed to win the Kualita championship</v>
      </c>
    </row>
    <row r="8123" ht="15.75" customHeight="1">
      <c r="A8123" s="1">
        <v>9343.0</v>
      </c>
      <c r="B8123" s="3" t="s">
        <v>23242</v>
      </c>
      <c r="C8123" s="3">
        <v>0.0</v>
      </c>
      <c r="D8123" s="3">
        <v>0.0</v>
      </c>
      <c r="E8123" s="3">
        <v>0.0</v>
      </c>
      <c r="F8123" s="3" t="s">
        <v>23243</v>
      </c>
      <c r="G8123" s="3">
        <v>0.0</v>
      </c>
      <c r="H8123" s="3">
        <v>0.0</v>
      </c>
      <c r="I8123" s="3" t="s">
        <v>13</v>
      </c>
      <c r="J8123" s="3" t="s">
        <v>23244</v>
      </c>
      <c r="K8123" s="3" t="s">
        <v>54</v>
      </c>
      <c r="L8123" s="3" t="str">
        <f>IFERROR(__xludf.DUMMYFUNCTION("GOOGLETRANSLATE(F8123,""id"",""en"")"),"Argentina Prediction of Proven World Cup Champion")</f>
        <v>Argentina Prediction of Proven World Cup Champion</v>
      </c>
    </row>
    <row r="8124" ht="15.75" customHeight="1">
      <c r="A8124" s="1">
        <v>9344.0</v>
      </c>
      <c r="B8124" s="3" t="s">
        <v>23245</v>
      </c>
      <c r="C8124" s="3">
        <v>0.0</v>
      </c>
      <c r="D8124" s="3">
        <v>0.0</v>
      </c>
      <c r="E8124" s="3">
        <v>0.0</v>
      </c>
      <c r="F8124" s="3" t="s">
        <v>23243</v>
      </c>
      <c r="G8124" s="3">
        <v>0.0</v>
      </c>
      <c r="H8124" s="3">
        <v>0.0</v>
      </c>
      <c r="I8124" s="3" t="s">
        <v>13</v>
      </c>
      <c r="J8124" s="3" t="s">
        <v>23244</v>
      </c>
      <c r="K8124" s="3" t="s">
        <v>54</v>
      </c>
      <c r="L8124" s="3" t="str">
        <f>IFERROR(__xludf.DUMMYFUNCTION("GOOGLETRANSLATE(F8124,""id"",""en"")"),"Argentina Prediction of Proven World Cup Champion")</f>
        <v>Argentina Prediction of Proven World Cup Champion</v>
      </c>
    </row>
    <row r="8125" ht="15.75" customHeight="1">
      <c r="A8125" s="1">
        <v>9345.0</v>
      </c>
      <c r="B8125" s="3" t="s">
        <v>23246</v>
      </c>
      <c r="C8125" s="3">
        <v>1.0</v>
      </c>
      <c r="D8125" s="3">
        <v>0.0</v>
      </c>
      <c r="E8125" s="3">
        <v>0.0</v>
      </c>
      <c r="F8125" s="3" t="s">
        <v>23247</v>
      </c>
      <c r="G8125" s="3">
        <v>0.0</v>
      </c>
      <c r="H8125" s="3">
        <v>0.0</v>
      </c>
      <c r="I8125" s="3" t="s">
        <v>13</v>
      </c>
      <c r="J8125" s="3" t="s">
        <v>23248</v>
      </c>
      <c r="K8125" s="3" t="s">
        <v>15</v>
      </c>
      <c r="L8125" s="3" t="str">
        <f>IFERROR(__xludf.DUMMYFUNCTION("GOOGLETRANSLATE(F8125,""id"",""en"")"),"Argentina Champion World Cup Lionel Messi is expected to participate again")</f>
        <v>Argentina Champion World Cup Lionel Messi is expected to participate again</v>
      </c>
    </row>
    <row r="8126" ht="15.75" customHeight="1">
      <c r="A8126" s="1">
        <v>9346.0</v>
      </c>
      <c r="B8126" s="3" t="s">
        <v>23249</v>
      </c>
      <c r="C8126" s="3">
        <v>0.0</v>
      </c>
      <c r="D8126" s="3">
        <v>0.0</v>
      </c>
      <c r="E8126" s="3">
        <v>0.0</v>
      </c>
      <c r="F8126" s="3" t="s">
        <v>23250</v>
      </c>
      <c r="G8126" s="3">
        <v>0.0</v>
      </c>
      <c r="H8126" s="3">
        <v>0.0</v>
      </c>
      <c r="I8126" s="3" t="s">
        <v>13</v>
      </c>
      <c r="J8126" s="3" t="s">
        <v>16104</v>
      </c>
      <c r="K8126" s="3" t="s">
        <v>14571</v>
      </c>
      <c r="L8126" s="3" t="str">
        <f>IFERROR(__xludf.DUMMYFUNCTION("GOOGLETRANSLATE(F8126,""id"",""en"")"),"Argentina is the champion")</f>
        <v>Argentina is the champion</v>
      </c>
    </row>
    <row r="8127" ht="15.75" customHeight="1">
      <c r="A8127" s="1">
        <v>9347.0</v>
      </c>
      <c r="B8127" s="3" t="s">
        <v>23251</v>
      </c>
      <c r="C8127" s="3">
        <v>0.0</v>
      </c>
      <c r="D8127" s="3">
        <v>0.0</v>
      </c>
      <c r="E8127" s="3">
        <v>1.0</v>
      </c>
      <c r="F8127" s="3" t="s">
        <v>23252</v>
      </c>
      <c r="G8127" s="3">
        <v>0.0</v>
      </c>
      <c r="H8127" s="3">
        <v>0.0</v>
      </c>
      <c r="I8127" s="3" t="s">
        <v>13</v>
      </c>
      <c r="J8127" s="3" t="s">
        <v>23253</v>
      </c>
      <c r="K8127" s="3" t="s">
        <v>71</v>
      </c>
      <c r="L8127" s="3" t="str">
        <f>IFERROR(__xludf.DUMMYFUNCTION("GOOGLETRANSLATE(F8127,""id"",""en"")"),"The Argentina World Cup Serbi is champion but instead Raul Lemos is a trending Twitter haa how come you can")</f>
        <v>The Argentina World Cup Serbi is champion but instead Raul Lemos is a trending Twitter haa how come you can</v>
      </c>
    </row>
    <row r="8128" ht="15.75" customHeight="1">
      <c r="A8128" s="1">
        <v>9348.0</v>
      </c>
      <c r="B8128" s="3" t="s">
        <v>23254</v>
      </c>
      <c r="C8128" s="3">
        <v>0.0</v>
      </c>
      <c r="D8128" s="3">
        <v>2.0</v>
      </c>
      <c r="E8128" s="3">
        <v>10.0</v>
      </c>
      <c r="F8128" s="3" t="s">
        <v>23138</v>
      </c>
      <c r="G8128" s="3">
        <v>0.0</v>
      </c>
      <c r="H8128" s="3">
        <v>0.0</v>
      </c>
      <c r="I8128" s="3" t="s">
        <v>13</v>
      </c>
      <c r="J8128" s="3" t="s">
        <v>23139</v>
      </c>
      <c r="K8128" s="3" t="s">
        <v>184</v>
      </c>
      <c r="L8128" s="3" t="str">
        <f>IFERROR(__xludf.DUMMYFUNCTION("GOOGLETRANSLATE(F8128,""id"",""en"")"),"Rodrigo Paul also contributed to carrying Argentina World Cup champion Paul was truly like an albiceleste bodyguard hard opponent to protect his territory")</f>
        <v>Rodrigo Paul also contributed to carrying Argentina World Cup champion Paul was truly like an albiceleste bodyguard hard opponent to protect his territory</v>
      </c>
    </row>
    <row r="8129" ht="15.75" customHeight="1">
      <c r="A8129" s="1">
        <v>9349.0</v>
      </c>
      <c r="B8129" s="3" t="s">
        <v>23255</v>
      </c>
      <c r="C8129" s="3">
        <v>0.0</v>
      </c>
      <c r="D8129" s="3">
        <v>0.0</v>
      </c>
      <c r="E8129" s="3">
        <v>0.0</v>
      </c>
      <c r="F8129" s="3" t="s">
        <v>23256</v>
      </c>
      <c r="G8129" s="3">
        <v>0.0</v>
      </c>
      <c r="H8129" s="3">
        <v>0.0</v>
      </c>
      <c r="I8129" s="3" t="s">
        <v>13</v>
      </c>
      <c r="J8129" s="3" t="s">
        <v>23257</v>
      </c>
      <c r="K8129" s="3" t="s">
        <v>31</v>
      </c>
      <c r="L8129" s="3" t="str">
        <f>IFERROR(__xludf.DUMMYFUNCTION("GOOGLETRANSLATE(F8129,""id"",""en"")"),"I believe Argentina champions FIFA settings")</f>
        <v>I believe Argentina champions FIFA settings</v>
      </c>
    </row>
    <row r="8130" ht="15.75" customHeight="1">
      <c r="A8130" s="1">
        <v>9350.0</v>
      </c>
      <c r="B8130" s="3" t="s">
        <v>23258</v>
      </c>
      <c r="C8130" s="3">
        <v>0.0</v>
      </c>
      <c r="D8130" s="3">
        <v>0.0</v>
      </c>
      <c r="E8130" s="3">
        <v>0.0</v>
      </c>
      <c r="F8130" s="3" t="s">
        <v>23259</v>
      </c>
      <c r="G8130" s="3">
        <v>0.2</v>
      </c>
      <c r="H8130" s="3">
        <v>-0.1</v>
      </c>
      <c r="I8130" s="3" t="s">
        <v>179</v>
      </c>
      <c r="J8130" s="3" t="s">
        <v>23260</v>
      </c>
      <c r="K8130" s="3" t="s">
        <v>603</v>
      </c>
      <c r="L8130" s="3" t="str">
        <f>IFERROR(__xludf.DUMMYFUNCTION("GOOGLETRANSLATE(F8130,""id"",""en"")"),"The Argentine champion lost the initial party to Saudi Arabia from Argentina and Messi we could learn that we could fall to lose and be underestimated by others but the champion mentality never gave up")</f>
        <v>The Argentine champion lost the initial party to Saudi Arabia from Argentina and Messi we could learn that we could fall to lose and be underestimated by others but the champion mentality never gave up</v>
      </c>
    </row>
    <row r="8131" ht="15.75" customHeight="1">
      <c r="A8131" s="1">
        <v>9351.0</v>
      </c>
      <c r="B8131" s="3" t="s">
        <v>23261</v>
      </c>
      <c r="C8131" s="3">
        <v>0.0</v>
      </c>
      <c r="D8131" s="3">
        <v>0.0</v>
      </c>
      <c r="E8131" s="3">
        <v>0.0</v>
      </c>
      <c r="F8131" s="3" t="s">
        <v>23262</v>
      </c>
      <c r="G8131" s="3">
        <v>0.0</v>
      </c>
      <c r="H8131" s="3">
        <v>0.0</v>
      </c>
      <c r="I8131" s="3" t="s">
        <v>13</v>
      </c>
      <c r="J8131" s="3" t="s">
        <v>23263</v>
      </c>
      <c r="K8131" s="3" t="s">
        <v>15</v>
      </c>
      <c r="L8131" s="3" t="str">
        <f>IFERROR(__xludf.DUMMYFUNCTION("GOOGLETRANSLATE(F8131,""id"",""en"")"),"So the champion is the struggle of the Qatar World Cup Argentina")</f>
        <v>So the champion is the struggle of the Qatar World Cup Argentina</v>
      </c>
    </row>
    <row r="8132" ht="15.75" customHeight="1">
      <c r="A8132" s="1">
        <v>9352.0</v>
      </c>
      <c r="B8132" s="3" t="s">
        <v>23264</v>
      </c>
      <c r="C8132" s="3">
        <v>0.0</v>
      </c>
      <c r="D8132" s="3">
        <v>0.0</v>
      </c>
      <c r="E8132" s="3">
        <v>0.0</v>
      </c>
      <c r="F8132" s="3" t="s">
        <v>23262</v>
      </c>
      <c r="G8132" s="3">
        <v>0.0</v>
      </c>
      <c r="H8132" s="3">
        <v>0.0</v>
      </c>
      <c r="I8132" s="3" t="s">
        <v>13</v>
      </c>
      <c r="J8132" s="3" t="s">
        <v>23263</v>
      </c>
      <c r="K8132" s="3" t="s">
        <v>15</v>
      </c>
      <c r="L8132" s="3" t="str">
        <f>IFERROR(__xludf.DUMMYFUNCTION("GOOGLETRANSLATE(F8132,""id"",""en"")"),"So the champion is the struggle of the Qatar World Cup Argentina")</f>
        <v>So the champion is the struggle of the Qatar World Cup Argentina</v>
      </c>
    </row>
    <row r="8133" ht="15.75" customHeight="1">
      <c r="A8133" s="1">
        <v>9353.0</v>
      </c>
      <c r="B8133" s="3" t="s">
        <v>23265</v>
      </c>
      <c r="C8133" s="3">
        <v>1.0</v>
      </c>
      <c r="D8133" s="3">
        <v>1.0</v>
      </c>
      <c r="E8133" s="3">
        <v>12.0</v>
      </c>
      <c r="F8133" s="3" t="s">
        <v>23266</v>
      </c>
      <c r="G8133" s="3">
        <v>0.0</v>
      </c>
      <c r="H8133" s="3">
        <v>0.0</v>
      </c>
      <c r="I8133" s="3" t="s">
        <v>13</v>
      </c>
      <c r="J8133" s="3" t="s">
        <v>23267</v>
      </c>
      <c r="K8133" s="3" t="s">
        <v>491</v>
      </c>
      <c r="L8133" s="3" t="str">
        <f>IFERROR(__xludf.DUMMYFUNCTION("GOOGLETRANSLATE(F8133,""id"",""en"")"),"Qatar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134" ht="15.75" customHeight="1">
      <c r="A8134" s="1">
        <v>9354.0</v>
      </c>
      <c r="B8134" s="3" t="s">
        <v>23268</v>
      </c>
      <c r="C8134" s="3">
        <v>0.0</v>
      </c>
      <c r="D8134" s="3">
        <v>0.0</v>
      </c>
      <c r="E8134" s="3">
        <v>0.0</v>
      </c>
      <c r="F8134" s="3" t="s">
        <v>23269</v>
      </c>
      <c r="G8134" s="3">
        <v>0.0</v>
      </c>
      <c r="H8134" s="3">
        <v>0.0</v>
      </c>
      <c r="I8134" s="3" t="s">
        <v>13</v>
      </c>
      <c r="J8134" s="3" t="s">
        <v>23270</v>
      </c>
      <c r="K8134" s="3" t="s">
        <v>82</v>
      </c>
      <c r="L8134" s="3" t="str">
        <f>IFERROR(__xludf.DUMMYFUNCTION("GOOGLETRANSLATE(F8134,""id"",""en"")"),"In my opinion, if France, I want to be like an Argentina, the championship")</f>
        <v>In my opinion, if France, I want to be like an Argentina, the championship</v>
      </c>
    </row>
    <row r="8135" ht="15.75" customHeight="1">
      <c r="A8135" s="1">
        <v>9355.0</v>
      </c>
      <c r="B8135" s="3" t="s">
        <v>23271</v>
      </c>
      <c r="C8135" s="3">
        <v>1.0</v>
      </c>
      <c r="D8135" s="3">
        <v>0.0</v>
      </c>
      <c r="E8135" s="3">
        <v>5.0</v>
      </c>
      <c r="F8135" s="3" t="s">
        <v>23272</v>
      </c>
      <c r="G8135" s="3">
        <v>0.0</v>
      </c>
      <c r="H8135" s="3">
        <v>0.0</v>
      </c>
      <c r="I8135" s="3" t="s">
        <v>13</v>
      </c>
      <c r="J8135" s="3" t="s">
        <v>23273</v>
      </c>
      <c r="K8135" s="3" t="s">
        <v>286</v>
      </c>
      <c r="L8135" s="3" t="str">
        <f>IFERROR(__xludf.DUMMYFUNCTION("GOOGLETRANSLATE(F8135,""id"",""en"")"),"Redsindo got many threats of murder after failure until Thiago asked why they hated the Father of the Argentine Cares UCL Liga or Ballon Oro they were only proud when their team was champions for the people of Argentina Soccer")</f>
        <v>Redsindo got many threats of murder after failure until Thiago asked why they hated the Father of the Argentine Cares UCL Liga or Ballon Oro they were only proud when their team was champions for the people of Argentina Soccer</v>
      </c>
    </row>
    <row r="8136" ht="15.75" customHeight="1">
      <c r="A8136" s="1">
        <v>9356.0</v>
      </c>
      <c r="B8136" s="3" t="s">
        <v>23274</v>
      </c>
      <c r="C8136" s="3">
        <v>1.0</v>
      </c>
      <c r="D8136" s="3">
        <v>0.0</v>
      </c>
      <c r="E8136" s="3">
        <v>0.0</v>
      </c>
      <c r="F8136" s="3" t="s">
        <v>23275</v>
      </c>
      <c r="G8136" s="3">
        <v>0.0</v>
      </c>
      <c r="H8136" s="3">
        <v>0.0</v>
      </c>
      <c r="I8136" s="3" t="s">
        <v>13</v>
      </c>
      <c r="J8136" s="3" t="s">
        <v>23276</v>
      </c>
      <c r="K8136" s="3" t="s">
        <v>82</v>
      </c>
      <c r="L8136" s="3" t="str">
        <f>IFERROR(__xludf.DUMMYFUNCTION("GOOGLETRANSLATE(F8136,""id"",""en"")"),"When Argentina champion Copa yesterday he was still not in")</f>
        <v>When Argentina champion Copa yesterday he was still not in</v>
      </c>
    </row>
    <row r="8137" ht="15.75" customHeight="1">
      <c r="A8137" s="1">
        <v>9357.0</v>
      </c>
      <c r="B8137" s="3" t="s">
        <v>23277</v>
      </c>
      <c r="C8137" s="3">
        <v>0.0</v>
      </c>
      <c r="D8137" s="3">
        <v>0.0</v>
      </c>
      <c r="E8137" s="3">
        <v>0.0</v>
      </c>
      <c r="F8137" s="3" t="s">
        <v>23262</v>
      </c>
      <c r="G8137" s="3">
        <v>0.0</v>
      </c>
      <c r="H8137" s="3">
        <v>0.0</v>
      </c>
      <c r="I8137" s="3" t="s">
        <v>13</v>
      </c>
      <c r="J8137" s="3" t="s">
        <v>23263</v>
      </c>
      <c r="K8137" s="3" t="s">
        <v>15</v>
      </c>
      <c r="L8137" s="3" t="str">
        <f>IFERROR(__xludf.DUMMYFUNCTION("GOOGLETRANSLATE(F8137,""id"",""en"")"),"So the champion is the struggle of the Qatar World Cup Argentina")</f>
        <v>So the champion is the struggle of the Qatar World Cup Argentina</v>
      </c>
    </row>
    <row r="8138" ht="15.75" customHeight="1">
      <c r="A8138" s="1">
        <v>9358.0</v>
      </c>
      <c r="B8138" s="3" t="s">
        <v>23278</v>
      </c>
      <c r="C8138" s="3">
        <v>0.0</v>
      </c>
      <c r="D8138" s="3">
        <v>0.0</v>
      </c>
      <c r="E8138" s="3">
        <v>0.0</v>
      </c>
      <c r="F8138" s="3" t="s">
        <v>23262</v>
      </c>
      <c r="G8138" s="3">
        <v>0.0</v>
      </c>
      <c r="H8138" s="3">
        <v>0.0</v>
      </c>
      <c r="I8138" s="3" t="s">
        <v>13</v>
      </c>
      <c r="J8138" s="3" t="s">
        <v>23263</v>
      </c>
      <c r="K8138" s="3" t="s">
        <v>15</v>
      </c>
      <c r="L8138" s="3" t="str">
        <f>IFERROR(__xludf.DUMMYFUNCTION("GOOGLETRANSLATE(F8138,""id"",""en"")"),"So the champion is the struggle of the Qatar World Cup Argentina")</f>
        <v>So the champion is the struggle of the Qatar World Cup Argentina</v>
      </c>
    </row>
    <row r="8139" ht="15.75" customHeight="1">
      <c r="A8139" s="1">
        <v>9359.0</v>
      </c>
      <c r="B8139" s="3" t="s">
        <v>23279</v>
      </c>
      <c r="C8139" s="3">
        <v>0.0</v>
      </c>
      <c r="D8139" s="3">
        <v>0.0</v>
      </c>
      <c r="E8139" s="3">
        <v>0.0</v>
      </c>
      <c r="F8139" s="3" t="s">
        <v>23280</v>
      </c>
      <c r="G8139" s="3">
        <v>0.3</v>
      </c>
      <c r="H8139" s="3">
        <v>1.0</v>
      </c>
      <c r="I8139" s="3" t="s">
        <v>48</v>
      </c>
      <c r="J8139" s="3" t="s">
        <v>23281</v>
      </c>
      <c r="K8139" s="3" t="s">
        <v>765</v>
      </c>
      <c r="L8139" s="3" t="str">
        <f>IFERROR(__xludf.DUMMYFUNCTION("GOOGLETRANSLATE(F8139,""id"",""en"")"),"The world of football is grieving because of the loss of Maradona Argentina champions from the CLue Number symbol after that this is only suitable for Argentina's congrats Messi your are the best players football the world")</f>
        <v>The world of football is grieving because of the loss of Maradona Argentina champions from the CLue Number symbol after that this is only suitable for Argentina's congrats Messi your are the best players football the world</v>
      </c>
    </row>
    <row r="8140" ht="15.75" customHeight="1">
      <c r="A8140" s="1">
        <v>9360.0</v>
      </c>
      <c r="B8140" s="3" t="s">
        <v>23282</v>
      </c>
      <c r="C8140" s="3">
        <v>1.0</v>
      </c>
      <c r="D8140" s="3">
        <v>0.0</v>
      </c>
      <c r="E8140" s="3">
        <v>0.0</v>
      </c>
      <c r="F8140" s="3" t="s">
        <v>23283</v>
      </c>
      <c r="G8140" s="3">
        <v>0.0</v>
      </c>
      <c r="H8140" s="3">
        <v>0.0</v>
      </c>
      <c r="I8140" s="3" t="s">
        <v>13</v>
      </c>
      <c r="J8140" s="3" t="s">
        <v>23284</v>
      </c>
      <c r="K8140" s="3" t="s">
        <v>1265</v>
      </c>
      <c r="L8140" s="3" t="str">
        <f>IFERROR(__xludf.DUMMYFUNCTION("GOOGLETRANSLATE(F8140,""id"",""en"")"),"eat rhombus and ice cream congratulations to Argentina Friday Eat Sushi Congratulations for")</f>
        <v>eat rhombus and ice cream congratulations to Argentina Friday Eat Sushi Congratulations for</v>
      </c>
    </row>
    <row r="8141" ht="15.75" customHeight="1">
      <c r="A8141" s="1">
        <v>9361.0</v>
      </c>
      <c r="B8141" s="3" t="s">
        <v>23285</v>
      </c>
      <c r="C8141" s="3">
        <v>0.0</v>
      </c>
      <c r="D8141" s="3">
        <v>0.0</v>
      </c>
      <c r="E8141" s="3">
        <v>8.0</v>
      </c>
      <c r="F8141" s="3" t="s">
        <v>23286</v>
      </c>
      <c r="G8141" s="3">
        <v>0.0</v>
      </c>
      <c r="H8141" s="3">
        <v>0.0</v>
      </c>
      <c r="I8141" s="3" t="s">
        <v>13</v>
      </c>
      <c r="J8141" s="3" t="s">
        <v>23287</v>
      </c>
      <c r="K8141" s="3" t="s">
        <v>131</v>
      </c>
      <c r="L8141" s="3" t="str">
        <f>IFERROR(__xludf.DUMMYFUNCTION("GOOGLETRANSLATE(F8141,""id"",""en"")"),"Celebrity Chef Salt Bae joined in celebrating the success of Argentina World Cup champions but netizens are hot because Salt Bae holds and kisses the championship trophy")</f>
        <v>Celebrity Chef Salt Bae joined in celebrating the success of Argentina World Cup champions but netizens are hot because Salt Bae holds and kisses the championship trophy</v>
      </c>
    </row>
    <row r="8142" ht="15.75" customHeight="1">
      <c r="A8142" s="1">
        <v>9362.0</v>
      </c>
      <c r="B8142" s="3" t="s">
        <v>23288</v>
      </c>
      <c r="C8142" s="3">
        <v>0.0</v>
      </c>
      <c r="D8142" s="3">
        <v>0.0</v>
      </c>
      <c r="E8142" s="3">
        <v>0.0</v>
      </c>
      <c r="F8142" s="3" t="s">
        <v>23289</v>
      </c>
      <c r="G8142" s="3">
        <v>0.0</v>
      </c>
      <c r="H8142" s="3">
        <v>0.0</v>
      </c>
      <c r="I8142" s="3" t="s">
        <v>13</v>
      </c>
      <c r="J8142" s="3" t="s">
        <v>16104</v>
      </c>
      <c r="K8142" s="3" t="s">
        <v>14571</v>
      </c>
      <c r="L8142" s="3" t="str">
        <f>IFERROR(__xludf.DUMMYFUNCTION("GOOGLETRANSLATE(F8142,""id"",""en"")"),"Argentina is also a champion")</f>
        <v>Argentina is also a champion</v>
      </c>
    </row>
    <row r="8143" ht="15.75" customHeight="1">
      <c r="A8143" s="1">
        <v>9363.0</v>
      </c>
      <c r="B8143" s="3" t="s">
        <v>23290</v>
      </c>
      <c r="C8143" s="3">
        <v>0.0</v>
      </c>
      <c r="D8143" s="3">
        <v>0.0</v>
      </c>
      <c r="E8143" s="3">
        <v>0.0</v>
      </c>
      <c r="F8143" s="3" t="s">
        <v>23291</v>
      </c>
      <c r="G8143" s="3">
        <v>0.7166666666666667</v>
      </c>
      <c r="H8143" s="3">
        <v>0.2166666666666667</v>
      </c>
      <c r="I8143" s="3" t="s">
        <v>48</v>
      </c>
      <c r="J8143" s="3" t="s">
        <v>23292</v>
      </c>
      <c r="K8143" s="3" t="s">
        <v>13921</v>
      </c>
      <c r="L8143" s="3" t="str">
        <f>IFERROR(__xludf.DUMMYFUNCTION("GOOGLETRANSLATE(F8143,""id"",""en"")"),"Road Champion FIFA World Cup from Time Time Argentina Champion World Cup Lusail Iconic Stadium Qatar Argentina successfully defeated France Final through a penalty shootout after the draw until continued to add normal minutes of the match")</f>
        <v>Road Champion FIFA World Cup from Time Time Argentina Champion World Cup Lusail Iconic Stadium Qatar Argentina successfully defeated France Final through a penalty shootout after the draw until continued to add normal minutes of the match</v>
      </c>
    </row>
    <row r="8144" ht="15.75" customHeight="1">
      <c r="A8144" s="1">
        <v>9364.0</v>
      </c>
      <c r="B8144" s="3" t="s">
        <v>23293</v>
      </c>
      <c r="C8144" s="3">
        <v>2.0</v>
      </c>
      <c r="D8144" s="3">
        <v>0.0</v>
      </c>
      <c r="E8144" s="3">
        <v>1.0</v>
      </c>
      <c r="F8144" s="3" t="s">
        <v>23294</v>
      </c>
      <c r="G8144" s="3">
        <v>0.0</v>
      </c>
      <c r="H8144" s="3">
        <v>0.0</v>
      </c>
      <c r="I8144" s="3" t="s">
        <v>13</v>
      </c>
      <c r="J8144" s="3" t="s">
        <v>23295</v>
      </c>
      <c r="K8144" s="3" t="s">
        <v>82</v>
      </c>
      <c r="L8144" s="3" t="str">
        <f>IFERROR(__xludf.DUMMYFUNCTION("GOOGLETRANSLATE(F8144,""id"",""en"")"),"What's good from ancient times as well as Argentina fav champion")</f>
        <v>What's good from ancient times as well as Argentina fav champion</v>
      </c>
    </row>
    <row r="8145" ht="15.75" customHeight="1">
      <c r="A8145" s="1">
        <v>9365.0</v>
      </c>
      <c r="B8145" s="3" t="s">
        <v>23296</v>
      </c>
      <c r="C8145" s="3">
        <v>0.0</v>
      </c>
      <c r="D8145" s="3">
        <v>0.0</v>
      </c>
      <c r="E8145" s="3">
        <v>0.0</v>
      </c>
      <c r="F8145" s="3" t="s">
        <v>23297</v>
      </c>
      <c r="G8145" s="3">
        <v>0.775</v>
      </c>
      <c r="H8145" s="3">
        <v>0.175</v>
      </c>
      <c r="I8145" s="3" t="s">
        <v>48</v>
      </c>
      <c r="J8145" s="3" t="s">
        <v>23298</v>
      </c>
      <c r="K8145" s="3" t="s">
        <v>510</v>
      </c>
      <c r="L8145" s="3" t="str">
        <f>IFERROR(__xludf.DUMMYFUNCTION("GOOGLETRANSLATE(F8145,""id"",""en"")"),"The Hooray World Cup final finally Argentina champion Messi and the Boys Full Seyum")</f>
        <v>The Hooray World Cup final finally Argentina champion Messi and the Boys Full Seyum</v>
      </c>
    </row>
    <row r="8146" ht="15.75" customHeight="1">
      <c r="A8146" s="1">
        <v>9366.0</v>
      </c>
      <c r="B8146" s="3" t="s">
        <v>23299</v>
      </c>
      <c r="C8146" s="3">
        <v>0.0</v>
      </c>
      <c r="D8146" s="3">
        <v>0.0</v>
      </c>
      <c r="E8146" s="3">
        <v>0.0</v>
      </c>
      <c r="F8146" s="3" t="s">
        <v>23300</v>
      </c>
      <c r="G8146" s="3">
        <v>0.0</v>
      </c>
      <c r="H8146" s="3">
        <v>0.0</v>
      </c>
      <c r="I8146" s="3" t="s">
        <v>13</v>
      </c>
      <c r="J8146" s="3" t="s">
        <v>23301</v>
      </c>
      <c r="K8146" s="3" t="s">
        <v>644</v>
      </c>
      <c r="L8146" s="3" t="str">
        <f>IFERROR(__xludf.DUMMYFUNCTION("GOOGLETRANSLATE(F8146,""id"",""en"")"),"Emg Gasalah Choose Champion")</f>
        <v>Emg Gasalah Choose Champion</v>
      </c>
    </row>
    <row r="8147" ht="15.75" customHeight="1">
      <c r="A8147" s="1">
        <v>9367.0</v>
      </c>
      <c r="B8147" s="3" t="s">
        <v>23302</v>
      </c>
      <c r="C8147" s="3">
        <v>0.0</v>
      </c>
      <c r="D8147" s="3">
        <v>0.0</v>
      </c>
      <c r="E8147" s="3">
        <v>0.0</v>
      </c>
      <c r="F8147" s="3" t="s">
        <v>23303</v>
      </c>
      <c r="G8147" s="3">
        <v>0.0</v>
      </c>
      <c r="H8147" s="3">
        <v>0.0</v>
      </c>
      <c r="I8147" s="3" t="s">
        <v>13</v>
      </c>
      <c r="J8147" s="3" t="s">
        <v>23304</v>
      </c>
      <c r="K8147" s="3" t="s">
        <v>75</v>
      </c>
      <c r="L8147" s="3" t="str">
        <f>IFERROR(__xludf.DUMMYFUNCTION("GOOGLETRANSLATE(F8147,""id"",""en"")"),"ABCOO Argentina Champion I hope Kang Emil will come forward and won it too")</f>
        <v>ABCOO Argentina Champion I hope Kang Emil will come forward and won it too</v>
      </c>
    </row>
    <row r="8148" ht="15.75" customHeight="1">
      <c r="A8148" s="1">
        <v>9368.0</v>
      </c>
      <c r="B8148" s="3" t="s">
        <v>23305</v>
      </c>
      <c r="C8148" s="3">
        <v>0.0</v>
      </c>
      <c r="D8148" s="3">
        <v>4.0</v>
      </c>
      <c r="E8148" s="3">
        <v>53.0</v>
      </c>
      <c r="F8148" s="3" t="s">
        <v>23306</v>
      </c>
      <c r="G8148" s="3">
        <v>0.0</v>
      </c>
      <c r="H8148" s="3">
        <v>0.0</v>
      </c>
      <c r="I8148" s="3" t="s">
        <v>13</v>
      </c>
      <c r="J8148" s="3" t="s">
        <v>23307</v>
      </c>
      <c r="K8148" s="3" t="s">
        <v>75</v>
      </c>
      <c r="L8148" s="3" t="str">
        <f>IFERROR(__xludf.DUMMYFUNCTION("GOOGLETRANSLATE(F8148,""id"",""en"")"),"Celebrate Celebration of World Cup Argentina Champion by Wearing this Premium T -Shirt Order")</f>
        <v>Celebrate Celebration of World Cup Argentina Champion by Wearing this Premium T -Shirt Order</v>
      </c>
    </row>
    <row r="8149" ht="15.75" customHeight="1">
      <c r="A8149" s="1">
        <v>9369.0</v>
      </c>
      <c r="B8149" s="3" t="s">
        <v>23308</v>
      </c>
      <c r="C8149" s="3">
        <v>0.0</v>
      </c>
      <c r="D8149" s="3">
        <v>0.0</v>
      </c>
      <c r="E8149" s="3">
        <v>0.0</v>
      </c>
      <c r="F8149" s="3" t="s">
        <v>23309</v>
      </c>
      <c r="G8149" s="3">
        <v>0.0</v>
      </c>
      <c r="H8149" s="3">
        <v>0.0</v>
      </c>
      <c r="I8149" s="3" t="s">
        <v>13</v>
      </c>
      <c r="J8149" s="3" t="s">
        <v>23310</v>
      </c>
      <c r="K8149" s="3" t="s">
        <v>1925</v>
      </c>
      <c r="L8149" s="3" t="str">
        <f>IFERROR(__xludf.DUMMYFUNCTION("GOOGLETRANSLATE(F8149,""id"",""en"")"),"That's why Messi Argentina is thanks to the collective game of his country's colleagues even though Messi is more prominent this World Cup continues Messi is also not a young age of Messi Age")</f>
        <v>That's why Messi Argentina is thanks to the collective game of his country's colleagues even though Messi is more prominent this World Cup continues Messi is also not a young age of Messi Age</v>
      </c>
    </row>
    <row r="8150" ht="15.75" customHeight="1">
      <c r="A8150" s="1">
        <v>9370.0</v>
      </c>
      <c r="B8150" s="3" t="s">
        <v>23311</v>
      </c>
      <c r="C8150" s="3">
        <v>0.0</v>
      </c>
      <c r="D8150" s="3">
        <v>0.0</v>
      </c>
      <c r="E8150" s="3">
        <v>0.0</v>
      </c>
      <c r="F8150" s="3" t="s">
        <v>23312</v>
      </c>
      <c r="G8150" s="3">
        <v>0.0</v>
      </c>
      <c r="H8150" s="3">
        <v>0.0</v>
      </c>
      <c r="I8150" s="3" t="s">
        <v>13</v>
      </c>
      <c r="J8150" s="3" t="s">
        <v>23313</v>
      </c>
      <c r="K8150" s="3" t="s">
        <v>41</v>
      </c>
      <c r="L8150" s="3" t="str">
        <f>IFERROR(__xludf.DUMMYFUNCTION("GOOGLETRANSLATE(F8150,""id"",""en"")"),"right Argentina is world champion because of Iwan Bule's intervention")</f>
        <v>right Argentina is world champion because of Iwan Bule's intervention</v>
      </c>
    </row>
    <row r="8151" ht="15.75" customHeight="1">
      <c r="A8151" s="1">
        <v>9371.0</v>
      </c>
      <c r="B8151" s="3" t="s">
        <v>23314</v>
      </c>
      <c r="C8151" s="3">
        <v>0.0</v>
      </c>
      <c r="D8151" s="3">
        <v>0.0</v>
      </c>
      <c r="E8151" s="3">
        <v>0.0</v>
      </c>
      <c r="F8151" s="3" t="s">
        <v>23315</v>
      </c>
      <c r="G8151" s="3">
        <v>0.0</v>
      </c>
      <c r="H8151" s="3">
        <v>0.0</v>
      </c>
      <c r="I8151" s="3" t="s">
        <v>13</v>
      </c>
      <c r="J8151" s="3" t="s">
        <v>23316</v>
      </c>
      <c r="K8151" s="3" t="s">
        <v>75</v>
      </c>
      <c r="L8151" s="3" t="str">
        <f>IFERROR(__xludf.DUMMYFUNCTION("GOOGLETRANSLATE(F8151,""id"",""en"")"),"Argentina Champion World Cup Lionel Messi Hugged the Mother Via")</f>
        <v>Argentina Champion World Cup Lionel Messi Hugged the Mother Via</v>
      </c>
    </row>
    <row r="8152" ht="15.75" customHeight="1">
      <c r="A8152" s="1">
        <v>9372.0</v>
      </c>
      <c r="B8152" s="3" t="s">
        <v>23317</v>
      </c>
      <c r="C8152" s="3">
        <v>0.0</v>
      </c>
      <c r="D8152" s="3">
        <v>0.0</v>
      </c>
      <c r="E8152" s="3">
        <v>0.0</v>
      </c>
      <c r="F8152" s="3" t="s">
        <v>23318</v>
      </c>
      <c r="G8152" s="3">
        <v>0.0</v>
      </c>
      <c r="H8152" s="3">
        <v>0.0</v>
      </c>
      <c r="I8152" s="3" t="s">
        <v>13</v>
      </c>
      <c r="J8152" s="3" t="s">
        <v>23319</v>
      </c>
      <c r="K8152" s="3" t="s">
        <v>71</v>
      </c>
      <c r="L8152" s="3" t="str">
        <f>IFERROR(__xludf.DUMMYFUNCTION("GOOGLETRANSLATE(F8152,""id"",""en"")"),"Pele congratulates Argentina and Messi after becoming the World Cup champion Diego must smile now via")</f>
        <v>Pele congratulates Argentina and Messi after becoming the World Cup champion Diego must smile now via</v>
      </c>
    </row>
    <row r="8153" ht="15.75" customHeight="1">
      <c r="A8153" s="1">
        <v>9373.0</v>
      </c>
      <c r="B8153" s="3" t="s">
        <v>23320</v>
      </c>
      <c r="C8153" s="3">
        <v>0.0</v>
      </c>
      <c r="D8153" s="3">
        <v>0.0</v>
      </c>
      <c r="E8153" s="3">
        <v>0.0</v>
      </c>
      <c r="F8153" s="3" t="s">
        <v>23321</v>
      </c>
      <c r="G8153" s="3">
        <v>0.0</v>
      </c>
      <c r="H8153" s="3">
        <v>0.0</v>
      </c>
      <c r="I8153" s="3" t="s">
        <v>13</v>
      </c>
      <c r="J8153" s="3" t="s">
        <v>23322</v>
      </c>
      <c r="K8153" s="3" t="s">
        <v>123</v>
      </c>
      <c r="L8153" s="3" t="str">
        <f>IFERROR(__xludf.DUMMYFUNCTION("GOOGLETRANSLATE(F8153,""id"",""en"")"),"Millions of Argentine Gathering Capital Capital Capital Aires they celebrate the success of Argentina to become the World Cup championship")</f>
        <v>Millions of Argentine Gathering Capital Capital Capital Aires they celebrate the success of Argentina to become the World Cup championship</v>
      </c>
    </row>
    <row r="8154" ht="15.75" customHeight="1">
      <c r="A8154" s="1">
        <v>9374.0</v>
      </c>
      <c r="B8154" s="3" t="s">
        <v>23323</v>
      </c>
      <c r="C8154" s="3">
        <v>0.0</v>
      </c>
      <c r="D8154" s="3">
        <v>0.0</v>
      </c>
      <c r="E8154" s="3">
        <v>0.0</v>
      </c>
      <c r="F8154" s="3" t="s">
        <v>23324</v>
      </c>
      <c r="G8154" s="3">
        <v>0.0</v>
      </c>
      <c r="H8154" s="3">
        <v>0.0</v>
      </c>
      <c r="I8154" s="3" t="s">
        <v>13</v>
      </c>
      <c r="J8154" s="3" t="s">
        <v>23325</v>
      </c>
      <c r="K8154" s="3" t="s">
        <v>19</v>
      </c>
      <c r="L8154" s="3" t="str">
        <f>IFERROR(__xludf.DUMMYFUNCTION("GOOGLETRANSLATE(F8154,""id"",""en"")"),"Argentina Champion World Cup Lionel Messi Flood Praise from Former Soccer Player")</f>
        <v>Argentina Champion World Cup Lionel Messi Flood Praise from Former Soccer Player</v>
      </c>
    </row>
    <row r="8155" ht="15.75" customHeight="1">
      <c r="A8155" s="1">
        <v>9375.0</v>
      </c>
      <c r="B8155" s="3" t="s">
        <v>23326</v>
      </c>
      <c r="C8155" s="3">
        <v>1.0</v>
      </c>
      <c r="D8155" s="3">
        <v>0.0</v>
      </c>
      <c r="E8155" s="3">
        <v>0.0</v>
      </c>
      <c r="F8155" s="3" t="s">
        <v>23327</v>
      </c>
      <c r="G8155" s="3">
        <v>0.0</v>
      </c>
      <c r="H8155" s="3">
        <v>0.0</v>
      </c>
      <c r="I8155" s="3" t="s">
        <v>13</v>
      </c>
      <c r="J8155" s="3" t="s">
        <v>23328</v>
      </c>
      <c r="K8155" s="3" t="s">
        <v>90</v>
      </c>
      <c r="L8155" s="3" t="str">
        <f>IFERROR(__xludf.DUMMYFUNCTION("GOOGLETRANSLATE(F8155,""id"",""en"")"),"Observations about why Argentina could win Ronaldo and Messi sponsored by France Clue Number then the party issued the campaign when the Qatar World Cup wanted to start rolling")</f>
        <v>Observations about why Argentina could win Ronaldo and Messi sponsored by France Clue Number then the party issued the campaign when the Qatar World Cup wanted to start rolling</v>
      </c>
    </row>
    <row r="8156" ht="15.75" customHeight="1">
      <c r="A8156" s="1">
        <v>9376.0</v>
      </c>
      <c r="B8156" s="3" t="s">
        <v>23329</v>
      </c>
      <c r="C8156" s="3">
        <v>0.0</v>
      </c>
      <c r="D8156" s="3">
        <v>0.0</v>
      </c>
      <c r="E8156" s="3">
        <v>0.0</v>
      </c>
      <c r="F8156" s="3" t="s">
        <v>23330</v>
      </c>
      <c r="G8156" s="3">
        <v>0.0</v>
      </c>
      <c r="H8156" s="3">
        <v>0.0</v>
      </c>
      <c r="I8156" s="3" t="s">
        <v>13</v>
      </c>
      <c r="J8156" s="3" t="s">
        <v>16104</v>
      </c>
      <c r="K8156" s="3" t="s">
        <v>14571</v>
      </c>
      <c r="L8156" s="3" t="str">
        <f>IFERROR(__xludf.DUMMYFUNCTION("GOOGLETRANSLATE(F8156,""id"",""en"")"),"Argentina Champion Cuy")</f>
        <v>Argentina Champion Cuy</v>
      </c>
    </row>
    <row r="8157" ht="15.75" customHeight="1">
      <c r="A8157" s="1">
        <v>9377.0</v>
      </c>
      <c r="B8157" s="3" t="s">
        <v>23331</v>
      </c>
      <c r="C8157" s="3">
        <v>0.0</v>
      </c>
      <c r="D8157" s="3">
        <v>0.0</v>
      </c>
      <c r="E8157" s="3">
        <v>0.0</v>
      </c>
      <c r="F8157" s="3" t="s">
        <v>23126</v>
      </c>
      <c r="G8157" s="3">
        <v>0.0</v>
      </c>
      <c r="H8157" s="3">
        <v>0.0</v>
      </c>
      <c r="I8157" s="3" t="s">
        <v>13</v>
      </c>
      <c r="J8157" s="3" t="s">
        <v>23127</v>
      </c>
      <c r="K8157" s="3" t="s">
        <v>90</v>
      </c>
      <c r="L8157" s="3" t="str">
        <f>IFERROR(__xludf.DUMMYFUNCTION("GOOGLETRANSLATE(F8157,""id"",""en"")"),"Lionel Messi wrote an Instagram message after Argentina Champion the Pulga World Cup could not believe the dream that continued to be nurtured finally realized")</f>
        <v>Lionel Messi wrote an Instagram message after Argentina Champion the Pulga World Cup could not believe the dream that continued to be nurtured finally realized</v>
      </c>
    </row>
    <row r="8158" ht="15.75" customHeight="1">
      <c r="A8158" s="1">
        <v>9378.0</v>
      </c>
      <c r="B8158" s="3" t="s">
        <v>23332</v>
      </c>
      <c r="C8158" s="3">
        <v>0.0</v>
      </c>
      <c r="D8158" s="3">
        <v>0.0</v>
      </c>
      <c r="E8158" s="3">
        <v>0.0</v>
      </c>
      <c r="F8158" s="3" t="s">
        <v>23333</v>
      </c>
      <c r="G8158" s="3">
        <v>0.0</v>
      </c>
      <c r="H8158" s="3">
        <v>0.0</v>
      </c>
      <c r="I8158" s="3" t="s">
        <v>13</v>
      </c>
      <c r="J8158" s="3" t="s">
        <v>23334</v>
      </c>
      <c r="K8158" s="3" t="s">
        <v>75</v>
      </c>
      <c r="L8158" s="3" t="str">
        <f>IFERROR(__xludf.DUMMYFUNCTION("GOOGLETRANSLATE(F8158,""id"",""en"")"),"old but if you are still Lautaro, I don't change Alvarez, starter during Argentina, what can you win or not")</f>
        <v>old but if you are still Lautaro, I don't change Alvarez, starter during Argentina, what can you win or not</v>
      </c>
    </row>
    <row r="8159" ht="15.75" customHeight="1">
      <c r="A8159" s="1">
        <v>9379.0</v>
      </c>
      <c r="B8159" s="3" t="s">
        <v>23335</v>
      </c>
      <c r="C8159" s="3">
        <v>0.0</v>
      </c>
      <c r="D8159" s="3">
        <v>0.0</v>
      </c>
      <c r="E8159" s="3">
        <v>0.0</v>
      </c>
      <c r="F8159" s="3" t="s">
        <v>23336</v>
      </c>
      <c r="G8159" s="3">
        <v>0.0</v>
      </c>
      <c r="H8159" s="3">
        <v>0.0</v>
      </c>
      <c r="I8159" s="3" t="s">
        <v>13</v>
      </c>
      <c r="J8159" s="3" t="s">
        <v>23337</v>
      </c>
      <c r="K8159" s="3" t="s">
        <v>644</v>
      </c>
      <c r="L8159" s="3" t="str">
        <f>IFERROR(__xludf.DUMMYFUNCTION("GOOGLETRANSLATE(F8159,""id"",""en"")"),"Argentina will definitely be a champion")</f>
        <v>Argentina will definitely be a champion</v>
      </c>
    </row>
    <row r="8160" ht="15.75" customHeight="1">
      <c r="A8160" s="1">
        <v>9380.0</v>
      </c>
      <c r="B8160" s="3" t="s">
        <v>23338</v>
      </c>
      <c r="C8160" s="3">
        <v>0.0</v>
      </c>
      <c r="D8160" s="3">
        <v>0.0</v>
      </c>
      <c r="E8160" s="3">
        <v>0.0</v>
      </c>
      <c r="F8160" s="3" t="s">
        <v>23339</v>
      </c>
      <c r="G8160" s="3">
        <v>0.0</v>
      </c>
      <c r="H8160" s="3">
        <v>0.0</v>
      </c>
      <c r="I8160" s="3" t="s">
        <v>13</v>
      </c>
      <c r="J8160" s="3" t="s">
        <v>23340</v>
      </c>
      <c r="K8160" s="3" t="s">
        <v>19</v>
      </c>
      <c r="L8160" s="3" t="str">
        <f>IFERROR(__xludf.DUMMYFUNCTION("GOOGLETRANSLATE(F8160,""id"",""en"")"),"Meme Sergio Aguero and Iwan Bule appeared the celebration of Argentina World Cup champions via")</f>
        <v>Meme Sergio Aguero and Iwan Bule appeared the celebration of Argentina World Cup champions via</v>
      </c>
    </row>
    <row r="8161" ht="15.75" customHeight="1">
      <c r="A8161" s="1">
        <v>9381.0</v>
      </c>
      <c r="B8161" s="3" t="s">
        <v>23341</v>
      </c>
      <c r="C8161" s="3">
        <v>0.0</v>
      </c>
      <c r="D8161" s="3">
        <v>0.0</v>
      </c>
      <c r="E8161" s="3">
        <v>0.0</v>
      </c>
      <c r="F8161" s="3" t="s">
        <v>23342</v>
      </c>
      <c r="G8161" s="3">
        <v>0.0</v>
      </c>
      <c r="H8161" s="3">
        <v>0.0</v>
      </c>
      <c r="I8161" s="3" t="s">
        <v>13</v>
      </c>
      <c r="J8161" s="3" t="s">
        <v>23343</v>
      </c>
      <c r="K8161" s="3" t="s">
        <v>15</v>
      </c>
      <c r="L8161" s="3" t="str">
        <f>IFERROR(__xludf.DUMMYFUNCTION("GOOGLETRANSLATE(F8161,""id"",""en"")"),"Argentina Champion World Cup Buenos Aires Via Via")</f>
        <v>Argentina Champion World Cup Buenos Aires Via Via</v>
      </c>
    </row>
    <row r="8162" ht="15.75" customHeight="1">
      <c r="A8162" s="1">
        <v>9382.0</v>
      </c>
      <c r="B8162" s="3" t="s">
        <v>23344</v>
      </c>
      <c r="C8162" s="3">
        <v>1.0</v>
      </c>
      <c r="D8162" s="3">
        <v>0.0</v>
      </c>
      <c r="E8162" s="3">
        <v>0.0</v>
      </c>
      <c r="F8162" s="3" t="s">
        <v>23345</v>
      </c>
      <c r="G8162" s="3">
        <v>0.0</v>
      </c>
      <c r="H8162" s="3">
        <v>0.0</v>
      </c>
      <c r="I8162" s="3" t="s">
        <v>13</v>
      </c>
      <c r="J8162" s="3" t="s">
        <v>23346</v>
      </c>
      <c r="K8162" s="3" t="s">
        <v>54</v>
      </c>
      <c r="L8162" s="3" t="str">
        <f>IFERROR(__xludf.DUMMYFUNCTION("GOOGLETRANSLATE(F8162,""id"",""en"")"),"Also, Argentina is really worthy of championship")</f>
        <v>Also, Argentina is really worthy of championship</v>
      </c>
    </row>
    <row r="8163" ht="15.75" customHeight="1">
      <c r="A8163" s="1">
        <v>9383.0</v>
      </c>
      <c r="B8163" s="3" t="s">
        <v>23347</v>
      </c>
      <c r="C8163" s="3">
        <v>0.0</v>
      </c>
      <c r="D8163" s="3">
        <v>0.0</v>
      </c>
      <c r="E8163" s="3">
        <v>0.0</v>
      </c>
      <c r="F8163" s="3" t="s">
        <v>23348</v>
      </c>
      <c r="G8163" s="3">
        <v>0.0</v>
      </c>
      <c r="H8163" s="3">
        <v>0.0</v>
      </c>
      <c r="I8163" s="3" t="s">
        <v>13</v>
      </c>
      <c r="J8163" s="3" t="s">
        <v>23349</v>
      </c>
      <c r="K8163" s="3" t="s">
        <v>41</v>
      </c>
      <c r="L8163" s="3" t="str">
        <f>IFERROR(__xludf.DUMMYFUNCTION("GOOGLETRANSLATE(F8163,""id"",""en"")"),"Innalillahi Argentina World Champion Party Manado Tumbanan One Life")</f>
        <v>Innalillahi Argentina World Champion Party Manado Tumbanan One Life</v>
      </c>
    </row>
    <row r="8164" ht="15.75" customHeight="1">
      <c r="A8164" s="1">
        <v>9384.0</v>
      </c>
      <c r="B8164" s="3" t="s">
        <v>23350</v>
      </c>
      <c r="C8164" s="3">
        <v>0.0</v>
      </c>
      <c r="D8164" s="3">
        <v>0.0</v>
      </c>
      <c r="E8164" s="3">
        <v>0.0</v>
      </c>
      <c r="F8164" s="3" t="s">
        <v>23351</v>
      </c>
      <c r="G8164" s="3">
        <v>0.0</v>
      </c>
      <c r="H8164" s="3">
        <v>0.0</v>
      </c>
      <c r="I8164" s="3" t="s">
        <v>13</v>
      </c>
      <c r="J8164" s="3" t="s">
        <v>23352</v>
      </c>
      <c r="K8164" s="3" t="s">
        <v>1265</v>
      </c>
      <c r="L8164" s="3" t="str">
        <f>IFERROR(__xludf.DUMMYFUNCTION("GOOGLETRANSLATE(F8164,""id"",""en"")"),"Goosebumps Watch Videos Videos State Seconds Argentina Champion Buenos Aires")</f>
        <v>Goosebumps Watch Videos Videos State Seconds Argentina Champion Buenos Aires</v>
      </c>
    </row>
    <row r="8165" ht="15.75" customHeight="1">
      <c r="A8165" s="1">
        <v>9385.0</v>
      </c>
      <c r="B8165" s="3" t="s">
        <v>23353</v>
      </c>
      <c r="C8165" s="3">
        <v>0.0</v>
      </c>
      <c r="D8165" s="3">
        <v>0.0</v>
      </c>
      <c r="E8165" s="3">
        <v>0.0</v>
      </c>
      <c r="F8165" s="3" t="s">
        <v>23138</v>
      </c>
      <c r="G8165" s="3">
        <v>0.0</v>
      </c>
      <c r="H8165" s="3">
        <v>0.0</v>
      </c>
      <c r="I8165" s="3" t="s">
        <v>13</v>
      </c>
      <c r="J8165" s="3" t="s">
        <v>23139</v>
      </c>
      <c r="K8165" s="3" t="s">
        <v>184</v>
      </c>
      <c r="L8165" s="3" t="str">
        <f>IFERROR(__xludf.DUMMYFUNCTION("GOOGLETRANSLATE(F8165,""id"",""en"")"),"Rodrigo Paul also contributed to carrying Argentina World Cup champion Paul was truly like an albiceleste bodyguard hard opponent to protect his territory")</f>
        <v>Rodrigo Paul also contributed to carrying Argentina World Cup champion Paul was truly like an albiceleste bodyguard hard opponent to protect his territory</v>
      </c>
    </row>
    <row r="8166" ht="15.75" customHeight="1">
      <c r="A8166" s="1">
        <v>9386.0</v>
      </c>
      <c r="B8166" s="3" t="s">
        <v>23354</v>
      </c>
      <c r="C8166" s="3">
        <v>0.0</v>
      </c>
      <c r="D8166" s="3">
        <v>0.0</v>
      </c>
      <c r="E8166" s="3">
        <v>0.0</v>
      </c>
      <c r="F8166" s="3" t="s">
        <v>23355</v>
      </c>
      <c r="G8166" s="3">
        <v>0.0</v>
      </c>
      <c r="H8166" s="3">
        <v>0.0</v>
      </c>
      <c r="I8166" s="3" t="s">
        <v>13</v>
      </c>
      <c r="J8166" s="3" t="s">
        <v>23356</v>
      </c>
      <c r="K8166" s="3" t="s">
        <v>54</v>
      </c>
      <c r="L8166" s="3" t="str">
        <f>IFERROR(__xludf.DUMMYFUNCTION("GOOGLETRANSLATE(F8166,""id"",""en"")"),"Alhamdulillah Argentina Champion thanks to Iwan Bule")</f>
        <v>Alhamdulillah Argentina Champion thanks to Iwan Bule</v>
      </c>
    </row>
    <row r="8167" ht="15.75" customHeight="1">
      <c r="A8167" s="1">
        <v>9387.0</v>
      </c>
      <c r="B8167" s="3" t="s">
        <v>23357</v>
      </c>
      <c r="C8167" s="3">
        <v>1.0</v>
      </c>
      <c r="D8167" s="3">
        <v>0.0</v>
      </c>
      <c r="E8167" s="3">
        <v>0.0</v>
      </c>
      <c r="F8167" s="3" t="s">
        <v>23358</v>
      </c>
      <c r="G8167" s="3">
        <v>0.0</v>
      </c>
      <c r="H8167" s="3">
        <v>0.0</v>
      </c>
      <c r="I8167" s="3" t="s">
        <v>13</v>
      </c>
      <c r="J8167" s="3" t="s">
        <v>23359</v>
      </c>
      <c r="K8167" s="3" t="s">
        <v>228</v>
      </c>
      <c r="L8167" s="3" t="str">
        <f>IFERROR(__xludf.DUMMYFUNCTION("GOOGLETRANSLATE(F8167,""id"",""en"")"),"Violations of the first Argentine Penalty Thin Argentina were terminated without a strange VAR violation of Argentine players minimal Ottamendi cards should be the Red Card BLA BLA only a response to the status of Argentina deserved to win but the referee"&amp;" plays a role in it")</f>
        <v>Violations of the first Argentine Penalty Thin Argentina were terminated without a strange VAR violation of Argentine players minimal Ottamendi cards should be the Red Card BLA BLA only a response to the status of Argentina deserved to win but the referee plays a role in it</v>
      </c>
    </row>
    <row r="8168" ht="15.75" customHeight="1">
      <c r="A8168" s="1">
        <v>9388.0</v>
      </c>
      <c r="B8168" s="3" t="s">
        <v>23360</v>
      </c>
      <c r="C8168" s="3">
        <v>0.0</v>
      </c>
      <c r="D8168" s="3">
        <v>0.0</v>
      </c>
      <c r="E8168" s="3">
        <v>0.0</v>
      </c>
      <c r="F8168" s="3" t="s">
        <v>23138</v>
      </c>
      <c r="G8168" s="3">
        <v>0.0</v>
      </c>
      <c r="H8168" s="3">
        <v>0.0</v>
      </c>
      <c r="I8168" s="3" t="s">
        <v>13</v>
      </c>
      <c r="J8168" s="3" t="s">
        <v>23139</v>
      </c>
      <c r="K8168" s="3" t="s">
        <v>184</v>
      </c>
      <c r="L8168" s="3" t="str">
        <f>IFERROR(__xludf.DUMMYFUNCTION("GOOGLETRANSLATE(F8168,""id"",""en"")"),"Rodrigo Paul also contributed to carrying Argentina World Cup champion Paul was truly like an albiceleste bodyguard hard opponent to protect his territory")</f>
        <v>Rodrigo Paul also contributed to carrying Argentina World Cup champion Paul was truly like an albiceleste bodyguard hard opponent to protect his territory</v>
      </c>
    </row>
    <row r="8169" ht="15.75" customHeight="1">
      <c r="A8169" s="1">
        <v>9389.0</v>
      </c>
      <c r="B8169" s="3" t="s">
        <v>23361</v>
      </c>
      <c r="C8169" s="3">
        <v>0.0</v>
      </c>
      <c r="D8169" s="3">
        <v>0.0</v>
      </c>
      <c r="E8169" s="3">
        <v>0.0</v>
      </c>
      <c r="F8169" s="3" t="s">
        <v>23362</v>
      </c>
      <c r="G8169" s="3">
        <v>0.0</v>
      </c>
      <c r="H8169" s="3">
        <v>0.0</v>
      </c>
      <c r="I8169" s="3" t="s">
        <v>13</v>
      </c>
      <c r="J8169" s="3" t="s">
        <v>23363</v>
      </c>
      <c r="K8169" s="3" t="s">
        <v>31</v>
      </c>
      <c r="L8169" s="3" t="str">
        <f>IFERROR(__xludf.DUMMYFUNCTION("GOOGLETRANSLATE(F8169,""id"",""en"")"),"Argentina is still champions")</f>
        <v>Argentina is still champions</v>
      </c>
    </row>
    <row r="8170" ht="15.75" customHeight="1">
      <c r="A8170" s="1">
        <v>9390.0</v>
      </c>
      <c r="B8170" s="3" t="s">
        <v>23364</v>
      </c>
      <c r="C8170" s="3">
        <v>0.0</v>
      </c>
      <c r="D8170" s="3">
        <v>0.0</v>
      </c>
      <c r="E8170" s="3">
        <v>0.0</v>
      </c>
      <c r="F8170" s="3" t="s">
        <v>23365</v>
      </c>
      <c r="G8170" s="3">
        <v>0.0</v>
      </c>
      <c r="H8170" s="3">
        <v>0.0</v>
      </c>
      <c r="I8170" s="3" t="s">
        <v>13</v>
      </c>
      <c r="J8170" s="3" t="s">
        <v>23366</v>
      </c>
      <c r="K8170" s="3" t="s">
        <v>2907</v>
      </c>
      <c r="L8170" s="3" t="str">
        <f>IFERROR(__xludf.DUMMYFUNCTION("GOOGLETRANSLATE(F8170,""id"",""en"")"),"The last Argentina of the World Cup Juar before there was Messi Argentina and the last Copa America Champion Year")</f>
        <v>The last Argentina of the World Cup Juar before there was Messi Argentina and the last Copa America Champion Year</v>
      </c>
    </row>
    <row r="8171" ht="15.75" customHeight="1">
      <c r="A8171" s="1">
        <v>9391.0</v>
      </c>
      <c r="B8171" s="3" t="s">
        <v>23367</v>
      </c>
      <c r="C8171" s="3">
        <v>0.0</v>
      </c>
      <c r="D8171" s="3">
        <v>0.0</v>
      </c>
      <c r="E8171" s="3">
        <v>0.0</v>
      </c>
      <c r="F8171" s="3" t="s">
        <v>23368</v>
      </c>
      <c r="G8171" s="3">
        <v>0.0</v>
      </c>
      <c r="H8171" s="3">
        <v>0.0</v>
      </c>
      <c r="I8171" s="3" t="s">
        <v>13</v>
      </c>
      <c r="J8171" s="3" t="s">
        <v>23369</v>
      </c>
      <c r="K8171" s="3" t="s">
        <v>477</v>
      </c>
      <c r="L8171" s="3" t="str">
        <f>IFERROR(__xludf.DUMMYFUNCTION("GOOGLETRANSLATE(F8171,""id"",""en"")"),"a very dog ​​but because of Argentina the champion is a little dog")</f>
        <v>a very dog ​​but because of Argentina the champion is a little dog</v>
      </c>
    </row>
    <row r="8172" ht="15.75" customHeight="1">
      <c r="A8172" s="1">
        <v>9392.0</v>
      </c>
      <c r="B8172" s="3" t="s">
        <v>23370</v>
      </c>
      <c r="C8172" s="3">
        <v>2.0</v>
      </c>
      <c r="D8172" s="3">
        <v>0.0</v>
      </c>
      <c r="E8172" s="3">
        <v>0.0</v>
      </c>
      <c r="F8172" s="3" t="s">
        <v>23371</v>
      </c>
      <c r="G8172" s="3">
        <v>0.0</v>
      </c>
      <c r="H8172" s="3">
        <v>0.0</v>
      </c>
      <c r="I8172" s="3" t="s">
        <v>13</v>
      </c>
      <c r="J8172" s="3" t="s">
        <v>23372</v>
      </c>
      <c r="K8172" s="3" t="s">
        <v>90</v>
      </c>
      <c r="L8172" s="3" t="str">
        <f>IFERROR(__xludf.DUMMYFUNCTION("GOOGLETRANSLATE(F8172,""id"",""en"")"),"His name is his great friends, it really affects Argentina, the game is quite collected and delicious to watch, see Portugal, the era of playing opurtunis and relies on spam")</f>
        <v>His name is his great friends, it really affects Argentina, the game is quite collected and delicious to watch, see Portugal, the era of playing opurtunis and relies on spam</v>
      </c>
    </row>
    <row r="8173" ht="15.75" customHeight="1">
      <c r="A8173" s="1">
        <v>9393.0</v>
      </c>
      <c r="B8173" s="3" t="s">
        <v>23373</v>
      </c>
      <c r="C8173" s="3">
        <v>0.0</v>
      </c>
      <c r="D8173" s="3">
        <v>0.0</v>
      </c>
      <c r="E8173" s="3">
        <v>0.0</v>
      </c>
      <c r="F8173" s="3" t="s">
        <v>23374</v>
      </c>
      <c r="G8173" s="3">
        <v>0.0</v>
      </c>
      <c r="H8173" s="3">
        <v>0.0</v>
      </c>
      <c r="I8173" s="3" t="s">
        <v>13</v>
      </c>
      <c r="J8173" s="3" t="s">
        <v>23375</v>
      </c>
      <c r="K8173" s="3" t="s">
        <v>644</v>
      </c>
      <c r="L8173" s="3" t="str">
        <f>IFERROR(__xludf.DUMMYFUNCTION("GOOGLETRANSLATE(F8173,""id"",""en"")"),"if the word Aing is Argentina, champion")</f>
        <v>if the word Aing is Argentina, champion</v>
      </c>
    </row>
    <row r="8174" ht="15.75" customHeight="1">
      <c r="A8174" s="1">
        <v>9394.0</v>
      </c>
      <c r="B8174" s="3" t="s">
        <v>23376</v>
      </c>
      <c r="C8174" s="3">
        <v>2.0</v>
      </c>
      <c r="D8174" s="3">
        <v>0.0</v>
      </c>
      <c r="E8174" s="3">
        <v>0.0</v>
      </c>
      <c r="F8174" s="3" t="s">
        <v>23377</v>
      </c>
      <c r="G8174" s="3">
        <v>0.0</v>
      </c>
      <c r="H8174" s="3">
        <v>0.0</v>
      </c>
      <c r="I8174" s="3" t="s">
        <v>13</v>
      </c>
      <c r="J8174" s="3" t="s">
        <v>23378</v>
      </c>
      <c r="K8174" s="3" t="s">
        <v>15</v>
      </c>
      <c r="L8174" s="3" t="str">
        <f>IFERROR(__xludf.DUMMYFUNCTION("GOOGLETRANSLATE(F8174,""id"",""en"")"),"Argentina can win with a mediocre squad because other European teams are dropped")</f>
        <v>Argentina can win with a mediocre squad because other European teams are dropped</v>
      </c>
    </row>
    <row r="8175" ht="15.75" customHeight="1">
      <c r="A8175" s="1">
        <v>9395.0</v>
      </c>
      <c r="B8175" s="3" t="s">
        <v>23379</v>
      </c>
      <c r="C8175" s="3">
        <v>0.0</v>
      </c>
      <c r="D8175" s="3">
        <v>1.0</v>
      </c>
      <c r="E8175" s="3">
        <v>3.0</v>
      </c>
      <c r="F8175" s="3" t="s">
        <v>23380</v>
      </c>
      <c r="G8175" s="3">
        <v>0.3</v>
      </c>
      <c r="H8175" s="3">
        <v>0.2</v>
      </c>
      <c r="I8175" s="3" t="s">
        <v>48</v>
      </c>
      <c r="J8175" s="3" t="s">
        <v>23381</v>
      </c>
      <c r="K8175" s="3" t="s">
        <v>23382</v>
      </c>
      <c r="L8175" s="3" t="str">
        <f>IFERROR(__xludf.DUMMYFUNCTION("GOOGLETRANSLATE(F8175,""id"",""en"")"),"Jokowi officially inaugurated Yudo to be the TNI Commander Prank Marriage Narnia Susanti France Nomin Jaya Jaya Jaya Paul Maradona Lloris The Real Goat Pukis Sheikh Messi Minji Sulky Haechan Smini All Argentina Emir Qatar Dream Dream Sully Winwin Gus Muha"&amp;"imin Teaserimage")</f>
        <v>Jokowi officially inaugurated Yudo to be the TNI Commander Prank Marriage Narnia Susanti France Nomin Jaya Jaya Jaya Paul Maradona Lloris The Real Goat Pukis Sheikh Messi Minji Sulky Haechan Smini All Argentina Emir Qatar Dream Dream Sully Winwin Gus Muhaimin Teaserimage</v>
      </c>
    </row>
    <row r="8176" ht="15.75" customHeight="1">
      <c r="A8176" s="1">
        <v>9396.0</v>
      </c>
      <c r="B8176" s="3" t="s">
        <v>23383</v>
      </c>
      <c r="C8176" s="3">
        <v>0.0</v>
      </c>
      <c r="D8176" s="3">
        <v>0.0</v>
      </c>
      <c r="E8176" s="3">
        <v>0.0</v>
      </c>
      <c r="F8176" s="3" t="s">
        <v>23384</v>
      </c>
      <c r="G8176" s="3">
        <v>0.0</v>
      </c>
      <c r="H8176" s="3">
        <v>0.0</v>
      </c>
      <c r="I8176" s="3" t="s">
        <v>13</v>
      </c>
      <c r="J8176" s="3" t="s">
        <v>23385</v>
      </c>
      <c r="K8176" s="3" t="s">
        <v>520</v>
      </c>
      <c r="L8176" s="3" t="str">
        <f>IFERROR(__xludf.DUMMYFUNCTION("GOOGLETRANSLATE(F8176,""id"",""en"")"),"That why I said Portugal was fortunate that the champion of the Third Argentine generation was more than Portugal's performance when Euro and even though they were the Argenti championship")</f>
        <v>That why I said Portugal was fortunate that the champion of the Third Argentine generation was more than Portugal's performance when Euro and even though they were the Argenti championship</v>
      </c>
    </row>
    <row r="8177" ht="15.75" customHeight="1">
      <c r="A8177" s="1">
        <v>9397.0</v>
      </c>
      <c r="B8177" s="3" t="s">
        <v>23386</v>
      </c>
      <c r="C8177" s="3">
        <v>0.0</v>
      </c>
      <c r="D8177" s="3">
        <v>4.0</v>
      </c>
      <c r="E8177" s="3">
        <v>0.0</v>
      </c>
      <c r="F8177" s="3" t="s">
        <v>23387</v>
      </c>
      <c r="G8177" s="3">
        <v>0.0</v>
      </c>
      <c r="H8177" s="3">
        <v>0.0</v>
      </c>
      <c r="I8177" s="3" t="s">
        <v>13</v>
      </c>
      <c r="J8177" s="3" t="s">
        <v>23388</v>
      </c>
      <c r="K8177" s="3" t="s">
        <v>510</v>
      </c>
      <c r="L8177" s="3" t="str">
        <f>IFERROR(__xludf.DUMMYFUNCTION("GOOGLETRANSLATE(F8177,""id"",""en"")"),"Brazil of Argentina's mortal enemy Neymar remains Sangeng Lionel Messi after the World Cup championship")</f>
        <v>Brazil of Argentina's mortal enemy Neymar remains Sangeng Lionel Messi after the World Cup championship</v>
      </c>
    </row>
    <row r="8178" ht="15.75" customHeight="1">
      <c r="A8178" s="1">
        <v>9398.0</v>
      </c>
      <c r="B8178" s="3" t="s">
        <v>23389</v>
      </c>
      <c r="C8178" s="3">
        <v>2.0</v>
      </c>
      <c r="D8178" s="3">
        <v>4.0</v>
      </c>
      <c r="E8178" s="3">
        <v>27.0</v>
      </c>
      <c r="F8178" s="3" t="s">
        <v>23390</v>
      </c>
      <c r="G8178" s="3">
        <v>0.0</v>
      </c>
      <c r="H8178" s="3">
        <v>0.0</v>
      </c>
      <c r="I8178" s="3" t="s">
        <v>13</v>
      </c>
      <c r="J8178" s="3" t="s">
        <v>23391</v>
      </c>
      <c r="K8178" s="3" t="s">
        <v>149</v>
      </c>
      <c r="L8178" s="3" t="str">
        <f>IFERROR(__xludf.DUMMYFUNCTION("GOOGLETRANSLATE(F8178,""id"",""en"")"),"Argentina Champion World Cup through a penalty against France, one of its executors Paulo Dybala really has the guts to place the middle ball")</f>
        <v>Argentina Champion World Cup through a penalty against France, one of its executors Paulo Dybala really has the guts to place the middle ball</v>
      </c>
    </row>
    <row r="8179" ht="15.75" customHeight="1">
      <c r="A8179" s="1">
        <v>9399.0</v>
      </c>
      <c r="B8179" s="3" t="s">
        <v>23392</v>
      </c>
      <c r="C8179" s="3">
        <v>59.0</v>
      </c>
      <c r="D8179" s="3">
        <v>7.0</v>
      </c>
      <c r="E8179" s="3">
        <v>301.0</v>
      </c>
      <c r="F8179" s="3" t="s">
        <v>23393</v>
      </c>
      <c r="G8179" s="3">
        <v>0.0</v>
      </c>
      <c r="H8179" s="3">
        <v>0.0</v>
      </c>
      <c r="I8179" s="3" t="s">
        <v>13</v>
      </c>
      <c r="J8179" s="3" t="s">
        <v>23394</v>
      </c>
      <c r="K8179" s="3" t="s">
        <v>644</v>
      </c>
      <c r="L8179" s="3" t="str">
        <f>IFERROR(__xludf.DUMMYFUNCTION("GOOGLETRANSLATE(F8179,""id"",""en"")"),"if I say, Argentina is champion")</f>
        <v>if I say, Argentina is champion</v>
      </c>
    </row>
    <row r="8180" ht="15.75" customHeight="1">
      <c r="A8180" s="1">
        <v>9400.0</v>
      </c>
      <c r="B8180" s="3" t="s">
        <v>23395</v>
      </c>
      <c r="C8180" s="3">
        <v>0.0</v>
      </c>
      <c r="D8180" s="3">
        <v>0.0</v>
      </c>
      <c r="E8180" s="3">
        <v>0.0</v>
      </c>
      <c r="F8180" s="3" t="s">
        <v>23396</v>
      </c>
      <c r="G8180" s="3">
        <v>1.0</v>
      </c>
      <c r="H8180" s="3">
        <v>0.0</v>
      </c>
      <c r="I8180" s="3" t="s">
        <v>13</v>
      </c>
      <c r="J8180" s="3" t="s">
        <v>23397</v>
      </c>
      <c r="K8180" s="3" t="s">
        <v>644</v>
      </c>
      <c r="L8180" s="3" t="str">
        <f>IFERROR(__xludf.DUMMYFUNCTION("GOOGLETRANSLATE(F8180,""id"",""en"")"),"Dejavu Robben Casillas Final")</f>
        <v>Dejavu Robben Casillas Final</v>
      </c>
    </row>
    <row r="8181" ht="15.75" customHeight="1">
      <c r="A8181" s="1">
        <v>9401.0</v>
      </c>
      <c r="B8181" s="3" t="s">
        <v>23398</v>
      </c>
      <c r="C8181" s="3">
        <v>0.0</v>
      </c>
      <c r="D8181" s="3">
        <v>2.0</v>
      </c>
      <c r="E8181" s="3">
        <v>2.0</v>
      </c>
      <c r="F8181" s="3" t="s">
        <v>23399</v>
      </c>
      <c r="G8181" s="3">
        <v>0.4545454545454545</v>
      </c>
      <c r="H8181" s="3">
        <v>0.1363636363636364</v>
      </c>
      <c r="I8181" s="3" t="s">
        <v>48</v>
      </c>
      <c r="J8181" s="3" t="s">
        <v>23400</v>
      </c>
      <c r="K8181" s="3" t="s">
        <v>3734</v>
      </c>
      <c r="L8181" s="3" t="str">
        <f>IFERROR(__xludf.DUMMYFUNCTION("GOOGLETRANSLATE(F8181,""id"",""en"")"),"The last time Portugal lost to Morocco Argentina as the champion occurred this year Portugal lost again to Morocco and Argentina again to become the world champion has been predicted by New Boyz from the year of history maybe repeated")</f>
        <v>The last time Portugal lost to Morocco Argentina as the champion occurred this year Portugal lost again to Morocco and Argentina again to become the world champion has been predicted by New Boyz from the year of history maybe repeated</v>
      </c>
    </row>
    <row r="8182" ht="15.75" customHeight="1">
      <c r="A8182" s="1">
        <v>9402.0</v>
      </c>
      <c r="B8182" s="3" t="s">
        <v>23401</v>
      </c>
      <c r="C8182" s="3">
        <v>1.0</v>
      </c>
      <c r="D8182" s="3">
        <v>0.0</v>
      </c>
      <c r="E8182" s="3">
        <v>0.0</v>
      </c>
      <c r="F8182" s="3" t="s">
        <v>23402</v>
      </c>
      <c r="G8182" s="3">
        <v>0.0</v>
      </c>
      <c r="H8182" s="3">
        <v>0.0</v>
      </c>
      <c r="I8182" s="3" t="s">
        <v>13</v>
      </c>
      <c r="J8182" s="3" t="s">
        <v>23403</v>
      </c>
      <c r="K8182" s="3" t="s">
        <v>58</v>
      </c>
      <c r="L8182" s="3" t="str">
        <f>IFERROR(__xludf.DUMMYFUNCTION("GOOGLETRANSLATE(F8182,""id"",""en"")"),"But Argentina is BLG Medioker The proof is that the champion of the pildun is even the non -prime Messi period is also not")</f>
        <v>But Argentina is BLG Medioker The proof is that the champion of the pildun is even the non -prime Messi period is also not</v>
      </c>
    </row>
    <row r="8183" ht="15.75" customHeight="1">
      <c r="A8183" s="1">
        <v>9403.0</v>
      </c>
      <c r="B8183" s="3" t="s">
        <v>23404</v>
      </c>
      <c r="C8183" s="3">
        <v>0.0</v>
      </c>
      <c r="D8183" s="3">
        <v>0.0</v>
      </c>
      <c r="E8183" s="3">
        <v>0.0</v>
      </c>
      <c r="F8183" s="3" t="s">
        <v>23405</v>
      </c>
      <c r="G8183" s="3">
        <v>0.0</v>
      </c>
      <c r="H8183" s="3">
        <v>0.0</v>
      </c>
      <c r="I8183" s="3" t="s">
        <v>13</v>
      </c>
      <c r="J8183" s="3" t="s">
        <v>23406</v>
      </c>
      <c r="K8183" s="3" t="s">
        <v>2117</v>
      </c>
      <c r="L8183" s="3" t="str">
        <f>IFERROR(__xludf.DUMMYFUNCTION("GOOGLETRANSLATE(F8183,""id"",""en"")"),"Argentine world champion")</f>
        <v>Argentine world champion</v>
      </c>
    </row>
    <row r="8184" ht="15.75" customHeight="1">
      <c r="A8184" s="1">
        <v>9404.0</v>
      </c>
      <c r="B8184" s="3" t="s">
        <v>23407</v>
      </c>
      <c r="C8184" s="3">
        <v>0.0</v>
      </c>
      <c r="D8184" s="3">
        <v>0.0</v>
      </c>
      <c r="E8184" s="3">
        <v>1.0</v>
      </c>
      <c r="F8184" s="3" t="s">
        <v>23408</v>
      </c>
      <c r="G8184" s="3">
        <v>0.0</v>
      </c>
      <c r="H8184" s="3">
        <v>0.0</v>
      </c>
      <c r="I8184" s="3" t="s">
        <v>13</v>
      </c>
      <c r="J8184" s="3" t="s">
        <v>23409</v>
      </c>
      <c r="K8184" s="3" t="s">
        <v>41</v>
      </c>
      <c r="L8184" s="3" t="str">
        <f>IFERROR(__xludf.DUMMYFUNCTION("GOOGLETRANSLATE(F8184,""id"",""en"")"),"former Persib striker celebrates the success of Argentina World Cup champions")</f>
        <v>former Persib striker celebrates the success of Argentina World Cup champions</v>
      </c>
    </row>
    <row r="8185" ht="15.75" customHeight="1">
      <c r="A8185" s="1">
        <v>9405.0</v>
      </c>
      <c r="B8185" s="3" t="s">
        <v>23410</v>
      </c>
      <c r="C8185" s="3">
        <v>1.0</v>
      </c>
      <c r="D8185" s="3">
        <v>0.0</v>
      </c>
      <c r="E8185" s="3">
        <v>0.0</v>
      </c>
      <c r="F8185" s="3" t="s">
        <v>23411</v>
      </c>
      <c r="G8185" s="3">
        <v>1.0</v>
      </c>
      <c r="H8185" s="3">
        <v>0.0</v>
      </c>
      <c r="I8185" s="3" t="s">
        <v>13</v>
      </c>
      <c r="J8185" s="3" t="s">
        <v>23412</v>
      </c>
      <c r="K8185" s="3" t="s">
        <v>997</v>
      </c>
      <c r="L8185" s="3" t="str">
        <f>IFERROR(__xludf.DUMMYFUNCTION("GOOGLETRANSLATE(F8185,""id"",""en"")"),"mmg fairy tale story times even though there is a Ler it appears that Argentina has a trip to become a champion as if there is support from behind the veil I was jem every matching can get a penalty but the final last night MMG prove Dorg is feasible")</f>
        <v>mmg fairy tale story times even though there is a Ler it appears that Argentina has a trip to become a champion as if there is support from behind the veil I was jem every matching can get a penalty but the final last night MMG prove Dorg is feasible</v>
      </c>
    </row>
    <row r="8186" ht="15.75" customHeight="1">
      <c r="A8186" s="1">
        <v>9406.0</v>
      </c>
      <c r="B8186" s="3" t="s">
        <v>23413</v>
      </c>
      <c r="C8186" s="3">
        <v>0.0</v>
      </c>
      <c r="D8186" s="3">
        <v>0.0</v>
      </c>
      <c r="E8186" s="3">
        <v>0.0</v>
      </c>
      <c r="F8186" s="3" t="s">
        <v>23414</v>
      </c>
      <c r="G8186" s="3">
        <v>0.55</v>
      </c>
      <c r="H8186" s="3">
        <v>0.35</v>
      </c>
      <c r="I8186" s="3" t="s">
        <v>48</v>
      </c>
      <c r="J8186" s="3" t="s">
        <v>23415</v>
      </c>
      <c r="K8186" s="3" t="s">
        <v>90</v>
      </c>
      <c r="L8186" s="3" t="str">
        <f>IFERROR(__xludf.DUMMYFUNCTION("GOOGLETRANSLATE(F8186,""id"",""en"")"),"Already immediately sleeping now Zee so that tomorrow the power is maximum full smile today Argentina champions are treated to sushi enthusiastically Azizi Asadel")</f>
        <v>Already immediately sleeping now Zee so that tomorrow the power is maximum full smile today Argentina champions are treated to sushi enthusiastically Azizi Asadel</v>
      </c>
    </row>
    <row r="8187" ht="15.75" customHeight="1">
      <c r="A8187" s="1">
        <v>9407.0</v>
      </c>
      <c r="B8187" s="3" t="s">
        <v>23416</v>
      </c>
      <c r="C8187" s="3">
        <v>0.0</v>
      </c>
      <c r="D8187" s="3">
        <v>2.0</v>
      </c>
      <c r="E8187" s="3">
        <v>6.0</v>
      </c>
      <c r="F8187" s="3" t="s">
        <v>23417</v>
      </c>
      <c r="G8187" s="3">
        <v>0.0</v>
      </c>
      <c r="H8187" s="3">
        <v>0.0</v>
      </c>
      <c r="I8187" s="3" t="s">
        <v>13</v>
      </c>
      <c r="J8187" s="3" t="s">
        <v>23418</v>
      </c>
      <c r="K8187" s="3" t="s">
        <v>75</v>
      </c>
      <c r="L8187" s="3" t="str">
        <f>IFERROR(__xludf.DUMMYFUNCTION("GOOGLETRANSLATE(F8187,""id"",""en"")"),"Indonesian people can just Songong may be happy because Argentina is a champion for a aguero")</f>
        <v>Indonesian people can just Songong may be happy because Argentina is a champion for a aguero</v>
      </c>
    </row>
    <row r="8188" ht="15.75" customHeight="1">
      <c r="A8188" s="1">
        <v>9408.0</v>
      </c>
      <c r="B8188" s="3" t="s">
        <v>23419</v>
      </c>
      <c r="C8188" s="3">
        <v>3.0</v>
      </c>
      <c r="D8188" s="3">
        <v>0.0</v>
      </c>
      <c r="E8188" s="3">
        <v>0.0</v>
      </c>
      <c r="F8188" s="3" t="s">
        <v>23420</v>
      </c>
      <c r="G8188" s="3">
        <v>0.0</v>
      </c>
      <c r="H8188" s="3">
        <v>0.0</v>
      </c>
      <c r="I8188" s="3" t="s">
        <v>13</v>
      </c>
      <c r="J8188" s="3" t="s">
        <v>23421</v>
      </c>
      <c r="K8188" s="3" t="s">
        <v>240</v>
      </c>
      <c r="L8188" s="3" t="str">
        <f>IFERROR(__xludf.DUMMYFUNCTION("GOOGLETRANSLATE(F8188,""id"",""en"")"),"The fact is that Portugal has never won any trophy from Argentina.")</f>
        <v>The fact is that Portugal has never won any trophy from Argentina.</v>
      </c>
    </row>
    <row r="8189" ht="15.75" customHeight="1">
      <c r="A8189" s="1">
        <v>9409.0</v>
      </c>
      <c r="B8189" s="3" t="s">
        <v>23422</v>
      </c>
      <c r="C8189" s="3">
        <v>1.0</v>
      </c>
      <c r="D8189" s="3">
        <v>0.0</v>
      </c>
      <c r="E8189" s="3">
        <v>2.0</v>
      </c>
      <c r="F8189" s="3" t="s">
        <v>23423</v>
      </c>
      <c r="G8189" s="3">
        <v>1.0</v>
      </c>
      <c r="H8189" s="3">
        <v>0.1</v>
      </c>
      <c r="I8189" s="3" t="s">
        <v>48</v>
      </c>
      <c r="J8189" s="3" t="s">
        <v>23424</v>
      </c>
      <c r="K8189" s="3" t="s">
        <v>441</v>
      </c>
      <c r="L8189" s="3" t="str">
        <f>IFERROR(__xludf.DUMMYFUNCTION("GOOGLETRANSLATE(F8189,""id"",""en"")"),"Anyone who beats Australia The knockout round they will become Australian world champions only qualify for the first and second big rounds to Italy and this year lost to Argentina Itali and ARGEN won WOW champion")</f>
        <v>Anyone who beats Australia The knockout round they will become Australian world champions only qualify for the first and second big rounds to Italy and this year lost to Argentina Itali and ARGEN won WOW champion</v>
      </c>
    </row>
    <row r="8190" ht="15.75" customHeight="1">
      <c r="A8190" s="1">
        <v>9410.0</v>
      </c>
      <c r="B8190" s="3" t="s">
        <v>23425</v>
      </c>
      <c r="C8190" s="3">
        <v>0.0</v>
      </c>
      <c r="D8190" s="3">
        <v>0.0</v>
      </c>
      <c r="E8190" s="3">
        <v>0.0</v>
      </c>
      <c r="F8190" s="3" t="s">
        <v>23426</v>
      </c>
      <c r="G8190" s="3">
        <v>0.0</v>
      </c>
      <c r="H8190" s="3">
        <v>0.0</v>
      </c>
      <c r="I8190" s="3" t="s">
        <v>13</v>
      </c>
      <c r="J8190" s="3" t="s">
        <v>23427</v>
      </c>
      <c r="K8190" s="3" t="s">
        <v>31</v>
      </c>
      <c r="L8190" s="3" t="str">
        <f>IFERROR(__xludf.DUMMYFUNCTION("GOOGLETRANSLATE(F8190,""id"",""en"")"),"In his era, finally Argentina could win again")</f>
        <v>In his era, finally Argentina could win again</v>
      </c>
    </row>
    <row r="8191" ht="15.75" customHeight="1">
      <c r="A8191" s="1">
        <v>9411.0</v>
      </c>
      <c r="B8191" s="3" t="s">
        <v>23428</v>
      </c>
      <c r="C8191" s="3">
        <v>0.0</v>
      </c>
      <c r="D8191" s="3">
        <v>0.0</v>
      </c>
      <c r="E8191" s="3">
        <v>0.0</v>
      </c>
      <c r="F8191" s="3" t="s">
        <v>23429</v>
      </c>
      <c r="G8191" s="3">
        <v>0.0</v>
      </c>
      <c r="H8191" s="3">
        <v>0.0</v>
      </c>
      <c r="I8191" s="3" t="s">
        <v>13</v>
      </c>
      <c r="J8191" s="3" t="s">
        <v>23430</v>
      </c>
      <c r="K8191" s="3" t="s">
        <v>477</v>
      </c>
      <c r="L8191" s="3" t="str">
        <f>IFERROR(__xludf.DUMMYFUNCTION("GOOGLETRANSLATE(F8191,""id"",""en"")"),"you are naenya who is the champion you ask the question of Argentina")</f>
        <v>you are naenya who is the champion you ask the question of Argentina</v>
      </c>
    </row>
    <row r="8192" ht="15.75" customHeight="1">
      <c r="A8192" s="1">
        <v>9412.0</v>
      </c>
      <c r="B8192" s="3" t="s">
        <v>23431</v>
      </c>
      <c r="C8192" s="3">
        <v>0.0</v>
      </c>
      <c r="D8192" s="3">
        <v>0.0</v>
      </c>
      <c r="E8192" s="3">
        <v>0.0</v>
      </c>
      <c r="F8192" s="3" t="s">
        <v>23432</v>
      </c>
      <c r="G8192" s="3">
        <v>0.0</v>
      </c>
      <c r="H8192" s="3">
        <v>0.0</v>
      </c>
      <c r="I8192" s="3" t="s">
        <v>13</v>
      </c>
      <c r="J8192" s="3" t="s">
        <v>23433</v>
      </c>
      <c r="K8192" s="3" t="s">
        <v>82</v>
      </c>
      <c r="L8192" s="3" t="str">
        <f>IFERROR(__xludf.DUMMYFUNCTION("GOOGLETRANSLATE(F8192,""id"",""en"")"),"Happy Argentina national team to be a trophy champion")</f>
        <v>Happy Argentina national team to be a trophy champion</v>
      </c>
    </row>
    <row r="8193" ht="15.75" customHeight="1">
      <c r="A8193" s="1">
        <v>9413.0</v>
      </c>
      <c r="B8193" s="3" t="s">
        <v>23434</v>
      </c>
      <c r="C8193" s="3">
        <v>0.0</v>
      </c>
      <c r="D8193" s="3">
        <v>0.0</v>
      </c>
      <c r="E8193" s="3">
        <v>2.0</v>
      </c>
      <c r="F8193" s="3" t="s">
        <v>23435</v>
      </c>
      <c r="G8193" s="3">
        <v>0.0</v>
      </c>
      <c r="H8193" s="3">
        <v>0.0</v>
      </c>
      <c r="I8193" s="3" t="s">
        <v>13</v>
      </c>
      <c r="J8193" s="3" t="s">
        <v>23436</v>
      </c>
      <c r="K8193" s="3" t="s">
        <v>1782</v>
      </c>
      <c r="L8193" s="3" t="str">
        <f>IFERROR(__xludf.DUMMYFUNCTION("GOOGLETRANSLATE(F8193,""id"",""en"")"),"If Argentina is a different champion if Argentina wins")</f>
        <v>If Argentina is a different champion if Argentina wins</v>
      </c>
    </row>
    <row r="8194" ht="15.75" customHeight="1">
      <c r="A8194" s="1">
        <v>9414.0</v>
      </c>
      <c r="B8194" s="3" t="s">
        <v>23437</v>
      </c>
      <c r="C8194" s="3">
        <v>0.0</v>
      </c>
      <c r="D8194" s="3">
        <v>0.0</v>
      </c>
      <c r="E8194" s="3">
        <v>60.0</v>
      </c>
      <c r="F8194" s="3" t="s">
        <v>23438</v>
      </c>
      <c r="G8194" s="3">
        <v>0.0</v>
      </c>
      <c r="H8194" s="3">
        <v>0.0</v>
      </c>
      <c r="I8194" s="3" t="s">
        <v>13</v>
      </c>
      <c r="J8194" s="3" t="s">
        <v>23439</v>
      </c>
      <c r="K8194" s="3" t="s">
        <v>3819</v>
      </c>
      <c r="L8194" s="3" t="str">
        <f>IFERROR(__xludf.DUMMYFUNCTION("GOOGLETRANSLATE(F8194,""id"",""en"")"),"This big mistake is all because we are in the era of Pak Iwan Bule since Mr. Iwan Bule was the Chairperson of PSSI Argentina succeeded")</f>
        <v>This big mistake is all because we are in the era of Pak Iwan Bule since Mr. Iwan Bule was the Chairperson of PSSI Argentina succeeded</v>
      </c>
    </row>
    <row r="8195" ht="15.75" customHeight="1">
      <c r="A8195" s="1">
        <v>9415.0</v>
      </c>
      <c r="B8195" s="3" t="s">
        <v>23440</v>
      </c>
      <c r="C8195" s="3">
        <v>0.0</v>
      </c>
      <c r="D8195" s="3">
        <v>0.0</v>
      </c>
      <c r="E8195" s="3">
        <v>1.0</v>
      </c>
      <c r="F8195" s="3" t="s">
        <v>23441</v>
      </c>
      <c r="G8195" s="3">
        <v>0.2</v>
      </c>
      <c r="H8195" s="3">
        <v>-0.1</v>
      </c>
      <c r="I8195" s="3" t="s">
        <v>179</v>
      </c>
      <c r="J8195" s="3" t="s">
        <v>23442</v>
      </c>
      <c r="K8195" s="3" t="s">
        <v>94</v>
      </c>
      <c r="L8195" s="3" t="str">
        <f>IFERROR(__xludf.DUMMYFUNCTION("GOOGLETRANSLATE(F8195,""id"",""en"")"),"The match last night not only presented enthusiasm and mentality of Didier Deschamps's team champion in an effort to defend his world title especially the second match of the finalist has made football the champion of French and Argentina.")</f>
        <v>The match last night not only presented enthusiasm and mentality of Didier Deschamps's team champion in an effort to defend his world title especially the second match of the finalist has made football the champion of French and Argentina.</v>
      </c>
    </row>
    <row r="8196" ht="15.75" customHeight="1">
      <c r="A8196" s="1">
        <v>9416.0</v>
      </c>
      <c r="B8196" s="3" t="s">
        <v>23443</v>
      </c>
      <c r="C8196" s="3">
        <v>0.0</v>
      </c>
      <c r="D8196" s="3">
        <v>0.0</v>
      </c>
      <c r="E8196" s="3">
        <v>0.0</v>
      </c>
      <c r="F8196" s="3" t="s">
        <v>23444</v>
      </c>
      <c r="G8196" s="3">
        <v>0.0</v>
      </c>
      <c r="H8196" s="3">
        <v>0.0</v>
      </c>
      <c r="I8196" s="3" t="s">
        <v>13</v>
      </c>
      <c r="J8196" s="3" t="s">
        <v>23445</v>
      </c>
      <c r="K8196" s="3" t="s">
        <v>510</v>
      </c>
      <c r="L8196" s="3" t="str">
        <f>IFERROR(__xludf.DUMMYFUNCTION("GOOGLETRANSLATE(F8196,""id"",""en"")"),"Yes, I want Atletico Madrid to the team version of the team if it's not because Messi is also Gabakal Tai Argentina Champion")</f>
        <v>Yes, I want Atletico Madrid to the team version of the team if it's not because Messi is also Gabakal Tai Argentina Champion</v>
      </c>
    </row>
    <row r="8197" ht="15.75" customHeight="1">
      <c r="A8197" s="1">
        <v>9417.0</v>
      </c>
      <c r="B8197" s="3" t="s">
        <v>23446</v>
      </c>
      <c r="C8197" s="3">
        <v>0.0</v>
      </c>
      <c r="D8197" s="3">
        <v>0.0</v>
      </c>
      <c r="E8197" s="3">
        <v>0.0</v>
      </c>
      <c r="F8197" s="3" t="s">
        <v>23447</v>
      </c>
      <c r="G8197" s="3">
        <v>0.0</v>
      </c>
      <c r="H8197" s="3">
        <v>0.0</v>
      </c>
      <c r="I8197" s="3" t="s">
        <v>13</v>
      </c>
      <c r="J8197" s="3" t="s">
        <v>23448</v>
      </c>
      <c r="K8197" s="3" t="s">
        <v>19</v>
      </c>
      <c r="L8197" s="3" t="str">
        <f>IFERROR(__xludf.DUMMYFUNCTION("GOOGLETRANSLATE(F8197,""id"",""en"")"),"Profile and Career Journey of Emiliano Martinez The Successful Loan goalkeeper brought Argentina Champion")</f>
        <v>Profile and Career Journey of Emiliano Martinez The Successful Loan goalkeeper brought Argentina Champion</v>
      </c>
    </row>
    <row r="8198" ht="15.75" customHeight="1">
      <c r="A8198" s="1">
        <v>9418.0</v>
      </c>
      <c r="B8198" s="3" t="s">
        <v>23449</v>
      </c>
      <c r="C8198" s="3">
        <v>0.0</v>
      </c>
      <c r="D8198" s="3">
        <v>0.0</v>
      </c>
      <c r="E8198" s="3">
        <v>0.0</v>
      </c>
      <c r="F8198" s="3" t="s">
        <v>23450</v>
      </c>
      <c r="G8198" s="3">
        <v>0.0</v>
      </c>
      <c r="H8198" s="3">
        <v>0.0</v>
      </c>
      <c r="I8198" s="3" t="s">
        <v>13</v>
      </c>
      <c r="J8198" s="3" t="s">
        <v>23451</v>
      </c>
      <c r="K8198" s="3" t="s">
        <v>15</v>
      </c>
      <c r="L8198" s="3" t="str">
        <f>IFERROR(__xludf.DUMMYFUNCTION("GOOGLETRANSLATE(F8198,""id"",""en"")"),"Congrats Argentina deserves World Cup Champion Minister BUMN")</f>
        <v>Congrats Argentina deserves World Cup Champion Minister BUMN</v>
      </c>
    </row>
    <row r="8199" ht="15.75" customHeight="1">
      <c r="A8199" s="1">
        <v>9419.0</v>
      </c>
      <c r="B8199" s="3" t="s">
        <v>23452</v>
      </c>
      <c r="C8199" s="3">
        <v>0.0</v>
      </c>
      <c r="D8199" s="3">
        <v>0.0</v>
      </c>
      <c r="E8199" s="3">
        <v>0.0</v>
      </c>
      <c r="F8199" s="3" t="s">
        <v>23453</v>
      </c>
      <c r="G8199" s="3">
        <v>0.0</v>
      </c>
      <c r="H8199" s="3">
        <v>0.0</v>
      </c>
      <c r="I8199" s="3" t="s">
        <v>13</v>
      </c>
      <c r="J8199" s="3" t="s">
        <v>23454</v>
      </c>
      <c r="K8199" s="3" t="s">
        <v>236</v>
      </c>
      <c r="L8199" s="3" t="str">
        <f>IFERROR(__xludf.DUMMYFUNCTION("GOOGLETRANSLATE(F8199,""id"",""en"")"),"Pilduun was instead filled by the face of Oikawa Mentang Mentang Argentina who won the time")</f>
        <v>Pilduun was instead filled by the face of Oikawa Mentang Mentang Argentina who won the time</v>
      </c>
    </row>
    <row r="8200" ht="15.75" customHeight="1">
      <c r="A8200" s="1">
        <v>9420.0</v>
      </c>
      <c r="B8200" s="3" t="s">
        <v>23455</v>
      </c>
      <c r="C8200" s="3">
        <v>0.0</v>
      </c>
      <c r="D8200" s="3">
        <v>0.0</v>
      </c>
      <c r="E8200" s="3">
        <v>0.0</v>
      </c>
      <c r="F8200" s="3" t="s">
        <v>23456</v>
      </c>
      <c r="G8200" s="3">
        <v>0.0</v>
      </c>
      <c r="H8200" s="3">
        <v>0.0</v>
      </c>
      <c r="I8200" s="3" t="s">
        <v>13</v>
      </c>
      <c r="J8200" s="3" t="s">
        <v>23457</v>
      </c>
      <c r="K8200" s="3" t="s">
        <v>54</v>
      </c>
      <c r="L8200" s="3" t="str">
        <f>IFERROR(__xludf.DUMMYFUNCTION("GOOGLETRANSLATE(F8200,""id"",""en"")"),"No Maria Diving Help Argentina Referee Champion")</f>
        <v>No Maria Diving Help Argentina Referee Champion</v>
      </c>
    </row>
    <row r="8201" ht="15.75" customHeight="1">
      <c r="A8201" s="1">
        <v>9421.0</v>
      </c>
      <c r="B8201" s="3" t="s">
        <v>23458</v>
      </c>
      <c r="C8201" s="3">
        <v>2.0</v>
      </c>
      <c r="D8201" s="3">
        <v>0.0</v>
      </c>
      <c r="E8201" s="3">
        <v>0.0</v>
      </c>
      <c r="F8201" s="3" t="s">
        <v>23459</v>
      </c>
      <c r="G8201" s="3">
        <v>0.0</v>
      </c>
      <c r="H8201" s="3">
        <v>0.0</v>
      </c>
      <c r="I8201" s="3" t="s">
        <v>13</v>
      </c>
      <c r="J8201" s="3" t="s">
        <v>23460</v>
      </c>
      <c r="K8201" s="3" t="s">
        <v>15</v>
      </c>
      <c r="L8201" s="3" t="str">
        <f>IFERROR(__xludf.DUMMYFUNCTION("GOOGLETRANSLATE(F8201,""id"",""en"")"),"Min, I guess right when the Argentina Pilduun champion is given")</f>
        <v>Min, I guess right when the Argentina Pilduun champion is given</v>
      </c>
    </row>
    <row r="8202" ht="15.75" customHeight="1">
      <c r="A8202" s="1">
        <v>9422.0</v>
      </c>
      <c r="B8202" s="3" t="s">
        <v>23461</v>
      </c>
      <c r="C8202" s="3">
        <v>0.0</v>
      </c>
      <c r="D8202" s="3">
        <v>2.0</v>
      </c>
      <c r="E8202" s="3">
        <v>17.0</v>
      </c>
      <c r="F8202" s="3" t="s">
        <v>23462</v>
      </c>
      <c r="G8202" s="3">
        <v>0.0</v>
      </c>
      <c r="H8202" s="3">
        <v>0.0</v>
      </c>
      <c r="I8202" s="3" t="s">
        <v>13</v>
      </c>
      <c r="J8202" s="3" t="s">
        <v>23463</v>
      </c>
      <c r="K8202" s="3" t="s">
        <v>165</v>
      </c>
      <c r="L8202" s="3" t="str">
        <f>IFERROR(__xludf.DUMMYFUNCTION("GOOGLETRANSLATE(F8202,""id"",""en"")"),"Congratulations to the Argentine national team who have won the World Cup you can watch the Tango team's trip to the Qatar World Cup stage before winning the world title for the third time the Argentine National Team Road Qatar")</f>
        <v>Congratulations to the Argentine national team who have won the World Cup you can watch the Tango team's trip to the Qatar World Cup stage before winning the world title for the third time the Argentine National Team Road Qatar</v>
      </c>
    </row>
    <row r="8203" ht="15.75" customHeight="1">
      <c r="A8203" s="1">
        <v>9423.0</v>
      </c>
      <c r="B8203" s="3" t="s">
        <v>23464</v>
      </c>
      <c r="C8203" s="3">
        <v>0.0</v>
      </c>
      <c r="D8203" s="3">
        <v>0.0</v>
      </c>
      <c r="E8203" s="3">
        <v>0.0</v>
      </c>
      <c r="F8203" s="3" t="s">
        <v>23465</v>
      </c>
      <c r="G8203" s="3">
        <v>0.3333333333333333</v>
      </c>
      <c r="H8203" s="3">
        <v>0.1666666666666667</v>
      </c>
      <c r="I8203" s="3" t="s">
        <v>48</v>
      </c>
      <c r="J8203" s="3" t="s">
        <v>23466</v>
      </c>
      <c r="K8203" s="3" t="s">
        <v>510</v>
      </c>
      <c r="L8203" s="3" t="str">
        <f>IFERROR(__xludf.DUMMYFUNCTION("GOOGLETRANSLATE(F8203,""id"",""en"")"),"Dear doesn't want to buy broadcast rights, if there is a world champion in Brazil, Argentina French and Spanish")</f>
        <v>Dear doesn't want to buy broadcast rights, if there is a world champion in Brazil, Argentina French and Spanish</v>
      </c>
    </row>
    <row r="8204" ht="15.75" customHeight="1">
      <c r="A8204" s="1">
        <v>9424.0</v>
      </c>
      <c r="B8204" s="3" t="s">
        <v>23467</v>
      </c>
      <c r="C8204" s="3">
        <v>0.0</v>
      </c>
      <c r="D8204" s="3">
        <v>0.0</v>
      </c>
      <c r="E8204" s="3">
        <v>0.0</v>
      </c>
      <c r="F8204" s="3" t="s">
        <v>23468</v>
      </c>
      <c r="G8204" s="3">
        <v>0.0</v>
      </c>
      <c r="H8204" s="3">
        <v>0.0</v>
      </c>
      <c r="I8204" s="3" t="s">
        <v>13</v>
      </c>
      <c r="J8204" s="3" t="s">
        <v>23469</v>
      </c>
      <c r="K8204" s="3" t="s">
        <v>1061</v>
      </c>
      <c r="L8204" s="3" t="str">
        <f>IFERROR(__xludf.DUMMYFUNCTION("GOOGLETRANSLATE(F8204,""id"",""en"")"),"Congratulations Argentina The World Cup Champion Ends Who the True Between Messi Ronaldo Even though I am a big fan of survivors, actually I will actually notice anyone who is my tweet as a personal digital record")</f>
        <v>Congratulations Argentina The World Cup Champion Ends Who the True Between Messi Ronaldo Even though I am a big fan of survivors, actually I will actually notice anyone who is my tweet as a personal digital record</v>
      </c>
    </row>
    <row r="8205" ht="15.75" customHeight="1">
      <c r="A8205" s="1">
        <v>9425.0</v>
      </c>
      <c r="B8205" s="3" t="s">
        <v>23470</v>
      </c>
      <c r="C8205" s="3">
        <v>0.0</v>
      </c>
      <c r="D8205" s="3">
        <v>0.0</v>
      </c>
      <c r="E8205" s="3">
        <v>0.0</v>
      </c>
      <c r="F8205" s="3" t="s">
        <v>23471</v>
      </c>
      <c r="G8205" s="3">
        <v>0.0</v>
      </c>
      <c r="H8205" s="3">
        <v>0.0</v>
      </c>
      <c r="I8205" s="3" t="s">
        <v>13</v>
      </c>
      <c r="J8205" s="3" t="s">
        <v>23472</v>
      </c>
      <c r="K8205" s="3" t="s">
        <v>510</v>
      </c>
      <c r="L8205" s="3" t="str">
        <f>IFERROR(__xludf.DUMMYFUNCTION("GOOGLETRANSLATE(F8205,""id"",""en"")"),"If Adam doesn't go down the earth based on Argentina's law life, it will not be a champion this year and it will be very painful if it happens")</f>
        <v>If Adam doesn't go down the earth based on Argentina's law life, it will not be a champion this year and it will be very painful if it happens</v>
      </c>
    </row>
    <row r="8206" ht="15.75" customHeight="1">
      <c r="A8206" s="1">
        <v>9426.0</v>
      </c>
      <c r="B8206" s="3" t="s">
        <v>23473</v>
      </c>
      <c r="C8206" s="3">
        <v>0.0</v>
      </c>
      <c r="D8206" s="3">
        <v>0.0</v>
      </c>
      <c r="E8206" s="3">
        <v>0.0</v>
      </c>
      <c r="F8206" s="3" t="s">
        <v>23474</v>
      </c>
      <c r="G8206" s="3">
        <v>0.0</v>
      </c>
      <c r="H8206" s="3">
        <v>0.0</v>
      </c>
      <c r="I8206" s="3" t="s">
        <v>13</v>
      </c>
      <c r="J8206" s="3" t="s">
        <v>23475</v>
      </c>
      <c r="K8206" s="3" t="s">
        <v>6592</v>
      </c>
      <c r="L8206" s="3" t="str">
        <f>IFERROR(__xludf.DUMMYFUNCTION("GOOGLETRANSLATE(F8206,""id"",""en"")"),"Only in the time Iwan Bule Argentina can the champion thank you Iwan Bule")</f>
        <v>Only in the time Iwan Bule Argentina can the champion thank you Iwan Bule</v>
      </c>
    </row>
    <row r="8207" ht="15.75" customHeight="1">
      <c r="A8207" s="1">
        <v>9427.0</v>
      </c>
      <c r="B8207" s="3" t="s">
        <v>23476</v>
      </c>
      <c r="C8207" s="3">
        <v>0.0</v>
      </c>
      <c r="D8207" s="3">
        <v>0.0</v>
      </c>
      <c r="E8207" s="3">
        <v>0.0</v>
      </c>
      <c r="F8207" s="3" t="s">
        <v>23477</v>
      </c>
      <c r="G8207" s="3">
        <v>0.0</v>
      </c>
      <c r="H8207" s="3">
        <v>0.0</v>
      </c>
      <c r="I8207" s="3" t="s">
        <v>13</v>
      </c>
      <c r="J8207" s="3" t="s">
        <v>23478</v>
      </c>
      <c r="K8207" s="3" t="s">
        <v>942</v>
      </c>
      <c r="L8207" s="3" t="str">
        <f>IFERROR(__xludf.DUMMYFUNCTION("GOOGLETRANSLATE(F8207,""id"",""en"")"),"Argentina Champion Champion Dont Make France Cry Argentinaaa Madonna Singing")</f>
        <v>Argentina Champion Champion Dont Make France Cry Argentinaaa Madonna Singing</v>
      </c>
    </row>
    <row r="8208" ht="15.75" customHeight="1">
      <c r="A8208" s="1">
        <v>9428.0</v>
      </c>
      <c r="B8208" s="3" t="s">
        <v>23479</v>
      </c>
      <c r="C8208" s="3">
        <v>0.0</v>
      </c>
      <c r="D8208" s="3">
        <v>0.0</v>
      </c>
      <c r="E8208" s="3">
        <v>0.0</v>
      </c>
      <c r="F8208" s="3" t="s">
        <v>23480</v>
      </c>
      <c r="G8208" s="3">
        <v>0.0</v>
      </c>
      <c r="H8208" s="3">
        <v>0.0</v>
      </c>
      <c r="I8208" s="3" t="s">
        <v>13</v>
      </c>
      <c r="J8208" s="3" t="s">
        <v>23481</v>
      </c>
      <c r="K8208" s="3" t="s">
        <v>244</v>
      </c>
      <c r="L8208" s="3" t="str">
        <f>IFERROR(__xludf.DUMMYFUNCTION("GOOGLETRANSLATE(F8208,""id"",""en"")"),"Perfect Messi and Maradona and have brought Argentina World Cup champions")</f>
        <v>Perfect Messi and Maradona and have brought Argentina World Cup champions</v>
      </c>
    </row>
    <row r="8209" ht="15.75" customHeight="1">
      <c r="A8209" s="1">
        <v>9429.0</v>
      </c>
      <c r="B8209" s="3" t="s">
        <v>23482</v>
      </c>
      <c r="C8209" s="3">
        <v>1.0</v>
      </c>
      <c r="D8209" s="3">
        <v>0.0</v>
      </c>
      <c r="E8209" s="3">
        <v>0.0</v>
      </c>
      <c r="F8209" s="3" t="s">
        <v>23483</v>
      </c>
      <c r="G8209" s="3">
        <v>0.0</v>
      </c>
      <c r="H8209" s="3">
        <v>0.0</v>
      </c>
      <c r="I8209" s="3" t="s">
        <v>13</v>
      </c>
      <c r="J8209" s="3" t="s">
        <v>23484</v>
      </c>
      <c r="K8209" s="3" t="s">
        <v>2117</v>
      </c>
      <c r="L8209" s="3" t="str">
        <f>IFERROR(__xludf.DUMMYFUNCTION("GOOGLETRANSLATE(F8209,""id"",""en"")"),"Yes Argentina Champion")</f>
        <v>Yes Argentina Champion</v>
      </c>
    </row>
    <row r="8210" ht="15.75" customHeight="1">
      <c r="A8210" s="1">
        <v>9430.0</v>
      </c>
      <c r="B8210" s="3" t="s">
        <v>23485</v>
      </c>
      <c r="C8210" s="3">
        <v>0.0</v>
      </c>
      <c r="D8210" s="3">
        <v>0.0</v>
      </c>
      <c r="E8210" s="3">
        <v>4.0</v>
      </c>
      <c r="F8210" s="3" t="s">
        <v>23486</v>
      </c>
      <c r="G8210" s="3">
        <v>0.0</v>
      </c>
      <c r="H8210" s="3">
        <v>0.0</v>
      </c>
      <c r="I8210" s="3" t="s">
        <v>13</v>
      </c>
      <c r="J8210" s="3" t="s">
        <v>23487</v>
      </c>
      <c r="K8210" s="3" t="s">
        <v>495</v>
      </c>
      <c r="L8210" s="3" t="str">
        <f>IFERROR(__xludf.DUMMYFUNCTION("GOOGLETRANSLATE(F8210,""id"",""en"")"),"Sergio Aguero deserves to be called the judge's sexy section when Argentina celebrates World Cup champions inviting laughter like glaring to see Messi Check")</f>
        <v>Sergio Aguero deserves to be called the judge's sexy section when Argentina celebrates World Cup champions inviting laughter like glaring to see Messi Check</v>
      </c>
    </row>
    <row r="8211" ht="15.75" customHeight="1">
      <c r="A8211" s="1">
        <v>9431.0</v>
      </c>
      <c r="B8211" s="3" t="s">
        <v>23488</v>
      </c>
      <c r="C8211" s="3">
        <v>1.0</v>
      </c>
      <c r="D8211" s="3">
        <v>0.0</v>
      </c>
      <c r="E8211" s="3">
        <v>0.0</v>
      </c>
      <c r="F8211" s="3" t="s">
        <v>23489</v>
      </c>
      <c r="G8211" s="3">
        <v>1.0</v>
      </c>
      <c r="H8211" s="3">
        <v>0.0</v>
      </c>
      <c r="I8211" s="3" t="s">
        <v>13</v>
      </c>
      <c r="J8211" s="3" t="s">
        <v>23490</v>
      </c>
      <c r="K8211" s="3" t="s">
        <v>699</v>
      </c>
      <c r="L8211" s="3" t="str">
        <f>IFERROR(__xludf.DUMMYFUNCTION("GOOGLETRANSLATE(F8211,""id"",""en"")"),"Argentina is not only Messi, there is a lucky carrier every time he scores Argentina's final goal, who else if not Angel Maria")</f>
        <v>Argentina is not only Messi, there is a lucky carrier every time he scores Argentina's final goal, who else if not Angel Maria</v>
      </c>
    </row>
    <row r="8212" ht="15.75" customHeight="1">
      <c r="A8212" s="1">
        <v>9432.0</v>
      </c>
      <c r="B8212" s="3" t="s">
        <v>23491</v>
      </c>
      <c r="C8212" s="3">
        <v>0.0</v>
      </c>
      <c r="D8212" s="3">
        <v>0.0</v>
      </c>
      <c r="E8212" s="3">
        <v>0.0</v>
      </c>
      <c r="F8212" s="3" t="s">
        <v>23492</v>
      </c>
      <c r="G8212" s="3">
        <v>0.0</v>
      </c>
      <c r="H8212" s="3">
        <v>0.0</v>
      </c>
      <c r="I8212" s="3" t="s">
        <v>13</v>
      </c>
      <c r="J8212" s="3" t="s">
        <v>23493</v>
      </c>
      <c r="K8212" s="3" t="s">
        <v>510</v>
      </c>
      <c r="L8212" s="3" t="str">
        <f>IFERROR(__xludf.DUMMYFUNCTION("GOOGLETRANSLATE(F8212,""id"",""en"")"),"This uncle is really a look at Tahniah Argentina Champion World Cup Tiktok Ainazamz")</f>
        <v>This uncle is really a look at Tahniah Argentina Champion World Cup Tiktok Ainazamz</v>
      </c>
    </row>
    <row r="8213" ht="15.75" customHeight="1">
      <c r="A8213" s="1">
        <v>9433.0</v>
      </c>
      <c r="B8213" s="3" t="s">
        <v>23494</v>
      </c>
      <c r="C8213" s="3">
        <v>0.0</v>
      </c>
      <c r="D8213" s="3">
        <v>0.0</v>
      </c>
      <c r="E8213" s="3">
        <v>0.0</v>
      </c>
      <c r="F8213" s="3" t="s">
        <v>23495</v>
      </c>
      <c r="G8213" s="3">
        <v>0.0</v>
      </c>
      <c r="H8213" s="3">
        <v>0.0</v>
      </c>
      <c r="I8213" s="3" t="s">
        <v>13</v>
      </c>
      <c r="J8213" s="3" t="s">
        <v>23496</v>
      </c>
      <c r="K8213" s="3" t="s">
        <v>54</v>
      </c>
      <c r="L8213" s="3" t="str">
        <f>IFERROR(__xludf.DUMMYFUNCTION("GOOGLETRANSLATE(F8213,""id"",""en"")"),"let's be happy with the champion of the Qatar World Cup")</f>
        <v>let's be happy with the champion of the Qatar World Cup</v>
      </c>
    </row>
    <row r="8214" ht="15.75" customHeight="1">
      <c r="A8214" s="1">
        <v>9434.0</v>
      </c>
      <c r="B8214" s="3" t="s">
        <v>23497</v>
      </c>
      <c r="C8214" s="3">
        <v>0.0</v>
      </c>
      <c r="D8214" s="3">
        <v>0.0</v>
      </c>
      <c r="E8214" s="3">
        <v>0.0</v>
      </c>
      <c r="F8214" s="3" t="s">
        <v>23498</v>
      </c>
      <c r="G8214" s="3">
        <v>0.0</v>
      </c>
      <c r="H8214" s="3">
        <v>0.0</v>
      </c>
      <c r="I8214" s="3" t="s">
        <v>13</v>
      </c>
      <c r="J8214" s="3" t="s">
        <v>23499</v>
      </c>
      <c r="K8214" s="3" t="s">
        <v>1970</v>
      </c>
      <c r="L8214" s="3" t="str">
        <f>IFERROR(__xludf.DUMMYFUNCTION("GOOGLETRANSLATE(F8214,""id"",""en"")"),"Argentina is one of the countries that has a long history in the world of football.")</f>
        <v>Argentina is one of the countries that has a long history in the world of football.</v>
      </c>
    </row>
    <row r="8215" ht="15.75" customHeight="1">
      <c r="A8215" s="1">
        <v>9435.0</v>
      </c>
      <c r="B8215" s="3" t="s">
        <v>23500</v>
      </c>
      <c r="C8215" s="3">
        <v>0.0</v>
      </c>
      <c r="D8215" s="3">
        <v>0.0</v>
      </c>
      <c r="E8215" s="3">
        <v>0.0</v>
      </c>
      <c r="F8215" s="3" t="s">
        <v>23501</v>
      </c>
      <c r="G8215" s="3">
        <v>0.0</v>
      </c>
      <c r="H8215" s="3">
        <v>0.0</v>
      </c>
      <c r="I8215" s="3" t="s">
        <v>13</v>
      </c>
      <c r="J8215" s="3" t="s">
        <v>23502</v>
      </c>
      <c r="K8215" s="3" t="s">
        <v>75</v>
      </c>
      <c r="L8215" s="3" t="str">
        <f>IFERROR(__xludf.DUMMYFUNCTION("GOOGLETRANSLATE(F8215,""id"",""en"")"),"Argentina World Cup Champion has an amazing tourist destination for CNN Indonesia")</f>
        <v>Argentina World Cup Champion has an amazing tourist destination for CNN Indonesia</v>
      </c>
    </row>
    <row r="8216" ht="15.75" customHeight="1">
      <c r="A8216" s="1">
        <v>9436.0</v>
      </c>
      <c r="B8216" s="3" t="s">
        <v>23503</v>
      </c>
      <c r="C8216" s="3">
        <v>0.0</v>
      </c>
      <c r="D8216" s="3">
        <v>0.0</v>
      </c>
      <c r="E8216" s="3">
        <v>0.0</v>
      </c>
      <c r="F8216" s="3" t="s">
        <v>23504</v>
      </c>
      <c r="G8216" s="3">
        <v>1.0</v>
      </c>
      <c r="H8216" s="3">
        <v>0.0</v>
      </c>
      <c r="I8216" s="3" t="s">
        <v>13</v>
      </c>
      <c r="J8216" s="3" t="s">
        <v>23505</v>
      </c>
      <c r="K8216" s="3" t="s">
        <v>437</v>
      </c>
      <c r="L8216" s="3" t="str">
        <f>IFERROR(__xludf.DUMMYFUNCTION("GOOGLETRANSLATE(F8216,""id"",""en"")"),"Argentine World Cup Final World Champion Mediocre Team English League Join Records of Records of All Bolasport Pages")</f>
        <v>Argentine World Cup Final World Champion Mediocre Team English League Join Records of Records of All Bolasport Pages</v>
      </c>
    </row>
    <row r="8217" ht="15.75" customHeight="1">
      <c r="A8217" s="1">
        <v>9437.0</v>
      </c>
      <c r="B8217" s="3" t="s">
        <v>23506</v>
      </c>
      <c r="C8217" s="3">
        <v>0.0</v>
      </c>
      <c r="D8217" s="3">
        <v>0.0</v>
      </c>
      <c r="E8217" s="3">
        <v>0.0</v>
      </c>
      <c r="F8217" s="3" t="s">
        <v>23507</v>
      </c>
      <c r="G8217" s="3">
        <v>0.0</v>
      </c>
      <c r="H8217" s="3">
        <v>0.0</v>
      </c>
      <c r="I8217" s="3" t="s">
        <v>13</v>
      </c>
      <c r="J8217" s="3" t="s">
        <v>23508</v>
      </c>
      <c r="K8217" s="3" t="s">
        <v>54</v>
      </c>
      <c r="L8217" s="3" t="str">
        <f>IFERROR(__xludf.DUMMYFUNCTION("GOOGLETRANSLATE(F8217,""id"",""en"")"),"the end of the beautiful story of Messi champion jakarta")</f>
        <v>the end of the beautiful story of Messi champion jakarta</v>
      </c>
    </row>
    <row r="8218" ht="15.75" customHeight="1">
      <c r="A8218" s="1">
        <v>9438.0</v>
      </c>
      <c r="B8218" s="3" t="s">
        <v>23509</v>
      </c>
      <c r="C8218" s="3">
        <v>0.0</v>
      </c>
      <c r="D8218" s="3">
        <v>0.0</v>
      </c>
      <c r="E8218" s="3">
        <v>1.0</v>
      </c>
      <c r="F8218" s="3" t="s">
        <v>23510</v>
      </c>
      <c r="G8218" s="3">
        <v>0.0</v>
      </c>
      <c r="H8218" s="3">
        <v>0.0</v>
      </c>
      <c r="I8218" s="3" t="s">
        <v>13</v>
      </c>
      <c r="J8218" s="3" t="s">
        <v>23511</v>
      </c>
      <c r="K8218" s="3" t="s">
        <v>71</v>
      </c>
      <c r="L8218" s="3" t="str">
        <f>IFERROR(__xludf.DUMMYFUNCTION("GOOGLETRANSLATE(F8218,""id"",""en"")"),"The initial news, he said, if Argentina, the champion will politicize the same government, what are you doing now")</f>
        <v>The initial news, he said, if Argentina, the champion will politicize the same government, what are you doing now</v>
      </c>
    </row>
    <row r="8219" ht="15.75" customHeight="1">
      <c r="A8219" s="1">
        <v>9439.0</v>
      </c>
      <c r="B8219" s="3" t="s">
        <v>23512</v>
      </c>
      <c r="C8219" s="3">
        <v>0.0</v>
      </c>
      <c r="D8219" s="3">
        <v>1.0</v>
      </c>
      <c r="E8219" s="3">
        <v>7.0</v>
      </c>
      <c r="F8219" s="3" t="s">
        <v>23513</v>
      </c>
      <c r="G8219" s="3">
        <v>0.0</v>
      </c>
      <c r="H8219" s="3">
        <v>0.0</v>
      </c>
      <c r="I8219" s="3" t="s">
        <v>13</v>
      </c>
      <c r="J8219" s="3" t="s">
        <v>23514</v>
      </c>
      <c r="K8219" s="3" t="s">
        <v>1061</v>
      </c>
      <c r="L8219" s="3" t="str">
        <f>IFERROR(__xludf.DUMMYFUNCTION("GOOGLETRANSLATE(F8219,""id"",""en"")"),"aaa already nobar again, thanks guys for the opportunity for nobar starting from Bogor to Depok, thank God, we can see our favorite Argentina champion Next Barca Emyu, if you can need a new troop")</f>
        <v>aaa already nobar again, thanks guys for the opportunity for nobar starting from Bogor to Depok, thank God, we can see our favorite Argentina champion Next Barca Emyu, if you can need a new troop</v>
      </c>
    </row>
    <row r="8220" ht="15.75" customHeight="1">
      <c r="A8220" s="1">
        <v>9440.0</v>
      </c>
      <c r="B8220" s="3" t="s">
        <v>23515</v>
      </c>
      <c r="C8220" s="3">
        <v>0.0</v>
      </c>
      <c r="D8220" s="3">
        <v>0.0</v>
      </c>
      <c r="E8220" s="3">
        <v>1.0</v>
      </c>
      <c r="F8220" s="3" t="s">
        <v>23286</v>
      </c>
      <c r="G8220" s="3">
        <v>0.0</v>
      </c>
      <c r="H8220" s="3">
        <v>0.0</v>
      </c>
      <c r="I8220" s="3" t="s">
        <v>13</v>
      </c>
      <c r="J8220" s="3" t="s">
        <v>23287</v>
      </c>
      <c r="K8220" s="3" t="s">
        <v>131</v>
      </c>
      <c r="L8220" s="3" t="str">
        <f>IFERROR(__xludf.DUMMYFUNCTION("GOOGLETRANSLATE(F8220,""id"",""en"")"),"Celebrity Chef Salt Bae joined in celebrating the success of Argentina World Cup champions but netizens are hot because Salt Bae holds and kisses the championship trophy")</f>
        <v>Celebrity Chef Salt Bae joined in celebrating the success of Argentina World Cup champions but netizens are hot because Salt Bae holds and kisses the championship trophy</v>
      </c>
    </row>
    <row r="8221" ht="15.75" customHeight="1">
      <c r="A8221" s="1">
        <v>9441.0</v>
      </c>
      <c r="B8221" s="3" t="s">
        <v>23516</v>
      </c>
      <c r="C8221" s="3">
        <v>2.0</v>
      </c>
      <c r="D8221" s="3">
        <v>0.0</v>
      </c>
      <c r="E8221" s="3">
        <v>0.0</v>
      </c>
      <c r="F8221" s="3" t="s">
        <v>23517</v>
      </c>
      <c r="G8221" s="3">
        <v>1.0</v>
      </c>
      <c r="H8221" s="3">
        <v>0.0</v>
      </c>
      <c r="I8221" s="3" t="s">
        <v>13</v>
      </c>
      <c r="J8221" s="3" t="s">
        <v>23518</v>
      </c>
      <c r="K8221" s="3" t="s">
        <v>1887</v>
      </c>
      <c r="L8221" s="3" t="str">
        <f>IFERROR(__xludf.DUMMYFUNCTION("GOOGLETRANSLATE(F8221,""id"",""en"")"),"Not still still bae Penyepong dodo looking for alesan Kira Kira Dutch smaa France is not a strong team so just Brazil lost to Argentina Final Copa America Maren then Portugal when the Euro Champion how to escape")</f>
        <v>Not still still bae Penyepong dodo looking for alesan Kira Kira Dutch smaa France is not a strong team so just Brazil lost to Argentina Final Copa America Maren then Portugal when the Euro Champion how to escape</v>
      </c>
    </row>
    <row r="8222" ht="15.75" customHeight="1">
      <c r="A8222" s="1">
        <v>9442.0</v>
      </c>
      <c r="B8222" s="3" t="s">
        <v>23519</v>
      </c>
      <c r="C8222" s="3">
        <v>0.0</v>
      </c>
      <c r="D8222" s="3">
        <v>0.0</v>
      </c>
      <c r="E8222" s="3">
        <v>0.0</v>
      </c>
      <c r="F8222" s="3" t="s">
        <v>23520</v>
      </c>
      <c r="G8222" s="3">
        <v>0.0</v>
      </c>
      <c r="H8222" s="3">
        <v>0.0</v>
      </c>
      <c r="I8222" s="3" t="s">
        <v>13</v>
      </c>
      <c r="J8222" s="3" t="s">
        <v>23521</v>
      </c>
      <c r="K8222" s="3" t="s">
        <v>23522</v>
      </c>
      <c r="L8222" s="3" t="str">
        <f>IFERROR(__xludf.DUMMYFUNCTION("GOOGLETRANSLATE(F8222,""id"",""en"")"),"France lost Karo Argentina France champions while Argentina lost Karo Saudi Arabia meant Saudi Arabia champions")</f>
        <v>France lost Karo Argentina France champions while Argentina lost Karo Saudi Arabia meant Saudi Arabia champions</v>
      </c>
    </row>
    <row r="8223" ht="15.75" customHeight="1">
      <c r="A8223" s="1">
        <v>9443.0</v>
      </c>
      <c r="B8223" s="3" t="s">
        <v>23523</v>
      </c>
      <c r="C8223" s="3">
        <v>0.0</v>
      </c>
      <c r="D8223" s="3">
        <v>0.0</v>
      </c>
      <c r="E8223" s="3">
        <v>4.0</v>
      </c>
      <c r="F8223" s="3" t="s">
        <v>23524</v>
      </c>
      <c r="G8223" s="3">
        <v>0.0</v>
      </c>
      <c r="H8223" s="3">
        <v>0.0</v>
      </c>
      <c r="I8223" s="3" t="s">
        <v>13</v>
      </c>
      <c r="J8223" s="3" t="s">
        <v>23525</v>
      </c>
      <c r="K8223" s="3" t="s">
        <v>1656</v>
      </c>
      <c r="L8223" s="3" t="str">
        <f>IFERROR(__xludf.DUMMYFUNCTION("GOOGLETRANSLATE(F8223,""id"",""en"")"),"Lionel Andres Messi is the full name of the Argentine star who managed to bring the World Cup champion Lionel Messi who was born in June, commonly known as Leo Messi, is an Argentine professional soccer player who is currently playing")</f>
        <v>Lionel Andres Messi is the full name of the Argentine star who managed to bring the World Cup champion Lionel Messi who was born in June, commonly known as Leo Messi, is an Argentine professional soccer player who is currently playing</v>
      </c>
    </row>
    <row r="8224" ht="15.75" customHeight="1">
      <c r="A8224" s="1">
        <v>9444.0</v>
      </c>
      <c r="B8224" s="3" t="s">
        <v>23526</v>
      </c>
      <c r="C8224" s="3">
        <v>0.0</v>
      </c>
      <c r="D8224" s="3">
        <v>0.0</v>
      </c>
      <c r="E8224" s="3">
        <v>0.0</v>
      </c>
      <c r="F8224" s="3" t="s">
        <v>23527</v>
      </c>
      <c r="G8224" s="3">
        <v>0.0</v>
      </c>
      <c r="H8224" s="3">
        <v>0.0</v>
      </c>
      <c r="I8224" s="3" t="s">
        <v>13</v>
      </c>
      <c r="J8224" s="3" t="s">
        <v>23528</v>
      </c>
      <c r="K8224" s="3" t="s">
        <v>3164</v>
      </c>
      <c r="L8224" s="3" t="str">
        <f>IFERROR(__xludf.DUMMYFUNCTION("GOOGLETRANSLATE(F8224,""id"",""en"")"),"Pilduun is a strong team again onfire this pildun team is a strong team again, the Argentina is helped by the Medioker team to be champions because above")</f>
        <v>Pilduun is a strong team again onfire this pildun team is a strong team again, the Argentina is helped by the Medioker team to be champions because above</v>
      </c>
    </row>
    <row r="8225" ht="15.75" customHeight="1">
      <c r="A8225" s="1">
        <v>9445.0</v>
      </c>
      <c r="B8225" s="3" t="s">
        <v>23529</v>
      </c>
      <c r="C8225" s="3">
        <v>0.0</v>
      </c>
      <c r="D8225" s="3">
        <v>0.0</v>
      </c>
      <c r="E8225" s="3">
        <v>0.0</v>
      </c>
      <c r="F8225" s="3" t="s">
        <v>23530</v>
      </c>
      <c r="G8225" s="3">
        <v>0.0</v>
      </c>
      <c r="H8225" s="3">
        <v>0.0</v>
      </c>
      <c r="I8225" s="3" t="s">
        <v>13</v>
      </c>
      <c r="J8225" s="3" t="s">
        <v>23531</v>
      </c>
      <c r="K8225" s="3" t="s">
        <v>499</v>
      </c>
      <c r="L8225" s="3" t="str">
        <f>IFERROR(__xludf.DUMMYFUNCTION("GOOGLETRANSLATE(F8225,""id"",""en"")"),"means you can not go goat and portuguese goats for the failure of the Pildun Pan trophy, because Messi brought Argentina to the mediocre class BLG champion")</f>
        <v>means you can not go goat and portuguese goats for the failure of the Pildun Pan trophy, because Messi brought Argentina to the mediocre class BLG champion</v>
      </c>
    </row>
    <row r="8226" ht="15.75" customHeight="1">
      <c r="A8226" s="1">
        <v>9446.0</v>
      </c>
      <c r="B8226" s="3" t="s">
        <v>23532</v>
      </c>
      <c r="C8226" s="3">
        <v>1.0</v>
      </c>
      <c r="D8226" s="3">
        <v>0.0</v>
      </c>
      <c r="E8226" s="3">
        <v>0.0</v>
      </c>
      <c r="F8226" s="3" t="s">
        <v>23533</v>
      </c>
      <c r="G8226" s="3">
        <v>0.0</v>
      </c>
      <c r="H8226" s="3">
        <v>0.0</v>
      </c>
      <c r="I8226" s="3" t="s">
        <v>13</v>
      </c>
      <c r="J8226" s="3" t="s">
        <v>23534</v>
      </c>
      <c r="K8226" s="3" t="s">
        <v>16539</v>
      </c>
      <c r="L8226" s="3" t="str">
        <f>IFERROR(__xludf.DUMMYFUNCTION("GOOGLETRANSLATE(F8226,""id"",""en"")"),"Argentina just champion Anton lick the ass")</f>
        <v>Argentina just champion Anton lick the ass</v>
      </c>
    </row>
    <row r="8227" ht="15.75" customHeight="1">
      <c r="A8227" s="1">
        <v>9447.0</v>
      </c>
      <c r="B8227" s="3" t="s">
        <v>23535</v>
      </c>
      <c r="C8227" s="3">
        <v>0.0</v>
      </c>
      <c r="D8227" s="3">
        <v>0.0</v>
      </c>
      <c r="E8227" s="3">
        <v>0.0</v>
      </c>
      <c r="F8227" s="3" t="s">
        <v>23126</v>
      </c>
      <c r="G8227" s="3">
        <v>0.0</v>
      </c>
      <c r="H8227" s="3">
        <v>0.0</v>
      </c>
      <c r="I8227" s="3" t="s">
        <v>13</v>
      </c>
      <c r="J8227" s="3" t="s">
        <v>23127</v>
      </c>
      <c r="K8227" s="3" t="s">
        <v>90</v>
      </c>
      <c r="L8227" s="3" t="str">
        <f>IFERROR(__xludf.DUMMYFUNCTION("GOOGLETRANSLATE(F8227,""id"",""en"")"),"Lionel Messi wrote an Instagram message after Argentina Champion the Pulga World Cup could not believe the dream that continued to be nurtured finally realized")</f>
        <v>Lionel Messi wrote an Instagram message after Argentina Champion the Pulga World Cup could not believe the dream that continued to be nurtured finally realized</v>
      </c>
    </row>
    <row r="8228" ht="15.75" customHeight="1">
      <c r="A8228" s="1">
        <v>9448.0</v>
      </c>
      <c r="B8228" s="3" t="s">
        <v>23536</v>
      </c>
      <c r="C8228" s="3">
        <v>0.0</v>
      </c>
      <c r="D8228" s="3">
        <v>0.0</v>
      </c>
      <c r="E8228" s="3">
        <v>0.0</v>
      </c>
      <c r="F8228" s="3" t="s">
        <v>23537</v>
      </c>
      <c r="G8228" s="3">
        <v>0.0</v>
      </c>
      <c r="H8228" s="3">
        <v>0.0</v>
      </c>
      <c r="I8228" s="3" t="s">
        <v>13</v>
      </c>
      <c r="J8228" s="3" t="s">
        <v>23538</v>
      </c>
      <c r="K8228" s="3" t="s">
        <v>82</v>
      </c>
      <c r="L8228" s="3" t="str">
        <f>IFERROR(__xludf.DUMMYFUNCTION("GOOGLETRANSLATE(F8228,""id"",""en"")"),"Congratulations to the Argentina national team as the champion of the Qatar World Cup")</f>
        <v>Congratulations to the Argentina national team as the champion of the Qatar World Cup</v>
      </c>
    </row>
    <row r="8229" ht="15.75" customHeight="1">
      <c r="A8229" s="1">
        <v>9449.0</v>
      </c>
      <c r="B8229" s="3" t="s">
        <v>23539</v>
      </c>
      <c r="C8229" s="3">
        <v>0.0</v>
      </c>
      <c r="D8229" s="3">
        <v>0.0</v>
      </c>
      <c r="E8229" s="3">
        <v>0.0</v>
      </c>
      <c r="F8229" s="3" t="s">
        <v>23540</v>
      </c>
      <c r="G8229" s="3">
        <v>0.0</v>
      </c>
      <c r="H8229" s="3">
        <v>0.0</v>
      </c>
      <c r="I8229" s="3" t="s">
        <v>13</v>
      </c>
      <c r="J8229" s="3" t="s">
        <v>23541</v>
      </c>
      <c r="K8229" s="3" t="s">
        <v>82</v>
      </c>
      <c r="L8229" s="3" t="str">
        <f>IFERROR(__xludf.DUMMYFUNCTION("GOOGLETRANSLATE(F8229,""id"",""en"")"),"Ciamis Pick up Vienna All France who won Argentina")</f>
        <v>Ciamis Pick up Vienna All France who won Argentina</v>
      </c>
    </row>
    <row r="8230" ht="15.75" customHeight="1">
      <c r="A8230" s="1">
        <v>9450.0</v>
      </c>
      <c r="B8230" s="3" t="s">
        <v>23542</v>
      </c>
      <c r="C8230" s="3">
        <v>0.0</v>
      </c>
      <c r="D8230" s="3">
        <v>0.0</v>
      </c>
      <c r="E8230" s="3">
        <v>0.0</v>
      </c>
      <c r="F8230" s="3" t="s">
        <v>23126</v>
      </c>
      <c r="G8230" s="3">
        <v>0.0</v>
      </c>
      <c r="H8230" s="3">
        <v>0.0</v>
      </c>
      <c r="I8230" s="3" t="s">
        <v>13</v>
      </c>
      <c r="J8230" s="3" t="s">
        <v>23127</v>
      </c>
      <c r="K8230" s="3" t="s">
        <v>90</v>
      </c>
      <c r="L8230" s="3" t="str">
        <f>IFERROR(__xludf.DUMMYFUNCTION("GOOGLETRANSLATE(F8230,""id"",""en"")"),"Lionel Messi wrote an Instagram message after Argentina Champion the Pulga World Cup could not believe the dream that continued to be nurtured finally realized")</f>
        <v>Lionel Messi wrote an Instagram message after Argentina Champion the Pulga World Cup could not believe the dream that continued to be nurtured finally realized</v>
      </c>
    </row>
    <row r="8231" ht="15.75" customHeight="1">
      <c r="A8231" s="1">
        <v>9451.0</v>
      </c>
      <c r="B8231" s="3" t="s">
        <v>23543</v>
      </c>
      <c r="C8231" s="3">
        <v>1.0</v>
      </c>
      <c r="D8231" s="3">
        <v>0.0</v>
      </c>
      <c r="E8231" s="3">
        <v>0.0</v>
      </c>
      <c r="F8231" s="3" t="s">
        <v>23544</v>
      </c>
      <c r="G8231" s="3">
        <v>0.5</v>
      </c>
      <c r="H8231" s="3">
        <v>0.5</v>
      </c>
      <c r="I8231" s="3" t="s">
        <v>48</v>
      </c>
      <c r="J8231" s="3" t="s">
        <v>23545</v>
      </c>
      <c r="K8231" s="3" t="s">
        <v>286</v>
      </c>
      <c r="L8231" s="3" t="str">
        <f>IFERROR(__xludf.DUMMYFUNCTION("GOOGLETRANSLATE(F8231,""id"",""en"")"),"Argentina champions because other teams have declined quality unless France contains Brazilian German Spanish players and even Italy does not pass the team like Morocco can advance the semifinals of the Team Strong Team Evidence")</f>
        <v>Argentina champions because other teams have declined quality unless France contains Brazilian German Spanish players and even Italy does not pass the team like Morocco can advance the semifinals of the Team Strong Team Evidence</v>
      </c>
    </row>
    <row r="8232" ht="15.75" customHeight="1">
      <c r="A8232" s="1">
        <v>9452.0</v>
      </c>
      <c r="B8232" s="3" t="s">
        <v>23546</v>
      </c>
      <c r="C8232" s="3">
        <v>0.0</v>
      </c>
      <c r="D8232" s="3">
        <v>0.0</v>
      </c>
      <c r="E8232" s="3">
        <v>0.0</v>
      </c>
      <c r="F8232" s="3" t="s">
        <v>23547</v>
      </c>
      <c r="G8232" s="3">
        <v>0.0</v>
      </c>
      <c r="H8232" s="3">
        <v>0.0</v>
      </c>
      <c r="I8232" s="3" t="s">
        <v>13</v>
      </c>
      <c r="J8232" s="3" t="s">
        <v>23548</v>
      </c>
      <c r="K8232" s="3" t="s">
        <v>7160</v>
      </c>
      <c r="L8232" s="3" t="str">
        <f>IFERROR(__xludf.DUMMYFUNCTION("GOOGLETRANSLATE(F8232,""id"",""en"")"),"Seconds of Argentina Champion")</f>
        <v>Seconds of Argentina Champion</v>
      </c>
    </row>
    <row r="8233" ht="15.75" customHeight="1">
      <c r="A8233" s="1">
        <v>9453.0</v>
      </c>
      <c r="B8233" s="3" t="s">
        <v>23549</v>
      </c>
      <c r="C8233" s="3">
        <v>233.0</v>
      </c>
      <c r="D8233" s="3">
        <v>879.0</v>
      </c>
      <c r="E8233" s="3">
        <v>6483.0</v>
      </c>
      <c r="F8233" s="3" t="s">
        <v>23550</v>
      </c>
      <c r="G8233" s="3">
        <v>0.0</v>
      </c>
      <c r="H8233" s="3">
        <v>0.0</v>
      </c>
      <c r="I8233" s="3" t="s">
        <v>13</v>
      </c>
      <c r="J8233" s="3" t="s">
        <v>23551</v>
      </c>
      <c r="K8233" s="3" t="s">
        <v>50</v>
      </c>
      <c r="L8233" s="3" t="str">
        <f>IFERROR(__xludf.DUMMYFUNCTION("GOOGLETRANSLATE(F8233,""id"",""en"")"),"Buenos Aires is still waiting for Messi Trophy in the World Champion who is OTW Flight Argentina")</f>
        <v>Buenos Aires is still waiting for Messi Trophy in the World Champion who is OTW Flight Argentina</v>
      </c>
    </row>
    <row r="8234" ht="15.75" customHeight="1">
      <c r="A8234" s="1">
        <v>9454.0</v>
      </c>
      <c r="B8234" s="3" t="s">
        <v>23552</v>
      </c>
      <c r="C8234" s="3">
        <v>0.0</v>
      </c>
      <c r="D8234" s="3">
        <v>0.0</v>
      </c>
      <c r="E8234" s="3">
        <v>0.0</v>
      </c>
      <c r="F8234" s="3" t="s">
        <v>23553</v>
      </c>
      <c r="G8234" s="3">
        <v>0.0</v>
      </c>
      <c r="H8234" s="3">
        <v>0.0</v>
      </c>
      <c r="I8234" s="3" t="s">
        <v>13</v>
      </c>
      <c r="J8234" s="3" t="s">
        <v>23554</v>
      </c>
      <c r="K8234" s="3" t="s">
        <v>1345</v>
      </c>
      <c r="L8234" s="3" t="str">
        <f>IFERROR(__xludf.DUMMYFUNCTION("GOOGLETRANSLATE(F8234,""id"",""en"")"),"Just live the results of the give away from God, how come Argentina is a give away champion from God")</f>
        <v>Just live the results of the give away from God, how come Argentina is a give away champion from God</v>
      </c>
    </row>
    <row r="8235" ht="15.75" customHeight="1">
      <c r="A8235" s="1">
        <v>9455.0</v>
      </c>
      <c r="B8235" s="3" t="s">
        <v>23555</v>
      </c>
      <c r="C8235" s="3">
        <v>0.0</v>
      </c>
      <c r="D8235" s="3">
        <v>0.0</v>
      </c>
      <c r="E8235" s="3">
        <v>0.0</v>
      </c>
      <c r="F8235" s="3" t="s">
        <v>23556</v>
      </c>
      <c r="G8235" s="3">
        <v>0.0</v>
      </c>
      <c r="H8235" s="3">
        <v>0.0</v>
      </c>
      <c r="I8235" s="3" t="s">
        <v>13</v>
      </c>
      <c r="J8235" s="3" t="s">
        <v>23557</v>
      </c>
      <c r="K8235" s="3" t="s">
        <v>75</v>
      </c>
      <c r="L8235" s="3" t="str">
        <f>IFERROR(__xludf.DUMMYFUNCTION("GOOGLETRANSLATE(F8235,""id"",""en"")"),"Argentina World Cup Champion Wearing a Black Messi Ribil Indonesia")</f>
        <v>Argentina World Cup Champion Wearing a Black Messi Ribil Indonesia</v>
      </c>
    </row>
    <row r="8236" ht="15.75" customHeight="1">
      <c r="A8236" s="1">
        <v>9456.0</v>
      </c>
      <c r="B8236" s="3" t="s">
        <v>23558</v>
      </c>
      <c r="C8236" s="3">
        <v>0.0</v>
      </c>
      <c r="D8236" s="3">
        <v>0.0</v>
      </c>
      <c r="E8236" s="3">
        <v>0.0</v>
      </c>
      <c r="F8236" s="3" t="s">
        <v>23559</v>
      </c>
      <c r="G8236" s="3">
        <v>0.0</v>
      </c>
      <c r="H8236" s="3">
        <v>0.0</v>
      </c>
      <c r="I8236" s="3" t="s">
        <v>13</v>
      </c>
      <c r="J8236" s="3" t="s">
        <v>23560</v>
      </c>
      <c r="K8236" s="3" t="s">
        <v>903</v>
      </c>
      <c r="L8236" s="3" t="str">
        <f>IFERROR(__xludf.DUMMYFUNCTION("GOOGLETRANSLATE(F8236,""id"",""en"")"),"Remember this, Messi can lift the World Cup trophie since leaving Barcelona, ​​the death of Maradona, two of this entities, this is the cause of Argentina to be difficult to win from even though there is Messi Salam Messi United")</f>
        <v>Remember this, Messi can lift the World Cup trophie since leaving Barcelona, ​​the death of Maradona, two of this entities, this is the cause of Argentina to be difficult to win from even though there is Messi Salam Messi United</v>
      </c>
    </row>
    <row r="8237" ht="15.75" customHeight="1">
      <c r="A8237" s="1">
        <v>9457.0</v>
      </c>
      <c r="B8237" s="3" t="s">
        <v>23561</v>
      </c>
      <c r="C8237" s="3">
        <v>0.0</v>
      </c>
      <c r="D8237" s="3">
        <v>0.0</v>
      </c>
      <c r="E8237" s="3">
        <v>0.0</v>
      </c>
      <c r="F8237" s="3" t="s">
        <v>23562</v>
      </c>
      <c r="G8237" s="3">
        <v>0.0</v>
      </c>
      <c r="H8237" s="3">
        <v>0.0</v>
      </c>
      <c r="I8237" s="3" t="s">
        <v>13</v>
      </c>
      <c r="J8237" s="3" t="s">
        <v>23563</v>
      </c>
      <c r="K8237" s="3" t="s">
        <v>15</v>
      </c>
      <c r="L8237" s="3" t="str">
        <f>IFERROR(__xludf.DUMMYFUNCTION("GOOGLETRANSLATE(F8237,""id"",""en"")"),"VOICE ABIS GPP Sing Important Argentina Champion XIXIXI")</f>
        <v>VOICE ABIS GPP Sing Important Argentina Champion XIXIXI</v>
      </c>
    </row>
    <row r="8238" ht="15.75" customHeight="1">
      <c r="A8238" s="1">
        <v>9458.0</v>
      </c>
      <c r="B8238" s="3" t="s">
        <v>23564</v>
      </c>
      <c r="C8238" s="3">
        <v>1.0</v>
      </c>
      <c r="D8238" s="3">
        <v>0.0</v>
      </c>
      <c r="E8238" s="3">
        <v>0.0</v>
      </c>
      <c r="F8238" s="3" t="s">
        <v>23565</v>
      </c>
      <c r="G8238" s="3">
        <v>0.75</v>
      </c>
      <c r="H8238" s="3">
        <v>0.0</v>
      </c>
      <c r="I8238" s="3" t="s">
        <v>13</v>
      </c>
      <c r="J8238" s="3" t="s">
        <v>23566</v>
      </c>
      <c r="K8238" s="3" t="s">
        <v>449</v>
      </c>
      <c r="L8238" s="3" t="str">
        <f>IFERROR(__xludf.DUMMYFUNCTION("GOOGLETRANSLATE(F8238,""id"",""en"")"),"Although a draw after the minutes there was no boring moment during the match the two teams contributed a total goal, but in the end there was only one who could win the Argentina who managed to win the World Cup again after missing the year")</f>
        <v>Although a draw after the minutes there was no boring moment during the match the two teams contributed a total goal, but in the end there was only one who could win the Argentina who managed to win the World Cup again after missing the year</v>
      </c>
    </row>
    <row r="8239" ht="15.75" customHeight="1">
      <c r="A8239" s="1">
        <v>9459.0</v>
      </c>
      <c r="B8239" s="3" t="s">
        <v>23567</v>
      </c>
      <c r="C8239" s="3">
        <v>1.0</v>
      </c>
      <c r="D8239" s="3">
        <v>0.0</v>
      </c>
      <c r="E8239" s="3">
        <v>8.0</v>
      </c>
      <c r="F8239" s="3" t="s">
        <v>23390</v>
      </c>
      <c r="G8239" s="3">
        <v>0.0</v>
      </c>
      <c r="H8239" s="3">
        <v>0.0</v>
      </c>
      <c r="I8239" s="3" t="s">
        <v>13</v>
      </c>
      <c r="J8239" s="3" t="s">
        <v>23391</v>
      </c>
      <c r="K8239" s="3" t="s">
        <v>149</v>
      </c>
      <c r="L8239" s="3" t="str">
        <f>IFERROR(__xludf.DUMMYFUNCTION("GOOGLETRANSLATE(F8239,""id"",""en"")"),"Argentina Champion World Cup through a penalty against France, one of its executors Paulo Dybala really has the guts to place the middle ball")</f>
        <v>Argentina Champion World Cup through a penalty against France, one of its executors Paulo Dybala really has the guts to place the middle ball</v>
      </c>
    </row>
    <row r="8240" ht="15.75" customHeight="1">
      <c r="A8240" s="1">
        <v>9460.0</v>
      </c>
      <c r="B8240" s="3" t="s">
        <v>23568</v>
      </c>
      <c r="C8240" s="3">
        <v>1.0</v>
      </c>
      <c r="D8240" s="3">
        <v>0.0</v>
      </c>
      <c r="E8240" s="3">
        <v>0.0</v>
      </c>
      <c r="F8240" s="3" t="s">
        <v>23569</v>
      </c>
      <c r="G8240" s="3">
        <v>0.0</v>
      </c>
      <c r="H8240" s="3">
        <v>0.0</v>
      </c>
      <c r="I8240" s="3" t="s">
        <v>13</v>
      </c>
      <c r="J8240" s="3" t="s">
        <v>23570</v>
      </c>
      <c r="K8240" s="3" t="s">
        <v>477</v>
      </c>
      <c r="L8240" s="3" t="str">
        <f>IFERROR(__xludf.DUMMYFUNCTION("GOOGLETRANSLATE(F8240,""id"",""en"")"),"Argentina is indeed a mediocre class if the champion is indeed the contribution of Messi")</f>
        <v>Argentina is indeed a mediocre class if the champion is indeed the contribution of Messi</v>
      </c>
    </row>
    <row r="8241" ht="15.75" customHeight="1">
      <c r="A8241" s="1">
        <v>9461.0</v>
      </c>
      <c r="B8241" s="3" t="s">
        <v>23571</v>
      </c>
      <c r="C8241" s="3">
        <v>1.0</v>
      </c>
      <c r="D8241" s="3">
        <v>0.0</v>
      </c>
      <c r="E8241" s="3">
        <v>0.0</v>
      </c>
      <c r="F8241" s="3" t="s">
        <v>23572</v>
      </c>
      <c r="G8241" s="3">
        <v>0.0</v>
      </c>
      <c r="H8241" s="3">
        <v>0.0</v>
      </c>
      <c r="I8241" s="3" t="s">
        <v>13</v>
      </c>
      <c r="J8241" s="3" t="s">
        <v>23573</v>
      </c>
      <c r="K8241" s="3" t="s">
        <v>574</v>
      </c>
      <c r="L8241" s="3" t="str">
        <f>IFERROR(__xludf.DUMMYFUNCTION("GOOGLETRANSLATE(F8241,""id"",""en"")"),"Argentina came out as the World Cup champion this year I felt it was the best result of Kylian's career was still long and could be even greater while Messi had long played with a round skin survivors for his victory Argentina Vamos")</f>
        <v>Argentina came out as the World Cup champion this year I felt it was the best result of Kylian's career was still long and could be even greater while Messi had long played with a round skin survivors for his victory Argentina Vamos</v>
      </c>
    </row>
    <row r="8242" ht="15.75" customHeight="1">
      <c r="A8242" s="1">
        <v>9462.0</v>
      </c>
      <c r="B8242" s="3" t="s">
        <v>23574</v>
      </c>
      <c r="C8242" s="3">
        <v>0.0</v>
      </c>
      <c r="D8242" s="3">
        <v>0.0</v>
      </c>
      <c r="E8242" s="3">
        <v>1.0</v>
      </c>
      <c r="F8242" s="3" t="s">
        <v>23575</v>
      </c>
      <c r="G8242" s="3">
        <v>0.0</v>
      </c>
      <c r="H8242" s="3">
        <v>0.0</v>
      </c>
      <c r="I8242" s="3" t="s">
        <v>13</v>
      </c>
      <c r="J8242" s="3" t="s">
        <v>23576</v>
      </c>
      <c r="K8242" s="3" t="s">
        <v>1304</v>
      </c>
      <c r="L8242" s="3" t="str">
        <f>IFERROR(__xludf.DUMMYFUNCTION("GOOGLETRANSLATE(F8242,""id"",""en"")"),"From the predictions of some people about Argentina who will be champions, it can be concluded that life goes mathematically.")</f>
        <v>From the predictions of some people about Argentina who will be champions, it can be concluded that life goes mathematically.</v>
      </c>
    </row>
    <row r="8243" ht="15.75" customHeight="1">
      <c r="A8243" s="1">
        <v>9463.0</v>
      </c>
      <c r="B8243" s="3" t="s">
        <v>23577</v>
      </c>
      <c r="C8243" s="3">
        <v>0.0</v>
      </c>
      <c r="D8243" s="3">
        <v>0.0</v>
      </c>
      <c r="E8243" s="3">
        <v>0.0</v>
      </c>
      <c r="F8243" s="3" t="s">
        <v>23578</v>
      </c>
      <c r="G8243" s="3">
        <v>0.0</v>
      </c>
      <c r="H8243" s="3">
        <v>0.0</v>
      </c>
      <c r="I8243" s="3" t="s">
        <v>13</v>
      </c>
      <c r="J8243" s="3" t="s">
        <v>23579</v>
      </c>
      <c r="K8243" s="3" t="s">
        <v>82</v>
      </c>
      <c r="L8243" s="3" t="str">
        <f>IFERROR(__xludf.DUMMYFUNCTION("GOOGLETRANSLATE(F8243,""id"",""en"")"),"he said if Argentina champions would be inflation according to geopolitical experts")</f>
        <v>he said if Argentina champions would be inflation according to geopolitical experts</v>
      </c>
    </row>
    <row r="8244" ht="15.75" customHeight="1">
      <c r="A8244" s="1">
        <v>9464.0</v>
      </c>
      <c r="B8244" s="3" t="s">
        <v>23580</v>
      </c>
      <c r="C8244" s="3">
        <v>0.0</v>
      </c>
      <c r="D8244" s="3">
        <v>0.0</v>
      </c>
      <c r="E8244" s="3">
        <v>0.0</v>
      </c>
      <c r="F8244" s="3" t="s">
        <v>23581</v>
      </c>
      <c r="G8244" s="3">
        <v>0.0</v>
      </c>
      <c r="H8244" s="3">
        <v>0.0</v>
      </c>
      <c r="I8244" s="3" t="s">
        <v>13</v>
      </c>
      <c r="J8244" s="3" t="s">
        <v>23582</v>
      </c>
      <c r="K8244" s="3" t="s">
        <v>491</v>
      </c>
      <c r="L8244" s="3" t="str">
        <f>IFERROR(__xludf.DUMMYFUNCTION("GOOGLETRANSLATE(F8244,""id"",""en"")"),"The SBY Morocco could not enter the semifinals of the SBY era, nor Argentina did not become the World Cup champion, thank you, Mr. Jokowi")</f>
        <v>The SBY Morocco could not enter the semifinals of the SBY era, nor Argentina did not become the World Cup champion, thank you, Mr. Jokowi</v>
      </c>
    </row>
    <row r="8245" ht="15.75" customHeight="1">
      <c r="A8245" s="1">
        <v>9465.0</v>
      </c>
      <c r="B8245" s="3" t="s">
        <v>23583</v>
      </c>
      <c r="C8245" s="3">
        <v>2.0</v>
      </c>
      <c r="D8245" s="3">
        <v>0.0</v>
      </c>
      <c r="E8245" s="3">
        <v>0.0</v>
      </c>
      <c r="F8245" s="3" t="s">
        <v>23584</v>
      </c>
      <c r="G8245" s="3">
        <v>0.0</v>
      </c>
      <c r="H8245" s="3">
        <v>0.0</v>
      </c>
      <c r="I8245" s="3" t="s">
        <v>13</v>
      </c>
      <c r="J8245" s="3" t="s">
        <v>23585</v>
      </c>
      <c r="K8245" s="3" t="s">
        <v>27</v>
      </c>
      <c r="L8245" s="3" t="str">
        <f>IFERROR(__xludf.DUMMYFUNCTION("GOOGLETRANSLATE(F8245,""id"",""en"")"),"If I use my mindset, I will not have the Argentina Squad, this time because it is less competitive in the quality of the Brazil French Brazilian squad in the English champion")</f>
        <v>If I use my mindset, I will not have the Argentina Squad, this time because it is less competitive in the quality of the Brazil French Brazilian squad in the English champion</v>
      </c>
    </row>
    <row r="8246" ht="15.75" customHeight="1">
      <c r="A8246" s="1">
        <v>9466.0</v>
      </c>
      <c r="B8246" s="3" t="s">
        <v>23586</v>
      </c>
      <c r="C8246" s="3">
        <v>0.0</v>
      </c>
      <c r="D8246" s="3">
        <v>0.0</v>
      </c>
      <c r="E8246" s="3">
        <v>0.0</v>
      </c>
      <c r="F8246" s="3" t="s">
        <v>23587</v>
      </c>
      <c r="G8246" s="3">
        <v>0.0</v>
      </c>
      <c r="H8246" s="3">
        <v>0.0</v>
      </c>
      <c r="I8246" s="3" t="s">
        <v>13</v>
      </c>
      <c r="J8246" s="3" t="s">
        <v>23588</v>
      </c>
      <c r="K8246" s="3" t="s">
        <v>35</v>
      </c>
      <c r="L8246" s="3" t="str">
        <f>IFERROR(__xludf.DUMMYFUNCTION("GOOGLETRANSLATE(F8246,""id"",""en"")"),"Argentina FIFA's favorite child champion World Cup with a Hands Ball goal and bribed FIFA")</f>
        <v>Argentina FIFA's favorite child champion World Cup with a Hands Ball goal and bribed FIFA</v>
      </c>
    </row>
    <row r="8247" ht="15.75" customHeight="1">
      <c r="A8247" s="1">
        <v>9467.0</v>
      </c>
      <c r="B8247" s="3" t="s">
        <v>23589</v>
      </c>
      <c r="C8247" s="3">
        <v>0.0</v>
      </c>
      <c r="D8247" s="3">
        <v>0.0</v>
      </c>
      <c r="E8247" s="3">
        <v>0.0</v>
      </c>
      <c r="F8247" s="3" t="s">
        <v>23590</v>
      </c>
      <c r="G8247" s="3">
        <v>0.0</v>
      </c>
      <c r="H8247" s="3">
        <v>0.0</v>
      </c>
      <c r="I8247" s="3" t="s">
        <v>13</v>
      </c>
      <c r="J8247" s="3" t="s">
        <v>23591</v>
      </c>
      <c r="K8247" s="3" t="s">
        <v>240</v>
      </c>
      <c r="L8247" s="3" t="str">
        <f>IFERROR(__xludf.DUMMYFUNCTION("GOOGLETRANSLATE(F8247,""id"",""en"")"),"All Argentina's fanfare and Messi champion World Cup don't forget there are Iranian players who get the death penalty")</f>
        <v>All Argentina's fanfare and Messi champion World Cup don't forget there are Iranian players who get the death penalty</v>
      </c>
    </row>
    <row r="8248" ht="15.75" customHeight="1">
      <c r="A8248" s="1">
        <v>9468.0</v>
      </c>
      <c r="B8248" s="3" t="s">
        <v>23592</v>
      </c>
      <c r="C8248" s="3">
        <v>6.0</v>
      </c>
      <c r="D8248" s="3">
        <v>2.0</v>
      </c>
      <c r="E8248" s="3">
        <v>4.0</v>
      </c>
      <c r="F8248" s="3" t="s">
        <v>23593</v>
      </c>
      <c r="G8248" s="3">
        <v>0.425</v>
      </c>
      <c r="H8248" s="3">
        <v>0.1375</v>
      </c>
      <c r="I8248" s="3" t="s">
        <v>48</v>
      </c>
      <c r="J8248" s="3" t="s">
        <v>23594</v>
      </c>
      <c r="K8248" s="3" t="s">
        <v>308</v>
      </c>
      <c r="L8248" s="3" t="str">
        <f>IFERROR(__xludf.DUMMYFUNCTION("GOOGLETRANSLATE(F8248,""id"",""en"")"),"Argentina Home Original Replica Jersey champion Slimfit Bnwt wide shipping from Bandung Closed WIB held Ahmad Sneil Twitter Jersey Sneil Gas Gas Gas")</f>
        <v>Argentina Home Original Replica Jersey champion Slimfit Bnwt wide shipping from Bandung Closed WIB held Ahmad Sneil Twitter Jersey Sneil Gas Gas Gas</v>
      </c>
    </row>
    <row r="8249" ht="15.75" customHeight="1">
      <c r="A8249" s="1">
        <v>9469.0</v>
      </c>
      <c r="B8249" s="3" t="s">
        <v>23595</v>
      </c>
      <c r="C8249" s="3">
        <v>0.0</v>
      </c>
      <c r="D8249" s="3">
        <v>0.0</v>
      </c>
      <c r="E8249" s="3">
        <v>0.0</v>
      </c>
      <c r="F8249" s="3" t="s">
        <v>23596</v>
      </c>
      <c r="G8249" s="3">
        <v>1.0</v>
      </c>
      <c r="H8249" s="3">
        <v>1.0</v>
      </c>
      <c r="I8249" s="3" t="s">
        <v>48</v>
      </c>
      <c r="J8249" s="3" t="s">
        <v>23597</v>
      </c>
      <c r="K8249" s="3" t="s">
        <v>123</v>
      </c>
      <c r="L8249" s="3" t="str">
        <f>IFERROR(__xludf.DUMMYFUNCTION("GOOGLETRANSLATE(F8249,""id"",""en"")"),"One of the Argentina is the World Cup champion and Messi is the world's best player of all time Greatest All Time")</f>
        <v>One of the Argentina is the World Cup champion and Messi is the world's best player of all time Greatest All Time</v>
      </c>
    </row>
    <row r="8250" ht="15.75" customHeight="1">
      <c r="A8250" s="1">
        <v>9470.0</v>
      </c>
      <c r="B8250" s="3" t="s">
        <v>23598</v>
      </c>
      <c r="C8250" s="3">
        <v>0.0</v>
      </c>
      <c r="D8250" s="3">
        <v>0.0</v>
      </c>
      <c r="E8250" s="3">
        <v>0.0</v>
      </c>
      <c r="F8250" s="3" t="s">
        <v>23599</v>
      </c>
      <c r="G8250" s="3">
        <v>0.0</v>
      </c>
      <c r="H8250" s="3">
        <v>0.0</v>
      </c>
      <c r="I8250" s="3" t="s">
        <v>13</v>
      </c>
      <c r="J8250" s="3" t="s">
        <v>23600</v>
      </c>
      <c r="K8250" s="3" t="s">
        <v>41</v>
      </c>
      <c r="L8250" s="3" t="str">
        <f>IFERROR(__xludf.DUMMYFUNCTION("GOOGLETRANSLATE(F8250,""id"",""en"")"),"Actually the Argentine Signs Champion has been real from the beginning of Lautaro wearing a jersey")</f>
        <v>Actually the Argentine Signs Champion has been real from the beginning of Lautaro wearing a jersey</v>
      </c>
    </row>
    <row r="8251" ht="15.75" customHeight="1">
      <c r="A8251" s="1">
        <v>9471.0</v>
      </c>
      <c r="B8251" s="3" t="s">
        <v>23601</v>
      </c>
      <c r="C8251" s="3">
        <v>0.0</v>
      </c>
      <c r="D8251" s="3">
        <v>0.0</v>
      </c>
      <c r="E8251" s="3">
        <v>0.0</v>
      </c>
      <c r="F8251" s="3" t="s">
        <v>23602</v>
      </c>
      <c r="G8251" s="3">
        <v>0.0</v>
      </c>
      <c r="H8251" s="3">
        <v>0.0</v>
      </c>
      <c r="I8251" s="3" t="s">
        <v>13</v>
      </c>
      <c r="J8251" s="3" t="s">
        <v>23603</v>
      </c>
      <c r="K8251" s="3" t="s">
        <v>510</v>
      </c>
      <c r="L8251" s="3" t="str">
        <f>IFERROR(__xludf.DUMMYFUNCTION("GOOGLETRANSLATE(F8251,""id"",""en"")"),"Had threatened Lionel Messi Canelo Alvarez now congratulations to Argentina who won the World Cup")</f>
        <v>Had threatened Lionel Messi Canelo Alvarez now congratulations to Argentina who won the World Cup</v>
      </c>
    </row>
    <row r="8252" ht="15.75" customHeight="1">
      <c r="A8252" s="1">
        <v>9472.0</v>
      </c>
      <c r="B8252" s="3" t="s">
        <v>23604</v>
      </c>
      <c r="C8252" s="3">
        <v>0.0</v>
      </c>
      <c r="D8252" s="3">
        <v>0.0</v>
      </c>
      <c r="E8252" s="3">
        <v>0.0</v>
      </c>
      <c r="F8252" s="3" t="s">
        <v>16103</v>
      </c>
      <c r="G8252" s="3">
        <v>0.0</v>
      </c>
      <c r="H8252" s="3">
        <v>0.0</v>
      </c>
      <c r="I8252" s="3" t="s">
        <v>13</v>
      </c>
      <c r="J8252" s="3" t="s">
        <v>16104</v>
      </c>
      <c r="K8252" s="3" t="s">
        <v>14571</v>
      </c>
      <c r="L8252" s="3" t="str">
        <f>IFERROR(__xludf.DUMMYFUNCTION("GOOGLETRANSLATE(F8252,""id"",""en"")"),"Argentina Champion")</f>
        <v>Argentina Champion</v>
      </c>
    </row>
    <row r="8253" ht="15.75" customHeight="1">
      <c r="A8253" s="1">
        <v>9473.0</v>
      </c>
      <c r="B8253" s="3" t="s">
        <v>23605</v>
      </c>
      <c r="C8253" s="3">
        <v>17.0</v>
      </c>
      <c r="D8253" s="3">
        <v>8.0</v>
      </c>
      <c r="E8253" s="3">
        <v>37.0</v>
      </c>
      <c r="F8253" s="3" t="s">
        <v>23606</v>
      </c>
      <c r="G8253" s="3">
        <v>0.0</v>
      </c>
      <c r="H8253" s="3">
        <v>0.0</v>
      </c>
      <c r="I8253" s="3" t="s">
        <v>13</v>
      </c>
      <c r="J8253" s="3" t="s">
        <v>23607</v>
      </c>
      <c r="K8253" s="3" t="s">
        <v>503</v>
      </c>
      <c r="L8253" s="3" t="str">
        <f>IFERROR(__xludf.DUMMYFUNCTION("GOOGLETRANSLATE(F8253,""id"",""en"")"),"Qatar is very successful as the host of the World Cup of President FIFA, calling billions of humans, watching the World Cup, please read my review titled Argentina World Cup champion Qatar Messi won what lessons can be picked by Indonesia")</f>
        <v>Qatar is very successful as the host of the World Cup of President FIFA, calling billions of humans, watching the World Cup, please read my review titled Argentina World Cup champion Qatar Messi won what lessons can be picked by Indonesia</v>
      </c>
    </row>
    <row r="8254" ht="15.75" customHeight="1">
      <c r="A8254" s="1">
        <v>9474.0</v>
      </c>
      <c r="B8254" s="3" t="s">
        <v>23608</v>
      </c>
      <c r="C8254" s="3">
        <v>1.0</v>
      </c>
      <c r="D8254" s="3">
        <v>0.0</v>
      </c>
      <c r="E8254" s="3">
        <v>0.0</v>
      </c>
      <c r="F8254" s="3" t="s">
        <v>23609</v>
      </c>
      <c r="G8254" s="3">
        <v>1.0</v>
      </c>
      <c r="H8254" s="3">
        <v>0.0</v>
      </c>
      <c r="I8254" s="3" t="s">
        <v>13</v>
      </c>
      <c r="J8254" s="3" t="s">
        <v>23610</v>
      </c>
      <c r="K8254" s="3" t="s">
        <v>441</v>
      </c>
      <c r="L8254" s="3" t="str">
        <f>IFERROR(__xludf.DUMMYFUNCTION("GOOGLETRANSLATE(F8254,""id"",""en"")"),"This year the World Cup champion has the hands of the Argentina World Cup Final, Dramatic of Argentina and France returned to each minute for minutes and in the end they won this final match congratulated the Argentine championship")</f>
        <v>This year the World Cup champion has the hands of the Argentina World Cup Final, Dramatic of Argentina and France returned to each minute for minutes and in the end they won this final match congratulated the Argentine championship</v>
      </c>
    </row>
    <row r="8255" ht="15.75" customHeight="1">
      <c r="A8255" s="1">
        <v>9475.0</v>
      </c>
      <c r="B8255" s="3" t="s">
        <v>23611</v>
      </c>
      <c r="C8255" s="3">
        <v>0.0</v>
      </c>
      <c r="D8255" s="3">
        <v>0.0</v>
      </c>
      <c r="E8255" s="3">
        <v>0.0</v>
      </c>
      <c r="F8255" s="3" t="s">
        <v>23612</v>
      </c>
      <c r="G8255" s="3">
        <v>0.0</v>
      </c>
      <c r="H8255" s="3">
        <v>0.0</v>
      </c>
      <c r="I8255" s="3" t="s">
        <v>13</v>
      </c>
      <c r="J8255" s="3" t="s">
        <v>23613</v>
      </c>
      <c r="K8255" s="3" t="s">
        <v>54</v>
      </c>
      <c r="L8255" s="3" t="str">
        <f>IFERROR(__xludf.DUMMYFUNCTION("GOOGLETRANSLATE(F8255,""id"",""en"")"),"Argentina Champion Messi broke the mbappe statement")</f>
        <v>Argentina Champion Messi broke the mbappe statement</v>
      </c>
    </row>
    <row r="8256" ht="15.75" customHeight="1">
      <c r="A8256" s="1">
        <v>9476.0</v>
      </c>
      <c r="B8256" s="3" t="s">
        <v>23614</v>
      </c>
      <c r="C8256" s="3">
        <v>0.0</v>
      </c>
      <c r="D8256" s="3">
        <v>0.0</v>
      </c>
      <c r="E8256" s="3">
        <v>0.0</v>
      </c>
      <c r="F8256" s="3" t="s">
        <v>23615</v>
      </c>
      <c r="G8256" s="3">
        <v>0.0</v>
      </c>
      <c r="H8256" s="3">
        <v>0.0</v>
      </c>
      <c r="I8256" s="3" t="s">
        <v>13</v>
      </c>
      <c r="J8256" s="3" t="s">
        <v>23616</v>
      </c>
      <c r="K8256" s="3" t="s">
        <v>19</v>
      </c>
      <c r="L8256" s="3" t="str">
        <f>IFERROR(__xludf.DUMMYFUNCTION("GOOGLETRANSLATE(F8256,""id"",""en"")"),"Argentine midfielder Rodrigo Paul asserted that Albiceleste was deserved to come out as World Cup champion")</f>
        <v>Argentine midfielder Rodrigo Paul asserted that Albiceleste was deserved to come out as World Cup champion</v>
      </c>
    </row>
    <row r="8257" ht="15.75" customHeight="1">
      <c r="A8257" s="1">
        <v>9477.0</v>
      </c>
      <c r="B8257" s="3" t="s">
        <v>23617</v>
      </c>
      <c r="C8257" s="3">
        <v>0.0</v>
      </c>
      <c r="D8257" s="3">
        <v>0.0</v>
      </c>
      <c r="E8257" s="3">
        <v>0.0</v>
      </c>
      <c r="F8257" s="3" t="s">
        <v>23618</v>
      </c>
      <c r="G8257" s="3">
        <v>0.0</v>
      </c>
      <c r="H8257" s="3">
        <v>0.0</v>
      </c>
      <c r="I8257" s="3" t="s">
        <v>13</v>
      </c>
      <c r="J8257" s="3" t="s">
        <v>23619</v>
      </c>
      <c r="K8257" s="3" t="s">
        <v>71</v>
      </c>
      <c r="L8257" s="3" t="str">
        <f>IFERROR(__xludf.DUMMYFUNCTION("GOOGLETRANSLATE(F8257,""id"",""en"")"),"Lionel Messi has his own story next to success in delivering Argentina to become the World Cup champion Sumber")</f>
        <v>Lionel Messi has his own story next to success in delivering Argentina to become the World Cup champion Sumber</v>
      </c>
    </row>
    <row r="8258" ht="15.75" customHeight="1">
      <c r="A8258" s="1">
        <v>9478.0</v>
      </c>
      <c r="B8258" s="3" t="s">
        <v>23620</v>
      </c>
      <c r="C8258" s="3">
        <v>0.0</v>
      </c>
      <c r="D8258" s="3">
        <v>0.0</v>
      </c>
      <c r="E8258" s="3">
        <v>0.0</v>
      </c>
      <c r="F8258" s="3" t="s">
        <v>23621</v>
      </c>
      <c r="G8258" s="3">
        <v>0.0</v>
      </c>
      <c r="H8258" s="3">
        <v>0.0</v>
      </c>
      <c r="I8258" s="3" t="s">
        <v>13</v>
      </c>
      <c r="J8258" s="3" t="s">
        <v>23622</v>
      </c>
      <c r="K8258" s="3" t="s">
        <v>644</v>
      </c>
      <c r="L8258" s="3" t="str">
        <f>IFERROR(__xludf.DUMMYFUNCTION("GOOGLETRANSLATE(F8258,""id"",""en"")"),"so there is a place if Argentina is champions because of the settings")</f>
        <v>so there is a place if Argentina is champions because of the settings</v>
      </c>
    </row>
    <row r="8259" ht="15.75" customHeight="1">
      <c r="A8259" s="1">
        <v>9479.0</v>
      </c>
      <c r="B8259" s="3" t="s">
        <v>23623</v>
      </c>
      <c r="C8259" s="3">
        <v>0.0</v>
      </c>
      <c r="D8259" s="3">
        <v>0.0</v>
      </c>
      <c r="E8259" s="3">
        <v>1.0</v>
      </c>
      <c r="F8259" s="3" t="s">
        <v>23624</v>
      </c>
      <c r="G8259" s="3">
        <v>0.0</v>
      </c>
      <c r="H8259" s="3">
        <v>0.0</v>
      </c>
      <c r="I8259" s="3" t="s">
        <v>13</v>
      </c>
      <c r="J8259" s="3" t="s">
        <v>23625</v>
      </c>
      <c r="K8259" s="3" t="s">
        <v>614</v>
      </c>
      <c r="L8259" s="3" t="str">
        <f>IFERROR(__xludf.DUMMYFUNCTION("GOOGLETRANSLATE(F8259,""id"",""en"")"),"Menpora Argentina and Chairperson of PSSA, how the performance of the team of the team is the champion, the champion will take part in the trophy, very disrespect for the hard work of the team's training staff")</f>
        <v>Menpora Argentina and Chairperson of PSSA, how the performance of the team of the team is the champion, the champion will take part in the trophy, very disrespect for the hard work of the team's training staff</v>
      </c>
    </row>
    <row r="8260" ht="15.75" customHeight="1">
      <c r="A8260" s="1">
        <v>9480.0</v>
      </c>
      <c r="B8260" s="3" t="s">
        <v>23626</v>
      </c>
      <c r="C8260" s="3">
        <v>0.0</v>
      </c>
      <c r="D8260" s="3">
        <v>0.0</v>
      </c>
      <c r="E8260" s="3">
        <v>0.0</v>
      </c>
      <c r="F8260" s="3" t="s">
        <v>23627</v>
      </c>
      <c r="G8260" s="3">
        <v>0.0</v>
      </c>
      <c r="H8260" s="3">
        <v>0.0</v>
      </c>
      <c r="I8260" s="3" t="s">
        <v>13</v>
      </c>
      <c r="J8260" s="3" t="s">
        <v>23628</v>
      </c>
      <c r="K8260" s="3" t="s">
        <v>510</v>
      </c>
      <c r="L8260" s="3" t="str">
        <f>IFERROR(__xludf.DUMMYFUNCTION("GOOGLETRANSLATE(F8260,""id"",""en"")"),"Argentina who won the World Cup helped Rodrigo Paul kept his promise two months before the source")</f>
        <v>Argentina who won the World Cup helped Rodrigo Paul kept his promise two months before the source</v>
      </c>
    </row>
    <row r="8261" ht="15.75" customHeight="1">
      <c r="A8261" s="1">
        <v>9481.0</v>
      </c>
      <c r="B8261" s="3" t="s">
        <v>23629</v>
      </c>
      <c r="C8261" s="3">
        <v>0.0</v>
      </c>
      <c r="D8261" s="3">
        <v>0.0</v>
      </c>
      <c r="E8261" s="3">
        <v>2.0</v>
      </c>
      <c r="F8261" s="3" t="s">
        <v>23630</v>
      </c>
      <c r="G8261" s="3">
        <v>0.0</v>
      </c>
      <c r="H8261" s="3">
        <v>0.0</v>
      </c>
      <c r="I8261" s="3" t="s">
        <v>13</v>
      </c>
      <c r="J8261" s="3" t="s">
        <v>23631</v>
      </c>
      <c r="K8261" s="3" t="s">
        <v>54</v>
      </c>
      <c r="L8261" s="3" t="str">
        <f>IFERROR(__xludf.DUMMYFUNCTION("GOOGLETRANSLATE(F8261,""id"",""en"")"),"funny bet this is fortunately Argentina champion wkwkwk")</f>
        <v>funny bet this is fortunately Argentina champion wkwkwk</v>
      </c>
    </row>
    <row r="8262" ht="15.75" customHeight="1">
      <c r="A8262" s="1">
        <v>9482.0</v>
      </c>
      <c r="B8262" s="3" t="s">
        <v>23632</v>
      </c>
      <c r="C8262" s="3">
        <v>0.0</v>
      </c>
      <c r="D8262" s="3">
        <v>0.0</v>
      </c>
      <c r="E8262" s="3">
        <v>0.0</v>
      </c>
      <c r="F8262" s="3" t="s">
        <v>23633</v>
      </c>
      <c r="G8262" s="3">
        <v>0.0</v>
      </c>
      <c r="H8262" s="3">
        <v>0.0</v>
      </c>
      <c r="I8262" s="3" t="s">
        <v>13</v>
      </c>
      <c r="J8262" s="3" t="s">
        <v>23634</v>
      </c>
      <c r="K8262" s="3" t="s">
        <v>510</v>
      </c>
      <c r="L8262" s="3" t="str">
        <f>IFERROR(__xludf.DUMMYFUNCTION("GOOGLETRANSLATE(F8262,""id"",""en"")"),"Congratulations Bangda Messi Argentina wrong predictions because the niece of brother mbape champion is even gatot")</f>
        <v>Congratulations Bangda Messi Argentina wrong predictions because the niece of brother mbape champion is even gatot</v>
      </c>
    </row>
    <row r="8263" ht="15.75" customHeight="1">
      <c r="A8263" s="1">
        <v>9483.0</v>
      </c>
      <c r="B8263" s="3" t="s">
        <v>23635</v>
      </c>
      <c r="C8263" s="3">
        <v>0.0</v>
      </c>
      <c r="D8263" s="3">
        <v>0.0</v>
      </c>
      <c r="E8263" s="3">
        <v>0.0</v>
      </c>
      <c r="F8263" s="3" t="s">
        <v>23636</v>
      </c>
      <c r="G8263" s="3">
        <v>0.0</v>
      </c>
      <c r="H8263" s="3">
        <v>0.0</v>
      </c>
      <c r="I8263" s="3" t="s">
        <v>13</v>
      </c>
      <c r="J8263" s="3" t="s">
        <v>23637</v>
      </c>
      <c r="K8263" s="3" t="s">
        <v>35</v>
      </c>
      <c r="L8263" s="3" t="str">
        <f>IFERROR(__xludf.DUMMYFUNCTION("GOOGLETRANSLATE(F8263,""id"",""en"")"),"The first victory when Messi was born and now champions again after the year BnR waiting for Messi Argentina")</f>
        <v>The first victory when Messi was born and now champions again after the year BnR waiting for Messi Argentina</v>
      </c>
    </row>
    <row r="8264" ht="15.75" customHeight="1">
      <c r="A8264" s="1">
        <v>9484.0</v>
      </c>
      <c r="B8264" s="3" t="s">
        <v>23638</v>
      </c>
      <c r="C8264" s="3">
        <v>0.0</v>
      </c>
      <c r="D8264" s="3">
        <v>0.0</v>
      </c>
      <c r="E8264" s="3">
        <v>1.0</v>
      </c>
      <c r="F8264" s="3" t="s">
        <v>23639</v>
      </c>
      <c r="G8264" s="3">
        <v>0.0</v>
      </c>
      <c r="H8264" s="3">
        <v>0.0</v>
      </c>
      <c r="I8264" s="3" t="s">
        <v>13</v>
      </c>
      <c r="J8264" s="3" t="s">
        <v>23640</v>
      </c>
      <c r="K8264" s="3" t="s">
        <v>358</v>
      </c>
      <c r="L8264" s="3" t="str">
        <f>IFERROR(__xludf.DUMMYFUNCTION("GOOGLETRANSLATE(F8264,""id"",""en"")"),"Argentina Champion World Cup after losing its first fight Team Tango became the fourth team to the championship after not winning the initial party")</f>
        <v>Argentina Champion World Cup after losing its first fight Team Tango became the fourth team to the championship after not winning the initial party</v>
      </c>
    </row>
    <row r="8265" ht="15.75" customHeight="1">
      <c r="A8265" s="1">
        <v>9485.0</v>
      </c>
      <c r="B8265" s="3" t="s">
        <v>23641</v>
      </c>
      <c r="C8265" s="3">
        <v>0.0</v>
      </c>
      <c r="D8265" s="3">
        <v>0.0</v>
      </c>
      <c r="E8265" s="3">
        <v>1.0</v>
      </c>
      <c r="F8265" s="3" t="s">
        <v>23642</v>
      </c>
      <c r="G8265" s="3">
        <v>0.0</v>
      </c>
      <c r="H8265" s="3">
        <v>0.0</v>
      </c>
      <c r="I8265" s="3" t="s">
        <v>13</v>
      </c>
      <c r="J8265" s="3" t="s">
        <v>23643</v>
      </c>
      <c r="K8265" s="3" t="s">
        <v>15</v>
      </c>
      <c r="L8265" s="3" t="str">
        <f>IFERROR(__xludf.DUMMYFUNCTION("GOOGLETRANSLATE(F8265,""id"",""en"")"),"Argentina Champion Learning Politics Competency from the World Cup Died")</f>
        <v>Argentina Champion Learning Politics Competency from the World Cup Died</v>
      </c>
    </row>
    <row r="8266" ht="15.75" customHeight="1">
      <c r="A8266" s="1">
        <v>9486.0</v>
      </c>
      <c r="B8266" s="3" t="s">
        <v>23644</v>
      </c>
      <c r="C8266" s="3">
        <v>0.0</v>
      </c>
      <c r="D8266" s="3">
        <v>0.0</v>
      </c>
      <c r="E8266" s="3">
        <v>0.0</v>
      </c>
      <c r="F8266" s="3" t="s">
        <v>23645</v>
      </c>
      <c r="G8266" s="3">
        <v>0.3333333333333333</v>
      </c>
      <c r="H8266" s="3">
        <v>0.1666666666666667</v>
      </c>
      <c r="I8266" s="3" t="s">
        <v>48</v>
      </c>
      <c r="J8266" s="3" t="s">
        <v>23646</v>
      </c>
      <c r="K8266" s="3" t="s">
        <v>135</v>
      </c>
      <c r="L8266" s="3" t="str">
        <f>IFERROR(__xludf.DUMMYFUNCTION("GOOGLETRANSLATE(F8266,""id"",""en"")"),"Even though I haven't played Wolves, Rui Patricio is good before the European Cup champion, my friend, I know, Rui Patricio is good when playing Pes among children if Argentine goalkeeper Emiliano Martinez")</f>
        <v>Even though I haven't played Wolves, Rui Patricio is good before the European Cup champion, my friend, I know, Rui Patricio is good when playing Pes among children if Argentine goalkeeper Emiliano Martinez</v>
      </c>
    </row>
    <row r="8267" ht="15.75" customHeight="1">
      <c r="A8267" s="1">
        <v>9487.0</v>
      </c>
      <c r="B8267" s="3" t="s">
        <v>23647</v>
      </c>
      <c r="C8267" s="3">
        <v>0.0</v>
      </c>
      <c r="D8267" s="3">
        <v>0.0</v>
      </c>
      <c r="E8267" s="3">
        <v>0.0</v>
      </c>
      <c r="F8267" s="3" t="s">
        <v>23648</v>
      </c>
      <c r="G8267" s="3">
        <v>0.0</v>
      </c>
      <c r="H8267" s="3">
        <v>0.0</v>
      </c>
      <c r="I8267" s="3" t="s">
        <v>13</v>
      </c>
      <c r="J8267" s="3" t="s">
        <v>23649</v>
      </c>
      <c r="K8267" s="3" t="s">
        <v>1414</v>
      </c>
      <c r="L8267" s="3" t="str">
        <f>IFERROR(__xludf.DUMMYFUNCTION("GOOGLETRANSLATE(F8267,""id"",""en"")"),"Assalamulaikum and Congratulations Prosperous Champion FIFA World Cup Tahniah was spoken to the Argentine soccer troops who had won the most presidential trophy in the world soccer soccer arena this year")</f>
        <v>Assalamulaikum and Congratulations Prosperous Champion FIFA World Cup Tahniah was spoken to the Argentine soccer troops who had won the most presidential trophy in the world soccer soccer arena this year</v>
      </c>
    </row>
    <row r="8268" ht="15.75" customHeight="1">
      <c r="A8268" s="1">
        <v>9488.0</v>
      </c>
      <c r="B8268" s="3" t="s">
        <v>23650</v>
      </c>
      <c r="C8268" s="3">
        <v>1.0</v>
      </c>
      <c r="D8268" s="3">
        <v>0.0</v>
      </c>
      <c r="E8268" s="3">
        <v>1.0</v>
      </c>
      <c r="F8268" s="3" t="s">
        <v>23651</v>
      </c>
      <c r="G8268" s="3">
        <v>0.0</v>
      </c>
      <c r="H8268" s="3">
        <v>0.0</v>
      </c>
      <c r="I8268" s="3" t="s">
        <v>13</v>
      </c>
      <c r="J8268" s="3" t="s">
        <v>23652</v>
      </c>
      <c r="K8268" s="3" t="s">
        <v>1097</v>
      </c>
      <c r="L8268" s="3" t="str">
        <f>IFERROR(__xludf.DUMMYFUNCTION("GOOGLETRANSLATE(F8268,""id"",""en"")"),"The difference is if back Ronaldo Argentina may be Argentina already world champion")</f>
        <v>The difference is if back Ronaldo Argentina may be Argentina already world champion</v>
      </c>
    </row>
    <row r="8269" ht="15.75" customHeight="1">
      <c r="A8269" s="1">
        <v>9489.0</v>
      </c>
      <c r="B8269" s="3" t="s">
        <v>23653</v>
      </c>
      <c r="C8269" s="3">
        <v>0.0</v>
      </c>
      <c r="D8269" s="3">
        <v>0.0</v>
      </c>
      <c r="E8269" s="3">
        <v>1.0</v>
      </c>
      <c r="F8269" s="3" t="s">
        <v>23654</v>
      </c>
      <c r="G8269" s="3">
        <v>0.3</v>
      </c>
      <c r="H8269" s="3">
        <v>1.0</v>
      </c>
      <c r="I8269" s="3" t="s">
        <v>48</v>
      </c>
      <c r="J8269" s="3" t="s">
        <v>23655</v>
      </c>
      <c r="K8269" s="3" t="s">
        <v>15</v>
      </c>
      <c r="L8269" s="3" t="str">
        <f>IFERROR(__xludf.DUMMYFUNCTION("GOOGLETRANSLATE(F8269,""id"",""en"")"),"Hong Kong Prediction Monday December Best Shio Chicken Bbfs")</f>
        <v>Hong Kong Prediction Monday December Best Shio Chicken Bbfs</v>
      </c>
    </row>
    <row r="8270" ht="15.75" customHeight="1">
      <c r="A8270" s="1">
        <v>9490.0</v>
      </c>
      <c r="B8270" s="3" t="s">
        <v>23656</v>
      </c>
      <c r="C8270" s="3">
        <v>0.0</v>
      </c>
      <c r="D8270" s="3">
        <v>0.0</v>
      </c>
      <c r="E8270" s="3">
        <v>1.0</v>
      </c>
      <c r="F8270" s="3" t="s">
        <v>23657</v>
      </c>
      <c r="G8270" s="3">
        <v>0.3</v>
      </c>
      <c r="H8270" s="3">
        <v>1.0</v>
      </c>
      <c r="I8270" s="3" t="s">
        <v>48</v>
      </c>
      <c r="J8270" s="3" t="s">
        <v>23658</v>
      </c>
      <c r="K8270" s="3" t="s">
        <v>2215</v>
      </c>
      <c r="L8270" s="3" t="str">
        <f>IFERROR(__xludf.DUMMYFUNCTION("GOOGLETRANSLATE(F8270,""id"",""en"")"),"The output of Taiwan December Result Chicken Prediction Nusantara Monday December Best Shio Rabbit BBFS")</f>
        <v>The output of Taiwan December Result Chicken Prediction Nusantara Monday December Best Shio Rabbit BBFS</v>
      </c>
    </row>
    <row r="8271" ht="15.75" customHeight="1">
      <c r="A8271" s="1">
        <v>9491.0</v>
      </c>
      <c r="B8271" s="3" t="s">
        <v>23659</v>
      </c>
      <c r="C8271" s="3">
        <v>0.0</v>
      </c>
      <c r="D8271" s="3">
        <v>0.0</v>
      </c>
      <c r="E8271" s="3">
        <v>0.0</v>
      </c>
      <c r="F8271" s="3" t="s">
        <v>23660</v>
      </c>
      <c r="G8271" s="3">
        <v>0.0</v>
      </c>
      <c r="H8271" s="3">
        <v>0.0</v>
      </c>
      <c r="I8271" s="3" t="s">
        <v>13</v>
      </c>
      <c r="J8271" s="3" t="s">
        <v>23661</v>
      </c>
      <c r="K8271" s="3" t="s">
        <v>123</v>
      </c>
      <c r="L8271" s="3" t="str">
        <f>IFERROR(__xludf.DUMMYFUNCTION("GOOGLETRANSLATE(F8271,""id"",""en"")"),"Argentina's FIFA World Cup Champions Argentina came out as World Cup champions after defeating France in the penalty shootout round")</f>
        <v>Argentina's FIFA World Cup Champions Argentina came out as World Cup champions after defeating France in the penalty shootout round</v>
      </c>
    </row>
    <row r="8272" ht="15.75" customHeight="1">
      <c r="A8272" s="1">
        <v>9492.0</v>
      </c>
      <c r="B8272" s="3" t="s">
        <v>23662</v>
      </c>
      <c r="C8272" s="3">
        <v>0.0</v>
      </c>
      <c r="D8272" s="3">
        <v>1.0</v>
      </c>
      <c r="E8272" s="3">
        <v>6.0</v>
      </c>
      <c r="F8272" s="3" t="s">
        <v>23663</v>
      </c>
      <c r="G8272" s="3">
        <v>0.0</v>
      </c>
      <c r="H8272" s="3">
        <v>0.0</v>
      </c>
      <c r="I8272" s="3" t="s">
        <v>13</v>
      </c>
      <c r="J8272" s="3" t="s">
        <v>23664</v>
      </c>
      <c r="K8272" s="3" t="s">
        <v>15</v>
      </c>
      <c r="L8272" s="3" t="str">
        <f>IFERROR(__xludf.DUMMYFUNCTION("GOOGLETRANSLATE(F8272,""id"",""en"")"),"Airlangga Hartarto Argentina's Prediction Waits the Exact HRT Champion")</f>
        <v>Airlangga Hartarto Argentina's Prediction Waits the Exact HRT Champion</v>
      </c>
    </row>
    <row r="8273" ht="15.75" customHeight="1">
      <c r="A8273" s="1">
        <v>9494.0</v>
      </c>
      <c r="B8273" s="3" t="s">
        <v>23665</v>
      </c>
      <c r="C8273" s="3">
        <v>0.0</v>
      </c>
      <c r="D8273" s="3">
        <v>0.0</v>
      </c>
      <c r="E8273" s="3">
        <v>0.0</v>
      </c>
      <c r="F8273" s="3" t="s">
        <v>23666</v>
      </c>
      <c r="G8273" s="3">
        <v>0.0</v>
      </c>
      <c r="H8273" s="3">
        <v>0.0</v>
      </c>
      <c r="I8273" s="3" t="s">
        <v>13</v>
      </c>
      <c r="J8273" s="3" t="s">
        <v>23667</v>
      </c>
      <c r="K8273" s="3" t="s">
        <v>75</v>
      </c>
      <c r="L8273" s="3" t="str">
        <f>IFERROR(__xludf.DUMMYFUNCTION("GOOGLETRANSLATE(F8273,""id"",""en"")"),"Argentina Champion World Cup Instagram account Messi was invaded by Indonesian artists")</f>
        <v>Argentina Champion World Cup Instagram account Messi was invaded by Indonesian artists</v>
      </c>
    </row>
    <row r="8274" ht="15.75" customHeight="1">
      <c r="A8274" s="1">
        <v>9495.0</v>
      </c>
      <c r="B8274" s="3" t="s">
        <v>23668</v>
      </c>
      <c r="C8274" s="3">
        <v>1.0</v>
      </c>
      <c r="D8274" s="3">
        <v>0.0</v>
      </c>
      <c r="E8274" s="3">
        <v>0.0</v>
      </c>
      <c r="F8274" s="3" t="s">
        <v>23669</v>
      </c>
      <c r="G8274" s="3">
        <v>1.0</v>
      </c>
      <c r="H8274" s="3">
        <v>0.0</v>
      </c>
      <c r="I8274" s="3" t="s">
        <v>13</v>
      </c>
      <c r="J8274" s="3" t="s">
        <v>23670</v>
      </c>
      <c r="K8274" s="3" t="s">
        <v>45</v>
      </c>
      <c r="L8274" s="3" t="str">
        <f>IFERROR(__xludf.DUMMYFUNCTION("GOOGLETRANSLATE(F8274,""id"",""en"")"),"The World Cup officially ended hundreds of people who were very enthusiastic about the final euphoria football which was very mesmerizing that Argentina had become a champion and Messi officially set herself as a soccer god with a very sweet career from a"&amp;" very long struggle")</f>
        <v>The World Cup officially ended hundreds of people who were very enthusiastic about the final euphoria football which was very mesmerizing that Argentina had become a champion and Messi officially set herself as a soccer god with a very sweet career from a very long struggle</v>
      </c>
    </row>
    <row r="8275" ht="15.75" customHeight="1">
      <c r="A8275" s="1">
        <v>9496.0</v>
      </c>
      <c r="B8275" s="3" t="s">
        <v>23671</v>
      </c>
      <c r="C8275" s="3">
        <v>0.0</v>
      </c>
      <c r="D8275" s="3">
        <v>0.0</v>
      </c>
      <c r="E8275" s="3">
        <v>0.0</v>
      </c>
      <c r="F8275" s="3" t="s">
        <v>23672</v>
      </c>
      <c r="G8275" s="3">
        <v>0.0</v>
      </c>
      <c r="H8275" s="3">
        <v>0.0</v>
      </c>
      <c r="I8275" s="3" t="s">
        <v>13</v>
      </c>
      <c r="J8275" s="3" t="s">
        <v>23673</v>
      </c>
      <c r="K8275" s="3" t="s">
        <v>633</v>
      </c>
      <c r="L8275" s="3" t="str">
        <f>IFERROR(__xludf.DUMMYFUNCTION("GOOGLETRANSLATE(F8275,""id"",""en"")"),"the last Argentina is the last Argentina champion in the Indonesian National Team Year last lifting the final trophy.")</f>
        <v>the last Argentina is the last Argentina champion in the Indonesian National Team Year last lifting the final trophy.</v>
      </c>
    </row>
    <row r="8276" ht="15.75" customHeight="1">
      <c r="A8276" s="1">
        <v>9497.0</v>
      </c>
      <c r="B8276" s="3" t="s">
        <v>23674</v>
      </c>
      <c r="C8276" s="3">
        <v>1.0</v>
      </c>
      <c r="D8276" s="3">
        <v>0.0</v>
      </c>
      <c r="E8276" s="3">
        <v>2.0</v>
      </c>
      <c r="F8276" s="3" t="s">
        <v>23675</v>
      </c>
      <c r="G8276" s="3">
        <v>0.0</v>
      </c>
      <c r="H8276" s="3">
        <v>0.0</v>
      </c>
      <c r="I8276" s="3" t="s">
        <v>13</v>
      </c>
      <c r="J8276" s="3" t="s">
        <v>23676</v>
      </c>
      <c r="K8276" s="3" t="s">
        <v>35</v>
      </c>
      <c r="L8276" s="3" t="str">
        <f>IFERROR(__xludf.DUMMYFUNCTION("GOOGLETRANSLATE(F8276,""id"",""en"")"),"Argentina needs to be a champion for the pildun first and then Indonesia only needs Ahok")</f>
        <v>Argentina needs to be a champion for the pildun first and then Indonesia only needs Ahok</v>
      </c>
    </row>
    <row r="8277" ht="15.75" customHeight="1">
      <c r="A8277" s="1">
        <v>9498.0</v>
      </c>
      <c r="B8277" s="3" t="s">
        <v>23677</v>
      </c>
      <c r="C8277" s="3">
        <v>3.0</v>
      </c>
      <c r="D8277" s="3">
        <v>0.0</v>
      </c>
      <c r="E8277" s="3">
        <v>5.0</v>
      </c>
      <c r="F8277" s="3" t="s">
        <v>23678</v>
      </c>
      <c r="G8277" s="3">
        <v>0.0</v>
      </c>
      <c r="H8277" s="3">
        <v>0.0</v>
      </c>
      <c r="I8277" s="3" t="s">
        <v>13</v>
      </c>
      <c r="J8277" s="3" t="s">
        <v>23679</v>
      </c>
      <c r="K8277" s="3" t="s">
        <v>82</v>
      </c>
      <c r="L8277" s="3" t="str">
        <f>IFERROR(__xludf.DUMMYFUNCTION("GOOGLETRANSLATE(F8277,""id"",""en"")"),"Anel Mizuki finally won the World Cup Number")</f>
        <v>Anel Mizuki finally won the World Cup Number</v>
      </c>
    </row>
    <row r="8278" ht="15.75" customHeight="1">
      <c r="A8278" s="1">
        <v>9499.0</v>
      </c>
      <c r="B8278" s="3" t="s">
        <v>23680</v>
      </c>
      <c r="C8278" s="3">
        <v>3.0</v>
      </c>
      <c r="D8278" s="3">
        <v>0.0</v>
      </c>
      <c r="E8278" s="3">
        <v>0.0</v>
      </c>
      <c r="F8278" s="3" t="s">
        <v>23681</v>
      </c>
      <c r="G8278" s="3">
        <v>0.0</v>
      </c>
      <c r="H8278" s="3">
        <v>0.0</v>
      </c>
      <c r="I8278" s="3" t="s">
        <v>13</v>
      </c>
      <c r="J8278" s="3" t="s">
        <v>23682</v>
      </c>
      <c r="K8278" s="3" t="s">
        <v>348</v>
      </c>
      <c r="L8278" s="3" t="str">
        <f>IFERROR(__xludf.DUMMYFUNCTION("GOOGLETRANSLATE(F8278,""id"",""en"")"),"Original is indeed blind to the fact that he bro, even though the name was good, used to compare with the Argentine championship squad now the players are not far famous and become a star in a big club")</f>
        <v>Original is indeed blind to the fact that he bro, even though the name was good, used to compare with the Argentine championship squad now the players are not far famous and become a star in a big club</v>
      </c>
    </row>
    <row r="8279" ht="15.75" customHeight="1">
      <c r="A8279" s="1">
        <v>9500.0</v>
      </c>
      <c r="B8279" s="3" t="s">
        <v>23683</v>
      </c>
      <c r="C8279" s="3">
        <v>0.0</v>
      </c>
      <c r="D8279" s="3">
        <v>0.0</v>
      </c>
      <c r="E8279" s="3">
        <v>0.0</v>
      </c>
      <c r="F8279" s="3" t="s">
        <v>23684</v>
      </c>
      <c r="G8279" s="3">
        <v>0.0</v>
      </c>
      <c r="H8279" s="3">
        <v>0.0</v>
      </c>
      <c r="I8279" s="3" t="s">
        <v>13</v>
      </c>
      <c r="J8279" s="3" t="s">
        <v>23685</v>
      </c>
      <c r="K8279" s="3" t="s">
        <v>644</v>
      </c>
      <c r="L8279" s="3" t="str">
        <f>IFERROR(__xludf.DUMMYFUNCTION("GOOGLETRANSLATE(F8279,""id"",""en"")"),"Want SPAM Argentina Champion")</f>
        <v>Want SPAM Argentina Champion</v>
      </c>
    </row>
    <row r="8280" ht="15.75" customHeight="1">
      <c r="A8280" s="1">
        <v>9501.0</v>
      </c>
      <c r="B8280" s="3" t="s">
        <v>23686</v>
      </c>
      <c r="C8280" s="3">
        <v>0.0</v>
      </c>
      <c r="D8280" s="3">
        <v>0.0</v>
      </c>
      <c r="E8280" s="3">
        <v>9.0</v>
      </c>
      <c r="F8280" s="3" t="s">
        <v>23687</v>
      </c>
      <c r="G8280" s="3">
        <v>0.0</v>
      </c>
      <c r="H8280" s="3">
        <v>0.0</v>
      </c>
      <c r="I8280" s="3" t="s">
        <v>13</v>
      </c>
      <c r="J8280" s="3" t="s">
        <v>23688</v>
      </c>
      <c r="K8280" s="3" t="s">
        <v>71</v>
      </c>
      <c r="L8280" s="3" t="str">
        <f>IFERROR(__xludf.DUMMYFUNCTION("GOOGLETRANSLATE(F8280,""id"",""en"")"),"Argentine national team champion World Cup Tango Team also flooded congratulations from various circles including from MotoGP")</f>
        <v>Argentine national team champion World Cup Tango Team also flooded congratulations from various circles including from MotoGP</v>
      </c>
    </row>
    <row r="8281" ht="15.75" customHeight="1">
      <c r="A8281" s="1">
        <v>9502.0</v>
      </c>
      <c r="B8281" s="3" t="s">
        <v>23689</v>
      </c>
      <c r="C8281" s="3">
        <v>0.0</v>
      </c>
      <c r="D8281" s="3">
        <v>0.0</v>
      </c>
      <c r="E8281" s="3">
        <v>0.0</v>
      </c>
      <c r="F8281" s="3" t="s">
        <v>23690</v>
      </c>
      <c r="G8281" s="3">
        <v>0.3333333333333333</v>
      </c>
      <c r="H8281" s="3">
        <v>0.1666666666666667</v>
      </c>
      <c r="I8281" s="3" t="s">
        <v>48</v>
      </c>
      <c r="J8281" s="3" t="s">
        <v>23691</v>
      </c>
      <c r="K8281" s="3" t="s">
        <v>456</v>
      </c>
      <c r="L8281" s="3" t="str">
        <f>IFERROR(__xludf.DUMMYFUNCTION("GOOGLETRANSLATE(F8281,""id"",""en"")"),"not, please claim what is true that Pablo Aimar is playing JDT, the picture is also using JDT's scary, we are proud of because the knowledge he can be close to JDT so he has a truniated Argentina to become the World Cup champion")</f>
        <v>not, please claim what is true that Pablo Aimar is playing JDT, the picture is also using JDT's scary, we are proud of because the knowledge he can be close to JDT so he has a truniated Argentina to become the World Cup champion</v>
      </c>
    </row>
    <row r="8282" ht="15.75" customHeight="1">
      <c r="A8282" s="1">
        <v>9503.0</v>
      </c>
      <c r="B8282" s="3" t="s">
        <v>23692</v>
      </c>
      <c r="C8282" s="3">
        <v>0.0</v>
      </c>
      <c r="D8282" s="3">
        <v>0.0</v>
      </c>
      <c r="E8282" s="3">
        <v>0.0</v>
      </c>
      <c r="F8282" s="3" t="s">
        <v>23693</v>
      </c>
      <c r="G8282" s="3">
        <v>0.0</v>
      </c>
      <c r="H8282" s="3">
        <v>0.0</v>
      </c>
      <c r="I8282" s="3" t="s">
        <v>13</v>
      </c>
      <c r="J8282" s="3" t="s">
        <v>23694</v>
      </c>
      <c r="K8282" s="3" t="s">
        <v>50</v>
      </c>
      <c r="L8282" s="3" t="str">
        <f>IFERROR(__xludf.DUMMYFUNCTION("GOOGLETRANSLATE(F8282,""id"",""en"")"),"Argentina Saudi Arabian World Cup champions joined the proud spraying of CNN Indonesia")</f>
        <v>Argentina Saudi Arabian World Cup champions joined the proud spraying of CNN Indonesia</v>
      </c>
    </row>
    <row r="8283" ht="15.75" customHeight="1">
      <c r="A8283" s="1">
        <v>9504.0</v>
      </c>
      <c r="B8283" s="3" t="s">
        <v>23695</v>
      </c>
      <c r="C8283" s="3">
        <v>0.0</v>
      </c>
      <c r="D8283" s="3">
        <v>0.0</v>
      </c>
      <c r="E8283" s="3">
        <v>0.0</v>
      </c>
      <c r="F8283" s="3" t="s">
        <v>23696</v>
      </c>
      <c r="G8283" s="3">
        <v>0.0</v>
      </c>
      <c r="H8283" s="3">
        <v>0.0</v>
      </c>
      <c r="I8283" s="3" t="s">
        <v>13</v>
      </c>
      <c r="J8283" s="3" t="s">
        <v>23697</v>
      </c>
      <c r="K8283" s="3" t="s">
        <v>942</v>
      </c>
      <c r="L8283" s="3" t="str">
        <f>IFERROR(__xludf.DUMMYFUNCTION("GOOGLETRANSLATE(F8283,""id"",""en"")"),"Only the era of Mr. Jokowi Argentina can win the Copa and World Cup Thank you Mr. Jokowi")</f>
        <v>Only the era of Mr. Jokowi Argentina can win the Copa and World Cup Thank you Mr. Jokowi</v>
      </c>
    </row>
    <row r="8284" ht="15.75" customHeight="1">
      <c r="A8284" s="1">
        <v>9505.0</v>
      </c>
      <c r="B8284" s="3" t="s">
        <v>23698</v>
      </c>
      <c r="C8284" s="3">
        <v>0.0</v>
      </c>
      <c r="D8284" s="3">
        <v>0.0</v>
      </c>
      <c r="E8284" s="3">
        <v>0.0</v>
      </c>
      <c r="F8284" s="3" t="s">
        <v>23699</v>
      </c>
      <c r="G8284" s="3">
        <v>0.0</v>
      </c>
      <c r="H8284" s="3">
        <v>0.0</v>
      </c>
      <c r="I8284" s="3" t="s">
        <v>13</v>
      </c>
      <c r="J8284" s="3" t="s">
        <v>23700</v>
      </c>
      <c r="K8284" s="3" t="s">
        <v>50</v>
      </c>
      <c r="L8284" s="3" t="str">
        <f>IFERROR(__xludf.DUMMYFUNCTION("GOOGLETRANSLATE(F8284,""id"",""en"")"),"Not Maradona who became the hero of Argentina this first soccer world champion he was the person")</f>
        <v>Not Maradona who became the hero of Argentina this first soccer world champion he was the person</v>
      </c>
    </row>
    <row r="8285" ht="15.75" customHeight="1">
      <c r="A8285" s="1">
        <v>9506.0</v>
      </c>
      <c r="B8285" s="3" t="s">
        <v>23701</v>
      </c>
      <c r="C8285" s="3">
        <v>0.0</v>
      </c>
      <c r="D8285" s="3">
        <v>0.0</v>
      </c>
      <c r="E8285" s="3">
        <v>0.0</v>
      </c>
      <c r="F8285" s="3" t="s">
        <v>23702</v>
      </c>
      <c r="G8285" s="3">
        <v>0.0</v>
      </c>
      <c r="H8285" s="3">
        <v>0.0</v>
      </c>
      <c r="I8285" s="3" t="s">
        <v>13</v>
      </c>
      <c r="J8285" s="3" t="s">
        <v>23703</v>
      </c>
      <c r="K8285" s="3" t="s">
        <v>205</v>
      </c>
      <c r="L8285" s="3" t="str">
        <f>IFERROR(__xludf.DUMMYFUNCTION("GOOGLETRANSLATE(F8285,""id"",""en"")"),"Messi Champion Copa World Champion has become a trust because he is the Argentine team whose composition of the players is much better but the Euro champion with Portugal is who is the crazy Ronaldo crazy")</f>
        <v>Messi Champion Copa World Champion has become a trust because he is the Argentine team whose composition of the players is much better but the Euro champion with Portugal is who is the crazy Ronaldo crazy</v>
      </c>
    </row>
    <row r="8286" ht="15.75" customHeight="1">
      <c r="A8286" s="1">
        <v>9507.0</v>
      </c>
      <c r="B8286" s="3" t="s">
        <v>23704</v>
      </c>
      <c r="C8286" s="3">
        <v>2.0</v>
      </c>
      <c r="D8286" s="3">
        <v>1.0</v>
      </c>
      <c r="E8286" s="3">
        <v>2.0</v>
      </c>
      <c r="F8286" s="3" t="s">
        <v>23705</v>
      </c>
      <c r="G8286" s="3">
        <v>0.0</v>
      </c>
      <c r="H8286" s="3">
        <v>0.0</v>
      </c>
      <c r="I8286" s="3" t="s">
        <v>13</v>
      </c>
      <c r="J8286" s="3" t="s">
        <v>23706</v>
      </c>
      <c r="K8286" s="3" t="s">
        <v>657</v>
      </c>
      <c r="L8286" s="3" t="str">
        <f>IFERROR(__xludf.DUMMYFUNCTION("GOOGLETRANSLATE(F8286,""id"",""en"")"),"Thank you all those who have been present to enliven we also congratulate Argentina who came out as the world soccer party champion")</f>
        <v>Thank you all those who have been present to enliven we also congratulate Argentina who came out as the world soccer party champion</v>
      </c>
    </row>
    <row r="8287" ht="15.75" customHeight="1">
      <c r="A8287" s="1">
        <v>9508.0</v>
      </c>
      <c r="B8287" s="3" t="s">
        <v>23707</v>
      </c>
      <c r="C8287" s="3">
        <v>0.0</v>
      </c>
      <c r="D8287" s="3">
        <v>0.0</v>
      </c>
      <c r="E8287" s="3">
        <v>0.0</v>
      </c>
      <c r="F8287" s="3" t="s">
        <v>23708</v>
      </c>
      <c r="G8287" s="3">
        <v>0.0</v>
      </c>
      <c r="H8287" s="3">
        <v>0.0</v>
      </c>
      <c r="I8287" s="3" t="s">
        <v>13</v>
      </c>
      <c r="J8287" s="3" t="s">
        <v>23709</v>
      </c>
      <c r="K8287" s="3" t="s">
        <v>644</v>
      </c>
      <c r="L8287" s="3" t="str">
        <f>IFERROR(__xludf.DUMMYFUNCTION("GOOGLETRANSLATE(F8287,""id"",""en"")"),"Argentina World Champion Congratulations")</f>
        <v>Argentina World Champion Congratulations</v>
      </c>
    </row>
    <row r="8288" ht="15.75" customHeight="1">
      <c r="A8288" s="1">
        <v>9509.0</v>
      </c>
      <c r="B8288" s="3" t="s">
        <v>23710</v>
      </c>
      <c r="C8288" s="3">
        <v>0.0</v>
      </c>
      <c r="D8288" s="3">
        <v>0.0</v>
      </c>
      <c r="E8288" s="3">
        <v>0.0</v>
      </c>
      <c r="F8288" s="3" t="s">
        <v>23711</v>
      </c>
      <c r="G8288" s="3">
        <v>0.0</v>
      </c>
      <c r="H8288" s="3">
        <v>0.0</v>
      </c>
      <c r="I8288" s="3" t="s">
        <v>13</v>
      </c>
      <c r="J8288" s="3" t="s">
        <v>23712</v>
      </c>
      <c r="K8288" s="3" t="s">
        <v>19</v>
      </c>
      <c r="L8288" s="3" t="str">
        <f>IFERROR(__xludf.DUMMYFUNCTION("GOOGLETRANSLATE(F8288,""id"",""en"")"),"hahah really should be Saudi Arabia champions when Argentina is losing to him")</f>
        <v>hahah really should be Saudi Arabia champions when Argentina is losing to him</v>
      </c>
    </row>
    <row r="8289" ht="15.75" customHeight="1">
      <c r="A8289" s="1">
        <v>9510.0</v>
      </c>
      <c r="B8289" s="3" t="s">
        <v>23713</v>
      </c>
      <c r="C8289" s="3">
        <v>0.0</v>
      </c>
      <c r="D8289" s="3">
        <v>0.0</v>
      </c>
      <c r="E8289" s="3">
        <v>0.0</v>
      </c>
      <c r="F8289" s="3" t="s">
        <v>23714</v>
      </c>
      <c r="G8289" s="3">
        <v>0.0</v>
      </c>
      <c r="H8289" s="3">
        <v>0.0</v>
      </c>
      <c r="I8289" s="3" t="s">
        <v>13</v>
      </c>
      <c r="J8289" s="3" t="s">
        <v>23715</v>
      </c>
      <c r="K8289" s="3" t="s">
        <v>240</v>
      </c>
      <c r="L8289" s="3" t="str">
        <f>IFERROR(__xludf.DUMMYFUNCTION("GOOGLETRANSLATE(F8289,""id"",""en"")"),"Look at Noh Argentina, all begins with making the Arab citizens happy, the rest is facilitated until they are the championship maasyaallah")</f>
        <v>Look at Noh Argentina, all begins with making the Arab citizens happy, the rest is facilitated until they are the championship maasyaallah</v>
      </c>
    </row>
    <row r="8290" ht="15.75" customHeight="1">
      <c r="A8290" s="1">
        <v>9511.0</v>
      </c>
      <c r="B8290" s="3" t="s">
        <v>23716</v>
      </c>
      <c r="C8290" s="3">
        <v>0.0</v>
      </c>
      <c r="D8290" s="3">
        <v>0.0</v>
      </c>
      <c r="E8290" s="3">
        <v>0.0</v>
      </c>
      <c r="F8290" s="3" t="s">
        <v>23717</v>
      </c>
      <c r="G8290" s="3">
        <v>0.0</v>
      </c>
      <c r="H8290" s="3">
        <v>0.0</v>
      </c>
      <c r="I8290" s="3" t="s">
        <v>13</v>
      </c>
      <c r="J8290" s="3" t="s">
        <v>23718</v>
      </c>
      <c r="K8290" s="3" t="s">
        <v>15662</v>
      </c>
      <c r="L8290" s="3" t="str">
        <f>IFERROR(__xludf.DUMMYFUNCTION("GOOGLETRANSLATE(F8290,""id"",""en"")"),"Before there was the last Messi Argentina World Cup champion Bro, the last Copa America champion even though the new generation was different last year Argentina Copa America champion Champion Finalalism")</f>
        <v>Before there was the last Messi Argentina World Cup champion Bro, the last Copa America champion even though the new generation was different last year Argentina Copa America champion Champion Finalalism</v>
      </c>
    </row>
    <row r="8291" ht="15.75" customHeight="1">
      <c r="A8291" s="1">
        <v>9512.0</v>
      </c>
      <c r="B8291" s="3" t="s">
        <v>23719</v>
      </c>
      <c r="C8291" s="3">
        <v>0.0</v>
      </c>
      <c r="D8291" s="3">
        <v>0.0</v>
      </c>
      <c r="E8291" s="3">
        <v>1.0</v>
      </c>
      <c r="F8291" s="3" t="s">
        <v>23720</v>
      </c>
      <c r="G8291" s="3">
        <v>1.0</v>
      </c>
      <c r="H8291" s="3">
        <v>0.0</v>
      </c>
      <c r="I8291" s="3" t="s">
        <v>13</v>
      </c>
      <c r="J8291" s="3" t="s">
        <v>23721</v>
      </c>
      <c r="K8291" s="3" t="s">
        <v>1887</v>
      </c>
      <c r="L8291" s="3" t="str">
        <f>IFERROR(__xludf.DUMMYFUNCTION("GOOGLETRANSLATE(F8291,""id"",""en"")"),"The World Cup Final match between Argentina and defending champion France Qatar received serious attention from the football fans of the Village Head Regent so that the people used to watch together it also had an impact on UMKM business people")</f>
        <v>The World Cup Final match between Argentina and defending champion France Qatar received serious attention from the football fans of the Village Head Regent so that the people used to watch together it also had an impact on UMKM business people</v>
      </c>
    </row>
    <row r="8292" ht="15.75" customHeight="1">
      <c r="A8292" s="1">
        <v>9513.0</v>
      </c>
      <c r="B8292" s="3" t="s">
        <v>23722</v>
      </c>
      <c r="C8292" s="3">
        <v>0.0</v>
      </c>
      <c r="D8292" s="3">
        <v>0.0</v>
      </c>
      <c r="E8292" s="3">
        <v>0.0</v>
      </c>
      <c r="F8292" s="3" t="s">
        <v>23723</v>
      </c>
      <c r="G8292" s="3">
        <v>0.0</v>
      </c>
      <c r="H8292" s="3">
        <v>0.0</v>
      </c>
      <c r="I8292" s="3" t="s">
        <v>13</v>
      </c>
      <c r="J8292" s="3" t="s">
        <v>23724</v>
      </c>
      <c r="K8292" s="3" t="s">
        <v>184</v>
      </c>
      <c r="L8292" s="3" t="str">
        <f>IFERROR(__xludf.DUMMYFUNCTION("GOOGLETRANSLATE(F8292,""id"",""en"")"),"Didier Deschamps failed to bring France World Cup champions after being defeated by Argentina the top party then how the future of Deschamps")</f>
        <v>Didier Deschamps failed to bring France World Cup champions after being defeated by Argentina the top party then how the future of Deschamps</v>
      </c>
    </row>
    <row r="8293" ht="15.75" customHeight="1">
      <c r="A8293" s="1">
        <v>9514.0</v>
      </c>
      <c r="B8293" s="3" t="s">
        <v>23725</v>
      </c>
      <c r="C8293" s="3">
        <v>0.0</v>
      </c>
      <c r="D8293" s="3">
        <v>0.0</v>
      </c>
      <c r="E8293" s="3">
        <v>0.0</v>
      </c>
      <c r="F8293" s="3" t="s">
        <v>23726</v>
      </c>
      <c r="G8293" s="3">
        <v>0.0</v>
      </c>
      <c r="H8293" s="3">
        <v>0.0</v>
      </c>
      <c r="I8293" s="3" t="s">
        <v>13</v>
      </c>
      <c r="J8293" s="3" t="s">
        <v>23727</v>
      </c>
      <c r="K8293" s="3" t="s">
        <v>19</v>
      </c>
      <c r="L8293" s="3" t="str">
        <f>IFERROR(__xludf.DUMMYFUNCTION("GOOGLETRANSLATE(F8293,""id"",""en"")"),"Lionel Messi wore a black robe in the Argentine celebration as the World Cup champion what he meant")</f>
        <v>Lionel Messi wore a black robe in the Argentine celebration as the World Cup champion what he meant</v>
      </c>
    </row>
    <row r="8294" ht="15.75" customHeight="1">
      <c r="A8294" s="1">
        <v>9515.0</v>
      </c>
      <c r="B8294" s="3" t="s">
        <v>23728</v>
      </c>
      <c r="C8294" s="3">
        <v>0.0</v>
      </c>
      <c r="D8294" s="3">
        <v>0.0</v>
      </c>
      <c r="E8294" s="3">
        <v>0.0</v>
      </c>
      <c r="F8294" s="3" t="s">
        <v>23729</v>
      </c>
      <c r="G8294" s="3">
        <v>0.0</v>
      </c>
      <c r="H8294" s="3">
        <v>0.0</v>
      </c>
      <c r="I8294" s="3" t="s">
        <v>13</v>
      </c>
      <c r="J8294" s="3" t="s">
        <v>23730</v>
      </c>
      <c r="K8294" s="3" t="s">
        <v>1097</v>
      </c>
      <c r="L8294" s="3" t="str">
        <f>IFERROR(__xludf.DUMMYFUNCTION("GOOGLETRANSLATE(F8294,""id"",""en"")"),"strange netizens are Argentina champions say the settings if you lose, maki hmmmm")</f>
        <v>strange netizens are Argentina champions say the settings if you lose, maki hmmmm</v>
      </c>
    </row>
    <row r="8295" ht="15.75" customHeight="1">
      <c r="A8295" s="1">
        <v>9516.0</v>
      </c>
      <c r="B8295" s="3" t="s">
        <v>23731</v>
      </c>
      <c r="C8295" s="3">
        <v>0.0</v>
      </c>
      <c r="D8295" s="3">
        <v>0.0</v>
      </c>
      <c r="E8295" s="3">
        <v>0.0</v>
      </c>
      <c r="F8295" s="3" t="s">
        <v>23732</v>
      </c>
      <c r="G8295" s="3">
        <v>0.0</v>
      </c>
      <c r="H8295" s="3">
        <v>0.0</v>
      </c>
      <c r="I8295" s="3" t="s">
        <v>13</v>
      </c>
      <c r="J8295" s="3" t="s">
        <v>23733</v>
      </c>
      <c r="K8295" s="3" t="s">
        <v>82</v>
      </c>
      <c r="L8295" s="3" t="str">
        <f>IFERROR(__xludf.DUMMYFUNCTION("GOOGLETRANSLATE(F8295,""id"",""en"")"),"the one who won Argentina TPI Fyp AINK MBAPPE wkwkwk")</f>
        <v>the one who won Argentina TPI Fyp AINK MBAPPE wkwkwk</v>
      </c>
    </row>
    <row r="8296" ht="15.75" customHeight="1">
      <c r="A8296" s="1">
        <v>9517.0</v>
      </c>
      <c r="B8296" s="3" t="s">
        <v>23734</v>
      </c>
      <c r="C8296" s="3">
        <v>4.0</v>
      </c>
      <c r="D8296" s="3">
        <v>4.0</v>
      </c>
      <c r="E8296" s="3">
        <v>37.0</v>
      </c>
      <c r="F8296" s="3" t="s">
        <v>23735</v>
      </c>
      <c r="G8296" s="3">
        <v>0.0</v>
      </c>
      <c r="H8296" s="3">
        <v>0.0</v>
      </c>
      <c r="I8296" s="3" t="s">
        <v>13</v>
      </c>
      <c r="J8296" s="3" t="s">
        <v>23736</v>
      </c>
      <c r="K8296" s="3" t="s">
        <v>31</v>
      </c>
      <c r="L8296" s="3" t="str">
        <f>IFERROR(__xludf.DUMMYFUNCTION("GOOGLETRANSLATE(F8296,""id"",""en"")"),"Argentina Champion Don't Forget to Choose Us")</f>
        <v>Argentina Champion Don't Forget to Choose Us</v>
      </c>
    </row>
    <row r="8297" ht="15.75" customHeight="1">
      <c r="A8297" s="1">
        <v>9518.0</v>
      </c>
      <c r="B8297" s="3" t="s">
        <v>23737</v>
      </c>
      <c r="C8297" s="3">
        <v>0.0</v>
      </c>
      <c r="D8297" s="3">
        <v>0.0</v>
      </c>
      <c r="E8297" s="3">
        <v>0.0</v>
      </c>
      <c r="F8297" s="3" t="s">
        <v>23723</v>
      </c>
      <c r="G8297" s="3">
        <v>0.0</v>
      </c>
      <c r="H8297" s="3">
        <v>0.0</v>
      </c>
      <c r="I8297" s="3" t="s">
        <v>13</v>
      </c>
      <c r="J8297" s="3" t="s">
        <v>23724</v>
      </c>
      <c r="K8297" s="3" t="s">
        <v>184</v>
      </c>
      <c r="L8297" s="3" t="str">
        <f>IFERROR(__xludf.DUMMYFUNCTION("GOOGLETRANSLATE(F8297,""id"",""en"")"),"Didier Deschamps failed to bring France World Cup champions after being defeated by Argentina the top party then how the future of Deschamps")</f>
        <v>Didier Deschamps failed to bring France World Cup champions after being defeated by Argentina the top party then how the future of Deschamps</v>
      </c>
    </row>
    <row r="8298" ht="15.75" customHeight="1">
      <c r="A8298" s="1">
        <v>9519.0</v>
      </c>
      <c r="B8298" s="3" t="s">
        <v>23738</v>
      </c>
      <c r="C8298" s="3">
        <v>0.0</v>
      </c>
      <c r="D8298" s="3">
        <v>0.0</v>
      </c>
      <c r="E8298" s="3">
        <v>2.0</v>
      </c>
      <c r="F8298" s="3" t="s">
        <v>23739</v>
      </c>
      <c r="G8298" s="3">
        <v>0.0</v>
      </c>
      <c r="H8298" s="3">
        <v>0.0</v>
      </c>
      <c r="I8298" s="3" t="s">
        <v>13</v>
      </c>
      <c r="J8298" s="3" t="s">
        <v>23740</v>
      </c>
      <c r="K8298" s="3" t="s">
        <v>433</v>
      </c>
      <c r="L8298" s="3" t="str">
        <f>IFERROR(__xludf.DUMMYFUNCTION("GOOGLETRANSLATE(F8298,""id"",""en"")"),"I'm a fan of Ronaldo and Messi's fans too, but why do you still have a lot of Argentina champion, even though according to the two two, I really goat")</f>
        <v>I'm a fan of Ronaldo and Messi's fans too, but why do you still have a lot of Argentina champion, even though according to the two two, I really goat</v>
      </c>
    </row>
    <row r="8299" ht="15.75" customHeight="1">
      <c r="A8299" s="1">
        <v>9520.0</v>
      </c>
      <c r="B8299" s="3" t="s">
        <v>23741</v>
      </c>
      <c r="C8299" s="3">
        <v>0.0</v>
      </c>
      <c r="D8299" s="3">
        <v>0.0</v>
      </c>
      <c r="E8299" s="3">
        <v>1.0</v>
      </c>
      <c r="F8299" s="3" t="s">
        <v>23742</v>
      </c>
      <c r="G8299" s="3">
        <v>0.0</v>
      </c>
      <c r="H8299" s="3">
        <v>0.0</v>
      </c>
      <c r="I8299" s="3" t="s">
        <v>13</v>
      </c>
      <c r="J8299" s="3" t="s">
        <v>23743</v>
      </c>
      <c r="K8299" s="3" t="s">
        <v>633</v>
      </c>
      <c r="L8299" s="3" t="str">
        <f>IFERROR(__xludf.DUMMYFUNCTION("GOOGLETRANSLATE(F8299,""id"",""en"")"),"Remember this, Messi can lift the World Cup trophie since leaving Barcelona, ​​the death of Maradona, two of this entities, this is the cause of Argentina to be difficult to win from even though there is Messi")</f>
        <v>Remember this, Messi can lift the World Cup trophie since leaving Barcelona, ​​the death of Maradona, two of this entities, this is the cause of Argentina to be difficult to win from even though there is Messi</v>
      </c>
    </row>
    <row r="8300" ht="15.75" customHeight="1">
      <c r="A8300" s="1">
        <v>9521.0</v>
      </c>
      <c r="B8300" s="3" t="s">
        <v>23744</v>
      </c>
      <c r="C8300" s="3">
        <v>0.0</v>
      </c>
      <c r="D8300" s="3">
        <v>0.0</v>
      </c>
      <c r="E8300" s="3">
        <v>0.0</v>
      </c>
      <c r="F8300" s="3" t="s">
        <v>23745</v>
      </c>
      <c r="G8300" s="3">
        <v>0.0</v>
      </c>
      <c r="H8300" s="3">
        <v>0.0</v>
      </c>
      <c r="I8300" s="3" t="s">
        <v>13</v>
      </c>
      <c r="J8300" s="3" t="s">
        <v>23746</v>
      </c>
      <c r="K8300" s="3" t="s">
        <v>75</v>
      </c>
      <c r="L8300" s="3" t="str">
        <f>IFERROR(__xludf.DUMMYFUNCTION("GOOGLETRANSLATE(F8300,""id"",""en"")"),"Argentina Champion World Cup Messi Main Key End of Goat Debate")</f>
        <v>Argentina Champion World Cup Messi Main Key End of Goat Debate</v>
      </c>
    </row>
    <row r="8301" ht="15.75" customHeight="1">
      <c r="A8301" s="1">
        <v>9522.0</v>
      </c>
      <c r="B8301" s="3" t="s">
        <v>23747</v>
      </c>
      <c r="C8301" s="3">
        <v>0.0</v>
      </c>
      <c r="D8301" s="3">
        <v>0.0</v>
      </c>
      <c r="E8301" s="3">
        <v>0.0</v>
      </c>
      <c r="F8301" s="3" t="s">
        <v>20542</v>
      </c>
      <c r="G8301" s="3">
        <v>0.0</v>
      </c>
      <c r="H8301" s="3">
        <v>0.0</v>
      </c>
      <c r="I8301" s="3" t="s">
        <v>13</v>
      </c>
      <c r="J8301" s="3" t="s">
        <v>20543</v>
      </c>
      <c r="K8301" s="3" t="s">
        <v>2117</v>
      </c>
      <c r="L8301" s="3" t="str">
        <f>IFERROR(__xludf.DUMMYFUNCTION("GOOGLETRANSLATE(F8301,""id"",""en"")"),"Argentina World Champion")</f>
        <v>Argentina World Champion</v>
      </c>
    </row>
    <row r="8302" ht="15.75" customHeight="1">
      <c r="A8302" s="1">
        <v>9523.0</v>
      </c>
      <c r="B8302" s="3" t="s">
        <v>23748</v>
      </c>
      <c r="C8302" s="3">
        <v>0.0</v>
      </c>
      <c r="D8302" s="3">
        <v>0.0</v>
      </c>
      <c r="E8302" s="3">
        <v>0.0</v>
      </c>
      <c r="F8302" s="3" t="s">
        <v>23749</v>
      </c>
      <c r="G8302" s="3">
        <v>0.0</v>
      </c>
      <c r="H8302" s="3">
        <v>0.0</v>
      </c>
      <c r="I8302" s="3" t="s">
        <v>13</v>
      </c>
      <c r="J8302" s="3" t="s">
        <v>23750</v>
      </c>
      <c r="K8302" s="3" t="s">
        <v>23</v>
      </c>
      <c r="L8302" s="3" t="str">
        <f>IFERROR(__xludf.DUMMYFUNCTION("GOOGLETRANSLATE(F8302,""id"",""en"")"),"Surely many supporters blaspheme and curse so they cannot get the World Cup and what happened Argentina where his opponent became the champion so sorry a thousand sorry you have lost his supporters")</f>
        <v>Surely many supporters blaspheme and curse so they cannot get the World Cup and what happened Argentina where his opponent became the champion so sorry a thousand sorry you have lost his supporters</v>
      </c>
    </row>
    <row r="8303" ht="15.75" customHeight="1">
      <c r="A8303" s="1">
        <v>9524.0</v>
      </c>
      <c r="B8303" s="3" t="s">
        <v>23751</v>
      </c>
      <c r="C8303" s="3">
        <v>0.0</v>
      </c>
      <c r="D8303" s="3">
        <v>0.0</v>
      </c>
      <c r="E8303" s="3">
        <v>0.0</v>
      </c>
      <c r="F8303" s="3" t="s">
        <v>23752</v>
      </c>
      <c r="G8303" s="3">
        <v>0.6</v>
      </c>
      <c r="H8303" s="3">
        <v>-0.3</v>
      </c>
      <c r="I8303" s="3" t="s">
        <v>179</v>
      </c>
      <c r="J8303" s="3" t="s">
        <v>23753</v>
      </c>
      <c r="K8303" s="3" t="s">
        <v>75</v>
      </c>
      <c r="L8303" s="3" t="str">
        <f>IFERROR(__xludf.DUMMYFUNCTION("GOOGLETRANSLATE(F8303,""id"",""en"")"),"Duh Drake lost a billion world cup betting despite Argentina champions")</f>
        <v>Duh Drake lost a billion world cup betting despite Argentina champions</v>
      </c>
    </row>
    <row r="8304" ht="15.75" customHeight="1">
      <c r="A8304" s="1">
        <v>9526.0</v>
      </c>
      <c r="B8304" s="3" t="s">
        <v>23754</v>
      </c>
      <c r="C8304" s="3">
        <v>0.0</v>
      </c>
      <c r="D8304" s="3">
        <v>0.0</v>
      </c>
      <c r="E8304" s="3">
        <v>0.0</v>
      </c>
      <c r="F8304" s="3" t="s">
        <v>23755</v>
      </c>
      <c r="G8304" s="3">
        <v>0.0</v>
      </c>
      <c r="H8304" s="3">
        <v>0.0</v>
      </c>
      <c r="I8304" s="3" t="s">
        <v>13</v>
      </c>
      <c r="J8304" s="3" t="s">
        <v>23756</v>
      </c>
      <c r="K8304" s="3" t="s">
        <v>510</v>
      </c>
      <c r="L8304" s="3" t="str">
        <f>IFERROR(__xludf.DUMMYFUNCTION("GOOGLETRANSLATE(F8304,""id"",""en"")"),"Pele congratulates Argentina and Messi after becoming the World Cup champion Diego must smile now")</f>
        <v>Pele congratulates Argentina and Messi after becoming the World Cup champion Diego must smile now</v>
      </c>
    </row>
    <row r="8305" ht="15.75" customHeight="1">
      <c r="A8305" s="1">
        <v>9527.0</v>
      </c>
      <c r="B8305" s="3" t="s">
        <v>23757</v>
      </c>
      <c r="C8305" s="3">
        <v>0.0</v>
      </c>
      <c r="D8305" s="3">
        <v>0.0</v>
      </c>
      <c r="E8305" s="3">
        <v>0.0</v>
      </c>
      <c r="F8305" s="3" t="s">
        <v>23752</v>
      </c>
      <c r="G8305" s="3">
        <v>0.6</v>
      </c>
      <c r="H8305" s="3">
        <v>-0.3</v>
      </c>
      <c r="I8305" s="3" t="s">
        <v>179</v>
      </c>
      <c r="J8305" s="3" t="s">
        <v>23753</v>
      </c>
      <c r="K8305" s="3" t="s">
        <v>75</v>
      </c>
      <c r="L8305" s="3" t="str">
        <f>IFERROR(__xludf.DUMMYFUNCTION("GOOGLETRANSLATE(F8305,""id"",""en"")"),"Duh Drake lost a billion world cup betting despite Argentina champions")</f>
        <v>Duh Drake lost a billion world cup betting despite Argentina champions</v>
      </c>
    </row>
    <row r="8306" ht="15.75" customHeight="1">
      <c r="A8306" s="1">
        <v>9528.0</v>
      </c>
      <c r="B8306" s="3" t="s">
        <v>23758</v>
      </c>
      <c r="C8306" s="3">
        <v>0.0</v>
      </c>
      <c r="D8306" s="3">
        <v>4.0</v>
      </c>
      <c r="E8306" s="3">
        <v>0.0</v>
      </c>
      <c r="F8306" s="3" t="s">
        <v>23759</v>
      </c>
      <c r="G8306" s="3">
        <v>0.0</v>
      </c>
      <c r="H8306" s="3">
        <v>0.0</v>
      </c>
      <c r="I8306" s="3" t="s">
        <v>13</v>
      </c>
      <c r="J8306" s="3" t="s">
        <v>23760</v>
      </c>
      <c r="K8306" s="3" t="s">
        <v>41</v>
      </c>
      <c r="L8306" s="3" t="str">
        <f>IFERROR(__xludf.DUMMYFUNCTION("GOOGLETRANSLATE(F8306,""id"",""en"")"),"Ronaldo is happy Lionel Messi and Argentina World Cup champions")</f>
        <v>Ronaldo is happy Lionel Messi and Argentina World Cup champions</v>
      </c>
    </row>
    <row r="8307" ht="15.75" customHeight="1">
      <c r="A8307" s="1">
        <v>9529.0</v>
      </c>
      <c r="B8307" s="3" t="s">
        <v>23761</v>
      </c>
      <c r="C8307" s="3">
        <v>0.0</v>
      </c>
      <c r="D8307" s="3">
        <v>0.0</v>
      </c>
      <c r="E8307" s="3">
        <v>0.0</v>
      </c>
      <c r="F8307" s="3" t="s">
        <v>23762</v>
      </c>
      <c r="G8307" s="3">
        <v>1.0</v>
      </c>
      <c r="H8307" s="3">
        <v>-0.25</v>
      </c>
      <c r="I8307" s="3" t="s">
        <v>179</v>
      </c>
      <c r="J8307" s="3" t="s">
        <v>23763</v>
      </c>
      <c r="K8307" s="3" t="s">
        <v>449</v>
      </c>
      <c r="L8307" s="3" t="str">
        <f>IFERROR(__xludf.DUMMYFUNCTION("GOOGLETRANSLATE(F8307,""id"",""en"")"),"This morning I woke up immediately remembering that Argentina last night managed to become the World Cup Auto Ngawang champion, the body while out of tears a little unbelievable")</f>
        <v>This morning I woke up immediately remembering that Argentina last night managed to become the World Cup Auto Ngawang champion, the body while out of tears a little unbelievable</v>
      </c>
    </row>
    <row r="8308" ht="15.75" customHeight="1">
      <c r="A8308" s="1">
        <v>9530.0</v>
      </c>
      <c r="B8308" s="3" t="s">
        <v>23764</v>
      </c>
      <c r="C8308" s="3">
        <v>0.0</v>
      </c>
      <c r="D8308" s="3">
        <v>0.0</v>
      </c>
      <c r="E8308" s="3">
        <v>2.0</v>
      </c>
      <c r="F8308" s="3" t="s">
        <v>23765</v>
      </c>
      <c r="G8308" s="3">
        <v>0.0</v>
      </c>
      <c r="H8308" s="3">
        <v>0.0</v>
      </c>
      <c r="I8308" s="3" t="s">
        <v>13</v>
      </c>
      <c r="J8308" s="3" t="s">
        <v>23766</v>
      </c>
      <c r="K8308" s="3" t="s">
        <v>82</v>
      </c>
      <c r="L8308" s="3" t="str">
        <f>IFERROR(__xludf.DUMMYFUNCTION("GOOGLETRANSLATE(F8308,""id"",""en"")"),"The row of Messi championship with the Argentine national team")</f>
        <v>The row of Messi championship with the Argentine national team</v>
      </c>
    </row>
    <row r="8309" ht="15.75" customHeight="1">
      <c r="A8309" s="1">
        <v>9531.0</v>
      </c>
      <c r="B8309" s="3" t="s">
        <v>23767</v>
      </c>
      <c r="C8309" s="3">
        <v>0.0</v>
      </c>
      <c r="D8309" s="3">
        <v>0.0</v>
      </c>
      <c r="E8309" s="3">
        <v>0.0</v>
      </c>
      <c r="F8309" s="3" t="s">
        <v>21776</v>
      </c>
      <c r="G8309" s="3">
        <v>0.0</v>
      </c>
      <c r="H8309" s="3">
        <v>0.0</v>
      </c>
      <c r="I8309" s="3" t="s">
        <v>13</v>
      </c>
      <c r="J8309" s="3" t="s">
        <v>21777</v>
      </c>
      <c r="K8309" s="3" t="s">
        <v>127</v>
      </c>
      <c r="L8309" s="3" t="str">
        <f>IFERROR(__xludf.DUMMYFUNCTION("GOOGLETRANSLATE(F8309,""id"",""en"")"),"Kakanwil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310" ht="15.75" customHeight="1">
      <c r="A8310" s="1">
        <v>9532.0</v>
      </c>
      <c r="B8310" s="3" t="s">
        <v>23768</v>
      </c>
      <c r="C8310" s="3">
        <v>0.0</v>
      </c>
      <c r="D8310" s="3">
        <v>3.0</v>
      </c>
      <c r="E8310" s="3">
        <v>12.0</v>
      </c>
      <c r="F8310" s="3" t="s">
        <v>23769</v>
      </c>
      <c r="G8310" s="3">
        <v>0.0</v>
      </c>
      <c r="H8310" s="3">
        <v>0.0</v>
      </c>
      <c r="I8310" s="3" t="s">
        <v>13</v>
      </c>
      <c r="J8310" s="3" t="s">
        <v>23770</v>
      </c>
      <c r="K8310" s="3" t="s">
        <v>8160</v>
      </c>
      <c r="L8310" s="3" t="str">
        <f>IFERROR(__xludf.DUMMYFUNCTION("GOOGLETRANSLATE(F8310,""id"",""en"")"),"I cried andr cantor yr born in Buenos Aires Argentina worked and lived America as a sportscaster venting his happiness after the determinant of Montiel brought Argentia world champion for the time")</f>
        <v>I cried andr cantor yr born in Buenos Aires Argentina worked and lived America as a sportscaster venting his happiness after the determinant of Montiel brought Argentia world champion for the time</v>
      </c>
    </row>
    <row r="8311" ht="15.75" customHeight="1">
      <c r="A8311" s="1">
        <v>9533.0</v>
      </c>
      <c r="B8311" s="3" t="s">
        <v>23771</v>
      </c>
      <c r="C8311" s="3">
        <v>0.0</v>
      </c>
      <c r="D8311" s="3">
        <v>0.0</v>
      </c>
      <c r="E8311" s="3">
        <v>0.0</v>
      </c>
      <c r="F8311" s="3" t="s">
        <v>23772</v>
      </c>
      <c r="G8311" s="3">
        <v>0.0</v>
      </c>
      <c r="H8311" s="3">
        <v>0.0</v>
      </c>
      <c r="I8311" s="3" t="s">
        <v>13</v>
      </c>
      <c r="J8311" s="3" t="s">
        <v>23773</v>
      </c>
      <c r="K8311" s="3" t="s">
        <v>510</v>
      </c>
      <c r="L8311" s="3" t="str">
        <f>IFERROR(__xludf.DUMMYFUNCTION("GOOGLETRANSLATE(F8311,""id"",""en"")"),"Success between Argentina won the World Cup Angel Maria Passing Christiano Ronaldo and Maradona")</f>
        <v>Success between Argentina won the World Cup Angel Maria Passing Christiano Ronaldo and Maradona</v>
      </c>
    </row>
    <row r="8312" ht="15.75" customHeight="1">
      <c r="A8312" s="1">
        <v>9534.0</v>
      </c>
      <c r="B8312" s="3" t="s">
        <v>23774</v>
      </c>
      <c r="C8312" s="3">
        <v>0.0</v>
      </c>
      <c r="D8312" s="3">
        <v>0.0</v>
      </c>
      <c r="E8312" s="3">
        <v>1.0</v>
      </c>
      <c r="F8312" s="3" t="s">
        <v>23775</v>
      </c>
      <c r="G8312" s="3">
        <v>0.0</v>
      </c>
      <c r="H8312" s="3">
        <v>0.0</v>
      </c>
      <c r="I8312" s="3" t="s">
        <v>13</v>
      </c>
      <c r="J8312" s="3" t="s">
        <v>23776</v>
      </c>
      <c r="K8312" s="3" t="s">
        <v>644</v>
      </c>
      <c r="L8312" s="3" t="str">
        <f>IFERROR(__xludf.DUMMYFUNCTION("GOOGLETRANSLATE(F8312,""id"",""en"")"),"Argentina World Champion for the time")</f>
        <v>Argentina World Champion for the time</v>
      </c>
    </row>
    <row r="8313" ht="15.75" customHeight="1">
      <c r="A8313" s="1">
        <v>9535.0</v>
      </c>
      <c r="B8313" s="3" t="s">
        <v>23777</v>
      </c>
      <c r="C8313" s="3">
        <v>0.0</v>
      </c>
      <c r="D8313" s="3">
        <v>0.0</v>
      </c>
      <c r="E8313" s="3">
        <v>0.0</v>
      </c>
      <c r="F8313" s="3" t="s">
        <v>23778</v>
      </c>
      <c r="G8313" s="3">
        <v>0.0</v>
      </c>
      <c r="H8313" s="3">
        <v>0.0</v>
      </c>
      <c r="I8313" s="3" t="s">
        <v>13</v>
      </c>
      <c r="J8313" s="3" t="s">
        <v>23779</v>
      </c>
      <c r="K8313" s="3" t="s">
        <v>31</v>
      </c>
      <c r="L8313" s="3" t="str">
        <f>IFERROR(__xludf.DUMMYFUNCTION("GOOGLETRANSLATE(F8313,""id"",""en"")"),"Argentina Champion because it was supported by Bang Dodo")</f>
        <v>Argentina Champion because it was supported by Bang Dodo</v>
      </c>
    </row>
    <row r="8314" ht="15.75" customHeight="1">
      <c r="A8314" s="1">
        <v>9536.0</v>
      </c>
      <c r="B8314" s="3" t="s">
        <v>23780</v>
      </c>
      <c r="C8314" s="3">
        <v>0.0</v>
      </c>
      <c r="D8314" s="3">
        <v>0.0</v>
      </c>
      <c r="E8314" s="3">
        <v>0.0</v>
      </c>
      <c r="F8314" s="3" t="s">
        <v>23781</v>
      </c>
      <c r="G8314" s="3">
        <v>0.0</v>
      </c>
      <c r="H8314" s="3">
        <v>0.0</v>
      </c>
      <c r="I8314" s="3" t="s">
        <v>13</v>
      </c>
      <c r="J8314" s="3" t="s">
        <v>23782</v>
      </c>
      <c r="K8314" s="3" t="s">
        <v>510</v>
      </c>
      <c r="L8314" s="3" t="str">
        <f>IFERROR(__xludf.DUMMYFUNCTION("GOOGLETRANSLATE(F8314,""id"",""en"")"),"After seeing some of the Argentina Videone champion, the Seng Seng Seneng accompanied Kuncoro Masio not to play maen")</f>
        <v>After seeing some of the Argentina Videone champion, the Seng Seng Seneng accompanied Kuncoro Masio not to play maen</v>
      </c>
    </row>
    <row r="8315" ht="15.75" customHeight="1">
      <c r="A8315" s="1">
        <v>9537.0</v>
      </c>
      <c r="B8315" s="3" t="s">
        <v>23783</v>
      </c>
      <c r="C8315" s="3">
        <v>0.0</v>
      </c>
      <c r="D8315" s="3">
        <v>0.0</v>
      </c>
      <c r="E8315" s="3">
        <v>0.0</v>
      </c>
      <c r="F8315" s="3" t="s">
        <v>23784</v>
      </c>
      <c r="G8315" s="3">
        <v>1.0</v>
      </c>
      <c r="H8315" s="3">
        <v>0.0</v>
      </c>
      <c r="I8315" s="3" t="s">
        <v>13</v>
      </c>
      <c r="J8315" s="3" t="s">
        <v>23785</v>
      </c>
      <c r="K8315" s="3" t="s">
        <v>765</v>
      </c>
      <c r="L8315" s="3" t="str">
        <f>IFERROR(__xludf.DUMMYFUNCTION("GOOGLETRANSLATE(F8315,""id"",""en"")"),"Messi broke my heart in the year when he lost the Champions League final since then I hated Barcelona and Messi but yesterday after seeing Argentina the champion was also proud of him even though this heart was still with Ronaldo congratulations to Messi")</f>
        <v>Messi broke my heart in the year when he lost the Champions League final since then I hated Barcelona and Messi but yesterday after seeing Argentina the champion was also proud of him even though this heart was still with Ronaldo congratulations to Messi</v>
      </c>
    </row>
    <row r="8316" ht="15.75" customHeight="1">
      <c r="A8316" s="1">
        <v>9538.0</v>
      </c>
      <c r="B8316" s="3" t="s">
        <v>23786</v>
      </c>
      <c r="C8316" s="3">
        <v>0.0</v>
      </c>
      <c r="D8316" s="3">
        <v>0.0</v>
      </c>
      <c r="E8316" s="3">
        <v>0.0</v>
      </c>
      <c r="F8316" s="3" t="s">
        <v>23787</v>
      </c>
      <c r="G8316" s="3">
        <v>0.0</v>
      </c>
      <c r="H8316" s="3">
        <v>0.0</v>
      </c>
      <c r="I8316" s="3" t="s">
        <v>13</v>
      </c>
      <c r="J8316" s="3" t="s">
        <v>23788</v>
      </c>
      <c r="K8316" s="3" t="s">
        <v>82</v>
      </c>
      <c r="L8316" s="3" t="str">
        <f>IFERROR(__xludf.DUMMYFUNCTION("GOOGLETRANSLATE(F8316,""id"",""en"")"),"the editorial of the central figure of Argentina in the world champion")</f>
        <v>the editorial of the central figure of Argentina in the world champion</v>
      </c>
    </row>
    <row r="8317" ht="15.75" customHeight="1">
      <c r="A8317" s="1">
        <v>9539.0</v>
      </c>
      <c r="B8317" s="3" t="s">
        <v>23789</v>
      </c>
      <c r="C8317" s="3">
        <v>1.0</v>
      </c>
      <c r="D8317" s="3">
        <v>0.0</v>
      </c>
      <c r="E8317" s="3">
        <v>0.0</v>
      </c>
      <c r="F8317" s="3" t="s">
        <v>23790</v>
      </c>
      <c r="G8317" s="3">
        <v>0.4</v>
      </c>
      <c r="H8317" s="3">
        <v>0.8</v>
      </c>
      <c r="I8317" s="3" t="s">
        <v>48</v>
      </c>
      <c r="J8317" s="3" t="s">
        <v>23791</v>
      </c>
      <c r="K8317" s="3" t="s">
        <v>2117</v>
      </c>
      <c r="L8317" s="3" t="str">
        <f>IFERROR(__xludf.DUMMYFUNCTION("GOOGLETRANSLATE(F8317,""id"",""en"")"),"Keep Spirit Win")</f>
        <v>Keep Spirit Win</v>
      </c>
    </row>
    <row r="8318" ht="15.75" customHeight="1">
      <c r="A8318" s="1">
        <v>9540.0</v>
      </c>
      <c r="B8318" s="3" t="s">
        <v>23792</v>
      </c>
      <c r="C8318" s="3">
        <v>0.0</v>
      </c>
      <c r="D8318" s="3">
        <v>0.0</v>
      </c>
      <c r="E8318" s="3">
        <v>3.0</v>
      </c>
      <c r="F8318" s="3" t="s">
        <v>23793</v>
      </c>
      <c r="G8318" s="3">
        <v>0.0</v>
      </c>
      <c r="H8318" s="3">
        <v>0.0</v>
      </c>
      <c r="I8318" s="3" t="s">
        <v>13</v>
      </c>
      <c r="J8318" s="3" t="s">
        <v>23794</v>
      </c>
      <c r="K8318" s="3" t="s">
        <v>41</v>
      </c>
      <c r="L8318" s="3" t="str">
        <f>IFERROR(__xludf.DUMMYFUNCTION("GOOGLETRANSLATE(F8318,""id"",""en"")"),"From Putin to Pele congratulates Argentina for the World Cup championship")</f>
        <v>From Putin to Pele congratulates Argentina for the World Cup championship</v>
      </c>
    </row>
    <row r="8319" ht="15.75" customHeight="1">
      <c r="A8319" s="1">
        <v>9541.0</v>
      </c>
      <c r="B8319" s="3" t="s">
        <v>23795</v>
      </c>
      <c r="C8319" s="3">
        <v>0.0</v>
      </c>
      <c r="D8319" s="3">
        <v>0.0</v>
      </c>
      <c r="E8319" s="3">
        <v>0.0</v>
      </c>
      <c r="F8319" s="3" t="s">
        <v>23796</v>
      </c>
      <c r="G8319" s="3">
        <v>0.0</v>
      </c>
      <c r="H8319" s="3">
        <v>0.0</v>
      </c>
      <c r="I8319" s="3" t="s">
        <v>13</v>
      </c>
      <c r="J8319" s="3" t="s">
        <v>23797</v>
      </c>
      <c r="K8319" s="3" t="s">
        <v>19</v>
      </c>
      <c r="L8319" s="3" t="str">
        <f>IFERROR(__xludf.DUMMYFUNCTION("GOOGLETRANSLATE(F8319,""id"",""en"")"),"Lionel Messi's Birth Capital to be the Ocean of Humans After Argentina Champion World Cup")</f>
        <v>Lionel Messi's Birth Capital to be the Ocean of Humans After Argentina Champion World Cup</v>
      </c>
    </row>
    <row r="8320" ht="15.75" customHeight="1">
      <c r="A8320" s="1">
        <v>9542.0</v>
      </c>
      <c r="B8320" s="3" t="s">
        <v>23798</v>
      </c>
      <c r="C8320" s="3">
        <v>1.0</v>
      </c>
      <c r="D8320" s="3">
        <v>1.0</v>
      </c>
      <c r="E8320" s="3">
        <v>0.0</v>
      </c>
      <c r="F8320" s="3" t="s">
        <v>23799</v>
      </c>
      <c r="G8320" s="3">
        <v>0.0</v>
      </c>
      <c r="H8320" s="3">
        <v>0.0</v>
      </c>
      <c r="I8320" s="3" t="s">
        <v>13</v>
      </c>
      <c r="J8320" s="3" t="s">
        <v>23800</v>
      </c>
      <c r="K8320" s="3" t="s">
        <v>54</v>
      </c>
      <c r="L8320" s="3" t="str">
        <f>IFERROR(__xludf.DUMMYFUNCTION("GOOGLETRANSLATE(F8320,""id"",""en"")"),"Bored Cok Cok ISGentina Champion Tok")</f>
        <v>Bored Cok Cok ISGentina Champion Tok</v>
      </c>
    </row>
    <row r="8321" ht="15.75" customHeight="1">
      <c r="A8321" s="1">
        <v>9543.0</v>
      </c>
      <c r="B8321" s="3" t="s">
        <v>23801</v>
      </c>
      <c r="C8321" s="3">
        <v>1.0</v>
      </c>
      <c r="D8321" s="3">
        <v>7.0</v>
      </c>
      <c r="E8321" s="3">
        <v>36.0</v>
      </c>
      <c r="F8321" s="3" t="s">
        <v>23802</v>
      </c>
      <c r="G8321" s="3">
        <v>0.0</v>
      </c>
      <c r="H8321" s="3">
        <v>0.0</v>
      </c>
      <c r="I8321" s="3" t="s">
        <v>13</v>
      </c>
      <c r="J8321" s="3" t="s">
        <v>23803</v>
      </c>
      <c r="K8321" s="3" t="s">
        <v>883</v>
      </c>
      <c r="L8321" s="3" t="str">
        <f>IFERROR(__xludf.DUMMYFUNCTION("GOOGLETRANSLATE(F8321,""id"",""en"")"),"Lionel Messi has just brought the Argentine national team champion World Cup Lionel Scaloni confirmed that Pulga had no debt to Albiceleste")</f>
        <v>Lionel Messi has just brought the Argentine national team champion World Cup Lionel Scaloni confirmed that Pulga had no debt to Albiceleste</v>
      </c>
    </row>
    <row r="8322" ht="15.75" customHeight="1">
      <c r="A8322" s="1">
        <v>9544.0</v>
      </c>
      <c r="B8322" s="3" t="s">
        <v>23804</v>
      </c>
      <c r="C8322" s="3">
        <v>0.0</v>
      </c>
      <c r="D8322" s="3">
        <v>0.0</v>
      </c>
      <c r="E8322" s="3">
        <v>0.0</v>
      </c>
      <c r="F8322" s="3" t="s">
        <v>23805</v>
      </c>
      <c r="G8322" s="3">
        <v>0.0</v>
      </c>
      <c r="H8322" s="3">
        <v>0.0</v>
      </c>
      <c r="I8322" s="3" t="s">
        <v>13</v>
      </c>
      <c r="J8322" s="3" t="s">
        <v>23806</v>
      </c>
      <c r="K8322" s="3" t="s">
        <v>14571</v>
      </c>
      <c r="L8322" s="3" t="str">
        <f>IFERROR(__xludf.DUMMYFUNCTION("GOOGLETRANSLATE(F8322,""id"",""en"")"),"When is Pensi")</f>
        <v>When is Pensi</v>
      </c>
    </row>
    <row r="8323" ht="15.75" customHeight="1">
      <c r="A8323" s="1">
        <v>9545.0</v>
      </c>
      <c r="B8323" s="3" t="s">
        <v>23807</v>
      </c>
      <c r="C8323" s="3">
        <v>1.0</v>
      </c>
      <c r="D8323" s="3">
        <v>0.0</v>
      </c>
      <c r="E8323" s="3">
        <v>0.0</v>
      </c>
      <c r="F8323" s="3" t="s">
        <v>23808</v>
      </c>
      <c r="G8323" s="3">
        <v>0.0</v>
      </c>
      <c r="H8323" s="3">
        <v>0.0</v>
      </c>
      <c r="I8323" s="3" t="s">
        <v>13</v>
      </c>
      <c r="J8323" s="3" t="s">
        <v>23809</v>
      </c>
      <c r="K8323" s="3" t="s">
        <v>71</v>
      </c>
      <c r="L8323" s="3" t="str">
        <f>IFERROR(__xludf.DUMMYFUNCTION("GOOGLETRANSLATE(F8323,""id"",""en"")"),"The Aguero Carrying Messi Celebration Action Feel Flashback See Argentina Video Photos Champion with Maradona")</f>
        <v>The Aguero Carrying Messi Celebration Action Feel Flashback See Argentina Video Photos Champion with Maradona</v>
      </c>
    </row>
    <row r="8324" ht="15.75" customHeight="1">
      <c r="A8324" s="1">
        <v>9546.0</v>
      </c>
      <c r="B8324" s="3" t="s">
        <v>23810</v>
      </c>
      <c r="C8324" s="3">
        <v>0.0</v>
      </c>
      <c r="D8324" s="3">
        <v>0.0</v>
      </c>
      <c r="E8324" s="3">
        <v>0.0</v>
      </c>
      <c r="F8324" s="3" t="s">
        <v>23811</v>
      </c>
      <c r="G8324" s="3">
        <v>0.3333333333333333</v>
      </c>
      <c r="H8324" s="3">
        <v>0.1666666666666667</v>
      </c>
      <c r="I8324" s="3" t="s">
        <v>48</v>
      </c>
      <c r="J8324" s="3" t="s">
        <v>23812</v>
      </c>
      <c r="K8324" s="3" t="s">
        <v>50</v>
      </c>
      <c r="L8324" s="3" t="str">
        <f>IFERROR(__xludf.DUMMYFUNCTION("GOOGLETRANSLATE(F8324,""id"",""en"")"),"contains the euphoria of Argentina again, champions want to play the cans just noisy")</f>
        <v>contains the euphoria of Argentina again, champions want to play the cans just noisy</v>
      </c>
    </row>
    <row r="8325" ht="15.75" customHeight="1">
      <c r="A8325" s="1">
        <v>9547.0</v>
      </c>
      <c r="B8325" s="3" t="s">
        <v>23813</v>
      </c>
      <c r="C8325" s="3">
        <v>0.0</v>
      </c>
      <c r="D8325" s="3">
        <v>1.0</v>
      </c>
      <c r="E8325" s="3">
        <v>0.0</v>
      </c>
      <c r="F8325" s="3" t="s">
        <v>23814</v>
      </c>
      <c r="G8325" s="3">
        <v>0.0</v>
      </c>
      <c r="H8325" s="3">
        <v>0.0</v>
      </c>
      <c r="I8325" s="3" t="s">
        <v>13</v>
      </c>
      <c r="J8325" s="3" t="s">
        <v>23815</v>
      </c>
      <c r="K8325" s="3" t="s">
        <v>127</v>
      </c>
      <c r="L8325" s="3" t="str">
        <f>IFERROR(__xludf.DUMMYFUNCTION("GOOGLETRANSLATE(F8325,""id"",""en"")"),"peghhhhh still smells fragrant clothes even though the cheers of mlm earlier Argentina champion world cup click jer son buy")</f>
        <v>peghhhhh still smells fragrant clothes even though the cheers of mlm earlier Argentina champion world cup click jer son buy</v>
      </c>
    </row>
    <row r="8326" ht="15.75" customHeight="1">
      <c r="A8326" s="1">
        <v>9548.0</v>
      </c>
      <c r="B8326" s="3" t="s">
        <v>23816</v>
      </c>
      <c r="C8326" s="3">
        <v>0.0</v>
      </c>
      <c r="D8326" s="3">
        <v>0.0</v>
      </c>
      <c r="E8326" s="3">
        <v>0.0</v>
      </c>
      <c r="F8326" s="3" t="s">
        <v>23817</v>
      </c>
      <c r="G8326" s="3">
        <v>0.0</v>
      </c>
      <c r="H8326" s="3">
        <v>0.0</v>
      </c>
      <c r="I8326" s="3" t="s">
        <v>13</v>
      </c>
      <c r="J8326" s="3" t="s">
        <v>23818</v>
      </c>
      <c r="K8326" s="3" t="s">
        <v>16174</v>
      </c>
      <c r="L8326" s="3" t="str">
        <f>IFERROR(__xludf.DUMMYFUNCTION("GOOGLETRANSLATE(F8326,""id"",""en"")"),"Congrats")</f>
        <v>Congrats</v>
      </c>
    </row>
    <row r="8327" ht="15.75" customHeight="1">
      <c r="A8327" s="1">
        <v>9549.0</v>
      </c>
      <c r="B8327" s="3" t="s">
        <v>23819</v>
      </c>
      <c r="C8327" s="3">
        <v>0.0</v>
      </c>
      <c r="D8327" s="3">
        <v>0.0</v>
      </c>
      <c r="E8327" s="3">
        <v>0.0</v>
      </c>
      <c r="F8327" s="3" t="s">
        <v>23820</v>
      </c>
      <c r="G8327" s="3">
        <v>0.0</v>
      </c>
      <c r="H8327" s="3">
        <v>0.0</v>
      </c>
      <c r="I8327" s="3" t="s">
        <v>13</v>
      </c>
      <c r="J8327" s="3" t="s">
        <v>23821</v>
      </c>
      <c r="K8327" s="3" t="s">
        <v>82</v>
      </c>
      <c r="L8327" s="3" t="str">
        <f>IFERROR(__xludf.DUMMYFUNCTION("GOOGLETRANSLATE(F8327,""id"",""en"")"),"Argentina passed the suffering to become the World Cup championship")</f>
        <v>Argentina passed the suffering to become the World Cup championship</v>
      </c>
    </row>
    <row r="8328" ht="15.75" customHeight="1">
      <c r="A8328" s="1">
        <v>9550.0</v>
      </c>
      <c r="B8328" s="3" t="s">
        <v>23822</v>
      </c>
      <c r="C8328" s="3">
        <v>0.0</v>
      </c>
      <c r="D8328" s="3">
        <v>0.0</v>
      </c>
      <c r="E8328" s="3">
        <v>0.0</v>
      </c>
      <c r="F8328" s="3" t="s">
        <v>23823</v>
      </c>
      <c r="G8328" s="3">
        <v>0.0</v>
      </c>
      <c r="H8328" s="3">
        <v>0.0</v>
      </c>
      <c r="I8328" s="3" t="s">
        <v>13</v>
      </c>
      <c r="J8328" s="3" t="s">
        <v>23824</v>
      </c>
      <c r="K8328" s="3" t="s">
        <v>41</v>
      </c>
      <c r="L8328" s="3" t="str">
        <f>IFERROR(__xludf.DUMMYFUNCTION("GOOGLETRANSLATE(F8328,""id"",""en"")"),"Currently there is the happiness of Argentina champions and apparently Susanti is not a bald Indonesian")</f>
        <v>Currently there is the happiness of Argentina champions and apparently Susanti is not a bald Indonesian</v>
      </c>
    </row>
    <row r="8329" ht="15.75" customHeight="1">
      <c r="A8329" s="1">
        <v>9551.0</v>
      </c>
      <c r="B8329" s="3" t="s">
        <v>23825</v>
      </c>
      <c r="C8329" s="3">
        <v>1.0</v>
      </c>
      <c r="D8329" s="3">
        <v>0.0</v>
      </c>
      <c r="E8329" s="3">
        <v>1.0</v>
      </c>
      <c r="F8329" s="3" t="s">
        <v>23826</v>
      </c>
      <c r="G8329" s="3">
        <v>0.0</v>
      </c>
      <c r="H8329" s="3">
        <v>0.0</v>
      </c>
      <c r="I8329" s="3" t="s">
        <v>13</v>
      </c>
      <c r="J8329" s="3" t="s">
        <v>23827</v>
      </c>
      <c r="K8329" s="3" t="s">
        <v>54</v>
      </c>
      <c r="L8329" s="3" t="str">
        <f>IFERROR(__xludf.DUMMYFUNCTION("GOOGLETRANSLATE(F8329,""id"",""en"")"),"The year of Messi once champions Argentina Olympiade")</f>
        <v>The year of Messi once champions Argentina Olympiade</v>
      </c>
    </row>
    <row r="8330" ht="15.75" customHeight="1">
      <c r="A8330" s="1">
        <v>9552.0</v>
      </c>
      <c r="B8330" s="3" t="s">
        <v>23828</v>
      </c>
      <c r="C8330" s="3">
        <v>1.0</v>
      </c>
      <c r="D8330" s="3">
        <v>1.0</v>
      </c>
      <c r="E8330" s="3">
        <v>4.0</v>
      </c>
      <c r="F8330" s="3" t="s">
        <v>23829</v>
      </c>
      <c r="G8330" s="3">
        <v>1.0</v>
      </c>
      <c r="H8330" s="3">
        <v>0.5</v>
      </c>
      <c r="I8330" s="3" t="s">
        <v>48</v>
      </c>
      <c r="J8330" s="3" t="s">
        <v>23830</v>
      </c>
      <c r="K8330" s="3" t="s">
        <v>1824</v>
      </c>
      <c r="L8330" s="3" t="str">
        <f>IFERROR(__xludf.DUMMYFUNCTION("GOOGLETRANSLATE(F8330,""id"",""en"")"),"Nyok Kite Choose an Experienced And Udh Working Work Like Mr. HRT last night at the Argentina final, I wonder the champion for France remains the spirit of survivors to The Greatest All Time Messi who have exceeded Maradona")</f>
        <v>Nyok Kite Choose an Experienced And Udh Working Work Like Mr. HRT last night at the Argentina final, I wonder the champion for France remains the spirit of survivors to The Greatest All Time Messi who have exceeded Maradona</v>
      </c>
    </row>
    <row r="8331" ht="15.75" customHeight="1">
      <c r="A8331" s="1">
        <v>9553.0</v>
      </c>
      <c r="B8331" s="3" t="s">
        <v>23831</v>
      </c>
      <c r="C8331" s="3">
        <v>0.0</v>
      </c>
      <c r="D8331" s="3">
        <v>0.0</v>
      </c>
      <c r="E8331" s="3">
        <v>0.0</v>
      </c>
      <c r="F8331" s="3" t="s">
        <v>23832</v>
      </c>
      <c r="G8331" s="3">
        <v>0.0</v>
      </c>
      <c r="H8331" s="3">
        <v>0.0</v>
      </c>
      <c r="I8331" s="3" t="s">
        <v>13</v>
      </c>
      <c r="J8331" s="3" t="s">
        <v>23833</v>
      </c>
      <c r="K8331" s="3" t="s">
        <v>15</v>
      </c>
      <c r="L8331" s="3" t="str">
        <f>IFERROR(__xludf.DUMMYFUNCTION("GOOGLETRANSLATE(F8331,""id"",""en"")"),"Petukan Crush Rapopo Sing Sing School is important Argentina Champion")</f>
        <v>Petukan Crush Rapopo Sing Sing School is important Argentina Champion</v>
      </c>
    </row>
    <row r="8332" ht="15.75" customHeight="1">
      <c r="A8332" s="1">
        <v>9554.0</v>
      </c>
      <c r="B8332" s="3" t="s">
        <v>23834</v>
      </c>
      <c r="C8332" s="3">
        <v>0.0</v>
      </c>
      <c r="D8332" s="3">
        <v>0.0</v>
      </c>
      <c r="E8332" s="3">
        <v>0.0</v>
      </c>
      <c r="F8332" s="3" t="s">
        <v>23835</v>
      </c>
      <c r="G8332" s="3">
        <v>0.0</v>
      </c>
      <c r="H8332" s="3">
        <v>0.0</v>
      </c>
      <c r="I8332" s="3" t="s">
        <v>13</v>
      </c>
      <c r="J8332" s="3" t="s">
        <v>23836</v>
      </c>
      <c r="K8332" s="3" t="s">
        <v>50</v>
      </c>
      <c r="L8332" s="3" t="str">
        <f>IFERROR(__xludf.DUMMYFUNCTION("GOOGLETRANSLATE(F8332,""id"",""en"")"),"GOCKING TIME GOOGLE IS AGERTINE API FIELDS")</f>
        <v>GOCKING TIME GOOGLE IS AGERTINE API FIELDS</v>
      </c>
    </row>
    <row r="8333" ht="15.75" customHeight="1">
      <c r="A8333" s="1">
        <v>9555.0</v>
      </c>
      <c r="B8333" s="3" t="s">
        <v>23837</v>
      </c>
      <c r="C8333" s="3">
        <v>0.0</v>
      </c>
      <c r="D8333" s="3">
        <v>0.0</v>
      </c>
      <c r="E8333" s="3">
        <v>0.0</v>
      </c>
      <c r="F8333" s="3" t="s">
        <v>23838</v>
      </c>
      <c r="G8333" s="3">
        <v>0.7</v>
      </c>
      <c r="H8333" s="3">
        <v>0.65</v>
      </c>
      <c r="I8333" s="3" t="s">
        <v>48</v>
      </c>
      <c r="J8333" s="3" t="s">
        <v>23839</v>
      </c>
      <c r="K8333" s="3" t="s">
        <v>1970</v>
      </c>
      <c r="L8333" s="3" t="str">
        <f>IFERROR(__xludf.DUMMYFUNCTION("GOOGLETRANSLATE(F8333,""id"",""en"")"),"Argentina Long Waiting World Cup Champion Since Guessing the World Cup Score Captain Grand Prize All You Can Win Apple iPhone Pro")</f>
        <v>Argentina Long Waiting World Cup Champion Since Guessing the World Cup Score Captain Grand Prize All You Can Win Apple iPhone Pro</v>
      </c>
    </row>
    <row r="8334" ht="15.75" customHeight="1">
      <c r="A8334" s="1">
        <v>9556.0</v>
      </c>
      <c r="B8334" s="3" t="s">
        <v>23840</v>
      </c>
      <c r="C8334" s="3">
        <v>0.0</v>
      </c>
      <c r="D8334" s="3">
        <v>0.0</v>
      </c>
      <c r="E8334" s="3">
        <v>0.0</v>
      </c>
      <c r="F8334" s="3" t="s">
        <v>23841</v>
      </c>
      <c r="G8334" s="3">
        <v>0.0</v>
      </c>
      <c r="H8334" s="3">
        <v>0.0</v>
      </c>
      <c r="I8334" s="3" t="s">
        <v>13</v>
      </c>
      <c r="J8334" s="3" t="s">
        <v>23842</v>
      </c>
      <c r="K8334" s="3" t="s">
        <v>1428</v>
      </c>
      <c r="L8334" s="3" t="str">
        <f>IFERROR(__xludf.DUMMYFUNCTION("GOOGLETRANSLATE(F8334,""id"",""en"")"),"Messi is respectful to Maradona, he just likes it to be a matter of addiction to the alcohol and drugs, maradona is depressed, so Messi can only win after Maradona died and again imagined the Argentina team so I know.")</f>
        <v>Messi is respectful to Maradona, he just likes it to be a matter of addiction to the alcohol and drugs, maradona is depressed, so Messi can only win after Maradona died and again imagined the Argentina team so I know.</v>
      </c>
    </row>
    <row r="8335" ht="15.75" customHeight="1">
      <c r="A8335" s="1">
        <v>9557.0</v>
      </c>
      <c r="B8335" s="3" t="s">
        <v>23843</v>
      </c>
      <c r="C8335" s="3">
        <v>0.0</v>
      </c>
      <c r="D8335" s="3">
        <v>2.0</v>
      </c>
      <c r="E8335" s="3">
        <v>0.0</v>
      </c>
      <c r="F8335" s="3" t="s">
        <v>23844</v>
      </c>
      <c r="G8335" s="3">
        <v>0.0</v>
      </c>
      <c r="H8335" s="3">
        <v>0.0</v>
      </c>
      <c r="I8335" s="3" t="s">
        <v>13</v>
      </c>
      <c r="J8335" s="3" t="s">
        <v>23845</v>
      </c>
      <c r="K8335" s="3" t="s">
        <v>149</v>
      </c>
      <c r="L8335" s="3" t="str">
        <f>IFERROR(__xludf.DUMMYFUNCTION("GOOGLETRANSLATE(F8335,""id"",""en"")"),"Argentina won the World Cup after beating France through a penalty shootout like this Tango team trip from the group phase to championship")</f>
        <v>Argentina won the World Cup after beating France through a penalty shootout like this Tango team trip from the group phase to championship</v>
      </c>
    </row>
    <row r="8336" ht="15.75" customHeight="1">
      <c r="A8336" s="1">
        <v>9558.0</v>
      </c>
      <c r="B8336" s="3" t="s">
        <v>23846</v>
      </c>
      <c r="C8336" s="3">
        <v>0.0</v>
      </c>
      <c r="D8336" s="3">
        <v>2.0</v>
      </c>
      <c r="E8336" s="3">
        <v>10.0</v>
      </c>
      <c r="F8336" s="3" t="s">
        <v>23847</v>
      </c>
      <c r="G8336" s="3">
        <v>0.0</v>
      </c>
      <c r="H8336" s="3">
        <v>0.0</v>
      </c>
      <c r="I8336" s="3" t="s">
        <v>13</v>
      </c>
      <c r="J8336" s="3" t="s">
        <v>23848</v>
      </c>
      <c r="K8336" s="3" t="s">
        <v>41</v>
      </c>
      <c r="L8336" s="3" t="str">
        <f>IFERROR(__xludf.DUMMYFUNCTION("GOOGLETRANSLATE(F8336,""id"",""en"")"),"Argentina Champion World Cup Ambon and Ternate Citizens of Participation")</f>
        <v>Argentina Champion World Cup Ambon and Ternate Citizens of Participation</v>
      </c>
    </row>
    <row r="8337" ht="15.75" customHeight="1">
      <c r="A8337" s="1">
        <v>9559.0</v>
      </c>
      <c r="B8337" s="3" t="s">
        <v>23849</v>
      </c>
      <c r="C8337" s="3">
        <v>0.0</v>
      </c>
      <c r="D8337" s="3">
        <v>0.0</v>
      </c>
      <c r="E8337" s="3">
        <v>1.0</v>
      </c>
      <c r="F8337" s="3" t="s">
        <v>23850</v>
      </c>
      <c r="G8337" s="3">
        <v>0.0</v>
      </c>
      <c r="H8337" s="3">
        <v>0.0</v>
      </c>
      <c r="I8337" s="3" t="s">
        <v>13</v>
      </c>
      <c r="J8337" s="3" t="s">
        <v>23851</v>
      </c>
      <c r="K8337" s="3" t="s">
        <v>15</v>
      </c>
      <c r="L8337" s="3" t="str">
        <f>IFERROR(__xludf.DUMMYFUNCTION("GOOGLETRANSLATE(F8337,""id"",""en"")"),"Which Argentina Jagoin is the champion hero at Nobar not last night")</f>
        <v>Which Argentina Jagoin is the champion hero at Nobar not last night</v>
      </c>
    </row>
    <row r="8338" ht="15.75" customHeight="1">
      <c r="A8338" s="1">
        <v>9560.0</v>
      </c>
      <c r="B8338" s="3" t="s">
        <v>23852</v>
      </c>
      <c r="C8338" s="3">
        <v>2.0</v>
      </c>
      <c r="D8338" s="3">
        <v>1.0</v>
      </c>
      <c r="E8338" s="3">
        <v>5.0</v>
      </c>
      <c r="F8338" s="3" t="s">
        <v>23853</v>
      </c>
      <c r="G8338" s="3">
        <v>0.0</v>
      </c>
      <c r="H8338" s="3">
        <v>0.0</v>
      </c>
      <c r="I8338" s="3" t="s">
        <v>13</v>
      </c>
      <c r="J8338" s="3" t="s">
        <v>23854</v>
      </c>
      <c r="K8338" s="3" t="s">
        <v>614</v>
      </c>
      <c r="L8338" s="3" t="str">
        <f>IFERROR(__xludf.DUMMYFUNCTION("GOOGLETRANSLATE(F8338,""id"",""en"")"),"He is Lionel Messi, the Central Lusail Qatar highlights, he is the Mega Star who is awaited by millions")</f>
        <v>He is Lionel Messi, the Central Lusail Qatar highlights, he is the Mega Star who is awaited by millions</v>
      </c>
    </row>
    <row r="8339" ht="15.75" customHeight="1">
      <c r="A8339" s="1">
        <v>9561.0</v>
      </c>
      <c r="B8339" s="3" t="s">
        <v>23855</v>
      </c>
      <c r="C8339" s="3">
        <v>0.0</v>
      </c>
      <c r="D8339" s="3">
        <v>0.0</v>
      </c>
      <c r="E8339" s="3">
        <v>0.0</v>
      </c>
      <c r="F8339" s="3" t="s">
        <v>23856</v>
      </c>
      <c r="G8339" s="3">
        <v>0.0</v>
      </c>
      <c r="H8339" s="3">
        <v>0.0</v>
      </c>
      <c r="I8339" s="3" t="s">
        <v>13</v>
      </c>
      <c r="J8339" s="3" t="s">
        <v>23857</v>
      </c>
      <c r="K8339" s="3" t="s">
        <v>657</v>
      </c>
      <c r="L8339" s="3" t="str">
        <f>IFERROR(__xludf.DUMMYFUNCTION("GOOGLETRANSLATE(F8339,""id"",""en"")"),"Latest Football News Nova Indonesia Clicks the list of Argentina World Cup champions French and Uruguay Salip Stars")</f>
        <v>Latest Football News Nova Indonesia Clicks the list of Argentina World Cup champions French and Uruguay Salip Stars</v>
      </c>
    </row>
    <row r="8340" ht="15.75" customHeight="1">
      <c r="A8340" s="1">
        <v>9562.0</v>
      </c>
      <c r="B8340" s="3" t="s">
        <v>23858</v>
      </c>
      <c r="C8340" s="3">
        <v>1.0</v>
      </c>
      <c r="D8340" s="3">
        <v>2.0</v>
      </c>
      <c r="E8340" s="3">
        <v>7.0</v>
      </c>
      <c r="F8340" s="3" t="s">
        <v>23844</v>
      </c>
      <c r="G8340" s="3">
        <v>0.0</v>
      </c>
      <c r="H8340" s="3">
        <v>0.0</v>
      </c>
      <c r="I8340" s="3" t="s">
        <v>13</v>
      </c>
      <c r="J8340" s="3" t="s">
        <v>23845</v>
      </c>
      <c r="K8340" s="3" t="s">
        <v>149</v>
      </c>
      <c r="L8340" s="3" t="str">
        <f>IFERROR(__xludf.DUMMYFUNCTION("GOOGLETRANSLATE(F8340,""id"",""en"")"),"Argentina won the World Cup after beating France through a penalty shootout like this Tango team trip from the group phase to championship")</f>
        <v>Argentina won the World Cup after beating France through a penalty shootout like this Tango team trip from the group phase to championship</v>
      </c>
    </row>
    <row r="8341" ht="15.75" customHeight="1">
      <c r="A8341" s="1">
        <v>9563.0</v>
      </c>
      <c r="B8341" s="3" t="s">
        <v>23859</v>
      </c>
      <c r="C8341" s="3">
        <v>0.0</v>
      </c>
      <c r="D8341" s="3">
        <v>0.0</v>
      </c>
      <c r="E8341" s="3">
        <v>0.0</v>
      </c>
      <c r="F8341" s="3" t="s">
        <v>23860</v>
      </c>
      <c r="G8341" s="3">
        <v>0.0</v>
      </c>
      <c r="H8341" s="3">
        <v>0.0</v>
      </c>
      <c r="I8341" s="3" t="s">
        <v>13</v>
      </c>
      <c r="J8341" s="3" t="s">
        <v>23861</v>
      </c>
      <c r="K8341" s="3" t="s">
        <v>45</v>
      </c>
      <c r="L8341" s="3" t="str">
        <f>IFERROR(__xludf.DUMMYFUNCTION("GOOGLETRANSLATE(F8341,""id"",""en"")"),"Mr. Gang, I ask me to support what Mila Argentina is wow, but you have won, supporting people because there is messi ett, I don't know me from long ago")</f>
        <v>Mr. Gang, I ask me to support what Mila Argentina is wow, but you have won, supporting people because there is messi ett, I don't know me from long ago</v>
      </c>
    </row>
    <row r="8342" ht="15.75" customHeight="1">
      <c r="A8342" s="1">
        <v>9564.0</v>
      </c>
      <c r="B8342" s="3" t="s">
        <v>23862</v>
      </c>
      <c r="C8342" s="3">
        <v>0.0</v>
      </c>
      <c r="D8342" s="3">
        <v>0.0</v>
      </c>
      <c r="E8342" s="3">
        <v>1.0</v>
      </c>
      <c r="F8342" s="3" t="s">
        <v>23863</v>
      </c>
      <c r="G8342" s="3">
        <v>0.0</v>
      </c>
      <c r="H8342" s="3">
        <v>0.0</v>
      </c>
      <c r="I8342" s="3" t="s">
        <v>13</v>
      </c>
      <c r="J8342" s="3" t="s">
        <v>23864</v>
      </c>
      <c r="K8342" s="3" t="s">
        <v>184</v>
      </c>
      <c r="L8342" s="3" t="str">
        <f>IFERROR(__xludf.DUMMYFUNCTION("GOOGLETRANSLATE(F8342,""id"",""en"")"),"This netizen Argentina world champion naturally Puja Praise Messi is still emphasizing until now and until next year never the champion is discussed out especially since the one holding the Cup")</f>
        <v>This netizen Argentina world champion naturally Puja Praise Messi is still emphasizing until now and until next year never the champion is discussed out especially since the one holding the Cup</v>
      </c>
    </row>
    <row r="8343" ht="15.75" customHeight="1">
      <c r="A8343" s="1">
        <v>9565.0</v>
      </c>
      <c r="B8343" s="3" t="s">
        <v>23865</v>
      </c>
      <c r="C8343" s="3">
        <v>0.0</v>
      </c>
      <c r="D8343" s="3">
        <v>0.0</v>
      </c>
      <c r="E8343" s="3">
        <v>0.0</v>
      </c>
      <c r="F8343" s="3" t="s">
        <v>23866</v>
      </c>
      <c r="G8343" s="3">
        <v>0.0</v>
      </c>
      <c r="H8343" s="3">
        <v>0.0</v>
      </c>
      <c r="I8343" s="3" t="s">
        <v>13</v>
      </c>
      <c r="J8343" s="3" t="s">
        <v>23867</v>
      </c>
      <c r="K8343" s="3" t="s">
        <v>1628</v>
      </c>
      <c r="L8343" s="3" t="str">
        <f>IFERROR(__xludf.DUMMYFUNCTION("GOOGLETRANSLATE(F8343,""id"",""en"")"),"I think the final is Arsen Portugal, or Francis Argentina and Argentina are champions but how come the fire of Portugal fans and Dodo yak they are not Francis Ciaaaaaahhhhhhhhhhhhhhhhhhhhhhhhhhhhhhhhhhhhhhhhhhhhhh")</f>
        <v>I think the final is Arsen Portugal, or Francis Argentina and Argentina are champions but how come the fire of Portugal fans and Dodo yak they are not Francis Ciaaaaaahhhhhhhhhhhhhhhhhhhhhhhhhhhhhhhhhhhhhhhhhhhhhh</v>
      </c>
    </row>
    <row r="8344" ht="15.75" customHeight="1">
      <c r="A8344" s="1">
        <v>9566.0</v>
      </c>
      <c r="B8344" s="3" t="s">
        <v>23868</v>
      </c>
      <c r="C8344" s="3">
        <v>0.0</v>
      </c>
      <c r="D8344" s="3">
        <v>0.0</v>
      </c>
      <c r="E8344" s="3">
        <v>0.0</v>
      </c>
      <c r="F8344" s="3" t="s">
        <v>23869</v>
      </c>
      <c r="G8344" s="3">
        <v>0.0</v>
      </c>
      <c r="H8344" s="3">
        <v>0.0</v>
      </c>
      <c r="I8344" s="3" t="s">
        <v>13</v>
      </c>
      <c r="J8344" s="3" t="s">
        <v>23870</v>
      </c>
      <c r="K8344" s="3" t="s">
        <v>41</v>
      </c>
      <c r="L8344" s="3" t="str">
        <f>IFERROR(__xludf.DUMMYFUNCTION("GOOGLETRANSLATE(F8344,""id"",""en"")"),"List of Argentina World Cup champions French and Uruguay Salip Stars")</f>
        <v>List of Argentina World Cup champions French and Uruguay Salip Stars</v>
      </c>
    </row>
    <row r="8345" ht="15.75" customHeight="1">
      <c r="A8345" s="1">
        <v>9567.0</v>
      </c>
      <c r="B8345" s="3" t="s">
        <v>23871</v>
      </c>
      <c r="C8345" s="3">
        <v>0.0</v>
      </c>
      <c r="D8345" s="3">
        <v>0.0</v>
      </c>
      <c r="E8345" s="3">
        <v>1.0</v>
      </c>
      <c r="F8345" s="3" t="s">
        <v>23872</v>
      </c>
      <c r="G8345" s="3">
        <v>0.0</v>
      </c>
      <c r="H8345" s="3">
        <v>0.0</v>
      </c>
      <c r="I8345" s="3" t="s">
        <v>13</v>
      </c>
      <c r="J8345" s="3" t="s">
        <v>23873</v>
      </c>
      <c r="K8345" s="3" t="s">
        <v>31</v>
      </c>
      <c r="L8345" s="3" t="str">
        <f>IFERROR(__xludf.DUMMYFUNCTION("GOOGLETRANSLATE(F8345,""id"",""en"")"),"Argentina Champion There is a Cup Kiss")</f>
        <v>Argentina Champion There is a Cup Kiss</v>
      </c>
    </row>
    <row r="8346" ht="15.75" customHeight="1">
      <c r="A8346" s="1">
        <v>9568.0</v>
      </c>
      <c r="B8346" s="3" t="s">
        <v>23874</v>
      </c>
      <c r="C8346" s="3">
        <v>0.0</v>
      </c>
      <c r="D8346" s="3">
        <v>4.0</v>
      </c>
      <c r="E8346" s="3">
        <v>0.0</v>
      </c>
      <c r="F8346" s="3" t="s">
        <v>23875</v>
      </c>
      <c r="G8346" s="3">
        <v>0.0</v>
      </c>
      <c r="H8346" s="3">
        <v>0.0</v>
      </c>
      <c r="I8346" s="3" t="s">
        <v>13</v>
      </c>
      <c r="J8346" s="3" t="s">
        <v>23876</v>
      </c>
      <c r="K8346" s="3" t="s">
        <v>41</v>
      </c>
      <c r="L8346" s="3" t="str">
        <f>IFERROR(__xludf.DUMMYFUNCTION("GOOGLETRANSLATE(F8346,""id"",""en"")"),"Bring Argentina Champion Lionel Messi End the Debate of Goat Discussion")</f>
        <v>Bring Argentina Champion Lionel Messi End the Debate of Goat Discussion</v>
      </c>
    </row>
    <row r="8347" ht="15.75" customHeight="1">
      <c r="A8347" s="1">
        <v>9569.0</v>
      </c>
      <c r="B8347" s="3" t="s">
        <v>23877</v>
      </c>
      <c r="C8347" s="3">
        <v>0.0</v>
      </c>
      <c r="D8347" s="3">
        <v>0.0</v>
      </c>
      <c r="E8347" s="3">
        <v>0.0</v>
      </c>
      <c r="F8347" s="3" t="s">
        <v>23878</v>
      </c>
      <c r="G8347" s="3">
        <v>0.0</v>
      </c>
      <c r="H8347" s="3">
        <v>0.0</v>
      </c>
      <c r="I8347" s="3" t="s">
        <v>13</v>
      </c>
      <c r="J8347" s="3" t="s">
        <v>23879</v>
      </c>
      <c r="K8347" s="3" t="s">
        <v>510</v>
      </c>
      <c r="L8347" s="3" t="str">
        <f>IFERROR(__xludf.DUMMYFUNCTION("GOOGLETRANSLATE(F8347,""id"",""en"")"),"Argentina Champion World Cup Messi Ronaldo Completed CNN Indonesia Google Sports News")</f>
        <v>Argentina Champion World Cup Messi Ronaldo Completed CNN Indonesia Google Sports News</v>
      </c>
    </row>
    <row r="8348" ht="15.75" customHeight="1">
      <c r="A8348" s="1">
        <v>9570.0</v>
      </c>
      <c r="B8348" s="3" t="s">
        <v>23880</v>
      </c>
      <c r="C8348" s="3">
        <v>2.0</v>
      </c>
      <c r="D8348" s="3">
        <v>0.0</v>
      </c>
      <c r="E8348" s="3">
        <v>0.0</v>
      </c>
      <c r="F8348" s="3" t="s">
        <v>23881</v>
      </c>
      <c r="G8348" s="3">
        <v>0.0</v>
      </c>
      <c r="H8348" s="3">
        <v>0.0</v>
      </c>
      <c r="I8348" s="3" t="s">
        <v>13</v>
      </c>
      <c r="J8348" s="3" t="s">
        <v>23882</v>
      </c>
      <c r="K8348" s="3" t="s">
        <v>644</v>
      </c>
      <c r="L8348" s="3" t="str">
        <f>IFERROR(__xludf.DUMMYFUNCTION("GOOGLETRANSLATE(F8348,""id"",""en"")"),"Come on Argentina, you can win tonight")</f>
        <v>Come on Argentina, you can win tonight</v>
      </c>
    </row>
    <row r="8349" ht="15.75" customHeight="1">
      <c r="A8349" s="1">
        <v>9571.0</v>
      </c>
      <c r="B8349" s="3" t="s">
        <v>23883</v>
      </c>
      <c r="C8349" s="3">
        <v>0.0</v>
      </c>
      <c r="D8349" s="3">
        <v>0.0</v>
      </c>
      <c r="E8349" s="3">
        <v>0.0</v>
      </c>
      <c r="F8349" s="3" t="s">
        <v>23884</v>
      </c>
      <c r="G8349" s="3">
        <v>0.0</v>
      </c>
      <c r="H8349" s="3">
        <v>0.0</v>
      </c>
      <c r="I8349" s="3" t="s">
        <v>13</v>
      </c>
      <c r="J8349" s="3" t="s">
        <v>23885</v>
      </c>
      <c r="K8349" s="3" t="s">
        <v>477</v>
      </c>
      <c r="L8349" s="3" t="str">
        <f>IFERROR(__xludf.DUMMYFUNCTION("GOOGLETRANSLATE(F8349,""id"",""en"")"),"Argentina Champion World Cup Messi Key Argentina Victory")</f>
        <v>Argentina Champion World Cup Messi Key Argentina Victory</v>
      </c>
    </row>
    <row r="8350" ht="15.75" customHeight="1">
      <c r="A8350" s="1">
        <v>9572.0</v>
      </c>
      <c r="B8350" s="3" t="s">
        <v>23886</v>
      </c>
      <c r="C8350" s="3">
        <v>0.0</v>
      </c>
      <c r="D8350" s="3">
        <v>0.0</v>
      </c>
      <c r="E8350" s="3">
        <v>0.0</v>
      </c>
      <c r="F8350" s="3" t="s">
        <v>23887</v>
      </c>
      <c r="G8350" s="3">
        <v>0.0</v>
      </c>
      <c r="H8350" s="3">
        <v>0.0</v>
      </c>
      <c r="I8350" s="3" t="s">
        <v>13</v>
      </c>
      <c r="J8350" s="3" t="s">
        <v>23888</v>
      </c>
      <c r="K8350" s="3" t="s">
        <v>31</v>
      </c>
      <c r="L8350" s="3" t="str">
        <f>IFERROR(__xludf.DUMMYFUNCTION("GOOGLETRANSLATE(F8350,""id"",""en"")"),"Argentina Champion Dream Malaysia Ajim")</f>
        <v>Argentina Champion Dream Malaysia Ajim</v>
      </c>
    </row>
    <row r="8351" ht="15.75" customHeight="1">
      <c r="A8351" s="1">
        <v>9573.0</v>
      </c>
      <c r="B8351" s="3" t="s">
        <v>23889</v>
      </c>
      <c r="C8351" s="3">
        <v>0.0</v>
      </c>
      <c r="D8351" s="3">
        <v>0.0</v>
      </c>
      <c r="E8351" s="3">
        <v>0.0</v>
      </c>
      <c r="F8351" s="3" t="s">
        <v>23890</v>
      </c>
      <c r="G8351" s="3">
        <v>0.0</v>
      </c>
      <c r="H8351" s="3">
        <v>0.0</v>
      </c>
      <c r="I8351" s="3" t="s">
        <v>13</v>
      </c>
      <c r="J8351" s="3" t="s">
        <v>23891</v>
      </c>
      <c r="K8351" s="3" t="s">
        <v>15</v>
      </c>
      <c r="L8351" s="3" t="str">
        <f>IFERROR(__xludf.DUMMYFUNCTION("GOOGLETRANSLATE(F8351,""id"",""en"")"),"Argentina Champion Kayane assisted by Karo Alm Maradona Kie")</f>
        <v>Argentina Champion Kayane assisted by Karo Alm Maradona Kie</v>
      </c>
    </row>
    <row r="8352" ht="15.75" customHeight="1">
      <c r="A8352" s="1">
        <v>9574.0</v>
      </c>
      <c r="B8352" s="3" t="s">
        <v>23892</v>
      </c>
      <c r="C8352" s="3">
        <v>10.0</v>
      </c>
      <c r="D8352" s="3">
        <v>3.0</v>
      </c>
      <c r="E8352" s="3">
        <v>12.0</v>
      </c>
      <c r="F8352" s="3" t="s">
        <v>23893</v>
      </c>
      <c r="G8352" s="3">
        <v>0.0</v>
      </c>
      <c r="H8352" s="3">
        <v>0.0</v>
      </c>
      <c r="I8352" s="3" t="s">
        <v>13</v>
      </c>
      <c r="J8352" s="3" t="s">
        <v>23894</v>
      </c>
      <c r="K8352" s="3" t="s">
        <v>2610</v>
      </c>
      <c r="L8352" s="3" t="str">
        <f>IFERROR(__xludf.DUMMYFUNCTION("GOOGLETRANSLATE(F8352,""id"",""en"")"),"On the contrary the glory of Argentina was beaten as a World Cup champion, apparently there was a former Johor Darul Zim JDT player who acted as a maid to the chairman of the Juruaratih Lionel Scaloni")</f>
        <v>On the contrary the glory of Argentina was beaten as a World Cup champion, apparently there was a former Johor Darul Zim JDT player who acted as a maid to the chairman of the Juruaratih Lionel Scaloni</v>
      </c>
    </row>
    <row r="8353" ht="15.75" customHeight="1">
      <c r="A8353" s="1">
        <v>9575.0</v>
      </c>
      <c r="B8353" s="3" t="s">
        <v>23895</v>
      </c>
      <c r="C8353" s="3">
        <v>1.0</v>
      </c>
      <c r="D8353" s="3">
        <v>0.0</v>
      </c>
      <c r="E8353" s="3">
        <v>0.0</v>
      </c>
      <c r="F8353" s="3" t="s">
        <v>23896</v>
      </c>
      <c r="G8353" s="3">
        <v>0.09999999999999999</v>
      </c>
      <c r="H8353" s="3">
        <v>0.06666666666666667</v>
      </c>
      <c r="I8353" s="3" t="s">
        <v>48</v>
      </c>
      <c r="J8353" s="3" t="s">
        <v>23897</v>
      </c>
      <c r="K8353" s="3" t="s">
        <v>433</v>
      </c>
      <c r="L8353" s="3" t="str">
        <f>IFERROR(__xludf.DUMMYFUNCTION("GOOGLETRANSLATE(F8353,""id"",""en"")"),"Argentina is happy French crying if back back the title of pity the opponent is the same as extending his fast haha")</f>
        <v>Argentina is happy French crying if back back the title of pity the opponent is the same as extending his fast haha</v>
      </c>
    </row>
    <row r="8354" ht="15.75" customHeight="1">
      <c r="A8354" s="1">
        <v>9576.0</v>
      </c>
      <c r="B8354" s="3" t="s">
        <v>23898</v>
      </c>
      <c r="C8354" s="3">
        <v>0.0</v>
      </c>
      <c r="D8354" s="3">
        <v>0.0</v>
      </c>
      <c r="E8354" s="3">
        <v>0.0</v>
      </c>
      <c r="F8354" s="3" t="s">
        <v>23899</v>
      </c>
      <c r="G8354" s="3">
        <v>0.0</v>
      </c>
      <c r="H8354" s="3">
        <v>0.0</v>
      </c>
      <c r="I8354" s="3" t="s">
        <v>13</v>
      </c>
      <c r="J8354" s="3" t="s">
        <v>23900</v>
      </c>
      <c r="K8354" s="3" t="s">
        <v>35</v>
      </c>
      <c r="L8354" s="3" t="str">
        <f>IFERROR(__xludf.DUMMYFUNCTION("GOOGLETRANSLATE(F8354,""id"",""en"")"),"Argentina Champion Emiliano Martinez managed to become the best goalkeeper of the Qatar World Cup Martinez")</f>
        <v>Argentina Champion Emiliano Martinez managed to become the best goalkeeper of the Qatar World Cup Martinez</v>
      </c>
    </row>
    <row r="8355" ht="15.75" customHeight="1">
      <c r="A8355" s="1">
        <v>9577.0</v>
      </c>
      <c r="B8355" s="3" t="s">
        <v>23901</v>
      </c>
      <c r="C8355" s="3">
        <v>0.0</v>
      </c>
      <c r="D8355" s="3">
        <v>0.0</v>
      </c>
      <c r="E8355" s="3">
        <v>0.0</v>
      </c>
      <c r="F8355" s="3" t="s">
        <v>23902</v>
      </c>
      <c r="G8355" s="3">
        <v>0.0</v>
      </c>
      <c r="H8355" s="3">
        <v>0.0</v>
      </c>
      <c r="I8355" s="3" t="s">
        <v>13</v>
      </c>
      <c r="J8355" s="3" t="s">
        <v>23903</v>
      </c>
      <c r="K8355" s="3" t="s">
        <v>1157</v>
      </c>
      <c r="L8355" s="3" t="str">
        <f>IFERROR(__xludf.DUMMYFUNCTION("GOOGLETRANSLATE(F8355,""id"",""en"")"),"Just think Messi debuted what year ARGEN had won even though the Argentine player was all classy from since the debut of Messi Pildun he was depressed by the management of Barca every permit to appear for Agen and after Maradona died a little knowing")</f>
        <v>Just think Messi debuted what year ARGEN had won even though the Argentine player was all classy from since the debut of Messi Pildun he was depressed by the management of Barca every permit to appear for Agen and after Maradona died a little knowing</v>
      </c>
    </row>
    <row r="8356" ht="15.75" customHeight="1">
      <c r="A8356" s="1">
        <v>9578.0</v>
      </c>
      <c r="B8356" s="3" t="s">
        <v>23904</v>
      </c>
      <c r="C8356" s="3">
        <v>0.0</v>
      </c>
      <c r="D8356" s="3">
        <v>0.0</v>
      </c>
      <c r="E8356" s="3">
        <v>0.0</v>
      </c>
      <c r="F8356" s="3" t="s">
        <v>23905</v>
      </c>
      <c r="G8356" s="3">
        <v>0.0</v>
      </c>
      <c r="H8356" s="3">
        <v>0.0</v>
      </c>
      <c r="I8356" s="3" t="s">
        <v>13</v>
      </c>
      <c r="J8356" s="3" t="s">
        <v>23906</v>
      </c>
      <c r="K8356" s="3" t="s">
        <v>644</v>
      </c>
      <c r="L8356" s="3" t="str">
        <f>IFERROR(__xludf.DUMMYFUNCTION("GOOGLETRANSLATE(F8356,""id"",""en"")"),"Argentina Cool World Champion")</f>
        <v>Argentina Cool World Champion</v>
      </c>
    </row>
    <row r="8357" ht="15.75" customHeight="1">
      <c r="A8357" s="1">
        <v>9579.0</v>
      </c>
      <c r="B8357" s="3" t="s">
        <v>23907</v>
      </c>
      <c r="C8357" s="3">
        <v>0.0</v>
      </c>
      <c r="D8357" s="3">
        <v>0.0</v>
      </c>
      <c r="E8357" s="3">
        <v>0.0</v>
      </c>
      <c r="F8357" s="3" t="s">
        <v>23908</v>
      </c>
      <c r="G8357" s="3">
        <v>1.0</v>
      </c>
      <c r="H8357" s="3">
        <v>0.1</v>
      </c>
      <c r="I8357" s="3" t="s">
        <v>48</v>
      </c>
      <c r="J8357" s="3" t="s">
        <v>23909</v>
      </c>
      <c r="K8357" s="3" t="s">
        <v>644</v>
      </c>
      <c r="L8357" s="3" t="str">
        <f>IFERROR(__xludf.DUMMYFUNCTION("GOOGLETRANSLATE(F8357,""id"",""en"")"),"Is Argentina champion due to him wow")</f>
        <v>Is Argentina champion due to him wow</v>
      </c>
    </row>
    <row r="8358" ht="15.75" customHeight="1">
      <c r="A8358" s="1">
        <v>9580.0</v>
      </c>
      <c r="B8358" s="3" t="s">
        <v>23910</v>
      </c>
      <c r="C8358" s="3">
        <v>0.0</v>
      </c>
      <c r="D8358" s="3">
        <v>0.0</v>
      </c>
      <c r="E8358" s="3">
        <v>1.0</v>
      </c>
      <c r="F8358" s="3" t="s">
        <v>23911</v>
      </c>
      <c r="G8358" s="3">
        <v>0.0</v>
      </c>
      <c r="H8358" s="3">
        <v>0.0</v>
      </c>
      <c r="I8358" s="3" t="s">
        <v>13</v>
      </c>
      <c r="J8358" s="3" t="s">
        <v>23912</v>
      </c>
      <c r="K8358" s="3" t="s">
        <v>495</v>
      </c>
      <c r="L8358" s="3" t="str">
        <f>IFERROR(__xludf.DUMMYFUNCTION("GOOGLETRANSLATE(F8358,""id"",""en"")"),"There is a fake David Beckham who participated in the Argentine victory of the World Cup champion, don't be surprised he is Papu Gomez who is the ingredient of Aguero's joke")</f>
        <v>There is a fake David Beckham who participated in the Argentine victory of the World Cup champion, don't be surprised he is Papu Gomez who is the ingredient of Aguero's joke</v>
      </c>
    </row>
    <row r="8359" ht="15.75" customHeight="1">
      <c r="A8359" s="1">
        <v>9581.0</v>
      </c>
      <c r="B8359" s="3" t="s">
        <v>23913</v>
      </c>
      <c r="C8359" s="3">
        <v>1.0</v>
      </c>
      <c r="D8359" s="3">
        <v>0.0</v>
      </c>
      <c r="E8359" s="3">
        <v>0.0</v>
      </c>
      <c r="F8359" s="3" t="s">
        <v>23914</v>
      </c>
      <c r="G8359" s="3">
        <v>0.0</v>
      </c>
      <c r="H8359" s="3">
        <v>0.0</v>
      </c>
      <c r="I8359" s="3" t="s">
        <v>13</v>
      </c>
      <c r="J8359" s="3" t="s">
        <v>23915</v>
      </c>
      <c r="K8359" s="3" t="s">
        <v>15</v>
      </c>
      <c r="L8359" s="3" t="str">
        <f>IFERROR(__xludf.DUMMYFUNCTION("GOOGLETRANSLATE(F8359,""id"",""en"")"),"Saudi Arabia has beaten Argentina who was a champion")</f>
        <v>Saudi Arabia has beaten Argentina who was a champion</v>
      </c>
    </row>
    <row r="8360" ht="15.75" customHeight="1">
      <c r="A8360" s="1">
        <v>9582.0</v>
      </c>
      <c r="B8360" s="3" t="s">
        <v>23916</v>
      </c>
      <c r="C8360" s="3">
        <v>0.0</v>
      </c>
      <c r="D8360" s="3">
        <v>0.0</v>
      </c>
      <c r="E8360" s="3">
        <v>0.0</v>
      </c>
      <c r="F8360" s="3" t="s">
        <v>23917</v>
      </c>
      <c r="G8360" s="3">
        <v>0.0</v>
      </c>
      <c r="H8360" s="3">
        <v>0.0</v>
      </c>
      <c r="I8360" s="3" t="s">
        <v>13</v>
      </c>
      <c r="J8360" s="3" t="s">
        <v>23918</v>
      </c>
      <c r="K8360" s="3" t="s">
        <v>1479</v>
      </c>
      <c r="L8360" s="3" t="str">
        <f>IFERROR(__xludf.DUMMYFUNCTION("GOOGLETRANSLATE(F8360,""id"",""en"")"),"Plot Twist is actually a Word Cup champion which is actually Saudi Arabia Karana Saudi Arabia has defeated Argentina")</f>
        <v>Plot Twist is actually a Word Cup champion which is actually Saudi Arabia Karana Saudi Arabia has defeated Argentina</v>
      </c>
    </row>
    <row r="8361" ht="15.75" customHeight="1">
      <c r="A8361" s="1">
        <v>9583.0</v>
      </c>
      <c r="B8361" s="3" t="s">
        <v>23919</v>
      </c>
      <c r="C8361" s="3">
        <v>0.0</v>
      </c>
      <c r="D8361" s="3">
        <v>0.0</v>
      </c>
      <c r="E8361" s="3">
        <v>0.0</v>
      </c>
      <c r="F8361" s="3" t="s">
        <v>23920</v>
      </c>
      <c r="G8361" s="3">
        <v>0.0</v>
      </c>
      <c r="H8361" s="3">
        <v>0.0</v>
      </c>
      <c r="I8361" s="3" t="s">
        <v>13</v>
      </c>
      <c r="J8361" s="3" t="s">
        <v>23921</v>
      </c>
      <c r="K8361" s="3" t="s">
        <v>50</v>
      </c>
      <c r="L8361" s="3" t="str">
        <f>IFERROR(__xludf.DUMMYFUNCTION("GOOGLETRANSLATE(F8361,""id"",""en"")"),"Argentina Champion Mario Gotze Share pictures when Messi rose from the downturn of the World Cup")</f>
        <v>Argentina Champion Mario Gotze Share pictures when Messi rose from the downturn of the World Cup</v>
      </c>
    </row>
    <row r="8362" ht="15.75" customHeight="1">
      <c r="A8362" s="1">
        <v>9584.0</v>
      </c>
      <c r="B8362" s="3" t="s">
        <v>23922</v>
      </c>
      <c r="C8362" s="3">
        <v>0.0</v>
      </c>
      <c r="D8362" s="3">
        <v>0.0</v>
      </c>
      <c r="E8362" s="3">
        <v>1.0</v>
      </c>
      <c r="F8362" s="3" t="s">
        <v>23796</v>
      </c>
      <c r="G8362" s="3">
        <v>0.0</v>
      </c>
      <c r="H8362" s="3">
        <v>0.0</v>
      </c>
      <c r="I8362" s="3" t="s">
        <v>13</v>
      </c>
      <c r="J8362" s="3" t="s">
        <v>23797</v>
      </c>
      <c r="K8362" s="3" t="s">
        <v>19</v>
      </c>
      <c r="L8362" s="3" t="str">
        <f>IFERROR(__xludf.DUMMYFUNCTION("GOOGLETRANSLATE(F8362,""id"",""en"")"),"Lionel Messi's Birth Capital to be the Ocean of Humans After Argentina Champion World Cup")</f>
        <v>Lionel Messi's Birth Capital to be the Ocean of Humans After Argentina Champion World Cup</v>
      </c>
    </row>
    <row r="8363" ht="15.75" customHeight="1">
      <c r="A8363" s="1">
        <v>9585.0</v>
      </c>
      <c r="B8363" s="3" t="s">
        <v>23923</v>
      </c>
      <c r="C8363" s="3">
        <v>0.0</v>
      </c>
      <c r="D8363" s="3">
        <v>0.0</v>
      </c>
      <c r="E8363" s="3">
        <v>0.0</v>
      </c>
      <c r="F8363" s="3" t="s">
        <v>23924</v>
      </c>
      <c r="G8363" s="3">
        <v>0.55</v>
      </c>
      <c r="H8363" s="3">
        <v>0.35</v>
      </c>
      <c r="I8363" s="3" t="s">
        <v>48</v>
      </c>
      <c r="J8363" s="3" t="s">
        <v>23925</v>
      </c>
      <c r="K8363" s="3" t="s">
        <v>75</v>
      </c>
      <c r="L8363" s="3" t="str">
        <f>IFERROR(__xludf.DUMMYFUNCTION("GOOGLETRANSLATE(F8363,""id"",""en"")"),"Argentina Champion Pilduun Jenrina Frame full smile until the next year")</f>
        <v>Argentina Champion Pilduun Jenrina Frame full smile until the next year</v>
      </c>
    </row>
    <row r="8364" ht="15.75" customHeight="1">
      <c r="A8364" s="1">
        <v>9586.0</v>
      </c>
      <c r="B8364" s="3" t="s">
        <v>23926</v>
      </c>
      <c r="C8364" s="3">
        <v>0.0</v>
      </c>
      <c r="D8364" s="3">
        <v>0.0</v>
      </c>
      <c r="E8364" s="3">
        <v>3.0</v>
      </c>
      <c r="F8364" s="3" t="s">
        <v>23927</v>
      </c>
      <c r="G8364" s="3">
        <v>0.0</v>
      </c>
      <c r="H8364" s="3">
        <v>0.0</v>
      </c>
      <c r="I8364" s="3" t="s">
        <v>13</v>
      </c>
      <c r="J8364" s="3" t="s">
        <v>23928</v>
      </c>
      <c r="K8364" s="3" t="s">
        <v>1097</v>
      </c>
      <c r="L8364" s="3" t="str">
        <f>IFERROR(__xludf.DUMMYFUNCTION("GOOGLETRANSLATE(F8364,""id"",""en"")"),"After the Argentine tweet, the Qatar Champion Viral Tweet may be mantab")</f>
        <v>After the Argentine tweet, the Qatar Champion Viral Tweet may be mantab</v>
      </c>
    </row>
    <row r="8365" ht="15.75" customHeight="1">
      <c r="A8365" s="1">
        <v>9587.0</v>
      </c>
      <c r="B8365" s="3" t="s">
        <v>23929</v>
      </c>
      <c r="C8365" s="3">
        <v>0.0</v>
      </c>
      <c r="D8365" s="3">
        <v>0.0</v>
      </c>
      <c r="E8365" s="3">
        <v>0.0</v>
      </c>
      <c r="F8365" s="3" t="s">
        <v>23930</v>
      </c>
      <c r="G8365" s="3">
        <v>0.0</v>
      </c>
      <c r="H8365" s="3">
        <v>0.0</v>
      </c>
      <c r="I8365" s="3" t="s">
        <v>13</v>
      </c>
      <c r="J8365" s="3" t="s">
        <v>23931</v>
      </c>
      <c r="K8365" s="3" t="s">
        <v>31</v>
      </c>
      <c r="L8365" s="3" t="str">
        <f>IFERROR(__xludf.DUMMYFUNCTION("GOOGLETRANSLATE(F8365,""id"",""en"")"),"Argentina World Champion Praise God")</f>
        <v>Argentina World Champion Praise God</v>
      </c>
    </row>
    <row r="8366" ht="15.75" customHeight="1">
      <c r="A8366" s="1">
        <v>9588.0</v>
      </c>
      <c r="B8366" s="3" t="s">
        <v>23932</v>
      </c>
      <c r="C8366" s="3">
        <v>0.0</v>
      </c>
      <c r="D8366" s="3">
        <v>0.0</v>
      </c>
      <c r="E8366" s="3">
        <v>0.0</v>
      </c>
      <c r="F8366" s="3" t="s">
        <v>23933</v>
      </c>
      <c r="G8366" s="3">
        <v>0.2</v>
      </c>
      <c r="H8366" s="3">
        <v>0.2</v>
      </c>
      <c r="I8366" s="3" t="s">
        <v>48</v>
      </c>
      <c r="J8366" s="3" t="s">
        <v>23934</v>
      </c>
      <c r="K8366" s="3" t="s">
        <v>510</v>
      </c>
      <c r="L8366" s="3" t="str">
        <f>IFERROR(__xludf.DUMMYFUNCTION("GOOGLETRANSLATE(F8366,""id"",""en"")"),"Makassar Argentina Champion and this time PSM won in a day getting extraordinary pleasure thanks God")</f>
        <v>Makassar Argentina Champion and this time PSM won in a day getting extraordinary pleasure thanks God</v>
      </c>
    </row>
    <row r="8367" ht="15.75" customHeight="1">
      <c r="A8367" s="1">
        <v>9589.0</v>
      </c>
      <c r="B8367" s="3" t="s">
        <v>23935</v>
      </c>
      <c r="C8367" s="3">
        <v>1.0</v>
      </c>
      <c r="D8367" s="3">
        <v>1.0</v>
      </c>
      <c r="E8367" s="3">
        <v>4.0</v>
      </c>
      <c r="F8367" s="3" t="s">
        <v>23936</v>
      </c>
      <c r="G8367" s="3">
        <v>0.0</v>
      </c>
      <c r="H8367" s="3">
        <v>0.0</v>
      </c>
      <c r="I8367" s="3" t="s">
        <v>13</v>
      </c>
      <c r="J8367" s="3" t="s">
        <v>23937</v>
      </c>
      <c r="K8367" s="3" t="s">
        <v>71</v>
      </c>
      <c r="L8367" s="3" t="str">
        <f>IFERROR(__xludf.DUMMYFUNCTION("GOOGLETRANSLATE(F8367,""id"",""en"")"),"Gonzalo Montiel helped Argentina world champion after successfully executing a penalty kick against France's collection")</f>
        <v>Gonzalo Montiel helped Argentina world champion after successfully executing a penalty kick against France's collection</v>
      </c>
    </row>
    <row r="8368" ht="15.75" customHeight="1">
      <c r="A8368" s="1">
        <v>9590.0</v>
      </c>
      <c r="B8368" s="3" t="s">
        <v>23938</v>
      </c>
      <c r="C8368" s="3">
        <v>0.0</v>
      </c>
      <c r="D8368" s="3">
        <v>0.0</v>
      </c>
      <c r="E8368" s="3">
        <v>0.0</v>
      </c>
      <c r="F8368" s="3" t="s">
        <v>23939</v>
      </c>
      <c r="G8368" s="3">
        <v>0.2</v>
      </c>
      <c r="H8368" s="3">
        <v>0.2</v>
      </c>
      <c r="I8368" s="3" t="s">
        <v>48</v>
      </c>
      <c r="J8368" s="3" t="s">
        <v>23940</v>
      </c>
      <c r="K8368" s="3" t="s">
        <v>510</v>
      </c>
      <c r="L8368" s="3" t="str">
        <f>IFERROR(__xludf.DUMMYFUNCTION("GOOGLETRANSLATE(F8368,""id"",""en"")"),"all the theories of the Argentina champion's world cup championship this year has occurred, it has been destined by Thanks Admin Eti")</f>
        <v>all the theories of the Argentina champion's world cup championship this year has occurred, it has been destined by Thanks Admin Eti</v>
      </c>
    </row>
    <row r="8369" ht="15.75" customHeight="1">
      <c r="A8369" s="1">
        <v>9591.0</v>
      </c>
      <c r="B8369" s="3" t="s">
        <v>23941</v>
      </c>
      <c r="C8369" s="3">
        <v>0.0</v>
      </c>
      <c r="D8369" s="3">
        <v>0.0</v>
      </c>
      <c r="E8369" s="3">
        <v>1.0</v>
      </c>
      <c r="F8369" s="3" t="s">
        <v>23942</v>
      </c>
      <c r="G8369" s="3">
        <v>0.0</v>
      </c>
      <c r="H8369" s="3">
        <v>0.0</v>
      </c>
      <c r="I8369" s="3" t="s">
        <v>13</v>
      </c>
      <c r="J8369" s="3" t="s">
        <v>23943</v>
      </c>
      <c r="K8369" s="3" t="s">
        <v>82</v>
      </c>
      <c r="L8369" s="3" t="str">
        <f>IFERROR(__xludf.DUMMYFUNCTION("GOOGLETRANSLATE(F8369,""id"",""en"")"),"Still thought that Argentina Messi won FWC Amo Hermanos")</f>
        <v>Still thought that Argentina Messi won FWC Amo Hermanos</v>
      </c>
    </row>
    <row r="8370" ht="15.75" customHeight="1">
      <c r="A8370" s="1">
        <v>9592.0</v>
      </c>
      <c r="B8370" s="3" t="s">
        <v>23944</v>
      </c>
      <c r="C8370" s="3">
        <v>0.0</v>
      </c>
      <c r="D8370" s="3">
        <v>0.0</v>
      </c>
      <c r="E8370" s="3">
        <v>0.0</v>
      </c>
      <c r="F8370" s="3" t="s">
        <v>23945</v>
      </c>
      <c r="G8370" s="3">
        <v>0.0</v>
      </c>
      <c r="H8370" s="3">
        <v>0.0</v>
      </c>
      <c r="I8370" s="3" t="s">
        <v>13</v>
      </c>
      <c r="J8370" s="3" t="s">
        <v>23946</v>
      </c>
      <c r="K8370" s="3" t="s">
        <v>82</v>
      </c>
      <c r="L8370" s="3" t="str">
        <f>IFERROR(__xludf.DUMMYFUNCTION("GOOGLETRANSLATE(F8370,""id"",""en"")"),"Not yet retired Lionel Messi still wants to defend Argentina as a world champion")</f>
        <v>Not yet retired Lionel Messi still wants to defend Argentina as a world champion</v>
      </c>
    </row>
    <row r="8371" ht="15.75" customHeight="1">
      <c r="A8371" s="1">
        <v>9593.0</v>
      </c>
      <c r="B8371" s="3" t="s">
        <v>23947</v>
      </c>
      <c r="C8371" s="3">
        <v>0.0</v>
      </c>
      <c r="D8371" s="3">
        <v>0.0</v>
      </c>
      <c r="E8371" s="3">
        <v>0.0</v>
      </c>
      <c r="F8371" s="3" t="s">
        <v>23948</v>
      </c>
      <c r="G8371" s="3">
        <v>0.0</v>
      </c>
      <c r="H8371" s="3">
        <v>0.0</v>
      </c>
      <c r="I8371" s="3" t="s">
        <v>13</v>
      </c>
      <c r="J8371" s="3" t="s">
        <v>23949</v>
      </c>
      <c r="K8371" s="3" t="s">
        <v>477</v>
      </c>
      <c r="L8371" s="3" t="str">
        <f>IFERROR(__xludf.DUMMYFUNCTION("GOOGLETRANSLATE(F8371,""id"",""en"")"),"Argentina Champion World Cup Syafrudin from the beginning I supported Argentina")</f>
        <v>Argentina Champion World Cup Syafrudin from the beginning I supported Argentina</v>
      </c>
    </row>
    <row r="8372" ht="15.75" customHeight="1">
      <c r="A8372" s="1">
        <v>9594.0</v>
      </c>
      <c r="B8372" s="3" t="s">
        <v>23950</v>
      </c>
      <c r="C8372" s="3">
        <v>1.0</v>
      </c>
      <c r="D8372" s="3">
        <v>0.0</v>
      </c>
      <c r="E8372" s="3">
        <v>1.0</v>
      </c>
      <c r="F8372" s="3" t="s">
        <v>23951</v>
      </c>
      <c r="G8372" s="3">
        <v>0.0</v>
      </c>
      <c r="H8372" s="3">
        <v>0.0</v>
      </c>
      <c r="I8372" s="3" t="s">
        <v>13</v>
      </c>
      <c r="J8372" s="3" t="s">
        <v>23952</v>
      </c>
      <c r="K8372" s="3" t="s">
        <v>903</v>
      </c>
      <c r="L8372" s="3" t="str">
        <f>IFERROR(__xludf.DUMMYFUNCTION("GOOGLETRANSLATE(F8372,""id"",""en"")"),"Give information about half the name of Pepe Carvalho Wonderkid Renato Sanchhes Nani Moutinho and Patricio Bagus at that time Kurleb and Sikon Squad with Argentina except Portugal")</f>
        <v>Give information about half the name of Pepe Carvalho Wonderkid Renato Sanchhes Nani Moutinho and Patricio Bagus at that time Kurleb and Sikon Squad with Argentina except Portugal</v>
      </c>
    </row>
    <row r="8373" ht="15.75" customHeight="1">
      <c r="A8373" s="1">
        <v>9595.0</v>
      </c>
      <c r="B8373" s="3" t="s">
        <v>23953</v>
      </c>
      <c r="C8373" s="3">
        <v>0.0</v>
      </c>
      <c r="D8373" s="3">
        <v>0.0</v>
      </c>
      <c r="E8373" s="3">
        <v>0.0</v>
      </c>
      <c r="F8373" s="3" t="s">
        <v>23954</v>
      </c>
      <c r="G8373" s="3">
        <v>0.0</v>
      </c>
      <c r="H8373" s="3">
        <v>0.0</v>
      </c>
      <c r="I8373" s="3" t="s">
        <v>13</v>
      </c>
      <c r="J8373" s="3" t="s">
        <v>23955</v>
      </c>
      <c r="K8373" s="3" t="s">
        <v>82</v>
      </c>
      <c r="L8373" s="3" t="str">
        <f>IFERROR(__xludf.DUMMYFUNCTION("GOOGLETRANSLATE(F8373,""id"",""en"")"),"Jiah is Argentina, the last championship of Maradona")</f>
        <v>Jiah is Argentina, the last championship of Maradona</v>
      </c>
    </row>
    <row r="8374" ht="15.75" customHeight="1">
      <c r="A8374" s="1">
        <v>9596.0</v>
      </c>
      <c r="B8374" s="3" t="s">
        <v>23956</v>
      </c>
      <c r="C8374" s="3">
        <v>1.0</v>
      </c>
      <c r="D8374" s="3">
        <v>0.0</v>
      </c>
      <c r="E8374" s="3">
        <v>0.0</v>
      </c>
      <c r="F8374" s="3" t="s">
        <v>23957</v>
      </c>
      <c r="G8374" s="3">
        <v>1.0</v>
      </c>
      <c r="H8374" s="3">
        <v>0.0</v>
      </c>
      <c r="I8374" s="3" t="s">
        <v>13</v>
      </c>
      <c r="J8374" s="3" t="s">
        <v>23958</v>
      </c>
      <c r="K8374" s="3" t="s">
        <v>657</v>
      </c>
      <c r="L8374" s="3" t="str">
        <f>IFERROR(__xludf.DUMMYFUNCTION("GOOGLETRANSLATE(F8374,""id"",""en"")"),"Finally Leo Messi Champion World Cup with Argentina so far watching this football final")</f>
        <v>Finally Leo Messi Champion World Cup with Argentina so far watching this football final</v>
      </c>
    </row>
    <row r="8375" ht="15.75" customHeight="1">
      <c r="A8375" s="1">
        <v>9597.0</v>
      </c>
      <c r="B8375" s="3" t="s">
        <v>23959</v>
      </c>
      <c r="C8375" s="3">
        <v>1.0</v>
      </c>
      <c r="D8375" s="3">
        <v>0.0</v>
      </c>
      <c r="E8375" s="3">
        <v>0.0</v>
      </c>
      <c r="F8375" s="3" t="s">
        <v>23960</v>
      </c>
      <c r="G8375" s="3">
        <v>1.0</v>
      </c>
      <c r="H8375" s="3">
        <v>0.0</v>
      </c>
      <c r="I8375" s="3" t="s">
        <v>13</v>
      </c>
      <c r="J8375" s="3" t="s">
        <v>23961</v>
      </c>
      <c r="K8375" s="3" t="s">
        <v>1489</v>
      </c>
      <c r="L8375" s="3" t="str">
        <f>IFERROR(__xludf.DUMMYFUNCTION("GOOGLETRANSLATE(F8375,""id"",""en"")"),"The last year waiting for Argentina champions, precisely last year, at that time Argentina was still strengthened by the legend Diego Maradona after successfully entering the World Cup final and now Argentina managed to come back out to become champions")</f>
        <v>The last year waiting for Argentina champions, precisely last year, at that time Argentina was still strengthened by the legend Diego Maradona after successfully entering the World Cup final and now Argentina managed to come back out to become champions</v>
      </c>
    </row>
    <row r="8376" ht="15.75" customHeight="1">
      <c r="A8376" s="1">
        <v>9598.0</v>
      </c>
      <c r="B8376" s="3" t="s">
        <v>23962</v>
      </c>
      <c r="C8376" s="3">
        <v>0.0</v>
      </c>
      <c r="D8376" s="3">
        <v>0.0</v>
      </c>
      <c r="E8376" s="3">
        <v>7.0</v>
      </c>
      <c r="F8376" s="3" t="s">
        <v>23963</v>
      </c>
      <c r="G8376" s="3">
        <v>0.0</v>
      </c>
      <c r="H8376" s="3">
        <v>0.0</v>
      </c>
      <c r="I8376" s="3" t="s">
        <v>13</v>
      </c>
      <c r="J8376" s="3" t="s">
        <v>23964</v>
      </c>
      <c r="K8376" s="3" t="s">
        <v>41</v>
      </c>
      <c r="L8376" s="3" t="str">
        <f>IFERROR(__xludf.DUMMYFUNCTION("GOOGLETRANSLATE(F8376,""id"",""en"")"),"Satire John Terry to Sergio Aguero who took part in the celebration of Argentina champions")</f>
        <v>Satire John Terry to Sergio Aguero who took part in the celebration of Argentina champions</v>
      </c>
    </row>
    <row r="8377" ht="15.75" customHeight="1">
      <c r="A8377" s="1">
        <v>9599.0</v>
      </c>
      <c r="B8377" s="3" t="s">
        <v>23965</v>
      </c>
      <c r="C8377" s="3">
        <v>1.0</v>
      </c>
      <c r="D8377" s="3">
        <v>0.0</v>
      </c>
      <c r="E8377" s="3">
        <v>0.0</v>
      </c>
      <c r="F8377" s="3" t="s">
        <v>23966</v>
      </c>
      <c r="G8377" s="3">
        <v>0.0</v>
      </c>
      <c r="H8377" s="3">
        <v>0.0</v>
      </c>
      <c r="I8377" s="3" t="s">
        <v>13</v>
      </c>
      <c r="J8377" s="3" t="s">
        <v>23967</v>
      </c>
      <c r="K8377" s="3" t="s">
        <v>437</v>
      </c>
      <c r="L8377" s="3" t="str">
        <f>IFERROR(__xludf.DUMMYFUNCTION("GOOGLETRANSLATE(F8377,""id"",""en"")"),"But the World Cup is already a real setting setting the same Almighty for Messi and Argentina who became champions and that was a fact")</f>
        <v>But the World Cup is already a real setting setting the same Almighty for Messi and Argentina who became champions and that was a fact</v>
      </c>
    </row>
    <row r="8378" ht="15.75" customHeight="1">
      <c r="A8378" s="1">
        <v>9600.0</v>
      </c>
      <c r="B8378" s="3" t="s">
        <v>23968</v>
      </c>
      <c r="C8378" s="3">
        <v>0.0</v>
      </c>
      <c r="D8378" s="3">
        <v>0.0</v>
      </c>
      <c r="E8378" s="3">
        <v>1.0</v>
      </c>
      <c r="F8378" s="3" t="s">
        <v>23969</v>
      </c>
      <c r="G8378" s="3">
        <v>0.0</v>
      </c>
      <c r="H8378" s="3">
        <v>0.0</v>
      </c>
      <c r="I8378" s="3" t="s">
        <v>13</v>
      </c>
      <c r="J8378" s="3" t="s">
        <v>23970</v>
      </c>
      <c r="K8378" s="3" t="s">
        <v>54</v>
      </c>
      <c r="L8378" s="3" t="str">
        <f>IFERROR(__xludf.DUMMYFUNCTION("GOOGLETRANSLATE(F8378,""id"",""en"")"),"deliberately made a goal so that Argentina champions coy")</f>
        <v>deliberately made a goal so that Argentina champions coy</v>
      </c>
    </row>
    <row r="8379" ht="15.75" customHeight="1">
      <c r="A8379" s="1">
        <v>9601.0</v>
      </c>
      <c r="B8379" s="3" t="s">
        <v>23971</v>
      </c>
      <c r="C8379" s="3">
        <v>1.0</v>
      </c>
      <c r="D8379" s="3">
        <v>0.0</v>
      </c>
      <c r="E8379" s="3">
        <v>0.0</v>
      </c>
      <c r="F8379" s="3" t="s">
        <v>23972</v>
      </c>
      <c r="G8379" s="3">
        <v>0.0</v>
      </c>
      <c r="H8379" s="3">
        <v>0.0</v>
      </c>
      <c r="I8379" s="3" t="s">
        <v>13</v>
      </c>
      <c r="J8379" s="3" t="s">
        <v>23973</v>
      </c>
      <c r="K8379" s="3" t="s">
        <v>205</v>
      </c>
      <c r="L8379" s="3" t="str">
        <f>IFERROR(__xludf.DUMMYFUNCTION("GOOGLETRANSLATE(F8379,""id"",""en"")"),"Argentina is clearly happy to be the champion of the Qatar World Cup, but behind that success there are a number of things that we need to learn from the Argentine national team in achieving success this can not only be applied in the world of sports but "&amp;"also in")</f>
        <v>Argentina is clearly happy to be the champion of the Qatar World Cup, but behind that success there are a number of things that we need to learn from the Argentine national team in achieving success this can not only be applied in the world of sports but also in</v>
      </c>
    </row>
    <row r="8380" ht="15.75" customHeight="1">
      <c r="A8380" s="1">
        <v>9602.0</v>
      </c>
      <c r="B8380" s="3" t="s">
        <v>23974</v>
      </c>
      <c r="C8380" s="3">
        <v>0.0</v>
      </c>
      <c r="D8380" s="3">
        <v>0.0</v>
      </c>
      <c r="E8380" s="3">
        <v>0.0</v>
      </c>
      <c r="F8380" s="3" t="s">
        <v>23975</v>
      </c>
      <c r="G8380" s="3">
        <v>0.0</v>
      </c>
      <c r="H8380" s="3">
        <v>0.0</v>
      </c>
      <c r="I8380" s="3" t="s">
        <v>13</v>
      </c>
      <c r="J8380" s="3" t="s">
        <v>23976</v>
      </c>
      <c r="K8380" s="3" t="s">
        <v>75</v>
      </c>
      <c r="L8380" s="3" t="str">
        <f>IFERROR(__xludf.DUMMYFUNCTION("GOOGLETRANSLATE(F8380,""id"",""en"")"),"Morocco lost to support France because many Argentinian Muslims champions were increasingly embarrassed")</f>
        <v>Morocco lost to support France because many Argentinian Muslims champions were increasingly embarrassed</v>
      </c>
    </row>
    <row r="8381" ht="15.75" customHeight="1">
      <c r="A8381" s="1">
        <v>9603.0</v>
      </c>
      <c r="B8381" s="3" t="s">
        <v>23977</v>
      </c>
      <c r="C8381" s="3">
        <v>0.0</v>
      </c>
      <c r="D8381" s="3">
        <v>0.0</v>
      </c>
      <c r="E8381" s="3">
        <v>0.0</v>
      </c>
      <c r="F8381" s="3" t="s">
        <v>23978</v>
      </c>
      <c r="G8381" s="3">
        <v>0.0</v>
      </c>
      <c r="H8381" s="3">
        <v>0.0</v>
      </c>
      <c r="I8381" s="3" t="s">
        <v>13</v>
      </c>
      <c r="J8381" s="3" t="s">
        <v>23979</v>
      </c>
      <c r="K8381" s="3" t="s">
        <v>58</v>
      </c>
      <c r="L8381" s="3" t="str">
        <f>IFERROR(__xludf.DUMMYFUNCTION("GOOGLETRANSLATE(F8381,""id"",""en"")"),"If later the champion then his congratulations to Indonesia or PSSI were the same as Argentina yesterday the champion was Argentina or AFA")</f>
        <v>If later the champion then his congratulations to Indonesia or PSSI were the same as Argentina yesterday the champion was Argentina or AFA</v>
      </c>
    </row>
    <row r="8382" ht="15.75" customHeight="1">
      <c r="A8382" s="1">
        <v>9604.0</v>
      </c>
      <c r="B8382" s="3" t="s">
        <v>23980</v>
      </c>
      <c r="C8382" s="3">
        <v>0.0</v>
      </c>
      <c r="D8382" s="3">
        <v>0.0</v>
      </c>
      <c r="E8382" s="3">
        <v>0.0</v>
      </c>
      <c r="F8382" s="3" t="s">
        <v>23981</v>
      </c>
      <c r="G8382" s="3">
        <v>0.0</v>
      </c>
      <c r="H8382" s="3">
        <v>0.0</v>
      </c>
      <c r="I8382" s="3" t="s">
        <v>13</v>
      </c>
      <c r="J8382" s="3" t="s">
        <v>23982</v>
      </c>
      <c r="K8382" s="3" t="s">
        <v>50</v>
      </c>
      <c r="L8382" s="3" t="str">
        <f>IFERROR(__xludf.DUMMYFUNCTION("GOOGLETRANSLATE(F8382,""id"",""en"")"),"Emiliano Martinez is happy Mbappe and France kick him Argentina World Cup champions")</f>
        <v>Emiliano Martinez is happy Mbappe and France kick him Argentina World Cup champions</v>
      </c>
    </row>
    <row r="8383" ht="15.75" customHeight="1">
      <c r="A8383" s="1">
        <v>9605.0</v>
      </c>
      <c r="B8383" s="3" t="s">
        <v>23983</v>
      </c>
      <c r="C8383" s="3">
        <v>0.0</v>
      </c>
      <c r="D8383" s="3">
        <v>0.0</v>
      </c>
      <c r="E8383" s="3">
        <v>0.0</v>
      </c>
      <c r="F8383" s="3" t="s">
        <v>23984</v>
      </c>
      <c r="G8383" s="3">
        <v>0.0</v>
      </c>
      <c r="H8383" s="3">
        <v>0.0</v>
      </c>
      <c r="I8383" s="3" t="s">
        <v>13</v>
      </c>
      <c r="J8383" s="3" t="s">
        <v>23985</v>
      </c>
      <c r="K8383" s="3" t="s">
        <v>1810</v>
      </c>
      <c r="L8383" s="3" t="str">
        <f>IFERROR(__xludf.DUMMYFUNCTION("GOOGLETRANSLATE(F8383,""id"",""en"")"),"wkwkwk from the beginning of watching the world cup already feels really wow from the opening match of the host immediately lost Argentina to the Saudi Saudi State of Asian countries compact making a surprise match that watched only Croatian Moroccan matc"&amp;"hes because they were lazy to watch the championship struggle")</f>
        <v>wkwkwk from the beginning of watching the world cup already feels really wow from the opening match of the host immediately lost Argentina to the Saudi Saudi State of Asian countries compact making a surprise match that watched only Croatian Moroccan matches because they were lazy to watch the championship struggle</v>
      </c>
    </row>
    <row r="8384" ht="15.75" customHeight="1">
      <c r="A8384" s="1">
        <v>9606.0</v>
      </c>
      <c r="B8384" s="3" t="s">
        <v>23986</v>
      </c>
      <c r="C8384" s="3">
        <v>0.0</v>
      </c>
      <c r="D8384" s="3">
        <v>0.0</v>
      </c>
      <c r="E8384" s="3">
        <v>1.0</v>
      </c>
      <c r="F8384" s="3" t="s">
        <v>23987</v>
      </c>
      <c r="G8384" s="3">
        <v>0.0</v>
      </c>
      <c r="H8384" s="3">
        <v>0.0</v>
      </c>
      <c r="I8384" s="3" t="s">
        <v>13</v>
      </c>
      <c r="J8384" s="3" t="s">
        <v>23988</v>
      </c>
      <c r="K8384" s="3" t="s">
        <v>374</v>
      </c>
      <c r="L8384" s="3" t="str">
        <f>IFERROR(__xludf.DUMMYFUNCTION("GOOGLETRANSLATE(F8384,""id"",""en"")"),"agree, sir, you can say that the referees are paid, but the losers are already in the penalty, and you kick the goalkeeper, because you can't catch it because if it's already a minute, it's really suitable for Argentina juar")</f>
        <v>agree, sir, you can say that the referees are paid, but the losers are already in the penalty, and you kick the goalkeeper, because you can't catch it because if it's already a minute, it's really suitable for Argentina juar</v>
      </c>
    </row>
    <row r="8385" ht="15.75" customHeight="1">
      <c r="A8385" s="1">
        <v>9607.0</v>
      </c>
      <c r="B8385" s="3" t="s">
        <v>23989</v>
      </c>
      <c r="C8385" s="3">
        <v>0.0</v>
      </c>
      <c r="D8385" s="3">
        <v>0.0</v>
      </c>
      <c r="E8385" s="3">
        <v>0.0</v>
      </c>
      <c r="F8385" s="3" t="s">
        <v>23990</v>
      </c>
      <c r="G8385" s="3">
        <v>0.0</v>
      </c>
      <c r="H8385" s="3">
        <v>0.0</v>
      </c>
      <c r="I8385" s="3" t="s">
        <v>13</v>
      </c>
      <c r="J8385" s="3" t="s">
        <v>23991</v>
      </c>
      <c r="K8385" s="3" t="s">
        <v>54</v>
      </c>
      <c r="L8385" s="3" t="str">
        <f>IFERROR(__xludf.DUMMYFUNCTION("GOOGLETRANSLATE(F8385,""id"",""en"")"),"Yes, Argentina deserves to be a champion")</f>
        <v>Yes, Argentina deserves to be a champion</v>
      </c>
    </row>
    <row r="8386" ht="15.75" customHeight="1">
      <c r="A8386" s="1">
        <v>9608.0</v>
      </c>
      <c r="B8386" s="3" t="s">
        <v>23992</v>
      </c>
      <c r="C8386" s="3">
        <v>1.0</v>
      </c>
      <c r="D8386" s="3">
        <v>0.0</v>
      </c>
      <c r="E8386" s="3">
        <v>0.0</v>
      </c>
      <c r="F8386" s="3" t="s">
        <v>23993</v>
      </c>
      <c r="G8386" s="3">
        <v>1.0</v>
      </c>
      <c r="H8386" s="3">
        <v>0.0</v>
      </c>
      <c r="I8386" s="3" t="s">
        <v>13</v>
      </c>
      <c r="J8386" s="3" t="s">
        <v>23994</v>
      </c>
      <c r="K8386" s="3" t="s">
        <v>644</v>
      </c>
      <c r="L8386" s="3" t="str">
        <f>IFERROR(__xludf.DUMMYFUNCTION("GOOGLETRANSLATE(F8386,""id"",""en"")"),"Abcoo Finally Argentina Champion")</f>
        <v>Abcoo Finally Argentina Champion</v>
      </c>
    </row>
    <row r="8387" ht="15.75" customHeight="1">
      <c r="A8387" s="1">
        <v>9609.0</v>
      </c>
      <c r="B8387" s="3" t="s">
        <v>23995</v>
      </c>
      <c r="C8387" s="3">
        <v>0.0</v>
      </c>
      <c r="D8387" s="3">
        <v>0.0</v>
      </c>
      <c r="E8387" s="3">
        <v>0.0</v>
      </c>
      <c r="F8387" s="3" t="s">
        <v>23996</v>
      </c>
      <c r="G8387" s="3">
        <v>0.0</v>
      </c>
      <c r="H8387" s="3">
        <v>0.0</v>
      </c>
      <c r="I8387" s="3" t="s">
        <v>13</v>
      </c>
      <c r="J8387" s="3" t="s">
        <v>23997</v>
      </c>
      <c r="K8387" s="3" t="s">
        <v>510</v>
      </c>
      <c r="L8387" s="3" t="str">
        <f>IFERROR(__xludf.DUMMYFUNCTION("GOOGLETRANSLATE(F8387,""id"",""en"")"),"there is the same I don't feel the Argentina champion but win France whether I am wrong in terms of feeling if you please wake up help")</f>
        <v>there is the same I don't feel the Argentina champion but win France whether I am wrong in terms of feeling if you please wake up help</v>
      </c>
    </row>
    <row r="8388" ht="15.75" customHeight="1">
      <c r="A8388" s="1">
        <v>9610.0</v>
      </c>
      <c r="B8388" s="3" t="s">
        <v>23998</v>
      </c>
      <c r="C8388" s="3">
        <v>0.0</v>
      </c>
      <c r="D8388" s="3">
        <v>0.0</v>
      </c>
      <c r="E8388" s="3">
        <v>0.0</v>
      </c>
      <c r="F8388" s="3" t="s">
        <v>23999</v>
      </c>
      <c r="G8388" s="3">
        <v>0.6000000000000001</v>
      </c>
      <c r="H8388" s="3">
        <v>0.7</v>
      </c>
      <c r="I8388" s="3" t="s">
        <v>48</v>
      </c>
      <c r="J8388" s="3" t="s">
        <v>24000</v>
      </c>
      <c r="K8388" s="3" t="s">
        <v>184</v>
      </c>
      <c r="L8388" s="3" t="str">
        <f>IFERROR(__xludf.DUMMYFUNCTION("GOOGLETRANSLATE(F8388,""id"",""en"")"),"Congratulations to the Argentina Team as the FIFA World Cup Ball champion even though the French Mimin selected team did not win still good match right?")</f>
        <v>Congratulations to the Argentina Team as the FIFA World Cup Ball champion even though the French Mimin selected team did not win still good match right?</v>
      </c>
    </row>
    <row r="8389" ht="15.75" customHeight="1">
      <c r="A8389" s="1">
        <v>9611.0</v>
      </c>
      <c r="B8389" s="3" t="s">
        <v>24001</v>
      </c>
      <c r="C8389" s="3">
        <v>0.0</v>
      </c>
      <c r="D8389" s="3">
        <v>0.0</v>
      </c>
      <c r="E8389" s="3">
        <v>0.0</v>
      </c>
      <c r="F8389" s="3" t="s">
        <v>24002</v>
      </c>
      <c r="G8389" s="3">
        <v>0.0</v>
      </c>
      <c r="H8389" s="3">
        <v>0.0</v>
      </c>
      <c r="I8389" s="3" t="s">
        <v>13</v>
      </c>
      <c r="J8389" s="3" t="s">
        <v>24003</v>
      </c>
      <c r="K8389" s="3" t="s">
        <v>82</v>
      </c>
      <c r="L8389" s="3" t="str">
        <f>IFERROR(__xludf.DUMMYFUNCTION("GOOGLETRANSLATE(F8389,""id"",""en"")"),"makes Argentina lazy champion, besides the appearance of the players")</f>
        <v>makes Argentina lazy champion, besides the appearance of the players</v>
      </c>
    </row>
    <row r="8390" ht="15.75" customHeight="1">
      <c r="A8390" s="1">
        <v>9612.0</v>
      </c>
      <c r="B8390" s="3" t="s">
        <v>24004</v>
      </c>
      <c r="C8390" s="3">
        <v>0.0</v>
      </c>
      <c r="D8390" s="3">
        <v>0.0</v>
      </c>
      <c r="E8390" s="3">
        <v>0.0</v>
      </c>
      <c r="F8390" s="3" t="s">
        <v>24005</v>
      </c>
      <c r="G8390" s="3">
        <v>0.0</v>
      </c>
      <c r="H8390" s="3">
        <v>0.0</v>
      </c>
      <c r="I8390" s="3" t="s">
        <v>13</v>
      </c>
      <c r="J8390" s="3" t="s">
        <v>24006</v>
      </c>
      <c r="K8390" s="3" t="s">
        <v>644</v>
      </c>
      <c r="L8390" s="3" t="str">
        <f>IFERROR(__xludf.DUMMYFUNCTION("GOOGLETRANSLATE(F8390,""id"",""en"")"),"Argentina Champion Footwear")</f>
        <v>Argentina Champion Footwear</v>
      </c>
    </row>
    <row r="8391" ht="15.75" customHeight="1">
      <c r="A8391" s="1">
        <v>9613.0</v>
      </c>
      <c r="B8391" s="3" t="s">
        <v>24007</v>
      </c>
      <c r="C8391" s="3">
        <v>0.0</v>
      </c>
      <c r="D8391" s="3">
        <v>0.0</v>
      </c>
      <c r="E8391" s="3">
        <v>0.0</v>
      </c>
      <c r="F8391" s="3" t="s">
        <v>24008</v>
      </c>
      <c r="G8391" s="3">
        <v>0.0</v>
      </c>
      <c r="H8391" s="3">
        <v>0.0</v>
      </c>
      <c r="I8391" s="3" t="s">
        <v>13</v>
      </c>
      <c r="J8391" s="3" t="s">
        <v>24009</v>
      </c>
      <c r="K8391" s="3" t="s">
        <v>71</v>
      </c>
      <c r="L8391" s="3" t="str">
        <f>IFERROR(__xludf.DUMMYFUNCTION("GOOGLETRANSLATE(F8391,""id"",""en"")"),"Antonella's style wearing ripped jeans during the Argentine celebration of the World Cup champion makes Lionel Messi's photo")</f>
        <v>Antonella's style wearing ripped jeans during the Argentine celebration of the World Cup champion makes Lionel Messi's photo</v>
      </c>
    </row>
    <row r="8392" ht="15.75" customHeight="1">
      <c r="A8392" s="1">
        <v>9614.0</v>
      </c>
      <c r="B8392" s="3" t="s">
        <v>24010</v>
      </c>
      <c r="C8392" s="3">
        <v>0.0</v>
      </c>
      <c r="D8392" s="3">
        <v>0.0</v>
      </c>
      <c r="E8392" s="3">
        <v>0.0</v>
      </c>
      <c r="F8392" s="3" t="s">
        <v>24011</v>
      </c>
      <c r="G8392" s="3">
        <v>0.0</v>
      </c>
      <c r="H8392" s="3">
        <v>0.0</v>
      </c>
      <c r="I8392" s="3" t="s">
        <v>13</v>
      </c>
      <c r="J8392" s="3" t="s">
        <v>24012</v>
      </c>
      <c r="K8392" s="3" t="s">
        <v>358</v>
      </c>
      <c r="L8392" s="3" t="str">
        <f>IFERROR(__xludf.DUMMYFUNCTION("GOOGLETRANSLATE(F8392,""id"",""en"")"),"Portugal before there was a champion in the condition of the squad, but it was good")</f>
        <v>Portugal before there was a champion in the condition of the squad, but it was good</v>
      </c>
    </row>
    <row r="8393" ht="15.75" customHeight="1">
      <c r="A8393" s="1">
        <v>9615.0</v>
      </c>
      <c r="B8393" s="3" t="s">
        <v>24013</v>
      </c>
      <c r="C8393" s="3">
        <v>0.0</v>
      </c>
      <c r="D8393" s="3">
        <v>0.0</v>
      </c>
      <c r="E8393" s="3">
        <v>1.0</v>
      </c>
      <c r="F8393" s="3" t="s">
        <v>24014</v>
      </c>
      <c r="G8393" s="3">
        <v>0.0</v>
      </c>
      <c r="H8393" s="3">
        <v>0.0</v>
      </c>
      <c r="I8393" s="3" t="s">
        <v>13</v>
      </c>
      <c r="J8393" s="3" t="s">
        <v>24015</v>
      </c>
      <c r="K8393" s="3" t="s">
        <v>1293</v>
      </c>
      <c r="L8393" s="3" t="str">
        <f>IFERROR(__xludf.DUMMYFUNCTION("GOOGLETRANSLATE(F8393,""id"",""en"")"),"Aguero joined the play when Argentina champions Pildun once champions UCL even said this child was the face of a very problematic")</f>
        <v>Aguero joined the play when Argentina champions Pildun once champions UCL even said this child was the face of a very problematic</v>
      </c>
    </row>
    <row r="8394" ht="15.75" customHeight="1">
      <c r="A8394" s="1">
        <v>9616.0</v>
      </c>
      <c r="B8394" s="3" t="s">
        <v>24016</v>
      </c>
      <c r="C8394" s="3">
        <v>0.0</v>
      </c>
      <c r="D8394" s="3">
        <v>0.0</v>
      </c>
      <c r="E8394" s="3">
        <v>0.0</v>
      </c>
      <c r="F8394" s="3" t="s">
        <v>24017</v>
      </c>
      <c r="G8394" s="3">
        <v>0.0</v>
      </c>
      <c r="H8394" s="3">
        <v>0.0</v>
      </c>
      <c r="I8394" s="3" t="s">
        <v>13</v>
      </c>
      <c r="J8394" s="3" t="s">
        <v>24018</v>
      </c>
      <c r="K8394" s="3" t="s">
        <v>75</v>
      </c>
      <c r="L8394" s="3" t="str">
        <f>IFERROR(__xludf.DUMMYFUNCTION("GOOGLETRANSLATE(F8394,""id"",""en"")"),"Luckily Argentina champions win dramatically if it is not sure to be labeled settings wkwk basically Messi Goat")</f>
        <v>Luckily Argentina champions win dramatically if it is not sure to be labeled settings wkwk basically Messi Goat</v>
      </c>
    </row>
    <row r="8395" ht="15.75" customHeight="1">
      <c r="A8395" s="1">
        <v>9617.0</v>
      </c>
      <c r="B8395" s="3" t="s">
        <v>24019</v>
      </c>
      <c r="C8395" s="3">
        <v>0.0</v>
      </c>
      <c r="D8395" s="3">
        <v>0.0</v>
      </c>
      <c r="E8395" s="3">
        <v>0.0</v>
      </c>
      <c r="F8395" s="3" t="s">
        <v>24020</v>
      </c>
      <c r="G8395" s="3">
        <v>1.0</v>
      </c>
      <c r="H8395" s="3">
        <v>0.0</v>
      </c>
      <c r="I8395" s="3" t="s">
        <v>13</v>
      </c>
      <c r="J8395" s="3" t="s">
        <v>24021</v>
      </c>
      <c r="K8395" s="3" t="s">
        <v>149</v>
      </c>
      <c r="L8395" s="3" t="str">
        <f>IFERROR(__xludf.DUMMYFUNCTION("GOOGLETRANSLATE(F8395,""id"",""en"")"),"Hello Autofamily through Argentine penalties successfully defeated France in the Qatar World Cup final this team Messi managed to lift the trophy after the year without a title")</f>
        <v>Hello Autofamily through Argentine penalties successfully defeated France in the Qatar World Cup final this team Messi managed to lift the trophy after the year without a title</v>
      </c>
    </row>
    <row r="8396" ht="15.75" customHeight="1">
      <c r="A8396" s="1">
        <v>9618.0</v>
      </c>
      <c r="B8396" s="3" t="s">
        <v>24022</v>
      </c>
      <c r="C8396" s="3">
        <v>0.0</v>
      </c>
      <c r="D8396" s="3">
        <v>0.0</v>
      </c>
      <c r="E8396" s="3">
        <v>0.0</v>
      </c>
      <c r="F8396" s="3" t="s">
        <v>24023</v>
      </c>
      <c r="G8396" s="3">
        <v>0.0</v>
      </c>
      <c r="H8396" s="3">
        <v>0.0</v>
      </c>
      <c r="I8396" s="3" t="s">
        <v>13</v>
      </c>
      <c r="J8396" s="3" t="s">
        <v>24024</v>
      </c>
      <c r="K8396" s="3" t="s">
        <v>1912</v>
      </c>
      <c r="L8396" s="3" t="str">
        <f>IFERROR(__xludf.DUMMYFUNCTION("GOOGLETRANSLATE(F8396,""id"",""en"")"),"Ohiya Messi was sampled by his mother when I tried the new champion to see when my news was not until after the celebration of Argentina's victory was sleepy at the morning when I was")</f>
        <v>Ohiya Messi was sampled by his mother when I tried the new champion to see when my news was not until after the celebration of Argentina's victory was sleepy at the morning when I was</v>
      </c>
    </row>
    <row r="8397" ht="15.75" customHeight="1">
      <c r="A8397" s="1">
        <v>9619.0</v>
      </c>
      <c r="B8397" s="3" t="s">
        <v>24025</v>
      </c>
      <c r="C8397" s="3">
        <v>0.0</v>
      </c>
      <c r="D8397" s="3">
        <v>0.0</v>
      </c>
      <c r="E8397" s="3">
        <v>0.0</v>
      </c>
      <c r="F8397" s="3" t="s">
        <v>24026</v>
      </c>
      <c r="G8397" s="3">
        <v>0.0</v>
      </c>
      <c r="H8397" s="3">
        <v>0.0</v>
      </c>
      <c r="I8397" s="3" t="s">
        <v>13</v>
      </c>
      <c r="J8397" s="3" t="s">
        <v>24027</v>
      </c>
      <c r="K8397" s="3" t="s">
        <v>19</v>
      </c>
      <c r="L8397" s="3" t="str">
        <f>IFERROR(__xludf.DUMMYFUNCTION("GOOGLETRANSLATE(F8397,""id"",""en"")"),"His struggle is really cool")</f>
        <v>His struggle is really cool</v>
      </c>
    </row>
    <row r="8398" ht="15.75" customHeight="1">
      <c r="A8398" s="1">
        <v>9620.0</v>
      </c>
      <c r="B8398" s="3" t="s">
        <v>24028</v>
      </c>
      <c r="C8398" s="3">
        <v>0.0</v>
      </c>
      <c r="D8398" s="3">
        <v>0.0</v>
      </c>
      <c r="E8398" s="3">
        <v>0.0</v>
      </c>
      <c r="F8398" s="3" t="s">
        <v>24029</v>
      </c>
      <c r="G8398" s="3">
        <v>0.0</v>
      </c>
      <c r="H8398" s="3">
        <v>0.0</v>
      </c>
      <c r="I8398" s="3" t="s">
        <v>13</v>
      </c>
      <c r="J8398" s="3" t="s">
        <v>24030</v>
      </c>
      <c r="K8398" s="3" t="s">
        <v>184</v>
      </c>
      <c r="L8398" s="3" t="str">
        <f>IFERROR(__xludf.DUMMYFUNCTION("GOOGLETRANSLATE(F8398,""id"",""en"")"),"Argentina is clearly happy to be the champion of the Qatar World Cup, but behind that success there are a number of things we need to learn from the Argentine national team in achieving success")</f>
        <v>Argentina is clearly happy to be the champion of the Qatar World Cup, but behind that success there are a number of things we need to learn from the Argentine national team in achieving success</v>
      </c>
    </row>
    <row r="8399" ht="15.75" customHeight="1">
      <c r="A8399" s="1">
        <v>9621.0</v>
      </c>
      <c r="B8399" s="3" t="s">
        <v>24031</v>
      </c>
      <c r="C8399" s="3">
        <v>1.0</v>
      </c>
      <c r="D8399" s="3">
        <v>0.0</v>
      </c>
      <c r="E8399" s="3">
        <v>1.0</v>
      </c>
      <c r="F8399" s="3" t="s">
        <v>24032</v>
      </c>
      <c r="G8399" s="3">
        <v>0.0</v>
      </c>
      <c r="H8399" s="3">
        <v>0.0</v>
      </c>
      <c r="I8399" s="3" t="s">
        <v>13</v>
      </c>
      <c r="J8399" s="3" t="s">
        <v>24033</v>
      </c>
      <c r="K8399" s="3" t="s">
        <v>205</v>
      </c>
      <c r="L8399" s="3" t="str">
        <f>IFERROR(__xludf.DUMMYFUNCTION("GOOGLETRANSLATE(F8399,""id"",""en"")"),"I think the Argentina squad is as luxurious as Portugal France and Brazil hilarious, EMG Penyepong Dodo, even though it was never entered into the champions")</f>
        <v>I think the Argentina squad is as luxurious as Portugal France and Brazil hilarious, EMG Penyepong Dodo, even though it was never entered into the champions</v>
      </c>
    </row>
    <row r="8400" ht="15.75" customHeight="1">
      <c r="A8400" s="1">
        <v>9622.0</v>
      </c>
      <c r="B8400" s="3" t="s">
        <v>24034</v>
      </c>
      <c r="C8400" s="3">
        <v>0.0</v>
      </c>
      <c r="D8400" s="3">
        <v>0.0</v>
      </c>
      <c r="E8400" s="3">
        <v>0.0</v>
      </c>
      <c r="F8400" s="3" t="s">
        <v>21776</v>
      </c>
      <c r="G8400" s="3">
        <v>0.0</v>
      </c>
      <c r="H8400" s="3">
        <v>0.0</v>
      </c>
      <c r="I8400" s="3" t="s">
        <v>13</v>
      </c>
      <c r="J8400" s="3" t="s">
        <v>21777</v>
      </c>
      <c r="K8400" s="3" t="s">
        <v>127</v>
      </c>
      <c r="L8400" s="3" t="str">
        <f>IFERROR(__xludf.DUMMYFUNCTION("GOOGLETRANSLATE(F8400,""id"",""en"")"),"Kakanwil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401" ht="15.75" customHeight="1">
      <c r="A8401" s="1">
        <v>9623.0</v>
      </c>
      <c r="B8401" s="3" t="s">
        <v>24035</v>
      </c>
      <c r="C8401" s="3">
        <v>0.0</v>
      </c>
      <c r="D8401" s="3">
        <v>0.0</v>
      </c>
      <c r="E8401" s="3">
        <v>0.0</v>
      </c>
      <c r="F8401" s="3" t="s">
        <v>24036</v>
      </c>
      <c r="G8401" s="3">
        <v>0.0</v>
      </c>
      <c r="H8401" s="3">
        <v>0.0</v>
      </c>
      <c r="I8401" s="3" t="s">
        <v>13</v>
      </c>
      <c r="J8401" s="3" t="s">
        <v>24037</v>
      </c>
      <c r="K8401" s="3" t="s">
        <v>75</v>
      </c>
      <c r="L8401" s="3" t="str">
        <f>IFERROR(__xludf.DUMMYFUNCTION("GOOGLETRANSLATE(F8401,""id"",""en"")"),"Finally, the champion of the pildun also after a long wait for a long time is Congratss King Mesi Argentina")</f>
        <v>Finally, the champion of the pildun also after a long wait for a long time is Congratss King Mesi Argentina</v>
      </c>
    </row>
    <row r="8402" ht="15.75" customHeight="1">
      <c r="A8402" s="1">
        <v>9624.0</v>
      </c>
      <c r="B8402" s="3" t="s">
        <v>24038</v>
      </c>
      <c r="C8402" s="3">
        <v>2.0</v>
      </c>
      <c r="D8402" s="3">
        <v>0.0</v>
      </c>
      <c r="E8402" s="3">
        <v>0.0</v>
      </c>
      <c r="F8402" s="3" t="s">
        <v>24039</v>
      </c>
      <c r="G8402" s="3">
        <v>0.0</v>
      </c>
      <c r="H8402" s="3">
        <v>0.0</v>
      </c>
      <c r="I8402" s="3" t="s">
        <v>13</v>
      </c>
      <c r="J8402" s="3" t="s">
        <v>24040</v>
      </c>
      <c r="K8402" s="3" t="s">
        <v>75</v>
      </c>
      <c r="L8402" s="3" t="str">
        <f>IFERROR(__xludf.DUMMYFUNCTION("GOOGLETRANSLATE(F8402,""id"",""en"")"),"Kang Emil's prediction is really about Argentina who champions through penalties")</f>
        <v>Kang Emil's prediction is really about Argentina who champions through penalties</v>
      </c>
    </row>
    <row r="8403" ht="15.75" customHeight="1">
      <c r="A8403" s="1">
        <v>9625.0</v>
      </c>
      <c r="B8403" s="3" t="s">
        <v>24041</v>
      </c>
      <c r="C8403" s="3">
        <v>0.0</v>
      </c>
      <c r="D8403" s="3">
        <v>0.0</v>
      </c>
      <c r="E8403" s="3">
        <v>0.0</v>
      </c>
      <c r="F8403" s="3" t="s">
        <v>24042</v>
      </c>
      <c r="G8403" s="3">
        <v>0.5</v>
      </c>
      <c r="H8403" s="3">
        <v>0.5</v>
      </c>
      <c r="I8403" s="3" t="s">
        <v>48</v>
      </c>
      <c r="J8403" s="3" t="s">
        <v>24043</v>
      </c>
      <c r="K8403" s="3" t="s">
        <v>236</v>
      </c>
      <c r="L8403" s="3" t="str">
        <f>IFERROR(__xludf.DUMMYFUNCTION("GOOGLETRANSLATE(F8403,""id"",""en"")"),"Really Argentina champions or lost Messi and Argentina will continue to be top")</f>
        <v>Really Argentina champions or lost Messi and Argentina will continue to be top</v>
      </c>
    </row>
    <row r="8404" ht="15.75" customHeight="1">
      <c r="A8404" s="1">
        <v>9626.0</v>
      </c>
      <c r="B8404" s="3" t="s">
        <v>24044</v>
      </c>
      <c r="C8404" s="3">
        <v>0.0</v>
      </c>
      <c r="D8404" s="3">
        <v>1.0</v>
      </c>
      <c r="E8404" s="3">
        <v>1.0</v>
      </c>
      <c r="F8404" s="3" t="s">
        <v>24045</v>
      </c>
      <c r="G8404" s="3">
        <v>0.0</v>
      </c>
      <c r="H8404" s="3">
        <v>0.0</v>
      </c>
      <c r="I8404" s="3" t="s">
        <v>13</v>
      </c>
      <c r="J8404" s="3" t="s">
        <v>24046</v>
      </c>
      <c r="K8404" s="3" t="s">
        <v>58</v>
      </c>
      <c r="L8404" s="3" t="str">
        <f>IFERROR(__xludf.DUMMYFUNCTION("GOOGLETRANSLATE(F8404,""id"",""en"")"),"Argentina won the Qatar World Cup by beating the defending champion France Sunday Lusail Antara Stadium")</f>
        <v>Argentina won the Qatar World Cup by beating the defending champion France Sunday Lusail Antara Stadium</v>
      </c>
    </row>
    <row r="8405" ht="15.75" customHeight="1">
      <c r="A8405" s="1">
        <v>9627.0</v>
      </c>
      <c r="B8405" s="3" t="s">
        <v>24047</v>
      </c>
      <c r="C8405" s="3">
        <v>0.0</v>
      </c>
      <c r="D8405" s="3">
        <v>0.0</v>
      </c>
      <c r="E8405" s="3">
        <v>0.0</v>
      </c>
      <c r="F8405" s="3" t="s">
        <v>24048</v>
      </c>
      <c r="G8405" s="3">
        <v>0.0</v>
      </c>
      <c r="H8405" s="3">
        <v>0.0</v>
      </c>
      <c r="I8405" s="3" t="s">
        <v>13</v>
      </c>
      <c r="J8405" s="3" t="s">
        <v>24049</v>
      </c>
      <c r="K8405" s="3" t="s">
        <v>75</v>
      </c>
      <c r="L8405" s="3" t="str">
        <f>IFERROR(__xludf.DUMMYFUNCTION("GOOGLETRANSLATE(F8405,""id"",""en"")"),"Congrats Argentina finally MJD World Champion for Years of its Waiting")</f>
        <v>Congrats Argentina finally MJD World Champion for Years of its Waiting</v>
      </c>
    </row>
    <row r="8406" ht="15.75" customHeight="1">
      <c r="A8406" s="1">
        <v>9628.0</v>
      </c>
      <c r="B8406" s="3" t="s">
        <v>24050</v>
      </c>
      <c r="C8406" s="3">
        <v>0.0</v>
      </c>
      <c r="D8406" s="3">
        <v>0.0</v>
      </c>
      <c r="E8406" s="3">
        <v>0.0</v>
      </c>
      <c r="F8406" s="3" t="s">
        <v>24051</v>
      </c>
      <c r="G8406" s="3">
        <v>0.0</v>
      </c>
      <c r="H8406" s="3">
        <v>0.0</v>
      </c>
      <c r="I8406" s="3" t="s">
        <v>13</v>
      </c>
      <c r="J8406" s="3" t="s">
        <v>24052</v>
      </c>
      <c r="K8406" s="3" t="s">
        <v>15</v>
      </c>
      <c r="L8406" s="3" t="str">
        <f>IFERROR(__xludf.DUMMYFUNCTION("GOOGLETRANSLATE(F8406,""id"",""en"")"),"predictions right before starting the smell of the smell of Argentina world champion")</f>
        <v>predictions right before starting the smell of the smell of Argentina world champion</v>
      </c>
    </row>
    <row r="8407" ht="15.75" customHeight="1">
      <c r="A8407" s="1">
        <v>9629.0</v>
      </c>
      <c r="B8407" s="3" t="s">
        <v>24053</v>
      </c>
      <c r="C8407" s="3">
        <v>0.0</v>
      </c>
      <c r="D8407" s="3">
        <v>1.0</v>
      </c>
      <c r="E8407" s="3">
        <v>3.0</v>
      </c>
      <c r="F8407" s="3" t="s">
        <v>24054</v>
      </c>
      <c r="G8407" s="3">
        <v>0.0</v>
      </c>
      <c r="H8407" s="3">
        <v>0.0</v>
      </c>
      <c r="I8407" s="3" t="s">
        <v>13</v>
      </c>
      <c r="J8407" s="3" t="s">
        <v>24055</v>
      </c>
      <c r="K8407" s="3" t="s">
        <v>205</v>
      </c>
      <c r="L8407" s="3" t="str">
        <f>IFERROR(__xludf.DUMMYFUNCTION("GOOGLETRANSLATE(F8407,""id"",""en"")"),"All over the city of Makassar sleeping soundly tonight after supporting Argentina Ewako Makassar champion also won convincing PSIS PSM game has returned to the actual determination of PSM Jabotabek")</f>
        <v>All over the city of Makassar sleeping soundly tonight after supporting Argentina Ewako Makassar champion also won convincing PSIS PSM game has returned to the actual determination of PSM Jabotabek</v>
      </c>
    </row>
    <row r="8408" ht="15.75" customHeight="1">
      <c r="A8408" s="1">
        <v>9630.0</v>
      </c>
      <c r="B8408" s="3" t="s">
        <v>24056</v>
      </c>
      <c r="C8408" s="3">
        <v>0.0</v>
      </c>
      <c r="D8408" s="3">
        <v>1.0</v>
      </c>
      <c r="E8408" s="3">
        <v>1.0</v>
      </c>
      <c r="F8408" s="3" t="s">
        <v>24057</v>
      </c>
      <c r="G8408" s="3">
        <v>0.0</v>
      </c>
      <c r="H8408" s="3">
        <v>0.0</v>
      </c>
      <c r="I8408" s="3" t="s">
        <v>13</v>
      </c>
      <c r="J8408" s="3" t="s">
        <v>24058</v>
      </c>
      <c r="K8408" s="3" t="s">
        <v>205</v>
      </c>
      <c r="L8408" s="3" t="str">
        <f>IFERROR(__xludf.DUMMYFUNCTION("GOOGLETRANSLATE(F8408,""id"",""en"")"),"Tap Maradona still could not control his emotions because the match Maradona got a red card because he kicked the Belgian player as a result of his Argentina lost Maradona through the back of England to enter the bol")</f>
        <v>Tap Maradona still could not control his emotions because the match Maradona got a red card because he kicked the Belgian player as a result of his Argentina lost Maradona through the back of England to enter the bol</v>
      </c>
    </row>
    <row r="8409" ht="15.75" customHeight="1">
      <c r="A8409" s="1">
        <v>9631.0</v>
      </c>
      <c r="B8409" s="3" t="s">
        <v>24059</v>
      </c>
      <c r="C8409" s="3">
        <v>3.0</v>
      </c>
      <c r="D8409" s="3">
        <v>0.0</v>
      </c>
      <c r="E8409" s="3">
        <v>0.0</v>
      </c>
      <c r="F8409" s="3" t="s">
        <v>24060</v>
      </c>
      <c r="G8409" s="3">
        <v>0.0</v>
      </c>
      <c r="H8409" s="3">
        <v>0.0</v>
      </c>
      <c r="I8409" s="3" t="s">
        <v>13</v>
      </c>
      <c r="J8409" s="3" t="s">
        <v>24061</v>
      </c>
      <c r="K8409" s="3" t="s">
        <v>54</v>
      </c>
      <c r="L8409" s="3" t="str">
        <f>IFERROR(__xludf.DUMMYFUNCTION("GOOGLETRANSLATE(F8409,""id"",""en"")"),"Argentina Champion in the Staff with Kang Emil")</f>
        <v>Argentina Champion in the Staff with Kang Emil</v>
      </c>
    </row>
    <row r="8410" ht="15.75" customHeight="1">
      <c r="A8410" s="1">
        <v>9632.0</v>
      </c>
      <c r="B8410" s="3" t="s">
        <v>24062</v>
      </c>
      <c r="C8410" s="3">
        <v>0.0</v>
      </c>
      <c r="D8410" s="3">
        <v>0.0</v>
      </c>
      <c r="E8410" s="3">
        <v>0.0</v>
      </c>
      <c r="F8410" s="3" t="s">
        <v>24063</v>
      </c>
      <c r="G8410" s="3">
        <v>0.0</v>
      </c>
      <c r="H8410" s="3">
        <v>0.0</v>
      </c>
      <c r="I8410" s="3" t="s">
        <v>13</v>
      </c>
      <c r="J8410" s="3" t="s">
        <v>24064</v>
      </c>
      <c r="K8410" s="3" t="s">
        <v>82</v>
      </c>
      <c r="L8410" s="3" t="str">
        <f>IFERROR(__xludf.DUMMYFUNCTION("GOOGLETRANSLATE(F8410,""id"",""en"")"),"see the moment of excitement of Argentina World Cup champions")</f>
        <v>see the moment of excitement of Argentina World Cup champions</v>
      </c>
    </row>
    <row r="8411" ht="15.75" customHeight="1">
      <c r="A8411" s="1">
        <v>9633.0</v>
      </c>
      <c r="B8411" s="3" t="s">
        <v>24065</v>
      </c>
      <c r="C8411" s="3">
        <v>0.0</v>
      </c>
      <c r="D8411" s="3">
        <v>0.0</v>
      </c>
      <c r="E8411" s="3">
        <v>0.0</v>
      </c>
      <c r="F8411" s="3" t="s">
        <v>24066</v>
      </c>
      <c r="G8411" s="3">
        <v>0.0</v>
      </c>
      <c r="H8411" s="3">
        <v>0.0</v>
      </c>
      <c r="I8411" s="3" t="s">
        <v>13</v>
      </c>
      <c r="J8411" s="3" t="s">
        <v>24067</v>
      </c>
      <c r="K8411" s="3" t="s">
        <v>15</v>
      </c>
      <c r="L8411" s="3" t="str">
        <f>IFERROR(__xludf.DUMMYFUNCTION("GOOGLETRANSLATE(F8411,""id"",""en"")"),"Argentina World Champion Secretary DPD PDIP East Kalimantan Happy")</f>
        <v>Argentina World Champion Secretary DPD PDIP East Kalimantan Happy</v>
      </c>
    </row>
    <row r="8412" ht="15.75" customHeight="1">
      <c r="A8412" s="1">
        <v>9634.0</v>
      </c>
      <c r="B8412" s="3" t="s">
        <v>24068</v>
      </c>
      <c r="C8412" s="3">
        <v>1.0</v>
      </c>
      <c r="D8412" s="3">
        <v>0.0</v>
      </c>
      <c r="E8412" s="3">
        <v>0.0</v>
      </c>
      <c r="F8412" s="3" t="s">
        <v>24069</v>
      </c>
      <c r="G8412" s="3">
        <v>0.0</v>
      </c>
      <c r="H8412" s="3">
        <v>0.0</v>
      </c>
      <c r="I8412" s="3" t="s">
        <v>13</v>
      </c>
      <c r="J8412" s="3" t="s">
        <v>24070</v>
      </c>
      <c r="K8412" s="3" t="s">
        <v>50</v>
      </c>
      <c r="L8412" s="3" t="str">
        <f>IFERROR(__xludf.DUMMYFUNCTION("GOOGLETRANSLATE(F8412,""id"",""en"")"),"Luckily Argentina Champion Yen Ora Genah enah Lautaro Martinez Dirujak Netijen")</f>
        <v>Luckily Argentina Champion Yen Ora Genah enah Lautaro Martinez Dirujak Netijen</v>
      </c>
    </row>
    <row r="8413" ht="15.75" customHeight="1">
      <c r="A8413" s="1">
        <v>9635.0</v>
      </c>
      <c r="B8413" s="3" t="s">
        <v>24071</v>
      </c>
      <c r="C8413" s="3">
        <v>1.0</v>
      </c>
      <c r="D8413" s="3">
        <v>0.0</v>
      </c>
      <c r="E8413" s="3">
        <v>2.0</v>
      </c>
      <c r="F8413" s="3" t="s">
        <v>23266</v>
      </c>
      <c r="G8413" s="3">
        <v>0.0</v>
      </c>
      <c r="H8413" s="3">
        <v>0.0</v>
      </c>
      <c r="I8413" s="3" t="s">
        <v>13</v>
      </c>
      <c r="J8413" s="3" t="s">
        <v>23267</v>
      </c>
      <c r="K8413" s="3" t="s">
        <v>491</v>
      </c>
      <c r="L8413" s="3" t="str">
        <f>IFERROR(__xludf.DUMMYFUNCTION("GOOGLETRANSLATE(F8413,""id"",""en"")"),"Qatar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414" ht="15.75" customHeight="1">
      <c r="A8414" s="1">
        <v>9636.0</v>
      </c>
      <c r="B8414" s="3" t="s">
        <v>24072</v>
      </c>
      <c r="C8414" s="3">
        <v>0.0</v>
      </c>
      <c r="D8414" s="3">
        <v>0.0</v>
      </c>
      <c r="E8414" s="3">
        <v>2.0</v>
      </c>
      <c r="F8414" s="3" t="s">
        <v>24073</v>
      </c>
      <c r="G8414" s="3">
        <v>0.5</v>
      </c>
      <c r="H8414" s="3">
        <v>0.5</v>
      </c>
      <c r="I8414" s="3" t="s">
        <v>48</v>
      </c>
      <c r="J8414" s="3" t="s">
        <v>24074</v>
      </c>
      <c r="K8414" s="3" t="s">
        <v>2117</v>
      </c>
      <c r="L8414" s="3" t="str">
        <f>IFERROR(__xludf.DUMMYFUNCTION("GOOGLETRANSLATE(F8414,""id"",""en"")"),"One More Ballon")</f>
        <v>One More Ballon</v>
      </c>
    </row>
    <row r="8415" ht="15.75" customHeight="1">
      <c r="A8415" s="1">
        <v>9637.0</v>
      </c>
      <c r="B8415" s="3" t="s">
        <v>24075</v>
      </c>
      <c r="C8415" s="3">
        <v>0.0</v>
      </c>
      <c r="D8415" s="3">
        <v>0.0</v>
      </c>
      <c r="E8415" s="3">
        <v>0.0</v>
      </c>
      <c r="F8415" s="3" t="s">
        <v>24075</v>
      </c>
      <c r="G8415" s="3">
        <v>0.0</v>
      </c>
      <c r="H8415" s="3">
        <v>0.0</v>
      </c>
      <c r="I8415" s="3" t="s">
        <v>13</v>
      </c>
      <c r="J8415" s="3" t="s">
        <v>24076</v>
      </c>
      <c r="K8415" s="3" t="s">
        <v>644</v>
      </c>
      <c r="L8415" s="3" t="str">
        <f>IFERROR(__xludf.DUMMYFUNCTION("GOOGLETRANSLATE(F8415,""id"",""en"")"),"so it's completely aaaaaah")</f>
        <v>so it's completely aaaaaah</v>
      </c>
    </row>
    <row r="8416" ht="15.75" customHeight="1">
      <c r="A8416" s="1">
        <v>9638.0</v>
      </c>
      <c r="B8416" s="3" t="s">
        <v>24077</v>
      </c>
      <c r="C8416" s="3">
        <v>0.0</v>
      </c>
      <c r="D8416" s="3">
        <v>0.0</v>
      </c>
      <c r="E8416" s="3">
        <v>0.0</v>
      </c>
      <c r="F8416" s="3" t="s">
        <v>24078</v>
      </c>
      <c r="G8416" s="3">
        <v>0.0</v>
      </c>
      <c r="H8416" s="3">
        <v>0.0</v>
      </c>
      <c r="I8416" s="3" t="s">
        <v>13</v>
      </c>
      <c r="J8416" s="3" t="s">
        <v>24079</v>
      </c>
      <c r="K8416" s="3" t="s">
        <v>31</v>
      </c>
      <c r="L8416" s="3" t="str">
        <f>IFERROR(__xludf.DUMMYFUNCTION("GOOGLETRANSLATE(F8416,""id"",""en"")"),"Congrats Argentina Champion World Cup")</f>
        <v>Congrats Argentina Champion World Cup</v>
      </c>
    </row>
    <row r="8417" ht="15.75" customHeight="1">
      <c r="A8417" s="1">
        <v>9639.0</v>
      </c>
      <c r="B8417" s="3" t="s">
        <v>24080</v>
      </c>
      <c r="C8417" s="3">
        <v>0.0</v>
      </c>
      <c r="D8417" s="3">
        <v>0.0</v>
      </c>
      <c r="E8417" s="3">
        <v>0.0</v>
      </c>
      <c r="F8417" s="3" t="s">
        <v>23838</v>
      </c>
      <c r="G8417" s="3">
        <v>0.7</v>
      </c>
      <c r="H8417" s="3">
        <v>0.65</v>
      </c>
      <c r="I8417" s="3" t="s">
        <v>48</v>
      </c>
      <c r="J8417" s="3" t="s">
        <v>23839</v>
      </c>
      <c r="K8417" s="3" t="s">
        <v>1970</v>
      </c>
      <c r="L8417" s="3" t="str">
        <f>IFERROR(__xludf.DUMMYFUNCTION("GOOGLETRANSLATE(F8417,""id"",""en"")"),"Argentina Long Waiting World Cup Champion Since Guessing the World Cup Score Captain Grand Prize All You Can Win Apple iPhone Pro")</f>
        <v>Argentina Long Waiting World Cup Champion Since Guessing the World Cup Score Captain Grand Prize All You Can Win Apple iPhone Pro</v>
      </c>
    </row>
    <row r="8418" ht="15.75" customHeight="1">
      <c r="A8418" s="1">
        <v>9640.0</v>
      </c>
      <c r="B8418" s="3" t="s">
        <v>24081</v>
      </c>
      <c r="C8418" s="3">
        <v>0.0</v>
      </c>
      <c r="D8418" s="3">
        <v>0.0</v>
      </c>
      <c r="E8418" s="3">
        <v>0.0</v>
      </c>
      <c r="F8418" s="3" t="s">
        <v>24082</v>
      </c>
      <c r="G8418" s="3">
        <v>0.0</v>
      </c>
      <c r="H8418" s="3">
        <v>0.0</v>
      </c>
      <c r="I8418" s="3" t="s">
        <v>13</v>
      </c>
      <c r="J8418" s="3" t="s">
        <v>24083</v>
      </c>
      <c r="K8418" s="3" t="s">
        <v>75</v>
      </c>
      <c r="L8418" s="3" t="str">
        <f>IFERROR(__xludf.DUMMYFUNCTION("GOOGLETRANSLATE(F8418,""id"",""en"")"),"Aguero Hujat Camavinga Bad Appeal After Argentina World Cup Champion")</f>
        <v>Aguero Hujat Camavinga Bad Appeal After Argentina World Cup Champion</v>
      </c>
    </row>
    <row r="8419" ht="15.75" customHeight="1">
      <c r="A8419" s="1">
        <v>9641.0</v>
      </c>
      <c r="B8419" s="3" t="s">
        <v>24084</v>
      </c>
      <c r="C8419" s="3">
        <v>0.0</v>
      </c>
      <c r="D8419" s="3">
        <v>0.0</v>
      </c>
      <c r="E8419" s="3">
        <v>2.0</v>
      </c>
      <c r="F8419" s="3" t="s">
        <v>24085</v>
      </c>
      <c r="G8419" s="3">
        <v>0.0</v>
      </c>
      <c r="H8419" s="3">
        <v>0.0</v>
      </c>
      <c r="I8419" s="3" t="s">
        <v>13</v>
      </c>
      <c r="J8419" s="3" t="s">
        <v>24086</v>
      </c>
      <c r="K8419" s="3" t="s">
        <v>35</v>
      </c>
      <c r="L8419" s="3" t="str">
        <f>IFERROR(__xludf.DUMMYFUNCTION("GOOGLETRANSLATE(F8419,""id"",""en"")"),"The vibes is almost the same as Argentina, this champion is the culture of our supporters similar to South America")</f>
        <v>The vibes is almost the same as Argentina, this champion is the culture of our supporters similar to South America</v>
      </c>
    </row>
    <row r="8420" ht="15.75" customHeight="1">
      <c r="A8420" s="1">
        <v>9642.0</v>
      </c>
      <c r="B8420" s="3" t="s">
        <v>24087</v>
      </c>
      <c r="C8420" s="3">
        <v>0.0</v>
      </c>
      <c r="D8420" s="3">
        <v>0.0</v>
      </c>
      <c r="E8420" s="3">
        <v>0.0</v>
      </c>
      <c r="F8420" s="3" t="s">
        <v>24088</v>
      </c>
      <c r="G8420" s="3">
        <v>0.0</v>
      </c>
      <c r="H8420" s="3">
        <v>0.0</v>
      </c>
      <c r="I8420" s="3" t="s">
        <v>13</v>
      </c>
      <c r="J8420" s="3" t="s">
        <v>24089</v>
      </c>
      <c r="K8420" s="3" t="s">
        <v>603</v>
      </c>
      <c r="L8420" s="3" t="str">
        <f>IFERROR(__xludf.DUMMYFUNCTION("GOOGLETRANSLATE(F8420,""id"",""en"")"),"Argentina finally champions of the era of Iwan Bule Messi won the highest cup more legitimately the era of Iwan Bule is true an impact")</f>
        <v>Argentina finally champions of the era of Iwan Bule Messi won the highest cup more legitimately the era of Iwan Bule is true an impact</v>
      </c>
    </row>
    <row r="8421" ht="15.75" customHeight="1">
      <c r="A8421" s="1">
        <v>9643.0</v>
      </c>
      <c r="B8421" s="3" t="s">
        <v>24090</v>
      </c>
      <c r="C8421" s="3">
        <v>0.0</v>
      </c>
      <c r="D8421" s="3">
        <v>0.0</v>
      </c>
      <c r="E8421" s="3">
        <v>0.0</v>
      </c>
      <c r="F8421" s="3" t="s">
        <v>24091</v>
      </c>
      <c r="G8421" s="3">
        <v>0.3333333333333333</v>
      </c>
      <c r="H8421" s="3">
        <v>0.1666666666666667</v>
      </c>
      <c r="I8421" s="3" t="s">
        <v>48</v>
      </c>
      <c r="J8421" s="3" t="s">
        <v>24092</v>
      </c>
      <c r="K8421" s="3" t="s">
        <v>1097</v>
      </c>
      <c r="L8421" s="3" t="str">
        <f>IFERROR(__xludf.DUMMYFUNCTION("GOOGLETRANSLATE(F8421,""id"",""en"")"),"It seems to play and I think Argentina is champion, right, training legend Mascherano")</f>
        <v>It seems to play and I think Argentina is champion, right, training legend Mascherano</v>
      </c>
    </row>
    <row r="8422" ht="15.75" customHeight="1">
      <c r="A8422" s="1">
        <v>9644.0</v>
      </c>
      <c r="B8422" s="3" t="s">
        <v>24093</v>
      </c>
      <c r="C8422" s="3">
        <v>0.0</v>
      </c>
      <c r="D8422" s="3">
        <v>0.0</v>
      </c>
      <c r="E8422" s="3">
        <v>0.0</v>
      </c>
      <c r="F8422" s="3" t="s">
        <v>24094</v>
      </c>
      <c r="G8422" s="3">
        <v>0.0</v>
      </c>
      <c r="H8422" s="3">
        <v>0.0</v>
      </c>
      <c r="I8422" s="3" t="s">
        <v>13</v>
      </c>
      <c r="J8422" s="3" t="s">
        <v>24095</v>
      </c>
      <c r="K8422" s="3" t="s">
        <v>584</v>
      </c>
      <c r="L8422" s="3" t="str">
        <f>IFERROR(__xludf.DUMMYFUNCTION("GOOGLETRANSLATE(F8422,""id"",""en"")"),"Argentina won the World Cup championship atmosphere and full of warmth was also felt by the residents of Klitik Ngawi together with Hanani Aleg DPRD Ngawi Regency from PKS not only Jagongan together but there was also a door prize")</f>
        <v>Argentina won the World Cup championship atmosphere and full of warmth was also felt by the residents of Klitik Ngawi together with Hanani Aleg DPRD Ngawi Regency from PKS not only Jagongan together but there was also a door prize</v>
      </c>
    </row>
    <row r="8423" ht="15.75" customHeight="1">
      <c r="A8423" s="1">
        <v>9645.0</v>
      </c>
      <c r="B8423" s="3" t="s">
        <v>24096</v>
      </c>
      <c r="C8423" s="3">
        <v>0.0</v>
      </c>
      <c r="D8423" s="3">
        <v>0.0</v>
      </c>
      <c r="E8423" s="3">
        <v>0.0</v>
      </c>
      <c r="F8423" s="3" t="s">
        <v>23050</v>
      </c>
      <c r="G8423" s="3">
        <v>0.0</v>
      </c>
      <c r="H8423" s="3">
        <v>0.0</v>
      </c>
      <c r="I8423" s="3" t="s">
        <v>13</v>
      </c>
      <c r="J8423" s="3" t="s">
        <v>23051</v>
      </c>
      <c r="K8423" s="3" t="s">
        <v>15</v>
      </c>
      <c r="L8423" s="3" t="str">
        <f>IFERROR(__xludf.DUMMYFUNCTION("GOOGLETRANSLATE(F8423,""id"",""en"")"),"Argentina Champion World Cup Messi Ronaldo Completed")</f>
        <v>Argentina Champion World Cup Messi Ronaldo Completed</v>
      </c>
    </row>
    <row r="8424" ht="15.75" customHeight="1">
      <c r="A8424" s="1">
        <v>9646.0</v>
      </c>
      <c r="B8424" s="3" t="s">
        <v>24097</v>
      </c>
      <c r="C8424" s="3">
        <v>0.0</v>
      </c>
      <c r="D8424" s="3">
        <v>0.0</v>
      </c>
      <c r="E8424" s="3">
        <v>0.0</v>
      </c>
      <c r="F8424" s="3" t="s">
        <v>17833</v>
      </c>
      <c r="G8424" s="3">
        <v>0.0</v>
      </c>
      <c r="H8424" s="3">
        <v>0.0</v>
      </c>
      <c r="I8424" s="3" t="s">
        <v>13</v>
      </c>
      <c r="J8424" s="3" t="s">
        <v>17834</v>
      </c>
      <c r="K8424" s="3" t="s">
        <v>82</v>
      </c>
      <c r="L8424" s="3" t="str">
        <f>IFERROR(__xludf.DUMMYFUNCTION("GOOGLETRANSLATE(F8424,""id"",""en"")"),"Argentina Champion Learning Politics Competency from the World Cup")</f>
        <v>Argentina Champion Learning Politics Competency from the World Cup</v>
      </c>
    </row>
    <row r="8425" ht="15.75" customHeight="1">
      <c r="A8425" s="1">
        <v>9647.0</v>
      </c>
      <c r="B8425" s="3" t="s">
        <v>24098</v>
      </c>
      <c r="C8425" s="3">
        <v>0.0</v>
      </c>
      <c r="D8425" s="3">
        <v>0.0</v>
      </c>
      <c r="E8425" s="3">
        <v>1.0</v>
      </c>
      <c r="F8425" s="3" t="s">
        <v>24099</v>
      </c>
      <c r="G8425" s="3">
        <v>0.0</v>
      </c>
      <c r="H8425" s="3">
        <v>0.0</v>
      </c>
      <c r="I8425" s="3" t="s">
        <v>13</v>
      </c>
      <c r="J8425" s="3" t="s">
        <v>24100</v>
      </c>
      <c r="K8425" s="3" t="s">
        <v>184</v>
      </c>
      <c r="L8425" s="3" t="str">
        <f>IFERROR(__xludf.DUMMYFUNCTION("GOOGLETRANSLATE(F8425,""id"",""en"")"),"strange but real champion Argentina team Puji only Ssi lost the French team bullied instead of your ldo ron.")</f>
        <v>strange but real champion Argentina team Puji only Ssi lost the French team bullied instead of your ldo ron.</v>
      </c>
    </row>
    <row r="8426" ht="15.75" customHeight="1">
      <c r="A8426" s="1">
        <v>9648.0</v>
      </c>
      <c r="B8426" s="3" t="s">
        <v>24101</v>
      </c>
      <c r="C8426" s="3">
        <v>0.0</v>
      </c>
      <c r="D8426" s="3">
        <v>0.0</v>
      </c>
      <c r="E8426" s="3">
        <v>0.0</v>
      </c>
      <c r="F8426" s="3" t="s">
        <v>24005</v>
      </c>
      <c r="G8426" s="3">
        <v>0.0</v>
      </c>
      <c r="H8426" s="3">
        <v>0.0</v>
      </c>
      <c r="I8426" s="3" t="s">
        <v>13</v>
      </c>
      <c r="J8426" s="3" t="s">
        <v>24006</v>
      </c>
      <c r="K8426" s="3" t="s">
        <v>644</v>
      </c>
      <c r="L8426" s="3" t="str">
        <f>IFERROR(__xludf.DUMMYFUNCTION("GOOGLETRANSLATE(F8426,""id"",""en"")"),"Argentina Champion Footwear")</f>
        <v>Argentina Champion Footwear</v>
      </c>
    </row>
    <row r="8427" ht="15.75" customHeight="1">
      <c r="A8427" s="1">
        <v>9649.0</v>
      </c>
      <c r="B8427" s="3" t="s">
        <v>24102</v>
      </c>
      <c r="C8427" s="3">
        <v>0.0</v>
      </c>
      <c r="D8427" s="3">
        <v>0.0</v>
      </c>
      <c r="E8427" s="3">
        <v>0.0</v>
      </c>
      <c r="F8427" s="3" t="s">
        <v>24103</v>
      </c>
      <c r="G8427" s="3">
        <v>0.0</v>
      </c>
      <c r="H8427" s="3">
        <v>0.0</v>
      </c>
      <c r="I8427" s="3" t="s">
        <v>13</v>
      </c>
      <c r="J8427" s="3" t="s">
        <v>24104</v>
      </c>
      <c r="K8427" s="3" t="s">
        <v>41</v>
      </c>
      <c r="L8427" s="3" t="str">
        <f>IFERROR(__xludf.DUMMYFUNCTION("GOOGLETRANSLATE(F8427,""id"",""en"")"),"Argentina Champion World Cup Najwa Shihab hysterical yeaaay mesiiiii")</f>
        <v>Argentina Champion World Cup Najwa Shihab hysterical yeaaay mesiiiii</v>
      </c>
    </row>
    <row r="8428" ht="15.75" customHeight="1">
      <c r="A8428" s="1">
        <v>9650.0</v>
      </c>
      <c r="B8428" s="3" t="s">
        <v>24105</v>
      </c>
      <c r="C8428" s="3">
        <v>2.0</v>
      </c>
      <c r="D8428" s="3">
        <v>0.0</v>
      </c>
      <c r="E8428" s="3">
        <v>0.0</v>
      </c>
      <c r="F8428" s="3" t="s">
        <v>24106</v>
      </c>
      <c r="G8428" s="3">
        <v>0.0</v>
      </c>
      <c r="H8428" s="3">
        <v>0.0</v>
      </c>
      <c r="I8428" s="3" t="s">
        <v>13</v>
      </c>
      <c r="J8428" s="3" t="s">
        <v>24107</v>
      </c>
      <c r="K8428" s="3" t="s">
        <v>1097</v>
      </c>
      <c r="L8428" s="3" t="str">
        <f>IFERROR(__xludf.DUMMYFUNCTION("GOOGLETRANSLATE(F8428,""id"",""en"")"),"I iku again the pleasure because of Argentina champions, bro")</f>
        <v>I iku again the pleasure because of Argentina champions, bro</v>
      </c>
    </row>
    <row r="8429" ht="15.75" customHeight="1">
      <c r="A8429" s="1">
        <v>9651.0</v>
      </c>
      <c r="B8429" s="3" t="s">
        <v>24108</v>
      </c>
      <c r="C8429" s="3">
        <v>0.0</v>
      </c>
      <c r="D8429" s="3">
        <v>4.0</v>
      </c>
      <c r="E8429" s="3">
        <v>0.0</v>
      </c>
      <c r="F8429" s="3" t="s">
        <v>24109</v>
      </c>
      <c r="G8429" s="3">
        <v>0.0</v>
      </c>
      <c r="H8429" s="3">
        <v>0.0</v>
      </c>
      <c r="I8429" s="3" t="s">
        <v>13</v>
      </c>
      <c r="J8429" s="3" t="s">
        <v>24110</v>
      </c>
      <c r="K8429" s="3" t="s">
        <v>19</v>
      </c>
      <c r="L8429" s="3" t="str">
        <f>IFERROR(__xludf.DUMMYFUNCTION("GOOGLETRANSLATE(F8429,""id"",""en"")"),"Argentine national team champion in the Instagram World Cup product Cristiano Ronaldo got bullied fans")</f>
        <v>Argentine national team champion in the Instagram World Cup product Cristiano Ronaldo got bullied fans</v>
      </c>
    </row>
    <row r="8430" ht="15.75" customHeight="1">
      <c r="A8430" s="1">
        <v>9652.0</v>
      </c>
      <c r="B8430" s="3" t="s">
        <v>24111</v>
      </c>
      <c r="C8430" s="3">
        <v>0.0</v>
      </c>
      <c r="D8430" s="3">
        <v>0.0</v>
      </c>
      <c r="E8430" s="3">
        <v>0.0</v>
      </c>
      <c r="F8430" s="3" t="s">
        <v>24112</v>
      </c>
      <c r="G8430" s="3">
        <v>0.0</v>
      </c>
      <c r="H8430" s="3">
        <v>0.0</v>
      </c>
      <c r="I8430" s="3" t="s">
        <v>13</v>
      </c>
      <c r="J8430" s="3" t="s">
        <v>24113</v>
      </c>
      <c r="K8430" s="3" t="s">
        <v>1317</v>
      </c>
      <c r="L8430" s="3" t="str">
        <f>IFERROR(__xludf.DUMMYFUNCTION("GOOGLETRANSLATE(F8430,""id"",""en"")"),"History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31" ht="15.75" customHeight="1">
      <c r="A8431" s="1">
        <v>9653.0</v>
      </c>
      <c r="B8431" s="3" t="s">
        <v>24114</v>
      </c>
      <c r="C8431" s="3">
        <v>5.0</v>
      </c>
      <c r="D8431" s="3">
        <v>0.0</v>
      </c>
      <c r="E8431" s="3">
        <v>9.0</v>
      </c>
      <c r="F8431" s="3" t="s">
        <v>24115</v>
      </c>
      <c r="G8431" s="3">
        <v>0.0</v>
      </c>
      <c r="H8431" s="3">
        <v>0.0</v>
      </c>
      <c r="I8431" s="3" t="s">
        <v>13</v>
      </c>
      <c r="J8431" s="3" t="s">
        <v>24116</v>
      </c>
      <c r="K8431" s="3" t="s">
        <v>54</v>
      </c>
      <c r="L8431" s="3" t="str">
        <f>IFERROR(__xludf.DUMMYFUNCTION("GOOGLETRANSLATE(F8431,""id"",""en"")"),"the account with the Argentina champion is very sugary")</f>
        <v>the account with the Argentina champion is very sugary</v>
      </c>
    </row>
    <row r="8432" ht="15.75" customHeight="1">
      <c r="A8432" s="1">
        <v>9654.0</v>
      </c>
      <c r="B8432" s="3" t="s">
        <v>24117</v>
      </c>
      <c r="C8432" s="3">
        <v>0.0</v>
      </c>
      <c r="D8432" s="3">
        <v>0.0</v>
      </c>
      <c r="E8432" s="3">
        <v>1.0</v>
      </c>
      <c r="F8432" s="3" t="s">
        <v>24118</v>
      </c>
      <c r="G8432" s="3">
        <v>0.3</v>
      </c>
      <c r="H8432" s="3">
        <v>1.0</v>
      </c>
      <c r="I8432" s="3" t="s">
        <v>48</v>
      </c>
      <c r="J8432" s="3" t="s">
        <v>24119</v>
      </c>
      <c r="K8432" s="3" t="s">
        <v>2215</v>
      </c>
      <c r="L8432" s="3" t="str">
        <f>IFERROR(__xludf.DUMMYFUNCTION("GOOGLETRANSLATE(F8432,""id"",""en"")"),"The output of Mongolia December Result Shio Taiwan Taiwan Prediction Monday December Best Shio Naga BBFS")</f>
        <v>The output of Mongolia December Result Shio Taiwan Taiwan Prediction Monday December Best Shio Naga BBFS</v>
      </c>
    </row>
    <row r="8433" ht="15.75" customHeight="1">
      <c r="A8433" s="1">
        <v>9655.0</v>
      </c>
      <c r="B8433" s="3" t="s">
        <v>24120</v>
      </c>
      <c r="C8433" s="3">
        <v>0.0</v>
      </c>
      <c r="D8433" s="3">
        <v>0.0</v>
      </c>
      <c r="E8433" s="3">
        <v>0.0</v>
      </c>
      <c r="F8433" s="3" t="s">
        <v>24121</v>
      </c>
      <c r="G8433" s="3">
        <v>0.75</v>
      </c>
      <c r="H8433" s="3">
        <v>0.0</v>
      </c>
      <c r="I8433" s="3" t="s">
        <v>13</v>
      </c>
      <c r="J8433" s="3" t="s">
        <v>24122</v>
      </c>
      <c r="K8433" s="3" t="s">
        <v>510</v>
      </c>
      <c r="L8433" s="3" t="str">
        <f>IFERROR(__xludf.DUMMYFUNCTION("GOOGLETRANSLATE(F8433,""id"",""en"")"),"The Argentine national team got a total billion prize after becoming the following World Cup champions")</f>
        <v>The Argentine national team got a total billion prize after becoming the following World Cup champions</v>
      </c>
    </row>
    <row r="8434" ht="15.75" customHeight="1">
      <c r="A8434" s="1">
        <v>9656.0</v>
      </c>
      <c r="B8434" s="3" t="s">
        <v>24123</v>
      </c>
      <c r="C8434" s="3">
        <v>0.0</v>
      </c>
      <c r="D8434" s="3">
        <v>0.0</v>
      </c>
      <c r="E8434" s="3">
        <v>1.0</v>
      </c>
      <c r="F8434" s="3" t="s">
        <v>24124</v>
      </c>
      <c r="G8434" s="3">
        <v>0.3</v>
      </c>
      <c r="H8434" s="3">
        <v>1.0</v>
      </c>
      <c r="I8434" s="3" t="s">
        <v>48</v>
      </c>
      <c r="J8434" s="3" t="s">
        <v>24125</v>
      </c>
      <c r="K8434" s="3" t="s">
        <v>2215</v>
      </c>
      <c r="L8434" s="3" t="str">
        <f>IFERROR(__xludf.DUMMYFUNCTION("GOOGLETRANSLATE(F8434,""id"",""en"")"),"Singapore December Output Result Shio Buffalo Prediction Grabpools Monday December Best Shio Rabbit BBFS")</f>
        <v>Singapore December Output Result Shio Buffalo Prediction Grabpools Monday December Best Shio Rabbit BBFS</v>
      </c>
    </row>
    <row r="8435" ht="15.75" customHeight="1">
      <c r="A8435" s="1">
        <v>9657.0</v>
      </c>
      <c r="B8435" s="3" t="s">
        <v>24126</v>
      </c>
      <c r="C8435" s="3">
        <v>0.0</v>
      </c>
      <c r="D8435" s="3">
        <v>0.0</v>
      </c>
      <c r="E8435" s="3">
        <v>1.0</v>
      </c>
      <c r="F8435" s="3" t="s">
        <v>24127</v>
      </c>
      <c r="G8435" s="3">
        <v>0.3</v>
      </c>
      <c r="H8435" s="3">
        <v>1.0</v>
      </c>
      <c r="I8435" s="3" t="s">
        <v>48</v>
      </c>
      <c r="J8435" s="3" t="s">
        <v>24128</v>
      </c>
      <c r="K8435" s="3" t="s">
        <v>2215</v>
      </c>
      <c r="L8435" s="3" t="str">
        <f>IFERROR(__xludf.DUMMYFUNCTION("GOOGLETRANSLATE(F8435,""id"",""en"")"),"Japan December Output Result Shio Mouse Prediction Singapore Monday December Best Shio Babi Bbfs")</f>
        <v>Japan December Output Result Shio Mouse Prediction Singapore Monday December Best Shio Babi Bbfs</v>
      </c>
    </row>
    <row r="8436" ht="15.75" customHeight="1">
      <c r="A8436" s="1">
        <v>9658.0</v>
      </c>
      <c r="B8436" s="3" t="s">
        <v>24129</v>
      </c>
      <c r="C8436" s="3">
        <v>0.0</v>
      </c>
      <c r="D8436" s="3">
        <v>1.0</v>
      </c>
      <c r="E8436" s="3">
        <v>0.0</v>
      </c>
      <c r="F8436" s="3" t="s">
        <v>24130</v>
      </c>
      <c r="G8436" s="3">
        <v>0.5</v>
      </c>
      <c r="H8436" s="3">
        <v>0.5</v>
      </c>
      <c r="I8436" s="3" t="s">
        <v>48</v>
      </c>
      <c r="J8436" s="3" t="s">
        <v>24131</v>
      </c>
      <c r="K8436" s="3" t="s">
        <v>24132</v>
      </c>
      <c r="L8436" s="3" t="str">
        <f>IFERROR(__xludf.DUMMYFUNCTION("GOOGLETRANSLATE(F8436,""id"",""en"")"),"Argentina Champion World Cup World Cup Argentina Top Scorer Mario Kempes with World Cup Mexico Top Scorer goal Diego Maradona with World Cup Qatar Top Scorel Messi's goal with a goal")</f>
        <v>Argentina Champion World Cup World Cup Argentina Top Scorer Mario Kempes with World Cup Mexico Top Scorer goal Diego Maradona with World Cup Qatar Top Scorel Messi's goal with a goal</v>
      </c>
    </row>
    <row r="8437" ht="15.75" customHeight="1">
      <c r="A8437" s="1">
        <v>9659.0</v>
      </c>
      <c r="B8437" s="3" t="s">
        <v>24133</v>
      </c>
      <c r="C8437" s="3">
        <v>3.0</v>
      </c>
      <c r="D8437" s="3">
        <v>0.0</v>
      </c>
      <c r="E8437" s="3">
        <v>0.0</v>
      </c>
      <c r="F8437" s="3" t="s">
        <v>24134</v>
      </c>
      <c r="G8437" s="3">
        <v>0.0</v>
      </c>
      <c r="H8437" s="3">
        <v>0.0</v>
      </c>
      <c r="I8437" s="3" t="s">
        <v>13</v>
      </c>
      <c r="J8437" s="3" t="s">
        <v>24135</v>
      </c>
      <c r="K8437" s="3" t="s">
        <v>644</v>
      </c>
      <c r="L8437" s="3" t="str">
        <f>IFERROR(__xludf.DUMMYFUNCTION("GOOGLETRANSLATE(F8437,""id"",""en"")"),"Argentina became the champion too")</f>
        <v>Argentina became the champion too</v>
      </c>
    </row>
    <row r="8438" ht="15.75" customHeight="1">
      <c r="A8438" s="1">
        <v>9660.0</v>
      </c>
      <c r="B8438" s="3" t="s">
        <v>24136</v>
      </c>
      <c r="C8438" s="3">
        <v>0.0</v>
      </c>
      <c r="D8438" s="3">
        <v>0.0</v>
      </c>
      <c r="E8438" s="3">
        <v>0.0</v>
      </c>
      <c r="F8438" s="3" t="s">
        <v>24137</v>
      </c>
      <c r="G8438" s="3">
        <v>0.0</v>
      </c>
      <c r="H8438" s="3">
        <v>0.0</v>
      </c>
      <c r="I8438" s="3" t="s">
        <v>13</v>
      </c>
      <c r="J8438" s="3" t="s">
        <v>24138</v>
      </c>
      <c r="K8438" s="3" t="s">
        <v>644</v>
      </c>
      <c r="L8438" s="3" t="str">
        <f>IFERROR(__xludf.DUMMYFUNCTION("GOOGLETRANSLATE(F8438,""id"",""en"")"),"I MLM Praying Argentina Champion")</f>
        <v>I MLM Praying Argentina Champion</v>
      </c>
    </row>
    <row r="8439" ht="15.75" customHeight="1">
      <c r="A8439" s="1">
        <v>9661.0</v>
      </c>
      <c r="B8439" s="3" t="s">
        <v>24139</v>
      </c>
      <c r="C8439" s="3">
        <v>1.0</v>
      </c>
      <c r="D8439" s="3">
        <v>0.0</v>
      </c>
      <c r="E8439" s="3">
        <v>0.0</v>
      </c>
      <c r="F8439" s="3" t="s">
        <v>24140</v>
      </c>
      <c r="G8439" s="3">
        <v>0.0</v>
      </c>
      <c r="H8439" s="3">
        <v>0.0</v>
      </c>
      <c r="I8439" s="3" t="s">
        <v>13</v>
      </c>
      <c r="J8439" s="3" t="s">
        <v>24141</v>
      </c>
      <c r="K8439" s="3" t="s">
        <v>15</v>
      </c>
      <c r="L8439" s="3" t="str">
        <f>IFERROR(__xludf.DUMMYFUNCTION("GOOGLETRANSLATE(F8439,""id"",""en"")"),"the Argentina champion who was praised by Messi who was only the cheese crumbling")</f>
        <v>the Argentina champion who was praised by Messi who was only the cheese crumbling</v>
      </c>
    </row>
    <row r="8440" ht="15.75" customHeight="1">
      <c r="A8440" s="1">
        <v>9662.0</v>
      </c>
      <c r="B8440" s="3" t="s">
        <v>24142</v>
      </c>
      <c r="C8440" s="3">
        <v>0.0</v>
      </c>
      <c r="D8440" s="3">
        <v>0.0</v>
      </c>
      <c r="E8440" s="3">
        <v>0.0</v>
      </c>
      <c r="F8440" s="3" t="s">
        <v>24112</v>
      </c>
      <c r="G8440" s="3">
        <v>0.0</v>
      </c>
      <c r="H8440" s="3">
        <v>0.0</v>
      </c>
      <c r="I8440" s="3" t="s">
        <v>13</v>
      </c>
      <c r="J8440" s="3" t="s">
        <v>24113</v>
      </c>
      <c r="K8440" s="3" t="s">
        <v>1317</v>
      </c>
      <c r="L8440" s="3" t="str">
        <f>IFERROR(__xludf.DUMMYFUNCTION("GOOGLETRANSLATE(F8440,""id"",""en"")"),"History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41" ht="15.75" customHeight="1">
      <c r="A8441" s="1">
        <v>9663.0</v>
      </c>
      <c r="B8441" s="3" t="s">
        <v>24143</v>
      </c>
      <c r="C8441" s="3">
        <v>0.0</v>
      </c>
      <c r="D8441" s="3">
        <v>0.0</v>
      </c>
      <c r="E8441" s="3">
        <v>0.0</v>
      </c>
      <c r="F8441" s="3" t="s">
        <v>24144</v>
      </c>
      <c r="G8441" s="3">
        <v>0.0</v>
      </c>
      <c r="H8441" s="3">
        <v>0.0</v>
      </c>
      <c r="I8441" s="3" t="s">
        <v>13</v>
      </c>
      <c r="J8441" s="3" t="s">
        <v>24145</v>
      </c>
      <c r="K8441" s="3" t="s">
        <v>19</v>
      </c>
      <c r="L8441" s="3" t="str">
        <f>IFERROR(__xludf.DUMMYFUNCTION("GOOGLETRANSLATE(F8441,""id"",""en"")"),"Argentina is the reason I stayed up late every morning until finally the champion thank you")</f>
        <v>Argentina is the reason I stayed up late every morning until finally the champion thank you</v>
      </c>
    </row>
    <row r="8442" ht="15.75" customHeight="1">
      <c r="A8442" s="1">
        <v>9664.0</v>
      </c>
      <c r="B8442" s="3" t="s">
        <v>24146</v>
      </c>
      <c r="C8442" s="3">
        <v>0.0</v>
      </c>
      <c r="D8442" s="3">
        <v>0.0</v>
      </c>
      <c r="E8442" s="3">
        <v>0.0</v>
      </c>
      <c r="F8442" s="3" t="s">
        <v>24147</v>
      </c>
      <c r="G8442" s="3">
        <v>0.0</v>
      </c>
      <c r="H8442" s="3">
        <v>0.0</v>
      </c>
      <c r="I8442" s="3" t="s">
        <v>13</v>
      </c>
      <c r="J8442" s="3" t="s">
        <v>24148</v>
      </c>
      <c r="K8442" s="3" t="s">
        <v>244</v>
      </c>
      <c r="L8442" s="3" t="str">
        <f>IFERROR(__xludf.DUMMYFUNCTION("GOOGLETRANSLATE(F8442,""id"",""en"")"),"The quality of the French team is superior but the motivation of Argentine champions is far more burning")</f>
        <v>The quality of the French team is superior but the motivation of Argentine champions is far more burning</v>
      </c>
    </row>
    <row r="8443" ht="15.75" customHeight="1">
      <c r="A8443" s="1">
        <v>9665.0</v>
      </c>
      <c r="B8443" s="3" t="s">
        <v>24149</v>
      </c>
      <c r="C8443" s="3">
        <v>0.0</v>
      </c>
      <c r="D8443" s="3">
        <v>4.0</v>
      </c>
      <c r="E8443" s="3">
        <v>15.0</v>
      </c>
      <c r="F8443" s="3" t="s">
        <v>24150</v>
      </c>
      <c r="G8443" s="3">
        <v>0.0</v>
      </c>
      <c r="H8443" s="3">
        <v>0.0</v>
      </c>
      <c r="I8443" s="3" t="s">
        <v>13</v>
      </c>
      <c r="J8443" s="3" t="s">
        <v>24151</v>
      </c>
      <c r="K8443" s="3" t="s">
        <v>15</v>
      </c>
      <c r="L8443" s="3" t="str">
        <f>IFERROR(__xludf.DUMMYFUNCTION("GOOGLETRANSLATE(F8443,""id"",""en"")"),"The Argentine process to become a world champion starts from here the debate")</f>
        <v>The Argentine process to become a world champion starts from here the debate</v>
      </c>
    </row>
    <row r="8444" ht="15.75" customHeight="1">
      <c r="A8444" s="1">
        <v>9666.0</v>
      </c>
      <c r="B8444" s="3" t="s">
        <v>24152</v>
      </c>
      <c r="C8444" s="3">
        <v>0.0</v>
      </c>
      <c r="D8444" s="3">
        <v>0.0</v>
      </c>
      <c r="E8444" s="3">
        <v>0.0</v>
      </c>
      <c r="F8444" s="3" t="s">
        <v>24153</v>
      </c>
      <c r="G8444" s="3">
        <v>0.0</v>
      </c>
      <c r="H8444" s="3">
        <v>0.0</v>
      </c>
      <c r="I8444" s="3" t="s">
        <v>13</v>
      </c>
      <c r="J8444" s="3" t="s">
        <v>24154</v>
      </c>
      <c r="K8444" s="3" t="s">
        <v>24155</v>
      </c>
      <c r="L8444" s="3" t="str">
        <f>IFERROR(__xludf.DUMMYFUNCTION("GOOGLETRANSLATE(F8444,""id"",""en"")"),"Mak look at the ball or smalam I am Argentina Menag World Champion Mak Mak or Tina Dogs where I am Argentina Argentina Mak Tina Dog Tina I Mak Betoi Dah Dah Dah")</f>
        <v>Mak look at the ball or smalam I am Argentina Menag World Champion Mak Mak or Tina Dogs where I am Argentina Argentina Mak Tina Dog Tina I Mak Betoi Dah Dah Dah</v>
      </c>
    </row>
    <row r="8445" ht="15.75" customHeight="1">
      <c r="A8445" s="1">
        <v>9667.0</v>
      </c>
      <c r="B8445" s="3" t="s">
        <v>24156</v>
      </c>
      <c r="C8445" s="3">
        <v>0.0</v>
      </c>
      <c r="D8445" s="3">
        <v>0.0</v>
      </c>
      <c r="E8445" s="3">
        <v>0.0</v>
      </c>
      <c r="F8445" s="3" t="s">
        <v>24157</v>
      </c>
      <c r="G8445" s="3">
        <v>0.0</v>
      </c>
      <c r="H8445" s="3">
        <v>0.0</v>
      </c>
      <c r="I8445" s="3" t="s">
        <v>13</v>
      </c>
      <c r="J8445" s="3" t="s">
        <v>24158</v>
      </c>
      <c r="K8445" s="3" t="s">
        <v>1293</v>
      </c>
      <c r="L8445" s="3" t="str">
        <f>IFERROR(__xludf.DUMMYFUNCTION("GOOGLETRANSLATE(F8445,""id"",""en"")"),"Lukiiko is still there just a fan modelan like he likes to damage the happiness")</f>
        <v>Lukiiko is still there just a fan modelan like he likes to damage the happiness</v>
      </c>
    </row>
    <row r="8446" ht="15.75" customHeight="1">
      <c r="A8446" s="1">
        <v>9668.0</v>
      </c>
      <c r="B8446" s="3" t="s">
        <v>24159</v>
      </c>
      <c r="C8446" s="3">
        <v>1.0</v>
      </c>
      <c r="D8446" s="3">
        <v>0.0</v>
      </c>
      <c r="E8446" s="3">
        <v>3.0</v>
      </c>
      <c r="F8446" s="3" t="s">
        <v>23065</v>
      </c>
      <c r="G8446" s="3">
        <v>0.0</v>
      </c>
      <c r="H8446" s="3">
        <v>0.0</v>
      </c>
      <c r="I8446" s="3" t="s">
        <v>13</v>
      </c>
      <c r="J8446" s="3" t="s">
        <v>23066</v>
      </c>
      <c r="K8446" s="3" t="s">
        <v>495</v>
      </c>
      <c r="L8446" s="3" t="str">
        <f>IFERROR(__xludf.DUMMYFUNCTION("GOOGLETRANSLATE(F8446,""id"",""en"")"),"The unique thing happened after the celebration of the World Cup Lusail Player Champion to the Argentine supporters cutting the goal net for memories")</f>
        <v>The unique thing happened after the celebration of the World Cup Lusail Player Champion to the Argentine supporters cutting the goal net for memories</v>
      </c>
    </row>
    <row r="8447" ht="15.75" customHeight="1">
      <c r="A8447" s="1">
        <v>9669.0</v>
      </c>
      <c r="B8447" s="3" t="s">
        <v>24160</v>
      </c>
      <c r="C8447" s="3">
        <v>0.0</v>
      </c>
      <c r="D8447" s="3">
        <v>4.0</v>
      </c>
      <c r="E8447" s="3">
        <v>0.0</v>
      </c>
      <c r="F8447" s="3" t="s">
        <v>24161</v>
      </c>
      <c r="G8447" s="3">
        <v>0.0</v>
      </c>
      <c r="H8447" s="3">
        <v>0.0</v>
      </c>
      <c r="I8447" s="3" t="s">
        <v>13</v>
      </c>
      <c r="J8447" s="3" t="s">
        <v>24162</v>
      </c>
      <c r="K8447" s="3" t="s">
        <v>50</v>
      </c>
      <c r="L8447" s="3" t="str">
        <f>IFERROR(__xludf.DUMMYFUNCTION("GOOGLETRANSLATE(F8447,""id"",""en"")"),"Messi Bring Argentina The Pele World Cup Champion is now Diego Maradona smiling")</f>
        <v>Messi Bring Argentina The Pele World Cup Champion is now Diego Maradona smiling</v>
      </c>
    </row>
    <row r="8448" ht="15.75" customHeight="1">
      <c r="A8448" s="1">
        <v>9670.0</v>
      </c>
      <c r="B8448" s="3" t="s">
        <v>24163</v>
      </c>
      <c r="C8448" s="3">
        <v>11.0</v>
      </c>
      <c r="D8448" s="3">
        <v>3.0</v>
      </c>
      <c r="E8448" s="3">
        <v>46.0</v>
      </c>
      <c r="F8448" s="3" t="s">
        <v>24164</v>
      </c>
      <c r="G8448" s="3">
        <v>0.0</v>
      </c>
      <c r="H8448" s="3">
        <v>0.0</v>
      </c>
      <c r="I8448" s="3" t="s">
        <v>13</v>
      </c>
      <c r="J8448" s="3" t="s">
        <v>24165</v>
      </c>
      <c r="K8448" s="3" t="s">
        <v>675</v>
      </c>
      <c r="L8448" s="3" t="str">
        <f>IFERROR(__xludf.DUMMYFUNCTION("GOOGLETRANSLATE(F8448,""id"",""en"")"),"cool if FIFA arranges the match not like PSSI besides being bribed by the referees of not well -known players like Kolo Muani also bribed FIFA so that kicking the ball in the direction of the goalkeeper, as a result Argentina, did not become burglary and "&amp;"champions through a penalty")</f>
        <v>cool if FIFA arranges the match not like PSSI besides being bribed by the referees of not well -known players like Kolo Muani also bribed FIFA so that kicking the ball in the direction of the goalkeeper, as a result Argentina, did not become burglary and champions through a penalty</v>
      </c>
    </row>
    <row r="8449" ht="15.75" customHeight="1">
      <c r="A8449" s="1">
        <v>9671.0</v>
      </c>
      <c r="B8449" s="3" t="s">
        <v>24166</v>
      </c>
      <c r="C8449" s="3">
        <v>0.0</v>
      </c>
      <c r="D8449" s="3">
        <v>0.0</v>
      </c>
      <c r="E8449" s="3">
        <v>0.0</v>
      </c>
      <c r="F8449" s="3" t="s">
        <v>24167</v>
      </c>
      <c r="G8449" s="3">
        <v>0.0</v>
      </c>
      <c r="H8449" s="3">
        <v>0.0</v>
      </c>
      <c r="I8449" s="3" t="s">
        <v>13</v>
      </c>
      <c r="J8449" s="3" t="s">
        <v>24168</v>
      </c>
      <c r="K8449" s="3" t="s">
        <v>765</v>
      </c>
      <c r="L8449" s="3" t="str">
        <f>IFERROR(__xludf.DUMMYFUNCTION("GOOGLETRANSLATE(F8449,""id"",""en"")"),"Argentina champions and get everything for their efforts we can only be happy because when disappointed struck a sense of happiness that must appear in the chest not all rich are happy, there are many simple things that make you far from sad and empty")</f>
        <v>Argentina champions and get everything for their efforts we can only be happy because when disappointed struck a sense of happiness that must appear in the chest not all rich are happy, there are many simple things that make you far from sad and empty</v>
      </c>
    </row>
    <row r="8450" ht="15.75" customHeight="1">
      <c r="A8450" s="1">
        <v>9672.0</v>
      </c>
      <c r="B8450" s="3" t="s">
        <v>24169</v>
      </c>
      <c r="C8450" s="3">
        <v>0.0</v>
      </c>
      <c r="D8450" s="3">
        <v>0.0</v>
      </c>
      <c r="E8450" s="3">
        <v>0.0</v>
      </c>
      <c r="F8450" s="3" t="s">
        <v>24170</v>
      </c>
      <c r="G8450" s="3">
        <v>1.0</v>
      </c>
      <c r="H8450" s="3">
        <v>0.0</v>
      </c>
      <c r="I8450" s="3" t="s">
        <v>13</v>
      </c>
      <c r="J8450" s="3" t="s">
        <v>24171</v>
      </c>
      <c r="K8450" s="3" t="s">
        <v>41</v>
      </c>
      <c r="L8450" s="3" t="str">
        <f>IFERROR(__xludf.DUMMYFUNCTION("GOOGLETRANSLATE(F8450,""id"",""en"")"),"Nobar Final Football World Cup Argentina")</f>
        <v>Nobar Final Football World Cup Argentina</v>
      </c>
    </row>
    <row r="8451" ht="15.75" customHeight="1">
      <c r="A8451" s="1">
        <v>9673.0</v>
      </c>
      <c r="B8451" s="3" t="s">
        <v>24172</v>
      </c>
      <c r="C8451" s="3">
        <v>0.0</v>
      </c>
      <c r="D8451" s="3">
        <v>3.0</v>
      </c>
      <c r="E8451" s="3">
        <v>21.0</v>
      </c>
      <c r="F8451" s="3" t="s">
        <v>24173</v>
      </c>
      <c r="G8451" s="3">
        <v>0.0</v>
      </c>
      <c r="H8451" s="3">
        <v>0.0</v>
      </c>
      <c r="I8451" s="3" t="s">
        <v>13</v>
      </c>
      <c r="J8451" s="3" t="s">
        <v>24174</v>
      </c>
      <c r="K8451" s="3" t="s">
        <v>82</v>
      </c>
      <c r="L8451" s="3" t="str">
        <f>IFERROR(__xludf.DUMMYFUNCTION("GOOGLETRANSLATE(F8451,""id"",""en"")"),"Celebration of the Argentine National Team Champion World Cup Qatar")</f>
        <v>Celebration of the Argentine National Team Champion World Cup Qatar</v>
      </c>
    </row>
    <row r="8452" ht="15.75" customHeight="1">
      <c r="A8452" s="1">
        <v>9674.0</v>
      </c>
      <c r="B8452" s="3" t="s">
        <v>24175</v>
      </c>
      <c r="C8452" s="3">
        <v>0.0</v>
      </c>
      <c r="D8452" s="3">
        <v>0.0</v>
      </c>
      <c r="E8452" s="3">
        <v>0.0</v>
      </c>
      <c r="F8452" s="3" t="s">
        <v>24176</v>
      </c>
      <c r="G8452" s="3">
        <v>0.0</v>
      </c>
      <c r="H8452" s="3">
        <v>0.0</v>
      </c>
      <c r="I8452" s="3" t="s">
        <v>13</v>
      </c>
      <c r="J8452" s="3" t="s">
        <v>24177</v>
      </c>
      <c r="K8452" s="3" t="s">
        <v>19</v>
      </c>
      <c r="L8452" s="3" t="str">
        <f>IFERROR(__xludf.DUMMYFUNCTION("GOOGLETRANSLATE(F8452,""id"",""en"")"),"If this opportunity last night, a goal was finished with Argentina's history for the World Cup championship")</f>
        <v>If this opportunity last night, a goal was finished with Argentina's history for the World Cup championship</v>
      </c>
    </row>
    <row r="8453" ht="15.75" customHeight="1">
      <c r="A8453" s="1">
        <v>9675.0</v>
      </c>
      <c r="B8453" s="3" t="s">
        <v>24178</v>
      </c>
      <c r="C8453" s="3">
        <v>0.0</v>
      </c>
      <c r="D8453" s="3">
        <v>0.0</v>
      </c>
      <c r="E8453" s="3">
        <v>0.0</v>
      </c>
      <c r="F8453" s="3" t="s">
        <v>24112</v>
      </c>
      <c r="G8453" s="3">
        <v>0.0</v>
      </c>
      <c r="H8453" s="3">
        <v>0.0</v>
      </c>
      <c r="I8453" s="3" t="s">
        <v>13</v>
      </c>
      <c r="J8453" s="3" t="s">
        <v>24113</v>
      </c>
      <c r="K8453" s="3" t="s">
        <v>1317</v>
      </c>
      <c r="L8453" s="3" t="str">
        <f>IFERROR(__xludf.DUMMYFUNCTION("GOOGLETRANSLATE(F8453,""id"",""en"")"),"History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54" ht="15.75" customHeight="1">
      <c r="A8454" s="1">
        <v>9676.0</v>
      </c>
      <c r="B8454" s="3" t="s">
        <v>24179</v>
      </c>
      <c r="C8454" s="3">
        <v>0.0</v>
      </c>
      <c r="D8454" s="3">
        <v>0.0</v>
      </c>
      <c r="E8454" s="3">
        <v>0.0</v>
      </c>
      <c r="F8454" s="3" t="s">
        <v>24180</v>
      </c>
      <c r="G8454" s="3">
        <v>0.0</v>
      </c>
      <c r="H8454" s="3">
        <v>0.0</v>
      </c>
      <c r="I8454" s="3" t="s">
        <v>13</v>
      </c>
      <c r="J8454" s="3" t="s">
        <v>24181</v>
      </c>
      <c r="K8454" s="3" t="s">
        <v>15</v>
      </c>
      <c r="L8454" s="3" t="str">
        <f>IFERROR(__xludf.DUMMYFUNCTION("GOOGLETRANSLATE(F8454,""id"",""en"")"),"things to know before visiting Argentina the World Cup champion")</f>
        <v>things to know before visiting Argentina the World Cup champion</v>
      </c>
    </row>
    <row r="8455" ht="15.75" customHeight="1">
      <c r="A8455" s="1">
        <v>9677.0</v>
      </c>
      <c r="B8455" s="3" t="s">
        <v>24182</v>
      </c>
      <c r="C8455" s="3">
        <v>154.0</v>
      </c>
      <c r="D8455" s="3">
        <v>397.0</v>
      </c>
      <c r="E8455" s="3">
        <v>5134.0</v>
      </c>
      <c r="F8455" s="3" t="s">
        <v>24183</v>
      </c>
      <c r="G8455" s="3">
        <v>0.4722222222222222</v>
      </c>
      <c r="H8455" s="3">
        <v>0.1111111111111111</v>
      </c>
      <c r="I8455" s="3" t="s">
        <v>48</v>
      </c>
      <c r="J8455" s="3" t="s">
        <v>24184</v>
      </c>
      <c r="K8455" s="3" t="s">
        <v>11608</v>
      </c>
      <c r="L8455" s="3" t="str">
        <f>IFERROR(__xludf.DUMMYFUNCTION("GOOGLETRANSLATE(F8455,""id"",""en"")"),"Paulo Dybala often becomes a backup but finally the champion only plays and even then as a replacement for the total number of French minutes entering the minute for penalties but the minutes have done a clearance chance of kicking a goal penalty to help "&amp;"Argentina champion")</f>
        <v>Paulo Dybala often becomes a backup but finally the champion only plays and even then as a replacement for the total number of French minutes entering the minute for penalties but the minutes have done a clearance chance of kicking a goal penalty to help Argentina champion</v>
      </c>
    </row>
    <row r="8456" ht="15.75" customHeight="1">
      <c r="A8456" s="1">
        <v>9678.0</v>
      </c>
      <c r="B8456" s="3" t="s">
        <v>24185</v>
      </c>
      <c r="C8456" s="3">
        <v>0.0</v>
      </c>
      <c r="D8456" s="3">
        <v>0.0</v>
      </c>
      <c r="E8456" s="3">
        <v>0.0</v>
      </c>
      <c r="F8456" s="3" t="s">
        <v>24186</v>
      </c>
      <c r="G8456" s="3">
        <v>0.0</v>
      </c>
      <c r="H8456" s="3">
        <v>0.0</v>
      </c>
      <c r="I8456" s="3" t="s">
        <v>13</v>
      </c>
      <c r="J8456" s="3" t="s">
        <v>24187</v>
      </c>
      <c r="K8456" s="3" t="s">
        <v>14571</v>
      </c>
      <c r="L8456" s="3" t="str">
        <f>IFERROR(__xludf.DUMMYFUNCTION("GOOGLETRANSLATE(F8456,""id"",""en"")"),"Spill Place")</f>
        <v>Spill Place</v>
      </c>
    </row>
    <row r="8457" ht="15.75" customHeight="1">
      <c r="A8457" s="1">
        <v>9679.0</v>
      </c>
      <c r="B8457" s="3" t="s">
        <v>24188</v>
      </c>
      <c r="C8457" s="3">
        <v>0.0</v>
      </c>
      <c r="D8457" s="3">
        <v>0.0</v>
      </c>
      <c r="E8457" s="3">
        <v>0.0</v>
      </c>
      <c r="F8457" s="3" t="s">
        <v>24189</v>
      </c>
      <c r="G8457" s="3">
        <v>0.0</v>
      </c>
      <c r="H8457" s="3">
        <v>0.0</v>
      </c>
      <c r="I8457" s="3" t="s">
        <v>13</v>
      </c>
      <c r="J8457" s="3" t="s">
        <v>24190</v>
      </c>
      <c r="K8457" s="3" t="s">
        <v>41</v>
      </c>
      <c r="L8457" s="3" t="str">
        <f>IFERROR(__xludf.DUMMYFUNCTION("GOOGLETRANSLATE(F8457,""id"",""en"")"),"Lionel Messi Instagram's Story After Argentina World Cup Champion")</f>
        <v>Lionel Messi Instagram's Story After Argentina World Cup Champion</v>
      </c>
    </row>
    <row r="8458" ht="15.75" customHeight="1">
      <c r="A8458" s="1">
        <v>9680.0</v>
      </c>
      <c r="B8458" s="3" t="s">
        <v>24191</v>
      </c>
      <c r="C8458" s="3">
        <v>1.0</v>
      </c>
      <c r="D8458" s="3">
        <v>0.0</v>
      </c>
      <c r="E8458" s="3">
        <v>6.0</v>
      </c>
      <c r="F8458" s="3" t="s">
        <v>24192</v>
      </c>
      <c r="G8458" s="3">
        <v>0.0</v>
      </c>
      <c r="H8458" s="3">
        <v>0.0</v>
      </c>
      <c r="I8458" s="3" t="s">
        <v>13</v>
      </c>
      <c r="J8458" s="3" t="s">
        <v>24193</v>
      </c>
      <c r="K8458" s="3" t="s">
        <v>16964</v>
      </c>
      <c r="L8458" s="3" t="str">
        <f>IFERROR(__xludf.DUMMYFUNCTION("GOOGLETRANSLATE(F8458,""id"",""en"")"),"Countries have been the champion of the FIFA Brazil World Cup, Italy Kali Kali Kali Kali Kali Argentina Kali Kali Kali England France Kali Spain times Indonesia next time")</f>
        <v>Countries have been the champion of the FIFA Brazil World Cup, Italy Kali Kali Kali Kali Kali Argentina Kali Kali Kali England France Kali Spain times Indonesia next time</v>
      </c>
    </row>
    <row r="8459" ht="15.75" customHeight="1">
      <c r="A8459" s="1">
        <v>9681.0</v>
      </c>
      <c r="B8459" s="3" t="s">
        <v>24194</v>
      </c>
      <c r="C8459" s="3">
        <v>0.0</v>
      </c>
      <c r="D8459" s="3">
        <v>0.0</v>
      </c>
      <c r="E8459" s="3">
        <v>0.0</v>
      </c>
      <c r="F8459" s="3" t="s">
        <v>24195</v>
      </c>
      <c r="G8459" s="3">
        <v>0.0</v>
      </c>
      <c r="H8459" s="3">
        <v>0.0</v>
      </c>
      <c r="I8459" s="3" t="s">
        <v>13</v>
      </c>
      <c r="J8459" s="3" t="s">
        <v>24196</v>
      </c>
      <c r="K8459" s="3" t="s">
        <v>14571</v>
      </c>
      <c r="L8459" s="3" t="str">
        <f>IFERROR(__xludf.DUMMYFUNCTION("GOOGLETRANSLATE(F8459,""id"",""en"")"),"really really")</f>
        <v>really really</v>
      </c>
    </row>
    <row r="8460" ht="15.75" customHeight="1">
      <c r="A8460" s="1">
        <v>9682.0</v>
      </c>
      <c r="B8460" s="3" t="s">
        <v>24197</v>
      </c>
      <c r="C8460" s="3">
        <v>0.0</v>
      </c>
      <c r="D8460" s="3">
        <v>0.0</v>
      </c>
      <c r="E8460" s="3">
        <v>0.0</v>
      </c>
      <c r="F8460" s="3" t="s">
        <v>24198</v>
      </c>
      <c r="G8460" s="3">
        <v>0.0</v>
      </c>
      <c r="H8460" s="3">
        <v>0.0</v>
      </c>
      <c r="I8460" s="3" t="s">
        <v>13</v>
      </c>
      <c r="J8460" s="3" t="s">
        <v>24199</v>
      </c>
      <c r="K8460" s="3" t="s">
        <v>477</v>
      </c>
      <c r="L8460" s="3" t="str">
        <f>IFERROR(__xludf.DUMMYFUNCTION("GOOGLETRANSLATE(F8460,""id"",""en"")"),"Argentina Champion World Cup But Heart Champion Still You")</f>
        <v>Argentina Champion World Cup But Heart Champion Still You</v>
      </c>
    </row>
    <row r="8461" ht="15.75" customHeight="1">
      <c r="A8461" s="1">
        <v>9683.0</v>
      </c>
      <c r="B8461" s="3" t="s">
        <v>24200</v>
      </c>
      <c r="C8461" s="3">
        <v>0.0</v>
      </c>
      <c r="D8461" s="3">
        <v>0.0</v>
      </c>
      <c r="E8461" s="3">
        <v>0.0</v>
      </c>
      <c r="F8461" s="3" t="s">
        <v>24201</v>
      </c>
      <c r="G8461" s="3">
        <v>0.4833333333333333</v>
      </c>
      <c r="H8461" s="3">
        <v>0.2666666666666667</v>
      </c>
      <c r="I8461" s="3" t="s">
        <v>48</v>
      </c>
      <c r="J8461" s="3" t="s">
        <v>24202</v>
      </c>
      <c r="K8461" s="3" t="s">
        <v>240</v>
      </c>
      <c r="L8461" s="3" t="str">
        <f>IFERROR(__xludf.DUMMYFUNCTION("GOOGLETRANSLATE(F8461,""id"",""en"")"),"SUPER SAVE if there was a goal that I don't know what the world of Argentina deserves the champion of Messi The Real Goat")</f>
        <v>SUPER SAVE if there was a goal that I don't know what the world of Argentina deserves the champion of Messi The Real Goat</v>
      </c>
    </row>
    <row r="8462" ht="15.75" customHeight="1">
      <c r="A8462" s="1">
        <v>9684.0</v>
      </c>
      <c r="B8462" s="3" t="s">
        <v>24203</v>
      </c>
      <c r="C8462" s="3">
        <v>0.0</v>
      </c>
      <c r="D8462" s="3">
        <v>5.0</v>
      </c>
      <c r="E8462" s="3">
        <v>7.0</v>
      </c>
      <c r="F8462" s="3" t="s">
        <v>24204</v>
      </c>
      <c r="G8462" s="3">
        <v>0.4</v>
      </c>
      <c r="H8462" s="3">
        <v>-0.4</v>
      </c>
      <c r="I8462" s="3" t="s">
        <v>179</v>
      </c>
      <c r="J8462" s="3" t="s">
        <v>24205</v>
      </c>
      <c r="K8462" s="3" t="s">
        <v>266</v>
      </c>
      <c r="L8462" s="3" t="str">
        <f>IFERROR(__xludf.DUMMYFUNCTION("GOOGLETRANSLATE(F8462,""id"",""en"")"),"Sports Predictions for the FIFA game series maker last November about Argentina World Cup champions come true with the victory of Argentina, meaning that sports have been in a row of predictions about the champions of the pildun starting from and")</f>
        <v>Sports Predictions for the FIFA game series maker last November about Argentina World Cup champions come true with the victory of Argentina, meaning that sports have been in a row of predictions about the champions of the pildun starting from and</v>
      </c>
    </row>
    <row r="8463" ht="15.75" customHeight="1">
      <c r="A8463" s="1">
        <v>9685.0</v>
      </c>
      <c r="B8463" s="3" t="s">
        <v>24206</v>
      </c>
      <c r="C8463" s="3">
        <v>0.0</v>
      </c>
      <c r="D8463" s="3">
        <v>0.0</v>
      </c>
      <c r="E8463" s="3">
        <v>0.0</v>
      </c>
      <c r="F8463" s="3" t="s">
        <v>24207</v>
      </c>
      <c r="G8463" s="3">
        <v>0.0</v>
      </c>
      <c r="H8463" s="3">
        <v>0.0</v>
      </c>
      <c r="I8463" s="3" t="s">
        <v>13</v>
      </c>
      <c r="J8463" s="3" t="s">
        <v>24208</v>
      </c>
      <c r="K8463" s="3" t="s">
        <v>2117</v>
      </c>
      <c r="L8463" s="3" t="str">
        <f>IFERROR(__xludf.DUMMYFUNCTION("GOOGLETRANSLATE(F8463,""id"",""en"")"),"finally Argentina champions")</f>
        <v>finally Argentina champions</v>
      </c>
    </row>
    <row r="8464" ht="15.75" customHeight="1">
      <c r="A8464" s="1">
        <v>9686.0</v>
      </c>
      <c r="B8464" s="3" t="s">
        <v>24209</v>
      </c>
      <c r="C8464" s="3">
        <v>1.0</v>
      </c>
      <c r="D8464" s="3">
        <v>0.0</v>
      </c>
      <c r="E8464" s="3">
        <v>0.0</v>
      </c>
      <c r="F8464" s="3" t="s">
        <v>24210</v>
      </c>
      <c r="G8464" s="3">
        <v>1.0</v>
      </c>
      <c r="H8464" s="3">
        <v>0.0</v>
      </c>
      <c r="I8464" s="3" t="s">
        <v>13</v>
      </c>
      <c r="J8464" s="3" t="s">
        <v>24211</v>
      </c>
      <c r="K8464" s="3" t="s">
        <v>215</v>
      </c>
      <c r="L8464" s="3" t="str">
        <f>IFERROR(__xludf.DUMMYFUNCTION("GOOGLETRANSLATE(F8464,""id"",""en"")"),"Yes, it is amazing that the best world cup final even though the favorite country loses still salutes Argentina the feel of the feel is very different until the intention to watch the trophy usually turns off immediately wkwk")</f>
        <v>Yes, it is amazing that the best world cup final even though the favorite country loses still salutes Argentina the feel of the feel is very different until the intention to watch the trophy usually turns off immediately wkwk</v>
      </c>
    </row>
    <row r="8465" ht="15.75" customHeight="1">
      <c r="A8465" s="1">
        <v>9687.0</v>
      </c>
      <c r="B8465" s="3" t="s">
        <v>24212</v>
      </c>
      <c r="C8465" s="3">
        <v>0.0</v>
      </c>
      <c r="D8465" s="3">
        <v>0.0</v>
      </c>
      <c r="E8465" s="3">
        <v>0.0</v>
      </c>
      <c r="F8465" s="3" t="s">
        <v>24213</v>
      </c>
      <c r="G8465" s="3">
        <v>0.0</v>
      </c>
      <c r="H8465" s="3">
        <v>0.0</v>
      </c>
      <c r="I8465" s="3" t="s">
        <v>13</v>
      </c>
      <c r="J8465" s="3" t="s">
        <v>24214</v>
      </c>
      <c r="K8465" s="3" t="s">
        <v>2907</v>
      </c>
      <c r="L8465" s="3" t="str">
        <f>IFERROR(__xludf.DUMMYFUNCTION("GOOGLETRANSLATE(F8465,""id"",""en"")"),"The AFF Cup seems like Mesi hasn't won why Argentina has never joined AFF")</f>
        <v>The AFF Cup seems like Mesi hasn't won why Argentina has never joined AFF</v>
      </c>
    </row>
    <row r="8466" ht="15.75" customHeight="1">
      <c r="A8466" s="1">
        <v>9688.0</v>
      </c>
      <c r="B8466" s="3" t="s">
        <v>24215</v>
      </c>
      <c r="C8466" s="3">
        <v>0.0</v>
      </c>
      <c r="D8466" s="3">
        <v>0.0</v>
      </c>
      <c r="E8466" s="3">
        <v>1.0</v>
      </c>
      <c r="F8466" s="3" t="s">
        <v>24216</v>
      </c>
      <c r="G8466" s="3">
        <v>0.0</v>
      </c>
      <c r="H8466" s="3">
        <v>0.0</v>
      </c>
      <c r="I8466" s="3" t="s">
        <v>13</v>
      </c>
      <c r="J8466" s="3" t="s">
        <v>24217</v>
      </c>
      <c r="K8466" s="3" t="s">
        <v>441</v>
      </c>
      <c r="L8466" s="3" t="str">
        <f>IFERROR(__xludf.DUMMYFUNCTION("GOOGLETRANSLATE(F8466,""id"",""en"")"),"The Argentine Star Lionel Messi won the first time to lift the Pildun Trophy after taking part in the Argentine national team pildun, he had to wait for the yr to get a happy champion star for the Argentine national team")</f>
        <v>The Argentine Star Lionel Messi won the first time to lift the Pildun Trophy after taking part in the Argentine national team pildun, he had to wait for the yr to get a happy champion star for the Argentine national team</v>
      </c>
    </row>
    <row r="8467" ht="15.75" customHeight="1">
      <c r="A8467" s="1">
        <v>9689.0</v>
      </c>
      <c r="B8467" s="3" t="s">
        <v>24218</v>
      </c>
      <c r="C8467" s="3">
        <v>2.0</v>
      </c>
      <c r="D8467" s="3">
        <v>0.0</v>
      </c>
      <c r="E8467" s="3">
        <v>5.0</v>
      </c>
      <c r="F8467" s="3" t="s">
        <v>23486</v>
      </c>
      <c r="G8467" s="3">
        <v>0.0</v>
      </c>
      <c r="H8467" s="3">
        <v>0.0</v>
      </c>
      <c r="I8467" s="3" t="s">
        <v>13</v>
      </c>
      <c r="J8467" s="3" t="s">
        <v>23487</v>
      </c>
      <c r="K8467" s="3" t="s">
        <v>495</v>
      </c>
      <c r="L8467" s="3" t="str">
        <f>IFERROR(__xludf.DUMMYFUNCTION("GOOGLETRANSLATE(F8467,""id"",""en"")"),"Sergio Aguero deserves to be called the judge's sexy section when Argentina celebrates World Cup champions inviting laughter like glaring to see Messi Check")</f>
        <v>Sergio Aguero deserves to be called the judge's sexy section when Argentina celebrates World Cup champions inviting laughter like glaring to see Messi Check</v>
      </c>
    </row>
    <row r="8468" ht="15.75" customHeight="1">
      <c r="A8468" s="1">
        <v>9690.0</v>
      </c>
      <c r="B8468" s="3" t="s">
        <v>24219</v>
      </c>
      <c r="C8468" s="3">
        <v>0.0</v>
      </c>
      <c r="D8468" s="3">
        <v>0.0</v>
      </c>
      <c r="E8468" s="3">
        <v>9.0</v>
      </c>
      <c r="F8468" s="3" t="s">
        <v>24220</v>
      </c>
      <c r="G8468" s="3">
        <v>0.0</v>
      </c>
      <c r="H8468" s="3">
        <v>0.0</v>
      </c>
      <c r="I8468" s="3" t="s">
        <v>13</v>
      </c>
      <c r="J8468" s="3" t="s">
        <v>24221</v>
      </c>
      <c r="K8468" s="3" t="s">
        <v>82</v>
      </c>
      <c r="L8468" s="3" t="str">
        <f>IFERROR(__xludf.DUMMYFUNCTION("GOOGLETRANSLATE(F8468,""id"",""en"")"),"Argentina last night today Box landed Tankyou")</f>
        <v>Argentina last night today Box landed Tankyou</v>
      </c>
    </row>
    <row r="8469" ht="15.75" customHeight="1">
      <c r="A8469" s="1">
        <v>9691.0</v>
      </c>
      <c r="B8469" s="3" t="s">
        <v>24222</v>
      </c>
      <c r="C8469" s="3">
        <v>0.0</v>
      </c>
      <c r="D8469" s="3">
        <v>1.0</v>
      </c>
      <c r="E8469" s="3">
        <v>8.0</v>
      </c>
      <c r="F8469" s="3" t="s">
        <v>24223</v>
      </c>
      <c r="G8469" s="3">
        <v>0.0</v>
      </c>
      <c r="H8469" s="3">
        <v>0.0</v>
      </c>
      <c r="I8469" s="3" t="s">
        <v>13</v>
      </c>
      <c r="J8469" s="3" t="s">
        <v>24224</v>
      </c>
      <c r="K8469" s="3" t="s">
        <v>82</v>
      </c>
      <c r="L8469" s="3" t="str">
        <f>IFERROR(__xludf.DUMMYFUNCTION("GOOGLETRANSLATE(F8469,""id"",""en"")"),"Argentina Champion Messi Auto was appointed as a PNS")</f>
        <v>Argentina Champion Messi Auto was appointed as a PNS</v>
      </c>
    </row>
    <row r="8470" ht="15.75" customHeight="1">
      <c r="A8470" s="1">
        <v>9692.0</v>
      </c>
      <c r="B8470" s="3" t="s">
        <v>24225</v>
      </c>
      <c r="C8470" s="3">
        <v>0.0</v>
      </c>
      <c r="D8470" s="3">
        <v>0.0</v>
      </c>
      <c r="E8470" s="3">
        <v>4.0</v>
      </c>
      <c r="F8470" s="3" t="s">
        <v>24226</v>
      </c>
      <c r="G8470" s="3">
        <v>0.5</v>
      </c>
      <c r="H8470" s="3">
        <v>0.2</v>
      </c>
      <c r="I8470" s="3" t="s">
        <v>48</v>
      </c>
      <c r="J8470" s="3" t="s">
        <v>24227</v>
      </c>
      <c r="K8470" s="3" t="s">
        <v>41</v>
      </c>
      <c r="L8470" s="3" t="str">
        <f>IFERROR(__xludf.DUMMYFUNCTION("GOOGLETRANSLATE(F8470,""id"",""en"")"),"Afternoon Beb Argentina VCS Champion Already Ready Check Bio")</f>
        <v>Afternoon Beb Argentina VCS Champion Already Ready Check Bio</v>
      </c>
    </row>
    <row r="8471" ht="15.75" customHeight="1">
      <c r="A8471" s="1">
        <v>9693.0</v>
      </c>
      <c r="B8471" s="3" t="s">
        <v>24228</v>
      </c>
      <c r="C8471" s="3">
        <v>0.0</v>
      </c>
      <c r="D8471" s="3">
        <v>0.0</v>
      </c>
      <c r="E8471" s="3">
        <v>1.0</v>
      </c>
      <c r="F8471" s="3" t="s">
        <v>24229</v>
      </c>
      <c r="G8471" s="3">
        <v>0.0</v>
      </c>
      <c r="H8471" s="3">
        <v>0.0</v>
      </c>
      <c r="I8471" s="3" t="s">
        <v>13</v>
      </c>
      <c r="J8471" s="3" t="s">
        <v>24230</v>
      </c>
      <c r="K8471" s="3" t="s">
        <v>644</v>
      </c>
      <c r="L8471" s="3" t="str">
        <f>IFERROR(__xludf.DUMMYFUNCTION("GOOGLETRANSLATE(F8471,""id"",""en"")"),"Alhamdulilah Argentina Champion")</f>
        <v>Alhamdulilah Argentina Champion</v>
      </c>
    </row>
    <row r="8472" ht="15.75" customHeight="1">
      <c r="A8472" s="1">
        <v>9694.0</v>
      </c>
      <c r="B8472" s="3" t="s">
        <v>24231</v>
      </c>
      <c r="C8472" s="3">
        <v>0.0</v>
      </c>
      <c r="D8472" s="3">
        <v>0.0</v>
      </c>
      <c r="E8472" s="3">
        <v>0.0</v>
      </c>
      <c r="F8472" s="3" t="s">
        <v>24232</v>
      </c>
      <c r="G8472" s="3">
        <v>0.0</v>
      </c>
      <c r="H8472" s="3">
        <v>0.0</v>
      </c>
      <c r="I8472" s="3" t="s">
        <v>13</v>
      </c>
      <c r="J8472" s="3" t="s">
        <v>24233</v>
      </c>
      <c r="K8472" s="3" t="s">
        <v>15</v>
      </c>
      <c r="L8472" s="3" t="str">
        <f>IFERROR(__xludf.DUMMYFUNCTION("GOOGLETRANSLATE(F8472,""id"",""en"")"),"The record carved by Messi after Argentina Champion World Cup")</f>
        <v>The record carved by Messi after Argentina Champion World Cup</v>
      </c>
    </row>
    <row r="8473" ht="15.75" customHeight="1">
      <c r="A8473" s="1">
        <v>9695.0</v>
      </c>
      <c r="B8473" s="3" t="s">
        <v>24234</v>
      </c>
      <c r="C8473" s="3">
        <v>0.0</v>
      </c>
      <c r="D8473" s="3">
        <v>0.0</v>
      </c>
      <c r="E8473" s="3">
        <v>0.0</v>
      </c>
      <c r="F8473" s="3" t="s">
        <v>24235</v>
      </c>
      <c r="G8473" s="3">
        <v>0.0</v>
      </c>
      <c r="H8473" s="3">
        <v>0.0</v>
      </c>
      <c r="I8473" s="3" t="s">
        <v>13</v>
      </c>
      <c r="J8473" s="3" t="s">
        <v>24236</v>
      </c>
      <c r="K8473" s="3" t="s">
        <v>644</v>
      </c>
      <c r="L8473" s="3" t="str">
        <f>IFERROR(__xludf.DUMMYFUNCTION("GOOGLETRANSLATE(F8473,""id"",""en"")"),"Argentina is so frustrated")</f>
        <v>Argentina is so frustrated</v>
      </c>
    </row>
    <row r="8474" ht="15.75" customHeight="1">
      <c r="A8474" s="1">
        <v>9696.0</v>
      </c>
      <c r="B8474" s="3" t="s">
        <v>24237</v>
      </c>
      <c r="C8474" s="3">
        <v>0.0</v>
      </c>
      <c r="D8474" s="3">
        <v>0.0</v>
      </c>
      <c r="E8474" s="3">
        <v>0.0</v>
      </c>
      <c r="F8474" s="3" t="s">
        <v>24112</v>
      </c>
      <c r="G8474" s="3">
        <v>0.0</v>
      </c>
      <c r="H8474" s="3">
        <v>0.0</v>
      </c>
      <c r="I8474" s="3" t="s">
        <v>13</v>
      </c>
      <c r="J8474" s="3" t="s">
        <v>24113</v>
      </c>
      <c r="K8474" s="3" t="s">
        <v>1317</v>
      </c>
      <c r="L8474" s="3" t="str">
        <f>IFERROR(__xludf.DUMMYFUNCTION("GOOGLETRANSLATE(F8474,""id"",""en"")"),"History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75" ht="15.75" customHeight="1">
      <c r="A8475" s="1">
        <v>9697.0</v>
      </c>
      <c r="B8475" s="3" t="s">
        <v>24238</v>
      </c>
      <c r="C8475" s="3">
        <v>1.0</v>
      </c>
      <c r="D8475" s="3">
        <v>1.0</v>
      </c>
      <c r="E8475" s="3">
        <v>1.0</v>
      </c>
      <c r="F8475" s="3" t="s">
        <v>24239</v>
      </c>
      <c r="G8475" s="3">
        <v>0.0</v>
      </c>
      <c r="H8475" s="3">
        <v>0.0</v>
      </c>
      <c r="I8475" s="3" t="s">
        <v>13</v>
      </c>
      <c r="J8475" s="3" t="s">
        <v>24240</v>
      </c>
      <c r="K8475" s="3" t="s">
        <v>1970</v>
      </c>
      <c r="L8475" s="3" t="str">
        <f>IFERROR(__xludf.DUMMYFUNCTION("GOOGLETRANSLATE(F8475,""id"",""en"")"),"FIFA WORLD CUP QATAR Award winner Argentina champion Runner France Place Croatia Croatian Player Lionel Messi Argentina TopSkor Kylian Mbappe France Gol Gol")</f>
        <v>FIFA WORLD CUP QATAR Award winner Argentina champion Runner France Place Croatia Croatian Player Lionel Messi Argentina TopSkor Kylian Mbappe France Gol Gol</v>
      </c>
    </row>
    <row r="8476" ht="15.75" customHeight="1">
      <c r="A8476" s="1">
        <v>9698.0</v>
      </c>
      <c r="B8476" s="3" t="s">
        <v>24241</v>
      </c>
      <c r="C8476" s="3">
        <v>0.0</v>
      </c>
      <c r="D8476" s="3">
        <v>0.0</v>
      </c>
      <c r="E8476" s="3">
        <v>0.0</v>
      </c>
      <c r="F8476" s="3" t="s">
        <v>24242</v>
      </c>
      <c r="G8476" s="3">
        <v>0.0</v>
      </c>
      <c r="H8476" s="3">
        <v>0.0</v>
      </c>
      <c r="I8476" s="3" t="s">
        <v>13</v>
      </c>
      <c r="J8476" s="3" t="s">
        <v>24243</v>
      </c>
      <c r="K8476" s="3" t="s">
        <v>90</v>
      </c>
      <c r="L8476" s="3" t="str">
        <f>IFERROR(__xludf.DUMMYFUNCTION("GOOGLETRANSLATE(F8476,""id"",""en"")"),"Argentina and France will compete for the title of World Cup Champion Tonight This match is certainly in the spotlight of the public including the Governor of West Java")</f>
        <v>Argentina and France will compete for the title of World Cup Champion Tonight This match is certainly in the spotlight of the public including the Governor of West Java</v>
      </c>
    </row>
    <row r="8477" ht="15.75" customHeight="1">
      <c r="A8477" s="1">
        <v>9699.0</v>
      </c>
      <c r="B8477" s="3" t="s">
        <v>24244</v>
      </c>
      <c r="C8477" s="3">
        <v>0.0</v>
      </c>
      <c r="D8477" s="3">
        <v>0.0</v>
      </c>
      <c r="E8477" s="3">
        <v>0.0</v>
      </c>
      <c r="F8477" s="3" t="s">
        <v>24245</v>
      </c>
      <c r="G8477" s="3">
        <v>0.0</v>
      </c>
      <c r="H8477" s="3">
        <v>0.0</v>
      </c>
      <c r="I8477" s="3" t="s">
        <v>13</v>
      </c>
      <c r="J8477" s="3" t="s">
        <v>24246</v>
      </c>
      <c r="K8477" s="3" t="s">
        <v>41</v>
      </c>
      <c r="L8477" s="3" t="str">
        <f>IFERROR(__xludf.DUMMYFUNCTION("GOOGLETRANSLATE(F8477,""id"",""en"")"),"really awesome Argentina in the world champion Messi has been fasting")</f>
        <v>really awesome Argentina in the world champion Messi has been fasting</v>
      </c>
    </row>
    <row r="8478" ht="15.75" customHeight="1">
      <c r="A8478" s="1">
        <v>9700.0</v>
      </c>
      <c r="B8478" s="3" t="s">
        <v>24247</v>
      </c>
      <c r="C8478" s="3">
        <v>0.0</v>
      </c>
      <c r="D8478" s="3">
        <v>0.0</v>
      </c>
      <c r="E8478" s="3">
        <v>0.0</v>
      </c>
      <c r="F8478" s="3" t="s">
        <v>24248</v>
      </c>
      <c r="G8478" s="3">
        <v>0.0</v>
      </c>
      <c r="H8478" s="3">
        <v>0.0</v>
      </c>
      <c r="I8478" s="3" t="s">
        <v>13</v>
      </c>
      <c r="J8478" s="3" t="s">
        <v>24249</v>
      </c>
      <c r="K8478" s="3" t="s">
        <v>19</v>
      </c>
      <c r="L8478" s="3" t="str">
        <f>IFERROR(__xludf.DUMMYFUNCTION("GOOGLETRANSLATE(F8478,""id"",""en"")"),"Defeat France in the Argentine penalty shootout finally came out as the Qatar World Cup champion")</f>
        <v>Defeat France in the Argentine penalty shootout finally came out as the Qatar World Cup champion</v>
      </c>
    </row>
    <row r="8479" ht="15.75" customHeight="1">
      <c r="A8479" s="1">
        <v>9701.0</v>
      </c>
      <c r="B8479" s="3" t="s">
        <v>24250</v>
      </c>
      <c r="C8479" s="3">
        <v>5.0</v>
      </c>
      <c r="D8479" s="3">
        <v>11.0</v>
      </c>
      <c r="E8479" s="3">
        <v>51.0</v>
      </c>
      <c r="F8479" s="3" t="s">
        <v>24251</v>
      </c>
      <c r="G8479" s="3">
        <v>0.6666666666666666</v>
      </c>
      <c r="H8479" s="3">
        <v>0.08333333333333333</v>
      </c>
      <c r="I8479" s="3" t="s">
        <v>48</v>
      </c>
      <c r="J8479" s="3" t="s">
        <v>24252</v>
      </c>
      <c r="K8479" s="3" t="s">
        <v>584</v>
      </c>
      <c r="L8479" s="3" t="str">
        <f>IFERROR(__xludf.DUMMYFUNCTION("GOOGLETRANSLATE(F8479,""id"",""en"")"),"Dibu Martinez continued the tradition that every player who had played Independiente clubs always had an important role in the final party Daniel Bertoni Jorge Burruchaga Emiliano Martinez all editions were Argentina out as champions")</f>
        <v>Dibu Martinez continued the tradition that every player who had played Independiente clubs always had an important role in the final party Daniel Bertoni Jorge Burruchaga Emiliano Martinez all editions were Argentina out as champions</v>
      </c>
    </row>
    <row r="8480" ht="15.75" customHeight="1">
      <c r="A8480" s="1">
        <v>9702.0</v>
      </c>
      <c r="B8480" s="3" t="s">
        <v>24253</v>
      </c>
      <c r="C8480" s="3">
        <v>0.0</v>
      </c>
      <c r="D8480" s="3">
        <v>0.0</v>
      </c>
      <c r="E8480" s="3">
        <v>1.0</v>
      </c>
      <c r="F8480" s="3" t="s">
        <v>24254</v>
      </c>
      <c r="G8480" s="3">
        <v>1.0</v>
      </c>
      <c r="H8480" s="3">
        <v>0.0</v>
      </c>
      <c r="I8480" s="3" t="s">
        <v>13</v>
      </c>
      <c r="J8480" s="3" t="s">
        <v>24255</v>
      </c>
      <c r="K8480" s="3" t="s">
        <v>1147</v>
      </c>
      <c r="L8480" s="3" t="str">
        <f>IFERROR(__xludf.DUMMYFUNCTION("GOOGLETRANSLATE(F8480,""id"",""en"")"),"Argentina and Portugal Gapernah There is a rivalry of Argentina, a large team subscribed to the final and has been champions while Portugal is a small team Gapernah entered the final let alone champion pretentious to rival koplak")</f>
        <v>Argentina and Portugal Gapernah There is a rivalry of Argentina, a large team subscribed to the final and has been champions while Portugal is a small team Gapernah entered the final let alone champion pretentious to rival koplak</v>
      </c>
    </row>
    <row r="8481" ht="15.75" customHeight="1">
      <c r="A8481" s="1">
        <v>9703.0</v>
      </c>
      <c r="B8481" s="3" t="s">
        <v>24256</v>
      </c>
      <c r="C8481" s="3">
        <v>0.0</v>
      </c>
      <c r="D8481" s="3">
        <v>0.0</v>
      </c>
      <c r="E8481" s="3">
        <v>0.0</v>
      </c>
      <c r="F8481" s="3" t="s">
        <v>24257</v>
      </c>
      <c r="G8481" s="3">
        <v>0.0</v>
      </c>
      <c r="H8481" s="3">
        <v>0.0</v>
      </c>
      <c r="I8481" s="3" t="s">
        <v>13</v>
      </c>
      <c r="J8481" s="3" t="s">
        <v>24258</v>
      </c>
      <c r="K8481" s="3" t="s">
        <v>192</v>
      </c>
      <c r="L8481" s="3" t="str">
        <f>IFERROR(__xludf.DUMMYFUNCTION("GOOGLETRANSLATE(F8481,""id"",""en"")"),"The celebration of the world football aka the Qatar World Cup soon ended Argentina to challenge the defending champions of France the final match Understandably the match was certainly in the spotlight of the public, including the Governor of West Java")</f>
        <v>The celebration of the world football aka the Qatar World Cup soon ended Argentina to challenge the defending champions of France the final match Understandably the match was certainly in the spotlight of the public, including the Governor of West Java</v>
      </c>
    </row>
    <row r="8482" ht="15.75" customHeight="1">
      <c r="A8482" s="1">
        <v>9704.0</v>
      </c>
      <c r="B8482" s="3" t="s">
        <v>24259</v>
      </c>
      <c r="C8482" s="3">
        <v>0.0</v>
      </c>
      <c r="D8482" s="3">
        <v>0.0</v>
      </c>
      <c r="E8482" s="3">
        <v>1.0</v>
      </c>
      <c r="F8482" s="3" t="s">
        <v>24260</v>
      </c>
      <c r="G8482" s="3">
        <v>0.0</v>
      </c>
      <c r="H8482" s="3">
        <v>0.0</v>
      </c>
      <c r="I8482" s="3" t="s">
        <v>13</v>
      </c>
      <c r="J8482" s="3" t="s">
        <v>24261</v>
      </c>
      <c r="K8482" s="3" t="s">
        <v>1097</v>
      </c>
      <c r="L8482" s="3" t="str">
        <f>IFERROR(__xludf.DUMMYFUNCTION("GOOGLETRANSLATE(F8482,""id"",""en"")"),"yes yes Argentina champion already thesis noh lom finished")</f>
        <v>yes yes Argentina champion already thesis noh lom finished</v>
      </c>
    </row>
    <row r="8483" ht="15.75" customHeight="1">
      <c r="A8483" s="1">
        <v>9705.0</v>
      </c>
      <c r="B8483" s="3" t="s">
        <v>24262</v>
      </c>
      <c r="C8483" s="3">
        <v>1.0</v>
      </c>
      <c r="D8483" s="3">
        <v>0.0</v>
      </c>
      <c r="E8483" s="3">
        <v>0.0</v>
      </c>
      <c r="F8483" s="3" t="s">
        <v>24263</v>
      </c>
      <c r="G8483" s="3">
        <v>0.0</v>
      </c>
      <c r="H8483" s="3">
        <v>0.0</v>
      </c>
      <c r="I8483" s="3" t="s">
        <v>13</v>
      </c>
      <c r="J8483" s="3" t="s">
        <v>24264</v>
      </c>
      <c r="K8483" s="3" t="s">
        <v>82</v>
      </c>
      <c r="L8483" s="3" t="str">
        <f>IFERROR(__xludf.DUMMYFUNCTION("GOOGLETRANSLATE(F8483,""id"",""en"")"),"Congratulations sis, I hope Argentina champions of the World Cup")</f>
        <v>Congratulations sis, I hope Argentina champions of the World Cup</v>
      </c>
    </row>
    <row r="8484" ht="15.75" customHeight="1">
      <c r="A8484" s="1">
        <v>9706.0</v>
      </c>
      <c r="B8484" s="3" t="s">
        <v>24265</v>
      </c>
      <c r="C8484" s="3">
        <v>0.0</v>
      </c>
      <c r="D8484" s="3">
        <v>0.0</v>
      </c>
      <c r="E8484" s="3">
        <v>0.0</v>
      </c>
      <c r="F8484" s="3" t="s">
        <v>24266</v>
      </c>
      <c r="G8484" s="3">
        <v>0.0</v>
      </c>
      <c r="H8484" s="3">
        <v>0.0</v>
      </c>
      <c r="I8484" s="3" t="s">
        <v>13</v>
      </c>
      <c r="J8484" s="3" t="s">
        <v>24267</v>
      </c>
      <c r="K8484" s="3" t="s">
        <v>104</v>
      </c>
      <c r="L8484" s="3" t="str">
        <f>IFERROR(__xludf.DUMMYFUNCTION("GOOGLETRANSLATE(F8484,""id"",""en"")"),"It can't be compared to the quality of Portugal Squad era in the same era of the Norwegian national team Messi and the Argentine national team, it only takes a few times the world cup champion is really a depth of qualified squad")</f>
        <v>It can't be compared to the quality of Portugal Squad era in the same era of the Norwegian national team Messi and the Argentine national team, it only takes a few times the world cup champion is really a depth of qualified squad</v>
      </c>
    </row>
    <row r="8485" ht="15.75" customHeight="1">
      <c r="A8485" s="1">
        <v>9707.0</v>
      </c>
      <c r="B8485" s="3" t="s">
        <v>24268</v>
      </c>
      <c r="C8485" s="3">
        <v>0.0</v>
      </c>
      <c r="D8485" s="3">
        <v>1.0</v>
      </c>
      <c r="E8485" s="3">
        <v>0.0</v>
      </c>
      <c r="F8485" s="3" t="s">
        <v>24269</v>
      </c>
      <c r="G8485" s="3">
        <v>0.0</v>
      </c>
      <c r="H8485" s="3">
        <v>0.0</v>
      </c>
      <c r="I8485" s="3" t="s">
        <v>13</v>
      </c>
      <c r="J8485" s="3" t="s">
        <v>24270</v>
      </c>
      <c r="K8485" s="3" t="s">
        <v>82</v>
      </c>
      <c r="L8485" s="3" t="str">
        <f>IFERROR(__xludf.DUMMYFUNCTION("GOOGLETRANSLATE(F8485,""id"",""en"")"),"List of World Cup Champions Since the latest Argentina")</f>
        <v>List of World Cup Champions Since the latest Argentina</v>
      </c>
    </row>
    <row r="8486" ht="15.75" customHeight="1">
      <c r="A8486" s="1">
        <v>9708.0</v>
      </c>
      <c r="B8486" s="3" t="s">
        <v>24271</v>
      </c>
      <c r="C8486" s="3">
        <v>0.0</v>
      </c>
      <c r="D8486" s="3">
        <v>0.0</v>
      </c>
      <c r="E8486" s="3">
        <v>2.0</v>
      </c>
      <c r="F8486" s="3" t="s">
        <v>24272</v>
      </c>
      <c r="G8486" s="3">
        <v>0.0</v>
      </c>
      <c r="H8486" s="3">
        <v>0.0</v>
      </c>
      <c r="I8486" s="3" t="s">
        <v>13</v>
      </c>
      <c r="J8486" s="3" t="s">
        <v>24273</v>
      </c>
      <c r="K8486" s="3" t="s">
        <v>633</v>
      </c>
      <c r="L8486" s="3" t="str">
        <f>IFERROR(__xludf.DUMMYFUNCTION("GOOGLETRANSLATE(F8486,""id"",""en"")"),"The happiness and pride of all Argentina residents, how come they want to be in the squad or not enter the squad, but the club is not champions, so it is mending")</f>
        <v>The happiness and pride of all Argentina residents, how come they want to be in the squad or not enter the squad, but the club is not champions, so it is mending</v>
      </c>
    </row>
    <row r="8487" ht="15.75" customHeight="1">
      <c r="A8487" s="1">
        <v>9709.0</v>
      </c>
      <c r="B8487" s="3" t="s">
        <v>24274</v>
      </c>
      <c r="C8487" s="3">
        <v>0.0</v>
      </c>
      <c r="D8487" s="3">
        <v>0.0</v>
      </c>
      <c r="E8487" s="3">
        <v>0.0</v>
      </c>
      <c r="F8487" s="3" t="s">
        <v>24275</v>
      </c>
      <c r="G8487" s="3">
        <v>0.0</v>
      </c>
      <c r="H8487" s="3">
        <v>0.0</v>
      </c>
      <c r="I8487" s="3" t="s">
        <v>13</v>
      </c>
      <c r="J8487" s="3" t="s">
        <v>24276</v>
      </c>
      <c r="K8487" s="3" t="s">
        <v>348</v>
      </c>
      <c r="L8487" s="3" t="str">
        <f>IFERROR(__xludf.DUMMYFUNCTION("GOOGLETRANSLATE(F8487,""id"",""en"")"),"Chairperson of the Indonesian Bolacepak Federation Come celebrating Argentina champions by lifting the Middle World Cup trophy seemed to be joining Messi DKL")</f>
        <v>Chairperson of the Indonesian Bolacepak Federation Come celebrating Argentina champions by lifting the Middle World Cup trophy seemed to be joining Messi DKL</v>
      </c>
    </row>
    <row r="8488" ht="15.75" customHeight="1">
      <c r="A8488" s="1">
        <v>9710.0</v>
      </c>
      <c r="B8488" s="3" t="s">
        <v>24277</v>
      </c>
      <c r="C8488" s="3">
        <v>0.0</v>
      </c>
      <c r="D8488" s="3">
        <v>0.0</v>
      </c>
      <c r="E8488" s="3">
        <v>0.0</v>
      </c>
      <c r="F8488" s="3" t="s">
        <v>24278</v>
      </c>
      <c r="G8488" s="3">
        <v>0.0</v>
      </c>
      <c r="H8488" s="3">
        <v>0.0</v>
      </c>
      <c r="I8488" s="3" t="s">
        <v>13</v>
      </c>
      <c r="J8488" s="3" t="s">
        <v>24279</v>
      </c>
      <c r="K8488" s="3" t="s">
        <v>244</v>
      </c>
      <c r="L8488" s="3" t="str">
        <f>IFERROR(__xludf.DUMMYFUNCTION("GOOGLETRANSLATE(F8488,""id"",""en"")"),"Argentina Champion World Cup Is this a sign that Indonesia champions AFF and Prabowo won the presidential election")</f>
        <v>Argentina Champion World Cup Is this a sign that Indonesia champions AFF and Prabowo won the presidential election</v>
      </c>
    </row>
    <row r="8489" ht="15.75" customHeight="1">
      <c r="A8489" s="1">
        <v>9711.0</v>
      </c>
      <c r="B8489" s="3" t="s">
        <v>24280</v>
      </c>
      <c r="C8489" s="3">
        <v>0.0</v>
      </c>
      <c r="D8489" s="3">
        <v>0.0</v>
      </c>
      <c r="E8489" s="3">
        <v>1.0</v>
      </c>
      <c r="F8489" s="3" t="s">
        <v>24281</v>
      </c>
      <c r="G8489" s="3">
        <v>0.0</v>
      </c>
      <c r="H8489" s="3">
        <v>0.0</v>
      </c>
      <c r="I8489" s="3" t="s">
        <v>13</v>
      </c>
      <c r="J8489" s="3" t="s">
        <v>24282</v>
      </c>
      <c r="K8489" s="3" t="s">
        <v>1335</v>
      </c>
      <c r="L8489" s="3" t="str">
        <f>IFERROR(__xludf.DUMMYFUNCTION("GOOGLETRANSLATE(F8489,""id"",""en"")"),"Argentina Argentina can now be world champion again after waiting for the year")</f>
        <v>Argentina Argentina can now be world champion again after waiting for the year</v>
      </c>
    </row>
    <row r="8490" ht="15.75" customHeight="1">
      <c r="A8490" s="1">
        <v>9712.0</v>
      </c>
      <c r="B8490" s="3" t="s">
        <v>24283</v>
      </c>
      <c r="C8490" s="3">
        <v>1.0</v>
      </c>
      <c r="D8490" s="3">
        <v>1.0</v>
      </c>
      <c r="E8490" s="3">
        <v>1.0</v>
      </c>
      <c r="F8490" s="3" t="s">
        <v>24284</v>
      </c>
      <c r="G8490" s="3">
        <v>0.0</v>
      </c>
      <c r="H8490" s="3">
        <v>0.0</v>
      </c>
      <c r="I8490" s="3" t="s">
        <v>13</v>
      </c>
      <c r="J8490" s="3" t="s">
        <v>24285</v>
      </c>
      <c r="K8490" s="3" t="s">
        <v>1414</v>
      </c>
      <c r="L8490" s="3" t="str">
        <f>IFERROR(__xludf.DUMMYFUNCTION("GOOGLETRANSLATE(F8490,""id"",""en"")"),"Dirs Happy Gus Prof. Drs for Argentina prediction world champion truth with my wish Argentina world champion just reminded next time not before Mas Imron had a hero if it was made the same")</f>
        <v>Dirs Happy Gus Prof. Drs for Argentina prediction world champion truth with my wish Argentina world champion just reminded next time not before Mas Imron had a hero if it was made the same</v>
      </c>
    </row>
    <row r="8491" ht="15.75" customHeight="1">
      <c r="A8491" s="1">
        <v>9713.0</v>
      </c>
      <c r="B8491" s="3" t="s">
        <v>24286</v>
      </c>
      <c r="C8491" s="3">
        <v>0.0</v>
      </c>
      <c r="D8491" s="3">
        <v>0.0</v>
      </c>
      <c r="E8491" s="3">
        <v>0.0</v>
      </c>
      <c r="F8491" s="3" t="s">
        <v>24287</v>
      </c>
      <c r="G8491" s="3">
        <v>0.3333333333333333</v>
      </c>
      <c r="H8491" s="3">
        <v>0.1666666666666667</v>
      </c>
      <c r="I8491" s="3" t="s">
        <v>48</v>
      </c>
      <c r="J8491" s="3" t="s">
        <v>24288</v>
      </c>
      <c r="K8491" s="3" t="s">
        <v>997</v>
      </c>
      <c r="L8491" s="3" t="str">
        <f>IFERROR(__xludf.DUMMYFUNCTION("GOOGLETRANSLATE(F8491,""id"",""en"")"),"right now even in the quality of Portuguese players are even better where there are Argentina we find players like Bruno Fernandez Bernado Silva Joao Lix Ruben Diaz and Cancelo Messi if they play with them, they will definitely win the trophy")</f>
        <v>right now even in the quality of Portuguese players are even better where there are Argentina we find players like Bruno Fernandez Bernado Silva Joao Lix Ruben Diaz and Cancelo Messi if they play with them, they will definitely win the trophy</v>
      </c>
    </row>
    <row r="8492" ht="15.75" customHeight="1">
      <c r="A8492" s="1">
        <v>9714.0</v>
      </c>
      <c r="B8492" s="3" t="s">
        <v>24289</v>
      </c>
      <c r="C8492" s="3">
        <v>1.0</v>
      </c>
      <c r="D8492" s="3">
        <v>0.0</v>
      </c>
      <c r="E8492" s="3">
        <v>0.0</v>
      </c>
      <c r="F8492" s="3" t="s">
        <v>24290</v>
      </c>
      <c r="G8492" s="3">
        <v>0.0</v>
      </c>
      <c r="H8492" s="3">
        <v>0.0</v>
      </c>
      <c r="I8492" s="3" t="s">
        <v>13</v>
      </c>
      <c r="J8492" s="3" t="s">
        <v>24291</v>
      </c>
      <c r="K8492" s="3" t="s">
        <v>31</v>
      </c>
      <c r="L8492" s="3" t="str">
        <f>IFERROR(__xludf.DUMMYFUNCTION("GOOGLETRANSLATE(F8492,""id"",""en"")"),"cool champion Argentina Mas Thara")</f>
        <v>cool champion Argentina Mas Thara</v>
      </c>
    </row>
    <row r="8493" ht="15.75" customHeight="1">
      <c r="A8493" s="1">
        <v>9715.0</v>
      </c>
      <c r="B8493" s="3" t="s">
        <v>24292</v>
      </c>
      <c r="C8493" s="3">
        <v>0.0</v>
      </c>
      <c r="D8493" s="3">
        <v>0.0</v>
      </c>
      <c r="E8493" s="3">
        <v>0.0</v>
      </c>
      <c r="F8493" s="3" t="s">
        <v>21776</v>
      </c>
      <c r="G8493" s="3">
        <v>0.0</v>
      </c>
      <c r="H8493" s="3">
        <v>0.0</v>
      </c>
      <c r="I8493" s="3" t="s">
        <v>13</v>
      </c>
      <c r="J8493" s="3" t="s">
        <v>21777</v>
      </c>
      <c r="K8493" s="3" t="s">
        <v>127</v>
      </c>
      <c r="L8493" s="3" t="str">
        <f>IFERROR(__xludf.DUMMYFUNCTION("GOOGLETRANSLATE(F8493,""id"",""en"")"),"Kakanwil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494" ht="15.75" customHeight="1">
      <c r="A8494" s="1">
        <v>9716.0</v>
      </c>
      <c r="B8494" s="3" t="s">
        <v>24293</v>
      </c>
      <c r="C8494" s="3">
        <v>0.0</v>
      </c>
      <c r="D8494" s="3">
        <v>0.0</v>
      </c>
      <c r="E8494" s="3">
        <v>0.0</v>
      </c>
      <c r="F8494" s="3" t="s">
        <v>24294</v>
      </c>
      <c r="G8494" s="3">
        <v>1.0</v>
      </c>
      <c r="H8494" s="3">
        <v>0.0</v>
      </c>
      <c r="I8494" s="3" t="s">
        <v>13</v>
      </c>
      <c r="J8494" s="3" t="s">
        <v>24295</v>
      </c>
      <c r="K8494" s="3" t="s">
        <v>1097</v>
      </c>
      <c r="L8494" s="3" t="str">
        <f>IFERROR(__xludf.DUMMYFUNCTION("GOOGLETRANSLATE(F8494,""id"",""en"")"),"Argentina World Champion The match was very exciting between Argentina France")</f>
        <v>Argentina World Champion The match was very exciting between Argentina France</v>
      </c>
    </row>
    <row r="8495" ht="15.75" customHeight="1">
      <c r="A8495" s="1">
        <v>9717.0</v>
      </c>
      <c r="B8495" s="3" t="s">
        <v>24296</v>
      </c>
      <c r="C8495" s="3">
        <v>2.0</v>
      </c>
      <c r="D8495" s="3">
        <v>2.0</v>
      </c>
      <c r="E8495" s="3">
        <v>5.0</v>
      </c>
      <c r="F8495" s="3" t="s">
        <v>24297</v>
      </c>
      <c r="G8495" s="3">
        <v>0.0</v>
      </c>
      <c r="H8495" s="3">
        <v>0.0</v>
      </c>
      <c r="I8495" s="3" t="s">
        <v>13</v>
      </c>
      <c r="J8495" s="3" t="s">
        <v>24298</v>
      </c>
      <c r="K8495" s="3" t="s">
        <v>3156</v>
      </c>
      <c r="L8495" s="3" t="str">
        <f>IFERROR(__xludf.DUMMYFUNCTION("GOOGLETRANSLATE(F8495,""id"",""en"")"),"happy to see Messi champion sincerely see Argentina champion but see Lautaro Martinez became the honest world champion rather Kureng")</f>
        <v>happy to see Messi champion sincerely see Argentina champion but see Lautaro Martinez became the honest world champion rather Kureng</v>
      </c>
    </row>
    <row r="8496" ht="15.75" customHeight="1">
      <c r="A8496" s="1">
        <v>9718.0</v>
      </c>
      <c r="B8496" s="3" t="s">
        <v>24299</v>
      </c>
      <c r="C8496" s="3">
        <v>0.0</v>
      </c>
      <c r="D8496" s="3">
        <v>0.0</v>
      </c>
      <c r="E8496" s="3">
        <v>0.0</v>
      </c>
      <c r="F8496" s="3" t="s">
        <v>24300</v>
      </c>
      <c r="G8496" s="3">
        <v>0.7666666666666666</v>
      </c>
      <c r="H8496" s="3">
        <v>0.3333333333333333</v>
      </c>
      <c r="I8496" s="3" t="s">
        <v>48</v>
      </c>
      <c r="J8496" s="3" t="s">
        <v>24301</v>
      </c>
      <c r="K8496" s="3" t="s">
        <v>374</v>
      </c>
      <c r="L8496" s="3" t="str">
        <f>IFERROR(__xludf.DUMMYFUNCTION("GOOGLETRANSLATE(F8496,""id"",""en"")"),"The final of the World Cup final last night was very exciting, he got the moment to get the moment to get the best world cup Ever but the night champion was mbappe but congrats Argentina and a beautiful retirement for Messi")</f>
        <v>The final of the World Cup final last night was very exciting, he got the moment to get the moment to get the best world cup Ever but the night champion was mbappe but congrats Argentina and a beautiful retirement for Messi</v>
      </c>
    </row>
    <row r="8497" ht="15.75" customHeight="1">
      <c r="A8497" s="1">
        <v>9719.0</v>
      </c>
      <c r="B8497" s="3" t="s">
        <v>24302</v>
      </c>
      <c r="C8497" s="3">
        <v>2.0</v>
      </c>
      <c r="D8497" s="3">
        <v>0.0</v>
      </c>
      <c r="E8497" s="3">
        <v>0.0</v>
      </c>
      <c r="F8497" s="3" t="s">
        <v>24303</v>
      </c>
      <c r="G8497" s="3">
        <v>0.0</v>
      </c>
      <c r="H8497" s="3">
        <v>0.0</v>
      </c>
      <c r="I8497" s="3" t="s">
        <v>13</v>
      </c>
      <c r="J8497" s="3" t="s">
        <v>24304</v>
      </c>
      <c r="K8497" s="3" t="s">
        <v>82</v>
      </c>
      <c r="L8497" s="3" t="str">
        <f>IFERROR(__xludf.DUMMYFUNCTION("GOOGLETRANSLATE(F8497,""id"",""en"")"),"ABCOO Argentina finally the third world champion")</f>
        <v>ABCOO Argentina finally the third world champion</v>
      </c>
    </row>
    <row r="8498" ht="15.75" customHeight="1">
      <c r="A8498" s="1">
        <v>9720.0</v>
      </c>
      <c r="B8498" s="3" t="s">
        <v>24305</v>
      </c>
      <c r="C8498" s="3">
        <v>0.0</v>
      </c>
      <c r="D8498" s="3">
        <v>0.0</v>
      </c>
      <c r="E8498" s="3">
        <v>0.0</v>
      </c>
      <c r="F8498" s="3" t="s">
        <v>24306</v>
      </c>
      <c r="G8498" s="3">
        <v>0.0</v>
      </c>
      <c r="H8498" s="3">
        <v>0.0</v>
      </c>
      <c r="I8498" s="3" t="s">
        <v>13</v>
      </c>
      <c r="J8498" s="3" t="s">
        <v>24307</v>
      </c>
      <c r="K8498" s="3" t="s">
        <v>495</v>
      </c>
      <c r="L8498" s="3" t="str">
        <f>IFERROR(__xludf.DUMMYFUNCTION("GOOGLETRANSLATE(F8498,""id"",""en"")"),"What makes the poster more funny Golka cadres use photos when Argentina Champion Finalists and the trophy is edited to be a pildun trophy wkwkwk")</f>
        <v>What makes the poster more funny Golka cadres use photos when Argentina Champion Finalists and the trophy is edited to be a pildun trophy wkwkwk</v>
      </c>
    </row>
    <row r="8499" ht="15.75" customHeight="1">
      <c r="A8499" s="1">
        <v>9721.0</v>
      </c>
      <c r="B8499" s="3" t="s">
        <v>24308</v>
      </c>
      <c r="C8499" s="3">
        <v>0.0</v>
      </c>
      <c r="D8499" s="3">
        <v>0.0</v>
      </c>
      <c r="E8499" s="3">
        <v>1.0</v>
      </c>
      <c r="F8499" s="3" t="s">
        <v>24309</v>
      </c>
      <c r="G8499" s="3">
        <v>0.0</v>
      </c>
      <c r="H8499" s="3">
        <v>0.0</v>
      </c>
      <c r="I8499" s="3" t="s">
        <v>13</v>
      </c>
      <c r="J8499" s="3" t="s">
        <v>24310</v>
      </c>
      <c r="K8499" s="3" t="s">
        <v>19</v>
      </c>
      <c r="L8499" s="3" t="str">
        <f>IFERROR(__xludf.DUMMYFUNCTION("GOOGLETRANSLATE(F8499,""id"",""en"")"),"The meaning of Instagram goat emoticon Lionel Messi and Adidas after Argentina Champion World Cup")</f>
        <v>The meaning of Instagram goat emoticon Lionel Messi and Adidas after Argentina Champion World Cup</v>
      </c>
    </row>
    <row r="8500" ht="15.75" customHeight="1">
      <c r="A8500" s="1">
        <v>9722.0</v>
      </c>
      <c r="B8500" s="3" t="s">
        <v>24311</v>
      </c>
      <c r="C8500" s="3">
        <v>0.0</v>
      </c>
      <c r="D8500" s="3">
        <v>0.0</v>
      </c>
      <c r="E8500" s="3">
        <v>0.0</v>
      </c>
      <c r="F8500" s="3" t="s">
        <v>24312</v>
      </c>
      <c r="G8500" s="3">
        <v>0.0</v>
      </c>
      <c r="H8500" s="3">
        <v>0.0</v>
      </c>
      <c r="I8500" s="3" t="s">
        <v>13</v>
      </c>
      <c r="J8500" s="3" t="s">
        <v>24313</v>
      </c>
      <c r="K8500" s="3" t="s">
        <v>236</v>
      </c>
      <c r="L8500" s="3" t="str">
        <f>IFERROR(__xludf.DUMMYFUNCTION("GOOGLETRANSLATE(F8500,""id"",""en"")"),"Seleamat to Argentina won as the World Cup champion, let's dance via")</f>
        <v>Seleamat to Argentina won as the World Cup champion, let's dance via</v>
      </c>
    </row>
    <row r="8501" ht="15.75" customHeight="1">
      <c r="A8501" s="1">
        <v>9723.0</v>
      </c>
      <c r="B8501" s="3" t="s">
        <v>24314</v>
      </c>
      <c r="C8501" s="3">
        <v>0.0</v>
      </c>
      <c r="D8501" s="3">
        <v>0.0</v>
      </c>
      <c r="E8501" s="3">
        <v>0.0</v>
      </c>
      <c r="F8501" s="3" t="s">
        <v>24315</v>
      </c>
      <c r="G8501" s="3">
        <v>0.0</v>
      </c>
      <c r="H8501" s="3">
        <v>0.0</v>
      </c>
      <c r="I8501" s="3" t="s">
        <v>13</v>
      </c>
      <c r="J8501" s="3" t="s">
        <v>24316</v>
      </c>
      <c r="K8501" s="3" t="s">
        <v>82</v>
      </c>
      <c r="L8501" s="3" t="str">
        <f>IFERROR(__xludf.DUMMYFUNCTION("GOOGLETRANSLATE(F8501,""id"",""en"")"),"Anyway, if there is an Argentine tournament the champion is clearly a coy setting")</f>
        <v>Anyway, if there is an Argentine tournament the champion is clearly a coy setting</v>
      </c>
    </row>
    <row r="8502" ht="15.75" customHeight="1">
      <c r="A8502" s="1">
        <v>9724.0</v>
      </c>
      <c r="B8502" s="3" t="s">
        <v>24317</v>
      </c>
      <c r="C8502" s="3">
        <v>2.0</v>
      </c>
      <c r="D8502" s="3">
        <v>0.0</v>
      </c>
      <c r="E8502" s="3">
        <v>0.0</v>
      </c>
      <c r="F8502" s="3" t="s">
        <v>24318</v>
      </c>
      <c r="G8502" s="3">
        <v>0.0</v>
      </c>
      <c r="H8502" s="3">
        <v>0.0</v>
      </c>
      <c r="I8502" s="3" t="s">
        <v>13</v>
      </c>
      <c r="J8502" s="3" t="s">
        <v>24319</v>
      </c>
      <c r="K8502" s="3" t="s">
        <v>31</v>
      </c>
      <c r="L8502" s="3" t="str">
        <f>IFERROR(__xludf.DUMMYFUNCTION("GOOGLETRANSLATE(F8502,""id"",""en"")"),"Finally Argentina Champion Kang Emil")</f>
        <v>Finally Argentina Champion Kang Emil</v>
      </c>
    </row>
    <row r="8503" ht="15.75" customHeight="1">
      <c r="A8503" s="1">
        <v>9725.0</v>
      </c>
      <c r="B8503" s="3" t="s">
        <v>24320</v>
      </c>
      <c r="C8503" s="3">
        <v>0.0</v>
      </c>
      <c r="D8503" s="3">
        <v>1.0</v>
      </c>
      <c r="E8503" s="3">
        <v>3.0</v>
      </c>
      <c r="F8503" s="3" t="s">
        <v>24321</v>
      </c>
      <c r="G8503" s="3">
        <v>0.0</v>
      </c>
      <c r="H8503" s="3">
        <v>0.0</v>
      </c>
      <c r="I8503" s="3" t="s">
        <v>13</v>
      </c>
      <c r="J8503" s="3" t="s">
        <v>24322</v>
      </c>
      <c r="K8503" s="3" t="s">
        <v>75</v>
      </c>
      <c r="L8503" s="3" t="str">
        <f>IFERROR(__xludf.DUMMYFUNCTION("GOOGLETRANSLATE(F8503,""id"",""en"")"),"Ronaldo's reaction after Lionel Messi brought Argentina World Cup champions")</f>
        <v>Ronaldo's reaction after Lionel Messi brought Argentina World Cup champions</v>
      </c>
    </row>
    <row r="8504" ht="15.75" customHeight="1">
      <c r="A8504" s="1">
        <v>9726.0</v>
      </c>
      <c r="B8504" s="3" t="s">
        <v>24323</v>
      </c>
      <c r="C8504" s="3">
        <v>0.0</v>
      </c>
      <c r="D8504" s="3">
        <v>0.0</v>
      </c>
      <c r="E8504" s="3">
        <v>0.0</v>
      </c>
      <c r="F8504" s="3" t="s">
        <v>24324</v>
      </c>
      <c r="G8504" s="3">
        <v>0.0</v>
      </c>
      <c r="H8504" s="3">
        <v>0.0</v>
      </c>
      <c r="I8504" s="3" t="s">
        <v>13</v>
      </c>
      <c r="J8504" s="3" t="s">
        <v>24325</v>
      </c>
      <c r="K8504" s="3" t="s">
        <v>236</v>
      </c>
      <c r="L8504" s="3" t="str">
        <f>IFERROR(__xludf.DUMMYFUNCTION("GOOGLETRANSLATE(F8504,""id"",""en"")"),"He is not just anyone who arranges Argentina World Cup champions indeed")</f>
        <v>He is not just anyone who arranges Argentina World Cup champions indeed</v>
      </c>
    </row>
    <row r="8505" ht="15.75" customHeight="1">
      <c r="A8505" s="1">
        <v>9728.0</v>
      </c>
      <c r="B8505" s="3" t="s">
        <v>24326</v>
      </c>
      <c r="C8505" s="3">
        <v>0.0</v>
      </c>
      <c r="D8505" s="3">
        <v>0.0</v>
      </c>
      <c r="E8505" s="3">
        <v>0.0</v>
      </c>
      <c r="F8505" s="3" t="s">
        <v>24327</v>
      </c>
      <c r="G8505" s="3">
        <v>0.0</v>
      </c>
      <c r="H8505" s="3">
        <v>0.0</v>
      </c>
      <c r="I8505" s="3" t="s">
        <v>13</v>
      </c>
      <c r="J8505" s="3" t="s">
        <v>24328</v>
      </c>
      <c r="K8505" s="3" t="s">
        <v>50</v>
      </c>
      <c r="L8505" s="3" t="str">
        <f>IFERROR(__xludf.DUMMYFUNCTION("GOOGLETRANSLATE(F8505,""id"",""en"")"),"Successfully Champion the World Cup and the cause of Argentina Able to Defeat France")</f>
        <v>Successfully Champion the World Cup and the cause of Argentina Able to Defeat France</v>
      </c>
    </row>
    <row r="8506" ht="15.75" customHeight="1">
      <c r="A8506" s="1">
        <v>9729.0</v>
      </c>
      <c r="B8506" s="3" t="s">
        <v>24329</v>
      </c>
      <c r="C8506" s="3">
        <v>0.0</v>
      </c>
      <c r="D8506" s="3">
        <v>0.0</v>
      </c>
      <c r="E8506" s="3">
        <v>0.0</v>
      </c>
      <c r="F8506" s="3" t="s">
        <v>24330</v>
      </c>
      <c r="G8506" s="3">
        <v>0.0</v>
      </c>
      <c r="H8506" s="3">
        <v>0.0</v>
      </c>
      <c r="I8506" s="3" t="s">
        <v>13</v>
      </c>
      <c r="J8506" s="3" t="s">
        <v>24331</v>
      </c>
      <c r="K8506" s="3" t="s">
        <v>510</v>
      </c>
      <c r="L8506" s="3" t="str">
        <f>IFERROR(__xludf.DUMMYFUNCTION("GOOGLETRANSLATE(F8506,""id"",""en"")"),"Dramatic winning a penalty shootout from France Argentina Champion World Cup Qatar Wins Three Trophy")</f>
        <v>Dramatic winning a penalty shootout from France Argentina Champion World Cup Qatar Wins Three Trophy</v>
      </c>
    </row>
    <row r="8507" ht="15.75" customHeight="1">
      <c r="A8507" s="1">
        <v>9730.0</v>
      </c>
      <c r="B8507" s="3" t="s">
        <v>24332</v>
      </c>
      <c r="C8507" s="3">
        <v>0.0</v>
      </c>
      <c r="D8507" s="3">
        <v>1.0</v>
      </c>
      <c r="E8507" s="3">
        <v>8.0</v>
      </c>
      <c r="F8507" s="3" t="s">
        <v>24333</v>
      </c>
      <c r="G8507" s="3">
        <v>1.0</v>
      </c>
      <c r="H8507" s="3">
        <v>0.0</v>
      </c>
      <c r="I8507" s="3" t="s">
        <v>13</v>
      </c>
      <c r="J8507" s="3" t="s">
        <v>24334</v>
      </c>
      <c r="K8507" s="3" t="s">
        <v>1970</v>
      </c>
      <c r="L8507" s="3" t="str">
        <f>IFERROR(__xludf.DUMMYFUNCTION("GOOGLETRANSLATE(F8507,""id"",""en"")"),"France failed to win the World Cup after defeating from Argentina Qatar French President Emmanuel Macron went to the field and entertained Mbappe who was sad after the final match")</f>
        <v>France failed to win the World Cup after defeating from Argentina Qatar French President Emmanuel Macron went to the field and entertained Mbappe who was sad after the final match</v>
      </c>
    </row>
    <row r="8508" ht="15.75" customHeight="1">
      <c r="A8508" s="1">
        <v>9731.0</v>
      </c>
      <c r="B8508" s="3" t="s">
        <v>24335</v>
      </c>
      <c r="C8508" s="3">
        <v>0.0</v>
      </c>
      <c r="D8508" s="3">
        <v>0.0</v>
      </c>
      <c r="E8508" s="3">
        <v>0.0</v>
      </c>
      <c r="F8508" s="3" t="s">
        <v>24336</v>
      </c>
      <c r="G8508" s="3">
        <v>0.0</v>
      </c>
      <c r="H8508" s="3">
        <v>0.0</v>
      </c>
      <c r="I8508" s="3" t="s">
        <v>13</v>
      </c>
      <c r="J8508" s="3" t="s">
        <v>24337</v>
      </c>
      <c r="K8508" s="3" t="s">
        <v>75</v>
      </c>
      <c r="L8508" s="3" t="str">
        <f>IFERROR(__xludf.DUMMYFUNCTION("GOOGLETRANSLATE(F8508,""id"",""en"")"),"What does Goat mean to Messi a new call after Argentina Champion World Cup")</f>
        <v>What does Goat mean to Messi a new call after Argentina Champion World Cup</v>
      </c>
    </row>
    <row r="8509" ht="15.75" customHeight="1">
      <c r="A8509" s="1">
        <v>9732.0</v>
      </c>
      <c r="B8509" s="3" t="s">
        <v>24338</v>
      </c>
      <c r="C8509" s="3">
        <v>0.0</v>
      </c>
      <c r="D8509" s="3">
        <v>0.0</v>
      </c>
      <c r="E8509" s="3">
        <v>0.0</v>
      </c>
      <c r="F8509" s="3" t="s">
        <v>24339</v>
      </c>
      <c r="G8509" s="3">
        <v>0.0</v>
      </c>
      <c r="H8509" s="3">
        <v>0.0</v>
      </c>
      <c r="I8509" s="3" t="s">
        <v>13</v>
      </c>
      <c r="J8509" s="3" t="s">
        <v>24340</v>
      </c>
      <c r="K8509" s="3" t="s">
        <v>236</v>
      </c>
      <c r="L8509" s="3" t="str">
        <f>IFERROR(__xludf.DUMMYFUNCTION("GOOGLETRANSLATE(F8509,""id"",""en"")"),"Vamos Argentina I support France but Feeling EMG Argentina Champion this year")</f>
        <v>Vamos Argentina I support France but Feeling EMG Argentina Champion this year</v>
      </c>
    </row>
    <row r="8510" ht="15.75" customHeight="1">
      <c r="A8510" s="1">
        <v>9733.0</v>
      </c>
      <c r="B8510" s="3" t="s">
        <v>24341</v>
      </c>
      <c r="C8510" s="3">
        <v>4.0</v>
      </c>
      <c r="D8510" s="3">
        <v>0.0</v>
      </c>
      <c r="E8510" s="3">
        <v>1.0</v>
      </c>
      <c r="F8510" s="3" t="s">
        <v>24342</v>
      </c>
      <c r="G8510" s="3">
        <v>0.0</v>
      </c>
      <c r="H8510" s="3">
        <v>0.0</v>
      </c>
      <c r="I8510" s="3" t="s">
        <v>13</v>
      </c>
      <c r="J8510" s="3" t="s">
        <v>24343</v>
      </c>
      <c r="K8510" s="3" t="s">
        <v>15</v>
      </c>
      <c r="L8510" s="3" t="str">
        <f>IFERROR(__xludf.DUMMYFUNCTION("GOOGLETRANSLATE(F8510,""id"",""en"")"),"Congratulations Kang Emil, the champion of Argentina is the world champion")</f>
        <v>Congratulations Kang Emil, the champion of Argentina is the world champion</v>
      </c>
    </row>
    <row r="8511" ht="15.75" customHeight="1">
      <c r="A8511" s="1">
        <v>9734.0</v>
      </c>
      <c r="B8511" s="3" t="s">
        <v>24344</v>
      </c>
      <c r="C8511" s="3">
        <v>0.0</v>
      </c>
      <c r="D8511" s="3">
        <v>0.0</v>
      </c>
      <c r="E8511" s="3">
        <v>0.0</v>
      </c>
      <c r="F8511" s="3" t="s">
        <v>24345</v>
      </c>
      <c r="G8511" s="3">
        <v>0.55</v>
      </c>
      <c r="H8511" s="3">
        <v>0.35</v>
      </c>
      <c r="I8511" s="3" t="s">
        <v>48</v>
      </c>
      <c r="J8511" s="3" t="s">
        <v>24346</v>
      </c>
      <c r="K8511" s="3" t="s">
        <v>510</v>
      </c>
      <c r="L8511" s="3" t="str">
        <f>IFERROR(__xludf.DUMMYFUNCTION("GOOGLETRANSLATE(F8511,""id"",""en"")"),"match statistics when Argentina won over France and World Cup Champion Tango Full Power Team")</f>
        <v>match statistics when Argentina won over France and World Cup Champion Tango Full Power Team</v>
      </c>
    </row>
    <row r="8512" ht="15.75" customHeight="1">
      <c r="A8512" s="1">
        <v>9735.0</v>
      </c>
      <c r="B8512" s="3" t="s">
        <v>24347</v>
      </c>
      <c r="C8512" s="3">
        <v>0.0</v>
      </c>
      <c r="D8512" s="3">
        <v>0.0</v>
      </c>
      <c r="E8512" s="3">
        <v>0.0</v>
      </c>
      <c r="F8512" s="3" t="s">
        <v>24348</v>
      </c>
      <c r="G8512" s="3">
        <v>0.0</v>
      </c>
      <c r="H8512" s="3">
        <v>0.0</v>
      </c>
      <c r="I8512" s="3" t="s">
        <v>13</v>
      </c>
      <c r="J8512" s="3" t="s">
        <v>24349</v>
      </c>
      <c r="K8512" s="3" t="s">
        <v>14571</v>
      </c>
      <c r="L8512" s="3" t="str">
        <f>IFERROR(__xludf.DUMMYFUNCTION("GOOGLETRANSLATE(F8512,""id"",""en"")"),"Mateo is a bit different")</f>
        <v>Mateo is a bit different</v>
      </c>
    </row>
    <row r="8513" ht="15.75" customHeight="1">
      <c r="A8513" s="1">
        <v>9736.0</v>
      </c>
      <c r="B8513" s="3" t="s">
        <v>24350</v>
      </c>
      <c r="C8513" s="3">
        <v>0.0</v>
      </c>
      <c r="D8513" s="3">
        <v>0.0</v>
      </c>
      <c r="E8513" s="3">
        <v>0.0</v>
      </c>
      <c r="F8513" s="3" t="s">
        <v>24351</v>
      </c>
      <c r="G8513" s="3">
        <v>0.0</v>
      </c>
      <c r="H8513" s="3">
        <v>0.0</v>
      </c>
      <c r="I8513" s="3" t="s">
        <v>13</v>
      </c>
      <c r="J8513" s="3" t="s">
        <v>24352</v>
      </c>
      <c r="K8513" s="3" t="s">
        <v>82</v>
      </c>
      <c r="L8513" s="3" t="str">
        <f>IFERROR(__xludf.DUMMYFUNCTION("GOOGLETRANSLATE(F8513,""id"",""en"")"),"Little Burned Favors Nek Argentina Champion Hhhhhhhh")</f>
        <v>Little Burned Favors Nek Argentina Champion Hhhhhhhh</v>
      </c>
    </row>
    <row r="8514" ht="15.75" customHeight="1">
      <c r="A8514" s="1">
        <v>9737.0</v>
      </c>
      <c r="B8514" s="3" t="s">
        <v>24353</v>
      </c>
      <c r="C8514" s="3">
        <v>3.0</v>
      </c>
      <c r="D8514" s="3">
        <v>0.0</v>
      </c>
      <c r="E8514" s="3">
        <v>1.0</v>
      </c>
      <c r="F8514" s="3" t="s">
        <v>24354</v>
      </c>
      <c r="G8514" s="3">
        <v>0.5</v>
      </c>
      <c r="H8514" s="3">
        <v>0.4</v>
      </c>
      <c r="I8514" s="3" t="s">
        <v>48</v>
      </c>
      <c r="J8514" s="3" t="s">
        <v>24355</v>
      </c>
      <c r="K8514" s="3" t="s">
        <v>2215</v>
      </c>
      <c r="L8514" s="3" t="str">
        <f>IFERROR(__xludf.DUMMYFUNCTION("GOOGLETRANSLATE(F8514,""id"",""en"")"),"Argentina Champion World Cup Qatar Mesi Receive the Golden Ball Cup and Kylian Mbappe Got the Top Score Cup")</f>
        <v>Argentina Champion World Cup Qatar Mesi Receive the Golden Ball Cup and Kylian Mbappe Got the Top Score Cup</v>
      </c>
    </row>
    <row r="8515" ht="15.75" customHeight="1">
      <c r="A8515" s="1">
        <v>9738.0</v>
      </c>
      <c r="B8515" s="3" t="s">
        <v>24356</v>
      </c>
      <c r="C8515" s="3">
        <v>0.0</v>
      </c>
      <c r="D8515" s="3">
        <v>0.0</v>
      </c>
      <c r="E8515" s="3">
        <v>6.0</v>
      </c>
      <c r="F8515" s="3" t="s">
        <v>23802</v>
      </c>
      <c r="G8515" s="3">
        <v>0.0</v>
      </c>
      <c r="H8515" s="3">
        <v>0.0</v>
      </c>
      <c r="I8515" s="3" t="s">
        <v>13</v>
      </c>
      <c r="J8515" s="3" t="s">
        <v>23803</v>
      </c>
      <c r="K8515" s="3" t="s">
        <v>883</v>
      </c>
      <c r="L8515" s="3" t="str">
        <f>IFERROR(__xludf.DUMMYFUNCTION("GOOGLETRANSLATE(F8515,""id"",""en"")"),"Lionel Messi has just brought the Argentine national team champion World Cup Lionel Scaloni confirmed that Pulga had no debt to Albiceleste")</f>
        <v>Lionel Messi has just brought the Argentine national team champion World Cup Lionel Scaloni confirmed that Pulga had no debt to Albiceleste</v>
      </c>
    </row>
    <row r="8516" ht="15.75" customHeight="1">
      <c r="A8516" s="1">
        <v>9739.0</v>
      </c>
      <c r="B8516" s="3" t="s">
        <v>24357</v>
      </c>
      <c r="C8516" s="3">
        <v>0.0</v>
      </c>
      <c r="D8516" s="3">
        <v>0.0</v>
      </c>
      <c r="E8516" s="3">
        <v>2.0</v>
      </c>
      <c r="F8516" s="3" t="s">
        <v>22975</v>
      </c>
      <c r="G8516" s="3">
        <v>0.0</v>
      </c>
      <c r="H8516" s="3">
        <v>0.0</v>
      </c>
      <c r="I8516" s="3" t="s">
        <v>13</v>
      </c>
      <c r="J8516" s="3" t="s">
        <v>22976</v>
      </c>
      <c r="K8516" s="3" t="s">
        <v>657</v>
      </c>
      <c r="L8516" s="3" t="str">
        <f>IFERROR(__xludf.DUMMYFUNCTION("GOOGLETRANSLATE(F8516,""id"",""en"")"),"Lionel Messi Wearing a Robe Giving Emir Qatar Celebrating World Cup Champion Former Argentina Bek")</f>
        <v>Lionel Messi Wearing a Robe Giving Emir Qatar Celebrating World Cup Champion Former Argentina Bek</v>
      </c>
    </row>
    <row r="8517" ht="15.75" customHeight="1">
      <c r="A8517" s="1">
        <v>9740.0</v>
      </c>
      <c r="B8517" s="3" t="s">
        <v>24358</v>
      </c>
      <c r="C8517" s="3">
        <v>0.0</v>
      </c>
      <c r="D8517" s="3">
        <v>0.0</v>
      </c>
      <c r="E8517" s="3">
        <v>0.0</v>
      </c>
      <c r="F8517" s="3" t="s">
        <v>24359</v>
      </c>
      <c r="G8517" s="3">
        <v>0.0</v>
      </c>
      <c r="H8517" s="3">
        <v>0.0</v>
      </c>
      <c r="I8517" s="3" t="s">
        <v>13</v>
      </c>
      <c r="J8517" s="3" t="s">
        <v>24360</v>
      </c>
      <c r="K8517" s="3" t="s">
        <v>82</v>
      </c>
      <c r="L8517" s="3" t="str">
        <f>IFERROR(__xludf.DUMMYFUNCTION("GOOGLETRANSLATE(F8517,""id"",""en"")"),"Argentina Champion World Cup Citizens Pamekasan Convoys")</f>
        <v>Argentina Champion World Cup Citizens Pamekasan Convoys</v>
      </c>
    </row>
    <row r="8518" ht="15.75" customHeight="1">
      <c r="A8518" s="1">
        <v>9741.0</v>
      </c>
      <c r="B8518" s="3" t="s">
        <v>24361</v>
      </c>
      <c r="C8518" s="3">
        <v>0.0</v>
      </c>
      <c r="D8518" s="3">
        <v>0.0</v>
      </c>
      <c r="E8518" s="3">
        <v>0.0</v>
      </c>
      <c r="F8518" s="3" t="s">
        <v>24362</v>
      </c>
      <c r="G8518" s="3">
        <v>0.0</v>
      </c>
      <c r="H8518" s="3">
        <v>0.0</v>
      </c>
      <c r="I8518" s="3" t="s">
        <v>13</v>
      </c>
      <c r="J8518" s="3" t="s">
        <v>24363</v>
      </c>
      <c r="K8518" s="3" t="s">
        <v>54</v>
      </c>
      <c r="L8518" s="3" t="str">
        <f>IFERROR(__xludf.DUMMYFUNCTION("GOOGLETRANSLATE(F8518,""id"",""en"")"),"Happy COO Argentina Champion World Cup")</f>
        <v>Happy COO Argentina Champion World Cup</v>
      </c>
    </row>
    <row r="8519" ht="15.75" customHeight="1">
      <c r="A8519" s="1">
        <v>9742.0</v>
      </c>
      <c r="B8519" s="3" t="s">
        <v>24364</v>
      </c>
      <c r="C8519" s="3">
        <v>0.0</v>
      </c>
      <c r="D8519" s="3">
        <v>0.0</v>
      </c>
      <c r="E8519" s="3">
        <v>0.0</v>
      </c>
      <c r="F8519" s="3" t="s">
        <v>24365</v>
      </c>
      <c r="G8519" s="3">
        <v>0.1</v>
      </c>
      <c r="H8519" s="3">
        <v>0.0</v>
      </c>
      <c r="I8519" s="3" t="s">
        <v>13</v>
      </c>
      <c r="J8519" s="3" t="s">
        <v>24366</v>
      </c>
      <c r="K8519" s="3" t="s">
        <v>2610</v>
      </c>
      <c r="L8519" s="3" t="str">
        <f>IFERROR(__xludf.DUMMYFUNCTION("GOOGLETRANSLATE(F8519,""id"",""en"")"),"Finally, Argentina won Lionel Messi to be the best player of Worldcup but France also aimed its quality by catching up to the back until it urges until the second extra time so that until the round of penalties")</f>
        <v>Finally, Argentina won Lionel Messi to be the best player of Worldcup but France also aimed its quality by catching up to the back until it urges until the second extra time so that until the round of penalties</v>
      </c>
    </row>
    <row r="8520" ht="15.75" customHeight="1">
      <c r="A8520" s="1">
        <v>9743.0</v>
      </c>
      <c r="B8520" s="3" t="s">
        <v>24367</v>
      </c>
      <c r="C8520" s="3">
        <v>0.0</v>
      </c>
      <c r="D8520" s="3">
        <v>0.0</v>
      </c>
      <c r="E8520" s="3">
        <v>0.0</v>
      </c>
      <c r="F8520" s="3" t="s">
        <v>24368</v>
      </c>
      <c r="G8520" s="3">
        <v>0.0</v>
      </c>
      <c r="H8520" s="3">
        <v>0.0</v>
      </c>
      <c r="I8520" s="3" t="s">
        <v>13</v>
      </c>
      <c r="J8520" s="3" t="s">
        <v>24369</v>
      </c>
      <c r="K8520" s="3" t="s">
        <v>54</v>
      </c>
      <c r="L8520" s="3" t="str">
        <f>IFERROR(__xludf.DUMMYFUNCTION("GOOGLETRANSLATE(F8520,""id"",""en"")"),"what can Argentina champion if gambling can get money sis")</f>
        <v>what can Argentina champion if gambling can get money sis</v>
      </c>
    </row>
    <row r="8521" ht="15.75" customHeight="1">
      <c r="A8521" s="1">
        <v>9744.0</v>
      </c>
      <c r="B8521" s="3" t="s">
        <v>24370</v>
      </c>
      <c r="C8521" s="3">
        <v>0.0</v>
      </c>
      <c r="D8521" s="3">
        <v>0.0</v>
      </c>
      <c r="E8521" s="3">
        <v>0.0</v>
      </c>
      <c r="F8521" s="3" t="s">
        <v>24371</v>
      </c>
      <c r="G8521" s="3">
        <v>0.0</v>
      </c>
      <c r="H8521" s="3">
        <v>0.0</v>
      </c>
      <c r="I8521" s="3" t="s">
        <v>13</v>
      </c>
      <c r="J8521" s="3" t="s">
        <v>24372</v>
      </c>
      <c r="K8521" s="3" t="s">
        <v>31</v>
      </c>
      <c r="L8521" s="3" t="str">
        <f>IFERROR(__xludf.DUMMYFUNCTION("GOOGLETRANSLATE(F8521,""id"",""en"")"),"Messi World Champion and Argentina Inflation")</f>
        <v>Messi World Champion and Argentina Inflation</v>
      </c>
    </row>
    <row r="8522" ht="15.75" customHeight="1">
      <c r="A8522" s="1">
        <v>9745.0</v>
      </c>
      <c r="B8522" s="3" t="s">
        <v>24373</v>
      </c>
      <c r="C8522" s="3">
        <v>3.0</v>
      </c>
      <c r="D8522" s="3">
        <v>0.0</v>
      </c>
      <c r="E8522" s="3">
        <v>0.0</v>
      </c>
      <c r="F8522" s="3" t="s">
        <v>24374</v>
      </c>
      <c r="G8522" s="3">
        <v>0.0</v>
      </c>
      <c r="H8522" s="3">
        <v>0.0</v>
      </c>
      <c r="I8522" s="3" t="s">
        <v>13</v>
      </c>
      <c r="J8522" s="3" t="s">
        <v>24375</v>
      </c>
      <c r="K8522" s="3" t="s">
        <v>437</v>
      </c>
      <c r="L8522" s="3" t="str">
        <f>IFERROR(__xludf.DUMMYFUNCTION("GOOGLETRANSLATE(F8522,""id"",""en"")"),"From Mbappe we learn no matter how hard we fight if FIFA has set the Argentina World Cup champion this year, our struggle will be in vain")</f>
        <v>From Mbappe we learn no matter how hard we fight if FIFA has set the Argentina World Cup champion this year, our struggle will be in vain</v>
      </c>
    </row>
    <row r="8523" ht="15.75" customHeight="1">
      <c r="A8523" s="1">
        <v>9746.0</v>
      </c>
      <c r="B8523" s="3" t="s">
        <v>24376</v>
      </c>
      <c r="C8523" s="3">
        <v>0.0</v>
      </c>
      <c r="D8523" s="3">
        <v>0.0</v>
      </c>
      <c r="E8523" s="3">
        <v>0.0</v>
      </c>
      <c r="F8523" s="3" t="s">
        <v>24377</v>
      </c>
      <c r="G8523" s="3">
        <v>1.0</v>
      </c>
      <c r="H8523" s="3">
        <v>1.0</v>
      </c>
      <c r="I8523" s="3" t="s">
        <v>48</v>
      </c>
      <c r="J8523" s="3" t="s">
        <v>24378</v>
      </c>
      <c r="K8523" s="3" t="s">
        <v>94</v>
      </c>
      <c r="L8523" s="3" t="str">
        <f>IFERROR(__xludf.DUMMYFUNCTION("GOOGLETRANSLATE(F8523,""id"",""en"")"),"Please attend the Sodara Sodari ladies and gentlemen in the salvation ceremony of Argentina's success in winning the World Cup title will be held at Bpk Messi's house on Tuesday after Maghrib Messi The Greatest All Time")</f>
        <v>Please attend the Sodara Sodari ladies and gentlemen in the salvation ceremony of Argentina's success in winning the World Cup title will be held at Bpk Messi's house on Tuesday after Maghrib Messi The Greatest All Time</v>
      </c>
    </row>
    <row r="8524" ht="15.75" customHeight="1">
      <c r="A8524" s="1">
        <v>9747.0</v>
      </c>
      <c r="B8524" s="3" t="s">
        <v>24379</v>
      </c>
      <c r="C8524" s="3">
        <v>0.0</v>
      </c>
      <c r="D8524" s="3">
        <v>0.0</v>
      </c>
      <c r="E8524" s="3">
        <v>0.0</v>
      </c>
      <c r="F8524" s="3" t="s">
        <v>24379</v>
      </c>
      <c r="G8524" s="3">
        <v>0.0</v>
      </c>
      <c r="H8524" s="3">
        <v>0.0</v>
      </c>
      <c r="I8524" s="3" t="s">
        <v>13</v>
      </c>
      <c r="J8524" s="3" t="s">
        <v>24380</v>
      </c>
      <c r="K8524" s="3" t="s">
        <v>82</v>
      </c>
      <c r="L8524" s="3" t="str">
        <f>IFERROR(__xludf.DUMMYFUNCTION("GOOGLETRANSLATE(F8524,""id"",""en"")"),"a lot of sad but treated because of Argentina champions hahahah")</f>
        <v>a lot of sad but treated because of Argentina champions hahahah</v>
      </c>
    </row>
    <row r="8525" ht="15.75" customHeight="1">
      <c r="A8525" s="1">
        <v>9748.0</v>
      </c>
      <c r="B8525" s="3" t="s">
        <v>24381</v>
      </c>
      <c r="C8525" s="3">
        <v>0.0</v>
      </c>
      <c r="D8525" s="3">
        <v>0.0</v>
      </c>
      <c r="E8525" s="3">
        <v>1.0</v>
      </c>
      <c r="F8525" s="3" t="s">
        <v>24382</v>
      </c>
      <c r="G8525" s="3">
        <v>0.0</v>
      </c>
      <c r="H8525" s="3">
        <v>0.0</v>
      </c>
      <c r="I8525" s="3" t="s">
        <v>13</v>
      </c>
      <c r="J8525" s="3" t="s">
        <v>24383</v>
      </c>
      <c r="K8525" s="3" t="s">
        <v>644</v>
      </c>
      <c r="L8525" s="3" t="str">
        <f>IFERROR(__xludf.DUMMYFUNCTION("GOOGLETRANSLATE(F8525,""id"",""en"")"),"Argentina Really World Champion")</f>
        <v>Argentina Really World Champion</v>
      </c>
    </row>
    <row r="8526" ht="15.75" customHeight="1">
      <c r="A8526" s="1">
        <v>9749.0</v>
      </c>
      <c r="B8526" s="3" t="s">
        <v>24384</v>
      </c>
      <c r="C8526" s="3">
        <v>0.0</v>
      </c>
      <c r="D8526" s="3">
        <v>0.0</v>
      </c>
      <c r="E8526" s="3">
        <v>0.0</v>
      </c>
      <c r="F8526" s="3" t="s">
        <v>24385</v>
      </c>
      <c r="G8526" s="3">
        <v>0.0</v>
      </c>
      <c r="H8526" s="3">
        <v>0.0</v>
      </c>
      <c r="I8526" s="3" t="s">
        <v>13</v>
      </c>
      <c r="J8526" s="3" t="s">
        <v>24386</v>
      </c>
      <c r="K8526" s="3" t="s">
        <v>75</v>
      </c>
      <c r="L8526" s="3" t="str">
        <f>IFERROR(__xludf.DUMMYFUNCTION("GOOGLETRANSLATE(F8526,""id"",""en"")"),"There is just Emiliano Martinez mocking Kylian Mbappe after Argentina World Cup champions")</f>
        <v>There is just Emiliano Martinez mocking Kylian Mbappe after Argentina World Cup champions</v>
      </c>
    </row>
    <row r="8527" ht="15.75" customHeight="1">
      <c r="A8527" s="1">
        <v>9750.0</v>
      </c>
      <c r="B8527" s="3" t="s">
        <v>24387</v>
      </c>
      <c r="C8527" s="3">
        <v>0.0</v>
      </c>
      <c r="D8527" s="3">
        <v>0.0</v>
      </c>
      <c r="E8527" s="3">
        <v>1.0</v>
      </c>
      <c r="F8527" s="3" t="s">
        <v>24388</v>
      </c>
      <c r="G8527" s="3">
        <v>0.0</v>
      </c>
      <c r="H8527" s="3">
        <v>0.0</v>
      </c>
      <c r="I8527" s="3" t="s">
        <v>13</v>
      </c>
      <c r="J8527" s="3" t="s">
        <v>24389</v>
      </c>
      <c r="K8527" s="3" t="s">
        <v>510</v>
      </c>
      <c r="L8527" s="3" t="str">
        <f>IFERROR(__xludf.DUMMYFUNCTION("GOOGLETRANSLATE(F8527,""id"",""en"")"),"Only in his leadership, Argentina could be the best world champion, sir, a picture")</f>
        <v>Only in his leadership, Argentina could be the best world champion, sir, a picture</v>
      </c>
    </row>
    <row r="8528" ht="15.75" customHeight="1">
      <c r="A8528" s="1">
        <v>9751.0</v>
      </c>
      <c r="B8528" s="3" t="s">
        <v>24390</v>
      </c>
      <c r="C8528" s="3">
        <v>0.0</v>
      </c>
      <c r="D8528" s="3">
        <v>0.0</v>
      </c>
      <c r="E8528" s="3">
        <v>0.0</v>
      </c>
      <c r="F8528" s="3" t="s">
        <v>24391</v>
      </c>
      <c r="G8528" s="3">
        <v>1.0</v>
      </c>
      <c r="H8528" s="3">
        <v>0.0</v>
      </c>
      <c r="I8528" s="3" t="s">
        <v>13</v>
      </c>
      <c r="J8528" s="3" t="s">
        <v>24392</v>
      </c>
      <c r="K8528" s="3" t="s">
        <v>15</v>
      </c>
      <c r="L8528" s="3" t="str">
        <f>IFERROR(__xludf.DUMMYFUNCTION("GOOGLETRANSLATE(F8528,""id"",""en"")"),"Final Extraordinary Congratulations Messi Can Bring Argentina Champion")</f>
        <v>Final Extraordinary Congratulations Messi Can Bring Argentina Champion</v>
      </c>
    </row>
    <row r="8529" ht="15.75" customHeight="1">
      <c r="A8529" s="1">
        <v>9752.0</v>
      </c>
      <c r="B8529" s="3" t="s">
        <v>24393</v>
      </c>
      <c r="C8529" s="3">
        <v>156.0</v>
      </c>
      <c r="D8529" s="3">
        <v>117.0</v>
      </c>
      <c r="E8529" s="3">
        <v>116.0</v>
      </c>
      <c r="F8529" s="3" t="s">
        <v>17079</v>
      </c>
      <c r="G8529" s="3">
        <v>0.0</v>
      </c>
      <c r="H8529" s="3">
        <v>0.0</v>
      </c>
      <c r="I8529" s="3" t="s">
        <v>13</v>
      </c>
      <c r="J8529" s="3" t="s">
        <v>17080</v>
      </c>
      <c r="K8529" s="3" t="s">
        <v>149</v>
      </c>
      <c r="L8529" s="3" t="str">
        <f>IFERROR(__xludf.DUMMYFUNCTION("GOOGLETRANSLATE(F8529,""id"",""en"")"),"Hello friend, because the team champion the World Cup is Argentina this time will be about Argentina.")</f>
        <v>Hello friend, because the team champion the World Cup is Argentina this time will be about Argentina.</v>
      </c>
    </row>
    <row r="8530" ht="15.75" customHeight="1">
      <c r="A8530" s="1">
        <v>9753.0</v>
      </c>
      <c r="B8530" s="3" t="s">
        <v>24394</v>
      </c>
      <c r="C8530" s="3">
        <v>0.0</v>
      </c>
      <c r="D8530" s="3">
        <v>4.0</v>
      </c>
      <c r="E8530" s="3">
        <v>0.0</v>
      </c>
      <c r="F8530" s="3" t="s">
        <v>24395</v>
      </c>
      <c r="G8530" s="3">
        <v>0.0</v>
      </c>
      <c r="H8530" s="3">
        <v>0.0</v>
      </c>
      <c r="I8530" s="3" t="s">
        <v>13</v>
      </c>
      <c r="J8530" s="3" t="s">
        <v>24396</v>
      </c>
      <c r="K8530" s="3" t="s">
        <v>41</v>
      </c>
      <c r="L8530" s="3" t="str">
        <f>IFERROR(__xludf.DUMMYFUNCTION("GOOGLETRANSLATE(F8530,""id"",""en"")"),"Bring Argentina Champion World Cup Qatar Messi Can Be a Special Robe")</f>
        <v>Bring Argentina Champion World Cup Qatar Messi Can Be a Special Robe</v>
      </c>
    </row>
    <row r="8531" ht="15.75" customHeight="1">
      <c r="A8531" s="1">
        <v>9754.0</v>
      </c>
      <c r="B8531" s="3" t="s">
        <v>24397</v>
      </c>
      <c r="C8531" s="3">
        <v>0.0</v>
      </c>
      <c r="D8531" s="3">
        <v>0.0</v>
      </c>
      <c r="E8531" s="3">
        <v>0.0</v>
      </c>
      <c r="F8531" s="3" t="s">
        <v>24398</v>
      </c>
      <c r="G8531" s="3">
        <v>0.0</v>
      </c>
      <c r="H8531" s="3">
        <v>0.0</v>
      </c>
      <c r="I8531" s="3" t="s">
        <v>13</v>
      </c>
      <c r="J8531" s="3" t="s">
        <v>24399</v>
      </c>
      <c r="K8531" s="3" t="s">
        <v>15</v>
      </c>
      <c r="L8531" s="3" t="str">
        <f>IFERROR(__xludf.DUMMYFUNCTION("GOOGLETRANSLATE(F8531,""id"",""en"")"),"Jesus controlled the Arab land because of Argentina champions of the World Cup")</f>
        <v>Jesus controlled the Arab land because of Argentina champions of the World Cup</v>
      </c>
    </row>
    <row r="8532" ht="15.75" customHeight="1">
      <c r="A8532" s="1">
        <v>9755.0</v>
      </c>
      <c r="B8532" s="3" t="s">
        <v>24400</v>
      </c>
      <c r="C8532" s="3">
        <v>0.0</v>
      </c>
      <c r="D8532" s="3">
        <v>0.0</v>
      </c>
      <c r="E8532" s="3">
        <v>0.0</v>
      </c>
      <c r="F8532" s="3" t="s">
        <v>23486</v>
      </c>
      <c r="G8532" s="3">
        <v>0.0</v>
      </c>
      <c r="H8532" s="3">
        <v>0.0</v>
      </c>
      <c r="I8532" s="3" t="s">
        <v>13</v>
      </c>
      <c r="J8532" s="3" t="s">
        <v>23487</v>
      </c>
      <c r="K8532" s="3" t="s">
        <v>495</v>
      </c>
      <c r="L8532" s="3" t="str">
        <f>IFERROR(__xludf.DUMMYFUNCTION("GOOGLETRANSLATE(F8532,""id"",""en"")"),"Sergio Aguero deserves to be called the judge's sexy section when Argentina celebrates World Cup champions inviting laughter like glaring to see Messi Check")</f>
        <v>Sergio Aguero deserves to be called the judge's sexy section when Argentina celebrates World Cup champions inviting laughter like glaring to see Messi Check</v>
      </c>
    </row>
    <row r="8533" ht="15.75" customHeight="1">
      <c r="A8533" s="1">
        <v>9756.0</v>
      </c>
      <c r="B8533" s="3" t="s">
        <v>24401</v>
      </c>
      <c r="C8533" s="3">
        <v>0.0</v>
      </c>
      <c r="D8533" s="3">
        <v>0.0</v>
      </c>
      <c r="E8533" s="3">
        <v>0.0</v>
      </c>
      <c r="F8533" s="3" t="s">
        <v>24402</v>
      </c>
      <c r="G8533" s="3">
        <v>0.0</v>
      </c>
      <c r="H8533" s="3">
        <v>0.0</v>
      </c>
      <c r="I8533" s="3" t="s">
        <v>13</v>
      </c>
      <c r="J8533" s="3" t="s">
        <v>24403</v>
      </c>
      <c r="K8533" s="3" t="s">
        <v>644</v>
      </c>
      <c r="L8533" s="3" t="str">
        <f>IFERROR(__xludf.DUMMYFUNCTION("GOOGLETRANSLATE(F8533,""id"",""en"")"),"hmmm so Argentina Champion")</f>
        <v>hmmm so Argentina Champion</v>
      </c>
    </row>
    <row r="8534" ht="15.75" customHeight="1">
      <c r="A8534" s="1">
        <v>9757.0</v>
      </c>
      <c r="B8534" s="3" t="s">
        <v>24404</v>
      </c>
      <c r="C8534" s="3">
        <v>78.0</v>
      </c>
      <c r="D8534" s="3">
        <v>202.0</v>
      </c>
      <c r="E8534" s="3">
        <v>1810.0</v>
      </c>
      <c r="F8534" s="3" t="s">
        <v>24405</v>
      </c>
      <c r="G8534" s="3">
        <v>0.0</v>
      </c>
      <c r="H8534" s="3">
        <v>0.0</v>
      </c>
      <c r="I8534" s="3" t="s">
        <v>13</v>
      </c>
      <c r="J8534" s="3" t="s">
        <v>24406</v>
      </c>
      <c r="K8534" s="3" t="s">
        <v>437</v>
      </c>
      <c r="L8534" s="3" t="str">
        <f>IFERROR(__xludf.DUMMYFUNCTION("GOOGLETRANSLATE(F8534,""id"",""en"")"),"From last night Messi Messi continued, don't forget the greatness of Lionel Scaloni concocting the Argentine national team so that they can give the title")</f>
        <v>From last night Messi Messi continued, don't forget the greatness of Lionel Scaloni concocting the Argentine national team so that they can give the title</v>
      </c>
    </row>
    <row r="8535" ht="15.75" customHeight="1">
      <c r="A8535" s="1">
        <v>9758.0</v>
      </c>
      <c r="B8535" s="3" t="s">
        <v>24407</v>
      </c>
      <c r="C8535" s="3">
        <v>1.0</v>
      </c>
      <c r="D8535" s="3">
        <v>0.0</v>
      </c>
      <c r="E8535" s="3">
        <v>0.0</v>
      </c>
      <c r="F8535" s="3" t="s">
        <v>24408</v>
      </c>
      <c r="G8535" s="3">
        <v>0.0</v>
      </c>
      <c r="H8535" s="3">
        <v>0.0</v>
      </c>
      <c r="I8535" s="3" t="s">
        <v>13</v>
      </c>
      <c r="J8535" s="3" t="s">
        <v>24409</v>
      </c>
      <c r="K8535" s="3" t="s">
        <v>477</v>
      </c>
      <c r="L8535" s="3" t="str">
        <f>IFERROR(__xludf.DUMMYFUNCTION("GOOGLETRANSLATE(F8535,""id"",""en"")"),"Febriyati Argentina Champion West Java Champion can be right like that")</f>
        <v>Febriyati Argentina Champion West Java Champion can be right like that</v>
      </c>
    </row>
    <row r="8536" ht="15.75" customHeight="1">
      <c r="A8536" s="1">
        <v>9759.0</v>
      </c>
      <c r="B8536" s="3" t="s">
        <v>24410</v>
      </c>
      <c r="C8536" s="3">
        <v>0.0</v>
      </c>
      <c r="D8536" s="3">
        <v>1.0</v>
      </c>
      <c r="E8536" s="3">
        <v>4.0</v>
      </c>
      <c r="F8536" s="3" t="s">
        <v>24411</v>
      </c>
      <c r="G8536" s="3">
        <v>0.0</v>
      </c>
      <c r="H8536" s="3">
        <v>0.0</v>
      </c>
      <c r="I8536" s="3" t="s">
        <v>13</v>
      </c>
      <c r="J8536" s="3" t="s">
        <v>24412</v>
      </c>
      <c r="K8536" s="3" t="s">
        <v>437</v>
      </c>
      <c r="L8536" s="3" t="str">
        <f>IFERROR(__xludf.DUMMYFUNCTION("GOOGLETRANSLATE(F8536,""id"",""en"")"),"Argentina won the World Cup coach Lionel Scaloni trying to hold back her happy tears but could not work")</f>
        <v>Argentina won the World Cup coach Lionel Scaloni trying to hold back her happy tears but could not work</v>
      </c>
    </row>
    <row r="8537" ht="15.75" customHeight="1">
      <c r="A8537" s="1">
        <v>9760.0</v>
      </c>
      <c r="B8537" s="3" t="s">
        <v>24413</v>
      </c>
      <c r="C8537" s="3">
        <v>2.0</v>
      </c>
      <c r="D8537" s="3">
        <v>0.0</v>
      </c>
      <c r="E8537" s="3">
        <v>1.0</v>
      </c>
      <c r="F8537" s="3" t="s">
        <v>22584</v>
      </c>
      <c r="G8537" s="3">
        <v>0.0</v>
      </c>
      <c r="H8537" s="3">
        <v>0.0</v>
      </c>
      <c r="I8537" s="3" t="s">
        <v>13</v>
      </c>
      <c r="J8537" s="3" t="s">
        <v>22585</v>
      </c>
      <c r="K8537" s="3" t="s">
        <v>31</v>
      </c>
      <c r="L8537" s="3" t="str">
        <f>IFERROR(__xludf.DUMMYFUNCTION("GOOGLETRANSLATE(F8537,""id"",""en"")"),"Argentina Champion World Cup Qatar")</f>
        <v>Argentina Champion World Cup Qatar</v>
      </c>
    </row>
    <row r="8538" ht="15.75" customHeight="1">
      <c r="A8538" s="1">
        <v>9761.0</v>
      </c>
      <c r="B8538" s="3" t="s">
        <v>24414</v>
      </c>
      <c r="C8538" s="3">
        <v>0.0</v>
      </c>
      <c r="D8538" s="3">
        <v>0.0</v>
      </c>
      <c r="E8538" s="3">
        <v>0.0</v>
      </c>
      <c r="F8538" s="3" t="s">
        <v>24415</v>
      </c>
      <c r="G8538" s="3">
        <v>0.0</v>
      </c>
      <c r="H8538" s="3">
        <v>0.0</v>
      </c>
      <c r="I8538" s="3" t="s">
        <v>13</v>
      </c>
      <c r="J8538" s="3" t="s">
        <v>24416</v>
      </c>
      <c r="K8538" s="3" t="s">
        <v>510</v>
      </c>
      <c r="L8538" s="3" t="str">
        <f>IFERROR(__xludf.DUMMYFUNCTION("GOOGLETRANSLATE(F8538,""id"",""en"")"),"Congratulations Argentina has won the World Cup Anyway title last night you support")</f>
        <v>Congratulations Argentina has won the World Cup Anyway title last night you support</v>
      </c>
    </row>
    <row r="8539" ht="15.75" customHeight="1">
      <c r="A8539" s="1">
        <v>9762.0</v>
      </c>
      <c r="B8539" s="3" t="s">
        <v>24417</v>
      </c>
      <c r="C8539" s="3">
        <v>1.0</v>
      </c>
      <c r="D8539" s="3">
        <v>2.0</v>
      </c>
      <c r="E8539" s="3">
        <v>4.0</v>
      </c>
      <c r="F8539" s="3" t="s">
        <v>24418</v>
      </c>
      <c r="G8539" s="3">
        <v>0.0</v>
      </c>
      <c r="H8539" s="3">
        <v>0.0</v>
      </c>
      <c r="I8539" s="3" t="s">
        <v>13</v>
      </c>
      <c r="J8539" s="3" t="s">
        <v>24419</v>
      </c>
      <c r="K8539" s="3" t="s">
        <v>75</v>
      </c>
      <c r="L8539" s="3" t="str">
        <f>IFERROR(__xludf.DUMMYFUNCTION("GOOGLETRANSLATE(F8539,""id"",""en"")"),"Humans are taken away by the Argentine national team out as world champion awaited your realization")</f>
        <v>Humans are taken away by the Argentine national team out as world champion awaited your realization</v>
      </c>
    </row>
    <row r="8540" ht="15.75" customHeight="1">
      <c r="A8540" s="1">
        <v>9763.0</v>
      </c>
      <c r="B8540" s="3" t="s">
        <v>24420</v>
      </c>
      <c r="C8540" s="3">
        <v>0.0</v>
      </c>
      <c r="D8540" s="3">
        <v>0.0</v>
      </c>
      <c r="E8540" s="3">
        <v>0.0</v>
      </c>
      <c r="F8540" s="3" t="s">
        <v>24421</v>
      </c>
      <c r="G8540" s="3">
        <v>0.0</v>
      </c>
      <c r="H8540" s="3">
        <v>0.0</v>
      </c>
      <c r="I8540" s="3" t="s">
        <v>13</v>
      </c>
      <c r="J8540" s="3" t="s">
        <v>24422</v>
      </c>
      <c r="K8540" s="3" t="s">
        <v>54</v>
      </c>
      <c r="L8540" s="3" t="str">
        <f>IFERROR(__xludf.DUMMYFUNCTION("GOOGLETRANSLATE(F8540,""id"",""en"")"),"Pantesan Gegara Support France Argentina Champion")</f>
        <v>Pantesan Gegara Support France Argentina Champion</v>
      </c>
    </row>
    <row r="8541" ht="15.75" customHeight="1">
      <c r="A8541" s="1">
        <v>9764.0</v>
      </c>
      <c r="B8541" s="3" t="s">
        <v>24423</v>
      </c>
      <c r="C8541" s="3">
        <v>0.0</v>
      </c>
      <c r="D8541" s="3">
        <v>0.0</v>
      </c>
      <c r="E8541" s="3">
        <v>0.0</v>
      </c>
      <c r="F8541" s="3" t="s">
        <v>24424</v>
      </c>
      <c r="G8541" s="3">
        <v>0.0</v>
      </c>
      <c r="H8541" s="3">
        <v>0.0</v>
      </c>
      <c r="I8541" s="3" t="s">
        <v>13</v>
      </c>
      <c r="J8541" s="3" t="s">
        <v>24425</v>
      </c>
      <c r="K8541" s="3" t="s">
        <v>574</v>
      </c>
      <c r="L8541" s="3" t="str">
        <f>IFERROR(__xludf.DUMMYFUNCTION("GOOGLETRANSLATE(F8541,""id"",""en"")"),"Yes, that's why it's natural to be commented on Argentina's photo champion Madrid account has a hilarious assumption here Dodo fans just want to do what else besides initially already brought Dodo")</f>
        <v>Yes, that's why it's natural to be commented on Argentina's photo champion Madrid account has a hilarious assumption here Dodo fans just want to do what else besides initially already brought Dodo</v>
      </c>
    </row>
    <row r="8542" ht="15.75" customHeight="1">
      <c r="A8542" s="1">
        <v>9765.0</v>
      </c>
      <c r="B8542" s="3" t="s">
        <v>24426</v>
      </c>
      <c r="C8542" s="3">
        <v>0.0</v>
      </c>
      <c r="D8542" s="3">
        <v>0.0</v>
      </c>
      <c r="E8542" s="3">
        <v>0.0</v>
      </c>
      <c r="F8542" s="3" t="s">
        <v>24427</v>
      </c>
      <c r="G8542" s="3">
        <v>0.0</v>
      </c>
      <c r="H8542" s="3">
        <v>0.0</v>
      </c>
      <c r="I8542" s="3" t="s">
        <v>13</v>
      </c>
      <c r="J8542" s="3" t="s">
        <v>24428</v>
      </c>
      <c r="K8542" s="3" t="s">
        <v>322</v>
      </c>
      <c r="L8542" s="3" t="str">
        <f>IFERROR(__xludf.DUMMYFUNCTION("GOOGLETRANSLATE(F8542,""id"",""en"")"),"Because Argentina champions, finally take Argentina")</f>
        <v>Because Argentina champions, finally take Argentina</v>
      </c>
    </row>
    <row r="8543" ht="15.75" customHeight="1">
      <c r="A8543" s="1">
        <v>9766.0</v>
      </c>
      <c r="B8543" s="3" t="s">
        <v>24429</v>
      </c>
      <c r="C8543" s="3">
        <v>5.0</v>
      </c>
      <c r="D8543" s="3">
        <v>0.0</v>
      </c>
      <c r="E8543" s="3">
        <v>23.0</v>
      </c>
      <c r="F8543" s="3" t="s">
        <v>24430</v>
      </c>
      <c r="G8543" s="3">
        <v>0.6000000000000001</v>
      </c>
      <c r="H8543" s="3">
        <v>0.7</v>
      </c>
      <c r="I8543" s="3" t="s">
        <v>48</v>
      </c>
      <c r="J8543" s="3" t="s">
        <v>24431</v>
      </c>
      <c r="K8543" s="3" t="s">
        <v>71</v>
      </c>
      <c r="L8543" s="3" t="str">
        <f>IFERROR(__xludf.DUMMYFUNCTION("GOOGLETRANSLATE(F8543,""id"",""en"")"),"Askrl Because Argentina Champion I will Giveaway for People Check Dilikes called Noir Good Luck")</f>
        <v>Askrl Because Argentina Champion I will Giveaway for People Check Dilikes called Noir Good Luck</v>
      </c>
    </row>
    <row r="8544" ht="15.75" customHeight="1">
      <c r="A8544" s="1">
        <v>9767.0</v>
      </c>
      <c r="B8544" s="3" t="s">
        <v>24432</v>
      </c>
      <c r="C8544" s="3">
        <v>0.0</v>
      </c>
      <c r="D8544" s="3">
        <v>0.0</v>
      </c>
      <c r="E8544" s="3">
        <v>0.0</v>
      </c>
      <c r="F8544" s="3" t="s">
        <v>24433</v>
      </c>
      <c r="G8544" s="3">
        <v>0.0</v>
      </c>
      <c r="H8544" s="3">
        <v>0.0</v>
      </c>
      <c r="I8544" s="3" t="s">
        <v>13</v>
      </c>
      <c r="J8544" s="3" t="s">
        <v>24434</v>
      </c>
      <c r="K8544" s="3" t="s">
        <v>82</v>
      </c>
      <c r="L8544" s="3" t="str">
        <f>IFERROR(__xludf.DUMMYFUNCTION("GOOGLETRANSLATE(F8544,""id"",""en"")"),"Message Touching Messi After Argentina Champion World Cup")</f>
        <v>Message Touching Messi After Argentina Champion World Cup</v>
      </c>
    </row>
    <row r="8545" ht="15.75" customHeight="1">
      <c r="A8545" s="1">
        <v>9768.0</v>
      </c>
      <c r="B8545" s="3" t="s">
        <v>24435</v>
      </c>
      <c r="C8545" s="3">
        <v>0.0</v>
      </c>
      <c r="D8545" s="3">
        <v>0.0</v>
      </c>
      <c r="E8545" s="3">
        <v>13.0</v>
      </c>
      <c r="F8545" s="3" t="s">
        <v>24436</v>
      </c>
      <c r="G8545" s="3">
        <v>1.0</v>
      </c>
      <c r="H8545" s="3">
        <v>1.0</v>
      </c>
      <c r="I8545" s="3" t="s">
        <v>48</v>
      </c>
      <c r="J8545" s="3" t="s">
        <v>24437</v>
      </c>
      <c r="K8545" s="3" t="s">
        <v>75</v>
      </c>
      <c r="L8545" s="3" t="str">
        <f>IFERROR(__xludf.DUMMYFUNCTION("GOOGLETRANSLATE(F8545,""id"",""en"")"),"Argentina Champion Messi Status Changed to The Greatest All Time")</f>
        <v>Argentina Champion Messi Status Changed to The Greatest All Time</v>
      </c>
    </row>
    <row r="8546" ht="15.75" customHeight="1">
      <c r="A8546" s="1">
        <v>9769.0</v>
      </c>
      <c r="B8546" s="3" t="s">
        <v>24438</v>
      </c>
      <c r="C8546" s="3">
        <v>1.0</v>
      </c>
      <c r="D8546" s="3">
        <v>0.0</v>
      </c>
      <c r="E8546" s="3">
        <v>0.0</v>
      </c>
      <c r="F8546" s="3" t="s">
        <v>16103</v>
      </c>
      <c r="G8546" s="3">
        <v>0.0</v>
      </c>
      <c r="H8546" s="3">
        <v>0.0</v>
      </c>
      <c r="I8546" s="3" t="s">
        <v>13</v>
      </c>
      <c r="J8546" s="3" t="s">
        <v>16104</v>
      </c>
      <c r="K8546" s="3" t="s">
        <v>14571</v>
      </c>
      <c r="L8546" s="3" t="str">
        <f>IFERROR(__xludf.DUMMYFUNCTION("GOOGLETRANSLATE(F8546,""id"",""en"")"),"Argentina Champion")</f>
        <v>Argentina Champion</v>
      </c>
    </row>
    <row r="8547" ht="15.75" customHeight="1">
      <c r="A8547" s="1">
        <v>9770.0</v>
      </c>
      <c r="B8547" s="3" t="s">
        <v>24439</v>
      </c>
      <c r="C8547" s="3">
        <v>0.0</v>
      </c>
      <c r="D8547" s="3">
        <v>0.0</v>
      </c>
      <c r="E8547" s="3">
        <v>0.0</v>
      </c>
      <c r="F8547" s="3" t="s">
        <v>24440</v>
      </c>
      <c r="G8547" s="3">
        <v>0.0</v>
      </c>
      <c r="H8547" s="3">
        <v>0.0</v>
      </c>
      <c r="I8547" s="3" t="s">
        <v>13</v>
      </c>
      <c r="J8547" s="3" t="s">
        <v>24441</v>
      </c>
      <c r="K8547" s="3" t="s">
        <v>244</v>
      </c>
      <c r="L8547" s="3" t="str">
        <f>IFERROR(__xludf.DUMMYFUNCTION("GOOGLETRANSLATE(F8547,""id"",""en"")"),"Argentina almost failed world champion if the action of Emiliano Mart Nez minutes failed")</f>
        <v>Argentina almost failed world champion if the action of Emiliano Mart Nez minutes failed</v>
      </c>
    </row>
    <row r="8548" ht="15.75" customHeight="1">
      <c r="A8548" s="1">
        <v>9771.0</v>
      </c>
      <c r="B8548" s="3" t="s">
        <v>24442</v>
      </c>
      <c r="C8548" s="3">
        <v>2.0</v>
      </c>
      <c r="D8548" s="3">
        <v>3.0</v>
      </c>
      <c r="E8548" s="3">
        <v>12.0</v>
      </c>
      <c r="F8548" s="3" t="s">
        <v>23050</v>
      </c>
      <c r="G8548" s="3">
        <v>0.0</v>
      </c>
      <c r="H8548" s="3">
        <v>0.0</v>
      </c>
      <c r="I8548" s="3" t="s">
        <v>13</v>
      </c>
      <c r="J8548" s="3" t="s">
        <v>23051</v>
      </c>
      <c r="K8548" s="3" t="s">
        <v>15</v>
      </c>
      <c r="L8548" s="3" t="str">
        <f>IFERROR(__xludf.DUMMYFUNCTION("GOOGLETRANSLATE(F8548,""id"",""en"")"),"Argentina Champion World Cup Messi Ronaldo Completed")</f>
        <v>Argentina Champion World Cup Messi Ronaldo Completed</v>
      </c>
    </row>
    <row r="8549" ht="15.75" customHeight="1">
      <c r="A8549" s="1">
        <v>9772.0</v>
      </c>
      <c r="B8549" s="3" t="s">
        <v>24443</v>
      </c>
      <c r="C8549" s="3">
        <v>0.0</v>
      </c>
      <c r="D8549" s="3">
        <v>0.0</v>
      </c>
      <c r="E8549" s="3">
        <v>0.0</v>
      </c>
      <c r="F8549" s="3" t="s">
        <v>24444</v>
      </c>
      <c r="G8549" s="3">
        <v>0.0</v>
      </c>
      <c r="H8549" s="3">
        <v>0.0</v>
      </c>
      <c r="I8549" s="3" t="s">
        <v>13</v>
      </c>
      <c r="J8549" s="3" t="s">
        <v>24445</v>
      </c>
      <c r="K8549" s="3" t="s">
        <v>75</v>
      </c>
      <c r="L8549" s="3" t="str">
        <f>IFERROR(__xludf.DUMMYFUNCTION("GOOGLETRANSLATE(F8549,""id"",""en"")"),"if indeed men prove the reason that is held is the talk of Argentina the champion is waiting for his promise")</f>
        <v>if indeed men prove the reason that is held is the talk of Argentina the champion is waiting for his promise</v>
      </c>
    </row>
    <row r="8550" ht="15.75" customHeight="1">
      <c r="A8550" s="1">
        <v>9773.0</v>
      </c>
      <c r="B8550" s="3" t="s">
        <v>24446</v>
      </c>
      <c r="C8550" s="3">
        <v>0.0</v>
      </c>
      <c r="D8550" s="3">
        <v>0.0</v>
      </c>
      <c r="E8550" s="3">
        <v>0.0</v>
      </c>
      <c r="F8550" s="3" t="s">
        <v>24447</v>
      </c>
      <c r="G8550" s="3">
        <v>0.3</v>
      </c>
      <c r="H8550" s="3">
        <v>0.2</v>
      </c>
      <c r="I8550" s="3" t="s">
        <v>48</v>
      </c>
      <c r="J8550" s="3" t="s">
        <v>24448</v>
      </c>
      <c r="K8550" s="3" t="s">
        <v>54</v>
      </c>
      <c r="L8550" s="3" t="str">
        <f>IFERROR(__xludf.DUMMYFUNCTION("GOOGLETRANSLATE(F8550,""id"",""en"")"),"Goat Real Messi Bring Argentina Champion")</f>
        <v>Goat Real Messi Bring Argentina Champion</v>
      </c>
    </row>
    <row r="8551" ht="15.75" customHeight="1">
      <c r="A8551" s="1">
        <v>9774.0</v>
      </c>
      <c r="B8551" s="3" t="s">
        <v>24449</v>
      </c>
      <c r="C8551" s="3">
        <v>0.0</v>
      </c>
      <c r="D8551" s="3">
        <v>0.0</v>
      </c>
      <c r="E8551" s="3">
        <v>10.0</v>
      </c>
      <c r="F8551" s="3" t="s">
        <v>22754</v>
      </c>
      <c r="G8551" s="3">
        <v>1.0</v>
      </c>
      <c r="H8551" s="3">
        <v>0.0</v>
      </c>
      <c r="I8551" s="3" t="s">
        <v>13</v>
      </c>
      <c r="J8551" s="3" t="s">
        <v>22755</v>
      </c>
      <c r="K8551" s="3" t="s">
        <v>184</v>
      </c>
      <c r="L8551" s="3" t="str">
        <f>IFERROR(__xludf.DUMMYFUNCTION("GOOGLETRANSLATE(F8551,""id"",""en"")"),"Kali Lusail Stadium is a silent witness to the Argentina World Cup Early Tango team.")</f>
        <v>Kali Lusail Stadium is a silent witness to the Argentina World Cup Early Tango team.</v>
      </c>
    </row>
    <row r="8552" ht="15.75" customHeight="1">
      <c r="A8552" s="1">
        <v>9775.0</v>
      </c>
      <c r="B8552" s="3" t="s">
        <v>24450</v>
      </c>
      <c r="C8552" s="3">
        <v>3.0</v>
      </c>
      <c r="D8552" s="3">
        <v>0.0</v>
      </c>
      <c r="E8552" s="3">
        <v>8.0</v>
      </c>
      <c r="F8552" s="3" t="s">
        <v>24451</v>
      </c>
      <c r="G8552" s="3">
        <v>0.0</v>
      </c>
      <c r="H8552" s="3">
        <v>0.0</v>
      </c>
      <c r="I8552" s="3" t="s">
        <v>13</v>
      </c>
      <c r="J8552" s="3" t="s">
        <v>24452</v>
      </c>
      <c r="K8552" s="3" t="s">
        <v>348</v>
      </c>
      <c r="L8552" s="3" t="str">
        <f>IFERROR(__xludf.DUMMYFUNCTION("GOOGLETRANSLATE(F8552,""id"",""en"")"),"Argentine citizens celebrate the success of their country to become world champions selling pempek with the best -selling glass tea, I think that someday there will be a scenery like this there will be Indonesia Aamiin")</f>
        <v>Argentine citizens celebrate the success of their country to become world champions selling pempek with the best -selling glass tea, I think that someday there will be a scenery like this there will be Indonesia Aamiin</v>
      </c>
    </row>
    <row r="8553" ht="15.75" customHeight="1">
      <c r="A8553" s="1">
        <v>9776.0</v>
      </c>
      <c r="B8553" s="3" t="s">
        <v>24453</v>
      </c>
      <c r="C8553" s="3">
        <v>120.0</v>
      </c>
      <c r="D8553" s="3">
        <v>119.0</v>
      </c>
      <c r="E8553" s="3">
        <v>125.0</v>
      </c>
      <c r="F8553" s="3" t="s">
        <v>24454</v>
      </c>
      <c r="G8553" s="3">
        <v>0.6000000000000001</v>
      </c>
      <c r="H8553" s="3">
        <v>0.7</v>
      </c>
      <c r="I8553" s="3" t="s">
        <v>48</v>
      </c>
      <c r="J8553" s="3" t="s">
        <v>24455</v>
      </c>
      <c r="K8553" s="3" t="s">
        <v>13921</v>
      </c>
      <c r="L8553" s="3" t="str">
        <f>IFERROR(__xludf.DUMMYFUNCTION("GOOGLETRANSLATE(F8553,""id"",""en"")"),"Hello, according to the promise if Argentina champions of the World Cup I want to giveaway thousand for each of the people can be up to Gopay Shopeepay Ovo Funds How to Follow Likes Retweet then Reply Your Prayers Next Year Good Luck")</f>
        <v>Hello, according to the promise if Argentina champions of the World Cup I want to giveaway thousand for each of the people can be up to Gopay Shopeepay Ovo Funds How to Follow Likes Retweet then Reply Your Prayers Next Year Good Luck</v>
      </c>
    </row>
    <row r="8554" ht="15.75" customHeight="1">
      <c r="A8554" s="1">
        <v>9777.0</v>
      </c>
      <c r="B8554" s="3" t="s">
        <v>24456</v>
      </c>
      <c r="C8554" s="3">
        <v>0.0</v>
      </c>
      <c r="D8554" s="3">
        <v>0.0</v>
      </c>
      <c r="E8554" s="3">
        <v>0.0</v>
      </c>
      <c r="F8554" s="3" t="s">
        <v>24457</v>
      </c>
      <c r="G8554" s="3">
        <v>0.4</v>
      </c>
      <c r="H8554" s="3">
        <v>-0.4</v>
      </c>
      <c r="I8554" s="3" t="s">
        <v>179</v>
      </c>
      <c r="J8554" s="3" t="s">
        <v>24458</v>
      </c>
      <c r="K8554" s="3" t="s">
        <v>657</v>
      </c>
      <c r="L8554" s="3" t="str">
        <f>IFERROR(__xludf.DUMMYFUNCTION("GOOGLETRANSLATE(F8554,""id"",""en"")"),"Sports Predictions for the FIFA Game Series last November about Argentina World Cup champions come true")</f>
        <v>Sports Predictions for the FIFA Game Series last November about Argentina World Cup champions come true</v>
      </c>
    </row>
    <row r="8555" ht="15.75" customHeight="1">
      <c r="A8555" s="1">
        <v>9778.0</v>
      </c>
      <c r="B8555" s="3" t="s">
        <v>24459</v>
      </c>
      <c r="C8555" s="3">
        <v>0.0</v>
      </c>
      <c r="D8555" s="3">
        <v>0.0</v>
      </c>
      <c r="E8555" s="3">
        <v>1.0</v>
      </c>
      <c r="F8555" s="3" t="s">
        <v>24460</v>
      </c>
      <c r="G8555" s="3">
        <v>0.0</v>
      </c>
      <c r="H8555" s="3">
        <v>0.0</v>
      </c>
      <c r="I8555" s="3" t="s">
        <v>13</v>
      </c>
      <c r="J8555" s="3" t="s">
        <v>24461</v>
      </c>
      <c r="K8555" s="3" t="s">
        <v>41</v>
      </c>
      <c r="L8555" s="3" t="str">
        <f>IFERROR(__xludf.DUMMYFUNCTION("GOOGLETRANSLATE(F8555,""id"",""en"")"),"Argentina Champion World Cup Celebration Buenos Aries Makes Goosebumps")</f>
        <v>Argentina Champion World Cup Celebration Buenos Aries Makes Goosebumps</v>
      </c>
    </row>
    <row r="8556" ht="15.75" customHeight="1">
      <c r="A8556" s="1">
        <v>9779.0</v>
      </c>
      <c r="B8556" s="3" t="s">
        <v>24462</v>
      </c>
      <c r="C8556" s="3">
        <v>0.0</v>
      </c>
      <c r="D8556" s="3">
        <v>0.0</v>
      </c>
      <c r="E8556" s="3">
        <v>0.0</v>
      </c>
      <c r="F8556" s="3" t="s">
        <v>23796</v>
      </c>
      <c r="G8556" s="3">
        <v>0.0</v>
      </c>
      <c r="H8556" s="3">
        <v>0.0</v>
      </c>
      <c r="I8556" s="3" t="s">
        <v>13</v>
      </c>
      <c r="J8556" s="3" t="s">
        <v>23797</v>
      </c>
      <c r="K8556" s="3" t="s">
        <v>19</v>
      </c>
      <c r="L8556" s="3" t="str">
        <f>IFERROR(__xludf.DUMMYFUNCTION("GOOGLETRANSLATE(F8556,""id"",""en"")"),"Lionel Messi's Birth Capital to be the Ocean of Humans After Argentina Champion World Cup")</f>
        <v>Lionel Messi's Birth Capital to be the Ocean of Humans After Argentina Champion World Cup</v>
      </c>
    </row>
    <row r="8557" ht="15.75" customHeight="1">
      <c r="A8557" s="1">
        <v>9780.0</v>
      </c>
      <c r="B8557" s="3" t="s">
        <v>24463</v>
      </c>
      <c r="C8557" s="3">
        <v>0.0</v>
      </c>
      <c r="D8557" s="3">
        <v>0.0</v>
      </c>
      <c r="E8557" s="3">
        <v>0.0</v>
      </c>
      <c r="F8557" s="3" t="s">
        <v>24464</v>
      </c>
      <c r="G8557" s="3">
        <v>0.0</v>
      </c>
      <c r="H8557" s="3">
        <v>0.0</v>
      </c>
      <c r="I8557" s="3" t="s">
        <v>13</v>
      </c>
      <c r="J8557" s="3" t="s">
        <v>24465</v>
      </c>
      <c r="K8557" s="3" t="s">
        <v>510</v>
      </c>
      <c r="L8557" s="3" t="str">
        <f>IFERROR(__xludf.DUMMYFUNCTION("GOOGLETRANSLATE(F8557,""id"",""en"")"),"Pantesan Argentina The championship is supported by supporters wearing the best League club jersey")</f>
        <v>Pantesan Argentina The championship is supported by supporters wearing the best League club jersey</v>
      </c>
    </row>
    <row r="8558" ht="15.75" customHeight="1">
      <c r="A8558" s="1">
        <v>9781.0</v>
      </c>
      <c r="B8558" s="3" t="s">
        <v>24466</v>
      </c>
      <c r="C8558" s="3">
        <v>0.0</v>
      </c>
      <c r="D8558" s="3">
        <v>0.0</v>
      </c>
      <c r="E8558" s="3">
        <v>0.0</v>
      </c>
      <c r="F8558" s="3" t="s">
        <v>24467</v>
      </c>
      <c r="G8558" s="3">
        <v>0.0</v>
      </c>
      <c r="H8558" s="3">
        <v>0.0</v>
      </c>
      <c r="I8558" s="3" t="s">
        <v>13</v>
      </c>
      <c r="J8558" s="3" t="s">
        <v>24468</v>
      </c>
      <c r="K8558" s="3" t="s">
        <v>31</v>
      </c>
      <c r="L8558" s="3" t="str">
        <f>IFERROR(__xludf.DUMMYFUNCTION("GOOGLETRANSLATE(F8558,""id"",""en"")"),"because we are all Argentina the champion")</f>
        <v>because we are all Argentina the champion</v>
      </c>
    </row>
    <row r="8559" ht="15.75" customHeight="1">
      <c r="A8559" s="1">
        <v>9782.0</v>
      </c>
      <c r="B8559" s="3" t="s">
        <v>24469</v>
      </c>
      <c r="C8559" s="3">
        <v>0.0</v>
      </c>
      <c r="D8559" s="3">
        <v>0.0</v>
      </c>
      <c r="E8559" s="3">
        <v>0.0</v>
      </c>
      <c r="F8559" s="3" t="s">
        <v>24470</v>
      </c>
      <c r="G8559" s="3">
        <v>0.0</v>
      </c>
      <c r="H8559" s="3">
        <v>0.0</v>
      </c>
      <c r="I8559" s="3" t="s">
        <v>13</v>
      </c>
      <c r="J8559" s="3" t="s">
        <v>24471</v>
      </c>
      <c r="K8559" s="3" t="s">
        <v>54</v>
      </c>
      <c r="L8559" s="3" t="str">
        <f>IFERROR(__xludf.DUMMYFUNCTION("GOOGLETRANSLATE(F8559,""id"",""en"")"),"PKB Wins Argentina Guss Happy Champion")</f>
        <v>PKB Wins Argentina Guss Happy Champion</v>
      </c>
    </row>
    <row r="8560" ht="15.75" customHeight="1">
      <c r="A8560" s="1">
        <v>9783.0</v>
      </c>
      <c r="B8560" s="3" t="s">
        <v>24472</v>
      </c>
      <c r="C8560" s="3">
        <v>0.0</v>
      </c>
      <c r="D8560" s="3">
        <v>0.0</v>
      </c>
      <c r="E8560" s="3">
        <v>1.0</v>
      </c>
      <c r="F8560" s="3" t="s">
        <v>23387</v>
      </c>
      <c r="G8560" s="3">
        <v>0.0</v>
      </c>
      <c r="H8560" s="3">
        <v>0.0</v>
      </c>
      <c r="I8560" s="3" t="s">
        <v>13</v>
      </c>
      <c r="J8560" s="3" t="s">
        <v>23388</v>
      </c>
      <c r="K8560" s="3" t="s">
        <v>510</v>
      </c>
      <c r="L8560" s="3" t="str">
        <f>IFERROR(__xludf.DUMMYFUNCTION("GOOGLETRANSLATE(F8560,""id"",""en"")"),"Brazil of Argentina's mortal enemy Neymar remains Sangeng Lionel Messi after the World Cup championship")</f>
        <v>Brazil of Argentina's mortal enemy Neymar remains Sangeng Lionel Messi after the World Cup championship</v>
      </c>
    </row>
    <row r="8561" ht="15.75" customHeight="1">
      <c r="A8561" s="1">
        <v>9784.0</v>
      </c>
      <c r="B8561" s="3" t="s">
        <v>24473</v>
      </c>
      <c r="C8561" s="3">
        <v>0.0</v>
      </c>
      <c r="D8561" s="3">
        <v>0.0</v>
      </c>
      <c r="E8561" s="3">
        <v>0.0</v>
      </c>
      <c r="F8561" s="3" t="s">
        <v>24474</v>
      </c>
      <c r="G8561" s="3">
        <v>0.0</v>
      </c>
      <c r="H8561" s="3">
        <v>0.0</v>
      </c>
      <c r="I8561" s="3" t="s">
        <v>13</v>
      </c>
      <c r="J8561" s="3" t="s">
        <v>24475</v>
      </c>
      <c r="K8561" s="3" t="s">
        <v>41</v>
      </c>
      <c r="L8561" s="3" t="str">
        <f>IFERROR(__xludf.DUMMYFUNCTION("GOOGLETRANSLATE(F8561,""id"",""en"")"),"Congratulations to the Argentine national team to become world champion in the year")</f>
        <v>Congratulations to the Argentine national team to become world champion in the year</v>
      </c>
    </row>
    <row r="8562" ht="15.75" customHeight="1">
      <c r="A8562" s="1">
        <v>9785.0</v>
      </c>
      <c r="B8562" s="3" t="s">
        <v>24476</v>
      </c>
      <c r="C8562" s="3">
        <v>0.0</v>
      </c>
      <c r="D8562" s="3">
        <v>0.0</v>
      </c>
      <c r="E8562" s="3">
        <v>0.0</v>
      </c>
      <c r="F8562" s="3" t="s">
        <v>24477</v>
      </c>
      <c r="G8562" s="3">
        <v>0.0</v>
      </c>
      <c r="H8562" s="3">
        <v>0.0</v>
      </c>
      <c r="I8562" s="3" t="s">
        <v>13</v>
      </c>
      <c r="J8562" s="3" t="s">
        <v>24478</v>
      </c>
      <c r="K8562" s="3" t="s">
        <v>244</v>
      </c>
      <c r="L8562" s="3" t="str">
        <f>IFERROR(__xludf.DUMMYFUNCTION("GOOGLETRANSLATE(F8562,""id"",""en"")"),"Santosa Argentina before Messi was championed by the World Cup and Copa America champions")</f>
        <v>Santosa Argentina before Messi was championed by the World Cup and Copa America champions</v>
      </c>
    </row>
    <row r="8563" ht="15.75" customHeight="1">
      <c r="A8563" s="1">
        <v>9786.0</v>
      </c>
      <c r="B8563" s="3" t="s">
        <v>24479</v>
      </c>
      <c r="C8563" s="3">
        <v>0.0</v>
      </c>
      <c r="D8563" s="3">
        <v>0.0</v>
      </c>
      <c r="E8563" s="3">
        <v>0.0</v>
      </c>
      <c r="F8563" s="3" t="s">
        <v>24480</v>
      </c>
      <c r="G8563" s="3">
        <v>0.0</v>
      </c>
      <c r="H8563" s="3">
        <v>0.0</v>
      </c>
      <c r="I8563" s="3" t="s">
        <v>13</v>
      </c>
      <c r="J8563" s="3" t="s">
        <v>24481</v>
      </c>
      <c r="K8563" s="3" t="s">
        <v>50</v>
      </c>
      <c r="L8563" s="3" t="str">
        <f>IFERROR(__xludf.DUMMYFUNCTION("GOOGLETRANSLATE(F8563,""id"",""en"")"),"Argentine citizens of the World Cup championship party when the crisis is like a paradise cnn Indonesia")</f>
        <v>Argentine citizens of the World Cup championship party when the crisis is like a paradise cnn Indonesia</v>
      </c>
    </row>
    <row r="8564" ht="15.75" customHeight="1">
      <c r="A8564" s="1">
        <v>9787.0</v>
      </c>
      <c r="B8564" s="3" t="s">
        <v>24482</v>
      </c>
      <c r="C8564" s="3">
        <v>0.0</v>
      </c>
      <c r="D8564" s="3">
        <v>0.0</v>
      </c>
      <c r="E8564" s="3">
        <v>0.0</v>
      </c>
      <c r="F8564" s="3" t="s">
        <v>24483</v>
      </c>
      <c r="G8564" s="3">
        <v>0.0</v>
      </c>
      <c r="H8564" s="3">
        <v>0.0</v>
      </c>
      <c r="I8564" s="3" t="s">
        <v>13</v>
      </c>
      <c r="J8564" s="3" t="s">
        <v>24484</v>
      </c>
      <c r="K8564" s="3" t="s">
        <v>484</v>
      </c>
      <c r="L8564" s="3" t="str">
        <f>IFERROR(__xludf.DUMMYFUNCTION("GOOGLETRANSLATE(F8564,""id"",""en"")"),"Only the regime of Mr. Iwan Bule Martinez Argentina can be world champion again after years thank you Mr. Ibul Martinez")</f>
        <v>Only the regime of Mr. Iwan Bule Martinez Argentina can be world champion again after years thank you Mr. Ibul Martinez</v>
      </c>
    </row>
    <row r="8565" ht="15.75" customHeight="1">
      <c r="A8565" s="1">
        <v>9788.0</v>
      </c>
      <c r="B8565" s="3" t="s">
        <v>24485</v>
      </c>
      <c r="C8565" s="3">
        <v>1.0</v>
      </c>
      <c r="D8565" s="3">
        <v>0.0</v>
      </c>
      <c r="E8565" s="3">
        <v>19.0</v>
      </c>
      <c r="F8565" s="3" t="s">
        <v>24486</v>
      </c>
      <c r="G8565" s="3">
        <v>0.3333333333333333</v>
      </c>
      <c r="H8565" s="3">
        <v>0.1666666666666667</v>
      </c>
      <c r="I8565" s="3" t="s">
        <v>48</v>
      </c>
      <c r="J8565" s="3" t="s">
        <v>24487</v>
      </c>
      <c r="K8565" s="3" t="s">
        <v>574</v>
      </c>
      <c r="L8565" s="3" t="str">
        <f>IFERROR(__xludf.DUMMYFUNCTION("GOOGLETRANSLATE(F8565,""id"",""en"")"),"Messi Hospitality RMH MBAPP asked to be given the opportunity to Argentina for the champion of the Qatar Pildun because you didn't join any more time, Monggo Mawon could still take over again, Mas Mbapp later we played together again PSG")</f>
        <v>Messi Hospitality RMH MBAPP asked to be given the opportunity to Argentina for the champion of the Qatar Pildun because you didn't join any more time, Monggo Mawon could still take over again, Mas Mbapp later we played together again PSG</v>
      </c>
    </row>
    <row r="8566" ht="15.75" customHeight="1">
      <c r="A8566" s="1">
        <v>9789.0</v>
      </c>
      <c r="B8566" s="3" t="s">
        <v>24488</v>
      </c>
      <c r="C8566" s="3">
        <v>0.0</v>
      </c>
      <c r="D8566" s="3">
        <v>0.0</v>
      </c>
      <c r="E8566" s="3">
        <v>1.0</v>
      </c>
      <c r="F8566" s="3" t="s">
        <v>24489</v>
      </c>
      <c r="G8566" s="3">
        <v>0.0</v>
      </c>
      <c r="H8566" s="3">
        <v>0.0</v>
      </c>
      <c r="I8566" s="3" t="s">
        <v>13</v>
      </c>
      <c r="J8566" s="3" t="s">
        <v>24490</v>
      </c>
      <c r="K8566" s="3" t="s">
        <v>644</v>
      </c>
      <c r="L8566" s="3" t="str">
        <f>IFERROR(__xludf.DUMMYFUNCTION("GOOGLETRANSLATE(F8566,""id"",""en"")"),"Happy Messi and Argentina Champion")</f>
        <v>Happy Messi and Argentina Champion</v>
      </c>
    </row>
    <row r="8567" ht="15.75" customHeight="1">
      <c r="A8567" s="1">
        <v>9790.0</v>
      </c>
      <c r="B8567" s="3" t="s">
        <v>24491</v>
      </c>
      <c r="C8567" s="3">
        <v>0.0</v>
      </c>
      <c r="D8567" s="3">
        <v>0.0</v>
      </c>
      <c r="E8567" s="3">
        <v>0.0</v>
      </c>
      <c r="F8567" s="3" t="s">
        <v>24492</v>
      </c>
      <c r="G8567" s="3">
        <v>0.0</v>
      </c>
      <c r="H8567" s="3">
        <v>0.0</v>
      </c>
      <c r="I8567" s="3" t="s">
        <v>13</v>
      </c>
      <c r="J8567" s="3" t="s">
        <v>24493</v>
      </c>
      <c r="K8567" s="3" t="s">
        <v>433</v>
      </c>
      <c r="L8567" s="3" t="str">
        <f>IFERROR(__xludf.DUMMYFUNCTION("GOOGLETRANSLATE(F8567,""id"",""en"")"),"From the beginning, I believed that Argentina was champion and twett was really true that there was an Argentine France all underestimated")</f>
        <v>From the beginning, I believed that Argentina was champion and twett was really true that there was an Argentine France all underestimated</v>
      </c>
    </row>
    <row r="8568" ht="15.75" customHeight="1">
      <c r="A8568" s="1">
        <v>9791.0</v>
      </c>
      <c r="B8568" s="3" t="s">
        <v>24494</v>
      </c>
      <c r="C8568" s="3">
        <v>0.0</v>
      </c>
      <c r="D8568" s="3">
        <v>0.0</v>
      </c>
      <c r="E8568" s="3">
        <v>0.0</v>
      </c>
      <c r="F8568" s="3" t="s">
        <v>24495</v>
      </c>
      <c r="G8568" s="3">
        <v>0.0</v>
      </c>
      <c r="H8568" s="3">
        <v>0.0</v>
      </c>
      <c r="I8568" s="3" t="s">
        <v>13</v>
      </c>
      <c r="J8568" s="3" t="s">
        <v>24496</v>
      </c>
      <c r="K8568" s="3" t="s">
        <v>273</v>
      </c>
      <c r="L8568" s="3" t="str">
        <f>IFERROR(__xludf.DUMMYFUNCTION("GOOGLETRANSLATE(F8568,""id"",""en"")"),"Drake still fails to bet even though Argentina is champion because Drake predicts the match will end in the minute while the match takes place until the Patience Penalty Mas Drake can be a photo of the KTP hehehe with")</f>
        <v>Drake still fails to bet even though Argentina is champion because Drake predicts the match will end in the minute while the match takes place until the Patience Penalty Mas Drake can be a photo of the KTP hehehe with</v>
      </c>
    </row>
    <row r="8569" ht="15.75" customHeight="1">
      <c r="A8569" s="1">
        <v>9792.0</v>
      </c>
      <c r="B8569" s="3" t="s">
        <v>24497</v>
      </c>
      <c r="C8569" s="3">
        <v>0.0</v>
      </c>
      <c r="D8569" s="3">
        <v>0.0</v>
      </c>
      <c r="E8569" s="3">
        <v>0.0</v>
      </c>
      <c r="F8569" s="3" t="s">
        <v>24498</v>
      </c>
      <c r="G8569" s="3">
        <v>0.0</v>
      </c>
      <c r="H8569" s="3">
        <v>0.0</v>
      </c>
      <c r="I8569" s="3" t="s">
        <v>13</v>
      </c>
      <c r="J8569" s="3" t="s">
        <v>24499</v>
      </c>
      <c r="K8569" s="3" t="s">
        <v>192</v>
      </c>
      <c r="L8569" s="3" t="str">
        <f>IFERROR(__xludf.DUMMYFUNCTION("GOOGLETRANSLATE(F8569,""id"",""en"")"),"Arrived, here, when he treated the word bandidos who felt here the fansn was Dodo then arrived in the photo of Messi for what was hilarious, the squatting person was in the same champion Argentina.")</f>
        <v>Arrived, here, when he treated the word bandidos who felt here the fansn was Dodo then arrived in the photo of Messi for what was hilarious, the squatting person was in the same champion Argentina.</v>
      </c>
    </row>
    <row r="8570" ht="15.75" customHeight="1">
      <c r="A8570" s="1">
        <v>9793.0</v>
      </c>
      <c r="B8570" s="3" t="s">
        <v>24500</v>
      </c>
      <c r="C8570" s="3">
        <v>0.0</v>
      </c>
      <c r="D8570" s="3">
        <v>0.0</v>
      </c>
      <c r="E8570" s="3">
        <v>0.0</v>
      </c>
      <c r="F8570" s="3" t="s">
        <v>24501</v>
      </c>
      <c r="G8570" s="3">
        <v>0.0</v>
      </c>
      <c r="H8570" s="3">
        <v>0.0</v>
      </c>
      <c r="I8570" s="3" t="s">
        <v>13</v>
      </c>
      <c r="J8570" s="3" t="s">
        <v>24502</v>
      </c>
      <c r="K8570" s="3" t="s">
        <v>437</v>
      </c>
      <c r="L8570" s="3" t="str">
        <f>IFERROR(__xludf.DUMMYFUNCTION("GOOGLETRANSLATE(F8570,""id"",""en"")"),"Two World Cup Champion State Teams Without Verpool Players in their Squad, but there is a player France Paul Pogba Argentina Lisandro Martinez hehe cool")</f>
        <v>Two World Cup Champion State Teams Without Verpool Players in their Squad, but there is a player France Paul Pogba Argentina Lisandro Martinez hehe cool</v>
      </c>
    </row>
    <row r="8571" ht="15.75" customHeight="1">
      <c r="A8571" s="1">
        <v>9794.0</v>
      </c>
      <c r="B8571" s="3" t="s">
        <v>24503</v>
      </c>
      <c r="C8571" s="3">
        <v>0.0</v>
      </c>
      <c r="D8571" s="3">
        <v>0.0</v>
      </c>
      <c r="E8571" s="3">
        <v>0.0</v>
      </c>
      <c r="F8571" s="3" t="s">
        <v>24504</v>
      </c>
      <c r="G8571" s="3">
        <v>0.0</v>
      </c>
      <c r="H8571" s="3">
        <v>0.0</v>
      </c>
      <c r="I8571" s="3" t="s">
        <v>13</v>
      </c>
      <c r="J8571" s="3" t="s">
        <v>24505</v>
      </c>
      <c r="K8571" s="3" t="s">
        <v>1854</v>
      </c>
      <c r="L8571" s="3" t="str">
        <f>IFERROR(__xludf.DUMMYFUNCTION("GOOGLETRANSLATE(F8571,""id"",""en"")"),"Just Opinion According to Argentina, it must be championed through the penalties, because if they are champions when they are superior the issue of settings, although it is impossible, it would be very fast if the match was excited")</f>
        <v>Just Opinion According to Argentina, it must be championed through the penalties, because if they are champions when they are superior the issue of settings, although it is impossible, it would be very fast if the match was excited</v>
      </c>
    </row>
    <row r="8572" ht="15.75" customHeight="1">
      <c r="A8572" s="1">
        <v>9795.0</v>
      </c>
      <c r="B8572" s="3" t="s">
        <v>24506</v>
      </c>
      <c r="C8572" s="3">
        <v>0.0</v>
      </c>
      <c r="D8572" s="3">
        <v>0.0</v>
      </c>
      <c r="E8572" s="3">
        <v>0.0</v>
      </c>
      <c r="F8572" s="3" t="s">
        <v>24507</v>
      </c>
      <c r="G8572" s="3">
        <v>0.0</v>
      </c>
      <c r="H8572" s="3">
        <v>0.0</v>
      </c>
      <c r="I8572" s="3" t="s">
        <v>13</v>
      </c>
      <c r="J8572" s="3" t="s">
        <v>24508</v>
      </c>
      <c r="K8572" s="3" t="s">
        <v>1942</v>
      </c>
      <c r="L8572" s="3" t="str">
        <f>IFERROR(__xludf.DUMMYFUNCTION("GOOGLETRANSLATE(F8572,""id"",""en"")"),"Argentina This world champion has been set from the beginning so that Argentina champion your father's nutmeg is set up if it's true that the stupid is the participant who champions who are ngorbanin the sense of nationalism is only for the pride of other"&amp;" people cukk stop gblk")</f>
        <v>Argentina This world champion has been set from the beginning so that Argentina champion your father's nutmeg is set up if it's true that the stupid is the participant who champions who are ngorbanin the sense of nationalism is only for the pride of other people cukk stop gblk</v>
      </c>
    </row>
    <row r="8573" ht="15.75" customHeight="1">
      <c r="A8573" s="1">
        <v>9796.0</v>
      </c>
      <c r="B8573" s="3" t="s">
        <v>24509</v>
      </c>
      <c r="C8573" s="3">
        <v>1.0</v>
      </c>
      <c r="D8573" s="3">
        <v>0.0</v>
      </c>
      <c r="E8573" s="3">
        <v>1.0</v>
      </c>
      <c r="F8573" s="3" t="s">
        <v>24510</v>
      </c>
      <c r="G8573" s="3">
        <v>0.0</v>
      </c>
      <c r="H8573" s="3">
        <v>0.0</v>
      </c>
      <c r="I8573" s="3" t="s">
        <v>13</v>
      </c>
      <c r="J8573" s="3" t="s">
        <v>24511</v>
      </c>
      <c r="K8573" s="3" t="s">
        <v>8160</v>
      </c>
      <c r="L8573" s="3" t="str">
        <f>IFERROR(__xludf.DUMMYFUNCTION("GOOGLETRANSLATE(F8573,""id"",""en"")"),"Because the matters of Mang Elon War Wer Wor forgot Argentina the champion attracted the tadpole to be ignored delayed the presidential election was quiet all busy looking for followers to take out blue including abah")</f>
        <v>Because the matters of Mang Elon War Wer Wor forgot Argentina the champion attracted the tadpole to be ignored delayed the presidential election was quiet all busy looking for followers to take out blue including abah</v>
      </c>
    </row>
    <row r="8574" ht="15.75" customHeight="1">
      <c r="A8574" s="1">
        <v>9797.0</v>
      </c>
      <c r="B8574" s="3" t="s">
        <v>24512</v>
      </c>
      <c r="C8574" s="3">
        <v>0.0</v>
      </c>
      <c r="D8574" s="3">
        <v>0.0</v>
      </c>
      <c r="E8574" s="3">
        <v>0.0</v>
      </c>
      <c r="F8574" s="3" t="s">
        <v>24513</v>
      </c>
      <c r="G8574" s="3">
        <v>0.0</v>
      </c>
      <c r="H8574" s="3">
        <v>0.0</v>
      </c>
      <c r="I8574" s="3" t="s">
        <v>13</v>
      </c>
      <c r="J8574" s="3" t="s">
        <v>24514</v>
      </c>
      <c r="K8574" s="3" t="s">
        <v>2117</v>
      </c>
      <c r="L8574" s="3" t="str">
        <f>IFERROR(__xludf.DUMMYFUNCTION("GOOGLETRANSLATE(F8574,""id"",""en"")"),"Argentina Champion is happy")</f>
        <v>Argentina Champion is happy</v>
      </c>
    </row>
    <row r="8575" ht="15.75" customHeight="1">
      <c r="A8575" s="1">
        <v>9798.0</v>
      </c>
      <c r="B8575" s="3" t="s">
        <v>24515</v>
      </c>
      <c r="C8575" s="3">
        <v>1.0</v>
      </c>
      <c r="D8575" s="3">
        <v>6.0</v>
      </c>
      <c r="E8575" s="3">
        <v>68.0</v>
      </c>
      <c r="F8575" s="3" t="s">
        <v>24516</v>
      </c>
      <c r="G8575" s="3">
        <v>0.06666666666666667</v>
      </c>
      <c r="H8575" s="3">
        <v>0.0</v>
      </c>
      <c r="I8575" s="3" t="s">
        <v>13</v>
      </c>
      <c r="J8575" s="3" t="s">
        <v>24517</v>
      </c>
      <c r="K8575" s="3" t="s">
        <v>510</v>
      </c>
      <c r="L8575" s="3" t="str">
        <f>IFERROR(__xludf.DUMMYFUNCTION("GOOGLETRANSLATE(F8575,""id"",""en"")"),"Last Episode Argentina Champion World Cup Jeno got roasting after the same as Gigi")</f>
        <v>Last Episode Argentina Champion World Cup Jeno got roasting after the same as Gigi</v>
      </c>
    </row>
    <row r="8576" ht="15.75" customHeight="1">
      <c r="A8576" s="1">
        <v>9799.0</v>
      </c>
      <c r="B8576" s="3" t="s">
        <v>24518</v>
      </c>
      <c r="C8576" s="3">
        <v>0.0</v>
      </c>
      <c r="D8576" s="3">
        <v>0.0</v>
      </c>
      <c r="E8576" s="3">
        <v>0.0</v>
      </c>
      <c r="F8576" s="3" t="s">
        <v>24519</v>
      </c>
      <c r="G8576" s="3">
        <v>0.0</v>
      </c>
      <c r="H8576" s="3">
        <v>0.0</v>
      </c>
      <c r="I8576" s="3" t="s">
        <v>13</v>
      </c>
      <c r="J8576" s="3" t="s">
        <v>24520</v>
      </c>
      <c r="K8576" s="3" t="s">
        <v>644</v>
      </c>
      <c r="L8576" s="3" t="str">
        <f>IFERROR(__xludf.DUMMYFUNCTION("GOOGLETRANSLATE(F8576,""id"",""en"")"),"Fix Argentina Champion because of Bawak")</f>
        <v>Fix Argentina Champion because of Bawak</v>
      </c>
    </row>
    <row r="8577" ht="15.75" customHeight="1">
      <c r="A8577" s="1">
        <v>9800.0</v>
      </c>
      <c r="B8577" s="3" t="s">
        <v>24521</v>
      </c>
      <c r="C8577" s="3">
        <v>0.0</v>
      </c>
      <c r="D8577" s="3">
        <v>0.0</v>
      </c>
      <c r="E8577" s="3">
        <v>1.0</v>
      </c>
      <c r="F8577" s="3" t="s">
        <v>24522</v>
      </c>
      <c r="G8577" s="3">
        <v>0.0</v>
      </c>
      <c r="H8577" s="3">
        <v>0.0</v>
      </c>
      <c r="I8577" s="3" t="s">
        <v>13</v>
      </c>
      <c r="J8577" s="3" t="s">
        <v>24523</v>
      </c>
      <c r="K8577" s="3" t="s">
        <v>41</v>
      </c>
      <c r="L8577" s="3" t="str">
        <f>IFERROR(__xludf.DUMMYFUNCTION("GOOGLETRANSLATE(F8577,""id"",""en"")"),"looking for the topic of the discussion even though he wishes a happy Argentina champion who is crowded")</f>
        <v>looking for the topic of the discussion even though he wishes a happy Argentina champion who is crowded</v>
      </c>
    </row>
    <row r="8578" ht="15.75" customHeight="1">
      <c r="A8578" s="1">
        <v>9801.0</v>
      </c>
      <c r="B8578" s="3" t="s">
        <v>24524</v>
      </c>
      <c r="C8578" s="3">
        <v>0.0</v>
      </c>
      <c r="D8578" s="3">
        <v>0.0</v>
      </c>
      <c r="E8578" s="3">
        <v>0.0</v>
      </c>
      <c r="F8578" s="3" t="s">
        <v>24525</v>
      </c>
      <c r="G8578" s="3">
        <v>0.0</v>
      </c>
      <c r="H8578" s="3">
        <v>0.0</v>
      </c>
      <c r="I8578" s="3" t="s">
        <v>13</v>
      </c>
      <c r="J8578" s="3" t="s">
        <v>24526</v>
      </c>
      <c r="K8578" s="3" t="s">
        <v>19</v>
      </c>
      <c r="L8578" s="3" t="str">
        <f>IFERROR(__xludf.DUMMYFUNCTION("GOOGLETRANSLATE(F8578,""id"",""en"")"),"FESS ABI AIA REZEKI is more but the results of Argentina champion there is an idea what is used for")</f>
        <v>FESS ABI AIA REZEKI is more but the results of Argentina champion there is an idea what is used for</v>
      </c>
    </row>
    <row r="8579" ht="15.75" customHeight="1">
      <c r="A8579" s="1">
        <v>9802.0</v>
      </c>
      <c r="B8579" s="3" t="s">
        <v>24527</v>
      </c>
      <c r="C8579" s="3">
        <v>0.0</v>
      </c>
      <c r="D8579" s="3">
        <v>0.0</v>
      </c>
      <c r="E8579" s="3">
        <v>0.0</v>
      </c>
      <c r="F8579" s="3" t="s">
        <v>24528</v>
      </c>
      <c r="G8579" s="3">
        <v>0.0</v>
      </c>
      <c r="H8579" s="3">
        <v>0.0</v>
      </c>
      <c r="I8579" s="3" t="s">
        <v>13</v>
      </c>
      <c r="J8579" s="3" t="s">
        <v>24529</v>
      </c>
      <c r="K8579" s="3" t="s">
        <v>6674</v>
      </c>
      <c r="L8579" s="3" t="str">
        <f>IFERROR(__xludf.DUMMYFUNCTION("GOOGLETRANSLATE(F8579,""id"",""en"")"),"Argentina Champion thanks to President Argentina met with President Jokowi")</f>
        <v>Argentina Champion thanks to President Argentina met with President Jokowi</v>
      </c>
    </row>
    <row r="8580" ht="15.75" customHeight="1">
      <c r="A8580" s="1">
        <v>9803.0</v>
      </c>
      <c r="B8580" s="3" t="s">
        <v>24530</v>
      </c>
      <c r="C8580" s="3">
        <v>1.0</v>
      </c>
      <c r="D8580" s="3">
        <v>0.0</v>
      </c>
      <c r="E8580" s="3">
        <v>0.0</v>
      </c>
      <c r="F8580" s="3" t="s">
        <v>24531</v>
      </c>
      <c r="G8580" s="3">
        <v>0.0</v>
      </c>
      <c r="H8580" s="3">
        <v>0.0</v>
      </c>
      <c r="I8580" s="3" t="s">
        <v>13</v>
      </c>
      <c r="J8580" s="3" t="s">
        <v>24532</v>
      </c>
      <c r="K8580" s="3" t="s">
        <v>75</v>
      </c>
      <c r="L8580" s="3" t="str">
        <f>IFERROR(__xludf.DUMMYFUNCTION("GOOGLETRANSLATE(F8580,""id"",""en"")"),"not because of strength but your spirit God is typically praying Argentina is definitely champion")</f>
        <v>not because of strength but your spirit God is typically praying Argentina is definitely champion</v>
      </c>
    </row>
    <row r="8581" ht="15.75" customHeight="1">
      <c r="A8581" s="1">
        <v>9804.0</v>
      </c>
      <c r="B8581" s="3" t="s">
        <v>24533</v>
      </c>
      <c r="C8581" s="3">
        <v>0.0</v>
      </c>
      <c r="D8581" s="3">
        <v>0.0</v>
      </c>
      <c r="E8581" s="3">
        <v>0.0</v>
      </c>
      <c r="F8581" s="3" t="s">
        <v>24534</v>
      </c>
      <c r="G8581" s="3">
        <v>0.0</v>
      </c>
      <c r="H8581" s="3">
        <v>0.0</v>
      </c>
      <c r="I8581" s="3" t="s">
        <v>13</v>
      </c>
      <c r="J8581" s="3" t="s">
        <v>24535</v>
      </c>
      <c r="K8581" s="3" t="s">
        <v>903</v>
      </c>
      <c r="L8581" s="3" t="str">
        <f>IFERROR(__xludf.DUMMYFUNCTION("GOOGLETRANSLATE(F8581,""id"",""en"")"),"Argentina's decision to win has not yet heard of Croatia Morocco agreed to join France to become a combined champion of the World Cup we are waiting for the full decision of FIFA Palace at PTG later")</f>
        <v>Argentina's decision to win has not yet heard of Croatia Morocco agreed to join France to become a combined champion of the World Cup we are waiting for the full decision of FIFA Palace at PTG later</v>
      </c>
    </row>
    <row r="8582" ht="15.75" customHeight="1">
      <c r="A8582" s="1">
        <v>9805.0</v>
      </c>
      <c r="B8582" s="3" t="s">
        <v>24536</v>
      </c>
      <c r="C8582" s="3">
        <v>0.0</v>
      </c>
      <c r="D8582" s="3">
        <v>0.0</v>
      </c>
      <c r="E8582" s="3">
        <v>0.0</v>
      </c>
      <c r="F8582" s="3" t="s">
        <v>24537</v>
      </c>
      <c r="G8582" s="3">
        <v>0.0</v>
      </c>
      <c r="H8582" s="3">
        <v>0.0</v>
      </c>
      <c r="I8582" s="3" t="s">
        <v>13</v>
      </c>
      <c r="J8582" s="3" t="s">
        <v>24538</v>
      </c>
      <c r="K8582" s="3" t="s">
        <v>82</v>
      </c>
      <c r="L8582" s="3" t="str">
        <f>IFERROR(__xludf.DUMMYFUNCTION("GOOGLETRANSLATE(F8582,""id"",""en"")"),"Bounding France Argentina Champion World Cup Qatar")</f>
        <v>Bounding France Argentina Champion World Cup Qatar</v>
      </c>
    </row>
    <row r="8583" ht="15.75" customHeight="1">
      <c r="A8583" s="1">
        <v>9806.0</v>
      </c>
      <c r="B8583" s="3" t="s">
        <v>24539</v>
      </c>
      <c r="C8583" s="3">
        <v>0.0</v>
      </c>
      <c r="D8583" s="3">
        <v>0.0</v>
      </c>
      <c r="E8583" s="3">
        <v>1.0</v>
      </c>
      <c r="F8583" s="3" t="s">
        <v>24540</v>
      </c>
      <c r="G8583" s="3">
        <v>0.6</v>
      </c>
      <c r="H8583" s="3">
        <v>0.5</v>
      </c>
      <c r="I8583" s="3" t="s">
        <v>48</v>
      </c>
      <c r="J8583" s="3" t="s">
        <v>24541</v>
      </c>
      <c r="K8583" s="3" t="s">
        <v>240</v>
      </c>
      <c r="L8583" s="3" t="str">
        <f>IFERROR(__xludf.DUMMYFUNCTION("GOOGLETRANSLATE(F8583,""id"",""en"")"),"I think you really are just bacot to be a person who is unfaedah.")</f>
        <v>I think you really are just bacot to be a person who is unfaedah.</v>
      </c>
    </row>
    <row r="8584" ht="15.75" customHeight="1">
      <c r="A8584" s="1">
        <v>9807.0</v>
      </c>
      <c r="B8584" s="3" t="s">
        <v>24542</v>
      </c>
      <c r="C8584" s="3">
        <v>14.0</v>
      </c>
      <c r="D8584" s="3">
        <v>1.0</v>
      </c>
      <c r="E8584" s="3">
        <v>3.0</v>
      </c>
      <c r="F8584" s="3" t="s">
        <v>24543</v>
      </c>
      <c r="G8584" s="3">
        <v>0.0</v>
      </c>
      <c r="H8584" s="3">
        <v>0.0</v>
      </c>
      <c r="I8584" s="3" t="s">
        <v>13</v>
      </c>
      <c r="J8584" s="3" t="s">
        <v>24544</v>
      </c>
      <c r="K8584" s="3" t="s">
        <v>58</v>
      </c>
      <c r="L8584" s="3" t="str">
        <f>IFERROR(__xludf.DUMMYFUNCTION("GOOGLETRANSLATE(F8584,""id"",""en"")"),"From Mbappe we learn no matter how hard we fight if FIFA has set the Argentina champion then our struggle will be in vain")</f>
        <v>From Mbappe we learn no matter how hard we fight if FIFA has set the Argentina champion then our struggle will be in vain</v>
      </c>
    </row>
    <row r="8585" ht="15.75" customHeight="1">
      <c r="A8585" s="1">
        <v>9808.0</v>
      </c>
      <c r="B8585" s="3" t="s">
        <v>24545</v>
      </c>
      <c r="C8585" s="3">
        <v>0.0</v>
      </c>
      <c r="D8585" s="3">
        <v>0.0</v>
      </c>
      <c r="E8585" s="3">
        <v>1.0</v>
      </c>
      <c r="F8585" s="3" t="s">
        <v>24546</v>
      </c>
      <c r="G8585" s="3">
        <v>0.5555555555555555</v>
      </c>
      <c r="H8585" s="3">
        <v>0.1111111111111111</v>
      </c>
      <c r="I8585" s="3" t="s">
        <v>48</v>
      </c>
      <c r="J8585" s="3" t="s">
        <v>24547</v>
      </c>
      <c r="K8585" s="3" t="s">
        <v>358</v>
      </c>
      <c r="L8585" s="3" t="str">
        <f>IFERROR(__xludf.DUMMYFUNCTION("GOOGLETRANSLATE(F8585,""id"",""en"")"),"From the beginning the tournament was sure that Argentina won because playing PSG there was a myth of KLU Latin American players playing PSG and Sampek Final then the champion will be the championship")</f>
        <v>From the beginning the tournament was sure that Argentina won because playing PSG there was a myth of KLU Latin American players playing PSG and Sampek Final then the champion will be the championship</v>
      </c>
    </row>
    <row r="8586" ht="15.75" customHeight="1">
      <c r="A8586" s="1">
        <v>9809.0</v>
      </c>
      <c r="B8586" s="3" t="s">
        <v>24548</v>
      </c>
      <c r="C8586" s="3">
        <v>4.0</v>
      </c>
      <c r="D8586" s="3">
        <v>30.0</v>
      </c>
      <c r="E8586" s="3">
        <v>124.0</v>
      </c>
      <c r="F8586" s="3" t="s">
        <v>24549</v>
      </c>
      <c r="G8586" s="3">
        <v>1.0</v>
      </c>
      <c r="H8586" s="3">
        <v>1.0</v>
      </c>
      <c r="I8586" s="3" t="s">
        <v>48</v>
      </c>
      <c r="J8586" s="3" t="s">
        <v>24550</v>
      </c>
      <c r="K8586" s="3" t="s">
        <v>205</v>
      </c>
      <c r="L8586" s="3" t="str">
        <f>IFERROR(__xludf.DUMMYFUNCTION("GOOGLETRANSLATE(F8586,""id"",""en"")"),"Seconds of Argentina won the Qatar World Cup Moment very emotional when the Argentine players embraced Messi while crying Haru Messi The Greatest All Time")</f>
        <v>Seconds of Argentina won the Qatar World Cup Moment very emotional when the Argentine players embraced Messi while crying Haru Messi The Greatest All Time</v>
      </c>
    </row>
    <row r="8587" ht="15.75" customHeight="1">
      <c r="A8587" s="1">
        <v>9810.0</v>
      </c>
      <c r="B8587" s="3" t="s">
        <v>24551</v>
      </c>
      <c r="C8587" s="3">
        <v>0.0</v>
      </c>
      <c r="D8587" s="3">
        <v>0.0</v>
      </c>
      <c r="E8587" s="3">
        <v>1.0</v>
      </c>
      <c r="F8587" s="3" t="s">
        <v>24552</v>
      </c>
      <c r="G8587" s="3">
        <v>0.0</v>
      </c>
      <c r="H8587" s="3">
        <v>0.0</v>
      </c>
      <c r="I8587" s="3" t="s">
        <v>13</v>
      </c>
      <c r="J8587" s="3" t="s">
        <v>24553</v>
      </c>
      <c r="K8587" s="3" t="s">
        <v>71</v>
      </c>
      <c r="L8587" s="3" t="str">
        <f>IFERROR(__xludf.DUMMYFUNCTION("GOOGLETRANSLATE(F8587,""id"",""en"")"),"Paulo Dybala's Profile and Biodata goalkeeper scissors Argentine national team champions against France")</f>
        <v>Paulo Dybala's Profile and Biodata goalkeeper scissors Argentine national team champions against France</v>
      </c>
    </row>
    <row r="8588" ht="15.75" customHeight="1">
      <c r="A8588" s="1">
        <v>9811.0</v>
      </c>
      <c r="B8588" s="3" t="s">
        <v>24554</v>
      </c>
      <c r="C8588" s="3">
        <v>2.0</v>
      </c>
      <c r="D8588" s="3">
        <v>0.0</v>
      </c>
      <c r="E8588" s="3">
        <v>0.0</v>
      </c>
      <c r="F8588" s="3" t="s">
        <v>24555</v>
      </c>
      <c r="G8588" s="3">
        <v>0.0</v>
      </c>
      <c r="H8588" s="3">
        <v>0.0</v>
      </c>
      <c r="I8588" s="3" t="s">
        <v>13</v>
      </c>
      <c r="J8588" s="3" t="s">
        <v>24556</v>
      </c>
      <c r="K8588" s="3" t="s">
        <v>644</v>
      </c>
      <c r="L8588" s="3" t="str">
        <f>IFERROR(__xludf.DUMMYFUNCTION("GOOGLETRANSLATE(F8588,""id"",""en"")"),"it really deserves the champion Argentina")</f>
        <v>it really deserves the champion Argentina</v>
      </c>
    </row>
    <row r="8589" ht="15.75" customHeight="1">
      <c r="A8589" s="1">
        <v>9812.0</v>
      </c>
      <c r="B8589" s="3" t="s">
        <v>24557</v>
      </c>
      <c r="C8589" s="3">
        <v>0.0</v>
      </c>
      <c r="D8589" s="3">
        <v>0.0</v>
      </c>
      <c r="E8589" s="3">
        <v>0.0</v>
      </c>
      <c r="F8589" s="3" t="s">
        <v>24558</v>
      </c>
      <c r="G8589" s="3">
        <v>0.0</v>
      </c>
      <c r="H8589" s="3">
        <v>0.0</v>
      </c>
      <c r="I8589" s="3" t="s">
        <v>13</v>
      </c>
      <c r="J8589" s="3" t="s">
        <v>24559</v>
      </c>
      <c r="K8589" s="3" t="s">
        <v>322</v>
      </c>
      <c r="L8589" s="3" t="str">
        <f>IFERROR(__xludf.DUMMYFUNCTION("GOOGLETRANSLATE(F8589,""id"",""en"")"),"Tumben is jammed because of Argentina Champion")</f>
        <v>Tumben is jammed because of Argentina Champion</v>
      </c>
    </row>
    <row r="8590" ht="15.75" customHeight="1">
      <c r="A8590" s="1">
        <v>9813.0</v>
      </c>
      <c r="B8590" s="3" t="s">
        <v>24560</v>
      </c>
      <c r="C8590" s="3">
        <v>0.0</v>
      </c>
      <c r="D8590" s="3">
        <v>0.0</v>
      </c>
      <c r="E8590" s="3">
        <v>0.0</v>
      </c>
      <c r="F8590" s="3" t="s">
        <v>24561</v>
      </c>
      <c r="G8590" s="3">
        <v>0.0</v>
      </c>
      <c r="H8590" s="3">
        <v>0.0</v>
      </c>
      <c r="I8590" s="3" t="s">
        <v>13</v>
      </c>
      <c r="J8590" s="3" t="s">
        <v>24562</v>
      </c>
      <c r="K8590" s="3" t="s">
        <v>16803</v>
      </c>
      <c r="L8590" s="3" t="str">
        <f>IFERROR(__xludf.DUMMYFUNCTION("GOOGLETRANSLATE(F8590,""id"",""en"")"),"PSG Champion UCL for the first time Messi got a balloon DOR Messi back Barca retired Barca Bela Argentina last time Messi retired from football")</f>
        <v>PSG Champion UCL for the first time Messi got a balloon DOR Messi back Barca retired Barca Bela Argentina last time Messi retired from football</v>
      </c>
    </row>
    <row r="8591" ht="15.75" customHeight="1">
      <c r="A8591" s="1">
        <v>9814.0</v>
      </c>
      <c r="B8591" s="3" t="s">
        <v>24563</v>
      </c>
      <c r="C8591" s="3">
        <v>0.0</v>
      </c>
      <c r="D8591" s="3">
        <v>0.0</v>
      </c>
      <c r="E8591" s="3">
        <v>0.0</v>
      </c>
      <c r="F8591" s="3" t="s">
        <v>24564</v>
      </c>
      <c r="G8591" s="3">
        <v>0.0</v>
      </c>
      <c r="H8591" s="3">
        <v>0.0</v>
      </c>
      <c r="I8591" s="3" t="s">
        <v>13</v>
      </c>
      <c r="J8591" s="3" t="s">
        <v>24565</v>
      </c>
      <c r="K8591" s="3" t="s">
        <v>860</v>
      </c>
      <c r="L8591" s="3" t="str">
        <f>IFERROR(__xludf.DUMMYFUNCTION("GOOGLETRANSLATE(F8591,""id"",""en"")"),"Mario Kempes Bring Argentina Champion World Cup Final Career Mario Kempes Delays Indonesian League with Pelita Jaya so when Messi grazing or")</f>
        <v>Mario Kempes Bring Argentina Champion World Cup Final Career Mario Kempes Delays Indonesian League with Pelita Jaya so when Messi grazing or</v>
      </c>
    </row>
    <row r="8592" ht="15.75" customHeight="1">
      <c r="A8592" s="1">
        <v>9815.0</v>
      </c>
      <c r="B8592" s="3" t="s">
        <v>24566</v>
      </c>
      <c r="C8592" s="3">
        <v>0.0</v>
      </c>
      <c r="D8592" s="3">
        <v>0.0</v>
      </c>
      <c r="E8592" s="3">
        <v>0.0</v>
      </c>
      <c r="F8592" s="3" t="s">
        <v>24567</v>
      </c>
      <c r="G8592" s="3">
        <v>0.0</v>
      </c>
      <c r="H8592" s="3">
        <v>0.0</v>
      </c>
      <c r="I8592" s="3" t="s">
        <v>13</v>
      </c>
      <c r="J8592" s="3" t="s">
        <v>24568</v>
      </c>
      <c r="K8592" s="3" t="s">
        <v>41</v>
      </c>
      <c r="L8592" s="3" t="str">
        <f>IFERROR(__xludf.DUMMYFUNCTION("GOOGLETRANSLATE(F8592,""id"",""en"")"),"If you want to be honest, Argentina can only win since Messi pulled out from Barca")</f>
        <v>If you want to be honest, Argentina can only win since Messi pulled out from Barca</v>
      </c>
    </row>
    <row r="8593" ht="15.75" customHeight="1">
      <c r="A8593" s="1">
        <v>9816.0</v>
      </c>
      <c r="B8593" s="3" t="s">
        <v>24569</v>
      </c>
      <c r="C8593" s="3">
        <v>0.0</v>
      </c>
      <c r="D8593" s="3">
        <v>0.0</v>
      </c>
      <c r="E8593" s="3">
        <v>0.0</v>
      </c>
      <c r="F8593" s="3" t="s">
        <v>24570</v>
      </c>
      <c r="G8593" s="3">
        <v>0.0</v>
      </c>
      <c r="H8593" s="3">
        <v>0.0</v>
      </c>
      <c r="I8593" s="3" t="s">
        <v>13</v>
      </c>
      <c r="J8593" s="3" t="s">
        <v>24571</v>
      </c>
      <c r="K8593" s="3" t="s">
        <v>244</v>
      </c>
      <c r="L8593" s="3" t="str">
        <f>IFERROR(__xludf.DUMMYFUNCTION("GOOGLETRANSLATE(F8593,""id"",""en"")"),"Gotze Joining Argentina World Cup Champion Supporting Argentina is shocked and excited")</f>
        <v>Gotze Joining Argentina World Cup Champion Supporting Argentina is shocked and excited</v>
      </c>
    </row>
    <row r="8594" ht="15.75" customHeight="1">
      <c r="A8594" s="1">
        <v>9817.0</v>
      </c>
      <c r="B8594" s="3" t="s">
        <v>24572</v>
      </c>
      <c r="C8594" s="3">
        <v>0.0</v>
      </c>
      <c r="D8594" s="3">
        <v>0.0</v>
      </c>
      <c r="E8594" s="3">
        <v>1.0</v>
      </c>
      <c r="F8594" s="3" t="s">
        <v>24573</v>
      </c>
      <c r="G8594" s="3">
        <v>0.0</v>
      </c>
      <c r="H8594" s="3">
        <v>0.0</v>
      </c>
      <c r="I8594" s="3" t="s">
        <v>13</v>
      </c>
      <c r="J8594" s="3" t="s">
        <v>24574</v>
      </c>
      <c r="K8594" s="3" t="s">
        <v>1366</v>
      </c>
      <c r="L8594" s="3" t="str">
        <f>IFERROR(__xludf.DUMMYFUNCTION("GOOGLETRANSLATE(F8594,""id"",""en"")"),"Tek Tokan Maria Messi first half made Argentina's attack more alive until Maria created the second goal for Argentina throughout the match Maria's expression representing the audience began")</f>
        <v>Tek Tokan Maria Messi first half made Argentina's attack more alive until Maria created the second goal for Argentina throughout the match Maria's expression representing the audience began</v>
      </c>
    </row>
    <row r="8595" ht="15.75" customHeight="1">
      <c r="A8595" s="1">
        <v>9818.0</v>
      </c>
      <c r="B8595" s="3" t="s">
        <v>24575</v>
      </c>
      <c r="C8595" s="3">
        <v>1.0</v>
      </c>
      <c r="D8595" s="3">
        <v>1.0</v>
      </c>
      <c r="E8595" s="3">
        <v>1.0</v>
      </c>
      <c r="F8595" s="3" t="s">
        <v>24576</v>
      </c>
      <c r="G8595" s="3">
        <v>0.0</v>
      </c>
      <c r="H8595" s="3">
        <v>0.0</v>
      </c>
      <c r="I8595" s="3" t="s">
        <v>13</v>
      </c>
      <c r="J8595" s="3" t="s">
        <v>24577</v>
      </c>
      <c r="K8595" s="3" t="s">
        <v>240</v>
      </c>
      <c r="L8595" s="3" t="str">
        <f>IFERROR(__xludf.DUMMYFUNCTION("GOOGLETRANSLATE(F8595,""id"",""en"")"),"Bring Argentina Lionel Messi's World Cup Champion Becomes Human with the Most Complete title of the FDL Football World")</f>
        <v>Bring Argentina Lionel Messi's World Cup Champion Becomes Human with the Most Complete title of the FDL Football World</v>
      </c>
    </row>
    <row r="8596" ht="15.75" customHeight="1">
      <c r="A8596" s="1">
        <v>9819.0</v>
      </c>
      <c r="B8596" s="3" t="s">
        <v>24578</v>
      </c>
      <c r="C8596" s="3">
        <v>1.0</v>
      </c>
      <c r="D8596" s="3">
        <v>0.0</v>
      </c>
      <c r="E8596" s="3">
        <v>0.0</v>
      </c>
      <c r="F8596" s="3" t="s">
        <v>24579</v>
      </c>
      <c r="G8596" s="3">
        <v>0.0</v>
      </c>
      <c r="H8596" s="3">
        <v>0.0</v>
      </c>
      <c r="I8596" s="3" t="s">
        <v>13</v>
      </c>
      <c r="J8596" s="3" t="s">
        <v>24580</v>
      </c>
      <c r="K8596" s="3" t="s">
        <v>1656</v>
      </c>
      <c r="L8596" s="3" t="str">
        <f>IFERROR(__xludf.DUMMYFUNCTION("GOOGLETRANSLATE(F8596,""id"",""en"")"),"Yess level ASEAN alone can't win what else Asia What else is the world that becomes a rioted Supporter Black Goat does not know the British Argentina Brazil's supporter is more chaotic what else is the ancestor of his ancestors supporter")</f>
        <v>Yess level ASEAN alone can't win what else Asia What else is the world that becomes a rioted Supporter Black Goat does not know the British Argentina Brazil's supporter is more chaotic what else is the ancestor of his ancestors supporter</v>
      </c>
    </row>
    <row r="8597" ht="15.75" customHeight="1">
      <c r="A8597" s="1">
        <v>9820.0</v>
      </c>
      <c r="B8597" s="3" t="s">
        <v>24581</v>
      </c>
      <c r="C8597" s="3">
        <v>2.0</v>
      </c>
      <c r="D8597" s="3">
        <v>10.0</v>
      </c>
      <c r="E8597" s="3">
        <v>27.0</v>
      </c>
      <c r="F8597" s="3" t="s">
        <v>24582</v>
      </c>
      <c r="G8597" s="3">
        <v>0.0</v>
      </c>
      <c r="H8597" s="3">
        <v>0.0</v>
      </c>
      <c r="I8597" s="3" t="s">
        <v>13</v>
      </c>
      <c r="J8597" s="3" t="s">
        <v>24583</v>
      </c>
      <c r="K8597" s="3" t="s">
        <v>791</v>
      </c>
      <c r="L8597" s="3" t="str">
        <f>IFERROR(__xludf.DUMMYFUNCTION("GOOGLETRANSLATE(F8597,""id"",""en"")"),"List of the youngest coach who won the World Cup succeeded in making Argentina won the World Cup Lionel Scaloni officially the fourth youngest coach who won the World Cup")</f>
        <v>List of the youngest coach who won the World Cup succeeded in making Argentina won the World Cup Lionel Scaloni officially the fourth youngest coach who won the World Cup</v>
      </c>
    </row>
    <row r="8598" ht="15.75" customHeight="1">
      <c r="A8598" s="1">
        <v>9821.0</v>
      </c>
      <c r="B8598" s="3" t="s">
        <v>24584</v>
      </c>
      <c r="C8598" s="3">
        <v>0.0</v>
      </c>
      <c r="D8598" s="3">
        <v>0.0</v>
      </c>
      <c r="E8598" s="3">
        <v>7.0</v>
      </c>
      <c r="F8598" s="3" t="s">
        <v>24411</v>
      </c>
      <c r="G8598" s="3">
        <v>0.0</v>
      </c>
      <c r="H8598" s="3">
        <v>0.0</v>
      </c>
      <c r="I8598" s="3" t="s">
        <v>13</v>
      </c>
      <c r="J8598" s="3" t="s">
        <v>24412</v>
      </c>
      <c r="K8598" s="3" t="s">
        <v>437</v>
      </c>
      <c r="L8598" s="3" t="str">
        <f>IFERROR(__xludf.DUMMYFUNCTION("GOOGLETRANSLATE(F8598,""id"",""en"")"),"Argentina won the World Cup coach Lionel Scaloni trying to hold back her happy tears but could not work")</f>
        <v>Argentina won the World Cup coach Lionel Scaloni trying to hold back her happy tears but could not work</v>
      </c>
    </row>
    <row r="8599" ht="15.75" customHeight="1">
      <c r="A8599" s="1">
        <v>9822.0</v>
      </c>
      <c r="B8599" s="3" t="s">
        <v>24585</v>
      </c>
      <c r="C8599" s="3">
        <v>0.0</v>
      </c>
      <c r="D8599" s="3">
        <v>0.0</v>
      </c>
      <c r="E8599" s="3">
        <v>0.0</v>
      </c>
      <c r="F8599" s="3" t="s">
        <v>24586</v>
      </c>
      <c r="G8599" s="3">
        <v>1.0</v>
      </c>
      <c r="H8599" s="3">
        <v>0.0</v>
      </c>
      <c r="I8599" s="3" t="s">
        <v>13</v>
      </c>
      <c r="J8599" s="3" t="s">
        <v>24587</v>
      </c>
      <c r="K8599" s="3" t="s">
        <v>495</v>
      </c>
      <c r="L8599" s="3" t="str">
        <f>IFERROR(__xludf.DUMMYFUNCTION("GOOGLETRANSLATE(F8599,""id"",""en"")"),"Sheikh Messi Argentina French World Cup Champion Mbappe Giroud Maria Final World Cup Goat Pension Drake Monday Ronaldo")</f>
        <v>Sheikh Messi Argentina French World Cup Champion Mbappe Giroud Maria Final World Cup Goat Pension Drake Monday Ronaldo</v>
      </c>
    </row>
    <row r="8600" ht="15.75" customHeight="1">
      <c r="A8600" s="1">
        <v>9823.0</v>
      </c>
      <c r="B8600" s="3" t="s">
        <v>24588</v>
      </c>
      <c r="C8600" s="3">
        <v>0.0</v>
      </c>
      <c r="D8600" s="3">
        <v>0.0</v>
      </c>
      <c r="E8600" s="3">
        <v>0.0</v>
      </c>
      <c r="F8600" s="3" t="s">
        <v>24589</v>
      </c>
      <c r="G8600" s="3">
        <v>0.0</v>
      </c>
      <c r="H8600" s="3">
        <v>0.0</v>
      </c>
      <c r="I8600" s="3" t="s">
        <v>13</v>
      </c>
      <c r="J8600" s="3" t="s">
        <v>24590</v>
      </c>
      <c r="K8600" s="3" t="s">
        <v>15</v>
      </c>
      <c r="L8600" s="3" t="str">
        <f>IFERROR(__xludf.DUMMYFUNCTION("GOOGLETRANSLATE(F8600,""id"",""en"")"),"gosh dah Ronaldoer in the hot heat of Argentina")</f>
        <v>gosh dah Ronaldoer in the hot heat of Argentina</v>
      </c>
    </row>
    <row r="8601" ht="15.75" customHeight="1">
      <c r="A8601" s="1">
        <v>9824.0</v>
      </c>
      <c r="B8601" s="3" t="s">
        <v>24591</v>
      </c>
      <c r="C8601" s="3">
        <v>0.0</v>
      </c>
      <c r="D8601" s="3">
        <v>0.0</v>
      </c>
      <c r="E8601" s="3">
        <v>0.0</v>
      </c>
      <c r="F8601" s="3" t="s">
        <v>24592</v>
      </c>
      <c r="G8601" s="3">
        <v>0.0</v>
      </c>
      <c r="H8601" s="3">
        <v>0.0</v>
      </c>
      <c r="I8601" s="3" t="s">
        <v>13</v>
      </c>
      <c r="J8601" s="3" t="s">
        <v>24593</v>
      </c>
      <c r="K8601" s="3" t="s">
        <v>123</v>
      </c>
      <c r="L8601" s="3" t="str">
        <f>IFERROR(__xludf.DUMMYFUNCTION("GOOGLETRANSLATE(F8601,""id"",""en"")"),"Tribunnews Photo Photo of Celebration of Argentine Supporters After Champion World Cup of the Ocean of the Capital of the State Via Via")</f>
        <v>Tribunnews Photo Photo of Celebration of Argentine Supporters After Champion World Cup of the Ocean of the Capital of the State Via Via</v>
      </c>
    </row>
    <row r="8602" ht="15.75" customHeight="1">
      <c r="A8602" s="1">
        <v>9825.0</v>
      </c>
      <c r="B8602" s="3" t="s">
        <v>24594</v>
      </c>
      <c r="C8602" s="3">
        <v>0.0</v>
      </c>
      <c r="D8602" s="3">
        <v>1.0</v>
      </c>
      <c r="E8602" s="3">
        <v>4.0</v>
      </c>
      <c r="F8602" s="3" t="s">
        <v>24595</v>
      </c>
      <c r="G8602" s="3">
        <v>1.0</v>
      </c>
      <c r="H8602" s="3">
        <v>1.0</v>
      </c>
      <c r="I8602" s="3" t="s">
        <v>48</v>
      </c>
      <c r="J8602" s="3" t="s">
        <v>24596</v>
      </c>
      <c r="K8602" s="3" t="s">
        <v>449</v>
      </c>
      <c r="L8602" s="3" t="str">
        <f>IFERROR(__xludf.DUMMYFUNCTION("GOOGLETRANSLATE(F8602,""id"",""en"")"),"After a long wait during and the people of Argentina again partying the capital of Buenos Aires celebrating the success of the Tango Team to win the Qatar World Cup Messi The Greatest All Time")</f>
        <v>After a long wait during and the people of Argentina again partying the capital of Buenos Aires celebrating the success of the Tango Team to win the Qatar World Cup Messi The Greatest All Time</v>
      </c>
    </row>
    <row r="8603" ht="15.75" customHeight="1">
      <c r="A8603" s="1">
        <v>9826.0</v>
      </c>
      <c r="B8603" s="3" t="s">
        <v>24597</v>
      </c>
      <c r="C8603" s="3">
        <v>0.0</v>
      </c>
      <c r="D8603" s="3">
        <v>0.0</v>
      </c>
      <c r="E8603" s="3">
        <v>0.0</v>
      </c>
      <c r="F8603" s="3" t="s">
        <v>24598</v>
      </c>
      <c r="G8603" s="3">
        <v>0.0</v>
      </c>
      <c r="H8603" s="3">
        <v>0.0</v>
      </c>
      <c r="I8603" s="3" t="s">
        <v>13</v>
      </c>
      <c r="J8603" s="3" t="s">
        <v>24599</v>
      </c>
      <c r="K8603" s="3" t="s">
        <v>71</v>
      </c>
      <c r="L8603" s="3" t="str">
        <f>IFERROR(__xludf.DUMMYFUNCTION("GOOGLETRANSLATE(F8603,""id"",""en"")"),"Splashy said Argentina Give Away champions are more appropriate")</f>
        <v>Splashy said Argentina Give Away champions are more appropriate</v>
      </c>
    </row>
    <row r="8604" ht="15.75" customHeight="1">
      <c r="A8604" s="1">
        <v>9827.0</v>
      </c>
      <c r="B8604" s="3" t="s">
        <v>24600</v>
      </c>
      <c r="C8604" s="3">
        <v>0.0</v>
      </c>
      <c r="D8604" s="3">
        <v>0.0</v>
      </c>
      <c r="E8604" s="3">
        <v>0.0</v>
      </c>
      <c r="F8604" s="3" t="s">
        <v>24601</v>
      </c>
      <c r="G8604" s="3">
        <v>0.0</v>
      </c>
      <c r="H8604" s="3">
        <v>0.0</v>
      </c>
      <c r="I8604" s="3" t="s">
        <v>13</v>
      </c>
      <c r="J8604" s="3" t="s">
        <v>24602</v>
      </c>
      <c r="K8604" s="3" t="s">
        <v>236</v>
      </c>
      <c r="L8604" s="3" t="str">
        <f>IFERROR(__xludf.DUMMYFUNCTION("GOOGLETRANSLATE(F8604,""id"",""en"")"),"Argentina Champion World Cup Bro Ora Loss All Argentina")</f>
        <v>Argentina Champion World Cup Bro Ora Loss All Argentina</v>
      </c>
    </row>
    <row r="8605" ht="15.75" customHeight="1">
      <c r="A8605" s="1">
        <v>9828.0</v>
      </c>
      <c r="B8605" s="3" t="s">
        <v>24603</v>
      </c>
      <c r="C8605" s="3">
        <v>0.0</v>
      </c>
      <c r="D8605" s="3">
        <v>0.0</v>
      </c>
      <c r="E8605" s="3">
        <v>0.0</v>
      </c>
      <c r="F8605" s="3" t="s">
        <v>24604</v>
      </c>
      <c r="G8605" s="3">
        <v>0.0</v>
      </c>
      <c r="H8605" s="3">
        <v>0.0</v>
      </c>
      <c r="I8605" s="3" t="s">
        <v>13</v>
      </c>
      <c r="J8605" s="3" t="s">
        <v>24605</v>
      </c>
      <c r="K8605" s="3" t="s">
        <v>82</v>
      </c>
      <c r="L8605" s="3" t="str">
        <f>IFERROR(__xludf.DUMMYFUNCTION("GOOGLETRANSLATE(F8605,""id"",""en"")"),"Argentina The World Cup Champion was predictable last year")</f>
        <v>Argentina The World Cup Champion was predictable last year</v>
      </c>
    </row>
    <row r="8606" ht="15.75" customHeight="1">
      <c r="A8606" s="1">
        <v>9829.0</v>
      </c>
      <c r="B8606" s="3" t="s">
        <v>24606</v>
      </c>
      <c r="C8606" s="3">
        <v>0.0</v>
      </c>
      <c r="D8606" s="3">
        <v>0.0</v>
      </c>
      <c r="E8606" s="3">
        <v>0.0</v>
      </c>
      <c r="F8606" s="3" t="s">
        <v>24607</v>
      </c>
      <c r="G8606" s="3">
        <v>0.0</v>
      </c>
      <c r="H8606" s="3">
        <v>0.0</v>
      </c>
      <c r="I8606" s="3" t="s">
        <v>13</v>
      </c>
      <c r="J8606" s="3" t="s">
        <v>24608</v>
      </c>
      <c r="K8606" s="3" t="s">
        <v>50</v>
      </c>
      <c r="L8606" s="3" t="str">
        <f>IFERROR(__xludf.DUMMYFUNCTION("GOOGLETRANSLATE(F8606,""id"",""en"")"),"Fact of Obelisk Buenos Aires Monument Location of Argentina Celebration World Cup Champion")</f>
        <v>Fact of Obelisk Buenos Aires Monument Location of Argentina Celebration World Cup Champion</v>
      </c>
    </row>
    <row r="8607" ht="15.75" customHeight="1">
      <c r="A8607" s="1">
        <v>9830.0</v>
      </c>
      <c r="B8607" s="3" t="s">
        <v>24609</v>
      </c>
      <c r="C8607" s="3">
        <v>0.0</v>
      </c>
      <c r="D8607" s="3">
        <v>0.0</v>
      </c>
      <c r="E8607" s="3">
        <v>0.0</v>
      </c>
      <c r="F8607" s="3" t="s">
        <v>24610</v>
      </c>
      <c r="G8607" s="3">
        <v>0.0</v>
      </c>
      <c r="H8607" s="3">
        <v>0.0</v>
      </c>
      <c r="I8607" s="3" t="s">
        <v>13</v>
      </c>
      <c r="J8607" s="3" t="s">
        <v>24611</v>
      </c>
      <c r="K8607" s="3" t="s">
        <v>75</v>
      </c>
      <c r="L8607" s="3" t="str">
        <f>IFERROR(__xludf.DUMMYFUNCTION("GOOGLETRANSLATE(F8607,""id"",""en"")"),"Anjayyy brother and my father are very happy Argentina to become champions")</f>
        <v>Anjayyy brother and my father are very happy Argentina to become champions</v>
      </c>
    </row>
    <row r="8608" ht="15.75" customHeight="1">
      <c r="A8608" s="1">
        <v>9831.0</v>
      </c>
      <c r="B8608" s="3" t="s">
        <v>24612</v>
      </c>
      <c r="C8608" s="3">
        <v>0.0</v>
      </c>
      <c r="D8608" s="3">
        <v>0.0</v>
      </c>
      <c r="E8608" s="3">
        <v>0.0</v>
      </c>
      <c r="F8608" s="3" t="s">
        <v>24613</v>
      </c>
      <c r="G8608" s="3">
        <v>0.0</v>
      </c>
      <c r="H8608" s="3">
        <v>0.0</v>
      </c>
      <c r="I8608" s="3" t="s">
        <v>13</v>
      </c>
      <c r="J8608" s="3" t="s">
        <v>24614</v>
      </c>
      <c r="K8608" s="3" t="s">
        <v>903</v>
      </c>
      <c r="L8608" s="3" t="str">
        <f>IFERROR(__xludf.DUMMYFUNCTION("GOOGLETRANSLATE(F8608,""id"",""en"")"),"Only after having Tattoo Messi can win the Copa America and World Cup champion with Argentina before Messi never champions together means Sold His Soul the Devil")</f>
        <v>Only after having Tattoo Messi can win the Copa America and World Cup champion with Argentina before Messi never champions together means Sold His Soul the Devil</v>
      </c>
    </row>
    <row r="8609" ht="15.75" customHeight="1">
      <c r="A8609" s="1">
        <v>9832.0</v>
      </c>
      <c r="B8609" s="3" t="s">
        <v>24615</v>
      </c>
      <c r="C8609" s="3">
        <v>1.0</v>
      </c>
      <c r="D8609" s="3">
        <v>0.0</v>
      </c>
      <c r="E8609" s="3">
        <v>0.0</v>
      </c>
      <c r="F8609" s="3" t="s">
        <v>24616</v>
      </c>
      <c r="G8609" s="3">
        <v>0.0</v>
      </c>
      <c r="H8609" s="3">
        <v>0.0</v>
      </c>
      <c r="I8609" s="3" t="s">
        <v>13</v>
      </c>
      <c r="J8609" s="3" t="s">
        <v>24617</v>
      </c>
      <c r="K8609" s="3" t="s">
        <v>24618</v>
      </c>
      <c r="L8609" s="3" t="str">
        <f>IFERROR(__xludf.DUMMYFUNCTION("GOOGLETRANSLATE(F8609,""id"",""en"")"),"German Champion Messi French Best Player Player Champion Modrid Argentine Player Champion Messi Best Player Tau Help")</f>
        <v>German Champion Messi French Best Player Player Champion Modrid Argentine Player Champion Messi Best Player Tau Help</v>
      </c>
    </row>
    <row r="8610" ht="15.75" customHeight="1">
      <c r="A8610" s="1">
        <v>9833.0</v>
      </c>
      <c r="B8610" s="3" t="s">
        <v>24619</v>
      </c>
      <c r="C8610" s="3">
        <v>0.0</v>
      </c>
      <c r="D8610" s="3">
        <v>0.0</v>
      </c>
      <c r="E8610" s="3">
        <v>0.0</v>
      </c>
      <c r="F8610" s="3" t="s">
        <v>24620</v>
      </c>
      <c r="G8610" s="3">
        <v>0.0</v>
      </c>
      <c r="H8610" s="3">
        <v>0.0</v>
      </c>
      <c r="I8610" s="3" t="s">
        <v>13</v>
      </c>
      <c r="J8610" s="3" t="s">
        <v>24621</v>
      </c>
      <c r="K8610" s="3" t="s">
        <v>71</v>
      </c>
      <c r="L8610" s="3" t="str">
        <f>IFERROR(__xludf.DUMMYFUNCTION("GOOGLETRANSLATE(F8610,""id"",""en"")"),"Argentina champion Pilduun has no effect in my life the assignment of the week's project is to stay up late, but only get suiii")</f>
        <v>Argentina champion Pilduun has no effect in my life the assignment of the week's project is to stay up late, but only get suiii</v>
      </c>
    </row>
    <row r="8611" ht="15.75" customHeight="1">
      <c r="A8611" s="1">
        <v>9834.0</v>
      </c>
      <c r="B8611" s="3" t="s">
        <v>24622</v>
      </c>
      <c r="C8611" s="3">
        <v>1.0</v>
      </c>
      <c r="D8611" s="3">
        <v>0.0</v>
      </c>
      <c r="E8611" s="3">
        <v>0.0</v>
      </c>
      <c r="F8611" s="3" t="s">
        <v>24623</v>
      </c>
      <c r="G8611" s="3">
        <v>0.0</v>
      </c>
      <c r="H8611" s="3">
        <v>0.0</v>
      </c>
      <c r="I8611" s="3" t="s">
        <v>13</v>
      </c>
      <c r="J8611" s="3" t="s">
        <v>24624</v>
      </c>
      <c r="K8611" s="3" t="s">
        <v>6117</v>
      </c>
      <c r="L8611" s="3" t="str">
        <f>IFERROR(__xludf.DUMMYFUNCTION("GOOGLETRANSLATE(F8611,""id"",""en"")"),"Min Is it true that there is gossip circulating if Messi asks PSG so that Argentina can win the Qatar Worldcup when negotiating Messi from Barca PSG is said to be in the Argentine requirement for the Qatar champion so that Messi wants to move")</f>
        <v>Min Is it true that there is gossip circulating if Messi asks PSG so that Argentina can win the Qatar Worldcup when negotiating Messi from Barca PSG is said to be in the Argentine requirement for the Qatar champion so that Messi wants to move</v>
      </c>
    </row>
    <row r="8612" ht="15.75" customHeight="1">
      <c r="A8612" s="1">
        <v>9835.0</v>
      </c>
      <c r="B8612" s="3" t="s">
        <v>24625</v>
      </c>
      <c r="C8612" s="3">
        <v>0.0</v>
      </c>
      <c r="D8612" s="3">
        <v>0.0</v>
      </c>
      <c r="E8612" s="3">
        <v>0.0</v>
      </c>
      <c r="F8612" s="3" t="s">
        <v>24626</v>
      </c>
      <c r="G8612" s="3">
        <v>0.0</v>
      </c>
      <c r="H8612" s="3">
        <v>0.0</v>
      </c>
      <c r="I8612" s="3" t="s">
        <v>13</v>
      </c>
      <c r="J8612" s="3" t="s">
        <v>24627</v>
      </c>
      <c r="K8612" s="3" t="s">
        <v>31</v>
      </c>
      <c r="L8612" s="3" t="str">
        <f>IFERROR(__xludf.DUMMYFUNCTION("GOOGLETRANSLATE(F8612,""id"",""en"")"),"not saying that Argentina was champion")</f>
        <v>not saying that Argentina was champion</v>
      </c>
    </row>
    <row r="8613" ht="15.75" customHeight="1">
      <c r="A8613" s="1">
        <v>9836.0</v>
      </c>
      <c r="B8613" s="3" t="s">
        <v>24628</v>
      </c>
      <c r="C8613" s="3">
        <v>0.0</v>
      </c>
      <c r="D8613" s="3">
        <v>0.0</v>
      </c>
      <c r="E8613" s="3">
        <v>0.0</v>
      </c>
      <c r="F8613" s="3" t="s">
        <v>24629</v>
      </c>
      <c r="G8613" s="3">
        <v>0.0</v>
      </c>
      <c r="H8613" s="3">
        <v>0.0</v>
      </c>
      <c r="I8613" s="3" t="s">
        <v>13</v>
      </c>
      <c r="J8613" s="3" t="s">
        <v>24630</v>
      </c>
      <c r="K8613" s="3" t="s">
        <v>484</v>
      </c>
      <c r="L8613" s="3" t="str">
        <f>IFERROR(__xludf.DUMMYFUNCTION("GOOGLETRANSLATE(F8613,""id"",""en"")"),"Ndek Indosiar Seng Champion Argentina Pas Ndelok Tvone How come Portugal Champion Endi Seng Bener Iki")</f>
        <v>Ndek Indosiar Seng Champion Argentina Pas Ndelok Tvone How come Portugal Champion Endi Seng Bener Iki</v>
      </c>
    </row>
    <row r="8614" ht="15.75" customHeight="1">
      <c r="A8614" s="1">
        <v>9837.0</v>
      </c>
      <c r="B8614" s="3" t="s">
        <v>24631</v>
      </c>
      <c r="C8614" s="3">
        <v>0.0</v>
      </c>
      <c r="D8614" s="3">
        <v>0.0</v>
      </c>
      <c r="E8614" s="3">
        <v>0.0</v>
      </c>
      <c r="F8614" s="3" t="s">
        <v>24632</v>
      </c>
      <c r="G8614" s="3">
        <v>0.0</v>
      </c>
      <c r="H8614" s="3">
        <v>0.0</v>
      </c>
      <c r="I8614" s="3" t="s">
        <v>13</v>
      </c>
      <c r="J8614" s="3" t="s">
        <v>24633</v>
      </c>
      <c r="K8614" s="3" t="s">
        <v>31</v>
      </c>
      <c r="L8614" s="3" t="str">
        <f>IFERROR(__xludf.DUMMYFUNCTION("GOOGLETRANSLATE(F8614,""id"",""en"")"),"Argentina World Cup World Champion")</f>
        <v>Argentina World Cup World Champion</v>
      </c>
    </row>
    <row r="8615" ht="15.75" customHeight="1">
      <c r="A8615" s="1">
        <v>9838.0</v>
      </c>
      <c r="B8615" s="3" t="s">
        <v>24634</v>
      </c>
      <c r="C8615" s="3">
        <v>2.0</v>
      </c>
      <c r="D8615" s="3">
        <v>0.0</v>
      </c>
      <c r="E8615" s="3">
        <v>0.0</v>
      </c>
      <c r="F8615" s="3" t="s">
        <v>24635</v>
      </c>
      <c r="G8615" s="3">
        <v>0.0</v>
      </c>
      <c r="H8615" s="3">
        <v>0.0</v>
      </c>
      <c r="I8615" s="3" t="s">
        <v>13</v>
      </c>
      <c r="J8615" s="3" t="s">
        <v>24636</v>
      </c>
      <c r="K8615" s="3" t="s">
        <v>31</v>
      </c>
      <c r="L8615" s="3" t="str">
        <f>IFERROR(__xludf.DUMMYFUNCTION("GOOGLETRANSLATE(F8615,""id"",""en"")"),"Febriyati Argentina Long Waiting For Champion")</f>
        <v>Febriyati Argentina Long Waiting For Champion</v>
      </c>
    </row>
    <row r="8616" ht="15.75" customHeight="1">
      <c r="A8616" s="1">
        <v>9839.0</v>
      </c>
      <c r="B8616" s="3" t="s">
        <v>24637</v>
      </c>
      <c r="C8616" s="3">
        <v>1.0</v>
      </c>
      <c r="D8616" s="3">
        <v>0.0</v>
      </c>
      <c r="E8616" s="3">
        <v>1.0</v>
      </c>
      <c r="F8616" s="3" t="s">
        <v>24638</v>
      </c>
      <c r="G8616" s="3">
        <v>0.3333333333333333</v>
      </c>
      <c r="H8616" s="3">
        <v>0.1666666666666667</v>
      </c>
      <c r="I8616" s="3" t="s">
        <v>48</v>
      </c>
      <c r="J8616" s="3" t="s">
        <v>24639</v>
      </c>
      <c r="K8616" s="3" t="s">
        <v>123</v>
      </c>
      <c r="L8616" s="3" t="str">
        <f>IFERROR(__xludf.DUMMYFUNCTION("GOOGLETRANSLATE(F8616,""id"",""en"")"),"thought the last Argentina champion when there was a last player to bring ARGEN at this time still playing with a different generation of hilarious")</f>
        <v>thought the last Argentina champion when there was a last player to bring ARGEN at this time still playing with a different generation of hilarious</v>
      </c>
    </row>
    <row r="8617" ht="15.75" customHeight="1">
      <c r="A8617" s="1">
        <v>9840.0</v>
      </c>
      <c r="B8617" s="3" t="s">
        <v>24640</v>
      </c>
      <c r="C8617" s="3">
        <v>0.0</v>
      </c>
      <c r="D8617" s="3">
        <v>0.0</v>
      </c>
      <c r="E8617" s="3">
        <v>0.0</v>
      </c>
      <c r="F8617" s="3" t="s">
        <v>24641</v>
      </c>
      <c r="G8617" s="3">
        <v>0.0</v>
      </c>
      <c r="H8617" s="3">
        <v>0.0</v>
      </c>
      <c r="I8617" s="3" t="s">
        <v>13</v>
      </c>
      <c r="J8617" s="3" t="s">
        <v>24642</v>
      </c>
      <c r="K8617" s="3" t="s">
        <v>75</v>
      </c>
      <c r="L8617" s="3" t="str">
        <f>IFERROR(__xludf.DUMMYFUNCTION("GOOGLETRANSLATE(F8617,""id"",""en"")"),"In the leadership of Iwan Bule Argentina, the world champion was truly extraordinary")</f>
        <v>In the leadership of Iwan Bule Argentina, the world champion was truly extraordinary</v>
      </c>
    </row>
    <row r="8618" ht="15.75" customHeight="1">
      <c r="A8618" s="1">
        <v>9841.0</v>
      </c>
      <c r="B8618" s="3" t="s">
        <v>24643</v>
      </c>
      <c r="C8618" s="3">
        <v>4.0</v>
      </c>
      <c r="D8618" s="3">
        <v>0.0</v>
      </c>
      <c r="E8618" s="3">
        <v>0.0</v>
      </c>
      <c r="F8618" s="3" t="s">
        <v>24644</v>
      </c>
      <c r="G8618" s="3">
        <v>0.0</v>
      </c>
      <c r="H8618" s="3">
        <v>0.0</v>
      </c>
      <c r="I8618" s="3" t="s">
        <v>13</v>
      </c>
      <c r="J8618" s="3" t="s">
        <v>24645</v>
      </c>
      <c r="K8618" s="3" t="s">
        <v>1335</v>
      </c>
      <c r="L8618" s="3" t="str">
        <f>IFERROR(__xludf.DUMMYFUNCTION("GOOGLETRANSLATE(F8618,""id"",""en"")"),"It must be happy Kang Emil and Kang Ary because of Argentina champions")</f>
        <v>It must be happy Kang Emil and Kang Ary because of Argentina champions</v>
      </c>
    </row>
    <row r="8619" ht="15.75" customHeight="1">
      <c r="A8619" s="1">
        <v>9842.0</v>
      </c>
      <c r="B8619" s="3" t="s">
        <v>24646</v>
      </c>
      <c r="C8619" s="3">
        <v>0.0</v>
      </c>
      <c r="D8619" s="3">
        <v>0.0</v>
      </c>
      <c r="E8619" s="3">
        <v>0.0</v>
      </c>
      <c r="F8619" s="3" t="s">
        <v>24647</v>
      </c>
      <c r="G8619" s="3">
        <v>0.0</v>
      </c>
      <c r="H8619" s="3">
        <v>0.0</v>
      </c>
      <c r="I8619" s="3" t="s">
        <v>13</v>
      </c>
      <c r="J8619" s="3" t="s">
        <v>24648</v>
      </c>
      <c r="K8619" s="3" t="s">
        <v>1293</v>
      </c>
      <c r="L8619" s="3" t="str">
        <f>IFERROR(__xludf.DUMMYFUNCTION("GOOGLETRANSLATE(F8619,""id"",""en"")"),"Congratulations to Messi and Argentina because they have won the Qatar World Cup the match last night made me a heart spot and Alhamdulillah Argentina champions for the third time")</f>
        <v>Congratulations to Messi and Argentina because they have won the Qatar World Cup the match last night made me a heart spot and Alhamdulillah Argentina champions for the third time</v>
      </c>
    </row>
    <row r="8620" ht="15.75" customHeight="1">
      <c r="A8620" s="1">
        <v>9843.0</v>
      </c>
      <c r="B8620" s="3" t="s">
        <v>24649</v>
      </c>
      <c r="C8620" s="3">
        <v>0.0</v>
      </c>
      <c r="D8620" s="3">
        <v>0.0</v>
      </c>
      <c r="E8620" s="3">
        <v>0.0</v>
      </c>
      <c r="F8620" s="3" t="s">
        <v>17833</v>
      </c>
      <c r="G8620" s="3">
        <v>0.0</v>
      </c>
      <c r="H8620" s="3">
        <v>0.0</v>
      </c>
      <c r="I8620" s="3" t="s">
        <v>13</v>
      </c>
      <c r="J8620" s="3" t="s">
        <v>17834</v>
      </c>
      <c r="K8620" s="3" t="s">
        <v>82</v>
      </c>
      <c r="L8620" s="3" t="str">
        <f>IFERROR(__xludf.DUMMYFUNCTION("GOOGLETRANSLATE(F8620,""id"",""en"")"),"Argentina Champion Learning Politics Competency from the World Cup")</f>
        <v>Argentina Champion Learning Politics Competency from the World Cup</v>
      </c>
    </row>
    <row r="8621" ht="15.75" customHeight="1">
      <c r="A8621" s="1">
        <v>9844.0</v>
      </c>
      <c r="B8621" s="3" t="s">
        <v>24650</v>
      </c>
      <c r="C8621" s="3">
        <v>3.0</v>
      </c>
      <c r="D8621" s="3">
        <v>1.0</v>
      </c>
      <c r="E8621" s="3">
        <v>20.0</v>
      </c>
      <c r="F8621" s="3" t="s">
        <v>24651</v>
      </c>
      <c r="G8621" s="3">
        <v>0.5357142857142857</v>
      </c>
      <c r="H8621" s="3">
        <v>0.2467532467532468</v>
      </c>
      <c r="I8621" s="3" t="s">
        <v>48</v>
      </c>
      <c r="J8621" s="3" t="s">
        <v>24652</v>
      </c>
      <c r="K8621" s="3" t="s">
        <v>910</v>
      </c>
      <c r="L8621" s="3" t="str">
        <f>IFERROR(__xludf.DUMMYFUNCTION("GOOGLETRANSLATE(F8621,""id"",""en"")"),"The last episode of DPI Special Ball World Celebration Tonight is clear about Messi and Argentina who won the world champion trophy tonight, we will be more exciting")</f>
        <v>The last episode of DPI Special Ball World Celebration Tonight is clear about Messi and Argentina who won the world champion trophy tonight, we will be more exciting</v>
      </c>
    </row>
    <row r="8622" ht="15.75" customHeight="1">
      <c r="A8622" s="1">
        <v>9845.0</v>
      </c>
      <c r="B8622" s="3" t="s">
        <v>24653</v>
      </c>
      <c r="C8622" s="3">
        <v>0.0</v>
      </c>
      <c r="D8622" s="3">
        <v>0.0</v>
      </c>
      <c r="E8622" s="3">
        <v>0.0</v>
      </c>
      <c r="F8622" s="3" t="s">
        <v>24654</v>
      </c>
      <c r="G8622" s="3">
        <v>0.0</v>
      </c>
      <c r="H8622" s="3">
        <v>0.0</v>
      </c>
      <c r="I8622" s="3" t="s">
        <v>13</v>
      </c>
      <c r="J8622" s="3" t="s">
        <v>24655</v>
      </c>
      <c r="K8622" s="3" t="s">
        <v>82</v>
      </c>
      <c r="L8622" s="3" t="str">
        <f>IFERROR(__xludf.DUMMYFUNCTION("GOOGLETRANSLATE(F8622,""id"",""en"")"),"Argentina Best Tourism Country World Cup Champion")</f>
        <v>Argentina Best Tourism Country World Cup Champion</v>
      </c>
    </row>
    <row r="8623" ht="15.75" customHeight="1">
      <c r="A8623" s="1">
        <v>9846.0</v>
      </c>
      <c r="B8623" s="3" t="s">
        <v>24656</v>
      </c>
      <c r="C8623" s="3">
        <v>1.0</v>
      </c>
      <c r="D8623" s="3">
        <v>0.0</v>
      </c>
      <c r="E8623" s="3">
        <v>0.0</v>
      </c>
      <c r="F8623" s="3" t="s">
        <v>24657</v>
      </c>
      <c r="G8623" s="3">
        <v>0.0</v>
      </c>
      <c r="H8623" s="3">
        <v>0.0</v>
      </c>
      <c r="I8623" s="3" t="s">
        <v>13</v>
      </c>
      <c r="J8623" s="3" t="s">
        <v>24658</v>
      </c>
      <c r="K8623" s="3" t="s">
        <v>127</v>
      </c>
      <c r="L8623" s="3" t="str">
        <f>IFERROR(__xludf.DUMMYFUNCTION("GOOGLETRANSLATE(F8623,""id"",""en"")"),"wkwkwkw, you made an announcement of Argentina before leaving the pulpit during the commemoration of the country's defense day this morning")</f>
        <v>wkwkwkw, you made an announcement of Argentina before leaving the pulpit during the commemoration of the country's defense day this morning</v>
      </c>
    </row>
    <row r="8624" ht="15.75" customHeight="1">
      <c r="A8624" s="1">
        <v>9847.0</v>
      </c>
      <c r="B8624" s="3" t="s">
        <v>24659</v>
      </c>
      <c r="C8624" s="3">
        <v>0.0</v>
      </c>
      <c r="D8624" s="3">
        <v>0.0</v>
      </c>
      <c r="E8624" s="3">
        <v>1.0</v>
      </c>
      <c r="F8624" s="3" t="s">
        <v>24660</v>
      </c>
      <c r="G8624" s="3">
        <v>0.5416666666666666</v>
      </c>
      <c r="H8624" s="3">
        <v>-0.2916666666666667</v>
      </c>
      <c r="I8624" s="3" t="s">
        <v>179</v>
      </c>
      <c r="J8624" s="3" t="s">
        <v>24661</v>
      </c>
      <c r="K8624" s="3" t="s">
        <v>675</v>
      </c>
      <c r="L8624" s="3" t="str">
        <f>IFERROR(__xludf.DUMMYFUNCTION("GOOGLETRANSLATE(F8624,""id"",""en"")"),"Yes, I have a hard feeling of Argentina, because of defeating the Netherlands, if he found that Argentina is really bad for the champion of PDHL EMG if compared to other teams")</f>
        <v>Yes, I have a hard feeling of Argentina, because of defeating the Netherlands, if he found that Argentina is really bad for the champion of PDHL EMG if compared to other teams</v>
      </c>
    </row>
    <row r="8625" ht="15.75" customHeight="1">
      <c r="A8625" s="1">
        <v>9848.0</v>
      </c>
      <c r="B8625" s="3" t="s">
        <v>24662</v>
      </c>
      <c r="C8625" s="3">
        <v>6.0</v>
      </c>
      <c r="D8625" s="3">
        <v>0.0</v>
      </c>
      <c r="E8625" s="3">
        <v>0.0</v>
      </c>
      <c r="F8625" s="3" t="s">
        <v>24663</v>
      </c>
      <c r="G8625" s="3">
        <v>0.0</v>
      </c>
      <c r="H8625" s="3">
        <v>0.0</v>
      </c>
      <c r="I8625" s="3" t="s">
        <v>13</v>
      </c>
      <c r="J8625" s="3" t="s">
        <v>24664</v>
      </c>
      <c r="K8625" s="3" t="s">
        <v>286</v>
      </c>
      <c r="L8625" s="3" t="str">
        <f>IFERROR(__xludf.DUMMYFUNCTION("GOOGLETRANSLATE(F8625,""id"",""en"")"),"The fact is that Portugal has before there is a championship at all different from Argentina from you now, now I have a champion tradition and always gives birth to great players")</f>
        <v>The fact is that Portugal has before there is a championship at all different from Argentina from you now, now I have a champion tradition and always gives birth to great players</v>
      </c>
    </row>
    <row r="8626" ht="15.75" customHeight="1">
      <c r="A8626" s="1">
        <v>9849.0</v>
      </c>
      <c r="B8626" s="3" t="s">
        <v>24665</v>
      </c>
      <c r="C8626" s="3">
        <v>0.0</v>
      </c>
      <c r="D8626" s="3">
        <v>0.0</v>
      </c>
      <c r="E8626" s="3">
        <v>0.0</v>
      </c>
      <c r="F8626" s="3" t="s">
        <v>24666</v>
      </c>
      <c r="G8626" s="3">
        <v>0.0</v>
      </c>
      <c r="H8626" s="3">
        <v>0.0</v>
      </c>
      <c r="I8626" s="3" t="s">
        <v>13</v>
      </c>
      <c r="J8626" s="3" t="s">
        <v>24667</v>
      </c>
      <c r="K8626" s="3" t="s">
        <v>657</v>
      </c>
      <c r="L8626" s="3" t="str">
        <f>IFERROR(__xludf.DUMMYFUNCTION("GOOGLETRANSLATE(F8626,""id"",""en"")"),"after seeing Argentina champion, let's show your star Hoe, the old player just throwing a defender like Bonucci is not appropriate")</f>
        <v>after seeing Argentina champion, let's show your star Hoe, the old player just throwing a defender like Bonucci is not appropriate</v>
      </c>
    </row>
    <row r="8627" ht="15.75" customHeight="1">
      <c r="A8627" s="1">
        <v>9850.0</v>
      </c>
      <c r="B8627" s="3" t="s">
        <v>24668</v>
      </c>
      <c r="C8627" s="3">
        <v>0.0</v>
      </c>
      <c r="D8627" s="3">
        <v>0.0</v>
      </c>
      <c r="E8627" s="3">
        <v>0.0</v>
      </c>
      <c r="F8627" s="3" t="s">
        <v>24669</v>
      </c>
      <c r="G8627" s="3">
        <v>0.2</v>
      </c>
      <c r="H8627" s="3">
        <v>0.2</v>
      </c>
      <c r="I8627" s="3" t="s">
        <v>48</v>
      </c>
      <c r="J8627" s="3" t="s">
        <v>24670</v>
      </c>
      <c r="K8627" s="3" t="s">
        <v>71</v>
      </c>
      <c r="L8627" s="3" t="str">
        <f>IFERROR(__xludf.DUMMYFUNCTION("GOOGLETRANSLATE(F8627,""id"",""en"")"),"is there a replay trophy ceremony the trophy distribution event to Argentina is always the world champion the name of the link what Thanks thanks")</f>
        <v>is there a replay trophy ceremony the trophy distribution event to Argentina is always the world champion the name of the link what Thanks thanks</v>
      </c>
    </row>
    <row r="8628" ht="15.75" customHeight="1">
      <c r="A8628" s="1">
        <v>9851.0</v>
      </c>
      <c r="B8628" s="3" t="s">
        <v>24671</v>
      </c>
      <c r="C8628" s="3">
        <v>0.0</v>
      </c>
      <c r="D8628" s="3">
        <v>0.0</v>
      </c>
      <c r="E8628" s="3">
        <v>1.0</v>
      </c>
      <c r="F8628" s="3" t="s">
        <v>24672</v>
      </c>
      <c r="G8628" s="3">
        <v>0.0</v>
      </c>
      <c r="H8628" s="3">
        <v>0.0</v>
      </c>
      <c r="I8628" s="3" t="s">
        <v>13</v>
      </c>
      <c r="J8628" s="3" t="s">
        <v>24673</v>
      </c>
      <c r="K8628" s="3" t="s">
        <v>644</v>
      </c>
      <c r="L8628" s="3" t="str">
        <f>IFERROR(__xludf.DUMMYFUNCTION("GOOGLETRANSLATE(F8628,""id"",""en"")"),"Argentina can win because of assistance from the referee")</f>
        <v>Argentina can win because of assistance from the referee</v>
      </c>
    </row>
    <row r="8629" ht="15.75" customHeight="1">
      <c r="A8629" s="1">
        <v>9852.0</v>
      </c>
      <c r="B8629" s="3" t="s">
        <v>24674</v>
      </c>
      <c r="C8629" s="3">
        <v>0.0</v>
      </c>
      <c r="D8629" s="3">
        <v>0.0</v>
      </c>
      <c r="E8629" s="3">
        <v>0.0</v>
      </c>
      <c r="F8629" s="3" t="s">
        <v>24675</v>
      </c>
      <c r="G8629" s="3">
        <v>0.0</v>
      </c>
      <c r="H8629" s="3">
        <v>0.0</v>
      </c>
      <c r="I8629" s="3" t="s">
        <v>13</v>
      </c>
      <c r="J8629" s="3" t="s">
        <v>24676</v>
      </c>
      <c r="K8629" s="3" t="s">
        <v>31</v>
      </c>
      <c r="L8629" s="3" t="str">
        <f>IFERROR(__xludf.DUMMYFUNCTION("GOOGLETRANSLATE(F8629,""id"",""en"")"),"Argentina Waifu Champion remains Main")</f>
        <v>Argentina Waifu Champion remains Main</v>
      </c>
    </row>
    <row r="8630" ht="15.75" customHeight="1">
      <c r="A8630" s="1">
        <v>9853.0</v>
      </c>
      <c r="B8630" s="3" t="s">
        <v>24677</v>
      </c>
      <c r="C8630" s="3">
        <v>0.0</v>
      </c>
      <c r="D8630" s="3">
        <v>4.0</v>
      </c>
      <c r="E8630" s="3">
        <v>0.0</v>
      </c>
      <c r="F8630" s="3" t="s">
        <v>24678</v>
      </c>
      <c r="G8630" s="3">
        <v>0.0</v>
      </c>
      <c r="H8630" s="3">
        <v>0.0</v>
      </c>
      <c r="I8630" s="3" t="s">
        <v>13</v>
      </c>
      <c r="J8630" s="3" t="s">
        <v>24679</v>
      </c>
      <c r="K8630" s="3" t="s">
        <v>19</v>
      </c>
      <c r="L8630" s="3" t="str">
        <f>IFERROR(__xludf.DUMMYFUNCTION("GOOGLETRANSLATE(F8630,""id"",""en"")"),"Argentine national team champion World Cup Penggawa Tango Team Celebrates Kylian Mbappe's Death")</f>
        <v>Argentine national team champion World Cup Penggawa Tango Team Celebrates Kylian Mbappe's Death</v>
      </c>
    </row>
    <row r="8631" ht="15.75" customHeight="1">
      <c r="A8631" s="1">
        <v>9854.0</v>
      </c>
      <c r="B8631" s="3" t="s">
        <v>24680</v>
      </c>
      <c r="C8631" s="3">
        <v>0.0</v>
      </c>
      <c r="D8631" s="3">
        <v>0.0</v>
      </c>
      <c r="E8631" s="3">
        <v>0.0</v>
      </c>
      <c r="F8631" s="3" t="s">
        <v>24681</v>
      </c>
      <c r="G8631" s="3">
        <v>0.0</v>
      </c>
      <c r="H8631" s="3">
        <v>0.0</v>
      </c>
      <c r="I8631" s="3" t="s">
        <v>13</v>
      </c>
      <c r="J8631" s="3" t="s">
        <v>24682</v>
      </c>
      <c r="K8631" s="3" t="s">
        <v>308</v>
      </c>
      <c r="L8631" s="3" t="str">
        <f>IFERROR(__xludf.DUMMYFUNCTION("GOOGLETRANSLATE(F8631,""id"",""en"")"),"Thanksyou Fabio Quartararo Failed Jurdun MotoGP Ronaldo Left from the defeat of Ronaldo World Cup last England Argentina's World Cup Automatically Messi")</f>
        <v>Thanksyou Fabio Quartararo Failed Jurdun MotoGP Ronaldo Left from the defeat of Ronaldo World Cup last England Argentina's World Cup Automatically Messi</v>
      </c>
    </row>
    <row r="8632" ht="15.75" customHeight="1">
      <c r="A8632" s="1">
        <v>9855.0</v>
      </c>
      <c r="B8632" s="3" t="s">
        <v>24683</v>
      </c>
      <c r="C8632" s="3">
        <v>512.0</v>
      </c>
      <c r="D8632" s="3">
        <v>469.0</v>
      </c>
      <c r="E8632" s="3">
        <v>534.0</v>
      </c>
      <c r="F8632" s="3" t="s">
        <v>24684</v>
      </c>
      <c r="G8632" s="3">
        <v>0.0</v>
      </c>
      <c r="H8632" s="3">
        <v>0.0</v>
      </c>
      <c r="I8632" s="3" t="s">
        <v>13</v>
      </c>
      <c r="J8632" s="3" t="s">
        <v>24685</v>
      </c>
      <c r="K8632" s="3" t="s">
        <v>725</v>
      </c>
      <c r="L8632" s="3" t="str">
        <f>IFERROR(__xludf.DUMMYFUNCTION("GOOGLETRANSLATE(F8632,""id"",""en"")"),"according to the promise because the Argentina champion this year wants to share the Ovo Pay Shopeepay Wallet for each people can get the Giveaway Follow Like Tweet Terms Reply with Messi The Goat is announced tomorrow the hour tomorrow")</f>
        <v>according to the promise because the Argentina champion this year wants to share the Ovo Pay Shopeepay Wallet for each people can get the Giveaway Follow Like Tweet Terms Reply with Messi The Goat is announced tomorrow the hour tomorrow</v>
      </c>
    </row>
    <row r="8633" ht="15.75" customHeight="1">
      <c r="A8633" s="1">
        <v>9856.0</v>
      </c>
      <c r="B8633" s="3" t="s">
        <v>24686</v>
      </c>
      <c r="C8633" s="3">
        <v>0.0</v>
      </c>
      <c r="D8633" s="3">
        <v>0.0</v>
      </c>
      <c r="E8633" s="3">
        <v>0.0</v>
      </c>
      <c r="F8633" s="3" t="s">
        <v>24687</v>
      </c>
      <c r="G8633" s="3">
        <v>0.0</v>
      </c>
      <c r="H8633" s="3">
        <v>0.0</v>
      </c>
      <c r="I8633" s="3" t="s">
        <v>13</v>
      </c>
      <c r="J8633" s="3" t="s">
        <v>24688</v>
      </c>
      <c r="K8633" s="3" t="s">
        <v>31</v>
      </c>
      <c r="L8633" s="3" t="str">
        <f>IFERROR(__xludf.DUMMYFUNCTION("GOOGLETRANSLATE(F8633,""id"",""en"")"),"cloudy wkwkwkwkkw don't get angry Argentina champions")</f>
        <v>cloudy wkwkwkwkkw don't get angry Argentina champions</v>
      </c>
    </row>
    <row r="8634" ht="15.75" customHeight="1">
      <c r="A8634" s="1">
        <v>9857.0</v>
      </c>
      <c r="B8634" s="3" t="s">
        <v>24689</v>
      </c>
      <c r="C8634" s="3">
        <v>2.0</v>
      </c>
      <c r="D8634" s="3">
        <v>0.0</v>
      </c>
      <c r="E8634" s="3">
        <v>0.0</v>
      </c>
      <c r="F8634" s="3" t="s">
        <v>24690</v>
      </c>
      <c r="G8634" s="3">
        <v>0.0</v>
      </c>
      <c r="H8634" s="3">
        <v>0.0</v>
      </c>
      <c r="I8634" s="3" t="s">
        <v>13</v>
      </c>
      <c r="J8634" s="3" t="s">
        <v>24691</v>
      </c>
      <c r="K8634" s="3" t="s">
        <v>31</v>
      </c>
      <c r="L8634" s="3" t="str">
        <f>IFERROR(__xludf.DUMMYFUNCTION("GOOGLETRANSLATE(F8634,""id"",""en"")"),"Without diving dimaria, it is impossible for Argentina to win")</f>
        <v>Without diving dimaria, it is impossible for Argentina to win</v>
      </c>
    </row>
    <row r="8635" ht="15.75" customHeight="1">
      <c r="A8635" s="1">
        <v>9858.0</v>
      </c>
      <c r="B8635" s="3" t="s">
        <v>24692</v>
      </c>
      <c r="C8635" s="3">
        <v>0.0</v>
      </c>
      <c r="D8635" s="3">
        <v>0.0</v>
      </c>
      <c r="E8635" s="3">
        <v>0.0</v>
      </c>
      <c r="F8635" s="3" t="s">
        <v>24693</v>
      </c>
      <c r="G8635" s="3">
        <v>0.0</v>
      </c>
      <c r="H8635" s="3">
        <v>0.0</v>
      </c>
      <c r="I8635" s="3" t="s">
        <v>13</v>
      </c>
      <c r="J8635" s="3" t="s">
        <v>24694</v>
      </c>
      <c r="K8635" s="3" t="s">
        <v>1293</v>
      </c>
      <c r="L8635" s="3" t="str">
        <f>IFERROR(__xludf.DUMMYFUNCTION("GOOGLETRANSLATE(F8635,""id"",""en"")"),"Congrats Argentina World Cup Although Argentina World Champion will affect Guwa because it still has to work for money tomorrow")</f>
        <v>Congrats Argentina World Cup Although Argentina World Champion will affect Guwa because it still has to work for money tomorrow</v>
      </c>
    </row>
    <row r="8636" ht="15.75" customHeight="1">
      <c r="A8636" s="1">
        <v>9859.0</v>
      </c>
      <c r="B8636" s="3" t="s">
        <v>24695</v>
      </c>
      <c r="C8636" s="3">
        <v>0.0</v>
      </c>
      <c r="D8636" s="3">
        <v>0.0</v>
      </c>
      <c r="E8636" s="3">
        <v>2.0</v>
      </c>
      <c r="F8636" s="3" t="s">
        <v>24696</v>
      </c>
      <c r="G8636" s="3">
        <v>0.0</v>
      </c>
      <c r="H8636" s="3">
        <v>0.0</v>
      </c>
      <c r="I8636" s="3" t="s">
        <v>13</v>
      </c>
      <c r="J8636" s="3" t="s">
        <v>24697</v>
      </c>
      <c r="K8636" s="3" t="s">
        <v>15</v>
      </c>
      <c r="L8636" s="3" t="str">
        <f>IFERROR(__xludf.DUMMYFUNCTION("GOOGLETRANSLATE(F8636,""id"",""en"")"),"Argentina Update French World Cup Champion Runner")</f>
        <v>Argentina Update French World Cup Champion Runner</v>
      </c>
    </row>
    <row r="8637" ht="15.75" customHeight="1">
      <c r="A8637" s="1">
        <v>9860.0</v>
      </c>
      <c r="B8637" s="3" t="s">
        <v>24698</v>
      </c>
      <c r="C8637" s="3">
        <v>0.0</v>
      </c>
      <c r="D8637" s="3">
        <v>0.0</v>
      </c>
      <c r="E8637" s="3">
        <v>0.0</v>
      </c>
      <c r="F8637" s="3" t="s">
        <v>24699</v>
      </c>
      <c r="G8637" s="3">
        <v>0.0</v>
      </c>
      <c r="H8637" s="3">
        <v>0.0</v>
      </c>
      <c r="I8637" s="3" t="s">
        <v>13</v>
      </c>
      <c r="J8637" s="3" t="s">
        <v>24700</v>
      </c>
      <c r="K8637" s="3" t="s">
        <v>54</v>
      </c>
      <c r="L8637" s="3" t="str">
        <f>IFERROR(__xludf.DUMMYFUNCTION("GOOGLETRANSLATE(F8637,""id"",""en"")"),"Argentina The Qatar World Cup championship")</f>
        <v>Argentina The Qatar World Cup championship</v>
      </c>
    </row>
    <row r="8638" ht="15.75" customHeight="1">
      <c r="A8638" s="1">
        <v>9861.0</v>
      </c>
      <c r="B8638" s="3" t="s">
        <v>24701</v>
      </c>
      <c r="C8638" s="3">
        <v>1.0</v>
      </c>
      <c r="D8638" s="3">
        <v>0.0</v>
      </c>
      <c r="E8638" s="3">
        <v>2.0</v>
      </c>
      <c r="F8638" s="3" t="s">
        <v>24702</v>
      </c>
      <c r="G8638" s="3">
        <v>0.0</v>
      </c>
      <c r="H8638" s="3">
        <v>0.0</v>
      </c>
      <c r="I8638" s="3" t="s">
        <v>13</v>
      </c>
      <c r="J8638" s="3" t="s">
        <v>24703</v>
      </c>
      <c r="K8638" s="3" t="s">
        <v>433</v>
      </c>
      <c r="L8638" s="3" t="str">
        <f>IFERROR(__xludf.DUMMYFUNCTION("GOOGLETRANSLATE(F8638,""id"",""en"")"),"Photos of Celebration of Argentine Supporters After Champion World Cup of the Ocean of the Capital of the State Via")</f>
        <v>Photos of Celebration of Argentine Supporters After Champion World Cup of the Ocean of the Capital of the State Via</v>
      </c>
    </row>
    <row r="8639" ht="15.75" customHeight="1">
      <c r="A8639" s="1">
        <v>9862.0</v>
      </c>
      <c r="B8639" s="3" t="s">
        <v>24704</v>
      </c>
      <c r="C8639" s="3">
        <v>0.0</v>
      </c>
      <c r="D8639" s="3">
        <v>0.0</v>
      </c>
      <c r="E8639" s="3">
        <v>0.0</v>
      </c>
      <c r="F8639" s="3" t="s">
        <v>23065</v>
      </c>
      <c r="G8639" s="3">
        <v>0.0</v>
      </c>
      <c r="H8639" s="3">
        <v>0.0</v>
      </c>
      <c r="I8639" s="3" t="s">
        <v>13</v>
      </c>
      <c r="J8639" s="3" t="s">
        <v>23066</v>
      </c>
      <c r="K8639" s="3" t="s">
        <v>495</v>
      </c>
      <c r="L8639" s="3" t="str">
        <f>IFERROR(__xludf.DUMMYFUNCTION("GOOGLETRANSLATE(F8639,""id"",""en"")"),"The unique thing happened after the celebration of the World Cup Lusail Player Champion to the Argentine supporters cutting the goal net for memories")</f>
        <v>The unique thing happened after the celebration of the World Cup Lusail Player Champion to the Argentine supporters cutting the goal net for memories</v>
      </c>
    </row>
    <row r="8640" ht="15.75" customHeight="1">
      <c r="A8640" s="1">
        <v>9863.0</v>
      </c>
      <c r="B8640" s="3" t="s">
        <v>24705</v>
      </c>
      <c r="C8640" s="3">
        <v>0.0</v>
      </c>
      <c r="D8640" s="3">
        <v>0.0</v>
      </c>
      <c r="E8640" s="3">
        <v>11.0</v>
      </c>
      <c r="F8640" s="3" t="s">
        <v>24706</v>
      </c>
      <c r="G8640" s="3">
        <v>0.0</v>
      </c>
      <c r="H8640" s="3">
        <v>0.0</v>
      </c>
      <c r="I8640" s="3" t="s">
        <v>13</v>
      </c>
      <c r="J8640" s="3" t="s">
        <v>24707</v>
      </c>
      <c r="K8640" s="3" t="s">
        <v>19</v>
      </c>
      <c r="L8640" s="3" t="str">
        <f>IFERROR(__xludf.DUMMYFUNCTION("GOOGLETRANSLATE(F8640,""id"",""en"")"),"Congratulations to Argentina who has managed to come out as the champion of your Qatar World Cup when the champion")</f>
        <v>Congratulations to Argentina who has managed to come out as the champion of your Qatar World Cup when the champion</v>
      </c>
    </row>
    <row r="8641" ht="15.75" customHeight="1">
      <c r="A8641" s="1">
        <v>9864.0</v>
      </c>
      <c r="B8641" s="3" t="s">
        <v>24708</v>
      </c>
      <c r="C8641" s="3">
        <v>0.0</v>
      </c>
      <c r="D8641" s="3">
        <v>0.0</v>
      </c>
      <c r="E8641" s="3">
        <v>0.0</v>
      </c>
      <c r="F8641" s="3" t="s">
        <v>24709</v>
      </c>
      <c r="G8641" s="3">
        <v>1.0</v>
      </c>
      <c r="H8641" s="3">
        <v>0.0</v>
      </c>
      <c r="I8641" s="3" t="s">
        <v>13</v>
      </c>
      <c r="J8641" s="3" t="s">
        <v>24710</v>
      </c>
      <c r="K8641" s="3" t="s">
        <v>192</v>
      </c>
      <c r="L8641" s="3" t="str">
        <f>IFERROR(__xludf.DUMMYFUNCTION("GOOGLETRANSLATE(F8641,""id"",""en"")"),"From the results of a very dramatic final match, the audience tense and in the end Argentina came out to the champion at the Qatar World Cup to watch using Dong IndiHometv's video and always accompanied the World Cup at the World Cup")</f>
        <v>From the results of a very dramatic final match, the audience tense and in the end Argentina came out to the champion at the Qatar World Cup to watch using Dong IndiHometv's video and always accompanied the World Cup at the World Cup</v>
      </c>
    </row>
    <row r="8642" ht="15.75" customHeight="1">
      <c r="A8642" s="1">
        <v>9865.0</v>
      </c>
      <c r="B8642" s="3" t="s">
        <v>24711</v>
      </c>
      <c r="C8642" s="3">
        <v>2.0</v>
      </c>
      <c r="D8642" s="3">
        <v>0.0</v>
      </c>
      <c r="E8642" s="3">
        <v>0.0</v>
      </c>
      <c r="F8642" s="3" t="s">
        <v>24712</v>
      </c>
      <c r="G8642" s="3">
        <v>0.4</v>
      </c>
      <c r="H8642" s="3">
        <v>0.2</v>
      </c>
      <c r="I8642" s="3" t="s">
        <v>48</v>
      </c>
      <c r="J8642" s="3" t="s">
        <v>24713</v>
      </c>
      <c r="K8642" s="3" t="s">
        <v>2610</v>
      </c>
      <c r="L8642" s="3" t="str">
        <f>IFERROR(__xludf.DUMMYFUNCTION("GOOGLETRANSLATE(F8642,""id"",""en"")"),"wkwkw ciaa pens, bro, dodo, a stupid kid is caught like Argentina, hahaha, loses a bet, how much funds are safe, right, eating rice using salt")</f>
        <v>wkwkw ciaa pens, bro, dodo, a stupid kid is caught like Argentina, hahaha, loses a bet, how much funds are safe, right, eating rice using salt</v>
      </c>
    </row>
    <row r="8643" ht="15.75" customHeight="1">
      <c r="A8643" s="1">
        <v>9866.0</v>
      </c>
      <c r="B8643" s="3" t="s">
        <v>24714</v>
      </c>
      <c r="C8643" s="3">
        <v>0.0</v>
      </c>
      <c r="D8643" s="3">
        <v>0.0</v>
      </c>
      <c r="E8643" s="3">
        <v>1.0</v>
      </c>
      <c r="F8643" s="3" t="s">
        <v>24715</v>
      </c>
      <c r="G8643" s="3">
        <v>0.0</v>
      </c>
      <c r="H8643" s="3">
        <v>0.0</v>
      </c>
      <c r="I8643" s="3" t="s">
        <v>13</v>
      </c>
      <c r="J8643" s="3" t="s">
        <v>24716</v>
      </c>
      <c r="K8643" s="3" t="s">
        <v>54</v>
      </c>
      <c r="L8643" s="3" t="str">
        <f>IFERROR(__xludf.DUMMYFUNCTION("GOOGLETRANSLATE(F8643,""id"",""en"")"),"coming humiliated home to become champions that Argentina")</f>
        <v>coming humiliated home to become champions that Argentina</v>
      </c>
    </row>
    <row r="8644" ht="15.75" customHeight="1">
      <c r="A8644" s="1">
        <v>9867.0</v>
      </c>
      <c r="B8644" s="3" t="s">
        <v>24717</v>
      </c>
      <c r="C8644" s="3">
        <v>0.0</v>
      </c>
      <c r="D8644" s="3">
        <v>0.0</v>
      </c>
      <c r="E8644" s="3">
        <v>0.0</v>
      </c>
      <c r="F8644" s="3" t="s">
        <v>24718</v>
      </c>
      <c r="G8644" s="3">
        <v>0.0</v>
      </c>
      <c r="H8644" s="3">
        <v>0.0</v>
      </c>
      <c r="I8644" s="3" t="s">
        <v>13</v>
      </c>
      <c r="J8644" s="3" t="s">
        <v>24719</v>
      </c>
      <c r="K8644" s="3" t="s">
        <v>205</v>
      </c>
      <c r="L8644" s="3" t="str">
        <f>IFERROR(__xludf.DUMMYFUNCTION("GOOGLETRANSLATE(F8644,""id"",""en"")"),"No Ridha Argentina is champion but in an Argentine permanent deserves appreciation of playing with the team and Congretulesion Lionel Messi Aing Vans Dodo from childhood")</f>
        <v>No Ridha Argentina is champion but in an Argentine permanent deserves appreciation of playing with the team and Congretulesion Lionel Messi Aing Vans Dodo from childhood</v>
      </c>
    </row>
    <row r="8645" ht="15.75" customHeight="1">
      <c r="A8645" s="1">
        <v>9868.0</v>
      </c>
      <c r="B8645" s="3" t="s">
        <v>24720</v>
      </c>
      <c r="C8645" s="3">
        <v>0.0</v>
      </c>
      <c r="D8645" s="3">
        <v>0.0</v>
      </c>
      <c r="E8645" s="3">
        <v>1.0</v>
      </c>
      <c r="F8645" s="3" t="s">
        <v>24721</v>
      </c>
      <c r="G8645" s="3">
        <v>0.55</v>
      </c>
      <c r="H8645" s="3">
        <v>0.35</v>
      </c>
      <c r="I8645" s="3" t="s">
        <v>48</v>
      </c>
      <c r="J8645" s="3" t="s">
        <v>24722</v>
      </c>
      <c r="K8645" s="3" t="s">
        <v>23</v>
      </c>
      <c r="L8645" s="3" t="str">
        <f>IFERROR(__xludf.DUMMYFUNCTION("GOOGLETRANSLATE(F8645,""id"",""en"")"),"Finally Messi can bring Argentina to win the Full Smile Football Party for the team and for those who support Argentina to the last penalty kick Congrats")</f>
        <v>Finally Messi can bring Argentina to win the Full Smile Football Party for the team and for those who support Argentina to the last penalty kick Congrats</v>
      </c>
    </row>
    <row r="8646" ht="15.75" customHeight="1">
      <c r="A8646" s="1">
        <v>9869.0</v>
      </c>
      <c r="B8646" s="3" t="s">
        <v>24723</v>
      </c>
      <c r="C8646" s="3">
        <v>0.0</v>
      </c>
      <c r="D8646" s="3">
        <v>0.0</v>
      </c>
      <c r="E8646" s="3">
        <v>0.0</v>
      </c>
      <c r="F8646" s="3" t="s">
        <v>20962</v>
      </c>
      <c r="G8646" s="3">
        <v>0.0</v>
      </c>
      <c r="H8646" s="3">
        <v>0.0</v>
      </c>
      <c r="I8646" s="3" t="s">
        <v>13</v>
      </c>
      <c r="J8646" s="3" t="s">
        <v>20963</v>
      </c>
      <c r="K8646" s="3" t="s">
        <v>15</v>
      </c>
      <c r="L8646" s="3" t="str">
        <f>IFERROR(__xludf.DUMMYFUNCTION("GOOGLETRANSLATE(F8646,""id"",""en"")"),"How many prizes did Argentina received after the World Cup championship")</f>
        <v>How many prizes did Argentina received after the World Cup championship</v>
      </c>
    </row>
    <row r="8647" ht="15.75" customHeight="1">
      <c r="A8647" s="1">
        <v>9870.0</v>
      </c>
      <c r="B8647" s="3" t="s">
        <v>24724</v>
      </c>
      <c r="C8647" s="3">
        <v>0.0</v>
      </c>
      <c r="D8647" s="3">
        <v>0.0</v>
      </c>
      <c r="E8647" s="3">
        <v>0.0</v>
      </c>
      <c r="F8647" s="3" t="s">
        <v>24725</v>
      </c>
      <c r="G8647" s="3">
        <v>0.0</v>
      </c>
      <c r="H8647" s="3">
        <v>0.0</v>
      </c>
      <c r="I8647" s="3" t="s">
        <v>13</v>
      </c>
      <c r="J8647" s="3" t="s">
        <v>24726</v>
      </c>
      <c r="K8647" s="3" t="s">
        <v>82</v>
      </c>
      <c r="L8647" s="3" t="str">
        <f>IFERROR(__xludf.DUMMYFUNCTION("GOOGLETRANSLATE(F8647,""id"",""en"")"),"The most beautiful Christmas gift this year see Argentina Champion")</f>
        <v>The most beautiful Christmas gift this year see Argentina Champion</v>
      </c>
    </row>
    <row r="8648" ht="15.75" customHeight="1">
      <c r="A8648" s="1">
        <v>9871.0</v>
      </c>
      <c r="B8648" s="3" t="s">
        <v>24727</v>
      </c>
      <c r="C8648" s="3">
        <v>0.0</v>
      </c>
      <c r="D8648" s="3">
        <v>0.0</v>
      </c>
      <c r="E8648" s="3">
        <v>0.0</v>
      </c>
      <c r="F8648" s="3" t="s">
        <v>24728</v>
      </c>
      <c r="G8648" s="3">
        <v>0.0</v>
      </c>
      <c r="H8648" s="3">
        <v>0.0</v>
      </c>
      <c r="I8648" s="3" t="s">
        <v>13</v>
      </c>
      <c r="J8648" s="3" t="s">
        <v>24729</v>
      </c>
      <c r="K8648" s="3" t="s">
        <v>358</v>
      </c>
      <c r="L8648" s="3" t="str">
        <f>IFERROR(__xludf.DUMMYFUNCTION("GOOGLETRANSLATE(F8648,""id"",""en"")"),"Soon like the tattoan is already on the world if the world champion all the Argentine players will be tattoo to commemorate if I'm not mistaken")</f>
        <v>Soon like the tattoan is already on the world if the world champion all the Argentine players will be tattoo to commemorate if I'm not mistaken</v>
      </c>
    </row>
    <row r="8649" ht="15.75" customHeight="1">
      <c r="A8649" s="1">
        <v>9872.0</v>
      </c>
      <c r="B8649" s="3" t="s">
        <v>24730</v>
      </c>
      <c r="C8649" s="3">
        <v>0.0</v>
      </c>
      <c r="D8649" s="3">
        <v>0.0</v>
      </c>
      <c r="E8649" s="3">
        <v>0.0</v>
      </c>
      <c r="F8649" s="3" t="s">
        <v>24731</v>
      </c>
      <c r="G8649" s="3">
        <v>0.0</v>
      </c>
      <c r="H8649" s="3">
        <v>0.0</v>
      </c>
      <c r="I8649" s="3" t="s">
        <v>13</v>
      </c>
      <c r="J8649" s="3" t="s">
        <v>24732</v>
      </c>
      <c r="K8649" s="3" t="s">
        <v>15</v>
      </c>
      <c r="L8649" s="3" t="str">
        <f>IFERROR(__xludf.DUMMYFUNCTION("GOOGLETRANSLATE(F8649,""id"",""en"")"),"It was Argentina Champion graduated from Leo Messi through")</f>
        <v>It was Argentina Champion graduated from Leo Messi through</v>
      </c>
    </row>
    <row r="8650" ht="15.75" customHeight="1">
      <c r="A8650" s="1">
        <v>9873.0</v>
      </c>
      <c r="B8650" s="3" t="s">
        <v>24733</v>
      </c>
      <c r="C8650" s="3">
        <v>0.0</v>
      </c>
      <c r="D8650" s="3">
        <v>0.0</v>
      </c>
      <c r="E8650" s="3">
        <v>0.0</v>
      </c>
      <c r="F8650" s="3" t="s">
        <v>24734</v>
      </c>
      <c r="G8650" s="3">
        <v>0.0</v>
      </c>
      <c r="H8650" s="3">
        <v>0.0</v>
      </c>
      <c r="I8650" s="3" t="s">
        <v>13</v>
      </c>
      <c r="J8650" s="3" t="s">
        <v>24735</v>
      </c>
      <c r="K8650" s="3" t="s">
        <v>31</v>
      </c>
      <c r="L8650" s="3" t="str">
        <f>IFERROR(__xludf.DUMMYFUNCTION("GOOGLETRANSLATE(F8650,""id"",""en"")"),"For the sake of Argentina, champion for regular sleep hours")</f>
        <v>For the sake of Argentina, champion for regular sleep hours</v>
      </c>
    </row>
    <row r="8651" ht="15.75" customHeight="1">
      <c r="A8651" s="1">
        <v>9874.0</v>
      </c>
      <c r="B8651" s="3" t="s">
        <v>24736</v>
      </c>
      <c r="C8651" s="3">
        <v>1.0</v>
      </c>
      <c r="D8651" s="3">
        <v>0.0</v>
      </c>
      <c r="E8651" s="3">
        <v>0.0</v>
      </c>
      <c r="F8651" s="3" t="s">
        <v>24737</v>
      </c>
      <c r="G8651" s="3">
        <v>0.0</v>
      </c>
      <c r="H8651" s="3">
        <v>0.0</v>
      </c>
      <c r="I8651" s="3" t="s">
        <v>13</v>
      </c>
      <c r="J8651" s="3" t="s">
        <v>24738</v>
      </c>
      <c r="K8651" s="3" t="s">
        <v>644</v>
      </c>
      <c r="L8651" s="3" t="str">
        <f>IFERROR(__xludf.DUMMYFUNCTION("GOOGLETRANSLATE(F8651,""id"",""en"")"),"ASIKKKK Argentina Champion Min")</f>
        <v>ASIKKKK Argentina Champion Min</v>
      </c>
    </row>
    <row r="8652" ht="15.75" customHeight="1">
      <c r="A8652" s="1">
        <v>9875.0</v>
      </c>
      <c r="B8652" s="3" t="s">
        <v>24739</v>
      </c>
      <c r="C8652" s="3">
        <v>0.0</v>
      </c>
      <c r="D8652" s="3">
        <v>0.0</v>
      </c>
      <c r="E8652" s="3">
        <v>1.0</v>
      </c>
      <c r="F8652" s="3" t="s">
        <v>24740</v>
      </c>
      <c r="G8652" s="3">
        <v>0.0</v>
      </c>
      <c r="H8652" s="3">
        <v>0.0</v>
      </c>
      <c r="I8652" s="3" t="s">
        <v>13</v>
      </c>
      <c r="J8652" s="3" t="s">
        <v>24741</v>
      </c>
      <c r="K8652" s="3" t="s">
        <v>71</v>
      </c>
      <c r="L8652" s="3" t="str">
        <f>IFERROR(__xludf.DUMMYFUNCTION("GOOGLETRANSLATE(F8652,""id"",""en"")"),"Argentina Champion World Cup like End Era Messi Tpi Ronaldo Still Icon Football Siiiuuuu")</f>
        <v>Argentina Champion World Cup like End Era Messi Tpi Ronaldo Still Icon Football Siiiuuuu</v>
      </c>
    </row>
    <row r="8653" ht="15.75" customHeight="1">
      <c r="A8653" s="1">
        <v>9876.0</v>
      </c>
      <c r="B8653" s="3" t="s">
        <v>24742</v>
      </c>
      <c r="C8653" s="3">
        <v>0.0</v>
      </c>
      <c r="D8653" s="3">
        <v>0.0</v>
      </c>
      <c r="E8653" s="3">
        <v>2.0</v>
      </c>
      <c r="F8653" s="3" t="s">
        <v>24204</v>
      </c>
      <c r="G8653" s="3">
        <v>0.4</v>
      </c>
      <c r="H8653" s="3">
        <v>-0.4</v>
      </c>
      <c r="I8653" s="3" t="s">
        <v>179</v>
      </c>
      <c r="J8653" s="3" t="s">
        <v>24205</v>
      </c>
      <c r="K8653" s="3" t="s">
        <v>266</v>
      </c>
      <c r="L8653" s="3" t="str">
        <f>IFERROR(__xludf.DUMMYFUNCTION("GOOGLETRANSLATE(F8653,""id"",""en"")"),"Sports Predictions for the FIFA game series maker last November about Argentina World Cup champions come true with the victory of Argentina, meaning that sports have been in a row of predictions about the champions of the pildun starting from and")</f>
        <v>Sports Predictions for the FIFA game series maker last November about Argentina World Cup champions come true with the victory of Argentina, meaning that sports have been in a row of predictions about the champions of the pildun starting from and</v>
      </c>
    </row>
    <row r="8654" ht="15.75" customHeight="1">
      <c r="A8654" s="1">
        <v>9877.0</v>
      </c>
      <c r="B8654" s="3" t="s">
        <v>24743</v>
      </c>
      <c r="C8654" s="3">
        <v>0.0</v>
      </c>
      <c r="D8654" s="3">
        <v>0.0</v>
      </c>
      <c r="E8654" s="3">
        <v>0.0</v>
      </c>
      <c r="F8654" s="3" t="s">
        <v>24744</v>
      </c>
      <c r="G8654" s="3">
        <v>0.0</v>
      </c>
      <c r="H8654" s="3">
        <v>0.0</v>
      </c>
      <c r="I8654" s="3" t="s">
        <v>13</v>
      </c>
      <c r="J8654" s="3" t="s">
        <v>24745</v>
      </c>
      <c r="K8654" s="3" t="s">
        <v>8160</v>
      </c>
      <c r="L8654" s="3" t="str">
        <f>IFERROR(__xludf.DUMMYFUNCTION("GOOGLETRANSLATE(F8654,""id"",""en"")"),"Mueheheheh Mak, if it's just natural, just look at it and the value of the Francis player is just a mbappe, there is a partner while the front pair is compact from the beginning of the competing, already reading Argentina, surely the championship")</f>
        <v>Mueheheheh Mak, if it's just natural, just look at it and the value of the Francis player is just a mbappe, there is a partner while the front pair is compact from the beginning of the competing, already reading Argentina, surely the championship</v>
      </c>
    </row>
    <row r="8655" ht="15.75" customHeight="1">
      <c r="A8655" s="1">
        <v>9878.0</v>
      </c>
      <c r="B8655" s="3" t="s">
        <v>24746</v>
      </c>
      <c r="C8655" s="3">
        <v>0.0</v>
      </c>
      <c r="D8655" s="3">
        <v>0.0</v>
      </c>
      <c r="E8655" s="3">
        <v>0.0</v>
      </c>
      <c r="F8655" s="3" t="s">
        <v>24747</v>
      </c>
      <c r="G8655" s="3">
        <v>0.0</v>
      </c>
      <c r="H8655" s="3">
        <v>0.0</v>
      </c>
      <c r="I8655" s="3" t="s">
        <v>13</v>
      </c>
      <c r="J8655" s="3" t="s">
        <v>24748</v>
      </c>
      <c r="K8655" s="3" t="s">
        <v>75</v>
      </c>
      <c r="L8655" s="3" t="str">
        <f>IFERROR(__xludf.DUMMYFUNCTION("GOOGLETRANSLATE(F8655,""id"",""en"")"),"Messi, if retired, is sure to be a civil servant because it brings Argentina in the world champion")</f>
        <v>Messi, if retired, is sure to be a civil servant because it brings Argentina in the world champion</v>
      </c>
    </row>
    <row r="8656" ht="15.75" customHeight="1">
      <c r="A8656" s="1">
        <v>9879.0</v>
      </c>
      <c r="B8656" s="3" t="s">
        <v>24749</v>
      </c>
      <c r="C8656" s="3">
        <v>0.0</v>
      </c>
      <c r="D8656" s="3">
        <v>0.0</v>
      </c>
      <c r="E8656" s="3">
        <v>0.0</v>
      </c>
      <c r="F8656" s="3" t="s">
        <v>24750</v>
      </c>
      <c r="G8656" s="3">
        <v>0.5</v>
      </c>
      <c r="H8656" s="3">
        <v>0.5</v>
      </c>
      <c r="I8656" s="3" t="s">
        <v>48</v>
      </c>
      <c r="J8656" s="3" t="s">
        <v>24751</v>
      </c>
      <c r="K8656" s="3" t="s">
        <v>131</v>
      </c>
      <c r="L8656" s="3" t="str">
        <f>IFERROR(__xludf.DUMMYFUNCTION("GOOGLETRANSLATE(F8656,""id"",""en"")"),"Sing Champion Argentina Sing lift the Messi Sing Sing Top Mbappe Cup but Sing Emergent Mbandingno Step Wong Indonesia")</f>
        <v>Sing Champion Argentina Sing lift the Messi Sing Sing Top Mbappe Cup but Sing Emergent Mbandingno Step Wong Indonesia</v>
      </c>
    </row>
    <row r="8657" ht="15.75" customHeight="1">
      <c r="A8657" s="1">
        <v>9880.0</v>
      </c>
      <c r="B8657" s="3" t="s">
        <v>24752</v>
      </c>
      <c r="C8657" s="3">
        <v>0.0</v>
      </c>
      <c r="D8657" s="3">
        <v>0.0</v>
      </c>
      <c r="E8657" s="3">
        <v>0.0</v>
      </c>
      <c r="F8657" s="3" t="s">
        <v>24753</v>
      </c>
      <c r="G8657" s="3">
        <v>0.0</v>
      </c>
      <c r="H8657" s="3">
        <v>0.0</v>
      </c>
      <c r="I8657" s="3" t="s">
        <v>13</v>
      </c>
      <c r="J8657" s="3" t="s">
        <v>24754</v>
      </c>
      <c r="K8657" s="3" t="s">
        <v>82</v>
      </c>
      <c r="L8657" s="3" t="str">
        <f>IFERROR(__xludf.DUMMYFUNCTION("GOOGLETRANSLATE(F8657,""id"",""en"")"),"Only the era of Pak Jokowi Argentina can become champions again")</f>
        <v>Only the era of Pak Jokowi Argentina can become champions again</v>
      </c>
    </row>
    <row r="8658" ht="15.75" customHeight="1">
      <c r="A8658" s="1">
        <v>9881.0</v>
      </c>
      <c r="B8658" s="3" t="s">
        <v>24755</v>
      </c>
      <c r="C8658" s="3">
        <v>0.0</v>
      </c>
      <c r="D8658" s="3">
        <v>0.0</v>
      </c>
      <c r="E8658" s="3">
        <v>1.0</v>
      </c>
      <c r="F8658" s="3" t="s">
        <v>24756</v>
      </c>
      <c r="G8658" s="3">
        <v>0.0</v>
      </c>
      <c r="H8658" s="3">
        <v>0.0</v>
      </c>
      <c r="I8658" s="3" t="s">
        <v>13</v>
      </c>
      <c r="J8658" s="3" t="s">
        <v>24757</v>
      </c>
      <c r="K8658" s="3" t="s">
        <v>58</v>
      </c>
      <c r="L8658" s="3" t="str">
        <f>IFERROR(__xludf.DUMMYFUNCTION("GOOGLETRANSLATE(F8658,""id"",""en"")"),"I don't know today, smiles everywhere.")</f>
        <v>I don't know today, smiles everywhere.</v>
      </c>
    </row>
    <row r="8659" ht="15.75" customHeight="1">
      <c r="A8659" s="1">
        <v>9882.0</v>
      </c>
      <c r="B8659" s="3" t="s">
        <v>24758</v>
      </c>
      <c r="C8659" s="3">
        <v>0.0</v>
      </c>
      <c r="D8659" s="3">
        <v>1.0</v>
      </c>
      <c r="E8659" s="3">
        <v>9.0</v>
      </c>
      <c r="F8659" s="3" t="s">
        <v>24759</v>
      </c>
      <c r="G8659" s="3">
        <v>0.0</v>
      </c>
      <c r="H8659" s="3">
        <v>0.0</v>
      </c>
      <c r="I8659" s="3" t="s">
        <v>13</v>
      </c>
      <c r="J8659" s="3" t="s">
        <v>24760</v>
      </c>
      <c r="K8659" s="3" t="s">
        <v>495</v>
      </c>
      <c r="L8659" s="3" t="str">
        <f>IFERROR(__xludf.DUMMYFUNCTION("GOOGLETRANSLATE(F8659,""id"",""en"")"),"Emiliano Martinez hasn't even been established as the club's main goalkeeper three years ago and only debuted with Argentina in now the World Cup championship")</f>
        <v>Emiliano Martinez hasn't even been established as the club's main goalkeeper three years ago and only debuted with Argentina in now the World Cup championship</v>
      </c>
    </row>
    <row r="8660" ht="15.75" customHeight="1">
      <c r="A8660" s="1">
        <v>9883.0</v>
      </c>
      <c r="B8660" s="3" t="s">
        <v>24761</v>
      </c>
      <c r="C8660" s="3">
        <v>0.0</v>
      </c>
      <c r="D8660" s="3">
        <v>0.0</v>
      </c>
      <c r="E8660" s="3">
        <v>12.0</v>
      </c>
      <c r="F8660" s="3" t="s">
        <v>24762</v>
      </c>
      <c r="G8660" s="3">
        <v>0.0</v>
      </c>
      <c r="H8660" s="3">
        <v>0.0</v>
      </c>
      <c r="I8660" s="3" t="s">
        <v>13</v>
      </c>
      <c r="J8660" s="3" t="s">
        <v>24763</v>
      </c>
      <c r="K8660" s="3" t="s">
        <v>240</v>
      </c>
      <c r="L8660" s="3" t="str">
        <f>IFERROR(__xludf.DUMMYFUNCTION("GOOGLETRANSLATE(F8660,""id"",""en"")"),"Argentina Champion World Cup When the players rejoiced by crying happily, coming Sergio Aguero brought a party in a hilarious style")</f>
        <v>Argentina Champion World Cup When the players rejoiced by crying happily, coming Sergio Aguero brought a party in a hilarious style</v>
      </c>
    </row>
    <row r="8661" ht="15.75" customHeight="1">
      <c r="A8661" s="1">
        <v>9884.0</v>
      </c>
      <c r="B8661" s="3" t="s">
        <v>24764</v>
      </c>
      <c r="C8661" s="3">
        <v>1.0</v>
      </c>
      <c r="D8661" s="3">
        <v>0.0</v>
      </c>
      <c r="E8661" s="3">
        <v>0.0</v>
      </c>
      <c r="F8661" s="3" t="s">
        <v>24765</v>
      </c>
      <c r="G8661" s="3">
        <v>0.0</v>
      </c>
      <c r="H8661" s="3">
        <v>0.0</v>
      </c>
      <c r="I8661" s="3" t="s">
        <v>13</v>
      </c>
      <c r="J8661" s="3" t="s">
        <v>24766</v>
      </c>
      <c r="K8661" s="3" t="s">
        <v>1045</v>
      </c>
      <c r="L8661" s="3" t="str">
        <f>IFERROR(__xludf.DUMMYFUNCTION("GOOGLETRANSLATE(F8661,""id"",""en"")"),"so this is a deck in a competition as big as a mslh pildun as big as a thorn can damage the team's performance if Aguero becomes a thorn, maybe Argentina can win the competition, they are very complicated")</f>
        <v>so this is a deck in a competition as big as a mslh pildun as big as a thorn can damage the team's performance if Aguero becomes a thorn, maybe Argentina can win the competition, they are very complicated</v>
      </c>
    </row>
    <row r="8662" ht="15.75" customHeight="1">
      <c r="A8662" s="1">
        <v>9885.0</v>
      </c>
      <c r="B8662" s="3" t="s">
        <v>24767</v>
      </c>
      <c r="C8662" s="3">
        <v>0.0</v>
      </c>
      <c r="D8662" s="3">
        <v>0.0</v>
      </c>
      <c r="E8662" s="3">
        <v>0.0</v>
      </c>
      <c r="F8662" s="3" t="s">
        <v>24768</v>
      </c>
      <c r="G8662" s="3">
        <v>0.0</v>
      </c>
      <c r="H8662" s="3">
        <v>0.0</v>
      </c>
      <c r="I8662" s="3" t="s">
        <v>13</v>
      </c>
      <c r="J8662" s="3" t="s">
        <v>24769</v>
      </c>
      <c r="K8662" s="3" t="s">
        <v>54</v>
      </c>
      <c r="L8662" s="3" t="str">
        <f>IFERROR(__xludf.DUMMYFUNCTION("GOOGLETRANSLATE(F8662,""id"",""en"")"),"Because Ibul Chairperson of PSSI is why Argentina is champion")</f>
        <v>Because Ibul Chairperson of PSSI is why Argentina is champion</v>
      </c>
    </row>
    <row r="8663" ht="15.75" customHeight="1">
      <c r="A8663" s="1">
        <v>9886.0</v>
      </c>
      <c r="B8663" s="3" t="s">
        <v>24770</v>
      </c>
      <c r="C8663" s="3">
        <v>3.0</v>
      </c>
      <c r="D8663" s="3">
        <v>3.0</v>
      </c>
      <c r="E8663" s="3">
        <v>28.0</v>
      </c>
      <c r="F8663" s="3" t="s">
        <v>24771</v>
      </c>
      <c r="G8663" s="3">
        <v>0.0</v>
      </c>
      <c r="H8663" s="3">
        <v>0.0</v>
      </c>
      <c r="I8663" s="3" t="s">
        <v>13</v>
      </c>
      <c r="J8663" s="3" t="s">
        <v>24772</v>
      </c>
      <c r="K8663" s="3" t="s">
        <v>1293</v>
      </c>
      <c r="L8663" s="3" t="str">
        <f>IFERROR(__xludf.DUMMYFUNCTION("GOOGLETRANSLATE(F8663,""id"",""en"")"),"Argentina came out as the World Cup champion Messi officially took the GOAT title, I could imagine how happy Argentine was today")</f>
        <v>Argentina came out as the World Cup champion Messi officially took the GOAT title, I could imagine how happy Argentine was today</v>
      </c>
    </row>
    <row r="8664" ht="15.75" customHeight="1">
      <c r="A8664" s="1">
        <v>9887.0</v>
      </c>
      <c r="B8664" s="3" t="s">
        <v>24773</v>
      </c>
      <c r="C8664" s="3">
        <v>0.0</v>
      </c>
      <c r="D8664" s="3">
        <v>0.0</v>
      </c>
      <c r="E8664" s="3">
        <v>3.0</v>
      </c>
      <c r="F8664" s="3" t="s">
        <v>24774</v>
      </c>
      <c r="G8664" s="3">
        <v>0.0</v>
      </c>
      <c r="H8664" s="3">
        <v>0.0</v>
      </c>
      <c r="I8664" s="3" t="s">
        <v>13</v>
      </c>
      <c r="J8664" s="3" t="s">
        <v>24775</v>
      </c>
      <c r="K8664" s="3" t="s">
        <v>510</v>
      </c>
      <c r="L8664" s="3" t="str">
        <f>IFERROR(__xludf.DUMMYFUNCTION("GOOGLETRANSLATE(F8664,""id"",""en"")"),"Argentina won the World Cup Rodrigo Paul also celebrated it with a goal net and cigar suction")</f>
        <v>Argentina won the World Cup Rodrigo Paul also celebrated it with a goal net and cigar suction</v>
      </c>
    </row>
    <row r="8665" ht="15.75" customHeight="1">
      <c r="A8665" s="1">
        <v>9888.0</v>
      </c>
      <c r="B8665" s="3" t="s">
        <v>24776</v>
      </c>
      <c r="C8665" s="3">
        <v>1.0</v>
      </c>
      <c r="D8665" s="3">
        <v>3.0</v>
      </c>
      <c r="E8665" s="3">
        <v>10.0</v>
      </c>
      <c r="F8665" s="3" t="s">
        <v>24777</v>
      </c>
      <c r="G8665" s="3">
        <v>0.0</v>
      </c>
      <c r="H8665" s="3">
        <v>0.0</v>
      </c>
      <c r="I8665" s="3" t="s">
        <v>13</v>
      </c>
      <c r="J8665" s="3" t="s">
        <v>24778</v>
      </c>
      <c r="K8665" s="3" t="s">
        <v>348</v>
      </c>
      <c r="L8665" s="3" t="str">
        <f>IFERROR(__xludf.DUMMYFUNCTION("GOOGLETRANSLATE(F8665,""id"",""en"")"),"Congratulations on the victory of Argentina to become the World Cup champion, the Sea of ​​Happiness continues with the presence of the Christmas and New Year holidays which will come soon soon")</f>
        <v>Congratulations on the victory of Argentina to become the World Cup champion, the Sea of ​​Happiness continues with the presence of the Christmas and New Year holidays which will come soon soon</v>
      </c>
    </row>
    <row r="8666" ht="15.75" customHeight="1">
      <c r="A8666" s="1">
        <v>9889.0</v>
      </c>
      <c r="B8666" s="3" t="s">
        <v>24779</v>
      </c>
      <c r="C8666" s="3">
        <v>0.0</v>
      </c>
      <c r="D8666" s="3">
        <v>1.0</v>
      </c>
      <c r="E8666" s="3">
        <v>5.0</v>
      </c>
      <c r="F8666" s="3" t="s">
        <v>24780</v>
      </c>
      <c r="G8666" s="3">
        <v>0.0</v>
      </c>
      <c r="H8666" s="3">
        <v>0.0</v>
      </c>
      <c r="I8666" s="3" t="s">
        <v>13</v>
      </c>
      <c r="J8666" s="3" t="s">
        <v>24781</v>
      </c>
      <c r="K8666" s="3" t="s">
        <v>657</v>
      </c>
      <c r="L8666" s="3" t="str">
        <f>IFERROR(__xludf.DUMMYFUNCTION("GOOGLETRANSLATE(F8666,""id"",""en"")"),"Argentina Champion World Cup Special because of losing its first fight it turns out that the Tango team became the second country to do it")</f>
        <v>Argentina Champion World Cup Special because of losing its first fight it turns out that the Tango team became the second country to do it</v>
      </c>
    </row>
    <row r="8667" ht="15.75" customHeight="1">
      <c r="A8667" s="1">
        <v>9890.0</v>
      </c>
      <c r="B8667" s="3" t="s">
        <v>24782</v>
      </c>
      <c r="C8667" s="3">
        <v>0.0</v>
      </c>
      <c r="D8667" s="3">
        <v>0.0</v>
      </c>
      <c r="E8667" s="3">
        <v>3.0</v>
      </c>
      <c r="F8667" s="3" t="s">
        <v>24783</v>
      </c>
      <c r="G8667" s="3">
        <v>1.0</v>
      </c>
      <c r="H8667" s="3">
        <v>0.0</v>
      </c>
      <c r="I8667" s="3" t="s">
        <v>13</v>
      </c>
      <c r="J8667" s="3" t="s">
        <v>24784</v>
      </c>
      <c r="K8667" s="3" t="s">
        <v>1293</v>
      </c>
      <c r="L8667" s="3" t="str">
        <f>IFERROR(__xludf.DUMMYFUNCTION("GOOGLETRANSLATE(F8667,""id"",""en"")"),"Argentina Champion World Cup but must go through the Lionel Scaloni Final Emotional Rollercoaster said the final against France was very crazy")</f>
        <v>Argentina Champion World Cup but must go through the Lionel Scaloni Final Emotional Rollercoaster said the final against France was very crazy</v>
      </c>
    </row>
    <row r="8668" ht="15.75" customHeight="1">
      <c r="A8668" s="1">
        <v>9891.0</v>
      </c>
      <c r="B8668" s="3" t="s">
        <v>24785</v>
      </c>
      <c r="C8668" s="3">
        <v>1.0</v>
      </c>
      <c r="D8668" s="3">
        <v>4.0</v>
      </c>
      <c r="E8668" s="3">
        <v>5.0</v>
      </c>
      <c r="F8668" s="3" t="s">
        <v>24786</v>
      </c>
      <c r="G8668" s="3">
        <v>0.45</v>
      </c>
      <c r="H8668" s="3">
        <v>0.2666666666666667</v>
      </c>
      <c r="I8668" s="3" t="s">
        <v>48</v>
      </c>
      <c r="J8668" s="3" t="s">
        <v>24787</v>
      </c>
      <c r="K8668" s="3" t="s">
        <v>574</v>
      </c>
      <c r="L8668" s="3" t="str">
        <f>IFERROR(__xludf.DUMMYFUNCTION("GOOGLETRANSLATE(F8668,""id"",""en"")"),"Congratulations Lionel Messi Winning the Golden Ball Award Messi's slick appearance and a solid team cooperation brought Argentina to become the world champion of FIFA World Cup Qatar")</f>
        <v>Congratulations Lionel Messi Winning the Golden Ball Award Messi's slick appearance and a solid team cooperation brought Argentina to become the world champion of FIFA World Cup Qatar</v>
      </c>
    </row>
    <row r="8669" ht="15.75" customHeight="1">
      <c r="A8669" s="1">
        <v>9892.0</v>
      </c>
      <c r="B8669" s="3" t="s">
        <v>24788</v>
      </c>
      <c r="C8669" s="3">
        <v>0.0</v>
      </c>
      <c r="D8669" s="3">
        <v>0.0</v>
      </c>
      <c r="E8669" s="3">
        <v>0.0</v>
      </c>
      <c r="F8669" s="3" t="s">
        <v>24789</v>
      </c>
      <c r="G8669" s="3">
        <v>0.0</v>
      </c>
      <c r="H8669" s="3">
        <v>0.0</v>
      </c>
      <c r="I8669" s="3" t="s">
        <v>13</v>
      </c>
      <c r="J8669" s="3" t="s">
        <v>24790</v>
      </c>
      <c r="K8669" s="3" t="s">
        <v>54</v>
      </c>
      <c r="L8669" s="3" t="str">
        <f>IFERROR(__xludf.DUMMYFUNCTION("GOOGLETRANSLATE(F8669,""id"",""en"")"),"Who is the only a gathering Argentina championship")</f>
        <v>Who is the only a gathering Argentina championship</v>
      </c>
    </row>
    <row r="8670" ht="15.75" customHeight="1">
      <c r="A8670" s="1">
        <v>9893.0</v>
      </c>
      <c r="B8670" s="3" t="s">
        <v>24791</v>
      </c>
      <c r="C8670" s="3">
        <v>0.0</v>
      </c>
      <c r="D8670" s="3">
        <v>0.0</v>
      </c>
      <c r="E8670" s="3">
        <v>4.0</v>
      </c>
      <c r="F8670" s="3" t="s">
        <v>24792</v>
      </c>
      <c r="G8670" s="3">
        <v>0.0</v>
      </c>
      <c r="H8670" s="3">
        <v>0.0</v>
      </c>
      <c r="I8670" s="3" t="s">
        <v>13</v>
      </c>
      <c r="J8670" s="3" t="s">
        <v>24793</v>
      </c>
      <c r="K8670" s="3" t="s">
        <v>499</v>
      </c>
      <c r="L8670" s="3" t="str">
        <f>IFERROR(__xludf.DUMMYFUNCTION("GOOGLETRANSLATE(F8670,""id"",""en"")"),"Argentina won the World Cup after defeating France through the captain's penalty shootout drama the captain also celebrated that happy moment with his wife and children")</f>
        <v>Argentina won the World Cup after defeating France through the captain's penalty shootout drama the captain also celebrated that happy moment with his wife and children</v>
      </c>
    </row>
    <row r="8671" ht="15.75" customHeight="1">
      <c r="A8671" s="1">
        <v>9894.0</v>
      </c>
      <c r="B8671" s="3" t="s">
        <v>24794</v>
      </c>
      <c r="C8671" s="3">
        <v>0.0</v>
      </c>
      <c r="D8671" s="3">
        <v>0.0</v>
      </c>
      <c r="E8671" s="3">
        <v>0.0</v>
      </c>
      <c r="F8671" s="3" t="s">
        <v>24795</v>
      </c>
      <c r="G8671" s="3">
        <v>1.0</v>
      </c>
      <c r="H8671" s="3">
        <v>0.925</v>
      </c>
      <c r="I8671" s="3" t="s">
        <v>48</v>
      </c>
      <c r="J8671" s="3" t="s">
        <v>24796</v>
      </c>
      <c r="K8671" s="3" t="s">
        <v>997</v>
      </c>
      <c r="L8671" s="3" t="str">
        <f>IFERROR(__xludf.DUMMYFUNCTION("GOOGLETRANSLATE(F8671,""id"",""en"")"),"December Argentina won the third world cup champion I am not an Argentine national team fans but just think of this appreciation for Rodrigo Paul for all his contributions to ensure that Messi kept his promise to the destiny of Beautiful Moment Wonderful "&amp;"Place")</f>
        <v>December Argentina won the third world cup champion I am not an Argentine national team fans but just think of this appreciation for Rodrigo Paul for all his contributions to ensure that Messi kept his promise to the destiny of Beautiful Moment Wonderful Place</v>
      </c>
    </row>
    <row r="8672" ht="15.75" customHeight="1">
      <c r="A8672" s="1">
        <v>9895.0</v>
      </c>
      <c r="B8672" s="3" t="s">
        <v>24797</v>
      </c>
      <c r="C8672" s="3">
        <v>0.0</v>
      </c>
      <c r="D8672" s="3">
        <v>1.0</v>
      </c>
      <c r="E8672" s="3">
        <v>0.0</v>
      </c>
      <c r="F8672" s="3" t="s">
        <v>24798</v>
      </c>
      <c r="G8672" s="3">
        <v>0.0</v>
      </c>
      <c r="H8672" s="3">
        <v>0.0</v>
      </c>
      <c r="I8672" s="3" t="s">
        <v>13</v>
      </c>
      <c r="J8672" s="3" t="s">
        <v>24799</v>
      </c>
      <c r="K8672" s="3" t="s">
        <v>75</v>
      </c>
      <c r="L8672" s="3" t="str">
        <f>IFERROR(__xludf.DUMMYFUNCTION("GOOGLETRANSLATE(F8672,""id"",""en"")"),"Scaloni was immediately sad when remembering Maradona could not see Argentina World Cup champions")</f>
        <v>Scaloni was immediately sad when remembering Maradona could not see Argentina World Cup champions</v>
      </c>
    </row>
    <row r="8673" ht="15.75" customHeight="1">
      <c r="A8673" s="1">
        <v>9896.0</v>
      </c>
      <c r="B8673" s="3" t="s">
        <v>24800</v>
      </c>
      <c r="C8673" s="3">
        <v>0.0</v>
      </c>
      <c r="D8673" s="3">
        <v>0.0</v>
      </c>
      <c r="E8673" s="3">
        <v>0.0</v>
      </c>
      <c r="F8673" s="3" t="s">
        <v>24801</v>
      </c>
      <c r="G8673" s="3">
        <v>0.0</v>
      </c>
      <c r="H8673" s="3">
        <v>0.0</v>
      </c>
      <c r="I8673" s="3" t="s">
        <v>13</v>
      </c>
      <c r="J8673" s="3" t="s">
        <v>24802</v>
      </c>
      <c r="K8673" s="3" t="s">
        <v>75</v>
      </c>
      <c r="L8673" s="3" t="str">
        <f>IFERROR(__xludf.DUMMYFUNCTION("GOOGLETRANSLATE(F8673,""id"",""en"")"),"waiting for the year of Argentina finally champions of the Qatar World Cup after defeating France")</f>
        <v>waiting for the year of Argentina finally champions of the Qatar World Cup after defeating France</v>
      </c>
    </row>
    <row r="8674" ht="15.75" customHeight="1">
      <c r="A8674" s="1">
        <v>9897.0</v>
      </c>
      <c r="B8674" s="3" t="s">
        <v>24803</v>
      </c>
      <c r="C8674" s="3">
        <v>0.0</v>
      </c>
      <c r="D8674" s="3">
        <v>0.0</v>
      </c>
      <c r="E8674" s="3">
        <v>0.0</v>
      </c>
      <c r="F8674" s="3" t="s">
        <v>24804</v>
      </c>
      <c r="G8674" s="3">
        <v>0.0</v>
      </c>
      <c r="H8674" s="3">
        <v>0.0</v>
      </c>
      <c r="I8674" s="3" t="s">
        <v>13</v>
      </c>
      <c r="J8674" s="3" t="s">
        <v>24805</v>
      </c>
      <c r="K8674" s="3" t="s">
        <v>54</v>
      </c>
      <c r="L8674" s="3" t="str">
        <f>IFERROR(__xludf.DUMMYFUNCTION("GOOGLETRANSLATE(F8674,""id"",""en"")"),"Congratulations to Argentina first place in the World Cup")</f>
        <v>Congratulations to Argentina first place in the World Cup</v>
      </c>
    </row>
    <row r="8675" ht="15.75" customHeight="1">
      <c r="A8675" s="1">
        <v>9898.0</v>
      </c>
      <c r="B8675" s="3" t="s">
        <v>24806</v>
      </c>
      <c r="C8675" s="3">
        <v>0.0</v>
      </c>
      <c r="D8675" s="3">
        <v>0.0</v>
      </c>
      <c r="E8675" s="3">
        <v>0.0</v>
      </c>
      <c r="F8675" s="3" t="s">
        <v>24807</v>
      </c>
      <c r="G8675" s="3">
        <v>0.5</v>
      </c>
      <c r="H8675" s="3">
        <v>0.5</v>
      </c>
      <c r="I8675" s="3" t="s">
        <v>48</v>
      </c>
      <c r="J8675" s="3" t="s">
        <v>24808</v>
      </c>
      <c r="K8675" s="3" t="s">
        <v>2262</v>
      </c>
      <c r="L8675" s="3" t="str">
        <f>IFERROR(__xludf.DUMMYFUNCTION("GOOGLETRANSLATE(F8675,""id"",""en"")"),"World Cup World Cup Champion Argentina Top Scorer Mario Kempes Goals World Cup Mexico with Top Scorer Diego Armando Maradona Goals World Cup Qatar Top Scorer Lionel Andr")</f>
        <v>World Cup World Cup Champion Argentina Top Scorer Mario Kempes Goals World Cup Mexico with Top Scorer Diego Armando Maradona Goals World Cup Qatar Top Scorer Lionel Andr</v>
      </c>
    </row>
    <row r="8676" ht="15.75" customHeight="1">
      <c r="A8676" s="1">
        <v>9899.0</v>
      </c>
      <c r="B8676" s="3" t="s">
        <v>24809</v>
      </c>
      <c r="C8676" s="3">
        <v>1.0</v>
      </c>
      <c r="D8676" s="3">
        <v>0.0</v>
      </c>
      <c r="E8676" s="3">
        <v>0.0</v>
      </c>
      <c r="F8676" s="3" t="s">
        <v>24810</v>
      </c>
      <c r="G8676" s="3">
        <v>0.0</v>
      </c>
      <c r="H8676" s="3">
        <v>0.0</v>
      </c>
      <c r="I8676" s="3" t="s">
        <v>13</v>
      </c>
      <c r="J8676" s="3" t="s">
        <v>24811</v>
      </c>
      <c r="K8676" s="3" t="s">
        <v>322</v>
      </c>
      <c r="L8676" s="3" t="str">
        <f>IFERROR(__xludf.DUMMYFUNCTION("GOOGLETRANSLATE(F8676,""id"",""en"")"),"Because there are no Argentine players, there are no Barca world champions")</f>
        <v>Because there are no Argentine players, there are no Barca world champions</v>
      </c>
    </row>
    <row r="8677" ht="15.75" customHeight="1">
      <c r="A8677" s="1">
        <v>9900.0</v>
      </c>
      <c r="B8677" s="3" t="s">
        <v>24812</v>
      </c>
      <c r="C8677" s="3">
        <v>0.0</v>
      </c>
      <c r="D8677" s="3">
        <v>0.0</v>
      </c>
      <c r="E8677" s="3">
        <v>0.0</v>
      </c>
      <c r="F8677" s="3" t="s">
        <v>24813</v>
      </c>
      <c r="G8677" s="3">
        <v>0.0</v>
      </c>
      <c r="H8677" s="3">
        <v>0.0</v>
      </c>
      <c r="I8677" s="3" t="s">
        <v>13</v>
      </c>
      <c r="J8677" s="3" t="s">
        <v>24814</v>
      </c>
      <c r="K8677" s="3" t="s">
        <v>484</v>
      </c>
      <c r="L8677" s="3" t="str">
        <f>IFERROR(__xludf.DUMMYFUNCTION("GOOGLETRANSLATE(F8677,""id"",""en"")"),"People say Argentina is champion because of settings because he said that France champions must be Anyep etc. mah, depressed people tend to be crazy")</f>
        <v>People say Argentina is champion because of settings because he said that France champions must be Anyep etc. mah, depressed people tend to be crazy</v>
      </c>
    </row>
    <row r="8678" ht="15.75" customHeight="1">
      <c r="A8678" s="1">
        <v>9901.0</v>
      </c>
      <c r="B8678" s="3" t="s">
        <v>24815</v>
      </c>
      <c r="C8678" s="3">
        <v>0.0</v>
      </c>
      <c r="D8678" s="3">
        <v>0.0</v>
      </c>
      <c r="E8678" s="3">
        <v>1.0</v>
      </c>
      <c r="F8678" s="3" t="s">
        <v>16103</v>
      </c>
      <c r="G8678" s="3">
        <v>0.0</v>
      </c>
      <c r="H8678" s="3">
        <v>0.0</v>
      </c>
      <c r="I8678" s="3" t="s">
        <v>13</v>
      </c>
      <c r="J8678" s="3" t="s">
        <v>16104</v>
      </c>
      <c r="K8678" s="3" t="s">
        <v>14571</v>
      </c>
      <c r="L8678" s="3" t="str">
        <f>IFERROR(__xludf.DUMMYFUNCTION("GOOGLETRANSLATE(F8678,""id"",""en"")"),"Argentina Champion")</f>
        <v>Argentina Champion</v>
      </c>
    </row>
    <row r="8679" ht="15.75" customHeight="1">
      <c r="A8679" s="1">
        <v>9902.0</v>
      </c>
      <c r="B8679" s="3" t="s">
        <v>24816</v>
      </c>
      <c r="C8679" s="3">
        <v>0.0</v>
      </c>
      <c r="D8679" s="3">
        <v>0.0</v>
      </c>
      <c r="E8679" s="3">
        <v>0.0</v>
      </c>
      <c r="F8679" s="3" t="s">
        <v>24817</v>
      </c>
      <c r="G8679" s="3">
        <v>0.0</v>
      </c>
      <c r="H8679" s="3">
        <v>0.0</v>
      </c>
      <c r="I8679" s="3" t="s">
        <v>13</v>
      </c>
      <c r="J8679" s="3" t="s">
        <v>24818</v>
      </c>
      <c r="K8679" s="3" t="s">
        <v>75</v>
      </c>
      <c r="L8679" s="3" t="str">
        <f>IFERROR(__xludf.DUMMYFUNCTION("GOOGLETRANSLATE(F8679,""id"",""en"")"),"Want Argentina World Cup Champion Winning still the person he likes")</f>
        <v>Want Argentina World Cup Champion Winning still the person he likes</v>
      </c>
    </row>
    <row r="8680" ht="15.75" customHeight="1">
      <c r="A8680" s="1">
        <v>9903.0</v>
      </c>
      <c r="B8680" s="3" t="s">
        <v>24819</v>
      </c>
      <c r="C8680" s="3">
        <v>0.0</v>
      </c>
      <c r="D8680" s="3">
        <v>0.0</v>
      </c>
      <c r="E8680" s="3">
        <v>2.0</v>
      </c>
      <c r="F8680" s="3" t="s">
        <v>24820</v>
      </c>
      <c r="G8680" s="3">
        <v>0.0</v>
      </c>
      <c r="H8680" s="3">
        <v>0.0</v>
      </c>
      <c r="I8680" s="3" t="s">
        <v>13</v>
      </c>
      <c r="J8680" s="3" t="s">
        <v>24821</v>
      </c>
      <c r="K8680" s="3" t="s">
        <v>358</v>
      </c>
      <c r="L8680" s="3" t="str">
        <f>IFERROR(__xludf.DUMMYFUNCTION("GOOGLETRANSLATE(F8680,""id"",""en"")"),"Argentina won the World Cup Tango team coming Qatar with the humiliation of Saudi Arabia the first match but the last match won the championship")</f>
        <v>Argentina won the World Cup Tango team coming Qatar with the humiliation of Saudi Arabia the first match but the last match won the championship</v>
      </c>
    </row>
    <row r="8681" ht="15.75" customHeight="1">
      <c r="A8681" s="1">
        <v>9904.0</v>
      </c>
      <c r="B8681" s="3" t="s">
        <v>24822</v>
      </c>
      <c r="C8681" s="3">
        <v>0.0</v>
      </c>
      <c r="D8681" s="3">
        <v>0.0</v>
      </c>
      <c r="E8681" s="3">
        <v>0.0</v>
      </c>
      <c r="F8681" s="3" t="s">
        <v>24823</v>
      </c>
      <c r="G8681" s="3">
        <v>0.0</v>
      </c>
      <c r="H8681" s="3">
        <v>0.0</v>
      </c>
      <c r="I8681" s="3" t="s">
        <v>13</v>
      </c>
      <c r="J8681" s="3" t="s">
        <v>24824</v>
      </c>
      <c r="K8681" s="3" t="s">
        <v>13588</v>
      </c>
      <c r="L8681" s="3" t="str">
        <f>IFERROR(__xludf.DUMMYFUNCTION("GOOGLETRANSLATE(F8681,""id"",""en"")"),"France has always hated Islam and even the Islamic slaughtering islamphobia of North African Muslims Bnyk likes that Argentina champions are planned to be founded there because of the many Jewish and Ethnic Groups before finally the Palestinian land was c"&amp;"hosen to be disappointed")</f>
        <v>France has always hated Islam and even the Islamic slaughtering islamphobia of North African Muslims Bnyk likes that Argentina champions are planned to be founded there because of the many Jewish and Ethnic Groups before finally the Palestinian land was chosen to be disappointed</v>
      </c>
    </row>
    <row r="8682" ht="15.75" customHeight="1">
      <c r="A8682" s="1">
        <v>9905.0</v>
      </c>
      <c r="B8682" s="3" t="s">
        <v>24825</v>
      </c>
      <c r="C8682" s="3">
        <v>0.0</v>
      </c>
      <c r="D8682" s="3">
        <v>0.0</v>
      </c>
      <c r="E8682" s="3">
        <v>0.0</v>
      </c>
      <c r="F8682" s="3" t="s">
        <v>24826</v>
      </c>
      <c r="G8682" s="3">
        <v>0.0</v>
      </c>
      <c r="H8682" s="3">
        <v>0.0</v>
      </c>
      <c r="I8682" s="3" t="s">
        <v>13</v>
      </c>
      <c r="J8682" s="3" t="s">
        <v>24827</v>
      </c>
      <c r="K8682" s="3" t="s">
        <v>54</v>
      </c>
      <c r="L8682" s="3" t="str">
        <f>IFERROR(__xludf.DUMMYFUNCTION("GOOGLETRANSLATE(F8682,""id"",""en"")"),"Every time you read the Argentine Tweet Champion always says Aamiin")</f>
        <v>Every time you read the Argentine Tweet Champion always says Aamiin</v>
      </c>
    </row>
    <row r="8683" ht="15.75" customHeight="1">
      <c r="A8683" s="1">
        <v>9906.0</v>
      </c>
      <c r="B8683" s="3" t="s">
        <v>24828</v>
      </c>
      <c r="C8683" s="3">
        <v>0.0</v>
      </c>
      <c r="D8683" s="3">
        <v>1.0</v>
      </c>
      <c r="E8683" s="3">
        <v>5.0</v>
      </c>
      <c r="F8683" s="3" t="s">
        <v>24829</v>
      </c>
      <c r="G8683" s="3">
        <v>0.0</v>
      </c>
      <c r="H8683" s="3">
        <v>0.0</v>
      </c>
      <c r="I8683" s="3" t="s">
        <v>13</v>
      </c>
      <c r="J8683" s="3" t="s">
        <v>24830</v>
      </c>
      <c r="K8683" s="3" t="s">
        <v>1147</v>
      </c>
      <c r="L8683" s="3" t="str">
        <f>IFERROR(__xludf.DUMMYFUNCTION("GOOGLETRANSLATE(F8683,""id"",""en"")"),"Lionel Messi is Son Goku Messi gathering one by one ballon like Goku collects a dragon ball until when a Ballon Messi is able to realize his desire to the World Cup title for Argentina")</f>
        <v>Lionel Messi is Son Goku Messi gathering one by one ballon like Goku collects a dragon ball until when a Ballon Messi is able to realize his desire to the World Cup title for Argentina</v>
      </c>
    </row>
    <row r="8684" ht="15.75" customHeight="1">
      <c r="A8684" s="1">
        <v>9907.0</v>
      </c>
      <c r="B8684" s="3" t="s">
        <v>24831</v>
      </c>
      <c r="C8684" s="3">
        <v>0.0</v>
      </c>
      <c r="D8684" s="3">
        <v>3.0</v>
      </c>
      <c r="E8684" s="3">
        <v>14.0</v>
      </c>
      <c r="F8684" s="3" t="s">
        <v>24832</v>
      </c>
      <c r="G8684" s="3">
        <v>0.0</v>
      </c>
      <c r="H8684" s="3">
        <v>0.0</v>
      </c>
      <c r="I8684" s="3" t="s">
        <v>13</v>
      </c>
      <c r="J8684" s="3" t="s">
        <v>24833</v>
      </c>
      <c r="K8684" s="3" t="s">
        <v>499</v>
      </c>
      <c r="L8684" s="3" t="str">
        <f>IFERROR(__xludf.DUMMYFUNCTION("GOOGLETRANSLATE(F8684,""id"",""en"")"),"In the past, Diego Maradona now Lionel Messi both played a big role in taking Argentina to become a World Cup champion to then pose with the championship trophy similar")</f>
        <v>In the past, Diego Maradona now Lionel Messi both played a big role in taking Argentina to become a World Cup champion to then pose with the championship trophy similar</v>
      </c>
    </row>
    <row r="8685" ht="15.75" customHeight="1">
      <c r="A8685" s="1">
        <v>9908.0</v>
      </c>
      <c r="B8685" s="3" t="s">
        <v>24834</v>
      </c>
      <c r="C8685" s="3">
        <v>0.0</v>
      </c>
      <c r="D8685" s="3">
        <v>0.0</v>
      </c>
      <c r="E8685" s="3">
        <v>0.0</v>
      </c>
      <c r="F8685" s="3" t="s">
        <v>24835</v>
      </c>
      <c r="G8685" s="3">
        <v>0.0</v>
      </c>
      <c r="H8685" s="3">
        <v>0.0</v>
      </c>
      <c r="I8685" s="3" t="s">
        <v>13</v>
      </c>
      <c r="J8685" s="3" t="s">
        <v>24836</v>
      </c>
      <c r="K8685" s="3" t="s">
        <v>82</v>
      </c>
      <c r="L8685" s="3" t="str">
        <f>IFERROR(__xludf.DUMMYFUNCTION("GOOGLETRANSLATE(F8685,""id"",""en"")"),"Pele Maradona must be happy now see Argentina Champion")</f>
        <v>Pele Maradona must be happy now see Argentina Champion</v>
      </c>
    </row>
    <row r="8686" ht="15.75" customHeight="1">
      <c r="A8686" s="1">
        <v>9909.0</v>
      </c>
      <c r="B8686" s="3" t="s">
        <v>24837</v>
      </c>
      <c r="C8686" s="3">
        <v>1.0</v>
      </c>
      <c r="D8686" s="3">
        <v>2.0</v>
      </c>
      <c r="E8686" s="3">
        <v>9.0</v>
      </c>
      <c r="F8686" s="3" t="s">
        <v>24820</v>
      </c>
      <c r="G8686" s="3">
        <v>0.0</v>
      </c>
      <c r="H8686" s="3">
        <v>0.0</v>
      </c>
      <c r="I8686" s="3" t="s">
        <v>13</v>
      </c>
      <c r="J8686" s="3" t="s">
        <v>24821</v>
      </c>
      <c r="K8686" s="3" t="s">
        <v>358</v>
      </c>
      <c r="L8686" s="3" t="str">
        <f>IFERROR(__xludf.DUMMYFUNCTION("GOOGLETRANSLATE(F8686,""id"",""en"")"),"Argentina won the World Cup Tango team coming Qatar with the humiliation of Saudi Arabia the first match but the last match won the championship")</f>
        <v>Argentina won the World Cup Tango team coming Qatar with the humiliation of Saudi Arabia the first match but the last match won the championship</v>
      </c>
    </row>
    <row r="8687" ht="15.75" customHeight="1">
      <c r="A8687" s="1">
        <v>9910.0</v>
      </c>
      <c r="B8687" s="3" t="s">
        <v>24838</v>
      </c>
      <c r="C8687" s="3">
        <v>4.0</v>
      </c>
      <c r="D8687" s="3">
        <v>2.0</v>
      </c>
      <c r="E8687" s="3">
        <v>20.0</v>
      </c>
      <c r="F8687" s="3" t="s">
        <v>16103</v>
      </c>
      <c r="G8687" s="3">
        <v>0.0</v>
      </c>
      <c r="H8687" s="3">
        <v>0.0</v>
      </c>
      <c r="I8687" s="3" t="s">
        <v>13</v>
      </c>
      <c r="J8687" s="3" t="s">
        <v>16104</v>
      </c>
      <c r="K8687" s="3" t="s">
        <v>14571</v>
      </c>
      <c r="L8687" s="3" t="str">
        <f>IFERROR(__xludf.DUMMYFUNCTION("GOOGLETRANSLATE(F8687,""id"",""en"")"),"Argentina Champion")</f>
        <v>Argentina Champion</v>
      </c>
    </row>
    <row r="8688" ht="15.75" customHeight="1">
      <c r="A8688" s="1">
        <v>9911.0</v>
      </c>
      <c r="B8688" s="3" t="s">
        <v>24839</v>
      </c>
      <c r="C8688" s="3">
        <v>0.0</v>
      </c>
      <c r="D8688" s="3">
        <v>0.0</v>
      </c>
      <c r="E8688" s="3">
        <v>0.0</v>
      </c>
      <c r="F8688" s="3" t="s">
        <v>24840</v>
      </c>
      <c r="G8688" s="3">
        <v>0.0</v>
      </c>
      <c r="H8688" s="3">
        <v>0.0</v>
      </c>
      <c r="I8688" s="3" t="s">
        <v>13</v>
      </c>
      <c r="J8688" s="3" t="s">
        <v>24841</v>
      </c>
      <c r="K8688" s="3" t="s">
        <v>75</v>
      </c>
      <c r="L8688" s="3" t="str">
        <f>IFERROR(__xludf.DUMMYFUNCTION("GOOGLETRANSLATE(F8688,""id"",""en"")"),"Since the beginning of the Golkar Party World Cup, Argentina Champion has been champion")</f>
        <v>Since the beginning of the Golkar Party World Cup, Argentina Champion has been champion</v>
      </c>
    </row>
    <row r="8689" ht="15.75" customHeight="1">
      <c r="A8689" s="1">
        <v>9912.0</v>
      </c>
      <c r="B8689" s="3" t="s">
        <v>24842</v>
      </c>
      <c r="C8689" s="3">
        <v>0.0</v>
      </c>
      <c r="D8689" s="3">
        <v>0.0</v>
      </c>
      <c r="E8689" s="3">
        <v>1.0</v>
      </c>
      <c r="F8689" s="3" t="s">
        <v>24029</v>
      </c>
      <c r="G8689" s="3">
        <v>0.0</v>
      </c>
      <c r="H8689" s="3">
        <v>0.0</v>
      </c>
      <c r="I8689" s="3" t="s">
        <v>13</v>
      </c>
      <c r="J8689" s="3" t="s">
        <v>24030</v>
      </c>
      <c r="K8689" s="3" t="s">
        <v>184</v>
      </c>
      <c r="L8689" s="3" t="str">
        <f>IFERROR(__xludf.DUMMYFUNCTION("GOOGLETRANSLATE(F8689,""id"",""en"")"),"Argentina is clearly happy to be the champion of the Qatar World Cup, but behind that success there are a number of things we need to learn from the Argentine national team in achieving success")</f>
        <v>Argentina is clearly happy to be the champion of the Qatar World Cup, but behind that success there are a number of things we need to learn from the Argentine national team in achieving success</v>
      </c>
    </row>
    <row r="8690" ht="15.75" customHeight="1">
      <c r="A8690" s="1">
        <v>9913.0</v>
      </c>
      <c r="B8690" s="3" t="s">
        <v>24843</v>
      </c>
      <c r="C8690" s="3">
        <v>0.0</v>
      </c>
      <c r="D8690" s="3">
        <v>0.0</v>
      </c>
      <c r="E8690" s="3">
        <v>0.0</v>
      </c>
      <c r="F8690" s="3" t="s">
        <v>24844</v>
      </c>
      <c r="G8690" s="3">
        <v>0.7272727272727273</v>
      </c>
      <c r="H8690" s="3">
        <v>0.06818181818181818</v>
      </c>
      <c r="I8690" s="3" t="s">
        <v>48</v>
      </c>
      <c r="J8690" s="3" t="s">
        <v>24845</v>
      </c>
      <c r="K8690" s="3" t="s">
        <v>456</v>
      </c>
      <c r="L8690" s="3" t="str">
        <f>IFERROR(__xludf.DUMMYFUNCTION("GOOGLETRANSLATE(F8690,""id"",""en"")"),"The fact that there is no way there is a national team able to win the World Cup in Backtoback after the New Trophy era, replace the Jules Rimet what France is achieved by entering the backtoback runner's final, only the best penalties are Argentina.")</f>
        <v>The fact that there is no way there is a national team able to win the World Cup in Backtoback after the New Trophy era, replace the Jules Rimet what France is achieved by entering the backtoback runner's final, only the best penalties are Argentina.</v>
      </c>
    </row>
    <row r="8691" ht="15.75" customHeight="1">
      <c r="A8691" s="1">
        <v>9914.0</v>
      </c>
      <c r="B8691" s="3" t="s">
        <v>24846</v>
      </c>
      <c r="C8691" s="3">
        <v>0.0</v>
      </c>
      <c r="D8691" s="3">
        <v>0.0</v>
      </c>
      <c r="E8691" s="3">
        <v>0.0</v>
      </c>
      <c r="F8691" s="3" t="s">
        <v>24847</v>
      </c>
      <c r="G8691" s="3">
        <v>0.0</v>
      </c>
      <c r="H8691" s="3">
        <v>0.0</v>
      </c>
      <c r="I8691" s="3" t="s">
        <v>13</v>
      </c>
      <c r="J8691" s="3" t="s">
        <v>24848</v>
      </c>
      <c r="K8691" s="3" t="s">
        <v>644</v>
      </c>
      <c r="L8691" s="3" t="str">
        <f>IFERROR(__xludf.DUMMYFUNCTION("GOOGLETRANSLATE(F8691,""id"",""en"")"),"Argentina game main champion")</f>
        <v>Argentina game main champion</v>
      </c>
    </row>
    <row r="8692" ht="15.75" customHeight="1">
      <c r="A8692" s="1">
        <v>9915.0</v>
      </c>
      <c r="B8692" s="3" t="s">
        <v>24849</v>
      </c>
      <c r="C8692" s="3">
        <v>0.0</v>
      </c>
      <c r="D8692" s="3">
        <v>0.0</v>
      </c>
      <c r="E8692" s="3">
        <v>0.0</v>
      </c>
      <c r="F8692" s="3" t="s">
        <v>24850</v>
      </c>
      <c r="G8692" s="3">
        <v>0.0</v>
      </c>
      <c r="H8692" s="3">
        <v>0.0</v>
      </c>
      <c r="I8692" s="3" t="s">
        <v>13</v>
      </c>
      <c r="J8692" s="3" t="s">
        <v>24851</v>
      </c>
      <c r="K8692" s="3" t="s">
        <v>644</v>
      </c>
      <c r="L8692" s="3" t="str">
        <f>IFERROR(__xludf.DUMMYFUNCTION("GOOGLETRANSLATE(F8692,""id"",""en"")"),"safe because of Argentina champions")</f>
        <v>safe because of Argentina champions</v>
      </c>
    </row>
    <row r="8693" ht="15.75" customHeight="1">
      <c r="A8693" s="1">
        <v>9916.0</v>
      </c>
      <c r="B8693" s="3" t="s">
        <v>24852</v>
      </c>
      <c r="C8693" s="3">
        <v>2.0</v>
      </c>
      <c r="D8693" s="3">
        <v>0.0</v>
      </c>
      <c r="E8693" s="3">
        <v>0.0</v>
      </c>
      <c r="F8693" s="3" t="s">
        <v>24853</v>
      </c>
      <c r="G8693" s="3">
        <v>0.0</v>
      </c>
      <c r="H8693" s="3">
        <v>0.0</v>
      </c>
      <c r="I8693" s="3" t="s">
        <v>13</v>
      </c>
      <c r="J8693" s="3" t="s">
        <v>24854</v>
      </c>
      <c r="K8693" s="3" t="s">
        <v>54</v>
      </c>
      <c r="L8693" s="3" t="str">
        <f>IFERROR(__xludf.DUMMYFUNCTION("GOOGLETRANSLATE(F8693,""id"",""en"")"),"Crying a guy at this time is seeing Messi and Argentina Champion")</f>
        <v>Crying a guy at this time is seeing Messi and Argentina Champion</v>
      </c>
    </row>
    <row r="8694" ht="15.75" customHeight="1">
      <c r="A8694" s="1">
        <v>9917.0</v>
      </c>
      <c r="B8694" s="3" t="s">
        <v>24855</v>
      </c>
      <c r="C8694" s="3">
        <v>43.0</v>
      </c>
      <c r="D8694" s="3">
        <v>14.0</v>
      </c>
      <c r="E8694" s="3">
        <v>133.0</v>
      </c>
      <c r="F8694" s="3" t="s">
        <v>24856</v>
      </c>
      <c r="G8694" s="3">
        <v>0.0</v>
      </c>
      <c r="H8694" s="3">
        <v>0.0</v>
      </c>
      <c r="I8694" s="3" t="s">
        <v>13</v>
      </c>
      <c r="J8694" s="3" t="s">
        <v>24857</v>
      </c>
      <c r="K8694" s="3" t="s">
        <v>82</v>
      </c>
      <c r="L8694" s="3" t="str">
        <f>IFERROR(__xludf.DUMMYFUNCTION("GOOGLETRANSLATE(F8694,""id"",""en"")"),"Sergio Kun enjoyed every second of the title obtained")</f>
        <v>Sergio Kun enjoyed every second of the title obtained</v>
      </c>
    </row>
    <row r="8695" ht="15.75" customHeight="1">
      <c r="A8695" s="1">
        <v>9918.0</v>
      </c>
      <c r="B8695" s="3" t="s">
        <v>24858</v>
      </c>
      <c r="C8695" s="3">
        <v>0.0</v>
      </c>
      <c r="D8695" s="3">
        <v>1.0</v>
      </c>
      <c r="E8695" s="3">
        <v>4.0</v>
      </c>
      <c r="F8695" s="3" t="s">
        <v>24792</v>
      </c>
      <c r="G8695" s="3">
        <v>0.0</v>
      </c>
      <c r="H8695" s="3">
        <v>0.0</v>
      </c>
      <c r="I8695" s="3" t="s">
        <v>13</v>
      </c>
      <c r="J8695" s="3" t="s">
        <v>24793</v>
      </c>
      <c r="K8695" s="3" t="s">
        <v>499</v>
      </c>
      <c r="L8695" s="3" t="str">
        <f>IFERROR(__xludf.DUMMYFUNCTION("GOOGLETRANSLATE(F8695,""id"",""en"")"),"Argentina won the World Cup after defeating France through the captain's penalty shootout drama the captain also celebrated that happy moment with his wife and children")</f>
        <v>Argentina won the World Cup after defeating France through the captain's penalty shootout drama the captain also celebrated that happy moment with his wife and children</v>
      </c>
    </row>
    <row r="8696" ht="15.75" customHeight="1">
      <c r="A8696" s="1">
        <v>9919.0</v>
      </c>
      <c r="B8696" s="3" t="s">
        <v>24859</v>
      </c>
      <c r="C8696" s="3">
        <v>0.0</v>
      </c>
      <c r="D8696" s="3">
        <v>0.0</v>
      </c>
      <c r="E8696" s="3">
        <v>0.0</v>
      </c>
      <c r="F8696" s="3" t="s">
        <v>24860</v>
      </c>
      <c r="G8696" s="3">
        <v>0.0</v>
      </c>
      <c r="H8696" s="3">
        <v>0.0</v>
      </c>
      <c r="I8696" s="3" t="s">
        <v>13</v>
      </c>
      <c r="J8696" s="3" t="s">
        <v>24861</v>
      </c>
      <c r="K8696" s="3" t="s">
        <v>54</v>
      </c>
      <c r="L8696" s="3" t="str">
        <f>IFERROR(__xludf.DUMMYFUNCTION("GOOGLETRANSLATE(F8696,""id"",""en"")"),"Argentina Champion thanks to Varane's big ass")</f>
        <v>Argentina Champion thanks to Varane's big ass</v>
      </c>
    </row>
    <row r="8697" ht="15.75" customHeight="1">
      <c r="A8697" s="1">
        <v>9920.0</v>
      </c>
      <c r="B8697" s="3" t="s">
        <v>24862</v>
      </c>
      <c r="C8697" s="3">
        <v>0.0</v>
      </c>
      <c r="D8697" s="3">
        <v>0.0</v>
      </c>
      <c r="E8697" s="3">
        <v>0.0</v>
      </c>
      <c r="F8697" s="3" t="s">
        <v>24863</v>
      </c>
      <c r="G8697" s="3">
        <v>0.0</v>
      </c>
      <c r="H8697" s="3">
        <v>0.0</v>
      </c>
      <c r="I8697" s="3" t="s">
        <v>13</v>
      </c>
      <c r="J8697" s="3" t="s">
        <v>24864</v>
      </c>
      <c r="K8697" s="3" t="s">
        <v>127</v>
      </c>
      <c r="L8697" s="3" t="str">
        <f>IFERROR(__xludf.DUMMYFUNCTION("GOOGLETRANSLATE(F8697,""id"",""en"")"),"French striker Kylian Mbappe and Lionel Messi taunted each other before Argentina secured the Sports World Cup title")</f>
        <v>French striker Kylian Mbappe and Lionel Messi taunted each other before Argentina secured the Sports World Cup title</v>
      </c>
    </row>
    <row r="8698" ht="15.75" customHeight="1">
      <c r="A8698" s="1">
        <v>9921.0</v>
      </c>
      <c r="B8698" s="3" t="s">
        <v>24865</v>
      </c>
      <c r="C8698" s="3">
        <v>0.0</v>
      </c>
      <c r="D8698" s="3">
        <v>0.0</v>
      </c>
      <c r="E8698" s="3">
        <v>0.0</v>
      </c>
      <c r="F8698" s="3" t="s">
        <v>24866</v>
      </c>
      <c r="G8698" s="3">
        <v>0.0</v>
      </c>
      <c r="H8698" s="3">
        <v>0.0</v>
      </c>
      <c r="I8698" s="3" t="s">
        <v>13</v>
      </c>
      <c r="J8698" s="3" t="s">
        <v>24867</v>
      </c>
      <c r="K8698" s="3" t="s">
        <v>75</v>
      </c>
      <c r="L8698" s="3" t="str">
        <f>IFERROR(__xludf.DUMMYFUNCTION("GOOGLETRANSLATE(F8698,""id"",""en"")"),"Argentina The top champion of drama throughout the BBC News Indonesia World Cup")</f>
        <v>Argentina The top champion of drama throughout the BBC News Indonesia World Cup</v>
      </c>
    </row>
    <row r="8699" ht="15.75" customHeight="1">
      <c r="A8699" s="1">
        <v>9922.0</v>
      </c>
      <c r="B8699" s="3" t="s">
        <v>24868</v>
      </c>
      <c r="C8699" s="3">
        <v>4.0</v>
      </c>
      <c r="D8699" s="3">
        <v>0.0</v>
      </c>
      <c r="E8699" s="3">
        <v>0.0</v>
      </c>
      <c r="F8699" s="3" t="s">
        <v>24869</v>
      </c>
      <c r="G8699" s="3">
        <v>0.0</v>
      </c>
      <c r="H8699" s="3">
        <v>0.0</v>
      </c>
      <c r="I8699" s="3" t="s">
        <v>13</v>
      </c>
      <c r="J8699" s="3" t="s">
        <v>24870</v>
      </c>
      <c r="K8699" s="3" t="s">
        <v>41</v>
      </c>
      <c r="L8699" s="3" t="str">
        <f>IFERROR(__xludf.DUMMYFUNCTION("GOOGLETRANSLATE(F8699,""id"",""en"")"),"Indeed, the settings from the beginning Argentina champions with Messi Balloon")</f>
        <v>Indeed, the settings from the beginning Argentina champions with Messi Balloon</v>
      </c>
    </row>
    <row r="8700" ht="15.75" customHeight="1">
      <c r="A8700" s="1">
        <v>9923.0</v>
      </c>
      <c r="B8700" s="3" t="s">
        <v>24871</v>
      </c>
      <c r="C8700" s="3">
        <v>1.0</v>
      </c>
      <c r="D8700" s="3">
        <v>2.0</v>
      </c>
      <c r="E8700" s="3">
        <v>10.0</v>
      </c>
      <c r="F8700" s="3" t="s">
        <v>24872</v>
      </c>
      <c r="G8700" s="3">
        <v>0.0</v>
      </c>
      <c r="H8700" s="3">
        <v>0.0</v>
      </c>
      <c r="I8700" s="3" t="s">
        <v>13</v>
      </c>
      <c r="J8700" s="3" t="s">
        <v>24873</v>
      </c>
      <c r="K8700" s="3" t="s">
        <v>657</v>
      </c>
      <c r="L8700" s="3" t="str">
        <f>IFERROR(__xludf.DUMMYFUNCTION("GOOGLETRANSLATE(F8700,""id"",""en"")"),"The moment of emotion occurred when the celebration of Argentina Champion World Cup Lionel Messi hugged with his mother like this portrait")</f>
        <v>The moment of emotion occurred when the celebration of Argentina Champion World Cup Lionel Messi hugged with his mother like this portrait</v>
      </c>
    </row>
    <row r="8701" ht="15.75" customHeight="1">
      <c r="A8701" s="1">
        <v>9925.0</v>
      </c>
      <c r="B8701" s="3" t="s">
        <v>24874</v>
      </c>
      <c r="C8701" s="3">
        <v>0.0</v>
      </c>
      <c r="D8701" s="3">
        <v>0.0</v>
      </c>
      <c r="E8701" s="3">
        <v>0.0</v>
      </c>
      <c r="F8701" s="3" t="s">
        <v>23266</v>
      </c>
      <c r="G8701" s="3">
        <v>0.0</v>
      </c>
      <c r="H8701" s="3">
        <v>0.0</v>
      </c>
      <c r="I8701" s="3" t="s">
        <v>13</v>
      </c>
      <c r="J8701" s="3" t="s">
        <v>23267</v>
      </c>
      <c r="K8701" s="3" t="s">
        <v>491</v>
      </c>
      <c r="L8701" s="3" t="str">
        <f>IFERROR(__xludf.DUMMYFUNCTION("GOOGLETRANSLATE(F8701,""id"",""en"")"),"Qatar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702" ht="15.75" customHeight="1">
      <c r="A8702" s="1">
        <v>9926.0</v>
      </c>
      <c r="B8702" s="3" t="s">
        <v>24875</v>
      </c>
      <c r="C8702" s="3">
        <v>0.0</v>
      </c>
      <c r="D8702" s="3">
        <v>0.0</v>
      </c>
      <c r="E8702" s="3">
        <v>4.0</v>
      </c>
      <c r="F8702" s="3" t="s">
        <v>24876</v>
      </c>
      <c r="G8702" s="3">
        <v>0.0</v>
      </c>
      <c r="H8702" s="3">
        <v>0.0</v>
      </c>
      <c r="I8702" s="3" t="s">
        <v>13</v>
      </c>
      <c r="J8702" s="3" t="s">
        <v>24877</v>
      </c>
      <c r="K8702" s="3" t="s">
        <v>510</v>
      </c>
      <c r="L8702" s="3" t="str">
        <f>IFERROR(__xludf.DUMMYFUNCTION("GOOGLETRANSLATE(F8702,""id"",""en"")"),"hilarious meme sergio aguero to iwan bule color the celebration of Argentina World Cup champions")</f>
        <v>hilarious meme sergio aguero to iwan bule color the celebration of Argentina World Cup champions</v>
      </c>
    </row>
    <row r="8703" ht="15.75" customHeight="1">
      <c r="A8703" s="1">
        <v>9927.0</v>
      </c>
      <c r="B8703" s="3" t="s">
        <v>24878</v>
      </c>
      <c r="C8703" s="3">
        <v>0.0</v>
      </c>
      <c r="D8703" s="3">
        <v>0.0</v>
      </c>
      <c r="E8703" s="3">
        <v>0.0</v>
      </c>
      <c r="F8703" s="3" t="s">
        <v>24879</v>
      </c>
      <c r="G8703" s="3">
        <v>0.0</v>
      </c>
      <c r="H8703" s="3">
        <v>0.0</v>
      </c>
      <c r="I8703" s="3" t="s">
        <v>13</v>
      </c>
      <c r="J8703" s="3" t="s">
        <v>24880</v>
      </c>
      <c r="K8703" s="3" t="s">
        <v>82</v>
      </c>
      <c r="L8703" s="3" t="str">
        <f>IFERROR(__xludf.DUMMYFUNCTION("GOOGLETRANSLATE(F8703,""id"",""en"")"),"Argentina The MotoGP world champion celebrates with Maradona")</f>
        <v>Argentina The MotoGP world champion celebrates with Maradona</v>
      </c>
    </row>
    <row r="8704" ht="15.75" customHeight="1">
      <c r="A8704" s="1">
        <v>9928.0</v>
      </c>
      <c r="B8704" s="3" t="s">
        <v>24881</v>
      </c>
      <c r="C8704" s="3">
        <v>0.0</v>
      </c>
      <c r="D8704" s="3">
        <v>0.0</v>
      </c>
      <c r="E8704" s="3">
        <v>1.0</v>
      </c>
      <c r="F8704" s="3" t="s">
        <v>24840</v>
      </c>
      <c r="G8704" s="3">
        <v>0.0</v>
      </c>
      <c r="H8704" s="3">
        <v>0.0</v>
      </c>
      <c r="I8704" s="3" t="s">
        <v>13</v>
      </c>
      <c r="J8704" s="3" t="s">
        <v>24841</v>
      </c>
      <c r="K8704" s="3" t="s">
        <v>75</v>
      </c>
      <c r="L8704" s="3" t="str">
        <f>IFERROR(__xludf.DUMMYFUNCTION("GOOGLETRANSLATE(F8704,""id"",""en"")"),"Since the beginning of the Golkar Party World Cup, Argentina Champion has been champion")</f>
        <v>Since the beginning of the Golkar Party World Cup, Argentina Champion has been champion</v>
      </c>
    </row>
    <row r="8705" ht="15.75" customHeight="1">
      <c r="A8705" s="1">
        <v>9929.0</v>
      </c>
      <c r="B8705" s="3" t="s">
        <v>24882</v>
      </c>
      <c r="C8705" s="3">
        <v>0.0</v>
      </c>
      <c r="D8705" s="3">
        <v>3.0</v>
      </c>
      <c r="E8705" s="3">
        <v>7.0</v>
      </c>
      <c r="F8705" s="3" t="s">
        <v>23266</v>
      </c>
      <c r="G8705" s="3">
        <v>0.0</v>
      </c>
      <c r="H8705" s="3">
        <v>0.0</v>
      </c>
      <c r="I8705" s="3" t="s">
        <v>13</v>
      </c>
      <c r="J8705" s="3" t="s">
        <v>23267</v>
      </c>
      <c r="K8705" s="3" t="s">
        <v>491</v>
      </c>
      <c r="L8705" s="3" t="str">
        <f>IFERROR(__xludf.DUMMYFUNCTION("GOOGLETRANSLATE(F8705,""id"",""en"")"),"Qatar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706" ht="15.75" customHeight="1">
      <c r="A8706" s="1">
        <v>9930.0</v>
      </c>
      <c r="B8706" s="3" t="s">
        <v>24883</v>
      </c>
      <c r="C8706" s="3">
        <v>0.0</v>
      </c>
      <c r="D8706" s="3">
        <v>0.0</v>
      </c>
      <c r="E8706" s="3">
        <v>2.0</v>
      </c>
      <c r="F8706" s="3" t="s">
        <v>24884</v>
      </c>
      <c r="G8706" s="3">
        <v>0.2</v>
      </c>
      <c r="H8706" s="3">
        <v>-0.1</v>
      </c>
      <c r="I8706" s="3" t="s">
        <v>179</v>
      </c>
      <c r="J8706" s="3" t="s">
        <v>24885</v>
      </c>
      <c r="K8706" s="3" t="s">
        <v>215</v>
      </c>
      <c r="L8706" s="3" t="str">
        <f>IFERROR(__xludf.DUMMYFUNCTION("GOOGLETRANSLATE(F8706,""id"",""en"")"),"Ronaldo what is Portugal, a weak country is born a kid, a kid.")</f>
        <v>Ronaldo what is Portugal, a weak country is born a kid, a kid.</v>
      </c>
    </row>
    <row r="8707" ht="15.75" customHeight="1">
      <c r="A8707" s="1">
        <v>9931.0</v>
      </c>
      <c r="B8707" s="3" t="s">
        <v>24886</v>
      </c>
      <c r="C8707" s="3">
        <v>0.0</v>
      </c>
      <c r="D8707" s="3">
        <v>0.0</v>
      </c>
      <c r="E8707" s="3">
        <v>0.0</v>
      </c>
      <c r="F8707" s="3" t="s">
        <v>24887</v>
      </c>
      <c r="G8707" s="3">
        <v>0.0</v>
      </c>
      <c r="H8707" s="3">
        <v>0.0</v>
      </c>
      <c r="I8707" s="3" t="s">
        <v>13</v>
      </c>
      <c r="J8707" s="3" t="s">
        <v>24888</v>
      </c>
      <c r="K8707" s="3" t="s">
        <v>644</v>
      </c>
      <c r="L8707" s="3" t="str">
        <f>IFERROR(__xludf.DUMMYFUNCTION("GOOGLETRANSLATE(F8707,""id"",""en"")"),"shameuuuuu won world champion")</f>
        <v>shameuuuuu won world champion</v>
      </c>
    </row>
    <row r="8708" ht="15.75" customHeight="1">
      <c r="A8708" s="1">
        <v>9932.0</v>
      </c>
      <c r="B8708" s="3" t="s">
        <v>24889</v>
      </c>
      <c r="C8708" s="3">
        <v>1.0</v>
      </c>
      <c r="D8708" s="3">
        <v>0.0</v>
      </c>
      <c r="E8708" s="3">
        <v>0.0</v>
      </c>
      <c r="F8708" s="3" t="s">
        <v>24890</v>
      </c>
      <c r="G8708" s="3">
        <v>0.0</v>
      </c>
      <c r="H8708" s="3">
        <v>0.0</v>
      </c>
      <c r="I8708" s="3" t="s">
        <v>13</v>
      </c>
      <c r="J8708" s="3" t="s">
        <v>24891</v>
      </c>
      <c r="K8708" s="3" t="s">
        <v>20229</v>
      </c>
      <c r="L8708" s="3" t="str">
        <f>IFERROR(__xludf.DUMMYFUNCTION("GOOGLETRANSLATE(F8708,""id"",""en"")"),"Argentine Year Failed to Champion Copa America Messi reportedly wanted to retire from the national team scaloni Messi's national team friend when Pilduun asked Messi to remain the national team because Scaloni knew what the problem of failing to succeed M"&amp;"essi and the national team of the scaloni year was chosen by the national team coach")</f>
        <v>Argentine Year Failed to Champion Copa America Messi reportedly wanted to retire from the national team scaloni Messi's national team friend when Pilduun asked Messi to remain the national team because Scaloni knew what the problem of failing to succeed Messi and the national team of the scaloni year was chosen by the national team coach</v>
      </c>
    </row>
    <row r="8709" ht="15.75" customHeight="1">
      <c r="A8709" s="1">
        <v>9933.0</v>
      </c>
      <c r="B8709" s="3" t="s">
        <v>24892</v>
      </c>
      <c r="C8709" s="3">
        <v>0.0</v>
      </c>
      <c r="D8709" s="3">
        <v>0.0</v>
      </c>
      <c r="E8709" s="3">
        <v>0.0</v>
      </c>
      <c r="F8709" s="3" t="s">
        <v>24893</v>
      </c>
      <c r="G8709" s="3">
        <v>0.0</v>
      </c>
      <c r="H8709" s="3">
        <v>0.0</v>
      </c>
      <c r="I8709" s="3" t="s">
        <v>13</v>
      </c>
      <c r="J8709" s="3" t="s">
        <v>24894</v>
      </c>
      <c r="K8709" s="3" t="s">
        <v>54</v>
      </c>
      <c r="L8709" s="3" t="str">
        <f>IFERROR(__xludf.DUMMYFUNCTION("GOOGLETRANSLATE(F8709,""id"",""en"")"),"Then Argentina is the champion because what is it bro")</f>
        <v>Then Argentina is the champion because what is it bro</v>
      </c>
    </row>
    <row r="8710" ht="15.75" customHeight="1">
      <c r="A8710" s="1">
        <v>9934.0</v>
      </c>
      <c r="B8710" s="3" t="s">
        <v>24895</v>
      </c>
      <c r="C8710" s="3">
        <v>0.0</v>
      </c>
      <c r="D8710" s="3">
        <v>0.0</v>
      </c>
      <c r="E8710" s="3">
        <v>0.0</v>
      </c>
      <c r="F8710" s="3" t="s">
        <v>23266</v>
      </c>
      <c r="G8710" s="3">
        <v>0.0</v>
      </c>
      <c r="H8710" s="3">
        <v>0.0</v>
      </c>
      <c r="I8710" s="3" t="s">
        <v>13</v>
      </c>
      <c r="J8710" s="3" t="s">
        <v>23267</v>
      </c>
      <c r="K8710" s="3" t="s">
        <v>491</v>
      </c>
      <c r="L8710" s="3" t="str">
        <f>IFERROR(__xludf.DUMMYFUNCTION("GOOGLETRANSLATE(F8710,""id"",""en"")"),"Qatar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711" ht="15.75" customHeight="1">
      <c r="A8711" s="1">
        <v>9935.0</v>
      </c>
      <c r="B8711" s="3" t="s">
        <v>24896</v>
      </c>
      <c r="C8711" s="3">
        <v>0.0</v>
      </c>
      <c r="D8711" s="3">
        <v>0.0</v>
      </c>
      <c r="E8711" s="3">
        <v>4.0</v>
      </c>
      <c r="F8711" s="3" t="s">
        <v>24897</v>
      </c>
      <c r="G8711" s="3">
        <v>0.0</v>
      </c>
      <c r="H8711" s="3">
        <v>0.0</v>
      </c>
      <c r="I8711" s="3" t="s">
        <v>13</v>
      </c>
      <c r="J8711" s="3" t="s">
        <v>24898</v>
      </c>
      <c r="K8711" s="3" t="s">
        <v>695</v>
      </c>
      <c r="L8711" s="3" t="str">
        <f>IFERROR(__xludf.DUMMYFUNCTION("GOOGLETRANSLATE(F8711,""id"",""en"")"),"Ronaldo isn't Portugal is also an Argentina warehouse of quality players when he can't win the European Cup World Cup and the Nation League can be PILDUN unable")</f>
        <v>Ronaldo isn't Portugal is also an Argentina warehouse of quality players when he can't win the European Cup World Cup and the Nation League can be PILDUN unable</v>
      </c>
    </row>
    <row r="8712" ht="15.75" customHeight="1">
      <c r="A8712" s="1">
        <v>9936.0</v>
      </c>
      <c r="B8712" s="3" t="s">
        <v>24899</v>
      </c>
      <c r="C8712" s="3">
        <v>0.0</v>
      </c>
      <c r="D8712" s="3">
        <v>0.0</v>
      </c>
      <c r="E8712" s="3">
        <v>0.0</v>
      </c>
      <c r="F8712" s="3" t="s">
        <v>24900</v>
      </c>
      <c r="G8712" s="3">
        <v>0.6</v>
      </c>
      <c r="H8712" s="3">
        <v>0.4333333333333333</v>
      </c>
      <c r="I8712" s="3" t="s">
        <v>48</v>
      </c>
      <c r="J8712" s="3" t="s">
        <v>24901</v>
      </c>
      <c r="K8712" s="3" t="s">
        <v>13682</v>
      </c>
      <c r="L8712" s="3" t="str">
        <f>IFERROR(__xludf.DUMMYFUNCTION("GOOGLETRANSLATE(F8712,""id"",""en"")"),"A fact behind the Argentina World Cup final carrying Messi Mbappe carrying France Messi is fortunate to bring Argentina champions and become the best player Mbappe is also the most fertile striker and worthy")</f>
        <v>A fact behind the Argentina World Cup final carrying Messi Mbappe carrying France Messi is fortunate to bring Argentina champions and become the best player Mbappe is also the most fertile striker and worthy</v>
      </c>
    </row>
    <row r="8713" ht="15.75" customHeight="1">
      <c r="A8713" s="1">
        <v>9937.0</v>
      </c>
      <c r="B8713" s="3" t="s">
        <v>24902</v>
      </c>
      <c r="C8713" s="3">
        <v>0.0</v>
      </c>
      <c r="D8713" s="3">
        <v>1.0</v>
      </c>
      <c r="E8713" s="3">
        <v>1.0</v>
      </c>
      <c r="F8713" s="3" t="s">
        <v>24903</v>
      </c>
      <c r="G8713" s="3">
        <v>0.0</v>
      </c>
      <c r="H8713" s="3">
        <v>0.0</v>
      </c>
      <c r="I8713" s="3" t="s">
        <v>13</v>
      </c>
      <c r="J8713" s="3" t="s">
        <v>24904</v>
      </c>
      <c r="K8713" s="3" t="s">
        <v>184</v>
      </c>
      <c r="L8713" s="3" t="str">
        <f>IFERROR(__xludf.DUMMYFUNCTION("GOOGLETRANSLATE(F8713,""id"",""en"")"),"The greatest legendary eternal media news media various countries gave Praise Praise after Lionel Messi brought Argentina World Cup champions")</f>
        <v>The greatest legendary eternal media news media various countries gave Praise Praise after Lionel Messi brought Argentina World Cup champions</v>
      </c>
    </row>
    <row r="8714" ht="15.75" customHeight="1">
      <c r="A8714" s="1">
        <v>9938.0</v>
      </c>
      <c r="B8714" s="3" t="s">
        <v>24905</v>
      </c>
      <c r="C8714" s="3">
        <v>0.0</v>
      </c>
      <c r="D8714" s="3">
        <v>1.0</v>
      </c>
      <c r="E8714" s="3">
        <v>1.0</v>
      </c>
      <c r="F8714" s="3" t="s">
        <v>24906</v>
      </c>
      <c r="G8714" s="3">
        <v>1.0</v>
      </c>
      <c r="H8714" s="3">
        <v>0.0</v>
      </c>
      <c r="I8714" s="3" t="s">
        <v>13</v>
      </c>
      <c r="J8714" s="3" t="s">
        <v>24907</v>
      </c>
      <c r="K8714" s="3" t="s">
        <v>603</v>
      </c>
      <c r="L8714" s="3" t="str">
        <f>IFERROR(__xludf.DUMMYFUNCTION("GOOGLETRANSLATE(F8714,""id"",""en"")"),"Already want Maghrib not dawn just just watching the final and celebration of the Argentine champion, why do you want maghrib yak the effect of sleep all day")</f>
        <v>Already want Maghrib not dawn just just watching the final and celebration of the Argentine champion, why do you want maghrib yak the effect of sleep all day</v>
      </c>
    </row>
    <row r="8715" ht="15.75" customHeight="1">
      <c r="A8715" s="1">
        <v>9939.0</v>
      </c>
      <c r="B8715" s="3" t="s">
        <v>24908</v>
      </c>
      <c r="C8715" s="3">
        <v>0.0</v>
      </c>
      <c r="D8715" s="3">
        <v>0.0</v>
      </c>
      <c r="E8715" s="3">
        <v>0.0</v>
      </c>
      <c r="F8715" s="3" t="s">
        <v>24909</v>
      </c>
      <c r="G8715" s="3">
        <v>0.0</v>
      </c>
      <c r="H8715" s="3">
        <v>0.0</v>
      </c>
      <c r="I8715" s="3" t="s">
        <v>13</v>
      </c>
      <c r="J8715" s="3" t="s">
        <v>24910</v>
      </c>
      <c r="K8715" s="3" t="s">
        <v>31</v>
      </c>
      <c r="L8715" s="3" t="str">
        <f>IFERROR(__xludf.DUMMYFUNCTION("GOOGLETRANSLATE(F8715,""id"",""en"")"),"can only ngtwet Argentina world champion")</f>
        <v>can only ngtwet Argentina world champion</v>
      </c>
    </row>
    <row r="8716" ht="15.75" customHeight="1">
      <c r="A8716" s="1">
        <v>9940.0</v>
      </c>
      <c r="B8716" s="3" t="s">
        <v>24911</v>
      </c>
      <c r="C8716" s="3">
        <v>1.0</v>
      </c>
      <c r="D8716" s="3">
        <v>1.0</v>
      </c>
      <c r="E8716" s="3">
        <v>3.0</v>
      </c>
      <c r="F8716" s="3" t="s">
        <v>24912</v>
      </c>
      <c r="G8716" s="3">
        <v>1.0</v>
      </c>
      <c r="H8716" s="3">
        <v>0.0</v>
      </c>
      <c r="I8716" s="3" t="s">
        <v>13</v>
      </c>
      <c r="J8716" s="3" t="s">
        <v>24913</v>
      </c>
      <c r="K8716" s="3" t="s">
        <v>433</v>
      </c>
      <c r="L8716" s="3" t="str">
        <f>IFERROR(__xludf.DUMMYFUNCTION("GOOGLETRANSLATE(F8716,""id"",""en"")"),"French Argentine Moti Moti Who is the full champion of the Qatar World Cup Final Prediction, please enter")</f>
        <v>French Argentine Moti Moti Who is the full champion of the Qatar World Cup Final Prediction, please enter</v>
      </c>
    </row>
    <row r="8717" ht="15.75" customHeight="1">
      <c r="A8717" s="1">
        <v>9941.0</v>
      </c>
      <c r="B8717" s="3" t="s">
        <v>24914</v>
      </c>
      <c r="C8717" s="3">
        <v>0.0</v>
      </c>
      <c r="D8717" s="3">
        <v>0.0</v>
      </c>
      <c r="E8717" s="3">
        <v>0.0</v>
      </c>
      <c r="F8717" s="3" t="s">
        <v>24915</v>
      </c>
      <c r="G8717" s="3">
        <v>0.0</v>
      </c>
      <c r="H8717" s="3">
        <v>0.0</v>
      </c>
      <c r="I8717" s="3" t="s">
        <v>13</v>
      </c>
      <c r="J8717" s="3" t="s">
        <v>24916</v>
      </c>
      <c r="K8717" s="3" t="s">
        <v>75</v>
      </c>
      <c r="L8717" s="3" t="str">
        <f>IFERROR(__xludf.DUMMYFUNCTION("GOOGLETRANSLATE(F8717,""id"",""en"")"),"ehhh only his era Argentina can win the World Cup Thank you Ibul")</f>
        <v>ehhh only his era Argentina can win the World Cup Thank you Ibul</v>
      </c>
    </row>
    <row r="8718" ht="15.75" customHeight="1">
      <c r="A8718" s="1">
        <v>9943.0</v>
      </c>
      <c r="B8718" s="3" t="s">
        <v>24917</v>
      </c>
      <c r="C8718" s="3">
        <v>0.0</v>
      </c>
      <c r="D8718" s="3">
        <v>1.0</v>
      </c>
      <c r="E8718" s="3">
        <v>1.0</v>
      </c>
      <c r="F8718" s="3" t="s">
        <v>24918</v>
      </c>
      <c r="G8718" s="3">
        <v>0.0</v>
      </c>
      <c r="H8718" s="3">
        <v>0.0</v>
      </c>
      <c r="I8718" s="3" t="s">
        <v>13</v>
      </c>
      <c r="J8718" s="3" t="s">
        <v>24919</v>
      </c>
      <c r="K8718" s="3" t="s">
        <v>75</v>
      </c>
      <c r="L8718" s="3" t="str">
        <f>IFERROR(__xludf.DUMMYFUNCTION("GOOGLETRANSLATE(F8718,""id"",""en"")"),"Lionel Scaloni recorded a neat achievement after successfully bringing Argentina champions")</f>
        <v>Lionel Scaloni recorded a neat achievement after successfully bringing Argentina champions</v>
      </c>
    </row>
    <row r="8719" ht="15.75" customHeight="1">
      <c r="A8719" s="1">
        <v>9944.0</v>
      </c>
      <c r="B8719" s="3" t="s">
        <v>24920</v>
      </c>
      <c r="C8719" s="3">
        <v>0.0</v>
      </c>
      <c r="D8719" s="3">
        <v>2.0</v>
      </c>
      <c r="E8719" s="3">
        <v>0.0</v>
      </c>
      <c r="F8719" s="3" t="s">
        <v>24921</v>
      </c>
      <c r="G8719" s="3">
        <v>0.0</v>
      </c>
      <c r="H8719" s="3">
        <v>0.0</v>
      </c>
      <c r="I8719" s="3" t="s">
        <v>13</v>
      </c>
      <c r="J8719" s="3" t="s">
        <v>24922</v>
      </c>
      <c r="K8719" s="3" t="s">
        <v>15</v>
      </c>
      <c r="L8719" s="3" t="str">
        <f>IFERROR(__xludf.DUMMYFUNCTION("GOOGLETRANSLATE(F8719,""id"",""en"")"),"Argentina World Cup Champion Ronaldo Nazario Happy Messi")</f>
        <v>Argentina World Cup Champion Ronaldo Nazario Happy Messi</v>
      </c>
    </row>
    <row r="8720" ht="15.75" customHeight="1">
      <c r="A8720" s="1">
        <v>9945.0</v>
      </c>
      <c r="B8720" s="3" t="s">
        <v>24923</v>
      </c>
      <c r="C8720" s="3">
        <v>0.0</v>
      </c>
      <c r="D8720" s="3">
        <v>0.0</v>
      </c>
      <c r="E8720" s="3">
        <v>0.0</v>
      </c>
      <c r="F8720" s="3" t="s">
        <v>24924</v>
      </c>
      <c r="G8720" s="3">
        <v>0.0</v>
      </c>
      <c r="H8720" s="3">
        <v>0.0</v>
      </c>
      <c r="I8720" s="3" t="s">
        <v>13</v>
      </c>
      <c r="J8720" s="3" t="s">
        <v>24925</v>
      </c>
      <c r="K8720" s="3" t="s">
        <v>75</v>
      </c>
      <c r="L8720" s="3" t="str">
        <f>IFERROR(__xludf.DUMMYFUNCTION("GOOGLETRANSLATE(F8720,""id"",""en"")"),"Lionel Messi said Argentina Champion World Cup because it was compact through com")</f>
        <v>Lionel Messi said Argentina Champion World Cup because it was compact through com</v>
      </c>
    </row>
    <row r="8721" ht="15.75" customHeight="1">
      <c r="A8721" s="1">
        <v>9946.0</v>
      </c>
      <c r="B8721" s="3" t="s">
        <v>24926</v>
      </c>
      <c r="C8721" s="3">
        <v>1.0</v>
      </c>
      <c r="D8721" s="3">
        <v>0.0</v>
      </c>
      <c r="E8721" s="3">
        <v>0.0</v>
      </c>
      <c r="F8721" s="3" t="s">
        <v>24927</v>
      </c>
      <c r="G8721" s="3">
        <v>0.0</v>
      </c>
      <c r="H8721" s="3">
        <v>0.0</v>
      </c>
      <c r="I8721" s="3" t="s">
        <v>13</v>
      </c>
      <c r="J8721" s="3" t="s">
        <v>24928</v>
      </c>
      <c r="K8721" s="3" t="s">
        <v>2454</v>
      </c>
      <c r="L8721" s="3" t="str">
        <f>IFERROR(__xludf.DUMMYFUNCTION("GOOGLETRANSLATE(F8721,""id"",""en"")"),"Nandana watched last night at half an hour of waking up in front of the car march house with the Argentina flag immediately knew the champion during the World Cup only Germany against Costarica I watched it already wanted to run out so I like it so")</f>
        <v>Nandana watched last night at half an hour of waking up in front of the car march house with the Argentina flag immediately knew the champion during the World Cup only Germany against Costarica I watched it already wanted to run out so I like it so</v>
      </c>
    </row>
    <row r="8722" ht="15.75" customHeight="1">
      <c r="A8722" s="1">
        <v>9947.0</v>
      </c>
      <c r="B8722" s="3" t="s">
        <v>24929</v>
      </c>
      <c r="C8722" s="3">
        <v>4.0</v>
      </c>
      <c r="D8722" s="3">
        <v>12.0</v>
      </c>
      <c r="E8722" s="3">
        <v>41.0</v>
      </c>
      <c r="F8722" s="3" t="s">
        <v>24930</v>
      </c>
      <c r="G8722" s="3">
        <v>0.0</v>
      </c>
      <c r="H8722" s="3">
        <v>0.0</v>
      </c>
      <c r="I8722" s="3" t="s">
        <v>13</v>
      </c>
      <c r="J8722" s="3" t="s">
        <v>24931</v>
      </c>
      <c r="K8722" s="3" t="s">
        <v>90</v>
      </c>
      <c r="L8722" s="3" t="str">
        <f>IFERROR(__xludf.DUMMYFUNCTION("GOOGLETRANSLATE(F8722,""id"",""en"")"),"Since Argentina became a World Cup champion I decided to keep selling bread to order for events and various activities please thank Bravo Indonesia")</f>
        <v>Since Argentina became a World Cup champion I decided to keep selling bread to order for events and various activities please thank Bravo Indonesia</v>
      </c>
    </row>
    <row r="8723" ht="15.75" customHeight="1">
      <c r="A8723" s="1">
        <v>9948.0</v>
      </c>
      <c r="B8723" s="3" t="s">
        <v>24932</v>
      </c>
      <c r="C8723" s="3">
        <v>0.0</v>
      </c>
      <c r="D8723" s="3">
        <v>0.0</v>
      </c>
      <c r="E8723" s="3">
        <v>0.0</v>
      </c>
      <c r="F8723" s="3" t="s">
        <v>24933</v>
      </c>
      <c r="G8723" s="3">
        <v>0.0</v>
      </c>
      <c r="H8723" s="3">
        <v>0.0</v>
      </c>
      <c r="I8723" s="3" t="s">
        <v>13</v>
      </c>
      <c r="J8723" s="3" t="s">
        <v>24934</v>
      </c>
      <c r="K8723" s="3" t="s">
        <v>54</v>
      </c>
      <c r="L8723" s="3" t="str">
        <f>IFERROR(__xludf.DUMMYFUNCTION("GOOGLETRANSLATE(F8723,""id"",""en"")"),"I support Argentina because it is the knowledge of the champion wkwkwkwkwk")</f>
        <v>I support Argentina because it is the knowledge of the champion wkwkwkwkwk</v>
      </c>
    </row>
    <row r="8724" ht="15.75" customHeight="1">
      <c r="A8724" s="1">
        <v>9949.0</v>
      </c>
      <c r="B8724" s="3" t="s">
        <v>24935</v>
      </c>
      <c r="C8724" s="3">
        <v>0.0</v>
      </c>
      <c r="D8724" s="3">
        <v>0.0</v>
      </c>
      <c r="E8724" s="3">
        <v>0.0</v>
      </c>
      <c r="F8724" s="3" t="s">
        <v>24936</v>
      </c>
      <c r="G8724" s="3">
        <v>0.0</v>
      </c>
      <c r="H8724" s="3">
        <v>0.0</v>
      </c>
      <c r="I8724" s="3" t="s">
        <v>13</v>
      </c>
      <c r="J8724" s="3" t="s">
        <v>24937</v>
      </c>
      <c r="K8724" s="3" t="s">
        <v>633</v>
      </c>
      <c r="L8724" s="3" t="str">
        <f>IFERROR(__xludf.DUMMYFUNCTION("GOOGLETRANSLATE(F8724,""id"",""en"")"),"Despite championing France and apart from the diving Maria, a penalty of happy Argentina, the World Cup, Messi Hattrick Sia Mbappe")</f>
        <v>Despite championing France and apart from the diving Maria, a penalty of happy Argentina, the World Cup, Messi Hattrick Sia Mbappe</v>
      </c>
    </row>
    <row r="8725" ht="15.75" customHeight="1">
      <c r="A8725" s="1">
        <v>9950.0</v>
      </c>
      <c r="B8725" s="3" t="s">
        <v>24938</v>
      </c>
      <c r="C8725" s="3">
        <v>1.0</v>
      </c>
      <c r="D8725" s="3">
        <v>0.0</v>
      </c>
      <c r="E8725" s="3">
        <v>2.0</v>
      </c>
      <c r="F8725" s="3" t="s">
        <v>24783</v>
      </c>
      <c r="G8725" s="3">
        <v>1.0</v>
      </c>
      <c r="H8725" s="3">
        <v>0.0</v>
      </c>
      <c r="I8725" s="3" t="s">
        <v>13</v>
      </c>
      <c r="J8725" s="3" t="s">
        <v>24784</v>
      </c>
      <c r="K8725" s="3" t="s">
        <v>1293</v>
      </c>
      <c r="L8725" s="3" t="str">
        <f>IFERROR(__xludf.DUMMYFUNCTION("GOOGLETRANSLATE(F8725,""id"",""en"")"),"Argentina Champion World Cup but must go through the Lionel Scaloni Final Emotional Rollercoaster said the final against France was very crazy")</f>
        <v>Argentina Champion World Cup but must go through the Lionel Scaloni Final Emotional Rollercoaster said the final against France was very crazy</v>
      </c>
    </row>
    <row r="8726" ht="15.75" customHeight="1">
      <c r="A8726" s="1">
        <v>9951.0</v>
      </c>
      <c r="B8726" s="3" t="s">
        <v>24939</v>
      </c>
      <c r="C8726" s="3">
        <v>0.0</v>
      </c>
      <c r="D8726" s="3">
        <v>0.0</v>
      </c>
      <c r="E8726" s="3">
        <v>1.0</v>
      </c>
      <c r="F8726" s="3" t="s">
        <v>24940</v>
      </c>
      <c r="G8726" s="3">
        <v>0.0</v>
      </c>
      <c r="H8726" s="3">
        <v>0.0</v>
      </c>
      <c r="I8726" s="3" t="s">
        <v>13</v>
      </c>
      <c r="J8726" s="3" t="s">
        <v>24941</v>
      </c>
      <c r="K8726" s="3" t="s">
        <v>477</v>
      </c>
      <c r="L8726" s="3" t="str">
        <f>IFERROR(__xludf.DUMMYFUNCTION("GOOGLETRANSLATE(F8726,""id"",""en"")"),"Argentina finally won the Argentine World Cup Messi")</f>
        <v>Argentina finally won the Argentine World Cup Messi</v>
      </c>
    </row>
    <row r="8727" ht="15.75" customHeight="1">
      <c r="A8727" s="1">
        <v>9952.0</v>
      </c>
      <c r="B8727" s="3" t="s">
        <v>24942</v>
      </c>
      <c r="C8727" s="3">
        <v>0.0</v>
      </c>
      <c r="D8727" s="3">
        <v>4.0</v>
      </c>
      <c r="E8727" s="3">
        <v>0.0</v>
      </c>
      <c r="F8727" s="3" t="s">
        <v>24943</v>
      </c>
      <c r="G8727" s="3">
        <v>0.0</v>
      </c>
      <c r="H8727" s="3">
        <v>0.0</v>
      </c>
      <c r="I8727" s="3" t="s">
        <v>13</v>
      </c>
      <c r="J8727" s="3" t="s">
        <v>24944</v>
      </c>
      <c r="K8727" s="3" t="s">
        <v>510</v>
      </c>
      <c r="L8727" s="3" t="str">
        <f>IFERROR(__xludf.DUMMYFUNCTION("GOOGLETRANSLATE(F8727,""id"",""en"")"),"Video Waduh Drake loses billions of betting money despite champion of Argentina World Cup champions")</f>
        <v>Video Waduh Drake loses billions of betting money despite champion of Argentina World Cup champions</v>
      </c>
    </row>
    <row r="8728" ht="15.75" customHeight="1">
      <c r="A8728" s="1">
        <v>9953.0</v>
      </c>
      <c r="B8728" s="3" t="s">
        <v>24945</v>
      </c>
      <c r="C8728" s="3">
        <v>0.0</v>
      </c>
      <c r="D8728" s="3">
        <v>4.0</v>
      </c>
      <c r="E8728" s="3">
        <v>0.0</v>
      </c>
      <c r="F8728" s="3" t="s">
        <v>24946</v>
      </c>
      <c r="G8728" s="3">
        <v>0.0</v>
      </c>
      <c r="H8728" s="3">
        <v>0.0</v>
      </c>
      <c r="I8728" s="3" t="s">
        <v>13</v>
      </c>
      <c r="J8728" s="3" t="s">
        <v>24947</v>
      </c>
      <c r="K8728" s="3" t="s">
        <v>244</v>
      </c>
      <c r="L8728" s="3" t="str">
        <f>IFERROR(__xludf.DUMMYFUNCTION("GOOGLETRANSLATE(F8728,""id"",""en"")"),"Argentina World Cup Champion Lionel Scaloni's Emotional Request to Lionel Messi reappeared")</f>
        <v>Argentina World Cup Champion Lionel Scaloni's Emotional Request to Lionel Messi reappeared</v>
      </c>
    </row>
    <row r="8729" ht="15.75" customHeight="1">
      <c r="A8729" s="1">
        <v>9954.0</v>
      </c>
      <c r="B8729" s="3" t="s">
        <v>24948</v>
      </c>
      <c r="C8729" s="3">
        <v>0.0</v>
      </c>
      <c r="D8729" s="3">
        <v>0.0</v>
      </c>
      <c r="E8729" s="3">
        <v>2.0</v>
      </c>
      <c r="F8729" s="3" t="s">
        <v>24949</v>
      </c>
      <c r="G8729" s="3">
        <v>1.0</v>
      </c>
      <c r="H8729" s="3">
        <v>0.0</v>
      </c>
      <c r="I8729" s="3" t="s">
        <v>13</v>
      </c>
      <c r="J8729" s="3" t="s">
        <v>24950</v>
      </c>
      <c r="K8729" s="3" t="s">
        <v>131</v>
      </c>
      <c r="L8729" s="3" t="str">
        <f>IFERROR(__xludf.DUMMYFUNCTION("GOOGLETRANSLATE(F8729,""id"",""en"")"),"In a Thai aquarium, two furious beaters chose Argentina when predicting the FIFA World Cup final champion was also dubbed as a successful World Cup predictor")</f>
        <v>In a Thai aquarium, two furious beaters chose Argentina when predicting the FIFA World Cup final champion was also dubbed as a successful World Cup predictor</v>
      </c>
    </row>
    <row r="8730" ht="15.75" customHeight="1">
      <c r="A8730" s="1">
        <v>9955.0</v>
      </c>
      <c r="B8730" s="3" t="s">
        <v>24951</v>
      </c>
      <c r="C8730" s="3">
        <v>0.0</v>
      </c>
      <c r="D8730" s="3">
        <v>0.0</v>
      </c>
      <c r="E8730" s="3">
        <v>0.0</v>
      </c>
      <c r="F8730" s="3" t="s">
        <v>24952</v>
      </c>
      <c r="G8730" s="3">
        <v>0.0</v>
      </c>
      <c r="H8730" s="3">
        <v>0.0</v>
      </c>
      <c r="I8730" s="3" t="s">
        <v>13</v>
      </c>
      <c r="J8730" s="3" t="s">
        <v>24953</v>
      </c>
      <c r="K8730" s="3" t="s">
        <v>31</v>
      </c>
      <c r="L8730" s="3" t="str">
        <f>IFERROR(__xludf.DUMMYFUNCTION("GOOGLETRANSLATE(F8730,""id"",""en"")"),"Imagine if Argentina was the champion yesterday")</f>
        <v>Imagine if Argentina was the champion yesterday</v>
      </c>
    </row>
    <row r="8731" ht="15.75" customHeight="1">
      <c r="A8731" s="1">
        <v>9956.0</v>
      </c>
      <c r="B8731" s="3" t="s">
        <v>24954</v>
      </c>
      <c r="C8731" s="3">
        <v>1.0</v>
      </c>
      <c r="D8731" s="3">
        <v>0.0</v>
      </c>
      <c r="E8731" s="3">
        <v>0.0</v>
      </c>
      <c r="F8731" s="3" t="s">
        <v>24955</v>
      </c>
      <c r="G8731" s="3">
        <v>0.0</v>
      </c>
      <c r="H8731" s="3">
        <v>0.0</v>
      </c>
      <c r="I8731" s="3" t="s">
        <v>13</v>
      </c>
      <c r="J8731" s="3" t="s">
        <v>24956</v>
      </c>
      <c r="K8731" s="3" t="s">
        <v>495</v>
      </c>
      <c r="L8731" s="3" t="str">
        <f>IFERROR(__xludf.DUMMYFUNCTION("GOOGLETRANSLATE(F8731,""id"",""en"")"),"If Argentina is free champion ice cream, choose one of the promises with some women who like to shop for a real shop in this one")</f>
        <v>If Argentina is free champion ice cream, choose one of the promises with some women who like to shop for a real shop in this one</v>
      </c>
    </row>
    <row r="8732" ht="15.75" customHeight="1">
      <c r="A8732" s="1">
        <v>9957.0</v>
      </c>
      <c r="B8732" s="3" t="s">
        <v>24957</v>
      </c>
      <c r="C8732" s="3">
        <v>0.0</v>
      </c>
      <c r="D8732" s="3">
        <v>0.0</v>
      </c>
      <c r="E8732" s="3">
        <v>0.0</v>
      </c>
      <c r="F8732" s="3" t="s">
        <v>24958</v>
      </c>
      <c r="G8732" s="3">
        <v>0.0</v>
      </c>
      <c r="H8732" s="3">
        <v>0.0</v>
      </c>
      <c r="I8732" s="3" t="s">
        <v>13</v>
      </c>
      <c r="J8732" s="3" t="s">
        <v>16104</v>
      </c>
      <c r="K8732" s="3" t="s">
        <v>14571</v>
      </c>
      <c r="L8732" s="3" t="str">
        <f>IFERROR(__xludf.DUMMYFUNCTION("GOOGLETRANSLATE(F8732,""id"",""en"")"),"Does this make Argentina Champion")</f>
        <v>Does this make Argentina Champion</v>
      </c>
    </row>
    <row r="8733" ht="15.75" customHeight="1">
      <c r="A8733" s="1">
        <v>9958.0</v>
      </c>
      <c r="B8733" s="3" t="s">
        <v>24959</v>
      </c>
      <c r="C8733" s="3">
        <v>0.0</v>
      </c>
      <c r="D8733" s="3">
        <v>0.0</v>
      </c>
      <c r="E8733" s="3">
        <v>2.0</v>
      </c>
      <c r="F8733" s="3" t="s">
        <v>24872</v>
      </c>
      <c r="G8733" s="3">
        <v>0.0</v>
      </c>
      <c r="H8733" s="3">
        <v>0.0</v>
      </c>
      <c r="I8733" s="3" t="s">
        <v>13</v>
      </c>
      <c r="J8733" s="3" t="s">
        <v>24873</v>
      </c>
      <c r="K8733" s="3" t="s">
        <v>657</v>
      </c>
      <c r="L8733" s="3" t="str">
        <f>IFERROR(__xludf.DUMMYFUNCTION("GOOGLETRANSLATE(F8733,""id"",""en"")"),"The moment of emotion occurred when the celebration of Argentina Champion World Cup Lionel Messi hugged with his mother like this portrait")</f>
        <v>The moment of emotion occurred when the celebration of Argentina Champion World Cup Lionel Messi hugged with his mother like this portrait</v>
      </c>
    </row>
    <row r="8734" ht="15.75" customHeight="1">
      <c r="A8734" s="1">
        <v>9959.0</v>
      </c>
      <c r="B8734" s="3" t="s">
        <v>24960</v>
      </c>
      <c r="C8734" s="3">
        <v>0.0</v>
      </c>
      <c r="D8734" s="3">
        <v>0.0</v>
      </c>
      <c r="E8734" s="3">
        <v>0.0</v>
      </c>
      <c r="F8734" s="3" t="s">
        <v>24961</v>
      </c>
      <c r="G8734" s="3">
        <v>0.0</v>
      </c>
      <c r="H8734" s="3">
        <v>0.0</v>
      </c>
      <c r="I8734" s="3" t="s">
        <v>13</v>
      </c>
      <c r="J8734" s="3" t="s">
        <v>24962</v>
      </c>
      <c r="K8734" s="3" t="s">
        <v>41</v>
      </c>
      <c r="L8734" s="3" t="str">
        <f>IFERROR(__xludf.DUMMYFUNCTION("GOOGLETRANSLATE(F8734,""id"",""en"")"),"Congratulations to Argentina for the success of becoming Qatar World Champion")</f>
        <v>Congratulations to Argentina for the success of becoming Qatar World Champion</v>
      </c>
    </row>
    <row r="8735" ht="15.75" customHeight="1">
      <c r="A8735" s="1">
        <v>9960.0</v>
      </c>
      <c r="B8735" s="3" t="s">
        <v>24963</v>
      </c>
      <c r="C8735" s="3">
        <v>0.0</v>
      </c>
      <c r="D8735" s="3">
        <v>0.0</v>
      </c>
      <c r="E8735" s="3">
        <v>0.0</v>
      </c>
      <c r="F8735" s="3" t="s">
        <v>24964</v>
      </c>
      <c r="G8735" s="3">
        <v>0.0</v>
      </c>
      <c r="H8735" s="3">
        <v>0.0</v>
      </c>
      <c r="I8735" s="3" t="s">
        <v>13</v>
      </c>
      <c r="J8735" s="3" t="s">
        <v>24965</v>
      </c>
      <c r="K8735" s="3" t="s">
        <v>31</v>
      </c>
      <c r="L8735" s="3" t="str">
        <f>IFERROR(__xludf.DUMMYFUNCTION("GOOGLETRANSLATE(F8735,""id"",""en"")"),"Tahniah Argentina World Cup Champion")</f>
        <v>Tahniah Argentina World Cup Champion</v>
      </c>
    </row>
    <row r="8736" ht="15.75" customHeight="1">
      <c r="A8736" s="1">
        <v>9961.0</v>
      </c>
      <c r="B8736" s="3" t="s">
        <v>24966</v>
      </c>
      <c r="C8736" s="3">
        <v>0.0</v>
      </c>
      <c r="D8736" s="3">
        <v>0.0</v>
      </c>
      <c r="E8736" s="3">
        <v>0.0</v>
      </c>
      <c r="F8736" s="3" t="s">
        <v>24967</v>
      </c>
      <c r="G8736" s="3">
        <v>0.0</v>
      </c>
      <c r="H8736" s="3">
        <v>0.0</v>
      </c>
      <c r="I8736" s="3" t="s">
        <v>13</v>
      </c>
      <c r="J8736" s="3" t="s">
        <v>24968</v>
      </c>
      <c r="K8736" s="3" t="s">
        <v>484</v>
      </c>
      <c r="L8736" s="3" t="str">
        <f>IFERROR(__xludf.DUMMYFUNCTION("GOOGLETRANSLATE(F8736,""id"",""en"")"),"Argentina won the FIFA World Cup title, this Argentina Wah Cool title")</f>
        <v>Argentina won the FIFA World Cup title, this Argentina Wah Cool title</v>
      </c>
    </row>
    <row r="8737" ht="15.75" customHeight="1">
      <c r="A8737" s="1">
        <v>9962.0</v>
      </c>
      <c r="B8737" s="3" t="s">
        <v>24969</v>
      </c>
      <c r="C8737" s="3">
        <v>1.0</v>
      </c>
      <c r="D8737" s="3">
        <v>0.0</v>
      </c>
      <c r="E8737" s="3">
        <v>0.0</v>
      </c>
      <c r="F8737" s="3" t="s">
        <v>24970</v>
      </c>
      <c r="G8737" s="3">
        <v>1.0</v>
      </c>
      <c r="H8737" s="3">
        <v>0.0</v>
      </c>
      <c r="I8737" s="3" t="s">
        <v>13</v>
      </c>
      <c r="J8737" s="3" t="s">
        <v>24971</v>
      </c>
      <c r="K8737" s="3" t="s">
        <v>1699</v>
      </c>
      <c r="L8737" s="3" t="str">
        <f>IFERROR(__xludf.DUMMYFUNCTION("GOOGLETRANSLATE(F8737,""id"",""en"")"),"Actually, it made a special from this champion, the debate of Leo's goat status was not yet the problem of Leo being bullied because he lost the final level of the national team and now he returned and proved everything with the achievement of him the nat"&amp;"ional team, so special")</f>
        <v>Actually, it made a special from this champion, the debate of Leo's goat status was not yet the problem of Leo being bullied because he lost the final level of the national team and now he returned and proved everything with the achievement of him the national team, so special</v>
      </c>
    </row>
    <row r="8738" ht="15.75" customHeight="1">
      <c r="A8738" s="1">
        <v>9963.0</v>
      </c>
      <c r="B8738" s="3" t="s">
        <v>24972</v>
      </c>
      <c r="C8738" s="3">
        <v>0.0</v>
      </c>
      <c r="D8738" s="3">
        <v>0.0</v>
      </c>
      <c r="E8738" s="3">
        <v>0.0</v>
      </c>
      <c r="F8738" s="3" t="s">
        <v>24973</v>
      </c>
      <c r="G8738" s="3">
        <v>0.0</v>
      </c>
      <c r="H8738" s="3">
        <v>0.0</v>
      </c>
      <c r="I8738" s="3" t="s">
        <v>13</v>
      </c>
      <c r="J8738" s="3" t="s">
        <v>24974</v>
      </c>
      <c r="K8738" s="3" t="s">
        <v>31</v>
      </c>
      <c r="L8738" s="3" t="str">
        <f>IFERROR(__xludf.DUMMYFUNCTION("GOOGLETRANSLATE(F8738,""id"",""en"")"),"Congrat Argentina World Cup Champion")</f>
        <v>Congrat Argentina World Cup Champion</v>
      </c>
    </row>
    <row r="8739" ht="15.75" customHeight="1">
      <c r="A8739" s="1">
        <v>9964.0</v>
      </c>
      <c r="B8739" s="3" t="s">
        <v>24975</v>
      </c>
      <c r="C8739" s="3">
        <v>0.0</v>
      </c>
      <c r="D8739" s="3">
        <v>0.0</v>
      </c>
      <c r="E8739" s="3">
        <v>1.0</v>
      </c>
      <c r="F8739" s="3" t="s">
        <v>24976</v>
      </c>
      <c r="G8739" s="3">
        <v>0.0</v>
      </c>
      <c r="H8739" s="3">
        <v>0.0</v>
      </c>
      <c r="I8739" s="3" t="s">
        <v>13</v>
      </c>
      <c r="J8739" s="3" t="s">
        <v>24977</v>
      </c>
      <c r="K8739" s="3" t="s">
        <v>23</v>
      </c>
      <c r="L8739" s="3" t="str">
        <f>IFERROR(__xludf.DUMMYFUNCTION("GOOGLETRANSLATE(F8739,""id"",""en"")"),"Bro, finally Messi managed to bring Argentina to become a complete champion, his achievement he really deserves to be a guy bro, I agree with like it, bro")</f>
        <v>Bro, finally Messi managed to bring Argentina to become a complete champion, his achievement he really deserves to be a guy bro, I agree with like it, bro</v>
      </c>
    </row>
    <row r="8740" ht="15.75" customHeight="1">
      <c r="A8740" s="1">
        <v>9965.0</v>
      </c>
      <c r="B8740" s="3" t="s">
        <v>24978</v>
      </c>
      <c r="C8740" s="3">
        <v>0.0</v>
      </c>
      <c r="D8740" s="3">
        <v>0.0</v>
      </c>
      <c r="E8740" s="3">
        <v>5.0</v>
      </c>
      <c r="F8740" s="3" t="s">
        <v>24979</v>
      </c>
      <c r="G8740" s="3">
        <v>0.0</v>
      </c>
      <c r="H8740" s="3">
        <v>0.0</v>
      </c>
      <c r="I8740" s="3" t="s">
        <v>13</v>
      </c>
      <c r="J8740" s="3" t="s">
        <v>24980</v>
      </c>
      <c r="K8740" s="3" t="s">
        <v>41</v>
      </c>
      <c r="L8740" s="3" t="str">
        <f>IFERROR(__xludf.DUMMYFUNCTION("GOOGLETRANSLATE(F8740,""id"",""en"")"),"Bring Argentina World Cup Champion Lionel Messi Doesn't Want To Retire")</f>
        <v>Bring Argentina World Cup Champion Lionel Messi Doesn't Want To Retire</v>
      </c>
    </row>
    <row r="8741" ht="15.75" customHeight="1">
      <c r="A8741" s="1">
        <v>9966.0</v>
      </c>
      <c r="B8741" s="3" t="s">
        <v>24981</v>
      </c>
      <c r="C8741" s="3">
        <v>0.0</v>
      </c>
      <c r="D8741" s="3">
        <v>0.0</v>
      </c>
      <c r="E8741" s="3">
        <v>2.0</v>
      </c>
      <c r="F8741" s="3" t="s">
        <v>24982</v>
      </c>
      <c r="G8741" s="3">
        <v>0.0</v>
      </c>
      <c r="H8741" s="3">
        <v>0.0</v>
      </c>
      <c r="I8741" s="3" t="s">
        <v>13</v>
      </c>
      <c r="J8741" s="3" t="s">
        <v>24983</v>
      </c>
      <c r="K8741" s="3" t="s">
        <v>75</v>
      </c>
      <c r="L8741" s="3" t="str">
        <f>IFERROR(__xludf.DUMMYFUNCTION("GOOGLETRANSLATE(F8741,""id"",""en"")"),"Argentina Champion World Cup Proof of Messi as the best player of all time")</f>
        <v>Argentina Champion World Cup Proof of Messi as the best player of all time</v>
      </c>
    </row>
    <row r="8742" ht="15.75" customHeight="1">
      <c r="A8742" s="1">
        <v>9967.0</v>
      </c>
      <c r="B8742" s="3" t="s">
        <v>24984</v>
      </c>
      <c r="C8742" s="3">
        <v>0.0</v>
      </c>
      <c r="D8742" s="3">
        <v>0.0</v>
      </c>
      <c r="E8742" s="3">
        <v>0.0</v>
      </c>
      <c r="F8742" s="3" t="s">
        <v>24371</v>
      </c>
      <c r="G8742" s="3">
        <v>0.0</v>
      </c>
      <c r="H8742" s="3">
        <v>0.0</v>
      </c>
      <c r="I8742" s="3" t="s">
        <v>13</v>
      </c>
      <c r="J8742" s="3" t="s">
        <v>24372</v>
      </c>
      <c r="K8742" s="3" t="s">
        <v>31</v>
      </c>
      <c r="L8742" s="3" t="str">
        <f>IFERROR(__xludf.DUMMYFUNCTION("GOOGLETRANSLATE(F8742,""id"",""en"")"),"Messi World Champion and Argentina Inflation")</f>
        <v>Messi World Champion and Argentina Inflation</v>
      </c>
    </row>
    <row r="8743" ht="15.75" customHeight="1">
      <c r="A8743" s="1">
        <v>9968.0</v>
      </c>
      <c r="B8743" s="3" t="s">
        <v>24985</v>
      </c>
      <c r="C8743" s="3">
        <v>1.0</v>
      </c>
      <c r="D8743" s="3">
        <v>0.0</v>
      </c>
      <c r="E8743" s="3">
        <v>0.0</v>
      </c>
      <c r="F8743" s="3" t="s">
        <v>24986</v>
      </c>
      <c r="G8743" s="3">
        <v>0.0</v>
      </c>
      <c r="H8743" s="3">
        <v>0.0</v>
      </c>
      <c r="I8743" s="3" t="s">
        <v>13</v>
      </c>
      <c r="J8743" s="3" t="s">
        <v>24987</v>
      </c>
      <c r="K8743" s="3" t="s">
        <v>477</v>
      </c>
      <c r="L8743" s="3" t="str">
        <f>IFERROR(__xludf.DUMMYFUNCTION("GOOGLETRANSLATE(F8743,""id"",""en"")"),"Argentina Champion Champion If Aguero Becomes Pak Ketum")</f>
        <v>Argentina Champion Champion If Aguero Becomes Pak Ketum</v>
      </c>
    </row>
    <row r="8744" ht="15.75" customHeight="1">
      <c r="A8744" s="1">
        <v>9969.0</v>
      </c>
      <c r="B8744" s="3" t="s">
        <v>24988</v>
      </c>
      <c r="C8744" s="3">
        <v>0.0</v>
      </c>
      <c r="D8744" s="3">
        <v>0.0</v>
      </c>
      <c r="E8744" s="3">
        <v>0.0</v>
      </c>
      <c r="F8744" s="3" t="s">
        <v>24989</v>
      </c>
      <c r="G8744" s="3">
        <v>0.0</v>
      </c>
      <c r="H8744" s="3">
        <v>0.0</v>
      </c>
      <c r="I8744" s="3" t="s">
        <v>13</v>
      </c>
      <c r="J8744" s="3" t="s">
        <v>24990</v>
      </c>
      <c r="K8744" s="3" t="s">
        <v>244</v>
      </c>
      <c r="L8744" s="3" t="str">
        <f>IFERROR(__xludf.DUMMYFUNCTION("GOOGLETRANSLATE(F8744,""id"",""en"")"),"Trans Argentina World Cup Champion after waiting for the year of Argentine people in a parade")</f>
        <v>Trans Argentina World Cup Champion after waiting for the year of Argentine people in a parade</v>
      </c>
    </row>
    <row r="8745" ht="15.75" customHeight="1">
      <c r="A8745" s="1">
        <v>9970.0</v>
      </c>
      <c r="B8745" s="3" t="s">
        <v>24991</v>
      </c>
      <c r="C8745" s="3">
        <v>0.0</v>
      </c>
      <c r="D8745" s="3">
        <v>0.0</v>
      </c>
      <c r="E8745" s="3">
        <v>0.0</v>
      </c>
      <c r="F8745" s="3" t="s">
        <v>24992</v>
      </c>
      <c r="G8745" s="3">
        <v>0.0</v>
      </c>
      <c r="H8745" s="3">
        <v>0.0</v>
      </c>
      <c r="I8745" s="3" t="s">
        <v>13</v>
      </c>
      <c r="J8745" s="3" t="s">
        <v>24993</v>
      </c>
      <c r="K8745" s="3" t="s">
        <v>657</v>
      </c>
      <c r="L8745" s="3" t="str">
        <f>IFERROR(__xludf.DUMMYFUNCTION("GOOGLETRANSLATE(F8745,""id"",""en"")"),"NOVA Indonesia's Latest Football News Clicks Argentina World Cup Champion Roy Keane Danced for next year")</f>
        <v>NOVA Indonesia's Latest Football News Clicks Argentina World Cup Champion Roy Keane Danced for next year</v>
      </c>
    </row>
    <row r="8746" ht="15.75" customHeight="1">
      <c r="A8746" s="1">
        <v>9971.0</v>
      </c>
      <c r="B8746" s="3" t="s">
        <v>24994</v>
      </c>
      <c r="C8746" s="3">
        <v>0.0</v>
      </c>
      <c r="D8746" s="3">
        <v>0.0</v>
      </c>
      <c r="E8746" s="3">
        <v>0.0</v>
      </c>
      <c r="F8746" s="3" t="s">
        <v>24879</v>
      </c>
      <c r="G8746" s="3">
        <v>0.0</v>
      </c>
      <c r="H8746" s="3">
        <v>0.0</v>
      </c>
      <c r="I8746" s="3" t="s">
        <v>13</v>
      </c>
      <c r="J8746" s="3" t="s">
        <v>24880</v>
      </c>
      <c r="K8746" s="3" t="s">
        <v>82</v>
      </c>
      <c r="L8746" s="3" t="str">
        <f>IFERROR(__xludf.DUMMYFUNCTION("GOOGLETRANSLATE(F8746,""id"",""en"")"),"Argentina The MotoGP world champion celebrates with Maradona")</f>
        <v>Argentina The MotoGP world champion celebrates with Maradona</v>
      </c>
    </row>
    <row r="8747" ht="15.75" customHeight="1">
      <c r="A8747" s="1">
        <v>9972.0</v>
      </c>
      <c r="B8747" s="3" t="s">
        <v>24995</v>
      </c>
      <c r="C8747" s="3">
        <v>0.0</v>
      </c>
      <c r="D8747" s="3">
        <v>0.0</v>
      </c>
      <c r="E8747" s="3">
        <v>1.0</v>
      </c>
      <c r="F8747" s="3" t="s">
        <v>24996</v>
      </c>
      <c r="G8747" s="3">
        <v>0.0</v>
      </c>
      <c r="H8747" s="3">
        <v>0.0</v>
      </c>
      <c r="I8747" s="3" t="s">
        <v>13</v>
      </c>
      <c r="J8747" s="3" t="s">
        <v>24997</v>
      </c>
      <c r="K8747" s="3" t="s">
        <v>82</v>
      </c>
      <c r="L8747" s="3" t="str">
        <f>IFERROR(__xludf.DUMMYFUNCTION("GOOGLETRANSLATE(F8747,""id"",""en"")"),"Sorry I prefer to be turu than see Argentina Champion")</f>
        <v>Sorry I prefer to be turu than see Argentina Champion</v>
      </c>
    </row>
    <row r="8748" ht="15.75" customHeight="1">
      <c r="A8748" s="1">
        <v>9973.0</v>
      </c>
      <c r="B8748" s="3" t="s">
        <v>24998</v>
      </c>
      <c r="C8748" s="3">
        <v>1.0</v>
      </c>
      <c r="D8748" s="3">
        <v>0.0</v>
      </c>
      <c r="E8748" s="3">
        <v>0.0</v>
      </c>
      <c r="F8748" s="3" t="s">
        <v>24999</v>
      </c>
      <c r="G8748" s="3">
        <v>0.0</v>
      </c>
      <c r="H8748" s="3">
        <v>0.0</v>
      </c>
      <c r="I8748" s="3" t="s">
        <v>13</v>
      </c>
      <c r="J8748" s="3" t="s">
        <v>25000</v>
      </c>
      <c r="K8748" s="3" t="s">
        <v>19</v>
      </c>
      <c r="L8748" s="3" t="str">
        <f>IFERROR(__xludf.DUMMYFUNCTION("GOOGLETRANSLATE(F8748,""id"",""en"")"),"There is also Leandro Paredes Argentine player Sohib Messi who has a loyal love story since young")</f>
        <v>There is also Leandro Paredes Argentine player Sohib Messi who has a loyal love story since young</v>
      </c>
    </row>
    <row r="8749" ht="15.75" customHeight="1">
      <c r="A8749" s="1">
        <v>9974.0</v>
      </c>
      <c r="B8749" s="3" t="s">
        <v>25001</v>
      </c>
      <c r="C8749" s="3">
        <v>0.0</v>
      </c>
      <c r="D8749" s="3">
        <v>0.0</v>
      </c>
      <c r="E8749" s="3">
        <v>0.0</v>
      </c>
      <c r="F8749" s="3" t="s">
        <v>25002</v>
      </c>
      <c r="G8749" s="3">
        <v>0.0</v>
      </c>
      <c r="H8749" s="3">
        <v>0.0</v>
      </c>
      <c r="I8749" s="3" t="s">
        <v>13</v>
      </c>
      <c r="J8749" s="3" t="s">
        <v>25003</v>
      </c>
      <c r="K8749" s="3" t="s">
        <v>2610</v>
      </c>
      <c r="L8749" s="3" t="str">
        <f>IFERROR(__xludf.DUMMYFUNCTION("GOOGLETRANSLATE(F8749,""id"",""en"")"),"Bismillahirrahmanirrahim Done from the beginning, it was a jagoin Argentina who wanted to see Messi champion huhu last night, really tired of looking for a link for streaming finally got it too")</f>
        <v>Bismillahirrahmanirrahim Done from the beginning, it was a jagoin Argentina who wanted to see Messi champion huhu last night, really tired of looking for a link for streaming finally got it too</v>
      </c>
    </row>
    <row r="8750" ht="15.75" customHeight="1">
      <c r="A8750" s="1">
        <v>9975.0</v>
      </c>
      <c r="B8750" s="3" t="s">
        <v>25004</v>
      </c>
      <c r="C8750" s="3">
        <v>0.0</v>
      </c>
      <c r="D8750" s="3">
        <v>0.0</v>
      </c>
      <c r="E8750" s="3">
        <v>0.0</v>
      </c>
      <c r="F8750" s="3" t="s">
        <v>25005</v>
      </c>
      <c r="G8750" s="3">
        <v>0.0</v>
      </c>
      <c r="H8750" s="3">
        <v>0.0</v>
      </c>
      <c r="I8750" s="3" t="s">
        <v>13</v>
      </c>
      <c r="J8750" s="3" t="s">
        <v>25006</v>
      </c>
      <c r="K8750" s="3" t="s">
        <v>1265</v>
      </c>
      <c r="L8750" s="3" t="str">
        <f>IFERROR(__xludf.DUMMYFUNCTION("GOOGLETRANSLATE(F8750,""id"",""en"")"),"Argentina Champion Copa America Champion Finalistsa Champion World Cup Fata Media")</f>
        <v>Argentina Champion Copa America Champion Finalistsa Champion World Cup Fata Media</v>
      </c>
    </row>
    <row r="8751" ht="15.75" customHeight="1">
      <c r="A8751" s="1">
        <v>9976.0</v>
      </c>
      <c r="B8751" s="3" t="s">
        <v>25007</v>
      </c>
      <c r="C8751" s="3">
        <v>0.0</v>
      </c>
      <c r="D8751" s="3">
        <v>0.0</v>
      </c>
      <c r="E8751" s="3">
        <v>0.0</v>
      </c>
      <c r="F8751" s="3" t="s">
        <v>25008</v>
      </c>
      <c r="G8751" s="3">
        <v>0.0</v>
      </c>
      <c r="H8751" s="3">
        <v>0.0</v>
      </c>
      <c r="I8751" s="3" t="s">
        <v>13</v>
      </c>
      <c r="J8751" s="3" t="s">
        <v>25009</v>
      </c>
      <c r="K8751" s="3" t="s">
        <v>23</v>
      </c>
      <c r="L8751" s="3" t="str">
        <f>IFERROR(__xludf.DUMMYFUNCTION("GOOGLETRANSLATE(F8751,""id"",""en"")"),"Because of that Messi is already the same as Argentina, why is it really difficult for a different champion Ronaldo and Portugal classmates can be billed so it is billed")</f>
        <v>Because of that Messi is already the same as Argentina, why is it really difficult for a different champion Ronaldo and Portugal classmates can be billed so it is billed</v>
      </c>
    </row>
    <row r="8752" ht="15.75" customHeight="1">
      <c r="A8752" s="1">
        <v>9977.0</v>
      </c>
      <c r="B8752" s="3" t="s">
        <v>25010</v>
      </c>
      <c r="C8752" s="3">
        <v>0.0</v>
      </c>
      <c r="D8752" s="3">
        <v>0.0</v>
      </c>
      <c r="E8752" s="3">
        <v>0.0</v>
      </c>
      <c r="F8752" s="3" t="s">
        <v>25011</v>
      </c>
      <c r="G8752" s="3">
        <v>0.0</v>
      </c>
      <c r="H8752" s="3">
        <v>0.0</v>
      </c>
      <c r="I8752" s="3" t="s">
        <v>13</v>
      </c>
      <c r="J8752" s="3" t="s">
        <v>25012</v>
      </c>
      <c r="K8752" s="3" t="s">
        <v>71</v>
      </c>
      <c r="L8752" s="3" t="str">
        <f>IFERROR(__xludf.DUMMYFUNCTION("GOOGLETRANSLATE(F8752,""id"",""en"")"),"The heat of Mbappe and Messi taunted each other before Argentina Champion World Cup CNN Indonesia Google News Sports News")</f>
        <v>The heat of Mbappe and Messi taunted each other before Argentina Champion World Cup CNN Indonesia Google News Sports News</v>
      </c>
    </row>
    <row r="8753" ht="15.75" customHeight="1">
      <c r="A8753" s="1">
        <v>9978.0</v>
      </c>
      <c r="B8753" s="3" t="s">
        <v>25013</v>
      </c>
      <c r="C8753" s="3">
        <v>0.0</v>
      </c>
      <c r="D8753" s="3">
        <v>0.0</v>
      </c>
      <c r="E8753" s="3">
        <v>0.0</v>
      </c>
      <c r="F8753" s="3" t="s">
        <v>25014</v>
      </c>
      <c r="G8753" s="3">
        <v>0.0</v>
      </c>
      <c r="H8753" s="3">
        <v>0.0</v>
      </c>
      <c r="I8753" s="3" t="s">
        <v>13</v>
      </c>
      <c r="J8753" s="3" t="s">
        <v>25015</v>
      </c>
      <c r="K8753" s="3" t="s">
        <v>41</v>
      </c>
      <c r="L8753" s="3" t="str">
        <f>IFERROR(__xludf.DUMMYFUNCTION("GOOGLETRANSLATE(F8753,""id"",""en"")"),"Argentina Champion World Cup Debate Completed Lionel Messi Goat")</f>
        <v>Argentina Champion World Cup Debate Completed Lionel Messi Goat</v>
      </c>
    </row>
    <row r="8754" ht="15.75" customHeight="1">
      <c r="A8754" s="1">
        <v>9979.0</v>
      </c>
      <c r="B8754" s="3" t="s">
        <v>25016</v>
      </c>
      <c r="C8754" s="3">
        <v>0.0</v>
      </c>
      <c r="D8754" s="3">
        <v>0.0</v>
      </c>
      <c r="E8754" s="3">
        <v>2.0</v>
      </c>
      <c r="F8754" s="3" t="s">
        <v>25017</v>
      </c>
      <c r="G8754" s="3">
        <v>0.0</v>
      </c>
      <c r="H8754" s="3">
        <v>0.0</v>
      </c>
      <c r="I8754" s="3" t="s">
        <v>13</v>
      </c>
      <c r="J8754" s="3" t="s">
        <v>25018</v>
      </c>
      <c r="K8754" s="3" t="s">
        <v>35</v>
      </c>
      <c r="L8754" s="3" t="str">
        <f>IFERROR(__xludf.DUMMYFUNCTION("GOOGLETRANSLATE(F8754,""id"",""en"")"),"What's interesting about the success of Argentina is Brighton and Aston Villa to celebrate the Brighton world champion especially")</f>
        <v>What's interesting about the success of Argentina is Brighton and Aston Villa to celebrate the Brighton world champion especially</v>
      </c>
    </row>
    <row r="8755" ht="15.75" customHeight="1">
      <c r="A8755" s="1">
        <v>9980.0</v>
      </c>
      <c r="B8755" s="3" t="s">
        <v>25019</v>
      </c>
      <c r="C8755" s="3">
        <v>0.0</v>
      </c>
      <c r="D8755" s="3">
        <v>0.0</v>
      </c>
      <c r="E8755" s="3">
        <v>0.0</v>
      </c>
      <c r="F8755" s="3" t="s">
        <v>16496</v>
      </c>
      <c r="G8755" s="3">
        <v>0.0</v>
      </c>
      <c r="H8755" s="3">
        <v>0.0</v>
      </c>
      <c r="I8755" s="3" t="s">
        <v>13</v>
      </c>
      <c r="J8755" s="3" t="s">
        <v>16497</v>
      </c>
      <c r="K8755" s="3" t="s">
        <v>236</v>
      </c>
      <c r="L8755" s="3" t="str">
        <f>IFERROR(__xludf.DUMMYFUNCTION("GOOGLETRANSLATE(F8755,""id"",""en"")"),"Argentina The World Cup Champion President is busy replying to the Twit of World Leaders")</f>
        <v>Argentina The World Cup Champion President is busy replying to the Twit of World Leaders</v>
      </c>
    </row>
    <row r="8756" ht="15.75" customHeight="1">
      <c r="A8756" s="1">
        <v>9981.0</v>
      </c>
      <c r="B8756" s="3" t="s">
        <v>25020</v>
      </c>
      <c r="C8756" s="3">
        <v>0.0</v>
      </c>
      <c r="D8756" s="3">
        <v>0.0</v>
      </c>
      <c r="E8756" s="3">
        <v>0.0</v>
      </c>
      <c r="F8756" s="3" t="s">
        <v>25021</v>
      </c>
      <c r="G8756" s="3">
        <v>0.3</v>
      </c>
      <c r="H8756" s="3">
        <v>1.0</v>
      </c>
      <c r="I8756" s="3" t="s">
        <v>48</v>
      </c>
      <c r="J8756" s="3" t="s">
        <v>25022</v>
      </c>
      <c r="K8756" s="3" t="s">
        <v>54</v>
      </c>
      <c r="L8756" s="3" t="str">
        <f>IFERROR(__xludf.DUMMYFUNCTION("GOOGLETRANSLATE(F8756,""id"",""en"")"),"finally the world champion Argentina The Best")</f>
        <v>finally the world champion Argentina The Best</v>
      </c>
    </row>
    <row r="8757" ht="15.75" customHeight="1">
      <c r="A8757" s="1">
        <v>9982.0</v>
      </c>
      <c r="B8757" s="3" t="s">
        <v>25023</v>
      </c>
      <c r="C8757" s="3">
        <v>0.0</v>
      </c>
      <c r="D8757" s="3">
        <v>0.0</v>
      </c>
      <c r="E8757" s="3">
        <v>2.0</v>
      </c>
      <c r="F8757" s="3" t="s">
        <v>24762</v>
      </c>
      <c r="G8757" s="3">
        <v>0.0</v>
      </c>
      <c r="H8757" s="3">
        <v>0.0</v>
      </c>
      <c r="I8757" s="3" t="s">
        <v>13</v>
      </c>
      <c r="J8757" s="3" t="s">
        <v>24763</v>
      </c>
      <c r="K8757" s="3" t="s">
        <v>240</v>
      </c>
      <c r="L8757" s="3" t="str">
        <f>IFERROR(__xludf.DUMMYFUNCTION("GOOGLETRANSLATE(F8757,""id"",""en"")"),"Argentina Champion World Cup When the players rejoiced by crying happily, coming Sergio Aguero brought a party in a hilarious style")</f>
        <v>Argentina Champion World Cup When the players rejoiced by crying happily, coming Sergio Aguero brought a party in a hilarious style</v>
      </c>
    </row>
    <row r="8758" ht="15.75" customHeight="1">
      <c r="A8758" s="1">
        <v>9983.0</v>
      </c>
      <c r="B8758" s="3" t="s">
        <v>25024</v>
      </c>
      <c r="C8758" s="3">
        <v>0.0</v>
      </c>
      <c r="D8758" s="3">
        <v>0.0</v>
      </c>
      <c r="E8758" s="3">
        <v>0.0</v>
      </c>
      <c r="F8758" s="3" t="s">
        <v>25025</v>
      </c>
      <c r="G8758" s="3">
        <v>0.0</v>
      </c>
      <c r="H8758" s="3">
        <v>0.0</v>
      </c>
      <c r="I8758" s="3" t="s">
        <v>13</v>
      </c>
      <c r="J8758" s="3" t="s">
        <v>25026</v>
      </c>
      <c r="K8758" s="3" t="s">
        <v>15</v>
      </c>
      <c r="L8758" s="3" t="str">
        <f>IFERROR(__xludf.DUMMYFUNCTION("GOOGLETRANSLATE(F8758,""id"",""en"")"),"Argentina World Champion Antonella Roccuzzo Uploads Happy Moments")</f>
        <v>Argentina World Champion Antonella Roccuzzo Uploads Happy Moments</v>
      </c>
    </row>
    <row r="8759" ht="15.75" customHeight="1">
      <c r="A8759" s="1">
        <v>9984.0</v>
      </c>
      <c r="B8759" s="3" t="s">
        <v>25027</v>
      </c>
      <c r="C8759" s="3">
        <v>0.0</v>
      </c>
      <c r="D8759" s="3">
        <v>0.0</v>
      </c>
      <c r="E8759" s="3">
        <v>0.0</v>
      </c>
      <c r="F8759" s="3" t="s">
        <v>25028</v>
      </c>
      <c r="G8759" s="3">
        <v>0.0</v>
      </c>
      <c r="H8759" s="3">
        <v>0.0</v>
      </c>
      <c r="I8759" s="3" t="s">
        <v>13</v>
      </c>
      <c r="J8759" s="3" t="s">
        <v>25029</v>
      </c>
      <c r="K8759" s="3" t="s">
        <v>58</v>
      </c>
      <c r="L8759" s="3" t="str">
        <f>IFERROR(__xludf.DUMMYFUNCTION("GOOGLETRANSLATE(F8759,""id"",""en"")"),"Argentina Champion World Cup Peek Tourist Attractions, whose charm is no less beautiful champion")</f>
        <v>Argentina Champion World Cup Peek Tourist Attractions, whose charm is no less beautiful champion</v>
      </c>
    </row>
    <row r="8760" ht="15.75" customHeight="1">
      <c r="A8760" s="1">
        <v>9985.0</v>
      </c>
      <c r="B8760" s="3" t="s">
        <v>25030</v>
      </c>
      <c r="C8760" s="3">
        <v>0.0</v>
      </c>
      <c r="D8760" s="3">
        <v>0.0</v>
      </c>
      <c r="E8760" s="3">
        <v>0.0</v>
      </c>
      <c r="F8760" s="3" t="s">
        <v>25031</v>
      </c>
      <c r="G8760" s="3">
        <v>0.0</v>
      </c>
      <c r="H8760" s="3">
        <v>0.0</v>
      </c>
      <c r="I8760" s="3" t="s">
        <v>13</v>
      </c>
      <c r="J8760" s="3" t="s">
        <v>25032</v>
      </c>
      <c r="K8760" s="3" t="s">
        <v>75</v>
      </c>
      <c r="L8760" s="3" t="str">
        <f>IFERROR(__xludf.DUMMYFUNCTION("GOOGLETRANSLATE(F8760,""id"",""en"")"),"Lionel Messi's World Cup revealed the main key to the Argentine national team championship")</f>
        <v>Lionel Messi's World Cup revealed the main key to the Argentine national team championship</v>
      </c>
    </row>
    <row r="8761" ht="15.75" customHeight="1">
      <c r="A8761" s="1">
        <v>9986.0</v>
      </c>
      <c r="B8761" s="3" t="s">
        <v>25033</v>
      </c>
      <c r="C8761" s="3">
        <v>0.0</v>
      </c>
      <c r="D8761" s="3">
        <v>0.0</v>
      </c>
      <c r="E8761" s="3">
        <v>0.0</v>
      </c>
      <c r="F8761" s="3" t="s">
        <v>25034</v>
      </c>
      <c r="G8761" s="3">
        <v>0.0</v>
      </c>
      <c r="H8761" s="3">
        <v>0.0</v>
      </c>
      <c r="I8761" s="3" t="s">
        <v>13</v>
      </c>
      <c r="J8761" s="3" t="s">
        <v>25035</v>
      </c>
      <c r="K8761" s="3" t="s">
        <v>15</v>
      </c>
      <c r="L8761" s="3" t="str">
        <f>IFERROR(__xludf.DUMMYFUNCTION("GOOGLETRANSLATE(F8761,""id"",""en"")"),"Mayan to remember Argentina Champion World Cup Qatar")</f>
        <v>Mayan to remember Argentina Champion World Cup Qatar</v>
      </c>
    </row>
    <row r="8762" ht="15.75" customHeight="1">
      <c r="A8762" s="1">
        <v>9987.0</v>
      </c>
      <c r="B8762" s="3" t="s">
        <v>25036</v>
      </c>
      <c r="C8762" s="3">
        <v>0.0</v>
      </c>
      <c r="D8762" s="3">
        <v>0.0</v>
      </c>
      <c r="E8762" s="3">
        <v>0.0</v>
      </c>
      <c r="F8762" s="3" t="s">
        <v>25037</v>
      </c>
      <c r="G8762" s="3">
        <v>0.0</v>
      </c>
      <c r="H8762" s="3">
        <v>0.0</v>
      </c>
      <c r="I8762" s="3" t="s">
        <v>13</v>
      </c>
      <c r="J8762" s="3" t="s">
        <v>25038</v>
      </c>
      <c r="K8762" s="3" t="s">
        <v>41</v>
      </c>
      <c r="L8762" s="3" t="str">
        <f>IFERROR(__xludf.DUMMYFUNCTION("GOOGLETRANSLATE(F8762,""id"",""en"")"),"The happy portrait of Antonella Roccuzzo after Argentina Champion World Cup")</f>
        <v>The happy portrait of Antonella Roccuzzo after Argentina Champion World Cup</v>
      </c>
    </row>
    <row r="8763" ht="15.75" customHeight="1">
      <c r="A8763" s="1">
        <v>9988.0</v>
      </c>
      <c r="B8763" s="3" t="s">
        <v>25039</v>
      </c>
      <c r="C8763" s="3">
        <v>0.0</v>
      </c>
      <c r="D8763" s="3">
        <v>0.0</v>
      </c>
      <c r="E8763" s="3">
        <v>0.0</v>
      </c>
      <c r="F8763" s="3" t="s">
        <v>22241</v>
      </c>
      <c r="G8763" s="3">
        <v>0.0</v>
      </c>
      <c r="H8763" s="3">
        <v>0.0</v>
      </c>
      <c r="I8763" s="3" t="s">
        <v>13</v>
      </c>
      <c r="J8763" s="3" t="s">
        <v>16942</v>
      </c>
      <c r="K8763" s="3" t="s">
        <v>644</v>
      </c>
      <c r="L8763" s="3" t="str">
        <f>IFERROR(__xludf.DUMMYFUNCTION("GOOGLETRANSLATE(F8763,""id"",""en"")"),"Argentina Champion World Cup")</f>
        <v>Argentina Champion World Cup</v>
      </c>
    </row>
    <row r="8764" ht="15.75" customHeight="1">
      <c r="A8764" s="1">
        <v>9989.0</v>
      </c>
      <c r="B8764" s="3" t="s">
        <v>25040</v>
      </c>
      <c r="C8764" s="3">
        <v>0.0</v>
      </c>
      <c r="D8764" s="3">
        <v>0.0</v>
      </c>
      <c r="E8764" s="3">
        <v>1.0</v>
      </c>
      <c r="F8764" s="3" t="s">
        <v>25041</v>
      </c>
      <c r="G8764" s="3">
        <v>0.0</v>
      </c>
      <c r="H8764" s="3">
        <v>0.0</v>
      </c>
      <c r="I8764" s="3" t="s">
        <v>13</v>
      </c>
      <c r="J8764" s="3" t="s">
        <v>25042</v>
      </c>
      <c r="K8764" s="3" t="s">
        <v>54</v>
      </c>
      <c r="L8764" s="3" t="str">
        <f>IFERROR(__xludf.DUMMYFUNCTION("GOOGLETRANSLATE(F8764,""id"",""en"")"),"Argentina's year waiting for the end to end is your champion")</f>
        <v>Argentina's year waiting for the end to end is your champion</v>
      </c>
    </row>
    <row r="8765" ht="15.75" customHeight="1">
      <c r="A8765" s="1">
        <v>9990.0</v>
      </c>
      <c r="B8765" s="3" t="s">
        <v>25043</v>
      </c>
      <c r="C8765" s="3">
        <v>0.0</v>
      </c>
      <c r="D8765" s="3">
        <v>0.0</v>
      </c>
      <c r="E8765" s="3">
        <v>0.0</v>
      </c>
      <c r="F8765" s="3" t="s">
        <v>25044</v>
      </c>
      <c r="G8765" s="3">
        <v>0.0</v>
      </c>
      <c r="H8765" s="3">
        <v>0.0</v>
      </c>
      <c r="I8765" s="3" t="s">
        <v>13</v>
      </c>
      <c r="J8765" s="3" t="s">
        <v>25045</v>
      </c>
      <c r="K8765" s="3" t="s">
        <v>75</v>
      </c>
      <c r="L8765" s="3" t="str">
        <f>IFERROR(__xludf.DUMMYFUNCTION("GOOGLETRANSLATE(F8765,""id"",""en"")"),"Messi got a touching message from his wife when Argentina Champion World Cup")</f>
        <v>Messi got a touching message from his wife when Argentina Champion World Cup</v>
      </c>
    </row>
    <row r="8766" ht="15.75" customHeight="1">
      <c r="A8766" s="1">
        <v>9991.0</v>
      </c>
      <c r="B8766" s="3" t="s">
        <v>25046</v>
      </c>
      <c r="C8766" s="3">
        <v>0.0</v>
      </c>
      <c r="D8766" s="3">
        <v>0.0</v>
      </c>
      <c r="E8766" s="3">
        <v>2.0</v>
      </c>
      <c r="F8766" s="3" t="s">
        <v>24982</v>
      </c>
      <c r="G8766" s="3">
        <v>0.0</v>
      </c>
      <c r="H8766" s="3">
        <v>0.0</v>
      </c>
      <c r="I8766" s="3" t="s">
        <v>13</v>
      </c>
      <c r="J8766" s="3" t="s">
        <v>24983</v>
      </c>
      <c r="K8766" s="3" t="s">
        <v>75</v>
      </c>
      <c r="L8766" s="3" t="str">
        <f>IFERROR(__xludf.DUMMYFUNCTION("GOOGLETRANSLATE(F8766,""id"",""en"")"),"Argentina Champion World Cup Proof of Messi as the best player of all time")</f>
        <v>Argentina Champion World Cup Proof of Messi as the best player of all time</v>
      </c>
    </row>
    <row r="8767" ht="15.75" customHeight="1">
      <c r="A8767" s="1">
        <v>9992.0</v>
      </c>
      <c r="B8767" s="3" t="s">
        <v>25047</v>
      </c>
      <c r="C8767" s="3">
        <v>0.0</v>
      </c>
      <c r="D8767" s="3">
        <v>0.0</v>
      </c>
      <c r="E8767" s="3">
        <v>2.0</v>
      </c>
      <c r="F8767" s="3" t="s">
        <v>24982</v>
      </c>
      <c r="G8767" s="3">
        <v>0.0</v>
      </c>
      <c r="H8767" s="3">
        <v>0.0</v>
      </c>
      <c r="I8767" s="3" t="s">
        <v>13</v>
      </c>
      <c r="J8767" s="3" t="s">
        <v>24983</v>
      </c>
      <c r="K8767" s="3" t="s">
        <v>75</v>
      </c>
      <c r="L8767" s="3" t="str">
        <f>IFERROR(__xludf.DUMMYFUNCTION("GOOGLETRANSLATE(F8767,""id"",""en"")"),"Argentina Champion World Cup Proof of Messi as the best player of all time")</f>
        <v>Argentina Champion World Cup Proof of Messi as the best player of all time</v>
      </c>
    </row>
    <row r="8768" ht="15.75" customHeight="1">
      <c r="A8768" s="1">
        <v>9993.0</v>
      </c>
      <c r="B8768" s="3" t="s">
        <v>25048</v>
      </c>
      <c r="C8768" s="3">
        <v>0.0</v>
      </c>
      <c r="D8768" s="3">
        <v>1.0</v>
      </c>
      <c r="E8768" s="3">
        <v>2.0</v>
      </c>
      <c r="F8768" s="3" t="s">
        <v>25049</v>
      </c>
      <c r="G8768" s="3">
        <v>0.0</v>
      </c>
      <c r="H8768" s="3">
        <v>0.0</v>
      </c>
      <c r="I8768" s="3" t="s">
        <v>13</v>
      </c>
      <c r="J8768" s="3" t="s">
        <v>25050</v>
      </c>
      <c r="K8768" s="3" t="s">
        <v>15</v>
      </c>
      <c r="L8768" s="3" t="str">
        <f>IFERROR(__xludf.DUMMYFUNCTION("GOOGLETRANSLATE(F8768,""id"",""en"")"),"The results of Argentina Champion Siputih Sibiru Laut Wokeee Dumdum")</f>
        <v>The results of Argentina Champion Siputih Sibiru Laut Wokeee Dumdum</v>
      </c>
    </row>
    <row r="8769" ht="15.75" customHeight="1">
      <c r="A8769" s="1">
        <v>9994.0</v>
      </c>
      <c r="B8769" s="3" t="s">
        <v>25051</v>
      </c>
      <c r="C8769" s="3">
        <v>0.0</v>
      </c>
      <c r="D8769" s="3">
        <v>0.0</v>
      </c>
      <c r="E8769" s="3">
        <v>0.0</v>
      </c>
      <c r="F8769" s="3" t="s">
        <v>25052</v>
      </c>
      <c r="G8769" s="3">
        <v>0.0</v>
      </c>
      <c r="H8769" s="3">
        <v>0.0</v>
      </c>
      <c r="I8769" s="3" t="s">
        <v>13</v>
      </c>
      <c r="J8769" s="3" t="s">
        <v>25053</v>
      </c>
      <c r="K8769" s="3" t="s">
        <v>41</v>
      </c>
      <c r="L8769" s="3" t="str">
        <f>IFERROR(__xludf.DUMMYFUNCTION("GOOGLETRANSLATE(F8769,""id"",""en"")"),"Congratulations for Argentina to come out to win the Qatar World Cup")</f>
        <v>Congratulations for Argentina to come out to win the Qatar World Cup</v>
      </c>
    </row>
    <row r="8770" ht="15.75" customHeight="1">
      <c r="A8770" s="1">
        <v>9995.0</v>
      </c>
      <c r="B8770" s="3" t="s">
        <v>25054</v>
      </c>
      <c r="C8770" s="3">
        <v>0.0</v>
      </c>
      <c r="D8770" s="3">
        <v>0.0</v>
      </c>
      <c r="E8770" s="3">
        <v>0.0</v>
      </c>
      <c r="F8770" s="3" t="s">
        <v>25055</v>
      </c>
      <c r="G8770" s="3">
        <v>0.0</v>
      </c>
      <c r="H8770" s="3">
        <v>0.0</v>
      </c>
      <c r="I8770" s="3" t="s">
        <v>13</v>
      </c>
      <c r="J8770" s="3" t="s">
        <v>25056</v>
      </c>
      <c r="K8770" s="3" t="s">
        <v>2117</v>
      </c>
      <c r="L8770" s="3" t="str">
        <f>IFERROR(__xludf.DUMMYFUNCTION("GOOGLETRANSLATE(F8770,""id"",""en"")"),"Argentina is champion")</f>
        <v>Argentina is champion</v>
      </c>
    </row>
    <row r="8771" ht="15.75" customHeight="1">
      <c r="A8771" s="1">
        <v>9996.0</v>
      </c>
      <c r="B8771" s="3" t="s">
        <v>25057</v>
      </c>
      <c r="C8771" s="3">
        <v>0.0</v>
      </c>
      <c r="D8771" s="3">
        <v>0.0</v>
      </c>
      <c r="E8771" s="3">
        <v>0.0</v>
      </c>
      <c r="F8771" s="3" t="s">
        <v>25058</v>
      </c>
      <c r="G8771" s="3">
        <v>0.0</v>
      </c>
      <c r="H8771" s="3">
        <v>0.0</v>
      </c>
      <c r="I8771" s="3" t="s">
        <v>13</v>
      </c>
      <c r="J8771" s="3" t="s">
        <v>25059</v>
      </c>
      <c r="K8771" s="3" t="s">
        <v>1097</v>
      </c>
      <c r="L8771" s="3" t="str">
        <f>IFERROR(__xludf.DUMMYFUNCTION("GOOGLETRANSLATE(F8771,""id"",""en"")"),"Argentina World Champion Messi has fasting the World Cup title")</f>
        <v>Argentina World Champion Messi has fasting the World Cup title</v>
      </c>
    </row>
    <row r="8772" ht="15.75" customHeight="1">
      <c r="A8772" s="1">
        <v>9997.0</v>
      </c>
      <c r="B8772" s="3" t="s">
        <v>25060</v>
      </c>
      <c r="C8772" s="3">
        <v>0.0</v>
      </c>
      <c r="D8772" s="3">
        <v>0.0</v>
      </c>
      <c r="E8772" s="3">
        <v>0.0</v>
      </c>
      <c r="F8772" s="3" t="s">
        <v>25061</v>
      </c>
      <c r="G8772" s="3">
        <v>0.0</v>
      </c>
      <c r="H8772" s="3">
        <v>0.0</v>
      </c>
      <c r="I8772" s="3" t="s">
        <v>13</v>
      </c>
      <c r="J8772" s="3" t="s">
        <v>25062</v>
      </c>
      <c r="K8772" s="3" t="s">
        <v>2907</v>
      </c>
      <c r="L8772" s="3" t="str">
        <f>IFERROR(__xludf.DUMMYFUNCTION("GOOGLETRANSLATE(F8772,""id"",""en"")"),"Argentina won the World Cup but Argentina lost to Arabic Arabic and Arabic could defeat the championship")</f>
        <v>Argentina won the World Cup but Argentina lost to Arabic Arabic and Arabic could defeat the championship</v>
      </c>
    </row>
    <row r="8773" ht="15.75" customHeight="1">
      <c r="A8773" s="1">
        <v>9998.0</v>
      </c>
      <c r="B8773" s="3" t="s">
        <v>25063</v>
      </c>
      <c r="C8773" s="3">
        <v>0.0</v>
      </c>
      <c r="D8773" s="3">
        <v>0.0</v>
      </c>
      <c r="E8773" s="3">
        <v>0.0</v>
      </c>
      <c r="F8773" s="3" t="s">
        <v>25064</v>
      </c>
      <c r="G8773" s="3">
        <v>0.0</v>
      </c>
      <c r="H8773" s="3">
        <v>0.0</v>
      </c>
      <c r="I8773" s="3" t="s">
        <v>13</v>
      </c>
      <c r="J8773" s="3" t="s">
        <v>25065</v>
      </c>
      <c r="K8773" s="3" t="s">
        <v>15</v>
      </c>
      <c r="L8773" s="3" t="str">
        <f>IFERROR(__xludf.DUMMYFUNCTION("GOOGLETRANSLATE(F8773,""id"",""en"")"),"This account is really cool, a successful prediction of Argentina Champion")</f>
        <v>This account is really cool, a successful prediction of Argentina Champion</v>
      </c>
    </row>
    <row r="8774" ht="15.75" customHeight="1">
      <c r="A8774" s="1">
        <v>9999.0</v>
      </c>
      <c r="B8774" s="3" t="s">
        <v>25066</v>
      </c>
      <c r="C8774" s="3">
        <v>0.0</v>
      </c>
      <c r="D8774" s="3">
        <v>0.0</v>
      </c>
      <c r="E8774" s="3">
        <v>0.0</v>
      </c>
      <c r="F8774" s="3" t="s">
        <v>25067</v>
      </c>
      <c r="G8774" s="3">
        <v>0.0</v>
      </c>
      <c r="H8774" s="3">
        <v>0.0</v>
      </c>
      <c r="I8774" s="3" t="s">
        <v>13</v>
      </c>
      <c r="J8774" s="3" t="s">
        <v>25068</v>
      </c>
      <c r="K8774" s="3" t="s">
        <v>19</v>
      </c>
      <c r="L8774" s="3" t="str">
        <f>IFERROR(__xludf.DUMMYFUNCTION("GOOGLETRANSLATE(F8774,""id"",""en"")"),"At least Saudi Arabia can be proud of their team ever defeated Argentina the winner of the Qatar World Champion")</f>
        <v>At least Saudi Arabia can be proud of their team ever defeated Argentina the winner of the Qatar World Champion</v>
      </c>
    </row>
    <row r="8775" ht="15.75" customHeight="1">
      <c r="A8775" s="1">
        <v>10000.0</v>
      </c>
      <c r="B8775" s="3" t="s">
        <v>25069</v>
      </c>
      <c r="C8775" s="3">
        <v>0.0</v>
      </c>
      <c r="D8775" s="3">
        <v>0.0</v>
      </c>
      <c r="E8775" s="3">
        <v>0.0</v>
      </c>
      <c r="F8775" s="3" t="s">
        <v>25070</v>
      </c>
      <c r="G8775" s="3">
        <v>0.0</v>
      </c>
      <c r="H8775" s="3">
        <v>0.0</v>
      </c>
      <c r="I8775" s="3" t="s">
        <v>13</v>
      </c>
      <c r="J8775" s="3" t="s">
        <v>25071</v>
      </c>
      <c r="K8775" s="3" t="s">
        <v>236</v>
      </c>
      <c r="L8775" s="3" t="str">
        <f>IFERROR(__xludf.DUMMYFUNCTION("GOOGLETRANSLATE(F8775,""id"",""en"")"),"it says Argentina is champion because it's already set why all Argentina is why I even take another country")</f>
        <v>it says Argentina is champion because it's already set why all Argentina is why I even take another country</v>
      </c>
    </row>
    <row r="8776" ht="15.75" customHeight="1">
      <c r="A8776" s="1">
        <v>10001.0</v>
      </c>
      <c r="B8776" s="3" t="s">
        <v>25072</v>
      </c>
      <c r="C8776" s="3">
        <v>0.0</v>
      </c>
      <c r="D8776" s="3">
        <v>0.0</v>
      </c>
      <c r="E8776" s="3">
        <v>4.0</v>
      </c>
      <c r="F8776" s="3" t="s">
        <v>25073</v>
      </c>
      <c r="G8776" s="3">
        <v>0.0</v>
      </c>
      <c r="H8776" s="3">
        <v>0.0</v>
      </c>
      <c r="I8776" s="3" t="s">
        <v>13</v>
      </c>
      <c r="J8776" s="3" t="s">
        <v>25074</v>
      </c>
      <c r="K8776" s="3" t="s">
        <v>50</v>
      </c>
      <c r="L8776" s="3" t="str">
        <f>IFERROR(__xludf.DUMMYFUNCTION("GOOGLETRANSLATE(F8776,""id"",""en"")"),"Argentina Champion Lionel Messi won the Player The Tournament or the best player")</f>
        <v>Argentina Champion Lionel Messi won the Player The Tournament or the best player</v>
      </c>
    </row>
    <row r="8777" ht="15.75" customHeight="1">
      <c r="A8777" s="1">
        <v>10002.0</v>
      </c>
      <c r="B8777" s="3" t="s">
        <v>25075</v>
      </c>
      <c r="C8777" s="3">
        <v>0.0</v>
      </c>
      <c r="D8777" s="3">
        <v>1.0</v>
      </c>
      <c r="E8777" s="3">
        <v>1.0</v>
      </c>
      <c r="F8777" s="3" t="s">
        <v>25076</v>
      </c>
      <c r="G8777" s="3">
        <v>0.0</v>
      </c>
      <c r="H8777" s="3">
        <v>0.0</v>
      </c>
      <c r="I8777" s="3" t="s">
        <v>13</v>
      </c>
      <c r="J8777" s="3" t="s">
        <v>25077</v>
      </c>
      <c r="K8777" s="3" t="s">
        <v>82</v>
      </c>
      <c r="L8777" s="3" t="str">
        <f>IFERROR(__xludf.DUMMYFUNCTION("GOOGLETRANSLATE(F8777,""id"",""en"")"),"Sports Right Argentine Prediction Wordsman World Cup Champion")</f>
        <v>Sports Right Argentine Prediction Wordsman World Cup Champion</v>
      </c>
    </row>
    <row r="8778" ht="15.75" customHeight="1">
      <c r="A8778" s="1">
        <v>10003.0</v>
      </c>
      <c r="B8778" s="3" t="s">
        <v>25078</v>
      </c>
      <c r="C8778" s="3">
        <v>0.0</v>
      </c>
      <c r="D8778" s="3">
        <v>0.0</v>
      </c>
      <c r="E8778" s="3">
        <v>0.0</v>
      </c>
      <c r="F8778" s="3" t="s">
        <v>22701</v>
      </c>
      <c r="G8778" s="3">
        <v>0.0</v>
      </c>
      <c r="H8778" s="3">
        <v>0.0</v>
      </c>
      <c r="I8778" s="3" t="s">
        <v>13</v>
      </c>
      <c r="J8778" s="3" t="s">
        <v>22702</v>
      </c>
      <c r="K8778" s="3" t="s">
        <v>82</v>
      </c>
      <c r="L8778" s="3" t="str">
        <f>IFERROR(__xludf.DUMMYFUNCTION("GOOGLETRANSLATE(F8778,""id"",""en"")"),"Argentina Champion World Cup Buenos Aires Crazy")</f>
        <v>Argentina Champion World Cup Buenos Aires Crazy</v>
      </c>
    </row>
    <row r="8779" ht="15.75" customHeight="1">
      <c r="A8779" s="1">
        <v>10004.0</v>
      </c>
      <c r="B8779" s="3" t="s">
        <v>25079</v>
      </c>
      <c r="C8779" s="3">
        <v>0.0</v>
      </c>
      <c r="D8779" s="3">
        <v>0.0</v>
      </c>
      <c r="E8779" s="3">
        <v>0.0</v>
      </c>
      <c r="F8779" s="3" t="s">
        <v>25080</v>
      </c>
      <c r="G8779" s="3">
        <v>0.0</v>
      </c>
      <c r="H8779" s="3">
        <v>0.0</v>
      </c>
      <c r="I8779" s="3" t="s">
        <v>13</v>
      </c>
      <c r="J8779" s="3" t="s">
        <v>25081</v>
      </c>
      <c r="K8779" s="3" t="s">
        <v>520</v>
      </c>
      <c r="L8779" s="3" t="str">
        <f>IFERROR(__xludf.DUMMYFUNCTION("GOOGLETRANSLATE(F8779,""id"",""en"")"),"When I watched the World Cup I did not really understand the meaning of Argentina's victory I was a child at that time now Argentina won again to become a world champion happy Argentina")</f>
        <v>When I watched the World Cup I did not really understand the meaning of Argentina's victory I was a child at that time now Argentina won again to become a world champion happy Argentina</v>
      </c>
    </row>
    <row r="8780" ht="15.75" customHeight="1">
      <c r="A8780" s="1">
        <v>10005.0</v>
      </c>
      <c r="B8780" s="3" t="s">
        <v>25082</v>
      </c>
      <c r="C8780" s="3">
        <v>0.0</v>
      </c>
      <c r="D8780" s="3">
        <v>0.0</v>
      </c>
      <c r="E8780" s="3">
        <v>0.0</v>
      </c>
      <c r="F8780" s="3" t="s">
        <v>25083</v>
      </c>
      <c r="G8780" s="3">
        <v>0.0</v>
      </c>
      <c r="H8780" s="3">
        <v>0.0</v>
      </c>
      <c r="I8780" s="3" t="s">
        <v>13</v>
      </c>
      <c r="J8780" s="3" t="s">
        <v>25084</v>
      </c>
      <c r="K8780" s="3" t="s">
        <v>82</v>
      </c>
      <c r="L8780" s="3" t="str">
        <f>IFERROR(__xludf.DUMMYFUNCTION("GOOGLETRANSLATE(F8780,""id"",""en"")"),"long wait for the era of Pak Argentina champions")</f>
        <v>long wait for the era of Pak Argentina champions</v>
      </c>
    </row>
    <row r="8781" ht="15.75" customHeight="1">
      <c r="A8781" s="1">
        <v>10006.0</v>
      </c>
      <c r="B8781" s="3" t="s">
        <v>25085</v>
      </c>
      <c r="C8781" s="3">
        <v>1.0</v>
      </c>
      <c r="D8781" s="3">
        <v>0.0</v>
      </c>
      <c r="E8781" s="3">
        <v>1.0</v>
      </c>
      <c r="F8781" s="3" t="s">
        <v>25086</v>
      </c>
      <c r="G8781" s="3">
        <v>0.5</v>
      </c>
      <c r="H8781" s="3">
        <v>0.0</v>
      </c>
      <c r="I8781" s="3" t="s">
        <v>13</v>
      </c>
      <c r="J8781" s="3" t="s">
        <v>25087</v>
      </c>
      <c r="K8781" s="3" t="s">
        <v>71</v>
      </c>
      <c r="L8781" s="3" t="str">
        <f>IFERROR(__xludf.DUMMYFUNCTION("GOOGLETRANSLATE(F8781,""id"",""en"")"),"okay according to the promise if Agegen champion Pilduun Buy Open Pack Argentina God at the end of the month")</f>
        <v>okay according to the promise if Agegen champion Pilduun Buy Open Pack Argentina God at the end of the month</v>
      </c>
    </row>
    <row r="8782" ht="15.75" customHeight="1">
      <c r="A8782" s="1">
        <v>10007.0</v>
      </c>
      <c r="B8782" s="3" t="s">
        <v>25088</v>
      </c>
      <c r="C8782" s="3">
        <v>0.0</v>
      </c>
      <c r="D8782" s="3">
        <v>0.0</v>
      </c>
      <c r="E8782" s="3">
        <v>0.0</v>
      </c>
      <c r="F8782" s="3" t="s">
        <v>25089</v>
      </c>
      <c r="G8782" s="3">
        <v>0.0</v>
      </c>
      <c r="H8782" s="3">
        <v>0.0</v>
      </c>
      <c r="I8782" s="3" t="s">
        <v>13</v>
      </c>
      <c r="J8782" s="3" t="s">
        <v>25090</v>
      </c>
      <c r="K8782" s="3" t="s">
        <v>510</v>
      </c>
      <c r="L8782" s="3" t="str">
        <f>IFERROR(__xludf.DUMMYFUNCTION("GOOGLETRANSLATE(F8782,""id"",""en"")"),"Russian President Give Congratulations on Argentina's Victory Wins the Qatar World Cup Champion")</f>
        <v>Russian President Give Congratulations on Argentina's Victory Wins the Qatar World Cup Champion</v>
      </c>
    </row>
    <row r="8783" ht="15.75" customHeight="1">
      <c r="A8783" s="1">
        <v>10008.0</v>
      </c>
      <c r="B8783" s="3" t="s">
        <v>25091</v>
      </c>
      <c r="C8783" s="3">
        <v>0.0</v>
      </c>
      <c r="D8783" s="3">
        <v>0.0</v>
      </c>
      <c r="E8783" s="3">
        <v>0.0</v>
      </c>
      <c r="F8783" s="3" t="s">
        <v>25092</v>
      </c>
      <c r="G8783" s="3">
        <v>0.0</v>
      </c>
      <c r="H8783" s="3">
        <v>0.0</v>
      </c>
      <c r="I8783" s="3" t="s">
        <v>13</v>
      </c>
      <c r="J8783" s="3" t="s">
        <v>25093</v>
      </c>
      <c r="K8783" s="3" t="s">
        <v>82</v>
      </c>
      <c r="L8783" s="3" t="str">
        <f>IFERROR(__xludf.DUMMYFUNCTION("GOOGLETRANSLATE(F8783,""id"",""en"")"),"Only the era of Ketum Iwan Bule Argentina champions")</f>
        <v>Only the era of Ketum Iwan Bule Argentina champions</v>
      </c>
    </row>
    <row r="8784" ht="15.75" customHeight="1">
      <c r="A8784" s="1">
        <v>10009.0</v>
      </c>
      <c r="B8784" s="3" t="s">
        <v>25094</v>
      </c>
      <c r="C8784" s="3">
        <v>0.0</v>
      </c>
      <c r="D8784" s="3">
        <v>0.0</v>
      </c>
      <c r="E8784" s="3">
        <v>2.0</v>
      </c>
      <c r="F8784" s="3" t="s">
        <v>25095</v>
      </c>
      <c r="G8784" s="3">
        <v>0.9</v>
      </c>
      <c r="H8784" s="3">
        <v>-0.8</v>
      </c>
      <c r="I8784" s="3" t="s">
        <v>179</v>
      </c>
      <c r="J8784" s="3" t="s">
        <v>25096</v>
      </c>
      <c r="K8784" s="3" t="s">
        <v>244</v>
      </c>
      <c r="L8784" s="3" t="str">
        <f>IFERROR(__xludf.DUMMYFUNCTION("GOOGLETRANSLATE(F8784,""id"",""en"")"),"If you lose it, you usually chase the group rank, this is Argentina")</f>
        <v>If you lose it, you usually chase the group rank, this is Argentina</v>
      </c>
    </row>
    <row r="8785" ht="15.75" customHeight="1">
      <c r="A8785" s="1">
        <v>10010.0</v>
      </c>
      <c r="B8785" s="3" t="s">
        <v>25097</v>
      </c>
      <c r="C8785" s="3">
        <v>0.0</v>
      </c>
      <c r="D8785" s="3">
        <v>0.0</v>
      </c>
      <c r="E8785" s="3">
        <v>0.0</v>
      </c>
      <c r="F8785" s="3" t="s">
        <v>25098</v>
      </c>
      <c r="G8785" s="3">
        <v>0.0</v>
      </c>
      <c r="H8785" s="3">
        <v>0.0</v>
      </c>
      <c r="I8785" s="3" t="s">
        <v>13</v>
      </c>
      <c r="J8785" s="3" t="s">
        <v>25099</v>
      </c>
      <c r="K8785" s="3" t="s">
        <v>15</v>
      </c>
      <c r="L8785" s="3" t="str">
        <f>IFERROR(__xludf.DUMMYFUNCTION("GOOGLETRANSLATE(F8785,""id"",""en"")"),"Argentina Champion World Cup through Riaunews penalties")</f>
        <v>Argentina Champion World Cup through Riaunews penalties</v>
      </c>
    </row>
    <row r="8786" ht="15.75" customHeight="1">
      <c r="A8786" s="1">
        <v>10011.0</v>
      </c>
      <c r="B8786" s="3" t="s">
        <v>25100</v>
      </c>
      <c r="C8786" s="3">
        <v>0.0</v>
      </c>
      <c r="D8786" s="3">
        <v>0.0</v>
      </c>
      <c r="E8786" s="3">
        <v>2.0</v>
      </c>
      <c r="F8786" s="3" t="s">
        <v>25101</v>
      </c>
      <c r="G8786" s="3">
        <v>0.0</v>
      </c>
      <c r="H8786" s="3">
        <v>0.0</v>
      </c>
      <c r="I8786" s="3" t="s">
        <v>13</v>
      </c>
      <c r="J8786" s="3" t="s">
        <v>25102</v>
      </c>
      <c r="K8786" s="3" t="s">
        <v>15</v>
      </c>
      <c r="L8786" s="3" t="str">
        <f>IFERROR(__xludf.DUMMYFUNCTION("GOOGLETRANSLATE(F8786,""id"",""en"")"),"so can't wait to watch Argentina already champions")</f>
        <v>so can't wait to watch Argentina already champions</v>
      </c>
    </row>
    <row r="8787" ht="15.75" customHeight="1">
      <c r="A8787" s="1">
        <v>10012.0</v>
      </c>
      <c r="B8787" s="3" t="s">
        <v>25103</v>
      </c>
      <c r="C8787" s="3">
        <v>0.0</v>
      </c>
      <c r="D8787" s="3">
        <v>0.0</v>
      </c>
      <c r="E8787" s="3">
        <v>0.0</v>
      </c>
      <c r="F8787" s="3" t="s">
        <v>25104</v>
      </c>
      <c r="G8787" s="3">
        <v>0.0</v>
      </c>
      <c r="H8787" s="3">
        <v>0.0</v>
      </c>
      <c r="I8787" s="3" t="s">
        <v>13</v>
      </c>
      <c r="J8787" s="3" t="s">
        <v>25105</v>
      </c>
      <c r="K8787" s="3" t="s">
        <v>15</v>
      </c>
      <c r="L8787" s="3" t="str">
        <f>IFERROR(__xludf.DUMMYFUNCTION("GOOGLETRANSLATE(F8787,""id"",""en"")"),"later the baliya only my leadership era Argentina can become a world champion")</f>
        <v>later the baliya only my leadership era Argentina can become a world champion</v>
      </c>
    </row>
    <row r="8788" ht="15.75" customHeight="1">
      <c r="A8788" s="1">
        <v>10013.0</v>
      </c>
      <c r="B8788" s="3" t="s">
        <v>25106</v>
      </c>
      <c r="C8788" s="3">
        <v>0.0</v>
      </c>
      <c r="D8788" s="3">
        <v>0.0</v>
      </c>
      <c r="E8788" s="3">
        <v>1.0</v>
      </c>
      <c r="F8788" s="3" t="s">
        <v>24780</v>
      </c>
      <c r="G8788" s="3">
        <v>0.0</v>
      </c>
      <c r="H8788" s="3">
        <v>0.0</v>
      </c>
      <c r="I8788" s="3" t="s">
        <v>13</v>
      </c>
      <c r="J8788" s="3" t="s">
        <v>24781</v>
      </c>
      <c r="K8788" s="3" t="s">
        <v>657</v>
      </c>
      <c r="L8788" s="3" t="str">
        <f>IFERROR(__xludf.DUMMYFUNCTION("GOOGLETRANSLATE(F8788,""id"",""en"")"),"Argentina Champion World Cup Special because of losing its first fight it turns out that the Tango team became the second country to do it")</f>
        <v>Argentina Champion World Cup Special because of losing its first fight it turns out that the Tango team became the second country to do it</v>
      </c>
    </row>
    <row r="8789" ht="15.75" customHeight="1">
      <c r="A8789" s="1">
        <v>10014.0</v>
      </c>
      <c r="B8789" s="3" t="s">
        <v>25107</v>
      </c>
      <c r="C8789" s="3">
        <v>0.0</v>
      </c>
      <c r="D8789" s="3">
        <v>0.0</v>
      </c>
      <c r="E8789" s="3">
        <v>0.0</v>
      </c>
      <c r="F8789" s="3" t="s">
        <v>25108</v>
      </c>
      <c r="G8789" s="3">
        <v>0.0</v>
      </c>
      <c r="H8789" s="3">
        <v>0.0</v>
      </c>
      <c r="I8789" s="3" t="s">
        <v>13</v>
      </c>
      <c r="J8789" s="3" t="s">
        <v>25109</v>
      </c>
      <c r="K8789" s="3" t="s">
        <v>82</v>
      </c>
      <c r="L8789" s="3" t="str">
        <f>IFERROR(__xludf.DUMMYFUNCTION("GOOGLETRANSLATE(F8789,""id"",""en"")"),"Iku Sek Argentina Sing Champion Opomani Indonesia")</f>
        <v>Iku Sek Argentina Sing Champion Opomani Indonesia</v>
      </c>
    </row>
    <row r="8790" ht="15.75" customHeight="1">
      <c r="A8790" s="1">
        <v>10015.0</v>
      </c>
      <c r="B8790" s="3" t="s">
        <v>25110</v>
      </c>
      <c r="C8790" s="3">
        <v>0.0</v>
      </c>
      <c r="D8790" s="3">
        <v>0.0</v>
      </c>
      <c r="E8790" s="3">
        <v>2.0</v>
      </c>
      <c r="F8790" s="3" t="s">
        <v>25111</v>
      </c>
      <c r="G8790" s="3">
        <v>0.0</v>
      </c>
      <c r="H8790" s="3">
        <v>0.0</v>
      </c>
      <c r="I8790" s="3" t="s">
        <v>13</v>
      </c>
      <c r="J8790" s="3" t="s">
        <v>25112</v>
      </c>
      <c r="K8790" s="3" t="s">
        <v>449</v>
      </c>
      <c r="L8790" s="3" t="str">
        <f>IFERROR(__xludf.DUMMYFUNCTION("GOOGLETRANSLATE(F8790,""id"",""en"")"),"Remember in our minds when the Argentina team is prayed for the untrue by the people at the beginning of the match they lose but continue to rise no matter the bad prayers from most of their citizens now they hold the title of world champion")</f>
        <v>Remember in our minds when the Argentina team is prayed for the untrue by the people at the beginning of the match they lose but continue to rise no matter the bad prayers from most of their citizens now they hold the title of world champion</v>
      </c>
    </row>
    <row r="8791" ht="15.75" customHeight="1">
      <c r="A8791" s="1">
        <v>10016.0</v>
      </c>
      <c r="B8791" s="3" t="s">
        <v>25113</v>
      </c>
      <c r="C8791" s="3">
        <v>0.0</v>
      </c>
      <c r="D8791" s="3">
        <v>0.0</v>
      </c>
      <c r="E8791" s="3">
        <v>0.0</v>
      </c>
      <c r="F8791" s="3" t="s">
        <v>25114</v>
      </c>
      <c r="G8791" s="3">
        <v>0.0</v>
      </c>
      <c r="H8791" s="3">
        <v>0.0</v>
      </c>
      <c r="I8791" s="3" t="s">
        <v>13</v>
      </c>
      <c r="J8791" s="3" t="s">
        <v>25115</v>
      </c>
      <c r="K8791" s="3" t="s">
        <v>266</v>
      </c>
      <c r="L8791" s="3" t="str">
        <f>IFERROR(__xludf.DUMMYFUNCTION("GOOGLETRANSLATE(F8791,""id"",""en"")"),"Argentina world champion but still the first place of the heart how not thanks to the enthusiasm of the citizens helping the citizens from all of you read the reading garden can wake up so many younger siblings can read books comfortably and safely thanks")</f>
        <v>Argentina world champion but still the first place of the heart how not thanks to the enthusiasm of the citizens helping the citizens from all of you read the reading garden can wake up so many younger siblings can read books comfortably and safely thanks</v>
      </c>
    </row>
    <row r="8792" ht="15.75" customHeight="1">
      <c r="A8792" s="1">
        <v>10017.0</v>
      </c>
      <c r="B8792" s="3" t="s">
        <v>25116</v>
      </c>
      <c r="C8792" s="3">
        <v>0.0</v>
      </c>
      <c r="D8792" s="3">
        <v>0.0</v>
      </c>
      <c r="E8792" s="3">
        <v>2.0</v>
      </c>
      <c r="F8792" s="3" t="s">
        <v>25117</v>
      </c>
      <c r="G8792" s="3">
        <v>0.3333333333333333</v>
      </c>
      <c r="H8792" s="3">
        <v>0.1666666666666667</v>
      </c>
      <c r="I8792" s="3" t="s">
        <v>48</v>
      </c>
      <c r="J8792" s="3" t="s">
        <v>25118</v>
      </c>
      <c r="K8792" s="3" t="s">
        <v>15</v>
      </c>
      <c r="L8792" s="3" t="str">
        <f>IFERROR(__xludf.DUMMYFUNCTION("GOOGLETRANSLATE(F8792,""id"",""en"")"),"Postpone Retirement from Argentina Messi Want to Play as World Cup Champion")</f>
        <v>Postpone Retirement from Argentina Messi Want to Play as World Cup Champion</v>
      </c>
    </row>
    <row r="8793" ht="15.75" customHeight="1">
      <c r="A8793" s="1">
        <v>10018.0</v>
      </c>
      <c r="B8793" s="3" t="s">
        <v>25119</v>
      </c>
      <c r="C8793" s="3">
        <v>1.0</v>
      </c>
      <c r="D8793" s="3">
        <v>0.0</v>
      </c>
      <c r="E8793" s="3">
        <v>0.0</v>
      </c>
      <c r="F8793" s="3" t="s">
        <v>25120</v>
      </c>
      <c r="G8793" s="3">
        <v>0.0</v>
      </c>
      <c r="H8793" s="3">
        <v>0.0</v>
      </c>
      <c r="I8793" s="3" t="s">
        <v>13</v>
      </c>
      <c r="J8793" s="3" t="s">
        <v>25121</v>
      </c>
      <c r="K8793" s="3" t="s">
        <v>75</v>
      </c>
      <c r="L8793" s="3" t="str">
        <f>IFERROR(__xludf.DUMMYFUNCTION("GOOGLETRANSLATE(F8793,""id"",""en"")"),"Scaloni hopes Messi delays retiring after bringing Argentina World Cup champions")</f>
        <v>Scaloni hopes Messi delays retiring after bringing Argentina World Cup champions</v>
      </c>
    </row>
    <row r="8794" ht="15.75" customHeight="1">
      <c r="A8794" s="1">
        <v>10019.0</v>
      </c>
      <c r="B8794" s="3" t="s">
        <v>25122</v>
      </c>
      <c r="C8794" s="3">
        <v>0.0</v>
      </c>
      <c r="D8794" s="3">
        <v>0.0</v>
      </c>
      <c r="E8794" s="3">
        <v>0.0</v>
      </c>
      <c r="F8794" s="3" t="s">
        <v>25123</v>
      </c>
      <c r="G8794" s="3">
        <v>0.0</v>
      </c>
      <c r="H8794" s="3">
        <v>0.0</v>
      </c>
      <c r="I8794" s="3" t="s">
        <v>13</v>
      </c>
      <c r="J8794" s="3" t="s">
        <v>25124</v>
      </c>
      <c r="K8794" s="3" t="s">
        <v>15</v>
      </c>
      <c r="L8794" s="3" t="str">
        <f>IFERROR(__xludf.DUMMYFUNCTION("GOOGLETRANSLATE(F8794,""id"",""en"")"),"Day hasn't retired Lionel Messi still wants to defend Argentina as world champion")</f>
        <v>Day hasn't retired Lionel Messi still wants to defend Argentina as world champion</v>
      </c>
    </row>
    <row r="8795" ht="15.75" customHeight="1">
      <c r="A8795" s="1">
        <v>10020.0</v>
      </c>
      <c r="B8795" s="3" t="s">
        <v>25125</v>
      </c>
      <c r="C8795" s="3">
        <v>1.0</v>
      </c>
      <c r="D8795" s="3">
        <v>0.0</v>
      </c>
      <c r="E8795" s="3">
        <v>0.0</v>
      </c>
      <c r="F8795" s="3" t="s">
        <v>25125</v>
      </c>
      <c r="G8795" s="3">
        <v>0.0</v>
      </c>
      <c r="H8795" s="3">
        <v>0.0</v>
      </c>
      <c r="I8795" s="3" t="s">
        <v>13</v>
      </c>
      <c r="J8795" s="3" t="s">
        <v>25126</v>
      </c>
      <c r="K8795" s="3" t="s">
        <v>31</v>
      </c>
      <c r="L8795" s="3" t="str">
        <f>IFERROR(__xludf.DUMMYFUNCTION("GOOGLETRANSLATE(F8795,""id"",""en"")"),"still feels touched by Argentina champions pildun")</f>
        <v>still feels touched by Argentina champions pildun</v>
      </c>
    </row>
    <row r="8796" ht="15.75" customHeight="1">
      <c r="A8796" s="1">
        <v>10021.0</v>
      </c>
      <c r="B8796" s="3" t="s">
        <v>25127</v>
      </c>
      <c r="C8796" s="3">
        <v>1.0</v>
      </c>
      <c r="D8796" s="3">
        <v>0.0</v>
      </c>
      <c r="E8796" s="3">
        <v>0.0</v>
      </c>
      <c r="F8796" s="3" t="s">
        <v>25128</v>
      </c>
      <c r="G8796" s="3">
        <v>0.0</v>
      </c>
      <c r="H8796" s="3">
        <v>0.0</v>
      </c>
      <c r="I8796" s="3" t="s">
        <v>13</v>
      </c>
      <c r="J8796" s="3" t="s">
        <v>25129</v>
      </c>
      <c r="K8796" s="3" t="s">
        <v>903</v>
      </c>
      <c r="L8796" s="3" t="str">
        <f>IFERROR(__xludf.DUMMYFUNCTION("GOOGLETRANSLATE(F8796,""id"",""en"")"),"obviously repayed because I want to be very Paris to see the Eifel Tower, I have moved the Spanish league, I support the championship of ARGENTINA now")</f>
        <v>obviously repayed because I want to be very Paris to see the Eifel Tower, I have moved the Spanish league, I support the championship of ARGENTINA now</v>
      </c>
    </row>
    <row r="8797" ht="15.75" customHeight="1">
      <c r="A8797" s="1">
        <v>10022.0</v>
      </c>
      <c r="B8797" s="3" t="s">
        <v>25130</v>
      </c>
      <c r="C8797" s="3">
        <v>0.0</v>
      </c>
      <c r="D8797" s="3">
        <v>0.0</v>
      </c>
      <c r="E8797" s="3">
        <v>1.0</v>
      </c>
      <c r="F8797" s="3" t="s">
        <v>25131</v>
      </c>
      <c r="G8797" s="3">
        <v>0.0</v>
      </c>
      <c r="H8797" s="3">
        <v>0.0</v>
      </c>
      <c r="I8797" s="3" t="s">
        <v>13</v>
      </c>
      <c r="J8797" s="3" t="s">
        <v>25132</v>
      </c>
      <c r="K8797" s="3" t="s">
        <v>41</v>
      </c>
      <c r="L8797" s="3" t="str">
        <f>IFERROR(__xludf.DUMMYFUNCTION("GOOGLETRANSLATE(F8797,""id"",""en"")"),"Argentina World Cup Champion Roy Keane danced for next year")</f>
        <v>Argentina World Cup Champion Roy Keane danced for next year</v>
      </c>
    </row>
    <row r="8798" ht="15.75" customHeight="1">
      <c r="A8798" s="1">
        <v>10023.0</v>
      </c>
      <c r="B8798" s="3" t="s">
        <v>25133</v>
      </c>
      <c r="C8798" s="3">
        <v>0.0</v>
      </c>
      <c r="D8798" s="3">
        <v>0.0</v>
      </c>
      <c r="E8798" s="3">
        <v>0.0</v>
      </c>
      <c r="F8798" s="3" t="s">
        <v>25134</v>
      </c>
      <c r="G8798" s="3">
        <v>0.3</v>
      </c>
      <c r="H8798" s="3">
        <v>1.0</v>
      </c>
      <c r="I8798" s="3" t="s">
        <v>48</v>
      </c>
      <c r="J8798" s="3" t="s">
        <v>25135</v>
      </c>
      <c r="K8798" s="3" t="s">
        <v>1061</v>
      </c>
      <c r="L8798" s="3" t="str">
        <f>IFERROR(__xludf.DUMMYFUNCTION("GOOGLETRANSLATE(F8798,""id"",""en"")"),"This match is one of the best in my opinion besides the Dutch Argentina full of emotions the coach is quite clever and quickly anticipates the change in Argentina Congratulation from the beginning I have favored to become a BKN champion")</f>
        <v>This match is one of the best in my opinion besides the Dutch Argentina full of emotions the coach is quite clever and quickly anticipates the change in Argentina Congratulation from the beginning I have favored to become a BKN champion</v>
      </c>
    </row>
    <row r="8799" ht="15.75" customHeight="1">
      <c r="A8799" s="1">
        <v>10024.0</v>
      </c>
      <c r="B8799" s="3" t="s">
        <v>25136</v>
      </c>
      <c r="C8799" s="3">
        <v>0.0</v>
      </c>
      <c r="D8799" s="3">
        <v>0.0</v>
      </c>
      <c r="E8799" s="3">
        <v>0.0</v>
      </c>
      <c r="F8799" s="3" t="s">
        <v>25137</v>
      </c>
      <c r="G8799" s="3">
        <v>0.0</v>
      </c>
      <c r="H8799" s="3">
        <v>0.0</v>
      </c>
      <c r="I8799" s="3" t="s">
        <v>13</v>
      </c>
      <c r="J8799" s="3" t="s">
        <v>25138</v>
      </c>
      <c r="K8799" s="3" t="s">
        <v>15</v>
      </c>
      <c r="L8799" s="3" t="str">
        <f>IFERROR(__xludf.DUMMYFUNCTION("GOOGLETRANSLATE(F8799,""id"",""en"")"),"Ngopo Argentina Champion Yen Menara Abang Lak Your Cigarette")</f>
        <v>Ngopo Argentina Champion Yen Menara Abang Lak Your Cigarette</v>
      </c>
    </row>
    <row r="8800" ht="15.75" customHeight="1">
      <c r="A8800" s="1">
        <v>10025.0</v>
      </c>
      <c r="B8800" s="3" t="s">
        <v>25139</v>
      </c>
      <c r="C8800" s="3">
        <v>0.0</v>
      </c>
      <c r="D8800" s="3">
        <v>0.0</v>
      </c>
      <c r="E8800" s="3">
        <v>0.0</v>
      </c>
      <c r="F8800" s="3" t="s">
        <v>25140</v>
      </c>
      <c r="G8800" s="3">
        <v>1.0</v>
      </c>
      <c r="H8800" s="3">
        <v>1.0</v>
      </c>
      <c r="I8800" s="3" t="s">
        <v>48</v>
      </c>
      <c r="J8800" s="3" t="s">
        <v>25141</v>
      </c>
      <c r="K8800" s="3" t="s">
        <v>899</v>
      </c>
      <c r="L8800" s="3" t="str">
        <f>IFERROR(__xludf.DUMMYFUNCTION("GOOGLETRANSLATE(F8800,""id"",""en"")"),"The only article is because Argentina is the core champion for Argentina as the ruler of the world until the World Cup meeting is the next Greatest Off All Time Congratulations Qatar Sheikh Messi France Kylian Mbappe Argentina")</f>
        <v>The only article is because Argentina is the core champion for Argentina as the ruler of the world until the World Cup meeting is the next Greatest Off All Time Congratulations Qatar Sheikh Messi France Kylian Mbappe Argentina</v>
      </c>
    </row>
    <row r="8801" ht="15.75" customHeight="1">
      <c r="A8801" s="1">
        <v>10026.0</v>
      </c>
      <c r="B8801" s="3" t="s">
        <v>25142</v>
      </c>
      <c r="C8801" s="3">
        <v>0.0</v>
      </c>
      <c r="D8801" s="3">
        <v>1.0</v>
      </c>
      <c r="E8801" s="3">
        <v>2.0</v>
      </c>
      <c r="F8801" s="3" t="s">
        <v>25143</v>
      </c>
      <c r="G8801" s="3">
        <v>1.0</v>
      </c>
      <c r="H8801" s="3">
        <v>1.0</v>
      </c>
      <c r="I8801" s="3" t="s">
        <v>48</v>
      </c>
      <c r="J8801" s="3" t="s">
        <v>25144</v>
      </c>
      <c r="K8801" s="3" t="s">
        <v>1157</v>
      </c>
      <c r="L8801" s="3" t="str">
        <f>IFERROR(__xludf.DUMMYFUNCTION("GOOGLETRANSLATE(F8801,""id"",""en"")"),"Golkar remains DPT number four because Golkar is a party supporting the struggle of the four pillars such as Messi Sheikh Messi Maria Emi Martinez Paul wants to successfully bring Argentina World Cup World Cup champion ARGENTINA WORLD CUP")</f>
        <v>Golkar remains DPT number four because Golkar is a party supporting the struggle of the four pillars such as Messi Sheikh Messi Maria Emi Martinez Paul wants to successfully bring Argentina World Cup World Cup champion ARGENTINA WORLD CUP</v>
      </c>
    </row>
    <row r="8802" ht="15.75" customHeight="1">
      <c r="A8802" s="1">
        <v>10027.0</v>
      </c>
      <c r="B8802" s="3" t="s">
        <v>25145</v>
      </c>
      <c r="C8802" s="3">
        <v>0.0</v>
      </c>
      <c r="D8802" s="3">
        <v>0.0</v>
      </c>
      <c r="E8802" s="3">
        <v>1.0</v>
      </c>
      <c r="F8802" s="3" t="s">
        <v>25146</v>
      </c>
      <c r="G8802" s="3">
        <v>0.0</v>
      </c>
      <c r="H8802" s="3">
        <v>0.0</v>
      </c>
      <c r="I8802" s="3" t="s">
        <v>13</v>
      </c>
      <c r="J8802" s="3" t="s">
        <v>25147</v>
      </c>
      <c r="K8802" s="3" t="s">
        <v>41</v>
      </c>
      <c r="L8802" s="3" t="str">
        <f>IFERROR(__xludf.DUMMYFUNCTION("GOOGLETRANSLATE(F8802,""id"",""en"")"),"yes, the referee has also been arranged with FIFA so that Argentina is champion")</f>
        <v>yes, the referee has also been arranged with FIFA so that Argentina is champion</v>
      </c>
    </row>
    <row r="8803" ht="15.75" customHeight="1">
      <c r="A8803" s="1">
        <v>10028.0</v>
      </c>
      <c r="B8803" s="3" t="s">
        <v>25148</v>
      </c>
      <c r="C8803" s="3">
        <v>0.0</v>
      </c>
      <c r="D8803" s="3">
        <v>0.0</v>
      </c>
      <c r="E8803" s="3">
        <v>0.0</v>
      </c>
      <c r="F8803" s="3" t="s">
        <v>25149</v>
      </c>
      <c r="G8803" s="3">
        <v>1.0</v>
      </c>
      <c r="H8803" s="3">
        <v>0.0</v>
      </c>
      <c r="I8803" s="3" t="s">
        <v>13</v>
      </c>
      <c r="J8803" s="3" t="s">
        <v>25150</v>
      </c>
      <c r="K8803" s="3" t="s">
        <v>510</v>
      </c>
      <c r="L8803" s="3" t="str">
        <f>IFERROR(__xludf.DUMMYFUNCTION("GOOGLETRANSLATE(F8803,""id"",""en"")"),"Every World Cup always supports Argentina last night the final is the most tired of the dramaa champion")</f>
        <v>Every World Cup always supports Argentina last night the final is the most tired of the dramaa champion</v>
      </c>
    </row>
    <row r="8804" ht="15.75" customHeight="1">
      <c r="A8804" s="1">
        <v>10029.0</v>
      </c>
      <c r="B8804" s="3" t="s">
        <v>25151</v>
      </c>
      <c r="C8804" s="3">
        <v>0.0</v>
      </c>
      <c r="D8804" s="3">
        <v>0.0</v>
      </c>
      <c r="E8804" s="3">
        <v>1.0</v>
      </c>
      <c r="F8804" s="3" t="s">
        <v>25152</v>
      </c>
      <c r="G8804" s="3">
        <v>0.0</v>
      </c>
      <c r="H8804" s="3">
        <v>0.0</v>
      </c>
      <c r="I8804" s="3" t="s">
        <v>13</v>
      </c>
      <c r="J8804" s="3" t="s">
        <v>25153</v>
      </c>
      <c r="K8804" s="3" t="s">
        <v>240</v>
      </c>
      <c r="L8804" s="3" t="str">
        <f>IFERROR(__xludf.DUMMYFUNCTION("GOOGLETRANSLATE(F8804,""id"",""en"")"),"Praise Ronaldo Lionel Messi After Argentina Champion World Cup This person's soccer game removed any competition")</f>
        <v>Praise Ronaldo Lionel Messi After Argentina Champion World Cup This person's soccer game removed any competition</v>
      </c>
    </row>
    <row r="8805" ht="15.75" customHeight="1">
      <c r="A8805" s="1">
        <v>10030.0</v>
      </c>
      <c r="B8805" s="3" t="s">
        <v>25154</v>
      </c>
      <c r="C8805" s="3">
        <v>0.0</v>
      </c>
      <c r="D8805" s="3">
        <v>0.0</v>
      </c>
      <c r="E8805" s="3">
        <v>0.0</v>
      </c>
      <c r="F8805" s="3" t="s">
        <v>25152</v>
      </c>
      <c r="G8805" s="3">
        <v>0.0</v>
      </c>
      <c r="H8805" s="3">
        <v>0.0</v>
      </c>
      <c r="I8805" s="3" t="s">
        <v>13</v>
      </c>
      <c r="J8805" s="3" t="s">
        <v>25153</v>
      </c>
      <c r="K8805" s="3" t="s">
        <v>240</v>
      </c>
      <c r="L8805" s="3" t="str">
        <f>IFERROR(__xludf.DUMMYFUNCTION("GOOGLETRANSLATE(F8805,""id"",""en"")"),"Praise Ronaldo Lionel Messi After Argentina Champion World Cup This person's soccer game removed any competition")</f>
        <v>Praise Ronaldo Lionel Messi After Argentina Champion World Cup This person's soccer game removed any competition</v>
      </c>
    </row>
    <row r="8806" ht="15.75" customHeight="1">
      <c r="A8806" s="1">
        <v>10031.0</v>
      </c>
      <c r="B8806" s="3" t="s">
        <v>25155</v>
      </c>
      <c r="C8806" s="3">
        <v>1.0</v>
      </c>
      <c r="D8806" s="3">
        <v>0.0</v>
      </c>
      <c r="E8806" s="3">
        <v>0.0</v>
      </c>
      <c r="F8806" s="3" t="s">
        <v>25156</v>
      </c>
      <c r="G8806" s="3">
        <v>0.0</v>
      </c>
      <c r="H8806" s="3">
        <v>0.0</v>
      </c>
      <c r="I8806" s="3" t="s">
        <v>13</v>
      </c>
      <c r="J8806" s="3" t="s">
        <v>25157</v>
      </c>
      <c r="K8806" s="3" t="s">
        <v>1970</v>
      </c>
      <c r="L8806" s="3" t="str">
        <f>IFERROR(__xludf.DUMMYFUNCTION("GOOGLETRANSLATE(F8806,""id"",""en"")"),"Crossing the curtains already FIFA World Cup Qatar who brought the troops for the last time and Argentina as champions to beat France by determining the penalty after being bound")</f>
        <v>Crossing the curtains already FIFA World Cup Qatar who brought the troops for the last time and Argentina as champions to beat France by determining the penalty after being bound</v>
      </c>
    </row>
    <row r="8807" ht="15.75" customHeight="1">
      <c r="A8807" s="1">
        <v>10032.0</v>
      </c>
      <c r="B8807" s="3" t="s">
        <v>25158</v>
      </c>
      <c r="C8807" s="3">
        <v>0.0</v>
      </c>
      <c r="D8807" s="3">
        <v>1.0</v>
      </c>
      <c r="E8807" s="3">
        <v>4.0</v>
      </c>
      <c r="F8807" s="3" t="s">
        <v>25159</v>
      </c>
      <c r="G8807" s="3">
        <v>0.0</v>
      </c>
      <c r="H8807" s="3">
        <v>0.0</v>
      </c>
      <c r="I8807" s="3" t="s">
        <v>13</v>
      </c>
      <c r="J8807" s="3" t="s">
        <v>25160</v>
      </c>
      <c r="K8807" s="3" t="s">
        <v>484</v>
      </c>
      <c r="L8807" s="3" t="str">
        <f>IFERROR(__xludf.DUMMYFUNCTION("GOOGLETRANSLATE(F8807,""id"",""en"")"),"Finally Argentina Champion World Cup for the third time Messi retired calmly All All Argentina France Nobar")</f>
        <v>Finally Argentina Champion World Cup for the third time Messi retired calmly All All Argentina France Nobar</v>
      </c>
    </row>
    <row r="8808" ht="15.75" customHeight="1">
      <c r="A8808" s="1">
        <v>10033.0</v>
      </c>
      <c r="B8808" s="3" t="s">
        <v>25161</v>
      </c>
      <c r="C8808" s="3">
        <v>0.0</v>
      </c>
      <c r="D8808" s="3">
        <v>0.0</v>
      </c>
      <c r="E8808" s="3">
        <v>0.0</v>
      </c>
      <c r="F8808" s="3" t="s">
        <v>25162</v>
      </c>
      <c r="G8808" s="3">
        <v>0.0</v>
      </c>
      <c r="H8808" s="3">
        <v>0.0</v>
      </c>
      <c r="I8808" s="3" t="s">
        <v>13</v>
      </c>
      <c r="J8808" s="3" t="s">
        <v>25163</v>
      </c>
      <c r="K8808" s="3" t="s">
        <v>6117</v>
      </c>
      <c r="L8808" s="3" t="str">
        <f>IFERROR(__xludf.DUMMYFUNCTION("GOOGLETRANSLATE(F8808,""id"",""en"")"),"Argentina ended the waiting for the championship after this year was the third title of the Albiceleste team before that they won the year with this title Lionel Messi decided to complete the personal title he had achieved where the Bolafriends voice supp"&amp;"orted Argentina")</f>
        <v>Argentina ended the waiting for the championship after this year was the third title of the Albiceleste team before that they won the year with this title Lionel Messi decided to complete the personal title he had achieved where the Bolafriends voice supported Argentina</v>
      </c>
    </row>
    <row r="8809" ht="15.75" customHeight="1">
      <c r="A8809" s="1">
        <v>10034.0</v>
      </c>
      <c r="B8809" s="3" t="s">
        <v>25164</v>
      </c>
      <c r="C8809" s="3">
        <v>2.0</v>
      </c>
      <c r="D8809" s="3">
        <v>0.0</v>
      </c>
      <c r="E8809" s="3">
        <v>1.0</v>
      </c>
      <c r="F8809" s="3" t="s">
        <v>25165</v>
      </c>
      <c r="G8809" s="3">
        <v>0.0</v>
      </c>
      <c r="H8809" s="3">
        <v>0.0</v>
      </c>
      <c r="I8809" s="3" t="s">
        <v>13</v>
      </c>
      <c r="J8809" s="3" t="s">
        <v>25166</v>
      </c>
      <c r="K8809" s="3" t="s">
        <v>41</v>
      </c>
      <c r="L8809" s="3" t="str">
        <f>IFERROR(__xludf.DUMMYFUNCTION("GOOGLETRANSLATE(F8809,""id"",""en"")"),"I congratulate the Argentine national team who won the World Cup title")</f>
        <v>I congratulate the Argentine national team who won the World Cup title</v>
      </c>
    </row>
    <row r="8810" ht="15.75" customHeight="1">
      <c r="A8810" s="1">
        <v>10035.0</v>
      </c>
      <c r="B8810" s="3" t="s">
        <v>25167</v>
      </c>
      <c r="C8810" s="3">
        <v>0.0</v>
      </c>
      <c r="D8810" s="3">
        <v>0.0</v>
      </c>
      <c r="E8810" s="3">
        <v>0.0</v>
      </c>
      <c r="F8810" s="3" t="s">
        <v>25168</v>
      </c>
      <c r="G8810" s="3">
        <v>0.0</v>
      </c>
      <c r="H8810" s="3">
        <v>0.0</v>
      </c>
      <c r="I8810" s="3" t="s">
        <v>13</v>
      </c>
      <c r="J8810" s="3" t="s">
        <v>25169</v>
      </c>
      <c r="K8810" s="3" t="s">
        <v>82</v>
      </c>
      <c r="L8810" s="3" t="str">
        <f>IFERROR(__xludf.DUMMYFUNCTION("GOOGLETRANSLATE(F8810,""id"",""en"")"),"after meeting old friends, right, charge energy")</f>
        <v>after meeting old friends, right, charge energy</v>
      </c>
    </row>
    <row r="8811" ht="15.75" customHeight="1">
      <c r="A8811" s="1">
        <v>10036.0</v>
      </c>
      <c r="B8811" s="3" t="s">
        <v>25170</v>
      </c>
      <c r="C8811" s="3">
        <v>0.0</v>
      </c>
      <c r="D8811" s="3">
        <v>0.0</v>
      </c>
      <c r="E8811" s="3">
        <v>25.0</v>
      </c>
      <c r="F8811" s="3" t="s">
        <v>25171</v>
      </c>
      <c r="G8811" s="3">
        <v>0.0</v>
      </c>
      <c r="H8811" s="3">
        <v>0.0</v>
      </c>
      <c r="I8811" s="3" t="s">
        <v>13</v>
      </c>
      <c r="J8811" s="3" t="s">
        <v>25172</v>
      </c>
      <c r="K8811" s="3" t="s">
        <v>35</v>
      </c>
      <c r="L8811" s="3" t="str">
        <f>IFERROR(__xludf.DUMMYFUNCTION("GOOGLETRANSLATE(F8811,""id"",""en"")"),"Already just admit that Argentina is the champion or difficult to use everything to say the setting of wkwkwk")</f>
        <v>Already just admit that Argentina is the champion or difficult to use everything to say the setting of wkwkwk</v>
      </c>
    </row>
    <row r="8812" ht="15.75" customHeight="1">
      <c r="A8812" s="1">
        <v>10037.0</v>
      </c>
      <c r="B8812" s="3" t="s">
        <v>25173</v>
      </c>
      <c r="C8812" s="3">
        <v>0.0</v>
      </c>
      <c r="D8812" s="3">
        <v>0.0</v>
      </c>
      <c r="E8812" s="3">
        <v>1.0</v>
      </c>
      <c r="F8812" s="3" t="s">
        <v>25174</v>
      </c>
      <c r="G8812" s="3">
        <v>0.0</v>
      </c>
      <c r="H8812" s="3">
        <v>0.0</v>
      </c>
      <c r="I8812" s="3" t="s">
        <v>13</v>
      </c>
      <c r="J8812" s="3" t="s">
        <v>25175</v>
      </c>
      <c r="K8812" s="3" t="s">
        <v>584</v>
      </c>
      <c r="L8812" s="3" t="str">
        <f>IFERROR(__xludf.DUMMYFUNCTION("GOOGLETRANSLATE(F8812,""id"",""en"")"),"One of the most iconic moments in the celebration of Argentine champions was when Messi received the World Cup trophy from FIFA President and Qatar Kingdom Messi was put on a robe that was a traditional Middle Eastern clothing")</f>
        <v>One of the most iconic moments in the celebration of Argentine champions was when Messi received the World Cup trophy from FIFA President and Qatar Kingdom Messi was put on a robe that was a traditional Middle Eastern clothing</v>
      </c>
    </row>
    <row r="8813" ht="15.75" customHeight="1">
      <c r="A8813" s="1">
        <v>10038.0</v>
      </c>
      <c r="B8813" s="3" t="s">
        <v>25176</v>
      </c>
      <c r="C8813" s="3">
        <v>0.0</v>
      </c>
      <c r="D8813" s="3">
        <v>1.0</v>
      </c>
      <c r="E8813" s="3">
        <v>3.0</v>
      </c>
      <c r="F8813" s="3" t="s">
        <v>25177</v>
      </c>
      <c r="G8813" s="3">
        <v>0.5</v>
      </c>
      <c r="H8813" s="3">
        <v>0.5</v>
      </c>
      <c r="I8813" s="3" t="s">
        <v>48</v>
      </c>
      <c r="J8813" s="3" t="s">
        <v>25178</v>
      </c>
      <c r="K8813" s="3" t="s">
        <v>15</v>
      </c>
      <c r="L8813" s="3" t="str">
        <f>IFERROR(__xludf.DUMMYFUNCTION("GOOGLETRANSLATE(F8813,""id"",""en"")"),"Cool Wes Top Argentina Mbay we already know that the champion")</f>
        <v>Cool Wes Top Argentina Mbay we already know that the champion</v>
      </c>
    </row>
    <row r="8814" ht="15.75" customHeight="1">
      <c r="A8814" s="1">
        <v>10039.0</v>
      </c>
      <c r="B8814" s="3" t="s">
        <v>25179</v>
      </c>
      <c r="C8814" s="3">
        <v>0.0</v>
      </c>
      <c r="D8814" s="3">
        <v>0.0</v>
      </c>
      <c r="E8814" s="3">
        <v>0.0</v>
      </c>
      <c r="F8814" s="3" t="s">
        <v>25180</v>
      </c>
      <c r="G8814" s="3">
        <v>0.0</v>
      </c>
      <c r="H8814" s="3">
        <v>0.0</v>
      </c>
      <c r="I8814" s="3" t="s">
        <v>13</v>
      </c>
      <c r="J8814" s="3" t="s">
        <v>25181</v>
      </c>
      <c r="K8814" s="3" t="s">
        <v>75</v>
      </c>
      <c r="L8814" s="3" t="str">
        <f>IFERROR(__xludf.DUMMYFUNCTION("GOOGLETRANSLATE(F8814,""id"",""en"")"),"Argentina Success for West Java Champion has matched the cagub campaign slogan")</f>
        <v>Argentina Success for West Java Champion has matched the cagub campaign slogan</v>
      </c>
    </row>
    <row r="8815" ht="15.75" customHeight="1">
      <c r="A8815" s="1">
        <v>10040.0</v>
      </c>
      <c r="B8815" s="3" t="s">
        <v>25182</v>
      </c>
      <c r="C8815" s="3">
        <v>0.0</v>
      </c>
      <c r="D8815" s="3">
        <v>0.0</v>
      </c>
      <c r="E8815" s="3">
        <v>0.0</v>
      </c>
      <c r="F8815" s="3" t="s">
        <v>25183</v>
      </c>
      <c r="G8815" s="3">
        <v>0.0</v>
      </c>
      <c r="H8815" s="3">
        <v>0.0</v>
      </c>
      <c r="I8815" s="3" t="s">
        <v>13</v>
      </c>
      <c r="J8815" s="3" t="s">
        <v>25184</v>
      </c>
      <c r="K8815" s="3" t="s">
        <v>322</v>
      </c>
      <c r="L8815" s="3" t="str">
        <f>IFERROR(__xludf.DUMMYFUNCTION("GOOGLETRANSLATE(F8815,""id"",""en"")"),"Argentine Infographic Champion World Cup Infographic by")</f>
        <v>Argentine Infographic Champion World Cup Infographic by</v>
      </c>
    </row>
    <row r="8816" ht="15.75" customHeight="1">
      <c r="A8816" s="1">
        <v>10041.0</v>
      </c>
      <c r="B8816" s="3" t="s">
        <v>25185</v>
      </c>
      <c r="C8816" s="3">
        <v>0.0</v>
      </c>
      <c r="D8816" s="3">
        <v>0.0</v>
      </c>
      <c r="E8816" s="3">
        <v>0.0</v>
      </c>
      <c r="F8816" s="3" t="s">
        <v>25186</v>
      </c>
      <c r="G8816" s="3">
        <v>0.0</v>
      </c>
      <c r="H8816" s="3">
        <v>0.0</v>
      </c>
      <c r="I8816" s="3" t="s">
        <v>13</v>
      </c>
      <c r="J8816" s="3" t="s">
        <v>25187</v>
      </c>
      <c r="K8816" s="3" t="s">
        <v>19</v>
      </c>
      <c r="L8816" s="3" t="str">
        <f>IFERROR(__xludf.DUMMYFUNCTION("GOOGLETRANSLATE(F8816,""id"",""en"")"),"Lionel Messi canceled retiring after carrying a victory for Argentina I will continue to compete as world champions")</f>
        <v>Lionel Messi canceled retiring after carrying a victory for Argentina I will continue to compete as world champions</v>
      </c>
    </row>
    <row r="8817" ht="15.75" customHeight="1">
      <c r="A8817" s="1">
        <v>10042.0</v>
      </c>
      <c r="B8817" s="3" t="s">
        <v>25188</v>
      </c>
      <c r="C8817" s="3">
        <v>0.0</v>
      </c>
      <c r="D8817" s="3">
        <v>0.0</v>
      </c>
      <c r="E8817" s="3">
        <v>0.0</v>
      </c>
      <c r="F8817" s="3" t="s">
        <v>25189</v>
      </c>
      <c r="G8817" s="3">
        <v>0.0</v>
      </c>
      <c r="H8817" s="3">
        <v>0.0</v>
      </c>
      <c r="I8817" s="3" t="s">
        <v>13</v>
      </c>
      <c r="J8817" s="3" t="s">
        <v>25190</v>
      </c>
      <c r="K8817" s="3" t="s">
        <v>3346</v>
      </c>
      <c r="L8817" s="3" t="str">
        <f>IFERROR(__xludf.DUMMYFUNCTION("GOOGLETRANSLATE(F8817,""id"",""en"")"),"Argentina failed to win because Higuain failed Neuer last night, one of them was because of their opponents who failed their goal")</f>
        <v>Argentina failed to win because Higuain failed Neuer last night, one of them was because of their opponents who failed their goal</v>
      </c>
    </row>
    <row r="8818" ht="15.75" customHeight="1">
      <c r="A8818" s="1">
        <v>10043.0</v>
      </c>
      <c r="B8818" s="3" t="s">
        <v>25191</v>
      </c>
      <c r="C8818" s="3">
        <v>1.0</v>
      </c>
      <c r="D8818" s="3">
        <v>1.0</v>
      </c>
      <c r="E8818" s="3">
        <v>3.0</v>
      </c>
      <c r="F8818" s="3" t="s">
        <v>22584</v>
      </c>
      <c r="G8818" s="3">
        <v>0.0</v>
      </c>
      <c r="H8818" s="3">
        <v>0.0</v>
      </c>
      <c r="I8818" s="3" t="s">
        <v>13</v>
      </c>
      <c r="J8818" s="3" t="s">
        <v>22585</v>
      </c>
      <c r="K8818" s="3" t="s">
        <v>31</v>
      </c>
      <c r="L8818" s="3" t="str">
        <f>IFERROR(__xludf.DUMMYFUNCTION("GOOGLETRANSLATE(F8818,""id"",""en"")"),"Argentina Champion World Cup Qatar")</f>
        <v>Argentina Champion World Cup Qatar</v>
      </c>
    </row>
    <row r="8819" ht="15.75" customHeight="1">
      <c r="A8819" s="1">
        <v>10044.0</v>
      </c>
      <c r="B8819" s="3" t="s">
        <v>25192</v>
      </c>
      <c r="C8819" s="3">
        <v>0.0</v>
      </c>
      <c r="D8819" s="3">
        <v>0.0</v>
      </c>
      <c r="E8819" s="3">
        <v>0.0</v>
      </c>
      <c r="F8819" s="3" t="s">
        <v>25193</v>
      </c>
      <c r="G8819" s="3">
        <v>0.0</v>
      </c>
      <c r="H8819" s="3">
        <v>0.0</v>
      </c>
      <c r="I8819" s="3" t="s">
        <v>13</v>
      </c>
      <c r="J8819" s="3" t="s">
        <v>25194</v>
      </c>
      <c r="K8819" s="3" t="s">
        <v>19</v>
      </c>
      <c r="L8819" s="3" t="str">
        <f>IFERROR(__xludf.DUMMYFUNCTION("GOOGLETRANSLATE(F8819,""id"",""en"")"),"Bring Argentina World Cup Champion Lionel Messi Wins the Best Player This Coach said")</f>
        <v>Bring Argentina World Cup Champion Lionel Messi Wins the Best Player This Coach said</v>
      </c>
    </row>
    <row r="8820" ht="15.75" customHeight="1">
      <c r="A8820" s="1">
        <v>10045.0</v>
      </c>
      <c r="B8820" s="3" t="s">
        <v>25195</v>
      </c>
      <c r="C8820" s="3">
        <v>0.0</v>
      </c>
      <c r="D8820" s="3">
        <v>0.0</v>
      </c>
      <c r="E8820" s="3">
        <v>0.0</v>
      </c>
      <c r="F8820" s="3" t="s">
        <v>25196</v>
      </c>
      <c r="G8820" s="3">
        <v>0.0</v>
      </c>
      <c r="H8820" s="3">
        <v>0.0</v>
      </c>
      <c r="I8820" s="3" t="s">
        <v>13</v>
      </c>
      <c r="J8820" s="3" t="s">
        <v>25197</v>
      </c>
      <c r="K8820" s="3" t="s">
        <v>75</v>
      </c>
      <c r="L8820" s="3" t="str">
        <f>IFERROR(__xludf.DUMMYFUNCTION("GOOGLETRANSLATE(F8820,""id"",""en"")"),"Messi's brilliant career between Argentina Champion Copa America World Cup")</f>
        <v>Messi's brilliant career between Argentina Champion Copa America World Cup</v>
      </c>
    </row>
    <row r="8821" ht="15.75" customHeight="1">
      <c r="A8821" s="1">
        <v>10046.0</v>
      </c>
      <c r="B8821" s="3" t="s">
        <v>25198</v>
      </c>
      <c r="C8821" s="3">
        <v>0.0</v>
      </c>
      <c r="D8821" s="3">
        <v>0.0</v>
      </c>
      <c r="E8821" s="3">
        <v>4.0</v>
      </c>
      <c r="F8821" s="3" t="s">
        <v>25199</v>
      </c>
      <c r="G8821" s="3">
        <v>0.0</v>
      </c>
      <c r="H8821" s="3">
        <v>0.0</v>
      </c>
      <c r="I8821" s="3" t="s">
        <v>13</v>
      </c>
      <c r="J8821" s="3" t="s">
        <v>25200</v>
      </c>
      <c r="K8821" s="3" t="s">
        <v>50</v>
      </c>
      <c r="L8821" s="3" t="str">
        <f>IFERROR(__xludf.DUMMYFUNCTION("GOOGLETRANSLATE(F8821,""id"",""en"")"),"Ronaldo congratulates Lionel Messi after bringing Argentina to the Qatar World Cup championship")</f>
        <v>Ronaldo congratulates Lionel Messi after bringing Argentina to the Qatar World Cup championship</v>
      </c>
    </row>
    <row r="8822" ht="15.75" customHeight="1">
      <c r="A8822" s="1">
        <v>10047.0</v>
      </c>
      <c r="B8822" s="3" t="s">
        <v>25201</v>
      </c>
      <c r="C8822" s="3">
        <v>0.0</v>
      </c>
      <c r="D8822" s="3">
        <v>0.0</v>
      </c>
      <c r="E8822" s="3">
        <v>0.0</v>
      </c>
      <c r="F8822" s="3" t="s">
        <v>25202</v>
      </c>
      <c r="G8822" s="3">
        <v>0.1</v>
      </c>
      <c r="H8822" s="3">
        <v>0.0</v>
      </c>
      <c r="I8822" s="3" t="s">
        <v>13</v>
      </c>
      <c r="J8822" s="3" t="s">
        <v>25203</v>
      </c>
      <c r="K8822" s="3" t="s">
        <v>495</v>
      </c>
      <c r="L8822" s="3" t="str">
        <f>IFERROR(__xludf.DUMMYFUNCTION("GOOGLETRANSLATE(F8822,""id"",""en"")"),"Save valuable to do this plus mbappe ujung extra time acceleration to fail Dybala to be one of the keys to Argentina Champion")</f>
        <v>Save valuable to do this plus mbappe ujung extra time acceleration to fail Dybala to be one of the keys to Argentina Champion</v>
      </c>
    </row>
    <row r="8823" ht="15.75" customHeight="1">
      <c r="A8823" s="1">
        <v>10048.0</v>
      </c>
      <c r="B8823" s="3" t="s">
        <v>25204</v>
      </c>
      <c r="C8823" s="3">
        <v>0.0</v>
      </c>
      <c r="D8823" s="3">
        <v>7.0</v>
      </c>
      <c r="E8823" s="3">
        <v>25.0</v>
      </c>
      <c r="F8823" s="3" t="s">
        <v>25205</v>
      </c>
      <c r="G8823" s="3">
        <v>0.0</v>
      </c>
      <c r="H8823" s="3">
        <v>0.0</v>
      </c>
      <c r="I8823" s="3" t="s">
        <v>13</v>
      </c>
      <c r="J8823" s="3" t="s">
        <v>25206</v>
      </c>
      <c r="K8823" s="3" t="s">
        <v>149</v>
      </c>
      <c r="L8823" s="3" t="str">
        <f>IFERROR(__xludf.DUMMYFUNCTION("GOOGLETRANSLATE(F8823,""id"",""en"")"),"Hundreds of thousands of Lionel Messi fans all with a back -numbered T -shirt in a walk throughout Argentina celebrate the soccer legend and the championship team")</f>
        <v>Hundreds of thousands of Lionel Messi fans all with a back -numbered T -shirt in a walk throughout Argentina celebrate the soccer legend and the championship team</v>
      </c>
    </row>
    <row r="8824" ht="15.75" customHeight="1">
      <c r="A8824" s="1">
        <v>10049.0</v>
      </c>
      <c r="B8824" s="3" t="s">
        <v>25207</v>
      </c>
      <c r="C8824" s="3">
        <v>0.0</v>
      </c>
      <c r="D8824" s="3">
        <v>0.0</v>
      </c>
      <c r="E8824" s="3">
        <v>0.0</v>
      </c>
      <c r="F8824" s="3" t="s">
        <v>25208</v>
      </c>
      <c r="G8824" s="3">
        <v>0.5</v>
      </c>
      <c r="H8824" s="3">
        <v>-0.5</v>
      </c>
      <c r="I8824" s="3" t="s">
        <v>179</v>
      </c>
      <c r="J8824" s="3" t="s">
        <v>25209</v>
      </c>
      <c r="K8824" s="3" t="s">
        <v>2610</v>
      </c>
      <c r="L8824" s="3" t="str">
        <f>IFERROR(__xludf.DUMMYFUNCTION("GOOGLETRANSLATE(F8824,""id"",""en"")"),"Permission to enliven Mas, even though he regretted why Argentina came out to be a champion and not France if allowed I wanted a book published by Mooipustaka Random, not a problem again and permission to follow")</f>
        <v>Permission to enliven Mas, even though he regretted why Argentina came out to be a champion and not France if allowed I wanted a book published by Mooipustaka Random, not a problem again and permission to follow</v>
      </c>
    </row>
    <row r="8825" ht="15.75" customHeight="1">
      <c r="A8825" s="1">
        <v>10050.0</v>
      </c>
      <c r="B8825" s="3" t="s">
        <v>25210</v>
      </c>
      <c r="C8825" s="3">
        <v>0.0</v>
      </c>
      <c r="D8825" s="3">
        <v>0.0</v>
      </c>
      <c r="E8825" s="3">
        <v>0.0</v>
      </c>
      <c r="F8825" s="3" t="s">
        <v>25211</v>
      </c>
      <c r="G8825" s="3">
        <v>0.0</v>
      </c>
      <c r="H8825" s="3">
        <v>0.0</v>
      </c>
      <c r="I8825" s="3" t="s">
        <v>13</v>
      </c>
      <c r="J8825" s="3" t="s">
        <v>25212</v>
      </c>
      <c r="K8825" s="3" t="s">
        <v>510</v>
      </c>
      <c r="L8825" s="3" t="str">
        <f>IFERROR(__xludf.DUMMYFUNCTION("GOOGLETRANSLATE(F8825,""id"",""en"")"),"Paulo Dybala brought by goal by the net after Argentina won the World Cup championship Via")</f>
        <v>Paulo Dybala brought by goal by the net after Argentina won the World Cup championship Via</v>
      </c>
    </row>
    <row r="8826" ht="15.75" customHeight="1">
      <c r="A8826" s="1">
        <v>10051.0</v>
      </c>
      <c r="B8826" s="3" t="s">
        <v>25213</v>
      </c>
      <c r="C8826" s="3">
        <v>0.0</v>
      </c>
      <c r="D8826" s="3">
        <v>0.0</v>
      </c>
      <c r="E8826" s="3">
        <v>1.0</v>
      </c>
      <c r="F8826" s="3" t="s">
        <v>25214</v>
      </c>
      <c r="G8826" s="3">
        <v>0.0</v>
      </c>
      <c r="H8826" s="3">
        <v>0.0</v>
      </c>
      <c r="I8826" s="3" t="s">
        <v>13</v>
      </c>
      <c r="J8826" s="3" t="s">
        <v>25215</v>
      </c>
      <c r="K8826" s="3" t="s">
        <v>82</v>
      </c>
      <c r="L8826" s="3" t="str">
        <f>IFERROR(__xludf.DUMMYFUNCTION("GOOGLETRANSLATE(F8826,""id"",""en"")"),"Predictions Mencopukm Proven Argentina World Cup Champion")</f>
        <v>Predictions Mencopukm Proven Argentina World Cup Champion</v>
      </c>
    </row>
    <row r="8827" ht="15.75" customHeight="1">
      <c r="A8827" s="1">
        <v>10052.0</v>
      </c>
      <c r="B8827" s="3" t="s">
        <v>25216</v>
      </c>
      <c r="C8827" s="3">
        <v>0.0</v>
      </c>
      <c r="D8827" s="3">
        <v>0.0</v>
      </c>
      <c r="E8827" s="3">
        <v>0.0</v>
      </c>
      <c r="F8827" s="3" t="s">
        <v>25217</v>
      </c>
      <c r="G8827" s="3">
        <v>0.0</v>
      </c>
      <c r="H8827" s="3">
        <v>0.0</v>
      </c>
      <c r="I8827" s="3" t="s">
        <v>13</v>
      </c>
      <c r="J8827" s="3" t="s">
        <v>25218</v>
      </c>
      <c r="K8827" s="3" t="s">
        <v>75</v>
      </c>
      <c r="L8827" s="3" t="str">
        <f>IFERROR(__xludf.DUMMYFUNCTION("GOOGLETRANSLATE(F8827,""id"",""en"")"),"The one who won Argentina who lost France who failed Moroccan champion but the bully remained Ronaldo")</f>
        <v>The one who won Argentina who lost France who failed Moroccan champion but the bully remained Ronaldo</v>
      </c>
    </row>
    <row r="8828" ht="15.75" customHeight="1">
      <c r="A8828" s="1">
        <v>10053.0</v>
      </c>
      <c r="B8828" s="3" t="s">
        <v>25219</v>
      </c>
      <c r="C8828" s="3">
        <v>0.0</v>
      </c>
      <c r="D8828" s="3">
        <v>0.0</v>
      </c>
      <c r="E8828" s="3">
        <v>0.0</v>
      </c>
      <c r="F8828" s="3" t="s">
        <v>25220</v>
      </c>
      <c r="G8828" s="3">
        <v>0.0</v>
      </c>
      <c r="H8828" s="3">
        <v>0.0</v>
      </c>
      <c r="I8828" s="3" t="s">
        <v>13</v>
      </c>
      <c r="J8828" s="3" t="s">
        <v>25221</v>
      </c>
      <c r="K8828" s="3" t="s">
        <v>510</v>
      </c>
      <c r="L8828" s="3" t="str">
        <f>IFERROR(__xludf.DUMMYFUNCTION("GOOGLETRANSLATE(F8828,""id"",""en"")"),"Argentina World Cup Champion After waiting for Lionel Messi Legitimately Become a Goat")</f>
        <v>Argentina World Cup Champion After waiting for Lionel Messi Legitimately Become a Goat</v>
      </c>
    </row>
    <row r="8829" ht="15.75" customHeight="1">
      <c r="A8829" s="1">
        <v>10054.0</v>
      </c>
      <c r="B8829" s="3" t="s">
        <v>25222</v>
      </c>
      <c r="C8829" s="3">
        <v>39.0</v>
      </c>
      <c r="D8829" s="3">
        <v>2.0</v>
      </c>
      <c r="E8829" s="3">
        <v>16.0</v>
      </c>
      <c r="F8829" s="3" t="s">
        <v>25223</v>
      </c>
      <c r="G8829" s="3">
        <v>0.0</v>
      </c>
      <c r="H8829" s="3">
        <v>0.0</v>
      </c>
      <c r="I8829" s="3" t="s">
        <v>13</v>
      </c>
      <c r="J8829" s="3" t="s">
        <v>25224</v>
      </c>
      <c r="K8829" s="3" t="s">
        <v>15</v>
      </c>
      <c r="L8829" s="3" t="str">
        <f>IFERROR(__xludf.DUMMYFUNCTION("GOOGLETRANSLATE(F8829,""id"",""en"")"),"Askrl because Argentina is a giveaway champion for people")</f>
        <v>Askrl because Argentina is a giveaway champion for people</v>
      </c>
    </row>
    <row r="8830" ht="15.75" customHeight="1">
      <c r="A8830" s="1">
        <v>10055.0</v>
      </c>
      <c r="B8830" s="3" t="s">
        <v>25225</v>
      </c>
      <c r="C8830" s="3">
        <v>0.0</v>
      </c>
      <c r="D8830" s="3">
        <v>0.0</v>
      </c>
      <c r="E8830" s="3">
        <v>1.0</v>
      </c>
      <c r="F8830" s="3" t="s">
        <v>25226</v>
      </c>
      <c r="G8830" s="3">
        <v>0.0</v>
      </c>
      <c r="H8830" s="3">
        <v>0.0</v>
      </c>
      <c r="I8830" s="3" t="s">
        <v>13</v>
      </c>
      <c r="J8830" s="3" t="s">
        <v>25227</v>
      </c>
      <c r="K8830" s="3" t="s">
        <v>41</v>
      </c>
      <c r="L8830" s="3" t="str">
        <f>IFERROR(__xludf.DUMMYFUNCTION("GOOGLETRANSLATE(F8830,""id"",""en"")"),"Scaloni invited the Argentine people to enjoy the success of the World Cup championship")</f>
        <v>Scaloni invited the Argentine people to enjoy the success of the World Cup championship</v>
      </c>
    </row>
    <row r="8831" ht="15.75" customHeight="1">
      <c r="A8831" s="1">
        <v>10056.0</v>
      </c>
      <c r="B8831" s="3" t="s">
        <v>25228</v>
      </c>
      <c r="C8831" s="3">
        <v>1.0</v>
      </c>
      <c r="D8831" s="3">
        <v>0.0</v>
      </c>
      <c r="E8831" s="3">
        <v>0.0</v>
      </c>
      <c r="F8831" s="3" t="s">
        <v>25229</v>
      </c>
      <c r="G8831" s="3">
        <v>0.0</v>
      </c>
      <c r="H8831" s="3">
        <v>0.0</v>
      </c>
      <c r="I8831" s="3" t="s">
        <v>13</v>
      </c>
      <c r="J8831" s="3" t="s">
        <v>25230</v>
      </c>
      <c r="K8831" s="3" t="s">
        <v>1335</v>
      </c>
      <c r="L8831" s="3" t="str">
        <f>IFERROR(__xludf.DUMMYFUNCTION("GOOGLETRANSLATE(F8831,""id"",""en"")"),"Min Argentina champion please congratulate")</f>
        <v>Min Argentina champion please congratulate</v>
      </c>
    </row>
    <row r="8832" ht="15.75" customHeight="1">
      <c r="A8832" s="1">
        <v>10057.0</v>
      </c>
      <c r="B8832" s="3" t="s">
        <v>25231</v>
      </c>
      <c r="C8832" s="3">
        <v>0.0</v>
      </c>
      <c r="D8832" s="3">
        <v>0.0</v>
      </c>
      <c r="E8832" s="3">
        <v>2.0</v>
      </c>
      <c r="F8832" s="3" t="s">
        <v>25232</v>
      </c>
      <c r="G8832" s="3">
        <v>0.0</v>
      </c>
      <c r="H8832" s="3">
        <v>0.0</v>
      </c>
      <c r="I8832" s="3" t="s">
        <v>13</v>
      </c>
      <c r="J8832" s="3" t="s">
        <v>25233</v>
      </c>
      <c r="K8832" s="3" t="s">
        <v>41</v>
      </c>
      <c r="L8832" s="3" t="str">
        <f>IFERROR(__xludf.DUMMYFUNCTION("GOOGLETRANSLATE(F8832,""id"",""en"")"),"Argentina Champion Messi Has a Tasyakuran Don't Forget Wednesday")</f>
        <v>Argentina Champion Messi Has a Tasyakuran Don't Forget Wednesday</v>
      </c>
    </row>
    <row r="8833" ht="15.75" customHeight="1">
      <c r="A8833" s="1">
        <v>10059.0</v>
      </c>
      <c r="B8833" s="3" t="s">
        <v>25234</v>
      </c>
      <c r="C8833" s="3">
        <v>1.0</v>
      </c>
      <c r="D8833" s="3">
        <v>0.0</v>
      </c>
      <c r="E8833" s="3">
        <v>0.0</v>
      </c>
      <c r="F8833" s="3" t="s">
        <v>25235</v>
      </c>
      <c r="G8833" s="3">
        <v>0.0</v>
      </c>
      <c r="H8833" s="3">
        <v>0.0</v>
      </c>
      <c r="I8833" s="3" t="s">
        <v>13</v>
      </c>
      <c r="J8833" s="3" t="s">
        <v>25236</v>
      </c>
      <c r="K8833" s="3" t="s">
        <v>82</v>
      </c>
      <c r="L8833" s="3" t="str">
        <f>IFERROR(__xludf.DUMMYFUNCTION("GOOGLETRANSLATE(F8833,""id"",""en"")"),"BLMPI is indeed a World Cup SDH Argentina Prediction Champion")</f>
        <v>BLMPI is indeed a World Cup SDH Argentina Prediction Champion</v>
      </c>
    </row>
    <row r="8834" ht="15.75" customHeight="1">
      <c r="A8834" s="1">
        <v>10060.0</v>
      </c>
      <c r="B8834" s="3" t="s">
        <v>25237</v>
      </c>
      <c r="C8834" s="3">
        <v>0.0</v>
      </c>
      <c r="D8834" s="3">
        <v>0.0</v>
      </c>
      <c r="E8834" s="3">
        <v>0.0</v>
      </c>
      <c r="F8834" s="3" t="s">
        <v>25238</v>
      </c>
      <c r="G8834" s="3">
        <v>1.0</v>
      </c>
      <c r="H8834" s="3">
        <v>0.0</v>
      </c>
      <c r="I8834" s="3" t="s">
        <v>13</v>
      </c>
      <c r="J8834" s="3" t="s">
        <v>25239</v>
      </c>
      <c r="K8834" s="3" t="s">
        <v>574</v>
      </c>
      <c r="L8834" s="3" t="str">
        <f>IFERROR(__xludf.DUMMYFUNCTION("GOOGLETRANSLATE(F8834,""id"",""en"")"),"President Joko Widodo or Jokowi was asked about the World Cup final match which led the Argentine national team to become the champion unexpectedly Jokowi gave an eccentric answer to reporters")</f>
        <v>President Joko Widodo or Jokowi was asked about the World Cup final match which led the Argentine national team to become the champion unexpectedly Jokowi gave an eccentric answer to reporters</v>
      </c>
    </row>
    <row r="8835" ht="15.75" customHeight="1">
      <c r="A8835" s="1">
        <v>10061.0</v>
      </c>
      <c r="B8835" s="3" t="s">
        <v>25240</v>
      </c>
      <c r="C8835" s="3">
        <v>0.0</v>
      </c>
      <c r="D8835" s="3">
        <v>0.0</v>
      </c>
      <c r="E8835" s="3">
        <v>7.0</v>
      </c>
      <c r="F8835" s="3" t="s">
        <v>25214</v>
      </c>
      <c r="G8835" s="3">
        <v>0.0</v>
      </c>
      <c r="H8835" s="3">
        <v>0.0</v>
      </c>
      <c r="I8835" s="3" t="s">
        <v>13</v>
      </c>
      <c r="J8835" s="3" t="s">
        <v>25215</v>
      </c>
      <c r="K8835" s="3" t="s">
        <v>82</v>
      </c>
      <c r="L8835" s="3" t="str">
        <f>IFERROR(__xludf.DUMMYFUNCTION("GOOGLETRANSLATE(F8835,""id"",""en"")"),"Predictions Mencopukm Proven Argentina World Cup Champion")</f>
        <v>Predictions Mencopukm Proven Argentina World Cup Champion</v>
      </c>
    </row>
    <row r="8836" ht="15.75" customHeight="1">
      <c r="A8836" s="1">
        <v>10062.0</v>
      </c>
      <c r="B8836" s="3" t="s">
        <v>25241</v>
      </c>
      <c r="C8836" s="3">
        <v>0.0</v>
      </c>
      <c r="D8836" s="3">
        <v>0.0</v>
      </c>
      <c r="E8836" s="3">
        <v>7.0</v>
      </c>
      <c r="F8836" s="3" t="s">
        <v>25242</v>
      </c>
      <c r="G8836" s="3">
        <v>0.0</v>
      </c>
      <c r="H8836" s="3">
        <v>0.0</v>
      </c>
      <c r="I8836" s="3" t="s">
        <v>13</v>
      </c>
      <c r="J8836" s="3" t="s">
        <v>25243</v>
      </c>
      <c r="K8836" s="3" t="s">
        <v>50</v>
      </c>
      <c r="L8836" s="3" t="str">
        <f>IFERROR(__xludf.DUMMYFUNCTION("GOOGLETRANSLATE(F8836,""id"",""en"")"),"The atmosphere of the Argentine celebration champions of Messi and Maria Rosario's hometown world cup")</f>
        <v>The atmosphere of the Argentine celebration champions of Messi and Maria Rosario's hometown world cup</v>
      </c>
    </row>
    <row r="8837" ht="15.75" customHeight="1">
      <c r="A8837" s="1">
        <v>10063.0</v>
      </c>
      <c r="B8837" s="3" t="s">
        <v>25244</v>
      </c>
      <c r="C8837" s="3">
        <v>0.0</v>
      </c>
      <c r="D8837" s="3">
        <v>1.0</v>
      </c>
      <c r="E8837" s="3">
        <v>1.0</v>
      </c>
      <c r="F8837" s="3" t="s">
        <v>25245</v>
      </c>
      <c r="G8837" s="3">
        <v>0.0</v>
      </c>
      <c r="H8837" s="3">
        <v>0.0</v>
      </c>
      <c r="I8837" s="3" t="s">
        <v>13</v>
      </c>
      <c r="J8837" s="3" t="s">
        <v>25246</v>
      </c>
      <c r="K8837" s="3" t="s">
        <v>41</v>
      </c>
      <c r="L8837" s="3" t="str">
        <f>IFERROR(__xludf.DUMMYFUNCTION("GOOGLETRANSLATE(F8837,""id"",""en"")"),"Argentina Champion World Cup After Bending France Read More")</f>
        <v>Argentina Champion World Cup After Bending France Read More</v>
      </c>
    </row>
    <row r="8838" ht="15.75" customHeight="1">
      <c r="A8838" s="1">
        <v>10064.0</v>
      </c>
      <c r="B8838" s="3" t="s">
        <v>25247</v>
      </c>
      <c r="C8838" s="3">
        <v>0.0</v>
      </c>
      <c r="D8838" s="3">
        <v>0.0</v>
      </c>
      <c r="E8838" s="3">
        <v>0.0</v>
      </c>
      <c r="F8838" s="3" t="s">
        <v>25248</v>
      </c>
      <c r="G8838" s="3">
        <v>0.0</v>
      </c>
      <c r="H8838" s="3">
        <v>0.0</v>
      </c>
      <c r="I8838" s="3" t="s">
        <v>13</v>
      </c>
      <c r="J8838" s="3" t="s">
        <v>25249</v>
      </c>
      <c r="K8838" s="3" t="s">
        <v>41</v>
      </c>
      <c r="L8838" s="3" t="str">
        <f>IFERROR(__xludf.DUMMYFUNCTION("GOOGLETRANSLATE(F8838,""id"",""en"")"),"The sunny day the beautiful atmosphere of Kabeh Mergo Argentina Champion XIXI")</f>
        <v>The sunny day the beautiful atmosphere of Kabeh Mergo Argentina Champion XIXI</v>
      </c>
    </row>
    <row r="8839" ht="15.75" customHeight="1">
      <c r="A8839" s="1">
        <v>10065.0</v>
      </c>
      <c r="B8839" s="3" t="s">
        <v>25250</v>
      </c>
      <c r="C8839" s="3">
        <v>0.0</v>
      </c>
      <c r="D8839" s="3">
        <v>0.0</v>
      </c>
      <c r="E8839" s="3">
        <v>0.0</v>
      </c>
      <c r="F8839" s="3" t="s">
        <v>25251</v>
      </c>
      <c r="G8839" s="3">
        <v>0.0</v>
      </c>
      <c r="H8839" s="3">
        <v>0.0</v>
      </c>
      <c r="I8839" s="3" t="s">
        <v>13</v>
      </c>
      <c r="J8839" s="3" t="s">
        <v>25252</v>
      </c>
      <c r="K8839" s="3" t="s">
        <v>50</v>
      </c>
      <c r="L8839" s="3" t="str">
        <f>IFERROR(__xludf.DUMMYFUNCTION("GOOGLETRANSLATE(F8839,""id"",""en"")"),"Friendship of Lionel Messi and Angel Maria Bring Argentina Champion World Cup Qatar")</f>
        <v>Friendship of Lionel Messi and Angel Maria Bring Argentina Champion World Cup Qatar</v>
      </c>
    </row>
    <row r="8840" ht="15.75" customHeight="1">
      <c r="A8840" s="1">
        <v>10066.0</v>
      </c>
      <c r="B8840" s="3" t="s">
        <v>25253</v>
      </c>
      <c r="C8840" s="3">
        <v>0.0</v>
      </c>
      <c r="D8840" s="3">
        <v>0.0</v>
      </c>
      <c r="E8840" s="3">
        <v>0.0</v>
      </c>
      <c r="F8840" s="3" t="s">
        <v>25254</v>
      </c>
      <c r="G8840" s="3">
        <v>1.0</v>
      </c>
      <c r="H8840" s="3">
        <v>0.0</v>
      </c>
      <c r="I8840" s="3" t="s">
        <v>13</v>
      </c>
      <c r="J8840" s="3" t="s">
        <v>25255</v>
      </c>
      <c r="K8840" s="3" t="s">
        <v>574</v>
      </c>
      <c r="L8840" s="3" t="str">
        <f>IFERROR(__xludf.DUMMYFUNCTION("GOOGLETRANSLATE(F8840,""id"",""en"")"),"PSG Base of the French team and its country doi just lost to the final disappointed, but there is still an appreciation, how come the post is also if Messi is champion while Barca has a relationship and interest at all with the French Argentine finalists")</f>
        <v>PSG Base of the French team and its country doi just lost to the final disappointed, but there is still an appreciation, how come the post is also if Messi is champion while Barca has a relationship and interest at all with the French Argentine finalists</v>
      </c>
    </row>
    <row r="8841" ht="15.75" customHeight="1">
      <c r="A8841" s="1">
        <v>10067.0</v>
      </c>
      <c r="B8841" s="3" t="s">
        <v>25256</v>
      </c>
      <c r="C8841" s="3">
        <v>0.0</v>
      </c>
      <c r="D8841" s="3">
        <v>0.0</v>
      </c>
      <c r="E8841" s="3">
        <v>0.0</v>
      </c>
      <c r="F8841" s="3" t="s">
        <v>25257</v>
      </c>
      <c r="G8841" s="3">
        <v>0.0</v>
      </c>
      <c r="H8841" s="3">
        <v>0.0</v>
      </c>
      <c r="I8841" s="3" t="s">
        <v>13</v>
      </c>
      <c r="J8841" s="3" t="s">
        <v>25258</v>
      </c>
      <c r="K8841" s="3" t="s">
        <v>644</v>
      </c>
      <c r="L8841" s="3" t="str">
        <f>IFERROR(__xludf.DUMMYFUNCTION("GOOGLETRANSLATE(F8841,""id"",""en"")"),"Wait until Marc Klok has an opportunity")</f>
        <v>Wait until Marc Klok has an opportunity</v>
      </c>
    </row>
    <row r="8842" ht="15.75" customHeight="1">
      <c r="A8842" s="1">
        <v>10068.0</v>
      </c>
      <c r="B8842" s="3" t="s">
        <v>25259</v>
      </c>
      <c r="C8842" s="3">
        <v>0.0</v>
      </c>
      <c r="D8842" s="3">
        <v>0.0</v>
      </c>
      <c r="E8842" s="3">
        <v>0.0</v>
      </c>
      <c r="F8842" s="3" t="s">
        <v>25260</v>
      </c>
      <c r="G8842" s="3">
        <v>1.0</v>
      </c>
      <c r="H8842" s="3">
        <v>0.0</v>
      </c>
      <c r="I8842" s="3" t="s">
        <v>13</v>
      </c>
      <c r="J8842" s="3" t="s">
        <v>25261</v>
      </c>
      <c r="K8842" s="3" t="s">
        <v>127</v>
      </c>
      <c r="L8842" s="3" t="str">
        <f>IFERROR(__xludf.DUMMYFUNCTION("GOOGLETRANSLATE(F8842,""id"",""en"")"),"Sheikh Messi Argentina French World Cup Champion Mbappe Giroud Maria Final World Cup Goat Pension Drake Monday")</f>
        <v>Sheikh Messi Argentina French World Cup Champion Mbappe Giroud Maria Final World Cup Goat Pension Drake Monday</v>
      </c>
    </row>
    <row r="8843" ht="15.75" customHeight="1">
      <c r="A8843" s="1">
        <v>10070.0</v>
      </c>
      <c r="B8843" s="3" t="s">
        <v>25262</v>
      </c>
      <c r="C8843" s="3">
        <v>1.0</v>
      </c>
      <c r="D8843" s="3">
        <v>0.0</v>
      </c>
      <c r="E8843" s="3">
        <v>1.0</v>
      </c>
      <c r="F8843" s="3" t="s">
        <v>25263</v>
      </c>
      <c r="G8843" s="3">
        <v>0.0</v>
      </c>
      <c r="H8843" s="3">
        <v>0.0</v>
      </c>
      <c r="I8843" s="3" t="s">
        <v>13</v>
      </c>
      <c r="J8843" s="3" t="s">
        <v>25264</v>
      </c>
      <c r="K8843" s="3" t="s">
        <v>236</v>
      </c>
      <c r="L8843" s="3" t="str">
        <f>IFERROR(__xludf.DUMMYFUNCTION("GOOGLETRANSLATE(F8843,""id"",""en"")"),"Argentina became the champion, Ms. Anya, became a Permata Wes Ngono Pantun")</f>
        <v>Argentina became the champion, Ms. Anya, became a Permata Wes Ngono Pantun</v>
      </c>
    </row>
    <row r="8844" ht="15.75" customHeight="1">
      <c r="A8844" s="1">
        <v>10071.0</v>
      </c>
      <c r="B8844" s="3" t="s">
        <v>25265</v>
      </c>
      <c r="C8844" s="3">
        <v>4.0</v>
      </c>
      <c r="D8844" s="3">
        <v>2.0</v>
      </c>
      <c r="E8844" s="3">
        <v>60.0</v>
      </c>
      <c r="F8844" s="3" t="s">
        <v>25266</v>
      </c>
      <c r="G8844" s="3">
        <v>0.0</v>
      </c>
      <c r="H8844" s="3">
        <v>0.0</v>
      </c>
      <c r="I8844" s="3" t="s">
        <v>13</v>
      </c>
      <c r="J8844" s="3" t="s">
        <v>25267</v>
      </c>
      <c r="K8844" s="3" t="s">
        <v>215</v>
      </c>
      <c r="L8844" s="3" t="str">
        <f>IFERROR(__xludf.DUMMYFUNCTION("GOOGLETRANSLATE(F8844,""id"",""en"")"),"Reflecting on the World Cup event then see a photo of PSSI officials really happy even though Argentina is the champion whether this is a picture of our soccer achievement which is new as a happy football audience.")</f>
        <v>Reflecting on the World Cup event then see a photo of PSSI officials really happy even though Argentina is the champion whether this is a picture of our soccer achievement which is new as a happy football audience.</v>
      </c>
    </row>
    <row r="8845" ht="15.75" customHeight="1">
      <c r="A8845" s="1">
        <v>10072.0</v>
      </c>
      <c r="B8845" s="3" t="s">
        <v>25268</v>
      </c>
      <c r="C8845" s="3">
        <v>0.0</v>
      </c>
      <c r="D8845" s="3">
        <v>0.0</v>
      </c>
      <c r="E8845" s="3">
        <v>0.0</v>
      </c>
      <c r="F8845" s="3" t="s">
        <v>25269</v>
      </c>
      <c r="G8845" s="3">
        <v>0.0</v>
      </c>
      <c r="H8845" s="3">
        <v>0.0</v>
      </c>
      <c r="I8845" s="3" t="s">
        <v>13</v>
      </c>
      <c r="J8845" s="3" t="s">
        <v>25270</v>
      </c>
      <c r="K8845" s="3" t="s">
        <v>510</v>
      </c>
      <c r="L8845" s="3" t="str">
        <f>IFERROR(__xludf.DUMMYFUNCTION("GOOGLETRANSLATE(F8845,""id"",""en"")"),"Makes Prabowo and TNI Commander's answer, Jokowi's answer when asked about Argentina to become the World Cup champion")</f>
        <v>Makes Prabowo and TNI Commander's answer, Jokowi's answer when asked about Argentina to become the World Cup champion</v>
      </c>
    </row>
    <row r="8846" ht="15.75" customHeight="1">
      <c r="A8846" s="1">
        <v>10073.0</v>
      </c>
      <c r="B8846" s="3" t="s">
        <v>25271</v>
      </c>
      <c r="C8846" s="3">
        <v>0.0</v>
      </c>
      <c r="D8846" s="3">
        <v>0.0</v>
      </c>
      <c r="E8846" s="3">
        <v>0.0</v>
      </c>
      <c r="F8846" s="3" t="s">
        <v>25272</v>
      </c>
      <c r="G8846" s="3">
        <v>0.0</v>
      </c>
      <c r="H8846" s="3">
        <v>0.0</v>
      </c>
      <c r="I8846" s="3" t="s">
        <v>13</v>
      </c>
      <c r="J8846" s="3" t="s">
        <v>25273</v>
      </c>
      <c r="K8846" s="3" t="s">
        <v>603</v>
      </c>
      <c r="L8846" s="3" t="str">
        <f>IFERROR(__xludf.DUMMYFUNCTION("GOOGLETRANSLATE(F8846,""id"",""en"")"),"That is if Emi's injury will enter and will be bought by Aston Vila too and maybe it will enter the Argentine national team and will win the goalkeeper Armani or first forgot")</f>
        <v>That is if Emi's injury will enter and will be bought by Aston Vila too and maybe it will enter the Argentine national team and will win the goalkeeper Armani or first forgot</v>
      </c>
    </row>
    <row r="8847" ht="15.75" customHeight="1">
      <c r="A8847" s="1">
        <v>10074.0</v>
      </c>
      <c r="B8847" s="3" t="s">
        <v>25274</v>
      </c>
      <c r="C8847" s="3">
        <v>0.0</v>
      </c>
      <c r="D8847" s="3">
        <v>0.0</v>
      </c>
      <c r="E8847" s="3">
        <v>0.0</v>
      </c>
      <c r="F8847" s="3" t="s">
        <v>25275</v>
      </c>
      <c r="G8847" s="3">
        <v>0.0</v>
      </c>
      <c r="H8847" s="3">
        <v>0.0</v>
      </c>
      <c r="I8847" s="3" t="s">
        <v>13</v>
      </c>
      <c r="J8847" s="3" t="s">
        <v>25276</v>
      </c>
      <c r="K8847" s="3" t="s">
        <v>58</v>
      </c>
      <c r="L8847" s="3" t="str">
        <f>IFERROR(__xludf.DUMMYFUNCTION("GOOGLETRANSLATE(F8847,""id"",""en"")"),"The Indonesian people are touched by Boy Messi champion Pilduun Apanggi people Argentina is happy")</f>
        <v>The Indonesian people are touched by Boy Messi champion Pilduun Apanggi people Argentina is happy</v>
      </c>
    </row>
    <row r="8848" ht="15.75" customHeight="1">
      <c r="A8848" s="1">
        <v>10075.0</v>
      </c>
      <c r="B8848" s="3" t="s">
        <v>25277</v>
      </c>
      <c r="C8848" s="3">
        <v>0.0</v>
      </c>
      <c r="D8848" s="3">
        <v>0.0</v>
      </c>
      <c r="E8848" s="3">
        <v>0.0</v>
      </c>
      <c r="F8848" s="3" t="s">
        <v>25278</v>
      </c>
      <c r="G8848" s="3">
        <v>0.0</v>
      </c>
      <c r="H8848" s="3">
        <v>0.0</v>
      </c>
      <c r="I8848" s="3" t="s">
        <v>13</v>
      </c>
      <c r="J8848" s="3" t="s">
        <v>25279</v>
      </c>
      <c r="K8848" s="3" t="s">
        <v>82</v>
      </c>
      <c r="L8848" s="3" t="str">
        <f>IFERROR(__xludf.DUMMYFUNCTION("GOOGLETRANSLATE(F8848,""id"",""en"")"),"Only the regime of Iwan Bule Argentina finally world champion again")</f>
        <v>Only the regime of Iwan Bule Argentina finally world champion again</v>
      </c>
    </row>
    <row r="8849" ht="15.75" customHeight="1">
      <c r="A8849" s="1">
        <v>10076.0</v>
      </c>
      <c r="B8849" s="3" t="s">
        <v>25280</v>
      </c>
      <c r="C8849" s="3">
        <v>0.0</v>
      </c>
      <c r="D8849" s="3">
        <v>0.0</v>
      </c>
      <c r="E8849" s="3">
        <v>0.0</v>
      </c>
      <c r="F8849" s="3" t="s">
        <v>25281</v>
      </c>
      <c r="G8849" s="3">
        <v>1.0</v>
      </c>
      <c r="H8849" s="3">
        <v>0.0</v>
      </c>
      <c r="I8849" s="3" t="s">
        <v>13</v>
      </c>
      <c r="J8849" s="3" t="s">
        <v>25282</v>
      </c>
      <c r="K8849" s="3" t="s">
        <v>82</v>
      </c>
      <c r="L8849" s="3" t="str">
        <f>IFERROR(__xludf.DUMMYFUNCTION("GOOGLETRANSLATE(F8849,""id"",""en"")"),"What Argentina Final Worth the World Cup Champion")</f>
        <v>What Argentina Final Worth the World Cup Champion</v>
      </c>
    </row>
    <row r="8850" ht="15.75" customHeight="1">
      <c r="A8850" s="1">
        <v>10077.0</v>
      </c>
      <c r="B8850" s="3" t="s">
        <v>25283</v>
      </c>
      <c r="C8850" s="3">
        <v>1.0</v>
      </c>
      <c r="D8850" s="3">
        <v>0.0</v>
      </c>
      <c r="E8850" s="3">
        <v>0.0</v>
      </c>
      <c r="F8850" s="3" t="s">
        <v>25284</v>
      </c>
      <c r="G8850" s="3">
        <v>0.0</v>
      </c>
      <c r="H8850" s="3">
        <v>0.0</v>
      </c>
      <c r="I8850" s="3" t="s">
        <v>13</v>
      </c>
      <c r="J8850" s="3" t="s">
        <v>25285</v>
      </c>
      <c r="K8850" s="3" t="s">
        <v>54</v>
      </c>
      <c r="L8850" s="3" t="str">
        <f>IFERROR(__xludf.DUMMYFUNCTION("GOOGLETRANSLATE(F8850,""id"",""en"")"),"the result of being too happy Argentina CKCK champions")</f>
        <v>the result of being too happy Argentina CKCK champions</v>
      </c>
    </row>
    <row r="8851" ht="15.75" customHeight="1">
      <c r="A8851" s="1">
        <v>10078.0</v>
      </c>
      <c r="B8851" s="3" t="s">
        <v>25286</v>
      </c>
      <c r="C8851" s="3">
        <v>0.0</v>
      </c>
      <c r="D8851" s="3">
        <v>0.0</v>
      </c>
      <c r="E8851" s="3">
        <v>7.0</v>
      </c>
      <c r="F8851" s="3" t="s">
        <v>25287</v>
      </c>
      <c r="G8851" s="3">
        <v>0.0</v>
      </c>
      <c r="H8851" s="3">
        <v>0.0</v>
      </c>
      <c r="I8851" s="3" t="s">
        <v>13</v>
      </c>
      <c r="J8851" s="3" t="s">
        <v>25288</v>
      </c>
      <c r="K8851" s="3" t="s">
        <v>54</v>
      </c>
      <c r="L8851" s="3" t="str">
        <f>IFERROR(__xludf.DUMMYFUNCTION("GOOGLETRANSLATE(F8851,""id"",""en"")"),"Argentina The Best Observer World Champion in History")</f>
        <v>Argentina The Best Observer World Champion in History</v>
      </c>
    </row>
    <row r="8852" ht="15.75" customHeight="1">
      <c r="A8852" s="1">
        <v>10079.0</v>
      </c>
      <c r="B8852" s="3" t="s">
        <v>25289</v>
      </c>
      <c r="C8852" s="3">
        <v>0.0</v>
      </c>
      <c r="D8852" s="3">
        <v>0.0</v>
      </c>
      <c r="E8852" s="3">
        <v>1.0</v>
      </c>
      <c r="F8852" s="3" t="s">
        <v>25290</v>
      </c>
      <c r="G8852" s="3">
        <v>0.0</v>
      </c>
      <c r="H8852" s="3">
        <v>0.0</v>
      </c>
      <c r="I8852" s="3" t="s">
        <v>13</v>
      </c>
      <c r="J8852" s="3" t="s">
        <v>25291</v>
      </c>
      <c r="K8852" s="3" t="s">
        <v>23</v>
      </c>
      <c r="L8852" s="3" t="str">
        <f>IFERROR(__xludf.DUMMYFUNCTION("GOOGLETRANSLATE(F8852,""id"",""en"")"),"Don't forget that Saudi Arabia is the only country participating in the Qatar World Cup who defeated Argentina as the Asian World Cup champion as well and has a karomah")</f>
        <v>Don't forget that Saudi Arabia is the only country participating in the Qatar World Cup who defeated Argentina as the Asian World Cup champion as well and has a karomah</v>
      </c>
    </row>
    <row r="8853" ht="15.75" customHeight="1">
      <c r="A8853" s="1">
        <v>10080.0</v>
      </c>
      <c r="B8853" s="3" t="s">
        <v>25292</v>
      </c>
      <c r="C8853" s="3">
        <v>1.0</v>
      </c>
      <c r="D8853" s="3">
        <v>0.0</v>
      </c>
      <c r="E8853" s="3">
        <v>0.0</v>
      </c>
      <c r="F8853" s="3" t="s">
        <v>25293</v>
      </c>
      <c r="G8853" s="3">
        <v>0.0</v>
      </c>
      <c r="H8853" s="3">
        <v>0.0</v>
      </c>
      <c r="I8853" s="3" t="s">
        <v>13</v>
      </c>
      <c r="J8853" s="3" t="s">
        <v>25294</v>
      </c>
      <c r="K8853" s="3" t="s">
        <v>2907</v>
      </c>
      <c r="L8853" s="3" t="str">
        <f>IFERROR(__xludf.DUMMYFUNCTION("GOOGLETRANSLATE(F8853,""id"",""en"")"),"iyeee but don't ask last night but why is Argentina champion Ankara Messi Ankara Messi Kali")</f>
        <v>iyeee but don't ask last night but why is Argentina champion Ankara Messi Ankara Messi Kali</v>
      </c>
    </row>
    <row r="8854" ht="15.75" customHeight="1">
      <c r="A8854" s="1">
        <v>10081.0</v>
      </c>
      <c r="B8854" s="3" t="s">
        <v>25295</v>
      </c>
      <c r="C8854" s="3">
        <v>0.0</v>
      </c>
      <c r="D8854" s="3">
        <v>0.0</v>
      </c>
      <c r="E8854" s="3">
        <v>4.0</v>
      </c>
      <c r="F8854" s="3" t="s">
        <v>24759</v>
      </c>
      <c r="G8854" s="3">
        <v>0.0</v>
      </c>
      <c r="H8854" s="3">
        <v>0.0</v>
      </c>
      <c r="I8854" s="3" t="s">
        <v>13</v>
      </c>
      <c r="J8854" s="3" t="s">
        <v>24760</v>
      </c>
      <c r="K8854" s="3" t="s">
        <v>495</v>
      </c>
      <c r="L8854" s="3" t="str">
        <f>IFERROR(__xludf.DUMMYFUNCTION("GOOGLETRANSLATE(F8854,""id"",""en"")"),"Emiliano Martinez hasn't even been established as the club's main goalkeeper three years ago and only debuted with Argentina in now the World Cup championship")</f>
        <v>Emiliano Martinez hasn't even been established as the club's main goalkeeper three years ago and only debuted with Argentina in now the World Cup championship</v>
      </c>
    </row>
    <row r="8855" ht="15.75" customHeight="1">
      <c r="A8855" s="1">
        <v>10082.0</v>
      </c>
      <c r="B8855" s="3" t="s">
        <v>25296</v>
      </c>
      <c r="C8855" s="3">
        <v>0.0</v>
      </c>
      <c r="D8855" s="3">
        <v>0.0</v>
      </c>
      <c r="E8855" s="3">
        <v>0.0</v>
      </c>
      <c r="F8855" s="3" t="s">
        <v>25297</v>
      </c>
      <c r="G8855" s="3">
        <v>0.0</v>
      </c>
      <c r="H8855" s="3">
        <v>0.0</v>
      </c>
      <c r="I8855" s="3" t="s">
        <v>13</v>
      </c>
      <c r="J8855" s="3" t="s">
        <v>25298</v>
      </c>
      <c r="K8855" s="3" t="s">
        <v>657</v>
      </c>
      <c r="L8855" s="3" t="str">
        <f>IFERROR(__xludf.DUMMYFUNCTION("GOOGLETRANSLATE(F8855,""id"",""en"")"),"Call France is more worthy")</f>
        <v>Call France is more worthy</v>
      </c>
    </row>
    <row r="8856" ht="15.75" customHeight="1">
      <c r="A8856" s="1">
        <v>10083.0</v>
      </c>
      <c r="B8856" s="3" t="s">
        <v>25299</v>
      </c>
      <c r="C8856" s="3">
        <v>0.0</v>
      </c>
      <c r="D8856" s="3">
        <v>0.0</v>
      </c>
      <c r="E8856" s="3">
        <v>4.0</v>
      </c>
      <c r="F8856" s="3" t="s">
        <v>25300</v>
      </c>
      <c r="G8856" s="3">
        <v>0.0</v>
      </c>
      <c r="H8856" s="3">
        <v>0.0</v>
      </c>
      <c r="I8856" s="3" t="s">
        <v>13</v>
      </c>
      <c r="J8856" s="3" t="s">
        <v>25301</v>
      </c>
      <c r="K8856" s="3" t="s">
        <v>699</v>
      </c>
      <c r="L8856" s="3" t="str">
        <f>IFERROR(__xludf.DUMMYFUNCTION("GOOGLETRANSLATE(F8856,""id"",""en"")"),"Only the Jokowi Argentina era could be world champion again after the era of Mr. Harto the previous president was just doing Aii Lop Pul Pak Dheee")</f>
        <v>Only the Jokowi Argentina era could be world champion again after the era of Mr. Harto the previous president was just doing Aii Lop Pul Pak Dheee</v>
      </c>
    </row>
    <row r="8857" ht="15.75" customHeight="1">
      <c r="A8857" s="1">
        <v>10084.0</v>
      </c>
      <c r="B8857" s="3" t="s">
        <v>25302</v>
      </c>
      <c r="C8857" s="3">
        <v>0.0</v>
      </c>
      <c r="D8857" s="3">
        <v>0.0</v>
      </c>
      <c r="E8857" s="3">
        <v>0.0</v>
      </c>
      <c r="F8857" s="3" t="s">
        <v>25303</v>
      </c>
      <c r="G8857" s="3">
        <v>0.0</v>
      </c>
      <c r="H8857" s="3">
        <v>0.0</v>
      </c>
      <c r="I8857" s="3" t="s">
        <v>13</v>
      </c>
      <c r="J8857" s="3" t="s">
        <v>25304</v>
      </c>
      <c r="K8857" s="3" t="s">
        <v>699</v>
      </c>
      <c r="L8857" s="3" t="str">
        <f>IFERROR(__xludf.DUMMYFUNCTION("GOOGLETRANSLATE(F8857,""id"",""en"")"),"Argentina Champion World Cup Messi is expected to join Surabaya in the match winning the first champion of Argentina and France's draw in Via")</f>
        <v>Argentina Champion World Cup Messi is expected to join Surabaya in the match winning the first champion of Argentina and France's draw in Via</v>
      </c>
    </row>
    <row r="8858" ht="15.75" customHeight="1">
      <c r="A8858" s="1">
        <v>10085.0</v>
      </c>
      <c r="B8858" s="3" t="s">
        <v>25305</v>
      </c>
      <c r="C8858" s="3">
        <v>0.0</v>
      </c>
      <c r="D8858" s="3">
        <v>0.0</v>
      </c>
      <c r="E8858" s="3">
        <v>0.0</v>
      </c>
      <c r="F8858" s="3" t="s">
        <v>25306</v>
      </c>
      <c r="G8858" s="3">
        <v>0.0</v>
      </c>
      <c r="H8858" s="3">
        <v>0.0</v>
      </c>
      <c r="I8858" s="3" t="s">
        <v>13</v>
      </c>
      <c r="J8858" s="3" t="s">
        <v>25307</v>
      </c>
      <c r="K8858" s="3" t="s">
        <v>15</v>
      </c>
      <c r="L8858" s="3" t="str">
        <f>IFERROR(__xludf.DUMMYFUNCTION("GOOGLETRANSLATE(F8858,""id"",""en"")"),"Without the help of an Argentine penalty and referee Ronaldo world champion")</f>
        <v>Without the help of an Argentine penalty and referee Ronaldo world champion</v>
      </c>
    </row>
    <row r="8859" ht="15.75" customHeight="1">
      <c r="A8859" s="1">
        <v>10086.0</v>
      </c>
      <c r="B8859" s="3" t="s">
        <v>25308</v>
      </c>
      <c r="C8859" s="3">
        <v>0.0</v>
      </c>
      <c r="D8859" s="3">
        <v>3.0</v>
      </c>
      <c r="E8859" s="3">
        <v>0.0</v>
      </c>
      <c r="F8859" s="3" t="s">
        <v>25309</v>
      </c>
      <c r="G8859" s="3">
        <v>0.0</v>
      </c>
      <c r="H8859" s="3">
        <v>0.0</v>
      </c>
      <c r="I8859" s="3" t="s">
        <v>13</v>
      </c>
      <c r="J8859" s="3" t="s">
        <v>25310</v>
      </c>
      <c r="K8859" s="3" t="s">
        <v>41</v>
      </c>
      <c r="L8859" s="3" t="str">
        <f>IFERROR(__xludf.DUMMYFUNCTION("GOOGLETRANSLATE(F8859,""id"",""en"")"),"Argentina Video World Champion Tango Borong Award Team Player")</f>
        <v>Argentina Video World Champion Tango Borong Award Team Player</v>
      </c>
    </row>
    <row r="8860" ht="15.75" customHeight="1">
      <c r="A8860" s="1">
        <v>10087.0</v>
      </c>
      <c r="B8860" s="3" t="s">
        <v>25311</v>
      </c>
      <c r="C8860" s="3">
        <v>0.0</v>
      </c>
      <c r="D8860" s="3">
        <v>0.0</v>
      </c>
      <c r="E8860" s="3">
        <v>0.0</v>
      </c>
      <c r="F8860" s="3" t="s">
        <v>25312</v>
      </c>
      <c r="G8860" s="3">
        <v>0.0</v>
      </c>
      <c r="H8860" s="3">
        <v>0.0</v>
      </c>
      <c r="I8860" s="3" t="s">
        <v>13</v>
      </c>
      <c r="J8860" s="3" t="s">
        <v>25313</v>
      </c>
      <c r="K8860" s="3" t="s">
        <v>35</v>
      </c>
      <c r="L8860" s="3" t="str">
        <f>IFERROR(__xludf.DUMMYFUNCTION("GOOGLETRANSLATE(F8860,""id"",""en"")"),"Qatar World Cup Champion Moment Lionel Messi Wins World Glory with Argentina")</f>
        <v>Qatar World Cup Champion Moment Lionel Messi Wins World Glory with Argentina</v>
      </c>
    </row>
    <row r="8861" ht="15.75" customHeight="1">
      <c r="A8861" s="1">
        <v>10088.0</v>
      </c>
      <c r="B8861" s="3" t="s">
        <v>25314</v>
      </c>
      <c r="C8861" s="3">
        <v>0.0</v>
      </c>
      <c r="D8861" s="3">
        <v>0.0</v>
      </c>
      <c r="E8861" s="3">
        <v>0.0</v>
      </c>
      <c r="F8861" s="3" t="s">
        <v>25315</v>
      </c>
      <c r="G8861" s="3">
        <v>0.0</v>
      </c>
      <c r="H8861" s="3">
        <v>0.0</v>
      </c>
      <c r="I8861" s="3" t="s">
        <v>13</v>
      </c>
      <c r="J8861" s="3" t="s">
        <v>25316</v>
      </c>
      <c r="K8861" s="3" t="s">
        <v>15</v>
      </c>
      <c r="L8861" s="3" t="str">
        <f>IFERROR(__xludf.DUMMYFUNCTION("GOOGLETRANSLATE(F8861,""id"",""en"")"),"Argentina Champion Learning Politics Competency from the World Cup Passing")</f>
        <v>Argentina Champion Learning Politics Competency from the World Cup Passing</v>
      </c>
    </row>
    <row r="8862" ht="15.75" customHeight="1">
      <c r="A8862" s="1">
        <v>10089.0</v>
      </c>
      <c r="B8862" s="3" t="s">
        <v>25317</v>
      </c>
      <c r="C8862" s="3">
        <v>0.0</v>
      </c>
      <c r="D8862" s="3">
        <v>1.0</v>
      </c>
      <c r="E8862" s="3">
        <v>0.0</v>
      </c>
      <c r="F8862" s="3" t="s">
        <v>25318</v>
      </c>
      <c r="G8862" s="3">
        <v>0.0</v>
      </c>
      <c r="H8862" s="3">
        <v>0.0</v>
      </c>
      <c r="I8862" s="3" t="s">
        <v>13</v>
      </c>
      <c r="J8862" s="3" t="s">
        <v>25319</v>
      </c>
      <c r="K8862" s="3" t="s">
        <v>41</v>
      </c>
      <c r="L8862" s="3" t="str">
        <f>IFERROR(__xludf.DUMMYFUNCTION("GOOGLETRANSLATE(F8862,""id"",""en"")"),"Argentina Champion World Cup Lionel Messi Becomes the Best Player")</f>
        <v>Argentina Champion World Cup Lionel Messi Becomes the Best Player</v>
      </c>
    </row>
    <row r="8863" ht="15.75" customHeight="1">
      <c r="A8863" s="1">
        <v>10090.0</v>
      </c>
      <c r="B8863" s="3" t="s">
        <v>25320</v>
      </c>
      <c r="C8863" s="3">
        <v>0.0</v>
      </c>
      <c r="D8863" s="3">
        <v>0.0</v>
      </c>
      <c r="E8863" s="3">
        <v>0.0</v>
      </c>
      <c r="F8863" s="3" t="s">
        <v>25321</v>
      </c>
      <c r="G8863" s="3">
        <v>0.0</v>
      </c>
      <c r="H8863" s="3">
        <v>0.0</v>
      </c>
      <c r="I8863" s="3" t="s">
        <v>13</v>
      </c>
      <c r="J8863" s="3" t="s">
        <v>25322</v>
      </c>
      <c r="K8863" s="3" t="s">
        <v>82</v>
      </c>
      <c r="L8863" s="3" t="str">
        <f>IFERROR(__xludf.DUMMYFUNCTION("GOOGLETRANSLATE(F8863,""id"",""en"")"),"Messi paid respect to our Argentine supporters in the world champion")</f>
        <v>Messi paid respect to our Argentine supporters in the world champion</v>
      </c>
    </row>
    <row r="8864" ht="15.75" customHeight="1">
      <c r="A8864" s="1">
        <v>10091.0</v>
      </c>
      <c r="B8864" s="3" t="s">
        <v>25323</v>
      </c>
      <c r="C8864" s="3">
        <v>1.0</v>
      </c>
      <c r="D8864" s="3">
        <v>4.0</v>
      </c>
      <c r="E8864" s="3">
        <v>12.0</v>
      </c>
      <c r="F8864" s="3" t="s">
        <v>25324</v>
      </c>
      <c r="G8864" s="3">
        <v>0.0</v>
      </c>
      <c r="H8864" s="3">
        <v>0.0</v>
      </c>
      <c r="I8864" s="3" t="s">
        <v>13</v>
      </c>
      <c r="J8864" s="3" t="s">
        <v>25325</v>
      </c>
      <c r="K8864" s="3" t="s">
        <v>228</v>
      </c>
      <c r="L8864" s="3" t="str">
        <f>IFERROR(__xludf.DUMMYFUNCTION("GOOGLETRANSLATE(F8864,""id"",""en"")"),"The FIFA World Cup event finally after surviving the Argentine national team who appeared as the champion in the past month of the Qatar World Cup really attracted the attention of the world and we show a little recap of the best moments")</f>
        <v>The FIFA World Cup event finally after surviving the Argentine national team who appeared as the champion in the past month of the Qatar World Cup really attracted the attention of the world and we show a little recap of the best moments</v>
      </c>
    </row>
    <row r="8865" ht="15.75" customHeight="1">
      <c r="A8865" s="1">
        <v>10092.0</v>
      </c>
      <c r="B8865" s="3" t="s">
        <v>25326</v>
      </c>
      <c r="C8865" s="3">
        <v>1.0</v>
      </c>
      <c r="D8865" s="3">
        <v>0.0</v>
      </c>
      <c r="E8865" s="3">
        <v>0.0</v>
      </c>
      <c r="F8865" s="3" t="s">
        <v>25327</v>
      </c>
      <c r="G8865" s="3">
        <v>0.0</v>
      </c>
      <c r="H8865" s="3">
        <v>0.0</v>
      </c>
      <c r="I8865" s="3" t="s">
        <v>13</v>
      </c>
      <c r="J8865" s="3" t="s">
        <v>25328</v>
      </c>
      <c r="K8865" s="3" t="s">
        <v>54</v>
      </c>
      <c r="L8865" s="3" t="str">
        <f>IFERROR(__xludf.DUMMYFUNCTION("GOOGLETRANSLATE(F8865,""id"",""en"")"),"hoo wes stagnant Argentina champion tel")</f>
        <v>hoo wes stagnant Argentina champion tel</v>
      </c>
    </row>
    <row r="8866" ht="15.75" customHeight="1">
      <c r="A8866" s="1">
        <v>10093.0</v>
      </c>
      <c r="B8866" s="3" t="s">
        <v>25329</v>
      </c>
      <c r="C8866" s="3">
        <v>0.0</v>
      </c>
      <c r="D8866" s="3">
        <v>0.0</v>
      </c>
      <c r="E8866" s="3">
        <v>0.0</v>
      </c>
      <c r="F8866" s="3" t="s">
        <v>25330</v>
      </c>
      <c r="G8866" s="3">
        <v>0.0</v>
      </c>
      <c r="H8866" s="3">
        <v>0.0</v>
      </c>
      <c r="I8866" s="3" t="s">
        <v>13</v>
      </c>
      <c r="J8866" s="3" t="s">
        <v>25331</v>
      </c>
      <c r="K8866" s="3" t="s">
        <v>82</v>
      </c>
      <c r="L8866" s="3" t="str">
        <f>IFERROR(__xludf.DUMMYFUNCTION("GOOGLETRANSLATE(F8866,""id"",""en"")"),"Argentina Sports Predictions for the Right World Cup Champion")</f>
        <v>Argentina Sports Predictions for the Right World Cup Champion</v>
      </c>
    </row>
    <row r="8867" ht="15.75" customHeight="1">
      <c r="A8867" s="1">
        <v>10094.0</v>
      </c>
      <c r="B8867" s="3" t="s">
        <v>25332</v>
      </c>
      <c r="C8867" s="3">
        <v>0.0</v>
      </c>
      <c r="D8867" s="3">
        <v>0.0</v>
      </c>
      <c r="E8867" s="3">
        <v>0.0</v>
      </c>
      <c r="F8867" s="3" t="s">
        <v>25333</v>
      </c>
      <c r="G8867" s="3">
        <v>0.0</v>
      </c>
      <c r="H8867" s="3">
        <v>0.0</v>
      </c>
      <c r="I8867" s="3" t="s">
        <v>13</v>
      </c>
      <c r="J8867" s="3" t="s">
        <v>25334</v>
      </c>
      <c r="K8867" s="3" t="s">
        <v>50</v>
      </c>
      <c r="L8867" s="3" t="str">
        <f>IFERROR(__xludf.DUMMYFUNCTION("GOOGLETRANSLATE(F8867,""id"",""en"")"),"Lionel Messi is still hungry for the title of retirement after Argentina World Cup champions")</f>
        <v>Lionel Messi is still hungry for the title of retirement after Argentina World Cup champions</v>
      </c>
    </row>
    <row r="8868" ht="15.75" customHeight="1">
      <c r="A8868" s="1">
        <v>10095.0</v>
      </c>
      <c r="B8868" s="3" t="s">
        <v>25335</v>
      </c>
      <c r="C8868" s="3">
        <v>0.0</v>
      </c>
      <c r="D8868" s="3">
        <v>0.0</v>
      </c>
      <c r="E8868" s="3">
        <v>0.0</v>
      </c>
      <c r="F8868" s="3" t="s">
        <v>25336</v>
      </c>
      <c r="G8868" s="3">
        <v>0.0</v>
      </c>
      <c r="H8868" s="3">
        <v>0.0</v>
      </c>
      <c r="I8868" s="3" t="s">
        <v>13</v>
      </c>
      <c r="J8868" s="3" t="s">
        <v>25337</v>
      </c>
      <c r="K8868" s="3" t="s">
        <v>58</v>
      </c>
      <c r="L8868" s="3" t="str">
        <f>IFERROR(__xludf.DUMMYFUNCTION("GOOGLETRANSLATE(F8868,""id"",""en"")"),"Indeed, the world champion is Saudi Arabia Arabia, the only country is able to defeat Argentina")</f>
        <v>Indeed, the world champion is Saudi Arabia Arabia, the only country is able to defeat Argentina</v>
      </c>
    </row>
    <row r="8869" ht="15.75" customHeight="1">
      <c r="A8869" s="1">
        <v>10096.0</v>
      </c>
      <c r="B8869" s="3" t="s">
        <v>25338</v>
      </c>
      <c r="C8869" s="3">
        <v>0.0</v>
      </c>
      <c r="D8869" s="3">
        <v>0.0</v>
      </c>
      <c r="E8869" s="3">
        <v>0.0</v>
      </c>
      <c r="F8869" s="3" t="s">
        <v>25339</v>
      </c>
      <c r="G8869" s="3">
        <v>0.0</v>
      </c>
      <c r="H8869" s="3">
        <v>0.0</v>
      </c>
      <c r="I8869" s="3" t="s">
        <v>13</v>
      </c>
      <c r="J8869" s="3" t="s">
        <v>25340</v>
      </c>
      <c r="K8869" s="3" t="s">
        <v>19</v>
      </c>
      <c r="L8869" s="3" t="str">
        <f>IFERROR(__xludf.DUMMYFUNCTION("GOOGLETRANSLATE(F8869,""id"",""en"")"),"Mbappe Hattrick Argentina World Cup Champion Celebration Martinez Messi Hugged Mother")</f>
        <v>Mbappe Hattrick Argentina World Cup Champion Celebration Martinez Messi Hugged Mother</v>
      </c>
    </row>
    <row r="8870" ht="15.75" customHeight="1">
      <c r="A8870" s="1">
        <v>10097.0</v>
      </c>
      <c r="B8870" s="3" t="s">
        <v>25341</v>
      </c>
      <c r="C8870" s="3">
        <v>0.0</v>
      </c>
      <c r="D8870" s="3">
        <v>0.0</v>
      </c>
      <c r="E8870" s="3">
        <v>0.0</v>
      </c>
      <c r="F8870" s="3" t="s">
        <v>25342</v>
      </c>
      <c r="G8870" s="3">
        <v>0.0</v>
      </c>
      <c r="H8870" s="3">
        <v>0.0</v>
      </c>
      <c r="I8870" s="3" t="s">
        <v>13</v>
      </c>
      <c r="J8870" s="3" t="s">
        <v>25343</v>
      </c>
      <c r="K8870" s="3" t="s">
        <v>75</v>
      </c>
      <c r="L8870" s="3" t="str">
        <f>IFERROR(__xludf.DUMMYFUNCTION("GOOGLETRANSLATE(F8870,""id"",""en"")"),"Argentina Champion World Cup Marc Marquez said this is Lionel Messi")</f>
        <v>Argentina Champion World Cup Marc Marquez said this is Lionel Messi</v>
      </c>
    </row>
    <row r="8871" ht="15.75" customHeight="1">
      <c r="A8871" s="1">
        <v>10098.0</v>
      </c>
      <c r="B8871" s="3" t="s">
        <v>25344</v>
      </c>
      <c r="C8871" s="3">
        <v>0.0</v>
      </c>
      <c r="D8871" s="3">
        <v>0.0</v>
      </c>
      <c r="E8871" s="3">
        <v>0.0</v>
      </c>
      <c r="F8871" s="3" t="s">
        <v>25345</v>
      </c>
      <c r="G8871" s="3">
        <v>0.0</v>
      </c>
      <c r="H8871" s="3">
        <v>0.0</v>
      </c>
      <c r="I8871" s="3" t="s">
        <v>13</v>
      </c>
      <c r="J8871" s="3" t="s">
        <v>25346</v>
      </c>
      <c r="K8871" s="3" t="s">
        <v>19</v>
      </c>
      <c r="L8871" s="3" t="str">
        <f>IFERROR(__xludf.DUMMYFUNCTION("GOOGLETRANSLATE(F8871,""id"",""en"")"),"Viral The success of Messi Bringing Argentina to become World Cup champions last year")</f>
        <v>Viral The success of Messi Bringing Argentina to become World Cup champions last year</v>
      </c>
    </row>
    <row r="8872" ht="15.75" customHeight="1">
      <c r="A8872" s="1">
        <v>10099.0</v>
      </c>
      <c r="B8872" s="3" t="s">
        <v>25347</v>
      </c>
      <c r="C8872" s="3">
        <v>0.0</v>
      </c>
      <c r="D8872" s="3">
        <v>0.0</v>
      </c>
      <c r="E8872" s="3">
        <v>0.0</v>
      </c>
      <c r="F8872" s="3" t="s">
        <v>25348</v>
      </c>
      <c r="G8872" s="3">
        <v>0.0</v>
      </c>
      <c r="H8872" s="3">
        <v>0.0</v>
      </c>
      <c r="I8872" s="3" t="s">
        <v>13</v>
      </c>
      <c r="J8872" s="3" t="s">
        <v>25349</v>
      </c>
      <c r="K8872" s="3" t="s">
        <v>41</v>
      </c>
      <c r="L8872" s="3" t="str">
        <f>IFERROR(__xludf.DUMMYFUNCTION("GOOGLETRANSLATE(F8872,""id"",""en"")"),"Predictions of Orphans in the Argentine World Cup Problem Champion Misses")</f>
        <v>Predictions of Orphans in the Argentine World Cup Problem Champion Misses</v>
      </c>
    </row>
    <row r="8873" ht="15.75" customHeight="1">
      <c r="A8873" s="1">
        <v>10100.0</v>
      </c>
      <c r="B8873" s="3" t="s">
        <v>25350</v>
      </c>
      <c r="C8873" s="3">
        <v>1.0</v>
      </c>
      <c r="D8873" s="3">
        <v>5.0</v>
      </c>
      <c r="E8873" s="3">
        <v>21.0</v>
      </c>
      <c r="F8873" s="3" t="s">
        <v>25351</v>
      </c>
      <c r="G8873" s="3">
        <v>0.0</v>
      </c>
      <c r="H8873" s="3">
        <v>0.0</v>
      </c>
      <c r="I8873" s="3" t="s">
        <v>13</v>
      </c>
      <c r="J8873" s="3" t="s">
        <v>25352</v>
      </c>
      <c r="K8873" s="3" t="s">
        <v>236</v>
      </c>
      <c r="L8873" s="3" t="str">
        <f>IFERROR(__xludf.DUMMYFUNCTION("GOOGLETRANSLATE(F8873,""id"",""en"")"),"Argentina Champion World Cup After waiting for the year of Argentine people in a parade")</f>
        <v>Argentina Champion World Cup After waiting for the year of Argentine people in a parade</v>
      </c>
    </row>
    <row r="8874" ht="15.75" customHeight="1">
      <c r="A8874" s="1">
        <v>10101.0</v>
      </c>
      <c r="B8874" s="3" t="s">
        <v>25353</v>
      </c>
      <c r="C8874" s="3">
        <v>0.0</v>
      </c>
      <c r="D8874" s="3">
        <v>0.0</v>
      </c>
      <c r="E8874" s="3">
        <v>0.0</v>
      </c>
      <c r="F8874" s="3" t="s">
        <v>25354</v>
      </c>
      <c r="G8874" s="3">
        <v>0.55</v>
      </c>
      <c r="H8874" s="3">
        <v>0.35</v>
      </c>
      <c r="I8874" s="3" t="s">
        <v>48</v>
      </c>
      <c r="J8874" s="3" t="s">
        <v>25355</v>
      </c>
      <c r="K8874" s="3" t="s">
        <v>15</v>
      </c>
      <c r="L8874" s="3" t="str">
        <f>IFERROR(__xludf.DUMMYFUNCTION("GOOGLETRANSLATE(F8874,""id"",""en"")"),"Funny Meme Argentina World Cup Champion Full Smile")</f>
        <v>Funny Meme Argentina World Cup Champion Full Smile</v>
      </c>
    </row>
    <row r="8875" ht="15.75" customHeight="1">
      <c r="A8875" s="1">
        <v>10102.0</v>
      </c>
      <c r="B8875" s="3" t="s">
        <v>25356</v>
      </c>
      <c r="C8875" s="3">
        <v>0.0</v>
      </c>
      <c r="D8875" s="3">
        <v>0.0</v>
      </c>
      <c r="E8875" s="3">
        <v>0.0</v>
      </c>
      <c r="F8875" s="3" t="s">
        <v>25357</v>
      </c>
      <c r="G8875" s="3">
        <v>0.0</v>
      </c>
      <c r="H8875" s="3">
        <v>0.0</v>
      </c>
      <c r="I8875" s="3" t="s">
        <v>13</v>
      </c>
      <c r="J8875" s="3" t="s">
        <v>25358</v>
      </c>
      <c r="K8875" s="3" t="s">
        <v>82</v>
      </c>
      <c r="L8875" s="3" t="str">
        <f>IFERROR(__xludf.DUMMYFUNCTION("GOOGLETRANSLATE(F8875,""id"",""en"")"),"Because Argentina doesn't deserve the champion times, yes")</f>
        <v>Because Argentina doesn't deserve the champion times, yes</v>
      </c>
    </row>
    <row r="8876" ht="15.75" customHeight="1">
      <c r="A8876" s="1">
        <v>10103.0</v>
      </c>
      <c r="B8876" s="3" t="s">
        <v>25359</v>
      </c>
      <c r="C8876" s="3">
        <v>0.0</v>
      </c>
      <c r="D8876" s="3">
        <v>0.0</v>
      </c>
      <c r="E8876" s="3">
        <v>0.0</v>
      </c>
      <c r="F8876" s="3" t="s">
        <v>25360</v>
      </c>
      <c r="G8876" s="3">
        <v>0.0</v>
      </c>
      <c r="H8876" s="3">
        <v>0.0</v>
      </c>
      <c r="I8876" s="3" t="s">
        <v>13</v>
      </c>
      <c r="J8876" s="3" t="s">
        <v>25361</v>
      </c>
      <c r="K8876" s="3" t="s">
        <v>244</v>
      </c>
      <c r="L8876" s="3" t="str">
        <f>IFERROR(__xludf.DUMMYFUNCTION("GOOGLETRANSLATE(F8876,""id"",""en"")"),"Argentina Last World Cup Champion last year Messi is now year")</f>
        <v>Argentina Last World Cup Champion last year Messi is now year</v>
      </c>
    </row>
    <row r="8877" ht="15.75" customHeight="1">
      <c r="A8877" s="1">
        <v>10104.0</v>
      </c>
      <c r="B8877" s="3" t="s">
        <v>25362</v>
      </c>
      <c r="C8877" s="3">
        <v>0.0</v>
      </c>
      <c r="D8877" s="3">
        <v>0.0</v>
      </c>
      <c r="E8877" s="3">
        <v>0.0</v>
      </c>
      <c r="F8877" s="3" t="s">
        <v>25363</v>
      </c>
      <c r="G8877" s="3">
        <v>0.0</v>
      </c>
      <c r="H8877" s="3">
        <v>0.0</v>
      </c>
      <c r="I8877" s="3" t="s">
        <v>13</v>
      </c>
      <c r="J8877" s="3" t="s">
        <v>25364</v>
      </c>
      <c r="K8877" s="3" t="s">
        <v>71</v>
      </c>
      <c r="L8877" s="3" t="str">
        <f>IFERROR(__xludf.DUMMYFUNCTION("GOOGLETRANSLATE(F8877,""id"",""en"")"),"The success of the Argentine national team national team won the World Cup recorded a number of facts what they were")</f>
        <v>The success of the Argentine national team national team won the World Cup recorded a number of facts what they were</v>
      </c>
    </row>
    <row r="8878" ht="15.75" customHeight="1">
      <c r="A8878" s="1">
        <v>10105.0</v>
      </c>
      <c r="B8878" s="3" t="s">
        <v>25365</v>
      </c>
      <c r="C8878" s="3">
        <v>0.0</v>
      </c>
      <c r="D8878" s="3">
        <v>0.0</v>
      </c>
      <c r="E8878" s="3">
        <v>0.0</v>
      </c>
      <c r="F8878" s="3" t="s">
        <v>25366</v>
      </c>
      <c r="G8878" s="3">
        <v>0.0</v>
      </c>
      <c r="H8878" s="3">
        <v>0.0</v>
      </c>
      <c r="I8878" s="3" t="s">
        <v>13</v>
      </c>
      <c r="J8878" s="3" t="s">
        <v>25367</v>
      </c>
      <c r="K8878" s="3" t="s">
        <v>41</v>
      </c>
      <c r="L8878" s="3" t="str">
        <f>IFERROR(__xludf.DUMMYFUNCTION("GOOGLETRANSLATE(F8878,""id"",""en"")"),"Thanks to these Indonesian politicians so Argentina Champion World Cup")</f>
        <v>Thanks to these Indonesian politicians so Argentina Champion World Cup</v>
      </c>
    </row>
    <row r="8879" ht="15.75" customHeight="1">
      <c r="A8879" s="1">
        <v>10106.0</v>
      </c>
      <c r="B8879" s="3" t="s">
        <v>25368</v>
      </c>
      <c r="C8879" s="3">
        <v>0.0</v>
      </c>
      <c r="D8879" s="3">
        <v>0.0</v>
      </c>
      <c r="E8879" s="3">
        <v>0.0</v>
      </c>
      <c r="F8879" s="3" t="s">
        <v>24783</v>
      </c>
      <c r="G8879" s="3">
        <v>1.0</v>
      </c>
      <c r="H8879" s="3">
        <v>0.0</v>
      </c>
      <c r="I8879" s="3" t="s">
        <v>13</v>
      </c>
      <c r="J8879" s="3" t="s">
        <v>24784</v>
      </c>
      <c r="K8879" s="3" t="s">
        <v>1293</v>
      </c>
      <c r="L8879" s="3" t="str">
        <f>IFERROR(__xludf.DUMMYFUNCTION("GOOGLETRANSLATE(F8879,""id"",""en"")"),"Argentina Champion World Cup but must go through the Lionel Scaloni Final Emotional Rollercoaster said the final against France was very crazy")</f>
        <v>Argentina Champion World Cup but must go through the Lionel Scaloni Final Emotional Rollercoaster said the final against France was very crazy</v>
      </c>
    </row>
    <row r="8880" ht="15.75" customHeight="1">
      <c r="A8880" s="1">
        <v>10107.0</v>
      </c>
      <c r="B8880" s="3" t="s">
        <v>25369</v>
      </c>
      <c r="C8880" s="3">
        <v>4.0</v>
      </c>
      <c r="D8880" s="3">
        <v>3.0</v>
      </c>
      <c r="E8880" s="3">
        <v>9.0</v>
      </c>
      <c r="F8880" s="3" t="s">
        <v>25370</v>
      </c>
      <c r="G8880" s="3">
        <v>0.0</v>
      </c>
      <c r="H8880" s="3">
        <v>0.0</v>
      </c>
      <c r="I8880" s="3" t="s">
        <v>13</v>
      </c>
      <c r="J8880" s="3" t="s">
        <v>25371</v>
      </c>
      <c r="K8880" s="3" t="s">
        <v>45</v>
      </c>
      <c r="L8880" s="3" t="str">
        <f>IFERROR(__xludf.DUMMYFUNCTION("GOOGLETRANSLATE(F8880,""id"",""en"")"),"Argentina Shirt Champion World Cup Qatar A Tango Fans' Fans are very obligatory to order because it has been fasting for the new world cup champion again Euphoria Euphoria Expert Market Place is ready to wholesale is also ready to be ready")</f>
        <v>Argentina Shirt Champion World Cup Qatar A Tango Fans' Fans are very obligatory to order because it has been fasting for the new world cup champion again Euphoria Euphoria Expert Market Place is ready to wholesale is also ready to be ready</v>
      </c>
    </row>
    <row r="8881" ht="15.75" customHeight="1">
      <c r="A8881" s="1">
        <v>10108.0</v>
      </c>
      <c r="B8881" s="3" t="s">
        <v>25372</v>
      </c>
      <c r="C8881" s="3">
        <v>0.0</v>
      </c>
      <c r="D8881" s="3">
        <v>0.0</v>
      </c>
      <c r="E8881" s="3">
        <v>1.0</v>
      </c>
      <c r="F8881" s="3" t="s">
        <v>25373</v>
      </c>
      <c r="G8881" s="3">
        <v>0.0</v>
      </c>
      <c r="H8881" s="3">
        <v>0.0</v>
      </c>
      <c r="I8881" s="3" t="s">
        <v>13</v>
      </c>
      <c r="J8881" s="3" t="s">
        <v>25374</v>
      </c>
      <c r="K8881" s="3" t="s">
        <v>510</v>
      </c>
      <c r="L8881" s="3" t="str">
        <f>IFERROR(__xludf.DUMMYFUNCTION("GOOGLETRANSLATE(F8881,""id"",""en"")"),"Argentina gets a trophy after the long -standing year of the year so the MIN calculator let supporters celebrate it")</f>
        <v>Argentina gets a trophy after the long -standing year of the year so the MIN calculator let supporters celebrate it</v>
      </c>
    </row>
    <row r="8882" ht="15.75" customHeight="1">
      <c r="A8882" s="1">
        <v>10109.0</v>
      </c>
      <c r="B8882" s="3" t="s">
        <v>25375</v>
      </c>
      <c r="C8882" s="3">
        <v>0.0</v>
      </c>
      <c r="D8882" s="3">
        <v>0.0</v>
      </c>
      <c r="E8882" s="3">
        <v>1.0</v>
      </c>
      <c r="F8882" s="3" t="s">
        <v>25376</v>
      </c>
      <c r="G8882" s="3">
        <v>0.0</v>
      </c>
      <c r="H8882" s="3">
        <v>0.0</v>
      </c>
      <c r="I8882" s="3" t="s">
        <v>13</v>
      </c>
      <c r="J8882" s="3" t="s">
        <v>25377</v>
      </c>
      <c r="K8882" s="3" t="s">
        <v>2907</v>
      </c>
      <c r="L8882" s="3" t="str">
        <f>IFERROR(__xludf.DUMMYFUNCTION("GOOGLETRANSLATE(F8882,""id"",""en"")"),"It's not that easy Ferguso Argentina lost to the Saudis so actually Saudi is great, you can defeat Argentina champions")</f>
        <v>It's not that easy Ferguso Argentina lost to the Saudis so actually Saudi is great, you can defeat Argentina champions</v>
      </c>
    </row>
    <row r="8883" ht="15.75" customHeight="1">
      <c r="A8883" s="1">
        <v>10110.0</v>
      </c>
      <c r="B8883" s="3" t="s">
        <v>25378</v>
      </c>
      <c r="C8883" s="3">
        <v>0.0</v>
      </c>
      <c r="D8883" s="3">
        <v>0.0</v>
      </c>
      <c r="E8883" s="3">
        <v>2.0</v>
      </c>
      <c r="F8883" s="3" t="s">
        <v>25379</v>
      </c>
      <c r="G8883" s="3">
        <v>0.0</v>
      </c>
      <c r="H8883" s="3">
        <v>0.0</v>
      </c>
      <c r="I8883" s="3" t="s">
        <v>13</v>
      </c>
      <c r="J8883" s="3" t="s">
        <v>25380</v>
      </c>
      <c r="K8883" s="3" t="s">
        <v>2117</v>
      </c>
      <c r="L8883" s="3" t="str">
        <f>IFERROR(__xludf.DUMMYFUNCTION("GOOGLETRANSLATE(F8883,""id"",""en"")"),"Nala WNZ comeback")</f>
        <v>Nala WNZ comeback</v>
      </c>
    </row>
    <row r="8884" ht="15.75" customHeight="1">
      <c r="A8884" s="1">
        <v>10111.0</v>
      </c>
      <c r="B8884" s="3" t="s">
        <v>25381</v>
      </c>
      <c r="C8884" s="3">
        <v>0.0</v>
      </c>
      <c r="D8884" s="3">
        <v>0.0</v>
      </c>
      <c r="E8884" s="3">
        <v>1.0</v>
      </c>
      <c r="F8884" s="3" t="s">
        <v>25382</v>
      </c>
      <c r="G8884" s="3">
        <v>1.0</v>
      </c>
      <c r="H8884" s="3">
        <v>0.0</v>
      </c>
      <c r="I8884" s="3" t="s">
        <v>13</v>
      </c>
      <c r="J8884" s="3" t="s">
        <v>25383</v>
      </c>
      <c r="K8884" s="3" t="s">
        <v>184</v>
      </c>
      <c r="L8884" s="3" t="str">
        <f>IFERROR(__xludf.DUMMYFUNCTION("GOOGLETRANSLATE(F8884,""id"",""en"")"),"Pupus has a dream of the French national team to defend the World Cup Kylian Mbappe title is considered as the cause of France's defeat to Argentina Final")</f>
        <v>Pupus has a dream of the French national team to defend the World Cup Kylian Mbappe title is considered as the cause of France's defeat to Argentina Final</v>
      </c>
    </row>
    <row r="8885" ht="15.75" customHeight="1">
      <c r="A8885" s="1">
        <v>10112.0</v>
      </c>
      <c r="B8885" s="3" t="s">
        <v>25384</v>
      </c>
      <c r="C8885" s="3">
        <v>0.0</v>
      </c>
      <c r="D8885" s="3">
        <v>0.0</v>
      </c>
      <c r="E8885" s="3">
        <v>10.0</v>
      </c>
      <c r="F8885" s="3" t="s">
        <v>25385</v>
      </c>
      <c r="G8885" s="3">
        <v>1.0</v>
      </c>
      <c r="H8885" s="3">
        <v>0.0</v>
      </c>
      <c r="I8885" s="3" t="s">
        <v>13</v>
      </c>
      <c r="J8885" s="3" t="s">
        <v>25386</v>
      </c>
      <c r="K8885" s="3" t="s">
        <v>574</v>
      </c>
      <c r="L8885" s="3" t="str">
        <f>IFERROR(__xludf.DUMMYFUNCTION("GOOGLETRANSLATE(F8885,""id"",""en"")"),"I want to continue to experience the match again in the status of the world champion, the year old player to Argentina's television following the country's penalty shootout victory over France in the Doha World Cup final")</f>
        <v>I want to continue to experience the match again in the status of the world champion, the year old player to Argentina's television following the country's penalty shootout victory over France in the Doha World Cup final</v>
      </c>
    </row>
    <row r="8886" ht="15.75" customHeight="1">
      <c r="A8886" s="1">
        <v>10113.0</v>
      </c>
      <c r="B8886" s="3" t="s">
        <v>25387</v>
      </c>
      <c r="C8886" s="3">
        <v>0.0</v>
      </c>
      <c r="D8886" s="3">
        <v>0.0</v>
      </c>
      <c r="E8886" s="3">
        <v>0.0</v>
      </c>
      <c r="F8886" s="3" t="s">
        <v>25382</v>
      </c>
      <c r="G8886" s="3">
        <v>1.0</v>
      </c>
      <c r="H8886" s="3">
        <v>0.0</v>
      </c>
      <c r="I8886" s="3" t="s">
        <v>13</v>
      </c>
      <c r="J8886" s="3" t="s">
        <v>25383</v>
      </c>
      <c r="K8886" s="3" t="s">
        <v>184</v>
      </c>
      <c r="L8886" s="3" t="str">
        <f>IFERROR(__xludf.DUMMYFUNCTION("GOOGLETRANSLATE(F8886,""id"",""en"")"),"Pupus has a dream of the French national team to defend the World Cup Kylian Mbappe title is considered as the cause of France's defeat to Argentina Final")</f>
        <v>Pupus has a dream of the French national team to defend the World Cup Kylian Mbappe title is considered as the cause of France's defeat to Argentina Final</v>
      </c>
    </row>
    <row r="8887" ht="15.75" customHeight="1">
      <c r="A8887" s="1">
        <v>10114.0</v>
      </c>
      <c r="B8887" s="3" t="s">
        <v>25388</v>
      </c>
      <c r="C8887" s="3">
        <v>0.0</v>
      </c>
      <c r="D8887" s="3">
        <v>0.0</v>
      </c>
      <c r="E8887" s="3">
        <v>0.0</v>
      </c>
      <c r="F8887" s="3" t="s">
        <v>25251</v>
      </c>
      <c r="G8887" s="3">
        <v>0.0</v>
      </c>
      <c r="H8887" s="3">
        <v>0.0</v>
      </c>
      <c r="I8887" s="3" t="s">
        <v>13</v>
      </c>
      <c r="J8887" s="3" t="s">
        <v>25252</v>
      </c>
      <c r="K8887" s="3" t="s">
        <v>50</v>
      </c>
      <c r="L8887" s="3" t="str">
        <f>IFERROR(__xludf.DUMMYFUNCTION("GOOGLETRANSLATE(F8887,""id"",""en"")"),"Friendship of Lionel Messi and Angel Maria Bring Argentina Champion World Cup Qatar")</f>
        <v>Friendship of Lionel Messi and Angel Maria Bring Argentina Champion World Cup Qatar</v>
      </c>
    </row>
    <row r="8888" ht="15.75" customHeight="1">
      <c r="A8888" s="1">
        <v>10115.0</v>
      </c>
      <c r="B8888" s="3" t="s">
        <v>25389</v>
      </c>
      <c r="C8888" s="3">
        <v>0.0</v>
      </c>
      <c r="D8888" s="3">
        <v>0.0</v>
      </c>
      <c r="E8888" s="3">
        <v>0.0</v>
      </c>
      <c r="F8888" s="3" t="s">
        <v>25390</v>
      </c>
      <c r="G8888" s="3">
        <v>0.0</v>
      </c>
      <c r="H8888" s="3">
        <v>0.0</v>
      </c>
      <c r="I8888" s="3" t="s">
        <v>13</v>
      </c>
      <c r="J8888" s="3" t="s">
        <v>25391</v>
      </c>
      <c r="K8888" s="3" t="s">
        <v>35</v>
      </c>
      <c r="L8888" s="3" t="str">
        <f>IFERROR(__xludf.DUMMYFUNCTION("GOOGLETRANSLATE(F8888,""id"",""en"")"),"Take a peek at the list of world cup prizes Messi et al in addition to carrying a trophy with fantastic money too")</f>
        <v>Take a peek at the list of world cup prizes Messi et al in addition to carrying a trophy with fantastic money too</v>
      </c>
    </row>
    <row r="8889" ht="15.75" customHeight="1">
      <c r="A8889" s="1">
        <v>10116.0</v>
      </c>
      <c r="B8889" s="3" t="s">
        <v>25392</v>
      </c>
      <c r="C8889" s="3">
        <v>0.0</v>
      </c>
      <c r="D8889" s="3">
        <v>0.0</v>
      </c>
      <c r="E8889" s="3">
        <v>1.0</v>
      </c>
      <c r="F8889" s="3" t="s">
        <v>25393</v>
      </c>
      <c r="G8889" s="3">
        <v>0.6666666666666666</v>
      </c>
      <c r="H8889" s="3">
        <v>0.08333333333333333</v>
      </c>
      <c r="I8889" s="3" t="s">
        <v>48</v>
      </c>
      <c r="J8889" s="3" t="s">
        <v>25394</v>
      </c>
      <c r="K8889" s="3" t="s">
        <v>17359</v>
      </c>
      <c r="L8889" s="3" t="str">
        <f>IFERROR(__xludf.DUMMYFUNCTION("GOOGLETRANSLATE(F8889,""id"",""en"")"),"Qatar is a real champion not Argentina not France Messi and Mbappe playing with the French PSG club and competing Qatar's final PSG owner is Qatar Sports Investment QSI affiliated in Qatar Investment Authority Qia Giant Investment owned by Qatar")</f>
        <v>Qatar is a real champion not Argentina not France Messi and Mbappe playing with the French PSG club and competing Qatar's final PSG owner is Qatar Sports Investment QSI affiliated in Qatar Investment Authority Qia Giant Investment owned by Qatar</v>
      </c>
    </row>
    <row r="8890" ht="15.75" customHeight="1">
      <c r="A8890" s="1">
        <v>10117.0</v>
      </c>
      <c r="B8890" s="3" t="s">
        <v>25395</v>
      </c>
      <c r="C8890" s="3">
        <v>0.0</v>
      </c>
      <c r="D8890" s="3">
        <v>0.0</v>
      </c>
      <c r="E8890" s="3">
        <v>1.0</v>
      </c>
      <c r="F8890" s="3" t="s">
        <v>25396</v>
      </c>
      <c r="G8890" s="3">
        <v>0.0</v>
      </c>
      <c r="H8890" s="3">
        <v>0.0</v>
      </c>
      <c r="I8890" s="3" t="s">
        <v>13</v>
      </c>
      <c r="J8890" s="3" t="s">
        <v>25397</v>
      </c>
      <c r="K8890" s="3" t="s">
        <v>50</v>
      </c>
      <c r="L8890" s="3" t="str">
        <f>IFERROR(__xludf.DUMMYFUNCTION("GOOGLETRANSLATE(F8890,""id"",""en"")"),"More precisely only the era and Governor of DKI Mr. Heru Argentina world champion for the time")</f>
        <v>More precisely only the era and Governor of DKI Mr. Heru Argentina world champion for the time</v>
      </c>
    </row>
    <row r="8891" ht="15.75" customHeight="1">
      <c r="A8891" s="1">
        <v>10118.0</v>
      </c>
      <c r="B8891" s="3" t="s">
        <v>25398</v>
      </c>
      <c r="C8891" s="3">
        <v>1.0</v>
      </c>
      <c r="D8891" s="3">
        <v>0.0</v>
      </c>
      <c r="E8891" s="3">
        <v>1.0</v>
      </c>
      <c r="F8891" s="3" t="s">
        <v>25399</v>
      </c>
      <c r="G8891" s="3">
        <v>0.0</v>
      </c>
      <c r="H8891" s="3">
        <v>0.0</v>
      </c>
      <c r="I8891" s="3" t="s">
        <v>13</v>
      </c>
      <c r="J8891" s="3" t="s">
        <v>25400</v>
      </c>
      <c r="K8891" s="3" t="s">
        <v>58</v>
      </c>
      <c r="L8891" s="3" t="str">
        <f>IFERROR(__xludf.DUMMYFUNCTION("GOOGLETRANSLATE(F8891,""id"",""en"")"),"I thought after Argentina champions and Messi succeeded in completing his debate between Messi and Ronaldo will be finished but apparently it was still continuing")</f>
        <v>I thought after Argentina champions and Messi succeeded in completing his debate between Messi and Ronaldo will be finished but apparently it was still continuing</v>
      </c>
    </row>
    <row r="8892" ht="15.75" customHeight="1">
      <c r="A8892" s="1">
        <v>10119.0</v>
      </c>
      <c r="B8892" s="3" t="s">
        <v>25401</v>
      </c>
      <c r="C8892" s="3">
        <v>0.0</v>
      </c>
      <c r="D8892" s="3">
        <v>0.0</v>
      </c>
      <c r="E8892" s="3">
        <v>0.0</v>
      </c>
      <c r="F8892" s="3" t="s">
        <v>25402</v>
      </c>
      <c r="G8892" s="3">
        <v>0.0</v>
      </c>
      <c r="H8892" s="3">
        <v>0.0</v>
      </c>
      <c r="I8892" s="3" t="s">
        <v>13</v>
      </c>
      <c r="J8892" s="3" t="s">
        <v>25403</v>
      </c>
      <c r="K8892" s="3" t="s">
        <v>82</v>
      </c>
      <c r="L8892" s="3" t="str">
        <f>IFERROR(__xludf.DUMMYFUNCTION("GOOGLETRANSLATE(F8892,""id"",""en"")"),"Prize equivalent to billions for the Argentine World Cup championship")</f>
        <v>Prize equivalent to billions for the Argentine World Cup championship</v>
      </c>
    </row>
    <row r="8893" ht="15.75" customHeight="1">
      <c r="A8893" s="1">
        <v>10120.0</v>
      </c>
      <c r="B8893" s="3" t="s">
        <v>25404</v>
      </c>
      <c r="C8893" s="3">
        <v>0.0</v>
      </c>
      <c r="D8893" s="3">
        <v>0.0</v>
      </c>
      <c r="E8893" s="3">
        <v>0.0</v>
      </c>
      <c r="F8893" s="3" t="s">
        <v>16103</v>
      </c>
      <c r="G8893" s="3">
        <v>0.0</v>
      </c>
      <c r="H8893" s="3">
        <v>0.0</v>
      </c>
      <c r="I8893" s="3" t="s">
        <v>13</v>
      </c>
      <c r="J8893" s="3" t="s">
        <v>16104</v>
      </c>
      <c r="K8893" s="3" t="s">
        <v>14571</v>
      </c>
      <c r="L8893" s="3" t="str">
        <f>IFERROR(__xludf.DUMMYFUNCTION("GOOGLETRANSLATE(F8893,""id"",""en"")"),"Argentina Champion")</f>
        <v>Argentina Champion</v>
      </c>
    </row>
    <row r="8894" ht="15.75" customHeight="1">
      <c r="A8894" s="1">
        <v>10121.0</v>
      </c>
      <c r="B8894" s="3" t="s">
        <v>25405</v>
      </c>
      <c r="C8894" s="3">
        <v>0.0</v>
      </c>
      <c r="D8894" s="3">
        <v>0.0</v>
      </c>
      <c r="E8894" s="3">
        <v>0.0</v>
      </c>
      <c r="F8894" s="3" t="s">
        <v>25406</v>
      </c>
      <c r="G8894" s="3">
        <v>0.0</v>
      </c>
      <c r="H8894" s="3">
        <v>0.0</v>
      </c>
      <c r="I8894" s="3" t="s">
        <v>13</v>
      </c>
      <c r="J8894" s="3" t="s">
        <v>25407</v>
      </c>
      <c r="K8894" s="3" t="s">
        <v>15</v>
      </c>
      <c r="L8894" s="3" t="str">
        <f>IFERROR(__xludf.DUMMYFUNCTION("GOOGLETRANSLATE(F8894,""id"",""en"")"),"Praise God for this World Cup champion for Argentina")</f>
        <v>Praise God for this World Cup champion for Argentina</v>
      </c>
    </row>
    <row r="8895" ht="15.75" customHeight="1">
      <c r="A8895" s="1">
        <v>10122.0</v>
      </c>
      <c r="B8895" s="3" t="s">
        <v>25408</v>
      </c>
      <c r="C8895" s="3">
        <v>0.0</v>
      </c>
      <c r="D8895" s="3">
        <v>0.0</v>
      </c>
      <c r="E8895" s="3">
        <v>0.0</v>
      </c>
      <c r="F8895" s="3" t="s">
        <v>25409</v>
      </c>
      <c r="G8895" s="3">
        <v>0.0</v>
      </c>
      <c r="H8895" s="3">
        <v>0.0</v>
      </c>
      <c r="I8895" s="3" t="s">
        <v>13</v>
      </c>
      <c r="J8895" s="3" t="s">
        <v>25410</v>
      </c>
      <c r="K8895" s="3" t="s">
        <v>244</v>
      </c>
      <c r="L8895" s="3" t="str">
        <f>IFERROR(__xludf.DUMMYFUNCTION("GOOGLETRANSLATE(F8895,""id"",""en"")"),"European champions and the previous World Cup champions even lost to Argentina")</f>
        <v>European champions and the previous World Cup champions even lost to Argentina</v>
      </c>
    </row>
    <row r="8896" ht="15.75" customHeight="1">
      <c r="A8896" s="1">
        <v>10123.0</v>
      </c>
      <c r="B8896" s="3" t="s">
        <v>25411</v>
      </c>
      <c r="C8896" s="3">
        <v>0.0</v>
      </c>
      <c r="D8896" s="3">
        <v>0.0</v>
      </c>
      <c r="E8896" s="3">
        <v>0.0</v>
      </c>
      <c r="F8896" s="3" t="s">
        <v>25412</v>
      </c>
      <c r="G8896" s="3">
        <v>0.0</v>
      </c>
      <c r="H8896" s="3">
        <v>0.0</v>
      </c>
      <c r="I8896" s="3" t="s">
        <v>13</v>
      </c>
      <c r="J8896" s="3" t="s">
        <v>25413</v>
      </c>
      <c r="K8896" s="3" t="s">
        <v>184</v>
      </c>
      <c r="L8896" s="3" t="str">
        <f>IFERROR(__xludf.DUMMYFUNCTION("GOOGLETRANSLATE(F8896,""id"",""en"")"),"That success also brought Albiceleste the nickname of the Argentine national team to win the World Cup celebration of the victory was released by the Argentine players after the match via")</f>
        <v>That success also brought Albiceleste the nickname of the Argentine national team to win the World Cup celebration of the victory was released by the Argentine players after the match via</v>
      </c>
    </row>
    <row r="8897" ht="15.75" customHeight="1">
      <c r="A8897" s="1">
        <v>10124.0</v>
      </c>
      <c r="B8897" s="3" t="s">
        <v>25414</v>
      </c>
      <c r="C8897" s="3">
        <v>0.0</v>
      </c>
      <c r="D8897" s="3">
        <v>0.0</v>
      </c>
      <c r="E8897" s="3">
        <v>1.0</v>
      </c>
      <c r="F8897" s="3" t="s">
        <v>25415</v>
      </c>
      <c r="G8897" s="3">
        <v>0.0</v>
      </c>
      <c r="H8897" s="3">
        <v>0.0</v>
      </c>
      <c r="I8897" s="3" t="s">
        <v>13</v>
      </c>
      <c r="J8897" s="3" t="s">
        <v>25416</v>
      </c>
      <c r="K8897" s="3" t="s">
        <v>75</v>
      </c>
      <c r="L8897" s="3" t="str">
        <f>IFERROR(__xludf.DUMMYFUNCTION("GOOGLETRANSLATE(F8897,""id"",""en"")"),"Apart from Argentina the champion there is a Mac Allister figure Brigton's playing is good")</f>
        <v>Apart from Argentina the champion there is a Mac Allister figure Brigton's playing is good</v>
      </c>
    </row>
    <row r="8898" ht="15.75" customHeight="1">
      <c r="A8898" s="1">
        <v>10125.0</v>
      </c>
      <c r="B8898" s="3" t="s">
        <v>25417</v>
      </c>
      <c r="C8898" s="3">
        <v>1.0</v>
      </c>
      <c r="D8898" s="3">
        <v>0.0</v>
      </c>
      <c r="E8898" s="3">
        <v>0.0</v>
      </c>
      <c r="F8898" s="3" t="s">
        <v>25418</v>
      </c>
      <c r="G8898" s="3">
        <v>0.0</v>
      </c>
      <c r="H8898" s="3">
        <v>0.0</v>
      </c>
      <c r="I8898" s="3" t="s">
        <v>13</v>
      </c>
      <c r="J8898" s="3" t="s">
        <v>25419</v>
      </c>
      <c r="K8898" s="3" t="s">
        <v>82</v>
      </c>
      <c r="L8898" s="3" t="str">
        <f>IFERROR(__xludf.DUMMYFUNCTION("GOOGLETRANSLATE(F8898,""id"",""en"")"),"how many prizes for the soccer world champion")</f>
        <v>how many prizes for the soccer world champion</v>
      </c>
    </row>
    <row r="8899" ht="15.75" customHeight="1">
      <c r="A8899" s="1">
        <v>10126.0</v>
      </c>
      <c r="B8899" s="3" t="s">
        <v>25420</v>
      </c>
      <c r="C8899" s="3">
        <v>0.0</v>
      </c>
      <c r="D8899" s="3">
        <v>0.0</v>
      </c>
      <c r="E8899" s="3">
        <v>0.0</v>
      </c>
      <c r="F8899" s="3" t="s">
        <v>25421</v>
      </c>
      <c r="G8899" s="3">
        <v>0.0</v>
      </c>
      <c r="H8899" s="3">
        <v>0.0</v>
      </c>
      <c r="I8899" s="3" t="s">
        <v>13</v>
      </c>
      <c r="J8899" s="3" t="s">
        <v>25422</v>
      </c>
      <c r="K8899" s="3" t="s">
        <v>510</v>
      </c>
      <c r="L8899" s="3" t="str">
        <f>IFERROR(__xludf.DUMMYFUNCTION("GOOGLETRANSLATE(F8899,""id"",""en"")"),"Sekak Nyongko Argentina Champion World Cup alias Jancok I Iki Ngipi Cok")</f>
        <v>Sekak Nyongko Argentina Champion World Cup alias Jancok I Iki Ngipi Cok</v>
      </c>
    </row>
    <row r="8900" ht="15.75" customHeight="1">
      <c r="A8900" s="1">
        <v>10127.0</v>
      </c>
      <c r="B8900" s="3" t="s">
        <v>25423</v>
      </c>
      <c r="C8900" s="3">
        <v>0.0</v>
      </c>
      <c r="D8900" s="3">
        <v>0.0</v>
      </c>
      <c r="E8900" s="3">
        <v>0.0</v>
      </c>
      <c r="F8900" s="3" t="s">
        <v>25424</v>
      </c>
      <c r="G8900" s="3">
        <v>0.0</v>
      </c>
      <c r="H8900" s="3">
        <v>0.0</v>
      </c>
      <c r="I8900" s="3" t="s">
        <v>13</v>
      </c>
      <c r="J8900" s="3" t="s">
        <v>25425</v>
      </c>
      <c r="K8900" s="3" t="s">
        <v>123</v>
      </c>
      <c r="L8900" s="3" t="str">
        <f>IFERROR(__xludf.DUMMYFUNCTION("GOOGLETRANSLATE(F8900,""id"",""en"")"),"It's a bit like that, seeing the supporters of Messi Barcelona, ​​trusting Argentina, the World Cup championship while the country is Spanish, not champions")</f>
        <v>It's a bit like that, seeing the supporters of Messi Barcelona, ​​trusting Argentina, the World Cup championship while the country is Spanish, not champions</v>
      </c>
    </row>
    <row r="8901" ht="15.75" customHeight="1">
      <c r="A8901" s="1">
        <v>10128.0</v>
      </c>
      <c r="B8901" s="3" t="s">
        <v>25426</v>
      </c>
      <c r="C8901" s="3">
        <v>0.0</v>
      </c>
      <c r="D8901" s="3">
        <v>2.0</v>
      </c>
      <c r="E8901" s="3">
        <v>18.0</v>
      </c>
      <c r="F8901" s="3" t="s">
        <v>22701</v>
      </c>
      <c r="G8901" s="3">
        <v>0.0</v>
      </c>
      <c r="H8901" s="3">
        <v>0.0</v>
      </c>
      <c r="I8901" s="3" t="s">
        <v>13</v>
      </c>
      <c r="J8901" s="3" t="s">
        <v>22702</v>
      </c>
      <c r="K8901" s="3" t="s">
        <v>82</v>
      </c>
      <c r="L8901" s="3" t="str">
        <f>IFERROR(__xludf.DUMMYFUNCTION("GOOGLETRANSLATE(F8901,""id"",""en"")"),"Argentina Champion World Cup Buenos Aires Crazy")</f>
        <v>Argentina Champion World Cup Buenos Aires Crazy</v>
      </c>
    </row>
    <row r="8902" ht="15.75" customHeight="1">
      <c r="A8902" s="1">
        <v>10129.0</v>
      </c>
      <c r="B8902" s="3" t="s">
        <v>25427</v>
      </c>
      <c r="C8902" s="3">
        <v>0.0</v>
      </c>
      <c r="D8902" s="3">
        <v>0.0</v>
      </c>
      <c r="E8902" s="3">
        <v>0.0</v>
      </c>
      <c r="F8902" s="3" t="s">
        <v>25428</v>
      </c>
      <c r="G8902" s="3">
        <v>0.0</v>
      </c>
      <c r="H8902" s="3">
        <v>0.0</v>
      </c>
      <c r="I8902" s="3" t="s">
        <v>13</v>
      </c>
      <c r="J8902" s="3" t="s">
        <v>25429</v>
      </c>
      <c r="K8902" s="3" t="s">
        <v>75</v>
      </c>
      <c r="L8902" s="3" t="str">
        <f>IFERROR(__xludf.DUMMYFUNCTION("GOOGLETRANSLATE(F8902,""id"",""en"")"),"Argentine goalkeeper Mbappe Mbappe invited to silence when celebrating the world champion")</f>
        <v>Argentine goalkeeper Mbappe Mbappe invited to silence when celebrating the world champion</v>
      </c>
    </row>
    <row r="8903" ht="15.75" customHeight="1">
      <c r="A8903" s="1">
        <v>10130.0</v>
      </c>
      <c r="B8903" s="3" t="s">
        <v>25430</v>
      </c>
      <c r="C8903" s="3">
        <v>0.0</v>
      </c>
      <c r="D8903" s="3">
        <v>0.0</v>
      </c>
      <c r="E8903" s="3">
        <v>0.0</v>
      </c>
      <c r="F8903" s="3" t="s">
        <v>25431</v>
      </c>
      <c r="G8903" s="3">
        <v>0.0</v>
      </c>
      <c r="H8903" s="3">
        <v>0.0</v>
      </c>
      <c r="I8903" s="3" t="s">
        <v>13</v>
      </c>
      <c r="J8903" s="3" t="s">
        <v>25432</v>
      </c>
      <c r="K8903" s="3" t="s">
        <v>19</v>
      </c>
      <c r="L8903" s="3" t="str">
        <f>IFERROR(__xludf.DUMMYFUNCTION("GOOGLETRANSLATE(F8903,""id"",""en"")"),"excited excitement Argentina Champion World Cup Women's Audience Desperate to appear without clothes")</f>
        <v>excited excitement Argentina Champion World Cup Women's Audience Desperate to appear without clothes</v>
      </c>
    </row>
    <row r="8904" ht="15.75" customHeight="1">
      <c r="A8904" s="1">
        <v>10131.0</v>
      </c>
      <c r="B8904" s="3" t="s">
        <v>25433</v>
      </c>
      <c r="C8904" s="3">
        <v>0.0</v>
      </c>
      <c r="D8904" s="3">
        <v>0.0</v>
      </c>
      <c r="E8904" s="3">
        <v>0.0</v>
      </c>
      <c r="F8904" s="3" t="s">
        <v>25434</v>
      </c>
      <c r="G8904" s="3">
        <v>0.0</v>
      </c>
      <c r="H8904" s="3">
        <v>0.0</v>
      </c>
      <c r="I8904" s="3" t="s">
        <v>13</v>
      </c>
      <c r="J8904" s="3" t="s">
        <v>25435</v>
      </c>
      <c r="K8904" s="3" t="s">
        <v>135</v>
      </c>
      <c r="L8904" s="3" t="str">
        <f>IFERROR(__xludf.DUMMYFUNCTION("GOOGLETRANSLATE(F8904,""id"",""en"")"),"Dumdum should be Arab supporters thanks to the Argentina team because one of their favorite team wins was actually obtained from the world champion thanks to their favorite Argentina team raised but this was even though instead")</f>
        <v>Dumdum should be Arab supporters thanks to the Argentina team because one of their favorite team wins was actually obtained from the world champion thanks to their favorite Argentina team raised but this was even though instead</v>
      </c>
    </row>
    <row r="8905" ht="15.75" customHeight="1">
      <c r="A8905" s="1">
        <v>10132.0</v>
      </c>
      <c r="B8905" s="3" t="s">
        <v>25436</v>
      </c>
      <c r="C8905" s="3">
        <v>0.0</v>
      </c>
      <c r="D8905" s="3">
        <v>0.0</v>
      </c>
      <c r="E8905" s="3">
        <v>0.0</v>
      </c>
      <c r="F8905" s="3" t="s">
        <v>25437</v>
      </c>
      <c r="G8905" s="3">
        <v>0.0</v>
      </c>
      <c r="H8905" s="3">
        <v>0.0</v>
      </c>
      <c r="I8905" s="3" t="s">
        <v>13</v>
      </c>
      <c r="J8905" s="3" t="s">
        <v>25438</v>
      </c>
      <c r="K8905" s="3" t="s">
        <v>19</v>
      </c>
      <c r="L8905" s="3" t="str">
        <f>IFERROR(__xludf.DUMMYFUNCTION("GOOGLETRANSLATE(F8905,""id"",""en"")"),"Since when the French World Cup supported the national team late last night to watch the championship team")</f>
        <v>Since when the French World Cup supported the national team late last night to watch the championship team</v>
      </c>
    </row>
    <row r="8906" ht="15.75" customHeight="1">
      <c r="A8906" s="1">
        <v>10133.0</v>
      </c>
      <c r="B8906" s="3" t="s">
        <v>25439</v>
      </c>
      <c r="C8906" s="3">
        <v>0.0</v>
      </c>
      <c r="D8906" s="3">
        <v>0.0</v>
      </c>
      <c r="E8906" s="3">
        <v>0.0</v>
      </c>
      <c r="F8906" s="3" t="s">
        <v>25440</v>
      </c>
      <c r="G8906" s="3">
        <v>1.0</v>
      </c>
      <c r="H8906" s="3">
        <v>0.0</v>
      </c>
      <c r="I8906" s="3" t="s">
        <v>13</v>
      </c>
      <c r="J8906" s="3" t="s">
        <v>25441</v>
      </c>
      <c r="K8906" s="3" t="s">
        <v>765</v>
      </c>
      <c r="L8906" s="3" t="str">
        <f>IFERROR(__xludf.DUMMYFUNCTION("GOOGLETRANSLATE(F8906,""id"",""en"")"),"Only failed a penalty shootout still very proud as a fan of Les Bleus can not lose Scoreline minute to become a defending champion with the best achievement backtoback Final only runner LWT Adu Penalty since")</f>
        <v>Only failed a penalty shootout still very proud as a fan of Les Bleus can not lose Scoreline minute to become a defending champion with the best achievement backtoback Final only runner LWT Adu Penalty since</v>
      </c>
    </row>
    <row r="8907" ht="15.75" customHeight="1">
      <c r="A8907" s="1">
        <v>10134.0</v>
      </c>
      <c r="B8907" s="3" t="s">
        <v>25442</v>
      </c>
      <c r="C8907" s="3">
        <v>0.0</v>
      </c>
      <c r="D8907" s="3">
        <v>0.0</v>
      </c>
      <c r="E8907" s="3">
        <v>0.0</v>
      </c>
      <c r="F8907" s="3" t="s">
        <v>25443</v>
      </c>
      <c r="G8907" s="3">
        <v>0.0</v>
      </c>
      <c r="H8907" s="3">
        <v>0.0</v>
      </c>
      <c r="I8907" s="3" t="s">
        <v>13</v>
      </c>
      <c r="J8907" s="3" t="s">
        <v>25444</v>
      </c>
      <c r="K8907" s="3" t="s">
        <v>236</v>
      </c>
      <c r="L8907" s="3" t="str">
        <f>IFERROR(__xludf.DUMMYFUNCTION("GOOGLETRANSLATE(F8907,""id"",""en"")"),"Argentina won a lot of this list of World Cup champions from the days")</f>
        <v>Argentina won a lot of this list of World Cup champions from the days</v>
      </c>
    </row>
    <row r="8908" ht="15.75" customHeight="1">
      <c r="A8908" s="1">
        <v>10135.0</v>
      </c>
      <c r="B8908" s="3" t="s">
        <v>25445</v>
      </c>
      <c r="C8908" s="3">
        <v>0.0</v>
      </c>
      <c r="D8908" s="3">
        <v>0.0</v>
      </c>
      <c r="E8908" s="3">
        <v>0.0</v>
      </c>
      <c r="F8908" s="3" t="s">
        <v>25446</v>
      </c>
      <c r="G8908" s="3">
        <v>0.0</v>
      </c>
      <c r="H8908" s="3">
        <v>0.0</v>
      </c>
      <c r="I8908" s="3" t="s">
        <v>13</v>
      </c>
      <c r="J8908" s="3" t="s">
        <v>25447</v>
      </c>
      <c r="K8908" s="3" t="s">
        <v>644</v>
      </c>
      <c r="L8908" s="3" t="str">
        <f>IFERROR(__xludf.DUMMYFUNCTION("GOOGLETRANSLATE(F8908,""id"",""en"")"),"Congratulations Gus Argentina Champion")</f>
        <v>Congratulations Gus Argentina Champion</v>
      </c>
    </row>
    <row r="8909" ht="15.75" customHeight="1">
      <c r="A8909" s="1">
        <v>10136.0</v>
      </c>
      <c r="B8909" s="3" t="s">
        <v>25448</v>
      </c>
      <c r="C8909" s="3">
        <v>0.0</v>
      </c>
      <c r="D8909" s="3">
        <v>0.0</v>
      </c>
      <c r="E8909" s="3">
        <v>0.0</v>
      </c>
      <c r="F8909" s="3" t="s">
        <v>25449</v>
      </c>
      <c r="G8909" s="3">
        <v>0.0</v>
      </c>
      <c r="H8909" s="3">
        <v>0.0</v>
      </c>
      <c r="I8909" s="3" t="s">
        <v>13</v>
      </c>
      <c r="J8909" s="3" t="s">
        <v>25450</v>
      </c>
      <c r="K8909" s="3" t="s">
        <v>15</v>
      </c>
      <c r="L8909" s="3" t="str">
        <f>IFERROR(__xludf.DUMMYFUNCTION("GOOGLETRANSLATE(F8909,""id"",""en"")"),"Tango Argentina Team Sabet Champion World Cup Qatar")</f>
        <v>Tango Argentina Team Sabet Champion World Cup Qatar</v>
      </c>
    </row>
    <row r="8910" ht="15.75" customHeight="1">
      <c r="A8910" s="1">
        <v>10137.0</v>
      </c>
      <c r="B8910" s="3" t="s">
        <v>25451</v>
      </c>
      <c r="C8910" s="3">
        <v>0.0</v>
      </c>
      <c r="D8910" s="3">
        <v>0.0</v>
      </c>
      <c r="E8910" s="3">
        <v>0.0</v>
      </c>
      <c r="F8910" s="3" t="s">
        <v>25449</v>
      </c>
      <c r="G8910" s="3">
        <v>0.0</v>
      </c>
      <c r="H8910" s="3">
        <v>0.0</v>
      </c>
      <c r="I8910" s="3" t="s">
        <v>13</v>
      </c>
      <c r="J8910" s="3" t="s">
        <v>25450</v>
      </c>
      <c r="K8910" s="3" t="s">
        <v>15</v>
      </c>
      <c r="L8910" s="3" t="str">
        <f>IFERROR(__xludf.DUMMYFUNCTION("GOOGLETRANSLATE(F8910,""id"",""en"")"),"Tango Argentina Team Sabet Champion World Cup Qatar")</f>
        <v>Tango Argentina Team Sabet Champion World Cup Qatar</v>
      </c>
    </row>
    <row r="8911" ht="15.75" customHeight="1">
      <c r="A8911" s="1">
        <v>10138.0</v>
      </c>
      <c r="B8911" s="3" t="s">
        <v>25452</v>
      </c>
      <c r="C8911" s="3">
        <v>0.0</v>
      </c>
      <c r="D8911" s="3">
        <v>0.0</v>
      </c>
      <c r="E8911" s="3">
        <v>0.0</v>
      </c>
      <c r="F8911" s="3" t="s">
        <v>25453</v>
      </c>
      <c r="G8911" s="3">
        <v>0.0</v>
      </c>
      <c r="H8911" s="3">
        <v>0.0</v>
      </c>
      <c r="I8911" s="3" t="s">
        <v>13</v>
      </c>
      <c r="J8911" s="3" t="s">
        <v>25454</v>
      </c>
      <c r="K8911" s="3" t="s">
        <v>54</v>
      </c>
      <c r="L8911" s="3" t="str">
        <f>IFERROR(__xludf.DUMMYFUNCTION("GOOGLETRANSLATE(F8911,""id"",""en"")"),"Argentina world champions all started from here")</f>
        <v>Argentina world champions all started from here</v>
      </c>
    </row>
    <row r="8912" ht="15.75" customHeight="1">
      <c r="A8912" s="1">
        <v>10139.0</v>
      </c>
      <c r="B8912" s="3" t="s">
        <v>25455</v>
      </c>
      <c r="C8912" s="3">
        <v>0.0</v>
      </c>
      <c r="D8912" s="3">
        <v>0.0</v>
      </c>
      <c r="E8912" s="3">
        <v>0.0</v>
      </c>
      <c r="F8912" s="3" t="s">
        <v>25456</v>
      </c>
      <c r="G8912" s="3">
        <v>0.0</v>
      </c>
      <c r="H8912" s="3">
        <v>0.0</v>
      </c>
      <c r="I8912" s="3" t="s">
        <v>13</v>
      </c>
      <c r="J8912" s="3" t="s">
        <v>25457</v>
      </c>
      <c r="K8912" s="3" t="s">
        <v>41</v>
      </c>
      <c r="L8912" s="3" t="str">
        <f>IFERROR(__xludf.DUMMYFUNCTION("GOOGLETRANSLATE(F8912,""id"",""en"")"),"Argentina Champion World Cup after defeating France through penalties")</f>
        <v>Argentina Champion World Cup after defeating France through penalties</v>
      </c>
    </row>
    <row r="8913" ht="15.75" customHeight="1">
      <c r="A8913" s="1">
        <v>10140.0</v>
      </c>
      <c r="B8913" s="3" t="s">
        <v>25458</v>
      </c>
      <c r="C8913" s="3">
        <v>0.0</v>
      </c>
      <c r="D8913" s="3">
        <v>0.0</v>
      </c>
      <c r="E8913" s="3">
        <v>0.0</v>
      </c>
      <c r="F8913" s="3" t="s">
        <v>25456</v>
      </c>
      <c r="G8913" s="3">
        <v>0.0</v>
      </c>
      <c r="H8913" s="3">
        <v>0.0</v>
      </c>
      <c r="I8913" s="3" t="s">
        <v>13</v>
      </c>
      <c r="J8913" s="3" t="s">
        <v>25457</v>
      </c>
      <c r="K8913" s="3" t="s">
        <v>41</v>
      </c>
      <c r="L8913" s="3" t="str">
        <f>IFERROR(__xludf.DUMMYFUNCTION("GOOGLETRANSLATE(F8913,""id"",""en"")"),"Argentina Champion World Cup after defeating France through penalties")</f>
        <v>Argentina Champion World Cup after defeating France through penalties</v>
      </c>
    </row>
    <row r="8914" ht="15.75" customHeight="1">
      <c r="A8914" s="1">
        <v>10141.0</v>
      </c>
      <c r="B8914" s="3" t="s">
        <v>25459</v>
      </c>
      <c r="C8914" s="3">
        <v>0.0</v>
      </c>
      <c r="D8914" s="3">
        <v>0.0</v>
      </c>
      <c r="E8914" s="3">
        <v>0.0</v>
      </c>
      <c r="F8914" s="3" t="s">
        <v>25460</v>
      </c>
      <c r="G8914" s="3">
        <v>0.0</v>
      </c>
      <c r="H8914" s="3">
        <v>0.0</v>
      </c>
      <c r="I8914" s="3" t="s">
        <v>13</v>
      </c>
      <c r="J8914" s="3" t="s">
        <v>25461</v>
      </c>
      <c r="K8914" s="3" t="s">
        <v>75</v>
      </c>
      <c r="L8914" s="3" t="str">
        <f>IFERROR(__xludf.DUMMYFUNCTION("GOOGLETRANSLATE(F8914,""id"",""en"")"),"Portrait of Messi's Wife Celebration Argentina Champion World Cup Pchanic hypnotizing")</f>
        <v>Portrait of Messi's Wife Celebration Argentina Champion World Cup Pchanic hypnotizing</v>
      </c>
    </row>
    <row r="8915" ht="15.75" customHeight="1">
      <c r="A8915" s="1">
        <v>10142.0</v>
      </c>
      <c r="B8915" s="3" t="s">
        <v>25462</v>
      </c>
      <c r="C8915" s="3">
        <v>0.0</v>
      </c>
      <c r="D8915" s="3">
        <v>10.0</v>
      </c>
      <c r="E8915" s="3">
        <v>11.0</v>
      </c>
      <c r="F8915" s="3" t="s">
        <v>25463</v>
      </c>
      <c r="G8915" s="3">
        <v>0.0</v>
      </c>
      <c r="H8915" s="3">
        <v>0.0</v>
      </c>
      <c r="I8915" s="3" t="s">
        <v>13</v>
      </c>
      <c r="J8915" s="3" t="s">
        <v>25464</v>
      </c>
      <c r="K8915" s="3" t="s">
        <v>15</v>
      </c>
      <c r="L8915" s="3" t="str">
        <f>IFERROR(__xludf.DUMMYFUNCTION("GOOGLETRANSLATE(F8915,""id"",""en"")"),"Messi's record after carrying Argentina World Cup champions")</f>
        <v>Messi's record after carrying Argentina World Cup champions</v>
      </c>
    </row>
    <row r="8916" ht="15.75" customHeight="1">
      <c r="A8916" s="1">
        <v>10143.0</v>
      </c>
      <c r="B8916" s="3" t="s">
        <v>25465</v>
      </c>
      <c r="C8916" s="3">
        <v>0.0</v>
      </c>
      <c r="D8916" s="3">
        <v>0.0</v>
      </c>
      <c r="E8916" s="3">
        <v>0.0</v>
      </c>
      <c r="F8916" s="3" t="s">
        <v>25466</v>
      </c>
      <c r="G8916" s="3">
        <v>0.0</v>
      </c>
      <c r="H8916" s="3">
        <v>0.0</v>
      </c>
      <c r="I8916" s="3" t="s">
        <v>13</v>
      </c>
      <c r="J8916" s="3" t="s">
        <v>25467</v>
      </c>
      <c r="K8916" s="3" t="s">
        <v>657</v>
      </c>
      <c r="L8916" s="3" t="str">
        <f>IFERROR(__xludf.DUMMYFUNCTION("GOOGLETRANSLATE(F8916,""id"",""en"")"),"From the success of Argentina came out as the World Cup champion gave birth to a number of interesting facts.")</f>
        <v>From the success of Argentina came out as the World Cup champion gave birth to a number of interesting facts.</v>
      </c>
    </row>
    <row r="8917" ht="15.75" customHeight="1">
      <c r="A8917" s="1">
        <v>10144.0</v>
      </c>
      <c r="B8917" s="3" t="s">
        <v>25468</v>
      </c>
      <c r="C8917" s="3">
        <v>0.0</v>
      </c>
      <c r="D8917" s="3">
        <v>0.0</v>
      </c>
      <c r="E8917" s="3">
        <v>1.0</v>
      </c>
      <c r="F8917" s="3" t="s">
        <v>24774</v>
      </c>
      <c r="G8917" s="3">
        <v>0.0</v>
      </c>
      <c r="H8917" s="3">
        <v>0.0</v>
      </c>
      <c r="I8917" s="3" t="s">
        <v>13</v>
      </c>
      <c r="J8917" s="3" t="s">
        <v>24775</v>
      </c>
      <c r="K8917" s="3" t="s">
        <v>510</v>
      </c>
      <c r="L8917" s="3" t="str">
        <f>IFERROR(__xludf.DUMMYFUNCTION("GOOGLETRANSLATE(F8917,""id"",""en"")"),"Argentina won the World Cup Rodrigo Paul also celebrated it with a goal net and cigar suction")</f>
        <v>Argentina won the World Cup Rodrigo Paul also celebrated it with a goal net and cigar suction</v>
      </c>
    </row>
    <row r="8918" ht="15.75" customHeight="1">
      <c r="A8918" s="1">
        <v>10145.0</v>
      </c>
      <c r="B8918" s="3" t="s">
        <v>25469</v>
      </c>
      <c r="C8918" s="3">
        <v>0.0</v>
      </c>
      <c r="D8918" s="3">
        <v>0.0</v>
      </c>
      <c r="E8918" s="3">
        <v>0.0</v>
      </c>
      <c r="F8918" s="3" t="s">
        <v>25470</v>
      </c>
      <c r="G8918" s="3">
        <v>0.0</v>
      </c>
      <c r="H8918" s="3">
        <v>0.0</v>
      </c>
      <c r="I8918" s="3" t="s">
        <v>13</v>
      </c>
      <c r="J8918" s="3" t="s">
        <v>25471</v>
      </c>
      <c r="K8918" s="3" t="s">
        <v>510</v>
      </c>
      <c r="L8918" s="3" t="str">
        <f>IFERROR(__xludf.DUMMYFUNCTION("GOOGLETRANSLATE(F8918,""id"",""en"")"),"Amazing the hometown of Lionel Messi became a sea of ​​people after Argentina Champion World Cup")</f>
        <v>Amazing the hometown of Lionel Messi became a sea of ​​people after Argentina Champion World Cup</v>
      </c>
    </row>
    <row r="8919" ht="15.75" customHeight="1">
      <c r="A8919" s="1">
        <v>10146.0</v>
      </c>
      <c r="B8919" s="3" t="s">
        <v>25472</v>
      </c>
      <c r="C8919" s="3">
        <v>0.0</v>
      </c>
      <c r="D8919" s="3">
        <v>0.0</v>
      </c>
      <c r="E8919" s="3">
        <v>0.0</v>
      </c>
      <c r="F8919" s="3" t="s">
        <v>25473</v>
      </c>
      <c r="G8919" s="3">
        <v>0.0</v>
      </c>
      <c r="H8919" s="3">
        <v>0.0</v>
      </c>
      <c r="I8919" s="3" t="s">
        <v>13</v>
      </c>
      <c r="J8919" s="3" t="s">
        <v>25474</v>
      </c>
      <c r="K8919" s="3" t="s">
        <v>54</v>
      </c>
      <c r="L8919" s="3" t="str">
        <f>IFERROR(__xludf.DUMMYFUNCTION("GOOGLETRANSLATE(F8919,""id"",""en"")"),"Argentina Champion Noise Barca Madrid Fans")</f>
        <v>Argentina Champion Noise Barca Madrid Fans</v>
      </c>
    </row>
    <row r="8920" ht="15.75" customHeight="1">
      <c r="A8920" s="1">
        <v>10147.0</v>
      </c>
      <c r="B8920" s="3" t="s">
        <v>25475</v>
      </c>
      <c r="C8920" s="3">
        <v>0.0</v>
      </c>
      <c r="D8920" s="3">
        <v>0.0</v>
      </c>
      <c r="E8920" s="3">
        <v>0.0</v>
      </c>
      <c r="F8920" s="3" t="s">
        <v>25476</v>
      </c>
      <c r="G8920" s="3">
        <v>0.0</v>
      </c>
      <c r="H8920" s="3">
        <v>0.0</v>
      </c>
      <c r="I8920" s="3" t="s">
        <v>13</v>
      </c>
      <c r="J8920" s="3" t="s">
        <v>25477</v>
      </c>
      <c r="K8920" s="3" t="s">
        <v>1479</v>
      </c>
      <c r="L8920" s="3" t="str">
        <f>IFERROR(__xludf.DUMMYFUNCTION("GOOGLETRANSLATE(F8920,""id"",""en"")"),"Bandar must win a lot even though Argentina champions in the market exchanges are many HDP Argentina HDP French")</f>
        <v>Bandar must win a lot even though Argentina champions in the market exchanges are many HDP Argentina HDP French</v>
      </c>
    </row>
    <row r="8921" ht="15.75" customHeight="1">
      <c r="A8921" s="1">
        <v>10148.0</v>
      </c>
      <c r="B8921" s="3" t="s">
        <v>25478</v>
      </c>
      <c r="C8921" s="3">
        <v>0.0</v>
      </c>
      <c r="D8921" s="3">
        <v>0.0</v>
      </c>
      <c r="E8921" s="3">
        <v>0.0</v>
      </c>
      <c r="F8921" s="3" t="s">
        <v>25479</v>
      </c>
      <c r="G8921" s="3">
        <v>0.0</v>
      </c>
      <c r="H8921" s="3">
        <v>0.0</v>
      </c>
      <c r="I8921" s="3" t="s">
        <v>13</v>
      </c>
      <c r="J8921" s="3" t="s">
        <v>25480</v>
      </c>
      <c r="K8921" s="3" t="s">
        <v>123</v>
      </c>
      <c r="L8921" s="3" t="str">
        <f>IFERROR(__xludf.DUMMYFUNCTION("GOOGLETRANSLATE(F8921,""id"",""en"")"),"Rusli Sorry My Prof. I want to laugh out loud with the argument of the honest Prof. Klw is still better Argentina at least he is a world champion")</f>
        <v>Rusli Sorry My Prof. I want to laugh out loud with the argument of the honest Prof. Klw is still better Argentina at least he is a world champion</v>
      </c>
    </row>
    <row r="8922" ht="15.75" customHeight="1">
      <c r="A8922" s="1">
        <v>10149.0</v>
      </c>
      <c r="B8922" s="3" t="s">
        <v>25481</v>
      </c>
      <c r="C8922" s="3">
        <v>1.0</v>
      </c>
      <c r="D8922" s="3">
        <v>0.0</v>
      </c>
      <c r="E8922" s="3">
        <v>3.0</v>
      </c>
      <c r="F8922" s="3" t="s">
        <v>25482</v>
      </c>
      <c r="G8922" s="3">
        <v>1.0</v>
      </c>
      <c r="H8922" s="3">
        <v>0.0</v>
      </c>
      <c r="I8922" s="3" t="s">
        <v>13</v>
      </c>
      <c r="J8922" s="3" t="s">
        <v>25483</v>
      </c>
      <c r="K8922" s="3" t="s">
        <v>23</v>
      </c>
      <c r="L8922" s="3" t="str">
        <f>IFERROR(__xludf.DUMMYFUNCTION("GOOGLETRANSLATE(F8922,""id"",""en"")"),"Who watched the World Cup final last night Gokil finally Messi could realize his biggest ambition with Argentina successfully champions of the World Cup after conquering France")</f>
        <v>Who watched the World Cup final last night Gokil finally Messi could realize his biggest ambition with Argentina successfully champions of the World Cup after conquering France</v>
      </c>
    </row>
    <row r="8923" ht="15.75" customHeight="1">
      <c r="A8923" s="1">
        <v>10150.0</v>
      </c>
      <c r="B8923" s="3" t="s">
        <v>25484</v>
      </c>
      <c r="C8923" s="3">
        <v>0.0</v>
      </c>
      <c r="D8923" s="3">
        <v>0.0</v>
      </c>
      <c r="E8923" s="3">
        <v>0.0</v>
      </c>
      <c r="F8923" s="3" t="s">
        <v>25485</v>
      </c>
      <c r="G8923" s="3">
        <v>0.0</v>
      </c>
      <c r="H8923" s="3">
        <v>0.0</v>
      </c>
      <c r="I8923" s="3" t="s">
        <v>13</v>
      </c>
      <c r="J8923" s="3" t="s">
        <v>25486</v>
      </c>
      <c r="K8923" s="3" t="s">
        <v>82</v>
      </c>
      <c r="L8923" s="3" t="str">
        <f>IFERROR(__xludf.DUMMYFUNCTION("GOOGLETRANSLATE(F8923,""id"",""en"")"),"Argentina World Champion Messi Samai Achievement Maradona")</f>
        <v>Argentina World Champion Messi Samai Achievement Maradona</v>
      </c>
    </row>
    <row r="8924" ht="15.75" customHeight="1">
      <c r="A8924" s="1">
        <v>10151.0</v>
      </c>
      <c r="B8924" s="3" t="s">
        <v>25487</v>
      </c>
      <c r="C8924" s="3">
        <v>4.0</v>
      </c>
      <c r="D8924" s="3">
        <v>0.0</v>
      </c>
      <c r="E8924" s="3">
        <v>3.0</v>
      </c>
      <c r="F8924" s="3" t="s">
        <v>25488</v>
      </c>
      <c r="G8924" s="3">
        <v>0.0</v>
      </c>
      <c r="H8924" s="3">
        <v>0.0</v>
      </c>
      <c r="I8924" s="3" t="s">
        <v>13</v>
      </c>
      <c r="J8924" s="3" t="s">
        <v>25489</v>
      </c>
      <c r="K8924" s="3" t="s">
        <v>31</v>
      </c>
      <c r="L8924" s="3" t="str">
        <f>IFERROR(__xludf.DUMMYFUNCTION("GOOGLETRANSLATE(F8924,""id"",""en"")"),"The Argentina champion is the cold in the yellow")</f>
        <v>The Argentina champion is the cold in the yellow</v>
      </c>
    </row>
    <row r="8925" ht="15.75" customHeight="1">
      <c r="A8925" s="1">
        <v>10152.0</v>
      </c>
      <c r="B8925" s="3" t="s">
        <v>25490</v>
      </c>
      <c r="C8925" s="3">
        <v>0.0</v>
      </c>
      <c r="D8925" s="3">
        <v>0.0</v>
      </c>
      <c r="E8925" s="3">
        <v>0.0</v>
      </c>
      <c r="F8925" s="3" t="s">
        <v>25491</v>
      </c>
      <c r="G8925" s="3">
        <v>1.0</v>
      </c>
      <c r="H8925" s="3">
        <v>0.0</v>
      </c>
      <c r="I8925" s="3" t="s">
        <v>13</v>
      </c>
      <c r="J8925" s="3" t="s">
        <v>25492</v>
      </c>
      <c r="K8925" s="3" t="s">
        <v>2215</v>
      </c>
      <c r="L8925" s="3" t="str">
        <f>IFERROR(__xludf.DUMMYFUNCTION("GOOGLETRANSLATE(F8925,""id"",""en"")"),"The World Cup Final Match was shocked earlier night for Argentina to become the World Cup championship")</f>
        <v>The World Cup Final Match was shocked earlier night for Argentina to become the World Cup championship</v>
      </c>
    </row>
    <row r="8926" ht="15.75" customHeight="1">
      <c r="A8926" s="1">
        <v>10153.0</v>
      </c>
      <c r="B8926" s="3" t="s">
        <v>25493</v>
      </c>
      <c r="C8926" s="3">
        <v>1.0</v>
      </c>
      <c r="D8926" s="3">
        <v>0.0</v>
      </c>
      <c r="E8926" s="3">
        <v>0.0</v>
      </c>
      <c r="F8926" s="3" t="s">
        <v>25494</v>
      </c>
      <c r="G8926" s="3">
        <v>0.0</v>
      </c>
      <c r="H8926" s="3">
        <v>0.0</v>
      </c>
      <c r="I8926" s="3" t="s">
        <v>13</v>
      </c>
      <c r="J8926" s="3" t="s">
        <v>25495</v>
      </c>
      <c r="K8926" s="3" t="s">
        <v>75</v>
      </c>
      <c r="L8926" s="3" t="str">
        <f>IFERROR(__xludf.DUMMYFUNCTION("GOOGLETRANSLATE(F8926,""id"",""en"")"),"Dirs Afif Machmoed You are hurt Argentina Champion Patience who is patient")</f>
        <v>Dirs Afif Machmoed You are hurt Argentina Champion Patience who is patient</v>
      </c>
    </row>
    <row r="8927" ht="15.75" customHeight="1">
      <c r="A8927" s="1">
        <v>10154.0</v>
      </c>
      <c r="B8927" s="3" t="s">
        <v>25496</v>
      </c>
      <c r="C8927" s="3">
        <v>0.0</v>
      </c>
      <c r="D8927" s="3">
        <v>0.0</v>
      </c>
      <c r="E8927" s="3">
        <v>2.0</v>
      </c>
      <c r="F8927" s="3" t="s">
        <v>25497</v>
      </c>
      <c r="G8927" s="3">
        <v>0.0</v>
      </c>
      <c r="H8927" s="3">
        <v>0.0</v>
      </c>
      <c r="I8927" s="3" t="s">
        <v>13</v>
      </c>
      <c r="J8927" s="3" t="s">
        <v>25498</v>
      </c>
      <c r="K8927" s="3" t="s">
        <v>1970</v>
      </c>
      <c r="L8927" s="3" t="str">
        <f>IFERROR(__xludf.DUMMYFUNCTION("GOOGLETRANSLATE(F8927,""id"",""en"")"),"We are the exciting world champion Messi through the stadium microphone after two goals and one penalty kick bringing Argentina to win the title of the world's biggest tournament")</f>
        <v>We are the exciting world champion Messi through the stadium microphone after two goals and one penalty kick bringing Argentina to win the title of the world's biggest tournament</v>
      </c>
    </row>
    <row r="8928" ht="15.75" customHeight="1">
      <c r="A8928" s="1">
        <v>10155.0</v>
      </c>
      <c r="B8928" s="3" t="s">
        <v>25499</v>
      </c>
      <c r="C8928" s="3">
        <v>0.0</v>
      </c>
      <c r="D8928" s="3">
        <v>0.0</v>
      </c>
      <c r="E8928" s="3">
        <v>1.0</v>
      </c>
      <c r="F8928" s="3" t="s">
        <v>25500</v>
      </c>
      <c r="G8928" s="3">
        <v>0.0</v>
      </c>
      <c r="H8928" s="3">
        <v>0.0</v>
      </c>
      <c r="I8928" s="3" t="s">
        <v>13</v>
      </c>
      <c r="J8928" s="3" t="s">
        <v>25501</v>
      </c>
      <c r="K8928" s="3" t="s">
        <v>15</v>
      </c>
      <c r="L8928" s="3" t="str">
        <f>IFERROR(__xludf.DUMMYFUNCTION("GOOGLETRANSLATE(F8928,""id"",""en"")"),"A explorer of the time last year his tweet called the championship")</f>
        <v>A explorer of the time last year his tweet called the championship</v>
      </c>
    </row>
    <row r="8929" ht="15.75" customHeight="1">
      <c r="A8929" s="1">
        <v>10156.0</v>
      </c>
      <c r="B8929" s="3" t="s">
        <v>25502</v>
      </c>
      <c r="C8929" s="3">
        <v>0.0</v>
      </c>
      <c r="D8929" s="3">
        <v>0.0</v>
      </c>
      <c r="E8929" s="3">
        <v>0.0</v>
      </c>
      <c r="F8929" s="3" t="s">
        <v>25503</v>
      </c>
      <c r="G8929" s="3">
        <v>0.0</v>
      </c>
      <c r="H8929" s="3">
        <v>0.0</v>
      </c>
      <c r="I8929" s="3" t="s">
        <v>13</v>
      </c>
      <c r="J8929" s="3" t="s">
        <v>25504</v>
      </c>
      <c r="K8929" s="3" t="s">
        <v>54</v>
      </c>
      <c r="L8929" s="3" t="str">
        <f>IFERROR(__xludf.DUMMYFUNCTION("GOOGLETRANSLATE(F8929,""id"",""en"")"),"So Argentina coach then world champion")</f>
        <v>So Argentina coach then world champion</v>
      </c>
    </row>
    <row r="8930" ht="15.75" customHeight="1">
      <c r="A8930" s="1">
        <v>10157.0</v>
      </c>
      <c r="B8930" s="3" t="s">
        <v>25505</v>
      </c>
      <c r="C8930" s="3">
        <v>0.0</v>
      </c>
      <c r="D8930" s="3">
        <v>0.0</v>
      </c>
      <c r="E8930" s="3">
        <v>0.0</v>
      </c>
      <c r="F8930" s="3" t="s">
        <v>25506</v>
      </c>
      <c r="G8930" s="3">
        <v>0.0</v>
      </c>
      <c r="H8930" s="3">
        <v>0.0</v>
      </c>
      <c r="I8930" s="3" t="s">
        <v>13</v>
      </c>
      <c r="J8930" s="3" t="s">
        <v>25507</v>
      </c>
      <c r="K8930" s="3" t="s">
        <v>16539</v>
      </c>
      <c r="L8930" s="3" t="str">
        <f>IFERROR(__xludf.DUMMYFUNCTION("GOOGLETRANSLATE(F8930,""id"",""en"")"),"It's time to lift the World Cup Trophy. Time to Argentina World Champion Time time to complete the trophy that has been obtained")</f>
        <v>It's time to lift the World Cup Trophy. Time to Argentina World Champion Time time to complete the trophy that has been obtained</v>
      </c>
    </row>
    <row r="8931" ht="15.75" customHeight="1">
      <c r="A8931" s="1">
        <v>10158.0</v>
      </c>
      <c r="B8931" s="3" t="s">
        <v>25508</v>
      </c>
      <c r="C8931" s="3">
        <v>0.0</v>
      </c>
      <c r="D8931" s="3">
        <v>4.0</v>
      </c>
      <c r="E8931" s="3">
        <v>0.0</v>
      </c>
      <c r="F8931" s="3" t="s">
        <v>25509</v>
      </c>
      <c r="G8931" s="3">
        <v>0.0</v>
      </c>
      <c r="H8931" s="3">
        <v>0.0</v>
      </c>
      <c r="I8931" s="3" t="s">
        <v>13</v>
      </c>
      <c r="J8931" s="3" t="s">
        <v>25510</v>
      </c>
      <c r="K8931" s="3" t="s">
        <v>19</v>
      </c>
      <c r="L8931" s="3" t="str">
        <f>IFERROR(__xludf.DUMMYFUNCTION("GOOGLETRANSLATE(F8931,""id"",""en"")"),"Drake lost his betting money despite champion Argentina Champion World Cup Liputan")</f>
        <v>Drake lost his betting money despite champion Argentina Champion World Cup Liputan</v>
      </c>
    </row>
    <row r="8932" ht="15.75" customHeight="1">
      <c r="A8932" s="1">
        <v>10159.0</v>
      </c>
      <c r="B8932" s="3" t="s">
        <v>25511</v>
      </c>
      <c r="C8932" s="3">
        <v>0.0</v>
      </c>
      <c r="D8932" s="3">
        <v>0.0</v>
      </c>
      <c r="E8932" s="3">
        <v>0.0</v>
      </c>
      <c r="F8932" s="3" t="s">
        <v>25512</v>
      </c>
      <c r="G8932" s="3">
        <v>0.3</v>
      </c>
      <c r="H8932" s="3">
        <v>0.2</v>
      </c>
      <c r="I8932" s="3" t="s">
        <v>48</v>
      </c>
      <c r="J8932" s="3" t="s">
        <v>25513</v>
      </c>
      <c r="K8932" s="3" t="s">
        <v>433</v>
      </c>
      <c r="L8932" s="3" t="str">
        <f>IFERROR(__xludf.DUMMYFUNCTION("GOOGLETRANSLATE(F8932,""id"",""en"")"),"The Real Supporter Argentina who joined the champion euphoria by holding the original trophy with Argentine and Messi players")</f>
        <v>The Real Supporter Argentina who joined the champion euphoria by holding the original trophy with Argentine and Messi players</v>
      </c>
    </row>
    <row r="8933" ht="15.75" customHeight="1">
      <c r="A8933" s="1">
        <v>10160.0</v>
      </c>
      <c r="B8933" s="3" t="s">
        <v>25514</v>
      </c>
      <c r="C8933" s="3">
        <v>0.0</v>
      </c>
      <c r="D8933" s="3">
        <v>0.0</v>
      </c>
      <c r="E8933" s="3">
        <v>0.0</v>
      </c>
      <c r="F8933" s="3" t="s">
        <v>25515</v>
      </c>
      <c r="G8933" s="3">
        <v>0.0</v>
      </c>
      <c r="H8933" s="3">
        <v>0.0</v>
      </c>
      <c r="I8933" s="3" t="s">
        <v>13</v>
      </c>
      <c r="J8933" s="3" t="s">
        <v>25516</v>
      </c>
      <c r="K8933" s="3" t="s">
        <v>71</v>
      </c>
      <c r="L8933" s="3" t="str">
        <f>IFERROR(__xludf.DUMMYFUNCTION("GOOGLETRANSLATE(F8933,""id"",""en"")"),"wakakakak must cha can defeat the previous world champion team Argentina never lost so it was really Kudu Jumawa")</f>
        <v>wakakakak must cha can defeat the previous world champion team Argentina never lost so it was really Kudu Jumawa</v>
      </c>
    </row>
    <row r="8934" ht="15.75" customHeight="1">
      <c r="A8934" s="1">
        <v>10161.0</v>
      </c>
      <c r="B8934" s="3" t="s">
        <v>25517</v>
      </c>
      <c r="C8934" s="3">
        <v>0.0</v>
      </c>
      <c r="D8934" s="3">
        <v>0.0</v>
      </c>
      <c r="E8934" s="3">
        <v>0.0</v>
      </c>
      <c r="F8934" s="3" t="s">
        <v>25518</v>
      </c>
      <c r="G8934" s="3">
        <v>0.0</v>
      </c>
      <c r="H8934" s="3">
        <v>0.0</v>
      </c>
      <c r="I8934" s="3" t="s">
        <v>13</v>
      </c>
      <c r="J8934" s="3" t="s">
        <v>25519</v>
      </c>
      <c r="K8934" s="3" t="s">
        <v>19</v>
      </c>
      <c r="L8934" s="3" t="str">
        <f>IFERROR(__xludf.DUMMYFUNCTION("GOOGLETRANSLATE(F8934,""id"",""en"")"),"My answer to how you think about Argentina's victory against France which made them come out as World Cup champions")</f>
        <v>My answer to how you think about Argentina's victory against France which made them come out as World Cup champions</v>
      </c>
    </row>
    <row r="8935" ht="15.75" customHeight="1">
      <c r="A8935" s="1">
        <v>10162.0</v>
      </c>
      <c r="B8935" s="3" t="s">
        <v>25520</v>
      </c>
      <c r="C8935" s="3">
        <v>0.0</v>
      </c>
      <c r="D8935" s="3">
        <v>0.0</v>
      </c>
      <c r="E8935" s="3">
        <v>0.0</v>
      </c>
      <c r="F8935" s="3" t="s">
        <v>25521</v>
      </c>
      <c r="G8935" s="3">
        <v>0.0</v>
      </c>
      <c r="H8935" s="3">
        <v>0.0</v>
      </c>
      <c r="I8935" s="3" t="s">
        <v>13</v>
      </c>
      <c r="J8935" s="3" t="s">
        <v>25522</v>
      </c>
      <c r="K8935" s="3" t="s">
        <v>244</v>
      </c>
      <c r="L8935" s="3" t="str">
        <f>IFERROR(__xludf.DUMMYFUNCTION("GOOGLETRANSLATE(F8935,""id"",""en"")"),"Answered God Mango, a celebration of Self -Argentina, Liasate Champion God")</f>
        <v>Answered God Mango, a celebration of Self -Argentina, Liasate Champion God</v>
      </c>
    </row>
    <row r="8936" ht="15.75" customHeight="1">
      <c r="A8936" s="1">
        <v>10163.0</v>
      </c>
      <c r="B8936" s="3" t="s">
        <v>25523</v>
      </c>
      <c r="C8936" s="3">
        <v>0.0</v>
      </c>
      <c r="D8936" s="3">
        <v>0.0</v>
      </c>
      <c r="E8936" s="3">
        <v>0.0</v>
      </c>
      <c r="F8936" s="3" t="s">
        <v>25524</v>
      </c>
      <c r="G8936" s="3">
        <v>0.0</v>
      </c>
      <c r="H8936" s="3">
        <v>0.0</v>
      </c>
      <c r="I8936" s="3" t="s">
        <v>13</v>
      </c>
      <c r="J8936" s="3" t="s">
        <v>25525</v>
      </c>
      <c r="K8936" s="3" t="s">
        <v>644</v>
      </c>
      <c r="L8936" s="3" t="str">
        <f>IFERROR(__xludf.DUMMYFUNCTION("GOOGLETRANSLATE(F8936,""id"",""en"")"),"enjoy Monday because of Argentina Champion")</f>
        <v>enjoy Monday because of Argentina Champion</v>
      </c>
    </row>
    <row r="8937" ht="15.75" customHeight="1">
      <c r="A8937" s="1">
        <v>10164.0</v>
      </c>
      <c r="B8937" s="3" t="s">
        <v>25526</v>
      </c>
      <c r="C8937" s="3">
        <v>0.0</v>
      </c>
      <c r="D8937" s="3">
        <v>0.0</v>
      </c>
      <c r="E8937" s="3">
        <v>0.0</v>
      </c>
      <c r="F8937" s="3" t="s">
        <v>25527</v>
      </c>
      <c r="G8937" s="3">
        <v>0.0</v>
      </c>
      <c r="H8937" s="3">
        <v>0.0</v>
      </c>
      <c r="I8937" s="3" t="s">
        <v>13</v>
      </c>
      <c r="J8937" s="3" t="s">
        <v>25528</v>
      </c>
      <c r="K8937" s="3" t="s">
        <v>149</v>
      </c>
      <c r="L8937" s="3" t="str">
        <f>IFERROR(__xludf.DUMMYFUNCTION("GOOGLETRANSLATE(F8937,""id"",""en"")"),"Congrats Argentina has become a FIFA World Cup champion but if you are told to be a sports that you really are your version, don't forget to request songs too")</f>
        <v>Congrats Argentina has become a FIFA World Cup champion but if you are told to be a sports that you really are your version, don't forget to request songs too</v>
      </c>
    </row>
    <row r="8938" ht="15.75" customHeight="1">
      <c r="A8938" s="1">
        <v>10165.0</v>
      </c>
      <c r="B8938" s="3" t="s">
        <v>25529</v>
      </c>
      <c r="C8938" s="3">
        <v>0.0</v>
      </c>
      <c r="D8938" s="3">
        <v>0.0</v>
      </c>
      <c r="E8938" s="3">
        <v>0.0</v>
      </c>
      <c r="F8938" s="3" t="s">
        <v>25530</v>
      </c>
      <c r="G8938" s="3">
        <v>0.0</v>
      </c>
      <c r="H8938" s="3">
        <v>0.0</v>
      </c>
      <c r="I8938" s="3" t="s">
        <v>13</v>
      </c>
      <c r="J8938" s="3" t="s">
        <v>25531</v>
      </c>
      <c r="K8938" s="3" t="s">
        <v>19</v>
      </c>
      <c r="L8938" s="3" t="str">
        <f>IFERROR(__xludf.DUMMYFUNCTION("GOOGLETRANSLATE(F8938,""id"",""en"")"),"Already like that on the Argentine dirty glass cabinet in the prize trophy was taken by the school")</f>
        <v>Already like that on the Argentine dirty glass cabinet in the prize trophy was taken by the school</v>
      </c>
    </row>
    <row r="8939" ht="15.75" customHeight="1">
      <c r="A8939" s="1">
        <v>10166.0</v>
      </c>
      <c r="B8939" s="3" t="s">
        <v>25532</v>
      </c>
      <c r="C8939" s="3">
        <v>0.0</v>
      </c>
      <c r="D8939" s="3">
        <v>0.0</v>
      </c>
      <c r="E8939" s="3">
        <v>0.0</v>
      </c>
      <c r="F8939" s="3" t="s">
        <v>25533</v>
      </c>
      <c r="G8939" s="3">
        <v>1.0</v>
      </c>
      <c r="H8939" s="3">
        <v>0.0</v>
      </c>
      <c r="I8939" s="3" t="s">
        <v>13</v>
      </c>
      <c r="J8939" s="3" t="s">
        <v>25534</v>
      </c>
      <c r="K8939" s="3" t="s">
        <v>1652</v>
      </c>
      <c r="L8939" s="3" t="str">
        <f>IFERROR(__xludf.DUMMYFUNCTION("GOOGLETRANSLATE(F8939,""id"",""en"")"),"It is said to be setting because Portugal loses if you win until the final and Portugal champions are just purely the struggle of Ronaldo and friends, but if Argentina also wins it remains the time settings")</f>
        <v>It is said to be setting because Portugal loses if you win until the final and Portugal champions are just purely the struggle of Ronaldo and friends, but if Argentina also wins it remains the time settings</v>
      </c>
    </row>
    <row r="8940" ht="15.75" customHeight="1">
      <c r="A8940" s="1">
        <v>10167.0</v>
      </c>
      <c r="B8940" s="3" t="s">
        <v>25535</v>
      </c>
      <c r="C8940" s="3">
        <v>0.0</v>
      </c>
      <c r="D8940" s="3">
        <v>0.0</v>
      </c>
      <c r="E8940" s="3">
        <v>0.0</v>
      </c>
      <c r="F8940" s="3" t="s">
        <v>25536</v>
      </c>
      <c r="G8940" s="3">
        <v>1.0</v>
      </c>
      <c r="H8940" s="3">
        <v>0.6</v>
      </c>
      <c r="I8940" s="3" t="s">
        <v>48</v>
      </c>
      <c r="J8940" s="3" t="s">
        <v>25537</v>
      </c>
      <c r="K8940" s="3" t="s">
        <v>1097</v>
      </c>
      <c r="L8940" s="3" t="str">
        <f>IFERROR(__xludf.DUMMYFUNCTION("GOOGLETRANSLATE(F8940,""id"",""en"")"),"Argentina became a world champion because there were athletes who became Nice Ad Stars")</f>
        <v>Argentina became a world champion because there were athletes who became Nice Ad Stars</v>
      </c>
    </row>
    <row r="8941" ht="15.75" customHeight="1">
      <c r="A8941" s="1">
        <v>10168.0</v>
      </c>
      <c r="B8941" s="3" t="s">
        <v>25538</v>
      </c>
      <c r="C8941" s="3">
        <v>0.0</v>
      </c>
      <c r="D8941" s="3">
        <v>0.0</v>
      </c>
      <c r="E8941" s="3">
        <v>0.0</v>
      </c>
      <c r="F8941" s="3" t="s">
        <v>25539</v>
      </c>
      <c r="G8941" s="3">
        <v>0.0</v>
      </c>
      <c r="H8941" s="3">
        <v>0.0</v>
      </c>
      <c r="I8941" s="3" t="s">
        <v>13</v>
      </c>
      <c r="J8941" s="3" t="s">
        <v>25540</v>
      </c>
      <c r="K8941" s="3" t="s">
        <v>54</v>
      </c>
      <c r="L8941" s="3" t="str">
        <f>IFERROR(__xludf.DUMMYFUNCTION("GOOGLETRANSLATE(F8941,""id"",""en"")"),"Try to talk about Argentina World Champion Dir")</f>
        <v>Try to talk about Argentina World Champion Dir</v>
      </c>
    </row>
    <row r="8942" ht="15.75" customHeight="1">
      <c r="A8942" s="1">
        <v>10169.0</v>
      </c>
      <c r="B8942" s="3" t="s">
        <v>25541</v>
      </c>
      <c r="C8942" s="3">
        <v>0.0</v>
      </c>
      <c r="D8942" s="3">
        <v>0.0</v>
      </c>
      <c r="E8942" s="3">
        <v>0.0</v>
      </c>
      <c r="F8942" s="3" t="s">
        <v>25542</v>
      </c>
      <c r="G8942" s="3">
        <v>0.0</v>
      </c>
      <c r="H8942" s="3">
        <v>0.0</v>
      </c>
      <c r="I8942" s="3" t="s">
        <v>13</v>
      </c>
      <c r="J8942" s="3" t="s">
        <v>25543</v>
      </c>
      <c r="K8942" s="3" t="s">
        <v>35</v>
      </c>
      <c r="L8942" s="3" t="str">
        <f>IFERROR(__xludf.DUMMYFUNCTION("GOOGLETRANSLATE(F8942,""id"",""en"")"),"That's the difference between the world champion now with the other Argentina can be champions with players playing the Mediocre team")</f>
        <v>That's the difference between the world champion now with the other Argentina can be champions with players playing the Mediocre team</v>
      </c>
    </row>
    <row r="8943" ht="15.75" customHeight="1">
      <c r="A8943" s="1">
        <v>10170.0</v>
      </c>
      <c r="B8943" s="3" t="s">
        <v>25544</v>
      </c>
      <c r="C8943" s="3">
        <v>0.0</v>
      </c>
      <c r="D8943" s="3">
        <v>0.0</v>
      </c>
      <c r="E8943" s="3">
        <v>2.0</v>
      </c>
      <c r="F8943" s="3" t="s">
        <v>25545</v>
      </c>
      <c r="G8943" s="3">
        <v>0.06666666666666667</v>
      </c>
      <c r="H8943" s="3">
        <v>0.0</v>
      </c>
      <c r="I8943" s="3" t="s">
        <v>13</v>
      </c>
      <c r="J8943" s="3" t="s">
        <v>25546</v>
      </c>
      <c r="K8943" s="3" t="s">
        <v>205</v>
      </c>
      <c r="L8943" s="3" t="str">
        <f>IFERROR(__xludf.DUMMYFUNCTION("GOOGLETRANSLATE(F8943,""id"",""en"")"),"The taste this year is very hard to live life but see Argentina champions at the end of the year it turns out that everything is fine Campeones del Mundo Perfeck Last Dance")</f>
        <v>The taste this year is very hard to live life but see Argentina champions at the end of the year it turns out that everything is fine Campeones del Mundo Perfeck Last Dance</v>
      </c>
    </row>
    <row r="8944" ht="15.75" customHeight="1">
      <c r="A8944" s="1">
        <v>10171.0</v>
      </c>
      <c r="B8944" s="3" t="s">
        <v>25547</v>
      </c>
      <c r="C8944" s="3">
        <v>0.0</v>
      </c>
      <c r="D8944" s="3">
        <v>0.0</v>
      </c>
      <c r="E8944" s="3">
        <v>0.0</v>
      </c>
      <c r="F8944" s="3" t="s">
        <v>22733</v>
      </c>
      <c r="G8944" s="3">
        <v>0.0</v>
      </c>
      <c r="H8944" s="3">
        <v>0.0</v>
      </c>
      <c r="I8944" s="3" t="s">
        <v>13</v>
      </c>
      <c r="J8944" s="3" t="s">
        <v>22734</v>
      </c>
      <c r="K8944" s="3" t="s">
        <v>15</v>
      </c>
      <c r="L8944" s="3" t="str">
        <f>IFERROR(__xludf.DUMMYFUNCTION("GOOGLETRANSLATE(F8944,""id"",""en"")"),"Stars for Argentina after the World Cup champion for the third time")</f>
        <v>Stars for Argentina after the World Cup champion for the third time</v>
      </c>
    </row>
    <row r="8945" ht="15.75" customHeight="1">
      <c r="A8945" s="1">
        <v>10172.0</v>
      </c>
      <c r="B8945" s="3" t="s">
        <v>25548</v>
      </c>
      <c r="C8945" s="3">
        <v>0.0</v>
      </c>
      <c r="D8945" s="3">
        <v>0.0</v>
      </c>
      <c r="E8945" s="3">
        <v>0.0</v>
      </c>
      <c r="F8945" s="3" t="s">
        <v>25549</v>
      </c>
      <c r="G8945" s="3">
        <v>0.0</v>
      </c>
      <c r="H8945" s="3">
        <v>0.0</v>
      </c>
      <c r="I8945" s="3" t="s">
        <v>13</v>
      </c>
      <c r="J8945" s="3" t="s">
        <v>25550</v>
      </c>
      <c r="K8945" s="3" t="s">
        <v>71</v>
      </c>
      <c r="L8945" s="3" t="str">
        <f>IFERROR(__xludf.DUMMYFUNCTION("GOOGLETRANSLATE(F8945,""id"",""en"")"),"Argentina EMG winners of the world champion but about my heart you are the winner of the room, but just say haha")</f>
        <v>Argentina EMG winners of the world champion but about my heart you are the winner of the room, but just say haha</v>
      </c>
    </row>
    <row r="8946" ht="15.75" customHeight="1">
      <c r="A8946" s="1">
        <v>10173.0</v>
      </c>
      <c r="B8946" s="3" t="s">
        <v>25551</v>
      </c>
      <c r="C8946" s="3">
        <v>0.0</v>
      </c>
      <c r="D8946" s="3">
        <v>0.0</v>
      </c>
      <c r="E8946" s="3">
        <v>0.0</v>
      </c>
      <c r="F8946" s="3" t="s">
        <v>25552</v>
      </c>
      <c r="G8946" s="3">
        <v>0.1</v>
      </c>
      <c r="H8946" s="3">
        <v>0.0</v>
      </c>
      <c r="I8946" s="3" t="s">
        <v>13</v>
      </c>
      <c r="J8946" s="3" t="s">
        <v>25553</v>
      </c>
      <c r="K8946" s="3" t="s">
        <v>1489</v>
      </c>
      <c r="L8946" s="3" t="str">
        <f>IFERROR(__xludf.DUMMYFUNCTION("GOOGLETRANSLATE(F8946,""id"",""en"")"),"Big Congratulations for Argentina who have won the FIFA World Cup world title between Argentina and France yesterday was won by Argentina with the final score but Argentina excelled at the penalties compared to France")</f>
        <v>Big Congratulations for Argentina who have won the FIFA World Cup world title between Argentina and France yesterday was won by Argentina with the final score but Argentina excelled at the penalties compared to France</v>
      </c>
    </row>
    <row r="8947" ht="15.75" customHeight="1">
      <c r="A8947" s="1">
        <v>10174.0</v>
      </c>
      <c r="B8947" s="3" t="s">
        <v>25554</v>
      </c>
      <c r="C8947" s="3">
        <v>0.0</v>
      </c>
      <c r="D8947" s="3">
        <v>0.0</v>
      </c>
      <c r="E8947" s="3">
        <v>1.0</v>
      </c>
      <c r="F8947" s="3" t="s">
        <v>25555</v>
      </c>
      <c r="G8947" s="3">
        <v>0.0</v>
      </c>
      <c r="H8947" s="3">
        <v>0.0</v>
      </c>
      <c r="I8947" s="3" t="s">
        <v>13</v>
      </c>
      <c r="J8947" s="3" t="s">
        <v>25556</v>
      </c>
      <c r="K8947" s="3" t="s">
        <v>82</v>
      </c>
      <c r="L8947" s="3" t="str">
        <f>IFERROR(__xludf.DUMMYFUNCTION("GOOGLETRANSLATE(F8947,""id"",""en"")"),"Argentina World Cup Champion Welcomed to Gempita Fans")</f>
        <v>Argentina World Cup Champion Welcomed to Gempita Fans</v>
      </c>
    </row>
    <row r="8948" ht="15.75" customHeight="1">
      <c r="A8948" s="1">
        <v>10175.0</v>
      </c>
      <c r="B8948" s="3" t="s">
        <v>25557</v>
      </c>
      <c r="C8948" s="3">
        <v>0.0</v>
      </c>
      <c r="D8948" s="3">
        <v>0.0</v>
      </c>
      <c r="E8948" s="3">
        <v>0.0</v>
      </c>
      <c r="F8948" s="3" t="s">
        <v>25558</v>
      </c>
      <c r="G8948" s="3">
        <v>0.0</v>
      </c>
      <c r="H8948" s="3">
        <v>0.0</v>
      </c>
      <c r="I8948" s="3" t="s">
        <v>13</v>
      </c>
      <c r="J8948" s="3" t="s">
        <v>25559</v>
      </c>
      <c r="K8948" s="3" t="s">
        <v>358</v>
      </c>
      <c r="L8948" s="3" t="str">
        <f>IFERROR(__xludf.DUMMYFUNCTION("GOOGLETRANSLATE(F8948,""id"",""en"")"),"If the Argentine team champion the Nusaet World Football Cup, the internet is stable and smoothly safe for Bang Messi and the Argentina team")</f>
        <v>If the Argentine team champion the Nusaet World Football Cup, the internet is stable and smoothly safe for Bang Messi and the Argentina team</v>
      </c>
    </row>
    <row r="8949" ht="15.75" customHeight="1">
      <c r="A8949" s="1">
        <v>10176.0</v>
      </c>
      <c r="B8949" s="3" t="s">
        <v>25560</v>
      </c>
      <c r="C8949" s="3">
        <v>1.0</v>
      </c>
      <c r="D8949" s="3">
        <v>0.0</v>
      </c>
      <c r="E8949" s="3">
        <v>1.0</v>
      </c>
      <c r="F8949" s="3" t="s">
        <v>25561</v>
      </c>
      <c r="G8949" s="3">
        <v>0.0</v>
      </c>
      <c r="H8949" s="3">
        <v>0.0</v>
      </c>
      <c r="I8949" s="3" t="s">
        <v>13</v>
      </c>
      <c r="J8949" s="3" t="s">
        <v>25562</v>
      </c>
      <c r="K8949" s="3" t="s">
        <v>1097</v>
      </c>
      <c r="L8949" s="3" t="str">
        <f>IFERROR(__xludf.DUMMYFUNCTION("GOOGLETRANSLATE(F8949,""id"",""en"")"),"Subscribe to Premier Package because Argentina Feeling Can Champion Ehh Really Champion")</f>
        <v>Subscribe to Premier Package because Argentina Feeling Can Champion Ehh Really Champion</v>
      </c>
    </row>
    <row r="8950" ht="15.75" customHeight="1">
      <c r="A8950" s="1">
        <v>10177.0</v>
      </c>
      <c r="B8950" s="3" t="s">
        <v>25563</v>
      </c>
      <c r="C8950" s="3">
        <v>0.0</v>
      </c>
      <c r="D8950" s="3">
        <v>0.0</v>
      </c>
      <c r="E8950" s="3">
        <v>2.0</v>
      </c>
      <c r="F8950" s="3" t="s">
        <v>25564</v>
      </c>
      <c r="G8950" s="3">
        <v>0.0</v>
      </c>
      <c r="H8950" s="3">
        <v>0.0</v>
      </c>
      <c r="I8950" s="3" t="s">
        <v>13</v>
      </c>
      <c r="J8950" s="3" t="s">
        <v>25565</v>
      </c>
      <c r="K8950" s="3" t="s">
        <v>41</v>
      </c>
      <c r="L8950" s="3" t="str">
        <f>IFERROR(__xludf.DUMMYFUNCTION("GOOGLETRANSLATE(F8950,""id"",""en"")"),"Sergio Aguero joined the celebration of the World Cup Argentina champion")</f>
        <v>Sergio Aguero joined the celebration of the World Cup Argentina champion</v>
      </c>
    </row>
    <row r="8951" ht="15.75" customHeight="1">
      <c r="A8951" s="1">
        <v>10178.0</v>
      </c>
      <c r="B8951" s="3" t="s">
        <v>25566</v>
      </c>
      <c r="C8951" s="3">
        <v>0.0</v>
      </c>
      <c r="D8951" s="3">
        <v>1.0</v>
      </c>
      <c r="E8951" s="3">
        <v>0.0</v>
      </c>
      <c r="F8951" s="3" t="s">
        <v>25567</v>
      </c>
      <c r="G8951" s="3">
        <v>0.0</v>
      </c>
      <c r="H8951" s="3">
        <v>0.0</v>
      </c>
      <c r="I8951" s="3" t="s">
        <v>13</v>
      </c>
      <c r="J8951" s="3" t="s">
        <v>25568</v>
      </c>
      <c r="K8951" s="3" t="s">
        <v>14571</v>
      </c>
      <c r="L8951" s="3" t="str">
        <f>IFERROR(__xludf.DUMMYFUNCTION("GOOGLETRANSLATE(F8951,""id"",""en"")"),"Come on, what are you waiting for")</f>
        <v>Come on, what are you waiting for</v>
      </c>
    </row>
    <row r="8952" ht="15.75" customHeight="1">
      <c r="A8952" s="1">
        <v>10179.0</v>
      </c>
      <c r="B8952" s="3" t="s">
        <v>25569</v>
      </c>
      <c r="C8952" s="3">
        <v>0.0</v>
      </c>
      <c r="D8952" s="3">
        <v>0.0</v>
      </c>
      <c r="E8952" s="3">
        <v>4.0</v>
      </c>
      <c r="F8952" s="3" t="s">
        <v>24395</v>
      </c>
      <c r="G8952" s="3">
        <v>0.0</v>
      </c>
      <c r="H8952" s="3">
        <v>0.0</v>
      </c>
      <c r="I8952" s="3" t="s">
        <v>13</v>
      </c>
      <c r="J8952" s="3" t="s">
        <v>24396</v>
      </c>
      <c r="K8952" s="3" t="s">
        <v>41</v>
      </c>
      <c r="L8952" s="3" t="str">
        <f>IFERROR(__xludf.DUMMYFUNCTION("GOOGLETRANSLATE(F8952,""id"",""en"")"),"Bring Argentina Champion World Cup Qatar Messi Can Be a Special Robe")</f>
        <v>Bring Argentina Champion World Cup Qatar Messi Can Be a Special Robe</v>
      </c>
    </row>
    <row r="8953" ht="15.75" customHeight="1">
      <c r="A8953" s="1">
        <v>10180.0</v>
      </c>
      <c r="B8953" s="3" t="s">
        <v>25570</v>
      </c>
      <c r="C8953" s="3">
        <v>0.0</v>
      </c>
      <c r="D8953" s="3">
        <v>0.0</v>
      </c>
      <c r="E8953" s="3">
        <v>2.0</v>
      </c>
      <c r="F8953" s="3" t="s">
        <v>25571</v>
      </c>
      <c r="G8953" s="3">
        <v>0.825</v>
      </c>
      <c r="H8953" s="3">
        <v>0.075</v>
      </c>
      <c r="I8953" s="3" t="s">
        <v>48</v>
      </c>
      <c r="J8953" s="3" t="s">
        <v>25572</v>
      </c>
      <c r="K8953" s="3" t="s">
        <v>165</v>
      </c>
      <c r="L8953" s="3" t="str">
        <f>IFERROR(__xludf.DUMMYFUNCTION("GOOGLETRANSLATE(F8953,""id"",""en"")"),"Although Argentina Champion Drake still lost about billions of money in the Drake World Cup final soccer gambling placed Argentina winning from France in a normal match but what happened Argentina won through the penalties of the penalties")</f>
        <v>Although Argentina Champion Drake still lost about billions of money in the Drake World Cup final soccer gambling placed Argentina winning from France in a normal match but what happened Argentina won through the penalties of the penalties</v>
      </c>
    </row>
    <row r="8954" ht="15.75" customHeight="1">
      <c r="A8954" s="1">
        <v>10181.0</v>
      </c>
      <c r="B8954" s="3" t="s">
        <v>25573</v>
      </c>
      <c r="C8954" s="3">
        <v>0.0</v>
      </c>
      <c r="D8954" s="3">
        <v>0.0</v>
      </c>
      <c r="E8954" s="3">
        <v>0.0</v>
      </c>
      <c r="F8954" s="3" t="s">
        <v>25574</v>
      </c>
      <c r="G8954" s="3">
        <v>0.0</v>
      </c>
      <c r="H8954" s="3">
        <v>0.0</v>
      </c>
      <c r="I8954" s="3" t="s">
        <v>13</v>
      </c>
      <c r="J8954" s="3" t="s">
        <v>25575</v>
      </c>
      <c r="K8954" s="3" t="s">
        <v>644</v>
      </c>
      <c r="L8954" s="3" t="str">
        <f>IFERROR(__xludf.DUMMYFUNCTION("GOOGLETRANSLATE(F8954,""id"",""en"")"),"here still looking for partners or not sis")</f>
        <v>here still looking for partners or not sis</v>
      </c>
    </row>
    <row r="8955" ht="15.75" customHeight="1">
      <c r="A8955" s="1">
        <v>10182.0</v>
      </c>
      <c r="B8955" s="3" t="s">
        <v>25576</v>
      </c>
      <c r="C8955" s="3">
        <v>1.0</v>
      </c>
      <c r="D8955" s="3">
        <v>0.0</v>
      </c>
      <c r="E8955" s="3">
        <v>1.0</v>
      </c>
      <c r="F8955" s="3" t="s">
        <v>25577</v>
      </c>
      <c r="G8955" s="3">
        <v>0.0</v>
      </c>
      <c r="H8955" s="3">
        <v>0.0</v>
      </c>
      <c r="I8955" s="3" t="s">
        <v>13</v>
      </c>
      <c r="J8955" s="3" t="s">
        <v>25578</v>
      </c>
      <c r="K8955" s="3" t="s">
        <v>15</v>
      </c>
      <c r="L8955" s="3" t="str">
        <f>IFERROR(__xludf.DUMMYFUNCTION("GOOGLETRANSLATE(F8955,""id"",""en"")"),"Aguero Hina Camavinga After Argentina World Cup Champion")</f>
        <v>Aguero Hina Camavinga After Argentina World Cup Champion</v>
      </c>
    </row>
    <row r="8956" ht="15.75" customHeight="1">
      <c r="A8956" s="1">
        <v>10183.0</v>
      </c>
      <c r="B8956" s="3" t="s">
        <v>25579</v>
      </c>
      <c r="C8956" s="3">
        <v>0.0</v>
      </c>
      <c r="D8956" s="3">
        <v>0.0</v>
      </c>
      <c r="E8956" s="3">
        <v>0.0</v>
      </c>
      <c r="F8956" s="3" t="s">
        <v>25580</v>
      </c>
      <c r="G8956" s="3">
        <v>0.0</v>
      </c>
      <c r="H8956" s="3">
        <v>0.0</v>
      </c>
      <c r="I8956" s="3" t="s">
        <v>13</v>
      </c>
      <c r="J8956" s="3" t="s">
        <v>25581</v>
      </c>
      <c r="K8956" s="3" t="s">
        <v>82</v>
      </c>
      <c r="L8956" s="3" t="str">
        <f>IFERROR(__xludf.DUMMYFUNCTION("GOOGLETRANSLATE(F8956,""id"",""en"")"),"Argentina Champion World Cup Messi still doesn't want to retire")</f>
        <v>Argentina Champion World Cup Messi still doesn't want to retire</v>
      </c>
    </row>
    <row r="8957" ht="15.75" customHeight="1">
      <c r="A8957" s="1">
        <v>10184.0</v>
      </c>
      <c r="B8957" s="3" t="s">
        <v>25582</v>
      </c>
      <c r="C8957" s="3">
        <v>0.0</v>
      </c>
      <c r="D8957" s="3">
        <v>0.0</v>
      </c>
      <c r="E8957" s="3">
        <v>3.0</v>
      </c>
      <c r="F8957" s="3" t="s">
        <v>24109</v>
      </c>
      <c r="G8957" s="3">
        <v>0.0</v>
      </c>
      <c r="H8957" s="3">
        <v>0.0</v>
      </c>
      <c r="I8957" s="3" t="s">
        <v>13</v>
      </c>
      <c r="J8957" s="3" t="s">
        <v>24110</v>
      </c>
      <c r="K8957" s="3" t="s">
        <v>19</v>
      </c>
      <c r="L8957" s="3" t="str">
        <f>IFERROR(__xludf.DUMMYFUNCTION("GOOGLETRANSLATE(F8957,""id"",""en"")"),"Argentine national team champion in the Instagram World Cup product Cristiano Ronaldo got bullied fans")</f>
        <v>Argentine national team champion in the Instagram World Cup product Cristiano Ronaldo got bullied fans</v>
      </c>
    </row>
    <row r="8958" ht="15.75" customHeight="1">
      <c r="A8958" s="1">
        <v>10185.0</v>
      </c>
      <c r="B8958" s="3" t="s">
        <v>25583</v>
      </c>
      <c r="C8958" s="3">
        <v>0.0</v>
      </c>
      <c r="D8958" s="3">
        <v>0.0</v>
      </c>
      <c r="E8958" s="3">
        <v>0.0</v>
      </c>
      <c r="F8958" s="3" t="s">
        <v>25584</v>
      </c>
      <c r="G8958" s="3">
        <v>0.0</v>
      </c>
      <c r="H8958" s="3">
        <v>0.0</v>
      </c>
      <c r="I8958" s="3" t="s">
        <v>13</v>
      </c>
      <c r="J8958" s="3" t="s">
        <v>25585</v>
      </c>
      <c r="K8958" s="3" t="s">
        <v>41</v>
      </c>
      <c r="L8958" s="3" t="str">
        <f>IFERROR(__xludf.DUMMYFUNCTION("GOOGLETRANSLATE(F8958,""id"",""en"")"),"Argentina World Cup Champion Predictions Proven Time Accurate")</f>
        <v>Argentina World Cup Champion Predictions Proven Time Accurate</v>
      </c>
    </row>
    <row r="8959" ht="15.75" customHeight="1">
      <c r="A8959" s="1">
        <v>10187.0</v>
      </c>
      <c r="B8959" s="3" t="s">
        <v>25586</v>
      </c>
      <c r="C8959" s="3">
        <v>0.0</v>
      </c>
      <c r="D8959" s="3">
        <v>0.0</v>
      </c>
      <c r="E8959" s="3">
        <v>0.0</v>
      </c>
      <c r="F8959" s="3" t="s">
        <v>25587</v>
      </c>
      <c r="G8959" s="3">
        <v>0.0</v>
      </c>
      <c r="H8959" s="3">
        <v>0.0</v>
      </c>
      <c r="I8959" s="3" t="s">
        <v>13</v>
      </c>
      <c r="J8959" s="3" t="s">
        <v>25588</v>
      </c>
      <c r="K8959" s="3" t="s">
        <v>1699</v>
      </c>
      <c r="L8959" s="3" t="str">
        <f>IFERROR(__xludf.DUMMYFUNCTION("GOOGLETRANSLATE(F8959,""id"",""en"")"),"Argentina was finally able to breathe freely after his dream for the World Cup champion was realized, for the winner of the World Cup this time, present the details of the number of prizes received by the winners, let's see")</f>
        <v>Argentina was finally able to breathe freely after his dream for the World Cup champion was realized, for the winner of the World Cup this time, present the details of the number of prizes received by the winners, let's see</v>
      </c>
    </row>
    <row r="8960" ht="15.75" customHeight="1">
      <c r="A8960" s="1">
        <v>10188.0</v>
      </c>
      <c r="B8960" s="3" t="s">
        <v>25589</v>
      </c>
      <c r="C8960" s="3">
        <v>0.0</v>
      </c>
      <c r="D8960" s="3">
        <v>0.0</v>
      </c>
      <c r="E8960" s="3">
        <v>0.0</v>
      </c>
      <c r="F8960" s="3" t="s">
        <v>25590</v>
      </c>
      <c r="G8960" s="3">
        <v>0.1</v>
      </c>
      <c r="H8960" s="3">
        <v>0.0</v>
      </c>
      <c r="I8960" s="3" t="s">
        <v>13</v>
      </c>
      <c r="J8960" s="3" t="s">
        <v>25591</v>
      </c>
      <c r="K8960" s="3" t="s">
        <v>205</v>
      </c>
      <c r="L8960" s="3" t="str">
        <f>IFERROR(__xludf.DUMMYFUNCTION("GOOGLETRANSLATE(F8960,""id"",""en"")"),"It seems like the Argentine squad is like Portugal when the Euro championship then Argentina Squad is currently solid since the Copa America champion is the strong foundation")</f>
        <v>It seems like the Argentine squad is like Portugal when the Euro championship then Argentina Squad is currently solid since the Copa America champion is the strong foundation</v>
      </c>
    </row>
    <row r="8961" ht="15.75" customHeight="1">
      <c r="A8961" s="1">
        <v>10189.0</v>
      </c>
      <c r="B8961" s="3" t="s">
        <v>25592</v>
      </c>
      <c r="C8961" s="3">
        <v>0.0</v>
      </c>
      <c r="D8961" s="3">
        <v>1.0</v>
      </c>
      <c r="E8961" s="3">
        <v>0.0</v>
      </c>
      <c r="F8961" s="3" t="s">
        <v>25593</v>
      </c>
      <c r="G8961" s="3">
        <v>0.0</v>
      </c>
      <c r="H8961" s="3">
        <v>0.0</v>
      </c>
      <c r="I8961" s="3" t="s">
        <v>13</v>
      </c>
      <c r="J8961" s="3" t="s">
        <v>25594</v>
      </c>
      <c r="K8961" s="3" t="s">
        <v>236</v>
      </c>
      <c r="L8961" s="3" t="str">
        <f>IFERROR(__xludf.DUMMYFUNCTION("GOOGLETRANSLATE(F8961,""id"",""en"")"),"Congratulations to Argentina who becomes a champion if you are champions, doi")</f>
        <v>Congratulations to Argentina who becomes a champion if you are champions, doi</v>
      </c>
    </row>
    <row r="8962" ht="15.75" customHeight="1">
      <c r="A8962" s="1">
        <v>10190.0</v>
      </c>
      <c r="B8962" s="3" t="s">
        <v>25595</v>
      </c>
      <c r="C8962" s="3">
        <v>0.0</v>
      </c>
      <c r="D8962" s="3">
        <v>0.0</v>
      </c>
      <c r="E8962" s="3">
        <v>0.0</v>
      </c>
      <c r="F8962" s="3" t="s">
        <v>25596</v>
      </c>
      <c r="G8962" s="3">
        <v>0.0</v>
      </c>
      <c r="H8962" s="3">
        <v>0.0</v>
      </c>
      <c r="I8962" s="3" t="s">
        <v>13</v>
      </c>
      <c r="J8962" s="3" t="s">
        <v>25597</v>
      </c>
      <c r="K8962" s="3" t="s">
        <v>41</v>
      </c>
      <c r="L8962" s="3" t="str">
        <f>IFERROR(__xludf.DUMMYFUNCTION("GOOGLETRANSLATE(F8962,""id"",""en"")"),"France fell through Argentine penalties champions of the World Cup")</f>
        <v>France fell through Argentine penalties champions of the World Cup</v>
      </c>
    </row>
    <row r="8963" ht="15.75" customHeight="1">
      <c r="A8963" s="1">
        <v>10191.0</v>
      </c>
      <c r="B8963" s="3" t="s">
        <v>25598</v>
      </c>
      <c r="C8963" s="3">
        <v>0.0</v>
      </c>
      <c r="D8963" s="3">
        <v>0.0</v>
      </c>
      <c r="E8963" s="3">
        <v>0.0</v>
      </c>
      <c r="F8963" s="3" t="s">
        <v>25599</v>
      </c>
      <c r="G8963" s="3">
        <v>0.0</v>
      </c>
      <c r="H8963" s="3">
        <v>0.0</v>
      </c>
      <c r="I8963" s="3" t="s">
        <v>13</v>
      </c>
      <c r="J8963" s="3" t="s">
        <v>25600</v>
      </c>
      <c r="K8963" s="3" t="s">
        <v>510</v>
      </c>
      <c r="L8963" s="3" t="str">
        <f>IFERROR(__xludf.DUMMYFUNCTION("GOOGLETRANSLATE(F8963,""id"",""en"")"),"Argentina World Champion Becomes Trending Topic Twitter Indonesia Netizens Celebrate Lionel Messi's Victory")</f>
        <v>Argentina World Champion Becomes Trending Topic Twitter Indonesia Netizens Celebrate Lionel Messi's Victory</v>
      </c>
    </row>
    <row r="8964" ht="15.75" customHeight="1">
      <c r="A8964" s="1">
        <v>10192.0</v>
      </c>
      <c r="B8964" s="3" t="s">
        <v>25601</v>
      </c>
      <c r="C8964" s="3">
        <v>0.0</v>
      </c>
      <c r="D8964" s="3">
        <v>0.0</v>
      </c>
      <c r="E8964" s="3">
        <v>0.0</v>
      </c>
      <c r="F8964" s="3" t="s">
        <v>25602</v>
      </c>
      <c r="G8964" s="3">
        <v>0.0</v>
      </c>
      <c r="H8964" s="3">
        <v>0.0</v>
      </c>
      <c r="I8964" s="3" t="s">
        <v>13</v>
      </c>
      <c r="J8964" s="3" t="s">
        <v>25603</v>
      </c>
      <c r="K8964" s="3" t="s">
        <v>82</v>
      </c>
      <c r="L8964" s="3" t="str">
        <f>IFERROR(__xludf.DUMMYFUNCTION("GOOGLETRANSLATE(F8964,""id"",""en"")"),"Lionel Messi doesn't want to retire after Argentina in the world champion")</f>
        <v>Lionel Messi doesn't want to retire after Argentina in the world champion</v>
      </c>
    </row>
    <row r="8965" ht="15.75" customHeight="1">
      <c r="A8965" s="1">
        <v>10193.0</v>
      </c>
      <c r="B8965" s="3" t="s">
        <v>25604</v>
      </c>
      <c r="C8965" s="3">
        <v>0.0</v>
      </c>
      <c r="D8965" s="3">
        <v>0.0</v>
      </c>
      <c r="E8965" s="3">
        <v>0.0</v>
      </c>
      <c r="F8965" s="3" t="s">
        <v>25605</v>
      </c>
      <c r="G8965" s="3">
        <v>0.0</v>
      </c>
      <c r="H8965" s="3">
        <v>0.0</v>
      </c>
      <c r="I8965" s="3" t="s">
        <v>13</v>
      </c>
      <c r="J8965" s="3" t="s">
        <v>25606</v>
      </c>
      <c r="K8965" s="3" t="s">
        <v>82</v>
      </c>
      <c r="L8965" s="3" t="str">
        <f>IFERROR(__xludf.DUMMYFUNCTION("GOOGLETRANSLATE(F8965,""id"",""en"")"),"said congratulations, Min Min Argentina Abi Champion")</f>
        <v>said congratulations, Min Min Argentina Abi Champion</v>
      </c>
    </row>
    <row r="8966" ht="15.75" customHeight="1">
      <c r="A8966" s="1">
        <v>10194.0</v>
      </c>
      <c r="B8966" s="3" t="s">
        <v>25607</v>
      </c>
      <c r="C8966" s="3">
        <v>0.0</v>
      </c>
      <c r="D8966" s="3">
        <v>0.0</v>
      </c>
      <c r="E8966" s="3">
        <v>0.0</v>
      </c>
      <c r="F8966" s="3" t="s">
        <v>25608</v>
      </c>
      <c r="G8966" s="3">
        <v>0.0</v>
      </c>
      <c r="H8966" s="3">
        <v>0.0</v>
      </c>
      <c r="I8966" s="3" t="s">
        <v>13</v>
      </c>
      <c r="J8966" s="3" t="s">
        <v>25609</v>
      </c>
      <c r="K8966" s="3" t="s">
        <v>50</v>
      </c>
      <c r="L8966" s="3" t="str">
        <f>IFERROR(__xludf.DUMMYFUNCTION("GOOGLETRANSLATE(F8966,""id"",""en"")"),"a lot of shocked at the beginning but the original did not expect Argentina to win the hero was also proud")</f>
        <v>a lot of shocked at the beginning but the original did not expect Argentina to win the hero was also proud</v>
      </c>
    </row>
    <row r="8967" ht="15.75" customHeight="1">
      <c r="A8967" s="1">
        <v>10195.0</v>
      </c>
      <c r="B8967" s="3" t="s">
        <v>25610</v>
      </c>
      <c r="C8967" s="3">
        <v>0.0</v>
      </c>
      <c r="D8967" s="3">
        <v>0.0</v>
      </c>
      <c r="E8967" s="3">
        <v>0.0</v>
      </c>
      <c r="F8967" s="3" t="s">
        <v>25470</v>
      </c>
      <c r="G8967" s="3">
        <v>0.0</v>
      </c>
      <c r="H8967" s="3">
        <v>0.0</v>
      </c>
      <c r="I8967" s="3" t="s">
        <v>13</v>
      </c>
      <c r="J8967" s="3" t="s">
        <v>25471</v>
      </c>
      <c r="K8967" s="3" t="s">
        <v>510</v>
      </c>
      <c r="L8967" s="3" t="str">
        <f>IFERROR(__xludf.DUMMYFUNCTION("GOOGLETRANSLATE(F8967,""id"",""en"")"),"Amazing the hometown of Lionel Messi became a sea of ​​people after Argentina Champion World Cup")</f>
        <v>Amazing the hometown of Lionel Messi became a sea of ​​people after Argentina Champion World Cup</v>
      </c>
    </row>
    <row r="8968" ht="15.75" customHeight="1">
      <c r="A8968" s="1">
        <v>10196.0</v>
      </c>
      <c r="B8968" s="3" t="s">
        <v>25611</v>
      </c>
      <c r="C8968" s="3">
        <v>0.0</v>
      </c>
      <c r="D8968" s="3">
        <v>0.0</v>
      </c>
      <c r="E8968" s="3">
        <v>0.0</v>
      </c>
      <c r="F8968" s="3" t="s">
        <v>25612</v>
      </c>
      <c r="G8968" s="3">
        <v>0.0</v>
      </c>
      <c r="H8968" s="3">
        <v>0.0</v>
      </c>
      <c r="I8968" s="3" t="s">
        <v>13</v>
      </c>
      <c r="J8968" s="3" t="s">
        <v>25613</v>
      </c>
      <c r="K8968" s="3" t="s">
        <v>50</v>
      </c>
      <c r="L8968" s="3" t="str">
        <f>IFERROR(__xludf.DUMMYFUNCTION("GOOGLETRANSLATE(F8968,""id"",""en"")"),"Success Takes Argentina World Cup Champion Lionel Messi Becomes the Best Player")</f>
        <v>Success Takes Argentina World Cup Champion Lionel Messi Becomes the Best Player</v>
      </c>
    </row>
    <row r="8969" ht="15.75" customHeight="1">
      <c r="A8969" s="1">
        <v>10197.0</v>
      </c>
      <c r="B8969" s="3" t="s">
        <v>25614</v>
      </c>
      <c r="C8969" s="3">
        <v>0.0</v>
      </c>
      <c r="D8969" s="3">
        <v>0.0</v>
      </c>
      <c r="E8969" s="3">
        <v>0.0</v>
      </c>
      <c r="F8969" s="3" t="s">
        <v>25615</v>
      </c>
      <c r="G8969" s="3">
        <v>0.3</v>
      </c>
      <c r="H8969" s="3">
        <v>0.2</v>
      </c>
      <c r="I8969" s="3" t="s">
        <v>48</v>
      </c>
      <c r="J8969" s="3" t="s">
        <v>25616</v>
      </c>
      <c r="K8969" s="3" t="s">
        <v>574</v>
      </c>
      <c r="L8969" s="3" t="str">
        <f>IFERROR(__xludf.DUMMYFUNCTION("GOOGLETRANSLATE(F8969,""id"",""en"")"),"Tank Milanisti Haha is different if Luke is a bad luck while Lord Toro hockey carrier is proven when he calls the Argentine national team directly champion the Copa America and the World Cup")</f>
        <v>Tank Milanisti Haha is different if Luke is a bad luck while Lord Toro hockey carrier is proven when he calls the Argentine national team directly champion the Copa America and the World Cup</v>
      </c>
    </row>
    <row r="8970" ht="15.75" customHeight="1">
      <c r="A8970" s="1">
        <v>10198.0</v>
      </c>
      <c r="B8970" s="3" t="s">
        <v>25617</v>
      </c>
      <c r="C8970" s="3">
        <v>0.0</v>
      </c>
      <c r="D8970" s="3">
        <v>0.0</v>
      </c>
      <c r="E8970" s="3">
        <v>0.0</v>
      </c>
      <c r="F8970" s="3" t="s">
        <v>25618</v>
      </c>
      <c r="G8970" s="3">
        <v>0.0</v>
      </c>
      <c r="H8970" s="3">
        <v>0.0</v>
      </c>
      <c r="I8970" s="3" t="s">
        <v>13</v>
      </c>
      <c r="J8970" s="3" t="s">
        <v>25619</v>
      </c>
      <c r="K8970" s="3" t="s">
        <v>94</v>
      </c>
      <c r="L8970" s="3" t="str">
        <f>IFERROR(__xludf.DUMMYFUNCTION("GOOGLETRANSLATE(F8970,""id"",""en"")"),"Messi champion Pildun is really really emotional moments of fool from the time when I know that he is just a good cage until I say a curse and etc huhuhu once again congratulations to Messi and Argentina")</f>
        <v>Messi champion Pildun is really really emotional moments of fool from the time when I know that he is just a good cage until I say a curse and etc huhuhu once again congratulations to Messi and Argentina</v>
      </c>
    </row>
    <row r="8971" ht="15.75" customHeight="1">
      <c r="A8971" s="1">
        <v>10199.0</v>
      </c>
      <c r="B8971" s="3" t="s">
        <v>25620</v>
      </c>
      <c r="C8971" s="3">
        <v>0.0</v>
      </c>
      <c r="D8971" s="3">
        <v>7.0</v>
      </c>
      <c r="E8971" s="3">
        <v>33.0</v>
      </c>
      <c r="F8971" s="3" t="s">
        <v>25621</v>
      </c>
      <c r="G8971" s="3">
        <v>0.0</v>
      </c>
      <c r="H8971" s="3">
        <v>0.0</v>
      </c>
      <c r="I8971" s="3" t="s">
        <v>13</v>
      </c>
      <c r="J8971" s="3" t="s">
        <v>25622</v>
      </c>
      <c r="K8971" s="3" t="s">
        <v>1045</v>
      </c>
      <c r="L8971" s="3" t="str">
        <f>IFERROR(__xludf.DUMMYFUNCTION("GOOGLETRANSLATE(F8971,""id"",""en"")"),"Argentina officially won the World Cup after winning a penalty shootout with France Lionel Messi also became the best World Cup player succeeded in completing the series of trophies in this victory")</f>
        <v>Argentina officially won the World Cup after winning a penalty shootout with France Lionel Messi also became the best World Cup player succeeded in completing the series of trophies in this victory</v>
      </c>
    </row>
    <row r="8972" ht="15.75" customHeight="1">
      <c r="A8972" s="1">
        <v>10200.0</v>
      </c>
      <c r="B8972" s="3" t="s">
        <v>25623</v>
      </c>
      <c r="C8972" s="3">
        <v>5.0</v>
      </c>
      <c r="D8972" s="3">
        <v>0.0</v>
      </c>
      <c r="E8972" s="3">
        <v>0.0</v>
      </c>
      <c r="F8972" s="3" t="s">
        <v>25624</v>
      </c>
      <c r="G8972" s="3">
        <v>0.0</v>
      </c>
      <c r="H8972" s="3">
        <v>0.0</v>
      </c>
      <c r="I8972" s="3" t="s">
        <v>13</v>
      </c>
      <c r="J8972" s="3" t="s">
        <v>25625</v>
      </c>
      <c r="K8972" s="3" t="s">
        <v>54</v>
      </c>
      <c r="L8972" s="3" t="str">
        <f>IFERROR(__xludf.DUMMYFUNCTION("GOOGLETRANSLATE(F8972,""id"",""en"")"),"Guess Kang Emil is Argentina Champion")</f>
        <v>Guess Kang Emil is Argentina Champion</v>
      </c>
    </row>
    <row r="8973" ht="15.75" customHeight="1">
      <c r="A8973" s="1">
        <v>10201.0</v>
      </c>
      <c r="B8973" s="3" t="s">
        <v>25626</v>
      </c>
      <c r="C8973" s="3">
        <v>0.0</v>
      </c>
      <c r="D8973" s="3">
        <v>0.0</v>
      </c>
      <c r="E8973" s="3">
        <v>0.0</v>
      </c>
      <c r="F8973" s="3" t="s">
        <v>22823</v>
      </c>
      <c r="G8973" s="3">
        <v>0.0</v>
      </c>
      <c r="H8973" s="3">
        <v>0.0</v>
      </c>
      <c r="I8973" s="3" t="s">
        <v>13</v>
      </c>
      <c r="J8973" s="3" t="s">
        <v>22824</v>
      </c>
      <c r="K8973" s="3" t="s">
        <v>71</v>
      </c>
      <c r="L8973" s="3" t="str">
        <f>IFERROR(__xludf.DUMMYFUNCTION("GOOGLETRANSLATE(F8973,""id"",""en"")"),"Roger Federer was amazed by the success of Lionel Messi Bringing Argentina Special and Historic World Cup Champion")</f>
        <v>Roger Federer was amazed by the success of Lionel Messi Bringing Argentina Special and Historic World Cup Champion</v>
      </c>
    </row>
    <row r="8974" ht="15.75" customHeight="1">
      <c r="A8974" s="1">
        <v>10202.0</v>
      </c>
      <c r="B8974" s="3" t="s">
        <v>25627</v>
      </c>
      <c r="C8974" s="3">
        <v>1.0</v>
      </c>
      <c r="D8974" s="3">
        <v>0.0</v>
      </c>
      <c r="E8974" s="3">
        <v>0.0</v>
      </c>
      <c r="F8974" s="3" t="s">
        <v>25628</v>
      </c>
      <c r="G8974" s="3">
        <v>0.0</v>
      </c>
      <c r="H8974" s="3">
        <v>0.0</v>
      </c>
      <c r="I8974" s="3" t="s">
        <v>13</v>
      </c>
      <c r="J8974" s="3" t="s">
        <v>25629</v>
      </c>
      <c r="K8974" s="3" t="s">
        <v>23</v>
      </c>
      <c r="L8974" s="3" t="str">
        <f>IFERROR(__xludf.DUMMYFUNCTION("GOOGLETRANSLATE(F8974,""id"",""en"")"),"Milanisti if Luke is a bad luck that Lord Toro Hockey Carrier is proven when he calls the Argentine national team directly champions Copa America and the World Cup")</f>
        <v>Milanisti if Luke is a bad luck that Lord Toro Hockey Carrier is proven when he calls the Argentine national team directly champions Copa America and the World Cup</v>
      </c>
    </row>
    <row r="8975" ht="15.75" customHeight="1">
      <c r="A8975" s="1">
        <v>10203.0</v>
      </c>
      <c r="B8975" s="3" t="s">
        <v>25630</v>
      </c>
      <c r="C8975" s="3">
        <v>1.0</v>
      </c>
      <c r="D8975" s="3">
        <v>1.0</v>
      </c>
      <c r="E8975" s="3">
        <v>0.0</v>
      </c>
      <c r="F8975" s="3" t="s">
        <v>25631</v>
      </c>
      <c r="G8975" s="3">
        <v>0.0</v>
      </c>
      <c r="H8975" s="3">
        <v>0.0</v>
      </c>
      <c r="I8975" s="3" t="s">
        <v>13</v>
      </c>
      <c r="J8975" s="3" t="s">
        <v>25632</v>
      </c>
      <c r="K8975" s="3" t="s">
        <v>15</v>
      </c>
      <c r="L8975" s="3" t="str">
        <f>IFERROR(__xludf.DUMMYFUNCTION("GOOGLETRANSLATE(F8975,""id"",""en"")"),"Argentina The World Cup Champion means Jokowi Period")</f>
        <v>Argentina The World Cup Champion means Jokowi Period</v>
      </c>
    </row>
    <row r="8976" ht="15.75" customHeight="1">
      <c r="A8976" s="1">
        <v>10204.0</v>
      </c>
      <c r="B8976" s="3" t="s">
        <v>25633</v>
      </c>
      <c r="C8976" s="3">
        <v>0.0</v>
      </c>
      <c r="D8976" s="3">
        <v>0.0</v>
      </c>
      <c r="E8976" s="3">
        <v>0.0</v>
      </c>
      <c r="F8976" s="3" t="s">
        <v>25634</v>
      </c>
      <c r="G8976" s="3">
        <v>0.0</v>
      </c>
      <c r="H8976" s="3">
        <v>0.0</v>
      </c>
      <c r="I8976" s="3" t="s">
        <v>13</v>
      </c>
      <c r="J8976" s="3" t="s">
        <v>25635</v>
      </c>
      <c r="K8976" s="3" t="s">
        <v>82</v>
      </c>
      <c r="L8976" s="3" t="str">
        <f>IFERROR(__xludf.DUMMYFUNCTION("GOOGLETRANSLATE(F8976,""id"",""en"")"),"Argentina Champion World Cup Qatar Happy Messi")</f>
        <v>Argentina Champion World Cup Qatar Happy Messi</v>
      </c>
    </row>
    <row r="8977" ht="15.75" customHeight="1">
      <c r="A8977" s="1">
        <v>10205.0</v>
      </c>
      <c r="B8977" s="3" t="s">
        <v>25636</v>
      </c>
      <c r="C8977" s="3">
        <v>0.0</v>
      </c>
      <c r="D8977" s="3">
        <v>0.0</v>
      </c>
      <c r="E8977" s="3">
        <v>0.0</v>
      </c>
      <c r="F8977" s="3" t="s">
        <v>25637</v>
      </c>
      <c r="G8977" s="3">
        <v>0.0</v>
      </c>
      <c r="H8977" s="3">
        <v>0.0</v>
      </c>
      <c r="I8977" s="3" t="s">
        <v>13</v>
      </c>
      <c r="J8977" s="3" t="s">
        <v>25638</v>
      </c>
      <c r="K8977" s="3" t="s">
        <v>31</v>
      </c>
      <c r="L8977" s="3" t="str">
        <f>IFERROR(__xludf.DUMMYFUNCTION("GOOGLETRANSLATE(F8977,""id"",""en"")"),"Hooray Argentina Champion and my guess is right")</f>
        <v>Hooray Argentina Champion and my guess is right</v>
      </c>
    </row>
    <row r="8978" ht="15.75" customHeight="1">
      <c r="A8978" s="1">
        <v>10206.0</v>
      </c>
      <c r="B8978" s="3" t="s">
        <v>25639</v>
      </c>
      <c r="C8978" s="3">
        <v>0.0</v>
      </c>
      <c r="D8978" s="3">
        <v>0.0</v>
      </c>
      <c r="E8978" s="3">
        <v>0.0</v>
      </c>
      <c r="F8978" s="3" t="s">
        <v>25640</v>
      </c>
      <c r="G8978" s="3">
        <v>0.0</v>
      </c>
      <c r="H8978" s="3">
        <v>0.0</v>
      </c>
      <c r="I8978" s="3" t="s">
        <v>13</v>
      </c>
      <c r="J8978" s="3" t="s">
        <v>25641</v>
      </c>
      <c r="K8978" s="3" t="s">
        <v>240</v>
      </c>
      <c r="L8978" s="3" t="str">
        <f>IFERROR(__xludf.DUMMYFUNCTION("GOOGLETRANSLATE(F8978,""id"",""en"")"),"who is the main actor behind the success of Lionel Messi Argentina national team won the world champion the answer is Want Foreigner")</f>
        <v>who is the main actor behind the success of Lionel Messi Argentina national team won the world champion the answer is Want Foreigner</v>
      </c>
    </row>
    <row r="8979" ht="15.75" customHeight="1">
      <c r="A8979" s="1">
        <v>10207.0</v>
      </c>
      <c r="B8979" s="3" t="s">
        <v>25642</v>
      </c>
      <c r="C8979" s="3">
        <v>0.0</v>
      </c>
      <c r="D8979" s="3">
        <v>0.0</v>
      </c>
      <c r="E8979" s="3">
        <v>0.0</v>
      </c>
      <c r="F8979" s="3" t="s">
        <v>25643</v>
      </c>
      <c r="G8979" s="3">
        <v>0.0</v>
      </c>
      <c r="H8979" s="3">
        <v>0.0</v>
      </c>
      <c r="I8979" s="3" t="s">
        <v>13</v>
      </c>
      <c r="J8979" s="3" t="s">
        <v>25644</v>
      </c>
      <c r="K8979" s="3" t="s">
        <v>1656</v>
      </c>
      <c r="L8979" s="3" t="str">
        <f>IFERROR(__xludf.DUMMYFUNCTION("GOOGLETRANSLATE(F8979,""id"",""en"")"),"Milanisti Higuain is more older still better Lord Toro brought hockey when he called the Argentine national team immediately champion the Copa America and the World Cup was Higuain never champions at all the Argentine national team at all")</f>
        <v>Milanisti Higuain is more older still better Lord Toro brought hockey when he called the Argentine national team immediately champion the Copa America and the World Cup was Higuain never champions at all the Argentine national team at all</v>
      </c>
    </row>
    <row r="8980" ht="15.75" customHeight="1">
      <c r="A8980" s="1">
        <v>10208.0</v>
      </c>
      <c r="B8980" s="3" t="s">
        <v>25645</v>
      </c>
      <c r="C8980" s="3">
        <v>0.0</v>
      </c>
      <c r="D8980" s="3">
        <v>1.0</v>
      </c>
      <c r="E8980" s="3">
        <v>3.0</v>
      </c>
      <c r="F8980" s="3" t="s">
        <v>25646</v>
      </c>
      <c r="G8980" s="3">
        <v>0.0</v>
      </c>
      <c r="H8980" s="3">
        <v>0.0</v>
      </c>
      <c r="I8980" s="3" t="s">
        <v>13</v>
      </c>
      <c r="J8980" s="3" t="s">
        <v>25647</v>
      </c>
      <c r="K8980" s="3" t="s">
        <v>236</v>
      </c>
      <c r="L8980" s="3" t="str">
        <f>IFERROR(__xludf.DUMMYFUNCTION("GOOGLETRANSLATE(F8980,""id"",""en"")"),"Behind the Argentine Pilduun Champion Portrait of the State is chaotic but can be a world champion")</f>
        <v>Behind the Argentine Pilduun Champion Portrait of the State is chaotic but can be a world champion</v>
      </c>
    </row>
    <row r="8981" ht="15.75" customHeight="1">
      <c r="A8981" s="1">
        <v>10209.0</v>
      </c>
      <c r="B8981" s="3" t="s">
        <v>25648</v>
      </c>
      <c r="C8981" s="3">
        <v>0.0</v>
      </c>
      <c r="D8981" s="3">
        <v>0.0</v>
      </c>
      <c r="E8981" s="3">
        <v>1.0</v>
      </c>
      <c r="F8981" s="3" t="s">
        <v>25649</v>
      </c>
      <c r="G8981" s="3">
        <v>0.0</v>
      </c>
      <c r="H8981" s="3">
        <v>0.0</v>
      </c>
      <c r="I8981" s="3" t="s">
        <v>13</v>
      </c>
      <c r="J8981" s="3" t="s">
        <v>25650</v>
      </c>
      <c r="K8981" s="3" t="s">
        <v>19</v>
      </c>
      <c r="L8981" s="3" t="str">
        <f>IFERROR(__xludf.DUMMYFUNCTION("GOOGLETRANSLATE(F8981,""id"",""en"")"),"Argentina Champion Mario Gotze Share pictures when Messi rose from the downturn of the World Cup Day")</f>
        <v>Argentina Champion Mario Gotze Share pictures when Messi rose from the downturn of the World Cup Day</v>
      </c>
    </row>
    <row r="8982" ht="15.75" customHeight="1">
      <c r="A8982" s="1">
        <v>10210.0</v>
      </c>
      <c r="B8982" s="3" t="s">
        <v>25651</v>
      </c>
      <c r="C8982" s="3">
        <v>0.0</v>
      </c>
      <c r="D8982" s="3">
        <v>0.0</v>
      </c>
      <c r="E8982" s="3">
        <v>0.0</v>
      </c>
      <c r="F8982" s="3" t="s">
        <v>25652</v>
      </c>
      <c r="G8982" s="3">
        <v>0.0</v>
      </c>
      <c r="H8982" s="3">
        <v>0.0</v>
      </c>
      <c r="I8982" s="3" t="s">
        <v>13</v>
      </c>
      <c r="J8982" s="3" t="s">
        <v>25653</v>
      </c>
      <c r="K8982" s="3" t="s">
        <v>16174</v>
      </c>
      <c r="L8982" s="3" t="str">
        <f>IFERROR(__xludf.DUMMYFUNCTION("GOOGLETRANSLATE(F8982,""id"",""en"")"),"yes")</f>
        <v>yes</v>
      </c>
    </row>
    <row r="8983" ht="15.75" customHeight="1">
      <c r="A8983" s="1">
        <v>10211.0</v>
      </c>
      <c r="B8983" s="3" t="s">
        <v>25654</v>
      </c>
      <c r="C8983" s="3">
        <v>13.0</v>
      </c>
      <c r="D8983" s="3">
        <v>2.0</v>
      </c>
      <c r="E8983" s="3">
        <v>82.0</v>
      </c>
      <c r="F8983" s="3" t="s">
        <v>25655</v>
      </c>
      <c r="G8983" s="3">
        <v>0.0</v>
      </c>
      <c r="H8983" s="3">
        <v>0.0</v>
      </c>
      <c r="I8983" s="3" t="s">
        <v>13</v>
      </c>
      <c r="J8983" s="3" t="s">
        <v>25656</v>
      </c>
      <c r="K8983" s="3" t="s">
        <v>1552</v>
      </c>
      <c r="L8983" s="3" t="str">
        <f>IFERROR(__xludf.DUMMYFUNCTION("GOOGLETRANSLATE(F8983,""id"",""en"")"),"Argentina World Champion If Kamyuuh champion in my heart cieee cieee tag again laahh")</f>
        <v>Argentina World Champion If Kamyuuh champion in my heart cieee cieee tag again laahh</v>
      </c>
    </row>
    <row r="8984" ht="15.75" customHeight="1">
      <c r="A8984" s="1">
        <v>10212.0</v>
      </c>
      <c r="B8984" s="3" t="s">
        <v>25657</v>
      </c>
      <c r="C8984" s="3">
        <v>0.0</v>
      </c>
      <c r="D8984" s="3">
        <v>0.0</v>
      </c>
      <c r="E8984" s="3">
        <v>3.0</v>
      </c>
      <c r="F8984" s="3" t="s">
        <v>25309</v>
      </c>
      <c r="G8984" s="3">
        <v>0.0</v>
      </c>
      <c r="H8984" s="3">
        <v>0.0</v>
      </c>
      <c r="I8984" s="3" t="s">
        <v>13</v>
      </c>
      <c r="J8984" s="3" t="s">
        <v>25310</v>
      </c>
      <c r="K8984" s="3" t="s">
        <v>41</v>
      </c>
      <c r="L8984" s="3" t="str">
        <f>IFERROR(__xludf.DUMMYFUNCTION("GOOGLETRANSLATE(F8984,""id"",""en"")"),"Argentina Video World Champion Tango Borong Award Team Player")</f>
        <v>Argentina Video World Champion Tango Borong Award Team Player</v>
      </c>
    </row>
    <row r="8985" ht="15.75" customHeight="1">
      <c r="A8985" s="1">
        <v>10213.0</v>
      </c>
      <c r="B8985" s="3" t="s">
        <v>25658</v>
      </c>
      <c r="C8985" s="3">
        <v>1.0</v>
      </c>
      <c r="D8985" s="3">
        <v>0.0</v>
      </c>
      <c r="E8985" s="3">
        <v>2.0</v>
      </c>
      <c r="F8985" s="3" t="s">
        <v>25659</v>
      </c>
      <c r="G8985" s="3">
        <v>0.4</v>
      </c>
      <c r="H8985" s="3">
        <v>0.0</v>
      </c>
      <c r="I8985" s="3" t="s">
        <v>13</v>
      </c>
      <c r="J8985" s="3" t="s">
        <v>25660</v>
      </c>
      <c r="K8985" s="3" t="s">
        <v>2454</v>
      </c>
      <c r="L8985" s="3" t="str">
        <f>IFERROR(__xludf.DUMMYFUNCTION("GOOGLETRANSLATE(F8985,""id"",""en"")"),"Argentine Paradox Paradox State champion champions of football champions but Boncos of Argentina's economy in the whole world of the world's winning Leo Messi et al last night is the most exciting drama Pildun that has been waiting for years there is an i"&amp;"ndividual story")</f>
        <v>Argentine Paradox Paradox State champion champions of football champions but Boncos of Argentina's economy in the whole world of the world's winning Leo Messi et al last night is the most exciting drama Pildun that has been waiting for years there is an individual story</v>
      </c>
    </row>
    <row r="8986" ht="15.75" customHeight="1">
      <c r="A8986" s="1">
        <v>10214.0</v>
      </c>
      <c r="B8986" s="3" t="s">
        <v>25661</v>
      </c>
      <c r="C8986" s="3">
        <v>0.0</v>
      </c>
      <c r="D8986" s="3">
        <v>0.0</v>
      </c>
      <c r="E8986" s="3">
        <v>0.0</v>
      </c>
      <c r="F8986" s="3" t="s">
        <v>25662</v>
      </c>
      <c r="G8986" s="3">
        <v>0.5333333333333333</v>
      </c>
      <c r="H8986" s="3">
        <v>0.6666666666666666</v>
      </c>
      <c r="I8986" s="3" t="s">
        <v>48</v>
      </c>
      <c r="J8986" s="3" t="s">
        <v>25663</v>
      </c>
      <c r="K8986" s="3" t="s">
        <v>286</v>
      </c>
      <c r="L8986" s="3" t="str">
        <f>IFERROR(__xludf.DUMMYFUNCTION("GOOGLETRANSLATE(F8986,""id"",""en"")"),"The champion is not often getting the penalty, bro, the nickname of the penaldo according to me is more win rate when he is a penalty, it doesn't work like Messi if the free kick win rate doesn't work")</f>
        <v>The champion is not often getting the penalty, bro, the nickname of the penaldo according to me is more win rate when he is a penalty, it doesn't work like Messi if the free kick win rate doesn't work</v>
      </c>
    </row>
    <row r="8987" ht="15.75" customHeight="1">
      <c r="A8987" s="1">
        <v>10215.0</v>
      </c>
      <c r="B8987" s="3" t="s">
        <v>25664</v>
      </c>
      <c r="C8987" s="3">
        <v>1.0</v>
      </c>
      <c r="D8987" s="3">
        <v>1.0</v>
      </c>
      <c r="E8987" s="3">
        <v>11.0</v>
      </c>
      <c r="F8987" s="3" t="s">
        <v>24832</v>
      </c>
      <c r="G8987" s="3">
        <v>0.0</v>
      </c>
      <c r="H8987" s="3">
        <v>0.0</v>
      </c>
      <c r="I8987" s="3" t="s">
        <v>13</v>
      </c>
      <c r="J8987" s="3" t="s">
        <v>24833</v>
      </c>
      <c r="K8987" s="3" t="s">
        <v>499</v>
      </c>
      <c r="L8987" s="3" t="str">
        <f>IFERROR(__xludf.DUMMYFUNCTION("GOOGLETRANSLATE(F8987,""id"",""en"")"),"In the past, Diego Maradona now Lionel Messi both played a big role in taking Argentina to become a World Cup champion to then pose with the championship trophy similar")</f>
        <v>In the past, Diego Maradona now Lionel Messi both played a big role in taking Argentina to become a World Cup champion to then pose with the championship trophy similar</v>
      </c>
    </row>
    <row r="8988" ht="15.75" customHeight="1">
      <c r="A8988" s="1">
        <v>10216.0</v>
      </c>
      <c r="B8988" s="3" t="s">
        <v>25665</v>
      </c>
      <c r="C8988" s="3">
        <v>0.0</v>
      </c>
      <c r="D8988" s="3">
        <v>0.0</v>
      </c>
      <c r="E8988" s="3">
        <v>0.0</v>
      </c>
      <c r="F8988" s="3" t="s">
        <v>25666</v>
      </c>
      <c r="G8988" s="3">
        <v>0.0</v>
      </c>
      <c r="H8988" s="3">
        <v>0.0</v>
      </c>
      <c r="I8988" s="3" t="s">
        <v>13</v>
      </c>
      <c r="J8988" s="3" t="s">
        <v>25667</v>
      </c>
      <c r="K8988" s="3" t="s">
        <v>71</v>
      </c>
      <c r="L8988" s="3" t="str">
        <f>IFERROR(__xludf.DUMMYFUNCTION("GOOGLETRANSLATE(F8988,""id"",""en"")"),"Najwa Shihab Girang Argentina Champion World Cup Dry Dry Heart DEG DEG")</f>
        <v>Najwa Shihab Girang Argentina Champion World Cup Dry Dry Heart DEG DEG</v>
      </c>
    </row>
    <row r="8989" ht="15.75" customHeight="1">
      <c r="A8989" s="1">
        <v>10217.0</v>
      </c>
      <c r="B8989" s="3" t="s">
        <v>25668</v>
      </c>
      <c r="C8989" s="3">
        <v>0.0</v>
      </c>
      <c r="D8989" s="3">
        <v>0.0</v>
      </c>
      <c r="E8989" s="3">
        <v>1.0</v>
      </c>
      <c r="F8989" s="3" t="s">
        <v>25669</v>
      </c>
      <c r="G8989" s="3">
        <v>0.0</v>
      </c>
      <c r="H8989" s="3">
        <v>0.0</v>
      </c>
      <c r="I8989" s="3" t="s">
        <v>13</v>
      </c>
      <c r="J8989" s="3" t="s">
        <v>25670</v>
      </c>
      <c r="K8989" s="3" t="s">
        <v>50</v>
      </c>
      <c r="L8989" s="3" t="str">
        <f>IFERROR(__xludf.DUMMYFUNCTION("GOOGLETRANSLATE(F8989,""id"",""en"")"),"Messi also does not care about the amused citizens of Indonesian politicians busy making Argentine posters champions")</f>
        <v>Messi also does not care about the amused citizens of Indonesian politicians busy making Argentine posters champions</v>
      </c>
    </row>
    <row r="8990" ht="15.75" customHeight="1">
      <c r="A8990" s="1">
        <v>10218.0</v>
      </c>
      <c r="B8990" s="3" t="s">
        <v>25671</v>
      </c>
      <c r="C8990" s="3">
        <v>0.0</v>
      </c>
      <c r="D8990" s="3">
        <v>0.0</v>
      </c>
      <c r="E8990" s="3">
        <v>3.0</v>
      </c>
      <c r="F8990" s="3" t="s">
        <v>25672</v>
      </c>
      <c r="G8990" s="3">
        <v>0.0</v>
      </c>
      <c r="H8990" s="3">
        <v>0.0</v>
      </c>
      <c r="I8990" s="3" t="s">
        <v>13</v>
      </c>
      <c r="J8990" s="3" t="s">
        <v>25673</v>
      </c>
      <c r="K8990" s="3" t="s">
        <v>510</v>
      </c>
      <c r="L8990" s="3" t="str">
        <f>IFERROR(__xludf.DUMMYFUNCTION("GOOGLETRANSLATE(F8990,""id"",""en"")"),"So the Argentina World Cup champion received a prize of million Dollars in the United States billion")</f>
        <v>So the Argentina World Cup champion received a prize of million Dollars in the United States billion</v>
      </c>
    </row>
    <row r="8991" ht="15.75" customHeight="1">
      <c r="A8991" s="1">
        <v>10219.0</v>
      </c>
      <c r="B8991" s="3" t="s">
        <v>25674</v>
      </c>
      <c r="C8991" s="3">
        <v>0.0</v>
      </c>
      <c r="D8991" s="3">
        <v>0.0</v>
      </c>
      <c r="E8991" s="3">
        <v>0.0</v>
      </c>
      <c r="F8991" s="3" t="s">
        <v>25675</v>
      </c>
      <c r="G8991" s="3">
        <v>0.0</v>
      </c>
      <c r="H8991" s="3">
        <v>0.0</v>
      </c>
      <c r="I8991" s="3" t="s">
        <v>13</v>
      </c>
      <c r="J8991" s="3" t="s">
        <v>25676</v>
      </c>
      <c r="K8991" s="3" t="s">
        <v>35</v>
      </c>
      <c r="L8991" s="3" t="str">
        <f>IFERROR(__xludf.DUMMYFUNCTION("GOOGLETRANSLATE(F8991,""id"",""en"")"),"Argentina almost failed world champion if the action of Emiliano Mart Nez minutes failed to pass")</f>
        <v>Argentina almost failed world champion if the action of Emiliano Mart Nez minutes failed to pass</v>
      </c>
    </row>
    <row r="8992" ht="15.75" customHeight="1">
      <c r="A8992" s="1">
        <v>10220.0</v>
      </c>
      <c r="B8992" s="3" t="s">
        <v>25677</v>
      </c>
      <c r="C8992" s="3">
        <v>2.0</v>
      </c>
      <c r="D8992" s="3">
        <v>0.0</v>
      </c>
      <c r="E8992" s="3">
        <v>0.0</v>
      </c>
      <c r="F8992" s="3" t="s">
        <v>25678</v>
      </c>
      <c r="G8992" s="3">
        <v>0.0</v>
      </c>
      <c r="H8992" s="3">
        <v>0.0</v>
      </c>
      <c r="I8992" s="3" t="s">
        <v>13</v>
      </c>
      <c r="J8992" s="3" t="s">
        <v>25679</v>
      </c>
      <c r="K8992" s="3" t="s">
        <v>477</v>
      </c>
      <c r="L8992" s="3" t="str">
        <f>IFERROR(__xludf.DUMMYFUNCTION("GOOGLETRANSLATE(F8992,""id"",""en"")"),"Argentina Champion World Cup If I'm not champion your heart")</f>
        <v>Argentina Champion World Cup If I'm not champion your heart</v>
      </c>
    </row>
    <row r="8993" ht="15.75" customHeight="1">
      <c r="A8993" s="1">
        <v>10221.0</v>
      </c>
      <c r="B8993" s="3" t="s">
        <v>16487</v>
      </c>
      <c r="C8993" s="3">
        <v>0.0</v>
      </c>
      <c r="D8993" s="3">
        <v>0.0</v>
      </c>
      <c r="E8993" s="3">
        <v>0.0</v>
      </c>
      <c r="F8993" s="3" t="s">
        <v>16103</v>
      </c>
      <c r="G8993" s="3">
        <v>0.0</v>
      </c>
      <c r="H8993" s="3">
        <v>0.0</v>
      </c>
      <c r="I8993" s="3" t="s">
        <v>13</v>
      </c>
      <c r="J8993" s="3" t="s">
        <v>16104</v>
      </c>
      <c r="K8993" s="3" t="s">
        <v>14571</v>
      </c>
      <c r="L8993" s="3" t="str">
        <f>IFERROR(__xludf.DUMMYFUNCTION("GOOGLETRANSLATE(F8993,""id"",""en"")"),"Argentina Champion")</f>
        <v>Argentina Champion</v>
      </c>
    </row>
    <row r="8994" ht="15.75" customHeight="1">
      <c r="A8994" s="1">
        <v>10222.0</v>
      </c>
      <c r="B8994" s="3" t="s">
        <v>25680</v>
      </c>
      <c r="C8994" s="3">
        <v>1.0</v>
      </c>
      <c r="D8994" s="3">
        <v>0.0</v>
      </c>
      <c r="E8994" s="3">
        <v>0.0</v>
      </c>
      <c r="F8994" s="3" t="s">
        <v>25681</v>
      </c>
      <c r="G8994" s="3">
        <v>0.0</v>
      </c>
      <c r="H8994" s="3">
        <v>0.0</v>
      </c>
      <c r="I8994" s="3" t="s">
        <v>13</v>
      </c>
      <c r="J8994" s="3" t="s">
        <v>25682</v>
      </c>
      <c r="K8994" s="3" t="s">
        <v>477</v>
      </c>
      <c r="L8994" s="3" t="str">
        <f>IFERROR(__xludf.DUMMYFUNCTION("GOOGLETRANSLATE(F8994,""id"",""en"")"),"Pep has been able to Argentina champion Pep Haaland.")</f>
        <v>Pep has been able to Argentina champion Pep Haaland.</v>
      </c>
    </row>
    <row r="8995" ht="15.75" customHeight="1">
      <c r="A8995" s="1">
        <v>10223.0</v>
      </c>
      <c r="B8995" s="3" t="s">
        <v>25683</v>
      </c>
      <c r="C8995" s="3">
        <v>0.0</v>
      </c>
      <c r="D8995" s="3">
        <v>0.0</v>
      </c>
      <c r="E8995" s="3">
        <v>0.0</v>
      </c>
      <c r="F8995" s="3" t="s">
        <v>25684</v>
      </c>
      <c r="G8995" s="3">
        <v>0.175</v>
      </c>
      <c r="H8995" s="3">
        <v>-0.175</v>
      </c>
      <c r="I8995" s="3" t="s">
        <v>179</v>
      </c>
      <c r="J8995" s="3" t="s">
        <v>25685</v>
      </c>
      <c r="K8995" s="3" t="s">
        <v>41</v>
      </c>
      <c r="L8995" s="3" t="str">
        <f>IFERROR(__xludf.DUMMYFUNCTION("GOOGLETRANSLATE(F8995,""id"",""en"")"),"Bring Argentina Champion Uero Mess Ask for the European Moving Federation")</f>
        <v>Bring Argentina Champion Uero Mess Ask for the European Moving Federation</v>
      </c>
    </row>
    <row r="8996" ht="15.75" customHeight="1">
      <c r="A8996" s="1">
        <v>10224.0</v>
      </c>
      <c r="B8996" s="3" t="s">
        <v>25686</v>
      </c>
      <c r="C8996" s="3">
        <v>0.0</v>
      </c>
      <c r="D8996" s="3">
        <v>0.0</v>
      </c>
      <c r="E8996" s="3">
        <v>0.0</v>
      </c>
      <c r="F8996" s="3" t="s">
        <v>25687</v>
      </c>
      <c r="G8996" s="3">
        <v>0.0</v>
      </c>
      <c r="H8996" s="3">
        <v>0.0</v>
      </c>
      <c r="I8996" s="3" t="s">
        <v>13</v>
      </c>
      <c r="J8996" s="3" t="s">
        <v>25688</v>
      </c>
      <c r="K8996" s="3" t="s">
        <v>286</v>
      </c>
      <c r="L8996" s="3" t="str">
        <f>IFERROR(__xludf.DUMMYFUNCTION("GOOGLETRANSLATE(F8996,""id"",""en"")"),"The point is that the break -even score is still the series not to use the term appendage of the Giveaway Champion or Argentina Settings deserve to win because they are superior from the first round until the penalty duel")</f>
        <v>The point is that the break -even score is still the series not to use the term appendage of the Giveaway Champion or Argentina Settings deserve to win because they are superior from the first round until the penalty duel</v>
      </c>
    </row>
    <row r="8997" ht="15.75" customHeight="1">
      <c r="A8997" s="1">
        <v>10225.0</v>
      </c>
      <c r="B8997" s="3" t="s">
        <v>25689</v>
      </c>
      <c r="C8997" s="3">
        <v>2.0</v>
      </c>
      <c r="D8997" s="3">
        <v>2.0</v>
      </c>
      <c r="E8997" s="3">
        <v>9.0</v>
      </c>
      <c r="F8997" s="3" t="s">
        <v>25690</v>
      </c>
      <c r="G8997" s="3">
        <v>0.175</v>
      </c>
      <c r="H8997" s="3">
        <v>-0.05</v>
      </c>
      <c r="I8997" s="3" t="s">
        <v>179</v>
      </c>
      <c r="J8997" s="3" t="s">
        <v>25691</v>
      </c>
      <c r="K8997" s="3" t="s">
        <v>614</v>
      </c>
      <c r="L8997" s="3" t="str">
        <f>IFERROR(__xludf.DUMMYFUNCTION("GOOGLETRANSLATE(F8997,""id"",""en"")"),"Argentina at the beginning of losing against Saudi Arabia but at the end it turned out that the champion of the moral message of the stock that was minus if it had not been sold was only Floating Loss could go down and could also go down again this satire")</f>
        <v>Argentina at the beginning of losing against Saudi Arabia but at the end it turned out that the champion of the moral message of the stock that was minus if it had not been sold was only Floating Loss could go down and could also go down again this satire</v>
      </c>
    </row>
    <row r="8998" ht="15.75" customHeight="1">
      <c r="A8998" s="1">
        <v>10226.0</v>
      </c>
      <c r="B8998" s="3" t="s">
        <v>25692</v>
      </c>
      <c r="C8998" s="3">
        <v>0.0</v>
      </c>
      <c r="D8998" s="3">
        <v>0.0</v>
      </c>
      <c r="E8998" s="3">
        <v>0.0</v>
      </c>
      <c r="F8998" s="3" t="s">
        <v>25693</v>
      </c>
      <c r="G8998" s="3">
        <v>0.2</v>
      </c>
      <c r="H8998" s="3">
        <v>0.1</v>
      </c>
      <c r="I8998" s="3" t="s">
        <v>48</v>
      </c>
      <c r="J8998" s="3" t="s">
        <v>25694</v>
      </c>
      <c r="K8998" s="3" t="s">
        <v>50</v>
      </c>
      <c r="L8998" s="3" t="str">
        <f>IFERROR(__xludf.DUMMYFUNCTION("GOOGLETRANSLATE(F8998,""id"",""en"")"),"Argentina deserves the champion they play solid and efficiently pre requirements to win a modern sepokbola")</f>
        <v>Argentina deserves the champion they play solid and efficiently pre requirements to win a modern sepokbola</v>
      </c>
    </row>
    <row r="8999" ht="15.75" customHeight="1">
      <c r="A8999" s="1">
        <v>10227.0</v>
      </c>
      <c r="B8999" s="3" t="s">
        <v>25695</v>
      </c>
      <c r="C8999" s="3">
        <v>0.0</v>
      </c>
      <c r="D8999" s="3">
        <v>0.0</v>
      </c>
      <c r="E8999" s="3">
        <v>0.0</v>
      </c>
      <c r="F8999" s="3" t="s">
        <v>25696</v>
      </c>
      <c r="G8999" s="3">
        <v>0.0</v>
      </c>
      <c r="H8999" s="3">
        <v>0.0</v>
      </c>
      <c r="I8999" s="3" t="s">
        <v>13</v>
      </c>
      <c r="J8999" s="3" t="s">
        <v>25697</v>
      </c>
      <c r="K8999" s="3" t="s">
        <v>54</v>
      </c>
      <c r="L8999" s="3" t="str">
        <f>IFERROR(__xludf.DUMMYFUNCTION("GOOGLETRANSLATE(F8999,""id"",""en"")"),"Argentina Champion and End of World Cup Story")</f>
        <v>Argentina Champion and End of World Cup Story</v>
      </c>
    </row>
    <row r="9000" ht="15.75" customHeight="1">
      <c r="A9000" s="1">
        <v>10228.0</v>
      </c>
      <c r="B9000" s="3" t="s">
        <v>25698</v>
      </c>
      <c r="C9000" s="3">
        <v>0.0</v>
      </c>
      <c r="D9000" s="3">
        <v>0.0</v>
      </c>
      <c r="E9000" s="3">
        <v>0.0</v>
      </c>
      <c r="F9000" s="3" t="s">
        <v>25696</v>
      </c>
      <c r="G9000" s="3">
        <v>0.0</v>
      </c>
      <c r="H9000" s="3">
        <v>0.0</v>
      </c>
      <c r="I9000" s="3" t="s">
        <v>13</v>
      </c>
      <c r="J9000" s="3" t="s">
        <v>25697</v>
      </c>
      <c r="K9000" s="3" t="s">
        <v>54</v>
      </c>
      <c r="L9000" s="3" t="str">
        <f>IFERROR(__xludf.DUMMYFUNCTION("GOOGLETRANSLATE(F9000,""id"",""en"")"),"Argentina Champion and End of World Cup Story")</f>
        <v>Argentina Champion and End of World Cup Story</v>
      </c>
    </row>
    <row r="9001" ht="15.75" customHeight="1">
      <c r="A9001" s="1">
        <v>10229.0</v>
      </c>
      <c r="B9001" s="3" t="s">
        <v>25699</v>
      </c>
      <c r="C9001" s="3">
        <v>0.0</v>
      </c>
      <c r="D9001" s="3">
        <v>0.0</v>
      </c>
      <c r="E9001" s="3">
        <v>1.0</v>
      </c>
      <c r="F9001" s="3" t="s">
        <v>25700</v>
      </c>
      <c r="G9001" s="3">
        <v>0.0</v>
      </c>
      <c r="H9001" s="3">
        <v>0.0</v>
      </c>
      <c r="I9001" s="3" t="s">
        <v>13</v>
      </c>
      <c r="J9001" s="3" t="s">
        <v>25701</v>
      </c>
      <c r="K9001" s="3" t="s">
        <v>82</v>
      </c>
      <c r="L9001" s="3" t="str">
        <f>IFERROR(__xludf.DUMMYFUNCTION("GOOGLETRANSLATE(F9001,""id"",""en"")"),"Argentina Kali Champion World Cup The Best Player")</f>
        <v>Argentina Kali Champion World Cup The Best Player</v>
      </c>
    </row>
    <row r="9002" ht="15.75" customHeight="1">
      <c r="A9002" s="1">
        <v>10230.0</v>
      </c>
      <c r="B9002" s="3" t="s">
        <v>25702</v>
      </c>
      <c r="C9002" s="3">
        <v>0.0</v>
      </c>
      <c r="D9002" s="3">
        <v>0.0</v>
      </c>
      <c r="E9002" s="3">
        <v>1.0</v>
      </c>
      <c r="F9002" s="3" t="s">
        <v>25703</v>
      </c>
      <c r="G9002" s="3">
        <v>0.0</v>
      </c>
      <c r="H9002" s="3">
        <v>0.0</v>
      </c>
      <c r="I9002" s="3" t="s">
        <v>13</v>
      </c>
      <c r="J9002" s="3" t="s">
        <v>25704</v>
      </c>
      <c r="K9002" s="3" t="s">
        <v>520</v>
      </c>
      <c r="L9002" s="3" t="str">
        <f>IFERROR(__xludf.DUMMYFUNCTION("GOOGLETRANSLATE(F9002,""id"",""en"")"),"Sunday December the fierce battle between the defending champion France against Argentina Argentina was superior with a score while France with a score through penalties")</f>
        <v>Sunday December the fierce battle between the defending champion France against Argentina Argentina was superior with a score while France with a score through penalties</v>
      </c>
    </row>
    <row r="9003" ht="15.75" customHeight="1">
      <c r="A9003" s="1">
        <v>10231.0</v>
      </c>
      <c r="B9003" s="3" t="s">
        <v>25705</v>
      </c>
      <c r="C9003" s="3">
        <v>0.0</v>
      </c>
      <c r="D9003" s="3">
        <v>0.0</v>
      </c>
      <c r="E9003" s="3">
        <v>0.0</v>
      </c>
      <c r="F9003" s="3" t="s">
        <v>25706</v>
      </c>
      <c r="G9003" s="3">
        <v>0.0</v>
      </c>
      <c r="H9003" s="3">
        <v>0.0</v>
      </c>
      <c r="I9003" s="3" t="s">
        <v>13</v>
      </c>
      <c r="J9003" s="3" t="s">
        <v>25707</v>
      </c>
      <c r="K9003" s="3" t="s">
        <v>348</v>
      </c>
      <c r="L9003" s="3" t="str">
        <f>IFERROR(__xludf.DUMMYFUNCTION("GOOGLETRANSLATE(F9003,""id"",""en"")"),"Why am I not interested in this World Cup because everything has been predicted one of the accounts that predicts the beginning to the end by playing FIFFA and the results are Valid Argentina Champion")</f>
        <v>Why am I not interested in this World Cup because everything has been predicted one of the accounts that predicts the beginning to the end by playing FIFFA and the results are Valid Argentina Champion</v>
      </c>
    </row>
    <row r="9004" ht="15.75" customHeight="1">
      <c r="A9004" s="1">
        <v>10232.0</v>
      </c>
      <c r="B9004" s="3" t="s">
        <v>25708</v>
      </c>
      <c r="C9004" s="3">
        <v>0.0</v>
      </c>
      <c r="D9004" s="3">
        <v>1.0</v>
      </c>
      <c r="E9004" s="3">
        <v>0.0</v>
      </c>
      <c r="F9004" s="3" t="s">
        <v>25709</v>
      </c>
      <c r="G9004" s="3">
        <v>0.0</v>
      </c>
      <c r="H9004" s="3">
        <v>0.0</v>
      </c>
      <c r="I9004" s="3" t="s">
        <v>13</v>
      </c>
      <c r="J9004" s="3" t="s">
        <v>25710</v>
      </c>
      <c r="K9004" s="3" t="s">
        <v>131</v>
      </c>
      <c r="L9004" s="3" t="str">
        <f>IFERROR(__xludf.DUMMYFUNCTION("GOOGLETRANSLATE(F9004,""id"",""en"")"),"IKUUUT HEHE World Cup Champion Argentina Mexico Qatar Mario Kempes Gol Diego Maradona Gol Lionel Messi Gol Hopefully fortune")</f>
        <v>IKUUUT HEHE World Cup Champion Argentina Mexico Qatar Mario Kempes Gol Diego Maradona Gol Lionel Messi Gol Hopefully fortune</v>
      </c>
    </row>
    <row r="9005" ht="15.75" customHeight="1">
      <c r="A9005" s="1">
        <v>10233.0</v>
      </c>
      <c r="B9005" s="3" t="s">
        <v>25711</v>
      </c>
      <c r="C9005" s="3">
        <v>0.0</v>
      </c>
      <c r="D9005" s="3">
        <v>1.0</v>
      </c>
      <c r="E9005" s="3">
        <v>7.0</v>
      </c>
      <c r="F9005" s="3" t="s">
        <v>25712</v>
      </c>
      <c r="G9005" s="3">
        <v>0.0</v>
      </c>
      <c r="H9005" s="3">
        <v>0.0</v>
      </c>
      <c r="I9005" s="3" t="s">
        <v>13</v>
      </c>
      <c r="J9005" s="3" t="s">
        <v>25713</v>
      </c>
      <c r="K9005" s="3" t="s">
        <v>41</v>
      </c>
      <c r="L9005" s="3" t="str">
        <f>IFERROR(__xludf.DUMMYFUNCTION("GOOGLETRANSLATE(F9005,""id"",""en"")"),"The heat of Mbappe and Messi taunted each other before Argentina Champion World Cup")</f>
        <v>The heat of Mbappe and Messi taunted each other before Argentina Champion World Cup</v>
      </c>
    </row>
    <row r="9006" ht="15.75" customHeight="1">
      <c r="A9006" s="1">
        <v>10234.0</v>
      </c>
      <c r="B9006" s="3" t="s">
        <v>25714</v>
      </c>
      <c r="C9006" s="3">
        <v>0.0</v>
      </c>
      <c r="D9006" s="3">
        <v>0.0</v>
      </c>
      <c r="E9006" s="3">
        <v>0.0</v>
      </c>
      <c r="F9006" s="3" t="s">
        <v>25715</v>
      </c>
      <c r="G9006" s="3">
        <v>0.5</v>
      </c>
      <c r="H9006" s="3">
        <v>0.0</v>
      </c>
      <c r="I9006" s="3" t="s">
        <v>13</v>
      </c>
      <c r="J9006" s="3" t="s">
        <v>25716</v>
      </c>
      <c r="K9006" s="3" t="s">
        <v>1265</v>
      </c>
      <c r="L9006" s="3" t="str">
        <f>IFERROR(__xludf.DUMMYFUNCTION("GOOGLETRANSLATE(F9006,""id"",""en"")"),"Albiceleste Min doesn't want an open -championship open -championship T -shirt, I want to be there if there is")</f>
        <v>Albiceleste Min doesn't want an open -championship open -championship T -shirt, I want to be there if there is</v>
      </c>
    </row>
    <row r="9007" ht="15.75" customHeight="1">
      <c r="A9007" s="1">
        <v>10235.0</v>
      </c>
      <c r="B9007" s="3" t="s">
        <v>25717</v>
      </c>
      <c r="C9007" s="3">
        <v>0.0</v>
      </c>
      <c r="D9007" s="3">
        <v>0.0</v>
      </c>
      <c r="E9007" s="3">
        <v>1.0</v>
      </c>
      <c r="F9007" s="3" t="s">
        <v>25025</v>
      </c>
      <c r="G9007" s="3">
        <v>0.0</v>
      </c>
      <c r="H9007" s="3">
        <v>0.0</v>
      </c>
      <c r="I9007" s="3" t="s">
        <v>13</v>
      </c>
      <c r="J9007" s="3" t="s">
        <v>25026</v>
      </c>
      <c r="K9007" s="3" t="s">
        <v>15</v>
      </c>
      <c r="L9007" s="3" t="str">
        <f>IFERROR(__xludf.DUMMYFUNCTION("GOOGLETRANSLATE(F9007,""id"",""en"")"),"Argentina World Champion Antonella Roccuzzo Uploads Happy Moments")</f>
        <v>Argentina World Champion Antonella Roccuzzo Uploads Happy Moments</v>
      </c>
    </row>
    <row r="9008" ht="15.75" customHeight="1">
      <c r="A9008" s="1">
        <v>10236.0</v>
      </c>
      <c r="B9008" s="3" t="s">
        <v>25718</v>
      </c>
      <c r="C9008" s="3">
        <v>3.0</v>
      </c>
      <c r="D9008" s="3">
        <v>0.0</v>
      </c>
      <c r="E9008" s="3">
        <v>0.0</v>
      </c>
      <c r="F9008" s="3" t="s">
        <v>25719</v>
      </c>
      <c r="G9008" s="3">
        <v>0.0</v>
      </c>
      <c r="H9008" s="3">
        <v>0.0</v>
      </c>
      <c r="I9008" s="3" t="s">
        <v>13</v>
      </c>
      <c r="J9008" s="3" t="s">
        <v>25720</v>
      </c>
      <c r="K9008" s="3" t="s">
        <v>426</v>
      </c>
      <c r="L9008" s="3" t="str">
        <f>IFERROR(__xludf.DUMMYFUNCTION("GOOGLETRANSLATE(F9008,""id"",""en"")"),"Argentine legend players have many haters, yeah, maradona, won the world cup, the controversy is nicknamed by God, ehh, now, I will get the champion, he said, there are many pros and cons controversies")</f>
        <v>Argentine legend players have many haters, yeah, maradona, won the world cup, the controversy is nicknamed by God, ehh, now, I will get the champion, he said, there are many pros and cons controversies</v>
      </c>
    </row>
    <row r="9009" ht="15.75" customHeight="1">
      <c r="A9009" s="1">
        <v>10237.0</v>
      </c>
      <c r="B9009" s="3" t="s">
        <v>25721</v>
      </c>
      <c r="C9009" s="3">
        <v>0.0</v>
      </c>
      <c r="D9009" s="3">
        <v>0.0</v>
      </c>
      <c r="E9009" s="3">
        <v>0.0</v>
      </c>
      <c r="F9009" s="3" t="s">
        <v>25722</v>
      </c>
      <c r="G9009" s="3">
        <v>0.0</v>
      </c>
      <c r="H9009" s="3">
        <v>0.0</v>
      </c>
      <c r="I9009" s="3" t="s">
        <v>13</v>
      </c>
      <c r="J9009" s="3" t="s">
        <v>25723</v>
      </c>
      <c r="K9009" s="3" t="s">
        <v>19</v>
      </c>
      <c r="L9009" s="3" t="str">
        <f>IFERROR(__xludf.DUMMYFUNCTION("GOOGLETRANSLATE(F9009,""id"",""en"")"),"End of Argentina's Goat World Champion Lionel Messi Player of the Best Player of All Time")</f>
        <v>End of Argentina's Goat World Champion Lionel Messi Player of the Best Player of All Time</v>
      </c>
    </row>
    <row r="9010" ht="15.75" customHeight="1">
      <c r="A9010" s="1">
        <v>10238.0</v>
      </c>
      <c r="B9010" s="3" t="s">
        <v>25724</v>
      </c>
      <c r="C9010" s="3">
        <v>0.0</v>
      </c>
      <c r="D9010" s="3">
        <v>0.0</v>
      </c>
      <c r="E9010" s="3">
        <v>0.0</v>
      </c>
      <c r="F9010" s="3" t="s">
        <v>25725</v>
      </c>
      <c r="G9010" s="3">
        <v>1.0</v>
      </c>
      <c r="H9010" s="3">
        <v>0.0</v>
      </c>
      <c r="I9010" s="3" t="s">
        <v>13</v>
      </c>
      <c r="J9010" s="3" t="s">
        <v>25726</v>
      </c>
      <c r="K9010" s="3" t="s">
        <v>58</v>
      </c>
      <c r="L9010" s="3" t="str">
        <f>IFERROR(__xludf.DUMMYFUNCTION("GOOGLETRANSLATE(F9010,""id"",""en"")"),"Nobar Final FIFA World Cup Qatar Argentina Argentina Argentina Champion Score Adu Pinal of")</f>
        <v>Nobar Final FIFA World Cup Qatar Argentina Argentina Argentina Champion Score Adu Pinal of</v>
      </c>
    </row>
    <row r="9011" ht="15.75" customHeight="1">
      <c r="A9011" s="1">
        <v>10239.0</v>
      </c>
      <c r="B9011" s="3" t="s">
        <v>25727</v>
      </c>
      <c r="C9011" s="3">
        <v>0.0</v>
      </c>
      <c r="D9011" s="3">
        <v>3.0</v>
      </c>
      <c r="E9011" s="3">
        <v>0.0</v>
      </c>
      <c r="F9011" s="3" t="s">
        <v>25728</v>
      </c>
      <c r="G9011" s="3">
        <v>1.0</v>
      </c>
      <c r="H9011" s="3">
        <v>0.0</v>
      </c>
      <c r="I9011" s="3" t="s">
        <v>13</v>
      </c>
      <c r="J9011" s="3" t="s">
        <v>25729</v>
      </c>
      <c r="K9011" s="3" t="s">
        <v>50</v>
      </c>
      <c r="L9011" s="3" t="str">
        <f>IFERROR(__xludf.DUMMYFUNCTION("GOOGLETRANSLATE(F9011,""id"",""en"")"),"French Argentina Final Video Wins Messi Penalty Fighting DKK World Champion")</f>
        <v>French Argentina Final Video Wins Messi Penalty Fighting DKK World Champion</v>
      </c>
    </row>
    <row r="9012" ht="15.75" customHeight="1">
      <c r="A9012" s="1">
        <v>10240.0</v>
      </c>
      <c r="B9012" s="3" t="s">
        <v>25730</v>
      </c>
      <c r="C9012" s="3">
        <v>0.0</v>
      </c>
      <c r="D9012" s="3">
        <v>0.0</v>
      </c>
      <c r="E9012" s="3">
        <v>0.0</v>
      </c>
      <c r="F9012" s="3" t="s">
        <v>25731</v>
      </c>
      <c r="G9012" s="3">
        <v>0.0</v>
      </c>
      <c r="H9012" s="3">
        <v>0.0</v>
      </c>
      <c r="I9012" s="3" t="s">
        <v>13</v>
      </c>
      <c r="J9012" s="3" t="s">
        <v>25732</v>
      </c>
      <c r="K9012" s="3" t="s">
        <v>510</v>
      </c>
      <c r="L9012" s="3" t="str">
        <f>IFERROR(__xludf.DUMMYFUNCTION("GOOGLETRANSLATE(F9012,""id"",""en"")"),"Argentina's dramatic victory ending the title of the title during the year as the Qatar World Cup championship")</f>
        <v>Argentina's dramatic victory ending the title of the title during the year as the Qatar World Cup championship</v>
      </c>
    </row>
    <row r="9013" ht="15.75" customHeight="1">
      <c r="A9013" s="1">
        <v>10241.0</v>
      </c>
      <c r="B9013" s="3" t="s">
        <v>25733</v>
      </c>
      <c r="C9013" s="3">
        <v>0.0</v>
      </c>
      <c r="D9013" s="3">
        <v>0.0</v>
      </c>
      <c r="E9013" s="3">
        <v>0.0</v>
      </c>
      <c r="F9013" s="3" t="s">
        <v>25734</v>
      </c>
      <c r="G9013" s="3">
        <v>0.0</v>
      </c>
      <c r="H9013" s="3">
        <v>0.0</v>
      </c>
      <c r="I9013" s="3" t="s">
        <v>13</v>
      </c>
      <c r="J9013" s="3" t="s">
        <v>25735</v>
      </c>
      <c r="K9013" s="3" t="s">
        <v>131</v>
      </c>
      <c r="L9013" s="3" t="str">
        <f>IFERROR(__xludf.DUMMYFUNCTION("GOOGLETRANSLATE(F9013,""id"",""en"")"),"Argentina Last World Cup Champion Year after Messi was born and finally brought Argentina champion again after the year was given the nickname Messiah")</f>
        <v>Argentina Last World Cup Champion Year after Messi was born and finally brought Argentina champion again after the year was given the nickname Messiah</v>
      </c>
    </row>
    <row r="9014" ht="15.75" customHeight="1">
      <c r="A9014" s="1">
        <v>10242.0</v>
      </c>
      <c r="B9014" s="3" t="s">
        <v>25736</v>
      </c>
      <c r="C9014" s="3">
        <v>0.0</v>
      </c>
      <c r="D9014" s="3">
        <v>0.0</v>
      </c>
      <c r="E9014" s="3">
        <v>0.0</v>
      </c>
      <c r="F9014" s="3" t="s">
        <v>25737</v>
      </c>
      <c r="G9014" s="3">
        <v>0.0</v>
      </c>
      <c r="H9014" s="3">
        <v>0.0</v>
      </c>
      <c r="I9014" s="3" t="s">
        <v>13</v>
      </c>
      <c r="J9014" s="3" t="s">
        <v>25738</v>
      </c>
      <c r="K9014" s="3" t="s">
        <v>244</v>
      </c>
      <c r="L9014" s="3" t="str">
        <f>IFERROR(__xludf.DUMMYFUNCTION("GOOGLETRANSLATE(F9014,""id"",""en"")"),"Argentina won the Cup title as much as Kali Kali in the history of the World Cup")</f>
        <v>Argentina won the Cup title as much as Kali Kali in the history of the World Cup</v>
      </c>
    </row>
    <row r="9015" ht="15.75" customHeight="1">
      <c r="A9015" s="1">
        <v>10243.0</v>
      </c>
      <c r="B9015" s="3" t="s">
        <v>25739</v>
      </c>
      <c r="C9015" s="3">
        <v>0.0</v>
      </c>
      <c r="D9015" s="3">
        <v>0.0</v>
      </c>
      <c r="E9015" s="3">
        <v>0.0</v>
      </c>
      <c r="F9015" s="3" t="s">
        <v>25740</v>
      </c>
      <c r="G9015" s="3">
        <v>0.0</v>
      </c>
      <c r="H9015" s="3">
        <v>0.0</v>
      </c>
      <c r="I9015" s="3" t="s">
        <v>13</v>
      </c>
      <c r="J9015" s="3" t="s">
        <v>25741</v>
      </c>
      <c r="K9015" s="3" t="s">
        <v>123</v>
      </c>
      <c r="L9015" s="3" t="str">
        <f>IFERROR(__xludf.DUMMYFUNCTION("GOOGLETRANSLATE(F9015,""id"",""en"")"),"as the person who supports Argentina from this Pildun, our childhood dreams to see Argentina are more complete because they are led by Leo Messi")</f>
        <v>as the person who supports Argentina from this Pildun, our childhood dreams to see Argentina are more complete because they are led by Leo Messi</v>
      </c>
    </row>
    <row r="9016" ht="15.75" customHeight="1">
      <c r="A9016" s="1">
        <v>10244.0</v>
      </c>
      <c r="B9016" s="3" t="s">
        <v>25742</v>
      </c>
      <c r="C9016" s="3">
        <v>0.0</v>
      </c>
      <c r="D9016" s="3">
        <v>0.0</v>
      </c>
      <c r="E9016" s="3">
        <v>0.0</v>
      </c>
      <c r="F9016" s="3" t="s">
        <v>25743</v>
      </c>
      <c r="G9016" s="3">
        <v>0.0</v>
      </c>
      <c r="H9016" s="3">
        <v>0.0</v>
      </c>
      <c r="I9016" s="3" t="s">
        <v>13</v>
      </c>
      <c r="J9016" s="3" t="s">
        <v>25744</v>
      </c>
      <c r="K9016" s="3" t="s">
        <v>82</v>
      </c>
      <c r="L9016" s="3" t="str">
        <f>IFERROR(__xludf.DUMMYFUNCTION("GOOGLETRANSLATE(F9016,""id"",""en"")"),"Errata since the year of Argentina has become a world champion")</f>
        <v>Errata since the year of Argentina has become a world champion</v>
      </c>
    </row>
    <row r="9017" ht="15.75" customHeight="1">
      <c r="A9017" s="1">
        <v>10245.0</v>
      </c>
      <c r="B9017" s="3" t="s">
        <v>25745</v>
      </c>
      <c r="C9017" s="3">
        <v>0.0</v>
      </c>
      <c r="D9017" s="3">
        <v>0.0</v>
      </c>
      <c r="E9017" s="3">
        <v>0.0</v>
      </c>
      <c r="F9017" s="3" t="s">
        <v>25443</v>
      </c>
      <c r="G9017" s="3">
        <v>0.0</v>
      </c>
      <c r="H9017" s="3">
        <v>0.0</v>
      </c>
      <c r="I9017" s="3" t="s">
        <v>13</v>
      </c>
      <c r="J9017" s="3" t="s">
        <v>25444</v>
      </c>
      <c r="K9017" s="3" t="s">
        <v>236</v>
      </c>
      <c r="L9017" s="3" t="str">
        <f>IFERROR(__xludf.DUMMYFUNCTION("GOOGLETRANSLATE(F9017,""id"",""en"")"),"Argentina won a lot of this list of World Cup champions from the days")</f>
        <v>Argentina won a lot of this list of World Cup champions from the days</v>
      </c>
    </row>
    <row r="9018" ht="15.75" customHeight="1">
      <c r="A9018" s="1">
        <v>10246.0</v>
      </c>
      <c r="B9018" s="3" t="s">
        <v>25746</v>
      </c>
      <c r="C9018" s="3">
        <v>0.0</v>
      </c>
      <c r="D9018" s="3">
        <v>0.0</v>
      </c>
      <c r="E9018" s="3">
        <v>0.0</v>
      </c>
      <c r="F9018" s="3" t="s">
        <v>25747</v>
      </c>
      <c r="G9018" s="3">
        <v>0.0</v>
      </c>
      <c r="H9018" s="3">
        <v>0.0</v>
      </c>
      <c r="I9018" s="3" t="s">
        <v>13</v>
      </c>
      <c r="J9018" s="3" t="s">
        <v>25748</v>
      </c>
      <c r="K9018" s="3" t="s">
        <v>449</v>
      </c>
      <c r="L9018" s="3" t="str">
        <f>IFERROR(__xludf.DUMMYFUNCTION("GOOGLETRANSLATE(F9018,""id"",""en"")"),"Bismillah, the results of the purpose of the novel Kira Hed with Mugi Saget in search of the Aceh Sultanate as well as seeing the success of Argentina to embrace the World Cup champion and Messi completes it")</f>
        <v>Bismillah, the results of the purpose of the novel Kira Hed with Mugi Saget in search of the Aceh Sultanate as well as seeing the success of Argentina to embrace the World Cup champion and Messi completes it</v>
      </c>
    </row>
    <row r="9019" ht="15.75" customHeight="1">
      <c r="A9019" s="1">
        <v>10247.0</v>
      </c>
      <c r="B9019" s="3" t="s">
        <v>25749</v>
      </c>
      <c r="C9019" s="3">
        <v>0.0</v>
      </c>
      <c r="D9019" s="3">
        <v>0.0</v>
      </c>
      <c r="E9019" s="3">
        <v>0.0</v>
      </c>
      <c r="F9019" s="3" t="s">
        <v>25750</v>
      </c>
      <c r="G9019" s="3">
        <v>0.0</v>
      </c>
      <c r="H9019" s="3">
        <v>0.0</v>
      </c>
      <c r="I9019" s="3" t="s">
        <v>13</v>
      </c>
      <c r="J9019" s="3" t="s">
        <v>25751</v>
      </c>
      <c r="K9019" s="3" t="s">
        <v>82</v>
      </c>
      <c r="L9019" s="3" t="str">
        <f>IFERROR(__xludf.DUMMYFUNCTION("GOOGLETRANSLATE(F9019,""id"",""en"")"),"Goodgame Messi Argentina Champion World Cup heheheheee")</f>
        <v>Goodgame Messi Argentina Champion World Cup heheheheee</v>
      </c>
    </row>
    <row r="9020" ht="15.75" customHeight="1">
      <c r="A9020" s="1">
        <v>10248.0</v>
      </c>
      <c r="B9020" s="3" t="s">
        <v>25752</v>
      </c>
      <c r="C9020" s="3">
        <v>0.0</v>
      </c>
      <c r="D9020" s="3">
        <v>4.0</v>
      </c>
      <c r="E9020" s="3">
        <v>11.0</v>
      </c>
      <c r="F9020" s="3" t="s">
        <v>25753</v>
      </c>
      <c r="G9020" s="3">
        <v>0.0</v>
      </c>
      <c r="H9020" s="3">
        <v>0.0</v>
      </c>
      <c r="I9020" s="3" t="s">
        <v>13</v>
      </c>
      <c r="J9020" s="3" t="s">
        <v>25754</v>
      </c>
      <c r="K9020" s="3" t="s">
        <v>215</v>
      </c>
      <c r="L9020" s="3" t="str">
        <f>IFERROR(__xludf.DUMMYFUNCTION("GOOGLETRANSLATE(F9020,""id"",""en"")"),"Argentina finally controlled the world of thirty -six years after Diego Maradona brought Albiceleste to win the Mexican World Cup, it was Lionel Messi's turn to lift the Lusail Qatar Stadium trophy")</f>
        <v>Argentina finally controlled the world of thirty -six years after Diego Maradona brought Albiceleste to win the Mexican World Cup, it was Lionel Messi's turn to lift the Lusail Qatar Stadium trophy</v>
      </c>
    </row>
    <row r="9021" ht="15.75" customHeight="1">
      <c r="A9021" s="1">
        <v>10249.0</v>
      </c>
      <c r="B9021" s="3" t="s">
        <v>25755</v>
      </c>
      <c r="C9021" s="3">
        <v>0.0</v>
      </c>
      <c r="D9021" s="3">
        <v>0.0</v>
      </c>
      <c r="E9021" s="3">
        <v>0.0</v>
      </c>
      <c r="F9021" s="3" t="s">
        <v>25756</v>
      </c>
      <c r="G9021" s="3">
        <v>0.0</v>
      </c>
      <c r="H9021" s="3">
        <v>0.0</v>
      </c>
      <c r="I9021" s="3" t="s">
        <v>13</v>
      </c>
      <c r="J9021" s="3" t="s">
        <v>25757</v>
      </c>
      <c r="K9021" s="3" t="s">
        <v>15</v>
      </c>
      <c r="L9021" s="3" t="str">
        <f>IFERROR(__xludf.DUMMYFUNCTION("GOOGLETRANSLATE(F9021,""id"",""en"")"),"Argentina is now turn to Indonesia Bismillah can win the AFF Cup")</f>
        <v>Argentina is now turn to Indonesia Bismillah can win the AFF Cup</v>
      </c>
    </row>
    <row r="9022" ht="15.75" customHeight="1">
      <c r="A9022" s="1">
        <v>10250.0</v>
      </c>
      <c r="B9022" s="3" t="s">
        <v>25758</v>
      </c>
      <c r="C9022" s="3">
        <v>0.0</v>
      </c>
      <c r="D9022" s="3">
        <v>0.0</v>
      </c>
      <c r="E9022" s="3">
        <v>0.0</v>
      </c>
      <c r="F9022" s="3" t="s">
        <v>25759</v>
      </c>
      <c r="G9022" s="3">
        <v>0.5</v>
      </c>
      <c r="H9022" s="3">
        <v>0.1363636363636364</v>
      </c>
      <c r="I9022" s="3" t="s">
        <v>48</v>
      </c>
      <c r="J9022" s="3" t="s">
        <v>25760</v>
      </c>
      <c r="K9022" s="3" t="s">
        <v>2610</v>
      </c>
      <c r="L9022" s="3" t="str">
        <f>IFERROR(__xludf.DUMMYFUNCTION("GOOGLETRANSLATE(F9022,""id"",""en"")"),"Hayooo who is here, the guess is true that Argentina is the World Cup champion, wait for the winner lottery tomorrow, live from Instagram Emperorspa stay tuned huh")</f>
        <v>Hayooo who is here, the guess is true that Argentina is the World Cup champion, wait for the winner lottery tomorrow, live from Instagram Emperorspa stay tuned huh</v>
      </c>
    </row>
    <row r="9023" ht="15.75" customHeight="1">
      <c r="A9023" s="1">
        <v>10251.0</v>
      </c>
      <c r="B9023" s="3" t="s">
        <v>25761</v>
      </c>
      <c r="C9023" s="3">
        <v>0.0</v>
      </c>
      <c r="D9023" s="3">
        <v>0.0</v>
      </c>
      <c r="E9023" s="3">
        <v>0.0</v>
      </c>
      <c r="F9023" s="3" t="s">
        <v>25762</v>
      </c>
      <c r="G9023" s="3">
        <v>0.84375</v>
      </c>
      <c r="H9023" s="3">
        <v>-0.45625</v>
      </c>
      <c r="I9023" s="3" t="s">
        <v>179</v>
      </c>
      <c r="J9023" s="3" t="s">
        <v>25763</v>
      </c>
      <c r="K9023" s="3" t="s">
        <v>1628</v>
      </c>
      <c r="L9023" s="3" t="str">
        <f>IFERROR(__xludf.DUMMYFUNCTION("GOOGLETRANSLATE(F9023,""id"",""en"")"),"Pict the photo of the politician Madep Border gives a closed impression that the placement of photos of the Awkward politician floats like that the photo supports Argentina champion what that supposed mean")</f>
        <v>Pict the photo of the politician Madep Border gives a closed impression that the placement of photos of the Awkward politician floats like that the photo supports Argentina champion what that supposed mean</v>
      </c>
    </row>
    <row r="9024" ht="15.75" customHeight="1">
      <c r="A9024" s="1">
        <v>10252.0</v>
      </c>
      <c r="B9024" s="3" t="s">
        <v>25764</v>
      </c>
      <c r="C9024" s="3">
        <v>0.0</v>
      </c>
      <c r="D9024" s="3">
        <v>0.0</v>
      </c>
      <c r="E9024" s="3">
        <v>0.0</v>
      </c>
      <c r="F9024" s="3" t="s">
        <v>25765</v>
      </c>
      <c r="G9024" s="3">
        <v>0.0</v>
      </c>
      <c r="H9024" s="3">
        <v>0.0</v>
      </c>
      <c r="I9024" s="3" t="s">
        <v>13</v>
      </c>
      <c r="J9024" s="3" t="s">
        <v>25766</v>
      </c>
      <c r="K9024" s="3" t="s">
        <v>16539</v>
      </c>
      <c r="L9024" s="3" t="str">
        <f>IFERROR(__xludf.DUMMYFUNCTION("GOOGLETRANSLATE(F9024,""id"",""en"")"),"Supports Argentina champions because Messi's fans support Argentina champions because of the Dodo behavior")</f>
        <v>Supports Argentina champions because Messi's fans support Argentina champions because of the Dodo behavior</v>
      </c>
    </row>
    <row r="9025" ht="15.75" customHeight="1">
      <c r="A9025" s="1">
        <v>10253.0</v>
      </c>
      <c r="B9025" s="3" t="s">
        <v>25767</v>
      </c>
      <c r="C9025" s="3">
        <v>0.0</v>
      </c>
      <c r="D9025" s="3">
        <v>1.0</v>
      </c>
      <c r="E9025" s="3">
        <v>0.0</v>
      </c>
      <c r="F9025" s="3" t="s">
        <v>25768</v>
      </c>
      <c r="G9025" s="3">
        <v>1.0</v>
      </c>
      <c r="H9025" s="3">
        <v>0.0</v>
      </c>
      <c r="I9025" s="3" t="s">
        <v>13</v>
      </c>
      <c r="J9025" s="3" t="s">
        <v>25769</v>
      </c>
      <c r="K9025" s="3" t="s">
        <v>449</v>
      </c>
      <c r="L9025" s="3" t="str">
        <f>IFERROR(__xludf.DUMMYFUNCTION("GOOGLETRANSLATE(F9025,""id"",""en"")"),"Carlos Bilardo was originally a doctor who also served as a football player twice in a row to bring the final qualify as a coach but failed to win the second occasion with Didier Deschamps last night")</f>
        <v>Carlos Bilardo was originally a doctor who also served as a football player twice in a row to bring the final qualify as a coach but failed to win the second occasion with Didier Deschamps last night</v>
      </c>
    </row>
    <row r="9026" ht="15.75" customHeight="1">
      <c r="A9026" s="1">
        <v>10254.0</v>
      </c>
      <c r="B9026" s="3" t="s">
        <v>25770</v>
      </c>
      <c r="C9026" s="3">
        <v>0.0</v>
      </c>
      <c r="D9026" s="3">
        <v>0.0</v>
      </c>
      <c r="E9026" s="3">
        <v>0.0</v>
      </c>
      <c r="F9026" s="3" t="s">
        <v>25771</v>
      </c>
      <c r="G9026" s="3">
        <v>0.0</v>
      </c>
      <c r="H9026" s="3">
        <v>0.0</v>
      </c>
      <c r="I9026" s="3" t="s">
        <v>13</v>
      </c>
      <c r="J9026" s="3" t="s">
        <v>25772</v>
      </c>
      <c r="K9026" s="3" t="s">
        <v>31</v>
      </c>
      <c r="L9026" s="3" t="str">
        <f>IFERROR(__xludf.DUMMYFUNCTION("GOOGLETRANSLATE(F9026,""id"",""en"")"),"fass yes last night Argentina champions")</f>
        <v>fass yes last night Argentina champions</v>
      </c>
    </row>
    <row r="9027" ht="15.75" customHeight="1">
      <c r="A9027" s="1">
        <v>10255.0</v>
      </c>
      <c r="B9027" s="3" t="s">
        <v>25773</v>
      </c>
      <c r="C9027" s="3">
        <v>0.0</v>
      </c>
      <c r="D9027" s="3">
        <v>5.0</v>
      </c>
      <c r="E9027" s="3">
        <v>20.0</v>
      </c>
      <c r="F9027" s="3" t="s">
        <v>25774</v>
      </c>
      <c r="G9027" s="3">
        <v>1.0</v>
      </c>
      <c r="H9027" s="3">
        <v>1.0</v>
      </c>
      <c r="I9027" s="3" t="s">
        <v>48</v>
      </c>
      <c r="J9027" s="3" t="s">
        <v>25775</v>
      </c>
      <c r="K9027" s="3" t="s">
        <v>127</v>
      </c>
      <c r="L9027" s="3" t="str">
        <f>IFERROR(__xludf.DUMMYFUNCTION("GOOGLETRANSLATE(F9027,""id"",""en"")"),"Argentina Fans Ternate partying celebrates the World Cup title by conducting a parade around Messi The Greatest All Time")</f>
        <v>Argentina Fans Ternate partying celebrates the World Cup title by conducting a parade around Messi The Greatest All Time</v>
      </c>
    </row>
    <row r="9028" ht="15.75" customHeight="1">
      <c r="A9028" s="1">
        <v>10256.0</v>
      </c>
      <c r="B9028" s="3" t="s">
        <v>25776</v>
      </c>
      <c r="C9028" s="3">
        <v>0.0</v>
      </c>
      <c r="D9028" s="3">
        <v>2.0</v>
      </c>
      <c r="E9028" s="3">
        <v>0.0</v>
      </c>
      <c r="F9028" s="3" t="s">
        <v>25777</v>
      </c>
      <c r="G9028" s="3">
        <v>0.5</v>
      </c>
      <c r="H9028" s="3">
        <v>0.5</v>
      </c>
      <c r="I9028" s="3" t="s">
        <v>48</v>
      </c>
      <c r="J9028" s="3" t="s">
        <v>25778</v>
      </c>
      <c r="K9028" s="3" t="s">
        <v>5404</v>
      </c>
      <c r="L9028" s="3" t="str">
        <f>IFERROR(__xludf.DUMMYFUNCTION("GOOGLETRANSLATE(F9028,""id"",""en"")"),"Argentina Champion World Cup Argentina Top Scorer Mario Kempes Mexico Top Scorer Diego Maradona Gol Qatar Top Scorer Lionel Messi Gol Gol")</f>
        <v>Argentina Champion World Cup Argentina Top Scorer Mario Kempes Mexico Top Scorer Diego Maradona Gol Qatar Top Scorer Lionel Messi Gol Gol</v>
      </c>
    </row>
    <row r="9029" ht="15.75" customHeight="1">
      <c r="A9029" s="1">
        <v>10257.0</v>
      </c>
      <c r="B9029" s="3" t="s">
        <v>25779</v>
      </c>
      <c r="C9029" s="3">
        <v>0.0</v>
      </c>
      <c r="D9029" s="3">
        <v>1.0</v>
      </c>
      <c r="E9029" s="3">
        <v>1.0</v>
      </c>
      <c r="F9029" s="3" t="s">
        <v>25780</v>
      </c>
      <c r="G9029" s="3">
        <v>0.0</v>
      </c>
      <c r="H9029" s="3">
        <v>0.0</v>
      </c>
      <c r="I9029" s="3" t="s">
        <v>13</v>
      </c>
      <c r="J9029" s="3" t="s">
        <v>25781</v>
      </c>
      <c r="K9029" s="3" t="s">
        <v>510</v>
      </c>
      <c r="L9029" s="3" t="str">
        <f>IFERROR(__xludf.DUMMYFUNCTION("GOOGLETRANSLATE(F9029,""id"",""en"")"),"Unique facts coloring the story of Lionel Messi who was able to bring Argentina to become the World Cup champion after")</f>
        <v>Unique facts coloring the story of Lionel Messi who was able to bring Argentina to become the World Cup champion after</v>
      </c>
    </row>
    <row r="9030" ht="15.75" customHeight="1">
      <c r="A9030" s="1">
        <v>10258.0</v>
      </c>
      <c r="B9030" s="3" t="s">
        <v>25782</v>
      </c>
      <c r="C9030" s="3">
        <v>0.0</v>
      </c>
      <c r="D9030" s="3">
        <v>0.0</v>
      </c>
      <c r="E9030" s="3">
        <v>0.0</v>
      </c>
      <c r="F9030" s="3" t="s">
        <v>25783</v>
      </c>
      <c r="G9030" s="3">
        <v>0.0</v>
      </c>
      <c r="H9030" s="3">
        <v>0.0</v>
      </c>
      <c r="I9030" s="3" t="s">
        <v>13</v>
      </c>
      <c r="J9030" s="3" t="s">
        <v>25784</v>
      </c>
      <c r="K9030" s="3" t="s">
        <v>58</v>
      </c>
      <c r="L9030" s="3" t="str">
        <f>IFERROR(__xludf.DUMMYFUNCTION("GOOGLETRANSLATE(F9030,""id"",""en"")"),"Tribunnews Lionel Messi's Love Story and Antonella Viral After Argentina Champion turned out to be from the love of Monkey Via")</f>
        <v>Tribunnews Lionel Messi's Love Story and Antonella Viral After Argentina Champion turned out to be from the love of Monkey Via</v>
      </c>
    </row>
    <row r="9031" ht="15.75" customHeight="1">
      <c r="A9031" s="1">
        <v>10259.0</v>
      </c>
      <c r="B9031" s="3" t="s">
        <v>25785</v>
      </c>
      <c r="C9031" s="3">
        <v>0.0</v>
      </c>
      <c r="D9031" s="3">
        <v>0.0</v>
      </c>
      <c r="E9031" s="3">
        <v>0.0</v>
      </c>
      <c r="F9031" s="3" t="s">
        <v>25786</v>
      </c>
      <c r="G9031" s="3">
        <v>1.0</v>
      </c>
      <c r="H9031" s="3">
        <v>0.5</v>
      </c>
      <c r="I9031" s="3" t="s">
        <v>48</v>
      </c>
      <c r="J9031" s="3" t="s">
        <v>25787</v>
      </c>
      <c r="K9031" s="3" t="s">
        <v>699</v>
      </c>
      <c r="L9031" s="3" t="str">
        <f>IFERROR(__xludf.DUMMYFUNCTION("GOOGLETRANSLATE(F9031,""id"",""en"")"),"Argentina won the World Cup Event Guess the Score Score World Cup Subur Grand Prize Unit Iphone Pro Continue")</f>
        <v>Argentina won the World Cup Event Guess the Score Score World Cup Subur Grand Prize Unit Iphone Pro Continue</v>
      </c>
    </row>
    <row r="9032" ht="15.75" customHeight="1">
      <c r="A9032" s="1">
        <v>10260.0</v>
      </c>
      <c r="B9032" s="3" t="s">
        <v>25788</v>
      </c>
      <c r="C9032" s="3">
        <v>1.0</v>
      </c>
      <c r="D9032" s="3">
        <v>0.0</v>
      </c>
      <c r="E9032" s="3">
        <v>0.0</v>
      </c>
      <c r="F9032" s="3" t="s">
        <v>25789</v>
      </c>
      <c r="G9032" s="3">
        <v>0.2</v>
      </c>
      <c r="H9032" s="3">
        <v>-0.1</v>
      </c>
      <c r="I9032" s="3" t="s">
        <v>179</v>
      </c>
      <c r="J9032" s="3" t="s">
        <v>25790</v>
      </c>
      <c r="K9032" s="3" t="s">
        <v>795</v>
      </c>
      <c r="L9032" s="3" t="str">
        <f>IFERROR(__xludf.DUMMYFUNCTION("GOOGLETRANSLATE(F9032,""id"",""en"")"),"The Argentina World Cup Champion Mental We Mental Pay attention to the statistics of the last year Messi from the club finish season while PSG Club Messi is currently finishing this season while PSG")</f>
        <v>The Argentina World Cup Champion Mental We Mental Pay attention to the statistics of the last year Messi from the club finish season while PSG Club Messi is currently finishing this season while PSG</v>
      </c>
    </row>
    <row r="9033" ht="15.75" customHeight="1">
      <c r="A9033" s="1">
        <v>10261.0</v>
      </c>
      <c r="B9033" s="3" t="s">
        <v>25791</v>
      </c>
      <c r="C9033" s="3">
        <v>0.0</v>
      </c>
      <c r="D9033" s="3">
        <v>0.0</v>
      </c>
      <c r="E9033" s="3">
        <v>0.0</v>
      </c>
      <c r="F9033" s="3" t="s">
        <v>25792</v>
      </c>
      <c r="G9033" s="3">
        <v>0.0</v>
      </c>
      <c r="H9033" s="3">
        <v>0.0</v>
      </c>
      <c r="I9033" s="3" t="s">
        <v>13</v>
      </c>
      <c r="J9033" s="3" t="s">
        <v>25793</v>
      </c>
      <c r="K9033" s="3" t="s">
        <v>657</v>
      </c>
      <c r="L9033" s="3" t="str">
        <f>IFERROR(__xludf.DUMMYFUNCTION("GOOGLETRANSLATE(F9033,""id"",""en"")"),"Argentina won the World Cup Rodrigo Paul celebrating with a goal net and a photo cigar photo suction")</f>
        <v>Argentina won the World Cup Rodrigo Paul celebrating with a goal net and a photo cigar photo suction</v>
      </c>
    </row>
    <row r="9034" ht="15.75" customHeight="1">
      <c r="A9034" s="1">
        <v>10262.0</v>
      </c>
      <c r="B9034" s="3" t="s">
        <v>25794</v>
      </c>
      <c r="C9034" s="3">
        <v>0.0</v>
      </c>
      <c r="D9034" s="3">
        <v>0.0</v>
      </c>
      <c r="E9034" s="3">
        <v>8.0</v>
      </c>
      <c r="F9034" s="3" t="s">
        <v>25795</v>
      </c>
      <c r="G9034" s="3">
        <v>0.0</v>
      </c>
      <c r="H9034" s="3">
        <v>0.0</v>
      </c>
      <c r="I9034" s="3" t="s">
        <v>13</v>
      </c>
      <c r="J9034" s="3" t="s">
        <v>25796</v>
      </c>
      <c r="K9034" s="3" t="s">
        <v>240</v>
      </c>
      <c r="L9034" s="3" t="str">
        <f>IFERROR(__xludf.DUMMYFUNCTION("GOOGLETRANSLATE(F9034,""id"",""en"")"),"France failed to defend the World Cup title which was more painful Les Bleus had a hope before Argentina was thrown")</f>
        <v>France failed to defend the World Cup title which was more painful Les Bleus had a hope before Argentina was thrown</v>
      </c>
    </row>
    <row r="9035" ht="15.75" customHeight="1">
      <c r="A9035" s="1">
        <v>10263.0</v>
      </c>
      <c r="B9035" s="3" t="s">
        <v>25797</v>
      </c>
      <c r="C9035" s="3">
        <v>0.0</v>
      </c>
      <c r="D9035" s="3">
        <v>0.0</v>
      </c>
      <c r="E9035" s="3">
        <v>1.0</v>
      </c>
      <c r="F9035" s="3" t="s">
        <v>25798</v>
      </c>
      <c r="G9035" s="3">
        <v>0.3</v>
      </c>
      <c r="H9035" s="3">
        <v>1.0</v>
      </c>
      <c r="I9035" s="3" t="s">
        <v>48</v>
      </c>
      <c r="J9035" s="3" t="s">
        <v>25799</v>
      </c>
      <c r="K9035" s="3" t="s">
        <v>15</v>
      </c>
      <c r="L9035" s="3" t="str">
        <f>IFERROR(__xludf.DUMMYFUNCTION("GOOGLETRANSLATE(F9035,""id"",""en"")"),"Singapore Predictions Monday December Best Shio Pig Bbfs")</f>
        <v>Singapore Predictions Monday December Best Shio Pig Bbfs</v>
      </c>
    </row>
    <row r="9036" ht="15.75" customHeight="1">
      <c r="A9036" s="1">
        <v>10264.0</v>
      </c>
      <c r="B9036" s="3" t="s">
        <v>25800</v>
      </c>
      <c r="C9036" s="3">
        <v>0.0</v>
      </c>
      <c r="D9036" s="3">
        <v>0.0</v>
      </c>
      <c r="E9036" s="3">
        <v>1.0</v>
      </c>
      <c r="F9036" s="3" t="s">
        <v>25801</v>
      </c>
      <c r="G9036" s="3">
        <v>0.3</v>
      </c>
      <c r="H9036" s="3">
        <v>1.0</v>
      </c>
      <c r="I9036" s="3" t="s">
        <v>48</v>
      </c>
      <c r="J9036" s="3" t="s">
        <v>25802</v>
      </c>
      <c r="K9036" s="3" t="s">
        <v>2215</v>
      </c>
      <c r="L9036" s="3" t="str">
        <f>IFERROR(__xludf.DUMMYFUNCTION("GOOGLETRANSLATE(F9036,""id"",""en"")"),"China December Output Results Shio Rabbit Prediction Japan Monday December Best Shio Chicken Bbfs")</f>
        <v>China December Output Results Shio Rabbit Prediction Japan Monday December Best Shio Chicken Bbfs</v>
      </c>
    </row>
    <row r="9037" ht="15.75" customHeight="1">
      <c r="A9037" s="1">
        <v>10265.0</v>
      </c>
      <c r="B9037" s="3" t="s">
        <v>25803</v>
      </c>
      <c r="C9037" s="3">
        <v>1.0</v>
      </c>
      <c r="D9037" s="3">
        <v>0.0</v>
      </c>
      <c r="E9037" s="3">
        <v>0.0</v>
      </c>
      <c r="F9037" s="3" t="s">
        <v>25804</v>
      </c>
      <c r="G9037" s="3">
        <v>0.0</v>
      </c>
      <c r="H9037" s="3">
        <v>0.0</v>
      </c>
      <c r="I9037" s="3" t="s">
        <v>13</v>
      </c>
      <c r="J9037" s="3" t="s">
        <v>25805</v>
      </c>
      <c r="K9037" s="3" t="s">
        <v>4609</v>
      </c>
      <c r="L9037" s="3" t="str">
        <f>IFERROR(__xludf.DUMMYFUNCTION("GOOGLETRANSLATE(F9037,""id"",""en"")"),"Argentina Champion World Cup Try to check this Argentina Twibbonize Champion World Cup through the FABBB link")</f>
        <v>Argentina Champion World Cup Try to check this Argentina Twibbonize Champion World Cup through the FABBB link</v>
      </c>
    </row>
    <row r="9038" ht="15.75" customHeight="1">
      <c r="A9038" s="1">
        <v>10266.0</v>
      </c>
      <c r="B9038" s="3" t="s">
        <v>25806</v>
      </c>
      <c r="C9038" s="3">
        <v>0.0</v>
      </c>
      <c r="D9038" s="3">
        <v>0.0</v>
      </c>
      <c r="E9038" s="3">
        <v>0.0</v>
      </c>
      <c r="F9038" s="3" t="s">
        <v>23759</v>
      </c>
      <c r="G9038" s="3">
        <v>0.0</v>
      </c>
      <c r="H9038" s="3">
        <v>0.0</v>
      </c>
      <c r="I9038" s="3" t="s">
        <v>13</v>
      </c>
      <c r="J9038" s="3" t="s">
        <v>23760</v>
      </c>
      <c r="K9038" s="3" t="s">
        <v>41</v>
      </c>
      <c r="L9038" s="3" t="str">
        <f>IFERROR(__xludf.DUMMYFUNCTION("GOOGLETRANSLATE(F9038,""id"",""en"")"),"Ronaldo is happy Lionel Messi and Argentina World Cup champions")</f>
        <v>Ronaldo is happy Lionel Messi and Argentina World Cup champions</v>
      </c>
    </row>
    <row r="9039" ht="15.75" customHeight="1">
      <c r="A9039" s="1">
        <v>10267.0</v>
      </c>
      <c r="B9039" s="3" t="s">
        <v>25807</v>
      </c>
      <c r="C9039" s="3">
        <v>0.0</v>
      </c>
      <c r="D9039" s="3">
        <v>0.0</v>
      </c>
      <c r="E9039" s="3">
        <v>0.0</v>
      </c>
      <c r="F9039" s="3" t="s">
        <v>25808</v>
      </c>
      <c r="G9039" s="3">
        <v>0.0</v>
      </c>
      <c r="H9039" s="3">
        <v>0.0</v>
      </c>
      <c r="I9039" s="3" t="s">
        <v>13</v>
      </c>
      <c r="J9039" s="3" t="s">
        <v>25809</v>
      </c>
      <c r="K9039" s="3" t="s">
        <v>215</v>
      </c>
      <c r="L9039" s="3" t="str">
        <f>IFERROR(__xludf.DUMMYFUNCTION("GOOGLETRANSLATE(F9039,""id"",""en"")"),"It is necessary to be clearly seated that lur that the defeat of Rome and Liverpool is the momentum of the kicking of the snowball for the first time until then Messi can focus on International Football until the champion of Pilduun with Argentina WQWQ")</f>
        <v>It is necessary to be clearly seated that lur that the defeat of Rome and Liverpool is the momentum of the kicking of the snowball for the first time until then Messi can focus on International Football until the champion of Pilduun with Argentina WQWQ</v>
      </c>
    </row>
    <row r="9040" ht="15.75" customHeight="1">
      <c r="A9040" s="1">
        <v>10268.0</v>
      </c>
      <c r="B9040" s="3" t="s">
        <v>25810</v>
      </c>
      <c r="C9040" s="3">
        <v>0.0</v>
      </c>
      <c r="D9040" s="3">
        <v>0.0</v>
      </c>
      <c r="E9040" s="3">
        <v>5.0</v>
      </c>
      <c r="F9040" s="3" t="s">
        <v>25811</v>
      </c>
      <c r="G9040" s="3">
        <v>0.0</v>
      </c>
      <c r="H9040" s="3">
        <v>0.0</v>
      </c>
      <c r="I9040" s="3" t="s">
        <v>13</v>
      </c>
      <c r="J9040" s="3" t="s">
        <v>25812</v>
      </c>
      <c r="K9040" s="3" t="s">
        <v>657</v>
      </c>
      <c r="L9040" s="3" t="str">
        <f>IFERROR(__xludf.DUMMYFUNCTION("GOOGLETRANSLATE(F9040,""id"",""en"")"),"The success of Lionel Messi brought Argentina World Cup champions also received a response from the legendary striker of Brazilian national team Ronaldo")</f>
        <v>The success of Lionel Messi brought Argentina World Cup champions also received a response from the legendary striker of Brazilian national team Ronaldo</v>
      </c>
    </row>
    <row r="9041" ht="15.75" customHeight="1">
      <c r="A9041" s="1">
        <v>10269.0</v>
      </c>
      <c r="B9041" s="3" t="s">
        <v>25813</v>
      </c>
      <c r="C9041" s="3">
        <v>2.0</v>
      </c>
      <c r="D9041" s="3">
        <v>14.0</v>
      </c>
      <c r="E9041" s="3">
        <v>106.0</v>
      </c>
      <c r="F9041" s="3" t="s">
        <v>25814</v>
      </c>
      <c r="G9041" s="3">
        <v>0.0</v>
      </c>
      <c r="H9041" s="3">
        <v>0.0</v>
      </c>
      <c r="I9041" s="3" t="s">
        <v>13</v>
      </c>
      <c r="J9041" s="3" t="s">
        <v>25815</v>
      </c>
      <c r="K9041" s="3" t="s">
        <v>4784</v>
      </c>
      <c r="L9041" s="3" t="str">
        <f>IFERROR(__xludf.DUMMYFUNCTION("GOOGLETRANSLATE(F9041,""id"",""en"")"),"Argentina MJD World Champion The fans made the Church with the existent contest of God present his commands where the number of the Maradona EXISTE church number was founded")</f>
        <v>Argentina MJD World Champion The fans made the Church with the existent contest of God present his commands where the number of the Maradona EXISTE church number was founded</v>
      </c>
    </row>
    <row r="9042" ht="15.75" customHeight="1">
      <c r="A9042" s="1">
        <v>10270.0</v>
      </c>
      <c r="B9042" s="3" t="s">
        <v>25816</v>
      </c>
      <c r="C9042" s="3">
        <v>0.0</v>
      </c>
      <c r="D9042" s="3">
        <v>0.0</v>
      </c>
      <c r="E9042" s="3">
        <v>5.0</v>
      </c>
      <c r="F9042" s="3" t="s">
        <v>25817</v>
      </c>
      <c r="G9042" s="3">
        <v>0.0</v>
      </c>
      <c r="H9042" s="3">
        <v>0.0</v>
      </c>
      <c r="I9042" s="3" t="s">
        <v>13</v>
      </c>
      <c r="J9042" s="3" t="s">
        <v>25818</v>
      </c>
      <c r="K9042" s="3" t="s">
        <v>75</v>
      </c>
      <c r="L9042" s="3" t="str">
        <f>IFERROR(__xludf.DUMMYFUNCTION("GOOGLETRANSLATE(F9042,""id"",""en"")"),"Finally, all the expression and celebration that was buried was issued after Argentina, the Great Champion of Scaloni hehe")</f>
        <v>Finally, all the expression and celebration that was buried was issued after Argentina, the Great Champion of Scaloni hehe</v>
      </c>
    </row>
    <row r="9043" ht="15.75" customHeight="1">
      <c r="A9043" s="1">
        <v>10271.0</v>
      </c>
      <c r="B9043" s="3" t="s">
        <v>25819</v>
      </c>
      <c r="C9043" s="3">
        <v>0.0</v>
      </c>
      <c r="D9043" s="3">
        <v>0.0</v>
      </c>
      <c r="E9043" s="3">
        <v>0.0</v>
      </c>
      <c r="F9043" s="3" t="s">
        <v>25820</v>
      </c>
      <c r="G9043" s="3">
        <v>0.0</v>
      </c>
      <c r="H9043" s="3">
        <v>0.0</v>
      </c>
      <c r="I9043" s="3" t="s">
        <v>13</v>
      </c>
      <c r="J9043" s="3" t="s">
        <v>25821</v>
      </c>
      <c r="K9043" s="3" t="s">
        <v>644</v>
      </c>
      <c r="L9043" s="3" t="str">
        <f>IFERROR(__xludf.DUMMYFUNCTION("GOOGLETRANSLATE(F9043,""id"",""en"")"),"Argentina Champion Is this a sign that I will get")</f>
        <v>Argentina Champion Is this a sign that I will get</v>
      </c>
    </row>
    <row r="9044" ht="15.75" customHeight="1">
      <c r="A9044" s="1">
        <v>10272.0</v>
      </c>
      <c r="B9044" s="3" t="s">
        <v>25822</v>
      </c>
      <c r="C9044" s="3">
        <v>0.0</v>
      </c>
      <c r="D9044" s="3">
        <v>0.0</v>
      </c>
      <c r="E9044" s="3">
        <v>0.0</v>
      </c>
      <c r="F9044" s="3" t="s">
        <v>25823</v>
      </c>
      <c r="G9044" s="3">
        <v>0.0</v>
      </c>
      <c r="H9044" s="3">
        <v>0.0</v>
      </c>
      <c r="I9044" s="3" t="s">
        <v>13</v>
      </c>
      <c r="J9044" s="3" t="s">
        <v>25824</v>
      </c>
      <c r="K9044" s="3" t="s">
        <v>15</v>
      </c>
      <c r="L9044" s="3" t="str">
        <f>IFERROR(__xludf.DUMMYFUNCTION("GOOGLETRANSLATE(F9044,""id"",""en"")"),"I will not retire from the Argentine national team I want to continue playing as champions said Messi")</f>
        <v>I will not retire from the Argentine national team I want to continue playing as champions said Messi</v>
      </c>
    </row>
    <row r="9045" ht="15.75" customHeight="1">
      <c r="A9045" s="1">
        <v>10273.0</v>
      </c>
      <c r="B9045" s="3" t="s">
        <v>25825</v>
      </c>
      <c r="C9045" s="3">
        <v>0.0</v>
      </c>
      <c r="D9045" s="3">
        <v>0.0</v>
      </c>
      <c r="E9045" s="3">
        <v>0.0</v>
      </c>
      <c r="F9045" s="3" t="s">
        <v>25826</v>
      </c>
      <c r="G9045" s="3">
        <v>0.0</v>
      </c>
      <c r="H9045" s="3">
        <v>0.0</v>
      </c>
      <c r="I9045" s="3" t="s">
        <v>13</v>
      </c>
      <c r="J9045" s="3" t="s">
        <v>25827</v>
      </c>
      <c r="K9045" s="3" t="s">
        <v>82</v>
      </c>
      <c r="L9045" s="3" t="str">
        <f>IFERROR(__xludf.DUMMYFUNCTION("GOOGLETRANSLATE(F9045,""id"",""en"")"),"I am a fan of Italy also happy Argentina who won")</f>
        <v>I am a fan of Italy also happy Argentina who won</v>
      </c>
    </row>
    <row r="9046" ht="15.75" customHeight="1">
      <c r="A9046" s="1">
        <v>10274.0</v>
      </c>
      <c r="B9046" s="3" t="s">
        <v>25828</v>
      </c>
      <c r="C9046" s="3">
        <v>0.0</v>
      </c>
      <c r="D9046" s="3">
        <v>0.0</v>
      </c>
      <c r="E9046" s="3">
        <v>1.0</v>
      </c>
      <c r="F9046" s="3" t="s">
        <v>25829</v>
      </c>
      <c r="G9046" s="3">
        <v>0.0</v>
      </c>
      <c r="H9046" s="3">
        <v>0.0</v>
      </c>
      <c r="I9046" s="3" t="s">
        <v>13</v>
      </c>
      <c r="J9046" s="3" t="s">
        <v>25830</v>
      </c>
      <c r="K9046" s="3" t="s">
        <v>15</v>
      </c>
      <c r="L9046" s="3" t="str">
        <f>IFERROR(__xludf.DUMMYFUNCTION("GOOGLETRANSLATE(F9046,""id"",""en"")"),"it turns out that the secret of Argentina is champion because of the Padang rice menu")</f>
        <v>it turns out that the secret of Argentina is champion because of the Padang rice menu</v>
      </c>
    </row>
    <row r="9047" ht="15.75" customHeight="1">
      <c r="A9047" s="1">
        <v>10275.0</v>
      </c>
      <c r="B9047" s="3" t="s">
        <v>25831</v>
      </c>
      <c r="C9047" s="3">
        <v>0.0</v>
      </c>
      <c r="D9047" s="3">
        <v>2.0</v>
      </c>
      <c r="E9047" s="3">
        <v>57.0</v>
      </c>
      <c r="F9047" s="3" t="s">
        <v>25792</v>
      </c>
      <c r="G9047" s="3">
        <v>0.0</v>
      </c>
      <c r="H9047" s="3">
        <v>0.0</v>
      </c>
      <c r="I9047" s="3" t="s">
        <v>13</v>
      </c>
      <c r="J9047" s="3" t="s">
        <v>25793</v>
      </c>
      <c r="K9047" s="3" t="s">
        <v>657</v>
      </c>
      <c r="L9047" s="3" t="str">
        <f>IFERROR(__xludf.DUMMYFUNCTION("GOOGLETRANSLATE(F9047,""id"",""en"")"),"Argentina won the World Cup Rodrigo Paul celebrating with a goal net and a photo cigar photo suction")</f>
        <v>Argentina won the World Cup Rodrigo Paul celebrating with a goal net and a photo cigar photo suction</v>
      </c>
    </row>
    <row r="9048" ht="15.75" customHeight="1">
      <c r="A9048" s="1">
        <v>10276.0</v>
      </c>
      <c r="B9048" s="3" t="s">
        <v>25832</v>
      </c>
      <c r="C9048" s="3">
        <v>0.0</v>
      </c>
      <c r="D9048" s="3">
        <v>1.0</v>
      </c>
      <c r="E9048" s="3">
        <v>0.0</v>
      </c>
      <c r="F9048" s="3" t="s">
        <v>25833</v>
      </c>
      <c r="G9048" s="3">
        <v>0.0</v>
      </c>
      <c r="H9048" s="3">
        <v>0.0</v>
      </c>
      <c r="I9048" s="3" t="s">
        <v>13</v>
      </c>
      <c r="J9048" s="3" t="s">
        <v>25834</v>
      </c>
      <c r="K9048" s="3" t="s">
        <v>699</v>
      </c>
      <c r="L9048" s="3" t="str">
        <f>IFERROR(__xludf.DUMMYFUNCTION("GOOGLETRANSLATE(F9048,""id"",""en"")"),"Argentine world champion Mario Kempes with Mexico goal Diego Maradona with Qatar goal Lionel Messi with Bismillah's goal won")</f>
        <v>Argentine world champion Mario Kempes with Mexico goal Diego Maradona with Qatar goal Lionel Messi with Bismillah's goal won</v>
      </c>
    </row>
    <row r="9049" ht="15.75" customHeight="1">
      <c r="A9049" s="1">
        <v>10277.0</v>
      </c>
      <c r="B9049" s="3" t="s">
        <v>25835</v>
      </c>
      <c r="C9049" s="3">
        <v>0.0</v>
      </c>
      <c r="D9049" s="3">
        <v>0.0</v>
      </c>
      <c r="E9049" s="3">
        <v>0.0</v>
      </c>
      <c r="F9049" s="3" t="s">
        <v>25836</v>
      </c>
      <c r="G9049" s="3">
        <v>0.0</v>
      </c>
      <c r="H9049" s="3">
        <v>0.0</v>
      </c>
      <c r="I9049" s="3" t="s">
        <v>13</v>
      </c>
      <c r="J9049" s="3" t="s">
        <v>25837</v>
      </c>
      <c r="K9049" s="3" t="s">
        <v>510</v>
      </c>
      <c r="L9049" s="3" t="str">
        <f>IFERROR(__xludf.DUMMYFUNCTION("GOOGLETRANSLATE(F9049,""id"",""en"")"),"Argentina Champion World Cup Lionel Messi still wants to play with the Tango team not to retire")</f>
        <v>Argentina Champion World Cup Lionel Messi still wants to play with the Tango team not to retire</v>
      </c>
    </row>
    <row r="9050" ht="15.75" customHeight="1">
      <c r="A9050" s="1">
        <v>10278.0</v>
      </c>
      <c r="B9050" s="3" t="s">
        <v>25838</v>
      </c>
      <c r="C9050" s="3">
        <v>0.0</v>
      </c>
      <c r="D9050" s="3">
        <v>0.0</v>
      </c>
      <c r="E9050" s="3">
        <v>0.0</v>
      </c>
      <c r="F9050" s="3" t="s">
        <v>25839</v>
      </c>
      <c r="G9050" s="3">
        <v>0.0</v>
      </c>
      <c r="H9050" s="3">
        <v>0.0</v>
      </c>
      <c r="I9050" s="3" t="s">
        <v>13</v>
      </c>
      <c r="J9050" s="3" t="s">
        <v>25840</v>
      </c>
      <c r="K9050" s="3" t="s">
        <v>484</v>
      </c>
      <c r="L9050" s="3" t="str">
        <f>IFERROR(__xludf.DUMMYFUNCTION("GOOGLETRANSLATE(F9050,""id"",""en"")"),"unfortunately the shine star still has a head of Messi happy Messi with all his achievements and happy Argentina the country of soccer champions")</f>
        <v>unfortunately the shine star still has a head of Messi happy Messi with all his achievements and happy Argentina the country of soccer champions</v>
      </c>
    </row>
    <row r="9051" ht="15.75" customHeight="1">
      <c r="A9051" s="1">
        <v>10279.0</v>
      </c>
      <c r="B9051" s="3" t="s">
        <v>25841</v>
      </c>
      <c r="C9051" s="3">
        <v>0.0</v>
      </c>
      <c r="D9051" s="3">
        <v>0.0</v>
      </c>
      <c r="E9051" s="3">
        <v>0.0</v>
      </c>
      <c r="F9051" s="3" t="s">
        <v>25842</v>
      </c>
      <c r="G9051" s="3">
        <v>0.0</v>
      </c>
      <c r="H9051" s="3">
        <v>0.0</v>
      </c>
      <c r="I9051" s="3" t="s">
        <v>13</v>
      </c>
      <c r="J9051" s="3" t="s">
        <v>25843</v>
      </c>
      <c r="K9051" s="3" t="s">
        <v>2633</v>
      </c>
      <c r="L9051" s="3" t="str">
        <f>IFERROR(__xludf.DUMMYFUNCTION("GOOGLETRANSLATE(F9051,""id"",""en"")"),"Italia champions are still Spanish champions again in junior high school German champion French high school champion focus of Argentina's lecture champion is working again.")</f>
        <v>Italia champions are still Spanish champions again in junior high school German champion French high school champion focus of Argentina's lecture champion is working again.</v>
      </c>
    </row>
    <row r="9052" ht="15.75" customHeight="1">
      <c r="A9052" s="1">
        <v>10280.0</v>
      </c>
      <c r="B9052" s="3" t="s">
        <v>25844</v>
      </c>
      <c r="C9052" s="3">
        <v>0.0</v>
      </c>
      <c r="D9052" s="3">
        <v>0.0</v>
      </c>
      <c r="E9052" s="3">
        <v>0.0</v>
      </c>
      <c r="F9052" s="3" t="s">
        <v>25845</v>
      </c>
      <c r="G9052" s="3">
        <v>0.0</v>
      </c>
      <c r="H9052" s="3">
        <v>0.0</v>
      </c>
      <c r="I9052" s="3" t="s">
        <v>13</v>
      </c>
      <c r="J9052" s="3" t="s">
        <v>25846</v>
      </c>
      <c r="K9052" s="3" t="s">
        <v>433</v>
      </c>
      <c r="L9052" s="3" t="str">
        <f>IFERROR(__xludf.DUMMYFUNCTION("GOOGLETRANSLATE(F9052,""id"",""en"")"),"Hundreds of Argentine Female Shamans Perform Ritual Protecting Lionel Messi for the National Team of the Argentine World Cup Champion")</f>
        <v>Hundreds of Argentine Female Shamans Perform Ritual Protecting Lionel Messi for the National Team of the Argentine World Cup Champion</v>
      </c>
    </row>
    <row r="9053" ht="15.75" customHeight="1">
      <c r="A9053" s="1">
        <v>10281.0</v>
      </c>
      <c r="B9053" s="3" t="s">
        <v>25847</v>
      </c>
      <c r="C9053" s="3">
        <v>0.0</v>
      </c>
      <c r="D9053" s="3">
        <v>0.0</v>
      </c>
      <c r="E9053" s="3">
        <v>0.0</v>
      </c>
      <c r="F9053" s="3" t="s">
        <v>25848</v>
      </c>
      <c r="G9053" s="3">
        <v>0.0</v>
      </c>
      <c r="H9053" s="3">
        <v>0.0</v>
      </c>
      <c r="I9053" s="3" t="s">
        <v>13</v>
      </c>
      <c r="J9053" s="3" t="s">
        <v>25849</v>
      </c>
      <c r="K9053" s="3" t="s">
        <v>41</v>
      </c>
      <c r="L9053" s="3" t="str">
        <f>IFERROR(__xludf.DUMMYFUNCTION("GOOGLETRANSLATE(F9053,""id"",""en"")"),"Menkop UKM from the beginning I Changed Argentina World Cup Champion")</f>
        <v>Menkop UKM from the beginning I Changed Argentina World Cup Champion</v>
      </c>
    </row>
    <row r="9054" ht="15.75" customHeight="1">
      <c r="A9054" s="1">
        <v>10282.0</v>
      </c>
      <c r="B9054" s="3" t="s">
        <v>25850</v>
      </c>
      <c r="C9054" s="3">
        <v>0.0</v>
      </c>
      <c r="D9054" s="3">
        <v>0.0</v>
      </c>
      <c r="E9054" s="3">
        <v>0.0</v>
      </c>
      <c r="F9054" s="3" t="s">
        <v>25851</v>
      </c>
      <c r="G9054" s="3">
        <v>0.0</v>
      </c>
      <c r="H9054" s="3">
        <v>0.0</v>
      </c>
      <c r="I9054" s="3" t="s">
        <v>13</v>
      </c>
      <c r="J9054" s="3" t="s">
        <v>25852</v>
      </c>
      <c r="K9054" s="3" t="s">
        <v>15</v>
      </c>
      <c r="L9054" s="3" t="str">
        <f>IFERROR(__xludf.DUMMYFUNCTION("GOOGLETRANSLATE(F9054,""id"",""en"")"),"Argentina Champion World Cup Qatar like this prize")</f>
        <v>Argentina Champion World Cup Qatar like this prize</v>
      </c>
    </row>
    <row r="9055" ht="15.75" customHeight="1">
      <c r="A9055" s="1">
        <v>10283.0</v>
      </c>
      <c r="B9055" s="3" t="s">
        <v>25853</v>
      </c>
      <c r="C9055" s="3">
        <v>0.0</v>
      </c>
      <c r="D9055" s="3">
        <v>0.0</v>
      </c>
      <c r="E9055" s="3">
        <v>0.0</v>
      </c>
      <c r="F9055" s="3" t="s">
        <v>25854</v>
      </c>
      <c r="G9055" s="3">
        <v>0.0</v>
      </c>
      <c r="H9055" s="3">
        <v>0.0</v>
      </c>
      <c r="I9055" s="3" t="s">
        <v>13</v>
      </c>
      <c r="J9055" s="3" t="s">
        <v>25855</v>
      </c>
      <c r="K9055" s="3" t="s">
        <v>41</v>
      </c>
      <c r="L9055" s="3" t="str">
        <f>IFERROR(__xludf.DUMMYFUNCTION("GOOGLETRANSLATE(F9055,""id"",""en"")"),"You don't believe Argentina, champions, even talking about Ajeee's politics")</f>
        <v>You don't believe Argentina, champions, even talking about Ajeee's politics</v>
      </c>
    </row>
    <row r="9056" ht="15.75" customHeight="1">
      <c r="A9056" s="1">
        <v>10284.0</v>
      </c>
      <c r="B9056" s="3" t="s">
        <v>25856</v>
      </c>
      <c r="C9056" s="3">
        <v>0.0</v>
      </c>
      <c r="D9056" s="3">
        <v>0.0</v>
      </c>
      <c r="E9056" s="3">
        <v>2.0</v>
      </c>
      <c r="F9056" s="3" t="s">
        <v>25857</v>
      </c>
      <c r="G9056" s="3">
        <v>0.0</v>
      </c>
      <c r="H9056" s="3">
        <v>0.0</v>
      </c>
      <c r="I9056" s="3" t="s">
        <v>13</v>
      </c>
      <c r="J9056" s="3" t="s">
        <v>25858</v>
      </c>
      <c r="K9056" s="3" t="s">
        <v>35</v>
      </c>
      <c r="L9056" s="3" t="str">
        <f>IFERROR(__xludf.DUMMYFUNCTION("GOOGLETRANSLATE(F9056,""id"",""en"")"),"The love story of Lionel Messi and Antonella viral after Argentina champions turned out to be from the love of monkey via")</f>
        <v>The love story of Lionel Messi and Antonella viral after Argentina champions turned out to be from the love of monkey via</v>
      </c>
    </row>
    <row r="9057" ht="15.75" customHeight="1">
      <c r="A9057" s="1">
        <v>10285.0</v>
      </c>
      <c r="B9057" s="3" t="s">
        <v>25859</v>
      </c>
      <c r="C9057" s="3">
        <v>7.0</v>
      </c>
      <c r="D9057" s="3">
        <v>20.0</v>
      </c>
      <c r="E9057" s="3">
        <v>298.0</v>
      </c>
      <c r="F9057" s="3" t="s">
        <v>25860</v>
      </c>
      <c r="G9057" s="3">
        <v>0.0</v>
      </c>
      <c r="H9057" s="3">
        <v>0.0</v>
      </c>
      <c r="I9057" s="3" t="s">
        <v>13</v>
      </c>
      <c r="J9057" s="3" t="s">
        <v>25861</v>
      </c>
      <c r="K9057" s="3" t="s">
        <v>657</v>
      </c>
      <c r="L9057" s="3" t="str">
        <f>IFERROR(__xludf.DUMMYFUNCTION("GOOGLETRANSLATE(F9057,""id"",""en"")"),"back the success of Argentina to become a world champion, the name of Sergio Aguero emerged as an encouragement abiceleste to take the competition")</f>
        <v>back the success of Argentina to become a world champion, the name of Sergio Aguero emerged as an encouragement abiceleste to take the competition</v>
      </c>
    </row>
    <row r="9058" ht="15.75" customHeight="1">
      <c r="A9058" s="1">
        <v>10286.0</v>
      </c>
      <c r="B9058" s="3" t="s">
        <v>25862</v>
      </c>
      <c r="C9058" s="3">
        <v>0.0</v>
      </c>
      <c r="D9058" s="3">
        <v>20.0</v>
      </c>
      <c r="E9058" s="3">
        <v>10.0</v>
      </c>
      <c r="F9058" s="3" t="s">
        <v>25863</v>
      </c>
      <c r="G9058" s="3">
        <v>0.0</v>
      </c>
      <c r="H9058" s="3">
        <v>0.0</v>
      </c>
      <c r="I9058" s="3" t="s">
        <v>13</v>
      </c>
      <c r="J9058" s="3" t="s">
        <v>25864</v>
      </c>
      <c r="K9058" s="3" t="s">
        <v>71</v>
      </c>
      <c r="L9058" s="3" t="str">
        <f>IFERROR(__xludf.DUMMYFUNCTION("GOOGLETRANSLATE(F9058,""id"",""en"")"),"Hopefully this Argentina victory will be an inspiration to never give up to reach dreams and continue to excel with Kimbo Probites")</f>
        <v>Hopefully this Argentina victory will be an inspiration to never give up to reach dreams and continue to excel with Kimbo Probites</v>
      </c>
    </row>
    <row r="9059" ht="15.75" customHeight="1">
      <c r="A9059" s="1">
        <v>10287.0</v>
      </c>
      <c r="B9059" s="3" t="s">
        <v>25865</v>
      </c>
      <c r="C9059" s="3">
        <v>0.0</v>
      </c>
      <c r="D9059" s="3">
        <v>1.0</v>
      </c>
      <c r="E9059" s="3">
        <v>0.0</v>
      </c>
      <c r="F9059" s="3" t="s">
        <v>25866</v>
      </c>
      <c r="G9059" s="3">
        <v>0.3333333333333333</v>
      </c>
      <c r="H9059" s="3">
        <v>0.1666666666666667</v>
      </c>
      <c r="I9059" s="3" t="s">
        <v>48</v>
      </c>
      <c r="J9059" s="3" t="s">
        <v>25867</v>
      </c>
      <c r="K9059" s="3" t="s">
        <v>75</v>
      </c>
      <c r="L9059" s="3" t="str">
        <f>IFERROR(__xludf.DUMMYFUNCTION("GOOGLETRANSLATE(F9059,""id"",""en"")"),"playing too but as if if he was the determinant of the champion Argentina Aguero Tololll")</f>
        <v>playing too but as if if he was the determinant of the champion Argentina Aguero Tololll</v>
      </c>
    </row>
    <row r="9060" ht="15.75" customHeight="1">
      <c r="A9060" s="1">
        <v>10288.0</v>
      </c>
      <c r="B9060" s="3" t="s">
        <v>25868</v>
      </c>
      <c r="C9060" s="3">
        <v>3.0</v>
      </c>
      <c r="D9060" s="3">
        <v>30.0</v>
      </c>
      <c r="E9060" s="3">
        <v>23.0</v>
      </c>
      <c r="F9060" s="3" t="s">
        <v>25869</v>
      </c>
      <c r="G9060" s="3">
        <v>0.0</v>
      </c>
      <c r="H9060" s="3">
        <v>0.0</v>
      </c>
      <c r="I9060" s="3" t="s">
        <v>13</v>
      </c>
      <c r="J9060" s="3" t="s">
        <v>25870</v>
      </c>
      <c r="K9060" s="3" t="s">
        <v>1428</v>
      </c>
      <c r="L9060" s="3" t="str">
        <f>IFERROR(__xludf.DUMMYFUNCTION("GOOGLETRANSLATE(F9060,""id"",""en"")"),"Congratulations to Argentina after the five world soccer parties finally Messi led Argentina to become the Argentine Squad World Champion defeated France through the penalties after playing equally strong")</f>
        <v>Congratulations to Argentina after the five world soccer parties finally Messi led Argentina to become the Argentine Squad World Champion defeated France through the penalties after playing equally strong</v>
      </c>
    </row>
    <row r="9061" ht="15.75" customHeight="1">
      <c r="A9061" s="1">
        <v>10289.0</v>
      </c>
      <c r="B9061" s="3" t="s">
        <v>25871</v>
      </c>
      <c r="C9061" s="3">
        <v>0.0</v>
      </c>
      <c r="D9061" s="3">
        <v>0.0</v>
      </c>
      <c r="E9061" s="3">
        <v>0.0</v>
      </c>
      <c r="F9061" s="3" t="s">
        <v>25872</v>
      </c>
      <c r="G9061" s="3">
        <v>0.0</v>
      </c>
      <c r="H9061" s="3">
        <v>0.0</v>
      </c>
      <c r="I9061" s="3" t="s">
        <v>13</v>
      </c>
      <c r="J9061" s="3" t="s">
        <v>25873</v>
      </c>
      <c r="K9061" s="3" t="s">
        <v>240</v>
      </c>
      <c r="L9061" s="3" t="str">
        <f>IFERROR(__xludf.DUMMYFUNCTION("GOOGLETRANSLATE(F9061,""id"",""en"")"),"NOVA Indonesia's Latest Football News Click Ronaldo After Argentina Champion World Cup Removes Messi Genius Rivalry")</f>
        <v>NOVA Indonesia's Latest Football News Click Ronaldo After Argentina Champion World Cup Removes Messi Genius Rivalry</v>
      </c>
    </row>
    <row r="9062" ht="15.75" customHeight="1">
      <c r="A9062" s="1">
        <v>10290.0</v>
      </c>
      <c r="B9062" s="3" t="s">
        <v>25874</v>
      </c>
      <c r="C9062" s="3">
        <v>0.0</v>
      </c>
      <c r="D9062" s="3">
        <v>0.0</v>
      </c>
      <c r="E9062" s="3">
        <v>0.0</v>
      </c>
      <c r="F9062" s="3" t="s">
        <v>25875</v>
      </c>
      <c r="G9062" s="3">
        <v>0.0</v>
      </c>
      <c r="H9062" s="3">
        <v>0.0</v>
      </c>
      <c r="I9062" s="3" t="s">
        <v>13</v>
      </c>
      <c r="J9062" s="3" t="s">
        <v>25876</v>
      </c>
      <c r="K9062" s="3" t="s">
        <v>31</v>
      </c>
      <c r="L9062" s="3" t="str">
        <f>IFERROR(__xludf.DUMMYFUNCTION("GOOGLETRANSLATE(F9062,""id"",""en"")"),"Happy Argentina World Cup Champion")</f>
        <v>Happy Argentina World Cup Champion</v>
      </c>
    </row>
    <row r="9063" ht="15.75" customHeight="1">
      <c r="A9063" s="1">
        <v>10291.0</v>
      </c>
      <c r="B9063" s="3" t="s">
        <v>25877</v>
      </c>
      <c r="C9063" s="3">
        <v>0.0</v>
      </c>
      <c r="D9063" s="3">
        <v>0.0</v>
      </c>
      <c r="E9063" s="3">
        <v>0.0</v>
      </c>
      <c r="F9063" s="3" t="s">
        <v>25878</v>
      </c>
      <c r="G9063" s="3">
        <v>0.0</v>
      </c>
      <c r="H9063" s="3">
        <v>0.0</v>
      </c>
      <c r="I9063" s="3" t="s">
        <v>13</v>
      </c>
      <c r="J9063" s="3" t="s">
        <v>25879</v>
      </c>
      <c r="K9063" s="3" t="s">
        <v>50</v>
      </c>
      <c r="L9063" s="3" t="str">
        <f>IFERROR(__xludf.DUMMYFUNCTION("GOOGLETRANSLATE(F9063,""id"",""en"")"),"Haaland Foden has no world title so there is no one to remember it also makes a team of Argentina")</f>
        <v>Haaland Foden has no world title so there is no one to remember it also makes a team of Argentina</v>
      </c>
    </row>
    <row r="9064" ht="15.75" customHeight="1">
      <c r="A9064" s="1">
        <v>10292.0</v>
      </c>
      <c r="B9064" s="3" t="s">
        <v>25880</v>
      </c>
      <c r="C9064" s="3">
        <v>3.0</v>
      </c>
      <c r="D9064" s="3">
        <v>1.0</v>
      </c>
      <c r="E9064" s="3">
        <v>16.0</v>
      </c>
      <c r="F9064" s="3" t="s">
        <v>25881</v>
      </c>
      <c r="G9064" s="3">
        <v>0.0</v>
      </c>
      <c r="H9064" s="3">
        <v>0.0</v>
      </c>
      <c r="I9064" s="3" t="s">
        <v>13</v>
      </c>
      <c r="J9064" s="3" t="s">
        <v>25882</v>
      </c>
      <c r="K9064" s="3" t="s">
        <v>491</v>
      </c>
      <c r="L9064" s="3" t="str">
        <f>IFERROR(__xludf.DUMMYFUNCTION("GOOGLETRANSLATE(F9064,""id"",""en"")"),"Congratulations to Argentina to win the World Cup champion how to support Argentina still feels euphoria for supporters of France waiting for more years")</f>
        <v>Congratulations to Argentina to win the World Cup champion how to support Argentina still feels euphoria for supporters of France waiting for more years</v>
      </c>
    </row>
    <row r="9065" ht="15.75" customHeight="1">
      <c r="A9065" s="1">
        <v>10293.0</v>
      </c>
      <c r="B9065" s="3" t="s">
        <v>25883</v>
      </c>
      <c r="C9065" s="3">
        <v>2.0</v>
      </c>
      <c r="D9065" s="3">
        <v>1.0</v>
      </c>
      <c r="E9065" s="3">
        <v>4.0</v>
      </c>
      <c r="F9065" s="3" t="s">
        <v>25884</v>
      </c>
      <c r="G9065" s="3">
        <v>0.0</v>
      </c>
      <c r="H9065" s="3">
        <v>0.0</v>
      </c>
      <c r="I9065" s="3" t="s">
        <v>13</v>
      </c>
      <c r="J9065" s="3" t="s">
        <v>25885</v>
      </c>
      <c r="K9065" s="3" t="s">
        <v>503</v>
      </c>
      <c r="L9065" s="3" t="str">
        <f>IFERROR(__xludf.DUMMYFUNCTION("GOOGLETRANSLATE(F9065,""id"",""en"")"),"Then Argentina came Qatar bringing an invincible record and still sure Messi could be a world champion ehh, the beginning of the beginning to shiver again Argentina losing Saudi Arabia already menses with Arabic.")</f>
        <v>Then Argentina came Qatar bringing an invincible record and still sure Messi could be a world champion ehh, the beginning of the beginning to shiver again Argentina losing Saudi Arabia already menses with Arabic.</v>
      </c>
    </row>
    <row r="9066" ht="15.75" customHeight="1">
      <c r="A9066" s="1">
        <v>10294.0</v>
      </c>
      <c r="B9066" s="3" t="s">
        <v>25886</v>
      </c>
      <c r="C9066" s="3">
        <v>0.0</v>
      </c>
      <c r="D9066" s="3">
        <v>0.0</v>
      </c>
      <c r="E9066" s="3">
        <v>0.0</v>
      </c>
      <c r="F9066" s="3" t="s">
        <v>25887</v>
      </c>
      <c r="G9066" s="3">
        <v>0.0</v>
      </c>
      <c r="H9066" s="3">
        <v>0.0</v>
      </c>
      <c r="I9066" s="3" t="s">
        <v>13</v>
      </c>
      <c r="J9066" s="3" t="s">
        <v>25888</v>
      </c>
      <c r="K9066" s="3" t="s">
        <v>240</v>
      </c>
      <c r="L9066" s="3" t="str">
        <f>IFERROR(__xludf.DUMMYFUNCTION("GOOGLETRANSLATE(F9066,""id"",""en"")"),"All because Lionel Messi Alexis Mac Allister revealed the secret of Argentina to become the World Cup Champion Google News Sports News")</f>
        <v>All because Lionel Messi Alexis Mac Allister revealed the secret of Argentina to become the World Cup Champion Google News Sports News</v>
      </c>
    </row>
    <row r="9067" ht="15.75" customHeight="1">
      <c r="A9067" s="1">
        <v>10295.0</v>
      </c>
      <c r="B9067" s="3" t="s">
        <v>25889</v>
      </c>
      <c r="C9067" s="3">
        <v>0.0</v>
      </c>
      <c r="D9067" s="3">
        <v>0.0</v>
      </c>
      <c r="E9067" s="3">
        <v>0.0</v>
      </c>
      <c r="F9067" s="3" t="s">
        <v>25890</v>
      </c>
      <c r="G9067" s="3">
        <v>0.0</v>
      </c>
      <c r="H9067" s="3">
        <v>0.0</v>
      </c>
      <c r="I9067" s="3" t="s">
        <v>13</v>
      </c>
      <c r="J9067" s="3" t="s">
        <v>25891</v>
      </c>
      <c r="K9067" s="3" t="s">
        <v>426</v>
      </c>
      <c r="L9067" s="3" t="str">
        <f>IFERROR(__xludf.DUMMYFUNCTION("GOOGLETRANSLATE(F9067,""id"",""en"")"),"Min, I want this, because Realme Pro I have started error and I happen to be guessed by Argentina, champions through the quiz penalties yesterday, hopefully a good mimin makes me the winner")</f>
        <v>Min, I want this, because Realme Pro I have started error and I happen to be guessed by Argentina, champions through the quiz penalties yesterday, hopefully a good mimin makes me the winner</v>
      </c>
    </row>
    <row r="9068" ht="15.75" customHeight="1">
      <c r="A9068" s="1">
        <v>10296.0</v>
      </c>
      <c r="B9068" s="3" t="s">
        <v>25892</v>
      </c>
      <c r="C9068" s="3">
        <v>0.0</v>
      </c>
      <c r="D9068" s="3">
        <v>0.0</v>
      </c>
      <c r="E9068" s="3">
        <v>0.0</v>
      </c>
      <c r="F9068" s="3" t="s">
        <v>25893</v>
      </c>
      <c r="G9068" s="3">
        <v>0.0</v>
      </c>
      <c r="H9068" s="3">
        <v>0.0</v>
      </c>
      <c r="I9068" s="3" t="s">
        <v>13</v>
      </c>
      <c r="J9068" s="3" t="s">
        <v>25894</v>
      </c>
      <c r="K9068" s="3" t="s">
        <v>1097</v>
      </c>
      <c r="L9068" s="3" t="str">
        <f>IFERROR(__xludf.DUMMYFUNCTION("GOOGLETRANSLATE(F9068,""id"",""en"")"),"Saudi Arabia Kills Argentina but Argentina Champion Cam Malaysia Jer")</f>
        <v>Saudi Arabia Kills Argentina but Argentina Champion Cam Malaysia Jer</v>
      </c>
    </row>
    <row r="9069" ht="15.75" customHeight="1">
      <c r="A9069" s="1">
        <v>10297.0</v>
      </c>
      <c r="B9069" s="3" t="s">
        <v>25895</v>
      </c>
      <c r="C9069" s="3">
        <v>0.0</v>
      </c>
      <c r="D9069" s="3">
        <v>0.0</v>
      </c>
      <c r="E9069" s="3">
        <v>0.0</v>
      </c>
      <c r="F9069" s="3" t="s">
        <v>25896</v>
      </c>
      <c r="G9069" s="3">
        <v>0.0</v>
      </c>
      <c r="H9069" s="3">
        <v>0.0</v>
      </c>
      <c r="I9069" s="3" t="s">
        <v>13</v>
      </c>
      <c r="J9069" s="3" t="s">
        <v>25897</v>
      </c>
      <c r="K9069" s="3" t="s">
        <v>54</v>
      </c>
      <c r="L9069" s="3" t="str">
        <f>IFERROR(__xludf.DUMMYFUNCTION("GOOGLETRANSLATE(F9069,""id"",""en"")"),"Argentina champions supporting French clashes with the police")</f>
        <v>Argentina champions supporting French clashes with the police</v>
      </c>
    </row>
    <row r="9070" ht="15.75" customHeight="1">
      <c r="A9070" s="1">
        <v>10298.0</v>
      </c>
      <c r="B9070" s="3" t="s">
        <v>25898</v>
      </c>
      <c r="C9070" s="3">
        <v>0.0</v>
      </c>
      <c r="D9070" s="3">
        <v>0.0</v>
      </c>
      <c r="E9070" s="3">
        <v>0.0</v>
      </c>
      <c r="F9070" s="3" t="s">
        <v>25899</v>
      </c>
      <c r="G9070" s="3">
        <v>0.0</v>
      </c>
      <c r="H9070" s="3">
        <v>0.0</v>
      </c>
      <c r="I9070" s="3" t="s">
        <v>13</v>
      </c>
      <c r="J9070" s="3" t="s">
        <v>25900</v>
      </c>
      <c r="K9070" s="3" t="s">
        <v>82</v>
      </c>
      <c r="L9070" s="3" t="str">
        <f>IFERROR(__xludf.DUMMYFUNCTION("GOOGLETRANSLATE(F9070,""id"",""en"")"),"Argentina portraits the country chaotic but can be world champion")</f>
        <v>Argentina portraits the country chaotic but can be world champion</v>
      </c>
    </row>
    <row r="9071" ht="15.75" customHeight="1">
      <c r="A9071" s="1">
        <v>10299.0</v>
      </c>
      <c r="B9071" s="3" t="s">
        <v>25901</v>
      </c>
      <c r="C9071" s="3">
        <v>0.0</v>
      </c>
      <c r="D9071" s="3">
        <v>0.0</v>
      </c>
      <c r="E9071" s="3">
        <v>0.0</v>
      </c>
      <c r="F9071" s="3" t="s">
        <v>25902</v>
      </c>
      <c r="G9071" s="3">
        <v>0.0</v>
      </c>
      <c r="H9071" s="3">
        <v>0.0</v>
      </c>
      <c r="I9071" s="3" t="s">
        <v>13</v>
      </c>
      <c r="J9071" s="3" t="s">
        <v>25903</v>
      </c>
      <c r="K9071" s="3" t="s">
        <v>240</v>
      </c>
      <c r="L9071" s="3" t="str">
        <f>IFERROR(__xludf.DUMMYFUNCTION("GOOGLETRANSLATE(F9071,""id"",""en"")"),"prizes as world champions as much as more likely to be donated to the people of Argentina who need it because of the economic crisis in the country Messi Maria")</f>
        <v>prizes as world champions as much as more likely to be donated to the people of Argentina who need it because of the economic crisis in the country Messi Maria</v>
      </c>
    </row>
    <row r="9072" ht="15.75" customHeight="1">
      <c r="A9072" s="1">
        <v>10300.0</v>
      </c>
      <c r="B9072" s="3" t="s">
        <v>25904</v>
      </c>
      <c r="C9072" s="3">
        <v>0.0</v>
      </c>
      <c r="D9072" s="3">
        <v>0.0</v>
      </c>
      <c r="E9072" s="3">
        <v>0.0</v>
      </c>
      <c r="F9072" s="3" t="s">
        <v>25905</v>
      </c>
      <c r="G9072" s="3">
        <v>0.0</v>
      </c>
      <c r="H9072" s="3">
        <v>0.0</v>
      </c>
      <c r="I9072" s="3" t="s">
        <v>13</v>
      </c>
      <c r="J9072" s="3" t="s">
        <v>25906</v>
      </c>
      <c r="K9072" s="3" t="s">
        <v>75</v>
      </c>
      <c r="L9072" s="3" t="str">
        <f>IFERROR(__xludf.DUMMYFUNCTION("GOOGLETRANSLATE(F9072,""id"",""en"")"),"Agueroo is very happy Argentina champions are rather sad Aguero when he retired")</f>
        <v>Agueroo is very happy Argentina champions are rather sad Aguero when he retired</v>
      </c>
    </row>
    <row r="9073" ht="15.75" customHeight="1">
      <c r="A9073" s="1">
        <v>10301.0</v>
      </c>
      <c r="B9073" s="3" t="s">
        <v>25907</v>
      </c>
      <c r="C9073" s="3">
        <v>0.0</v>
      </c>
      <c r="D9073" s="3">
        <v>0.0</v>
      </c>
      <c r="E9073" s="3">
        <v>2.0</v>
      </c>
      <c r="F9073" s="3" t="s">
        <v>25908</v>
      </c>
      <c r="G9073" s="3">
        <v>1.0</v>
      </c>
      <c r="H9073" s="3">
        <v>0.0</v>
      </c>
      <c r="I9073" s="3" t="s">
        <v>13</v>
      </c>
      <c r="J9073" s="3" t="s">
        <v>25909</v>
      </c>
      <c r="K9073" s="3" t="s">
        <v>135</v>
      </c>
      <c r="L9073" s="3" t="str">
        <f>IFERROR(__xludf.DUMMYFUNCTION("GOOGLETRANSLATE(F9073,""id"",""en"")"),"Sampek is still touched to see Argentina's struggle, especially Kang Messi after failing the final then tried again and again failed until finally he was able to bring Argentina champions through the struggle that was so extraordinary Messi")</f>
        <v>Sampek is still touched to see Argentina's struggle, especially Kang Messi after failing the final then tried again and again failed until finally he was able to bring Argentina champions through the struggle that was so extraordinary Messi</v>
      </c>
    </row>
    <row r="9074" ht="15.75" customHeight="1">
      <c r="A9074" s="1">
        <v>10302.0</v>
      </c>
      <c r="B9074" s="3" t="s">
        <v>25910</v>
      </c>
      <c r="C9074" s="3">
        <v>0.0</v>
      </c>
      <c r="D9074" s="3">
        <v>0.0</v>
      </c>
      <c r="E9074" s="3">
        <v>0.0</v>
      </c>
      <c r="F9074" s="3" t="s">
        <v>25911</v>
      </c>
      <c r="G9074" s="3">
        <v>0.0</v>
      </c>
      <c r="H9074" s="3">
        <v>0.0</v>
      </c>
      <c r="I9074" s="3" t="s">
        <v>13</v>
      </c>
      <c r="J9074" s="3" t="s">
        <v>25912</v>
      </c>
      <c r="K9074" s="3" t="s">
        <v>2117</v>
      </c>
      <c r="L9074" s="3" t="str">
        <f>IFERROR(__xludf.DUMMYFUNCTION("GOOGLETRANSLATE(F9074,""id"",""en"")"),"Argentina Champion wkwkwk")</f>
        <v>Argentina Champion wkwkwk</v>
      </c>
    </row>
    <row r="9075" ht="15.75" customHeight="1">
      <c r="A9075" s="1">
        <v>10303.0</v>
      </c>
      <c r="B9075" s="3" t="s">
        <v>25913</v>
      </c>
      <c r="C9075" s="3">
        <v>0.0</v>
      </c>
      <c r="D9075" s="3">
        <v>1.0</v>
      </c>
      <c r="E9075" s="3">
        <v>5.0</v>
      </c>
      <c r="F9075" s="3" t="s">
        <v>25914</v>
      </c>
      <c r="G9075" s="3">
        <v>0.0</v>
      </c>
      <c r="H9075" s="3">
        <v>0.0</v>
      </c>
      <c r="I9075" s="3" t="s">
        <v>13</v>
      </c>
      <c r="J9075" s="3" t="s">
        <v>25915</v>
      </c>
      <c r="K9075" s="3" t="s">
        <v>41</v>
      </c>
      <c r="L9075" s="3" t="str">
        <f>IFERROR(__xludf.DUMMYFUNCTION("GOOGLETRANSLATE(F9075,""id"",""en"")"),"Pele said after Argentina World Cup champion Maradona smiled")</f>
        <v>Pele said after Argentina World Cup champion Maradona smiled</v>
      </c>
    </row>
    <row r="9076" ht="15.75" customHeight="1">
      <c r="A9076" s="1">
        <v>10304.0</v>
      </c>
      <c r="B9076" s="3" t="s">
        <v>25916</v>
      </c>
      <c r="C9076" s="3">
        <v>0.0</v>
      </c>
      <c r="D9076" s="3">
        <v>0.0</v>
      </c>
      <c r="E9076" s="3">
        <v>13.0</v>
      </c>
      <c r="F9076" s="3" t="s">
        <v>25917</v>
      </c>
      <c r="G9076" s="3">
        <v>0.0</v>
      </c>
      <c r="H9076" s="3">
        <v>0.0</v>
      </c>
      <c r="I9076" s="3" t="s">
        <v>13</v>
      </c>
      <c r="J9076" s="3" t="s">
        <v>25918</v>
      </c>
      <c r="K9076" s="3" t="s">
        <v>765</v>
      </c>
      <c r="L9076" s="3" t="str">
        <f>IFERROR(__xludf.DUMMYFUNCTION("GOOGLETRANSLATE(F9076,""id"",""en"")"),"Lah in his chronology Salty he was invited by the Argentine Football Association and the Argentine national team to join the training camp and also the championship celebration from the beginning of heart disease has also been offered to become the Argent"&amp;"i national team coach staff")</f>
        <v>Lah in his chronology Salty he was invited by the Argentine Football Association and the Argentine national team to join the training camp and also the championship celebration from the beginning of heart disease has also been offered to become the Argenti national team coach staff</v>
      </c>
    </row>
    <row r="9077" ht="15.75" customHeight="1">
      <c r="A9077" s="1">
        <v>10305.0</v>
      </c>
      <c r="B9077" s="3" t="s">
        <v>25919</v>
      </c>
      <c r="C9077" s="3">
        <v>0.0</v>
      </c>
      <c r="D9077" s="3">
        <v>0.0</v>
      </c>
      <c r="E9077" s="3">
        <v>0.0</v>
      </c>
      <c r="F9077" s="3" t="s">
        <v>25920</v>
      </c>
      <c r="G9077" s="3">
        <v>0.0</v>
      </c>
      <c r="H9077" s="3">
        <v>0.0</v>
      </c>
      <c r="I9077" s="3" t="s">
        <v>13</v>
      </c>
      <c r="J9077" s="3" t="s">
        <v>25921</v>
      </c>
      <c r="K9077" s="3" t="s">
        <v>1335</v>
      </c>
      <c r="L9077" s="3" t="str">
        <f>IFERROR(__xludf.DUMMYFUNCTION("GOOGLETRANSLATE(F9077,""id"",""en"")"),"Argentina Champion France Runner Indonesia AFF Champion")</f>
        <v>Argentina Champion France Runner Indonesia AFF Champion</v>
      </c>
    </row>
    <row r="9078" ht="15.75" customHeight="1">
      <c r="A9078" s="1">
        <v>10306.0</v>
      </c>
      <c r="B9078" s="3" t="s">
        <v>25922</v>
      </c>
      <c r="C9078" s="3">
        <v>0.0</v>
      </c>
      <c r="D9078" s="3">
        <v>0.0</v>
      </c>
      <c r="E9078" s="3">
        <v>0.0</v>
      </c>
      <c r="F9078" s="3" t="s">
        <v>25923</v>
      </c>
      <c r="G9078" s="3">
        <v>0.0</v>
      </c>
      <c r="H9078" s="3">
        <v>0.0</v>
      </c>
      <c r="I9078" s="3" t="s">
        <v>13</v>
      </c>
      <c r="J9078" s="3" t="s">
        <v>25924</v>
      </c>
      <c r="K9078" s="3" t="s">
        <v>31</v>
      </c>
      <c r="L9078" s="3" t="str">
        <f>IFERROR(__xludf.DUMMYFUNCTION("GOOGLETRANSLATE(F9078,""id"",""en"")"),"The BGST thread brought Argentina Champion")</f>
        <v>The BGST thread brought Argentina Champion</v>
      </c>
    </row>
    <row r="9079" ht="15.75" customHeight="1">
      <c r="A9079" s="1">
        <v>10307.0</v>
      </c>
      <c r="B9079" s="3" t="s">
        <v>25925</v>
      </c>
      <c r="C9079" s="3">
        <v>0.0</v>
      </c>
      <c r="D9079" s="3">
        <v>0.0</v>
      </c>
      <c r="E9079" s="3">
        <v>4.0</v>
      </c>
      <c r="F9079" s="3" t="s">
        <v>22733</v>
      </c>
      <c r="G9079" s="3">
        <v>0.0</v>
      </c>
      <c r="H9079" s="3">
        <v>0.0</v>
      </c>
      <c r="I9079" s="3" t="s">
        <v>13</v>
      </c>
      <c r="J9079" s="3" t="s">
        <v>22734</v>
      </c>
      <c r="K9079" s="3" t="s">
        <v>15</v>
      </c>
      <c r="L9079" s="3" t="str">
        <f>IFERROR(__xludf.DUMMYFUNCTION("GOOGLETRANSLATE(F9079,""id"",""en"")"),"Stars for Argentina after the World Cup champion for the third time")</f>
        <v>Stars for Argentina after the World Cup champion for the third time</v>
      </c>
    </row>
    <row r="9080" ht="15.75" customHeight="1">
      <c r="A9080" s="1">
        <v>10308.0</v>
      </c>
      <c r="B9080" s="3" t="s">
        <v>25926</v>
      </c>
      <c r="C9080" s="3">
        <v>1.0</v>
      </c>
      <c r="D9080" s="3">
        <v>0.0</v>
      </c>
      <c r="E9080" s="3">
        <v>1.0</v>
      </c>
      <c r="F9080" s="3" t="s">
        <v>25927</v>
      </c>
      <c r="G9080" s="3">
        <v>0.0</v>
      </c>
      <c r="H9080" s="3">
        <v>0.0</v>
      </c>
      <c r="I9080" s="3" t="s">
        <v>13</v>
      </c>
      <c r="J9080" s="3" t="s">
        <v>25928</v>
      </c>
      <c r="K9080" s="3" t="s">
        <v>54</v>
      </c>
      <c r="L9080" s="3" t="str">
        <f>IFERROR(__xludf.DUMMYFUNCTION("GOOGLETRANSLATE(F9080,""id"",""en"")"),"the world champion Argentina but Ronaldo is still trending too")</f>
        <v>the world champion Argentina but Ronaldo is still trending too</v>
      </c>
    </row>
    <row r="9081" ht="15.75" customHeight="1">
      <c r="A9081" s="1">
        <v>10309.0</v>
      </c>
      <c r="B9081" s="3" t="s">
        <v>25929</v>
      </c>
      <c r="C9081" s="3">
        <v>0.0</v>
      </c>
      <c r="D9081" s="3">
        <v>0.0</v>
      </c>
      <c r="E9081" s="3">
        <v>0.0</v>
      </c>
      <c r="F9081" s="3" t="s">
        <v>25930</v>
      </c>
      <c r="G9081" s="3">
        <v>0.0</v>
      </c>
      <c r="H9081" s="3">
        <v>0.0</v>
      </c>
      <c r="I9081" s="3" t="s">
        <v>13</v>
      </c>
      <c r="J9081" s="3" t="s">
        <v>25931</v>
      </c>
      <c r="K9081" s="3" t="s">
        <v>2907</v>
      </c>
      <c r="L9081" s="3" t="str">
        <f>IFERROR(__xludf.DUMMYFUNCTION("GOOGLETRANSLATE(F9081,""id"",""en"")"),"This victory is the third Argentine World Cup trophy Argentina won the world champion for the first time in the year")</f>
        <v>This victory is the third Argentine World Cup trophy Argentina won the world champion for the first time in the year</v>
      </c>
    </row>
    <row r="9082" ht="15.75" customHeight="1">
      <c r="A9082" s="1">
        <v>10310.0</v>
      </c>
      <c r="B9082" s="3" t="s">
        <v>25932</v>
      </c>
      <c r="C9082" s="3">
        <v>0.0</v>
      </c>
      <c r="D9082" s="3">
        <v>0.0</v>
      </c>
      <c r="E9082" s="3">
        <v>1.0</v>
      </c>
      <c r="F9082" s="3" t="s">
        <v>25933</v>
      </c>
      <c r="G9082" s="3">
        <v>0.0</v>
      </c>
      <c r="H9082" s="3">
        <v>0.0</v>
      </c>
      <c r="I9082" s="3" t="s">
        <v>13</v>
      </c>
      <c r="J9082" s="3" t="s">
        <v>25934</v>
      </c>
      <c r="K9082" s="3" t="s">
        <v>273</v>
      </c>
      <c r="L9082" s="3" t="str">
        <f>IFERROR(__xludf.DUMMYFUNCTION("GOOGLETRANSLATE(F9082,""id"",""en"")"),"In the past, this was the lack of a national team level title inversely proportional to the UCL champion Buffon, so frustrated, retired the national team of his career, finally won the Argentina BRSMA champion, Messi HRS was giving")</f>
        <v>In the past, this was the lack of a national team level title inversely proportional to the UCL champion Buffon, so frustrated, retired the national team of his career, finally won the Argentina BRSMA champion, Messi HRS was giving</v>
      </c>
    </row>
    <row r="9083" ht="15.75" customHeight="1">
      <c r="A9083" s="1">
        <v>10311.0</v>
      </c>
      <c r="B9083" s="3" t="s">
        <v>25935</v>
      </c>
      <c r="C9083" s="3">
        <v>0.0</v>
      </c>
      <c r="D9083" s="3">
        <v>0.0</v>
      </c>
      <c r="E9083" s="3">
        <v>0.0</v>
      </c>
      <c r="F9083" s="3" t="s">
        <v>25936</v>
      </c>
      <c r="G9083" s="3">
        <v>0.0</v>
      </c>
      <c r="H9083" s="3">
        <v>0.0</v>
      </c>
      <c r="I9083" s="3" t="s">
        <v>13</v>
      </c>
      <c r="J9083" s="3" t="s">
        <v>25937</v>
      </c>
      <c r="K9083" s="3" t="s">
        <v>75</v>
      </c>
      <c r="L9083" s="3" t="str">
        <f>IFERROR(__xludf.DUMMYFUNCTION("GOOGLETRANSLATE(F9083,""id"",""en"")"),"The day ago the ship's sleep and dreams of Ngaco TBTB Argentina Champion")</f>
        <v>The day ago the ship's sleep and dreams of Ngaco TBTB Argentina Champion</v>
      </c>
    </row>
    <row r="9084" ht="15.75" customHeight="1">
      <c r="A9084" s="1">
        <v>10312.0</v>
      </c>
      <c r="B9084" s="3" t="s">
        <v>25938</v>
      </c>
      <c r="C9084" s="3">
        <v>0.0</v>
      </c>
      <c r="D9084" s="3">
        <v>0.0</v>
      </c>
      <c r="E9084" s="3">
        <v>0.0</v>
      </c>
      <c r="F9084" s="3" t="s">
        <v>25939</v>
      </c>
      <c r="G9084" s="3">
        <v>0.0</v>
      </c>
      <c r="H9084" s="3">
        <v>0.0</v>
      </c>
      <c r="I9084" s="3" t="s">
        <v>13</v>
      </c>
      <c r="J9084" s="3" t="s">
        <v>25940</v>
      </c>
      <c r="K9084" s="3" t="s">
        <v>510</v>
      </c>
      <c r="L9084" s="3" t="str">
        <f>IFERROR(__xludf.DUMMYFUNCTION("GOOGLETRANSLATE(F9084,""id"",""en"")"),"Pilgrims after Argentina Champion World Cup of the Capital Cup of the Capital City")</f>
        <v>Pilgrims after Argentina Champion World Cup of the Capital Cup of the Capital City</v>
      </c>
    </row>
    <row r="9085" ht="15.75" customHeight="1">
      <c r="A9085" s="1">
        <v>10313.0</v>
      </c>
      <c r="B9085" s="3" t="s">
        <v>25941</v>
      </c>
      <c r="C9085" s="3">
        <v>0.0</v>
      </c>
      <c r="D9085" s="3">
        <v>0.0</v>
      </c>
      <c r="E9085" s="3">
        <v>0.0</v>
      </c>
      <c r="F9085" s="3" t="s">
        <v>288</v>
      </c>
      <c r="G9085" s="3">
        <v>0.75</v>
      </c>
      <c r="H9085" s="3">
        <v>0.25</v>
      </c>
      <c r="I9085" s="3" t="s">
        <v>48</v>
      </c>
      <c r="J9085" s="3" t="s">
        <v>289</v>
      </c>
      <c r="K9085" s="3" t="s">
        <v>41</v>
      </c>
      <c r="L9085" s="3" t="str">
        <f>IFERROR(__xludf.DUMMYFUNCTION("GOOGLETRANSLATE(F9085,""id"",""en"")"),"Top Sports Argentina World Cup Champion Mbappe Crazy Final")</f>
        <v>Top Sports Argentina World Cup Champion Mbappe Crazy Final</v>
      </c>
    </row>
    <row r="9086" ht="15.75" customHeight="1">
      <c r="A9086" s="1">
        <v>10314.0</v>
      </c>
      <c r="B9086" s="3" t="s">
        <v>25942</v>
      </c>
      <c r="C9086" s="3">
        <v>1.0</v>
      </c>
      <c r="D9086" s="3">
        <v>11.0</v>
      </c>
      <c r="E9086" s="3">
        <v>77.0</v>
      </c>
      <c r="F9086" s="3" t="s">
        <v>25792</v>
      </c>
      <c r="G9086" s="3">
        <v>0.0</v>
      </c>
      <c r="H9086" s="3">
        <v>0.0</v>
      </c>
      <c r="I9086" s="3" t="s">
        <v>13</v>
      </c>
      <c r="J9086" s="3" t="s">
        <v>25793</v>
      </c>
      <c r="K9086" s="3" t="s">
        <v>657</v>
      </c>
      <c r="L9086" s="3" t="str">
        <f>IFERROR(__xludf.DUMMYFUNCTION("GOOGLETRANSLATE(F9086,""id"",""en"")"),"Argentina won the World Cup Rodrigo Paul celebrating with a goal net and a photo cigar photo suction")</f>
        <v>Argentina won the World Cup Rodrigo Paul celebrating with a goal net and a photo cigar photo suction</v>
      </c>
    </row>
    <row r="9087" ht="15.75" customHeight="1">
      <c r="A9087" s="1">
        <v>10315.0</v>
      </c>
      <c r="B9087" s="3" t="s">
        <v>25943</v>
      </c>
      <c r="C9087" s="3">
        <v>0.0</v>
      </c>
      <c r="D9087" s="3">
        <v>2.0</v>
      </c>
      <c r="E9087" s="3">
        <v>6.0</v>
      </c>
      <c r="F9087" s="3" t="s">
        <v>25944</v>
      </c>
      <c r="G9087" s="3">
        <v>0.0</v>
      </c>
      <c r="H9087" s="3">
        <v>0.0</v>
      </c>
      <c r="I9087" s="3" t="s">
        <v>13</v>
      </c>
      <c r="J9087" s="3" t="s">
        <v>25945</v>
      </c>
      <c r="K9087" s="3" t="s">
        <v>240</v>
      </c>
      <c r="L9087" s="3" t="str">
        <f>IFERROR(__xludf.DUMMYFUNCTION("GOOGLETRANSLATE(F9087,""id"",""en"")"),"Argentina won two titles in two years after the Copa America at the current Lionel Scaloni squad also successfully won the World Cup")</f>
        <v>Argentina won two titles in two years after the Copa America at the current Lionel Scaloni squad also successfully won the World Cup</v>
      </c>
    </row>
    <row r="9088" ht="15.75" customHeight="1">
      <c r="A9088" s="1">
        <v>10316.0</v>
      </c>
      <c r="B9088" s="3" t="s">
        <v>25946</v>
      </c>
      <c r="C9088" s="3">
        <v>0.0</v>
      </c>
      <c r="D9088" s="3">
        <v>0.0</v>
      </c>
      <c r="E9088" s="3">
        <v>0.0</v>
      </c>
      <c r="F9088" s="3" t="s">
        <v>25947</v>
      </c>
      <c r="G9088" s="3">
        <v>0.0</v>
      </c>
      <c r="H9088" s="3">
        <v>0.0</v>
      </c>
      <c r="I9088" s="3" t="s">
        <v>13</v>
      </c>
      <c r="J9088" s="3" t="s">
        <v>25948</v>
      </c>
      <c r="K9088" s="3" t="s">
        <v>15</v>
      </c>
      <c r="L9088" s="3" t="str">
        <f>IFERROR(__xludf.DUMMYFUNCTION("GOOGLETRANSLATE(F9088,""id"",""en"")"),"If Messi still would not be Argentina, the world of rejection world was inside")</f>
        <v>If Messi still would not be Argentina, the world of rejection world was inside</v>
      </c>
    </row>
    <row r="9089" ht="15.75" customHeight="1">
      <c r="A9089" s="1">
        <v>10317.0</v>
      </c>
      <c r="B9089" s="3" t="s">
        <v>25949</v>
      </c>
      <c r="C9089" s="3">
        <v>0.0</v>
      </c>
      <c r="D9089" s="3">
        <v>0.0</v>
      </c>
      <c r="E9089" s="3">
        <v>1.0</v>
      </c>
      <c r="F9089" s="3" t="s">
        <v>25950</v>
      </c>
      <c r="G9089" s="3">
        <v>0.0</v>
      </c>
      <c r="H9089" s="3">
        <v>0.0</v>
      </c>
      <c r="I9089" s="3" t="s">
        <v>13</v>
      </c>
      <c r="J9089" s="3" t="s">
        <v>25951</v>
      </c>
      <c r="K9089" s="3" t="s">
        <v>23</v>
      </c>
      <c r="L9089" s="3" t="str">
        <f>IFERROR(__xludf.DUMMYFUNCTION("GOOGLETRANSLATE(F9089,""id"",""en"")"),"I hope it's not upset for a long time, sis and his heart will improve from the sadness of being happy for Argentina, hopefully the affairs are launched")</f>
        <v>I hope it's not upset for a long time, sis and his heart will improve from the sadness of being happy for Argentina, hopefully the affairs are launched</v>
      </c>
    </row>
    <row r="9090" ht="15.75" customHeight="1">
      <c r="A9090" s="1">
        <v>10318.0</v>
      </c>
      <c r="B9090" s="3" t="s">
        <v>25952</v>
      </c>
      <c r="C9090" s="3">
        <v>0.0</v>
      </c>
      <c r="D9090" s="3">
        <v>0.0</v>
      </c>
      <c r="E9090" s="3">
        <v>0.0</v>
      </c>
      <c r="F9090" s="3" t="s">
        <v>25953</v>
      </c>
      <c r="G9090" s="3">
        <v>0.0</v>
      </c>
      <c r="H9090" s="3">
        <v>0.0</v>
      </c>
      <c r="I9090" s="3" t="s">
        <v>13</v>
      </c>
      <c r="J9090" s="3" t="s">
        <v>25954</v>
      </c>
      <c r="K9090" s="3" t="s">
        <v>71</v>
      </c>
      <c r="L9090" s="3" t="str">
        <f>IFERROR(__xludf.DUMMYFUNCTION("GOOGLETRANSLATE(F9090,""id"",""en"")"),"The most beautiful former Barcelona revealed Haru's message after Lionel Messi brought Argentina World Cup champions")</f>
        <v>The most beautiful former Barcelona revealed Haru's message after Lionel Messi brought Argentina World Cup champions</v>
      </c>
    </row>
    <row r="9091" ht="15.75" customHeight="1">
      <c r="A9091" s="1">
        <v>10319.0</v>
      </c>
      <c r="B9091" s="3" t="s">
        <v>25955</v>
      </c>
      <c r="C9091" s="3">
        <v>0.0</v>
      </c>
      <c r="D9091" s="3">
        <v>0.0</v>
      </c>
      <c r="E9091" s="3">
        <v>0.0</v>
      </c>
      <c r="F9091" s="3" t="s">
        <v>25956</v>
      </c>
      <c r="G9091" s="3">
        <v>0.0</v>
      </c>
      <c r="H9091" s="3">
        <v>0.0</v>
      </c>
      <c r="I9091" s="3" t="s">
        <v>13</v>
      </c>
      <c r="J9091" s="3" t="s">
        <v>25957</v>
      </c>
      <c r="K9091" s="3" t="s">
        <v>90</v>
      </c>
      <c r="L9091" s="3" t="str">
        <f>IFERROR(__xludf.DUMMYFUNCTION("GOOGLETRANSLATE(F9091,""id"",""en"")"),"Want to cry mbayangno wong sak lowokwaru podo metu omah while shouting at nyelikan gawe zinc important Argentina Boss champion")</f>
        <v>Want to cry mbayangno wong sak lowokwaru podo metu omah while shouting at nyelikan gawe zinc important Argentina Boss champion</v>
      </c>
    </row>
    <row r="9092" ht="15.75" customHeight="1">
      <c r="A9092" s="1">
        <v>10320.0</v>
      </c>
      <c r="B9092" s="3" t="s">
        <v>25958</v>
      </c>
      <c r="C9092" s="3">
        <v>0.0</v>
      </c>
      <c r="D9092" s="3">
        <v>0.0</v>
      </c>
      <c r="E9092" s="3">
        <v>0.0</v>
      </c>
      <c r="F9092" s="3" t="s">
        <v>25959</v>
      </c>
      <c r="G9092" s="3">
        <v>0.0</v>
      </c>
      <c r="H9092" s="3">
        <v>0.0</v>
      </c>
      <c r="I9092" s="3" t="s">
        <v>13</v>
      </c>
      <c r="J9092" s="3" t="s">
        <v>25960</v>
      </c>
      <c r="K9092" s="3" t="s">
        <v>41</v>
      </c>
      <c r="L9092" s="3" t="str">
        <f>IFERROR(__xludf.DUMMYFUNCTION("GOOGLETRANSLATE(F9092,""id"",""en"")"),"Argentina Champion World Cup Buenos Aires Becomes Human Ocean")</f>
        <v>Argentina Champion World Cup Buenos Aires Becomes Human Ocean</v>
      </c>
    </row>
    <row r="9093" ht="15.75" customHeight="1">
      <c r="A9093" s="1">
        <v>10321.0</v>
      </c>
      <c r="B9093" s="3" t="s">
        <v>25961</v>
      </c>
      <c r="C9093" s="3">
        <v>0.0</v>
      </c>
      <c r="D9093" s="3">
        <v>1.0</v>
      </c>
      <c r="E9093" s="3">
        <v>0.0</v>
      </c>
      <c r="F9093" s="3" t="s">
        <v>22584</v>
      </c>
      <c r="G9093" s="3">
        <v>0.0</v>
      </c>
      <c r="H9093" s="3">
        <v>0.0</v>
      </c>
      <c r="I9093" s="3" t="s">
        <v>13</v>
      </c>
      <c r="J9093" s="3" t="s">
        <v>22585</v>
      </c>
      <c r="K9093" s="3" t="s">
        <v>31</v>
      </c>
      <c r="L9093" s="3" t="str">
        <f>IFERROR(__xludf.DUMMYFUNCTION("GOOGLETRANSLATE(F9093,""id"",""en"")"),"Argentina Champion World Cup Qatar")</f>
        <v>Argentina Champion World Cup Qatar</v>
      </c>
    </row>
    <row r="9094" ht="15.75" customHeight="1">
      <c r="A9094" s="1">
        <v>10322.0</v>
      </c>
      <c r="B9094" s="3" t="s">
        <v>25962</v>
      </c>
      <c r="C9094" s="3">
        <v>0.0</v>
      </c>
      <c r="D9094" s="3">
        <v>0.0</v>
      </c>
      <c r="E9094" s="3">
        <v>0.0</v>
      </c>
      <c r="F9094" s="3" t="s">
        <v>25823</v>
      </c>
      <c r="G9094" s="3">
        <v>0.0</v>
      </c>
      <c r="H9094" s="3">
        <v>0.0</v>
      </c>
      <c r="I9094" s="3" t="s">
        <v>13</v>
      </c>
      <c r="J9094" s="3" t="s">
        <v>25824</v>
      </c>
      <c r="K9094" s="3" t="s">
        <v>15</v>
      </c>
      <c r="L9094" s="3" t="str">
        <f>IFERROR(__xludf.DUMMYFUNCTION("GOOGLETRANSLATE(F9094,""id"",""en"")"),"I will not retire from the Argentine national team I want to continue playing as champions said Messi")</f>
        <v>I will not retire from the Argentine national team I want to continue playing as champions said Messi</v>
      </c>
    </row>
    <row r="9095" ht="15.75" customHeight="1">
      <c r="A9095" s="1">
        <v>10323.0</v>
      </c>
      <c r="B9095" s="3" t="s">
        <v>25963</v>
      </c>
      <c r="C9095" s="3">
        <v>0.0</v>
      </c>
      <c r="D9095" s="3">
        <v>0.0</v>
      </c>
      <c r="E9095" s="3">
        <v>0.0</v>
      </c>
      <c r="F9095" s="3" t="s">
        <v>25964</v>
      </c>
      <c r="G9095" s="3">
        <v>0.0</v>
      </c>
      <c r="H9095" s="3">
        <v>0.0</v>
      </c>
      <c r="I9095" s="3" t="s">
        <v>13</v>
      </c>
      <c r="J9095" s="3" t="s">
        <v>25965</v>
      </c>
      <c r="K9095" s="3" t="s">
        <v>54</v>
      </c>
      <c r="L9095" s="3" t="str">
        <f>IFERROR(__xludf.DUMMYFUNCTION("GOOGLETRANSLATE(F9095,""id"",""en"")"),"Argentina TGB World Cup Champion Finally")</f>
        <v>Argentina TGB World Cup Champion Finally</v>
      </c>
    </row>
    <row r="9096" ht="15.75" customHeight="1">
      <c r="A9096" s="1">
        <v>10324.0</v>
      </c>
      <c r="B9096" s="3" t="s">
        <v>25966</v>
      </c>
      <c r="C9096" s="3">
        <v>1.0</v>
      </c>
      <c r="D9096" s="3">
        <v>0.0</v>
      </c>
      <c r="E9096" s="3">
        <v>0.0</v>
      </c>
      <c r="F9096" s="3" t="s">
        <v>25967</v>
      </c>
      <c r="G9096" s="3">
        <v>0.2</v>
      </c>
      <c r="H9096" s="3">
        <v>-0.1</v>
      </c>
      <c r="I9096" s="3" t="s">
        <v>179</v>
      </c>
      <c r="J9096" s="3" t="s">
        <v>25968</v>
      </c>
      <c r="K9096" s="3" t="s">
        <v>19</v>
      </c>
      <c r="L9096" s="3" t="str">
        <f>IFERROR(__xludf.DUMMYFUNCTION("GOOGLETRANSLATE(F9096,""id"",""en"")"),"Mental Fighting Spirit Argentina Champion Every interview will say he will die for Messi to reach his dream")</f>
        <v>Mental Fighting Spirit Argentina Champion Every interview will say he will die for Messi to reach his dream</v>
      </c>
    </row>
    <row r="9097" ht="15.75" customHeight="1">
      <c r="A9097" s="1">
        <v>10325.0</v>
      </c>
      <c r="B9097" s="3" t="s">
        <v>25969</v>
      </c>
      <c r="C9097" s="3">
        <v>0.0</v>
      </c>
      <c r="D9097" s="3">
        <v>0.0</v>
      </c>
      <c r="E9097" s="3">
        <v>0.0</v>
      </c>
      <c r="F9097" s="3" t="s">
        <v>25970</v>
      </c>
      <c r="G9097" s="3">
        <v>0.0</v>
      </c>
      <c r="H9097" s="3">
        <v>0.0</v>
      </c>
      <c r="I9097" s="3" t="s">
        <v>13</v>
      </c>
      <c r="J9097" s="3" t="s">
        <v>25971</v>
      </c>
      <c r="K9097" s="3" t="s">
        <v>50</v>
      </c>
      <c r="L9097" s="3" t="str">
        <f>IFERROR(__xludf.DUMMYFUNCTION("GOOGLETRANSLATE(F9097,""id"",""en"")"),"Argentina Champion World Cup Lionel Messi et al got how much money prize")</f>
        <v>Argentina Champion World Cup Lionel Messi et al got how much money prize</v>
      </c>
    </row>
    <row r="9098" ht="15.75" customHeight="1">
      <c r="A9098" s="1">
        <v>10326.0</v>
      </c>
      <c r="B9098" s="3" t="s">
        <v>25972</v>
      </c>
      <c r="C9098" s="3">
        <v>0.0</v>
      </c>
      <c r="D9098" s="3">
        <v>0.0</v>
      </c>
      <c r="E9098" s="3">
        <v>0.0</v>
      </c>
      <c r="F9098" s="3" t="s">
        <v>25953</v>
      </c>
      <c r="G9098" s="3">
        <v>0.0</v>
      </c>
      <c r="H9098" s="3">
        <v>0.0</v>
      </c>
      <c r="I9098" s="3" t="s">
        <v>13</v>
      </c>
      <c r="J9098" s="3" t="s">
        <v>25954</v>
      </c>
      <c r="K9098" s="3" t="s">
        <v>71</v>
      </c>
      <c r="L9098" s="3" t="str">
        <f>IFERROR(__xludf.DUMMYFUNCTION("GOOGLETRANSLATE(F9098,""id"",""en"")"),"The most beautiful former Barcelona revealed Haru's message after Lionel Messi brought Argentina World Cup champions")</f>
        <v>The most beautiful former Barcelona revealed Haru's message after Lionel Messi brought Argentina World Cup champions</v>
      </c>
    </row>
    <row r="9099" ht="15.75" customHeight="1">
      <c r="A9099" s="1">
        <v>10327.0</v>
      </c>
      <c r="B9099" s="3" t="s">
        <v>25973</v>
      </c>
      <c r="C9099" s="3">
        <v>0.0</v>
      </c>
      <c r="D9099" s="3">
        <v>0.0</v>
      </c>
      <c r="E9099" s="3">
        <v>0.0</v>
      </c>
      <c r="F9099" s="3" t="s">
        <v>25974</v>
      </c>
      <c r="G9099" s="3">
        <v>0.0</v>
      </c>
      <c r="H9099" s="3">
        <v>0.0</v>
      </c>
      <c r="I9099" s="3" t="s">
        <v>13</v>
      </c>
      <c r="J9099" s="3" t="s">
        <v>25975</v>
      </c>
      <c r="K9099" s="3" t="s">
        <v>20982</v>
      </c>
      <c r="L9099" s="3" t="str">
        <f>IFERROR(__xludf.DUMMYFUNCTION("GOOGLETRANSLATE(F9099,""id"",""en"")"),"Suitable Chelsea Logistics Will Champion UCL Really Events Suitable Argentina Logi Will Really World Champion Eti Nati Not Just any Account")</f>
        <v>Suitable Chelsea Logistics Will Champion UCL Really Events Suitable Argentina Logi Will Really World Champion Eti Nati Not Just any Account</v>
      </c>
    </row>
    <row r="9100" ht="15.75" customHeight="1">
      <c r="A9100" s="1">
        <v>10328.0</v>
      </c>
      <c r="B9100" s="3" t="s">
        <v>25976</v>
      </c>
      <c r="C9100" s="3">
        <v>0.0</v>
      </c>
      <c r="D9100" s="3">
        <v>0.0</v>
      </c>
      <c r="E9100" s="3">
        <v>0.0</v>
      </c>
      <c r="F9100" s="3" t="s">
        <v>25977</v>
      </c>
      <c r="G9100" s="3">
        <v>1.0</v>
      </c>
      <c r="H9100" s="3">
        <v>0.0</v>
      </c>
      <c r="I9100" s="3" t="s">
        <v>13</v>
      </c>
      <c r="J9100" s="3" t="s">
        <v>25978</v>
      </c>
      <c r="K9100" s="3" t="s">
        <v>1970</v>
      </c>
      <c r="L9100" s="3" t="str">
        <f>IFERROR(__xludf.DUMMYFUNCTION("GOOGLETRANSLATE(F9100,""id"",""en"")"),"Penalties occurred and Martinez managed to become a hero of Messi to be the best match match and Argentina world champion already wanted to see Messi losing final like before")</f>
        <v>Penalties occurred and Martinez managed to become a hero of Messi to be the best match match and Argentina world champion already wanted to see Messi losing final like before</v>
      </c>
    </row>
    <row r="9101" ht="15.75" customHeight="1">
      <c r="A9101" s="1">
        <v>10329.0</v>
      </c>
      <c r="B9101" s="3" t="s">
        <v>25979</v>
      </c>
      <c r="C9101" s="3">
        <v>0.0</v>
      </c>
      <c r="D9101" s="3">
        <v>2.0</v>
      </c>
      <c r="E9101" s="3">
        <v>0.0</v>
      </c>
      <c r="F9101" s="3" t="s">
        <v>25980</v>
      </c>
      <c r="G9101" s="3">
        <v>0.0</v>
      </c>
      <c r="H9101" s="3">
        <v>0.0</v>
      </c>
      <c r="I9101" s="3" t="s">
        <v>13</v>
      </c>
      <c r="J9101" s="3" t="s">
        <v>25981</v>
      </c>
      <c r="K9101" s="3" t="s">
        <v>41</v>
      </c>
      <c r="L9101" s="3" t="str">
        <f>IFERROR(__xludf.DUMMYFUNCTION("GOOGLETRANSLATE(F9101,""id"",""en"")"),"in the middle of the economic crisis of Argentine Celebrating World Cup Champion")</f>
        <v>in the middle of the economic crisis of Argentine Celebrating World Cup Champion</v>
      </c>
    </row>
    <row r="9102" ht="15.75" customHeight="1">
      <c r="A9102" s="1">
        <v>10330.0</v>
      </c>
      <c r="B9102" s="3" t="s">
        <v>25982</v>
      </c>
      <c r="C9102" s="3">
        <v>0.0</v>
      </c>
      <c r="D9102" s="3">
        <v>0.0</v>
      </c>
      <c r="E9102" s="3">
        <v>0.0</v>
      </c>
      <c r="F9102" s="3" t="s">
        <v>25983</v>
      </c>
      <c r="G9102" s="3">
        <v>0.0</v>
      </c>
      <c r="H9102" s="3">
        <v>0.0</v>
      </c>
      <c r="I9102" s="3" t="s">
        <v>13</v>
      </c>
      <c r="J9102" s="3" t="s">
        <v>25984</v>
      </c>
      <c r="K9102" s="3" t="s">
        <v>184</v>
      </c>
      <c r="L9102" s="3" t="str">
        <f>IFERROR(__xludf.DUMMYFUNCTION("GOOGLETRANSLATE(F9102,""id"",""en"")"),"This is the digital team, what do you want to do if Argentina is champions, please go up today, don't forget the big party logo like this")</f>
        <v>This is the digital team, what do you want to do if Argentina is champions, please go up today, don't forget the big party logo like this</v>
      </c>
    </row>
    <row r="9103" ht="15.75" customHeight="1">
      <c r="A9103" s="1">
        <v>10331.0</v>
      </c>
      <c r="B9103" s="3" t="s">
        <v>25985</v>
      </c>
      <c r="C9103" s="3">
        <v>2.0</v>
      </c>
      <c r="D9103" s="3">
        <v>0.0</v>
      </c>
      <c r="E9103" s="3">
        <v>3.0</v>
      </c>
      <c r="F9103" s="3" t="s">
        <v>25986</v>
      </c>
      <c r="G9103" s="3">
        <v>0.0</v>
      </c>
      <c r="H9103" s="3">
        <v>0.0</v>
      </c>
      <c r="I9103" s="3" t="s">
        <v>13</v>
      </c>
      <c r="J9103" s="3" t="s">
        <v>25987</v>
      </c>
      <c r="K9103" s="3" t="s">
        <v>184</v>
      </c>
      <c r="L9103" s="3" t="str">
        <f>IFERROR(__xludf.DUMMYFUNCTION("GOOGLETRANSLATE(F9103,""id"",""en"")"),"Understanding the chronology he did not be invited by the Argentine soccer association and the Argentine national team to join the training camp and also the championship celebration from the beginning of the heart disease as well as already")</f>
        <v>Understanding the chronology he did not be invited by the Argentine soccer association and the Argentine national team to join the training camp and also the championship celebration from the beginning of the heart disease as well as already</v>
      </c>
    </row>
    <row r="9104" ht="15.75" customHeight="1">
      <c r="A9104" s="1">
        <v>10332.0</v>
      </c>
      <c r="B9104" s="3" t="s">
        <v>25988</v>
      </c>
      <c r="C9104" s="3">
        <v>0.0</v>
      </c>
      <c r="D9104" s="3">
        <v>0.0</v>
      </c>
      <c r="E9104" s="3">
        <v>0.0</v>
      </c>
      <c r="F9104" s="3" t="s">
        <v>25989</v>
      </c>
      <c r="G9104" s="3">
        <v>0.0</v>
      </c>
      <c r="H9104" s="3">
        <v>0.0</v>
      </c>
      <c r="I9104" s="3" t="s">
        <v>13</v>
      </c>
      <c r="J9104" s="3" t="s">
        <v>25990</v>
      </c>
      <c r="K9104" s="3" t="s">
        <v>14571</v>
      </c>
      <c r="L9104" s="3" t="str">
        <f>IFERROR(__xludf.DUMMYFUNCTION("GOOGLETRANSLATE(F9104,""id"",""en"")"),"Aminnn Tengkyuu")</f>
        <v>Aminnn Tengkyuu</v>
      </c>
    </row>
    <row r="9105" ht="15.75" customHeight="1">
      <c r="A9105" s="1">
        <v>10333.0</v>
      </c>
      <c r="B9105" s="3" t="s">
        <v>25991</v>
      </c>
      <c r="C9105" s="3">
        <v>1.0</v>
      </c>
      <c r="D9105" s="3">
        <v>0.0</v>
      </c>
      <c r="E9105" s="3">
        <v>8.0</v>
      </c>
      <c r="F9105" s="3" t="s">
        <v>25992</v>
      </c>
      <c r="G9105" s="3">
        <v>0.0</v>
      </c>
      <c r="H9105" s="3">
        <v>0.0</v>
      </c>
      <c r="I9105" s="3" t="s">
        <v>13</v>
      </c>
      <c r="J9105" s="3" t="s">
        <v>25993</v>
      </c>
      <c r="K9105" s="3" t="s">
        <v>75</v>
      </c>
      <c r="L9105" s="3" t="str">
        <f>IFERROR(__xludf.DUMMYFUNCTION("GOOGLETRANSLATE(F9105,""id"",""en"")"),"Argentina's economy despite the success of the World Cup champion Messi")</f>
        <v>Argentina's economy despite the success of the World Cup champion Messi</v>
      </c>
    </row>
    <row r="9106" ht="15.75" customHeight="1">
      <c r="A9106" s="1">
        <v>10334.0</v>
      </c>
      <c r="B9106" s="3" t="s">
        <v>25994</v>
      </c>
      <c r="C9106" s="3">
        <v>0.0</v>
      </c>
      <c r="D9106" s="3">
        <v>0.0</v>
      </c>
      <c r="E9106" s="3">
        <v>0.0</v>
      </c>
      <c r="F9106" s="3" t="s">
        <v>25995</v>
      </c>
      <c r="G9106" s="3">
        <v>0.0</v>
      </c>
      <c r="H9106" s="3">
        <v>0.0</v>
      </c>
      <c r="I9106" s="3" t="s">
        <v>13</v>
      </c>
      <c r="J9106" s="3" t="s">
        <v>25996</v>
      </c>
      <c r="K9106" s="3" t="s">
        <v>54</v>
      </c>
      <c r="L9106" s="3" t="str">
        <f>IFERROR(__xludf.DUMMYFUNCTION("GOOGLETRANSLATE(F9106,""id"",""en"")"),"Argentina The prize trophy champion was taken by the school")</f>
        <v>Argentina The prize trophy champion was taken by the school</v>
      </c>
    </row>
    <row r="9107" ht="15.75" customHeight="1">
      <c r="A9107" s="1">
        <v>10335.0</v>
      </c>
      <c r="B9107" s="3" t="s">
        <v>25997</v>
      </c>
      <c r="C9107" s="3">
        <v>0.0</v>
      </c>
      <c r="D9107" s="3">
        <v>4.0</v>
      </c>
      <c r="E9107" s="3">
        <v>0.0</v>
      </c>
      <c r="F9107" s="3" t="s">
        <v>25998</v>
      </c>
      <c r="G9107" s="3">
        <v>0.0</v>
      </c>
      <c r="H9107" s="3">
        <v>0.0</v>
      </c>
      <c r="I9107" s="3" t="s">
        <v>13</v>
      </c>
      <c r="J9107" s="3" t="s">
        <v>25999</v>
      </c>
      <c r="K9107" s="3" t="s">
        <v>510</v>
      </c>
      <c r="L9107" s="3" t="str">
        <f>IFERROR(__xludf.DUMMYFUNCTION("GOOGLETRANSLATE(F9107,""id"",""en"")"),"Argentine national team champion World Cup Penggawa Team Tango Celebrates the Death of Kylian Mbappe Liputan")</f>
        <v>Argentine national team champion World Cup Penggawa Team Tango Celebrates the Death of Kylian Mbappe Liputan</v>
      </c>
    </row>
    <row r="9108" ht="15.75" customHeight="1">
      <c r="A9108" s="1">
        <v>10336.0</v>
      </c>
      <c r="B9108" s="3" t="s">
        <v>26000</v>
      </c>
      <c r="C9108" s="3">
        <v>0.0</v>
      </c>
      <c r="D9108" s="3">
        <v>0.0</v>
      </c>
      <c r="E9108" s="3">
        <v>0.0</v>
      </c>
      <c r="F9108" s="3" t="s">
        <v>26001</v>
      </c>
      <c r="G9108" s="3">
        <v>0.0</v>
      </c>
      <c r="H9108" s="3">
        <v>0.0</v>
      </c>
      <c r="I9108" s="3" t="s">
        <v>13</v>
      </c>
      <c r="J9108" s="3" t="s">
        <v>26002</v>
      </c>
      <c r="K9108" s="3" t="s">
        <v>54</v>
      </c>
      <c r="L9108" s="3" t="str">
        <f>IFERROR(__xludf.DUMMYFUNCTION("GOOGLETRANSLATE(F9108,""id"",""en"")"),"The point is one Argentina Champion Giveaway Debate")</f>
        <v>The point is one Argentina Champion Giveaway Debate</v>
      </c>
    </row>
    <row r="9109" ht="15.75" customHeight="1">
      <c r="A9109" s="1">
        <v>10337.0</v>
      </c>
      <c r="B9109" s="3" t="s">
        <v>26003</v>
      </c>
      <c r="C9109" s="3">
        <v>1.0</v>
      </c>
      <c r="D9109" s="3">
        <v>0.0</v>
      </c>
      <c r="E9109" s="3">
        <v>0.0</v>
      </c>
      <c r="F9109" s="3" t="s">
        <v>26004</v>
      </c>
      <c r="G9109" s="3">
        <v>0.35</v>
      </c>
      <c r="H9109" s="3">
        <v>0.1</v>
      </c>
      <c r="I9109" s="3" t="s">
        <v>48</v>
      </c>
      <c r="J9109" s="3" t="s">
        <v>26005</v>
      </c>
      <c r="K9109" s="3" t="s">
        <v>192</v>
      </c>
      <c r="L9109" s="3" t="str">
        <f>IFERROR(__xludf.DUMMYFUNCTION("GOOGLETRANSLATE(F9109,""id"",""en"")"),"Assuming you are just the same as the conspiracy of the opponent's fans, there is a moment of Argentina to get a soft penalty for example when it is poland but if you see all Argentina matches based on Argentina's performance deserves champions who are al"&amp;"so champions")</f>
        <v>Assuming you are just the same as the conspiracy of the opponent's fans, there is a moment of Argentina to get a soft penalty for example when it is poland but if you see all Argentina matches based on Argentina's performance deserves champions who are also champions</v>
      </c>
    </row>
    <row r="9110" ht="15.75" customHeight="1">
      <c r="A9110" s="1">
        <v>10338.0</v>
      </c>
      <c r="B9110" s="3" t="s">
        <v>26006</v>
      </c>
      <c r="C9110" s="3">
        <v>0.0</v>
      </c>
      <c r="D9110" s="3">
        <v>0.0</v>
      </c>
      <c r="E9110" s="3">
        <v>0.0</v>
      </c>
      <c r="F9110" s="3" t="s">
        <v>26007</v>
      </c>
      <c r="G9110" s="3">
        <v>0.0</v>
      </c>
      <c r="H9110" s="3">
        <v>0.0</v>
      </c>
      <c r="I9110" s="3" t="s">
        <v>13</v>
      </c>
      <c r="J9110" s="3" t="s">
        <v>26008</v>
      </c>
      <c r="K9110" s="3" t="s">
        <v>644</v>
      </c>
      <c r="L9110" s="3" t="str">
        <f>IFERROR(__xludf.DUMMYFUNCTION("GOOGLETRANSLATE(F9110,""id"",""en"")"),"Still believe in Argentina World Champion")</f>
        <v>Still believe in Argentina World Champion</v>
      </c>
    </row>
    <row r="9111" ht="15.75" customHeight="1">
      <c r="A9111" s="1">
        <v>10339.0</v>
      </c>
      <c r="B9111" s="3" t="s">
        <v>26009</v>
      </c>
      <c r="C9111" s="3">
        <v>0.0</v>
      </c>
      <c r="D9111" s="3">
        <v>0.0</v>
      </c>
      <c r="E9111" s="3">
        <v>0.0</v>
      </c>
      <c r="F9111" s="3" t="s">
        <v>26010</v>
      </c>
      <c r="G9111" s="3">
        <v>0.0</v>
      </c>
      <c r="H9111" s="3">
        <v>0.0</v>
      </c>
      <c r="I9111" s="3" t="s">
        <v>13</v>
      </c>
      <c r="J9111" s="3" t="s">
        <v>26011</v>
      </c>
      <c r="K9111" s="3" t="s">
        <v>614</v>
      </c>
      <c r="L9111" s="3" t="str">
        <f>IFERROR(__xludf.DUMMYFUNCTION("GOOGLETRANSLATE(F9111,""id"",""en"")"),"Argentina officially won after competing against France with Afh Iyh Messi score really won while Ronaldo also won alias crying cus just listen")</f>
        <v>Argentina officially won after competing against France with Afh Iyh Messi score really won while Ronaldo also won alias crying cus just listen</v>
      </c>
    </row>
    <row r="9112" ht="15.75" customHeight="1">
      <c r="A9112" s="1">
        <v>10340.0</v>
      </c>
      <c r="B9112" s="3" t="s">
        <v>26012</v>
      </c>
      <c r="C9112" s="3">
        <v>1.0</v>
      </c>
      <c r="D9112" s="3">
        <v>3.0</v>
      </c>
      <c r="E9112" s="3">
        <v>10.0</v>
      </c>
      <c r="F9112" s="3" t="s">
        <v>26013</v>
      </c>
      <c r="G9112" s="3">
        <v>0.0</v>
      </c>
      <c r="H9112" s="3">
        <v>0.0</v>
      </c>
      <c r="I9112" s="3" t="s">
        <v>13</v>
      </c>
      <c r="J9112" s="3" t="s">
        <v>26014</v>
      </c>
      <c r="K9112" s="3" t="s">
        <v>1912</v>
      </c>
      <c r="L9112" s="3" t="str">
        <f>IFERROR(__xludf.DUMMYFUNCTION("GOOGLETRANSLATE(F9112,""id"",""en"")"),"Just realized that from the beginning Pro Argentina and even the logo was inspired by Juan Roman Riquelme from Riquelme the idea of ​​the name of the media and the vision of the media was present so congratulations for Argentina who won the World Cup cham"&amp;"pionship")</f>
        <v>Just realized that from the beginning Pro Argentina and even the logo was inspired by Juan Roman Riquelme from Riquelme the idea of ​​the name of the media and the vision of the media was present so congratulations for Argentina who won the World Cup championship</v>
      </c>
    </row>
    <row r="9113" ht="15.75" customHeight="1">
      <c r="A9113" s="1">
        <v>10341.0</v>
      </c>
      <c r="B9113" s="3" t="s">
        <v>26015</v>
      </c>
      <c r="C9113" s="3">
        <v>0.0</v>
      </c>
      <c r="D9113" s="3">
        <v>0.0</v>
      </c>
      <c r="E9113" s="3">
        <v>0.0</v>
      </c>
      <c r="F9113" s="3" t="s">
        <v>25728</v>
      </c>
      <c r="G9113" s="3">
        <v>1.0</v>
      </c>
      <c r="H9113" s="3">
        <v>0.0</v>
      </c>
      <c r="I9113" s="3" t="s">
        <v>13</v>
      </c>
      <c r="J9113" s="3" t="s">
        <v>25729</v>
      </c>
      <c r="K9113" s="3" t="s">
        <v>50</v>
      </c>
      <c r="L9113" s="3" t="str">
        <f>IFERROR(__xludf.DUMMYFUNCTION("GOOGLETRANSLATE(F9113,""id"",""en"")"),"French Argentina Final Video Wins Messi Penalty Fighting DKK World Champion")</f>
        <v>French Argentina Final Video Wins Messi Penalty Fighting DKK World Champion</v>
      </c>
    </row>
    <row r="9114" ht="15.75" customHeight="1">
      <c r="A9114" s="1">
        <v>10342.0</v>
      </c>
      <c r="B9114" s="3" t="s">
        <v>26016</v>
      </c>
      <c r="C9114" s="3">
        <v>0.0</v>
      </c>
      <c r="D9114" s="3">
        <v>0.0</v>
      </c>
      <c r="E9114" s="3">
        <v>0.0</v>
      </c>
      <c r="F9114" s="3" t="s">
        <v>26017</v>
      </c>
      <c r="G9114" s="3">
        <v>0.0</v>
      </c>
      <c r="H9114" s="3">
        <v>0.0</v>
      </c>
      <c r="I9114" s="3" t="s">
        <v>13</v>
      </c>
      <c r="J9114" s="3" t="s">
        <v>26018</v>
      </c>
      <c r="K9114" s="3" t="s">
        <v>15</v>
      </c>
      <c r="L9114" s="3" t="str">
        <f>IFERROR(__xludf.DUMMYFUNCTION("GOOGLETRANSLATE(F9114,""id"",""en"")"),"defeated by Saudi Arabia Early Argentina became the final champion")</f>
        <v>defeated by Saudi Arabia Early Argentina became the final champion</v>
      </c>
    </row>
    <row r="9115" ht="15.75" customHeight="1">
      <c r="A9115" s="1">
        <v>10343.0</v>
      </c>
      <c r="B9115" s="3" t="s">
        <v>26019</v>
      </c>
      <c r="C9115" s="3">
        <v>0.0</v>
      </c>
      <c r="D9115" s="3">
        <v>0.0</v>
      </c>
      <c r="E9115" s="3">
        <v>0.0</v>
      </c>
      <c r="F9115" s="3" t="s">
        <v>24436</v>
      </c>
      <c r="G9115" s="3">
        <v>1.0</v>
      </c>
      <c r="H9115" s="3">
        <v>1.0</v>
      </c>
      <c r="I9115" s="3" t="s">
        <v>48</v>
      </c>
      <c r="J9115" s="3" t="s">
        <v>24437</v>
      </c>
      <c r="K9115" s="3" t="s">
        <v>75</v>
      </c>
      <c r="L9115" s="3" t="str">
        <f>IFERROR(__xludf.DUMMYFUNCTION("GOOGLETRANSLATE(F9115,""id"",""en"")"),"Argentina Champion Messi Status Changed to The Greatest All Time")</f>
        <v>Argentina Champion Messi Status Changed to The Greatest All Time</v>
      </c>
    </row>
    <row r="9116" ht="15.75" customHeight="1">
      <c r="A9116" s="1">
        <v>10344.0</v>
      </c>
      <c r="B9116" s="3" t="s">
        <v>26020</v>
      </c>
      <c r="C9116" s="3">
        <v>0.0</v>
      </c>
      <c r="D9116" s="3">
        <v>0.0</v>
      </c>
      <c r="E9116" s="3">
        <v>0.0</v>
      </c>
      <c r="F9116" s="3" t="s">
        <v>26021</v>
      </c>
      <c r="G9116" s="3">
        <v>0.0</v>
      </c>
      <c r="H9116" s="3">
        <v>0.0</v>
      </c>
      <c r="I9116" s="3" t="s">
        <v>13</v>
      </c>
      <c r="J9116" s="3" t="s">
        <v>26022</v>
      </c>
      <c r="K9116" s="3" t="s">
        <v>192</v>
      </c>
      <c r="L9116" s="3" t="str">
        <f>IFERROR(__xludf.DUMMYFUNCTION("GOOGLETRANSLATE(F9116,""id"",""en"")"),"Time stupid Portugal before the biggest legendary for football has been a lot of champion in the third championship, without anymore this season if the quality of the squad is clearly superior to Portugal compared to Argentina")</f>
        <v>Time stupid Portugal before the biggest legendary for football has been a lot of champion in the third championship, without anymore this season if the quality of the squad is clearly superior to Portugal compared to Argentina</v>
      </c>
    </row>
    <row r="9117" ht="15.75" customHeight="1">
      <c r="A9117" s="1">
        <v>10345.0</v>
      </c>
      <c r="B9117" s="3" t="s">
        <v>26023</v>
      </c>
      <c r="C9117" s="3">
        <v>0.0</v>
      </c>
      <c r="D9117" s="3">
        <v>1.0</v>
      </c>
      <c r="E9117" s="3">
        <v>0.0</v>
      </c>
      <c r="F9117" s="3" t="s">
        <v>26024</v>
      </c>
      <c r="G9117" s="3">
        <v>0.0</v>
      </c>
      <c r="H9117" s="3">
        <v>0.0</v>
      </c>
      <c r="I9117" s="3" t="s">
        <v>13</v>
      </c>
      <c r="J9117" s="3" t="s">
        <v>26025</v>
      </c>
      <c r="K9117" s="3" t="s">
        <v>2215</v>
      </c>
      <c r="L9117" s="3" t="str">
        <f>IFERROR(__xludf.DUMMYFUNCTION("GOOGLETRANSLATE(F9117,""id"",""en"")"),"njiiiirrr out boarding house buying to eat using Argentina jersey was shouted by a woeyyy Argentina champion Woeyyy championship")</f>
        <v>njiiiirrr out boarding house buying to eat using Argentina jersey was shouted by a woeyyy Argentina champion Woeyyy championship</v>
      </c>
    </row>
    <row r="9118" ht="15.75" customHeight="1">
      <c r="A9118" s="1">
        <v>10346.0</v>
      </c>
      <c r="B9118" s="3" t="s">
        <v>26026</v>
      </c>
      <c r="C9118" s="3">
        <v>1.0</v>
      </c>
      <c r="D9118" s="3">
        <v>0.0</v>
      </c>
      <c r="E9118" s="3">
        <v>0.0</v>
      </c>
      <c r="F9118" s="3" t="s">
        <v>26027</v>
      </c>
      <c r="G9118" s="3">
        <v>0.0</v>
      </c>
      <c r="H9118" s="3">
        <v>0.0</v>
      </c>
      <c r="I9118" s="3" t="s">
        <v>13</v>
      </c>
      <c r="J9118" s="3" t="s">
        <v>26028</v>
      </c>
      <c r="K9118" s="3" t="s">
        <v>1045</v>
      </c>
      <c r="L9118" s="3" t="str">
        <f>IFERROR(__xludf.DUMMYFUNCTION("GOOGLETRANSLATE(F9118,""id"",""en"")"),"He was invited by the Argentine Football Association and the Argentine national team to join the training camp and also the nyet champion celebration from the beginning of heart disease had also been offered to be the Argentine national team coach staff o"&amp;"nly when")</f>
        <v>He was invited by the Argentine Football Association and the Argentine national team to join the training camp and also the nyet champion celebration from the beginning of heart disease had also been offered to be the Argentine national team coach staff only when</v>
      </c>
    </row>
    <row r="9119" ht="15.75" customHeight="1">
      <c r="A9119" s="1">
        <v>10347.0</v>
      </c>
      <c r="B9119" s="3" t="s">
        <v>26029</v>
      </c>
      <c r="C9119" s="3">
        <v>0.0</v>
      </c>
      <c r="D9119" s="3">
        <v>1.0</v>
      </c>
      <c r="E9119" s="3">
        <v>0.0</v>
      </c>
      <c r="F9119" s="3" t="s">
        <v>26030</v>
      </c>
      <c r="G9119" s="3">
        <v>0.0</v>
      </c>
      <c r="H9119" s="3">
        <v>0.0</v>
      </c>
      <c r="I9119" s="3" t="s">
        <v>13</v>
      </c>
      <c r="J9119" s="3" t="s">
        <v>26031</v>
      </c>
      <c r="K9119" s="3" t="s">
        <v>15736</v>
      </c>
      <c r="L9119" s="3" t="str">
        <f>IFERROR(__xludf.DUMMYFUNCTION("GOOGLETRANSLATE(F9119,""id"",""en"")"),"Argentina Champion World Cup First Champion Argentina Second Champion Mexico Champion Qatar in Mario Kempes with a goal in the year of Diego Maradona with a goal")</f>
        <v>Argentina Champion World Cup First Champion Argentina Second Champion Mexico Champion Qatar in Mario Kempes with a goal in the year of Diego Maradona with a goal</v>
      </c>
    </row>
    <row r="9120" ht="15.75" customHeight="1">
      <c r="A9120" s="1">
        <v>10348.0</v>
      </c>
      <c r="B9120" s="3" t="s">
        <v>26032</v>
      </c>
      <c r="C9120" s="3">
        <v>0.0</v>
      </c>
      <c r="D9120" s="3">
        <v>0.0</v>
      </c>
      <c r="E9120" s="3">
        <v>0.0</v>
      </c>
      <c r="F9120" s="3" t="s">
        <v>26033</v>
      </c>
      <c r="G9120" s="3">
        <v>0.0</v>
      </c>
      <c r="H9120" s="3">
        <v>0.0</v>
      </c>
      <c r="I9120" s="3" t="s">
        <v>13</v>
      </c>
      <c r="J9120" s="3" t="s">
        <v>26034</v>
      </c>
      <c r="K9120" s="3" t="s">
        <v>520</v>
      </c>
      <c r="L9120" s="3" t="str">
        <f>IFERROR(__xludf.DUMMYFUNCTION("GOOGLETRANSLATE(F9120,""id"",""en"")"),"These results ensure that Argentina won the World Cup for the third time before Argentina won the World Cup in the year and steady")</f>
        <v>These results ensure that Argentina won the World Cup for the third time before Argentina won the World Cup in the year and steady</v>
      </c>
    </row>
    <row r="9121" ht="15.75" customHeight="1">
      <c r="A9121" s="1">
        <v>10349.0</v>
      </c>
      <c r="B9121" s="3" t="s">
        <v>26035</v>
      </c>
      <c r="C9121" s="3">
        <v>0.0</v>
      </c>
      <c r="D9121" s="3">
        <v>0.0</v>
      </c>
      <c r="E9121" s="3">
        <v>0.0</v>
      </c>
      <c r="F9121" s="3" t="s">
        <v>26036</v>
      </c>
      <c r="G9121" s="3">
        <v>0.3555555555555556</v>
      </c>
      <c r="H9121" s="3">
        <v>0.3777777777777778</v>
      </c>
      <c r="I9121" s="3" t="s">
        <v>48</v>
      </c>
      <c r="J9121" s="3" t="s">
        <v>26037</v>
      </c>
      <c r="K9121" s="3" t="s">
        <v>614</v>
      </c>
      <c r="L9121" s="3" t="str">
        <f>IFERROR(__xludf.DUMMYFUNCTION("GOOGLETRANSLATE(F9121,""id"",""en"")"),"exclaimed after playing here without buyspin, you can immediately appear and play pyramid bonanza, the gacor is a sultan -style site.")</f>
        <v>exclaimed after playing here without buyspin, you can immediately appear and play pyramid bonanza, the gacor is a sultan -style site.</v>
      </c>
    </row>
    <row r="9122" ht="15.75" customHeight="1">
      <c r="A9122" s="1">
        <v>10350.0</v>
      </c>
      <c r="B9122" s="3" t="s">
        <v>26038</v>
      </c>
      <c r="C9122" s="3">
        <v>0.0</v>
      </c>
      <c r="D9122" s="3">
        <v>0.0</v>
      </c>
      <c r="E9122" s="3">
        <v>2.0</v>
      </c>
      <c r="F9122" s="3" t="s">
        <v>26039</v>
      </c>
      <c r="G9122" s="3">
        <v>0.0</v>
      </c>
      <c r="H9122" s="3">
        <v>0.0</v>
      </c>
      <c r="I9122" s="3" t="s">
        <v>13</v>
      </c>
      <c r="J9122" s="3" t="s">
        <v>26040</v>
      </c>
      <c r="K9122" s="3" t="s">
        <v>75</v>
      </c>
      <c r="L9122" s="3" t="str">
        <f>IFERROR(__xludf.DUMMYFUNCTION("GOOGLETRANSLATE(F9122,""id"",""en"")"),"Finally, only the Argentine era managed to become world champion after waiting for decades")</f>
        <v>Finally, only the Argentine era managed to become world champion after waiting for decades</v>
      </c>
    </row>
    <row r="9123" ht="15.75" customHeight="1">
      <c r="A9123" s="1">
        <v>10351.0</v>
      </c>
      <c r="B9123" s="3" t="s">
        <v>26041</v>
      </c>
      <c r="C9123" s="3">
        <v>1.0</v>
      </c>
      <c r="D9123" s="3">
        <v>0.0</v>
      </c>
      <c r="E9123" s="3">
        <v>0.0</v>
      </c>
      <c r="F9123" s="3" t="s">
        <v>26042</v>
      </c>
      <c r="G9123" s="3">
        <v>0.0</v>
      </c>
      <c r="H9123" s="3">
        <v>0.0</v>
      </c>
      <c r="I9123" s="3" t="s">
        <v>13</v>
      </c>
      <c r="J9123" s="3" t="s">
        <v>26043</v>
      </c>
      <c r="K9123" s="3" t="s">
        <v>41</v>
      </c>
      <c r="L9123" s="3" t="str">
        <f>IFERROR(__xludf.DUMMYFUNCTION("GOOGLETRANSLATE(F9123,""id"",""en"")"),"thanks admin thanks to sure Argentina will win from the group phase")</f>
        <v>thanks admin thanks to sure Argentina will win from the group phase</v>
      </c>
    </row>
    <row r="9124" ht="15.75" customHeight="1">
      <c r="A9124" s="1">
        <v>10352.0</v>
      </c>
      <c r="B9124" s="3" t="s">
        <v>26044</v>
      </c>
      <c r="C9124" s="3">
        <v>0.0</v>
      </c>
      <c r="D9124" s="3">
        <v>0.0</v>
      </c>
      <c r="E9124" s="3">
        <v>0.0</v>
      </c>
      <c r="F9124" s="3" t="s">
        <v>26045</v>
      </c>
      <c r="G9124" s="3">
        <v>0.0</v>
      </c>
      <c r="H9124" s="3">
        <v>0.0</v>
      </c>
      <c r="I9124" s="3" t="s">
        <v>13</v>
      </c>
      <c r="J9124" s="3" t="s">
        <v>26046</v>
      </c>
      <c r="K9124" s="3" t="s">
        <v>82</v>
      </c>
      <c r="L9124" s="3" t="str">
        <f>IFERROR(__xludf.DUMMYFUNCTION("GOOGLETRANSLATE(F9124,""id"",""en"")"),"Argentina World Cup Champion Takes Trillion home")</f>
        <v>Argentina World Cup Champion Takes Trillion home</v>
      </c>
    </row>
    <row r="9125" ht="15.75" customHeight="1">
      <c r="A9125" s="1">
        <v>10353.0</v>
      </c>
      <c r="B9125" s="3" t="s">
        <v>26047</v>
      </c>
      <c r="C9125" s="3">
        <v>1.0</v>
      </c>
      <c r="D9125" s="3">
        <v>0.0</v>
      </c>
      <c r="E9125" s="3">
        <v>2.0</v>
      </c>
      <c r="F9125" s="3" t="s">
        <v>26048</v>
      </c>
      <c r="G9125" s="3">
        <v>0.0</v>
      </c>
      <c r="H9125" s="3">
        <v>0.0</v>
      </c>
      <c r="I9125" s="3" t="s">
        <v>13</v>
      </c>
      <c r="J9125" s="3" t="s">
        <v>26049</v>
      </c>
      <c r="K9125" s="3" t="s">
        <v>75</v>
      </c>
      <c r="L9125" s="3" t="str">
        <f>IFERROR(__xludf.DUMMYFUNCTION("GOOGLETRANSLATE(F9125,""id"",""en"")"),"Video Sergio Aguero joined the celebration of the World Cup Argentina championship")</f>
        <v>Video Sergio Aguero joined the celebration of the World Cup Argentina championship</v>
      </c>
    </row>
    <row r="9126" ht="15.75" customHeight="1">
      <c r="A9126" s="1">
        <v>10354.0</v>
      </c>
      <c r="B9126" s="3" t="s">
        <v>26050</v>
      </c>
      <c r="C9126" s="3">
        <v>0.0</v>
      </c>
      <c r="D9126" s="3">
        <v>0.0</v>
      </c>
      <c r="E9126" s="3">
        <v>0.0</v>
      </c>
      <c r="F9126" s="3" t="s">
        <v>26036</v>
      </c>
      <c r="G9126" s="3">
        <v>0.3555555555555556</v>
      </c>
      <c r="H9126" s="3">
        <v>0.3777777777777778</v>
      </c>
      <c r="I9126" s="3" t="s">
        <v>48</v>
      </c>
      <c r="J9126" s="3" t="s">
        <v>26037</v>
      </c>
      <c r="K9126" s="3" t="s">
        <v>614</v>
      </c>
      <c r="L9126" s="3" t="str">
        <f>IFERROR(__xludf.DUMMYFUNCTION("GOOGLETRANSLATE(F9126,""id"",""en"")"),"exclaimed after playing here without buyspin, you can immediately appear and play pyramid bonanza, the gacor is a sultan -style site.")</f>
        <v>exclaimed after playing here without buyspin, you can immediately appear and play pyramid bonanza, the gacor is a sultan -style site.</v>
      </c>
    </row>
    <row r="9127" ht="15.75" customHeight="1">
      <c r="A9127" s="1">
        <v>10355.0</v>
      </c>
      <c r="B9127" s="3" t="s">
        <v>26051</v>
      </c>
      <c r="C9127" s="3">
        <v>0.0</v>
      </c>
      <c r="D9127" s="3">
        <v>0.0</v>
      </c>
      <c r="E9127" s="3">
        <v>0.0</v>
      </c>
      <c r="F9127" s="3" t="s">
        <v>26052</v>
      </c>
      <c r="G9127" s="3">
        <v>0.5</v>
      </c>
      <c r="H9127" s="3">
        <v>0.5</v>
      </c>
      <c r="I9127" s="3" t="s">
        <v>48</v>
      </c>
      <c r="J9127" s="3" t="s">
        <v>26053</v>
      </c>
      <c r="K9127" s="3" t="s">
        <v>903</v>
      </c>
      <c r="L9127" s="3" t="str">
        <f>IFERROR(__xludf.DUMMYFUNCTION("GOOGLETRANSLATE(F9127,""id"",""en"")"),"wkwkwk because the fact is that European football is more advanced and adequate the facilities, so the players in the gacor are most mostly European countries, the champion is Argentina")</f>
        <v>wkwkwk because the fact is that European football is more advanced and adequate the facilities, so the players in the gacor are most mostly European countries, the champion is Argentina</v>
      </c>
    </row>
    <row r="9128" ht="15.75" customHeight="1">
      <c r="A9128" s="1">
        <v>10356.0</v>
      </c>
      <c r="B9128" s="3" t="s">
        <v>26054</v>
      </c>
      <c r="C9128" s="3">
        <v>1.0</v>
      </c>
      <c r="D9128" s="3">
        <v>0.0</v>
      </c>
      <c r="E9128" s="3">
        <v>2.0</v>
      </c>
      <c r="F9128" s="3" t="s">
        <v>26055</v>
      </c>
      <c r="G9128" s="3">
        <v>0.0</v>
      </c>
      <c r="H9128" s="3">
        <v>0.0</v>
      </c>
      <c r="I9128" s="3" t="s">
        <v>13</v>
      </c>
      <c r="J9128" s="3" t="s">
        <v>26056</v>
      </c>
      <c r="K9128" s="3" t="s">
        <v>503</v>
      </c>
      <c r="L9128" s="3" t="str">
        <f>IFERROR(__xludf.DUMMYFUNCTION("GOOGLETRANSLATE(F9128,""id"",""en"")"),"Indeed, Argentine players have averaged qualified skills and have their own specialization from the start, but scaloni proves that he is a stuck adaptive coach.")</f>
        <v>Indeed, Argentine players have averaged qualified skills and have their own specialization from the start, but scaloni proves that he is a stuck adaptive coach.</v>
      </c>
    </row>
    <row r="9129" ht="15.75" customHeight="1">
      <c r="A9129" s="1">
        <v>10357.0</v>
      </c>
      <c r="B9129" s="3" t="s">
        <v>26057</v>
      </c>
      <c r="C9129" s="3">
        <v>0.0</v>
      </c>
      <c r="D9129" s="3">
        <v>0.0</v>
      </c>
      <c r="E9129" s="3">
        <v>0.0</v>
      </c>
      <c r="F9129" s="3" t="s">
        <v>26058</v>
      </c>
      <c r="G9129" s="3">
        <v>0.0</v>
      </c>
      <c r="H9129" s="3">
        <v>0.0</v>
      </c>
      <c r="I9129" s="3" t="s">
        <v>13</v>
      </c>
      <c r="J9129" s="3" t="s">
        <v>26059</v>
      </c>
      <c r="K9129" s="3" t="s">
        <v>75</v>
      </c>
      <c r="L9129" s="3" t="str">
        <f>IFERROR(__xludf.DUMMYFUNCTION("GOOGLETRANSLATE(F9129,""id"",""en"")"),"Sweet Portrait Messi and Family Celebrate Argentina to Work World Cup Champion")</f>
        <v>Sweet Portrait Messi and Family Celebrate Argentina to Work World Cup Champion</v>
      </c>
    </row>
    <row r="9130" ht="15.75" customHeight="1">
      <c r="A9130" s="1">
        <v>10358.0</v>
      </c>
      <c r="B9130" s="3" t="s">
        <v>26060</v>
      </c>
      <c r="C9130" s="3">
        <v>1.0</v>
      </c>
      <c r="D9130" s="3">
        <v>0.0</v>
      </c>
      <c r="E9130" s="3">
        <v>0.0</v>
      </c>
      <c r="F9130" s="3" t="s">
        <v>26061</v>
      </c>
      <c r="G9130" s="3">
        <v>0.0</v>
      </c>
      <c r="H9130" s="3">
        <v>0.0</v>
      </c>
      <c r="I9130" s="3" t="s">
        <v>13</v>
      </c>
      <c r="J9130" s="3" t="s">
        <v>26062</v>
      </c>
      <c r="K9130" s="3" t="s">
        <v>644</v>
      </c>
      <c r="L9130" s="3" t="str">
        <f>IFERROR(__xludf.DUMMYFUNCTION("GOOGLETRANSLATE(F9130,""id"",""en"")"),"could be the Argentina trending ronaldo champion")</f>
        <v>could be the Argentina trending ronaldo champion</v>
      </c>
    </row>
    <row r="9131" ht="15.75" customHeight="1">
      <c r="A9131" s="1">
        <v>10359.0</v>
      </c>
      <c r="B9131" s="3" t="s">
        <v>26063</v>
      </c>
      <c r="C9131" s="3">
        <v>0.0</v>
      </c>
      <c r="D9131" s="3">
        <v>0.0</v>
      </c>
      <c r="E9131" s="3">
        <v>0.0</v>
      </c>
      <c r="F9131" s="3" t="s">
        <v>26064</v>
      </c>
      <c r="G9131" s="3">
        <v>0.0</v>
      </c>
      <c r="H9131" s="3">
        <v>0.0</v>
      </c>
      <c r="I9131" s="3" t="s">
        <v>13</v>
      </c>
      <c r="J9131" s="3" t="s">
        <v>26065</v>
      </c>
      <c r="K9131" s="3" t="s">
        <v>50</v>
      </c>
      <c r="L9131" s="3" t="str">
        <f>IFERROR(__xludf.DUMMYFUNCTION("GOOGLETRANSLATE(F9131,""id"",""en"")"),"Argentine Argentina Champion Google Search won the highest livelihood throughout the year")</f>
        <v>Argentine Argentina Champion Google Search won the highest livelihood throughout the year</v>
      </c>
    </row>
    <row r="9132" ht="15.75" customHeight="1">
      <c r="A9132" s="1">
        <v>10360.0</v>
      </c>
      <c r="B9132" s="3" t="s">
        <v>26066</v>
      </c>
      <c r="C9132" s="3">
        <v>0.0</v>
      </c>
      <c r="D9132" s="3">
        <v>0.0</v>
      </c>
      <c r="E9132" s="3">
        <v>0.0</v>
      </c>
      <c r="F9132" s="3" t="s">
        <v>26067</v>
      </c>
      <c r="G9132" s="3">
        <v>0.0</v>
      </c>
      <c r="H9132" s="3">
        <v>0.0</v>
      </c>
      <c r="I9132" s="3" t="s">
        <v>13</v>
      </c>
      <c r="J9132" s="3" t="s">
        <v>26068</v>
      </c>
      <c r="K9132" s="3" t="s">
        <v>860</v>
      </c>
      <c r="L9132" s="3" t="str">
        <f>IFERROR(__xludf.DUMMYFUNCTION("GOOGLETRANSLATE(F9132,""id"",""en"")"),"What are you guys to make a lot far away, just enjoy Argentina, champion, what do you want to do, what is GPP.")</f>
        <v>What are you guys to make a lot far away, just enjoy Argentina, champion, what do you want to do, what is GPP.</v>
      </c>
    </row>
    <row r="9133" ht="15.75" customHeight="1">
      <c r="A9133" s="1">
        <v>10361.0</v>
      </c>
      <c r="B9133" s="3" t="s">
        <v>26069</v>
      </c>
      <c r="C9133" s="3">
        <v>3.0</v>
      </c>
      <c r="D9133" s="3">
        <v>2.0</v>
      </c>
      <c r="E9133" s="3">
        <v>40.0</v>
      </c>
      <c r="F9133" s="3" t="s">
        <v>26070</v>
      </c>
      <c r="G9133" s="3">
        <v>0.5</v>
      </c>
      <c r="H9133" s="3">
        <v>0.04999999999999999</v>
      </c>
      <c r="I9133" s="3" t="s">
        <v>48</v>
      </c>
      <c r="J9133" s="3" t="s">
        <v>26071</v>
      </c>
      <c r="K9133" s="3" t="s">
        <v>50</v>
      </c>
      <c r="L9133" s="3" t="str">
        <f>IFERROR(__xludf.DUMMYFUNCTION("GOOGLETRANSLATE(F9133,""id"",""en"")"),"the Argentine champion worshiped by Lionel Messi who was blasphemed by Cristiano Ronaldo Love this Game")</f>
        <v>the Argentine champion worshiped by Lionel Messi who was blasphemed by Cristiano Ronaldo Love this Game</v>
      </c>
    </row>
    <row r="9134" ht="15.75" customHeight="1">
      <c r="A9134" s="1">
        <v>10362.0</v>
      </c>
      <c r="B9134" s="3" t="s">
        <v>26072</v>
      </c>
      <c r="C9134" s="3">
        <v>0.0</v>
      </c>
      <c r="D9134" s="3">
        <v>0.0</v>
      </c>
      <c r="E9134" s="3">
        <v>0.0</v>
      </c>
      <c r="F9134" s="3" t="s">
        <v>26036</v>
      </c>
      <c r="G9134" s="3">
        <v>0.3555555555555556</v>
      </c>
      <c r="H9134" s="3">
        <v>0.3777777777777778</v>
      </c>
      <c r="I9134" s="3" t="s">
        <v>48</v>
      </c>
      <c r="J9134" s="3" t="s">
        <v>26037</v>
      </c>
      <c r="K9134" s="3" t="s">
        <v>614</v>
      </c>
      <c r="L9134" s="3" t="str">
        <f>IFERROR(__xludf.DUMMYFUNCTION("GOOGLETRANSLATE(F9134,""id"",""en"")"),"exclaimed after playing here without buyspin, you can immediately appear and play pyramid bonanza, the gacor is a sultan -style site.")</f>
        <v>exclaimed after playing here without buyspin, you can immediately appear and play pyramid bonanza, the gacor is a sultan -style site.</v>
      </c>
    </row>
    <row r="9135" ht="15.75" customHeight="1">
      <c r="A9135" s="1">
        <v>10363.0</v>
      </c>
      <c r="B9135" s="3" t="s">
        <v>26073</v>
      </c>
      <c r="C9135" s="3">
        <v>0.0</v>
      </c>
      <c r="D9135" s="3">
        <v>0.0</v>
      </c>
      <c r="E9135" s="3">
        <v>0.0</v>
      </c>
      <c r="F9135" s="3" t="s">
        <v>26074</v>
      </c>
      <c r="G9135" s="3">
        <v>0.0</v>
      </c>
      <c r="H9135" s="3">
        <v>0.0</v>
      </c>
      <c r="I9135" s="3" t="s">
        <v>13</v>
      </c>
      <c r="J9135" s="3" t="s">
        <v>26075</v>
      </c>
      <c r="K9135" s="3" t="s">
        <v>456</v>
      </c>
      <c r="L9135" s="3" t="str">
        <f>IFERROR(__xludf.DUMMYFUNCTION("GOOGLETRANSLATE(F9135,""id"",""en"")"),"My hero is still England seeing Argentina champions even though with difficulty it is very satisfied to see Messi Sumringah Enzo and Alvares young and dangerous scaloni the youngest coach as well as Kun Aguero and Baristuta joined the celebration")</f>
        <v>My hero is still England seeing Argentina champions even though with difficulty it is very satisfied to see Messi Sumringah Enzo and Alvares young and dangerous scaloni the youngest coach as well as Kun Aguero and Baristuta joined the celebration</v>
      </c>
    </row>
    <row r="9136" ht="15.75" customHeight="1">
      <c r="A9136" s="1">
        <v>10365.0</v>
      </c>
      <c r="B9136" s="3" t="s">
        <v>26076</v>
      </c>
      <c r="C9136" s="3">
        <v>0.0</v>
      </c>
      <c r="D9136" s="3">
        <v>2.0</v>
      </c>
      <c r="E9136" s="3">
        <v>5.0</v>
      </c>
      <c r="F9136" s="3" t="s">
        <v>26077</v>
      </c>
      <c r="G9136" s="3">
        <v>0.0</v>
      </c>
      <c r="H9136" s="3">
        <v>0.0</v>
      </c>
      <c r="I9136" s="3" t="s">
        <v>13</v>
      </c>
      <c r="J9136" s="3" t="s">
        <v>26078</v>
      </c>
      <c r="K9136" s="3" t="s">
        <v>433</v>
      </c>
      <c r="L9136" s="3" t="str">
        <f>IFERROR(__xludf.DUMMYFUNCTION("GOOGLETRANSLATE(F9136,""id"",""en"")"),"Lionel Messi finally became the world champion of the Argentine national team brought by Pulga to become a World Cup champion")</f>
        <v>Lionel Messi finally became the world champion of the Argentine national team brought by Pulga to become a World Cup champion</v>
      </c>
    </row>
    <row r="9137" ht="15.75" customHeight="1">
      <c r="A9137" s="1">
        <v>10366.0</v>
      </c>
      <c r="B9137" s="3" t="s">
        <v>26079</v>
      </c>
      <c r="C9137" s="3">
        <v>0.0</v>
      </c>
      <c r="D9137" s="3">
        <v>0.0</v>
      </c>
      <c r="E9137" s="3">
        <v>0.0</v>
      </c>
      <c r="F9137" s="3" t="s">
        <v>26080</v>
      </c>
      <c r="G9137" s="3">
        <v>0.0</v>
      </c>
      <c r="H9137" s="3">
        <v>0.0</v>
      </c>
      <c r="I9137" s="3" t="s">
        <v>13</v>
      </c>
      <c r="J9137" s="3" t="s">
        <v>26081</v>
      </c>
      <c r="K9137" s="3" t="s">
        <v>71</v>
      </c>
      <c r="L9137" s="3" t="str">
        <f>IFERROR(__xludf.DUMMYFUNCTION("GOOGLETRANSLATE(F9137,""id"",""en"")"),"Although what was championed failed to champion but the original was very entertained and at the same time witnessed the birth of the new legend of Argentina Mantop")</f>
        <v>Although what was championed failed to champion but the original was very entertained and at the same time witnessed the birth of the new legend of Argentina Mantop</v>
      </c>
    </row>
    <row r="9138" ht="15.75" customHeight="1">
      <c r="A9138" s="1">
        <v>10367.0</v>
      </c>
      <c r="B9138" s="3" t="s">
        <v>26082</v>
      </c>
      <c r="C9138" s="3">
        <v>1.0</v>
      </c>
      <c r="D9138" s="3">
        <v>0.0</v>
      </c>
      <c r="E9138" s="3">
        <v>4.0</v>
      </c>
      <c r="F9138" s="3" t="s">
        <v>26083</v>
      </c>
      <c r="G9138" s="3">
        <v>0.55</v>
      </c>
      <c r="H9138" s="3">
        <v>0.35</v>
      </c>
      <c r="I9138" s="3" t="s">
        <v>48</v>
      </c>
      <c r="J9138" s="3" t="s">
        <v>26084</v>
      </c>
      <c r="K9138" s="3" t="s">
        <v>520</v>
      </c>
      <c r="L9138" s="3" t="str">
        <f>IFERROR(__xludf.DUMMYFUNCTION("GOOGLETRANSLATE(F9138,""id"",""en"")"),"He was an Argentine who had defended the national team, but proud of his country, the champion of Indo was just like the Argentine national team yesterday, full smile")</f>
        <v>He was an Argentine who had defended the national team, but proud of his country, the champion of Indo was just like the Argentine national team yesterday, full smile</v>
      </c>
    </row>
    <row r="9139" ht="15.75" customHeight="1">
      <c r="A9139" s="1">
        <v>10368.0</v>
      </c>
      <c r="B9139" s="3" t="s">
        <v>26085</v>
      </c>
      <c r="C9139" s="3">
        <v>0.0</v>
      </c>
      <c r="D9139" s="3">
        <v>1.0</v>
      </c>
      <c r="E9139" s="3">
        <v>1.0</v>
      </c>
      <c r="F9139" s="3" t="s">
        <v>26086</v>
      </c>
      <c r="G9139" s="3">
        <v>0.0</v>
      </c>
      <c r="H9139" s="3">
        <v>0.0</v>
      </c>
      <c r="I9139" s="3" t="s">
        <v>13</v>
      </c>
      <c r="J9139" s="3" t="s">
        <v>26087</v>
      </c>
      <c r="K9139" s="3" t="s">
        <v>19</v>
      </c>
      <c r="L9139" s="3" t="str">
        <f>IFERROR(__xludf.DUMMYFUNCTION("GOOGLETRANSLATE(F9139,""id"",""en"")"),"Argentina has won the World Cup now just waiting for the Hoshi RRQ world champion")</f>
        <v>Argentina has won the World Cup now just waiting for the Hoshi RRQ world champion</v>
      </c>
    </row>
    <row r="9140" ht="15.75" customHeight="1">
      <c r="A9140" s="1">
        <v>10369.0</v>
      </c>
      <c r="B9140" s="3" t="s">
        <v>26088</v>
      </c>
      <c r="C9140" s="3">
        <v>1.0</v>
      </c>
      <c r="D9140" s="3">
        <v>0.0</v>
      </c>
      <c r="E9140" s="3">
        <v>0.0</v>
      </c>
      <c r="F9140" s="3" t="s">
        <v>26089</v>
      </c>
      <c r="G9140" s="3">
        <v>0.0</v>
      </c>
      <c r="H9140" s="3">
        <v>0.0</v>
      </c>
      <c r="I9140" s="3" t="s">
        <v>13</v>
      </c>
      <c r="J9140" s="3" t="s">
        <v>26090</v>
      </c>
      <c r="K9140" s="3" t="s">
        <v>2023</v>
      </c>
      <c r="L9140" s="3" t="str">
        <f>IFERROR(__xludf.DUMMYFUNCTION("GOOGLETRANSLATE(F9140,""id"",""en"")"),"The finalissima title who died a few years turned back to the Copa America champion before Argentina, there was no Euro champion and Copa America champion was brought together")</f>
        <v>The finalissima title who died a few years turned back to the Copa America champion before Argentina, there was no Euro champion and Copa America champion was brought together</v>
      </c>
    </row>
    <row r="9141" ht="15.75" customHeight="1">
      <c r="A9141" s="1">
        <v>10370.0</v>
      </c>
      <c r="B9141" s="3" t="s">
        <v>26091</v>
      </c>
      <c r="C9141" s="3">
        <v>0.0</v>
      </c>
      <c r="D9141" s="3">
        <v>0.0</v>
      </c>
      <c r="E9141" s="3">
        <v>0.0</v>
      </c>
      <c r="F9141" s="3" t="s">
        <v>26092</v>
      </c>
      <c r="G9141" s="3">
        <v>0.0</v>
      </c>
      <c r="H9141" s="3">
        <v>0.0</v>
      </c>
      <c r="I9141" s="3" t="s">
        <v>13</v>
      </c>
      <c r="J9141" s="3" t="s">
        <v>26093</v>
      </c>
      <c r="K9141" s="3" t="s">
        <v>82</v>
      </c>
      <c r="L9141" s="3" t="str">
        <f>IFERROR(__xludf.DUMMYFUNCTION("GOOGLETRANSLATE(F9141,""id"",""en"")"),"Argentina's initial story can be a world champion starting from here")</f>
        <v>Argentina's initial story can be a world champion starting from here</v>
      </c>
    </row>
    <row r="9142" ht="15.75" customHeight="1">
      <c r="A9142" s="1">
        <v>10371.0</v>
      </c>
      <c r="B9142" s="3" t="s">
        <v>26094</v>
      </c>
      <c r="C9142" s="3">
        <v>7.0</v>
      </c>
      <c r="D9142" s="3">
        <v>0.0</v>
      </c>
      <c r="E9142" s="3">
        <v>3.0</v>
      </c>
      <c r="F9142" s="3" t="s">
        <v>25214</v>
      </c>
      <c r="G9142" s="3">
        <v>0.0</v>
      </c>
      <c r="H9142" s="3">
        <v>0.0</v>
      </c>
      <c r="I9142" s="3" t="s">
        <v>13</v>
      </c>
      <c r="J9142" s="3" t="s">
        <v>25215</v>
      </c>
      <c r="K9142" s="3" t="s">
        <v>82</v>
      </c>
      <c r="L9142" s="3" t="str">
        <f>IFERROR(__xludf.DUMMYFUNCTION("GOOGLETRANSLATE(F9142,""id"",""en"")"),"Predictions Mencopukm Proven Argentina World Cup Champion")</f>
        <v>Predictions Mencopukm Proven Argentina World Cup Champion</v>
      </c>
    </row>
    <row r="9143" ht="15.75" customHeight="1">
      <c r="A9143" s="1">
        <v>10372.0</v>
      </c>
      <c r="B9143" s="3" t="s">
        <v>26095</v>
      </c>
      <c r="C9143" s="3">
        <v>0.0</v>
      </c>
      <c r="D9143" s="3">
        <v>0.0</v>
      </c>
      <c r="E9143" s="3">
        <v>0.0</v>
      </c>
      <c r="F9143" s="3" t="s">
        <v>26096</v>
      </c>
      <c r="G9143" s="3">
        <v>0.0</v>
      </c>
      <c r="H9143" s="3">
        <v>0.0</v>
      </c>
      <c r="I9143" s="3" t="s">
        <v>13</v>
      </c>
      <c r="J9143" s="3" t="s">
        <v>26097</v>
      </c>
      <c r="K9143" s="3" t="s">
        <v>75</v>
      </c>
      <c r="L9143" s="3" t="str">
        <f>IFERROR(__xludf.DUMMYFUNCTION("GOOGLETRANSLATE(F9143,""id"",""en"")"),"Ronaldo After Argentina Champion World Cup Removes Messi Genius Rivalry")</f>
        <v>Ronaldo After Argentina Champion World Cup Removes Messi Genius Rivalry</v>
      </c>
    </row>
    <row r="9144" ht="15.75" customHeight="1">
      <c r="A9144" s="1">
        <v>10373.0</v>
      </c>
      <c r="B9144" s="3" t="s">
        <v>26098</v>
      </c>
      <c r="C9144" s="3">
        <v>0.0</v>
      </c>
      <c r="D9144" s="3">
        <v>0.0</v>
      </c>
      <c r="E9144" s="3">
        <v>0.0</v>
      </c>
      <c r="F9144" s="3" t="s">
        <v>26099</v>
      </c>
      <c r="G9144" s="3">
        <v>0.0</v>
      </c>
      <c r="H9144" s="3">
        <v>0.0</v>
      </c>
      <c r="I9144" s="3" t="s">
        <v>13</v>
      </c>
      <c r="J9144" s="3" t="s">
        <v>26100</v>
      </c>
      <c r="K9144" s="3" t="s">
        <v>50</v>
      </c>
      <c r="L9144" s="3" t="str">
        <f>IFERROR(__xludf.DUMMYFUNCTION("GOOGLETRANSLATE(F9144,""id"",""en"")"),"Try asking Bung Justin he understands the most seems to be about the Argentine Conspiracy in the championship")</f>
        <v>Try asking Bung Justin he understands the most seems to be about the Argentine Conspiracy in the championship</v>
      </c>
    </row>
    <row r="9145" ht="15.75" customHeight="1">
      <c r="A9145" s="1">
        <v>10374.0</v>
      </c>
      <c r="B9145" s="3" t="s">
        <v>26101</v>
      </c>
      <c r="C9145" s="3">
        <v>0.0</v>
      </c>
      <c r="D9145" s="3">
        <v>0.0</v>
      </c>
      <c r="E9145" s="3">
        <v>0.0</v>
      </c>
      <c r="F9145" s="3" t="s">
        <v>26102</v>
      </c>
      <c r="G9145" s="3">
        <v>0.0</v>
      </c>
      <c r="H9145" s="3">
        <v>0.0</v>
      </c>
      <c r="I9145" s="3" t="s">
        <v>13</v>
      </c>
      <c r="J9145" s="3" t="s">
        <v>26103</v>
      </c>
      <c r="K9145" s="3" t="s">
        <v>244</v>
      </c>
      <c r="L9145" s="3" t="str">
        <f>IFERROR(__xludf.DUMMYFUNCTION("GOOGLETRANSLATE(F9145,""id"",""en"")"),"why the end of Argentina is the champion because if the end uses the money first, it will not be replaced")</f>
        <v>why the end of Argentina is the champion because if the end uses the money first, it will not be replaced</v>
      </c>
    </row>
    <row r="9146" ht="15.75" customHeight="1">
      <c r="A9146" s="1">
        <v>10375.0</v>
      </c>
      <c r="B9146" s="3" t="s">
        <v>26104</v>
      </c>
      <c r="C9146" s="3">
        <v>0.0</v>
      </c>
      <c r="D9146" s="3">
        <v>0.0</v>
      </c>
      <c r="E9146" s="3">
        <v>0.0</v>
      </c>
      <c r="F9146" s="3" t="s">
        <v>26105</v>
      </c>
      <c r="G9146" s="3">
        <v>0.3666666666666667</v>
      </c>
      <c r="H9146" s="3">
        <v>0.4833333333333333</v>
      </c>
      <c r="I9146" s="3" t="s">
        <v>48</v>
      </c>
      <c r="J9146" s="3" t="s">
        <v>26106</v>
      </c>
      <c r="K9146" s="3" t="s">
        <v>90</v>
      </c>
      <c r="L9146" s="3" t="str">
        <f>IFERROR(__xludf.DUMMYFUNCTION("GOOGLETRANSLATE(F9146,""id"",""en"")"),"exclaimed after playing here without buyspin, you can immediately appear, the gacor of the Sultan -style site is different from new members and also give the sensational win")</f>
        <v>exclaimed after playing here without buyspin, you can immediately appear, the gacor of the Sultan -style site is different from new members and also give the sensational win</v>
      </c>
    </row>
    <row r="9147" ht="15.75" customHeight="1">
      <c r="A9147" s="1">
        <v>10376.0</v>
      </c>
      <c r="B9147" s="3" t="s">
        <v>26107</v>
      </c>
      <c r="C9147" s="3">
        <v>0.0</v>
      </c>
      <c r="D9147" s="3">
        <v>0.0</v>
      </c>
      <c r="E9147" s="3">
        <v>0.0</v>
      </c>
      <c r="F9147" s="3" t="s">
        <v>26108</v>
      </c>
      <c r="G9147" s="3">
        <v>0.0</v>
      </c>
      <c r="H9147" s="3">
        <v>0.0</v>
      </c>
      <c r="I9147" s="3" t="s">
        <v>13</v>
      </c>
      <c r="J9147" s="3" t="s">
        <v>26109</v>
      </c>
      <c r="K9147" s="3" t="s">
        <v>1293</v>
      </c>
      <c r="L9147" s="3" t="str">
        <f>IFERROR(__xludf.DUMMYFUNCTION("GOOGLETRANSLATE(F9147,""id"",""en"")"),"Halahh elu was the hater of Argentina Messi Min where was unstable when ARGEN champion arrived so supporters")</f>
        <v>Halahh elu was the hater of Argentina Messi Min where was unstable when ARGEN champion arrived so supporters</v>
      </c>
    </row>
    <row r="9148" ht="15.75" customHeight="1">
      <c r="A9148" s="1">
        <v>10377.0</v>
      </c>
      <c r="B9148" s="3" t="s">
        <v>26110</v>
      </c>
      <c r="C9148" s="3">
        <v>1.0</v>
      </c>
      <c r="D9148" s="3">
        <v>2.0</v>
      </c>
      <c r="E9148" s="3">
        <v>6.0</v>
      </c>
      <c r="F9148" s="3" t="s">
        <v>26111</v>
      </c>
      <c r="G9148" s="3">
        <v>0.0</v>
      </c>
      <c r="H9148" s="3">
        <v>0.0</v>
      </c>
      <c r="I9148" s="3" t="s">
        <v>13</v>
      </c>
      <c r="J9148" s="3" t="s">
        <v>26112</v>
      </c>
      <c r="K9148" s="3" t="s">
        <v>266</v>
      </c>
      <c r="L9148" s="3" t="str">
        <f>IFERROR(__xludf.DUMMYFUNCTION("GOOGLETRANSLATE(F9148,""id"",""en"")"),"Complete List of World Cup Champion Countries from Edition to Nicking the Third World Cup Title Argentina match the number of German Germany trophies in West Germany and Farhan Erlangga Ramadhan Prmn Graphic Fian Prmn")</f>
        <v>Complete List of World Cup Champion Countries from Edition to Nicking the Third World Cup Title Argentina match the number of German Germany trophies in West Germany and Farhan Erlangga Ramadhan Prmn Graphic Fian Prmn</v>
      </c>
    </row>
    <row r="9149" ht="15.75" customHeight="1">
      <c r="A9149" s="1">
        <v>10378.0</v>
      </c>
      <c r="B9149" s="3" t="s">
        <v>26113</v>
      </c>
      <c r="C9149" s="3">
        <v>0.0</v>
      </c>
      <c r="D9149" s="3">
        <v>0.0</v>
      </c>
      <c r="E9149" s="3">
        <v>1.0</v>
      </c>
      <c r="F9149" s="3" t="s">
        <v>26114</v>
      </c>
      <c r="G9149" s="3">
        <v>1.0</v>
      </c>
      <c r="H9149" s="3">
        <v>0.0</v>
      </c>
      <c r="I9149" s="3" t="s">
        <v>13</v>
      </c>
      <c r="J9149" s="3" t="s">
        <v>26115</v>
      </c>
      <c r="K9149" s="3" t="s">
        <v>510</v>
      </c>
      <c r="L9149" s="3" t="str">
        <f>IFERROR(__xludf.DUMMYFUNCTION("GOOGLETRANSLATE(F9149,""id"",""en"")"),"Argentine President was immediately called Vladimir Putin after the Tango team championship World Cup Final")</f>
        <v>Argentine President was immediately called Vladimir Putin after the Tango team championship World Cup Final</v>
      </c>
    </row>
    <row r="9150" ht="15.75" customHeight="1">
      <c r="A9150" s="1">
        <v>10379.0</v>
      </c>
      <c r="B9150" s="3" t="s">
        <v>26116</v>
      </c>
      <c r="C9150" s="3">
        <v>0.0</v>
      </c>
      <c r="D9150" s="3">
        <v>0.0</v>
      </c>
      <c r="E9150" s="3">
        <v>0.0</v>
      </c>
      <c r="F9150" s="3" t="s">
        <v>26117</v>
      </c>
      <c r="G9150" s="3">
        <v>0.0</v>
      </c>
      <c r="H9150" s="3">
        <v>0.0</v>
      </c>
      <c r="I9150" s="3" t="s">
        <v>13</v>
      </c>
      <c r="J9150" s="3" t="s">
        <v>26118</v>
      </c>
      <c r="K9150" s="3" t="s">
        <v>1265</v>
      </c>
      <c r="L9150" s="3" t="str">
        <f>IFERROR(__xludf.DUMMYFUNCTION("GOOGLETRANSLATE(F9150,""id"",""en"")"),"Still thought that Argentina world champion until next year the nickname of the world champion Jirrrrr")</f>
        <v>Still thought that Argentina world champion until next year the nickname of the world champion Jirrrrr</v>
      </c>
    </row>
    <row r="9151" ht="15.75" customHeight="1">
      <c r="A9151" s="1">
        <v>10380.0</v>
      </c>
      <c r="B9151" s="3" t="s">
        <v>26119</v>
      </c>
      <c r="C9151" s="3">
        <v>0.0</v>
      </c>
      <c r="D9151" s="3">
        <v>0.0</v>
      </c>
      <c r="E9151" s="3">
        <v>0.0</v>
      </c>
      <c r="F9151" s="3" t="s">
        <v>26120</v>
      </c>
      <c r="G9151" s="3">
        <v>0.0</v>
      </c>
      <c r="H9151" s="3">
        <v>0.0</v>
      </c>
      <c r="I9151" s="3" t="s">
        <v>13</v>
      </c>
      <c r="J9151" s="3" t="s">
        <v>26121</v>
      </c>
      <c r="K9151" s="3" t="s">
        <v>50</v>
      </c>
      <c r="L9151" s="3" t="str">
        <f>IFERROR(__xludf.DUMMYFUNCTION("GOOGLETRANSLATE(F9151,""id"",""en"")"),"Messi got praise from Pele after carrying Argentina World Cup champions Maradona must be proud")</f>
        <v>Messi got praise from Pele after carrying Argentina World Cup champions Maradona must be proud</v>
      </c>
    </row>
    <row r="9152" ht="15.75" customHeight="1">
      <c r="A9152" s="1">
        <v>10381.0</v>
      </c>
      <c r="B9152" s="3" t="s">
        <v>26122</v>
      </c>
      <c r="C9152" s="3">
        <v>0.0</v>
      </c>
      <c r="D9152" s="3">
        <v>0.0</v>
      </c>
      <c r="E9152" s="3">
        <v>0.0</v>
      </c>
      <c r="F9152" s="3" t="s">
        <v>26123</v>
      </c>
      <c r="G9152" s="3">
        <v>0.0</v>
      </c>
      <c r="H9152" s="3">
        <v>0.0</v>
      </c>
      <c r="I9152" s="3" t="s">
        <v>13</v>
      </c>
      <c r="J9152" s="3" t="s">
        <v>26124</v>
      </c>
      <c r="K9152" s="3" t="s">
        <v>644</v>
      </c>
      <c r="L9152" s="3" t="str">
        <f>IFERROR(__xludf.DUMMYFUNCTION("GOOGLETRANSLATE(F9152,""id"",""en"")"),"Argentina Champion Because Iwan Bule")</f>
        <v>Argentina Champion Because Iwan Bule</v>
      </c>
    </row>
    <row r="9153" ht="15.75" customHeight="1">
      <c r="A9153" s="1">
        <v>10382.0</v>
      </c>
      <c r="B9153" s="3" t="s">
        <v>26125</v>
      </c>
      <c r="C9153" s="3">
        <v>0.0</v>
      </c>
      <c r="D9153" s="3">
        <v>0.0</v>
      </c>
      <c r="E9153" s="3">
        <v>0.0</v>
      </c>
      <c r="F9153" s="3" t="s">
        <v>26126</v>
      </c>
      <c r="G9153" s="3">
        <v>0.0</v>
      </c>
      <c r="H9153" s="3">
        <v>0.0</v>
      </c>
      <c r="I9153" s="3" t="s">
        <v>13</v>
      </c>
      <c r="J9153" s="3" t="s">
        <v>26127</v>
      </c>
      <c r="K9153" s="3" t="s">
        <v>205</v>
      </c>
      <c r="L9153" s="3" t="str">
        <f>IFERROR(__xludf.DUMMYFUNCTION("GOOGLETRANSLATE(F9153,""id"",""en"")"),"Argentina managed to hold the title at the Qatar World Cup, of course the victory did not only belong to Messi and the team but would have an impact on the economy of the Tango team's country in full")</f>
        <v>Argentina managed to hold the title at the Qatar World Cup, of course the victory did not only belong to Messi and the team but would have an impact on the economy of the Tango team's country in full</v>
      </c>
    </row>
    <row r="9154" ht="15.75" customHeight="1">
      <c r="A9154" s="1">
        <v>10383.0</v>
      </c>
      <c r="B9154" s="3" t="s">
        <v>26128</v>
      </c>
      <c r="C9154" s="3">
        <v>0.0</v>
      </c>
      <c r="D9154" s="3">
        <v>3.0</v>
      </c>
      <c r="E9154" s="3">
        <v>5.0</v>
      </c>
      <c r="F9154" s="3" t="s">
        <v>26129</v>
      </c>
      <c r="G9154" s="3">
        <v>0.0</v>
      </c>
      <c r="H9154" s="3">
        <v>0.0</v>
      </c>
      <c r="I9154" s="3" t="s">
        <v>13</v>
      </c>
      <c r="J9154" s="3" t="s">
        <v>26130</v>
      </c>
      <c r="K9154" s="3" t="s">
        <v>15</v>
      </c>
      <c r="L9154" s="3" t="str">
        <f>IFERROR(__xludf.DUMMYFUNCTION("GOOGLETRANSLATE(F9154,""id"",""en"")"),"Graphistory Congratulations to Argentina who has become a world champion for the third time")</f>
        <v>Graphistory Congratulations to Argentina who has become a world champion for the third time</v>
      </c>
    </row>
    <row r="9155" ht="15.75" customHeight="1">
      <c r="A9155" s="1">
        <v>10384.0</v>
      </c>
      <c r="B9155" s="3" t="s">
        <v>26131</v>
      </c>
      <c r="C9155" s="3">
        <v>2.0</v>
      </c>
      <c r="D9155" s="3">
        <v>0.0</v>
      </c>
      <c r="E9155" s="3">
        <v>10.0</v>
      </c>
      <c r="F9155" s="3" t="s">
        <v>26132</v>
      </c>
      <c r="G9155" s="3">
        <v>0.0</v>
      </c>
      <c r="H9155" s="3">
        <v>0.0</v>
      </c>
      <c r="I9155" s="3" t="s">
        <v>13</v>
      </c>
      <c r="J9155" s="3" t="s">
        <v>26133</v>
      </c>
      <c r="K9155" s="3" t="s">
        <v>127</v>
      </c>
      <c r="L9155" s="3" t="str">
        <f>IFERROR(__xludf.DUMMYFUNCTION("GOOGLETRANSLATE(F9155,""id"",""en"")"),"The team of all the players all out early until the end of Japan, I don't forget Arabic successfully defeated Argentina")</f>
        <v>The team of all the players all out early until the end of Japan, I don't forget Arabic successfully defeated Argentina</v>
      </c>
    </row>
    <row r="9156" ht="15.75" customHeight="1">
      <c r="A9156" s="1">
        <v>10385.0</v>
      </c>
      <c r="B9156" s="3" t="s">
        <v>26134</v>
      </c>
      <c r="C9156" s="3">
        <v>0.0</v>
      </c>
      <c r="D9156" s="3">
        <v>0.0</v>
      </c>
      <c r="E9156" s="3">
        <v>0.0</v>
      </c>
      <c r="F9156" s="3" t="s">
        <v>26048</v>
      </c>
      <c r="G9156" s="3">
        <v>0.0</v>
      </c>
      <c r="H9156" s="3">
        <v>0.0</v>
      </c>
      <c r="I9156" s="3" t="s">
        <v>13</v>
      </c>
      <c r="J9156" s="3" t="s">
        <v>26049</v>
      </c>
      <c r="K9156" s="3" t="s">
        <v>75</v>
      </c>
      <c r="L9156" s="3" t="str">
        <f>IFERROR(__xludf.DUMMYFUNCTION("GOOGLETRANSLATE(F9156,""id"",""en"")"),"Video Sergio Aguero joined the celebration of the World Cup Argentina championship")</f>
        <v>Video Sergio Aguero joined the celebration of the World Cup Argentina championship</v>
      </c>
    </row>
    <row r="9157" ht="15.75" customHeight="1">
      <c r="A9157" s="1">
        <v>10386.0</v>
      </c>
      <c r="B9157" s="3" t="s">
        <v>26135</v>
      </c>
      <c r="C9157" s="3">
        <v>0.0</v>
      </c>
      <c r="D9157" s="3">
        <v>1.0</v>
      </c>
      <c r="E9157" s="3">
        <v>0.0</v>
      </c>
      <c r="F9157" s="3" t="s">
        <v>26136</v>
      </c>
      <c r="G9157" s="3">
        <v>0.5</v>
      </c>
      <c r="H9157" s="3">
        <v>0.5</v>
      </c>
      <c r="I9157" s="3" t="s">
        <v>48</v>
      </c>
      <c r="J9157" s="3" t="s">
        <v>26137</v>
      </c>
      <c r="K9157" s="3" t="s">
        <v>3734</v>
      </c>
      <c r="L9157" s="3" t="str">
        <f>IFERROR(__xludf.DUMMYFUNCTION("GOOGLETRANSLATE(F9157,""id"",""en"")"),"Let's try the affairs first able to be able to later Argentina Champion World Cup Argentina Top Scorer Mario Kempes Mexico Top Scorer Diego Maradona Gol Qatar Top Scorer Lionel Messi Gol Gol")</f>
        <v>Let's try the affairs first able to be able to later Argentina Champion World Cup Argentina Top Scorer Mario Kempes Mexico Top Scorer Diego Maradona Gol Qatar Top Scorer Lionel Messi Gol Gol</v>
      </c>
    </row>
    <row r="9158" ht="15.75" customHeight="1">
      <c r="A9158" s="1">
        <v>10387.0</v>
      </c>
      <c r="B9158" s="3" t="s">
        <v>26138</v>
      </c>
      <c r="C9158" s="3">
        <v>0.0</v>
      </c>
      <c r="D9158" s="3">
        <v>0.0</v>
      </c>
      <c r="E9158" s="3">
        <v>0.0</v>
      </c>
      <c r="F9158" s="3" t="s">
        <v>26139</v>
      </c>
      <c r="G9158" s="3">
        <v>0.3666666666666667</v>
      </c>
      <c r="H9158" s="3">
        <v>-0.1166666666666667</v>
      </c>
      <c r="I9158" s="3" t="s">
        <v>179</v>
      </c>
      <c r="J9158" s="3" t="s">
        <v>26140</v>
      </c>
      <c r="K9158" s="3" t="s">
        <v>715</v>
      </c>
      <c r="L9158" s="3" t="str">
        <f>IFERROR(__xludf.DUMMYFUNCTION("GOOGLETRANSLATE(F9158,""id"",""en"")"),"When a brighton player is the cause of Argentina, the champion, especially when there are Brighton players who play for Argentina at night, don't make this surprise")</f>
        <v>When a brighton player is the cause of Argentina, the champion, especially when there are Brighton players who play for Argentina at night, don't make this surprise</v>
      </c>
    </row>
    <row r="9159" ht="15.75" customHeight="1">
      <c r="A9159" s="1">
        <v>10388.0</v>
      </c>
      <c r="B9159" s="3" t="s">
        <v>26141</v>
      </c>
      <c r="C9159" s="3">
        <v>1.0</v>
      </c>
      <c r="D9159" s="3">
        <v>1.0</v>
      </c>
      <c r="E9159" s="3">
        <v>2.0</v>
      </c>
      <c r="F9159" s="3" t="s">
        <v>26142</v>
      </c>
      <c r="G9159" s="3">
        <v>0.0</v>
      </c>
      <c r="H9159" s="3">
        <v>0.0</v>
      </c>
      <c r="I9159" s="3" t="s">
        <v>13</v>
      </c>
      <c r="J9159" s="3" t="s">
        <v>26143</v>
      </c>
      <c r="K9159" s="3" t="s">
        <v>2610</v>
      </c>
      <c r="L9159" s="3" t="str">
        <f>IFERROR(__xludf.DUMMYFUNCTION("GOOGLETRANSLATE(F9159,""id"",""en"")"),"In the past, we didn't make a fuss over who we responded to all of these great players with all these great advantages and arenas of a different battle might be able to champion the world if Argentina Messi")</f>
        <v>In the past, we didn't make a fuss over who we responded to all of these great players with all these great advantages and arenas of a different battle might be able to champion the world if Argentina Messi</v>
      </c>
    </row>
    <row r="9160" ht="15.75" customHeight="1">
      <c r="A9160" s="1">
        <v>10389.0</v>
      </c>
      <c r="B9160" s="3" t="s">
        <v>26144</v>
      </c>
      <c r="C9160" s="3">
        <v>0.0</v>
      </c>
      <c r="D9160" s="3">
        <v>0.0</v>
      </c>
      <c r="E9160" s="3">
        <v>0.0</v>
      </c>
      <c r="F9160" s="3" t="s">
        <v>26145</v>
      </c>
      <c r="G9160" s="3">
        <v>0.0</v>
      </c>
      <c r="H9160" s="3">
        <v>0.0</v>
      </c>
      <c r="I9160" s="3" t="s">
        <v>13</v>
      </c>
      <c r="J9160" s="3" t="s">
        <v>26146</v>
      </c>
      <c r="K9160" s="3" t="s">
        <v>240</v>
      </c>
      <c r="L9160" s="3" t="str">
        <f>IFERROR(__xludf.DUMMYFUNCTION("GOOGLETRANSLATE(F9160,""id"",""en"")"),"The wait was finally completed and also congratulations on celebrating the champions of Buenos Aires and supporters of Argentina in general, we also Instagram Facebook Ekingsnews")</f>
        <v>The wait was finally completed and also congratulations on celebrating the champions of Buenos Aires and supporters of Argentina in general, we also Instagram Facebook Ekingsnews</v>
      </c>
    </row>
    <row r="9161" ht="15.75" customHeight="1">
      <c r="A9161" s="1">
        <v>10390.0</v>
      </c>
      <c r="B9161" s="3" t="s">
        <v>26147</v>
      </c>
      <c r="C9161" s="3">
        <v>0.0</v>
      </c>
      <c r="D9161" s="3">
        <v>0.0</v>
      </c>
      <c r="E9161" s="3">
        <v>0.0</v>
      </c>
      <c r="F9161" s="3" t="s">
        <v>26148</v>
      </c>
      <c r="G9161" s="3">
        <v>0.5</v>
      </c>
      <c r="H9161" s="3">
        <v>0.3</v>
      </c>
      <c r="I9161" s="3" t="s">
        <v>48</v>
      </c>
      <c r="J9161" s="3" t="s">
        <v>26149</v>
      </c>
      <c r="K9161" s="3" t="s">
        <v>1656</v>
      </c>
      <c r="L9161" s="3" t="str">
        <f>IFERROR(__xludf.DUMMYFUNCTION("GOOGLETRANSLATE(F9161,""id"",""en"")"),"Agree because that Argentina moment is not the moment of the Argentina jersey jersey must not be covered and other possibilities if the champion is converted to mbappe or lloris must be given when giving the golden ball trophy because")</f>
        <v>Agree because that Argentina moment is not the moment of the Argentina jersey jersey must not be covered and other possibilities if the champion is converted to mbappe or lloris must be given when giving the golden ball trophy because</v>
      </c>
    </row>
    <row r="9162" ht="15.75" customHeight="1">
      <c r="A9162" s="1">
        <v>10391.0</v>
      </c>
      <c r="B9162" s="3" t="s">
        <v>26150</v>
      </c>
      <c r="C9162" s="3">
        <v>4.0</v>
      </c>
      <c r="D9162" s="3">
        <v>0.0</v>
      </c>
      <c r="E9162" s="3">
        <v>24.0</v>
      </c>
      <c r="F9162" s="3" t="s">
        <v>26151</v>
      </c>
      <c r="G9162" s="3">
        <v>0.0</v>
      </c>
      <c r="H9162" s="3">
        <v>0.0</v>
      </c>
      <c r="I9162" s="3" t="s">
        <v>13</v>
      </c>
      <c r="J9162" s="3" t="s">
        <v>26152</v>
      </c>
      <c r="K9162" s="3" t="s">
        <v>41</v>
      </c>
      <c r="L9162" s="3" t="str">
        <f>IFERROR(__xludf.DUMMYFUNCTION("GOOGLETRANSLATE(F9162,""id"",""en"")"),"Argentine citizens of the World Cup championship party during the crisis like heaven")</f>
        <v>Argentine citizens of the World Cup championship party during the crisis like heaven</v>
      </c>
    </row>
    <row r="9163" ht="15.75" customHeight="1">
      <c r="A9163" s="1">
        <v>10392.0</v>
      </c>
      <c r="B9163" s="3" t="s">
        <v>26153</v>
      </c>
      <c r="C9163" s="3">
        <v>0.0</v>
      </c>
      <c r="D9163" s="3">
        <v>0.0</v>
      </c>
      <c r="E9163" s="3">
        <v>0.0</v>
      </c>
      <c r="F9163" s="3" t="s">
        <v>26154</v>
      </c>
      <c r="G9163" s="3">
        <v>0.0</v>
      </c>
      <c r="H9163" s="3">
        <v>0.0</v>
      </c>
      <c r="I9163" s="3" t="s">
        <v>13</v>
      </c>
      <c r="J9163" s="3" t="s">
        <v>26155</v>
      </c>
      <c r="K9163" s="3" t="s">
        <v>322</v>
      </c>
      <c r="L9163" s="3" t="str">
        <f>IFERROR(__xludf.DUMMYFUNCTION("GOOGLETRANSLATE(F9163,""id"",""en"")"),"Argentina has defeated the world champion and European championship")</f>
        <v>Argentina has defeated the world champion and European championship</v>
      </c>
    </row>
    <row r="9164" ht="15.75" customHeight="1">
      <c r="A9164" s="1">
        <v>10393.0</v>
      </c>
      <c r="B9164" s="3" t="s">
        <v>26156</v>
      </c>
      <c r="C9164" s="3">
        <v>1.0</v>
      </c>
      <c r="D9164" s="3">
        <v>11.0</v>
      </c>
      <c r="E9164" s="3">
        <v>60.0</v>
      </c>
      <c r="F9164" s="3" t="s">
        <v>26157</v>
      </c>
      <c r="G9164" s="3">
        <v>0.0</v>
      </c>
      <c r="H9164" s="3">
        <v>0.0</v>
      </c>
      <c r="I9164" s="3" t="s">
        <v>13</v>
      </c>
      <c r="J9164" s="3" t="s">
        <v>26158</v>
      </c>
      <c r="K9164" s="3" t="s">
        <v>75</v>
      </c>
      <c r="L9164" s="3" t="str">
        <f>IFERROR(__xludf.DUMMYFUNCTION("GOOGLETRANSLATE(F9164,""id"",""en"")"),"The Argentine team was monitored by the dressing room after becoming the World Cup championship")</f>
        <v>The Argentine team was monitored by the dressing room after becoming the World Cup championship</v>
      </c>
    </row>
    <row r="9165" ht="15.75" customHeight="1">
      <c r="A9165" s="1">
        <v>10394.0</v>
      </c>
      <c r="B9165" s="3" t="s">
        <v>26159</v>
      </c>
      <c r="C9165" s="3">
        <v>0.0</v>
      </c>
      <c r="D9165" s="3">
        <v>0.0</v>
      </c>
      <c r="E9165" s="3">
        <v>0.0</v>
      </c>
      <c r="F9165" s="3" t="s">
        <v>26160</v>
      </c>
      <c r="G9165" s="3">
        <v>0.0</v>
      </c>
      <c r="H9165" s="3">
        <v>0.0</v>
      </c>
      <c r="I9165" s="3" t="s">
        <v>13</v>
      </c>
      <c r="J9165" s="3" t="s">
        <v>26161</v>
      </c>
      <c r="K9165" s="3" t="s">
        <v>1097</v>
      </c>
      <c r="L9165" s="3" t="str">
        <f>IFERROR(__xludf.DUMMYFUNCTION("GOOGLETRANSLATE(F9165,""id"",""en"")"),"In the euphoria of Argentina, my euphoria champion is just a little more payday")</f>
        <v>In the euphoria of Argentina, my euphoria champion is just a little more payday</v>
      </c>
    </row>
    <row r="9166" ht="15.75" customHeight="1">
      <c r="A9166" s="1">
        <v>10395.0</v>
      </c>
      <c r="B9166" s="3" t="s">
        <v>26162</v>
      </c>
      <c r="C9166" s="3">
        <v>0.0</v>
      </c>
      <c r="D9166" s="3">
        <v>0.0</v>
      </c>
      <c r="E9166" s="3">
        <v>0.0</v>
      </c>
      <c r="F9166" s="3" t="s">
        <v>26163</v>
      </c>
      <c r="G9166" s="3">
        <v>0.3</v>
      </c>
      <c r="H9166" s="3">
        <v>0.2</v>
      </c>
      <c r="I9166" s="3" t="s">
        <v>48</v>
      </c>
      <c r="J9166" s="3" t="s">
        <v>26164</v>
      </c>
      <c r="K9166" s="3" t="s">
        <v>71</v>
      </c>
      <c r="L9166" s="3" t="str">
        <f>IFERROR(__xludf.DUMMYFUNCTION("GOOGLETRANSLATE(F9166,""id"",""en"")"),"The status of The Real Goat can be pinned on Messi, especially after successfully leaving Argentina World Cup Champion")</f>
        <v>The status of The Real Goat can be pinned on Messi, especially after successfully leaving Argentina World Cup Champion</v>
      </c>
    </row>
    <row r="9167" ht="15.75" customHeight="1">
      <c r="A9167" s="1">
        <v>10396.0</v>
      </c>
      <c r="B9167" s="3" t="s">
        <v>26165</v>
      </c>
      <c r="C9167" s="3">
        <v>0.0</v>
      </c>
      <c r="D9167" s="3">
        <v>0.0</v>
      </c>
      <c r="E9167" s="3">
        <v>4.0</v>
      </c>
      <c r="F9167" s="3" t="s">
        <v>22241</v>
      </c>
      <c r="G9167" s="3">
        <v>0.0</v>
      </c>
      <c r="H9167" s="3">
        <v>0.0</v>
      </c>
      <c r="I9167" s="3" t="s">
        <v>13</v>
      </c>
      <c r="J9167" s="3" t="s">
        <v>16942</v>
      </c>
      <c r="K9167" s="3" t="s">
        <v>644</v>
      </c>
      <c r="L9167" s="3" t="str">
        <f>IFERROR(__xludf.DUMMYFUNCTION("GOOGLETRANSLATE(F9167,""id"",""en"")"),"Argentina Champion World Cup")</f>
        <v>Argentina Champion World Cup</v>
      </c>
    </row>
    <row r="9168" ht="15.75" customHeight="1">
      <c r="A9168" s="1">
        <v>10397.0</v>
      </c>
      <c r="B9168" s="3" t="s">
        <v>26166</v>
      </c>
      <c r="C9168" s="3">
        <v>0.0</v>
      </c>
      <c r="D9168" s="3">
        <v>0.0</v>
      </c>
      <c r="E9168" s="3">
        <v>2.0</v>
      </c>
      <c r="F9168" s="3" t="s">
        <v>26167</v>
      </c>
      <c r="G9168" s="3">
        <v>0.0</v>
      </c>
      <c r="H9168" s="3">
        <v>0.0</v>
      </c>
      <c r="I9168" s="3" t="s">
        <v>13</v>
      </c>
      <c r="J9168" s="3" t="s">
        <v>26168</v>
      </c>
      <c r="K9168" s="3" t="s">
        <v>184</v>
      </c>
      <c r="L9168" s="3" t="str">
        <f>IFERROR(__xludf.DUMMYFUNCTION("GOOGLETRANSLATE(F9168,""id"",""en"")"),"Argentine President Alberto Fernandez is busy replying to the congratulations of the leader of other countries Twitter regarding the success of Argentina to become the World Cup championship")</f>
        <v>Argentine President Alberto Fernandez is busy replying to the congratulations of the leader of other countries Twitter regarding the success of Argentina to become the World Cup championship</v>
      </c>
    </row>
    <row r="9169" ht="15.75" customHeight="1">
      <c r="A9169" s="1">
        <v>10398.0</v>
      </c>
      <c r="B9169" s="3" t="s">
        <v>26169</v>
      </c>
      <c r="C9169" s="3">
        <v>0.0</v>
      </c>
      <c r="D9169" s="3">
        <v>0.0</v>
      </c>
      <c r="E9169" s="3">
        <v>0.0</v>
      </c>
      <c r="F9169" s="3" t="s">
        <v>26170</v>
      </c>
      <c r="G9169" s="3">
        <v>0.0</v>
      </c>
      <c r="H9169" s="3">
        <v>0.0</v>
      </c>
      <c r="I9169" s="3" t="s">
        <v>13</v>
      </c>
      <c r="J9169" s="3" t="s">
        <v>26171</v>
      </c>
      <c r="K9169" s="3" t="s">
        <v>41</v>
      </c>
      <c r="L9169" s="3" t="str">
        <f>IFERROR(__xludf.DUMMYFUNCTION("GOOGLETRANSLATE(F9169,""id"",""en"")"),"Argentine Supporter Action Ternate Parade Celebrating World Cup Champion")</f>
        <v>Argentine Supporter Action Ternate Parade Celebrating World Cup Champion</v>
      </c>
    </row>
    <row r="9170" ht="15.75" customHeight="1">
      <c r="A9170" s="1">
        <v>10399.0</v>
      </c>
      <c r="B9170" s="3" t="s">
        <v>26172</v>
      </c>
      <c r="C9170" s="3">
        <v>0.0</v>
      </c>
      <c r="D9170" s="3">
        <v>1.0</v>
      </c>
      <c r="E9170" s="3">
        <v>1.0</v>
      </c>
      <c r="F9170" s="3" t="s">
        <v>26173</v>
      </c>
      <c r="G9170" s="3">
        <v>0.0</v>
      </c>
      <c r="H9170" s="3">
        <v>0.0</v>
      </c>
      <c r="I9170" s="3" t="s">
        <v>13</v>
      </c>
      <c r="J9170" s="3" t="s">
        <v>26174</v>
      </c>
      <c r="K9170" s="3" t="s">
        <v>2117</v>
      </c>
      <c r="L9170" s="3" t="str">
        <f>IFERROR(__xludf.DUMMYFUNCTION("GOOGLETRANSLATE(F9170,""id"",""en"")"),"Alhamdulillah Argentina is champion")</f>
        <v>Alhamdulillah Argentina is champion</v>
      </c>
    </row>
    <row r="9171" ht="15.75" customHeight="1">
      <c r="A9171" s="1">
        <v>10400.0</v>
      </c>
      <c r="B9171" s="3" t="s">
        <v>26175</v>
      </c>
      <c r="C9171" s="3">
        <v>0.0</v>
      </c>
      <c r="D9171" s="3">
        <v>0.0</v>
      </c>
      <c r="E9171" s="3">
        <v>0.0</v>
      </c>
      <c r="F9171" s="3" t="s">
        <v>26176</v>
      </c>
      <c r="G9171" s="3">
        <v>0.0</v>
      </c>
      <c r="H9171" s="3">
        <v>0.0</v>
      </c>
      <c r="I9171" s="3" t="s">
        <v>13</v>
      </c>
      <c r="J9171" s="3" t="s">
        <v>26177</v>
      </c>
      <c r="K9171" s="3" t="s">
        <v>31</v>
      </c>
      <c r="L9171" s="3" t="str">
        <f>IFERROR(__xludf.DUMMYFUNCTION("GOOGLETRANSLATE(F9171,""id"",""en"")"),"IDN Tengil is commensurate with skills")</f>
        <v>IDN Tengil is commensurate with skills</v>
      </c>
    </row>
    <row r="9172" ht="15.75" customHeight="1">
      <c r="A9172" s="1">
        <v>10401.0</v>
      </c>
      <c r="B9172" s="3" t="s">
        <v>26178</v>
      </c>
      <c r="C9172" s="3">
        <v>0.0</v>
      </c>
      <c r="D9172" s="3">
        <v>0.0</v>
      </c>
      <c r="E9172" s="3">
        <v>3.0</v>
      </c>
      <c r="F9172" s="3" t="s">
        <v>26179</v>
      </c>
      <c r="G9172" s="3">
        <v>0.0</v>
      </c>
      <c r="H9172" s="3">
        <v>0.0</v>
      </c>
      <c r="I9172" s="3" t="s">
        <v>13</v>
      </c>
      <c r="J9172" s="3" t="s">
        <v>26180</v>
      </c>
      <c r="K9172" s="3" t="s">
        <v>495</v>
      </c>
      <c r="L9172" s="3" t="str">
        <f>IFERROR(__xludf.DUMMYFUNCTION("GOOGLETRANSLATE(F9172,""id"",""en"")"),"Kylian Mbappe must be satisfied with the achievement of the World Cup champion after being defeated by Argentina through his disappointed face penalties that cannot be hidden")</f>
        <v>Kylian Mbappe must be satisfied with the achievement of the World Cup champion after being defeated by Argentina through his disappointed face penalties that cannot be hidden</v>
      </c>
    </row>
    <row r="9173" ht="15.75" customHeight="1">
      <c r="A9173" s="1">
        <v>10402.0</v>
      </c>
      <c r="B9173" s="3" t="s">
        <v>26181</v>
      </c>
      <c r="C9173" s="3">
        <v>1.0</v>
      </c>
      <c r="D9173" s="3">
        <v>0.0</v>
      </c>
      <c r="E9173" s="3">
        <v>0.0</v>
      </c>
      <c r="F9173" s="3" t="s">
        <v>26182</v>
      </c>
      <c r="G9173" s="3">
        <v>0.3333333333333333</v>
      </c>
      <c r="H9173" s="3">
        <v>0.1666666666666667</v>
      </c>
      <c r="I9173" s="3" t="s">
        <v>48</v>
      </c>
      <c r="J9173" s="3" t="s">
        <v>26183</v>
      </c>
      <c r="K9173" s="3" t="s">
        <v>614</v>
      </c>
      <c r="L9173" s="3" t="str">
        <f>IFERROR(__xludf.DUMMYFUNCTION("GOOGLETRANSLATE(F9173,""id"",""en"")"),"Argentina is indeed a chaotic country unable to pay default debt the high corruption but why can the world champion because playing football only requires the spirit of the spirit while the debt must be paid using money huuahahahahahahahahahahahahahahahah"&amp;"ahahahahahahahahahahahahahahahahahahahahahahahahahahahahahahahahahahahahahahahahahahahahahahahahahahahahahahahahahahahahahahahahahahahahahahahahahahahaeeeeeeeks onhahahahahahahahahahahahahahahahahahahahahahahahahahahahahahahahahahahahahahahahahahahahahaha"&amp;"hahahahahahahahahahahahahahahahahahahahahahahahahahahahahahahahahahahahahahahahahaeeeor")</f>
        <v>Argentina is indeed a chaotic country unable to pay default debt the high corruption but why can the world champion because playing football only requires the spirit of the spirit while the debt must be paid using money huuahahahahahahahahahahahahahahahahahahahahahahahahahahahahahahahahahahahahahahahahahahahahahahahahahahahahahahahahahahahahahahahahahahahahahahahahahahahahahahahahahahahahahahahahahahahaeeeeeeeks onhahahahahahahahahahahahahahahahahahahahahahahahahahahahahahahahahahahahahahahahahahahahahahahahahahahahahahahahahahahahahahahahahahahahahahahahahahahahahahahahahahahahahahahaeeeor</v>
      </c>
    </row>
    <row r="9174" ht="15.75" customHeight="1">
      <c r="A9174" s="1">
        <v>10403.0</v>
      </c>
      <c r="B9174" s="3" t="s">
        <v>26184</v>
      </c>
      <c r="C9174" s="3">
        <v>1.0</v>
      </c>
      <c r="D9174" s="3">
        <v>0.0</v>
      </c>
      <c r="E9174" s="3">
        <v>0.0</v>
      </c>
      <c r="F9174" s="3" t="s">
        <v>26185</v>
      </c>
      <c r="G9174" s="3">
        <v>0.0</v>
      </c>
      <c r="H9174" s="3">
        <v>0.0</v>
      </c>
      <c r="I9174" s="3" t="s">
        <v>13</v>
      </c>
      <c r="J9174" s="3" t="s">
        <v>26186</v>
      </c>
      <c r="K9174" s="3" t="s">
        <v>236</v>
      </c>
      <c r="L9174" s="3" t="str">
        <f>IFERROR(__xludf.DUMMYFUNCTION("GOOGLETRANSLATE(F9174,""id"",""en"")"),"yes yes yan remember Argentina can only win the Jokowi government era")</f>
        <v>yes yes yan remember Argentina can only win the Jokowi government era</v>
      </c>
    </row>
    <row r="9175" ht="15.75" customHeight="1">
      <c r="A9175" s="1">
        <v>10404.0</v>
      </c>
      <c r="B9175" s="3" t="s">
        <v>26187</v>
      </c>
      <c r="C9175" s="3">
        <v>0.0</v>
      </c>
      <c r="D9175" s="3">
        <v>0.0</v>
      </c>
      <c r="E9175" s="3">
        <v>0.0</v>
      </c>
      <c r="F9175" s="3" t="s">
        <v>26188</v>
      </c>
      <c r="G9175" s="3">
        <v>0.0</v>
      </c>
      <c r="H9175" s="3">
        <v>0.0</v>
      </c>
      <c r="I9175" s="3" t="s">
        <v>13</v>
      </c>
      <c r="J9175" s="3" t="s">
        <v>26189</v>
      </c>
      <c r="K9175" s="3" t="s">
        <v>3401</v>
      </c>
      <c r="L9175" s="3" t="str">
        <f>IFERROR(__xludf.DUMMYFUNCTION("GOOGLETRANSLATE(F9175,""id"",""en"")"),"Messi harvests the record after the World Cup champion equals Maradona recorded involved in a goal that Argentina scored during the World Cup past Paolo Maldini in a long time the match scored in every phase of the World Cup match")</f>
        <v>Messi harvests the record after the World Cup champion equals Maradona recorded involved in a goal that Argentina scored during the World Cup past Paolo Maldini in a long time the match scored in every phase of the World Cup match</v>
      </c>
    </row>
    <row r="9176" ht="15.75" customHeight="1">
      <c r="A9176" s="1">
        <v>10405.0</v>
      </c>
      <c r="B9176" s="3" t="s">
        <v>26190</v>
      </c>
      <c r="C9176" s="3">
        <v>0.0</v>
      </c>
      <c r="D9176" s="3">
        <v>0.0</v>
      </c>
      <c r="E9176" s="3">
        <v>0.0</v>
      </c>
      <c r="F9176" s="3" t="s">
        <v>26191</v>
      </c>
      <c r="G9176" s="3">
        <v>0.55</v>
      </c>
      <c r="H9176" s="3">
        <v>0.35</v>
      </c>
      <c r="I9176" s="3" t="s">
        <v>48</v>
      </c>
      <c r="J9176" s="3" t="s">
        <v>26192</v>
      </c>
      <c r="K9176" s="3" t="s">
        <v>15</v>
      </c>
      <c r="L9176" s="3" t="str">
        <f>IFERROR(__xludf.DUMMYFUNCTION("GOOGLETRANSLATE(F9176,""id"",""en"")"),"Argentine Full Time Final Results Champion World Cup")</f>
        <v>Argentine Full Time Final Results Champion World Cup</v>
      </c>
    </row>
    <row r="9177" ht="15.75" customHeight="1">
      <c r="A9177" s="1">
        <v>10406.0</v>
      </c>
      <c r="B9177" s="3" t="s">
        <v>26193</v>
      </c>
      <c r="C9177" s="3">
        <v>0.0</v>
      </c>
      <c r="D9177" s="3">
        <v>0.0</v>
      </c>
      <c r="E9177" s="3">
        <v>0.0</v>
      </c>
      <c r="F9177" s="3" t="s">
        <v>26194</v>
      </c>
      <c r="G9177" s="3">
        <v>0.0</v>
      </c>
      <c r="H9177" s="3">
        <v>0.0</v>
      </c>
      <c r="I9177" s="3" t="s">
        <v>13</v>
      </c>
      <c r="J9177" s="3" t="s">
        <v>26195</v>
      </c>
      <c r="K9177" s="3" t="s">
        <v>2117</v>
      </c>
      <c r="L9177" s="3" t="str">
        <f>IFERROR(__xludf.DUMMYFUNCTION("GOOGLETRANSLATE(F9177,""id"",""en"")"),"Argentina Champion Qatar")</f>
        <v>Argentina Champion Qatar</v>
      </c>
    </row>
    <row r="9178" ht="15.75" customHeight="1">
      <c r="A9178" s="1">
        <v>10407.0</v>
      </c>
      <c r="B9178" s="3" t="s">
        <v>26196</v>
      </c>
      <c r="C9178" s="3">
        <v>0.0</v>
      </c>
      <c r="D9178" s="3">
        <v>0.0</v>
      </c>
      <c r="E9178" s="3">
        <v>0.0</v>
      </c>
      <c r="F9178" s="3" t="s">
        <v>26197</v>
      </c>
      <c r="G9178" s="3">
        <v>0.0</v>
      </c>
      <c r="H9178" s="3">
        <v>0.0</v>
      </c>
      <c r="I9178" s="3" t="s">
        <v>13</v>
      </c>
      <c r="J9178" s="3" t="s">
        <v>26198</v>
      </c>
      <c r="K9178" s="3" t="s">
        <v>358</v>
      </c>
      <c r="L9178" s="3" t="str">
        <f>IFERROR(__xludf.DUMMYFUNCTION("GOOGLETRANSLATE(F9178,""id"",""en"")"),"The World Cup title is celebrated by the national team.")</f>
        <v>The World Cup title is celebrated by the national team.</v>
      </c>
    </row>
    <row r="9179" ht="15.75" customHeight="1">
      <c r="A9179" s="1">
        <v>10408.0</v>
      </c>
      <c r="B9179" s="3" t="s">
        <v>26199</v>
      </c>
      <c r="C9179" s="3">
        <v>0.0</v>
      </c>
      <c r="D9179" s="3">
        <v>0.0</v>
      </c>
      <c r="E9179" s="3">
        <v>5.0</v>
      </c>
      <c r="F9179" s="3" t="s">
        <v>26200</v>
      </c>
      <c r="G9179" s="3">
        <v>0.0</v>
      </c>
      <c r="H9179" s="3">
        <v>0.0</v>
      </c>
      <c r="I9179" s="3" t="s">
        <v>13</v>
      </c>
      <c r="J9179" s="3" t="s">
        <v>26201</v>
      </c>
      <c r="K9179" s="3" t="s">
        <v>71</v>
      </c>
      <c r="L9179" s="3" t="str">
        <f>IFERROR(__xludf.DUMMYFUNCTION("GOOGLETRANSLATE(F9179,""id"",""en"")"),"miss seeing his debut his France if he might be able to win but congratted for Argentina Messi has graduated in his football game")</f>
        <v>miss seeing his debut his France if he might be able to win but congratted for Argentina Messi has graduated in his football game</v>
      </c>
    </row>
    <row r="9180" ht="15.75" customHeight="1">
      <c r="A9180" s="1">
        <v>10409.0</v>
      </c>
      <c r="B9180" s="3" t="s">
        <v>26202</v>
      </c>
      <c r="C9180" s="3">
        <v>4.0</v>
      </c>
      <c r="D9180" s="3">
        <v>2.0</v>
      </c>
      <c r="E9180" s="3">
        <v>22.0</v>
      </c>
      <c r="F9180" s="3" t="s">
        <v>26203</v>
      </c>
      <c r="G9180" s="3">
        <v>0.0</v>
      </c>
      <c r="H9180" s="3">
        <v>0.0</v>
      </c>
      <c r="I9180" s="3" t="s">
        <v>13</v>
      </c>
      <c r="J9180" s="3" t="s">
        <v>26204</v>
      </c>
      <c r="K9180" s="3" t="s">
        <v>1897</v>
      </c>
      <c r="L9180" s="3" t="str">
        <f>IFERROR(__xludf.DUMMYFUNCTION("GOOGLETRANSLATE(F9180,""id"",""en"")"),"Allegations of Match Fixing spread after the World Cup, one of which was Argentina who was considered deliberately relented in the first match if this was proven by the title will be given to the Runner Paragraph above is an example of empty hope of Frenc"&amp;"h national team fans")</f>
        <v>Allegations of Match Fixing spread after the World Cup, one of which was Argentina who was considered deliberately relented in the first match if this was proven by the title will be given to the Runner Paragraph above is an example of empty hope of French national team fans</v>
      </c>
    </row>
    <row r="9181" ht="15.75" customHeight="1">
      <c r="A9181" s="1">
        <v>10410.0</v>
      </c>
      <c r="B9181" s="3" t="s">
        <v>26205</v>
      </c>
      <c r="C9181" s="3">
        <v>0.0</v>
      </c>
      <c r="D9181" s="3">
        <v>0.0</v>
      </c>
      <c r="E9181" s="3">
        <v>0.0</v>
      </c>
      <c r="F9181" s="3" t="s">
        <v>26206</v>
      </c>
      <c r="G9181" s="3">
        <v>0.0</v>
      </c>
      <c r="H9181" s="3">
        <v>0.0</v>
      </c>
      <c r="I9181" s="3" t="s">
        <v>13</v>
      </c>
      <c r="J9181" s="3" t="s">
        <v>26207</v>
      </c>
      <c r="K9181" s="3" t="s">
        <v>14571</v>
      </c>
      <c r="L9181" s="3" t="str">
        <f>IFERROR(__xludf.DUMMYFUNCTION("GOOGLETRANSLATE(F9181,""id"",""en"")"),"I think Meyden")</f>
        <v>I think Meyden</v>
      </c>
    </row>
    <row r="9182" ht="15.75" customHeight="1">
      <c r="A9182" s="1">
        <v>10411.0</v>
      </c>
      <c r="B9182" s="3" t="s">
        <v>26208</v>
      </c>
      <c r="C9182" s="3">
        <v>0.0</v>
      </c>
      <c r="D9182" s="3">
        <v>0.0</v>
      </c>
      <c r="E9182" s="3">
        <v>0.0</v>
      </c>
      <c r="F9182" s="3" t="s">
        <v>26209</v>
      </c>
      <c r="G9182" s="3">
        <v>0.0</v>
      </c>
      <c r="H9182" s="3">
        <v>0.0</v>
      </c>
      <c r="I9182" s="3" t="s">
        <v>13</v>
      </c>
      <c r="J9182" s="3" t="s">
        <v>26210</v>
      </c>
      <c r="K9182" s="3" t="s">
        <v>1304</v>
      </c>
      <c r="L9182" s="3" t="str">
        <f>IFERROR(__xludf.DUMMYFUNCTION("GOOGLETRANSLATE(F9182,""id"",""en"")"),"Argentina Champion Learning Politics Competency from the World Cup from the Qatar World Cup should be able to learn about the politics of competency who knows the presidential election competition can be fun and give birth to competent leaders")</f>
        <v>Argentina Champion Learning Politics Competency from the World Cup from the Qatar World Cup should be able to learn about the politics of competency who knows the presidential election competition can be fun and give birth to competent leaders</v>
      </c>
    </row>
    <row r="9183" ht="15.75" customHeight="1">
      <c r="A9183" s="1">
        <v>10412.0</v>
      </c>
      <c r="B9183" s="3" t="s">
        <v>26211</v>
      </c>
      <c r="C9183" s="3">
        <v>0.0</v>
      </c>
      <c r="D9183" s="3">
        <v>1.0</v>
      </c>
      <c r="E9183" s="3">
        <v>0.0</v>
      </c>
      <c r="F9183" s="3" t="s">
        <v>26212</v>
      </c>
      <c r="G9183" s="3">
        <v>0.0</v>
      </c>
      <c r="H9183" s="3">
        <v>0.0</v>
      </c>
      <c r="I9183" s="3" t="s">
        <v>13</v>
      </c>
      <c r="J9183" s="3" t="s">
        <v>26213</v>
      </c>
      <c r="K9183" s="3" t="s">
        <v>358</v>
      </c>
      <c r="L9183" s="3" t="str">
        <f>IFERROR(__xludf.DUMMYFUNCTION("GOOGLETRANSLATE(F9183,""id"",""en"")"),"joining Argentina times the home championship home Champion Mario Gol Mexico Diego Maradona Gol Qatar Lionel Messi Gol")</f>
        <v>joining Argentina times the home championship home Champion Mario Gol Mexico Diego Maradona Gol Qatar Lionel Messi Gol</v>
      </c>
    </row>
    <row r="9184" ht="15.75" customHeight="1">
      <c r="A9184" s="1">
        <v>10413.0</v>
      </c>
      <c r="B9184" s="3" t="s">
        <v>26214</v>
      </c>
      <c r="C9184" s="3">
        <v>0.0</v>
      </c>
      <c r="D9184" s="3">
        <v>0.0</v>
      </c>
      <c r="E9184" s="3">
        <v>0.0</v>
      </c>
      <c r="F9184" s="3" t="s">
        <v>26215</v>
      </c>
      <c r="G9184" s="3">
        <v>0.0</v>
      </c>
      <c r="H9184" s="3">
        <v>0.0</v>
      </c>
      <c r="I9184" s="3" t="s">
        <v>13</v>
      </c>
      <c r="J9184" s="3" t="s">
        <v>26216</v>
      </c>
      <c r="K9184" s="3" t="s">
        <v>15</v>
      </c>
      <c r="L9184" s="3" t="str">
        <f>IFERROR(__xludf.DUMMYFUNCTION("GOOGLETRANSLATE(F9184,""id"",""en"")"),"Argentina Champion World Cup Commander of the TNI was immediately inaugurated")</f>
        <v>Argentina Champion World Cup Commander of the TNI was immediately inaugurated</v>
      </c>
    </row>
    <row r="9185" ht="15.75" customHeight="1">
      <c r="A9185" s="1">
        <v>10414.0</v>
      </c>
      <c r="B9185" s="3" t="s">
        <v>26217</v>
      </c>
      <c r="C9185" s="3">
        <v>0.0</v>
      </c>
      <c r="D9185" s="3">
        <v>0.0</v>
      </c>
      <c r="E9185" s="3">
        <v>0.0</v>
      </c>
      <c r="F9185" s="3" t="s">
        <v>26218</v>
      </c>
      <c r="G9185" s="3">
        <v>0.0</v>
      </c>
      <c r="H9185" s="3">
        <v>0.0</v>
      </c>
      <c r="I9185" s="3" t="s">
        <v>13</v>
      </c>
      <c r="J9185" s="3" t="s">
        <v>26219</v>
      </c>
      <c r="K9185" s="3" t="s">
        <v>244</v>
      </c>
      <c r="L9185" s="3" t="str">
        <f>IFERROR(__xludf.DUMMYFUNCTION("GOOGLETRANSLATE(F9185,""id"",""en"")"),"Congratulations Argentina World Cup Champion Causes France's Defendant Disinged because of this because of this")</f>
        <v>Congratulations Argentina World Cup Champion Causes France's Defendant Disinged because of this because of this</v>
      </c>
    </row>
    <row r="9186" ht="15.75" customHeight="1">
      <c r="A9186" s="1">
        <v>10415.0</v>
      </c>
      <c r="B9186" s="3" t="s">
        <v>26220</v>
      </c>
      <c r="C9186" s="3">
        <v>0.0</v>
      </c>
      <c r="D9186" s="3">
        <v>0.0</v>
      </c>
      <c r="E9186" s="3">
        <v>0.0</v>
      </c>
      <c r="F9186" s="3" t="s">
        <v>26221</v>
      </c>
      <c r="G9186" s="3">
        <v>0.55</v>
      </c>
      <c r="H9186" s="3">
        <v>0.35</v>
      </c>
      <c r="I9186" s="3" t="s">
        <v>48</v>
      </c>
      <c r="J9186" s="3" t="s">
        <v>26222</v>
      </c>
      <c r="K9186" s="3" t="s">
        <v>695</v>
      </c>
      <c r="L9186" s="3" t="str">
        <f>IFERROR(__xludf.DUMMYFUNCTION("GOOGLETRANSLATE(F9186,""id"",""en"")"),"in order to continue to make me happy and full smile because Argentina champions Bismillah got a bearded turtle from Mas Messi Kabul Kajate Indra won the giveaway")</f>
        <v>in order to continue to make me happy and full smile because Argentina champions Bismillah got a bearded turtle from Mas Messi Kabul Kajate Indra won the giveaway</v>
      </c>
    </row>
    <row r="9187" ht="15.75" customHeight="1">
      <c r="A9187" s="1">
        <v>10416.0</v>
      </c>
      <c r="B9187" s="3" t="s">
        <v>26223</v>
      </c>
      <c r="C9187" s="3">
        <v>0.0</v>
      </c>
      <c r="D9187" s="3">
        <v>0.0</v>
      </c>
      <c r="E9187" s="3">
        <v>1.0</v>
      </c>
      <c r="F9187" s="3" t="s">
        <v>26224</v>
      </c>
      <c r="G9187" s="3">
        <v>0.0</v>
      </c>
      <c r="H9187" s="3">
        <v>0.0</v>
      </c>
      <c r="I9187" s="3" t="s">
        <v>13</v>
      </c>
      <c r="J9187" s="3" t="s">
        <v>26225</v>
      </c>
      <c r="K9187" s="3" t="s">
        <v>14571</v>
      </c>
      <c r="L9187" s="3" t="str">
        <f>IFERROR(__xludf.DUMMYFUNCTION("GOOGLETRANSLATE(F9187,""id"",""en"")"),"Ayokkk is friends")</f>
        <v>Ayokkk is friends</v>
      </c>
    </row>
    <row r="9188" ht="15.75" customHeight="1">
      <c r="A9188" s="1">
        <v>10417.0</v>
      </c>
      <c r="B9188" s="3" t="s">
        <v>26226</v>
      </c>
      <c r="C9188" s="3">
        <v>0.0</v>
      </c>
      <c r="D9188" s="3">
        <v>0.0</v>
      </c>
      <c r="E9188" s="3">
        <v>2.0</v>
      </c>
      <c r="F9188" s="3" t="s">
        <v>25896</v>
      </c>
      <c r="G9188" s="3">
        <v>0.0</v>
      </c>
      <c r="H9188" s="3">
        <v>0.0</v>
      </c>
      <c r="I9188" s="3" t="s">
        <v>13</v>
      </c>
      <c r="J9188" s="3" t="s">
        <v>25897</v>
      </c>
      <c r="K9188" s="3" t="s">
        <v>54</v>
      </c>
      <c r="L9188" s="3" t="str">
        <f>IFERROR(__xludf.DUMMYFUNCTION("GOOGLETRANSLATE(F9188,""id"",""en"")"),"Argentina champions supporting French clashes with the police")</f>
        <v>Argentina champions supporting French clashes with the police</v>
      </c>
    </row>
    <row r="9189" ht="15.75" customHeight="1">
      <c r="A9189" s="1">
        <v>10418.0</v>
      </c>
      <c r="B9189" s="3" t="s">
        <v>26227</v>
      </c>
      <c r="C9189" s="3">
        <v>1.0</v>
      </c>
      <c r="D9189" s="3">
        <v>0.0</v>
      </c>
      <c r="E9189" s="3">
        <v>0.0</v>
      </c>
      <c r="F9189" s="3" t="s">
        <v>26228</v>
      </c>
      <c r="G9189" s="3">
        <v>0.0</v>
      </c>
      <c r="H9189" s="3">
        <v>0.0</v>
      </c>
      <c r="I9189" s="3" t="s">
        <v>13</v>
      </c>
      <c r="J9189" s="3" t="s">
        <v>26229</v>
      </c>
      <c r="K9189" s="3" t="s">
        <v>82</v>
      </c>
      <c r="L9189" s="3" t="str">
        <f>IFERROR(__xludf.DUMMYFUNCTION("GOOGLETRANSLATE(F9189,""id"",""en"")"),"Argentina already champions world cup but I'm still poor too")</f>
        <v>Argentina already champions world cup but I'm still poor too</v>
      </c>
    </row>
    <row r="9190" ht="15.75" customHeight="1">
      <c r="A9190" s="1">
        <v>10419.0</v>
      </c>
      <c r="B9190" s="3" t="s">
        <v>26230</v>
      </c>
      <c r="C9190" s="3">
        <v>0.0</v>
      </c>
      <c r="D9190" s="3">
        <v>0.0</v>
      </c>
      <c r="E9190" s="3">
        <v>0.0</v>
      </c>
      <c r="F9190" s="3" t="s">
        <v>26231</v>
      </c>
      <c r="G9190" s="3">
        <v>0.0</v>
      </c>
      <c r="H9190" s="3">
        <v>0.0</v>
      </c>
      <c r="I9190" s="3" t="s">
        <v>13</v>
      </c>
      <c r="J9190" s="3" t="s">
        <v>26232</v>
      </c>
      <c r="K9190" s="3" t="s">
        <v>15</v>
      </c>
      <c r="L9190" s="3" t="str">
        <f>IFERROR(__xludf.DUMMYFUNCTION("GOOGLETRANSLATE(F9190,""id"",""en"")"),"Argentina Champion World Cup Jokowi I watched it Persib Persis")</f>
        <v>Argentina Champion World Cup Jokowi I watched it Persib Persis</v>
      </c>
    </row>
    <row r="9191" ht="15.75" customHeight="1">
      <c r="A9191" s="1">
        <v>10420.0</v>
      </c>
      <c r="B9191" s="3" t="s">
        <v>26233</v>
      </c>
      <c r="C9191" s="3">
        <v>0.0</v>
      </c>
      <c r="D9191" s="3">
        <v>0.0</v>
      </c>
      <c r="E9191" s="3">
        <v>0.0</v>
      </c>
      <c r="F9191" s="3" t="s">
        <v>25669</v>
      </c>
      <c r="G9191" s="3">
        <v>0.0</v>
      </c>
      <c r="H9191" s="3">
        <v>0.0</v>
      </c>
      <c r="I9191" s="3" t="s">
        <v>13</v>
      </c>
      <c r="J9191" s="3" t="s">
        <v>25670</v>
      </c>
      <c r="K9191" s="3" t="s">
        <v>50</v>
      </c>
      <c r="L9191" s="3" t="str">
        <f>IFERROR(__xludf.DUMMYFUNCTION("GOOGLETRANSLATE(F9191,""id"",""en"")"),"Messi also does not care about the amused citizens of Indonesian politicians busy making Argentine posters champions")</f>
        <v>Messi also does not care about the amused citizens of Indonesian politicians busy making Argentine posters champions</v>
      </c>
    </row>
    <row r="9192" ht="15.75" customHeight="1">
      <c r="A9192" s="1">
        <v>10421.0</v>
      </c>
      <c r="B9192" s="3" t="s">
        <v>26234</v>
      </c>
      <c r="C9192" s="3">
        <v>0.0</v>
      </c>
      <c r="D9192" s="3">
        <v>0.0</v>
      </c>
      <c r="E9192" s="3">
        <v>0.0</v>
      </c>
      <c r="F9192" s="3" t="s">
        <v>25669</v>
      </c>
      <c r="G9192" s="3">
        <v>0.0</v>
      </c>
      <c r="H9192" s="3">
        <v>0.0</v>
      </c>
      <c r="I9192" s="3" t="s">
        <v>13</v>
      </c>
      <c r="J9192" s="3" t="s">
        <v>25670</v>
      </c>
      <c r="K9192" s="3" t="s">
        <v>50</v>
      </c>
      <c r="L9192" s="3" t="str">
        <f>IFERROR(__xludf.DUMMYFUNCTION("GOOGLETRANSLATE(F9192,""id"",""en"")"),"Messi also does not care about the amused citizens of Indonesian politicians busy making Argentine posters champions")</f>
        <v>Messi also does not care about the amused citizens of Indonesian politicians busy making Argentine posters champions</v>
      </c>
    </row>
    <row r="9193" ht="15.75" customHeight="1">
      <c r="A9193" s="1">
        <v>10422.0</v>
      </c>
      <c r="B9193" s="3" t="s">
        <v>26235</v>
      </c>
      <c r="C9193" s="3">
        <v>0.0</v>
      </c>
      <c r="D9193" s="3">
        <v>0.0</v>
      </c>
      <c r="E9193" s="3">
        <v>0.0</v>
      </c>
      <c r="F9193" s="3" t="s">
        <v>26236</v>
      </c>
      <c r="G9193" s="3">
        <v>0.4</v>
      </c>
      <c r="H9193" s="3">
        <v>0.2</v>
      </c>
      <c r="I9193" s="3" t="s">
        <v>48</v>
      </c>
      <c r="J9193" s="3" t="s">
        <v>26237</v>
      </c>
      <c r="K9193" s="3" t="s">
        <v>584</v>
      </c>
      <c r="L9193" s="3" t="str">
        <f>IFERROR(__xludf.DUMMYFUNCTION("GOOGLETRANSLATE(F9193,""id"",""en"")"),"Then Argentina's goal was the result of a rebound ball rebound from the shot, his goalkeeper was brushed aside so when the impact was bigger, but it was the most important champion, hahaha")</f>
        <v>Then Argentina's goal was the result of a rebound ball rebound from the shot, his goalkeeper was brushed aside so when the impact was bigger, but it was the most important champion, hahaha</v>
      </c>
    </row>
    <row r="9194" ht="15.75" customHeight="1">
      <c r="A9194" s="1">
        <v>10423.0</v>
      </c>
      <c r="B9194" s="3" t="s">
        <v>26238</v>
      </c>
      <c r="C9194" s="3">
        <v>0.0</v>
      </c>
      <c r="D9194" s="3">
        <v>0.0</v>
      </c>
      <c r="E9194" s="3">
        <v>0.0</v>
      </c>
      <c r="F9194" s="3" t="s">
        <v>26239</v>
      </c>
      <c r="G9194" s="3">
        <v>0.0</v>
      </c>
      <c r="H9194" s="3">
        <v>0.0</v>
      </c>
      <c r="I9194" s="3" t="s">
        <v>13</v>
      </c>
      <c r="J9194" s="3" t="s">
        <v>26240</v>
      </c>
      <c r="K9194" s="3" t="s">
        <v>433</v>
      </c>
      <c r="L9194" s="3" t="str">
        <f>IFERROR(__xludf.DUMMYFUNCTION("GOOGLETRANSLATE(F9194,""id"",""en"")"),"Jersey Lionel Messi is selling well after Argentina Champion World Cup Sold Out worldwide")</f>
        <v>Jersey Lionel Messi is selling well after Argentina Champion World Cup Sold Out worldwide</v>
      </c>
    </row>
    <row r="9195" ht="15.75" customHeight="1">
      <c r="A9195" s="1">
        <v>10424.0</v>
      </c>
      <c r="B9195" s="3" t="s">
        <v>26241</v>
      </c>
      <c r="C9195" s="3">
        <v>1.0</v>
      </c>
      <c r="D9195" s="3">
        <v>1.0</v>
      </c>
      <c r="E9195" s="3">
        <v>3.0</v>
      </c>
      <c r="F9195" s="3" t="s">
        <v>26242</v>
      </c>
      <c r="G9195" s="3">
        <v>0.0</v>
      </c>
      <c r="H9195" s="3">
        <v>0.0</v>
      </c>
      <c r="I9195" s="3" t="s">
        <v>13</v>
      </c>
      <c r="J9195" s="3" t="s">
        <v>26243</v>
      </c>
      <c r="K9195" s="3" t="s">
        <v>1317</v>
      </c>
      <c r="L9195" s="3" t="str">
        <f>IFERROR(__xludf.DUMMYFUNCTION("GOOGLETRANSLATE(F9195,""id"",""en"")"),"Mantapd Bang Fecho Democrat must be the first prize like Argentina Bang AHY Bring the Electability of the Democratic Party continues to skyrocket Irwan Fecho is not impossible to be the first order")</f>
        <v>Mantapd Bang Fecho Democrat must be the first prize like Argentina Bang AHY Bring the Electability of the Democratic Party continues to skyrocket Irwan Fecho is not impossible to be the first order</v>
      </c>
    </row>
    <row r="9196" ht="15.75" customHeight="1">
      <c r="A9196" s="1">
        <v>10425.0</v>
      </c>
      <c r="B9196" s="3" t="s">
        <v>26244</v>
      </c>
      <c r="C9196" s="3">
        <v>1.0</v>
      </c>
      <c r="D9196" s="3">
        <v>0.0</v>
      </c>
      <c r="E9196" s="3">
        <v>0.0</v>
      </c>
      <c r="F9196" s="3" t="s">
        <v>26245</v>
      </c>
      <c r="G9196" s="3">
        <v>0.6</v>
      </c>
      <c r="H9196" s="3">
        <v>0.5</v>
      </c>
      <c r="I9196" s="3" t="s">
        <v>48</v>
      </c>
      <c r="J9196" s="3" t="s">
        <v>26246</v>
      </c>
      <c r="K9196" s="3" t="s">
        <v>127</v>
      </c>
      <c r="L9196" s="3" t="str">
        <f>IFERROR(__xludf.DUMMYFUNCTION("GOOGLETRANSLATE(F9196,""id"",""en"")"),"in the middle of suffering as long as it feels like to believe that the pleasure is still feeling dreams if the Argentine team is the world champion love you Messi")</f>
        <v>in the middle of suffering as long as it feels like to believe that the pleasure is still feeling dreams if the Argentine team is the world champion love you Messi</v>
      </c>
    </row>
    <row r="9197" ht="15.75" customHeight="1">
      <c r="A9197" s="1">
        <v>10426.0</v>
      </c>
      <c r="B9197" s="3" t="s">
        <v>26247</v>
      </c>
      <c r="C9197" s="3">
        <v>0.0</v>
      </c>
      <c r="D9197" s="3">
        <v>0.0</v>
      </c>
      <c r="E9197" s="3">
        <v>0.0</v>
      </c>
      <c r="F9197" s="3" t="s">
        <v>26248</v>
      </c>
      <c r="G9197" s="3">
        <v>0.0</v>
      </c>
      <c r="H9197" s="3">
        <v>0.0</v>
      </c>
      <c r="I9197" s="3" t="s">
        <v>13</v>
      </c>
      <c r="J9197" s="3" t="s">
        <v>26249</v>
      </c>
      <c r="K9197" s="3" t="s">
        <v>510</v>
      </c>
      <c r="L9197" s="3" t="str">
        <f>IFERROR(__xludf.DUMMYFUNCTION("GOOGLETRANSLATE(F9197,""id"",""en"")"),"Lionel Scaloni Sabet Champion The Youngest World Cup Coach Messi Revealed Not Retired from Argentina")</f>
        <v>Lionel Scaloni Sabet Champion The Youngest World Cup Coach Messi Revealed Not Retired from Argentina</v>
      </c>
    </row>
    <row r="9198" ht="15.75" customHeight="1">
      <c r="A9198" s="1">
        <v>10427.0</v>
      </c>
      <c r="B9198" s="3" t="s">
        <v>26250</v>
      </c>
      <c r="C9198" s="3">
        <v>0.0</v>
      </c>
      <c r="D9198" s="3">
        <v>0.0</v>
      </c>
      <c r="E9198" s="3">
        <v>1.0</v>
      </c>
      <c r="F9198" s="3" t="s">
        <v>26251</v>
      </c>
      <c r="G9198" s="3">
        <v>0.65</v>
      </c>
      <c r="H9198" s="3">
        <v>0.6</v>
      </c>
      <c r="I9198" s="3" t="s">
        <v>48</v>
      </c>
      <c r="J9198" s="3" t="s">
        <v>26252</v>
      </c>
      <c r="K9198" s="3" t="s">
        <v>172</v>
      </c>
      <c r="L9198" s="3" t="str">
        <f>IFERROR(__xludf.DUMMYFUNCTION("GOOGLETRANSLATE(F9198,""id"",""en"")"),"Congrats Dreamies after their long wait since the year to become the Greatest All Time Lionel Messi World Cup championship has a collection of the real goat awards and do not forget that you are amazing")</f>
        <v>Congrats Dreamies after their long wait since the year to become the Greatest All Time Lionel Messi World Cup championship has a collection of the real goat awards and do not forget that you are amazing</v>
      </c>
    </row>
    <row r="9199" ht="15.75" customHeight="1">
      <c r="A9199" s="1">
        <v>10428.0</v>
      </c>
      <c r="B9199" s="3" t="s">
        <v>26253</v>
      </c>
      <c r="C9199" s="3">
        <v>0.0</v>
      </c>
      <c r="D9199" s="3">
        <v>0.0</v>
      </c>
      <c r="E9199" s="3">
        <v>4.0</v>
      </c>
      <c r="F9199" s="3" t="s">
        <v>26017</v>
      </c>
      <c r="G9199" s="3">
        <v>0.0</v>
      </c>
      <c r="H9199" s="3">
        <v>0.0</v>
      </c>
      <c r="I9199" s="3" t="s">
        <v>13</v>
      </c>
      <c r="J9199" s="3" t="s">
        <v>26018</v>
      </c>
      <c r="K9199" s="3" t="s">
        <v>15</v>
      </c>
      <c r="L9199" s="3" t="str">
        <f>IFERROR(__xludf.DUMMYFUNCTION("GOOGLETRANSLATE(F9199,""id"",""en"")"),"defeated by Saudi Arabia Early Argentina became the final champion")</f>
        <v>defeated by Saudi Arabia Early Argentina became the final champion</v>
      </c>
    </row>
    <row r="9200" ht="15.75" customHeight="1">
      <c r="A9200" s="1">
        <v>10429.0</v>
      </c>
      <c r="B9200" s="3" t="s">
        <v>26254</v>
      </c>
      <c r="C9200" s="3">
        <v>0.0</v>
      </c>
      <c r="D9200" s="3">
        <v>0.0</v>
      </c>
      <c r="E9200" s="3">
        <v>0.0</v>
      </c>
      <c r="F9200" s="3" t="s">
        <v>26255</v>
      </c>
      <c r="G9200" s="3">
        <v>0.0</v>
      </c>
      <c r="H9200" s="3">
        <v>0.0</v>
      </c>
      <c r="I9200" s="3" t="s">
        <v>13</v>
      </c>
      <c r="J9200" s="3" t="s">
        <v>26256</v>
      </c>
      <c r="K9200" s="3" t="s">
        <v>3497</v>
      </c>
      <c r="L9200" s="3" t="str">
        <f>IFERROR(__xludf.DUMMYFUNCTION("GOOGLETRANSLATE(F9200,""id"",""en"")"),"more than PSG instead")</f>
        <v>more than PSG instead</v>
      </c>
    </row>
    <row r="9201" ht="15.75" customHeight="1">
      <c r="A9201" s="1">
        <v>10430.0</v>
      </c>
      <c r="B9201" s="3" t="s">
        <v>26257</v>
      </c>
      <c r="C9201" s="3">
        <v>0.0</v>
      </c>
      <c r="D9201" s="3">
        <v>0.0</v>
      </c>
      <c r="E9201" s="3">
        <v>0.0</v>
      </c>
      <c r="F9201" s="3" t="s">
        <v>26258</v>
      </c>
      <c r="G9201" s="3">
        <v>0.4545454545454545</v>
      </c>
      <c r="H9201" s="3">
        <v>0.1363636363636364</v>
      </c>
      <c r="I9201" s="3" t="s">
        <v>48</v>
      </c>
      <c r="J9201" s="3" t="s">
        <v>26259</v>
      </c>
      <c r="K9201" s="3" t="s">
        <v>1157</v>
      </c>
      <c r="L9201" s="3" t="str">
        <f>IFERROR(__xludf.DUMMYFUNCTION("GOOGLETRANSLATE(F9201,""id"",""en"")"),"Messi Argentina Julang World Cup Qatar Qatar Qatar Argentina won the World Cup for a moment when it triumphed the defending champion France accepted the determination of the penalty after the series in additional action of the Dramatic New Dramatic")</f>
        <v>Messi Argentina Julang World Cup Qatar Qatar Qatar Argentina won the World Cup for a moment when it triumphed the defending champion France accepted the determination of the penalty after the series in additional action of the Dramatic New Dramatic</v>
      </c>
    </row>
    <row r="9202" ht="15.75" customHeight="1">
      <c r="A9202" s="1">
        <v>10431.0</v>
      </c>
      <c r="B9202" s="3" t="s">
        <v>26260</v>
      </c>
      <c r="C9202" s="3">
        <v>0.0</v>
      </c>
      <c r="D9202" s="3">
        <v>1.0</v>
      </c>
      <c r="E9202" s="3">
        <v>0.0</v>
      </c>
      <c r="F9202" s="3" t="s">
        <v>26261</v>
      </c>
      <c r="G9202" s="3">
        <v>0.0</v>
      </c>
      <c r="H9202" s="3">
        <v>0.0</v>
      </c>
      <c r="I9202" s="3" t="s">
        <v>13</v>
      </c>
      <c r="J9202" s="3" t="s">
        <v>26262</v>
      </c>
      <c r="K9202" s="3" t="s">
        <v>3156</v>
      </c>
      <c r="L9202" s="3" t="str">
        <f>IFERROR(__xludf.DUMMYFUNCTION("GOOGLETRANSLATE(F9202,""id"",""en"")"),"Argentina World Champion Argentina Mario Kempes Mexico Gol Diego Maradona Gol Qatar Lionel Messi Gol Vamos Argentina")</f>
        <v>Argentina World Champion Argentina Mario Kempes Mexico Gol Diego Maradona Gol Qatar Lionel Messi Gol Vamos Argentina</v>
      </c>
    </row>
    <row r="9203" ht="15.75" customHeight="1">
      <c r="A9203" s="1">
        <v>10432.0</v>
      </c>
      <c r="B9203" s="3" t="s">
        <v>26263</v>
      </c>
      <c r="C9203" s="3">
        <v>0.0</v>
      </c>
      <c r="D9203" s="3">
        <v>0.0</v>
      </c>
      <c r="E9203" s="3">
        <v>1.0</v>
      </c>
      <c r="F9203" s="3" t="s">
        <v>26264</v>
      </c>
      <c r="G9203" s="3">
        <v>0.0</v>
      </c>
      <c r="H9203" s="3">
        <v>0.0</v>
      </c>
      <c r="I9203" s="3" t="s">
        <v>13</v>
      </c>
      <c r="J9203" s="3" t="s">
        <v>26265</v>
      </c>
      <c r="K9203" s="3" t="s">
        <v>14571</v>
      </c>
      <c r="L9203" s="3" t="str">
        <f>IFERROR(__xludf.DUMMYFUNCTION("GOOGLETRANSLATE(F9203,""id"",""en"")"),"Ayokkk here")</f>
        <v>Ayokkk here</v>
      </c>
    </row>
    <row r="9204" ht="15.75" customHeight="1">
      <c r="A9204" s="1">
        <v>10433.0</v>
      </c>
      <c r="B9204" s="3" t="s">
        <v>26266</v>
      </c>
      <c r="C9204" s="3">
        <v>0.0</v>
      </c>
      <c r="D9204" s="3">
        <v>0.0</v>
      </c>
      <c r="E9204" s="3">
        <v>2.0</v>
      </c>
      <c r="F9204" s="3" t="s">
        <v>26267</v>
      </c>
      <c r="G9204" s="3">
        <v>0.0</v>
      </c>
      <c r="H9204" s="3">
        <v>0.0</v>
      </c>
      <c r="I9204" s="3" t="s">
        <v>13</v>
      </c>
      <c r="J9204" s="3" t="s">
        <v>26268</v>
      </c>
      <c r="K9204" s="3" t="s">
        <v>20982</v>
      </c>
      <c r="L9204" s="3" t="str">
        <f>IFERROR(__xludf.DUMMYFUNCTION("GOOGLETRANSLATE(F9204,""id"",""en"")"),"Thank you, Bang for making France unlucky thanks to the support of Bang, fortunately, not supporting Argentina, it could be Argentina failed to win because every country you supported it, you would be unlucky")</f>
        <v>Thank you, Bang for making France unlucky thanks to the support of Bang, fortunately, not supporting Argentina, it could be Argentina failed to win because every country you supported it, you would be unlucky</v>
      </c>
    </row>
    <row r="9205" ht="15.75" customHeight="1">
      <c r="A9205" s="1">
        <v>10434.0</v>
      </c>
      <c r="B9205" s="3" t="s">
        <v>26269</v>
      </c>
      <c r="C9205" s="3">
        <v>0.0</v>
      </c>
      <c r="D9205" s="3">
        <v>0.0</v>
      </c>
      <c r="E9205" s="3">
        <v>0.0</v>
      </c>
      <c r="F9205" s="3" t="s">
        <v>26270</v>
      </c>
      <c r="G9205" s="3">
        <v>0.0</v>
      </c>
      <c r="H9205" s="3">
        <v>0.0</v>
      </c>
      <c r="I9205" s="3" t="s">
        <v>13</v>
      </c>
      <c r="J9205" s="3" t="s">
        <v>26271</v>
      </c>
      <c r="K9205" s="3" t="s">
        <v>41</v>
      </c>
      <c r="L9205" s="3" t="str">
        <f>IFERROR(__xludf.DUMMYFUNCTION("GOOGLETRANSLATE(F9205,""id"",""en"")"),"Vamos Tahniah Argentina Champion World Cup FIFA World Cup")</f>
        <v>Vamos Tahniah Argentina Champion World Cup FIFA World Cup</v>
      </c>
    </row>
    <row r="9206" ht="15.75" customHeight="1">
      <c r="A9206" s="1">
        <v>10435.0</v>
      </c>
      <c r="B9206" s="3" t="s">
        <v>26272</v>
      </c>
      <c r="C9206" s="3">
        <v>0.0</v>
      </c>
      <c r="D9206" s="3">
        <v>1.0</v>
      </c>
      <c r="E9206" s="3">
        <v>1.0</v>
      </c>
      <c r="F9206" s="3" t="s">
        <v>26273</v>
      </c>
      <c r="G9206" s="3">
        <v>0.75</v>
      </c>
      <c r="H9206" s="3">
        <v>0.25</v>
      </c>
      <c r="I9206" s="3" t="s">
        <v>48</v>
      </c>
      <c r="J9206" s="3" t="s">
        <v>26274</v>
      </c>
      <c r="K9206" s="3" t="s">
        <v>2610</v>
      </c>
      <c r="L9206" s="3" t="str">
        <f>IFERROR(__xludf.DUMMYFUNCTION("GOOGLETRANSLATE(F9206,""id"",""en"")"),"Infocimahi Argentina won the World Cup after defeating France Final with a full penalty score of Lusail Iconic Stadium, FIFA World Cup Reuters Carl Recine Fabriziorom")</f>
        <v>Infocimahi Argentina won the World Cup after defeating France Final with a full penalty score of Lusail Iconic Stadium, FIFA World Cup Reuters Carl Recine Fabriziorom</v>
      </c>
    </row>
    <row r="9207" ht="15.75" customHeight="1">
      <c r="A9207" s="1">
        <v>10436.0</v>
      </c>
      <c r="B9207" s="3" t="s">
        <v>26275</v>
      </c>
      <c r="C9207" s="3">
        <v>1.0</v>
      </c>
      <c r="D9207" s="3">
        <v>0.0</v>
      </c>
      <c r="E9207" s="3">
        <v>2.0</v>
      </c>
      <c r="F9207" s="3" t="s">
        <v>26276</v>
      </c>
      <c r="G9207" s="3">
        <v>0.0</v>
      </c>
      <c r="H9207" s="3">
        <v>0.0</v>
      </c>
      <c r="I9207" s="3" t="s">
        <v>13</v>
      </c>
      <c r="J9207" s="3" t="s">
        <v>26277</v>
      </c>
      <c r="K9207" s="3" t="s">
        <v>149</v>
      </c>
      <c r="L9207" s="3" t="str">
        <f>IFERROR(__xludf.DUMMYFUNCTION("GOOGLETRANSLATE(F9207,""id"",""en"")"),"the impact of Argentina champions for cheap visa visa peso exchange rates to buy vocer eshop so it's really cheap for ammunition ahead of Christmas Sale Sale thanks")</f>
        <v>the impact of Argentina champions for cheap visa visa peso exchange rates to buy vocer eshop so it's really cheap for ammunition ahead of Christmas Sale Sale thanks</v>
      </c>
    </row>
    <row r="9208" ht="15.75" customHeight="1">
      <c r="A9208" s="1">
        <v>10437.0</v>
      </c>
      <c r="B9208" s="3" t="s">
        <v>26278</v>
      </c>
      <c r="C9208" s="3">
        <v>1.0</v>
      </c>
      <c r="D9208" s="3">
        <v>0.0</v>
      </c>
      <c r="E9208" s="3">
        <v>0.0</v>
      </c>
      <c r="F9208" s="3" t="s">
        <v>26279</v>
      </c>
      <c r="G9208" s="3">
        <v>0.0</v>
      </c>
      <c r="H9208" s="3">
        <v>0.0</v>
      </c>
      <c r="I9208" s="3" t="s">
        <v>13</v>
      </c>
      <c r="J9208" s="3" t="s">
        <v>26280</v>
      </c>
      <c r="K9208" s="3" t="s">
        <v>41</v>
      </c>
      <c r="L9208" s="3" t="str">
        <f>IFERROR(__xludf.DUMMYFUNCTION("GOOGLETRANSLATE(F9208,""id"",""en"")"),"try to be the equivalent of Messi Ronaldo in some years of his career")</f>
        <v>try to be the equivalent of Messi Ronaldo in some years of his career</v>
      </c>
    </row>
    <row r="9209" ht="15.75" customHeight="1">
      <c r="A9209" s="1">
        <v>10438.0</v>
      </c>
      <c r="B9209" s="3" t="s">
        <v>26281</v>
      </c>
      <c r="C9209" s="3">
        <v>1.0</v>
      </c>
      <c r="D9209" s="3">
        <v>0.0</v>
      </c>
      <c r="E9209" s="3">
        <v>2.0</v>
      </c>
      <c r="F9209" s="3" t="s">
        <v>26282</v>
      </c>
      <c r="G9209" s="3">
        <v>0.0</v>
      </c>
      <c r="H9209" s="3">
        <v>0.0</v>
      </c>
      <c r="I9209" s="3" t="s">
        <v>13</v>
      </c>
      <c r="J9209" s="3" t="s">
        <v>26283</v>
      </c>
      <c r="K9209" s="3" t="s">
        <v>510</v>
      </c>
      <c r="L9209" s="3" t="str">
        <f>IFERROR(__xludf.DUMMYFUNCTION("GOOGLETRANSLATE(F9209,""id"",""en"")"),"Obay, this Kadrun business person was brought by Gonjet also agreed with his narcotics anyway Argentina champion group Logic")</f>
        <v>Obay, this Kadrun business person was brought by Gonjet also agreed with his narcotics anyway Argentina champion group Logic</v>
      </c>
    </row>
    <row r="9210" ht="15.75" customHeight="1">
      <c r="A9210" s="1">
        <v>10439.0</v>
      </c>
      <c r="B9210" s="3" t="s">
        <v>26284</v>
      </c>
      <c r="C9210" s="3">
        <v>0.0</v>
      </c>
      <c r="D9210" s="3">
        <v>1.0</v>
      </c>
      <c r="E9210" s="3">
        <v>1.0</v>
      </c>
      <c r="F9210" s="3" t="s">
        <v>26285</v>
      </c>
      <c r="G9210" s="3">
        <v>0.0</v>
      </c>
      <c r="H9210" s="3">
        <v>0.0</v>
      </c>
      <c r="I9210" s="3" t="s">
        <v>13</v>
      </c>
      <c r="J9210" s="3" t="s">
        <v>26286</v>
      </c>
      <c r="K9210" s="3" t="s">
        <v>510</v>
      </c>
      <c r="L9210" s="3" t="str">
        <f>IFERROR(__xludf.DUMMYFUNCTION("GOOGLETRANSLATE(F9210,""id"",""en"")"),"So the best year of Lisandro Martinez performed well to bring Argentina to the World Cup championship")</f>
        <v>So the best year of Lisandro Martinez performed well to bring Argentina to the World Cup championship</v>
      </c>
    </row>
    <row r="9211" ht="15.75" customHeight="1">
      <c r="A9211" s="1">
        <v>10440.0</v>
      </c>
      <c r="B9211" s="3" t="s">
        <v>26287</v>
      </c>
      <c r="C9211" s="3">
        <v>0.0</v>
      </c>
      <c r="D9211" s="3">
        <v>0.0</v>
      </c>
      <c r="E9211" s="3">
        <v>0.0</v>
      </c>
      <c r="F9211" s="3" t="s">
        <v>26288</v>
      </c>
      <c r="G9211" s="3">
        <v>0.0</v>
      </c>
      <c r="H9211" s="3">
        <v>0.0</v>
      </c>
      <c r="I9211" s="3" t="s">
        <v>13</v>
      </c>
      <c r="J9211" s="3" t="s">
        <v>26289</v>
      </c>
      <c r="K9211" s="3" t="s">
        <v>82</v>
      </c>
      <c r="L9211" s="3" t="str">
        <f>IFERROR(__xludf.DUMMYFUNCTION("GOOGLETRANSLATE(F9211,""id"",""en"")"),"Argentina The World Cup Champion was flooded with congratulations")</f>
        <v>Argentina The World Cup Champion was flooded with congratulations</v>
      </c>
    </row>
    <row r="9212" ht="15.75" customHeight="1">
      <c r="A9212" s="1">
        <v>10441.0</v>
      </c>
      <c r="B9212" s="3" t="s">
        <v>26290</v>
      </c>
      <c r="C9212" s="3">
        <v>0.0</v>
      </c>
      <c r="D9212" s="3">
        <v>0.0</v>
      </c>
      <c r="E9212" s="3">
        <v>0.0</v>
      </c>
      <c r="F9212" s="3" t="s">
        <v>26291</v>
      </c>
      <c r="G9212" s="3">
        <v>0.0</v>
      </c>
      <c r="H9212" s="3">
        <v>0.0</v>
      </c>
      <c r="I9212" s="3" t="s">
        <v>13</v>
      </c>
      <c r="J9212" s="3" t="s">
        <v>26292</v>
      </c>
      <c r="K9212" s="3" t="s">
        <v>1293</v>
      </c>
      <c r="L9212" s="3" t="str">
        <f>IFERROR(__xludf.DUMMYFUNCTION("GOOGLETRANSLATE(F9212,""id"",""en"")"),"Argentina won the Qatar World Cup despite betting for Argentina Rapper Drake still lost millions of dollars or equivalent to billion")</f>
        <v>Argentina won the Qatar World Cup despite betting for Argentina Rapper Drake still lost millions of dollars or equivalent to billion</v>
      </c>
    </row>
    <row r="9213" ht="15.75" customHeight="1">
      <c r="A9213" s="1">
        <v>10442.0</v>
      </c>
      <c r="B9213" s="3" t="s">
        <v>26293</v>
      </c>
      <c r="C9213" s="3">
        <v>0.0</v>
      </c>
      <c r="D9213" s="3">
        <v>0.0</v>
      </c>
      <c r="E9213" s="3">
        <v>1.0</v>
      </c>
      <c r="F9213" s="3" t="s">
        <v>26294</v>
      </c>
      <c r="G9213" s="3">
        <v>0.0</v>
      </c>
      <c r="H9213" s="3">
        <v>0.0</v>
      </c>
      <c r="I9213" s="3" t="s">
        <v>13</v>
      </c>
      <c r="J9213" s="3" t="s">
        <v>26295</v>
      </c>
      <c r="K9213" s="3" t="s">
        <v>244</v>
      </c>
      <c r="L9213" s="3" t="str">
        <f>IFERROR(__xludf.DUMMYFUNCTION("GOOGLETRANSLATE(F9213,""id"",""en"")"),"Argentina has won the World Cup when you haven't been able to get his heart yet")</f>
        <v>Argentina has won the World Cup when you haven't been able to get his heart yet</v>
      </c>
    </row>
    <row r="9214" ht="15.75" customHeight="1">
      <c r="A9214" s="1">
        <v>10443.0</v>
      </c>
      <c r="B9214" s="3" t="s">
        <v>26296</v>
      </c>
      <c r="C9214" s="3">
        <v>0.0</v>
      </c>
      <c r="D9214" s="3">
        <v>0.0</v>
      </c>
      <c r="E9214" s="3">
        <v>0.0</v>
      </c>
      <c r="F9214" s="3" t="s">
        <v>26297</v>
      </c>
      <c r="G9214" s="3">
        <v>0.3</v>
      </c>
      <c r="H9214" s="3">
        <v>1.0</v>
      </c>
      <c r="I9214" s="3" t="s">
        <v>48</v>
      </c>
      <c r="J9214" s="3" t="s">
        <v>26298</v>
      </c>
      <c r="K9214" s="3" t="s">
        <v>3519</v>
      </c>
      <c r="L9214" s="3" t="str">
        <f>IFERROR(__xludf.DUMMYFUNCTION("GOOGLETRANSLATE(F9214,""id"",""en"")"),"Thank you and congratulations on Qatar for implementing the world of world mental in the world of the world of world cup management")</f>
        <v>Thank you and congratulations on Qatar for implementing the world of world mental in the world of the world of world cup management</v>
      </c>
    </row>
    <row r="9215" ht="15.75" customHeight="1">
      <c r="A9215" s="1">
        <v>10444.0</v>
      </c>
      <c r="B9215" s="3" t="s">
        <v>26299</v>
      </c>
      <c r="C9215" s="3">
        <v>0.0</v>
      </c>
      <c r="D9215" s="3">
        <v>0.0</v>
      </c>
      <c r="E9215" s="3">
        <v>0.0</v>
      </c>
      <c r="F9215" s="3" t="s">
        <v>26300</v>
      </c>
      <c r="G9215" s="3">
        <v>0.0</v>
      </c>
      <c r="H9215" s="3">
        <v>0.0</v>
      </c>
      <c r="I9215" s="3" t="s">
        <v>13</v>
      </c>
      <c r="J9215" s="3" t="s">
        <v>26301</v>
      </c>
      <c r="K9215" s="3" t="s">
        <v>26302</v>
      </c>
      <c r="L9215" s="3" t="str">
        <f>IFERROR(__xludf.DUMMYFUNCTION("GOOGLETRANSLATE(F9215,""id"",""en"")"),"Argentina World Champion with the contents of the usual squad is only good in front of the last time the world champion is the contents of the squad exactly like Argentina now Argentina is better Argentina The contents of the squad are usually like the la"&amp;"te days")</f>
        <v>Argentina World Champion with the contents of the usual squad is only good in front of the last time the world champion is the contents of the squad exactly like Argentina now Argentina is better Argentina The contents of the squad are usually like the late days</v>
      </c>
    </row>
    <row r="9216" ht="15.75" customHeight="1">
      <c r="A9216" s="1">
        <v>10445.0</v>
      </c>
      <c r="B9216" s="3" t="s">
        <v>26303</v>
      </c>
      <c r="C9216" s="3">
        <v>0.0</v>
      </c>
      <c r="D9216" s="3">
        <v>0.0</v>
      </c>
      <c r="E9216" s="3">
        <v>0.0</v>
      </c>
      <c r="F9216" s="3" t="s">
        <v>26304</v>
      </c>
      <c r="G9216" s="3">
        <v>1.0</v>
      </c>
      <c r="H9216" s="3">
        <v>1.0</v>
      </c>
      <c r="I9216" s="3" t="s">
        <v>48</v>
      </c>
      <c r="J9216" s="3" t="s">
        <v>26305</v>
      </c>
      <c r="K9216" s="3" t="s">
        <v>75</v>
      </c>
      <c r="L9216" s="3" t="str">
        <f>IFERROR(__xludf.DUMMYFUNCTION("GOOGLETRANSLATE(F9216,""id"",""en"")"),"Argentina World Cup Champion Lionel Messi Greatest All Time")</f>
        <v>Argentina World Cup Champion Lionel Messi Greatest All Time</v>
      </c>
    </row>
    <row r="9217" ht="15.75" customHeight="1">
      <c r="A9217" s="1">
        <v>10446.0</v>
      </c>
      <c r="B9217" s="3" t="s">
        <v>26306</v>
      </c>
      <c r="C9217" s="3">
        <v>0.0</v>
      </c>
      <c r="D9217" s="3">
        <v>0.0</v>
      </c>
      <c r="E9217" s="3">
        <v>0.0</v>
      </c>
      <c r="F9217" s="3" t="s">
        <v>26307</v>
      </c>
      <c r="G9217" s="3">
        <v>0.0</v>
      </c>
      <c r="H9217" s="3">
        <v>0.0</v>
      </c>
      <c r="I9217" s="3" t="s">
        <v>13</v>
      </c>
      <c r="J9217" s="3" t="s">
        <v>26308</v>
      </c>
      <c r="K9217" s="3" t="s">
        <v>15</v>
      </c>
      <c r="L9217" s="3" t="str">
        <f>IFERROR(__xludf.DUMMYFUNCTION("GOOGLETRANSLATE(F9217,""id"",""en"")"),"Do you remember when to join Twitter I remember to coincide with Argentina Champion")</f>
        <v>Do you remember when to join Twitter I remember to coincide with Argentina Champion</v>
      </c>
    </row>
    <row r="9218" ht="15.75" customHeight="1">
      <c r="A9218" s="1">
        <v>10447.0</v>
      </c>
      <c r="B9218" s="3" t="s">
        <v>26309</v>
      </c>
      <c r="C9218" s="3">
        <v>0.0</v>
      </c>
      <c r="D9218" s="3">
        <v>0.0</v>
      </c>
      <c r="E9218" s="3">
        <v>0.0</v>
      </c>
      <c r="F9218" s="3" t="s">
        <v>26310</v>
      </c>
      <c r="G9218" s="3">
        <v>0.0</v>
      </c>
      <c r="H9218" s="3">
        <v>0.0</v>
      </c>
      <c r="I9218" s="3" t="s">
        <v>13</v>
      </c>
      <c r="J9218" s="3" t="s">
        <v>26311</v>
      </c>
      <c r="K9218" s="3" t="s">
        <v>2215</v>
      </c>
      <c r="L9218" s="3" t="str">
        <f>IFERROR(__xludf.DUMMYFUNCTION("GOOGLETRANSLATE(F9218,""id"",""en"")"),"thanks kang sad thanks to the support of France Argentina to become champions once again, thank you for making French unlucky")</f>
        <v>thanks kang sad thanks to the support of France Argentina to become champions once again, thank you for making French unlucky</v>
      </c>
    </row>
    <row r="9219" ht="15.75" customHeight="1">
      <c r="A9219" s="1">
        <v>10448.0</v>
      </c>
      <c r="B9219" s="3" t="s">
        <v>26312</v>
      </c>
      <c r="C9219" s="3">
        <v>1.0</v>
      </c>
      <c r="D9219" s="3">
        <v>0.0</v>
      </c>
      <c r="E9219" s="3">
        <v>0.0</v>
      </c>
      <c r="F9219" s="3" t="s">
        <v>26313</v>
      </c>
      <c r="G9219" s="3">
        <v>1.0</v>
      </c>
      <c r="H9219" s="3">
        <v>0.8</v>
      </c>
      <c r="I9219" s="3" t="s">
        <v>48</v>
      </c>
      <c r="J9219" s="3" t="s">
        <v>26314</v>
      </c>
      <c r="K9219" s="3" t="s">
        <v>15</v>
      </c>
      <c r="L9219" s="3" t="str">
        <f>IFERROR(__xludf.DUMMYFUNCTION("GOOGLETRANSLATE(F9219,""id"",""en"")"),"Redsindo is the only Argentine, Happy Messi Champion")</f>
        <v>Redsindo is the only Argentine, Happy Messi Champion</v>
      </c>
    </row>
    <row r="9220" ht="15.75" customHeight="1">
      <c r="A9220" s="1">
        <v>10449.0</v>
      </c>
      <c r="B9220" s="3" t="s">
        <v>26315</v>
      </c>
      <c r="C9220" s="3">
        <v>0.0</v>
      </c>
      <c r="D9220" s="3">
        <v>0.0</v>
      </c>
      <c r="E9220" s="3">
        <v>1.0</v>
      </c>
      <c r="F9220" s="3" t="s">
        <v>26316</v>
      </c>
      <c r="G9220" s="3">
        <v>0.0</v>
      </c>
      <c r="H9220" s="3">
        <v>0.0</v>
      </c>
      <c r="I9220" s="3" t="s">
        <v>13</v>
      </c>
      <c r="J9220" s="3" t="s">
        <v>26317</v>
      </c>
      <c r="K9220" s="3" t="s">
        <v>15</v>
      </c>
      <c r="L9220" s="3" t="str">
        <f>IFERROR(__xludf.DUMMYFUNCTION("GOOGLETRANSLATE(F9220,""id"",""en"")"),"Ask, Argentina must be a world champion this year")</f>
        <v>Ask, Argentina must be a world champion this year</v>
      </c>
    </row>
    <row r="9221" ht="15.75" customHeight="1">
      <c r="A9221" s="1">
        <v>10450.0</v>
      </c>
      <c r="B9221" s="3" t="s">
        <v>26318</v>
      </c>
      <c r="C9221" s="3">
        <v>0.0</v>
      </c>
      <c r="D9221" s="3">
        <v>0.0</v>
      </c>
      <c r="E9221" s="3">
        <v>0.0</v>
      </c>
      <c r="F9221" s="3" t="s">
        <v>23250</v>
      </c>
      <c r="G9221" s="3">
        <v>0.0</v>
      </c>
      <c r="H9221" s="3">
        <v>0.0</v>
      </c>
      <c r="I9221" s="3" t="s">
        <v>13</v>
      </c>
      <c r="J9221" s="3" t="s">
        <v>16104</v>
      </c>
      <c r="K9221" s="3" t="s">
        <v>14571</v>
      </c>
      <c r="L9221" s="3" t="str">
        <f>IFERROR(__xludf.DUMMYFUNCTION("GOOGLETRANSLATE(F9221,""id"",""en"")"),"Argentina is the champion")</f>
        <v>Argentina is the champion</v>
      </c>
    </row>
    <row r="9222" ht="15.75" customHeight="1">
      <c r="A9222" s="1">
        <v>10451.0</v>
      </c>
      <c r="B9222" s="3" t="s">
        <v>26319</v>
      </c>
      <c r="C9222" s="3">
        <v>0.0</v>
      </c>
      <c r="D9222" s="3">
        <v>1.0</v>
      </c>
      <c r="E9222" s="3">
        <v>0.0</v>
      </c>
      <c r="F9222" s="3" t="s">
        <v>17833</v>
      </c>
      <c r="G9222" s="3">
        <v>0.0</v>
      </c>
      <c r="H9222" s="3">
        <v>0.0</v>
      </c>
      <c r="I9222" s="3" t="s">
        <v>13</v>
      </c>
      <c r="J9222" s="3" t="s">
        <v>17834</v>
      </c>
      <c r="K9222" s="3" t="s">
        <v>82</v>
      </c>
      <c r="L9222" s="3" t="str">
        <f>IFERROR(__xludf.DUMMYFUNCTION("GOOGLETRANSLATE(F9222,""id"",""en"")"),"Argentina Champion Learning Politics Competency from the World Cup")</f>
        <v>Argentina Champion Learning Politics Competency from the World Cup</v>
      </c>
    </row>
    <row r="9223" ht="15.75" customHeight="1">
      <c r="A9223" s="1">
        <v>10452.0</v>
      </c>
      <c r="B9223" s="3" t="s">
        <v>26320</v>
      </c>
      <c r="C9223" s="3">
        <v>0.0</v>
      </c>
      <c r="D9223" s="3">
        <v>5.0</v>
      </c>
      <c r="E9223" s="3">
        <v>17.0</v>
      </c>
      <c r="F9223" s="3" t="s">
        <v>26321</v>
      </c>
      <c r="G9223" s="3">
        <v>0.0</v>
      </c>
      <c r="H9223" s="3">
        <v>0.0</v>
      </c>
      <c r="I9223" s="3" t="s">
        <v>13</v>
      </c>
      <c r="J9223" s="3" t="s">
        <v>26322</v>
      </c>
      <c r="K9223" s="3" t="s">
        <v>82</v>
      </c>
      <c r="L9223" s="3" t="str">
        <f>IFERROR(__xludf.DUMMYFUNCTION("GOOGLETRANSLATE(F9223,""id"",""en"")"),"Pele believes Maradona smiles seeing Argentina Champion")</f>
        <v>Pele believes Maradona smiles seeing Argentina Champion</v>
      </c>
    </row>
    <row r="9224" ht="15.75" customHeight="1">
      <c r="A9224" s="1">
        <v>10453.0</v>
      </c>
      <c r="B9224" s="3" t="s">
        <v>26323</v>
      </c>
      <c r="C9224" s="3">
        <v>1.0</v>
      </c>
      <c r="D9224" s="3">
        <v>2.0</v>
      </c>
      <c r="E9224" s="3">
        <v>15.0</v>
      </c>
      <c r="F9224" s="3" t="s">
        <v>25899</v>
      </c>
      <c r="G9224" s="3">
        <v>0.0</v>
      </c>
      <c r="H9224" s="3">
        <v>0.0</v>
      </c>
      <c r="I9224" s="3" t="s">
        <v>13</v>
      </c>
      <c r="J9224" s="3" t="s">
        <v>25900</v>
      </c>
      <c r="K9224" s="3" t="s">
        <v>82</v>
      </c>
      <c r="L9224" s="3" t="str">
        <f>IFERROR(__xludf.DUMMYFUNCTION("GOOGLETRANSLATE(F9224,""id"",""en"")"),"Argentina portraits the country chaotic but can be world champion")</f>
        <v>Argentina portraits the country chaotic but can be world champion</v>
      </c>
    </row>
    <row r="9225" ht="15.75" customHeight="1">
      <c r="A9225" s="1">
        <v>10454.0</v>
      </c>
      <c r="B9225" s="3" t="s">
        <v>26324</v>
      </c>
      <c r="C9225" s="3">
        <v>0.0</v>
      </c>
      <c r="D9225" s="3">
        <v>1.0</v>
      </c>
      <c r="E9225" s="3">
        <v>0.0</v>
      </c>
      <c r="F9225" s="3" t="s">
        <v>26325</v>
      </c>
      <c r="G9225" s="3">
        <v>0.5</v>
      </c>
      <c r="H9225" s="3">
        <v>0.5</v>
      </c>
      <c r="I9225" s="3" t="s">
        <v>48</v>
      </c>
      <c r="J9225" s="3" t="s">
        <v>26326</v>
      </c>
      <c r="K9225" s="3" t="s">
        <v>15662</v>
      </c>
      <c r="L9225" s="3" t="str">
        <f>IFERROR(__xludf.DUMMYFUNCTION("GOOGLETRANSLATE(F9225,""id"",""en"")"),"joining Ahh Argentina Champion World Cup Fana Year Argentina Top Score Mario Kempes Year Mexico Top Diego Armando Maradona Year Qatar Top Score Lionel Messi")</f>
        <v>joining Ahh Argentina Champion World Cup Fana Year Argentina Top Score Mario Kempes Year Mexico Top Diego Armando Maradona Year Qatar Top Score Lionel Messi</v>
      </c>
    </row>
    <row r="9226" ht="15.75" customHeight="1">
      <c r="A9226" s="1">
        <v>10455.0</v>
      </c>
      <c r="B9226" s="3" t="s">
        <v>26327</v>
      </c>
      <c r="C9226" s="3">
        <v>0.0</v>
      </c>
      <c r="D9226" s="3">
        <v>0.0</v>
      </c>
      <c r="E9226" s="3">
        <v>0.0</v>
      </c>
      <c r="F9226" s="3" t="s">
        <v>26328</v>
      </c>
      <c r="G9226" s="3">
        <v>0.0</v>
      </c>
      <c r="H9226" s="3">
        <v>0.0</v>
      </c>
      <c r="I9226" s="3" t="s">
        <v>13</v>
      </c>
      <c r="J9226" s="3" t="s">
        <v>26329</v>
      </c>
      <c r="K9226" s="3" t="s">
        <v>477</v>
      </c>
      <c r="L9226" s="3" t="str">
        <f>IFERROR(__xludf.DUMMYFUNCTION("GOOGLETRANSLATE(F9226,""id"",""en"")"),"Argentina Trending Champion Ronaldo Trending Because Dibuly Awowkowko")</f>
        <v>Argentina Trending Champion Ronaldo Trending Because Dibuly Awowkowko</v>
      </c>
    </row>
    <row r="9227" ht="15.75" customHeight="1">
      <c r="A9227" s="1">
        <v>10456.0</v>
      </c>
      <c r="B9227" s="3" t="s">
        <v>26330</v>
      </c>
      <c r="C9227" s="3">
        <v>0.0</v>
      </c>
      <c r="D9227" s="3">
        <v>4.0</v>
      </c>
      <c r="E9227" s="3">
        <v>0.0</v>
      </c>
      <c r="F9227" s="3" t="s">
        <v>26331</v>
      </c>
      <c r="G9227" s="3">
        <v>0.0</v>
      </c>
      <c r="H9227" s="3">
        <v>0.0</v>
      </c>
      <c r="I9227" s="3" t="s">
        <v>13</v>
      </c>
      <c r="J9227" s="3" t="s">
        <v>26332</v>
      </c>
      <c r="K9227" s="3" t="s">
        <v>15</v>
      </c>
      <c r="L9227" s="3" t="str">
        <f>IFERROR(__xludf.DUMMYFUNCTION("GOOGLETRANSLATE(F9227,""id"",""en"")"),"Argentina Video World Cup Champion Welcomed to Gempita Fans")</f>
        <v>Argentina Video World Cup Champion Welcomed to Gempita Fans</v>
      </c>
    </row>
    <row r="9228" ht="15.75" customHeight="1">
      <c r="A9228" s="1">
        <v>10457.0</v>
      </c>
      <c r="B9228" s="3" t="s">
        <v>26333</v>
      </c>
      <c r="C9228" s="3">
        <v>0.0</v>
      </c>
      <c r="D9228" s="3">
        <v>0.0</v>
      </c>
      <c r="E9228" s="3">
        <v>0.0</v>
      </c>
      <c r="F9228" s="3" t="s">
        <v>26321</v>
      </c>
      <c r="G9228" s="3">
        <v>0.0</v>
      </c>
      <c r="H9228" s="3">
        <v>0.0</v>
      </c>
      <c r="I9228" s="3" t="s">
        <v>13</v>
      </c>
      <c r="J9228" s="3" t="s">
        <v>26322</v>
      </c>
      <c r="K9228" s="3" t="s">
        <v>82</v>
      </c>
      <c r="L9228" s="3" t="str">
        <f>IFERROR(__xludf.DUMMYFUNCTION("GOOGLETRANSLATE(F9228,""id"",""en"")"),"Pele believes Maradona smiles seeing Argentina Champion")</f>
        <v>Pele believes Maradona smiles seeing Argentina Champion</v>
      </c>
    </row>
    <row r="9229" ht="15.75" customHeight="1">
      <c r="A9229" s="1">
        <v>10458.0</v>
      </c>
      <c r="B9229" s="3" t="s">
        <v>26334</v>
      </c>
      <c r="C9229" s="3">
        <v>0.0</v>
      </c>
      <c r="D9229" s="3">
        <v>0.0</v>
      </c>
      <c r="E9229" s="3">
        <v>1.0</v>
      </c>
      <c r="F9229" s="3" t="s">
        <v>26335</v>
      </c>
      <c r="G9229" s="3">
        <v>0.0</v>
      </c>
      <c r="H9229" s="3">
        <v>0.0</v>
      </c>
      <c r="I9229" s="3" t="s">
        <v>13</v>
      </c>
      <c r="J9229" s="3" t="s">
        <v>26336</v>
      </c>
      <c r="K9229" s="3" t="s">
        <v>16539</v>
      </c>
      <c r="L9229" s="3" t="str">
        <f>IFERROR(__xludf.DUMMYFUNCTION("GOOGLETRANSLATE(F9229,""id"",""en"")"),"West Germany Lose Lose Opponted by Italy Lose against Argentina Champion Winning against Argentina")</f>
        <v>West Germany Lose Lose Opponted by Italy Lose against Argentina Champion Winning against Argentina</v>
      </c>
    </row>
    <row r="9230" ht="15.75" customHeight="1">
      <c r="A9230" s="1">
        <v>10459.0</v>
      </c>
      <c r="B9230" s="3" t="s">
        <v>26337</v>
      </c>
      <c r="C9230" s="3">
        <v>0.0</v>
      </c>
      <c r="D9230" s="3">
        <v>0.0</v>
      </c>
      <c r="E9230" s="3">
        <v>0.0</v>
      </c>
      <c r="F9230" s="3" t="s">
        <v>26338</v>
      </c>
      <c r="G9230" s="3">
        <v>1.0</v>
      </c>
      <c r="H9230" s="3">
        <v>0.8</v>
      </c>
      <c r="I9230" s="3" t="s">
        <v>48</v>
      </c>
      <c r="J9230" s="3" t="s">
        <v>26339</v>
      </c>
      <c r="K9230" s="3" t="s">
        <v>1293</v>
      </c>
      <c r="L9230" s="3" t="str">
        <f>IFERROR(__xludf.DUMMYFUNCTION("GOOGLETRANSLATE(F9230,""id"",""en"")"),"see Argentina Champion as the org of Messi following this all like the film is really happy ending legend goat")</f>
        <v>see Argentina Champion as the org of Messi following this all like the film is really happy ending legend goat</v>
      </c>
    </row>
    <row r="9231" ht="15.75" customHeight="1">
      <c r="A9231" s="1">
        <v>10460.0</v>
      </c>
      <c r="B9231" s="3" t="s">
        <v>26340</v>
      </c>
      <c r="C9231" s="3">
        <v>0.0</v>
      </c>
      <c r="D9231" s="3">
        <v>0.0</v>
      </c>
      <c r="E9231" s="3">
        <v>0.0</v>
      </c>
      <c r="F9231" s="3" t="s">
        <v>26341</v>
      </c>
      <c r="G9231" s="3">
        <v>0.0</v>
      </c>
      <c r="H9231" s="3">
        <v>0.0</v>
      </c>
      <c r="I9231" s="3" t="s">
        <v>13</v>
      </c>
      <c r="J9231" s="3" t="s">
        <v>26342</v>
      </c>
      <c r="K9231" s="3" t="s">
        <v>2117</v>
      </c>
      <c r="L9231" s="3" t="str">
        <f>IFERROR(__xludf.DUMMYFUNCTION("GOOGLETRANSLATE(F9231,""id"",""en"")"),"Staying Argentina Will Champion")</f>
        <v>Staying Argentina Will Champion</v>
      </c>
    </row>
    <row r="9232" ht="15.75" customHeight="1">
      <c r="A9232" s="1">
        <v>10461.0</v>
      </c>
      <c r="B9232" s="3" t="s">
        <v>26343</v>
      </c>
      <c r="C9232" s="3">
        <v>0.0</v>
      </c>
      <c r="D9232" s="3">
        <v>0.0</v>
      </c>
      <c r="E9232" s="3">
        <v>0.0</v>
      </c>
      <c r="F9232" s="3" t="s">
        <v>26344</v>
      </c>
      <c r="G9232" s="3">
        <v>0.0</v>
      </c>
      <c r="H9232" s="3">
        <v>0.0</v>
      </c>
      <c r="I9232" s="3" t="s">
        <v>13</v>
      </c>
      <c r="J9232" s="3" t="s">
        <v>26345</v>
      </c>
      <c r="K9232" s="3" t="s">
        <v>657</v>
      </c>
      <c r="L9232" s="3" t="str">
        <f>IFERROR(__xludf.DUMMYFUNCTION("GOOGLETRANSLATE(F9232,""id"",""en"")"),"Take a peek at Argentina's simple way to celebrate victory after World Cup champion Paulo Dybala has a romantic dinner")</f>
        <v>Take a peek at Argentina's simple way to celebrate victory after World Cup champion Paulo Dybala has a romantic dinner</v>
      </c>
    </row>
    <row r="9233" ht="15.75" customHeight="1">
      <c r="A9233" s="1">
        <v>10462.0</v>
      </c>
      <c r="B9233" s="3" t="s">
        <v>26346</v>
      </c>
      <c r="C9233" s="3">
        <v>0.0</v>
      </c>
      <c r="D9233" s="3">
        <v>0.0</v>
      </c>
      <c r="E9233" s="3">
        <v>0.0</v>
      </c>
      <c r="F9233" s="3" t="s">
        <v>26347</v>
      </c>
      <c r="G9233" s="3">
        <v>0.0</v>
      </c>
      <c r="H9233" s="3">
        <v>0.0</v>
      </c>
      <c r="I9233" s="3" t="s">
        <v>13</v>
      </c>
      <c r="J9233" s="3" t="s">
        <v>26348</v>
      </c>
      <c r="K9233" s="3" t="s">
        <v>75</v>
      </c>
      <c r="L9233" s="3" t="str">
        <f>IFERROR(__xludf.DUMMYFUNCTION("GOOGLETRANSLATE(F9233,""id"",""en"")"),"indeed Lionel Messi is the world's best player to take Argentina to become a champion")</f>
        <v>indeed Lionel Messi is the world's best player to take Argentina to become a champion</v>
      </c>
    </row>
    <row r="9234" ht="15.75" customHeight="1">
      <c r="A9234" s="1">
        <v>10463.0</v>
      </c>
      <c r="B9234" s="3" t="s">
        <v>26349</v>
      </c>
      <c r="C9234" s="3">
        <v>0.0</v>
      </c>
      <c r="D9234" s="3">
        <v>0.0</v>
      </c>
      <c r="E9234" s="3">
        <v>0.0</v>
      </c>
      <c r="F9234" s="3" t="s">
        <v>26350</v>
      </c>
      <c r="G9234" s="3">
        <v>0.0</v>
      </c>
      <c r="H9234" s="3">
        <v>0.0</v>
      </c>
      <c r="I9234" s="3" t="s">
        <v>13</v>
      </c>
      <c r="J9234" s="3" t="s">
        <v>26351</v>
      </c>
      <c r="K9234" s="3" t="s">
        <v>19</v>
      </c>
      <c r="L9234" s="3" t="str">
        <f>IFERROR(__xludf.DUMMYFUNCTION("GOOGLETRANSLATE(F9234,""id"",""en"")"),"Many are the reception of Argentina champions wkwkw even though they are playing at the champion and more enthusiasm")</f>
        <v>Many are the reception of Argentina champions wkwkw even though they are playing at the champion and more enthusiasm</v>
      </c>
    </row>
    <row r="9235" ht="15.75" customHeight="1">
      <c r="A9235" s="1">
        <v>10464.0</v>
      </c>
      <c r="B9235" s="3" t="s">
        <v>26352</v>
      </c>
      <c r="C9235" s="3">
        <v>0.0</v>
      </c>
      <c r="D9235" s="3">
        <v>0.0</v>
      </c>
      <c r="E9235" s="3">
        <v>0.0</v>
      </c>
      <c r="F9235" s="3" t="s">
        <v>26353</v>
      </c>
      <c r="G9235" s="3">
        <v>0.0</v>
      </c>
      <c r="H9235" s="3">
        <v>0.0</v>
      </c>
      <c r="I9235" s="3" t="s">
        <v>13</v>
      </c>
      <c r="J9235" s="3" t="s">
        <v>26354</v>
      </c>
      <c r="K9235" s="3" t="s">
        <v>322</v>
      </c>
      <c r="L9235" s="3" t="str">
        <f>IFERROR(__xludf.DUMMYFUNCTION("GOOGLETRANSLATE(F9235,""id"",""en"")"),"Argentina residents welcome Messi and friends")</f>
        <v>Argentina residents welcome Messi and friends</v>
      </c>
    </row>
    <row r="9236" ht="15.75" customHeight="1">
      <c r="A9236" s="1">
        <v>10465.0</v>
      </c>
      <c r="B9236" s="3" t="s">
        <v>26355</v>
      </c>
      <c r="C9236" s="3">
        <v>4.0</v>
      </c>
      <c r="D9236" s="3">
        <v>0.0</v>
      </c>
      <c r="E9236" s="3">
        <v>9.0</v>
      </c>
      <c r="F9236" s="3" t="s">
        <v>26356</v>
      </c>
      <c r="G9236" s="3">
        <v>0.0</v>
      </c>
      <c r="H9236" s="3">
        <v>0.0</v>
      </c>
      <c r="I9236" s="3" t="s">
        <v>13</v>
      </c>
      <c r="J9236" s="3" t="s">
        <v>26357</v>
      </c>
      <c r="K9236" s="3" t="s">
        <v>149</v>
      </c>
      <c r="L9236" s="3" t="str">
        <f>IFERROR(__xludf.DUMMYFUNCTION("GOOGLETRANSLATE(F9236,""id"",""en"")"),"I don't know, this post of Karim Template or not but before there are Messi and Mbappe, Argentina and France have been champions in the football culture, while Portugal before Ronaldo seems to have never won")</f>
        <v>I don't know, this post of Karim Template or not but before there are Messi and Mbappe, Argentina and France have been champions in the football culture, while Portugal before Ronaldo seems to have never won</v>
      </c>
    </row>
    <row r="9237" ht="15.75" customHeight="1">
      <c r="A9237" s="1">
        <v>10466.0</v>
      </c>
      <c r="B9237" s="3" t="s">
        <v>26358</v>
      </c>
      <c r="C9237" s="3">
        <v>0.0</v>
      </c>
      <c r="D9237" s="3">
        <v>0.0</v>
      </c>
      <c r="E9237" s="3">
        <v>0.0</v>
      </c>
      <c r="F9237" s="3" t="s">
        <v>17833</v>
      </c>
      <c r="G9237" s="3">
        <v>0.0</v>
      </c>
      <c r="H9237" s="3">
        <v>0.0</v>
      </c>
      <c r="I9237" s="3" t="s">
        <v>13</v>
      </c>
      <c r="J9237" s="3" t="s">
        <v>17834</v>
      </c>
      <c r="K9237" s="3" t="s">
        <v>82</v>
      </c>
      <c r="L9237" s="3" t="str">
        <f>IFERROR(__xludf.DUMMYFUNCTION("GOOGLETRANSLATE(F9237,""id"",""en"")"),"Argentina Champion Learning Politics Competency from the World Cup")</f>
        <v>Argentina Champion Learning Politics Competency from the World Cup</v>
      </c>
    </row>
    <row r="9238" ht="15.75" customHeight="1">
      <c r="A9238" s="1">
        <v>10467.0</v>
      </c>
      <c r="B9238" s="3" t="s">
        <v>26359</v>
      </c>
      <c r="C9238" s="3">
        <v>0.0</v>
      </c>
      <c r="D9238" s="3">
        <v>0.0</v>
      </c>
      <c r="E9238" s="3">
        <v>0.0</v>
      </c>
      <c r="F9238" s="3" t="s">
        <v>26360</v>
      </c>
      <c r="G9238" s="3">
        <v>0.0</v>
      </c>
      <c r="H9238" s="3">
        <v>0.0</v>
      </c>
      <c r="I9238" s="3" t="s">
        <v>13</v>
      </c>
      <c r="J9238" s="3" t="s">
        <v>26361</v>
      </c>
      <c r="K9238" s="3" t="s">
        <v>82</v>
      </c>
      <c r="L9238" s="3" t="str">
        <f>IFERROR(__xludf.DUMMYFUNCTION("GOOGLETRANSLATE(F9238,""id"",""en"")"),"well, right, Argentina, who can just champion, can be like this, especially the national team")</f>
        <v>well, right, Argentina, who can just champion, can be like this, especially the national team</v>
      </c>
    </row>
    <row r="9239" ht="15.75" customHeight="1">
      <c r="A9239" s="1">
        <v>10468.0</v>
      </c>
      <c r="B9239" s="3" t="s">
        <v>26362</v>
      </c>
      <c r="C9239" s="3">
        <v>0.0</v>
      </c>
      <c r="D9239" s="3">
        <v>0.0</v>
      </c>
      <c r="E9239" s="3">
        <v>0.0</v>
      </c>
      <c r="F9239" s="3" t="s">
        <v>26363</v>
      </c>
      <c r="G9239" s="3">
        <v>0.0</v>
      </c>
      <c r="H9239" s="3">
        <v>0.0</v>
      </c>
      <c r="I9239" s="3" t="s">
        <v>13</v>
      </c>
      <c r="J9239" s="3" t="s">
        <v>26364</v>
      </c>
      <c r="K9239" s="3" t="s">
        <v>75</v>
      </c>
      <c r="L9239" s="3" t="str">
        <f>IFERROR(__xludf.DUMMYFUNCTION("GOOGLETRANSLATE(F9239,""id"",""en"")"),"Indonesian politicians congratulate Argentina champions using the Polish flag posting")</f>
        <v>Indonesian politicians congratulate Argentina champions using the Polish flag posting</v>
      </c>
    </row>
    <row r="9240" ht="15.75" customHeight="1">
      <c r="A9240" s="1">
        <v>10469.0</v>
      </c>
      <c r="B9240" s="3" t="s">
        <v>26365</v>
      </c>
      <c r="C9240" s="3">
        <v>0.0</v>
      </c>
      <c r="D9240" s="3">
        <v>0.0</v>
      </c>
      <c r="E9240" s="3">
        <v>3.0</v>
      </c>
      <c r="F9240" s="3" t="s">
        <v>26179</v>
      </c>
      <c r="G9240" s="3">
        <v>0.0</v>
      </c>
      <c r="H9240" s="3">
        <v>0.0</v>
      </c>
      <c r="I9240" s="3" t="s">
        <v>13</v>
      </c>
      <c r="J9240" s="3" t="s">
        <v>26180</v>
      </c>
      <c r="K9240" s="3" t="s">
        <v>495</v>
      </c>
      <c r="L9240" s="3" t="str">
        <f>IFERROR(__xludf.DUMMYFUNCTION("GOOGLETRANSLATE(F9240,""id"",""en"")"),"Kylian Mbappe must be satisfied with the achievement of the World Cup champion after being defeated by Argentina through his disappointed face penalties that cannot be hidden")</f>
        <v>Kylian Mbappe must be satisfied with the achievement of the World Cup champion after being defeated by Argentina through his disappointed face penalties that cannot be hidden</v>
      </c>
    </row>
    <row r="9241" ht="15.75" customHeight="1">
      <c r="A9241" s="1">
        <v>10470.0</v>
      </c>
      <c r="B9241" s="3" t="s">
        <v>26366</v>
      </c>
      <c r="C9241" s="3">
        <v>0.0</v>
      </c>
      <c r="D9241" s="3">
        <v>0.0</v>
      </c>
      <c r="E9241" s="3">
        <v>1.0</v>
      </c>
      <c r="F9241" s="3" t="s">
        <v>26367</v>
      </c>
      <c r="G9241" s="3">
        <v>0.0</v>
      </c>
      <c r="H9241" s="3">
        <v>0.0</v>
      </c>
      <c r="I9241" s="3" t="s">
        <v>13</v>
      </c>
      <c r="J9241" s="3" t="s">
        <v>26368</v>
      </c>
      <c r="K9241" s="3" t="s">
        <v>15</v>
      </c>
      <c r="L9241" s="3" t="str">
        <f>IFERROR(__xludf.DUMMYFUNCTION("GOOGLETRANSLATE(F9241,""id"",""en"")"),"Important Argentina or France when you became the champion in my heart deck")</f>
        <v>Important Argentina or France when you became the champion in my heart deck</v>
      </c>
    </row>
    <row r="9242" ht="15.75" customHeight="1">
      <c r="A9242" s="1">
        <v>10471.0</v>
      </c>
      <c r="B9242" s="3" t="s">
        <v>26369</v>
      </c>
      <c r="C9242" s="3">
        <v>0.0</v>
      </c>
      <c r="D9242" s="3">
        <v>0.0</v>
      </c>
      <c r="E9242" s="3">
        <v>0.0</v>
      </c>
      <c r="F9242" s="3" t="s">
        <v>26370</v>
      </c>
      <c r="G9242" s="3">
        <v>0.0</v>
      </c>
      <c r="H9242" s="3">
        <v>0.0</v>
      </c>
      <c r="I9242" s="3" t="s">
        <v>13</v>
      </c>
      <c r="J9242" s="3" t="s">
        <v>26371</v>
      </c>
      <c r="K9242" s="3" t="s">
        <v>50</v>
      </c>
      <c r="L9242" s="3" t="str">
        <f>IFERROR(__xludf.DUMMYFUNCTION("GOOGLETRANSLATE(F9242,""id"",""en"")"),"Argentina Champion World Cup After Beating France Happy Video This impressive let's just look")</f>
        <v>Argentina Champion World Cup After Beating France Happy Video This impressive let's just look</v>
      </c>
    </row>
    <row r="9243" ht="15.75" customHeight="1">
      <c r="A9243" s="1">
        <v>10472.0</v>
      </c>
      <c r="B9243" s="3" t="s">
        <v>26372</v>
      </c>
      <c r="C9243" s="3">
        <v>0.0</v>
      </c>
      <c r="D9243" s="3">
        <v>0.0</v>
      </c>
      <c r="E9243" s="3">
        <v>0.0</v>
      </c>
      <c r="F9243" s="3" t="s">
        <v>26373</v>
      </c>
      <c r="G9243" s="3">
        <v>0.0</v>
      </c>
      <c r="H9243" s="3">
        <v>0.0</v>
      </c>
      <c r="I9243" s="3" t="s">
        <v>13</v>
      </c>
      <c r="J9243" s="3" t="s">
        <v>26374</v>
      </c>
      <c r="K9243" s="3" t="s">
        <v>82</v>
      </c>
      <c r="L9243" s="3" t="str">
        <f>IFERROR(__xludf.DUMMYFUNCTION("GOOGLETRANSLATE(F9243,""id"",""en"")"),"It's not that Argentina just shuddered at how they were champions")</f>
        <v>It's not that Argentina just shuddered at how they were champions</v>
      </c>
    </row>
    <row r="9244" ht="15.75" customHeight="1">
      <c r="A9244" s="1">
        <v>10473.0</v>
      </c>
      <c r="B9244" s="3" t="s">
        <v>26375</v>
      </c>
      <c r="C9244" s="3">
        <v>0.0</v>
      </c>
      <c r="D9244" s="3">
        <v>0.0</v>
      </c>
      <c r="E9244" s="3">
        <v>0.0</v>
      </c>
      <c r="F9244" s="3" t="s">
        <v>26376</v>
      </c>
      <c r="G9244" s="3">
        <v>0.0</v>
      </c>
      <c r="H9244" s="3">
        <v>0.0</v>
      </c>
      <c r="I9244" s="3" t="s">
        <v>13</v>
      </c>
      <c r="J9244" s="3" t="s">
        <v>26377</v>
      </c>
      <c r="K9244" s="3" t="s">
        <v>41</v>
      </c>
      <c r="L9244" s="3" t="str">
        <f>IFERROR(__xludf.DUMMYFUNCTION("GOOGLETRANSLATE(F9244,""id"",""en"")"),"Argentina Champion World Cup Lionel Messi got a special order from Ronaldo")</f>
        <v>Argentina Champion World Cup Lionel Messi got a special order from Ronaldo</v>
      </c>
    </row>
    <row r="9245" ht="15.75" customHeight="1">
      <c r="A9245" s="1">
        <v>10474.0</v>
      </c>
      <c r="B9245" s="3" t="s">
        <v>26378</v>
      </c>
      <c r="C9245" s="3">
        <v>0.0</v>
      </c>
      <c r="D9245" s="3">
        <v>2.0</v>
      </c>
      <c r="E9245" s="3">
        <v>2.0</v>
      </c>
      <c r="F9245" s="3" t="s">
        <v>26379</v>
      </c>
      <c r="G9245" s="3">
        <v>0.0</v>
      </c>
      <c r="H9245" s="3">
        <v>0.0</v>
      </c>
      <c r="I9245" s="3" t="s">
        <v>13</v>
      </c>
      <c r="J9245" s="3" t="s">
        <v>26380</v>
      </c>
      <c r="K9245" s="3" t="s">
        <v>240</v>
      </c>
      <c r="L9245" s="3" t="str">
        <f>IFERROR(__xludf.DUMMYFUNCTION("GOOGLETRANSLATE(F9245,""id"",""en"")"),"Guess right on Argentina, the champion of the fallen account yaa sustenance will not be Insha Allah still there is a running path")</f>
        <v>Guess right on Argentina, the champion of the fallen account yaa sustenance will not be Insha Allah still there is a running path</v>
      </c>
    </row>
    <row r="9246" ht="15.75" customHeight="1">
      <c r="A9246" s="1">
        <v>10475.0</v>
      </c>
      <c r="B9246" s="3" t="s">
        <v>26381</v>
      </c>
      <c r="C9246" s="3">
        <v>0.0</v>
      </c>
      <c r="D9246" s="3">
        <v>1.0</v>
      </c>
      <c r="E9246" s="3">
        <v>2.0</v>
      </c>
      <c r="F9246" s="3" t="s">
        <v>26382</v>
      </c>
      <c r="G9246" s="3">
        <v>0.0</v>
      </c>
      <c r="H9246" s="3">
        <v>0.0</v>
      </c>
      <c r="I9246" s="3" t="s">
        <v>13</v>
      </c>
      <c r="J9246" s="3" t="s">
        <v>26383</v>
      </c>
      <c r="K9246" s="3" t="s">
        <v>82</v>
      </c>
      <c r="L9246" s="3" t="str">
        <f>IFERROR(__xludf.DUMMYFUNCTION("GOOGLETRANSLATE(F9246,""id"",""en"")"),"Action Emiliano Martinez Nodai Argentina Champion Party")</f>
        <v>Action Emiliano Martinez Nodai Argentina Champion Party</v>
      </c>
    </row>
    <row r="9247" ht="15.75" customHeight="1">
      <c r="A9247" s="1">
        <v>10476.0</v>
      </c>
      <c r="B9247" s="3" t="s">
        <v>26384</v>
      </c>
      <c r="C9247" s="3">
        <v>2.0</v>
      </c>
      <c r="D9247" s="3">
        <v>2.0</v>
      </c>
      <c r="E9247" s="3">
        <v>11.0</v>
      </c>
      <c r="F9247" s="3" t="s">
        <v>26385</v>
      </c>
      <c r="G9247" s="3">
        <v>0.0</v>
      </c>
      <c r="H9247" s="3">
        <v>0.0</v>
      </c>
      <c r="I9247" s="3" t="s">
        <v>13</v>
      </c>
      <c r="J9247" s="3" t="s">
        <v>26386</v>
      </c>
      <c r="K9247" s="3" t="s">
        <v>1652</v>
      </c>
      <c r="L9247" s="3" t="str">
        <f>IFERROR(__xludf.DUMMYFUNCTION("GOOGLETRANSLATE(F9247,""id"",""en"")"),"Argentina is not yet worthy of champion Messi is also not more worthy of being the best player of the tournament than Mascherano they are more worthy")</f>
        <v>Argentina is not yet worthy of champion Messi is also not more worthy of being the best player of the tournament than Mascherano they are more worthy</v>
      </c>
    </row>
    <row r="9248" ht="15.75" customHeight="1">
      <c r="A9248" s="1">
        <v>10477.0</v>
      </c>
      <c r="B9248" s="3" t="s">
        <v>26387</v>
      </c>
      <c r="C9248" s="3">
        <v>0.0</v>
      </c>
      <c r="D9248" s="3">
        <v>0.0</v>
      </c>
      <c r="E9248" s="3">
        <v>0.0</v>
      </c>
      <c r="F9248" s="3" t="s">
        <v>26388</v>
      </c>
      <c r="G9248" s="3">
        <v>0.0</v>
      </c>
      <c r="H9248" s="3">
        <v>0.0</v>
      </c>
      <c r="I9248" s="3" t="s">
        <v>13</v>
      </c>
      <c r="J9248" s="3" t="s">
        <v>26389</v>
      </c>
      <c r="K9248" s="3" t="s">
        <v>54</v>
      </c>
      <c r="L9248" s="3" t="str">
        <f>IFERROR(__xludf.DUMMYFUNCTION("GOOGLETRANSLATE(F9248,""id"",""en"")"),"Happy Argentina for its World Cup champion")</f>
        <v>Happy Argentina for its World Cup champion</v>
      </c>
    </row>
    <row r="9249" ht="15.75" customHeight="1">
      <c r="A9249" s="1">
        <v>10478.0</v>
      </c>
      <c r="B9249" s="3" t="s">
        <v>26390</v>
      </c>
      <c r="C9249" s="3">
        <v>0.0</v>
      </c>
      <c r="D9249" s="3">
        <v>1.0</v>
      </c>
      <c r="E9249" s="3">
        <v>0.0</v>
      </c>
      <c r="F9249" s="3" t="s">
        <v>26391</v>
      </c>
      <c r="G9249" s="3">
        <v>0.0</v>
      </c>
      <c r="H9249" s="3">
        <v>0.0</v>
      </c>
      <c r="I9249" s="3" t="s">
        <v>13</v>
      </c>
      <c r="J9249" s="3" t="s">
        <v>26392</v>
      </c>
      <c r="K9249" s="3" t="s">
        <v>1349</v>
      </c>
      <c r="L9249" s="3" t="str">
        <f>IFERROR(__xludf.DUMMYFUNCTION("GOOGLETRANSLATE(F9249,""id"",""en"")"),"World Cup Champion Champion Argentina Mexico and Qatar Mario Kempes Gol Diego Maradona Gol Lionel Messi Gol")</f>
        <v>World Cup Champion Champion Argentina Mexico and Qatar Mario Kempes Gol Diego Maradona Gol Lionel Messi Gol</v>
      </c>
    </row>
    <row r="9250" ht="15.75" customHeight="1">
      <c r="A9250" s="1">
        <v>10479.0</v>
      </c>
      <c r="B9250" s="3" t="s">
        <v>26393</v>
      </c>
      <c r="C9250" s="3">
        <v>0.0</v>
      </c>
      <c r="D9250" s="3">
        <v>0.0</v>
      </c>
      <c r="E9250" s="3">
        <v>0.0</v>
      </c>
      <c r="F9250" s="3" t="s">
        <v>26394</v>
      </c>
      <c r="G9250" s="3">
        <v>0.0</v>
      </c>
      <c r="H9250" s="3">
        <v>0.0</v>
      </c>
      <c r="I9250" s="3" t="s">
        <v>13</v>
      </c>
      <c r="J9250" s="3" t="s">
        <v>26395</v>
      </c>
      <c r="K9250" s="3" t="s">
        <v>19</v>
      </c>
      <c r="L9250" s="3" t="str">
        <f>IFERROR(__xludf.DUMMYFUNCTION("GOOGLETRANSLATE(F9250,""id"",""en"")"),"Seriously give the announcement of Argentina the champion of your provincial capital is similar to Gotham City")</f>
        <v>Seriously give the announcement of Argentina the champion of your provincial capital is similar to Gotham City</v>
      </c>
    </row>
    <row r="9251" ht="15.75" customHeight="1">
      <c r="A9251" s="1">
        <v>10480.0</v>
      </c>
      <c r="B9251" s="3" t="s">
        <v>26396</v>
      </c>
      <c r="C9251" s="3">
        <v>0.0</v>
      </c>
      <c r="D9251" s="3">
        <v>0.0</v>
      </c>
      <c r="E9251" s="3">
        <v>1.0</v>
      </c>
      <c r="F9251" s="3" t="s">
        <v>26397</v>
      </c>
      <c r="G9251" s="3">
        <v>1.0</v>
      </c>
      <c r="H9251" s="3">
        <v>0.0</v>
      </c>
      <c r="I9251" s="3" t="s">
        <v>13</v>
      </c>
      <c r="J9251" s="3" t="s">
        <v>26398</v>
      </c>
      <c r="K9251" s="3" t="s">
        <v>15</v>
      </c>
      <c r="L9251" s="3" t="str">
        <f>IFERROR(__xludf.DUMMYFUNCTION("GOOGLETRANSLATE(F9251,""id"",""en"")"),"Argentina World Cup Champion Erdogan Triff Final Round")</f>
        <v>Argentina World Cup Champion Erdogan Triff Final Round</v>
      </c>
    </row>
    <row r="9252" ht="15.75" customHeight="1">
      <c r="A9252" s="1">
        <v>10481.0</v>
      </c>
      <c r="B9252" s="3" t="s">
        <v>26399</v>
      </c>
      <c r="C9252" s="3">
        <v>0.0</v>
      </c>
      <c r="D9252" s="3">
        <v>0.0</v>
      </c>
      <c r="E9252" s="3">
        <v>1.0</v>
      </c>
      <c r="F9252" s="3" t="s">
        <v>26400</v>
      </c>
      <c r="G9252" s="3">
        <v>0.5</v>
      </c>
      <c r="H9252" s="3">
        <v>0.5</v>
      </c>
      <c r="I9252" s="3" t="s">
        <v>48</v>
      </c>
      <c r="J9252" s="3" t="s">
        <v>26401</v>
      </c>
      <c r="K9252" s="3" t="s">
        <v>433</v>
      </c>
      <c r="L9252" s="3" t="str">
        <f>IFERROR(__xludf.DUMMYFUNCTION("GOOGLETRANSLATE(F9252,""id"",""en"")"),"Nyang champion Argentina Nyang became the best player Messi and top score mbappe why the trending iwan bule")</f>
        <v>Nyang champion Argentina Nyang became the best player Messi and top score mbappe why the trending iwan bule</v>
      </c>
    </row>
    <row r="9253" ht="15.75" customHeight="1">
      <c r="A9253" s="1">
        <v>10482.0</v>
      </c>
      <c r="B9253" s="3" t="s">
        <v>26402</v>
      </c>
      <c r="C9253" s="3">
        <v>0.0</v>
      </c>
      <c r="D9253" s="3">
        <v>0.0</v>
      </c>
      <c r="E9253" s="3">
        <v>0.0</v>
      </c>
      <c r="F9253" s="3" t="s">
        <v>26403</v>
      </c>
      <c r="G9253" s="3">
        <v>0.0</v>
      </c>
      <c r="H9253" s="3">
        <v>0.0</v>
      </c>
      <c r="I9253" s="3" t="s">
        <v>13</v>
      </c>
      <c r="J9253" s="3" t="s">
        <v>26404</v>
      </c>
      <c r="K9253" s="3" t="s">
        <v>41</v>
      </c>
      <c r="L9253" s="3" t="str">
        <f>IFERROR(__xludf.DUMMYFUNCTION("GOOGLETRANSLATE(F9253,""id"",""en"")"),"Argentina The champion yesterday just watched Argantara Apaka was a sign")</f>
        <v>Argentina The champion yesterday just watched Argantara Apaka was a sign</v>
      </c>
    </row>
    <row r="9254" ht="15.75" customHeight="1">
      <c r="A9254" s="1">
        <v>10483.0</v>
      </c>
      <c r="B9254" s="3" t="s">
        <v>26405</v>
      </c>
      <c r="C9254" s="3">
        <v>0.0</v>
      </c>
      <c r="D9254" s="3">
        <v>0.0</v>
      </c>
      <c r="E9254" s="3">
        <v>0.0</v>
      </c>
      <c r="F9254" s="3" t="s">
        <v>26406</v>
      </c>
      <c r="G9254" s="3">
        <v>0.0</v>
      </c>
      <c r="H9254" s="3">
        <v>0.0</v>
      </c>
      <c r="I9254" s="3" t="s">
        <v>13</v>
      </c>
      <c r="J9254" s="3" t="s">
        <v>26407</v>
      </c>
      <c r="K9254" s="3" t="s">
        <v>15</v>
      </c>
      <c r="L9254" s="3" t="str">
        <f>IFERROR(__xludf.DUMMYFUNCTION("GOOGLETRANSLATE(F9254,""id"",""en"")"),"still carried away by Argentina's victory and saw lifting the world championship trophy")</f>
        <v>still carried away by Argentina's victory and saw lifting the world championship trophy</v>
      </c>
    </row>
    <row r="9255" ht="15.75" customHeight="1">
      <c r="A9255" s="1">
        <v>10484.0</v>
      </c>
      <c r="B9255" s="3" t="s">
        <v>26408</v>
      </c>
      <c r="C9255" s="3">
        <v>0.0</v>
      </c>
      <c r="D9255" s="3">
        <v>4.0</v>
      </c>
      <c r="E9255" s="3">
        <v>0.0</v>
      </c>
      <c r="F9255" s="3" t="s">
        <v>26409</v>
      </c>
      <c r="G9255" s="3">
        <v>0.0</v>
      </c>
      <c r="H9255" s="3">
        <v>0.0</v>
      </c>
      <c r="I9255" s="3" t="s">
        <v>13</v>
      </c>
      <c r="J9255" s="3" t="s">
        <v>26410</v>
      </c>
      <c r="K9255" s="3" t="s">
        <v>510</v>
      </c>
      <c r="L9255" s="3" t="str">
        <f>IFERROR(__xludf.DUMMYFUNCTION("GOOGLETRANSLATE(F9255,""id"",""en"")"),"Argentina national team champion in the Instagram World Cup product Cristiano Ronaldo was hit by a fan of coverage fans")</f>
        <v>Argentina national team champion in the Instagram World Cup product Cristiano Ronaldo was hit by a fan of coverage fans</v>
      </c>
    </row>
    <row r="9256" ht="15.75" customHeight="1">
      <c r="A9256" s="1">
        <v>10485.0</v>
      </c>
      <c r="B9256" s="3" t="s">
        <v>26411</v>
      </c>
      <c r="C9256" s="3">
        <v>0.0</v>
      </c>
      <c r="D9256" s="3">
        <v>4.0</v>
      </c>
      <c r="E9256" s="3">
        <v>9.0</v>
      </c>
      <c r="F9256" s="3" t="s">
        <v>26412</v>
      </c>
      <c r="G9256" s="3">
        <v>0.3</v>
      </c>
      <c r="H9256" s="3">
        <v>0.2</v>
      </c>
      <c r="I9256" s="3" t="s">
        <v>48</v>
      </c>
      <c r="J9256" s="3" t="s">
        <v>26413</v>
      </c>
      <c r="K9256" s="3" t="s">
        <v>82</v>
      </c>
      <c r="L9256" s="3" t="str">
        <f>IFERROR(__xludf.DUMMYFUNCTION("GOOGLETRANSLATE(F9256,""id"",""en"")"),"the Argentina champion who trending Iwan Bule tried haha")</f>
        <v>the Argentina champion who trending Iwan Bule tried haha</v>
      </c>
    </row>
    <row r="9257" ht="15.75" customHeight="1">
      <c r="A9257" s="1">
        <v>10486.0</v>
      </c>
      <c r="B9257" s="3" t="s">
        <v>26414</v>
      </c>
      <c r="C9257" s="3">
        <v>0.0</v>
      </c>
      <c r="D9257" s="3">
        <v>5.0</v>
      </c>
      <c r="E9257" s="3">
        <v>69.0</v>
      </c>
      <c r="F9257" s="3" t="s">
        <v>26415</v>
      </c>
      <c r="G9257" s="3">
        <v>1.0</v>
      </c>
      <c r="H9257" s="3">
        <v>0.0</v>
      </c>
      <c r="I9257" s="3" t="s">
        <v>13</v>
      </c>
      <c r="J9257" s="3" t="s">
        <v>26416</v>
      </c>
      <c r="K9257" s="3" t="s">
        <v>903</v>
      </c>
      <c r="L9257" s="3" t="str">
        <f>IFERROR(__xludf.DUMMYFUNCTION("GOOGLETRANSLATE(F9257,""id"",""en"")"),"France failed to win the World Cup after defeating from Argentina Qatar, the President of France, hugged and entertained Mbappe who was sad after the final match was the moment of photos of photos")</f>
        <v>France failed to win the World Cup after defeating from Argentina Qatar, the President of France, hugged and entertained Mbappe who was sad after the final match was the moment of photos of photos</v>
      </c>
    </row>
    <row r="9258" ht="15.75" customHeight="1">
      <c r="A9258" s="1">
        <v>10487.0</v>
      </c>
      <c r="B9258" s="3" t="s">
        <v>26417</v>
      </c>
      <c r="C9258" s="3">
        <v>0.0</v>
      </c>
      <c r="D9258" s="3">
        <v>0.0</v>
      </c>
      <c r="E9258" s="3">
        <v>0.0</v>
      </c>
      <c r="F9258" s="3" t="s">
        <v>26418</v>
      </c>
      <c r="G9258" s="3">
        <v>0.0</v>
      </c>
      <c r="H9258" s="3">
        <v>0.0</v>
      </c>
      <c r="I9258" s="3" t="s">
        <v>13</v>
      </c>
      <c r="J9258" s="3" t="s">
        <v>26419</v>
      </c>
      <c r="K9258" s="3" t="s">
        <v>19</v>
      </c>
      <c r="L9258" s="3" t="str">
        <f>IFERROR(__xludf.DUMMYFUNCTION("GOOGLETRANSLATE(F9258,""id"",""en"")"),"The chase of Argentina's goal was finally the World Cup champion after executing France's fierce resistance")</f>
        <v>The chase of Argentina's goal was finally the World Cup champion after executing France's fierce resistance</v>
      </c>
    </row>
    <row r="9259" ht="15.75" customHeight="1">
      <c r="A9259" s="1">
        <v>10488.0</v>
      </c>
      <c r="B9259" s="3" t="s">
        <v>26420</v>
      </c>
      <c r="C9259" s="3">
        <v>0.0</v>
      </c>
      <c r="D9259" s="3">
        <v>1.0</v>
      </c>
      <c r="E9259" s="3">
        <v>1.0</v>
      </c>
      <c r="F9259" s="3" t="s">
        <v>26421</v>
      </c>
      <c r="G9259" s="3">
        <v>0.0</v>
      </c>
      <c r="H9259" s="3">
        <v>0.0</v>
      </c>
      <c r="I9259" s="3" t="s">
        <v>13</v>
      </c>
      <c r="J9259" s="3" t="s">
        <v>26422</v>
      </c>
      <c r="K9259" s="3" t="s">
        <v>50</v>
      </c>
      <c r="L9259" s="3" t="str">
        <f>IFERROR(__xludf.DUMMYFUNCTION("GOOGLETRANSLATE(F9259,""id"",""en"")"),"Lionel Messi brought Argentina to become FIFA's world champion Nova Sports Indonesia")</f>
        <v>Lionel Messi brought Argentina to become FIFA's world champion Nova Sports Indonesia</v>
      </c>
    </row>
    <row r="9260" ht="15.75" customHeight="1">
      <c r="A9260" s="1">
        <v>10489.0</v>
      </c>
      <c r="B9260" s="3" t="s">
        <v>26423</v>
      </c>
      <c r="C9260" s="3">
        <v>0.0</v>
      </c>
      <c r="D9260" s="3">
        <v>0.0</v>
      </c>
      <c r="E9260" s="3">
        <v>1.0</v>
      </c>
      <c r="F9260" s="3" t="s">
        <v>26424</v>
      </c>
      <c r="G9260" s="3">
        <v>0.0</v>
      </c>
      <c r="H9260" s="3">
        <v>0.0</v>
      </c>
      <c r="I9260" s="3" t="s">
        <v>13</v>
      </c>
      <c r="J9260" s="3" t="s">
        <v>26425</v>
      </c>
      <c r="K9260" s="3" t="s">
        <v>41</v>
      </c>
      <c r="L9260" s="3" t="str">
        <f>IFERROR(__xludf.DUMMYFUNCTION("GOOGLETRANSLATE(F9260,""id"",""en"")"),"Happy Argentina national team for the world champion min on the lawsuit")</f>
        <v>Happy Argentina national team for the world champion min on the lawsuit</v>
      </c>
    </row>
    <row r="9261" ht="15.75" customHeight="1">
      <c r="A9261" s="1">
        <v>10490.0</v>
      </c>
      <c r="B9261" s="3" t="s">
        <v>26426</v>
      </c>
      <c r="C9261" s="3">
        <v>0.0</v>
      </c>
      <c r="D9261" s="3">
        <v>0.0</v>
      </c>
      <c r="E9261" s="3">
        <v>1.0</v>
      </c>
      <c r="F9261" s="3" t="s">
        <v>26427</v>
      </c>
      <c r="G9261" s="3">
        <v>0.0</v>
      </c>
      <c r="H9261" s="3">
        <v>0.0</v>
      </c>
      <c r="I9261" s="3" t="s">
        <v>13</v>
      </c>
      <c r="J9261" s="3" t="s">
        <v>26428</v>
      </c>
      <c r="K9261" s="3" t="s">
        <v>75</v>
      </c>
      <c r="L9261" s="3" t="str">
        <f>IFERROR(__xludf.DUMMYFUNCTION("GOOGLETRANSLATE(F9261,""id"",""en"")"),"Argentina Champion World Cup President Jokowi I watched him Persib against Persis")</f>
        <v>Argentina Champion World Cup President Jokowi I watched him Persib against Persis</v>
      </c>
    </row>
    <row r="9262" ht="15.75" customHeight="1">
      <c r="A9262" s="1">
        <v>10491.0</v>
      </c>
      <c r="B9262" s="3" t="s">
        <v>26429</v>
      </c>
      <c r="C9262" s="3">
        <v>0.0</v>
      </c>
      <c r="D9262" s="3">
        <v>0.0</v>
      </c>
      <c r="E9262" s="3">
        <v>0.0</v>
      </c>
      <c r="F9262" s="3" t="s">
        <v>26430</v>
      </c>
      <c r="G9262" s="3">
        <v>0.0</v>
      </c>
      <c r="H9262" s="3">
        <v>0.0</v>
      </c>
      <c r="I9262" s="3" t="s">
        <v>13</v>
      </c>
      <c r="J9262" s="3" t="s">
        <v>26431</v>
      </c>
      <c r="K9262" s="3" t="s">
        <v>19</v>
      </c>
      <c r="L9262" s="3" t="str">
        <f>IFERROR(__xludf.DUMMYFUNCTION("GOOGLETRANSLATE(F9262,""id"",""en"")"),"Argentina World Champion Memory is on the Saudi Arabian national team who was silent Messi et al")</f>
        <v>Argentina World Champion Memory is on the Saudi Arabian national team who was silent Messi et al</v>
      </c>
    </row>
    <row r="9263" ht="15.75" customHeight="1">
      <c r="A9263" s="1">
        <v>10492.0</v>
      </c>
      <c r="B9263" s="3" t="s">
        <v>26432</v>
      </c>
      <c r="C9263" s="3">
        <v>0.0</v>
      </c>
      <c r="D9263" s="3">
        <v>0.0</v>
      </c>
      <c r="E9263" s="3">
        <v>0.0</v>
      </c>
      <c r="F9263" s="3" t="s">
        <v>26433</v>
      </c>
      <c r="G9263" s="3">
        <v>0.0</v>
      </c>
      <c r="H9263" s="3">
        <v>0.0</v>
      </c>
      <c r="I9263" s="3" t="s">
        <v>13</v>
      </c>
      <c r="J9263" s="3" t="s">
        <v>26434</v>
      </c>
      <c r="K9263" s="3" t="s">
        <v>699</v>
      </c>
      <c r="L9263" s="3" t="str">
        <f>IFERROR(__xludf.DUMMYFUNCTION("GOOGLETRANSLATE(F9263,""id"",""en"")"),"Jokowi was given Argentina jersy by Argentine President the result of Argentina World Cup champions supported")</f>
        <v>Jokowi was given Argentina jersy by Argentine President the result of Argentina World Cup champions supported</v>
      </c>
    </row>
    <row r="9264" ht="15.75" customHeight="1">
      <c r="A9264" s="1">
        <v>10493.0</v>
      </c>
      <c r="B9264" s="3" t="s">
        <v>26435</v>
      </c>
      <c r="C9264" s="3">
        <v>0.0</v>
      </c>
      <c r="D9264" s="3">
        <v>0.0</v>
      </c>
      <c r="E9264" s="3">
        <v>0.0</v>
      </c>
      <c r="F9264" s="3" t="s">
        <v>26436</v>
      </c>
      <c r="G9264" s="3">
        <v>0.0</v>
      </c>
      <c r="H9264" s="3">
        <v>0.0</v>
      </c>
      <c r="I9264" s="3" t="s">
        <v>13</v>
      </c>
      <c r="J9264" s="3" t="s">
        <v>26437</v>
      </c>
      <c r="K9264" s="3" t="s">
        <v>54</v>
      </c>
      <c r="L9264" s="3" t="str">
        <f>IFERROR(__xludf.DUMMYFUNCTION("GOOGLETRANSLATE(F9264,""id"",""en"")"),"many crazy people because of Argentina champions")</f>
        <v>many crazy people because of Argentina champions</v>
      </c>
    </row>
    <row r="9265" ht="15.75" customHeight="1">
      <c r="A9265" s="1">
        <v>10494.0</v>
      </c>
      <c r="B9265" s="3" t="s">
        <v>26438</v>
      </c>
      <c r="C9265" s="3">
        <v>1.0</v>
      </c>
      <c r="D9265" s="3">
        <v>1.0</v>
      </c>
      <c r="E9265" s="3">
        <v>1.0</v>
      </c>
      <c r="F9265" s="3" t="s">
        <v>26439</v>
      </c>
      <c r="G9265" s="3">
        <v>1.0</v>
      </c>
      <c r="H9265" s="3">
        <v>0.0</v>
      </c>
      <c r="I9265" s="3" t="s">
        <v>13</v>
      </c>
      <c r="J9265" s="3" t="s">
        <v>26440</v>
      </c>
      <c r="K9265" s="3" t="s">
        <v>1349</v>
      </c>
      <c r="L9265" s="3" t="str">
        <f>IFERROR(__xludf.DUMMYFUNCTION("GOOGLETRANSLATE(F9265,""id"",""en"")"),"The end of the Argentine French World Cup final Pinalty Congrats Argentina finally Messi can bring Argentina World Champion is finished")</f>
        <v>The end of the Argentine French World Cup final Pinalty Congrats Argentina finally Messi can bring Argentina World Champion is finished</v>
      </c>
    </row>
    <row r="9266" ht="15.75" customHeight="1">
      <c r="A9266" s="1">
        <v>10495.0</v>
      </c>
      <c r="B9266" s="3" t="s">
        <v>26441</v>
      </c>
      <c r="C9266" s="3">
        <v>0.0</v>
      </c>
      <c r="D9266" s="3">
        <v>6.0</v>
      </c>
      <c r="E9266" s="3">
        <v>32.0</v>
      </c>
      <c r="F9266" s="3" t="s">
        <v>24436</v>
      </c>
      <c r="G9266" s="3">
        <v>1.0</v>
      </c>
      <c r="H9266" s="3">
        <v>1.0</v>
      </c>
      <c r="I9266" s="3" t="s">
        <v>48</v>
      </c>
      <c r="J9266" s="3" t="s">
        <v>24437</v>
      </c>
      <c r="K9266" s="3" t="s">
        <v>75</v>
      </c>
      <c r="L9266" s="3" t="str">
        <f>IFERROR(__xludf.DUMMYFUNCTION("GOOGLETRANSLATE(F9266,""id"",""en"")"),"Argentina Champion Messi Status Changed to The Greatest All Time")</f>
        <v>Argentina Champion Messi Status Changed to The Greatest All Time</v>
      </c>
    </row>
    <row r="9267" ht="15.75" customHeight="1">
      <c r="A9267" s="1">
        <v>10496.0</v>
      </c>
      <c r="B9267" s="3" t="s">
        <v>26442</v>
      </c>
      <c r="C9267" s="3">
        <v>0.0</v>
      </c>
      <c r="D9267" s="3">
        <v>0.0</v>
      </c>
      <c r="E9267" s="3">
        <v>2.0</v>
      </c>
      <c r="F9267" s="3" t="s">
        <v>26443</v>
      </c>
      <c r="G9267" s="3">
        <v>0.0</v>
      </c>
      <c r="H9267" s="3">
        <v>0.0</v>
      </c>
      <c r="I9267" s="3" t="s">
        <v>13</v>
      </c>
      <c r="J9267" s="3" t="s">
        <v>26444</v>
      </c>
      <c r="K9267" s="3" t="s">
        <v>123</v>
      </c>
      <c r="L9267" s="3" t="str">
        <f>IFERROR(__xludf.DUMMYFUNCTION("GOOGLETRANSLATE(F9267,""id"",""en"")"),"He holds Argentina sincerely cuk because he knows that every team he supports he will lose so he holds Argentina.")</f>
        <v>He holds Argentina sincerely cuk because he knows that every team he supports he will lose so he holds Argentina.</v>
      </c>
    </row>
    <row r="9268" ht="15.75" customHeight="1">
      <c r="A9268" s="1">
        <v>10497.0</v>
      </c>
      <c r="B9268" s="3" t="s">
        <v>26445</v>
      </c>
      <c r="C9268" s="3">
        <v>0.0</v>
      </c>
      <c r="D9268" s="3">
        <v>0.0</v>
      </c>
      <c r="E9268" s="3">
        <v>1.0</v>
      </c>
      <c r="F9268" s="3" t="s">
        <v>26446</v>
      </c>
      <c r="G9268" s="3">
        <v>0.0</v>
      </c>
      <c r="H9268" s="3">
        <v>0.0</v>
      </c>
      <c r="I9268" s="3" t="s">
        <v>13</v>
      </c>
      <c r="J9268" s="3" t="s">
        <v>26447</v>
      </c>
      <c r="K9268" s="3" t="s">
        <v>54</v>
      </c>
      <c r="L9268" s="3" t="str">
        <f>IFERROR(__xludf.DUMMYFUNCTION("GOOGLETRANSLATE(F9268,""id"",""en"")"),"finally Argentina won the World Cup")</f>
        <v>finally Argentina won the World Cup</v>
      </c>
    </row>
    <row r="9269" ht="15.75" customHeight="1">
      <c r="A9269" s="1">
        <v>10498.0</v>
      </c>
      <c r="B9269" s="3" t="s">
        <v>26448</v>
      </c>
      <c r="C9269" s="3">
        <v>0.0</v>
      </c>
      <c r="D9269" s="3">
        <v>0.0</v>
      </c>
      <c r="E9269" s="3">
        <v>0.0</v>
      </c>
      <c r="F9269" s="3" t="s">
        <v>26449</v>
      </c>
      <c r="G9269" s="3">
        <v>0.0</v>
      </c>
      <c r="H9269" s="3">
        <v>0.0</v>
      </c>
      <c r="I9269" s="3" t="s">
        <v>13</v>
      </c>
      <c r="J9269" s="3" t="s">
        <v>26450</v>
      </c>
      <c r="K9269" s="3" t="s">
        <v>82</v>
      </c>
      <c r="L9269" s="3" t="str">
        <f>IFERROR(__xludf.DUMMYFUNCTION("GOOGLETRANSLATE(F9269,""id"",""en"")"),"Argentina has become the champion of my job to admire now is over")</f>
        <v>Argentina has become the champion of my job to admire now is over</v>
      </c>
    </row>
    <row r="9270" ht="15.75" customHeight="1">
      <c r="A9270" s="1">
        <v>10499.0</v>
      </c>
      <c r="B9270" s="3" t="s">
        <v>26451</v>
      </c>
      <c r="C9270" s="3">
        <v>3.0</v>
      </c>
      <c r="D9270" s="3">
        <v>0.0</v>
      </c>
      <c r="E9270" s="3">
        <v>0.0</v>
      </c>
      <c r="F9270" s="3" t="s">
        <v>26452</v>
      </c>
      <c r="G9270" s="3">
        <v>0.0</v>
      </c>
      <c r="H9270" s="3">
        <v>0.0</v>
      </c>
      <c r="I9270" s="3" t="s">
        <v>13</v>
      </c>
      <c r="J9270" s="3" t="s">
        <v>26453</v>
      </c>
      <c r="K9270" s="3" t="s">
        <v>1045</v>
      </c>
      <c r="L9270" s="3" t="str">
        <f>IFERROR(__xludf.DUMMYFUNCTION("GOOGLETRANSLATE(F9270,""id"",""en"")"),"During his life, I have seen France, Brazilian Italy Germany and Argentina, the next World Cup Champion, I really want")</f>
        <v>During his life, I have seen France, Brazilian Italy Germany and Argentina, the next World Cup Champion, I really want</v>
      </c>
    </row>
    <row r="9271" ht="15.75" customHeight="1">
      <c r="A9271" s="1">
        <v>10500.0</v>
      </c>
      <c r="B9271" s="3" t="s">
        <v>26454</v>
      </c>
      <c r="C9271" s="3">
        <v>6.0</v>
      </c>
      <c r="D9271" s="3">
        <v>3.0</v>
      </c>
      <c r="E9271" s="3">
        <v>35.0</v>
      </c>
      <c r="F9271" s="3" t="s">
        <v>26455</v>
      </c>
      <c r="G9271" s="3">
        <v>0.0</v>
      </c>
      <c r="H9271" s="3">
        <v>0.0</v>
      </c>
      <c r="I9271" s="3" t="s">
        <v>13</v>
      </c>
      <c r="J9271" s="3" t="s">
        <v>26456</v>
      </c>
      <c r="K9271" s="3" t="s">
        <v>2597</v>
      </c>
      <c r="L9271" s="3" t="str">
        <f>IFERROR(__xludf.DUMMYFUNCTION("GOOGLETRANSLATE(F9271,""id"",""en"")"),"Congratulations Argentina to become the world champion of the World Cup Qatar especially Lionel Messi who became the best player in the World Cup Qatar Congratulations Qatar TLH to host a great host while introducing Islam peaceful harmony and tolerant of"&amp;" the whole world")</f>
        <v>Congratulations Argentina to become the world champion of the World Cup Qatar especially Lionel Messi who became the best player in the World Cup Qatar Congratulations Qatar TLH to host a great host while introducing Islam peaceful harmony and tolerant of the whole world</v>
      </c>
    </row>
    <row r="9272" ht="15.75" customHeight="1">
      <c r="A9272" s="1">
        <v>10501.0</v>
      </c>
      <c r="B9272" s="3" t="s">
        <v>26457</v>
      </c>
      <c r="C9272" s="3">
        <v>1.0</v>
      </c>
      <c r="D9272" s="3">
        <v>4.0</v>
      </c>
      <c r="E9272" s="3">
        <v>13.0</v>
      </c>
      <c r="F9272" s="3" t="s">
        <v>26458</v>
      </c>
      <c r="G9272" s="3">
        <v>0.6666666666666666</v>
      </c>
      <c r="H9272" s="3">
        <v>0.3333333333333333</v>
      </c>
      <c r="I9272" s="3" t="s">
        <v>48</v>
      </c>
      <c r="J9272" s="3" t="s">
        <v>26459</v>
      </c>
      <c r="K9272" s="3" t="s">
        <v>58</v>
      </c>
      <c r="L9272" s="3" t="str">
        <f>IFERROR(__xludf.DUMMYFUNCTION("GOOGLETRANSLATE(F9272,""id"",""en"")"),"still can't move from the moment of breaking up watching Argentina the champion last night the energy is super really not lying, it feels super super")</f>
        <v>still can't move from the moment of breaking up watching Argentina the champion last night the energy is super really not lying, it feels super super</v>
      </c>
    </row>
    <row r="9273" ht="15.75" customHeight="1">
      <c r="A9273" s="1">
        <v>10502.0</v>
      </c>
      <c r="B9273" s="3" t="s">
        <v>26460</v>
      </c>
      <c r="C9273" s="3">
        <v>1.0</v>
      </c>
      <c r="D9273" s="3">
        <v>0.0</v>
      </c>
      <c r="E9273" s="3">
        <v>0.0</v>
      </c>
      <c r="F9273" s="3" t="s">
        <v>26461</v>
      </c>
      <c r="G9273" s="3">
        <v>0.0</v>
      </c>
      <c r="H9273" s="3">
        <v>0.0</v>
      </c>
      <c r="I9273" s="3" t="s">
        <v>13</v>
      </c>
      <c r="J9273" s="3" t="s">
        <v>26462</v>
      </c>
      <c r="K9273" s="3" t="s">
        <v>82</v>
      </c>
      <c r="L9273" s="3" t="str">
        <f>IFERROR(__xludf.DUMMYFUNCTION("GOOGLETRANSLATE(F9273,""id"",""en"")"),"Alright, Argentine players stay their local league can be champions")</f>
        <v>Alright, Argentine players stay their local league can be champions</v>
      </c>
    </row>
    <row r="9274" ht="15.75" customHeight="1">
      <c r="A9274" s="1">
        <v>10503.0</v>
      </c>
      <c r="B9274" s="3" t="s">
        <v>26463</v>
      </c>
      <c r="C9274" s="3">
        <v>0.0</v>
      </c>
      <c r="D9274" s="3">
        <v>0.0</v>
      </c>
      <c r="E9274" s="3">
        <v>0.0</v>
      </c>
      <c r="F9274" s="3" t="s">
        <v>26464</v>
      </c>
      <c r="G9274" s="3">
        <v>0.0</v>
      </c>
      <c r="H9274" s="3">
        <v>0.0</v>
      </c>
      <c r="I9274" s="3" t="s">
        <v>13</v>
      </c>
      <c r="J9274" s="3" t="s">
        <v>26465</v>
      </c>
      <c r="K9274" s="3" t="s">
        <v>644</v>
      </c>
      <c r="L9274" s="3" t="str">
        <f>IFERROR(__xludf.DUMMYFUNCTION("GOOGLETRANSLATE(F9274,""id"",""en"")"),"champion he's stupid")</f>
        <v>champion he's stupid</v>
      </c>
    </row>
    <row r="9275" ht="15.75" customHeight="1">
      <c r="A9275" s="1">
        <v>10504.0</v>
      </c>
      <c r="B9275" s="3" t="s">
        <v>26466</v>
      </c>
      <c r="C9275" s="3">
        <v>0.0</v>
      </c>
      <c r="D9275" s="3">
        <v>1.0</v>
      </c>
      <c r="E9275" s="3">
        <v>5.0</v>
      </c>
      <c r="F9275" s="3" t="s">
        <v>25795</v>
      </c>
      <c r="G9275" s="3">
        <v>0.0</v>
      </c>
      <c r="H9275" s="3">
        <v>0.0</v>
      </c>
      <c r="I9275" s="3" t="s">
        <v>13</v>
      </c>
      <c r="J9275" s="3" t="s">
        <v>25796</v>
      </c>
      <c r="K9275" s="3" t="s">
        <v>240</v>
      </c>
      <c r="L9275" s="3" t="str">
        <f>IFERROR(__xludf.DUMMYFUNCTION("GOOGLETRANSLATE(F9275,""id"",""en"")"),"France failed to defend the World Cup title which was more painful Les Bleus had a hope before Argentina was thrown")</f>
        <v>France failed to defend the World Cup title which was more painful Les Bleus had a hope before Argentina was thrown</v>
      </c>
    </row>
    <row r="9276" ht="15.75" customHeight="1">
      <c r="A9276" s="1">
        <v>10505.0</v>
      </c>
      <c r="B9276" s="3" t="s">
        <v>26467</v>
      </c>
      <c r="C9276" s="3">
        <v>0.0</v>
      </c>
      <c r="D9276" s="3">
        <v>0.0</v>
      </c>
      <c r="E9276" s="3">
        <v>0.0</v>
      </c>
      <c r="F9276" s="3" t="s">
        <v>26468</v>
      </c>
      <c r="G9276" s="3">
        <v>0.0</v>
      </c>
      <c r="H9276" s="3">
        <v>0.0</v>
      </c>
      <c r="I9276" s="3" t="s">
        <v>13</v>
      </c>
      <c r="J9276" s="3" t="s">
        <v>26469</v>
      </c>
      <c r="K9276" s="3" t="s">
        <v>433</v>
      </c>
      <c r="L9276" s="3" t="str">
        <f>IFERROR(__xludf.DUMMYFUNCTION("GOOGLETRANSLATE(F9276,""id"",""en"")"),"The pain of French fans last night lost the world cup even more sick Ronaldo fans see Argentina Champion")</f>
        <v>The pain of French fans last night lost the world cup even more sick Ronaldo fans see Argentina Champion</v>
      </c>
    </row>
    <row r="9277" ht="15.75" customHeight="1">
      <c r="A9277" s="1">
        <v>10506.0</v>
      </c>
      <c r="B9277" s="3" t="s">
        <v>26470</v>
      </c>
      <c r="C9277" s="3">
        <v>0.0</v>
      </c>
      <c r="D9277" s="3">
        <v>0.0</v>
      </c>
      <c r="E9277" s="3">
        <v>0.0</v>
      </c>
      <c r="F9277" s="3" t="s">
        <v>17833</v>
      </c>
      <c r="G9277" s="3">
        <v>0.0</v>
      </c>
      <c r="H9277" s="3">
        <v>0.0</v>
      </c>
      <c r="I9277" s="3" t="s">
        <v>13</v>
      </c>
      <c r="J9277" s="3" t="s">
        <v>17834</v>
      </c>
      <c r="K9277" s="3" t="s">
        <v>82</v>
      </c>
      <c r="L9277" s="3" t="str">
        <f>IFERROR(__xludf.DUMMYFUNCTION("GOOGLETRANSLATE(F9277,""id"",""en"")"),"Argentina Champion Learning Politics Competency from the World Cup")</f>
        <v>Argentina Champion Learning Politics Competency from the World Cup</v>
      </c>
    </row>
    <row r="9278" ht="15.75" customHeight="1">
      <c r="A9278" s="1">
        <v>10507.0</v>
      </c>
      <c r="B9278" s="3" t="s">
        <v>26471</v>
      </c>
      <c r="C9278" s="3">
        <v>0.0</v>
      </c>
      <c r="D9278" s="3">
        <v>0.0</v>
      </c>
      <c r="E9278" s="3">
        <v>0.0</v>
      </c>
      <c r="F9278" s="3" t="s">
        <v>26472</v>
      </c>
      <c r="G9278" s="3">
        <v>0.0</v>
      </c>
      <c r="H9278" s="3">
        <v>0.0</v>
      </c>
      <c r="I9278" s="3" t="s">
        <v>13</v>
      </c>
      <c r="J9278" s="3" t="s">
        <v>26473</v>
      </c>
      <c r="K9278" s="3" t="s">
        <v>41</v>
      </c>
      <c r="L9278" s="3" t="str">
        <f>IFERROR(__xludf.DUMMYFUNCTION("GOOGLETRANSLATE(F9278,""id"",""en"")"),"maybe too much to show Messi in a PSG club from France lost")</f>
        <v>maybe too much to show Messi in a PSG club from France lost</v>
      </c>
    </row>
    <row r="9279" ht="15.75" customHeight="1">
      <c r="A9279" s="1">
        <v>10508.0</v>
      </c>
      <c r="B9279" s="3" t="s">
        <v>26474</v>
      </c>
      <c r="C9279" s="3">
        <v>0.0</v>
      </c>
      <c r="D9279" s="3">
        <v>0.0</v>
      </c>
      <c r="E9279" s="3">
        <v>0.0</v>
      </c>
      <c r="F9279" s="3" t="s">
        <v>26475</v>
      </c>
      <c r="G9279" s="3">
        <v>0.0</v>
      </c>
      <c r="H9279" s="3">
        <v>0.0</v>
      </c>
      <c r="I9279" s="3" t="s">
        <v>13</v>
      </c>
      <c r="J9279" s="3" t="s">
        <v>26476</v>
      </c>
      <c r="K9279" s="3" t="s">
        <v>15</v>
      </c>
      <c r="L9279" s="3" t="str">
        <f>IFERROR(__xludf.DUMMYFUNCTION("GOOGLETRANSLATE(F9279,""id"",""en"")"),"Besides Argentina, I will also be happy to see Messi champions")</f>
        <v>Besides Argentina, I will also be happy to see Messi champions</v>
      </c>
    </row>
    <row r="9280" ht="15.75" customHeight="1">
      <c r="A9280" s="1">
        <v>10509.0</v>
      </c>
      <c r="B9280" s="3" t="s">
        <v>26477</v>
      </c>
      <c r="C9280" s="3">
        <v>0.0</v>
      </c>
      <c r="D9280" s="3">
        <v>0.0</v>
      </c>
      <c r="E9280" s="3">
        <v>0.0</v>
      </c>
      <c r="F9280" s="3" t="s">
        <v>26478</v>
      </c>
      <c r="G9280" s="3">
        <v>0.0</v>
      </c>
      <c r="H9280" s="3">
        <v>0.0</v>
      </c>
      <c r="I9280" s="3" t="s">
        <v>13</v>
      </c>
      <c r="J9280" s="3" t="s">
        <v>26479</v>
      </c>
      <c r="K9280" s="3" t="s">
        <v>240</v>
      </c>
      <c r="L9280" s="3" t="str">
        <f>IFERROR(__xludf.DUMMYFUNCTION("GOOGLETRANSLATE(F9280,""id"",""en"")"),"Argentina means that HRS created more players like Mario deflated Diego Maradona and Leo Messi if you want to be world champion again")</f>
        <v>Argentina means that HRS created more players like Mario deflated Diego Maradona and Leo Messi if you want to be world champion again</v>
      </c>
    </row>
    <row r="9281" ht="15.75" customHeight="1">
      <c r="A9281" s="1">
        <v>10510.0</v>
      </c>
      <c r="B9281" s="3" t="s">
        <v>26480</v>
      </c>
      <c r="C9281" s="3">
        <v>0.0</v>
      </c>
      <c r="D9281" s="3">
        <v>0.0</v>
      </c>
      <c r="E9281" s="3">
        <v>1.0</v>
      </c>
      <c r="F9281" s="3" t="s">
        <v>26481</v>
      </c>
      <c r="G9281" s="3">
        <v>0.0</v>
      </c>
      <c r="H9281" s="3">
        <v>0.0</v>
      </c>
      <c r="I9281" s="3" t="s">
        <v>13</v>
      </c>
      <c r="J9281" s="3" t="s">
        <v>26482</v>
      </c>
      <c r="K9281" s="3" t="s">
        <v>41</v>
      </c>
      <c r="L9281" s="3" t="str">
        <f>IFERROR(__xludf.DUMMYFUNCTION("GOOGLETRANSLATE(F9281,""id"",""en"")"),"Remember Walo Argentina Their World Cup Champion has not been defeated Indonesia")</f>
        <v>Remember Walo Argentina Their World Cup Champion has not been defeated Indonesia</v>
      </c>
    </row>
    <row r="9282" ht="15.75" customHeight="1">
      <c r="A9282" s="1">
        <v>10511.0</v>
      </c>
      <c r="B9282" s="3" t="s">
        <v>26483</v>
      </c>
      <c r="C9282" s="3">
        <v>0.0</v>
      </c>
      <c r="D9282" s="3">
        <v>0.0</v>
      </c>
      <c r="E9282" s="3">
        <v>0.0</v>
      </c>
      <c r="F9282" s="3" t="s">
        <v>23029</v>
      </c>
      <c r="G9282" s="3">
        <v>0.0</v>
      </c>
      <c r="H9282" s="3">
        <v>0.0</v>
      </c>
      <c r="I9282" s="3" t="s">
        <v>13</v>
      </c>
      <c r="J9282" s="3" t="s">
        <v>23030</v>
      </c>
      <c r="K9282" s="3" t="s">
        <v>31</v>
      </c>
      <c r="L9282" s="3" t="str">
        <f>IFERROR(__xludf.DUMMYFUNCTION("GOOGLETRANSLATE(F9282,""id"",""en"")"),"Dramatic Argentina World Cup Champion")</f>
        <v>Dramatic Argentina World Cup Champion</v>
      </c>
    </row>
    <row r="9283" ht="15.75" customHeight="1">
      <c r="A9283" s="1">
        <v>10512.0</v>
      </c>
      <c r="B9283" s="3" t="s">
        <v>26484</v>
      </c>
      <c r="C9283" s="3">
        <v>0.0</v>
      </c>
      <c r="D9283" s="3">
        <v>0.0</v>
      </c>
      <c r="E9283" s="3">
        <v>0.0</v>
      </c>
      <c r="F9283" s="3" t="s">
        <v>26485</v>
      </c>
      <c r="G9283" s="3">
        <v>0.0</v>
      </c>
      <c r="H9283" s="3">
        <v>0.0</v>
      </c>
      <c r="I9283" s="3" t="s">
        <v>13</v>
      </c>
      <c r="J9283" s="3" t="s">
        <v>26486</v>
      </c>
      <c r="K9283" s="3" t="s">
        <v>75</v>
      </c>
      <c r="L9283" s="3" t="str">
        <f>IFERROR(__xludf.DUMMYFUNCTION("GOOGLETRANSLATE(F9283,""id"",""en"")"),"The debate between Messi and Ronaldo ended after Argentina World Cup champions")</f>
        <v>The debate between Messi and Ronaldo ended after Argentina World Cup champions</v>
      </c>
    </row>
    <row r="9284" ht="15.75" customHeight="1">
      <c r="A9284" s="1">
        <v>10513.0</v>
      </c>
      <c r="B9284" s="3" t="s">
        <v>26487</v>
      </c>
      <c r="C9284" s="3">
        <v>0.0</v>
      </c>
      <c r="D9284" s="3">
        <v>0.0</v>
      </c>
      <c r="E9284" s="3">
        <v>0.0</v>
      </c>
      <c r="F9284" s="3" t="s">
        <v>26488</v>
      </c>
      <c r="G9284" s="3">
        <v>0.0</v>
      </c>
      <c r="H9284" s="3">
        <v>0.0</v>
      </c>
      <c r="I9284" s="3" t="s">
        <v>13</v>
      </c>
      <c r="J9284" s="3" t="s">
        <v>26489</v>
      </c>
      <c r="K9284" s="3" t="s">
        <v>1328</v>
      </c>
      <c r="L9284" s="3" t="str">
        <f>IFERROR(__xludf.DUMMYFUNCTION("GOOGLETRANSLATE(F9284,""id"",""en"")"),"Argentina Champion World Cup as Latin American State and Semi -finalist Morocco as Arab Arabic State made a statement to the world that the American State of Latin Asia and Africa could not be underestimated not only about football but all of them")</f>
        <v>Argentina Champion World Cup as Latin American State and Semi -finalist Morocco as Arab Arabic State made a statement to the world that the American State of Latin Asia and Africa could not be underestimated not only about football but all of them</v>
      </c>
    </row>
    <row r="9285" ht="15.75" customHeight="1">
      <c r="A9285" s="1">
        <v>10514.0</v>
      </c>
      <c r="B9285" s="3" t="s">
        <v>26490</v>
      </c>
      <c r="C9285" s="3">
        <v>1.0</v>
      </c>
      <c r="D9285" s="3">
        <v>0.0</v>
      </c>
      <c r="E9285" s="3">
        <v>0.0</v>
      </c>
      <c r="F9285" s="3" t="s">
        <v>26491</v>
      </c>
      <c r="G9285" s="3">
        <v>0.0</v>
      </c>
      <c r="H9285" s="3">
        <v>0.0</v>
      </c>
      <c r="I9285" s="3" t="s">
        <v>13</v>
      </c>
      <c r="J9285" s="3" t="s">
        <v>26492</v>
      </c>
      <c r="K9285" s="3" t="s">
        <v>50</v>
      </c>
      <c r="L9285" s="3" t="str">
        <f>IFERROR(__xludf.DUMMYFUNCTION("GOOGLETRANSLATE(F9285,""id"",""en"")"),"Wane Jama Jokowilah Argentina can win the previous President's World Cup.")</f>
        <v>Wane Jama Jokowilah Argentina can win the previous President's World Cup.</v>
      </c>
    </row>
    <row r="9286" ht="15.75" customHeight="1">
      <c r="A9286" s="1">
        <v>10515.0</v>
      </c>
      <c r="B9286" s="3" t="s">
        <v>26493</v>
      </c>
      <c r="C9286" s="3">
        <v>0.0</v>
      </c>
      <c r="D9286" s="3">
        <v>0.0</v>
      </c>
      <c r="E9286" s="3">
        <v>0.0</v>
      </c>
      <c r="F9286" s="3" t="s">
        <v>26494</v>
      </c>
      <c r="G9286" s="3">
        <v>0.0</v>
      </c>
      <c r="H9286" s="3">
        <v>0.0</v>
      </c>
      <c r="I9286" s="3" t="s">
        <v>13</v>
      </c>
      <c r="J9286" s="3" t="s">
        <v>26495</v>
      </c>
      <c r="K9286" s="3" t="s">
        <v>54</v>
      </c>
      <c r="L9286" s="3" t="str">
        <f>IFERROR(__xludf.DUMMYFUNCTION("GOOGLETRANSLATE(F9286,""id"",""en"")"),"Alhamdulilah Argentina Champion Era Pak Jokowi")</f>
        <v>Alhamdulilah Argentina Champion Era Pak Jokowi</v>
      </c>
    </row>
    <row r="9287" ht="15.75" customHeight="1">
      <c r="A9287" s="1">
        <v>10516.0</v>
      </c>
      <c r="B9287" s="3" t="s">
        <v>26496</v>
      </c>
      <c r="C9287" s="3">
        <v>0.0</v>
      </c>
      <c r="D9287" s="3">
        <v>0.0</v>
      </c>
      <c r="E9287" s="3">
        <v>0.0</v>
      </c>
      <c r="F9287" s="3" t="s">
        <v>26497</v>
      </c>
      <c r="G9287" s="3">
        <v>0.0</v>
      </c>
      <c r="H9287" s="3">
        <v>0.0</v>
      </c>
      <c r="I9287" s="3" t="s">
        <v>13</v>
      </c>
      <c r="J9287" s="3" t="s">
        <v>26498</v>
      </c>
      <c r="K9287" s="3" t="s">
        <v>82</v>
      </c>
      <c r="L9287" s="3" t="str">
        <f>IFERROR(__xludf.DUMMYFUNCTION("GOOGLETRANSLATE(F9287,""id"",""en"")"),"Idic has predicted from the beginning of Argentina the champion")</f>
        <v>Idic has predicted from the beginning of Argentina the champion</v>
      </c>
    </row>
    <row r="9288" ht="15.75" customHeight="1">
      <c r="A9288" s="1">
        <v>10517.0</v>
      </c>
      <c r="B9288" s="3" t="s">
        <v>26499</v>
      </c>
      <c r="C9288" s="3">
        <v>0.0</v>
      </c>
      <c r="D9288" s="3">
        <v>1.0</v>
      </c>
      <c r="E9288" s="3">
        <v>3.0</v>
      </c>
      <c r="F9288" s="3" t="s">
        <v>26500</v>
      </c>
      <c r="G9288" s="3">
        <v>0.0</v>
      </c>
      <c r="H9288" s="3">
        <v>0.0</v>
      </c>
      <c r="I9288" s="3" t="s">
        <v>13</v>
      </c>
      <c r="J9288" s="3" t="s">
        <v>26501</v>
      </c>
      <c r="K9288" s="3" t="s">
        <v>50</v>
      </c>
      <c r="L9288" s="3" t="str">
        <f>IFERROR(__xludf.DUMMYFUNCTION("GOOGLETRANSLATE(F9288,""id"",""en"")"),"Argentina celebrates the World Cup title when her country was plagued by a severe economic crisis")</f>
        <v>Argentina celebrates the World Cup title when her country was plagued by a severe economic crisis</v>
      </c>
    </row>
    <row r="9289" ht="15.75" customHeight="1">
      <c r="A9289" s="1">
        <v>10518.0</v>
      </c>
      <c r="B9289" s="3" t="s">
        <v>26502</v>
      </c>
      <c r="C9289" s="3">
        <v>0.0</v>
      </c>
      <c r="D9289" s="3">
        <v>0.0</v>
      </c>
      <c r="E9289" s="3">
        <v>0.0</v>
      </c>
      <c r="F9289" s="3" t="s">
        <v>26503</v>
      </c>
      <c r="G9289" s="3">
        <v>0.0</v>
      </c>
      <c r="H9289" s="3">
        <v>0.0</v>
      </c>
      <c r="I9289" s="3" t="s">
        <v>13</v>
      </c>
      <c r="J9289" s="3" t="s">
        <v>26504</v>
      </c>
      <c r="K9289" s="3" t="s">
        <v>82</v>
      </c>
      <c r="L9289" s="3" t="str">
        <f>IFERROR(__xludf.DUMMYFUNCTION("GOOGLETRANSLATE(F9289,""id"",""en"")"),"Argentina fans Moment celebrating champions by undressing")</f>
        <v>Argentina fans Moment celebrating champions by undressing</v>
      </c>
    </row>
    <row r="9290" ht="15.75" customHeight="1">
      <c r="A9290" s="1">
        <v>10519.0</v>
      </c>
      <c r="B9290" s="3" t="s">
        <v>26505</v>
      </c>
      <c r="C9290" s="3">
        <v>0.0</v>
      </c>
      <c r="D9290" s="3">
        <v>0.0</v>
      </c>
      <c r="E9290" s="3">
        <v>0.0</v>
      </c>
      <c r="F9290" s="3" t="s">
        <v>26506</v>
      </c>
      <c r="G9290" s="3">
        <v>0.0</v>
      </c>
      <c r="H9290" s="3">
        <v>0.0</v>
      </c>
      <c r="I9290" s="3" t="s">
        <v>13</v>
      </c>
      <c r="J9290" s="3" t="s">
        <v>26507</v>
      </c>
      <c r="K9290" s="3" t="s">
        <v>15</v>
      </c>
      <c r="L9290" s="3" t="str">
        <f>IFERROR(__xludf.DUMMYFUNCTION("GOOGLETRANSLATE(F9290,""id"",""en"")"),"The irony of Argentina in the middle of the world champion in its severe economic crisis")</f>
        <v>The irony of Argentina in the middle of the world champion in its severe economic crisis</v>
      </c>
    </row>
    <row r="9291" ht="15.75" customHeight="1">
      <c r="A9291" s="1">
        <v>10520.0</v>
      </c>
      <c r="B9291" s="3" t="s">
        <v>26508</v>
      </c>
      <c r="C9291" s="3">
        <v>0.0</v>
      </c>
      <c r="D9291" s="3">
        <v>0.0</v>
      </c>
      <c r="E9291" s="3">
        <v>0.0</v>
      </c>
      <c r="F9291" s="3" t="s">
        <v>26509</v>
      </c>
      <c r="G9291" s="3">
        <v>0.0</v>
      </c>
      <c r="H9291" s="3">
        <v>0.0</v>
      </c>
      <c r="I9291" s="3" t="s">
        <v>13</v>
      </c>
      <c r="J9291" s="3" t="s">
        <v>26510</v>
      </c>
      <c r="K9291" s="3" t="s">
        <v>75</v>
      </c>
      <c r="L9291" s="3" t="str">
        <f>IFERROR(__xludf.DUMMYFUNCTION("GOOGLETRANSLATE(F9291,""id"",""en"")"),"Argentine championship party controversy for players to supporters appearing jar")</f>
        <v>Argentine championship party controversy for players to supporters appearing jar</v>
      </c>
    </row>
    <row r="9292" ht="15.75" customHeight="1">
      <c r="A9292" s="1">
        <v>10521.0</v>
      </c>
      <c r="B9292" s="3" t="s">
        <v>26511</v>
      </c>
      <c r="C9292" s="3">
        <v>2.0</v>
      </c>
      <c r="D9292" s="3">
        <v>0.0</v>
      </c>
      <c r="E9292" s="3">
        <v>0.0</v>
      </c>
      <c r="F9292" s="3" t="s">
        <v>26512</v>
      </c>
      <c r="G9292" s="3">
        <v>0.0</v>
      </c>
      <c r="H9292" s="3">
        <v>0.0</v>
      </c>
      <c r="I9292" s="3" t="s">
        <v>13</v>
      </c>
      <c r="J9292" s="3" t="s">
        <v>26513</v>
      </c>
      <c r="K9292" s="3" t="s">
        <v>31</v>
      </c>
      <c r="L9292" s="3" t="str">
        <f>IFERROR(__xludf.DUMMYFUNCTION("GOOGLETRANSLATE(F9292,""id"",""en"")"),"Lha champion now is also a lot of good")</f>
        <v>Lha champion now is also a lot of good</v>
      </c>
    </row>
    <row r="9293" ht="15.75" customHeight="1">
      <c r="A9293" s="1">
        <v>10522.0</v>
      </c>
      <c r="B9293" s="3" t="s">
        <v>26514</v>
      </c>
      <c r="C9293" s="3">
        <v>0.0</v>
      </c>
      <c r="D9293" s="3">
        <v>0.0</v>
      </c>
      <c r="E9293" s="3">
        <v>0.0</v>
      </c>
      <c r="F9293" s="3" t="s">
        <v>26515</v>
      </c>
      <c r="G9293" s="3">
        <v>1.0</v>
      </c>
      <c r="H9293" s="3">
        <v>0.8</v>
      </c>
      <c r="I9293" s="3" t="s">
        <v>48</v>
      </c>
      <c r="J9293" s="3" t="s">
        <v>26516</v>
      </c>
      <c r="K9293" s="3" t="s">
        <v>675</v>
      </c>
      <c r="L9293" s="3" t="str">
        <f>IFERROR(__xludf.DUMMYFUNCTION("GOOGLETRANSLATE(F9293,""id"",""en"")"),"Until the crowded event this month, the World Cup congratulations to Messi and friends representing Argentina as the champion of the proud them football era today is the best era of all time according to, especially because of the endless competition of M"&amp;"essi Ronaldo")</f>
        <v>Until the crowded event this month, the World Cup congratulations to Messi and friends representing Argentina as the champion of the proud them football era today is the best era of all time according to, especially because of the endless competition of Messi Ronaldo</v>
      </c>
    </row>
    <row r="9294" ht="15.75" customHeight="1">
      <c r="A9294" s="1">
        <v>10523.0</v>
      </c>
      <c r="B9294" s="3" t="s">
        <v>26517</v>
      </c>
      <c r="C9294" s="3">
        <v>1.0</v>
      </c>
      <c r="D9294" s="3">
        <v>0.0</v>
      </c>
      <c r="E9294" s="3">
        <v>0.0</v>
      </c>
      <c r="F9294" s="3" t="s">
        <v>26518</v>
      </c>
      <c r="G9294" s="3">
        <v>0.0</v>
      </c>
      <c r="H9294" s="3">
        <v>0.0</v>
      </c>
      <c r="I9294" s="3" t="s">
        <v>13</v>
      </c>
      <c r="J9294" s="3" t="s">
        <v>26519</v>
      </c>
      <c r="K9294" s="3" t="s">
        <v>520</v>
      </c>
      <c r="L9294" s="3" t="str">
        <f>IFERROR(__xludf.DUMMYFUNCTION("GOOGLETRANSLATE(F9294,""id"",""en"")"),"Good morning to supporters of the French national team remain enthusiastic and need to cry good morning your Argentina supporters deserve to win and happy")</f>
        <v>Good morning to supporters of the French national team remain enthusiastic and need to cry good morning your Argentina supporters deserve to win and happy</v>
      </c>
    </row>
    <row r="9295" ht="15.75" customHeight="1">
      <c r="A9295" s="1">
        <v>10524.0</v>
      </c>
      <c r="B9295" s="3" t="s">
        <v>26520</v>
      </c>
      <c r="C9295" s="3">
        <v>2.0</v>
      </c>
      <c r="D9295" s="3">
        <v>1.0</v>
      </c>
      <c r="E9295" s="3">
        <v>32.0</v>
      </c>
      <c r="F9295" s="3" t="s">
        <v>26521</v>
      </c>
      <c r="G9295" s="3">
        <v>0.0</v>
      </c>
      <c r="H9295" s="3">
        <v>0.0</v>
      </c>
      <c r="I9295" s="3" t="s">
        <v>13</v>
      </c>
      <c r="J9295" s="3" t="s">
        <v>26522</v>
      </c>
      <c r="K9295" s="3" t="s">
        <v>495</v>
      </c>
      <c r="L9295" s="3" t="str">
        <f>IFERROR(__xludf.DUMMYFUNCTION("GOOGLETRANSLATE(F9295,""id"",""en"")"),"BGT Pansos even though his correlation and Argentina won the samsek, the edit of his edit was also what if Indo was really the world league champion wkwkwkwk")</f>
        <v>BGT Pansos even though his correlation and Argentina won the samsek, the edit of his edit was also what if Indo was really the world league champion wkwkwkwk</v>
      </c>
    </row>
    <row r="9296" ht="15.75" customHeight="1">
      <c r="A9296" s="1">
        <v>10525.0</v>
      </c>
      <c r="B9296" s="3" t="s">
        <v>26523</v>
      </c>
      <c r="C9296" s="3">
        <v>0.0</v>
      </c>
      <c r="D9296" s="3">
        <v>0.0</v>
      </c>
      <c r="E9296" s="3">
        <v>0.0</v>
      </c>
      <c r="F9296" s="3" t="s">
        <v>26524</v>
      </c>
      <c r="G9296" s="3">
        <v>0.0</v>
      </c>
      <c r="H9296" s="3">
        <v>0.0</v>
      </c>
      <c r="I9296" s="3" t="s">
        <v>13</v>
      </c>
      <c r="J9296" s="3" t="s">
        <v>26525</v>
      </c>
      <c r="K9296" s="3" t="s">
        <v>1552</v>
      </c>
      <c r="L9296" s="3" t="str">
        <f>IFERROR(__xludf.DUMMYFUNCTION("GOOGLETRANSLATE(F9296,""id"",""en"")"),"Sir, when the fuel comes down, cooks Argentina, it's already champion, BBM has not come down too")</f>
        <v>Sir, when the fuel comes down, cooks Argentina, it's already champion, BBM has not come down too</v>
      </c>
    </row>
    <row r="9297" ht="15.75" customHeight="1">
      <c r="A9297" s="1">
        <v>10526.0</v>
      </c>
      <c r="B9297" s="3" t="s">
        <v>26526</v>
      </c>
      <c r="C9297" s="3">
        <v>0.0</v>
      </c>
      <c r="D9297" s="3">
        <v>0.0</v>
      </c>
      <c r="E9297" s="3">
        <v>1.0</v>
      </c>
      <c r="F9297" s="3" t="s">
        <v>26527</v>
      </c>
      <c r="G9297" s="3">
        <v>0.0</v>
      </c>
      <c r="H9297" s="3">
        <v>0.0</v>
      </c>
      <c r="I9297" s="3" t="s">
        <v>13</v>
      </c>
      <c r="J9297" s="3" t="s">
        <v>26528</v>
      </c>
      <c r="K9297" s="3" t="s">
        <v>50</v>
      </c>
      <c r="L9297" s="3" t="str">
        <f>IFERROR(__xludf.DUMMYFUNCTION("GOOGLETRANSLATE(F9297,""id"",""en"")"),"Paulo Dybala brought by the goal net after Argentina won the World Cup championship")</f>
        <v>Paulo Dybala brought by the goal net after Argentina won the World Cup championship</v>
      </c>
    </row>
    <row r="9298" ht="15.75" customHeight="1">
      <c r="A9298" s="1">
        <v>10527.0</v>
      </c>
      <c r="B9298" s="3" t="s">
        <v>26529</v>
      </c>
      <c r="C9298" s="3">
        <v>0.0</v>
      </c>
      <c r="D9298" s="3">
        <v>0.0</v>
      </c>
      <c r="E9298" s="3">
        <v>0.0</v>
      </c>
      <c r="F9298" s="3" t="s">
        <v>26530</v>
      </c>
      <c r="G9298" s="3">
        <v>0.0</v>
      </c>
      <c r="H9298" s="3">
        <v>0.0</v>
      </c>
      <c r="I9298" s="3" t="s">
        <v>13</v>
      </c>
      <c r="J9298" s="3" t="s">
        <v>26531</v>
      </c>
      <c r="K9298" s="3" t="s">
        <v>795</v>
      </c>
      <c r="L9298" s="3" t="str">
        <f>IFERROR(__xludf.DUMMYFUNCTION("GOOGLETRANSLATE(F9298,""id"",""en"")"),"I wish I saw Argentina champions because I still felt my dream until I made a drive to save Argentina Squad Photos Anjenkkkk")</f>
        <v>I wish I saw Argentina champions because I still felt my dream until I made a drive to save Argentina Squad Photos Anjenkkkk</v>
      </c>
    </row>
    <row r="9299" ht="15.75" customHeight="1">
      <c r="A9299" s="1">
        <v>10528.0</v>
      </c>
      <c r="B9299" s="3" t="s">
        <v>26532</v>
      </c>
      <c r="C9299" s="3">
        <v>0.0</v>
      </c>
      <c r="D9299" s="3">
        <v>5.0</v>
      </c>
      <c r="E9299" s="3">
        <v>5.0</v>
      </c>
      <c r="F9299" s="3" t="s">
        <v>26533</v>
      </c>
      <c r="G9299" s="3">
        <v>0.0</v>
      </c>
      <c r="H9299" s="3">
        <v>0.0</v>
      </c>
      <c r="I9299" s="3" t="s">
        <v>13</v>
      </c>
      <c r="J9299" s="3" t="s">
        <v>26534</v>
      </c>
      <c r="K9299" s="3" t="s">
        <v>510</v>
      </c>
      <c r="L9299" s="3" t="str">
        <f>IFERROR(__xludf.DUMMYFUNCTION("GOOGLETRANSLATE(F9299,""id"",""en"")"),"Lione Messik brought the Argentine national team to win the third World Cup after the long wait for the year and")</f>
        <v>Lione Messik brought the Argentine national team to win the third World Cup after the long wait for the year and</v>
      </c>
    </row>
    <row r="9300" ht="15.75" customHeight="1">
      <c r="A9300" s="1">
        <v>10529.0</v>
      </c>
      <c r="B9300" s="3" t="s">
        <v>26535</v>
      </c>
      <c r="C9300" s="3">
        <v>0.0</v>
      </c>
      <c r="D9300" s="3">
        <v>3.0</v>
      </c>
      <c r="E9300" s="3">
        <v>64.0</v>
      </c>
      <c r="F9300" s="3" t="s">
        <v>26536</v>
      </c>
      <c r="G9300" s="3">
        <v>0.0</v>
      </c>
      <c r="H9300" s="3">
        <v>0.0</v>
      </c>
      <c r="I9300" s="3" t="s">
        <v>13</v>
      </c>
      <c r="J9300" s="3" t="s">
        <v>26537</v>
      </c>
      <c r="K9300" s="3" t="s">
        <v>184</v>
      </c>
      <c r="L9300" s="3" t="str">
        <f>IFERROR(__xludf.DUMMYFUNCTION("GOOGLETRANSLATE(F9300,""id"",""en"")"),"Indonesians just a glass screen fan and there is a relationship with many Songong Songong when Argentina is champion especially aguero already clearly the relationship is natural")</f>
        <v>Indonesians just a glass screen fan and there is a relationship with many Songong Songong when Argentina is champion especially aguero already clearly the relationship is natural</v>
      </c>
    </row>
    <row r="9301" ht="15.75" customHeight="1">
      <c r="A9301" s="1">
        <v>10530.0</v>
      </c>
      <c r="B9301" s="3" t="s">
        <v>26538</v>
      </c>
      <c r="C9301" s="3">
        <v>0.0</v>
      </c>
      <c r="D9301" s="3">
        <v>0.0</v>
      </c>
      <c r="E9301" s="3">
        <v>0.0</v>
      </c>
      <c r="F9301" s="3" t="s">
        <v>26539</v>
      </c>
      <c r="G9301" s="3">
        <v>1.0</v>
      </c>
      <c r="H9301" s="3">
        <v>0.0</v>
      </c>
      <c r="I9301" s="3" t="s">
        <v>13</v>
      </c>
      <c r="J9301" s="3" t="s">
        <v>26540</v>
      </c>
      <c r="K9301" s="3" t="s">
        <v>883</v>
      </c>
      <c r="L9301" s="3" t="str">
        <f>IFERROR(__xludf.DUMMYFUNCTION("GOOGLETRANSLATE(F9301,""id"",""en"")"),"In busy Argentina, the champion feels that the gag is that the final last night could be this last world cup just my feeling so don't make it noisy")</f>
        <v>In busy Argentina, the champion feels that the gag is that the final last night could be this last world cup just my feeling so don't make it noisy</v>
      </c>
    </row>
    <row r="9302" ht="15.75" customHeight="1">
      <c r="A9302" s="1">
        <v>10531.0</v>
      </c>
      <c r="B9302" s="3" t="s">
        <v>26541</v>
      </c>
      <c r="C9302" s="3">
        <v>0.0</v>
      </c>
      <c r="D9302" s="3">
        <v>0.0</v>
      </c>
      <c r="E9302" s="3">
        <v>0.0</v>
      </c>
      <c r="F9302" s="3" t="s">
        <v>26542</v>
      </c>
      <c r="G9302" s="3">
        <v>0.0</v>
      </c>
      <c r="H9302" s="3">
        <v>0.0</v>
      </c>
      <c r="I9302" s="3" t="s">
        <v>13</v>
      </c>
      <c r="J9302" s="3" t="s">
        <v>26543</v>
      </c>
      <c r="K9302" s="3" t="s">
        <v>82</v>
      </c>
      <c r="L9302" s="3" t="str">
        <f>IFERROR(__xludf.DUMMYFUNCTION("GOOGLETRANSLATE(F9302,""id"",""en"")"),"It is true that the people of Argentina actually don't want them to win")</f>
        <v>It is true that the people of Argentina actually don't want them to win</v>
      </c>
    </row>
    <row r="9303" ht="15.75" customHeight="1">
      <c r="A9303" s="1">
        <v>10532.0</v>
      </c>
      <c r="B9303" s="3" t="s">
        <v>26544</v>
      </c>
      <c r="C9303" s="3">
        <v>0.0</v>
      </c>
      <c r="D9303" s="3">
        <v>0.0</v>
      </c>
      <c r="E9303" s="3">
        <v>0.0</v>
      </c>
      <c r="F9303" s="3" t="s">
        <v>26545</v>
      </c>
      <c r="G9303" s="3">
        <v>0.0</v>
      </c>
      <c r="H9303" s="3">
        <v>0.0</v>
      </c>
      <c r="I9303" s="3" t="s">
        <v>13</v>
      </c>
      <c r="J9303" s="3" t="s">
        <v>26546</v>
      </c>
      <c r="K9303" s="3" t="s">
        <v>75</v>
      </c>
      <c r="L9303" s="3" t="str">
        <f>IFERROR(__xludf.DUMMYFUNCTION("GOOGLETRANSLATE(F9303,""id"",""en"")"),"Official Want to Bacot Any Trash from Argentina remains the World Cup Champion")</f>
        <v>Official Want to Bacot Any Trash from Argentina remains the World Cup Champion</v>
      </c>
    </row>
    <row r="9304" ht="15.75" customHeight="1">
      <c r="A9304" s="1">
        <v>10533.0</v>
      </c>
      <c r="B9304" s="3" t="s">
        <v>26547</v>
      </c>
      <c r="C9304" s="3">
        <v>0.0</v>
      </c>
      <c r="D9304" s="3">
        <v>0.0</v>
      </c>
      <c r="E9304" s="3">
        <v>0.0</v>
      </c>
      <c r="F9304" s="3" t="s">
        <v>26548</v>
      </c>
      <c r="G9304" s="3">
        <v>0.0</v>
      </c>
      <c r="H9304" s="3">
        <v>0.0</v>
      </c>
      <c r="I9304" s="3" t="s">
        <v>13</v>
      </c>
      <c r="J9304" s="3" t="s">
        <v>26549</v>
      </c>
      <c r="K9304" s="3" t="s">
        <v>127</v>
      </c>
      <c r="L9304" s="3" t="str">
        <f>IFERROR(__xludf.DUMMYFUNCTION("GOOGLETRANSLATE(F9304,""id"",""en"")"),"Yes, I just realized that he won Argentina Pildun Dujun was very happy")</f>
        <v>Yes, I just realized that he won Argentina Pildun Dujun was very happy</v>
      </c>
    </row>
    <row r="9305" ht="15.75" customHeight="1">
      <c r="A9305" s="1">
        <v>10534.0</v>
      </c>
      <c r="B9305" s="3" t="s">
        <v>26550</v>
      </c>
      <c r="C9305" s="3">
        <v>0.0</v>
      </c>
      <c r="D9305" s="3">
        <v>0.0</v>
      </c>
      <c r="E9305" s="3">
        <v>0.0</v>
      </c>
      <c r="F9305" s="3" t="s">
        <v>26551</v>
      </c>
      <c r="G9305" s="3">
        <v>0.0</v>
      </c>
      <c r="H9305" s="3">
        <v>0.0</v>
      </c>
      <c r="I9305" s="3" t="s">
        <v>13</v>
      </c>
      <c r="J9305" s="3" t="s">
        <v>26552</v>
      </c>
      <c r="K9305" s="3" t="s">
        <v>75</v>
      </c>
      <c r="L9305" s="3" t="str">
        <f>IFERROR(__xludf.DUMMYFUNCTION("GOOGLETRANSLATE(F9305,""id"",""en"")"),"Argentina Champion World Cup on Qatar Sunday Francis Croatia Morocco")</f>
        <v>Argentina Champion World Cup on Qatar Sunday Francis Croatia Morocco</v>
      </c>
    </row>
    <row r="9306" ht="15.75" customHeight="1">
      <c r="A9306" s="1">
        <v>10535.0</v>
      </c>
      <c r="B9306" s="3" t="s">
        <v>26553</v>
      </c>
      <c r="C9306" s="3">
        <v>0.0</v>
      </c>
      <c r="D9306" s="3">
        <v>0.0</v>
      </c>
      <c r="E9306" s="3">
        <v>1.0</v>
      </c>
      <c r="F9306" s="3" t="s">
        <v>26304</v>
      </c>
      <c r="G9306" s="3">
        <v>1.0</v>
      </c>
      <c r="H9306" s="3">
        <v>1.0</v>
      </c>
      <c r="I9306" s="3" t="s">
        <v>48</v>
      </c>
      <c r="J9306" s="3" t="s">
        <v>26305</v>
      </c>
      <c r="K9306" s="3" t="s">
        <v>75</v>
      </c>
      <c r="L9306" s="3" t="str">
        <f>IFERROR(__xludf.DUMMYFUNCTION("GOOGLETRANSLATE(F9306,""id"",""en"")"),"Argentina World Cup Champion Lionel Messi Greatest All Time")</f>
        <v>Argentina World Cup Champion Lionel Messi Greatest All Time</v>
      </c>
    </row>
    <row r="9307" ht="15.75" customHeight="1">
      <c r="A9307" s="1">
        <v>10536.0</v>
      </c>
      <c r="B9307" s="3" t="s">
        <v>26554</v>
      </c>
      <c r="C9307" s="3">
        <v>0.0</v>
      </c>
      <c r="D9307" s="3">
        <v>0.0</v>
      </c>
      <c r="E9307" s="3">
        <v>1.0</v>
      </c>
      <c r="F9307" s="3" t="s">
        <v>26555</v>
      </c>
      <c r="G9307" s="3">
        <v>0.0</v>
      </c>
      <c r="H9307" s="3">
        <v>0.0</v>
      </c>
      <c r="I9307" s="3" t="s">
        <v>13</v>
      </c>
      <c r="J9307" s="3" t="s">
        <v>26556</v>
      </c>
      <c r="K9307" s="3" t="s">
        <v>75</v>
      </c>
      <c r="L9307" s="3" t="str">
        <f>IFERROR(__xludf.DUMMYFUNCTION("GOOGLETRANSLATE(F9307,""id"",""en"")"),"Bring Argentina World Cup Champion This Message Ronaldo for Lionel Messi")</f>
        <v>Bring Argentina World Cup Champion This Message Ronaldo for Lionel Messi</v>
      </c>
    </row>
    <row r="9308" ht="15.75" customHeight="1">
      <c r="A9308" s="1">
        <v>10537.0</v>
      </c>
      <c r="B9308" s="3" t="s">
        <v>26557</v>
      </c>
      <c r="C9308" s="3">
        <v>1.0</v>
      </c>
      <c r="D9308" s="3">
        <v>0.0</v>
      </c>
      <c r="E9308" s="3">
        <v>1.0</v>
      </c>
      <c r="F9308" s="3" t="s">
        <v>26558</v>
      </c>
      <c r="G9308" s="3">
        <v>1.0</v>
      </c>
      <c r="H9308" s="3">
        <v>1.0</v>
      </c>
      <c r="I9308" s="3" t="s">
        <v>48</v>
      </c>
      <c r="J9308" s="3" t="s">
        <v>26559</v>
      </c>
      <c r="K9308" s="3" t="s">
        <v>441</v>
      </c>
      <c r="L9308" s="3" t="str">
        <f>IFERROR(__xludf.DUMMYFUNCTION("GOOGLETRANSLATE(F9308,""id"",""en"")"),"who has always been a debate whether it can bring Argentina to become the champion of the Qatar World Cup to be a witness to a true goat able to bring Argentine World Cup Messi France Greatest All Time")</f>
        <v>who has always been a debate whether it can bring Argentina to become the champion of the Qatar World Cup to be a witness to a true goat able to bring Argentine World Cup Messi France Greatest All Time</v>
      </c>
    </row>
    <row r="9309" ht="15.75" customHeight="1">
      <c r="A9309" s="1">
        <v>10538.0</v>
      </c>
      <c r="B9309" s="3" t="s">
        <v>26560</v>
      </c>
      <c r="C9309" s="3">
        <v>0.0</v>
      </c>
      <c r="D9309" s="3">
        <v>0.0</v>
      </c>
      <c r="E9309" s="3">
        <v>0.0</v>
      </c>
      <c r="F9309" s="3" t="s">
        <v>26561</v>
      </c>
      <c r="G9309" s="3">
        <v>0.0</v>
      </c>
      <c r="H9309" s="3">
        <v>0.0</v>
      </c>
      <c r="I9309" s="3" t="s">
        <v>13</v>
      </c>
      <c r="J9309" s="3" t="s">
        <v>26562</v>
      </c>
      <c r="K9309" s="3" t="s">
        <v>1097</v>
      </c>
      <c r="L9309" s="3" t="str">
        <f>IFERROR(__xludf.DUMMYFUNCTION("GOOGLETRANSLATE(F9309,""id"",""en"")"),"Argentina has won the Pilduun now it's time for Indonesia to win the AFF")</f>
        <v>Argentina has won the Pilduun now it's time for Indonesia to win the AFF</v>
      </c>
    </row>
    <row r="9310" ht="15.75" customHeight="1">
      <c r="A9310" s="1">
        <v>10539.0</v>
      </c>
      <c r="B9310" s="3" t="s">
        <v>26563</v>
      </c>
      <c r="C9310" s="3">
        <v>0.0</v>
      </c>
      <c r="D9310" s="3">
        <v>0.0</v>
      </c>
      <c r="E9310" s="3">
        <v>4.0</v>
      </c>
      <c r="F9310" s="3" t="s">
        <v>26564</v>
      </c>
      <c r="G9310" s="3">
        <v>0.0</v>
      </c>
      <c r="H9310" s="3">
        <v>0.0</v>
      </c>
      <c r="I9310" s="3" t="s">
        <v>13</v>
      </c>
      <c r="J9310" s="3" t="s">
        <v>26565</v>
      </c>
      <c r="K9310" s="3" t="s">
        <v>15</v>
      </c>
      <c r="L9310" s="3" t="str">
        <f>IFERROR(__xludf.DUMMYFUNCTION("GOOGLETRANSLATE(F9310,""id"",""en"")"),"Argentina World Cup Champion has an amazing tourist destination")</f>
        <v>Argentina World Cup Champion has an amazing tourist destination</v>
      </c>
    </row>
    <row r="9311" ht="15.75" customHeight="1">
      <c r="A9311" s="1">
        <v>10540.0</v>
      </c>
      <c r="B9311" s="3" t="s">
        <v>26566</v>
      </c>
      <c r="C9311" s="3">
        <v>0.0</v>
      </c>
      <c r="D9311" s="3">
        <v>0.0</v>
      </c>
      <c r="E9311" s="3">
        <v>0.0</v>
      </c>
      <c r="F9311" s="3" t="s">
        <v>26567</v>
      </c>
      <c r="G9311" s="3">
        <v>0.0</v>
      </c>
      <c r="H9311" s="3">
        <v>0.0</v>
      </c>
      <c r="I9311" s="3" t="s">
        <v>13</v>
      </c>
      <c r="J9311" s="3" t="s">
        <v>26568</v>
      </c>
      <c r="K9311" s="3" t="s">
        <v>495</v>
      </c>
      <c r="L9311" s="3" t="str">
        <f>IFERROR(__xludf.DUMMYFUNCTION("GOOGLETRANSLATE(F9311,""id"",""en"")"),"Already predicted the same team to the champion for all the France Euro Italy Argentina, what am I talented to be a gambling dealer")</f>
        <v>Already predicted the same team to the champion for all the France Euro Italy Argentina, what am I talented to be a gambling dealer</v>
      </c>
    </row>
    <row r="9312" ht="15.75" customHeight="1">
      <c r="A9312" s="1">
        <v>10541.0</v>
      </c>
      <c r="B9312" s="3" t="s">
        <v>26569</v>
      </c>
      <c r="C9312" s="3">
        <v>0.0</v>
      </c>
      <c r="D9312" s="3">
        <v>0.0</v>
      </c>
      <c r="E9312" s="3">
        <v>0.0</v>
      </c>
      <c r="F9312" s="3" t="s">
        <v>26570</v>
      </c>
      <c r="G9312" s="3">
        <v>0.0</v>
      </c>
      <c r="H9312" s="3">
        <v>0.0</v>
      </c>
      <c r="I9312" s="3" t="s">
        <v>13</v>
      </c>
      <c r="J9312" s="3" t="s">
        <v>26571</v>
      </c>
      <c r="K9312" s="3" t="s">
        <v>477</v>
      </c>
      <c r="L9312" s="3" t="str">
        <f>IFERROR(__xludf.DUMMYFUNCTION("GOOGLETRANSLATE(F9312,""id"",""en"")"),"French champions who are Arabic champions because Saudi can defeat Argentina Subhanallah")</f>
        <v>French champions who are Arabic champions because Saudi can defeat Argentina Subhanallah</v>
      </c>
    </row>
    <row r="9313" ht="15.75" customHeight="1">
      <c r="A9313" s="1">
        <v>10542.0</v>
      </c>
      <c r="B9313" s="3" t="s">
        <v>26572</v>
      </c>
      <c r="C9313" s="3">
        <v>3.0</v>
      </c>
      <c r="D9313" s="3">
        <v>0.0</v>
      </c>
      <c r="E9313" s="3">
        <v>9.0</v>
      </c>
      <c r="F9313" s="3" t="s">
        <v>26573</v>
      </c>
      <c r="G9313" s="3">
        <v>0.0</v>
      </c>
      <c r="H9313" s="3">
        <v>0.0</v>
      </c>
      <c r="I9313" s="3" t="s">
        <v>13</v>
      </c>
      <c r="J9313" s="3" t="s">
        <v>26574</v>
      </c>
      <c r="K9313" s="3" t="s">
        <v>41</v>
      </c>
      <c r="L9313" s="3" t="str">
        <f>IFERROR(__xludf.DUMMYFUNCTION("GOOGLETRANSLATE(F9313,""id"",""en"")"),"not Indonesia who can defeat the Argentina World Cup champion only Kadrun can")</f>
        <v>not Indonesia who can defeat the Argentina World Cup champion only Kadrun can</v>
      </c>
    </row>
    <row r="9314" ht="15.75" customHeight="1">
      <c r="A9314" s="1">
        <v>10543.0</v>
      </c>
      <c r="B9314" s="3" t="s">
        <v>26575</v>
      </c>
      <c r="C9314" s="3">
        <v>0.0</v>
      </c>
      <c r="D9314" s="3">
        <v>0.0</v>
      </c>
      <c r="E9314" s="3">
        <v>0.0</v>
      </c>
      <c r="F9314" s="3" t="s">
        <v>26576</v>
      </c>
      <c r="G9314" s="3">
        <v>0.0</v>
      </c>
      <c r="H9314" s="3">
        <v>0.0</v>
      </c>
      <c r="I9314" s="3" t="s">
        <v>13</v>
      </c>
      <c r="J9314" s="3" t="s">
        <v>26577</v>
      </c>
      <c r="K9314" s="3" t="s">
        <v>50</v>
      </c>
      <c r="L9314" s="3" t="str">
        <f>IFERROR(__xludf.DUMMYFUNCTION("GOOGLETRANSLATE(F9314,""id"",""en"")"),"Argentina Champion Qatar World Cup Lionel Messi Celebrates Maradona's style of victory")</f>
        <v>Argentina Champion Qatar World Cup Lionel Messi Celebrates Maradona's style of victory</v>
      </c>
    </row>
    <row r="9315" ht="15.75" customHeight="1">
      <c r="A9315" s="1">
        <v>10544.0</v>
      </c>
      <c r="B9315" s="3" t="s">
        <v>26578</v>
      </c>
      <c r="C9315" s="3">
        <v>0.0</v>
      </c>
      <c r="D9315" s="3">
        <v>0.0</v>
      </c>
      <c r="E9315" s="3">
        <v>0.0</v>
      </c>
      <c r="F9315" s="3" t="s">
        <v>26579</v>
      </c>
      <c r="G9315" s="3">
        <v>0.0</v>
      </c>
      <c r="H9315" s="3">
        <v>0.0</v>
      </c>
      <c r="I9315" s="3" t="s">
        <v>13</v>
      </c>
      <c r="J9315" s="3" t="s">
        <v>26580</v>
      </c>
      <c r="K9315" s="3" t="s">
        <v>31</v>
      </c>
      <c r="L9315" s="3" t="str">
        <f>IFERROR(__xludf.DUMMYFUNCTION("GOOGLETRANSLATE(F9315,""id"",""en"")"),"Argentine League Champion Has Never Gained")</f>
        <v>Argentine League Champion Has Never Gained</v>
      </c>
    </row>
    <row r="9316" ht="15.75" customHeight="1">
      <c r="A9316" s="1">
        <v>10545.0</v>
      </c>
      <c r="B9316" s="3" t="s">
        <v>26581</v>
      </c>
      <c r="C9316" s="3">
        <v>0.0</v>
      </c>
      <c r="D9316" s="3">
        <v>0.0</v>
      </c>
      <c r="E9316" s="3">
        <v>0.0</v>
      </c>
      <c r="F9316" s="3" t="s">
        <v>26582</v>
      </c>
      <c r="G9316" s="3">
        <v>0.0</v>
      </c>
      <c r="H9316" s="3">
        <v>0.0</v>
      </c>
      <c r="I9316" s="3" t="s">
        <v>13</v>
      </c>
      <c r="J9316" s="3" t="s">
        <v>26583</v>
      </c>
      <c r="K9316" s="3" t="s">
        <v>510</v>
      </c>
      <c r="L9316" s="3" t="str">
        <f>IFERROR(__xludf.DUMMYFUNCTION("GOOGLETRANSLATE(F9316,""id"",""en"")"),"Argentina Floods Records After becoming World Cup Champion Lionel Goat Messi Extraordinary")</f>
        <v>Argentina Floods Records After becoming World Cup Champion Lionel Goat Messi Extraordinary</v>
      </c>
    </row>
    <row r="9317" ht="15.75" customHeight="1">
      <c r="A9317" s="1">
        <v>10546.0</v>
      </c>
      <c r="B9317" s="3" t="s">
        <v>26584</v>
      </c>
      <c r="C9317" s="3">
        <v>1.0</v>
      </c>
      <c r="D9317" s="3">
        <v>0.0</v>
      </c>
      <c r="E9317" s="3">
        <v>0.0</v>
      </c>
      <c r="F9317" s="3" t="s">
        <v>26585</v>
      </c>
      <c r="G9317" s="3">
        <v>0.0</v>
      </c>
      <c r="H9317" s="3">
        <v>0.0</v>
      </c>
      <c r="I9317" s="3" t="s">
        <v>13</v>
      </c>
      <c r="J9317" s="3" t="s">
        <v>26586</v>
      </c>
      <c r="K9317" s="3" t="s">
        <v>644</v>
      </c>
      <c r="L9317" s="3" t="str">
        <f>IFERROR(__xludf.DUMMYFUNCTION("GOOGLETRANSLATE(F9317,""id"",""en"")"),"Argentina Champion Neng Ayaa")</f>
        <v>Argentina Champion Neng Ayaa</v>
      </c>
    </row>
    <row r="9318" ht="15.75" customHeight="1">
      <c r="A9318" s="1">
        <v>10547.0</v>
      </c>
      <c r="B9318" s="3" t="s">
        <v>26587</v>
      </c>
      <c r="C9318" s="3">
        <v>0.0</v>
      </c>
      <c r="D9318" s="3">
        <v>1.0</v>
      </c>
      <c r="E9318" s="3">
        <v>1.0</v>
      </c>
      <c r="F9318" s="3" t="s">
        <v>26588</v>
      </c>
      <c r="G9318" s="3">
        <v>0.0</v>
      </c>
      <c r="H9318" s="3">
        <v>0.0</v>
      </c>
      <c r="I9318" s="3" t="s">
        <v>13</v>
      </c>
      <c r="J9318" s="3" t="s">
        <v>26589</v>
      </c>
      <c r="K9318" s="3" t="s">
        <v>633</v>
      </c>
      <c r="L9318" s="3" t="str">
        <f>IFERROR(__xludf.DUMMYFUNCTION("GOOGLETRANSLATE(F9318,""id"",""en"")"),"I am lucky to have watched you two, but after Argentina, the Qatar World Champion, the competition has been completed between them which is the best now has been answered by lifting the soccer world cup")</f>
        <v>I am lucky to have watched you two, but after Argentina, the Qatar World Champion, the competition has been completed between them which is the best now has been answered by lifting the soccer world cup</v>
      </c>
    </row>
    <row r="9319" ht="15.75" customHeight="1">
      <c r="A9319" s="1">
        <v>10548.0</v>
      </c>
      <c r="B9319" s="3" t="s">
        <v>26590</v>
      </c>
      <c r="C9319" s="3">
        <v>1.0</v>
      </c>
      <c r="D9319" s="3">
        <v>0.0</v>
      </c>
      <c r="E9319" s="3">
        <v>1.0</v>
      </c>
      <c r="F9319" s="3" t="s">
        <v>26591</v>
      </c>
      <c r="G9319" s="3">
        <v>0.0</v>
      </c>
      <c r="H9319" s="3">
        <v>0.0</v>
      </c>
      <c r="I9319" s="3" t="s">
        <v>13</v>
      </c>
      <c r="J9319" s="3" t="s">
        <v>26592</v>
      </c>
      <c r="K9319" s="3" t="s">
        <v>82</v>
      </c>
      <c r="L9319" s="3" t="str">
        <f>IFERROR(__xludf.DUMMYFUNCTION("GOOGLETRANSLATE(F9319,""id"",""en"")"),"Madrid fans on vomiting to see Argentina Champion")</f>
        <v>Madrid fans on vomiting to see Argentina Champion</v>
      </c>
    </row>
    <row r="9320" ht="15.75" customHeight="1">
      <c r="A9320" s="1">
        <v>10549.0</v>
      </c>
      <c r="B9320" s="3" t="s">
        <v>26593</v>
      </c>
      <c r="C9320" s="3">
        <v>0.0</v>
      </c>
      <c r="D9320" s="3">
        <v>0.0</v>
      </c>
      <c r="E9320" s="3">
        <v>0.0</v>
      </c>
      <c r="F9320" s="3" t="s">
        <v>22241</v>
      </c>
      <c r="G9320" s="3">
        <v>0.0</v>
      </c>
      <c r="H9320" s="3">
        <v>0.0</v>
      </c>
      <c r="I9320" s="3" t="s">
        <v>13</v>
      </c>
      <c r="J9320" s="3" t="s">
        <v>16942</v>
      </c>
      <c r="K9320" s="3" t="s">
        <v>644</v>
      </c>
      <c r="L9320" s="3" t="str">
        <f>IFERROR(__xludf.DUMMYFUNCTION("GOOGLETRANSLATE(F9320,""id"",""en"")"),"Argentina Champion World Cup")</f>
        <v>Argentina Champion World Cup</v>
      </c>
    </row>
    <row r="9321" ht="15.75" customHeight="1">
      <c r="A9321" s="1">
        <v>10550.0</v>
      </c>
      <c r="B9321" s="3" t="s">
        <v>26594</v>
      </c>
      <c r="C9321" s="3">
        <v>0.0</v>
      </c>
      <c r="D9321" s="3">
        <v>0.0</v>
      </c>
      <c r="E9321" s="3">
        <v>0.0</v>
      </c>
      <c r="F9321" s="3" t="s">
        <v>26595</v>
      </c>
      <c r="G9321" s="3">
        <v>0.0</v>
      </c>
      <c r="H9321" s="3">
        <v>0.0</v>
      </c>
      <c r="I9321" s="3" t="s">
        <v>13</v>
      </c>
      <c r="J9321" s="3" t="s">
        <v>16104</v>
      </c>
      <c r="K9321" s="3" t="s">
        <v>14571</v>
      </c>
      <c r="L9321" s="3" t="str">
        <f>IFERROR(__xludf.DUMMYFUNCTION("GOOGLETRANSLATE(F9321,""id"",""en"")"),"Especially Argentina has champions")</f>
        <v>Especially Argentina has champions</v>
      </c>
    </row>
    <row r="9322" ht="15.75" customHeight="1">
      <c r="A9322" s="1">
        <v>10551.0</v>
      </c>
      <c r="B9322" s="3" t="s">
        <v>26596</v>
      </c>
      <c r="C9322" s="3">
        <v>0.0</v>
      </c>
      <c r="D9322" s="3">
        <v>0.0</v>
      </c>
      <c r="E9322" s="3">
        <v>0.0</v>
      </c>
      <c r="F9322" s="3" t="s">
        <v>26597</v>
      </c>
      <c r="G9322" s="3">
        <v>0.0</v>
      </c>
      <c r="H9322" s="3">
        <v>0.0</v>
      </c>
      <c r="I9322" s="3" t="s">
        <v>13</v>
      </c>
      <c r="J9322" s="3" t="s">
        <v>26598</v>
      </c>
      <c r="K9322" s="3" t="s">
        <v>15</v>
      </c>
      <c r="L9322" s="3" t="str">
        <f>IFERROR(__xludf.DUMMYFUNCTION("GOOGLETRANSLATE(F9322,""id"",""en"")"),"Argentine feelings of Arabic doains so they are champions")</f>
        <v>Argentine feelings of Arabic doains so they are champions</v>
      </c>
    </row>
    <row r="9323" ht="15.75" customHeight="1">
      <c r="A9323" s="1">
        <v>10552.0</v>
      </c>
      <c r="B9323" s="3" t="s">
        <v>26599</v>
      </c>
      <c r="C9323" s="3">
        <v>1.0</v>
      </c>
      <c r="D9323" s="3">
        <v>0.0</v>
      </c>
      <c r="E9323" s="3">
        <v>0.0</v>
      </c>
      <c r="F9323" s="3" t="s">
        <v>26600</v>
      </c>
      <c r="G9323" s="3">
        <v>0.0</v>
      </c>
      <c r="H9323" s="3">
        <v>0.0</v>
      </c>
      <c r="I9323" s="3" t="s">
        <v>13</v>
      </c>
      <c r="J9323" s="3" t="s">
        <v>26601</v>
      </c>
      <c r="K9323" s="3" t="s">
        <v>322</v>
      </c>
      <c r="L9323" s="3" t="str">
        <f>IFERROR(__xludf.DUMMYFUNCTION("GOOGLETRANSLATE(F9323,""id"",""en"")"),"Argentina Pantes Champion But His First Goal Pantes")</f>
        <v>Argentina Pantes Champion But His First Goal Pantes</v>
      </c>
    </row>
    <row r="9324" ht="15.75" customHeight="1">
      <c r="A9324" s="1">
        <v>10553.0</v>
      </c>
      <c r="B9324" s="3" t="s">
        <v>26602</v>
      </c>
      <c r="C9324" s="3">
        <v>0.0</v>
      </c>
      <c r="D9324" s="3">
        <v>0.0</v>
      </c>
      <c r="E9324" s="3">
        <v>2.0</v>
      </c>
      <c r="F9324" s="3" t="s">
        <v>26603</v>
      </c>
      <c r="G9324" s="3">
        <v>0.0</v>
      </c>
      <c r="H9324" s="3">
        <v>0.0</v>
      </c>
      <c r="I9324" s="3" t="s">
        <v>13</v>
      </c>
      <c r="J9324" s="3" t="s">
        <v>26604</v>
      </c>
      <c r="K9324" s="3" t="s">
        <v>15</v>
      </c>
      <c r="L9324" s="3" t="str">
        <f>IFERROR(__xludf.DUMMYFUNCTION("GOOGLETRANSLATE(F9324,""id"",""en"")"),"Gosh, Argentina's World Champion Why Indonesia's Goat Join Trending")</f>
        <v>Gosh, Argentina's World Champion Why Indonesia's Goat Join Trending</v>
      </c>
    </row>
    <row r="9325" ht="15.75" customHeight="1">
      <c r="A9325" s="1">
        <v>10554.0</v>
      </c>
      <c r="B9325" s="3" t="s">
        <v>26605</v>
      </c>
      <c r="C9325" s="3">
        <v>0.0</v>
      </c>
      <c r="D9325" s="3">
        <v>0.0</v>
      </c>
      <c r="E9325" s="3">
        <v>0.0</v>
      </c>
      <c r="F9325" s="3" t="s">
        <v>26606</v>
      </c>
      <c r="G9325" s="3">
        <v>0.0</v>
      </c>
      <c r="H9325" s="3">
        <v>0.0</v>
      </c>
      <c r="I9325" s="3" t="s">
        <v>13</v>
      </c>
      <c r="J9325" s="3" t="s">
        <v>26607</v>
      </c>
      <c r="K9325" s="3" t="s">
        <v>54</v>
      </c>
      <c r="L9325" s="3" t="str">
        <f>IFERROR(__xludf.DUMMYFUNCTION("GOOGLETRANSLATE(F9325,""id"",""en"")"),"Triadhianto Argentina is indeed time for champions")</f>
        <v>Triadhianto Argentina is indeed time for champions</v>
      </c>
    </row>
    <row r="9326" ht="15.75" customHeight="1">
      <c r="A9326" s="1">
        <v>10555.0</v>
      </c>
      <c r="B9326" s="3" t="s">
        <v>26608</v>
      </c>
      <c r="C9326" s="3">
        <v>0.0</v>
      </c>
      <c r="D9326" s="3">
        <v>0.0</v>
      </c>
      <c r="E9326" s="3">
        <v>2.0</v>
      </c>
      <c r="F9326" s="3" t="s">
        <v>26609</v>
      </c>
      <c r="G9326" s="3">
        <v>0.0</v>
      </c>
      <c r="H9326" s="3">
        <v>0.0</v>
      </c>
      <c r="I9326" s="3" t="s">
        <v>13</v>
      </c>
      <c r="J9326" s="3" t="s">
        <v>26610</v>
      </c>
      <c r="K9326" s="3" t="s">
        <v>41</v>
      </c>
      <c r="L9326" s="3" t="str">
        <f>IFERROR(__xludf.DUMMYFUNCTION("GOOGLETRANSLATE(F9326,""id"",""en"")"),"The fact that during the era he led PSSI Argentina with Messi could be world champion")</f>
        <v>The fact that during the era he led PSSI Argentina with Messi could be world champion</v>
      </c>
    </row>
    <row r="9327" ht="15.75" customHeight="1">
      <c r="A9327" s="1">
        <v>10556.0</v>
      </c>
      <c r="B9327" s="3" t="s">
        <v>26611</v>
      </c>
      <c r="C9327" s="3">
        <v>0.0</v>
      </c>
      <c r="D9327" s="3">
        <v>0.0</v>
      </c>
      <c r="E9327" s="3">
        <v>0.0</v>
      </c>
      <c r="F9327" s="3" t="s">
        <v>17833</v>
      </c>
      <c r="G9327" s="3">
        <v>0.0</v>
      </c>
      <c r="H9327" s="3">
        <v>0.0</v>
      </c>
      <c r="I9327" s="3" t="s">
        <v>13</v>
      </c>
      <c r="J9327" s="3" t="s">
        <v>17834</v>
      </c>
      <c r="K9327" s="3" t="s">
        <v>82</v>
      </c>
      <c r="L9327" s="3" t="str">
        <f>IFERROR(__xludf.DUMMYFUNCTION("GOOGLETRANSLATE(F9327,""id"",""en"")"),"Argentina Champion Learning Politics Competency from the World Cup")</f>
        <v>Argentina Champion Learning Politics Competency from the World Cup</v>
      </c>
    </row>
    <row r="9328" ht="15.75" customHeight="1">
      <c r="A9328" s="1">
        <v>10557.0</v>
      </c>
      <c r="B9328" s="3" t="s">
        <v>26612</v>
      </c>
      <c r="C9328" s="3">
        <v>0.0</v>
      </c>
      <c r="D9328" s="3">
        <v>0.0</v>
      </c>
      <c r="E9328" s="3">
        <v>0.0</v>
      </c>
      <c r="F9328" s="3" t="s">
        <v>26613</v>
      </c>
      <c r="G9328" s="3">
        <v>0.0</v>
      </c>
      <c r="H9328" s="3">
        <v>0.0</v>
      </c>
      <c r="I9328" s="3" t="s">
        <v>13</v>
      </c>
      <c r="J9328" s="3" t="s">
        <v>26614</v>
      </c>
      <c r="K9328" s="3" t="s">
        <v>322</v>
      </c>
      <c r="L9328" s="3" t="str">
        <f>IFERROR(__xludf.DUMMYFUNCTION("GOOGLETRANSLATE(F9328,""id"",""en"")"),"Seconds of Argentina World Cup Champion Seconds")</f>
        <v>Seconds of Argentina World Cup Champion Seconds</v>
      </c>
    </row>
    <row r="9329" ht="15.75" customHeight="1">
      <c r="A9329" s="1">
        <v>10558.0</v>
      </c>
      <c r="B9329" s="3" t="s">
        <v>26615</v>
      </c>
      <c r="C9329" s="3">
        <v>0.0</v>
      </c>
      <c r="D9329" s="3">
        <v>0.0</v>
      </c>
      <c r="E9329" s="3">
        <v>0.0</v>
      </c>
      <c r="F9329" s="3" t="s">
        <v>26616</v>
      </c>
      <c r="G9329" s="3">
        <v>1.0</v>
      </c>
      <c r="H9329" s="3">
        <v>0.0</v>
      </c>
      <c r="I9329" s="3" t="s">
        <v>13</v>
      </c>
      <c r="J9329" s="3" t="s">
        <v>26617</v>
      </c>
      <c r="K9329" s="3" t="s">
        <v>1656</v>
      </c>
      <c r="L9329" s="3" t="str">
        <f>IFERROR(__xludf.DUMMYFUNCTION("GOOGLETRANSLATE(F9329,""id"",""en"")"),"Argentina won the World Cup after defeating France through the Argentine French duel penalty shootout in the World Cup final.")</f>
        <v>Argentina won the World Cup after defeating France through the Argentine French duel penalty shootout in the World Cup final.</v>
      </c>
    </row>
    <row r="9330" ht="15.75" customHeight="1">
      <c r="A9330" s="1">
        <v>10559.0</v>
      </c>
      <c r="B9330" s="3" t="s">
        <v>26618</v>
      </c>
      <c r="C9330" s="3">
        <v>0.0</v>
      </c>
      <c r="D9330" s="3">
        <v>0.0</v>
      </c>
      <c r="E9330" s="3">
        <v>1.0</v>
      </c>
      <c r="F9330" s="3" t="s">
        <v>24943</v>
      </c>
      <c r="G9330" s="3">
        <v>0.0</v>
      </c>
      <c r="H9330" s="3">
        <v>0.0</v>
      </c>
      <c r="I9330" s="3" t="s">
        <v>13</v>
      </c>
      <c r="J9330" s="3" t="s">
        <v>24944</v>
      </c>
      <c r="K9330" s="3" t="s">
        <v>510</v>
      </c>
      <c r="L9330" s="3" t="str">
        <f>IFERROR(__xludf.DUMMYFUNCTION("GOOGLETRANSLATE(F9330,""id"",""en"")"),"Video Waduh Drake loses billions of betting money despite champion of Argentina World Cup champions")</f>
        <v>Video Waduh Drake loses billions of betting money despite champion of Argentina World Cup champions</v>
      </c>
    </row>
    <row r="9331" ht="15.75" customHeight="1">
      <c r="A9331" s="1">
        <v>10560.0</v>
      </c>
      <c r="B9331" s="3" t="s">
        <v>26619</v>
      </c>
      <c r="C9331" s="3">
        <v>0.0</v>
      </c>
      <c r="D9331" s="3">
        <v>0.0</v>
      </c>
      <c r="E9331" s="3">
        <v>4.0</v>
      </c>
      <c r="F9331" s="3" t="s">
        <v>26620</v>
      </c>
      <c r="G9331" s="3">
        <v>0.0</v>
      </c>
      <c r="H9331" s="3">
        <v>0.0</v>
      </c>
      <c r="I9331" s="3" t="s">
        <v>13</v>
      </c>
      <c r="J9331" s="3" t="s">
        <v>26621</v>
      </c>
      <c r="K9331" s="3" t="s">
        <v>75</v>
      </c>
      <c r="L9331" s="3" t="str">
        <f>IFERROR(__xludf.DUMMYFUNCTION("GOOGLETRANSLATE(F9331,""id"",""en"")"),"Photo Celebration of the Argentine National Team Champion World Cup Lionel Messi Motm")</f>
        <v>Photo Celebration of the Argentine National Team Champion World Cup Lionel Messi Motm</v>
      </c>
    </row>
    <row r="9332" ht="15.75" customHeight="1">
      <c r="A9332" s="1">
        <v>10561.0</v>
      </c>
      <c r="B9332" s="3" t="s">
        <v>26622</v>
      </c>
      <c r="C9332" s="3">
        <v>2.0</v>
      </c>
      <c r="D9332" s="3">
        <v>0.0</v>
      </c>
      <c r="E9332" s="3">
        <v>1.0</v>
      </c>
      <c r="F9332" s="3" t="s">
        <v>26623</v>
      </c>
      <c r="G9332" s="3">
        <v>0.525</v>
      </c>
      <c r="H9332" s="3">
        <v>0.425</v>
      </c>
      <c r="I9332" s="3" t="s">
        <v>48</v>
      </c>
      <c r="J9332" s="3" t="s">
        <v>26624</v>
      </c>
      <c r="K9332" s="3" t="s">
        <v>41</v>
      </c>
      <c r="L9332" s="3" t="str">
        <f>IFERROR(__xludf.DUMMYFUNCTION("GOOGLETRANSLATE(F9332,""id"",""en"")"),"Argentina Can Champion Gara Full Support Top Management Maszzeh Awkowkwowko")</f>
        <v>Argentina Can Champion Gara Full Support Top Management Maszzeh Awkowkwowko</v>
      </c>
    </row>
    <row r="9333" ht="15.75" customHeight="1">
      <c r="A9333" s="1">
        <v>10562.0</v>
      </c>
      <c r="B9333" s="3" t="s">
        <v>26625</v>
      </c>
      <c r="C9333" s="3">
        <v>4.0</v>
      </c>
      <c r="D9333" s="3">
        <v>1.0</v>
      </c>
      <c r="E9333" s="3">
        <v>38.0</v>
      </c>
      <c r="F9333" s="3" t="s">
        <v>26626</v>
      </c>
      <c r="G9333" s="3">
        <v>0.0</v>
      </c>
      <c r="H9333" s="3">
        <v>0.0</v>
      </c>
      <c r="I9333" s="3" t="s">
        <v>13</v>
      </c>
      <c r="J9333" s="3" t="s">
        <v>26627</v>
      </c>
      <c r="K9333" s="3" t="s">
        <v>510</v>
      </c>
      <c r="L9333" s="3" t="str">
        <f>IFERROR(__xludf.DUMMYFUNCTION("GOOGLETRANSLATE(F9333,""id"",""en"")"),"The event has been complete Argentina Champion Kova and Croatia won the third position of your hope blues after")</f>
        <v>The event has been complete Argentina Champion Kova and Croatia won the third position of your hope blues after</v>
      </c>
    </row>
    <row r="9334" ht="15.75" customHeight="1">
      <c r="A9334" s="1">
        <v>10563.0</v>
      </c>
      <c r="B9334" s="3" t="s">
        <v>26628</v>
      </c>
      <c r="C9334" s="3">
        <v>13.0</v>
      </c>
      <c r="D9334" s="3">
        <v>19.0</v>
      </c>
      <c r="E9334" s="3">
        <v>264.0</v>
      </c>
      <c r="F9334" s="3" t="s">
        <v>26629</v>
      </c>
      <c r="G9334" s="3">
        <v>0.0</v>
      </c>
      <c r="H9334" s="3">
        <v>0.0</v>
      </c>
      <c r="I9334" s="3" t="s">
        <v>13</v>
      </c>
      <c r="J9334" s="3" t="s">
        <v>26630</v>
      </c>
      <c r="K9334" s="3" t="s">
        <v>75</v>
      </c>
      <c r="L9334" s="3" t="str">
        <f>IFERROR(__xludf.DUMMYFUNCTION("GOOGLETRANSLATE(F9334,""id"",""en"")"),"From Argentina we learned that those who champions are not those who have never lost they are able to respond to defeat well")</f>
        <v>From Argentina we learned that those who champions are not those who have never lost they are able to respond to defeat well</v>
      </c>
    </row>
    <row r="9335" ht="15.75" customHeight="1">
      <c r="A9335" s="1">
        <v>10564.0</v>
      </c>
      <c r="B9335" s="3" t="s">
        <v>26631</v>
      </c>
      <c r="C9335" s="3">
        <v>0.0</v>
      </c>
      <c r="D9335" s="3">
        <v>1.0</v>
      </c>
      <c r="E9335" s="3">
        <v>4.0</v>
      </c>
      <c r="F9335" s="3" t="s">
        <v>26632</v>
      </c>
      <c r="G9335" s="3">
        <v>0.0</v>
      </c>
      <c r="H9335" s="3">
        <v>0.0</v>
      </c>
      <c r="I9335" s="3" t="s">
        <v>13</v>
      </c>
      <c r="J9335" s="3" t="s">
        <v>26633</v>
      </c>
      <c r="K9335" s="3" t="s">
        <v>1925</v>
      </c>
      <c r="L9335" s="3" t="str">
        <f>IFERROR(__xludf.DUMMYFUNCTION("GOOGLETRANSLATE(F9335,""id"",""en"")"),"Brazil champions Pilduun After that the European Pilduun Episode won the Championship Episode, it was time for the Pilduun Trophy to fly back the Latin American team Messi Argentina")</f>
        <v>Brazil champions Pilduun After that the European Pilduun Episode won the Championship Episode, it was time for the Pilduun Trophy to fly back the Latin American team Messi Argentina</v>
      </c>
    </row>
    <row r="9336" ht="15.75" customHeight="1">
      <c r="A9336" s="1">
        <v>10565.0</v>
      </c>
      <c r="B9336" s="3" t="s">
        <v>26634</v>
      </c>
      <c r="C9336" s="3">
        <v>3.0</v>
      </c>
      <c r="D9336" s="3">
        <v>0.0</v>
      </c>
      <c r="E9336" s="3">
        <v>49.0</v>
      </c>
      <c r="F9336" s="3" t="s">
        <v>26635</v>
      </c>
      <c r="G9336" s="3">
        <v>0.0</v>
      </c>
      <c r="H9336" s="3">
        <v>0.0</v>
      </c>
      <c r="I9336" s="3" t="s">
        <v>13</v>
      </c>
      <c r="J9336" s="3" t="s">
        <v>26636</v>
      </c>
      <c r="K9336" s="3" t="s">
        <v>41</v>
      </c>
      <c r="L9336" s="3" t="str">
        <f>IFERROR(__xludf.DUMMYFUNCTION("GOOGLETRANSLATE(F9336,""id"",""en"")"),"Ronaldo's girlfriend, how come I believe in Argentina, even though his own country")</f>
        <v>Ronaldo's girlfriend, how come I believe in Argentina, even though his own country</v>
      </c>
    </row>
    <row r="9337" ht="15.75" customHeight="1">
      <c r="A9337" s="1">
        <v>10566.0</v>
      </c>
      <c r="B9337" s="3" t="s">
        <v>26637</v>
      </c>
      <c r="C9337" s="3">
        <v>1.0</v>
      </c>
      <c r="D9337" s="3">
        <v>0.0</v>
      </c>
      <c r="E9337" s="3">
        <v>0.0</v>
      </c>
      <c r="F9337" s="3" t="s">
        <v>26638</v>
      </c>
      <c r="G9337" s="3">
        <v>0.0</v>
      </c>
      <c r="H9337" s="3">
        <v>0.0</v>
      </c>
      <c r="I9337" s="3" t="s">
        <v>13</v>
      </c>
      <c r="J9337" s="3" t="s">
        <v>26639</v>
      </c>
      <c r="K9337" s="3" t="s">
        <v>31</v>
      </c>
      <c r="L9337" s="3" t="str">
        <f>IFERROR(__xludf.DUMMYFUNCTION("GOOGLETRANSLATE(F9337,""id"",""en"")"),"Gun Argentina Champion Bhuakakakakakakkkkkk")</f>
        <v>Gun Argentina Champion Bhuakakakakakakkkkkk</v>
      </c>
    </row>
    <row r="9338" ht="15.75" customHeight="1">
      <c r="A9338" s="1">
        <v>10567.0</v>
      </c>
      <c r="B9338" s="3" t="s">
        <v>26640</v>
      </c>
      <c r="C9338" s="3">
        <v>0.0</v>
      </c>
      <c r="D9338" s="3">
        <v>0.0</v>
      </c>
      <c r="E9338" s="3">
        <v>0.0</v>
      </c>
      <c r="F9338" s="3" t="s">
        <v>26641</v>
      </c>
      <c r="G9338" s="3">
        <v>0.0</v>
      </c>
      <c r="H9338" s="3">
        <v>0.0</v>
      </c>
      <c r="I9338" s="3" t="s">
        <v>13</v>
      </c>
      <c r="J9338" s="3" t="s">
        <v>26642</v>
      </c>
      <c r="K9338" s="3" t="s">
        <v>215</v>
      </c>
      <c r="L9338" s="3" t="str">
        <f>IFERROR(__xludf.DUMMYFUNCTION("GOOGLETRANSLATE(F9338,""id"",""en"")"),"Abd yes, Pablo Aimar The Clown and Ariel Ortega used to be called The Next Maradona withered before developing full scaloni medioker midfielder can bring Argentina Copa America and World champions champions")</f>
        <v>Abd yes, Pablo Aimar The Clown and Ariel Ortega used to be called The Next Maradona withered before developing full scaloni medioker midfielder can bring Argentina Copa America and World champions champions</v>
      </c>
    </row>
    <row r="9339" ht="15.75" customHeight="1">
      <c r="A9339" s="1">
        <v>10568.0</v>
      </c>
      <c r="B9339" s="3" t="s">
        <v>26643</v>
      </c>
      <c r="C9339" s="3">
        <v>0.0</v>
      </c>
      <c r="D9339" s="3">
        <v>0.0</v>
      </c>
      <c r="E9339" s="3">
        <v>0.0</v>
      </c>
      <c r="F9339" s="3" t="s">
        <v>26644</v>
      </c>
      <c r="G9339" s="3">
        <v>0.0</v>
      </c>
      <c r="H9339" s="3">
        <v>0.0</v>
      </c>
      <c r="I9339" s="3" t="s">
        <v>13</v>
      </c>
      <c r="J9339" s="3" t="s">
        <v>26645</v>
      </c>
      <c r="K9339" s="3" t="s">
        <v>1097</v>
      </c>
      <c r="L9339" s="3" t="str">
        <f>IFERROR(__xludf.DUMMYFUNCTION("GOOGLETRANSLATE(F9339,""id"",""en"")"),"Congrats Argentina Messi Complete has been guessed by PUBG as well as Argentina champions wkwkwk")</f>
        <v>Congrats Argentina Messi Complete has been guessed by PUBG as well as Argentina champions wkwkwk</v>
      </c>
    </row>
    <row r="9340" ht="15.75" customHeight="1">
      <c r="A9340" s="1">
        <v>10569.0</v>
      </c>
      <c r="B9340" s="3" t="s">
        <v>26646</v>
      </c>
      <c r="C9340" s="3">
        <v>2.0</v>
      </c>
      <c r="D9340" s="3">
        <v>3.0</v>
      </c>
      <c r="E9340" s="3">
        <v>3.0</v>
      </c>
      <c r="F9340" s="3" t="s">
        <v>26646</v>
      </c>
      <c r="G9340" s="3">
        <v>0.0</v>
      </c>
      <c r="H9340" s="3">
        <v>0.0</v>
      </c>
      <c r="I9340" s="3" t="s">
        <v>13</v>
      </c>
      <c r="J9340" s="3" t="s">
        <v>26647</v>
      </c>
      <c r="K9340" s="3" t="s">
        <v>54</v>
      </c>
      <c r="L9340" s="3" t="str">
        <f>IFERROR(__xludf.DUMMYFUNCTION("GOOGLETRANSLATE(F9340,""id"",""en"")"),"Argentina Champion who raised Iwan Bule Cup")</f>
        <v>Argentina Champion who raised Iwan Bule Cup</v>
      </c>
    </row>
    <row r="9341" ht="15.75" customHeight="1">
      <c r="A9341" s="1">
        <v>10570.0</v>
      </c>
      <c r="B9341" s="3" t="s">
        <v>26648</v>
      </c>
      <c r="C9341" s="3">
        <v>0.0</v>
      </c>
      <c r="D9341" s="3">
        <v>0.0</v>
      </c>
      <c r="E9341" s="3">
        <v>1.0</v>
      </c>
      <c r="F9341" s="3" t="s">
        <v>24943</v>
      </c>
      <c r="G9341" s="3">
        <v>0.0</v>
      </c>
      <c r="H9341" s="3">
        <v>0.0</v>
      </c>
      <c r="I9341" s="3" t="s">
        <v>13</v>
      </c>
      <c r="J9341" s="3" t="s">
        <v>24944</v>
      </c>
      <c r="K9341" s="3" t="s">
        <v>510</v>
      </c>
      <c r="L9341" s="3" t="str">
        <f>IFERROR(__xludf.DUMMYFUNCTION("GOOGLETRANSLATE(F9341,""id"",""en"")"),"Video Waduh Drake loses billions of betting money despite champion of Argentina World Cup champions")</f>
        <v>Video Waduh Drake loses billions of betting money despite champion of Argentina World Cup champions</v>
      </c>
    </row>
    <row r="9342" ht="15.75" customHeight="1">
      <c r="A9342" s="1">
        <v>10571.0</v>
      </c>
      <c r="B9342" s="3" t="s">
        <v>26649</v>
      </c>
      <c r="C9342" s="3">
        <v>0.0</v>
      </c>
      <c r="D9342" s="3">
        <v>0.0</v>
      </c>
      <c r="E9342" s="3">
        <v>2.0</v>
      </c>
      <c r="F9342" s="3" t="s">
        <v>26331</v>
      </c>
      <c r="G9342" s="3">
        <v>0.0</v>
      </c>
      <c r="H9342" s="3">
        <v>0.0</v>
      </c>
      <c r="I9342" s="3" t="s">
        <v>13</v>
      </c>
      <c r="J9342" s="3" t="s">
        <v>26332</v>
      </c>
      <c r="K9342" s="3" t="s">
        <v>15</v>
      </c>
      <c r="L9342" s="3" t="str">
        <f>IFERROR(__xludf.DUMMYFUNCTION("GOOGLETRANSLATE(F9342,""id"",""en"")"),"Argentina Video World Cup Champion Welcomed to Gempita Fans")</f>
        <v>Argentina Video World Cup Champion Welcomed to Gempita Fans</v>
      </c>
    </row>
    <row r="9343" ht="15.75" customHeight="1">
      <c r="A9343" s="1">
        <v>10572.0</v>
      </c>
      <c r="B9343" s="3" t="s">
        <v>26650</v>
      </c>
      <c r="C9343" s="3">
        <v>0.0</v>
      </c>
      <c r="D9343" s="3">
        <v>0.0</v>
      </c>
      <c r="E9343" s="3">
        <v>1.0</v>
      </c>
      <c r="F9343" s="3" t="s">
        <v>26651</v>
      </c>
      <c r="G9343" s="3">
        <v>0.0</v>
      </c>
      <c r="H9343" s="3">
        <v>0.0</v>
      </c>
      <c r="I9343" s="3" t="s">
        <v>13</v>
      </c>
      <c r="J9343" s="3" t="s">
        <v>26652</v>
      </c>
      <c r="K9343" s="3" t="s">
        <v>510</v>
      </c>
      <c r="L9343" s="3" t="str">
        <f>IFERROR(__xludf.DUMMYFUNCTION("GOOGLETRANSLATE(F9343,""id"",""en"")"),"Argentina and Messi have won the World Cup now when my wine is a superior meal of the family")</f>
        <v>Argentina and Messi have won the World Cup now when my wine is a superior meal of the family</v>
      </c>
    </row>
    <row r="9344" ht="15.75" customHeight="1">
      <c r="A9344" s="1">
        <v>10573.0</v>
      </c>
      <c r="B9344" s="3" t="s">
        <v>26653</v>
      </c>
      <c r="C9344" s="3">
        <v>1.0</v>
      </c>
      <c r="D9344" s="3">
        <v>0.0</v>
      </c>
      <c r="E9344" s="3">
        <v>1.0</v>
      </c>
      <c r="F9344" s="3" t="s">
        <v>26635</v>
      </c>
      <c r="G9344" s="3">
        <v>0.0</v>
      </c>
      <c r="H9344" s="3">
        <v>0.0</v>
      </c>
      <c r="I9344" s="3" t="s">
        <v>13</v>
      </c>
      <c r="J9344" s="3" t="s">
        <v>26636</v>
      </c>
      <c r="K9344" s="3" t="s">
        <v>41</v>
      </c>
      <c r="L9344" s="3" t="str">
        <f>IFERROR(__xludf.DUMMYFUNCTION("GOOGLETRANSLATE(F9344,""id"",""en"")"),"Ronaldo's girlfriend, how come I believe in Argentina, even though his own country")</f>
        <v>Ronaldo's girlfriend, how come I believe in Argentina, even though his own country</v>
      </c>
    </row>
    <row r="9345" ht="15.75" customHeight="1">
      <c r="A9345" s="1">
        <v>10574.0</v>
      </c>
      <c r="B9345" s="3" t="s">
        <v>26654</v>
      </c>
      <c r="C9345" s="3">
        <v>0.0</v>
      </c>
      <c r="D9345" s="3">
        <v>0.0</v>
      </c>
      <c r="E9345" s="3">
        <v>1.0</v>
      </c>
      <c r="F9345" s="3" t="s">
        <v>26655</v>
      </c>
      <c r="G9345" s="3">
        <v>0.0</v>
      </c>
      <c r="H9345" s="3">
        <v>0.0</v>
      </c>
      <c r="I9345" s="3" t="s">
        <v>13</v>
      </c>
      <c r="J9345" s="3" t="s">
        <v>26656</v>
      </c>
      <c r="K9345" s="3" t="s">
        <v>75</v>
      </c>
      <c r="L9345" s="3" t="str">
        <f>IFERROR(__xludf.DUMMYFUNCTION("GOOGLETRANSLATE(F9345,""id"",""en"")"),"Idn his girlfriend Ronaldo, how come I believe in Argentina, even though his own country")</f>
        <v>Idn his girlfriend Ronaldo, how come I believe in Argentina, even though his own country</v>
      </c>
    </row>
    <row r="9346" ht="15.75" customHeight="1">
      <c r="A9346" s="1">
        <v>10575.0</v>
      </c>
      <c r="B9346" s="3" t="s">
        <v>26657</v>
      </c>
      <c r="C9346" s="3">
        <v>0.0</v>
      </c>
      <c r="D9346" s="3">
        <v>0.0</v>
      </c>
      <c r="E9346" s="3">
        <v>0.0</v>
      </c>
      <c r="F9346" s="3" t="s">
        <v>26658</v>
      </c>
      <c r="G9346" s="3">
        <v>0.0</v>
      </c>
      <c r="H9346" s="3">
        <v>0.0</v>
      </c>
      <c r="I9346" s="3" t="s">
        <v>13</v>
      </c>
      <c r="J9346" s="3" t="s">
        <v>26659</v>
      </c>
      <c r="K9346" s="3" t="s">
        <v>699</v>
      </c>
      <c r="L9346" s="3" t="str">
        <f>IFERROR(__xludf.DUMMYFUNCTION("GOOGLETRANSLATE(F9346,""id"",""en"")"),"btw can flu why the Argentine national team is said to have been arranged by the World Cup champion because of the French players hit by a mysterious flu passing by")</f>
        <v>btw can flu why the Argentine national team is said to have been arranged by the World Cup champion because of the French players hit by a mysterious flu passing by</v>
      </c>
    </row>
    <row r="9347" ht="15.75" customHeight="1">
      <c r="A9347" s="1">
        <v>10576.0</v>
      </c>
      <c r="B9347" s="3" t="s">
        <v>26660</v>
      </c>
      <c r="C9347" s="3">
        <v>1.0</v>
      </c>
      <c r="D9347" s="3">
        <v>0.0</v>
      </c>
      <c r="E9347" s="3">
        <v>0.0</v>
      </c>
      <c r="F9347" s="3" t="s">
        <v>26661</v>
      </c>
      <c r="G9347" s="3">
        <v>0.0</v>
      </c>
      <c r="H9347" s="3">
        <v>0.0</v>
      </c>
      <c r="I9347" s="3" t="s">
        <v>13</v>
      </c>
      <c r="J9347" s="3" t="s">
        <v>26662</v>
      </c>
      <c r="K9347" s="3" t="s">
        <v>149</v>
      </c>
      <c r="L9347" s="3" t="str">
        <f>IFERROR(__xludf.DUMMYFUNCTION("GOOGLETRANSLATE(F9347,""id"",""en"")"),"Who said that I bet Argentina with British far away and can get million yesterday he said Messi would cry yes crying because the champion")</f>
        <v>Who said that I bet Argentina with British far away and can get million yesterday he said Messi would cry yes crying because the champion</v>
      </c>
    </row>
    <row r="9348" ht="15.75" customHeight="1">
      <c r="A9348" s="1">
        <v>10577.0</v>
      </c>
      <c r="B9348" s="3" t="s">
        <v>26663</v>
      </c>
      <c r="C9348" s="3">
        <v>0.0</v>
      </c>
      <c r="D9348" s="3">
        <v>0.0</v>
      </c>
      <c r="E9348" s="3">
        <v>0.0</v>
      </c>
      <c r="F9348" s="3" t="s">
        <v>26664</v>
      </c>
      <c r="G9348" s="3">
        <v>0.0</v>
      </c>
      <c r="H9348" s="3">
        <v>0.0</v>
      </c>
      <c r="I9348" s="3" t="s">
        <v>13</v>
      </c>
      <c r="J9348" s="3" t="s">
        <v>26665</v>
      </c>
      <c r="K9348" s="3" t="s">
        <v>644</v>
      </c>
      <c r="L9348" s="3" t="str">
        <f>IFERROR(__xludf.DUMMYFUNCTION("GOOGLETRANSLATE(F9348,""id"",""en"")"),"Argentina World Cup Champion")</f>
        <v>Argentina World Cup Champion</v>
      </c>
    </row>
    <row r="9349" ht="15.75" customHeight="1">
      <c r="A9349" s="1">
        <v>10578.0</v>
      </c>
      <c r="B9349" s="3" t="s">
        <v>26666</v>
      </c>
      <c r="C9349" s="3">
        <v>0.0</v>
      </c>
      <c r="D9349" s="3">
        <v>0.0</v>
      </c>
      <c r="E9349" s="3">
        <v>0.0</v>
      </c>
      <c r="F9349" s="3" t="s">
        <v>26667</v>
      </c>
      <c r="G9349" s="3">
        <v>0.0</v>
      </c>
      <c r="H9349" s="3">
        <v>0.0</v>
      </c>
      <c r="I9349" s="3" t="s">
        <v>13</v>
      </c>
      <c r="J9349" s="3" t="s">
        <v>26668</v>
      </c>
      <c r="K9349" s="3" t="s">
        <v>19</v>
      </c>
      <c r="L9349" s="3" t="str">
        <f>IFERROR(__xludf.DUMMYFUNCTION("GOOGLETRANSLATE(F9349,""id"",""en"")"),"The following is a series of records of Lionel Messi after bringing Argentina to the Qatar World Cup championship")</f>
        <v>The following is a series of records of Lionel Messi after bringing Argentina to the Qatar World Cup championship</v>
      </c>
    </row>
    <row r="9350" ht="15.75" customHeight="1">
      <c r="A9350" s="1">
        <v>10579.0</v>
      </c>
      <c r="B9350" s="3" t="s">
        <v>26669</v>
      </c>
      <c r="C9350" s="3">
        <v>0.0</v>
      </c>
      <c r="D9350" s="3">
        <v>0.0</v>
      </c>
      <c r="E9350" s="3">
        <v>0.0</v>
      </c>
      <c r="F9350" s="3" t="s">
        <v>26670</v>
      </c>
      <c r="G9350" s="3">
        <v>0.0</v>
      </c>
      <c r="H9350" s="3">
        <v>0.0</v>
      </c>
      <c r="I9350" s="3" t="s">
        <v>13</v>
      </c>
      <c r="J9350" s="3" t="s">
        <v>26671</v>
      </c>
      <c r="K9350" s="3" t="s">
        <v>184</v>
      </c>
      <c r="L9350" s="3" t="str">
        <f>IFERROR(__xludf.DUMMYFUNCTION("GOOGLETRANSLATE(F9350,""id"",""en"")"),"Lionel Messi recorded a variety of records after bringing Argentina the Qatar World Cup champion Messi also won the title of the best player")</f>
        <v>Lionel Messi recorded a variety of records after bringing Argentina the Qatar World Cup champion Messi also won the title of the best player</v>
      </c>
    </row>
    <row r="9351" ht="15.75" customHeight="1">
      <c r="A9351" s="1">
        <v>10580.0</v>
      </c>
      <c r="B9351" s="3" t="s">
        <v>26672</v>
      </c>
      <c r="C9351" s="3">
        <v>0.0</v>
      </c>
      <c r="D9351" s="3">
        <v>0.0</v>
      </c>
      <c r="E9351" s="3">
        <v>0.0</v>
      </c>
      <c r="F9351" s="3" t="s">
        <v>26673</v>
      </c>
      <c r="G9351" s="3">
        <v>0.0</v>
      </c>
      <c r="H9351" s="3">
        <v>0.0</v>
      </c>
      <c r="I9351" s="3" t="s">
        <v>13</v>
      </c>
      <c r="J9351" s="3" t="s">
        <v>26674</v>
      </c>
      <c r="K9351" s="3" t="s">
        <v>236</v>
      </c>
      <c r="L9351" s="3" t="str">
        <f>IFERROR(__xludf.DUMMYFUNCTION("GOOGLETRANSLATE(F9351,""id"",""en"")"),"Good afternoon people who are sleepy because of staying up late watching Argentina Champion")</f>
        <v>Good afternoon people who are sleepy because of staying up late watching Argentina Champion</v>
      </c>
    </row>
    <row r="9352" ht="15.75" customHeight="1">
      <c r="A9352" s="1">
        <v>10581.0</v>
      </c>
      <c r="B9352" s="3" t="s">
        <v>26675</v>
      </c>
      <c r="C9352" s="3">
        <v>0.0</v>
      </c>
      <c r="D9352" s="3">
        <v>0.0</v>
      </c>
      <c r="E9352" s="3">
        <v>0.0</v>
      </c>
      <c r="F9352" s="3" t="s">
        <v>26676</v>
      </c>
      <c r="G9352" s="3">
        <v>0.0</v>
      </c>
      <c r="H9352" s="3">
        <v>0.0</v>
      </c>
      <c r="I9352" s="3" t="s">
        <v>13</v>
      </c>
      <c r="J9352" s="3" t="s">
        <v>26677</v>
      </c>
      <c r="K9352" s="3" t="s">
        <v>1656</v>
      </c>
      <c r="L9352" s="3" t="str">
        <f>IFERROR(__xludf.DUMMYFUNCTION("GOOGLETRANSLATE(F9352,""id"",""en"")"),"The one who won the hot Messi fans Ronaldo wkwkwkwk Portugal has long been in the long time of the French Argentina match that should be hot the fans mbappe wkwkwk hilarious fans are stupid stupid fans alay")</f>
        <v>The one who won the hot Messi fans Ronaldo wkwkwkwk Portugal has long been in the long time of the French Argentina match that should be hot the fans mbappe wkwkwk hilarious fans are stupid stupid fans alay</v>
      </c>
    </row>
    <row r="9353" ht="15.75" customHeight="1">
      <c r="A9353" s="1">
        <v>10582.0</v>
      </c>
      <c r="B9353" s="3" t="s">
        <v>26678</v>
      </c>
      <c r="C9353" s="3">
        <v>0.0</v>
      </c>
      <c r="D9353" s="3">
        <v>0.0</v>
      </c>
      <c r="E9353" s="3">
        <v>1.0</v>
      </c>
      <c r="F9353" s="3" t="s">
        <v>26679</v>
      </c>
      <c r="G9353" s="3">
        <v>0.0</v>
      </c>
      <c r="H9353" s="3">
        <v>0.0</v>
      </c>
      <c r="I9353" s="3" t="s">
        <v>13</v>
      </c>
      <c r="J9353" s="3" t="s">
        <v>26680</v>
      </c>
      <c r="K9353" s="3" t="s">
        <v>31</v>
      </c>
      <c r="L9353" s="3" t="str">
        <f>IFERROR(__xludf.DUMMYFUNCTION("GOOGLETRANSLATE(F9353,""id"",""en"")"),"the Argentine champion why there is an Australian federation as well as Sat")</f>
        <v>the Argentine champion why there is an Australian federation as well as Sat</v>
      </c>
    </row>
    <row r="9354" ht="15.75" customHeight="1">
      <c r="A9354" s="1">
        <v>10583.0</v>
      </c>
      <c r="B9354" s="3" t="s">
        <v>26681</v>
      </c>
      <c r="C9354" s="3">
        <v>0.0</v>
      </c>
      <c r="D9354" s="3">
        <v>0.0</v>
      </c>
      <c r="E9354" s="3">
        <v>1.0</v>
      </c>
      <c r="F9354" s="3" t="s">
        <v>26682</v>
      </c>
      <c r="G9354" s="3">
        <v>0.0</v>
      </c>
      <c r="H9354" s="3">
        <v>0.0</v>
      </c>
      <c r="I9354" s="3" t="s">
        <v>13</v>
      </c>
      <c r="J9354" s="3" t="s">
        <v>26683</v>
      </c>
      <c r="K9354" s="3" t="s">
        <v>50</v>
      </c>
      <c r="L9354" s="3" t="str">
        <f>IFERROR(__xludf.DUMMYFUNCTION("GOOGLETRANSLATE(F9354,""id"",""en"")"),"As expected, this Persib player has predicted and championed Argentina champions of the Qatar World Cup")</f>
        <v>As expected, this Persib player has predicted and championed Argentina champions of the Qatar World Cup</v>
      </c>
    </row>
    <row r="9355" ht="15.75" customHeight="1">
      <c r="A9355" s="1">
        <v>10584.0</v>
      </c>
      <c r="B9355" s="3" t="s">
        <v>26684</v>
      </c>
      <c r="C9355" s="3">
        <v>0.0</v>
      </c>
      <c r="D9355" s="3">
        <v>0.0</v>
      </c>
      <c r="E9355" s="3">
        <v>2.0</v>
      </c>
      <c r="F9355" s="3" t="s">
        <v>26331</v>
      </c>
      <c r="G9355" s="3">
        <v>0.0</v>
      </c>
      <c r="H9355" s="3">
        <v>0.0</v>
      </c>
      <c r="I9355" s="3" t="s">
        <v>13</v>
      </c>
      <c r="J9355" s="3" t="s">
        <v>26332</v>
      </c>
      <c r="K9355" s="3" t="s">
        <v>15</v>
      </c>
      <c r="L9355" s="3" t="str">
        <f>IFERROR(__xludf.DUMMYFUNCTION("GOOGLETRANSLATE(F9355,""id"",""en"")"),"Argentina Video World Cup Champion Welcomed to Gempita Fans")</f>
        <v>Argentina Video World Cup Champion Welcomed to Gempita Fans</v>
      </c>
    </row>
    <row r="9356" ht="15.75" customHeight="1">
      <c r="A9356" s="1">
        <v>10585.0</v>
      </c>
      <c r="B9356" s="3" t="s">
        <v>26685</v>
      </c>
      <c r="C9356" s="3">
        <v>0.0</v>
      </c>
      <c r="D9356" s="3">
        <v>0.0</v>
      </c>
      <c r="E9356" s="3">
        <v>1.0</v>
      </c>
      <c r="F9356" s="3" t="s">
        <v>26686</v>
      </c>
      <c r="G9356" s="3">
        <v>0.0</v>
      </c>
      <c r="H9356" s="3">
        <v>0.0</v>
      </c>
      <c r="I9356" s="3" t="s">
        <v>13</v>
      </c>
      <c r="J9356" s="3" t="s">
        <v>26687</v>
      </c>
      <c r="K9356" s="3" t="s">
        <v>644</v>
      </c>
      <c r="L9356" s="3" t="str">
        <f>IFERROR(__xludf.DUMMYFUNCTION("GOOGLETRANSLATE(F9356,""id"",""en"")"),"Tiraksan Argentina Champion Adan")</f>
        <v>Tiraksan Argentina Champion Adan</v>
      </c>
    </row>
    <row r="9357" ht="15.75" customHeight="1">
      <c r="A9357" s="1">
        <v>10586.0</v>
      </c>
      <c r="B9357" s="3" t="s">
        <v>26688</v>
      </c>
      <c r="C9357" s="3">
        <v>0.0</v>
      </c>
      <c r="D9357" s="3">
        <v>0.0</v>
      </c>
      <c r="E9357" s="3">
        <v>1.0</v>
      </c>
      <c r="F9357" s="3" t="s">
        <v>26689</v>
      </c>
      <c r="G9357" s="3">
        <v>0.0</v>
      </c>
      <c r="H9357" s="3">
        <v>0.0</v>
      </c>
      <c r="I9357" s="3" t="s">
        <v>13</v>
      </c>
      <c r="J9357" s="3" t="s">
        <v>26690</v>
      </c>
      <c r="K9357" s="3" t="s">
        <v>75</v>
      </c>
      <c r="L9357" s="3" t="str">
        <f>IFERROR(__xludf.DUMMYFUNCTION("GOOGLETRANSLATE(F9357,""id"",""en"")"),"Sergio Aguero lifted the World Cup championship trophy after Argentina conquered France")</f>
        <v>Sergio Aguero lifted the World Cup championship trophy after Argentina conquered France</v>
      </c>
    </row>
    <row r="9358" ht="15.75" customHeight="1">
      <c r="A9358" s="1">
        <v>10587.0</v>
      </c>
      <c r="B9358" s="3" t="s">
        <v>26691</v>
      </c>
      <c r="C9358" s="3">
        <v>0.0</v>
      </c>
      <c r="D9358" s="3">
        <v>0.0</v>
      </c>
      <c r="E9358" s="3">
        <v>0.0</v>
      </c>
      <c r="F9358" s="3" t="s">
        <v>26692</v>
      </c>
      <c r="G9358" s="3">
        <v>0.0</v>
      </c>
      <c r="H9358" s="3">
        <v>0.0</v>
      </c>
      <c r="I9358" s="3" t="s">
        <v>13</v>
      </c>
      <c r="J9358" s="3" t="s">
        <v>26693</v>
      </c>
      <c r="K9358" s="3" t="s">
        <v>75</v>
      </c>
      <c r="L9358" s="3" t="str">
        <f>IFERROR(__xludf.DUMMYFUNCTION("GOOGLETRANSLATE(F9358,""id"",""en"")"),"Dramatic through Argentine penalties in the world champion after defeating France")</f>
        <v>Dramatic through Argentine penalties in the world champion after defeating France</v>
      </c>
    </row>
    <row r="9359" ht="15.75" customHeight="1">
      <c r="A9359" s="1">
        <v>10588.0</v>
      </c>
      <c r="B9359" s="3" t="s">
        <v>26694</v>
      </c>
      <c r="C9359" s="3">
        <v>0.0</v>
      </c>
      <c r="D9359" s="3">
        <v>0.0</v>
      </c>
      <c r="E9359" s="3">
        <v>0.0</v>
      </c>
      <c r="F9359" s="3" t="s">
        <v>26695</v>
      </c>
      <c r="G9359" s="3">
        <v>0.0</v>
      </c>
      <c r="H9359" s="3">
        <v>0.0</v>
      </c>
      <c r="I9359" s="3" t="s">
        <v>13</v>
      </c>
      <c r="J9359" s="3" t="s">
        <v>26696</v>
      </c>
      <c r="K9359" s="3" t="s">
        <v>71</v>
      </c>
      <c r="L9359" s="3" t="str">
        <f>IFERROR(__xludf.DUMMYFUNCTION("GOOGLETRANSLATE(F9359,""id"",""en"")"),"Why do many people don't want to see Argentina champion Pilduun not because of hate Messi but because of his surrounding friends who are arrogant and don't respect")</f>
        <v>Why do many people don't want to see Argentina champion Pilduun not because of hate Messi but because of his surrounding friends who are arrogant and don't respect</v>
      </c>
    </row>
    <row r="9360" ht="15.75" customHeight="1">
      <c r="A9360" s="1">
        <v>10589.0</v>
      </c>
      <c r="B9360" s="3" t="s">
        <v>26697</v>
      </c>
      <c r="C9360" s="3">
        <v>0.0</v>
      </c>
      <c r="D9360" s="3">
        <v>0.0</v>
      </c>
      <c r="E9360" s="3">
        <v>0.0</v>
      </c>
      <c r="F9360" s="3" t="s">
        <v>26698</v>
      </c>
      <c r="G9360" s="3">
        <v>0.3333333333333333</v>
      </c>
      <c r="H9360" s="3">
        <v>0.1666666666666667</v>
      </c>
      <c r="I9360" s="3" t="s">
        <v>48</v>
      </c>
      <c r="J9360" s="3" t="s">
        <v>26699</v>
      </c>
      <c r="K9360" s="3" t="s">
        <v>26700</v>
      </c>
      <c r="L9360" s="3" t="str">
        <f>IFERROR(__xludf.DUMMYFUNCTION("GOOGLETRANSLATE(F9360,""id"",""en"")"),"keknya emg guesses I always win, even though I just take fun of the champion of PSTun PST Argentina.")</f>
        <v>keknya emg guesses I always win, even though I just take fun of the champion of PSTun PST Argentina.</v>
      </c>
    </row>
    <row r="9361" ht="15.75" customHeight="1">
      <c r="A9361" s="1">
        <v>10590.0</v>
      </c>
      <c r="B9361" s="3" t="s">
        <v>26701</v>
      </c>
      <c r="C9361" s="3">
        <v>0.0</v>
      </c>
      <c r="D9361" s="3">
        <v>0.0</v>
      </c>
      <c r="E9361" s="3">
        <v>0.0</v>
      </c>
      <c r="F9361" s="3" t="s">
        <v>26702</v>
      </c>
      <c r="G9361" s="3">
        <v>0.0</v>
      </c>
      <c r="H9361" s="3">
        <v>0.0</v>
      </c>
      <c r="I9361" s="3" t="s">
        <v>13</v>
      </c>
      <c r="J9361" s="3" t="s">
        <v>26703</v>
      </c>
      <c r="K9361" s="3" t="s">
        <v>644</v>
      </c>
      <c r="L9361" s="3" t="str">
        <f>IFERROR(__xludf.DUMMYFUNCTION("GOOGLETRANSLATE(F9361,""id"",""en"")"),"Age of Jokoqi Argentina Champion")</f>
        <v>Age of Jokoqi Argentina Champion</v>
      </c>
    </row>
    <row r="9362" ht="15.75" customHeight="1">
      <c r="A9362" s="1">
        <v>10591.0</v>
      </c>
      <c r="B9362" s="3" t="s">
        <v>26704</v>
      </c>
      <c r="C9362" s="3">
        <v>0.0</v>
      </c>
      <c r="D9362" s="3">
        <v>1.0</v>
      </c>
      <c r="E9362" s="3">
        <v>7.0</v>
      </c>
      <c r="F9362" s="3" t="s">
        <v>26705</v>
      </c>
      <c r="G9362" s="3">
        <v>1.0</v>
      </c>
      <c r="H9362" s="3">
        <v>0.0</v>
      </c>
      <c r="I9362" s="3" t="s">
        <v>13</v>
      </c>
      <c r="J9362" s="3" t="s">
        <v>26706</v>
      </c>
      <c r="K9362" s="3" t="s">
        <v>437</v>
      </c>
      <c r="L9362" s="3" t="str">
        <f>IFERROR(__xludf.DUMMYFUNCTION("GOOGLETRANSLATE(F9362,""id"",""en"")"),"Argentina Champion World Cup after defeating France Angel Maria once again showed the favore of the final match with Argentina")</f>
        <v>Argentina Champion World Cup after defeating France Angel Maria once again showed the favore of the final match with Argentina</v>
      </c>
    </row>
    <row r="9363" ht="15.75" customHeight="1">
      <c r="A9363" s="1">
        <v>10592.0</v>
      </c>
      <c r="B9363" s="3" t="s">
        <v>26707</v>
      </c>
      <c r="C9363" s="3">
        <v>0.0</v>
      </c>
      <c r="D9363" s="3">
        <v>0.0</v>
      </c>
      <c r="E9363" s="3">
        <v>1.0</v>
      </c>
      <c r="F9363" s="3" t="s">
        <v>26708</v>
      </c>
      <c r="G9363" s="3">
        <v>0.0</v>
      </c>
      <c r="H9363" s="3">
        <v>0.0</v>
      </c>
      <c r="I9363" s="3" t="s">
        <v>13</v>
      </c>
      <c r="J9363" s="3" t="s">
        <v>26709</v>
      </c>
      <c r="K9363" s="3" t="s">
        <v>633</v>
      </c>
      <c r="L9363" s="3" t="str">
        <f>IFERROR(__xludf.DUMMYFUNCTION("GOOGLETRANSLATE(F9363,""id"",""en"")"),"Congratulations to the Argentine National Football Team as the champion of the FIFA Qatar French World Cup, the Indonesian Treeletric Treeletric Adu in further information contact")</f>
        <v>Congratulations to the Argentine National Football Team as the champion of the FIFA Qatar French World Cup, the Indonesian Treeletric Treeletric Adu in further information contact</v>
      </c>
    </row>
    <row r="9364" ht="15.75" customHeight="1">
      <c r="A9364" s="1">
        <v>10593.0</v>
      </c>
      <c r="B9364" s="3" t="s">
        <v>26710</v>
      </c>
      <c r="C9364" s="3">
        <v>3.0</v>
      </c>
      <c r="D9364" s="3">
        <v>0.0</v>
      </c>
      <c r="E9364" s="3">
        <v>0.0</v>
      </c>
      <c r="F9364" s="3" t="s">
        <v>26710</v>
      </c>
      <c r="G9364" s="3">
        <v>0.0</v>
      </c>
      <c r="H9364" s="3">
        <v>0.0</v>
      </c>
      <c r="I9364" s="3" t="s">
        <v>13</v>
      </c>
      <c r="J9364" s="3" t="s">
        <v>26711</v>
      </c>
      <c r="K9364" s="3" t="s">
        <v>75</v>
      </c>
      <c r="L9364" s="3" t="str">
        <f>IFERROR(__xludf.DUMMYFUNCTION("GOOGLETRANSLATE(F9364,""id"",""en"")"),"Funny really to read the comments of Bocil Ronaldo Gaterima Argentina champion hahahay")</f>
        <v>Funny really to read the comments of Bocil Ronaldo Gaterima Argentina champion hahahay</v>
      </c>
    </row>
    <row r="9365" ht="15.75" customHeight="1">
      <c r="A9365" s="1">
        <v>10594.0</v>
      </c>
      <c r="B9365" s="3" t="s">
        <v>26712</v>
      </c>
      <c r="C9365" s="3">
        <v>0.0</v>
      </c>
      <c r="D9365" s="3">
        <v>0.0</v>
      </c>
      <c r="E9365" s="3">
        <v>0.0</v>
      </c>
      <c r="F9365" s="3" t="s">
        <v>26713</v>
      </c>
      <c r="G9365" s="3">
        <v>0.0</v>
      </c>
      <c r="H9365" s="3">
        <v>0.0</v>
      </c>
      <c r="I9365" s="3" t="s">
        <v>13</v>
      </c>
      <c r="J9365" s="3" t="s">
        <v>26714</v>
      </c>
      <c r="K9365" s="3" t="s">
        <v>75</v>
      </c>
      <c r="L9365" s="3" t="str">
        <f>IFERROR(__xludf.DUMMYFUNCTION("GOOGLETRANSLATE(F9365,""id"",""en"")"),"The championship trophy for the World Cup Argentina while ending the debate of Messi and Ronaldo")</f>
        <v>The championship trophy for the World Cup Argentina while ending the debate of Messi and Ronaldo</v>
      </c>
    </row>
    <row r="9366" ht="15.75" customHeight="1">
      <c r="A9366" s="1">
        <v>10595.0</v>
      </c>
      <c r="B9366" s="3" t="s">
        <v>26715</v>
      </c>
      <c r="C9366" s="3">
        <v>0.0</v>
      </c>
      <c r="D9366" s="3">
        <v>0.0</v>
      </c>
      <c r="E9366" s="3">
        <v>0.0</v>
      </c>
      <c r="F9366" s="3" t="s">
        <v>26670</v>
      </c>
      <c r="G9366" s="3">
        <v>0.0</v>
      </c>
      <c r="H9366" s="3">
        <v>0.0</v>
      </c>
      <c r="I9366" s="3" t="s">
        <v>13</v>
      </c>
      <c r="J9366" s="3" t="s">
        <v>26671</v>
      </c>
      <c r="K9366" s="3" t="s">
        <v>184</v>
      </c>
      <c r="L9366" s="3" t="str">
        <f>IFERROR(__xludf.DUMMYFUNCTION("GOOGLETRANSLATE(F9366,""id"",""en"")"),"Lionel Messi recorded a variety of records after bringing Argentina the Qatar World Cup champion Messi also won the title of the best player")</f>
        <v>Lionel Messi recorded a variety of records after bringing Argentina the Qatar World Cup champion Messi also won the title of the best player</v>
      </c>
    </row>
    <row r="9367" ht="15.75" customHeight="1">
      <c r="A9367" s="1">
        <v>10596.0</v>
      </c>
      <c r="B9367" s="3" t="s">
        <v>26716</v>
      </c>
      <c r="C9367" s="3">
        <v>1.0</v>
      </c>
      <c r="D9367" s="3">
        <v>0.0</v>
      </c>
      <c r="E9367" s="3">
        <v>0.0</v>
      </c>
      <c r="F9367" s="3" t="s">
        <v>26173</v>
      </c>
      <c r="G9367" s="3">
        <v>0.0</v>
      </c>
      <c r="H9367" s="3">
        <v>0.0</v>
      </c>
      <c r="I9367" s="3" t="s">
        <v>13</v>
      </c>
      <c r="J9367" s="3" t="s">
        <v>26174</v>
      </c>
      <c r="K9367" s="3" t="s">
        <v>2117</v>
      </c>
      <c r="L9367" s="3" t="str">
        <f>IFERROR(__xludf.DUMMYFUNCTION("GOOGLETRANSLATE(F9367,""id"",""en"")"),"Alhamdulillah Argentina is champion")</f>
        <v>Alhamdulillah Argentina is champion</v>
      </c>
    </row>
    <row r="9368" ht="15.75" customHeight="1">
      <c r="A9368" s="1">
        <v>10597.0</v>
      </c>
      <c r="B9368" s="3" t="s">
        <v>26717</v>
      </c>
      <c r="C9368" s="3">
        <v>0.0</v>
      </c>
      <c r="D9368" s="3">
        <v>0.0</v>
      </c>
      <c r="E9368" s="3">
        <v>0.0</v>
      </c>
      <c r="F9368" s="3" t="s">
        <v>26718</v>
      </c>
      <c r="G9368" s="3">
        <v>0.0</v>
      </c>
      <c r="H9368" s="3">
        <v>0.0</v>
      </c>
      <c r="I9368" s="3" t="s">
        <v>13</v>
      </c>
      <c r="J9368" s="3" t="s">
        <v>26719</v>
      </c>
      <c r="K9368" s="3" t="s">
        <v>3497</v>
      </c>
      <c r="L9368" s="3" t="str">
        <f>IFERROR(__xludf.DUMMYFUNCTION("GOOGLETRANSLATE(F9368,""id"",""en"")"),"Vamos Argentina Messi Champion and Champion")</f>
        <v>Vamos Argentina Messi Champion and Champion</v>
      </c>
    </row>
    <row r="9369" ht="15.75" customHeight="1">
      <c r="A9369" s="1">
        <v>10598.0</v>
      </c>
      <c r="B9369" s="3" t="s">
        <v>26720</v>
      </c>
      <c r="C9369" s="3">
        <v>0.0</v>
      </c>
      <c r="D9369" s="3">
        <v>0.0</v>
      </c>
      <c r="E9369" s="3">
        <v>0.0</v>
      </c>
      <c r="F9369" s="3" t="s">
        <v>26721</v>
      </c>
      <c r="G9369" s="3">
        <v>0.0</v>
      </c>
      <c r="H9369" s="3">
        <v>0.0</v>
      </c>
      <c r="I9369" s="3" t="s">
        <v>13</v>
      </c>
      <c r="J9369" s="3" t="s">
        <v>26722</v>
      </c>
      <c r="K9369" s="3" t="s">
        <v>2117</v>
      </c>
      <c r="L9369" s="3" t="str">
        <f>IFERROR(__xludf.DUMMYFUNCTION("GOOGLETRANSLATE(F9369,""id"",""en"")"),"Argentina's champion")</f>
        <v>Argentina's champion</v>
      </c>
    </row>
    <row r="9370" ht="15.75" customHeight="1">
      <c r="A9370" s="1">
        <v>10599.0</v>
      </c>
      <c r="B9370" s="3" t="s">
        <v>26723</v>
      </c>
      <c r="C9370" s="3">
        <v>0.0</v>
      </c>
      <c r="D9370" s="3">
        <v>1.0</v>
      </c>
      <c r="E9370" s="3">
        <v>3.0</v>
      </c>
      <c r="F9370" s="3" t="s">
        <v>26724</v>
      </c>
      <c r="G9370" s="3">
        <v>0.0</v>
      </c>
      <c r="H9370" s="3">
        <v>0.0</v>
      </c>
      <c r="I9370" s="3" t="s">
        <v>13</v>
      </c>
      <c r="J9370" s="3" t="s">
        <v>26725</v>
      </c>
      <c r="K9370" s="3" t="s">
        <v>19</v>
      </c>
      <c r="L9370" s="3" t="str">
        <f>IFERROR(__xludf.DUMMYFUNCTION("GOOGLETRANSLATE(F9370,""id"",""en"")"),"Messi and Argentina Champion World Cup is the name Ronaldo Trending Social Media")</f>
        <v>Messi and Argentina Champion World Cup is the name Ronaldo Trending Social Media</v>
      </c>
    </row>
    <row r="9371" ht="15.75" customHeight="1">
      <c r="A9371" s="1">
        <v>10600.0</v>
      </c>
      <c r="B9371" s="3" t="s">
        <v>26726</v>
      </c>
      <c r="C9371" s="3">
        <v>1.0</v>
      </c>
      <c r="D9371" s="3">
        <v>0.0</v>
      </c>
      <c r="E9371" s="3">
        <v>0.0</v>
      </c>
      <c r="F9371" s="3" t="s">
        <v>26727</v>
      </c>
      <c r="G9371" s="3">
        <v>0.0</v>
      </c>
      <c r="H9371" s="3">
        <v>0.0</v>
      </c>
      <c r="I9371" s="3" t="s">
        <v>13</v>
      </c>
      <c r="J9371" s="3" t="s">
        <v>26728</v>
      </c>
      <c r="K9371" s="3" t="s">
        <v>795</v>
      </c>
      <c r="L9371" s="3" t="str">
        <f>IFERROR(__xludf.DUMMYFUNCTION("GOOGLETRANSLATE(F9371,""id"",""en"")"),"Before continuing the thread Minqu wants to say congratulations to Argentina to be the winner of the year and Minqu also wants to say congratulations because of Messi and other players Argentina won the championship")</f>
        <v>Before continuing the thread Minqu wants to say congratulations to Argentina to be the winner of the year and Minqu also wants to say congratulations because of Messi and other players Argentina won the championship</v>
      </c>
    </row>
    <row r="9372" ht="15.75" customHeight="1">
      <c r="A9372" s="1">
        <v>10601.0</v>
      </c>
      <c r="B9372" s="3" t="s">
        <v>26729</v>
      </c>
      <c r="C9372" s="3">
        <v>0.0</v>
      </c>
      <c r="D9372" s="3">
        <v>0.0</v>
      </c>
      <c r="E9372" s="3">
        <v>0.0</v>
      </c>
      <c r="F9372" s="3" t="s">
        <v>26730</v>
      </c>
      <c r="G9372" s="3">
        <v>0.0</v>
      </c>
      <c r="H9372" s="3">
        <v>0.0</v>
      </c>
      <c r="I9372" s="3" t="s">
        <v>13</v>
      </c>
      <c r="J9372" s="3" t="s">
        <v>26731</v>
      </c>
      <c r="K9372" s="3" t="s">
        <v>41</v>
      </c>
      <c r="L9372" s="3" t="str">
        <f>IFERROR(__xludf.DUMMYFUNCTION("GOOGLETRANSLATE(F9372,""id"",""en"")"),"This is not an edit, this Argentina PSSI programmed to become a world champion")</f>
        <v>This is not an edit, this Argentina PSSI programmed to become a world champion</v>
      </c>
    </row>
    <row r="9373" ht="15.75" customHeight="1">
      <c r="A9373" s="1">
        <v>10602.0</v>
      </c>
      <c r="B9373" s="3" t="s">
        <v>26732</v>
      </c>
      <c r="C9373" s="3">
        <v>0.0</v>
      </c>
      <c r="D9373" s="3">
        <v>0.0</v>
      </c>
      <c r="E9373" s="3">
        <v>0.0</v>
      </c>
      <c r="F9373" s="3" t="s">
        <v>26733</v>
      </c>
      <c r="G9373" s="3">
        <v>0.0</v>
      </c>
      <c r="H9373" s="3">
        <v>0.0</v>
      </c>
      <c r="I9373" s="3" t="s">
        <v>13</v>
      </c>
      <c r="J9373" s="3" t="s">
        <v>26734</v>
      </c>
      <c r="K9373" s="3" t="s">
        <v>184</v>
      </c>
      <c r="L9373" s="3" t="str">
        <f>IFERROR(__xludf.DUMMYFUNCTION("GOOGLETRANSLATE(F9373,""id"",""en"")"),"Although honestly, I am preserving France, but it turns out that God wants another Messi who has always failed to bring Argentina this year's champion.")</f>
        <v>Although honestly, I am preserving France, but it turns out that God wants another Messi who has always failed to bring Argentina this year's champion.</v>
      </c>
    </row>
    <row r="9374" ht="15.75" customHeight="1">
      <c r="A9374" s="1">
        <v>10603.0</v>
      </c>
      <c r="B9374" s="3" t="s">
        <v>26735</v>
      </c>
      <c r="C9374" s="3">
        <v>0.0</v>
      </c>
      <c r="D9374" s="3">
        <v>0.0</v>
      </c>
      <c r="E9374" s="3">
        <v>0.0</v>
      </c>
      <c r="F9374" s="3" t="s">
        <v>26736</v>
      </c>
      <c r="G9374" s="3">
        <v>0.0</v>
      </c>
      <c r="H9374" s="3">
        <v>0.0</v>
      </c>
      <c r="I9374" s="3" t="s">
        <v>13</v>
      </c>
      <c r="J9374" s="3" t="s">
        <v>26737</v>
      </c>
      <c r="K9374" s="3" t="s">
        <v>495</v>
      </c>
      <c r="L9374" s="3" t="str">
        <f>IFERROR(__xludf.DUMMYFUNCTION("GOOGLETRANSLATE(F9374,""id"",""en"")"),"glad to see Argentina champion again but about literature still French want to be published by Moooi wine solitude if you are lucky to win thank you")</f>
        <v>glad to see Argentina champion again but about literature still French want to be published by Moooi wine solitude if you are lucky to win thank you</v>
      </c>
    </row>
    <row r="9375" ht="15.75" customHeight="1">
      <c r="A9375" s="1">
        <v>10604.0</v>
      </c>
      <c r="B9375" s="3" t="s">
        <v>26738</v>
      </c>
      <c r="C9375" s="3">
        <v>0.0</v>
      </c>
      <c r="D9375" s="3">
        <v>0.0</v>
      </c>
      <c r="E9375" s="3">
        <v>0.0</v>
      </c>
      <c r="F9375" s="3" t="s">
        <v>26739</v>
      </c>
      <c r="G9375" s="3">
        <v>0.0</v>
      </c>
      <c r="H9375" s="3">
        <v>0.0</v>
      </c>
      <c r="I9375" s="3" t="s">
        <v>13</v>
      </c>
      <c r="J9375" s="3" t="s">
        <v>26740</v>
      </c>
      <c r="K9375" s="3" t="s">
        <v>477</v>
      </c>
      <c r="L9375" s="3" t="str">
        <f>IFERROR(__xludf.DUMMYFUNCTION("GOOGLETRANSLATE(F9375,""id"",""en"")"),"The Argentina World Cup has finished the next champion, especially about the world")</f>
        <v>The Argentina World Cup has finished the next champion, especially about the world</v>
      </c>
    </row>
    <row r="9376" ht="15.75" customHeight="1">
      <c r="A9376" s="1">
        <v>10605.0</v>
      </c>
      <c r="B9376" s="3" t="s">
        <v>26741</v>
      </c>
      <c r="C9376" s="3">
        <v>1.0</v>
      </c>
      <c r="D9376" s="3">
        <v>0.0</v>
      </c>
      <c r="E9376" s="3">
        <v>0.0</v>
      </c>
      <c r="F9376" s="3" t="s">
        <v>26742</v>
      </c>
      <c r="G9376" s="3">
        <v>0.0</v>
      </c>
      <c r="H9376" s="3">
        <v>0.0</v>
      </c>
      <c r="I9376" s="3" t="s">
        <v>13</v>
      </c>
      <c r="J9376" s="3" t="s">
        <v>26743</v>
      </c>
      <c r="K9376" s="3" t="s">
        <v>41</v>
      </c>
      <c r="L9376" s="3" t="str">
        <f>IFERROR(__xludf.DUMMYFUNCTION("GOOGLETRANSLATE(F9376,""id"",""en"")"),"People accept Argentina champions lose hundred million bets")</f>
        <v>People accept Argentina champions lose hundred million bets</v>
      </c>
    </row>
    <row r="9377" ht="15.75" customHeight="1">
      <c r="A9377" s="1">
        <v>10606.0</v>
      </c>
      <c r="B9377" s="3" t="s">
        <v>26744</v>
      </c>
      <c r="C9377" s="3">
        <v>0.0</v>
      </c>
      <c r="D9377" s="3">
        <v>0.0</v>
      </c>
      <c r="E9377" s="3">
        <v>0.0</v>
      </c>
      <c r="F9377" s="3" t="s">
        <v>26745</v>
      </c>
      <c r="G9377" s="3">
        <v>0.0</v>
      </c>
      <c r="H9377" s="3">
        <v>0.0</v>
      </c>
      <c r="I9377" s="3" t="s">
        <v>13</v>
      </c>
      <c r="J9377" s="3" t="s">
        <v>26746</v>
      </c>
      <c r="K9377" s="3" t="s">
        <v>41</v>
      </c>
      <c r="L9377" s="3" t="str">
        <f>IFERROR(__xludf.DUMMYFUNCTION("GOOGLETRANSLATE(F9377,""id"",""en"")"),"After the World Cup champion Messi continued his career with Argentina")</f>
        <v>After the World Cup champion Messi continued his career with Argentina</v>
      </c>
    </row>
    <row r="9378" ht="15.75" customHeight="1">
      <c r="A9378" s="1">
        <v>10607.0</v>
      </c>
      <c r="B9378" s="3" t="s">
        <v>26747</v>
      </c>
      <c r="C9378" s="3">
        <v>0.0</v>
      </c>
      <c r="D9378" s="3">
        <v>0.0</v>
      </c>
      <c r="E9378" s="3">
        <v>1.0</v>
      </c>
      <c r="F9378" s="3" t="s">
        <v>26748</v>
      </c>
      <c r="G9378" s="3">
        <v>0.65</v>
      </c>
      <c r="H9378" s="3">
        <v>0.35</v>
      </c>
      <c r="I9378" s="3" t="s">
        <v>48</v>
      </c>
      <c r="J9378" s="3" t="s">
        <v>26749</v>
      </c>
      <c r="K9378" s="3" t="s">
        <v>348</v>
      </c>
      <c r="L9378" s="3" t="str">
        <f>IFERROR(__xludf.DUMMYFUNCTION("GOOGLETRANSLATE(F9378,""id"",""en"")"),"Through Instagram post Antonela Roccuzzo expressed his pride for the achievement of her husband Lionel Messi after Argentina won the World Cup Sweet")</f>
        <v>Through Instagram post Antonela Roccuzzo expressed his pride for the achievement of her husband Lionel Messi after Argentina won the World Cup Sweet</v>
      </c>
    </row>
    <row r="9379" ht="15.75" customHeight="1">
      <c r="A9379" s="1">
        <v>10608.0</v>
      </c>
      <c r="B9379" s="3" t="s">
        <v>26750</v>
      </c>
      <c r="C9379" s="3">
        <v>0.0</v>
      </c>
      <c r="D9379" s="3">
        <v>0.0</v>
      </c>
      <c r="E9379" s="3">
        <v>0.0</v>
      </c>
      <c r="F9379" s="3" t="s">
        <v>26751</v>
      </c>
      <c r="G9379" s="3">
        <v>0.0</v>
      </c>
      <c r="H9379" s="3">
        <v>0.0</v>
      </c>
      <c r="I9379" s="3" t="s">
        <v>13</v>
      </c>
      <c r="J9379" s="3" t="s">
        <v>26752</v>
      </c>
      <c r="K9379" s="3" t="s">
        <v>82</v>
      </c>
      <c r="L9379" s="3" t="str">
        <f>IFERROR(__xludf.DUMMYFUNCTION("GOOGLETRANSLATE(F9379,""id"",""en"")"),"Defeat France Argentina Champion World Cup Qatar")</f>
        <v>Defeat France Argentina Champion World Cup Qatar</v>
      </c>
    </row>
    <row r="9380" ht="15.75" customHeight="1">
      <c r="A9380" s="1">
        <v>10609.0</v>
      </c>
      <c r="B9380" s="3" t="s">
        <v>26753</v>
      </c>
      <c r="C9380" s="3">
        <v>1.0</v>
      </c>
      <c r="D9380" s="3">
        <v>0.0</v>
      </c>
      <c r="E9380" s="3">
        <v>0.0</v>
      </c>
      <c r="F9380" s="3" t="s">
        <v>26754</v>
      </c>
      <c r="G9380" s="3">
        <v>0.0</v>
      </c>
      <c r="H9380" s="3">
        <v>0.0</v>
      </c>
      <c r="I9380" s="3" t="s">
        <v>13</v>
      </c>
      <c r="J9380" s="3" t="s">
        <v>26755</v>
      </c>
      <c r="K9380" s="3" t="s">
        <v>1628</v>
      </c>
      <c r="L9380" s="3" t="str">
        <f>IFERROR(__xludf.DUMMYFUNCTION("GOOGLETRANSLATE(F9380,""id"",""en"")"),"Brazil Italy Spain German French Argentina based on history trends and current conditions the next World Cup champion will only turn on the team of Spanish Note and France in certain conditions")</f>
        <v>Brazil Italy Spain German French Argentina based on history trends and current conditions the next World Cup champion will only turn on the team of Spanish Note and France in certain conditions</v>
      </c>
    </row>
    <row r="9381" ht="15.75" customHeight="1">
      <c r="A9381" s="1">
        <v>10610.0</v>
      </c>
      <c r="B9381" s="3" t="s">
        <v>26756</v>
      </c>
      <c r="C9381" s="3">
        <v>0.0</v>
      </c>
      <c r="D9381" s="3">
        <v>0.0</v>
      </c>
      <c r="E9381" s="3">
        <v>0.0</v>
      </c>
      <c r="F9381" s="3" t="s">
        <v>26757</v>
      </c>
      <c r="G9381" s="3">
        <v>0.0</v>
      </c>
      <c r="H9381" s="3">
        <v>0.0</v>
      </c>
      <c r="I9381" s="3" t="s">
        <v>13</v>
      </c>
      <c r="J9381" s="3" t="s">
        <v>26758</v>
      </c>
      <c r="K9381" s="3" t="s">
        <v>240</v>
      </c>
      <c r="L9381" s="3" t="str">
        <f>IFERROR(__xludf.DUMMYFUNCTION("GOOGLETRANSLATE(F9381,""id"",""en"")"),"Captain as well as Argentine national team Lionel Messi celebrates the World Cup title in the same way as Diego Maradona")</f>
        <v>Captain as well as Argentine national team Lionel Messi celebrates the World Cup title in the same way as Diego Maradona</v>
      </c>
    </row>
    <row r="9382" ht="15.75" customHeight="1">
      <c r="A9382" s="1">
        <v>10611.0</v>
      </c>
      <c r="B9382" s="3" t="s">
        <v>26759</v>
      </c>
      <c r="C9382" s="3">
        <v>0.0</v>
      </c>
      <c r="D9382" s="3">
        <v>0.0</v>
      </c>
      <c r="E9382" s="3">
        <v>0.0</v>
      </c>
      <c r="F9382" s="3" t="s">
        <v>26760</v>
      </c>
      <c r="G9382" s="3">
        <v>0.0</v>
      </c>
      <c r="H9382" s="3">
        <v>0.0</v>
      </c>
      <c r="I9382" s="3" t="s">
        <v>13</v>
      </c>
      <c r="J9382" s="3" t="s">
        <v>26761</v>
      </c>
      <c r="K9382" s="3" t="s">
        <v>19</v>
      </c>
      <c r="L9382" s="3" t="str">
        <f>IFERROR(__xludf.DUMMYFUNCTION("GOOGLETRANSLATE(F9382,""id"",""en"")"),"Thank you even though I'm gedek because of the Liverpool troll but it's okay Argentina and Messi Champion")</f>
        <v>Thank you even though I'm gedek because of the Liverpool troll but it's okay Argentina and Messi Champion</v>
      </c>
    </row>
    <row r="9383" ht="15.75" customHeight="1">
      <c r="A9383" s="1">
        <v>10612.0</v>
      </c>
      <c r="B9383" s="3" t="s">
        <v>26762</v>
      </c>
      <c r="C9383" s="3">
        <v>0.0</v>
      </c>
      <c r="D9383" s="3">
        <v>0.0</v>
      </c>
      <c r="E9383" s="3">
        <v>0.0</v>
      </c>
      <c r="F9383" s="3" t="s">
        <v>26757</v>
      </c>
      <c r="G9383" s="3">
        <v>0.0</v>
      </c>
      <c r="H9383" s="3">
        <v>0.0</v>
      </c>
      <c r="I9383" s="3" t="s">
        <v>13</v>
      </c>
      <c r="J9383" s="3" t="s">
        <v>26758</v>
      </c>
      <c r="K9383" s="3" t="s">
        <v>240</v>
      </c>
      <c r="L9383" s="3" t="str">
        <f>IFERROR(__xludf.DUMMYFUNCTION("GOOGLETRANSLATE(F9383,""id"",""en"")"),"Captain as well as Argentine national team Lionel Messi celebrates the World Cup title in the same way as Diego Maradona")</f>
        <v>Captain as well as Argentine national team Lionel Messi celebrates the World Cup title in the same way as Diego Maradona</v>
      </c>
    </row>
    <row r="9384" ht="15.75" customHeight="1">
      <c r="A9384" s="1">
        <v>10613.0</v>
      </c>
      <c r="B9384" s="3" t="s">
        <v>26763</v>
      </c>
      <c r="C9384" s="3">
        <v>0.0</v>
      </c>
      <c r="D9384" s="3">
        <v>0.0</v>
      </c>
      <c r="E9384" s="3">
        <v>0.0</v>
      </c>
      <c r="F9384" s="3" t="s">
        <v>26764</v>
      </c>
      <c r="G9384" s="3">
        <v>0.0</v>
      </c>
      <c r="H9384" s="3">
        <v>0.0</v>
      </c>
      <c r="I9384" s="3" t="s">
        <v>13</v>
      </c>
      <c r="J9384" s="3" t="s">
        <v>26765</v>
      </c>
      <c r="K9384" s="3" t="s">
        <v>6592</v>
      </c>
      <c r="L9384" s="3" t="str">
        <f>IFERROR(__xludf.DUMMYFUNCTION("GOOGLETRANSLATE(F9384,""id"",""en"")"),"You smile smile Argentina champion or you cry because of France")</f>
        <v>You smile smile Argentina champion or you cry because of France</v>
      </c>
    </row>
    <row r="9385" ht="15.75" customHeight="1">
      <c r="A9385" s="1">
        <v>10614.0</v>
      </c>
      <c r="B9385" s="3" t="s">
        <v>26766</v>
      </c>
      <c r="C9385" s="3">
        <v>0.0</v>
      </c>
      <c r="D9385" s="3">
        <v>0.0</v>
      </c>
      <c r="E9385" s="3">
        <v>0.0</v>
      </c>
      <c r="F9385" s="3" t="s">
        <v>26767</v>
      </c>
      <c r="G9385" s="3">
        <v>1.0</v>
      </c>
      <c r="H9385" s="3">
        <v>0.0</v>
      </c>
      <c r="I9385" s="3" t="s">
        <v>13</v>
      </c>
      <c r="J9385" s="3" t="s">
        <v>26768</v>
      </c>
      <c r="K9385" s="3" t="s">
        <v>240</v>
      </c>
      <c r="L9385" s="3" t="str">
        <f>IFERROR(__xludf.DUMMYFUNCTION("GOOGLETRANSLATE(F9385,""id"",""en"")"),"Even though Argentina is still a champion for this year's World Cup because of the original phase to the final final all matches")</f>
        <v>Even though Argentina is still a champion for this year's World Cup because of the original phase to the final final all matches</v>
      </c>
    </row>
    <row r="9386" ht="15.75" customHeight="1">
      <c r="A9386" s="1">
        <v>10615.0</v>
      </c>
      <c r="B9386" s="3" t="s">
        <v>26769</v>
      </c>
      <c r="C9386" s="3">
        <v>0.0</v>
      </c>
      <c r="D9386" s="3">
        <v>0.0</v>
      </c>
      <c r="E9386" s="3">
        <v>0.0</v>
      </c>
      <c r="F9386" s="3" t="s">
        <v>26770</v>
      </c>
      <c r="G9386" s="3">
        <v>0.8</v>
      </c>
      <c r="H9386" s="3">
        <v>0.4</v>
      </c>
      <c r="I9386" s="3" t="s">
        <v>48</v>
      </c>
      <c r="J9386" s="3" t="s">
        <v>26771</v>
      </c>
      <c r="K9386" s="3" t="s">
        <v>2117</v>
      </c>
      <c r="L9386" s="3" t="str">
        <f>IFERROR(__xludf.DUMMYFUNCTION("GOOGLETRANSLATE(F9386,""id"",""en"")"),"ayokkk nderr free")</f>
        <v>ayokkk nderr free</v>
      </c>
    </row>
    <row r="9387" ht="15.75" customHeight="1">
      <c r="A9387" s="1">
        <v>10616.0</v>
      </c>
      <c r="B9387" s="3" t="s">
        <v>26772</v>
      </c>
      <c r="C9387" s="3">
        <v>0.0</v>
      </c>
      <c r="D9387" s="3">
        <v>0.0</v>
      </c>
      <c r="E9387" s="3">
        <v>0.0</v>
      </c>
      <c r="F9387" s="3" t="s">
        <v>26773</v>
      </c>
      <c r="G9387" s="3">
        <v>0.0</v>
      </c>
      <c r="H9387" s="3">
        <v>0.0</v>
      </c>
      <c r="I9387" s="3" t="s">
        <v>13</v>
      </c>
      <c r="J9387" s="3" t="s">
        <v>26774</v>
      </c>
      <c r="K9387" s="3" t="s">
        <v>35</v>
      </c>
      <c r="L9387" s="3" t="str">
        <f>IFERROR(__xludf.DUMMYFUNCTION("GOOGLETRANSLATE(F9387,""id"",""en"")"),"who is the actor of Argentina's victory pildun already Claudio Tapia's leadership Argentina world champion")</f>
        <v>who is the actor of Argentina's victory pildun already Claudio Tapia's leadership Argentina world champion</v>
      </c>
    </row>
    <row r="9388" ht="15.75" customHeight="1">
      <c r="A9388" s="1">
        <v>10617.0</v>
      </c>
      <c r="B9388" s="3" t="s">
        <v>26775</v>
      </c>
      <c r="C9388" s="3">
        <v>0.0</v>
      </c>
      <c r="D9388" s="3">
        <v>1.0</v>
      </c>
      <c r="E9388" s="3">
        <v>6.0</v>
      </c>
      <c r="F9388" s="3" t="s">
        <v>26776</v>
      </c>
      <c r="G9388" s="3">
        <v>0.0</v>
      </c>
      <c r="H9388" s="3">
        <v>0.0</v>
      </c>
      <c r="I9388" s="3" t="s">
        <v>13</v>
      </c>
      <c r="J9388" s="3" t="s">
        <v>26777</v>
      </c>
      <c r="K9388" s="3" t="s">
        <v>2869</v>
      </c>
      <c r="L9388" s="3" t="str">
        <f>IFERROR(__xludf.DUMMYFUNCTION("GOOGLETRANSLATE(F9388,""id"",""en"")"),"Anwar waiting for the new year can be an Argentina waiting for the new year to become a world champion is very takat waiting for the new year to be a matchmaking")</f>
        <v>Anwar waiting for the new year can be an Argentina waiting for the new year to become a world champion is very takat waiting for the new year to be a matchmaking</v>
      </c>
    </row>
    <row r="9389" ht="15.75" customHeight="1">
      <c r="A9389" s="1">
        <v>10618.0</v>
      </c>
      <c r="B9389" s="3" t="s">
        <v>26778</v>
      </c>
      <c r="C9389" s="3">
        <v>0.0</v>
      </c>
      <c r="D9389" s="3">
        <v>0.0</v>
      </c>
      <c r="E9389" s="3">
        <v>0.0</v>
      </c>
      <c r="F9389" s="3" t="s">
        <v>26779</v>
      </c>
      <c r="G9389" s="3">
        <v>0.0</v>
      </c>
      <c r="H9389" s="3">
        <v>0.0</v>
      </c>
      <c r="I9389" s="3" t="s">
        <v>13</v>
      </c>
      <c r="J9389" s="3" t="s">
        <v>26780</v>
      </c>
      <c r="K9389" s="3" t="s">
        <v>127</v>
      </c>
      <c r="L9389" s="3" t="str">
        <f>IFERROR(__xludf.DUMMYFUNCTION("GOOGLETRANSLATE(F9389,""id"",""en"")"),"Finally, I can take a long holiday after almost month of the preparing event watching with the Argentina team who won the confide session")</f>
        <v>Finally, I can take a long holiday after almost month of the preparing event watching with the Argentina team who won the confide session</v>
      </c>
    </row>
    <row r="9390" ht="15.75" customHeight="1">
      <c r="A9390" s="1">
        <v>10619.0</v>
      </c>
      <c r="B9390" s="3" t="s">
        <v>26781</v>
      </c>
      <c r="C9390" s="3">
        <v>0.0</v>
      </c>
      <c r="D9390" s="3">
        <v>0.0</v>
      </c>
      <c r="E9390" s="3">
        <v>0.0</v>
      </c>
      <c r="F9390" s="3" t="s">
        <v>26782</v>
      </c>
      <c r="G9390" s="3">
        <v>0.0</v>
      </c>
      <c r="H9390" s="3">
        <v>0.0</v>
      </c>
      <c r="I9390" s="3" t="s">
        <v>13</v>
      </c>
      <c r="J9390" s="3" t="s">
        <v>26783</v>
      </c>
      <c r="K9390" s="3" t="s">
        <v>3721</v>
      </c>
      <c r="L9390" s="3" t="str">
        <f>IFERROR(__xludf.DUMMYFUNCTION("GOOGLETRANSLATE(F9390,""id"",""en"")"),"Airlangga Hartarto became a potential presidential candidate from KIB thanks to the maturity of Golkar in politics BTW Congratulations Yaa Argentina World Cup Messi Maria Paul Emi Martinez can bring Argentina World Cup champions Don't forget")</f>
        <v>Airlangga Hartarto became a potential presidential candidate from KIB thanks to the maturity of Golkar in politics BTW Congratulations Yaa Argentina World Cup Messi Maria Paul Emi Martinez can bring Argentina World Cup champions Don't forget</v>
      </c>
    </row>
    <row r="9391" ht="15.75" customHeight="1">
      <c r="A9391" s="1">
        <v>10620.0</v>
      </c>
      <c r="B9391" s="3" t="s">
        <v>26784</v>
      </c>
      <c r="C9391" s="3">
        <v>1.0</v>
      </c>
      <c r="D9391" s="3">
        <v>1.0</v>
      </c>
      <c r="E9391" s="3">
        <v>5.0</v>
      </c>
      <c r="F9391" s="3" t="s">
        <v>24832</v>
      </c>
      <c r="G9391" s="3">
        <v>0.0</v>
      </c>
      <c r="H9391" s="3">
        <v>0.0</v>
      </c>
      <c r="I9391" s="3" t="s">
        <v>13</v>
      </c>
      <c r="J9391" s="3" t="s">
        <v>24833</v>
      </c>
      <c r="K9391" s="3" t="s">
        <v>499</v>
      </c>
      <c r="L9391" s="3" t="str">
        <f>IFERROR(__xludf.DUMMYFUNCTION("GOOGLETRANSLATE(F9391,""id"",""en"")"),"In the past, Diego Maradona now Lionel Messi both played a big role in taking Argentina to become a World Cup champion to then pose with the championship trophy similar")</f>
        <v>In the past, Diego Maradona now Lionel Messi both played a big role in taking Argentina to become a World Cup champion to then pose with the championship trophy similar</v>
      </c>
    </row>
    <row r="9392" ht="15.75" customHeight="1">
      <c r="A9392" s="1">
        <v>10621.0</v>
      </c>
      <c r="B9392" s="3" t="s">
        <v>26785</v>
      </c>
      <c r="C9392" s="3">
        <v>0.0</v>
      </c>
      <c r="D9392" s="3">
        <v>0.0</v>
      </c>
      <c r="E9392" s="3">
        <v>1.0</v>
      </c>
      <c r="F9392" s="3" t="s">
        <v>26786</v>
      </c>
      <c r="G9392" s="3">
        <v>0.0</v>
      </c>
      <c r="H9392" s="3">
        <v>0.0</v>
      </c>
      <c r="I9392" s="3" t="s">
        <v>13</v>
      </c>
      <c r="J9392" s="3" t="s">
        <v>26787</v>
      </c>
      <c r="K9392" s="3" t="s">
        <v>1335</v>
      </c>
      <c r="L9392" s="3" t="str">
        <f>IFERROR(__xludf.DUMMYFUNCTION("GOOGLETRANSLATE(F9392,""id"",""en"")"),"Argentina World Champion Christmas Gifts for the people of Argentina")</f>
        <v>Argentina World Champion Christmas Gifts for the people of Argentina</v>
      </c>
    </row>
    <row r="9393" ht="15.75" customHeight="1">
      <c r="A9393" s="1">
        <v>10622.0</v>
      </c>
      <c r="B9393" s="3" t="s">
        <v>26788</v>
      </c>
      <c r="C9393" s="3">
        <v>0.0</v>
      </c>
      <c r="D9393" s="3">
        <v>0.0</v>
      </c>
      <c r="E9393" s="3">
        <v>0.0</v>
      </c>
      <c r="F9393" s="3" t="s">
        <v>26789</v>
      </c>
      <c r="G9393" s="3">
        <v>0.0</v>
      </c>
      <c r="H9393" s="3">
        <v>0.0</v>
      </c>
      <c r="I9393" s="3" t="s">
        <v>13</v>
      </c>
      <c r="J9393" s="3" t="s">
        <v>26790</v>
      </c>
      <c r="K9393" s="3" t="s">
        <v>19</v>
      </c>
      <c r="L9393" s="3" t="str">
        <f>IFERROR(__xludf.DUMMYFUNCTION("GOOGLETRANSLATE(F9393,""id"",""en"")"),"Euphoria Argentina Champion World Cup to Indonesia Thousands")</f>
        <v>Euphoria Argentina Champion World Cup to Indonesia Thousands</v>
      </c>
    </row>
    <row r="9394" ht="15.75" customHeight="1">
      <c r="A9394" s="1">
        <v>10623.0</v>
      </c>
      <c r="B9394" s="3" t="s">
        <v>26791</v>
      </c>
      <c r="C9394" s="3">
        <v>0.0</v>
      </c>
      <c r="D9394" s="3">
        <v>0.0</v>
      </c>
      <c r="E9394" s="3">
        <v>0.0</v>
      </c>
      <c r="F9394" s="3" t="s">
        <v>26789</v>
      </c>
      <c r="G9394" s="3">
        <v>0.0</v>
      </c>
      <c r="H9394" s="3">
        <v>0.0</v>
      </c>
      <c r="I9394" s="3" t="s">
        <v>13</v>
      </c>
      <c r="J9394" s="3" t="s">
        <v>26790</v>
      </c>
      <c r="K9394" s="3" t="s">
        <v>19</v>
      </c>
      <c r="L9394" s="3" t="str">
        <f>IFERROR(__xludf.DUMMYFUNCTION("GOOGLETRANSLATE(F9394,""id"",""en"")"),"Euphoria Argentina Champion World Cup to Indonesia Thousands")</f>
        <v>Euphoria Argentina Champion World Cup to Indonesia Thousands</v>
      </c>
    </row>
    <row r="9395" ht="15.75" customHeight="1">
      <c r="A9395" s="1">
        <v>10624.0</v>
      </c>
      <c r="B9395" s="3" t="s">
        <v>26792</v>
      </c>
      <c r="C9395" s="3">
        <v>0.0</v>
      </c>
      <c r="D9395" s="3">
        <v>0.0</v>
      </c>
      <c r="E9395" s="3">
        <v>23.0</v>
      </c>
      <c r="F9395" s="3" t="s">
        <v>26304</v>
      </c>
      <c r="G9395" s="3">
        <v>1.0</v>
      </c>
      <c r="H9395" s="3">
        <v>1.0</v>
      </c>
      <c r="I9395" s="3" t="s">
        <v>48</v>
      </c>
      <c r="J9395" s="3" t="s">
        <v>26305</v>
      </c>
      <c r="K9395" s="3" t="s">
        <v>75</v>
      </c>
      <c r="L9395" s="3" t="str">
        <f>IFERROR(__xludf.DUMMYFUNCTION("GOOGLETRANSLATE(F9395,""id"",""en"")"),"Argentina World Cup Champion Lionel Messi Greatest All Time")</f>
        <v>Argentina World Cup Champion Lionel Messi Greatest All Time</v>
      </c>
    </row>
    <row r="9396" ht="15.75" customHeight="1">
      <c r="A9396" s="1">
        <v>10625.0</v>
      </c>
      <c r="B9396" s="3" t="s">
        <v>26793</v>
      </c>
      <c r="C9396" s="3">
        <v>0.0</v>
      </c>
      <c r="D9396" s="3">
        <v>0.0</v>
      </c>
      <c r="E9396" s="3">
        <v>0.0</v>
      </c>
      <c r="F9396" s="3" t="s">
        <v>26794</v>
      </c>
      <c r="G9396" s="3">
        <v>0.0</v>
      </c>
      <c r="H9396" s="3">
        <v>0.0</v>
      </c>
      <c r="I9396" s="3" t="s">
        <v>13</v>
      </c>
      <c r="J9396" s="3" t="s">
        <v>26795</v>
      </c>
      <c r="K9396" s="3" t="s">
        <v>477</v>
      </c>
      <c r="L9396" s="3" t="str">
        <f>IFERROR(__xludf.DUMMYFUNCTION("GOOGLETRANSLATE(F9396,""id"",""en"")"),"Everyone championed Argentina and Argentina, the champion was not interesting")</f>
        <v>Everyone championed Argentina and Argentina, the champion was not interesting</v>
      </c>
    </row>
    <row r="9397" ht="15.75" customHeight="1">
      <c r="A9397" s="1">
        <v>10626.0</v>
      </c>
      <c r="B9397" s="3" t="s">
        <v>26796</v>
      </c>
      <c r="C9397" s="3">
        <v>4.0</v>
      </c>
      <c r="D9397" s="3">
        <v>1.0</v>
      </c>
      <c r="E9397" s="3">
        <v>5.0</v>
      </c>
      <c r="F9397" s="3" t="s">
        <v>26797</v>
      </c>
      <c r="G9397" s="3">
        <v>0.0</v>
      </c>
      <c r="H9397" s="3">
        <v>0.0</v>
      </c>
      <c r="I9397" s="3" t="s">
        <v>13</v>
      </c>
      <c r="J9397" s="3" t="s">
        <v>26798</v>
      </c>
      <c r="K9397" s="3" t="s">
        <v>883</v>
      </c>
      <c r="L9397" s="3" t="str">
        <f>IFERROR(__xludf.DUMMYFUNCTION("GOOGLETRANSLATE(F9397,""id"",""en"")"),"Congratulations to Argentina Worldcup champions for those who guess correctly the World Cup champions Congratulations to Ambon if you have become a member then have the right to claim victory please thank you")</f>
        <v>Congratulations to Argentina Worldcup champions for those who guess correctly the World Cup champions Congratulations to Ambon if you have become a member then have the right to claim victory please thank you</v>
      </c>
    </row>
    <row r="9398" ht="15.75" customHeight="1">
      <c r="A9398" s="1">
        <v>10627.0</v>
      </c>
      <c r="B9398" s="3" t="s">
        <v>26799</v>
      </c>
      <c r="C9398" s="3">
        <v>0.0</v>
      </c>
      <c r="D9398" s="3">
        <v>0.0</v>
      </c>
      <c r="E9398" s="3">
        <v>0.0</v>
      </c>
      <c r="F9398" s="3" t="s">
        <v>26800</v>
      </c>
      <c r="G9398" s="3">
        <v>0.6</v>
      </c>
      <c r="H9398" s="3">
        <v>-0.1</v>
      </c>
      <c r="I9398" s="3" t="s">
        <v>179</v>
      </c>
      <c r="J9398" s="3" t="s">
        <v>26801</v>
      </c>
      <c r="K9398" s="3" t="s">
        <v>41</v>
      </c>
      <c r="L9398" s="3" t="str">
        <f>IFERROR(__xludf.DUMMYFUNCTION("GOOGLETRANSLATE(F9398,""id"",""en"")"),"Argentina The French champion lost the Netijen Indo Adu Bacot Unknown")</f>
        <v>Argentina The French champion lost the Netijen Indo Adu Bacot Unknown</v>
      </c>
    </row>
    <row r="9399" ht="15.75" customHeight="1">
      <c r="A9399" s="1">
        <v>10628.0</v>
      </c>
      <c r="B9399" s="3" t="s">
        <v>26802</v>
      </c>
      <c r="C9399" s="3">
        <v>0.0</v>
      </c>
      <c r="D9399" s="3">
        <v>0.0</v>
      </c>
      <c r="E9399" s="3">
        <v>4.0</v>
      </c>
      <c r="F9399" s="3" t="s">
        <v>26803</v>
      </c>
      <c r="G9399" s="3">
        <v>0.0</v>
      </c>
      <c r="H9399" s="3">
        <v>0.0</v>
      </c>
      <c r="I9399" s="3" t="s">
        <v>13</v>
      </c>
      <c r="J9399" s="3" t="s">
        <v>26804</v>
      </c>
      <c r="K9399" s="3" t="s">
        <v>244</v>
      </c>
      <c r="L9399" s="3" t="str">
        <f>IFERROR(__xludf.DUMMYFUNCTION("GOOGLETRANSLATE(F9399,""id"",""en"")"),"I'm really sick, especially since Argentina will win some time when they will get another chance")</f>
        <v>I'm really sick, especially since Argentina will win some time when they will get another chance</v>
      </c>
    </row>
    <row r="9400" ht="15.75" customHeight="1">
      <c r="A9400" s="1">
        <v>10629.0</v>
      </c>
      <c r="B9400" s="3" t="s">
        <v>26805</v>
      </c>
      <c r="C9400" s="3">
        <v>0.0</v>
      </c>
      <c r="D9400" s="3">
        <v>0.0</v>
      </c>
      <c r="E9400" s="3">
        <v>1.0</v>
      </c>
      <c r="F9400" s="3" t="s">
        <v>26806</v>
      </c>
      <c r="G9400" s="3">
        <v>1.0</v>
      </c>
      <c r="H9400" s="3">
        <v>0.0</v>
      </c>
      <c r="I9400" s="3" t="s">
        <v>13</v>
      </c>
      <c r="J9400" s="3" t="s">
        <v>26807</v>
      </c>
      <c r="K9400" s="3" t="s">
        <v>1428</v>
      </c>
      <c r="L9400" s="3" t="str">
        <f>IFERROR(__xludf.DUMMYFUNCTION("GOOGLETRANSLATE(F9400,""id"",""en"")"),"Honestly, I don't hate Messi, but to his fans Argentina deserves their champion a great team proven to almost every world cup they set foot in the final even they won the World Cup before the era Messi")</f>
        <v>Honestly, I don't hate Messi, but to his fans Argentina deserves their champion a great team proven to almost every world cup they set foot in the final even they won the World Cup before the era Messi</v>
      </c>
    </row>
    <row r="9401" ht="15.75" customHeight="1">
      <c r="A9401" s="1">
        <v>10630.0</v>
      </c>
      <c r="B9401" s="3" t="s">
        <v>26808</v>
      </c>
      <c r="C9401" s="3">
        <v>0.0</v>
      </c>
      <c r="D9401" s="3">
        <v>0.0</v>
      </c>
      <c r="E9401" s="3">
        <v>1.0</v>
      </c>
      <c r="F9401" s="3" t="s">
        <v>26809</v>
      </c>
      <c r="G9401" s="3">
        <v>0.0</v>
      </c>
      <c r="H9401" s="3">
        <v>0.0</v>
      </c>
      <c r="I9401" s="3" t="s">
        <v>13</v>
      </c>
      <c r="J9401" s="3" t="s">
        <v>26810</v>
      </c>
      <c r="K9401" s="3" t="s">
        <v>31</v>
      </c>
      <c r="L9401" s="3" t="str">
        <f>IFERROR(__xludf.DUMMYFUNCTION("GOOGLETRANSLATE(F9401,""id"",""en"")"),"Argentina Champion Pilduun Cut Gundul")</f>
        <v>Argentina Champion Pilduun Cut Gundul</v>
      </c>
    </row>
    <row r="9402" ht="15.75" customHeight="1">
      <c r="A9402" s="1">
        <v>10631.0</v>
      </c>
      <c r="B9402" s="3" t="s">
        <v>26811</v>
      </c>
      <c r="C9402" s="3">
        <v>0.0</v>
      </c>
      <c r="D9402" s="3">
        <v>0.0</v>
      </c>
      <c r="E9402" s="3">
        <v>0.0</v>
      </c>
      <c r="F9402" s="3" t="s">
        <v>26812</v>
      </c>
      <c r="G9402" s="3">
        <v>0.0</v>
      </c>
      <c r="H9402" s="3">
        <v>0.0</v>
      </c>
      <c r="I9402" s="3" t="s">
        <v>13</v>
      </c>
      <c r="J9402" s="3" t="s">
        <v>26813</v>
      </c>
      <c r="K9402" s="3" t="s">
        <v>495</v>
      </c>
      <c r="L9402" s="3" t="str">
        <f>IFERROR(__xludf.DUMMYFUNCTION("GOOGLETRANSLATE(F9402,""id"",""en"")"),"Public mind questions arise whether Cristiano Ronaldo joined in celebrating the moment of Lionel Messi World Cup champion after claiming to love Argentina")</f>
        <v>Public mind questions arise whether Cristiano Ronaldo joined in celebrating the moment of Lionel Messi World Cup champion after claiming to love Argentina</v>
      </c>
    </row>
    <row r="9403" ht="15.75" customHeight="1">
      <c r="A9403" s="1">
        <v>10632.0</v>
      </c>
      <c r="B9403" s="3" t="s">
        <v>26814</v>
      </c>
      <c r="C9403" s="3">
        <v>0.0</v>
      </c>
      <c r="D9403" s="3">
        <v>0.0</v>
      </c>
      <c r="E9403" s="3">
        <v>0.0</v>
      </c>
      <c r="F9403" s="3" t="s">
        <v>26812</v>
      </c>
      <c r="G9403" s="3">
        <v>0.0</v>
      </c>
      <c r="H9403" s="3">
        <v>0.0</v>
      </c>
      <c r="I9403" s="3" t="s">
        <v>13</v>
      </c>
      <c r="J9403" s="3" t="s">
        <v>26813</v>
      </c>
      <c r="K9403" s="3" t="s">
        <v>495</v>
      </c>
      <c r="L9403" s="3" t="str">
        <f>IFERROR(__xludf.DUMMYFUNCTION("GOOGLETRANSLATE(F9403,""id"",""en"")"),"Public mind questions arise whether Cristiano Ronaldo joined in celebrating the moment of Lionel Messi World Cup champion after claiming to love Argentina")</f>
        <v>Public mind questions arise whether Cristiano Ronaldo joined in celebrating the moment of Lionel Messi World Cup champion after claiming to love Argentina</v>
      </c>
    </row>
    <row r="9404" ht="15.75" customHeight="1">
      <c r="A9404" s="1">
        <v>10633.0</v>
      </c>
      <c r="B9404" s="3" t="s">
        <v>26815</v>
      </c>
      <c r="C9404" s="3">
        <v>0.0</v>
      </c>
      <c r="D9404" s="3">
        <v>0.0</v>
      </c>
      <c r="E9404" s="3">
        <v>0.0</v>
      </c>
      <c r="F9404" s="3" t="s">
        <v>26816</v>
      </c>
      <c r="G9404" s="3">
        <v>0.0</v>
      </c>
      <c r="H9404" s="3">
        <v>0.0</v>
      </c>
      <c r="I9404" s="3" t="s">
        <v>13</v>
      </c>
      <c r="J9404" s="3" t="s">
        <v>26817</v>
      </c>
      <c r="K9404" s="3" t="s">
        <v>15</v>
      </c>
      <c r="L9404" s="3" t="str">
        <f>IFERROR(__xludf.DUMMYFUNCTION("GOOGLETRANSLATE(F9404,""id"",""en"")"),"Yalah happy Argentina champions even got news like this")</f>
        <v>Yalah happy Argentina champions even got news like this</v>
      </c>
    </row>
    <row r="9405" ht="15.75" customHeight="1">
      <c r="A9405" s="1">
        <v>10634.0</v>
      </c>
      <c r="B9405" s="3" t="s">
        <v>26818</v>
      </c>
      <c r="C9405" s="3">
        <v>1.0</v>
      </c>
      <c r="D9405" s="3">
        <v>1.0</v>
      </c>
      <c r="E9405" s="3">
        <v>6.0</v>
      </c>
      <c r="F9405" s="3" t="s">
        <v>26819</v>
      </c>
      <c r="G9405" s="3">
        <v>0.0</v>
      </c>
      <c r="H9405" s="3">
        <v>0.0</v>
      </c>
      <c r="I9405" s="3" t="s">
        <v>13</v>
      </c>
      <c r="J9405" s="3" t="s">
        <v>26820</v>
      </c>
      <c r="K9405" s="3" t="s">
        <v>50</v>
      </c>
      <c r="L9405" s="3" t="str">
        <f>IFERROR(__xludf.DUMMYFUNCTION("GOOGLETRANSLATE(F9405,""id"",""en"")"),"Pie Sek Champion Argentina Kok Gowo Gendero Democrat Gendeng Tenan Iki")</f>
        <v>Pie Sek Champion Argentina Kok Gowo Gendero Democrat Gendeng Tenan Iki</v>
      </c>
    </row>
    <row r="9406" ht="15.75" customHeight="1">
      <c r="A9406" s="1">
        <v>10635.0</v>
      </c>
      <c r="B9406" s="3" t="s">
        <v>26821</v>
      </c>
      <c r="C9406" s="3">
        <v>0.0</v>
      </c>
      <c r="D9406" s="3">
        <v>0.0</v>
      </c>
      <c r="E9406" s="3">
        <v>0.0</v>
      </c>
      <c r="F9406" s="3" t="s">
        <v>26822</v>
      </c>
      <c r="G9406" s="3">
        <v>0.0</v>
      </c>
      <c r="H9406" s="3">
        <v>0.0</v>
      </c>
      <c r="I9406" s="3" t="s">
        <v>13</v>
      </c>
      <c r="J9406" s="3" t="s">
        <v>26823</v>
      </c>
      <c r="K9406" s="3" t="s">
        <v>19410</v>
      </c>
      <c r="L9406" s="3" t="str">
        <f>IFERROR(__xludf.DUMMYFUNCTION("GOOGLETRANSLATE(F9406,""id"",""en"")"),"who said that Argentina champions of the World Cup have set why not setting or should Messi already get the title of the World Cup and exceed the achievement of the Pele with the World Cup title immediately silently")</f>
        <v>who said that Argentina champions of the World Cup have set why not setting or should Messi already get the title of the World Cup and exceed the achievement of the Pele with the World Cup title immediately silently</v>
      </c>
    </row>
    <row r="9407" ht="15.75" customHeight="1">
      <c r="A9407" s="1">
        <v>10636.0</v>
      </c>
      <c r="B9407" s="3" t="s">
        <v>26824</v>
      </c>
      <c r="C9407" s="3">
        <v>0.0</v>
      </c>
      <c r="D9407" s="3">
        <v>0.0</v>
      </c>
      <c r="E9407" s="3">
        <v>0.0</v>
      </c>
      <c r="F9407" s="3" t="s">
        <v>26825</v>
      </c>
      <c r="G9407" s="3">
        <v>0.0</v>
      </c>
      <c r="H9407" s="3">
        <v>0.0</v>
      </c>
      <c r="I9407" s="3" t="s">
        <v>13</v>
      </c>
      <c r="J9407" s="3" t="s">
        <v>26826</v>
      </c>
      <c r="K9407" s="3" t="s">
        <v>644</v>
      </c>
      <c r="L9407" s="3" t="str">
        <f>IFERROR(__xludf.DUMMYFUNCTION("GOOGLETRANSLATE(F9407,""id"",""en"")"),"understand really anjirr wkwkkw")</f>
        <v>understand really anjirr wkwkkw</v>
      </c>
    </row>
    <row r="9408" ht="15.75" customHeight="1">
      <c r="A9408" s="1">
        <v>10637.0</v>
      </c>
      <c r="B9408" s="3" t="s">
        <v>26827</v>
      </c>
      <c r="C9408" s="3">
        <v>1.0</v>
      </c>
      <c r="D9408" s="3">
        <v>0.0</v>
      </c>
      <c r="E9408" s="3">
        <v>1.0</v>
      </c>
      <c r="F9408" s="3" t="s">
        <v>26828</v>
      </c>
      <c r="G9408" s="3">
        <v>0.0</v>
      </c>
      <c r="H9408" s="3">
        <v>0.0</v>
      </c>
      <c r="I9408" s="3" t="s">
        <v>13</v>
      </c>
      <c r="J9408" s="3" t="s">
        <v>26829</v>
      </c>
      <c r="K9408" s="3" t="s">
        <v>82</v>
      </c>
      <c r="L9408" s="3" t="str">
        <f>IFERROR(__xludf.DUMMYFUNCTION("GOOGLETRANSLATE(F9408,""id"",""en"")"),"Good afternoon, Ms. Syantik, happy Argentina, champion")</f>
        <v>Good afternoon, Ms. Syantik, happy Argentina, champion</v>
      </c>
    </row>
    <row r="9409" ht="15.75" customHeight="1">
      <c r="A9409" s="1">
        <v>10638.0</v>
      </c>
      <c r="B9409" s="3" t="s">
        <v>26830</v>
      </c>
      <c r="C9409" s="3">
        <v>0.0</v>
      </c>
      <c r="D9409" s="3">
        <v>0.0</v>
      </c>
      <c r="E9409" s="3">
        <v>0.0</v>
      </c>
      <c r="F9409" s="3" t="s">
        <v>26831</v>
      </c>
      <c r="G9409" s="3">
        <v>0.0</v>
      </c>
      <c r="H9409" s="3">
        <v>0.0</v>
      </c>
      <c r="I9409" s="3" t="s">
        <v>13</v>
      </c>
      <c r="J9409" s="3" t="s">
        <v>26832</v>
      </c>
      <c r="K9409" s="3" t="s">
        <v>644</v>
      </c>
      <c r="L9409" s="3" t="str">
        <f>IFERROR(__xludf.DUMMYFUNCTION("GOOGLETRANSLATE(F9409,""id"",""en"")"),"Argentina Champion Thanks to Blio")</f>
        <v>Argentina Champion Thanks to Blio</v>
      </c>
    </row>
    <row r="9410" ht="15.75" customHeight="1">
      <c r="A9410" s="1">
        <v>10639.0</v>
      </c>
      <c r="B9410" s="3" t="s">
        <v>26833</v>
      </c>
      <c r="C9410" s="3">
        <v>0.0</v>
      </c>
      <c r="D9410" s="3">
        <v>0.0</v>
      </c>
      <c r="E9410" s="3">
        <v>0.0</v>
      </c>
      <c r="F9410" s="3" t="s">
        <v>26834</v>
      </c>
      <c r="G9410" s="3">
        <v>0.0</v>
      </c>
      <c r="H9410" s="3">
        <v>0.0</v>
      </c>
      <c r="I9410" s="3" t="s">
        <v>13</v>
      </c>
      <c r="J9410" s="3" t="s">
        <v>26835</v>
      </c>
      <c r="K9410" s="3" t="s">
        <v>2117</v>
      </c>
      <c r="L9410" s="3" t="str">
        <f>IFERROR(__xludf.DUMMYFUNCTION("GOOGLETRANSLATE(F9410,""id"",""en"")"),"because Argentina champions wkwk")</f>
        <v>because Argentina champions wkwk</v>
      </c>
    </row>
    <row r="9411" ht="15.75" customHeight="1">
      <c r="A9411" s="1">
        <v>10640.0</v>
      </c>
      <c r="B9411" s="3" t="s">
        <v>26836</v>
      </c>
      <c r="C9411" s="3">
        <v>0.0</v>
      </c>
      <c r="D9411" s="3">
        <v>0.0</v>
      </c>
      <c r="E9411" s="3">
        <v>0.0</v>
      </c>
      <c r="F9411" s="3" t="s">
        <v>26837</v>
      </c>
      <c r="G9411" s="3">
        <v>0.0</v>
      </c>
      <c r="H9411" s="3">
        <v>0.0</v>
      </c>
      <c r="I9411" s="3" t="s">
        <v>13</v>
      </c>
      <c r="J9411" s="3" t="s">
        <v>26838</v>
      </c>
      <c r="K9411" s="3" t="s">
        <v>2117</v>
      </c>
      <c r="L9411" s="3" t="str">
        <f>IFERROR(__xludf.DUMMYFUNCTION("GOOGLETRANSLATE(F9411,""id"",""en"")"),"Eti Otw Trauma")</f>
        <v>Eti Otw Trauma</v>
      </c>
    </row>
    <row r="9412" ht="15.75" customHeight="1">
      <c r="A9412" s="1">
        <v>10641.0</v>
      </c>
      <c r="B9412" s="3" t="s">
        <v>26839</v>
      </c>
      <c r="C9412" s="3">
        <v>0.0</v>
      </c>
      <c r="D9412" s="3">
        <v>0.0</v>
      </c>
      <c r="E9412" s="3">
        <v>0.0</v>
      </c>
      <c r="F9412" s="3" t="s">
        <v>26840</v>
      </c>
      <c r="G9412" s="3">
        <v>0.0</v>
      </c>
      <c r="H9412" s="3">
        <v>0.0</v>
      </c>
      <c r="I9412" s="3" t="s">
        <v>13</v>
      </c>
      <c r="J9412" s="3" t="s">
        <v>26841</v>
      </c>
      <c r="K9412" s="3" t="s">
        <v>657</v>
      </c>
      <c r="L9412" s="3" t="str">
        <f>IFERROR(__xludf.DUMMYFUNCTION("GOOGLETRANSLATE(F9412,""id"",""en"")"),"If there is no saving the magic Emiliano Martinez the last second of the champion and Lionel Messi cries and goes home empty -handed visit")</f>
        <v>If there is no saving the magic Emiliano Martinez the last second of the champion and Lionel Messi cries and goes home empty -handed visit</v>
      </c>
    </row>
    <row r="9413" ht="15.75" customHeight="1">
      <c r="A9413" s="1">
        <v>10642.0</v>
      </c>
      <c r="B9413" s="3" t="s">
        <v>26842</v>
      </c>
      <c r="C9413" s="3">
        <v>5.0</v>
      </c>
      <c r="D9413" s="3">
        <v>23.0</v>
      </c>
      <c r="E9413" s="3">
        <v>170.0</v>
      </c>
      <c r="F9413" s="3" t="s">
        <v>26843</v>
      </c>
      <c r="G9413" s="3">
        <v>0.825</v>
      </c>
      <c r="H9413" s="3">
        <v>0.575</v>
      </c>
      <c r="I9413" s="3" t="s">
        <v>48</v>
      </c>
      <c r="J9413" s="3" t="s">
        <v>26844</v>
      </c>
      <c r="K9413" s="3" t="s">
        <v>1404</v>
      </c>
      <c r="L9413" s="3" t="str">
        <f>IFERROR(__xludf.DUMMYFUNCTION("GOOGLETRANSLATE(F9413,""id"",""en"")"),"Lionel Anders Messi was born Rosario in June, almost in Argentina, the World Cup champion times the Cleaning Service worker and the father of a small Messi steel factory worker grew abnormally short deficiencies")</f>
        <v>Lionel Anders Messi was born Rosario in June, almost in Argentina, the World Cup champion times the Cleaning Service worker and the father of a small Messi steel factory worker grew abnormally short deficiencies</v>
      </c>
    </row>
    <row r="9414" ht="15.75" customHeight="1">
      <c r="A9414" s="1">
        <v>10643.0</v>
      </c>
      <c r="B9414" s="3" t="s">
        <v>26845</v>
      </c>
      <c r="C9414" s="3">
        <v>0.0</v>
      </c>
      <c r="D9414" s="3">
        <v>0.0</v>
      </c>
      <c r="E9414" s="3">
        <v>0.0</v>
      </c>
      <c r="F9414" s="3" t="s">
        <v>26846</v>
      </c>
      <c r="G9414" s="3">
        <v>0.0</v>
      </c>
      <c r="H9414" s="3">
        <v>0.0</v>
      </c>
      <c r="I9414" s="3" t="s">
        <v>13</v>
      </c>
      <c r="J9414" s="3" t="s">
        <v>26847</v>
      </c>
      <c r="K9414" s="3" t="s">
        <v>184</v>
      </c>
      <c r="L9414" s="3" t="str">
        <f>IFERROR(__xludf.DUMMYFUNCTION("GOOGLETRANSLATE(F9414,""id"",""en"")"),"The success of Lionel Messi brought the Argentine national team to the World Cup champion seems to be the end of the long debate who is the world's best player")</f>
        <v>The success of Lionel Messi brought the Argentine national team to the World Cup champion seems to be the end of the long debate who is the world's best player</v>
      </c>
    </row>
    <row r="9415" ht="15.75" customHeight="1">
      <c r="A9415" s="1">
        <v>10644.0</v>
      </c>
      <c r="B9415" s="3" t="s">
        <v>26848</v>
      </c>
      <c r="C9415" s="3">
        <v>1.0</v>
      </c>
      <c r="D9415" s="3">
        <v>0.0</v>
      </c>
      <c r="E9415" s="3">
        <v>1.0</v>
      </c>
      <c r="F9415" s="3" t="s">
        <v>26849</v>
      </c>
      <c r="G9415" s="3">
        <v>0.0</v>
      </c>
      <c r="H9415" s="3">
        <v>0.0</v>
      </c>
      <c r="I9415" s="3" t="s">
        <v>13</v>
      </c>
      <c r="J9415" s="3" t="s">
        <v>26850</v>
      </c>
      <c r="K9415" s="3" t="s">
        <v>495</v>
      </c>
      <c r="L9415" s="3" t="str">
        <f>IFERROR(__xludf.DUMMYFUNCTION("GOOGLETRANSLATE(F9415,""id"",""en"")"),"Messi was considered worthy of crossed out of the championship favorite team candidates at that time Argentina was felt to be less fanged only at the Latin American region")</f>
        <v>Messi was considered worthy of crossed out of the championship favorite team candidates at that time Argentina was felt to be less fanged only at the Latin American region</v>
      </c>
    </row>
    <row r="9416" ht="15.75" customHeight="1">
      <c r="A9416" s="1">
        <v>10645.0</v>
      </c>
      <c r="B9416" s="3" t="s">
        <v>26851</v>
      </c>
      <c r="C9416" s="3">
        <v>1.0</v>
      </c>
      <c r="D9416" s="3">
        <v>8.0</v>
      </c>
      <c r="E9416" s="3">
        <v>33.0</v>
      </c>
      <c r="F9416" s="3" t="s">
        <v>26852</v>
      </c>
      <c r="G9416" s="3">
        <v>0.0</v>
      </c>
      <c r="H9416" s="3">
        <v>0.0</v>
      </c>
      <c r="I9416" s="3" t="s">
        <v>13</v>
      </c>
      <c r="J9416" s="3" t="s">
        <v>26853</v>
      </c>
      <c r="K9416" s="3" t="s">
        <v>903</v>
      </c>
      <c r="L9416" s="3" t="str">
        <f>IFERROR(__xludf.DUMMYFUNCTION("GOOGLETRANSLATE(F9416,""id"",""en"")"),"Argentina won the World Cup Tango team coming Qatar with the humiliation of Saudi Arabia the first match then the last match became the champion how the story see in the following")</f>
        <v>Argentina won the World Cup Tango team coming Qatar with the humiliation of Saudi Arabia the first match then the last match became the champion how the story see in the following</v>
      </c>
    </row>
    <row r="9417" ht="15.75" customHeight="1">
      <c r="A9417" s="1">
        <v>10646.0</v>
      </c>
      <c r="B9417" s="3" t="s">
        <v>26854</v>
      </c>
      <c r="C9417" s="3">
        <v>0.0</v>
      </c>
      <c r="D9417" s="3">
        <v>0.0</v>
      </c>
      <c r="E9417" s="3">
        <v>1.0</v>
      </c>
      <c r="F9417" s="3" t="s">
        <v>26855</v>
      </c>
      <c r="G9417" s="3">
        <v>0.0</v>
      </c>
      <c r="H9417" s="3">
        <v>0.0</v>
      </c>
      <c r="I9417" s="3" t="s">
        <v>13</v>
      </c>
      <c r="J9417" s="3" t="s">
        <v>26856</v>
      </c>
      <c r="K9417" s="3" t="s">
        <v>31</v>
      </c>
      <c r="L9417" s="3" t="str">
        <f>IFERROR(__xludf.DUMMYFUNCTION("GOOGLETRANSLATE(F9417,""id"",""en"")"),"Dyang Geden Ms. Argentina Champion")</f>
        <v>Dyang Geden Ms. Argentina Champion</v>
      </c>
    </row>
    <row r="9418" ht="15.75" customHeight="1">
      <c r="A9418" s="1">
        <v>10647.0</v>
      </c>
      <c r="B9418" s="3" t="s">
        <v>26857</v>
      </c>
      <c r="C9418" s="3">
        <v>0.0</v>
      </c>
      <c r="D9418" s="3">
        <v>0.0</v>
      </c>
      <c r="E9418" s="3">
        <v>0.0</v>
      </c>
      <c r="F9418" s="3" t="s">
        <v>26858</v>
      </c>
      <c r="G9418" s="3">
        <v>0.0</v>
      </c>
      <c r="H9418" s="3">
        <v>0.0</v>
      </c>
      <c r="I9418" s="3" t="s">
        <v>13</v>
      </c>
      <c r="J9418" s="3" t="s">
        <v>26859</v>
      </c>
      <c r="K9418" s="3" t="s">
        <v>3156</v>
      </c>
      <c r="L9418" s="3" t="str">
        <f>IFERROR(__xludf.DUMMYFUNCTION("GOOGLETRANSLATE(F9418,""id"",""en"")"),"The World Cup Qatar Argentina Champion France Champion Croatia Champion Harapan Morocco hopes that Portugal Brazil Germany's champion")</f>
        <v>The World Cup Qatar Argentina Champion France Champion Croatia Champion Harapan Morocco hopes that Portugal Brazil Germany's champion</v>
      </c>
    </row>
    <row r="9419" ht="15.75" customHeight="1">
      <c r="A9419" s="1">
        <v>10648.0</v>
      </c>
      <c r="B9419" s="3" t="s">
        <v>26860</v>
      </c>
      <c r="C9419" s="3">
        <v>0.0</v>
      </c>
      <c r="D9419" s="3">
        <v>0.0</v>
      </c>
      <c r="E9419" s="3">
        <v>0.0</v>
      </c>
      <c r="F9419" s="3" t="s">
        <v>26861</v>
      </c>
      <c r="G9419" s="3">
        <v>0.0</v>
      </c>
      <c r="H9419" s="3">
        <v>0.0</v>
      </c>
      <c r="I9419" s="3" t="s">
        <v>13</v>
      </c>
      <c r="J9419" s="3" t="s">
        <v>26862</v>
      </c>
      <c r="K9419" s="3" t="s">
        <v>127</v>
      </c>
      <c r="L9419" s="3" t="str">
        <f>IFERROR(__xludf.DUMMYFUNCTION("GOOGLETRANSLATE(F9419,""id"",""en"")"),"Lionel Messi emphasized that he did not want to retire after bringing Argentina the World Cup champion was ready to defend his country International stage until")</f>
        <v>Lionel Messi emphasized that he did not want to retire after bringing Argentina the World Cup champion was ready to defend his country International stage until</v>
      </c>
    </row>
    <row r="9420" ht="15.75" customHeight="1">
      <c r="A9420" s="1">
        <v>10649.0</v>
      </c>
      <c r="B9420" s="3" t="s">
        <v>26863</v>
      </c>
      <c r="C9420" s="3">
        <v>0.0</v>
      </c>
      <c r="D9420" s="3">
        <v>0.0</v>
      </c>
      <c r="E9420" s="3">
        <v>0.0</v>
      </c>
      <c r="F9420" s="3" t="s">
        <v>26864</v>
      </c>
      <c r="G9420" s="3">
        <v>0.0</v>
      </c>
      <c r="H9420" s="3">
        <v>0.0</v>
      </c>
      <c r="I9420" s="3" t="s">
        <v>13</v>
      </c>
      <c r="J9420" s="3" t="s">
        <v>26865</v>
      </c>
      <c r="K9420" s="3" t="s">
        <v>90</v>
      </c>
      <c r="L9420" s="3" t="str">
        <f>IFERROR(__xludf.DUMMYFUNCTION("GOOGLETRANSLATE(F9420,""id"",""en"")"),"AIRLANGGA HARTARTO's politics maturity made himself Potential Candidate Kib Maria Messi Paul Emi Martinez Bring Argentina World Cup Champion")</f>
        <v>AIRLANGGA HARTARTO's politics maturity made himself Potential Candidate Kib Maria Messi Paul Emi Martinez Bring Argentina World Cup Champion</v>
      </c>
    </row>
    <row r="9421" ht="15.75" customHeight="1">
      <c r="A9421" s="1">
        <v>10650.0</v>
      </c>
      <c r="B9421" s="3" t="s">
        <v>26866</v>
      </c>
      <c r="C9421" s="3">
        <v>0.0</v>
      </c>
      <c r="D9421" s="3">
        <v>1.0</v>
      </c>
      <c r="E9421" s="3">
        <v>0.0</v>
      </c>
      <c r="F9421" s="3" t="s">
        <v>26867</v>
      </c>
      <c r="G9421" s="3">
        <v>0.5</v>
      </c>
      <c r="H9421" s="3">
        <v>0.5</v>
      </c>
      <c r="I9421" s="3" t="s">
        <v>48</v>
      </c>
      <c r="J9421" s="3" t="s">
        <v>26868</v>
      </c>
      <c r="K9421" s="3" t="s">
        <v>5193</v>
      </c>
      <c r="L9421" s="3" t="str">
        <f>IFERROR(__xludf.DUMMYFUNCTION("GOOGLETRANSLATE(F9421,""id"",""en"")"),"Argentina Top Scorer Year Champion Mario Kempes Mexican Year Top Scorer Diego Maradona Year Qatar Top Scorer Lionel Messi")</f>
        <v>Argentina Top Scorer Year Champion Mario Kempes Mexican Year Top Scorer Diego Maradona Year Qatar Top Scorer Lionel Messi</v>
      </c>
    </row>
    <row r="9422" ht="15.75" customHeight="1">
      <c r="A9422" s="1">
        <v>10651.0</v>
      </c>
      <c r="B9422" s="3" t="s">
        <v>26869</v>
      </c>
      <c r="C9422" s="3">
        <v>0.0</v>
      </c>
      <c r="D9422" s="3">
        <v>0.0</v>
      </c>
      <c r="E9422" s="3">
        <v>0.0</v>
      </c>
      <c r="F9422" s="3" t="s">
        <v>26870</v>
      </c>
      <c r="G9422" s="3">
        <v>0.0</v>
      </c>
      <c r="H9422" s="3">
        <v>0.0</v>
      </c>
      <c r="I9422" s="3" t="s">
        <v>13</v>
      </c>
      <c r="J9422" s="3" t="s">
        <v>26871</v>
      </c>
      <c r="K9422" s="3" t="s">
        <v>50</v>
      </c>
      <c r="L9422" s="3" t="str">
        <f>IFERROR(__xludf.DUMMYFUNCTION("GOOGLETRANSLATE(F9422,""id"",""en"")"),"Lionel Messi Incidences Record After Bringing Argentina World Cup Champion More")</f>
        <v>Lionel Messi Incidences Record After Bringing Argentina World Cup Champion More</v>
      </c>
    </row>
    <row r="9423" ht="15.75" customHeight="1">
      <c r="A9423" s="1">
        <v>10652.0</v>
      </c>
      <c r="B9423" s="3" t="s">
        <v>26872</v>
      </c>
      <c r="C9423" s="3">
        <v>0.0</v>
      </c>
      <c r="D9423" s="3">
        <v>3.0</v>
      </c>
      <c r="E9423" s="3">
        <v>0.0</v>
      </c>
      <c r="F9423" s="3" t="s">
        <v>26873</v>
      </c>
      <c r="G9423" s="3">
        <v>0.0</v>
      </c>
      <c r="H9423" s="3">
        <v>0.0</v>
      </c>
      <c r="I9423" s="3" t="s">
        <v>13</v>
      </c>
      <c r="J9423" s="3" t="s">
        <v>26874</v>
      </c>
      <c r="K9423" s="3" t="s">
        <v>510</v>
      </c>
      <c r="L9423" s="3" t="str">
        <f>IFERROR(__xludf.DUMMYFUNCTION("GOOGLETRANSLATE(F9423,""id"",""en"")"),"Argentina national team video champion World Cup Penggawa Tango Team Celebrates Kylian Mbappe's death")</f>
        <v>Argentina national team video champion World Cup Penggawa Tango Team Celebrates Kylian Mbappe's death</v>
      </c>
    </row>
    <row r="9424" ht="15.75" customHeight="1">
      <c r="A9424" s="1">
        <v>10653.0</v>
      </c>
      <c r="B9424" s="3" t="s">
        <v>26875</v>
      </c>
      <c r="C9424" s="3">
        <v>0.0</v>
      </c>
      <c r="D9424" s="3">
        <v>0.0</v>
      </c>
      <c r="E9424" s="3">
        <v>7.0</v>
      </c>
      <c r="F9424" s="3" t="s">
        <v>26077</v>
      </c>
      <c r="G9424" s="3">
        <v>0.0</v>
      </c>
      <c r="H9424" s="3">
        <v>0.0</v>
      </c>
      <c r="I9424" s="3" t="s">
        <v>13</v>
      </c>
      <c r="J9424" s="3" t="s">
        <v>26078</v>
      </c>
      <c r="K9424" s="3" t="s">
        <v>433</v>
      </c>
      <c r="L9424" s="3" t="str">
        <f>IFERROR(__xludf.DUMMYFUNCTION("GOOGLETRANSLATE(F9424,""id"",""en"")"),"Lionel Messi finally became the world champion of the Argentine national team brought by Pulga to become a World Cup champion")</f>
        <v>Lionel Messi finally became the world champion of the Argentine national team brought by Pulga to become a World Cup champion</v>
      </c>
    </row>
    <row r="9425" ht="15.75" customHeight="1">
      <c r="A9425" s="1">
        <v>10654.0</v>
      </c>
      <c r="B9425" s="3" t="s">
        <v>26876</v>
      </c>
      <c r="C9425" s="3">
        <v>0.0</v>
      </c>
      <c r="D9425" s="3">
        <v>0.0</v>
      </c>
      <c r="E9425" s="3">
        <v>0.0</v>
      </c>
      <c r="F9425" s="3" t="s">
        <v>26877</v>
      </c>
      <c r="G9425" s="3">
        <v>0.0</v>
      </c>
      <c r="H9425" s="3">
        <v>0.0</v>
      </c>
      <c r="I9425" s="3" t="s">
        <v>13</v>
      </c>
      <c r="J9425" s="3" t="s">
        <v>26878</v>
      </c>
      <c r="K9425" s="3" t="s">
        <v>437</v>
      </c>
      <c r="L9425" s="3" t="str">
        <f>IFERROR(__xludf.DUMMYFUNCTION("GOOGLETRANSLATE(F9425,""id"",""en"")"),"graduated from Argentina's World Cup Football Party Champion defeated France Muktamad France accepted defeat without blame the court")</f>
        <v>graduated from Argentina's World Cup Football Party Champion defeated France Muktamad France accepted defeat without blame the court</v>
      </c>
    </row>
    <row r="9426" ht="15.75" customHeight="1">
      <c r="A9426" s="1">
        <v>10655.0</v>
      </c>
      <c r="B9426" s="3" t="s">
        <v>26879</v>
      </c>
      <c r="C9426" s="3">
        <v>0.0</v>
      </c>
      <c r="D9426" s="3">
        <v>3.0</v>
      </c>
      <c r="E9426" s="3">
        <v>0.0</v>
      </c>
      <c r="F9426" s="3" t="s">
        <v>26880</v>
      </c>
      <c r="G9426" s="3">
        <v>0.0</v>
      </c>
      <c r="H9426" s="3">
        <v>0.0</v>
      </c>
      <c r="I9426" s="3" t="s">
        <v>13</v>
      </c>
      <c r="J9426" s="3" t="s">
        <v>26881</v>
      </c>
      <c r="K9426" s="3" t="s">
        <v>510</v>
      </c>
      <c r="L9426" s="3" t="str">
        <f>IFERROR(__xludf.DUMMYFUNCTION("GOOGLETRANSLATE(F9426,""id"",""en"")"),"Argentina national team video champion Instagram World Cristiano Ronaldo Product Bully Fans")</f>
        <v>Argentina national team video champion Instagram World Cristiano Ronaldo Product Bully Fans</v>
      </c>
    </row>
    <row r="9427" ht="15.75" customHeight="1">
      <c r="A9427" s="1">
        <v>10656.0</v>
      </c>
      <c r="B9427" s="3" t="s">
        <v>26882</v>
      </c>
      <c r="C9427" s="3">
        <v>0.0</v>
      </c>
      <c r="D9427" s="3">
        <v>0.0</v>
      </c>
      <c r="E9427" s="3">
        <v>0.0</v>
      </c>
      <c r="F9427" s="3" t="s">
        <v>26883</v>
      </c>
      <c r="G9427" s="3">
        <v>0.0</v>
      </c>
      <c r="H9427" s="3">
        <v>0.0</v>
      </c>
      <c r="I9427" s="3" t="s">
        <v>13</v>
      </c>
      <c r="J9427" s="3" t="s">
        <v>26884</v>
      </c>
      <c r="K9427" s="3" t="s">
        <v>50</v>
      </c>
      <c r="L9427" s="3" t="str">
        <f>IFERROR(__xludf.DUMMYFUNCTION("GOOGLETRANSLATE(F9427,""id"",""en"")"),"Aguero this ckckck so that what's the face of people fighting so that Argentina is not champion, not like that")</f>
        <v>Aguero this ckckck so that what's the face of people fighting so that Argentina is not champion, not like that</v>
      </c>
    </row>
    <row r="9428" ht="15.75" customHeight="1">
      <c r="A9428" s="1">
        <v>10657.0</v>
      </c>
      <c r="B9428" s="3" t="s">
        <v>26885</v>
      </c>
      <c r="C9428" s="3">
        <v>4.0</v>
      </c>
      <c r="D9428" s="3">
        <v>5.0</v>
      </c>
      <c r="E9428" s="3">
        <v>33.0</v>
      </c>
      <c r="F9428" s="3" t="s">
        <v>26886</v>
      </c>
      <c r="G9428" s="3">
        <v>0.0</v>
      </c>
      <c r="H9428" s="3">
        <v>0.0</v>
      </c>
      <c r="I9428" s="3" t="s">
        <v>13</v>
      </c>
      <c r="J9428" s="3" t="s">
        <v>26887</v>
      </c>
      <c r="K9428" s="3" t="s">
        <v>3519</v>
      </c>
      <c r="L9428" s="3" t="str">
        <f>IFERROR(__xludf.DUMMYFUNCTION("GOOGLETRANSLATE(F9428,""id"",""en"")"),"There is still a world cup affairs to bring religious affairs not fanatical to Islam, Moroccan and Argentina, because for me, it is very strange that I am from childhood championship soccer players and become a club fan or certain country not because of h"&amp;"is religion")</f>
        <v>There is still a world cup affairs to bring religious affairs not fanatical to Islam, Moroccan and Argentina, because for me, it is very strange that I am from childhood championship soccer players and become a club fan or certain country not because of his religion</v>
      </c>
    </row>
    <row r="9429" ht="15.75" customHeight="1">
      <c r="A9429" s="1">
        <v>10658.0</v>
      </c>
      <c r="B9429" s="3" t="s">
        <v>26888</v>
      </c>
      <c r="C9429" s="3">
        <v>0.0</v>
      </c>
      <c r="D9429" s="3">
        <v>0.0</v>
      </c>
      <c r="E9429" s="3">
        <v>0.0</v>
      </c>
      <c r="F9429" s="3" t="s">
        <v>26889</v>
      </c>
      <c r="G9429" s="3">
        <v>0.0</v>
      </c>
      <c r="H9429" s="3">
        <v>0.0</v>
      </c>
      <c r="I9429" s="3" t="s">
        <v>13</v>
      </c>
      <c r="J9429" s="3" t="s">
        <v>26890</v>
      </c>
      <c r="K9429" s="3" t="s">
        <v>644</v>
      </c>
      <c r="L9429" s="3" t="str">
        <f>IFERROR(__xludf.DUMMYFUNCTION("GOOGLETRANSLATE(F9429,""id"",""en"")"),"How is Argentina Champion")</f>
        <v>How is Argentina Champion</v>
      </c>
    </row>
    <row r="9430" ht="15.75" customHeight="1">
      <c r="A9430" s="1">
        <v>10659.0</v>
      </c>
      <c r="B9430" s="3" t="s">
        <v>26891</v>
      </c>
      <c r="C9430" s="3">
        <v>0.0</v>
      </c>
      <c r="D9430" s="3">
        <v>0.0</v>
      </c>
      <c r="E9430" s="3">
        <v>0.0</v>
      </c>
      <c r="F9430" s="3" t="s">
        <v>26892</v>
      </c>
      <c r="G9430" s="3">
        <v>0.0</v>
      </c>
      <c r="H9430" s="3">
        <v>0.0</v>
      </c>
      <c r="I9430" s="3" t="s">
        <v>13</v>
      </c>
      <c r="J9430" s="3" t="s">
        <v>26893</v>
      </c>
      <c r="K9430" s="3" t="s">
        <v>1293</v>
      </c>
      <c r="L9430" s="3" t="str">
        <f>IFERROR(__xludf.DUMMYFUNCTION("GOOGLETRANSLATE(F9430,""id"",""en"")"),"Finally Argentina has the champion because of the game draw and the round when the coach applies a defensive strategy with the withdrawal")</f>
        <v>Finally Argentina has the champion because of the game draw and the round when the coach applies a defensive strategy with the withdrawal</v>
      </c>
    </row>
    <row r="9431" ht="15.75" customHeight="1">
      <c r="A9431" s="1">
        <v>10660.0</v>
      </c>
      <c r="B9431" s="3" t="s">
        <v>26894</v>
      </c>
      <c r="C9431" s="3">
        <v>0.0</v>
      </c>
      <c r="D9431" s="3">
        <v>0.0</v>
      </c>
      <c r="E9431" s="3">
        <v>0.0</v>
      </c>
      <c r="F9431" s="3" t="s">
        <v>26895</v>
      </c>
      <c r="G9431" s="3">
        <v>0.0</v>
      </c>
      <c r="H9431" s="3">
        <v>0.0</v>
      </c>
      <c r="I9431" s="3" t="s">
        <v>13</v>
      </c>
      <c r="J9431" s="3" t="s">
        <v>26896</v>
      </c>
      <c r="K9431" s="3" t="s">
        <v>644</v>
      </c>
      <c r="L9431" s="3" t="str">
        <f>IFERROR(__xludf.DUMMYFUNCTION("GOOGLETRANSLATE(F9431,""id"",""en"")"),"Thanks to the Argentina Beliyau, you can win")</f>
        <v>Thanks to the Argentina Beliyau, you can win</v>
      </c>
    </row>
    <row r="9432" ht="15.75" customHeight="1">
      <c r="A9432" s="1">
        <v>10661.0</v>
      </c>
      <c r="B9432" s="3" t="s">
        <v>26897</v>
      </c>
      <c r="C9432" s="3">
        <v>0.0</v>
      </c>
      <c r="D9432" s="3">
        <v>0.0</v>
      </c>
      <c r="E9432" s="3">
        <v>0.0</v>
      </c>
      <c r="F9432" s="3" t="s">
        <v>17833</v>
      </c>
      <c r="G9432" s="3">
        <v>0.0</v>
      </c>
      <c r="H9432" s="3">
        <v>0.0</v>
      </c>
      <c r="I9432" s="3" t="s">
        <v>13</v>
      </c>
      <c r="J9432" s="3" t="s">
        <v>17834</v>
      </c>
      <c r="K9432" s="3" t="s">
        <v>82</v>
      </c>
      <c r="L9432" s="3" t="str">
        <f>IFERROR(__xludf.DUMMYFUNCTION("GOOGLETRANSLATE(F9432,""id"",""en"")"),"Argentina Champion Learning Politics Competency from the World Cup")</f>
        <v>Argentina Champion Learning Politics Competency from the World Cup</v>
      </c>
    </row>
    <row r="9433" ht="15.75" customHeight="1">
      <c r="A9433" s="1">
        <v>10662.0</v>
      </c>
      <c r="B9433" s="3" t="s">
        <v>26898</v>
      </c>
      <c r="C9433" s="3">
        <v>0.0</v>
      </c>
      <c r="D9433" s="3">
        <v>0.0</v>
      </c>
      <c r="E9433" s="3">
        <v>0.0</v>
      </c>
      <c r="F9433" s="3" t="s">
        <v>26899</v>
      </c>
      <c r="G9433" s="3">
        <v>1.0</v>
      </c>
      <c r="H9433" s="3">
        <v>0.0</v>
      </c>
      <c r="I9433" s="3" t="s">
        <v>13</v>
      </c>
      <c r="J9433" s="3" t="s">
        <v>26900</v>
      </c>
      <c r="K9433" s="3" t="s">
        <v>903</v>
      </c>
      <c r="L9433" s="3" t="str">
        <f>IFERROR(__xludf.DUMMYFUNCTION("GOOGLETRANSLATE(F9433,""id"",""en"")"),"Because many people know who will be the champion before the match, the final is not worth watching even though there is a shootout drama, the Argentina champion is different if the champion is croatia, it will be more exciting to watch the final")</f>
        <v>Because many people know who will be the champion before the match, the final is not worth watching even though there is a shootout drama, the Argentina champion is different if the champion is croatia, it will be more exciting to watch the final</v>
      </c>
    </row>
    <row r="9434" ht="15.75" customHeight="1">
      <c r="A9434" s="1">
        <v>10663.0</v>
      </c>
      <c r="B9434" s="3" t="s">
        <v>26901</v>
      </c>
      <c r="C9434" s="3">
        <v>0.0</v>
      </c>
      <c r="D9434" s="3">
        <v>0.0</v>
      </c>
      <c r="E9434" s="3">
        <v>0.0</v>
      </c>
      <c r="F9434" s="3" t="s">
        <v>26902</v>
      </c>
      <c r="G9434" s="3">
        <v>0.0</v>
      </c>
      <c r="H9434" s="3">
        <v>0.0</v>
      </c>
      <c r="I9434" s="3" t="s">
        <v>13</v>
      </c>
      <c r="J9434" s="3" t="s">
        <v>26903</v>
      </c>
      <c r="K9434" s="3" t="s">
        <v>3803</v>
      </c>
      <c r="L9434" s="3" t="str">
        <f>IFERROR(__xludf.DUMMYFUNCTION("GOOGLETRANSLATE(F9434,""id"",""en"")"),"Argentina Champion Champion France Champion Croatia Champion Harapan Morocco Hopes Portugal Champion")</f>
        <v>Argentina Champion Champion France Champion Croatia Champion Harapan Morocco Hopes Portugal Champion</v>
      </c>
    </row>
    <row r="9435" ht="15.75" customHeight="1">
      <c r="A9435" s="1">
        <v>10664.0</v>
      </c>
      <c r="B9435" s="3" t="s">
        <v>26904</v>
      </c>
      <c r="C9435" s="3">
        <v>0.0</v>
      </c>
      <c r="D9435" s="3">
        <v>2.0</v>
      </c>
      <c r="E9435" s="3">
        <v>1.0</v>
      </c>
      <c r="F9435" s="3" t="s">
        <v>26905</v>
      </c>
      <c r="G9435" s="3">
        <v>0.0</v>
      </c>
      <c r="H9435" s="3">
        <v>0.0</v>
      </c>
      <c r="I9435" s="3" t="s">
        <v>13</v>
      </c>
      <c r="J9435" s="3" t="s">
        <v>26906</v>
      </c>
      <c r="K9435" s="3" t="s">
        <v>510</v>
      </c>
      <c r="L9435" s="3" t="str">
        <f>IFERROR(__xludf.DUMMYFUNCTION("GOOGLETRANSLATE(F9435,""id"",""en"")"),"Prediction of the Minister of Trade Zulkifli Hasan about Argentina won the True Qatar World Cup")</f>
        <v>Prediction of the Minister of Trade Zulkifli Hasan about Argentina won the True Qatar World Cup</v>
      </c>
    </row>
    <row r="9436" ht="15.75" customHeight="1">
      <c r="A9436" s="1">
        <v>10665.0</v>
      </c>
      <c r="B9436" s="3" t="s">
        <v>26907</v>
      </c>
      <c r="C9436" s="3">
        <v>0.0</v>
      </c>
      <c r="D9436" s="3">
        <v>0.0</v>
      </c>
      <c r="E9436" s="3">
        <v>0.0</v>
      </c>
      <c r="F9436" s="3" t="s">
        <v>26908</v>
      </c>
      <c r="G9436" s="3">
        <v>0.5</v>
      </c>
      <c r="H9436" s="3">
        <v>0.3</v>
      </c>
      <c r="I9436" s="3" t="s">
        <v>48</v>
      </c>
      <c r="J9436" s="3" t="s">
        <v>26909</v>
      </c>
      <c r="K9436" s="3" t="s">
        <v>19184</v>
      </c>
      <c r="L9436" s="3" t="str">
        <f>IFERROR(__xludf.DUMMYFUNCTION("GOOGLETRANSLATE(F9436,""id"",""en"")"),"Argentina The Qatar World Cup Champion The champions Kylian Mbappe successfully won the Lionel Messi golden boot won the Golden Ball of the best player Enzo Fernandez won the best young player Emiliano Martinez won as a inverted goalkeeper.")</f>
        <v>Argentina The Qatar World Cup Champion The champions Kylian Mbappe successfully won the Lionel Messi golden boot won the Golden Ball of the best player Enzo Fernandez won the best young player Emiliano Martinez won as a inverted goalkeeper.</v>
      </c>
    </row>
    <row r="9437" ht="15.75" customHeight="1">
      <c r="A9437" s="1">
        <v>10666.0</v>
      </c>
      <c r="B9437" s="3" t="s">
        <v>26910</v>
      </c>
      <c r="C9437" s="3">
        <v>0.0</v>
      </c>
      <c r="D9437" s="3">
        <v>0.0</v>
      </c>
      <c r="E9437" s="3">
        <v>0.0</v>
      </c>
      <c r="F9437" s="3" t="s">
        <v>26911</v>
      </c>
      <c r="G9437" s="3">
        <v>1.0</v>
      </c>
      <c r="H9437" s="3">
        <v>0.0</v>
      </c>
      <c r="I9437" s="3" t="s">
        <v>13</v>
      </c>
      <c r="J9437" s="3" t="s">
        <v>26912</v>
      </c>
      <c r="K9437" s="3" t="s">
        <v>123</v>
      </c>
      <c r="L9437" s="3" t="str">
        <f>IFERROR(__xludf.DUMMYFUNCTION("GOOGLETRANSLATE(F9437,""id"",""en"")"),"successfully won the world title through penalties along with interesting facts of Argentina World Cup Final")</f>
        <v>successfully won the world title through penalties along with interesting facts of Argentina World Cup Final</v>
      </c>
    </row>
    <row r="9438" ht="15.75" customHeight="1">
      <c r="A9438" s="1">
        <v>10667.0</v>
      </c>
      <c r="B9438" s="3" t="s">
        <v>26913</v>
      </c>
      <c r="C9438" s="3">
        <v>0.0</v>
      </c>
      <c r="D9438" s="3">
        <v>0.0</v>
      </c>
      <c r="E9438" s="3">
        <v>0.0</v>
      </c>
      <c r="F9438" s="3" t="s">
        <v>26344</v>
      </c>
      <c r="G9438" s="3">
        <v>0.0</v>
      </c>
      <c r="H9438" s="3">
        <v>0.0</v>
      </c>
      <c r="I9438" s="3" t="s">
        <v>13</v>
      </c>
      <c r="J9438" s="3" t="s">
        <v>26345</v>
      </c>
      <c r="K9438" s="3" t="s">
        <v>657</v>
      </c>
      <c r="L9438" s="3" t="str">
        <f>IFERROR(__xludf.DUMMYFUNCTION("GOOGLETRANSLATE(F9438,""id"",""en"")"),"Take a peek at Argentina's simple way to celebrate victory after World Cup champion Paulo Dybala has a romantic dinner")</f>
        <v>Take a peek at Argentina's simple way to celebrate victory after World Cup champion Paulo Dybala has a romantic dinner</v>
      </c>
    </row>
    <row r="9439" ht="15.75" customHeight="1">
      <c r="A9439" s="1">
        <v>10668.0</v>
      </c>
      <c r="B9439" s="3" t="s">
        <v>26914</v>
      </c>
      <c r="C9439" s="3">
        <v>0.0</v>
      </c>
      <c r="D9439" s="3">
        <v>0.0</v>
      </c>
      <c r="E9439" s="3">
        <v>0.0</v>
      </c>
      <c r="F9439" s="3" t="s">
        <v>26915</v>
      </c>
      <c r="G9439" s="3">
        <v>0.0</v>
      </c>
      <c r="H9439" s="3">
        <v>0.0</v>
      </c>
      <c r="I9439" s="3" t="s">
        <v>13</v>
      </c>
      <c r="J9439" s="3" t="s">
        <v>26916</v>
      </c>
      <c r="K9439" s="3" t="s">
        <v>510</v>
      </c>
      <c r="L9439" s="3" t="str">
        <f>IFERROR(__xludf.DUMMYFUNCTION("GOOGLETRANSLATE(F9439,""id"",""en"")"),"Argentina Champion the figure of Antonella Roccuzzo became the conversation of Messi's wife whose love story was like a fairy tale")</f>
        <v>Argentina Champion the figure of Antonella Roccuzzo became the conversation of Messi's wife whose love story was like a fairy tale</v>
      </c>
    </row>
    <row r="9440" ht="15.75" customHeight="1">
      <c r="A9440" s="1">
        <v>10669.0</v>
      </c>
      <c r="B9440" s="3" t="s">
        <v>26917</v>
      </c>
      <c r="C9440" s="3">
        <v>0.0</v>
      </c>
      <c r="D9440" s="3">
        <v>0.0</v>
      </c>
      <c r="E9440" s="3">
        <v>0.0</v>
      </c>
      <c r="F9440" s="3" t="s">
        <v>26918</v>
      </c>
      <c r="G9440" s="3">
        <v>0.0</v>
      </c>
      <c r="H9440" s="3">
        <v>0.0</v>
      </c>
      <c r="I9440" s="3" t="s">
        <v>13</v>
      </c>
      <c r="J9440" s="3" t="s">
        <v>26919</v>
      </c>
      <c r="K9440" s="3" t="s">
        <v>50</v>
      </c>
      <c r="L9440" s="3" t="str">
        <f>IFERROR(__xludf.DUMMYFUNCTION("GOOGLETRANSLATE(F9440,""id"",""en"")"),"Congratulations Albiceleses This World Cup Champion is a series of interesting things from the victory of the Argentine national team")</f>
        <v>Congratulations Albiceleses This World Cup Champion is a series of interesting things from the victory of the Argentine national team</v>
      </c>
    </row>
    <row r="9441" ht="15.75" customHeight="1">
      <c r="A9441" s="1">
        <v>10670.0</v>
      </c>
      <c r="B9441" s="3" t="s">
        <v>26920</v>
      </c>
      <c r="C9441" s="3">
        <v>0.0</v>
      </c>
      <c r="D9441" s="3">
        <v>0.0</v>
      </c>
      <c r="E9441" s="3">
        <v>0.0</v>
      </c>
      <c r="F9441" s="3" t="s">
        <v>26921</v>
      </c>
      <c r="G9441" s="3">
        <v>0.0</v>
      </c>
      <c r="H9441" s="3">
        <v>0.0</v>
      </c>
      <c r="I9441" s="3" t="s">
        <v>13</v>
      </c>
      <c r="J9441" s="3" t="s">
        <v>26922</v>
      </c>
      <c r="K9441" s="3" t="s">
        <v>644</v>
      </c>
      <c r="L9441" s="3" t="str">
        <f>IFERROR(__xludf.DUMMYFUNCTION("GOOGLETRANSLATE(F9441,""id"",""en"")"),"Still unexpectedly Argentina is really champion")</f>
        <v>Still unexpectedly Argentina is really champion</v>
      </c>
    </row>
    <row r="9442" ht="15.75" customHeight="1">
      <c r="A9442" s="1">
        <v>10671.0</v>
      </c>
      <c r="B9442" s="3" t="s">
        <v>26923</v>
      </c>
      <c r="C9442" s="3">
        <v>0.0</v>
      </c>
      <c r="D9442" s="3">
        <v>0.0</v>
      </c>
      <c r="E9442" s="3">
        <v>0.0</v>
      </c>
      <c r="F9442" s="3" t="s">
        <v>26058</v>
      </c>
      <c r="G9442" s="3">
        <v>0.0</v>
      </c>
      <c r="H9442" s="3">
        <v>0.0</v>
      </c>
      <c r="I9442" s="3" t="s">
        <v>13</v>
      </c>
      <c r="J9442" s="3" t="s">
        <v>26059</v>
      </c>
      <c r="K9442" s="3" t="s">
        <v>75</v>
      </c>
      <c r="L9442" s="3" t="str">
        <f>IFERROR(__xludf.DUMMYFUNCTION("GOOGLETRANSLATE(F9442,""id"",""en"")"),"Sweet Portrait Messi and Family Celebrate Argentina to Work World Cup Champion")</f>
        <v>Sweet Portrait Messi and Family Celebrate Argentina to Work World Cup Champion</v>
      </c>
    </row>
    <row r="9443" ht="15.75" customHeight="1">
      <c r="A9443" s="1">
        <v>10672.0</v>
      </c>
      <c r="B9443" s="3" t="s">
        <v>26924</v>
      </c>
      <c r="C9443" s="3">
        <v>0.0</v>
      </c>
      <c r="D9443" s="3">
        <v>9.0</v>
      </c>
      <c r="E9443" s="3">
        <v>11.0</v>
      </c>
      <c r="F9443" s="3" t="s">
        <v>26925</v>
      </c>
      <c r="G9443" s="3">
        <v>1.0</v>
      </c>
      <c r="H9443" s="3">
        <v>0.0</v>
      </c>
      <c r="I9443" s="3" t="s">
        <v>13</v>
      </c>
      <c r="J9443" s="3" t="s">
        <v>26926</v>
      </c>
      <c r="K9443" s="3" t="s">
        <v>765</v>
      </c>
      <c r="L9443" s="3" t="str">
        <f>IFERROR(__xludf.DUMMYFUNCTION("GOOGLETRANSLATE(F9443,""id"",""en"")"),"BUMN Minister Erick Thohir precisely predicts the winner of the Qatar World Cup final soccer match between Argentina and France won by the Argentina Tango Team hopes that the team from Latin America is the champion")</f>
        <v>BUMN Minister Erick Thohir precisely predicts the winner of the Qatar World Cup final soccer match between Argentina and France won by the Argentina Tango Team hopes that the team from Latin America is the champion</v>
      </c>
    </row>
    <row r="9444" ht="15.75" customHeight="1">
      <c r="A9444" s="1">
        <v>10673.0</v>
      </c>
      <c r="B9444" s="3" t="s">
        <v>26927</v>
      </c>
      <c r="C9444" s="3">
        <v>31.0</v>
      </c>
      <c r="D9444" s="3">
        <v>211.0</v>
      </c>
      <c r="E9444" s="3">
        <v>1144.0</v>
      </c>
      <c r="F9444" s="3" t="s">
        <v>26928</v>
      </c>
      <c r="G9444" s="3">
        <v>0.0</v>
      </c>
      <c r="H9444" s="3">
        <v>0.0</v>
      </c>
      <c r="I9444" s="3" t="s">
        <v>13</v>
      </c>
      <c r="J9444" s="3" t="s">
        <v>26929</v>
      </c>
      <c r="K9444" s="3" t="s">
        <v>484</v>
      </c>
      <c r="L9444" s="3" t="str">
        <f>IFERROR(__xludf.DUMMYFUNCTION("GOOGLETRANSLATE(F9444,""id"",""en"")"),"Seconds when Messi Argentina national team found out they won our Qatar Paredes as World Champion Aguero Vamos Holy")</f>
        <v>Seconds when Messi Argentina national team found out they won our Qatar Paredes as World Champion Aguero Vamos Holy</v>
      </c>
    </row>
    <row r="9445" ht="15.75" customHeight="1">
      <c r="A9445" s="1">
        <v>10674.0</v>
      </c>
      <c r="B9445" s="3" t="s">
        <v>26930</v>
      </c>
      <c r="C9445" s="3">
        <v>0.0</v>
      </c>
      <c r="D9445" s="3">
        <v>0.0</v>
      </c>
      <c r="E9445" s="3">
        <v>0.0</v>
      </c>
      <c r="F9445" s="3" t="s">
        <v>26931</v>
      </c>
      <c r="G9445" s="3">
        <v>0.0</v>
      </c>
      <c r="H9445" s="3">
        <v>0.0</v>
      </c>
      <c r="I9445" s="3" t="s">
        <v>13</v>
      </c>
      <c r="J9445" s="3" t="s">
        <v>26932</v>
      </c>
      <c r="K9445" s="3" t="s">
        <v>31</v>
      </c>
      <c r="L9445" s="3" t="str">
        <f>IFERROR(__xludf.DUMMYFUNCTION("GOOGLETRANSLATE(F9445,""id"",""en"")"),"Argentina Champion Monday continues to work")</f>
        <v>Argentina Champion Monday continues to work</v>
      </c>
    </row>
    <row r="9446" ht="15.75" customHeight="1">
      <c r="A9446" s="1">
        <v>10675.0</v>
      </c>
      <c r="B9446" s="3" t="s">
        <v>26933</v>
      </c>
      <c r="C9446" s="3">
        <v>0.0</v>
      </c>
      <c r="D9446" s="3">
        <v>0.0</v>
      </c>
      <c r="E9446" s="3">
        <v>1.0</v>
      </c>
      <c r="F9446" s="3" t="s">
        <v>26934</v>
      </c>
      <c r="G9446" s="3">
        <v>0.0</v>
      </c>
      <c r="H9446" s="3">
        <v>0.0</v>
      </c>
      <c r="I9446" s="3" t="s">
        <v>13</v>
      </c>
      <c r="J9446" s="3" t="s">
        <v>26935</v>
      </c>
      <c r="K9446" s="3" t="s">
        <v>1912</v>
      </c>
      <c r="L9446" s="3" t="str">
        <f>IFERROR(__xludf.DUMMYFUNCTION("GOOGLETRANSLATE(F9446,""id"",""en"")"),"The World Cup title ended smoothly with the victory of Lionel Messi et al who brought Argentina in the first position of the FIFA World Cup Qatar along with a portrait of Messi et al who were celebrating the victory")</f>
        <v>The World Cup title ended smoothly with the victory of Lionel Messi et al who brought Argentina in the first position of the FIFA World Cup Qatar along with a portrait of Messi et al who were celebrating the victory</v>
      </c>
    </row>
    <row r="9447" ht="15.75" customHeight="1">
      <c r="A9447" s="1">
        <v>10676.0</v>
      </c>
      <c r="B9447" s="3" t="s">
        <v>26936</v>
      </c>
      <c r="C9447" s="3">
        <v>0.0</v>
      </c>
      <c r="D9447" s="3">
        <v>0.0</v>
      </c>
      <c r="E9447" s="3">
        <v>0.0</v>
      </c>
      <c r="F9447" s="3" t="s">
        <v>26937</v>
      </c>
      <c r="G9447" s="3">
        <v>1.0</v>
      </c>
      <c r="H9447" s="3">
        <v>0.0</v>
      </c>
      <c r="I9447" s="3" t="s">
        <v>13</v>
      </c>
      <c r="J9447" s="3" t="s">
        <v>26938</v>
      </c>
      <c r="K9447" s="3" t="s">
        <v>657</v>
      </c>
      <c r="L9447" s="3" t="str">
        <f>IFERROR(__xludf.DUMMYFUNCTION("GOOGLETRANSLATE(F9447,""id"",""en"")"),"Nobar Final match between France Argentina, a very exciting match to compete for its connection title using the IndiHome network")</f>
        <v>Nobar Final match between France Argentina, a very exciting match to compete for its connection title using the IndiHome network</v>
      </c>
    </row>
    <row r="9448" ht="15.75" customHeight="1">
      <c r="A9448" s="1">
        <v>10677.0</v>
      </c>
      <c r="B9448" s="3" t="s">
        <v>26939</v>
      </c>
      <c r="C9448" s="3">
        <v>0.0</v>
      </c>
      <c r="D9448" s="3">
        <v>0.0</v>
      </c>
      <c r="E9448" s="3">
        <v>0.0</v>
      </c>
      <c r="F9448" s="3" t="s">
        <v>26940</v>
      </c>
      <c r="G9448" s="3">
        <v>0.0</v>
      </c>
      <c r="H9448" s="3">
        <v>0.0</v>
      </c>
      <c r="I9448" s="3" t="s">
        <v>13</v>
      </c>
      <c r="J9448" s="3" t="s">
        <v>26941</v>
      </c>
      <c r="K9448" s="3" t="s">
        <v>644</v>
      </c>
      <c r="L9448" s="3" t="str">
        <f>IFERROR(__xludf.DUMMYFUNCTION("GOOGLETRANSLATE(F9448,""id"",""en"")"),"Already Min Argentina Champion")</f>
        <v>Already Min Argentina Champion</v>
      </c>
    </row>
    <row r="9449" ht="15.75" customHeight="1">
      <c r="A9449" s="1">
        <v>10678.0</v>
      </c>
      <c r="B9449" s="3" t="s">
        <v>26942</v>
      </c>
      <c r="C9449" s="3">
        <v>0.0</v>
      </c>
      <c r="D9449" s="3">
        <v>0.0</v>
      </c>
      <c r="E9449" s="3">
        <v>0.0</v>
      </c>
      <c r="F9449" s="3" t="s">
        <v>26942</v>
      </c>
      <c r="G9449" s="3">
        <v>0.0</v>
      </c>
      <c r="H9449" s="3">
        <v>0.0</v>
      </c>
      <c r="I9449" s="3" t="s">
        <v>13</v>
      </c>
      <c r="J9449" s="3" t="s">
        <v>26943</v>
      </c>
      <c r="K9449" s="3" t="s">
        <v>15</v>
      </c>
      <c r="L9449" s="3" t="str">
        <f>IFERROR(__xludf.DUMMYFUNCTION("GOOGLETRANSLATE(F9449,""id"",""en"")"),"And I also gabakal see my girlfriend happy because Argentina won the championship")</f>
        <v>And I also gabakal see my girlfriend happy because Argentina won the championship</v>
      </c>
    </row>
    <row r="9450" ht="15.75" customHeight="1">
      <c r="A9450" s="1">
        <v>10679.0</v>
      </c>
      <c r="B9450" s="3" t="s">
        <v>26944</v>
      </c>
      <c r="C9450" s="3">
        <v>0.0</v>
      </c>
      <c r="D9450" s="3">
        <v>0.0</v>
      </c>
      <c r="E9450" s="3">
        <v>0.0</v>
      </c>
      <c r="F9450" s="3" t="s">
        <v>26945</v>
      </c>
      <c r="G9450" s="3">
        <v>0.0</v>
      </c>
      <c r="H9450" s="3">
        <v>0.0</v>
      </c>
      <c r="I9450" s="3" t="s">
        <v>13</v>
      </c>
      <c r="J9450" s="3" t="s">
        <v>26946</v>
      </c>
      <c r="K9450" s="3" t="s">
        <v>2117</v>
      </c>
      <c r="L9450" s="3" t="str">
        <f>IFERROR(__xludf.DUMMYFUNCTION("GOOGLETRANSLATE(F9450,""id"",""en"")"),"Still thought Argentina Champion")</f>
        <v>Still thought Argentina Champion</v>
      </c>
    </row>
    <row r="9451" ht="15.75" customHeight="1">
      <c r="A9451" s="1">
        <v>10680.0</v>
      </c>
      <c r="B9451" s="3" t="s">
        <v>26947</v>
      </c>
      <c r="C9451" s="3">
        <v>58.0</v>
      </c>
      <c r="D9451" s="3">
        <v>166.0</v>
      </c>
      <c r="E9451" s="3">
        <v>339.0</v>
      </c>
      <c r="F9451" s="3" t="s">
        <v>26948</v>
      </c>
      <c r="G9451" s="3">
        <v>0.0</v>
      </c>
      <c r="H9451" s="3">
        <v>0.0</v>
      </c>
      <c r="I9451" s="3" t="s">
        <v>13</v>
      </c>
      <c r="J9451" s="3" t="s">
        <v>26949</v>
      </c>
      <c r="K9451" s="3" t="s">
        <v>75</v>
      </c>
      <c r="L9451" s="3" t="str">
        <f>IFERROR(__xludf.DUMMYFUNCTION("GOOGLETRANSLATE(F9451,""id"",""en"")"),"said Mbah Argentina, French destiny is the fate of chatting with Greg who is the champion")</f>
        <v>said Mbah Argentina, French destiny is the fate of chatting with Greg who is the champion</v>
      </c>
    </row>
    <row r="9452" ht="15.75" customHeight="1">
      <c r="A9452" s="1">
        <v>10681.0</v>
      </c>
      <c r="B9452" s="3" t="s">
        <v>26950</v>
      </c>
      <c r="C9452" s="3">
        <v>0.0</v>
      </c>
      <c r="D9452" s="3">
        <v>0.0</v>
      </c>
      <c r="E9452" s="3">
        <v>0.0</v>
      </c>
      <c r="F9452" s="3" t="s">
        <v>26951</v>
      </c>
      <c r="G9452" s="3">
        <v>0.3333333333333333</v>
      </c>
      <c r="H9452" s="3">
        <v>0.1666666666666667</v>
      </c>
      <c r="I9452" s="3" t="s">
        <v>48</v>
      </c>
      <c r="J9452" s="3" t="s">
        <v>26952</v>
      </c>
      <c r="K9452" s="3" t="s">
        <v>131</v>
      </c>
      <c r="L9452" s="3" t="str">
        <f>IFERROR(__xludf.DUMMYFUNCTION("GOOGLETRANSLATE(F9452,""id"",""en"")"),"Martinez's only talisman always plays and is always crucial Argentina starts to win when he comes in if this Martinez is from Argentina's statistics when he is in the field and when he is not in the field there is instead he brought")</f>
        <v>Martinez's only talisman always plays and is always crucial Argentina starts to win when he comes in if this Martinez is from Argentina's statistics when he is in the field and when he is not in the field there is instead he brought</v>
      </c>
    </row>
    <row r="9453" ht="15.75" customHeight="1">
      <c r="A9453" s="1">
        <v>10682.0</v>
      </c>
      <c r="B9453" s="3" t="s">
        <v>26953</v>
      </c>
      <c r="C9453" s="3">
        <v>0.0</v>
      </c>
      <c r="D9453" s="3">
        <v>0.0</v>
      </c>
      <c r="E9453" s="3">
        <v>0.0</v>
      </c>
      <c r="F9453" s="3" t="s">
        <v>26954</v>
      </c>
      <c r="G9453" s="3">
        <v>0.0</v>
      </c>
      <c r="H9453" s="3">
        <v>0.0</v>
      </c>
      <c r="I9453" s="3" t="s">
        <v>13</v>
      </c>
      <c r="J9453" s="3" t="s">
        <v>26955</v>
      </c>
      <c r="K9453" s="3" t="s">
        <v>15</v>
      </c>
      <c r="L9453" s="3" t="str">
        <f>IFERROR(__xludf.DUMMYFUNCTION("GOOGLETRANSLATE(F9453,""id"",""en"")"),"Only in his era Iwan Bule Argentina can win the World Cup")</f>
        <v>Only in his era Iwan Bule Argentina can win the World Cup</v>
      </c>
    </row>
    <row r="9454" ht="15.75" customHeight="1">
      <c r="A9454" s="1">
        <v>10683.0</v>
      </c>
      <c r="B9454" s="3" t="s">
        <v>26956</v>
      </c>
      <c r="C9454" s="3">
        <v>0.0</v>
      </c>
      <c r="D9454" s="3">
        <v>1.0</v>
      </c>
      <c r="E9454" s="3">
        <v>2.0</v>
      </c>
      <c r="F9454" s="3" t="s">
        <v>26957</v>
      </c>
      <c r="G9454" s="3">
        <v>1.0</v>
      </c>
      <c r="H9454" s="3">
        <v>1.0</v>
      </c>
      <c r="I9454" s="3" t="s">
        <v>48</v>
      </c>
      <c r="J9454" s="3" t="s">
        <v>26958</v>
      </c>
      <c r="K9454" s="3" t="s">
        <v>1870</v>
      </c>
      <c r="L9454" s="3" t="str">
        <f>IFERROR(__xludf.DUMMYFUNCTION("GOOGLETRANSLATE(F9454,""id"",""en"")"),"Whoever becomes the champion I will be happy many people only worship the results but forget to love the process of Argentina French Saudi Japanese South Korean Lionel Messi Kylian Mbappe Ronaldo Maria Emi Martines Aguero Greatest All Time")</f>
        <v>Whoever becomes the champion I will be happy many people only worship the results but forget to love the process of Argentina French Saudi Japanese South Korean Lionel Messi Kylian Mbappe Ronaldo Maria Emi Martines Aguero Greatest All Time</v>
      </c>
    </row>
    <row r="9455" ht="15.75" customHeight="1">
      <c r="A9455" s="1">
        <v>10684.0</v>
      </c>
      <c r="B9455" s="3" t="s">
        <v>26959</v>
      </c>
      <c r="C9455" s="3">
        <v>1.0</v>
      </c>
      <c r="D9455" s="3">
        <v>0.0</v>
      </c>
      <c r="E9455" s="3">
        <v>0.0</v>
      </c>
      <c r="F9455" s="3" t="s">
        <v>26960</v>
      </c>
      <c r="G9455" s="3">
        <v>0.0</v>
      </c>
      <c r="H9455" s="3">
        <v>0.0</v>
      </c>
      <c r="I9455" s="3" t="s">
        <v>13</v>
      </c>
      <c r="J9455" s="3" t="s">
        <v>26961</v>
      </c>
      <c r="K9455" s="3" t="s">
        <v>456</v>
      </c>
      <c r="L9455" s="3" t="str">
        <f>IFERROR(__xludf.DUMMYFUNCTION("GOOGLETRANSLATE(F9455,""id"",""en"")"),"goalkeeper Emi Martinez Argentina France is only as fast as Martinez to become a rescue world champion in the final minute of Randall Kolo Muani to be the moment of Argentina champions also won the reserve penalty shootout Yassine Bounou Bono Moroko")</f>
        <v>goalkeeper Emi Martinez Argentina France is only as fast as Martinez to become a rescue world champion in the final minute of Randall Kolo Muani to be the moment of Argentina champions also won the reserve penalty shootout Yassine Bounou Bono Moroko</v>
      </c>
    </row>
    <row r="9456" ht="15.75" customHeight="1">
      <c r="A9456" s="1">
        <v>10685.0</v>
      </c>
      <c r="B9456" s="3" t="s">
        <v>26962</v>
      </c>
      <c r="C9456" s="3">
        <v>0.0</v>
      </c>
      <c r="D9456" s="3">
        <v>0.0</v>
      </c>
      <c r="E9456" s="3">
        <v>0.0</v>
      </c>
      <c r="F9456" s="3" t="s">
        <v>26963</v>
      </c>
      <c r="G9456" s="3">
        <v>0.0</v>
      </c>
      <c r="H9456" s="3">
        <v>0.0</v>
      </c>
      <c r="I9456" s="3" t="s">
        <v>13</v>
      </c>
      <c r="J9456" s="3" t="s">
        <v>26964</v>
      </c>
      <c r="K9456" s="3" t="s">
        <v>477</v>
      </c>
      <c r="L9456" s="3" t="str">
        <f>IFERROR(__xludf.DUMMYFUNCTION("GOOGLETRANSLATE(F9456,""id"",""en"")"),"The best player of the best goalkeeper Argentina champions of the World Cup")</f>
        <v>The best player of the best goalkeeper Argentina champions of the World Cup</v>
      </c>
    </row>
    <row r="9457" ht="15.75" customHeight="1">
      <c r="A9457" s="1">
        <v>10686.0</v>
      </c>
      <c r="B9457" s="3" t="s">
        <v>26965</v>
      </c>
      <c r="C9457" s="3">
        <v>0.0</v>
      </c>
      <c r="D9457" s="3">
        <v>0.0</v>
      </c>
      <c r="E9457" s="3">
        <v>0.0</v>
      </c>
      <c r="F9457" s="3" t="s">
        <v>26966</v>
      </c>
      <c r="G9457" s="3">
        <v>0.0</v>
      </c>
      <c r="H9457" s="3">
        <v>0.0</v>
      </c>
      <c r="I9457" s="3" t="s">
        <v>13</v>
      </c>
      <c r="J9457" s="3" t="s">
        <v>26967</v>
      </c>
      <c r="K9457" s="3" t="s">
        <v>510</v>
      </c>
      <c r="L9457" s="3" t="str">
        <f>IFERROR(__xludf.DUMMYFUNCTION("GOOGLETRANSLATE(F9457,""id"",""en"")"),"Argentina won the Qatar World Cup after winning through penalties against France")</f>
        <v>Argentina won the Qatar World Cup after winning through penalties against France</v>
      </c>
    </row>
    <row r="9458" ht="15.75" customHeight="1">
      <c r="A9458" s="1">
        <v>10687.0</v>
      </c>
      <c r="B9458" s="3" t="s">
        <v>26968</v>
      </c>
      <c r="C9458" s="3">
        <v>0.0</v>
      </c>
      <c r="D9458" s="3">
        <v>0.0</v>
      </c>
      <c r="E9458" s="3">
        <v>0.0</v>
      </c>
      <c r="F9458" s="3" t="s">
        <v>26969</v>
      </c>
      <c r="G9458" s="3">
        <v>0.3333333333333333</v>
      </c>
      <c r="H9458" s="3">
        <v>0.1666666666666667</v>
      </c>
      <c r="I9458" s="3" t="s">
        <v>48</v>
      </c>
      <c r="J9458" s="3" t="s">
        <v>26970</v>
      </c>
      <c r="K9458" s="3" t="s">
        <v>19</v>
      </c>
      <c r="L9458" s="3" t="str">
        <f>IFERROR(__xludf.DUMMYFUNCTION("GOOGLETRANSLATE(F9458,""id"",""en"")"),"Argentina plays that good that is said to be a Give Away champion, just say losing tarohan so don't gambling")</f>
        <v>Argentina plays that good that is said to be a Give Away champion, just say losing tarohan so don't gambling</v>
      </c>
    </row>
    <row r="9459" ht="15.75" customHeight="1">
      <c r="A9459" s="1">
        <v>10688.0</v>
      </c>
      <c r="B9459" s="3" t="s">
        <v>26971</v>
      </c>
      <c r="C9459" s="3">
        <v>0.0</v>
      </c>
      <c r="D9459" s="3">
        <v>0.0</v>
      </c>
      <c r="E9459" s="3">
        <v>0.0</v>
      </c>
      <c r="F9459" s="3" t="s">
        <v>26972</v>
      </c>
      <c r="G9459" s="3">
        <v>0.0</v>
      </c>
      <c r="H9459" s="3">
        <v>0.0</v>
      </c>
      <c r="I9459" s="3" t="s">
        <v>13</v>
      </c>
      <c r="J9459" s="3" t="s">
        <v>26973</v>
      </c>
      <c r="K9459" s="3" t="s">
        <v>2610</v>
      </c>
      <c r="L9459" s="3" t="str">
        <f>IFERROR(__xludf.DUMMYFUNCTION("GOOGLETRANSLATE(F9459,""id"",""en"")"),"Still unexpectedly Argentina champions with medioker players who know from nowhere like Molina Acuna Montiel Tagliafico Allister Pazella Enzo Almada Palacios and reserve goalkeeper never called KWKWKW")</f>
        <v>Still unexpectedly Argentina champions with medioker players who know from nowhere like Molina Acuna Montiel Tagliafico Allister Pazella Enzo Almada Palacios and reserve goalkeeper never called KWKWKW</v>
      </c>
    </row>
    <row r="9460" ht="15.75" customHeight="1">
      <c r="A9460" s="1">
        <v>10689.0</v>
      </c>
      <c r="B9460" s="3" t="s">
        <v>26974</v>
      </c>
      <c r="C9460" s="3">
        <v>0.0</v>
      </c>
      <c r="D9460" s="3">
        <v>0.0</v>
      </c>
      <c r="E9460" s="3">
        <v>0.0</v>
      </c>
      <c r="F9460" s="3" t="s">
        <v>26975</v>
      </c>
      <c r="G9460" s="3">
        <v>0.0</v>
      </c>
      <c r="H9460" s="3">
        <v>0.0</v>
      </c>
      <c r="I9460" s="3" t="s">
        <v>13</v>
      </c>
      <c r="J9460" s="3" t="s">
        <v>26976</v>
      </c>
      <c r="K9460" s="3" t="s">
        <v>449</v>
      </c>
      <c r="L9460" s="3" t="str">
        <f>IFERROR(__xludf.DUMMYFUNCTION("GOOGLETRANSLATE(F9460,""id"",""en"")"),"Also rejoiced for the champion Argentina wants France who won because there are Milan players just want to see Messi lift the World Cup trophy because Giroud has ever")</f>
        <v>Also rejoiced for the champion Argentina wants France who won because there are Milan players just want to see Messi lift the World Cup trophy because Giroud has ever</v>
      </c>
    </row>
    <row r="9461" ht="15.75" customHeight="1">
      <c r="A9461" s="1">
        <v>10690.0</v>
      </c>
      <c r="B9461" s="3" t="s">
        <v>26977</v>
      </c>
      <c r="C9461" s="3">
        <v>0.0</v>
      </c>
      <c r="D9461" s="3">
        <v>0.0</v>
      </c>
      <c r="E9461" s="3">
        <v>0.0</v>
      </c>
      <c r="F9461" s="3" t="s">
        <v>26978</v>
      </c>
      <c r="G9461" s="3">
        <v>0.0</v>
      </c>
      <c r="H9461" s="3">
        <v>0.0</v>
      </c>
      <c r="I9461" s="3" t="s">
        <v>13</v>
      </c>
      <c r="J9461" s="3" t="s">
        <v>26979</v>
      </c>
      <c r="K9461" s="3" t="s">
        <v>82</v>
      </c>
      <c r="L9461" s="3" t="str">
        <f>IFERROR(__xludf.DUMMYFUNCTION("GOOGLETRANSLATE(F9461,""id"",""en"")"),"between the euphoria of the World Cup champion and Argentina crazy inflation")</f>
        <v>between the euphoria of the World Cup champion and Argentina crazy inflation</v>
      </c>
    </row>
    <row r="9462" ht="15.75" customHeight="1">
      <c r="A9462" s="1">
        <v>10691.0</v>
      </c>
      <c r="B9462" s="3" t="s">
        <v>26980</v>
      </c>
      <c r="C9462" s="3">
        <v>0.0</v>
      </c>
      <c r="D9462" s="3">
        <v>0.0</v>
      </c>
      <c r="E9462" s="3">
        <v>0.0</v>
      </c>
      <c r="F9462" s="3" t="s">
        <v>26981</v>
      </c>
      <c r="G9462" s="3">
        <v>0.0</v>
      </c>
      <c r="H9462" s="3">
        <v>0.0</v>
      </c>
      <c r="I9462" s="3" t="s">
        <v>13</v>
      </c>
      <c r="J9462" s="3" t="s">
        <v>26982</v>
      </c>
      <c r="K9462" s="3" t="s">
        <v>41</v>
      </c>
      <c r="L9462" s="3" t="str">
        <f>IFERROR(__xludf.DUMMYFUNCTION("GOOGLETRANSLATE(F9462,""id"",""en"")"),"Sports Predictions about Argentina World Cup Champion came true")</f>
        <v>Sports Predictions about Argentina World Cup Champion came true</v>
      </c>
    </row>
    <row r="9463" ht="15.75" customHeight="1">
      <c r="A9463" s="1">
        <v>10692.0</v>
      </c>
      <c r="B9463" s="3" t="s">
        <v>26983</v>
      </c>
      <c r="C9463" s="3">
        <v>0.0</v>
      </c>
      <c r="D9463" s="3">
        <v>0.0</v>
      </c>
      <c r="E9463" s="3">
        <v>0.0</v>
      </c>
      <c r="F9463" s="3" t="s">
        <v>26984</v>
      </c>
      <c r="G9463" s="3">
        <v>0.0</v>
      </c>
      <c r="H9463" s="3">
        <v>0.0</v>
      </c>
      <c r="I9463" s="3" t="s">
        <v>13</v>
      </c>
      <c r="J9463" s="3" t="s">
        <v>26985</v>
      </c>
      <c r="K9463" s="3" t="s">
        <v>644</v>
      </c>
      <c r="L9463" s="3" t="str">
        <f>IFERROR(__xludf.DUMMYFUNCTION("GOOGLETRANSLATE(F9463,""id"",""en"")"),"SAH Argentina World Champion")</f>
        <v>SAH Argentina World Champion</v>
      </c>
    </row>
    <row r="9464" ht="15.75" customHeight="1">
      <c r="A9464" s="1">
        <v>10693.0</v>
      </c>
      <c r="B9464" s="3" t="s">
        <v>26986</v>
      </c>
      <c r="C9464" s="3">
        <v>0.0</v>
      </c>
      <c r="D9464" s="3">
        <v>0.0</v>
      </c>
      <c r="E9464" s="3">
        <v>4.0</v>
      </c>
      <c r="F9464" s="3" t="s">
        <v>26987</v>
      </c>
      <c r="G9464" s="3">
        <v>0.0</v>
      </c>
      <c r="H9464" s="3">
        <v>0.0</v>
      </c>
      <c r="I9464" s="3" t="s">
        <v>13</v>
      </c>
      <c r="J9464" s="3" t="s">
        <v>26988</v>
      </c>
      <c r="K9464" s="3" t="s">
        <v>50</v>
      </c>
      <c r="L9464" s="3" t="str">
        <f>IFERROR(__xludf.DUMMYFUNCTION("GOOGLETRANSLATE(F9464,""id"",""en"")"),"After successfully bringing Argentina to become the world champion Messi et al will be appointed by civil servants without testing")</f>
        <v>After successfully bringing Argentina to become the world champion Messi et al will be appointed by civil servants without testing</v>
      </c>
    </row>
    <row r="9465" ht="15.75" customHeight="1">
      <c r="A9465" s="1">
        <v>10694.0</v>
      </c>
      <c r="B9465" s="3" t="s">
        <v>26989</v>
      </c>
      <c r="C9465" s="3">
        <v>0.0</v>
      </c>
      <c r="D9465" s="3">
        <v>0.0</v>
      </c>
      <c r="E9465" s="3">
        <v>0.0</v>
      </c>
      <c r="F9465" s="3" t="s">
        <v>26990</v>
      </c>
      <c r="G9465" s="3">
        <v>0.0</v>
      </c>
      <c r="H9465" s="3">
        <v>0.0</v>
      </c>
      <c r="I9465" s="3" t="s">
        <v>13</v>
      </c>
      <c r="J9465" s="3" t="s">
        <v>26991</v>
      </c>
      <c r="K9465" s="3" t="s">
        <v>657</v>
      </c>
      <c r="L9465" s="3" t="str">
        <f>IFERROR(__xludf.DUMMYFUNCTION("GOOGLETRANSLATE(F9465,""id"",""en"")"),"Happy Winning Argentina, hopefully there will be more achievements and more proud of the World Cup champion again Next World Cup")</f>
        <v>Happy Winning Argentina, hopefully there will be more achievements and more proud of the World Cup champion again Next World Cup</v>
      </c>
    </row>
    <row r="9466" ht="15.75" customHeight="1">
      <c r="A9466" s="1">
        <v>10695.0</v>
      </c>
      <c r="B9466" s="3" t="s">
        <v>26992</v>
      </c>
      <c r="C9466" s="3">
        <v>0.0</v>
      </c>
      <c r="D9466" s="3">
        <v>0.0</v>
      </c>
      <c r="E9466" s="3">
        <v>1.0</v>
      </c>
      <c r="F9466" s="3" t="s">
        <v>26993</v>
      </c>
      <c r="G9466" s="3">
        <v>0.0</v>
      </c>
      <c r="H9466" s="3">
        <v>0.0</v>
      </c>
      <c r="I9466" s="3" t="s">
        <v>13</v>
      </c>
      <c r="J9466" s="3" t="s">
        <v>26994</v>
      </c>
      <c r="K9466" s="3" t="s">
        <v>1854</v>
      </c>
      <c r="L9466" s="3" t="str">
        <f>IFERROR(__xludf.DUMMYFUNCTION("GOOGLETRANSLATE(F9466,""id"",""en"")"),"The interesting question for us today is who is the main character behind the Argentina champion World Cup is clear Iwan Bule since leading PSSI in November Mochamad Iriawan or Iwan Bule incised a brilliant achievement")</f>
        <v>The interesting question for us today is who is the main character behind the Argentina champion World Cup is clear Iwan Bule since leading PSSI in November Mochamad Iriawan or Iwan Bule incised a brilliant achievement</v>
      </c>
    </row>
    <row r="9467" ht="15.75" customHeight="1">
      <c r="A9467" s="1">
        <v>10696.0</v>
      </c>
      <c r="B9467" s="3" t="s">
        <v>26995</v>
      </c>
      <c r="C9467" s="3">
        <v>0.0</v>
      </c>
      <c r="D9467" s="3">
        <v>0.0</v>
      </c>
      <c r="E9467" s="3">
        <v>0.0</v>
      </c>
      <c r="F9467" s="3" t="s">
        <v>26996</v>
      </c>
      <c r="G9467" s="3">
        <v>0.0</v>
      </c>
      <c r="H9467" s="3">
        <v>0.0</v>
      </c>
      <c r="I9467" s="3" t="s">
        <v>13</v>
      </c>
      <c r="J9467" s="3" t="s">
        <v>26997</v>
      </c>
      <c r="K9467" s="3" t="s">
        <v>41</v>
      </c>
      <c r="L9467" s="3" t="str">
        <f>IFERROR(__xludf.DUMMYFUNCTION("GOOGLETRANSLATE(F9467,""id"",""en"")"),"This is our destiny said Argentine goalkeeper Emiliano Martinez after the World Cup championship")</f>
        <v>This is our destiny said Argentine goalkeeper Emiliano Martinez after the World Cup championship</v>
      </c>
    </row>
    <row r="9468" ht="15.75" customHeight="1">
      <c r="A9468" s="1">
        <v>10697.0</v>
      </c>
      <c r="B9468" s="3" t="s">
        <v>26998</v>
      </c>
      <c r="C9468" s="3">
        <v>1.0</v>
      </c>
      <c r="D9468" s="3">
        <v>0.0</v>
      </c>
      <c r="E9468" s="3">
        <v>1.0</v>
      </c>
      <c r="F9468" s="3" t="s">
        <v>26999</v>
      </c>
      <c r="G9468" s="3">
        <v>0.0</v>
      </c>
      <c r="H9468" s="3">
        <v>0.0</v>
      </c>
      <c r="I9468" s="3" t="s">
        <v>13</v>
      </c>
      <c r="J9468" s="3" t="s">
        <v>27000</v>
      </c>
      <c r="K9468" s="3" t="s">
        <v>644</v>
      </c>
      <c r="L9468" s="3" t="str">
        <f>IFERROR(__xludf.DUMMYFUNCTION("GOOGLETRANSLATE(F9468,""id"",""en"")"),"And finally Argentina World Champion")</f>
        <v>And finally Argentina World Champion</v>
      </c>
    </row>
    <row r="9469" ht="15.75" customHeight="1">
      <c r="A9469" s="1">
        <v>10698.0</v>
      </c>
      <c r="B9469" s="3" t="s">
        <v>27001</v>
      </c>
      <c r="C9469" s="3">
        <v>0.0</v>
      </c>
      <c r="D9469" s="3">
        <v>1.0</v>
      </c>
      <c r="E9469" s="3">
        <v>1.0</v>
      </c>
      <c r="F9469" s="3" t="s">
        <v>27002</v>
      </c>
      <c r="G9469" s="3">
        <v>0.0</v>
      </c>
      <c r="H9469" s="3">
        <v>0.0</v>
      </c>
      <c r="I9469" s="3" t="s">
        <v>13</v>
      </c>
      <c r="J9469" s="3" t="s">
        <v>27003</v>
      </c>
      <c r="K9469" s="3" t="s">
        <v>71</v>
      </c>
      <c r="L9469" s="3" t="str">
        <f>IFERROR(__xludf.DUMMYFUNCTION("GOOGLETRANSLATE(F9469,""id"",""en"")"),"Argentina managed to become a world champion on a different occasion but all three have in common when high inflation")</f>
        <v>Argentina managed to become a world champion on a different occasion but all three have in common when high inflation</v>
      </c>
    </row>
    <row r="9470" ht="15.75" customHeight="1">
      <c r="A9470" s="1">
        <v>10699.0</v>
      </c>
      <c r="B9470" s="3" t="s">
        <v>27004</v>
      </c>
      <c r="C9470" s="3">
        <v>0.0</v>
      </c>
      <c r="D9470" s="3">
        <v>0.0</v>
      </c>
      <c r="E9470" s="3">
        <v>0.0</v>
      </c>
      <c r="F9470" s="3" t="s">
        <v>27005</v>
      </c>
      <c r="G9470" s="3">
        <v>0.0</v>
      </c>
      <c r="H9470" s="3">
        <v>0.0</v>
      </c>
      <c r="I9470" s="3" t="s">
        <v>13</v>
      </c>
      <c r="J9470" s="3" t="s">
        <v>27006</v>
      </c>
      <c r="K9470" s="3" t="s">
        <v>1428</v>
      </c>
      <c r="L9470" s="3" t="str">
        <f>IFERROR(__xludf.DUMMYFUNCTION("GOOGLETRANSLATE(F9470,""id"",""en"")"),"Lionel's wife Messi Antonela Roccuzzo joined in celebrating the most dreamed moment of her husband when carrying Argentina World Cup champion Antonela also revealed suffering and praising her husband who never gave up")</f>
        <v>Lionel's wife Messi Antonela Roccuzzo joined in celebrating the most dreamed moment of her husband when carrying Argentina World Cup champion Antonela also revealed suffering and praising her husband who never gave up</v>
      </c>
    </row>
    <row r="9471" ht="15.75" customHeight="1">
      <c r="A9471" s="1">
        <v>10700.0</v>
      </c>
      <c r="B9471" s="3" t="s">
        <v>27007</v>
      </c>
      <c r="C9471" s="3">
        <v>0.0</v>
      </c>
      <c r="D9471" s="3">
        <v>0.0</v>
      </c>
      <c r="E9471" s="3">
        <v>4.0</v>
      </c>
      <c r="F9471" s="3" t="s">
        <v>27008</v>
      </c>
      <c r="G9471" s="3">
        <v>0.0</v>
      </c>
      <c r="H9471" s="3">
        <v>0.0</v>
      </c>
      <c r="I9471" s="3" t="s">
        <v>13</v>
      </c>
      <c r="J9471" s="3" t="s">
        <v>27009</v>
      </c>
      <c r="K9471" s="3" t="s">
        <v>2117</v>
      </c>
      <c r="L9471" s="3" t="str">
        <f>IFERROR(__xludf.DUMMYFUNCTION("GOOGLETRANSLATE(F9471,""id"",""en"")"),"I hope the champions are like Argentina")</f>
        <v>I hope the champions are like Argentina</v>
      </c>
    </row>
    <row r="9472" ht="15.75" customHeight="1">
      <c r="A9472" s="1">
        <v>10701.0</v>
      </c>
      <c r="B9472" s="3" t="s">
        <v>27010</v>
      </c>
      <c r="C9472" s="3">
        <v>0.0</v>
      </c>
      <c r="D9472" s="3">
        <v>1.0</v>
      </c>
      <c r="E9472" s="3">
        <v>0.0</v>
      </c>
      <c r="F9472" s="3" t="s">
        <v>27005</v>
      </c>
      <c r="G9472" s="3">
        <v>0.0</v>
      </c>
      <c r="H9472" s="3">
        <v>0.0</v>
      </c>
      <c r="I9472" s="3" t="s">
        <v>13</v>
      </c>
      <c r="J9472" s="3" t="s">
        <v>27006</v>
      </c>
      <c r="K9472" s="3" t="s">
        <v>1428</v>
      </c>
      <c r="L9472" s="3" t="str">
        <f>IFERROR(__xludf.DUMMYFUNCTION("GOOGLETRANSLATE(F9472,""id"",""en"")"),"Lionel's wife Messi Antonela Roccuzzo joined in celebrating the most dreamed moment of her husband when carrying Argentina World Cup champion Antonela also revealed suffering and praising her husband who never gave up")</f>
        <v>Lionel's wife Messi Antonela Roccuzzo joined in celebrating the most dreamed moment of her husband when carrying Argentina World Cup champion Antonela also revealed suffering and praising her husband who never gave up</v>
      </c>
    </row>
    <row r="9473" ht="15.75" customHeight="1">
      <c r="A9473" s="1">
        <v>10702.0</v>
      </c>
      <c r="B9473" s="3" t="s">
        <v>27011</v>
      </c>
      <c r="C9473" s="3">
        <v>0.0</v>
      </c>
      <c r="D9473" s="3">
        <v>0.0</v>
      </c>
      <c r="E9473" s="3">
        <v>0.0</v>
      </c>
      <c r="F9473" s="3" t="s">
        <v>27012</v>
      </c>
      <c r="G9473" s="3">
        <v>0.0</v>
      </c>
      <c r="H9473" s="3">
        <v>0.0</v>
      </c>
      <c r="I9473" s="3" t="s">
        <v>13</v>
      </c>
      <c r="J9473" s="3" t="s">
        <v>27013</v>
      </c>
      <c r="K9473" s="3" t="s">
        <v>50</v>
      </c>
      <c r="L9473" s="3" t="str">
        <f>IFERROR(__xludf.DUMMYFUNCTION("GOOGLETRANSLATE(F9473,""id"",""en"")"),"So the marriage of the Argentina monkey is the champion, the time is not held by his talk")</f>
        <v>So the marriage of the Argentina monkey is the champion, the time is not held by his talk</v>
      </c>
    </row>
    <row r="9474" ht="15.75" customHeight="1">
      <c r="A9474" s="1">
        <v>10703.0</v>
      </c>
      <c r="B9474" s="3" t="s">
        <v>27014</v>
      </c>
      <c r="C9474" s="3">
        <v>0.0</v>
      </c>
      <c r="D9474" s="3">
        <v>4.0</v>
      </c>
      <c r="E9474" s="3">
        <v>0.0</v>
      </c>
      <c r="F9474" s="3" t="s">
        <v>27015</v>
      </c>
      <c r="G9474" s="3">
        <v>0.0</v>
      </c>
      <c r="H9474" s="3">
        <v>0.0</v>
      </c>
      <c r="I9474" s="3" t="s">
        <v>13</v>
      </c>
      <c r="J9474" s="3" t="s">
        <v>27016</v>
      </c>
      <c r="K9474" s="3" t="s">
        <v>41</v>
      </c>
      <c r="L9474" s="3" t="str">
        <f>IFERROR(__xludf.DUMMYFUNCTION("GOOGLETRANSLATE(F9474,""id"",""en"")"),"Aguero Hina Camavinga After Argentina Champion World Cup Liputan")</f>
        <v>Aguero Hina Camavinga After Argentina Champion World Cup Liputan</v>
      </c>
    </row>
    <row r="9475" ht="15.75" customHeight="1">
      <c r="A9475" s="1">
        <v>10704.0</v>
      </c>
      <c r="B9475" s="3" t="s">
        <v>27017</v>
      </c>
      <c r="C9475" s="3">
        <v>0.0</v>
      </c>
      <c r="D9475" s="3">
        <v>1.0</v>
      </c>
      <c r="E9475" s="3">
        <v>0.0</v>
      </c>
      <c r="F9475" s="3" t="s">
        <v>27018</v>
      </c>
      <c r="G9475" s="3">
        <v>0.0</v>
      </c>
      <c r="H9475" s="3">
        <v>0.0</v>
      </c>
      <c r="I9475" s="3" t="s">
        <v>13</v>
      </c>
      <c r="J9475" s="3" t="s">
        <v>27019</v>
      </c>
      <c r="K9475" s="3" t="s">
        <v>75</v>
      </c>
      <c r="L9475" s="3" t="str">
        <f>IFERROR(__xludf.DUMMYFUNCTION("GOOGLETRANSLATE(F9475,""id"",""en"")"),"Lionel Messi's wife gave a kiss prize after Argentina to become a champion")</f>
        <v>Lionel Messi's wife gave a kiss prize after Argentina to become a champion</v>
      </c>
    </row>
    <row r="9476" ht="15.75" customHeight="1">
      <c r="A9476" s="1">
        <v>10705.0</v>
      </c>
      <c r="B9476" s="3" t="s">
        <v>27020</v>
      </c>
      <c r="C9476" s="3">
        <v>2.0</v>
      </c>
      <c r="D9476" s="3">
        <v>0.0</v>
      </c>
      <c r="E9476" s="3">
        <v>0.0</v>
      </c>
      <c r="F9476" s="3" t="s">
        <v>27021</v>
      </c>
      <c r="G9476" s="3">
        <v>0.0</v>
      </c>
      <c r="H9476" s="3">
        <v>0.0</v>
      </c>
      <c r="I9476" s="3" t="s">
        <v>13</v>
      </c>
      <c r="J9476" s="3" t="s">
        <v>27022</v>
      </c>
      <c r="K9476" s="3" t="s">
        <v>1925</v>
      </c>
      <c r="L9476" s="3" t="str">
        <f>IFERROR(__xludf.DUMMYFUNCTION("GOOGLETRANSLATE(F9476,""id"",""en"")"),"Discusses Zidane Zidane understands that the best era player is not the era of Zidane, there are many good players, there are Kaka Ronaldinho Schevchenko Beckham Totti Roberto Carlos there are many more")</f>
        <v>Discusses Zidane Zidane understands that the best era player is not the era of Zidane, there are many good players, there are Kaka Ronaldinho Schevchenko Beckham Totti Roberto Carlos there are many more</v>
      </c>
    </row>
    <row r="9477" ht="15.75" customHeight="1">
      <c r="A9477" s="1">
        <v>10706.0</v>
      </c>
      <c r="B9477" s="3" t="s">
        <v>27023</v>
      </c>
      <c r="C9477" s="3">
        <v>2.0</v>
      </c>
      <c r="D9477" s="3">
        <v>78.0</v>
      </c>
      <c r="E9477" s="3">
        <v>284.0</v>
      </c>
      <c r="F9477" s="3" t="s">
        <v>27024</v>
      </c>
      <c r="G9477" s="3">
        <v>0.0</v>
      </c>
      <c r="H9477" s="3">
        <v>0.0</v>
      </c>
      <c r="I9477" s="3" t="s">
        <v>13</v>
      </c>
      <c r="J9477" s="3" t="s">
        <v>27025</v>
      </c>
      <c r="K9477" s="3" t="s">
        <v>123</v>
      </c>
      <c r="L9477" s="3" t="str">
        <f>IFERROR(__xludf.DUMMYFUNCTION("GOOGLETRANSLATE(F9477,""id"",""en"")"),"Argentina edition champion World Cup Qatar Mother Messi must be proud of his son champion Mbappe must still be sad until now")</f>
        <v>Argentina edition champion World Cup Qatar Mother Messi must be proud of his son champion Mbappe must still be sad until now</v>
      </c>
    </row>
    <row r="9478" ht="15.75" customHeight="1">
      <c r="A9478" s="1">
        <v>10707.0</v>
      </c>
      <c r="B9478" s="3" t="s">
        <v>27026</v>
      </c>
      <c r="C9478" s="3">
        <v>0.0</v>
      </c>
      <c r="D9478" s="3">
        <v>0.0</v>
      </c>
      <c r="E9478" s="3">
        <v>0.0</v>
      </c>
      <c r="F9478" s="3" t="s">
        <v>27027</v>
      </c>
      <c r="G9478" s="3">
        <v>0.0</v>
      </c>
      <c r="H9478" s="3">
        <v>0.0</v>
      </c>
      <c r="I9478" s="3" t="s">
        <v>13</v>
      </c>
      <c r="J9478" s="3" t="s">
        <v>27028</v>
      </c>
      <c r="K9478" s="3" t="s">
        <v>1157</v>
      </c>
      <c r="L9478" s="3" t="str">
        <f>IFERROR(__xludf.DUMMYFUNCTION("GOOGLETRANSLATE(F9478,""id"",""en"")"),"The long wait of the mega soccer star finally resolved the Qatar World Cup after Argentina defeated the defending champion France through this complete penalty shootout with this complete Trophy of Soccer Field Trophy collection")</f>
        <v>The long wait of the mega soccer star finally resolved the Qatar World Cup after Argentina defeated the defending champion France through this complete penalty shootout with this complete Trophy of Soccer Field Trophy collection</v>
      </c>
    </row>
    <row r="9479" ht="15.75" customHeight="1">
      <c r="A9479" s="1">
        <v>10708.0</v>
      </c>
      <c r="B9479" s="3" t="s">
        <v>27029</v>
      </c>
      <c r="C9479" s="3">
        <v>0.0</v>
      </c>
      <c r="D9479" s="3">
        <v>0.0</v>
      </c>
      <c r="E9479" s="3">
        <v>2.0</v>
      </c>
      <c r="F9479" s="3" t="s">
        <v>27030</v>
      </c>
      <c r="G9479" s="3">
        <v>0.0</v>
      </c>
      <c r="H9479" s="3">
        <v>0.0</v>
      </c>
      <c r="I9479" s="3" t="s">
        <v>13</v>
      </c>
      <c r="J9479" s="3" t="s">
        <v>27031</v>
      </c>
      <c r="K9479" s="3" t="s">
        <v>2117</v>
      </c>
      <c r="L9479" s="3" t="str">
        <f>IFERROR(__xludf.DUMMYFUNCTION("GOOGLETRANSLATE(F9479,""id"",""en"")"),"Boss's wallpaper fighting")</f>
        <v>Boss's wallpaper fighting</v>
      </c>
    </row>
    <row r="9480" ht="15.75" customHeight="1">
      <c r="A9480" s="1">
        <v>10709.0</v>
      </c>
      <c r="B9480" s="3" t="s">
        <v>27032</v>
      </c>
      <c r="C9480" s="3">
        <v>0.0</v>
      </c>
      <c r="D9480" s="3">
        <v>0.0</v>
      </c>
      <c r="E9480" s="3">
        <v>1.0</v>
      </c>
      <c r="F9480" s="3" t="s">
        <v>27033</v>
      </c>
      <c r="G9480" s="3">
        <v>0.0</v>
      </c>
      <c r="H9480" s="3">
        <v>0.0</v>
      </c>
      <c r="I9480" s="3" t="s">
        <v>13</v>
      </c>
      <c r="J9480" s="3" t="s">
        <v>27034</v>
      </c>
      <c r="K9480" s="3" t="s">
        <v>82</v>
      </c>
      <c r="L9480" s="3" t="str">
        <f>IFERROR(__xludf.DUMMYFUNCTION("GOOGLETRANSLATE(F9480,""id"",""en"")"),"From the beginning it was like the universe to support Messi and Argentina Champion")</f>
        <v>From the beginning it was like the universe to support Messi and Argentina Champion</v>
      </c>
    </row>
    <row r="9481" ht="15.75" customHeight="1">
      <c r="A9481" s="1">
        <v>10710.0</v>
      </c>
      <c r="B9481" s="3" t="s">
        <v>27035</v>
      </c>
      <c r="C9481" s="3">
        <v>0.0</v>
      </c>
      <c r="D9481" s="3">
        <v>0.0</v>
      </c>
      <c r="E9481" s="3">
        <v>0.0</v>
      </c>
      <c r="F9481" s="3" t="s">
        <v>4323</v>
      </c>
      <c r="G9481" s="3">
        <v>1.0</v>
      </c>
      <c r="H9481" s="3">
        <v>0.0</v>
      </c>
      <c r="I9481" s="3" t="s">
        <v>13</v>
      </c>
      <c r="J9481" s="3" t="s">
        <v>4324</v>
      </c>
      <c r="K9481" s="3" t="s">
        <v>1970</v>
      </c>
      <c r="L9481" s="3" t="str">
        <f>IFERROR(__xludf.DUMMYFUNCTION("GOOGLETRANSLATE(F9481,""id"",""en"")"),"Congratulations Argentina World Cup Champion Fierce match presented by the World Cup Final Tango Tango was able to score through goals from the feet of Lionel Messi and Maria")</f>
        <v>Congratulations Argentina World Cup Champion Fierce match presented by the World Cup Final Tango Tango was able to score through goals from the feet of Lionel Messi and Maria</v>
      </c>
    </row>
    <row r="9482" ht="15.75" customHeight="1">
      <c r="A9482" s="1">
        <v>10711.0</v>
      </c>
      <c r="B9482" s="3" t="s">
        <v>27036</v>
      </c>
      <c r="C9482" s="3">
        <v>0.0</v>
      </c>
      <c r="D9482" s="3">
        <v>0.0</v>
      </c>
      <c r="E9482" s="3">
        <v>0.0</v>
      </c>
      <c r="F9482" s="3" t="s">
        <v>27037</v>
      </c>
      <c r="G9482" s="3">
        <v>0.0</v>
      </c>
      <c r="H9482" s="3">
        <v>0.0</v>
      </c>
      <c r="I9482" s="3" t="s">
        <v>13</v>
      </c>
      <c r="J9482" s="3" t="s">
        <v>27038</v>
      </c>
      <c r="K9482" s="3" t="s">
        <v>50</v>
      </c>
      <c r="L9482" s="3" t="str">
        <f>IFERROR(__xludf.DUMMYFUNCTION("GOOGLETRANSLATE(F9482,""id"",""en"")"),"Argentine players after after the World Cup champion was appointed as PNS Kaga")</f>
        <v>Argentine players after after the World Cup champion was appointed as PNS Kaga</v>
      </c>
    </row>
    <row r="9483" ht="15.75" customHeight="1">
      <c r="A9483" s="1">
        <v>10712.0</v>
      </c>
      <c r="B9483" s="3" t="s">
        <v>27039</v>
      </c>
      <c r="C9483" s="3">
        <v>0.0</v>
      </c>
      <c r="D9483" s="3">
        <v>0.0</v>
      </c>
      <c r="E9483" s="3">
        <v>0.0</v>
      </c>
      <c r="F9483" s="3" t="s">
        <v>27040</v>
      </c>
      <c r="G9483" s="3">
        <v>0.0</v>
      </c>
      <c r="H9483" s="3">
        <v>0.0</v>
      </c>
      <c r="I9483" s="3" t="s">
        <v>13</v>
      </c>
      <c r="J9483" s="3" t="s">
        <v>27041</v>
      </c>
      <c r="K9483" s="3" t="s">
        <v>15</v>
      </c>
      <c r="L9483" s="3" t="str">
        <f>IFERROR(__xludf.DUMMYFUNCTION("GOOGLETRANSLATE(F9483,""id"",""en"")"),"Argentina Champion World Cup End the Defendant After Year Passing")</f>
        <v>Argentina Champion World Cup End the Defendant After Year Passing</v>
      </c>
    </row>
    <row r="9484" ht="15.75" customHeight="1">
      <c r="A9484" s="1">
        <v>10713.0</v>
      </c>
      <c r="B9484" s="3" t="s">
        <v>27042</v>
      </c>
      <c r="C9484" s="3">
        <v>0.0</v>
      </c>
      <c r="D9484" s="3">
        <v>0.0</v>
      </c>
      <c r="E9484" s="3">
        <v>1.0</v>
      </c>
      <c r="F9484" s="3" t="s">
        <v>27043</v>
      </c>
      <c r="G9484" s="3">
        <v>0.0</v>
      </c>
      <c r="H9484" s="3">
        <v>0.0</v>
      </c>
      <c r="I9484" s="3" t="s">
        <v>13</v>
      </c>
      <c r="J9484" s="3" t="s">
        <v>27044</v>
      </c>
      <c r="K9484" s="3" t="s">
        <v>184</v>
      </c>
      <c r="L9484" s="3" t="str">
        <f>IFERROR(__xludf.DUMMYFUNCTION("GOOGLETRANSLATE(F9484,""id"",""en"")"),"After bringing Argentina the champion Messi immediately flies Indonesia to find massagers in order not to be responsible for the village to get a high discount")</f>
        <v>After bringing Argentina the champion Messi immediately flies Indonesia to find massagers in order not to be responsible for the village to get a high discount</v>
      </c>
    </row>
    <row r="9485" ht="15.75" customHeight="1">
      <c r="A9485" s="1">
        <v>10714.0</v>
      </c>
      <c r="B9485" s="3" t="s">
        <v>27045</v>
      </c>
      <c r="C9485" s="3">
        <v>0.0</v>
      </c>
      <c r="D9485" s="3">
        <v>0.0</v>
      </c>
      <c r="E9485" s="3">
        <v>0.0</v>
      </c>
      <c r="F9485" s="3" t="s">
        <v>27046</v>
      </c>
      <c r="G9485" s="3">
        <v>0.0</v>
      </c>
      <c r="H9485" s="3">
        <v>0.0</v>
      </c>
      <c r="I9485" s="3" t="s">
        <v>13</v>
      </c>
      <c r="J9485" s="3" t="s">
        <v>27047</v>
      </c>
      <c r="K9485" s="3" t="s">
        <v>633</v>
      </c>
      <c r="L9485" s="3" t="str">
        <f>IFERROR(__xludf.DUMMYFUNCTION("GOOGLETRANSLATE(F9485,""id"",""en"")"),"In addition to the destiny factor of Lionel Messi Argentina's hard work, he won the world champion because the chairman of the federation was not Iwan Caucasian coach of his team, not Southgate")</f>
        <v>In addition to the destiny factor of Lionel Messi Argentina's hard work, he won the world champion because the chairman of the federation was not Iwan Caucasian coach of his team, not Southgate</v>
      </c>
    </row>
    <row r="9486" ht="15.75" customHeight="1">
      <c r="A9486" s="1">
        <v>10715.0</v>
      </c>
      <c r="B9486" s="3" t="s">
        <v>27048</v>
      </c>
      <c r="C9486" s="3">
        <v>0.0</v>
      </c>
      <c r="D9486" s="3">
        <v>0.0</v>
      </c>
      <c r="E9486" s="3">
        <v>1.0</v>
      </c>
      <c r="F9486" s="3" t="s">
        <v>27049</v>
      </c>
      <c r="G9486" s="3">
        <v>0.0</v>
      </c>
      <c r="H9486" s="3">
        <v>0.0</v>
      </c>
      <c r="I9486" s="3" t="s">
        <v>13</v>
      </c>
      <c r="J9486" s="3" t="s">
        <v>27050</v>
      </c>
      <c r="K9486" s="3" t="s">
        <v>699</v>
      </c>
      <c r="L9486" s="3" t="str">
        <f>IFERROR(__xludf.DUMMYFUNCTION("GOOGLETRANSLATE(F9486,""id"",""en"")"),"I don't really accept Argentina, the champion wkwkw even though last night the final was really exciting if the champion said it was a giveaway")</f>
        <v>I don't really accept Argentina, the champion wkwkw even though last night the final was really exciting if the champion said it was a giveaway</v>
      </c>
    </row>
    <row r="9487" ht="15.75" customHeight="1">
      <c r="A9487" s="1">
        <v>10716.0</v>
      </c>
      <c r="B9487" s="3" t="s">
        <v>27051</v>
      </c>
      <c r="C9487" s="3">
        <v>0.0</v>
      </c>
      <c r="D9487" s="3">
        <v>0.0</v>
      </c>
      <c r="E9487" s="3">
        <v>0.0</v>
      </c>
      <c r="F9487" s="3" t="s">
        <v>27052</v>
      </c>
      <c r="G9487" s="3">
        <v>0.0</v>
      </c>
      <c r="H9487" s="3">
        <v>0.0</v>
      </c>
      <c r="I9487" s="3" t="s">
        <v>13</v>
      </c>
      <c r="J9487" s="3" t="s">
        <v>27053</v>
      </c>
      <c r="K9487" s="3" t="s">
        <v>3803</v>
      </c>
      <c r="L9487" s="3" t="str">
        <f>IFERROR(__xludf.DUMMYFUNCTION("GOOGLETRANSLATE(F9487,""id"",""en"")"),"Argentina Champion French Champion Champion Croatia Champion Harapan Morocco Hopes Portu Champion")</f>
        <v>Argentina Champion French Champion Champion Croatia Champion Harapan Morocco Hopes Portu Champion</v>
      </c>
    </row>
    <row r="9488" ht="15.75" customHeight="1">
      <c r="A9488" s="1">
        <v>10717.0</v>
      </c>
      <c r="B9488" s="3" t="s">
        <v>27054</v>
      </c>
      <c r="C9488" s="3">
        <v>1.0</v>
      </c>
      <c r="D9488" s="3">
        <v>0.0</v>
      </c>
      <c r="E9488" s="3">
        <v>0.0</v>
      </c>
      <c r="F9488" s="3" t="s">
        <v>27055</v>
      </c>
      <c r="G9488" s="3">
        <v>0.0</v>
      </c>
      <c r="H9488" s="3">
        <v>0.0</v>
      </c>
      <c r="I9488" s="3" t="s">
        <v>13</v>
      </c>
      <c r="J9488" s="3" t="s">
        <v>27056</v>
      </c>
      <c r="K9488" s="3" t="s">
        <v>15</v>
      </c>
      <c r="L9488" s="3" t="str">
        <f>IFERROR(__xludf.DUMMYFUNCTION("GOOGLETRANSLATE(F9488,""id"",""en"")"),"Argentina The champion is said to be another setting of the story if he loses wkwk")</f>
        <v>Argentina The champion is said to be another setting of the story if he loses wkwk</v>
      </c>
    </row>
    <row r="9489" ht="15.75" customHeight="1">
      <c r="A9489" s="1">
        <v>10718.0</v>
      </c>
      <c r="B9489" s="3" t="s">
        <v>27057</v>
      </c>
      <c r="C9489" s="3">
        <v>0.0</v>
      </c>
      <c r="D9489" s="3">
        <v>0.0</v>
      </c>
      <c r="E9489" s="3">
        <v>0.0</v>
      </c>
      <c r="F9489" s="3" t="s">
        <v>27058</v>
      </c>
      <c r="G9489" s="3">
        <v>0.0</v>
      </c>
      <c r="H9489" s="3">
        <v>0.0</v>
      </c>
      <c r="I9489" s="3" t="s">
        <v>13</v>
      </c>
      <c r="J9489" s="3" t="s">
        <v>27059</v>
      </c>
      <c r="K9489" s="3" t="s">
        <v>1349</v>
      </c>
      <c r="L9489" s="3" t="str">
        <f>IFERROR(__xludf.DUMMYFUNCTION("GOOGLETRANSLATE(F9489,""id"",""en"")"),"Is Jatim still defending the edition of this year or there is a new champion last night French champions have fallen hands in Argentina")</f>
        <v>Is Jatim still defending the edition of this year or there is a new champion last night French champions have fallen hands in Argentina</v>
      </c>
    </row>
    <row r="9490" ht="15.75" customHeight="1">
      <c r="A9490" s="1">
        <v>10719.0</v>
      </c>
      <c r="B9490" s="3" t="s">
        <v>27060</v>
      </c>
      <c r="C9490" s="3">
        <v>0.0</v>
      </c>
      <c r="D9490" s="3">
        <v>0.0</v>
      </c>
      <c r="E9490" s="3">
        <v>0.0</v>
      </c>
      <c r="F9490" s="3" t="s">
        <v>27061</v>
      </c>
      <c r="G9490" s="3">
        <v>0.0</v>
      </c>
      <c r="H9490" s="3">
        <v>0.0</v>
      </c>
      <c r="I9490" s="3" t="s">
        <v>13</v>
      </c>
      <c r="J9490" s="3" t="s">
        <v>27062</v>
      </c>
      <c r="K9490" s="3" t="s">
        <v>54</v>
      </c>
      <c r="L9490" s="3" t="str">
        <f>IFERROR(__xludf.DUMMYFUNCTION("GOOGLETRANSLATE(F9490,""id"",""en"")"),"Argentina Will Not Champion TNP Contributes Scaloni Caucasians")</f>
        <v>Argentina Will Not Champion TNP Contributes Scaloni Caucasians</v>
      </c>
    </row>
    <row r="9491" ht="15.75" customHeight="1">
      <c r="A9491" s="1">
        <v>10720.0</v>
      </c>
      <c r="B9491" s="3" t="s">
        <v>27063</v>
      </c>
      <c r="C9491" s="3">
        <v>0.0</v>
      </c>
      <c r="D9491" s="3">
        <v>0.0</v>
      </c>
      <c r="E9491" s="3">
        <v>0.0</v>
      </c>
      <c r="F9491" s="3" t="s">
        <v>27064</v>
      </c>
      <c r="G9491" s="3">
        <v>0.0</v>
      </c>
      <c r="H9491" s="3">
        <v>0.0</v>
      </c>
      <c r="I9491" s="3" t="s">
        <v>13</v>
      </c>
      <c r="J9491" s="3" t="s">
        <v>27065</v>
      </c>
      <c r="K9491" s="3" t="s">
        <v>1479</v>
      </c>
      <c r="L9491" s="3" t="str">
        <f>IFERROR(__xludf.DUMMYFUNCTION("GOOGLETRANSLATE(F9491,""id"",""en"")"),"Zeejkt Open Google Search Type Argentina Champion then the Google Kmu Zeejkt Fire Fire will appear")</f>
        <v>Zeejkt Open Google Search Type Argentina Champion then the Google Kmu Zeejkt Fire Fire will appear</v>
      </c>
    </row>
    <row r="9492" ht="15.75" customHeight="1">
      <c r="A9492" s="1">
        <v>10721.0</v>
      </c>
      <c r="B9492" s="3" t="s">
        <v>27066</v>
      </c>
      <c r="C9492" s="3">
        <v>1.0</v>
      </c>
      <c r="D9492" s="3">
        <v>0.0</v>
      </c>
      <c r="E9492" s="3">
        <v>0.0</v>
      </c>
      <c r="F9492" s="3" t="s">
        <v>27067</v>
      </c>
      <c r="G9492" s="3">
        <v>0.0</v>
      </c>
      <c r="H9492" s="3">
        <v>0.0</v>
      </c>
      <c r="I9492" s="3" t="s">
        <v>13</v>
      </c>
      <c r="J9492" s="3" t="s">
        <v>27068</v>
      </c>
      <c r="K9492" s="3" t="s">
        <v>41</v>
      </c>
      <c r="L9492" s="3" t="str">
        <f>IFERROR(__xludf.DUMMYFUNCTION("GOOGLETRANSLATE(F9492,""id"",""en"")"),"I often get the Champions League so there is a penaldo nickname")</f>
        <v>I often get the Champions League so there is a penaldo nickname</v>
      </c>
    </row>
    <row r="9493" ht="15.75" customHeight="1">
      <c r="A9493" s="1">
        <v>10722.0</v>
      </c>
      <c r="B9493" s="3" t="s">
        <v>27069</v>
      </c>
      <c r="C9493" s="3">
        <v>1.0</v>
      </c>
      <c r="D9493" s="3">
        <v>0.0</v>
      </c>
      <c r="E9493" s="3">
        <v>0.0</v>
      </c>
      <c r="F9493" s="3" t="s">
        <v>27070</v>
      </c>
      <c r="G9493" s="3">
        <v>0.0</v>
      </c>
      <c r="H9493" s="3">
        <v>0.0</v>
      </c>
      <c r="I9493" s="3" t="s">
        <v>13</v>
      </c>
      <c r="J9493" s="3" t="s">
        <v>27071</v>
      </c>
      <c r="K9493" s="3" t="s">
        <v>192</v>
      </c>
      <c r="L9493" s="3" t="str">
        <f>IFERROR(__xludf.DUMMYFUNCTION("GOOGLETRANSLATE(F9493,""id"",""en"")"),"Last night actually supported France because he saw from its complete squad, very much in collectivity or individuals, in my opinion, France for Argentina, if France, the world champion, the debate between Messi or Ronaldo would stop wanting it like that")</f>
        <v>Last night actually supported France because he saw from its complete squad, very much in collectivity or individuals, in my opinion, France for Argentina, if France, the world champion, the debate between Messi or Ronaldo would stop wanting it like that</v>
      </c>
    </row>
    <row r="9494" ht="15.75" customHeight="1">
      <c r="A9494" s="1">
        <v>10723.0</v>
      </c>
      <c r="B9494" s="3" t="s">
        <v>27072</v>
      </c>
      <c r="C9494" s="3">
        <v>1.0</v>
      </c>
      <c r="D9494" s="3">
        <v>0.0</v>
      </c>
      <c r="E9494" s="3">
        <v>1.0</v>
      </c>
      <c r="F9494" s="3" t="s">
        <v>27073</v>
      </c>
      <c r="G9494" s="3">
        <v>0.0</v>
      </c>
      <c r="H9494" s="3">
        <v>0.0</v>
      </c>
      <c r="I9494" s="3" t="s">
        <v>13</v>
      </c>
      <c r="J9494" s="3" t="s">
        <v>27074</v>
      </c>
      <c r="K9494" s="3" t="s">
        <v>75</v>
      </c>
      <c r="L9494" s="3" t="str">
        <f>IFERROR(__xludf.DUMMYFUNCTION("GOOGLETRANSLATE(F9494,""id"",""en"")"),"Bring Argentina World Cup Champion Messi Following the Footsteps of Kempes and Maradona")</f>
        <v>Bring Argentina World Cup Champion Messi Following the Footsteps of Kempes and Maradona</v>
      </c>
    </row>
    <row r="9495" ht="15.75" customHeight="1">
      <c r="A9495" s="1">
        <v>10724.0</v>
      </c>
      <c r="B9495" s="3" t="s">
        <v>27075</v>
      </c>
      <c r="C9495" s="3">
        <v>0.0</v>
      </c>
      <c r="D9495" s="3">
        <v>0.0</v>
      </c>
      <c r="E9495" s="3">
        <v>0.0</v>
      </c>
      <c r="F9495" s="3" t="s">
        <v>27076</v>
      </c>
      <c r="G9495" s="3">
        <v>0.0</v>
      </c>
      <c r="H9495" s="3">
        <v>0.0</v>
      </c>
      <c r="I9495" s="3" t="s">
        <v>13</v>
      </c>
      <c r="J9495" s="3" t="s">
        <v>27077</v>
      </c>
      <c r="K9495" s="3" t="s">
        <v>50</v>
      </c>
      <c r="L9495" s="3" t="str">
        <f>IFERROR(__xludf.DUMMYFUNCTION("GOOGLETRANSLATE(F9495,""id"",""en"")"),"Ternate supporting moments celebrate the success of Argentina in the World Cup title")</f>
        <v>Ternate supporting moments celebrate the success of Argentina in the World Cup title</v>
      </c>
    </row>
    <row r="9496" ht="15.75" customHeight="1">
      <c r="A9496" s="1">
        <v>10725.0</v>
      </c>
      <c r="B9496" s="3" t="s">
        <v>27078</v>
      </c>
      <c r="C9496" s="3">
        <v>0.0</v>
      </c>
      <c r="D9496" s="3">
        <v>0.0</v>
      </c>
      <c r="E9496" s="3">
        <v>0.0</v>
      </c>
      <c r="F9496" s="3" t="s">
        <v>27079</v>
      </c>
      <c r="G9496" s="3">
        <v>0.0</v>
      </c>
      <c r="H9496" s="3">
        <v>0.0</v>
      </c>
      <c r="I9496" s="3" t="s">
        <v>13</v>
      </c>
      <c r="J9496" s="3" t="s">
        <v>27080</v>
      </c>
      <c r="K9496" s="3" t="s">
        <v>123</v>
      </c>
      <c r="L9496" s="3" t="str">
        <f>IFERROR(__xludf.DUMMYFUNCTION("GOOGLETRANSLATE(F9496,""id"",""en"")"),"Zidane Kaka Ronaldinho Beckham etc. In his era, too many great players are equivalent to the best Zidane in his time")</f>
        <v>Zidane Kaka Ronaldinho Beckham etc. In his era, too many great players are equivalent to the best Zidane in his time</v>
      </c>
    </row>
    <row r="9497" ht="15.75" customHeight="1">
      <c r="A9497" s="1">
        <v>10726.0</v>
      </c>
      <c r="B9497" s="3" t="s">
        <v>27081</v>
      </c>
      <c r="C9497" s="3">
        <v>0.0</v>
      </c>
      <c r="D9497" s="3">
        <v>0.0</v>
      </c>
      <c r="E9497" s="3">
        <v>0.0</v>
      </c>
      <c r="F9497" s="3" t="s">
        <v>27082</v>
      </c>
      <c r="G9497" s="3">
        <v>1.0</v>
      </c>
      <c r="H9497" s="3">
        <v>0.0</v>
      </c>
      <c r="I9497" s="3" t="s">
        <v>13</v>
      </c>
      <c r="J9497" s="3" t="s">
        <v>27083</v>
      </c>
      <c r="K9497" s="3" t="s">
        <v>22524</v>
      </c>
      <c r="L9497" s="3" t="str">
        <f>IFERROR(__xludf.DUMMYFUNCTION("GOOGLETRANSLATE(F9497,""id"",""en"")"),"The World Cup Final reminded us of the World Cup at that time Brazil as the defending champion was conquered by France this time France as the defending champion was conquered by Argentina")</f>
        <v>The World Cup Final reminded us of the World Cup at that time Brazil as the defending champion was conquered by France this time France as the defending champion was conquered by Argentina</v>
      </c>
    </row>
    <row r="9498" ht="15.75" customHeight="1">
      <c r="A9498" s="1">
        <v>10727.0</v>
      </c>
      <c r="B9498" s="3" t="s">
        <v>27084</v>
      </c>
      <c r="C9498" s="3">
        <v>0.0</v>
      </c>
      <c r="D9498" s="3">
        <v>0.0</v>
      </c>
      <c r="E9498" s="3">
        <v>0.0</v>
      </c>
      <c r="F9498" s="3" t="s">
        <v>27085</v>
      </c>
      <c r="G9498" s="3">
        <v>0.3</v>
      </c>
      <c r="H9498" s="3">
        <v>0.2</v>
      </c>
      <c r="I9498" s="3" t="s">
        <v>48</v>
      </c>
      <c r="J9498" s="3" t="s">
        <v>27086</v>
      </c>
      <c r="K9498" s="3" t="s">
        <v>484</v>
      </c>
      <c r="L9498" s="3" t="str">
        <f>IFERROR(__xludf.DUMMYFUNCTION("GOOGLETRANSLATE(F9498,""id"",""en"")"),"many still do not accept Argentina champions and more and more people are hurt not to accept if the real goat is Leo Messi")</f>
        <v>many still do not accept Argentina champions and more and more people are hurt not to accept if the real goat is Leo Messi</v>
      </c>
    </row>
    <row r="9499" ht="15.75" customHeight="1">
      <c r="A9499" s="1">
        <v>10728.0</v>
      </c>
      <c r="B9499" s="3" t="s">
        <v>27087</v>
      </c>
      <c r="C9499" s="3">
        <v>0.0</v>
      </c>
      <c r="D9499" s="3">
        <v>0.0</v>
      </c>
      <c r="E9499" s="3">
        <v>0.0</v>
      </c>
      <c r="F9499" s="3" t="s">
        <v>27088</v>
      </c>
      <c r="G9499" s="3">
        <v>0.0</v>
      </c>
      <c r="H9499" s="3">
        <v>0.0</v>
      </c>
      <c r="I9499" s="3" t="s">
        <v>13</v>
      </c>
      <c r="J9499" s="3" t="s">
        <v>27089</v>
      </c>
      <c r="K9499" s="3" t="s">
        <v>15</v>
      </c>
      <c r="L9499" s="3" t="str">
        <f>IFERROR(__xludf.DUMMYFUNCTION("GOOGLETRANSLATE(F9499,""id"",""en"")"),"Congratulations thanks to the guidance of Mr. Ketum, finally Argentina Champion")</f>
        <v>Congratulations thanks to the guidance of Mr. Ketum, finally Argentina Champion</v>
      </c>
    </row>
    <row r="9500" ht="15.75" customHeight="1">
      <c r="A9500" s="1">
        <v>10730.0</v>
      </c>
      <c r="B9500" s="3" t="s">
        <v>27090</v>
      </c>
      <c r="C9500" s="3">
        <v>1.0</v>
      </c>
      <c r="D9500" s="3">
        <v>0.0</v>
      </c>
      <c r="E9500" s="3">
        <v>0.0</v>
      </c>
      <c r="F9500" s="3" t="s">
        <v>27091</v>
      </c>
      <c r="G9500" s="3">
        <v>0.0</v>
      </c>
      <c r="H9500" s="3">
        <v>0.0</v>
      </c>
      <c r="I9500" s="3" t="s">
        <v>13</v>
      </c>
      <c r="J9500" s="3" t="s">
        <v>27092</v>
      </c>
      <c r="K9500" s="3" t="s">
        <v>952</v>
      </c>
      <c r="L9500" s="3" t="str">
        <f>IFERROR(__xludf.DUMMYFUNCTION("GOOGLETRANSLATE(F9500,""id"",""en"")"),"This is water falling from the sky to rain what tears are French fans")</f>
        <v>This is water falling from the sky to rain what tears are French fans</v>
      </c>
    </row>
    <row r="9501" ht="15.75" customHeight="1">
      <c r="A9501" s="1">
        <v>10731.0</v>
      </c>
      <c r="B9501" s="3" t="s">
        <v>27093</v>
      </c>
      <c r="C9501" s="3">
        <v>0.0</v>
      </c>
      <c r="D9501" s="3">
        <v>0.0</v>
      </c>
      <c r="E9501" s="3">
        <v>2.0</v>
      </c>
      <c r="F9501" s="3" t="s">
        <v>27094</v>
      </c>
      <c r="G9501" s="3">
        <v>0.0</v>
      </c>
      <c r="H9501" s="3">
        <v>0.0</v>
      </c>
      <c r="I9501" s="3" t="s">
        <v>13</v>
      </c>
      <c r="J9501" s="3" t="s">
        <v>27095</v>
      </c>
      <c r="K9501" s="3" t="s">
        <v>54</v>
      </c>
      <c r="L9501" s="3" t="str">
        <f>IFERROR(__xludf.DUMMYFUNCTION("GOOGLETRANSLATE(F9501,""id"",""en"")"),"Fyp many Ronaldo than Argentina champions")</f>
        <v>Fyp many Ronaldo than Argentina champions</v>
      </c>
    </row>
    <row r="9502" ht="15.75" customHeight="1">
      <c r="A9502" s="1">
        <v>10732.0</v>
      </c>
      <c r="B9502" s="3" t="s">
        <v>27096</v>
      </c>
      <c r="C9502" s="3">
        <v>8.0</v>
      </c>
      <c r="D9502" s="3">
        <v>0.0</v>
      </c>
      <c r="E9502" s="3">
        <v>6.0</v>
      </c>
      <c r="F9502" s="3" t="s">
        <v>27097</v>
      </c>
      <c r="G9502" s="3">
        <v>0.0</v>
      </c>
      <c r="H9502" s="3">
        <v>0.0</v>
      </c>
      <c r="I9502" s="3" t="s">
        <v>13</v>
      </c>
      <c r="J9502" s="3" t="s">
        <v>27098</v>
      </c>
      <c r="K9502" s="3" t="s">
        <v>15</v>
      </c>
      <c r="L9502" s="3" t="str">
        <f>IFERROR(__xludf.DUMMYFUNCTION("GOOGLETRANSLATE(F9502,""id"",""en"")"),"Type Argentina Champion in Google")</f>
        <v>Type Argentina Champion in Google</v>
      </c>
    </row>
    <row r="9503" ht="15.75" customHeight="1">
      <c r="A9503" s="1">
        <v>10733.0</v>
      </c>
      <c r="B9503" s="3" t="s">
        <v>27099</v>
      </c>
      <c r="C9503" s="3">
        <v>0.0</v>
      </c>
      <c r="D9503" s="3">
        <v>1.0</v>
      </c>
      <c r="E9503" s="3">
        <v>4.0</v>
      </c>
      <c r="F9503" s="3" t="s">
        <v>27100</v>
      </c>
      <c r="G9503" s="3">
        <v>0.0</v>
      </c>
      <c r="H9503" s="3">
        <v>0.0</v>
      </c>
      <c r="I9503" s="3" t="s">
        <v>13</v>
      </c>
      <c r="J9503" s="3" t="s">
        <v>27101</v>
      </c>
      <c r="K9503" s="3" t="s">
        <v>236</v>
      </c>
      <c r="L9503" s="3" t="str">
        <f>IFERROR(__xludf.DUMMYFUNCTION("GOOGLETRANSLATE(F9503,""id"",""en"")"),"magical words Peter Drury who led Argentina to the World Cup championship")</f>
        <v>magical words Peter Drury who led Argentina to the World Cup championship</v>
      </c>
    </row>
    <row r="9504" ht="15.75" customHeight="1">
      <c r="A9504" s="1">
        <v>10734.0</v>
      </c>
      <c r="B9504" s="3" t="s">
        <v>27102</v>
      </c>
      <c r="C9504" s="3">
        <v>3.0</v>
      </c>
      <c r="D9504" s="3">
        <v>16.0</v>
      </c>
      <c r="E9504" s="3">
        <v>156.0</v>
      </c>
      <c r="F9504" s="3" t="s">
        <v>27103</v>
      </c>
      <c r="G9504" s="3">
        <v>0.0</v>
      </c>
      <c r="H9504" s="3">
        <v>0.0</v>
      </c>
      <c r="I9504" s="3" t="s">
        <v>13</v>
      </c>
      <c r="J9504" s="3" t="s">
        <v>27104</v>
      </c>
      <c r="K9504" s="3" t="s">
        <v>510</v>
      </c>
      <c r="L9504" s="3" t="str">
        <f>IFERROR(__xludf.DUMMYFUNCTION("GOOGLETRANSLATE(F9504,""id"",""en"")"),"Messi claimed to have received a hunch before bringing Albiceleste to become world champion for the third time Vamos Argentina")</f>
        <v>Messi claimed to have received a hunch before bringing Albiceleste to become world champion for the third time Vamos Argentina</v>
      </c>
    </row>
    <row r="9505" ht="15.75" customHeight="1">
      <c r="A9505" s="1">
        <v>10735.0</v>
      </c>
      <c r="B9505" s="3" t="s">
        <v>27105</v>
      </c>
      <c r="C9505" s="3">
        <v>0.0</v>
      </c>
      <c r="D9505" s="3">
        <v>0.0</v>
      </c>
      <c r="E9505" s="3">
        <v>0.0</v>
      </c>
      <c r="F9505" s="3" t="s">
        <v>27106</v>
      </c>
      <c r="G9505" s="3">
        <v>0.0</v>
      </c>
      <c r="H9505" s="3">
        <v>0.0</v>
      </c>
      <c r="I9505" s="3" t="s">
        <v>13</v>
      </c>
      <c r="J9505" s="3" t="s">
        <v>27107</v>
      </c>
      <c r="K9505" s="3" t="s">
        <v>82</v>
      </c>
      <c r="L9505" s="3" t="str">
        <f>IFERROR(__xludf.DUMMYFUNCTION("GOOGLETRANSLATE(F9505,""id"",""en"")"),"Even though Wes Andani Argentina Seng Champion you know")</f>
        <v>Even though Wes Andani Argentina Seng Champion you know</v>
      </c>
    </row>
    <row r="9506" ht="15.75" customHeight="1">
      <c r="A9506" s="1">
        <v>10736.0</v>
      </c>
      <c r="B9506" s="3" t="s">
        <v>27108</v>
      </c>
      <c r="C9506" s="3">
        <v>0.0</v>
      </c>
      <c r="D9506" s="3">
        <v>0.0</v>
      </c>
      <c r="E9506" s="3">
        <v>0.0</v>
      </c>
      <c r="F9506" s="3" t="s">
        <v>27109</v>
      </c>
      <c r="G9506" s="3">
        <v>0.0</v>
      </c>
      <c r="H9506" s="3">
        <v>0.0</v>
      </c>
      <c r="I9506" s="3" t="s">
        <v>13</v>
      </c>
      <c r="J9506" s="3" t="s">
        <v>27110</v>
      </c>
      <c r="K9506" s="3" t="s">
        <v>31</v>
      </c>
      <c r="L9506" s="3" t="str">
        <f>IFERROR(__xludf.DUMMYFUNCTION("GOOGLETRANSLATE(F9506,""id"",""en"")"),"If only Argentina will be champions")</f>
        <v>If only Argentina will be champions</v>
      </c>
    </row>
    <row r="9507" ht="15.75" customHeight="1">
      <c r="A9507" s="1">
        <v>10737.0</v>
      </c>
      <c r="B9507" s="3" t="s">
        <v>27111</v>
      </c>
      <c r="C9507" s="3">
        <v>0.0</v>
      </c>
      <c r="D9507" s="3">
        <v>0.0</v>
      </c>
      <c r="E9507" s="3">
        <v>0.0</v>
      </c>
      <c r="F9507" s="3" t="s">
        <v>27112</v>
      </c>
      <c r="G9507" s="3">
        <v>0.0</v>
      </c>
      <c r="H9507" s="3">
        <v>0.0</v>
      </c>
      <c r="I9507" s="3" t="s">
        <v>13</v>
      </c>
      <c r="J9507" s="3" t="s">
        <v>27113</v>
      </c>
      <c r="K9507" s="3" t="s">
        <v>41</v>
      </c>
      <c r="L9507" s="3" t="str">
        <f>IFERROR(__xludf.DUMMYFUNCTION("GOOGLETRANSLATE(F9507,""id"",""en"")"),"Thank you God finally Messi can bring Argentina to the World Cup championship")</f>
        <v>Thank you God finally Messi can bring Argentina to the World Cup championship</v>
      </c>
    </row>
    <row r="9508" ht="15.75" customHeight="1">
      <c r="A9508" s="1">
        <v>10738.0</v>
      </c>
      <c r="B9508" s="3" t="s">
        <v>27114</v>
      </c>
      <c r="C9508" s="3">
        <v>0.0</v>
      </c>
      <c r="D9508" s="3">
        <v>0.0</v>
      </c>
      <c r="E9508" s="3">
        <v>0.0</v>
      </c>
      <c r="F9508" s="3" t="s">
        <v>27115</v>
      </c>
      <c r="G9508" s="3">
        <v>0.0</v>
      </c>
      <c r="H9508" s="3">
        <v>0.0</v>
      </c>
      <c r="I9508" s="3" t="s">
        <v>13</v>
      </c>
      <c r="J9508" s="3" t="s">
        <v>27116</v>
      </c>
      <c r="K9508" s="3" t="s">
        <v>433</v>
      </c>
      <c r="L9508" s="3" t="str">
        <f>IFERROR(__xludf.DUMMYFUNCTION("GOOGLETRANSLATE(F9508,""id"",""en"")"),"Messi just won yesterday between the Copa America champion against the Euro Italy championship what would be proven again")</f>
        <v>Messi just won yesterday between the Copa America champion against the Euro Italy championship what would be proven again</v>
      </c>
    </row>
    <row r="9509" ht="15.75" customHeight="1">
      <c r="A9509" s="1">
        <v>10739.0</v>
      </c>
      <c r="B9509" s="3" t="s">
        <v>27117</v>
      </c>
      <c r="C9509" s="3">
        <v>0.0</v>
      </c>
      <c r="D9509" s="3">
        <v>0.0</v>
      </c>
      <c r="E9509" s="3">
        <v>0.0</v>
      </c>
      <c r="F9509" s="3" t="s">
        <v>27118</v>
      </c>
      <c r="G9509" s="3">
        <v>0.0</v>
      </c>
      <c r="H9509" s="3">
        <v>0.0</v>
      </c>
      <c r="I9509" s="3" t="s">
        <v>13</v>
      </c>
      <c r="J9509" s="3" t="s">
        <v>27119</v>
      </c>
      <c r="K9509" s="3" t="s">
        <v>31</v>
      </c>
      <c r="L9509" s="3" t="str">
        <f>IFERROR(__xludf.DUMMYFUNCTION("GOOGLETRANSLATE(F9509,""id"",""en"")"),"Aldho Mergo Argentina Champion wkwkwk")</f>
        <v>Aldho Mergo Argentina Champion wkwkwk</v>
      </c>
    </row>
    <row r="9510" ht="15.75" customHeight="1">
      <c r="A9510" s="1">
        <v>10740.0</v>
      </c>
      <c r="B9510" s="3" t="s">
        <v>27120</v>
      </c>
      <c r="C9510" s="3">
        <v>0.0</v>
      </c>
      <c r="D9510" s="3">
        <v>0.0</v>
      </c>
      <c r="E9510" s="3">
        <v>0.0</v>
      </c>
      <c r="F9510" s="3" t="s">
        <v>27121</v>
      </c>
      <c r="G9510" s="3">
        <v>0.0</v>
      </c>
      <c r="H9510" s="3">
        <v>0.0</v>
      </c>
      <c r="I9510" s="3" t="s">
        <v>13</v>
      </c>
      <c r="J9510" s="3" t="s">
        <v>27122</v>
      </c>
      <c r="K9510" s="3" t="s">
        <v>54</v>
      </c>
      <c r="L9510" s="3" t="str">
        <f>IFERROR(__xludf.DUMMYFUNCTION("GOOGLETRANSLATE(F9510,""id"",""en"")"),"This was revealed that he was the secret of Argentina World Cup champions")</f>
        <v>This was revealed that he was the secret of Argentina World Cup champions</v>
      </c>
    </row>
    <row r="9511" ht="15.75" customHeight="1">
      <c r="A9511" s="1">
        <v>10741.0</v>
      </c>
      <c r="B9511" s="3" t="s">
        <v>27123</v>
      </c>
      <c r="C9511" s="3">
        <v>0.0</v>
      </c>
      <c r="D9511" s="3">
        <v>0.0</v>
      </c>
      <c r="E9511" s="3">
        <v>0.0</v>
      </c>
      <c r="F9511" s="3" t="s">
        <v>27124</v>
      </c>
      <c r="G9511" s="3">
        <v>0.0</v>
      </c>
      <c r="H9511" s="3">
        <v>0.0</v>
      </c>
      <c r="I9511" s="3" t="s">
        <v>13</v>
      </c>
      <c r="J9511" s="3" t="s">
        <v>27125</v>
      </c>
      <c r="K9511" s="3" t="s">
        <v>244</v>
      </c>
      <c r="L9511" s="3" t="str">
        <f>IFERROR(__xludf.DUMMYFUNCTION("GOOGLETRANSLATE(F9511,""id"",""en"")"),"Kang Agun Prediction Proven Argentina The Latest Ciamis Ciamis World Cup Champion")</f>
        <v>Kang Agun Prediction Proven Argentina The Latest Ciamis Ciamis World Cup Champion</v>
      </c>
    </row>
    <row r="9512" ht="15.75" customHeight="1">
      <c r="A9512" s="1">
        <v>10742.0</v>
      </c>
      <c r="B9512" s="3" t="s">
        <v>27126</v>
      </c>
      <c r="C9512" s="3">
        <v>0.0</v>
      </c>
      <c r="D9512" s="3">
        <v>0.0</v>
      </c>
      <c r="E9512" s="3">
        <v>0.0</v>
      </c>
      <c r="F9512" s="3" t="s">
        <v>27127</v>
      </c>
      <c r="G9512" s="3">
        <v>0.0</v>
      </c>
      <c r="H9512" s="3">
        <v>0.0</v>
      </c>
      <c r="I9512" s="3" t="s">
        <v>13</v>
      </c>
      <c r="J9512" s="3" t="s">
        <v>27128</v>
      </c>
      <c r="K9512" s="3" t="s">
        <v>499</v>
      </c>
      <c r="L9512" s="3" t="str">
        <f>IFERROR(__xludf.DUMMYFUNCTION("GOOGLETRANSLATE(F9512,""id"",""en"")"),"As simple as Loa if Argentina will become a champion Pilduun Bring in prayer continues even though this is just a ball and look what happened to be according to what we believe")</f>
        <v>As simple as Loa if Argentina will become a champion Pilduun Bring in prayer continues even though this is just a ball and look what happened to be according to what we believe</v>
      </c>
    </row>
    <row r="9513" ht="15.75" customHeight="1">
      <c r="A9513" s="1">
        <v>10743.0</v>
      </c>
      <c r="B9513" s="3" t="s">
        <v>27129</v>
      </c>
      <c r="C9513" s="3">
        <v>0.0</v>
      </c>
      <c r="D9513" s="3">
        <v>0.0</v>
      </c>
      <c r="E9513" s="3">
        <v>2.0</v>
      </c>
      <c r="F9513" s="3" t="s">
        <v>27130</v>
      </c>
      <c r="G9513" s="3">
        <v>0.0</v>
      </c>
      <c r="H9513" s="3">
        <v>0.0</v>
      </c>
      <c r="I9513" s="3" t="s">
        <v>13</v>
      </c>
      <c r="J9513" s="3" t="s">
        <v>27131</v>
      </c>
      <c r="K9513" s="3" t="s">
        <v>54</v>
      </c>
      <c r="L9513" s="3" t="str">
        <f>IFERROR(__xludf.DUMMYFUNCTION("GOOGLETRANSLATE(F9513,""id"",""en"")"),"Ronaldo Brazil Blokkk If Madrid is called Cristiano")</f>
        <v>Ronaldo Brazil Blokkk If Madrid is called Cristiano</v>
      </c>
    </row>
    <row r="9514" ht="15.75" customHeight="1">
      <c r="A9514" s="1">
        <v>10744.0</v>
      </c>
      <c r="B9514" s="3" t="s">
        <v>27132</v>
      </c>
      <c r="C9514" s="3">
        <v>0.0</v>
      </c>
      <c r="D9514" s="3">
        <v>0.0</v>
      </c>
      <c r="E9514" s="3">
        <v>0.0</v>
      </c>
      <c r="F9514" s="3" t="s">
        <v>27133</v>
      </c>
      <c r="G9514" s="3">
        <v>0.0</v>
      </c>
      <c r="H9514" s="3">
        <v>0.0</v>
      </c>
      <c r="I9514" s="3" t="s">
        <v>13</v>
      </c>
      <c r="J9514" s="3" t="s">
        <v>27134</v>
      </c>
      <c r="K9514" s="3" t="s">
        <v>19</v>
      </c>
      <c r="L9514" s="3" t="str">
        <f>IFERROR(__xludf.DUMMYFUNCTION("GOOGLETRANSLATE(F9514,""id"",""en"")"),"Argentine national team champion world cup debate Lionel Messi or Cristiano Ronaldo is the best")</f>
        <v>Argentine national team champion world cup debate Lionel Messi or Cristiano Ronaldo is the best</v>
      </c>
    </row>
    <row r="9515" ht="15.75" customHeight="1">
      <c r="A9515" s="1">
        <v>10745.0</v>
      </c>
      <c r="B9515" s="3" t="s">
        <v>27135</v>
      </c>
      <c r="C9515" s="3">
        <v>0.0</v>
      </c>
      <c r="D9515" s="3">
        <v>0.0</v>
      </c>
      <c r="E9515" s="3">
        <v>0.0</v>
      </c>
      <c r="F9515" s="3" t="s">
        <v>27136</v>
      </c>
      <c r="G9515" s="3">
        <v>0.0</v>
      </c>
      <c r="H9515" s="3">
        <v>0.0</v>
      </c>
      <c r="I9515" s="3" t="s">
        <v>13</v>
      </c>
      <c r="J9515" s="3" t="s">
        <v>27137</v>
      </c>
      <c r="K9515" s="3" t="s">
        <v>2735</v>
      </c>
      <c r="L9515" s="3" t="str">
        <f>IFERROR(__xludf.DUMMYFUNCTION("GOOGLETRANSLATE(F9515,""id"",""en"")"),"Daritadi watched the IG story Messi only continued his post only after he succeeded in bringing Argentina to the world cup champion for his friend to Spam even though now people of one earth are directed to Messi, all of them are just info why there is mo"&amp;"re people like Lionel Messi")</f>
        <v>Daritadi watched the IG story Messi only continued his post only after he succeeded in bringing Argentina to the world cup champion for his friend to Spam even though now people of one earth are directed to Messi, all of them are just info why there is more people like Lionel Messi</v>
      </c>
    </row>
    <row r="9516" ht="15.75" customHeight="1">
      <c r="A9516" s="1">
        <v>10746.0</v>
      </c>
      <c r="B9516" s="3" t="s">
        <v>27138</v>
      </c>
      <c r="C9516" s="3">
        <v>0.0</v>
      </c>
      <c r="D9516" s="3">
        <v>1.0</v>
      </c>
      <c r="E9516" s="3">
        <v>0.0</v>
      </c>
      <c r="F9516" s="3" t="s">
        <v>27139</v>
      </c>
      <c r="G9516" s="3">
        <v>0.0</v>
      </c>
      <c r="H9516" s="3">
        <v>0.0</v>
      </c>
      <c r="I9516" s="3" t="s">
        <v>13</v>
      </c>
      <c r="J9516" s="3" t="s">
        <v>27140</v>
      </c>
      <c r="K9516" s="3" t="s">
        <v>1479</v>
      </c>
      <c r="L9516" s="3" t="str">
        <f>IFERROR(__xludf.DUMMYFUNCTION("GOOGLETRANSLATE(F9516,""id"",""en"")"),"Argentine champion Mexico Qatar Mario Kempes Gol Diego Maradona Gol Lionel Messi Gol")</f>
        <v>Argentine champion Mexico Qatar Mario Kempes Gol Diego Maradona Gol Lionel Messi Gol</v>
      </c>
    </row>
    <row r="9517" ht="15.75" customHeight="1">
      <c r="A9517" s="1">
        <v>10747.0</v>
      </c>
      <c r="B9517" s="3" t="s">
        <v>27141</v>
      </c>
      <c r="C9517" s="3">
        <v>0.0</v>
      </c>
      <c r="D9517" s="3">
        <v>0.0</v>
      </c>
      <c r="E9517" s="3">
        <v>0.0</v>
      </c>
      <c r="F9517" s="3" t="s">
        <v>27142</v>
      </c>
      <c r="G9517" s="3">
        <v>0.0</v>
      </c>
      <c r="H9517" s="3">
        <v>0.0</v>
      </c>
      <c r="I9517" s="3" t="s">
        <v>13</v>
      </c>
      <c r="J9517" s="3" t="s">
        <v>27143</v>
      </c>
      <c r="K9517" s="3" t="s">
        <v>82</v>
      </c>
      <c r="L9517" s="3" t="str">
        <f>IFERROR(__xludf.DUMMYFUNCTION("GOOGLETRANSLATE(F9517,""id"",""en"")"),"You forget that the Argentina champion is Qatar, you know")</f>
        <v>You forget that the Argentina champion is Qatar, you know</v>
      </c>
    </row>
    <row r="9518" ht="15.75" customHeight="1">
      <c r="A9518" s="1">
        <v>10748.0</v>
      </c>
      <c r="B9518" s="3" t="s">
        <v>27144</v>
      </c>
      <c r="C9518" s="3">
        <v>0.0</v>
      </c>
      <c r="D9518" s="3">
        <v>0.0</v>
      </c>
      <c r="E9518" s="3">
        <v>0.0</v>
      </c>
      <c r="F9518" s="3" t="s">
        <v>27145</v>
      </c>
      <c r="G9518" s="3">
        <v>0.5333333333333333</v>
      </c>
      <c r="H9518" s="3">
        <v>0.6666666666666666</v>
      </c>
      <c r="I9518" s="3" t="s">
        <v>48</v>
      </c>
      <c r="J9518" s="3" t="s">
        <v>27146</v>
      </c>
      <c r="K9518" s="3" t="s">
        <v>58</v>
      </c>
      <c r="L9518" s="3" t="str">
        <f>IFERROR(__xludf.DUMMYFUNCTION("GOOGLETRANSLATE(F9518,""id"",""en"")"),"The best final match last night Argentina France Idola Messi won the best the best")</f>
        <v>The best final match last night Argentina France Idola Messi won the best the best</v>
      </c>
    </row>
    <row r="9519" ht="15.75" customHeight="1">
      <c r="A9519" s="1">
        <v>10749.0</v>
      </c>
      <c r="B9519" s="3" t="s">
        <v>27147</v>
      </c>
      <c r="C9519" s="3">
        <v>0.0</v>
      </c>
      <c r="D9519" s="3">
        <v>0.0</v>
      </c>
      <c r="E9519" s="3">
        <v>0.0</v>
      </c>
      <c r="F9519" s="3" t="s">
        <v>27148</v>
      </c>
      <c r="G9519" s="3">
        <v>0.0</v>
      </c>
      <c r="H9519" s="3">
        <v>0.0</v>
      </c>
      <c r="I9519" s="3" t="s">
        <v>13</v>
      </c>
      <c r="J9519" s="3" t="s">
        <v>27149</v>
      </c>
      <c r="K9519" s="3" t="s">
        <v>495</v>
      </c>
      <c r="L9519" s="3" t="str">
        <f>IFERROR(__xludf.DUMMYFUNCTION("GOOGLETRANSLATE(F9519,""id"",""en"")"),"There is bad news that threatens the Argentine people after Lionel Messi and his colleagues of the national team to win the Qatar World Cup title")</f>
        <v>There is bad news that threatens the Argentine people after Lionel Messi and his colleagues of the national team to win the Qatar World Cup title</v>
      </c>
    </row>
    <row r="9520" ht="15.75" customHeight="1">
      <c r="A9520" s="1">
        <v>10750.0</v>
      </c>
      <c r="B9520" s="3" t="s">
        <v>27150</v>
      </c>
      <c r="C9520" s="3">
        <v>0.0</v>
      </c>
      <c r="D9520" s="3">
        <v>0.0</v>
      </c>
      <c r="E9520" s="3">
        <v>0.0</v>
      </c>
      <c r="F9520" s="3" t="s">
        <v>27148</v>
      </c>
      <c r="G9520" s="3">
        <v>0.0</v>
      </c>
      <c r="H9520" s="3">
        <v>0.0</v>
      </c>
      <c r="I9520" s="3" t="s">
        <v>13</v>
      </c>
      <c r="J9520" s="3" t="s">
        <v>27149</v>
      </c>
      <c r="K9520" s="3" t="s">
        <v>495</v>
      </c>
      <c r="L9520" s="3" t="str">
        <f>IFERROR(__xludf.DUMMYFUNCTION("GOOGLETRANSLATE(F9520,""id"",""en"")"),"There is bad news that threatens the Argentine people after Lionel Messi and his colleagues of the national team to win the Qatar World Cup title")</f>
        <v>There is bad news that threatens the Argentine people after Lionel Messi and his colleagues of the national team to win the Qatar World Cup title</v>
      </c>
    </row>
    <row r="9521" ht="15.75" customHeight="1">
      <c r="A9521" s="1">
        <v>10751.0</v>
      </c>
      <c r="B9521" s="3" t="s">
        <v>27151</v>
      </c>
      <c r="C9521" s="3">
        <v>0.0</v>
      </c>
      <c r="D9521" s="3">
        <v>0.0</v>
      </c>
      <c r="E9521" s="3">
        <v>0.0</v>
      </c>
      <c r="F9521" s="3" t="s">
        <v>27152</v>
      </c>
      <c r="G9521" s="3">
        <v>0.0</v>
      </c>
      <c r="H9521" s="3">
        <v>0.0</v>
      </c>
      <c r="I9521" s="3" t="s">
        <v>13</v>
      </c>
      <c r="J9521" s="3" t="s">
        <v>27153</v>
      </c>
      <c r="K9521" s="3" t="s">
        <v>19</v>
      </c>
      <c r="L9521" s="3" t="str">
        <f>IFERROR(__xludf.DUMMYFUNCTION("GOOGLETRANSLATE(F9521,""id"",""en"")"),"DPD Golkar Purwakarta Party congratulates on the pinning of Argentina as the World Cup champion")</f>
        <v>DPD Golkar Purwakarta Party congratulates on the pinning of Argentina as the World Cup champion</v>
      </c>
    </row>
    <row r="9522" ht="15.75" customHeight="1">
      <c r="A9522" s="1">
        <v>10752.0</v>
      </c>
      <c r="B9522" s="3" t="s">
        <v>27154</v>
      </c>
      <c r="C9522" s="3">
        <v>0.0</v>
      </c>
      <c r="D9522" s="3">
        <v>0.0</v>
      </c>
      <c r="E9522" s="3">
        <v>1.0</v>
      </c>
      <c r="F9522" s="3" t="s">
        <v>27155</v>
      </c>
      <c r="G9522" s="3">
        <v>0.4444444444444444</v>
      </c>
      <c r="H9522" s="3">
        <v>0.2222222222222222</v>
      </c>
      <c r="I9522" s="3" t="s">
        <v>48</v>
      </c>
      <c r="J9522" s="3" t="s">
        <v>27156</v>
      </c>
      <c r="K9522" s="3" t="s">
        <v>165</v>
      </c>
      <c r="L9522" s="3" t="str">
        <f>IFERROR(__xludf.DUMMYFUNCTION("GOOGLETRANSLATE(F9522,""id"",""en"")"),"Argentina Champion World Cup as much as Lionel Messi The Goat League Copa del Rey Champions League Spanish Super Cup Super Cup Club Club World Cup Ligue Copa America Ballon")</f>
        <v>Argentina Champion World Cup as much as Lionel Messi The Goat League Copa del Rey Champions League Spanish Super Cup Super Cup Club Club World Cup Ligue Copa America Ballon</v>
      </c>
    </row>
    <row r="9523" ht="15.75" customHeight="1">
      <c r="A9523" s="1">
        <v>10753.0</v>
      </c>
      <c r="B9523" s="3" t="s">
        <v>27157</v>
      </c>
      <c r="C9523" s="3">
        <v>0.0</v>
      </c>
      <c r="D9523" s="3">
        <v>0.0</v>
      </c>
      <c r="E9523" s="3">
        <v>0.0</v>
      </c>
      <c r="F9523" s="3" t="s">
        <v>27158</v>
      </c>
      <c r="G9523" s="3">
        <v>0.0</v>
      </c>
      <c r="H9523" s="3">
        <v>0.0</v>
      </c>
      <c r="I9523" s="3" t="s">
        <v>13</v>
      </c>
      <c r="J9523" s="3" t="s">
        <v>27159</v>
      </c>
      <c r="K9523" s="3" t="s">
        <v>633</v>
      </c>
      <c r="L9523" s="3" t="str">
        <f>IFERROR(__xludf.DUMMYFUNCTION("GOOGLETRANSLATE(F9523,""id"",""en"")"),"Congratulations for Argentina, the Qatar World Cup champion also for Messi to be the best player of the grand tournament this time became his most beautiful gift before retiring the national team")</f>
        <v>Congratulations for Argentina, the Qatar World Cup champion also for Messi to be the best player of the grand tournament this time became his most beautiful gift before retiring the national team</v>
      </c>
    </row>
    <row r="9524" ht="15.75" customHeight="1">
      <c r="A9524" s="1">
        <v>10754.0</v>
      </c>
      <c r="B9524" s="3" t="s">
        <v>27160</v>
      </c>
      <c r="C9524" s="3">
        <v>1.0</v>
      </c>
      <c r="D9524" s="3">
        <v>0.0</v>
      </c>
      <c r="E9524" s="3">
        <v>0.0</v>
      </c>
      <c r="F9524" s="3" t="s">
        <v>27161</v>
      </c>
      <c r="G9524" s="3">
        <v>0.0</v>
      </c>
      <c r="H9524" s="3">
        <v>0.0</v>
      </c>
      <c r="I9524" s="3" t="s">
        <v>13</v>
      </c>
      <c r="J9524" s="3" t="s">
        <v>27162</v>
      </c>
      <c r="K9524" s="3" t="s">
        <v>644</v>
      </c>
      <c r="L9524" s="3" t="str">
        <f>IFERROR(__xludf.DUMMYFUNCTION("GOOGLETRANSLATE(F9524,""id"",""en"")"),"Argentina Champion Garnaco Radijak")</f>
        <v>Argentina Champion Garnaco Radijak</v>
      </c>
    </row>
    <row r="9525" ht="15.75" customHeight="1">
      <c r="A9525" s="1">
        <v>10755.0</v>
      </c>
      <c r="B9525" s="3" t="s">
        <v>27163</v>
      </c>
      <c r="C9525" s="3">
        <v>0.0</v>
      </c>
      <c r="D9525" s="3">
        <v>0.0</v>
      </c>
      <c r="E9525" s="3">
        <v>0.0</v>
      </c>
      <c r="F9525" s="3" t="s">
        <v>27164</v>
      </c>
      <c r="G9525" s="3">
        <v>0.0</v>
      </c>
      <c r="H9525" s="3">
        <v>0.0</v>
      </c>
      <c r="I9525" s="3" t="s">
        <v>13</v>
      </c>
      <c r="J9525" s="3" t="s">
        <v>27165</v>
      </c>
      <c r="K9525" s="3" t="s">
        <v>15</v>
      </c>
      <c r="L9525" s="3" t="str">
        <f>IFERROR(__xludf.DUMMYFUNCTION("GOOGLETRANSLATE(F9525,""id"",""en"")"),"Argentine national team world cup champion flooded with congratulations")</f>
        <v>Argentine national team world cup champion flooded with congratulations</v>
      </c>
    </row>
    <row r="9526" ht="15.75" customHeight="1">
      <c r="A9526" s="1">
        <v>10756.0</v>
      </c>
      <c r="B9526" s="3" t="s">
        <v>27166</v>
      </c>
      <c r="C9526" s="3">
        <v>0.0</v>
      </c>
      <c r="D9526" s="3">
        <v>0.0</v>
      </c>
      <c r="E9526" s="3">
        <v>0.0</v>
      </c>
      <c r="F9526" s="3" t="s">
        <v>27167</v>
      </c>
      <c r="G9526" s="3">
        <v>0.0</v>
      </c>
      <c r="H9526" s="3">
        <v>0.0</v>
      </c>
      <c r="I9526" s="3" t="s">
        <v>13</v>
      </c>
      <c r="J9526" s="3" t="s">
        <v>27168</v>
      </c>
      <c r="K9526" s="3" t="s">
        <v>644</v>
      </c>
      <c r="L9526" s="3" t="str">
        <f>IFERROR(__xludf.DUMMYFUNCTION("GOOGLETRANSLATE(F9526,""id"",""en"")"),"if there is later Argentina can win the Copa")</f>
        <v>if there is later Argentina can win the Copa</v>
      </c>
    </row>
    <row r="9527" ht="15.75" customHeight="1">
      <c r="A9527" s="1">
        <v>10757.0</v>
      </c>
      <c r="B9527" s="3" t="s">
        <v>27169</v>
      </c>
      <c r="C9527" s="3">
        <v>0.0</v>
      </c>
      <c r="D9527" s="3">
        <v>0.0</v>
      </c>
      <c r="E9527" s="3">
        <v>1.0</v>
      </c>
      <c r="F9527" s="3" t="s">
        <v>27170</v>
      </c>
      <c r="G9527" s="3">
        <v>0.0</v>
      </c>
      <c r="H9527" s="3">
        <v>0.0</v>
      </c>
      <c r="I9527" s="3" t="s">
        <v>13</v>
      </c>
      <c r="J9527" s="3" t="s">
        <v>27171</v>
      </c>
      <c r="K9527" s="3" t="s">
        <v>236</v>
      </c>
      <c r="L9527" s="3" t="str">
        <f>IFERROR(__xludf.DUMMYFUNCTION("GOOGLETRANSLATE(F9527,""id"",""en"")"),"Between happy and sadness, Argentina is the sad champion of the dog.")</f>
        <v>Between happy and sadness, Argentina is the sad champion of the dog.</v>
      </c>
    </row>
    <row r="9528" ht="15.75" customHeight="1">
      <c r="A9528" s="1">
        <v>10758.0</v>
      </c>
      <c r="B9528" s="3" t="s">
        <v>27172</v>
      </c>
      <c r="C9528" s="3">
        <v>0.0</v>
      </c>
      <c r="D9528" s="3">
        <v>0.0</v>
      </c>
      <c r="E9528" s="3">
        <v>1.0</v>
      </c>
      <c r="F9528" s="3" t="s">
        <v>27173</v>
      </c>
      <c r="G9528" s="3">
        <v>0.0</v>
      </c>
      <c r="H9528" s="3">
        <v>0.0</v>
      </c>
      <c r="I9528" s="3" t="s">
        <v>13</v>
      </c>
      <c r="J9528" s="3" t="s">
        <v>27174</v>
      </c>
      <c r="K9528" s="3" t="s">
        <v>477</v>
      </c>
      <c r="L9528" s="3" t="str">
        <f>IFERROR(__xludf.DUMMYFUNCTION("GOOGLETRANSLATE(F9528,""id"",""en"")"),"Argentina Champion TPI is more happy to be the championship")</f>
        <v>Argentina Champion TPI is more happy to be the championship</v>
      </c>
    </row>
    <row r="9529" ht="15.75" customHeight="1">
      <c r="A9529" s="1">
        <v>10759.0</v>
      </c>
      <c r="B9529" s="3" t="s">
        <v>27175</v>
      </c>
      <c r="C9529" s="3">
        <v>0.0</v>
      </c>
      <c r="D9529" s="3">
        <v>0.0</v>
      </c>
      <c r="E9529" s="3">
        <v>0.0</v>
      </c>
      <c r="F9529" s="3" t="s">
        <v>27176</v>
      </c>
      <c r="G9529" s="3">
        <v>0.0</v>
      </c>
      <c r="H9529" s="3">
        <v>0.0</v>
      </c>
      <c r="I9529" s="3" t="s">
        <v>13</v>
      </c>
      <c r="J9529" s="3" t="s">
        <v>27177</v>
      </c>
      <c r="K9529" s="3" t="s">
        <v>75</v>
      </c>
      <c r="L9529" s="3" t="str">
        <f>IFERROR(__xludf.DUMMYFUNCTION("GOOGLETRANSLATE(F9529,""id"",""en"")"),"Or the Documentary of Argentina World Cup yesterday was the Copa championship to watch it")</f>
        <v>Or the Documentary of Argentina World Cup yesterday was the Copa championship to watch it</v>
      </c>
    </row>
    <row r="9530" ht="15.75" customHeight="1">
      <c r="A9530" s="1">
        <v>10760.0</v>
      </c>
      <c r="B9530" s="3" t="s">
        <v>27178</v>
      </c>
      <c r="C9530" s="3">
        <v>0.0</v>
      </c>
      <c r="D9530" s="3">
        <v>0.0</v>
      </c>
      <c r="E9530" s="3">
        <v>0.0</v>
      </c>
      <c r="F9530" s="3" t="s">
        <v>27179</v>
      </c>
      <c r="G9530" s="3">
        <v>1.0</v>
      </c>
      <c r="H9530" s="3">
        <v>-0.875</v>
      </c>
      <c r="I9530" s="3" t="s">
        <v>179</v>
      </c>
      <c r="J9530" s="3" t="s">
        <v>27180</v>
      </c>
      <c r="K9530" s="3" t="s">
        <v>75</v>
      </c>
      <c r="L9530" s="3" t="str">
        <f>IFERROR(__xludf.DUMMYFUNCTION("GOOGLETRANSLATE(F9530,""id"",""en"")"),"Argentina Champion Emiliano Martinez Send brutal mockery kylian mbappe iNews")</f>
        <v>Argentina Champion Emiliano Martinez Send brutal mockery kylian mbappe iNews</v>
      </c>
    </row>
    <row r="9531" ht="15.75" customHeight="1">
      <c r="A9531" s="1">
        <v>10761.0</v>
      </c>
      <c r="B9531" s="3" t="s">
        <v>27181</v>
      </c>
      <c r="C9531" s="3">
        <v>0.0</v>
      </c>
      <c r="D9531" s="3">
        <v>0.0</v>
      </c>
      <c r="E9531" s="3">
        <v>0.0</v>
      </c>
      <c r="F9531" s="3" t="s">
        <v>27182</v>
      </c>
      <c r="G9531" s="3">
        <v>0.0</v>
      </c>
      <c r="H9531" s="3">
        <v>0.0</v>
      </c>
      <c r="I9531" s="3" t="s">
        <v>13</v>
      </c>
      <c r="J9531" s="3" t="s">
        <v>27183</v>
      </c>
      <c r="K9531" s="3" t="s">
        <v>50</v>
      </c>
      <c r="L9531" s="3" t="str">
        <f>IFERROR(__xludf.DUMMYFUNCTION("GOOGLETRANSLATE(F9531,""id"",""en"")"),"Bring Argentina World Cup Champion Lionel Messi Add a collection of iNews cars")</f>
        <v>Bring Argentina World Cup Champion Lionel Messi Add a collection of iNews cars</v>
      </c>
    </row>
    <row r="9532" ht="15.75" customHeight="1">
      <c r="A9532" s="1">
        <v>10762.0</v>
      </c>
      <c r="B9532" s="3" t="s">
        <v>27184</v>
      </c>
      <c r="C9532" s="3">
        <v>0.0</v>
      </c>
      <c r="D9532" s="3">
        <v>0.0</v>
      </c>
      <c r="E9532" s="3">
        <v>0.0</v>
      </c>
      <c r="F9532" s="3" t="s">
        <v>27185</v>
      </c>
      <c r="G9532" s="3">
        <v>0.0</v>
      </c>
      <c r="H9532" s="3">
        <v>0.0</v>
      </c>
      <c r="I9532" s="3" t="s">
        <v>13</v>
      </c>
      <c r="J9532" s="3" t="s">
        <v>27186</v>
      </c>
      <c r="K9532" s="3" t="s">
        <v>510</v>
      </c>
      <c r="L9532" s="3" t="str">
        <f>IFERROR(__xludf.DUMMYFUNCTION("GOOGLETRANSLATE(F9532,""id"",""en"")"),"Ansar Soerya watched with Argentina champions of the Qatar World Cup with the Batam people passing")</f>
        <v>Ansar Soerya watched with Argentina champions of the Qatar World Cup with the Batam people passing</v>
      </c>
    </row>
    <row r="9533" ht="15.75" customHeight="1">
      <c r="A9533" s="1">
        <v>10763.0</v>
      </c>
      <c r="B9533" s="3" t="s">
        <v>27187</v>
      </c>
      <c r="C9533" s="3">
        <v>0.0</v>
      </c>
      <c r="D9533" s="3">
        <v>0.0</v>
      </c>
      <c r="E9533" s="3">
        <v>0.0</v>
      </c>
      <c r="F9533" s="3" t="s">
        <v>27188</v>
      </c>
      <c r="G9533" s="3">
        <v>0.0</v>
      </c>
      <c r="H9533" s="3">
        <v>0.0</v>
      </c>
      <c r="I9533" s="3" t="s">
        <v>13</v>
      </c>
      <c r="J9533" s="3" t="s">
        <v>27189</v>
      </c>
      <c r="K9533" s="3" t="s">
        <v>19</v>
      </c>
      <c r="L9533" s="3" t="str">
        <f>IFERROR(__xludf.DUMMYFUNCTION("GOOGLETRANSLATE(F9533,""id"",""en"")"),"Only the era of Pacsia Iwan Bule Argentina can be the world champion less good or try")</f>
        <v>Only the era of Pacsia Iwan Bule Argentina can be the world champion less good or try</v>
      </c>
    </row>
    <row r="9534" ht="15.75" customHeight="1">
      <c r="A9534" s="1">
        <v>10764.0</v>
      </c>
      <c r="B9534" s="3" t="s">
        <v>27190</v>
      </c>
      <c r="C9534" s="3">
        <v>0.0</v>
      </c>
      <c r="D9534" s="3">
        <v>0.0</v>
      </c>
      <c r="E9534" s="3">
        <v>0.0</v>
      </c>
      <c r="F9534" s="3" t="s">
        <v>27191</v>
      </c>
      <c r="G9534" s="3">
        <v>0.0</v>
      </c>
      <c r="H9534" s="3">
        <v>0.0</v>
      </c>
      <c r="I9534" s="3" t="s">
        <v>13</v>
      </c>
      <c r="J9534" s="3" t="s">
        <v>27192</v>
      </c>
      <c r="K9534" s="3" t="s">
        <v>50</v>
      </c>
      <c r="L9534" s="3" t="str">
        <f>IFERROR(__xludf.DUMMYFUNCTION("GOOGLETRANSLATE(F9534,""id"",""en"")"),"The moment of tears of Lionel Messi's mother broke out when Argentina Champion World Cup")</f>
        <v>The moment of tears of Lionel Messi's mother broke out when Argentina Champion World Cup</v>
      </c>
    </row>
    <row r="9535" ht="15.75" customHeight="1">
      <c r="A9535" s="1">
        <v>10766.0</v>
      </c>
      <c r="B9535" s="3" t="s">
        <v>27193</v>
      </c>
      <c r="C9535" s="3">
        <v>0.0</v>
      </c>
      <c r="D9535" s="3">
        <v>0.0</v>
      </c>
      <c r="E9535" s="3">
        <v>0.0</v>
      </c>
      <c r="F9535" s="3" t="s">
        <v>27194</v>
      </c>
      <c r="G9535" s="3">
        <v>0.0</v>
      </c>
      <c r="H9535" s="3">
        <v>0.0</v>
      </c>
      <c r="I9535" s="3" t="s">
        <v>13</v>
      </c>
      <c r="J9535" s="3" t="s">
        <v>27195</v>
      </c>
      <c r="K9535" s="3" t="s">
        <v>27</v>
      </c>
      <c r="L9535" s="3" t="str">
        <f>IFERROR(__xludf.DUMMYFUNCTION("GOOGLETRANSLATE(F9535,""id"",""en"")"),"If I Pak Gusmen support Morocco when you lose by France so I support Argentina, the factor, so that the champion complicated that Messi won actually I also like MBAPE but he is already mer.")</f>
        <v>If I Pak Gusmen support Morocco when you lose by France so I support Argentina, the factor, so that the champion complicated that Messi won actually I also like MBAPE but he is already mer.</v>
      </c>
    </row>
    <row r="9536" ht="15.75" customHeight="1">
      <c r="A9536" s="1">
        <v>10767.0</v>
      </c>
      <c r="B9536" s="3" t="s">
        <v>27196</v>
      </c>
      <c r="C9536" s="3">
        <v>4.0</v>
      </c>
      <c r="D9536" s="3">
        <v>0.0</v>
      </c>
      <c r="E9536" s="3">
        <v>39.0</v>
      </c>
      <c r="F9536" s="3" t="s">
        <v>27197</v>
      </c>
      <c r="G9536" s="3">
        <v>0.0</v>
      </c>
      <c r="H9536" s="3">
        <v>0.0</v>
      </c>
      <c r="I9536" s="3" t="s">
        <v>13</v>
      </c>
      <c r="J9536" s="3" t="s">
        <v>27198</v>
      </c>
      <c r="K9536" s="3" t="s">
        <v>1699</v>
      </c>
      <c r="L9536" s="3" t="str">
        <f>IFERROR(__xludf.DUMMYFUNCTION("GOOGLETRANSLATE(F9536,""id"",""en"")"),"Year All awards He has got even the highest event of the Head of the World Head World Cup with all the players who are also losing the boss with a Messi and the champion for Argentina Messi only helps win")</f>
        <v>Year All awards He has got even the highest event of the Head of the World Head World Cup with all the players who are also losing the boss with a Messi and the champion for Argentina Messi only helps win</v>
      </c>
    </row>
    <row r="9537" ht="15.75" customHeight="1">
      <c r="A9537" s="1">
        <v>10768.0</v>
      </c>
      <c r="B9537" s="3" t="s">
        <v>27199</v>
      </c>
      <c r="C9537" s="3">
        <v>0.0</v>
      </c>
      <c r="D9537" s="3">
        <v>3.0</v>
      </c>
      <c r="E9537" s="3">
        <v>10.0</v>
      </c>
      <c r="F9537" s="3" t="s">
        <v>27200</v>
      </c>
      <c r="G9537" s="3">
        <v>0.0</v>
      </c>
      <c r="H9537" s="3">
        <v>0.0</v>
      </c>
      <c r="I9537" s="3" t="s">
        <v>13</v>
      </c>
      <c r="J9537" s="3" t="s">
        <v>27201</v>
      </c>
      <c r="K9537" s="3" t="s">
        <v>765</v>
      </c>
      <c r="L9537" s="3" t="str">
        <f>IFERROR(__xludf.DUMMYFUNCTION("GOOGLETRANSLATE(F9537,""id"",""en"")"),"Received via WhatsApp Argentina Decision Winning Not Rasmi Hearing Croatia Morocco agreed to join France to become a combination of World Cup champions we are waiting for the full decision of FIFA at PTG later")</f>
        <v>Received via WhatsApp Argentina Decision Winning Not Rasmi Hearing Croatia Morocco agreed to join France to become a combination of World Cup champions we are waiting for the full decision of FIFA at PTG later</v>
      </c>
    </row>
    <row r="9538" ht="15.75" customHeight="1">
      <c r="A9538" s="1">
        <v>10769.0</v>
      </c>
      <c r="B9538" s="3" t="s">
        <v>27202</v>
      </c>
      <c r="C9538" s="3">
        <v>0.0</v>
      </c>
      <c r="D9538" s="3">
        <v>0.0</v>
      </c>
      <c r="E9538" s="3">
        <v>0.0</v>
      </c>
      <c r="F9538" s="3" t="s">
        <v>27203</v>
      </c>
      <c r="G9538" s="3">
        <v>0.2333333333333333</v>
      </c>
      <c r="H9538" s="3">
        <v>-0.25</v>
      </c>
      <c r="I9538" s="3" t="s">
        <v>179</v>
      </c>
      <c r="J9538" s="3" t="s">
        <v>27204</v>
      </c>
      <c r="K9538" s="3" t="s">
        <v>75</v>
      </c>
      <c r="L9538" s="3" t="str">
        <f>IFERROR(__xludf.DUMMYFUNCTION("GOOGLETRANSLATE(F9538,""id"",""en"")"),"The Argentine national team championship parade takes an open bus and escorted")</f>
        <v>The Argentine national team championship parade takes an open bus and escorted</v>
      </c>
    </row>
    <row r="9539" ht="15.75" customHeight="1">
      <c r="A9539" s="1">
        <v>10770.0</v>
      </c>
      <c r="B9539" s="3" t="s">
        <v>27205</v>
      </c>
      <c r="C9539" s="3">
        <v>0.0</v>
      </c>
      <c r="D9539" s="3">
        <v>0.0</v>
      </c>
      <c r="E9539" s="3">
        <v>0.0</v>
      </c>
      <c r="F9539" s="3" t="s">
        <v>27206</v>
      </c>
      <c r="G9539" s="3">
        <v>0.0</v>
      </c>
      <c r="H9539" s="3">
        <v>0.0</v>
      </c>
      <c r="I9539" s="3" t="s">
        <v>13</v>
      </c>
      <c r="J9539" s="3" t="s">
        <v>27207</v>
      </c>
      <c r="K9539" s="3" t="s">
        <v>54</v>
      </c>
      <c r="L9539" s="3" t="str">
        <f>IFERROR(__xludf.DUMMYFUNCTION("GOOGLETRANSLATE(F9539,""id"",""en"")"),"finally Argentina who held the World Cup championship")</f>
        <v>finally Argentina who held the World Cup championship</v>
      </c>
    </row>
    <row r="9540" ht="15.75" customHeight="1">
      <c r="A9540" s="1">
        <v>10771.0</v>
      </c>
      <c r="B9540" s="3" t="s">
        <v>27208</v>
      </c>
      <c r="C9540" s="3">
        <v>0.0</v>
      </c>
      <c r="D9540" s="3">
        <v>0.0</v>
      </c>
      <c r="E9540" s="3">
        <v>0.0</v>
      </c>
      <c r="F9540" s="3" t="s">
        <v>25722</v>
      </c>
      <c r="G9540" s="3">
        <v>0.0</v>
      </c>
      <c r="H9540" s="3">
        <v>0.0</v>
      </c>
      <c r="I9540" s="3" t="s">
        <v>13</v>
      </c>
      <c r="J9540" s="3" t="s">
        <v>25723</v>
      </c>
      <c r="K9540" s="3" t="s">
        <v>19</v>
      </c>
      <c r="L9540" s="3" t="str">
        <f>IFERROR(__xludf.DUMMYFUNCTION("GOOGLETRANSLATE(F9540,""id"",""en"")"),"End of Argentina's Goat World Champion Lionel Messi Player of the Best Player of All Time")</f>
        <v>End of Argentina's Goat World Champion Lionel Messi Player of the Best Player of All Time</v>
      </c>
    </row>
    <row r="9541" ht="15.75" customHeight="1">
      <c r="A9541" s="1">
        <v>10772.0</v>
      </c>
      <c r="B9541" s="3" t="s">
        <v>27209</v>
      </c>
      <c r="C9541" s="3">
        <v>1.0</v>
      </c>
      <c r="D9541" s="3">
        <v>0.0</v>
      </c>
      <c r="E9541" s="3">
        <v>1.0</v>
      </c>
      <c r="F9541" s="3" t="s">
        <v>27210</v>
      </c>
      <c r="G9541" s="3">
        <v>0.0</v>
      </c>
      <c r="H9541" s="3">
        <v>0.0</v>
      </c>
      <c r="I9541" s="3" t="s">
        <v>13</v>
      </c>
      <c r="J9541" s="3" t="s">
        <v>27211</v>
      </c>
      <c r="K9541" s="3" t="s">
        <v>75</v>
      </c>
      <c r="L9541" s="3" t="str">
        <f>IFERROR(__xludf.DUMMYFUNCTION("GOOGLETRANSLATE(F9541,""id"",""en"")"),"Viral Prediction of Polanco in the past about Argentina became the World Cup championship")</f>
        <v>Viral Prediction of Polanco in the past about Argentina became the World Cup championship</v>
      </c>
    </row>
    <row r="9542" ht="15.75" customHeight="1">
      <c r="A9542" s="1">
        <v>10773.0</v>
      </c>
      <c r="B9542" s="3" t="s">
        <v>27212</v>
      </c>
      <c r="C9542" s="3">
        <v>0.0</v>
      </c>
      <c r="D9542" s="3">
        <v>0.0</v>
      </c>
      <c r="E9542" s="3">
        <v>0.0</v>
      </c>
      <c r="F9542" s="3" t="s">
        <v>27213</v>
      </c>
      <c r="G9542" s="3">
        <v>0.0</v>
      </c>
      <c r="H9542" s="3">
        <v>0.0</v>
      </c>
      <c r="I9542" s="3" t="s">
        <v>13</v>
      </c>
      <c r="J9542" s="3" t="s">
        <v>27214</v>
      </c>
      <c r="K9542" s="3" t="s">
        <v>54</v>
      </c>
      <c r="L9542" s="3" t="str">
        <f>IFERROR(__xludf.DUMMYFUNCTION("GOOGLETRANSLATE(F9542,""id"",""en"")"),"Argentina already champions now my turn to Bigwin")</f>
        <v>Argentina already champions now my turn to Bigwin</v>
      </c>
    </row>
    <row r="9543" ht="15.75" customHeight="1">
      <c r="A9543" s="1">
        <v>10774.0</v>
      </c>
      <c r="B9543" s="3" t="s">
        <v>27215</v>
      </c>
      <c r="C9543" s="3">
        <v>0.0</v>
      </c>
      <c r="D9543" s="3">
        <v>0.0</v>
      </c>
      <c r="E9543" s="3">
        <v>0.0</v>
      </c>
      <c r="F9543" s="3" t="s">
        <v>27216</v>
      </c>
      <c r="G9543" s="3">
        <v>0.0</v>
      </c>
      <c r="H9543" s="3">
        <v>0.0</v>
      </c>
      <c r="I9543" s="3" t="s">
        <v>13</v>
      </c>
      <c r="J9543" s="3" t="s">
        <v>27217</v>
      </c>
      <c r="K9543" s="3" t="s">
        <v>31</v>
      </c>
      <c r="L9543" s="3" t="str">
        <f>IFERROR(__xludf.DUMMYFUNCTION("GOOGLETRANSLATE(F9543,""id"",""en"")"),"Georginia joined the Argentina championship")</f>
        <v>Georginia joined the Argentina championship</v>
      </c>
    </row>
    <row r="9544" ht="15.75" customHeight="1">
      <c r="A9544" s="1">
        <v>10775.0</v>
      </c>
      <c r="B9544" s="3" t="s">
        <v>27218</v>
      </c>
      <c r="C9544" s="3">
        <v>0.0</v>
      </c>
      <c r="D9544" s="3">
        <v>0.0</v>
      </c>
      <c r="E9544" s="3">
        <v>0.0</v>
      </c>
      <c r="F9544" s="3" t="s">
        <v>27219</v>
      </c>
      <c r="G9544" s="3">
        <v>0.0</v>
      </c>
      <c r="H9544" s="3">
        <v>0.0</v>
      </c>
      <c r="I9544" s="3" t="s">
        <v>13</v>
      </c>
      <c r="J9544" s="3" t="s">
        <v>27220</v>
      </c>
      <c r="K9544" s="3" t="s">
        <v>1317</v>
      </c>
      <c r="L9544" s="3" t="str">
        <f>IFERROR(__xludf.DUMMYFUNCTION("GOOGLETRANSLATE(F9544,""id"",""en"")"),"Between the euphoria of the World Cup champion and Argentina crazy inflation Argentina cheered after Lionel Messi became the champion of the Euphorian World Cup echoing while Argentina was still facing economic problems")</f>
        <v>Between the euphoria of the World Cup champion and Argentina crazy inflation Argentina cheered after Lionel Messi became the champion of the Euphorian World Cup echoing while Argentina was still facing economic problems</v>
      </c>
    </row>
    <row r="9545" ht="15.75" customHeight="1">
      <c r="A9545" s="1">
        <v>10776.0</v>
      </c>
      <c r="B9545" s="3" t="s">
        <v>27221</v>
      </c>
      <c r="C9545" s="3">
        <v>0.0</v>
      </c>
      <c r="D9545" s="3">
        <v>0.0</v>
      </c>
      <c r="E9545" s="3">
        <v>0.0</v>
      </c>
      <c r="F9545" s="3" t="s">
        <v>27222</v>
      </c>
      <c r="G9545" s="3">
        <v>0.0</v>
      </c>
      <c r="H9545" s="3">
        <v>0.0</v>
      </c>
      <c r="I9545" s="3" t="s">
        <v>13</v>
      </c>
      <c r="J9545" s="3" t="s">
        <v>27223</v>
      </c>
      <c r="K9545" s="3" t="s">
        <v>236</v>
      </c>
      <c r="L9545" s="3" t="str">
        <f>IFERROR(__xludf.DUMMYFUNCTION("GOOGLETRANSLATE(F9545,""id"",""en"")"),"Messi Bring Argentina World Champion Samai World Legend Diego Maradona")</f>
        <v>Messi Bring Argentina World Champion Samai World Legend Diego Maradona</v>
      </c>
    </row>
    <row r="9546" ht="15.75" customHeight="1">
      <c r="A9546" s="1">
        <v>10777.0</v>
      </c>
      <c r="B9546" s="3" t="s">
        <v>27224</v>
      </c>
      <c r="C9546" s="3">
        <v>0.0</v>
      </c>
      <c r="D9546" s="3">
        <v>0.0</v>
      </c>
      <c r="E9546" s="3">
        <v>0.0</v>
      </c>
      <c r="F9546" s="3" t="s">
        <v>22241</v>
      </c>
      <c r="G9546" s="3">
        <v>0.0</v>
      </c>
      <c r="H9546" s="3">
        <v>0.0</v>
      </c>
      <c r="I9546" s="3" t="s">
        <v>13</v>
      </c>
      <c r="J9546" s="3" t="s">
        <v>16942</v>
      </c>
      <c r="K9546" s="3" t="s">
        <v>644</v>
      </c>
      <c r="L9546" s="3" t="str">
        <f>IFERROR(__xludf.DUMMYFUNCTION("GOOGLETRANSLATE(F9546,""id"",""en"")"),"Argentina Champion World Cup")</f>
        <v>Argentina Champion World Cup</v>
      </c>
    </row>
    <row r="9547" ht="15.75" customHeight="1">
      <c r="A9547" s="1">
        <v>10778.0</v>
      </c>
      <c r="B9547" s="3" t="s">
        <v>27225</v>
      </c>
      <c r="C9547" s="3">
        <v>0.0</v>
      </c>
      <c r="D9547" s="3">
        <v>0.0</v>
      </c>
      <c r="E9547" s="3">
        <v>3.0</v>
      </c>
      <c r="F9547" s="3" t="s">
        <v>27226</v>
      </c>
      <c r="G9547" s="3">
        <v>0.0</v>
      </c>
      <c r="H9547" s="3">
        <v>0.0</v>
      </c>
      <c r="I9547" s="3" t="s">
        <v>13</v>
      </c>
      <c r="J9547" s="3" t="s">
        <v>27227</v>
      </c>
      <c r="K9547" s="3" t="s">
        <v>82</v>
      </c>
      <c r="L9547" s="3" t="str">
        <f>IFERROR(__xludf.DUMMYFUNCTION("GOOGLETRANSLATE(F9547,""id"",""en"")"),"French brush and bring our Argentina champion Messi Successfully")</f>
        <v>French brush and bring our Argentina champion Messi Successfully</v>
      </c>
    </row>
    <row r="9548" ht="15.75" customHeight="1">
      <c r="A9548" s="1">
        <v>10779.0</v>
      </c>
      <c r="B9548" s="3" t="s">
        <v>27228</v>
      </c>
      <c r="C9548" s="3">
        <v>1.0</v>
      </c>
      <c r="D9548" s="3">
        <v>15.0</v>
      </c>
      <c r="E9548" s="3">
        <v>115.0</v>
      </c>
      <c r="F9548" s="3" t="s">
        <v>27229</v>
      </c>
      <c r="G9548" s="3">
        <v>0.0</v>
      </c>
      <c r="H9548" s="3">
        <v>0.0</v>
      </c>
      <c r="I9548" s="3" t="s">
        <v>13</v>
      </c>
      <c r="J9548" s="3" t="s">
        <v>27230</v>
      </c>
      <c r="K9548" s="3" t="s">
        <v>15</v>
      </c>
      <c r="L9548" s="3" t="str">
        <f>IFERROR(__xludf.DUMMYFUNCTION("GOOGLETRANSLATE(F9548,""id"",""en"")"),"do not feel enough to celebrate the champion only the field but until the table")</f>
        <v>do not feel enough to celebrate the champion only the field but until the table</v>
      </c>
    </row>
    <row r="9549" ht="15.75" customHeight="1">
      <c r="A9549" s="1">
        <v>10780.0</v>
      </c>
      <c r="B9549" s="3" t="s">
        <v>27231</v>
      </c>
      <c r="C9549" s="3">
        <v>0.0</v>
      </c>
      <c r="D9549" s="3">
        <v>0.0</v>
      </c>
      <c r="E9549" s="3">
        <v>0.0</v>
      </c>
      <c r="F9549" s="3" t="s">
        <v>27232</v>
      </c>
      <c r="G9549" s="3">
        <v>0.0</v>
      </c>
      <c r="H9549" s="3">
        <v>0.0</v>
      </c>
      <c r="I9549" s="3" t="s">
        <v>13</v>
      </c>
      <c r="J9549" s="3" t="s">
        <v>27233</v>
      </c>
      <c r="K9549" s="3" t="s">
        <v>510</v>
      </c>
      <c r="L9549" s="3" t="str">
        <f>IFERROR(__xludf.DUMMYFUNCTION("GOOGLETRANSLATE(F9549,""id"",""en"")"),"Winning is less common in the champions are those who don't miss the Fajr prayer while following the Vamos Argentina World Cup")</f>
        <v>Winning is less common in the champions are those who don't miss the Fajr prayer while following the Vamos Argentina World Cup</v>
      </c>
    </row>
    <row r="9550" ht="15.75" customHeight="1">
      <c r="A9550" s="1">
        <v>10781.0</v>
      </c>
      <c r="B9550" s="3" t="s">
        <v>27234</v>
      </c>
      <c r="C9550" s="3">
        <v>0.0</v>
      </c>
      <c r="D9550" s="3">
        <v>0.0</v>
      </c>
      <c r="E9550" s="3">
        <v>0.0</v>
      </c>
      <c r="F9550" s="3" t="s">
        <v>27235</v>
      </c>
      <c r="G9550" s="3">
        <v>0.0</v>
      </c>
      <c r="H9550" s="3">
        <v>0.0</v>
      </c>
      <c r="I9550" s="3" t="s">
        <v>13</v>
      </c>
      <c r="J9550" s="3" t="s">
        <v>27236</v>
      </c>
      <c r="K9550" s="3" t="s">
        <v>35</v>
      </c>
      <c r="L9550" s="3" t="str">
        <f>IFERROR(__xludf.DUMMYFUNCTION("GOOGLETRANSLATE(F9550,""id"",""en"")"),"Argentina World Cup World Cup Champion Marc Marquez Installs Photos of Lionel Messi")</f>
        <v>Argentina World Cup World Cup Champion Marc Marquez Installs Photos of Lionel Messi</v>
      </c>
    </row>
    <row r="9551" ht="15.75" customHeight="1">
      <c r="A9551" s="1">
        <v>10782.0</v>
      </c>
      <c r="B9551" s="3" t="s">
        <v>27237</v>
      </c>
      <c r="C9551" s="3">
        <v>1.0</v>
      </c>
      <c r="D9551" s="3">
        <v>0.0</v>
      </c>
      <c r="E9551" s="3">
        <v>0.0</v>
      </c>
      <c r="F9551" s="3" t="s">
        <v>27238</v>
      </c>
      <c r="G9551" s="3">
        <v>0.0</v>
      </c>
      <c r="H9551" s="3">
        <v>0.0</v>
      </c>
      <c r="I9551" s="3" t="s">
        <v>13</v>
      </c>
      <c r="J9551" s="3" t="s">
        <v>27239</v>
      </c>
      <c r="K9551" s="3" t="s">
        <v>644</v>
      </c>
      <c r="L9551" s="3" t="str">
        <f>IFERROR(__xludf.DUMMYFUNCTION("GOOGLETRANSLATE(F9551,""id"",""en"")"),"Gun Argentina Champion who raging")</f>
        <v>Gun Argentina Champion who raging</v>
      </c>
    </row>
    <row r="9552" ht="15.75" customHeight="1">
      <c r="A9552" s="1">
        <v>10783.0</v>
      </c>
      <c r="B9552" s="3" t="s">
        <v>27240</v>
      </c>
      <c r="C9552" s="3">
        <v>0.0</v>
      </c>
      <c r="D9552" s="3">
        <v>0.0</v>
      </c>
      <c r="E9552" s="3">
        <v>0.0</v>
      </c>
      <c r="F9552" s="3" t="s">
        <v>27241</v>
      </c>
      <c r="G9552" s="3">
        <v>0.0</v>
      </c>
      <c r="H9552" s="3">
        <v>0.0</v>
      </c>
      <c r="I9552" s="3" t="s">
        <v>13</v>
      </c>
      <c r="J9552" s="3" t="s">
        <v>16104</v>
      </c>
      <c r="K9552" s="3" t="s">
        <v>14571</v>
      </c>
      <c r="L9552" s="3" t="str">
        <f>IFERROR(__xludf.DUMMYFUNCTION("GOOGLETRANSLATE(F9552,""id"",""en"")"),"Argentina champions again")</f>
        <v>Argentina champions again</v>
      </c>
    </row>
    <row r="9553" ht="15.75" customHeight="1">
      <c r="A9553" s="1">
        <v>10784.0</v>
      </c>
      <c r="B9553" s="3" t="s">
        <v>27242</v>
      </c>
      <c r="C9553" s="3">
        <v>0.0</v>
      </c>
      <c r="D9553" s="3">
        <v>0.0</v>
      </c>
      <c r="E9553" s="3">
        <v>0.0</v>
      </c>
      <c r="F9553" s="3" t="s">
        <v>27243</v>
      </c>
      <c r="G9553" s="3">
        <v>0.0</v>
      </c>
      <c r="H9553" s="3">
        <v>0.0</v>
      </c>
      <c r="I9553" s="3" t="s">
        <v>13</v>
      </c>
      <c r="J9553" s="3" t="s">
        <v>27244</v>
      </c>
      <c r="K9553" s="3" t="s">
        <v>54</v>
      </c>
      <c r="L9553" s="3" t="str">
        <f>IFERROR(__xludf.DUMMYFUNCTION("GOOGLETRANSLATE(F9553,""id"",""en"")"),"Argentina can win because the French coach is paid")</f>
        <v>Argentina can win because the French coach is paid</v>
      </c>
    </row>
    <row r="9554" ht="15.75" customHeight="1">
      <c r="A9554" s="1">
        <v>10785.0</v>
      </c>
      <c r="B9554" s="3" t="s">
        <v>27245</v>
      </c>
      <c r="C9554" s="3">
        <v>0.0</v>
      </c>
      <c r="D9554" s="3">
        <v>0.0</v>
      </c>
      <c r="E9554" s="3">
        <v>0.0</v>
      </c>
      <c r="F9554" s="3" t="s">
        <v>27246</v>
      </c>
      <c r="G9554" s="3">
        <v>1.0</v>
      </c>
      <c r="H9554" s="3">
        <v>0.0</v>
      </c>
      <c r="I9554" s="3" t="s">
        <v>13</v>
      </c>
      <c r="J9554" s="3" t="s">
        <v>27247</v>
      </c>
      <c r="K9554" s="3" t="s">
        <v>3977</v>
      </c>
      <c r="L9554" s="3" t="str">
        <f>IFERROR(__xludf.DUMMYFUNCTION("GOOGLETRANSLATE(F9554,""id"",""en"")"),"Argentina Congratulations Argentina officially won the world's biggest soccer match this year the World Cup through the Dramatic Final match Argentina won the World Cup for the time with a lead to France")</f>
        <v>Argentina Congratulations Argentina officially won the world's biggest soccer match this year the World Cup through the Dramatic Final match Argentina won the World Cup for the time with a lead to France</v>
      </c>
    </row>
    <row r="9555" ht="15.75" customHeight="1">
      <c r="A9555" s="1">
        <v>10786.0</v>
      </c>
      <c r="B9555" s="3" t="s">
        <v>27248</v>
      </c>
      <c r="C9555" s="3">
        <v>0.0</v>
      </c>
      <c r="D9555" s="3">
        <v>0.0</v>
      </c>
      <c r="E9555" s="3">
        <v>3.0</v>
      </c>
      <c r="F9555" s="3" t="s">
        <v>27249</v>
      </c>
      <c r="G9555" s="3">
        <v>0.0</v>
      </c>
      <c r="H9555" s="3">
        <v>0.0</v>
      </c>
      <c r="I9555" s="3" t="s">
        <v>13</v>
      </c>
      <c r="J9555" s="3" t="s">
        <v>27250</v>
      </c>
      <c r="K9555" s="3" t="s">
        <v>54</v>
      </c>
      <c r="L9555" s="3" t="str">
        <f>IFERROR(__xludf.DUMMYFUNCTION("GOOGLETRANSLATE(F9555,""id"",""en"")"),"Only the Jokowi Messi era can win with Argentina")</f>
        <v>Only the Jokowi Messi era can win with Argentina</v>
      </c>
    </row>
    <row r="9556" ht="15.75" customHeight="1">
      <c r="A9556" s="1">
        <v>10787.0</v>
      </c>
      <c r="B9556" s="3" t="s">
        <v>27251</v>
      </c>
      <c r="C9556" s="3">
        <v>0.0</v>
      </c>
      <c r="D9556" s="3">
        <v>0.0</v>
      </c>
      <c r="E9556" s="3">
        <v>0.0</v>
      </c>
      <c r="F9556" s="3" t="s">
        <v>26873</v>
      </c>
      <c r="G9556" s="3">
        <v>0.0</v>
      </c>
      <c r="H9556" s="3">
        <v>0.0</v>
      </c>
      <c r="I9556" s="3" t="s">
        <v>13</v>
      </c>
      <c r="J9556" s="3" t="s">
        <v>26874</v>
      </c>
      <c r="K9556" s="3" t="s">
        <v>510</v>
      </c>
      <c r="L9556" s="3" t="str">
        <f>IFERROR(__xludf.DUMMYFUNCTION("GOOGLETRANSLATE(F9556,""id"",""en"")"),"Argentina national team video champion World Cup Penggawa Tango Team Celebrates Kylian Mbappe's death")</f>
        <v>Argentina national team video champion World Cup Penggawa Tango Team Celebrates Kylian Mbappe's death</v>
      </c>
    </row>
    <row r="9557" ht="15.75" customHeight="1">
      <c r="A9557" s="1">
        <v>10788.0</v>
      </c>
      <c r="B9557" s="3" t="s">
        <v>27252</v>
      </c>
      <c r="C9557" s="3">
        <v>0.0</v>
      </c>
      <c r="D9557" s="3">
        <v>0.0</v>
      </c>
      <c r="E9557" s="3">
        <v>2.0</v>
      </c>
      <c r="F9557" s="3" t="s">
        <v>27253</v>
      </c>
      <c r="G9557" s="3">
        <v>0.0</v>
      </c>
      <c r="H9557" s="3">
        <v>0.0</v>
      </c>
      <c r="I9557" s="3" t="s">
        <v>13</v>
      </c>
      <c r="J9557" s="3" t="s">
        <v>27254</v>
      </c>
      <c r="K9557" s="3" t="s">
        <v>15</v>
      </c>
      <c r="L9557" s="3" t="str">
        <f>IFERROR(__xludf.DUMMYFUNCTION("GOOGLETRANSLATE(F9557,""id"",""en"")"),"Arep Argentina Champion Sek Wins still Wong Wedok")</f>
        <v>Arep Argentina Champion Sek Wins still Wong Wedok</v>
      </c>
    </row>
    <row r="9558" ht="15.75" customHeight="1">
      <c r="A9558" s="1">
        <v>10789.0</v>
      </c>
      <c r="B9558" s="3" t="s">
        <v>27255</v>
      </c>
      <c r="C9558" s="3">
        <v>0.0</v>
      </c>
      <c r="D9558" s="3">
        <v>1.0</v>
      </c>
      <c r="E9558" s="3">
        <v>0.0</v>
      </c>
      <c r="F9558" s="3" t="s">
        <v>27256</v>
      </c>
      <c r="G9558" s="3">
        <v>0.0</v>
      </c>
      <c r="H9558" s="3">
        <v>0.0</v>
      </c>
      <c r="I9558" s="3" t="s">
        <v>13</v>
      </c>
      <c r="J9558" s="3" t="s">
        <v>27257</v>
      </c>
      <c r="K9558" s="3" t="s">
        <v>644</v>
      </c>
      <c r="L9558" s="3" t="str">
        <f>IFERROR(__xludf.DUMMYFUNCTION("GOOGLETRANSLATE(F9558,""id"",""en"")"),"not until Argentina Champion")</f>
        <v>not until Argentina Champion</v>
      </c>
    </row>
    <row r="9559" ht="15.75" customHeight="1">
      <c r="A9559" s="1">
        <v>10790.0</v>
      </c>
      <c r="B9559" s="3" t="s">
        <v>27258</v>
      </c>
      <c r="C9559" s="3">
        <v>0.0</v>
      </c>
      <c r="D9559" s="3">
        <v>0.0</v>
      </c>
      <c r="E9559" s="3">
        <v>0.0</v>
      </c>
      <c r="F9559" s="3" t="s">
        <v>27259</v>
      </c>
      <c r="G9559" s="3">
        <v>0.1</v>
      </c>
      <c r="H9559" s="3">
        <v>0.0</v>
      </c>
      <c r="I9559" s="3" t="s">
        <v>13</v>
      </c>
      <c r="J9559" s="3" t="s">
        <v>27260</v>
      </c>
      <c r="K9559" s="3" t="s">
        <v>1597</v>
      </c>
      <c r="L9559" s="3" t="str">
        <f>IFERROR(__xludf.DUMMYFUNCTION("GOOGLETRANSLATE(F9559,""id"",""en"")"),"Over all all really cool players, especially the goalkeeper Emi Martinez, all Efforts are the Solid team starting from the midfield defender to the striker even though there are some frustration because there are many opportunities for GOPE, it is importa"&amp;"nt that Argentina is a championship")</f>
        <v>Over all all really cool players, especially the goalkeeper Emi Martinez, all Efforts are the Solid team starting from the midfield defender to the striker even though there are some frustration because there are many opportunities for GOPE, it is important that Argentina is a championship</v>
      </c>
    </row>
    <row r="9560" ht="15.75" customHeight="1">
      <c r="A9560" s="1">
        <v>10791.0</v>
      </c>
      <c r="B9560" s="3" t="s">
        <v>27261</v>
      </c>
      <c r="C9560" s="3">
        <v>0.0</v>
      </c>
      <c r="D9560" s="3">
        <v>0.0</v>
      </c>
      <c r="E9560" s="3">
        <v>0.0</v>
      </c>
      <c r="F9560" s="3" t="s">
        <v>27262</v>
      </c>
      <c r="G9560" s="3">
        <v>1.0</v>
      </c>
      <c r="H9560" s="3">
        <v>0.0</v>
      </c>
      <c r="I9560" s="3" t="s">
        <v>13</v>
      </c>
      <c r="J9560" s="3" t="s">
        <v>27263</v>
      </c>
      <c r="K9560" s="3" t="s">
        <v>903</v>
      </c>
      <c r="L9560" s="3" t="str">
        <f>IFERROR(__xludf.DUMMYFUNCTION("GOOGLETRANSLATE(F9560,""id"",""en"")"),"Winning the Penalti Fighting of Messi World Cup Champion Kali Kali Dubbed into the Best Match The French World Cup Final event presents football that spoil the eyes")</f>
        <v>Winning the Penalti Fighting of Messi World Cup Champion Kali Kali Dubbed into the Best Match The French World Cup Final event presents football that spoil the eyes</v>
      </c>
    </row>
    <row r="9561" ht="15.75" customHeight="1">
      <c r="A9561" s="1">
        <v>10792.0</v>
      </c>
      <c r="B9561" s="3" t="s">
        <v>27264</v>
      </c>
      <c r="C9561" s="3">
        <v>0.0</v>
      </c>
      <c r="D9561" s="3">
        <v>0.0</v>
      </c>
      <c r="E9561" s="3">
        <v>3.0</v>
      </c>
      <c r="F9561" s="3" t="s">
        <v>27265</v>
      </c>
      <c r="G9561" s="3">
        <v>0.0</v>
      </c>
      <c r="H9561" s="3">
        <v>0.0</v>
      </c>
      <c r="I9561" s="3" t="s">
        <v>13</v>
      </c>
      <c r="J9561" s="3" t="s">
        <v>27266</v>
      </c>
      <c r="K9561" s="3" t="s">
        <v>644</v>
      </c>
      <c r="L9561" s="3" t="str">
        <f>IFERROR(__xludf.DUMMYFUNCTION("GOOGLETRANSLATE(F9561,""id"",""en"")"),"Argentina Champion according to Prediction")</f>
        <v>Argentina Champion according to Prediction</v>
      </c>
    </row>
    <row r="9562" ht="15.75" customHeight="1">
      <c r="A9562" s="1">
        <v>10793.0</v>
      </c>
      <c r="B9562" s="3" t="s">
        <v>27267</v>
      </c>
      <c r="C9562" s="3">
        <v>0.0</v>
      </c>
      <c r="D9562" s="3">
        <v>0.0</v>
      </c>
      <c r="E9562" s="3">
        <v>0.0</v>
      </c>
      <c r="F9562" s="3" t="s">
        <v>27182</v>
      </c>
      <c r="G9562" s="3">
        <v>0.0</v>
      </c>
      <c r="H9562" s="3">
        <v>0.0</v>
      </c>
      <c r="I9562" s="3" t="s">
        <v>13</v>
      </c>
      <c r="J9562" s="3" t="s">
        <v>27183</v>
      </c>
      <c r="K9562" s="3" t="s">
        <v>50</v>
      </c>
      <c r="L9562" s="3" t="str">
        <f>IFERROR(__xludf.DUMMYFUNCTION("GOOGLETRANSLATE(F9562,""id"",""en"")"),"Bring Argentina World Cup Champion Lionel Messi Add a collection of iNews cars")</f>
        <v>Bring Argentina World Cup Champion Lionel Messi Add a collection of iNews cars</v>
      </c>
    </row>
    <row r="9563" ht="15.75" customHeight="1">
      <c r="A9563" s="1">
        <v>10794.0</v>
      </c>
      <c r="B9563" s="3" t="s">
        <v>27268</v>
      </c>
      <c r="C9563" s="3">
        <v>0.0</v>
      </c>
      <c r="D9563" s="3">
        <v>0.0</v>
      </c>
      <c r="E9563" s="3">
        <v>0.0</v>
      </c>
      <c r="F9563" s="3" t="s">
        <v>27269</v>
      </c>
      <c r="G9563" s="3">
        <v>0.0</v>
      </c>
      <c r="H9563" s="3">
        <v>0.0</v>
      </c>
      <c r="I9563" s="3" t="s">
        <v>13</v>
      </c>
      <c r="J9563" s="3" t="s">
        <v>27270</v>
      </c>
      <c r="K9563" s="3" t="s">
        <v>510</v>
      </c>
      <c r="L9563" s="3" t="str">
        <f>IFERROR(__xludf.DUMMYFUNCTION("GOOGLETRANSLATE(F9563,""id"",""en"")"),"Apes Drake must lose billions of money despite Argentina champions of the Netter World Cup, the curse")</f>
        <v>Apes Drake must lose billions of money despite Argentina champions of the Netter World Cup, the curse</v>
      </c>
    </row>
    <row r="9564" ht="15.75" customHeight="1">
      <c r="A9564" s="1">
        <v>10795.0</v>
      </c>
      <c r="B9564" s="3" t="s">
        <v>27271</v>
      </c>
      <c r="C9564" s="3">
        <v>0.0</v>
      </c>
      <c r="D9564" s="3">
        <v>0.0</v>
      </c>
      <c r="E9564" s="3">
        <v>0.0</v>
      </c>
      <c r="F9564" s="3" t="s">
        <v>27272</v>
      </c>
      <c r="G9564" s="3">
        <v>1.0</v>
      </c>
      <c r="H9564" s="3">
        <v>0.0</v>
      </c>
      <c r="I9564" s="3" t="s">
        <v>13</v>
      </c>
      <c r="J9564" s="3" t="s">
        <v>27273</v>
      </c>
      <c r="K9564" s="3" t="s">
        <v>426</v>
      </c>
      <c r="L9564" s="3" t="str">
        <f>IFERROR(__xludf.DUMMYFUNCTION("GOOGLETRANSLATE(F9564,""id"",""en"")"),"Qatar World Cup Champion The final hot match between Argentina and France after passing the penalty round won by Argentina with a penalty round score.")</f>
        <v>Qatar World Cup Champion The final hot match between Argentina and France after passing the penalty round won by Argentina with a penalty round score.</v>
      </c>
    </row>
    <row r="9565" ht="15.75" customHeight="1">
      <c r="A9565" s="1">
        <v>10796.0</v>
      </c>
      <c r="B9565" s="3" t="s">
        <v>27274</v>
      </c>
      <c r="C9565" s="3">
        <v>0.0</v>
      </c>
      <c r="D9565" s="3">
        <v>0.0</v>
      </c>
      <c r="E9565" s="3">
        <v>2.0</v>
      </c>
      <c r="F9565" s="3" t="s">
        <v>27275</v>
      </c>
      <c r="G9565" s="3">
        <v>0.0</v>
      </c>
      <c r="H9565" s="3">
        <v>0.0</v>
      </c>
      <c r="I9565" s="3" t="s">
        <v>13</v>
      </c>
      <c r="J9565" s="3" t="s">
        <v>27276</v>
      </c>
      <c r="K9565" s="3" t="s">
        <v>19</v>
      </c>
      <c r="L9565" s="3" t="str">
        <f>IFERROR(__xludf.DUMMYFUNCTION("GOOGLETRANSLATE(F9565,""id"",""en"")"),"goalkeeper Emiliano Martinez came from a simple family with Argentina to win the World Cup")</f>
        <v>goalkeeper Emiliano Martinez came from a simple family with Argentina to win the World Cup</v>
      </c>
    </row>
    <row r="9566" ht="15.75" customHeight="1">
      <c r="A9566" s="1">
        <v>10797.0</v>
      </c>
      <c r="B9566" s="3" t="s">
        <v>27277</v>
      </c>
      <c r="C9566" s="3">
        <v>0.0</v>
      </c>
      <c r="D9566" s="3">
        <v>0.0</v>
      </c>
      <c r="E9566" s="3">
        <v>0.0</v>
      </c>
      <c r="F9566" s="3" t="s">
        <v>26873</v>
      </c>
      <c r="G9566" s="3">
        <v>0.0</v>
      </c>
      <c r="H9566" s="3">
        <v>0.0</v>
      </c>
      <c r="I9566" s="3" t="s">
        <v>13</v>
      </c>
      <c r="J9566" s="3" t="s">
        <v>26874</v>
      </c>
      <c r="K9566" s="3" t="s">
        <v>510</v>
      </c>
      <c r="L9566" s="3" t="str">
        <f>IFERROR(__xludf.DUMMYFUNCTION("GOOGLETRANSLATE(F9566,""id"",""en"")"),"Argentina national team video champion World Cup Penggawa Tango Team Celebrates Kylian Mbappe's death")</f>
        <v>Argentina national team video champion World Cup Penggawa Tango Team Celebrates Kylian Mbappe's death</v>
      </c>
    </row>
    <row r="9567" ht="15.75" customHeight="1">
      <c r="A9567" s="1">
        <v>10798.0</v>
      </c>
      <c r="B9567" s="3" t="s">
        <v>27278</v>
      </c>
      <c r="C9567" s="3">
        <v>0.0</v>
      </c>
      <c r="D9567" s="3">
        <v>0.0</v>
      </c>
      <c r="E9567" s="3">
        <v>0.0</v>
      </c>
      <c r="F9567" s="3" t="s">
        <v>27279</v>
      </c>
      <c r="G9567" s="3">
        <v>0.0</v>
      </c>
      <c r="H9567" s="3">
        <v>0.0</v>
      </c>
      <c r="I9567" s="3" t="s">
        <v>13</v>
      </c>
      <c r="J9567" s="3" t="s">
        <v>27280</v>
      </c>
      <c r="K9567" s="3" t="s">
        <v>41</v>
      </c>
      <c r="L9567" s="3" t="str">
        <f>IFERROR(__xludf.DUMMYFUNCTION("GOOGLETRANSLATE(F9567,""id"",""en"")"),"Drake's explanation lost billions despite Argentina World Cup champions")</f>
        <v>Drake's explanation lost billions despite Argentina World Cup champions</v>
      </c>
    </row>
    <row r="9568" ht="15.75" customHeight="1">
      <c r="A9568" s="1">
        <v>10799.0</v>
      </c>
      <c r="B9568" s="3" t="s">
        <v>27281</v>
      </c>
      <c r="C9568" s="3">
        <v>0.0</v>
      </c>
      <c r="D9568" s="3">
        <v>0.0</v>
      </c>
      <c r="E9568" s="3">
        <v>3.0</v>
      </c>
      <c r="F9568" s="3" t="s">
        <v>27282</v>
      </c>
      <c r="G9568" s="3">
        <v>0.0</v>
      </c>
      <c r="H9568" s="3">
        <v>0.0</v>
      </c>
      <c r="I9568" s="3" t="s">
        <v>13</v>
      </c>
      <c r="J9568" s="3" t="s">
        <v>27283</v>
      </c>
      <c r="K9568" s="3" t="s">
        <v>244</v>
      </c>
      <c r="L9568" s="3" t="str">
        <f>IFERROR(__xludf.DUMMYFUNCTION("GOOGLETRANSLATE(F9568,""id"",""en"")"),"Today's food can be tapping, because of Argentina champions")</f>
        <v>Today's food can be tapping, because of Argentina champions</v>
      </c>
    </row>
    <row r="9569" ht="15.75" customHeight="1">
      <c r="A9569" s="1">
        <v>10800.0</v>
      </c>
      <c r="B9569" s="3" t="s">
        <v>27284</v>
      </c>
      <c r="C9569" s="3">
        <v>0.0</v>
      </c>
      <c r="D9569" s="3">
        <v>0.0</v>
      </c>
      <c r="E9569" s="3">
        <v>1.0</v>
      </c>
      <c r="F9569" s="3" t="s">
        <v>27285</v>
      </c>
      <c r="G9569" s="3">
        <v>0.0</v>
      </c>
      <c r="H9569" s="3">
        <v>0.0</v>
      </c>
      <c r="I9569" s="3" t="s">
        <v>13</v>
      </c>
      <c r="J9569" s="3" t="s">
        <v>27286</v>
      </c>
      <c r="K9569" s="3" t="s">
        <v>266</v>
      </c>
      <c r="L9569" s="3" t="str">
        <f>IFERROR(__xludf.DUMMYFUNCTION("GOOGLETRANSLATE(F9569,""id"",""en"")"),"Argentina Mcm Takde Bossku Ranap Argentina Without Messi Cannot Get World Cup France World Cup Mbappe Age Camavinga New and Upamecano Year France There is a Steady Young Coating to return to World Champion Edition coming")</f>
        <v>Argentina Mcm Takde Bossku Ranap Argentina Without Messi Cannot Get World Cup France World Cup Mbappe Age Camavinga New and Upamecano Year France There is a Steady Young Coating to return to World Champion Edition coming</v>
      </c>
    </row>
    <row r="9570" ht="15.75" customHeight="1">
      <c r="A9570" s="1">
        <v>10801.0</v>
      </c>
      <c r="B9570" s="3" t="s">
        <v>27287</v>
      </c>
      <c r="C9570" s="3">
        <v>0.0</v>
      </c>
      <c r="D9570" s="3">
        <v>0.0</v>
      </c>
      <c r="E9570" s="3">
        <v>0.0</v>
      </c>
      <c r="F9570" s="3" t="s">
        <v>27288</v>
      </c>
      <c r="G9570" s="3">
        <v>0.4</v>
      </c>
      <c r="H9570" s="3">
        <v>-0.3</v>
      </c>
      <c r="I9570" s="3" t="s">
        <v>179</v>
      </c>
      <c r="J9570" s="3" t="s">
        <v>27289</v>
      </c>
      <c r="K9570" s="3" t="s">
        <v>510</v>
      </c>
      <c r="L9570" s="3" t="str">
        <f>IFERROR(__xludf.DUMMYFUNCTION("GOOGLETRANSLATE(F9570,""id"",""en"")"),"Mario Kempes Diego Maradona Lionel Messi Least There are letters of their names that deliver Argentina in the world champion")</f>
        <v>Mario Kempes Diego Maradona Lionel Messi Least There are letters of their names that deliver Argentina in the world champion</v>
      </c>
    </row>
    <row r="9571" ht="15.75" customHeight="1">
      <c r="A9571" s="1">
        <v>10802.0</v>
      </c>
      <c r="B9571" s="3" t="s">
        <v>27290</v>
      </c>
      <c r="C9571" s="3">
        <v>0.0</v>
      </c>
      <c r="D9571" s="3">
        <v>2.0</v>
      </c>
      <c r="E9571" s="3">
        <v>6.0</v>
      </c>
      <c r="F9571" s="3" t="s">
        <v>27291</v>
      </c>
      <c r="G9571" s="3">
        <v>0.0</v>
      </c>
      <c r="H9571" s="3">
        <v>0.0</v>
      </c>
      <c r="I9571" s="3" t="s">
        <v>13</v>
      </c>
      <c r="J9571" s="3" t="s">
        <v>27292</v>
      </c>
      <c r="K9571" s="3" t="s">
        <v>31</v>
      </c>
      <c r="L9571" s="3" t="str">
        <f>IFERROR(__xludf.DUMMYFUNCTION("GOOGLETRANSLATE(F9571,""id"",""en"")"),"Argentina Infographic World Cup Champion")</f>
        <v>Argentina Infographic World Cup Champion</v>
      </c>
    </row>
    <row r="9572" ht="15.75" customHeight="1">
      <c r="A9572" s="1">
        <v>10803.0</v>
      </c>
      <c r="B9572" s="3" t="s">
        <v>27293</v>
      </c>
      <c r="C9572" s="3">
        <v>2.0</v>
      </c>
      <c r="D9572" s="3">
        <v>0.0</v>
      </c>
      <c r="E9572" s="3">
        <v>0.0</v>
      </c>
      <c r="F9572" s="3" t="s">
        <v>27294</v>
      </c>
      <c r="G9572" s="3">
        <v>0.0</v>
      </c>
      <c r="H9572" s="3">
        <v>0.0</v>
      </c>
      <c r="I9572" s="3" t="s">
        <v>13</v>
      </c>
      <c r="J9572" s="3" t="s">
        <v>27295</v>
      </c>
      <c r="K9572" s="3" t="s">
        <v>699</v>
      </c>
      <c r="L9572" s="3" t="str">
        <f>IFERROR(__xludf.DUMMYFUNCTION("GOOGLETRANSLATE(F9572,""id"",""en"")"),"idn asking min admin Barca quite often share about Argentina PSG admin champions, how come I diek Bae Min, why do you know why")</f>
        <v>idn asking min admin Barca quite often share about Argentina PSG admin champions, how come I diek Bae Min, why do you know why</v>
      </c>
    </row>
    <row r="9573" ht="15.75" customHeight="1">
      <c r="A9573" s="1">
        <v>10804.0</v>
      </c>
      <c r="B9573" s="3" t="s">
        <v>27296</v>
      </c>
      <c r="C9573" s="3">
        <v>0.0</v>
      </c>
      <c r="D9573" s="3">
        <v>1.0</v>
      </c>
      <c r="E9573" s="3">
        <v>1.0</v>
      </c>
      <c r="F9573" s="3" t="s">
        <v>27297</v>
      </c>
      <c r="G9573" s="3">
        <v>0.0</v>
      </c>
      <c r="H9573" s="3">
        <v>0.0</v>
      </c>
      <c r="I9573" s="3" t="s">
        <v>13</v>
      </c>
      <c r="J9573" s="3" t="s">
        <v>27298</v>
      </c>
      <c r="K9573" s="3" t="s">
        <v>75</v>
      </c>
      <c r="L9573" s="3" t="str">
        <f>IFERROR(__xludf.DUMMYFUNCTION("GOOGLETRANSLATE(F9573,""id"",""en"")"),"Argentina Capital Buenos Aires Citizens Celebrate the victory of the World Cup championship")</f>
        <v>Argentina Capital Buenos Aires Citizens Celebrate the victory of the World Cup championship</v>
      </c>
    </row>
    <row r="9574" ht="15.75" customHeight="1">
      <c r="A9574" s="1">
        <v>10805.0</v>
      </c>
      <c r="B9574" s="3" t="s">
        <v>27299</v>
      </c>
      <c r="C9574" s="3">
        <v>0.0</v>
      </c>
      <c r="D9574" s="3">
        <v>3.0</v>
      </c>
      <c r="E9574" s="3">
        <v>4.0</v>
      </c>
      <c r="F9574" s="3" t="s">
        <v>27300</v>
      </c>
      <c r="G9574" s="3">
        <v>0.0</v>
      </c>
      <c r="H9574" s="3">
        <v>0.0</v>
      </c>
      <c r="I9574" s="3" t="s">
        <v>13</v>
      </c>
      <c r="J9574" s="3" t="s">
        <v>27301</v>
      </c>
      <c r="K9574" s="3" t="s">
        <v>6674</v>
      </c>
      <c r="L9574" s="3" t="str">
        <f>IFERROR(__xludf.DUMMYFUNCTION("GOOGLETRANSLATE(F9574,""id"",""en"")"),"Only the era of Mr. Jokowi Argentina champions Pak Jokowi")</f>
        <v>Only the era of Mr. Jokowi Argentina champions Pak Jokowi</v>
      </c>
    </row>
    <row r="9575" ht="15.75" customHeight="1">
      <c r="A9575" s="1">
        <v>10806.0</v>
      </c>
      <c r="B9575" s="3" t="s">
        <v>27302</v>
      </c>
      <c r="C9575" s="3">
        <v>27.0</v>
      </c>
      <c r="D9575" s="3">
        <v>363.0</v>
      </c>
      <c r="E9575" s="3">
        <v>34.0</v>
      </c>
      <c r="F9575" s="3" t="s">
        <v>27303</v>
      </c>
      <c r="G9575" s="3">
        <v>0.375</v>
      </c>
      <c r="H9575" s="3">
        <v>-0.125</v>
      </c>
      <c r="I9575" s="3" t="s">
        <v>179</v>
      </c>
      <c r="J9575" s="3" t="s">
        <v>27304</v>
      </c>
      <c r="K9575" s="3" t="s">
        <v>358</v>
      </c>
      <c r="L9575" s="3" t="str">
        <f>IFERROR(__xludf.DUMMYFUNCTION("GOOGLETRANSLATE(F9575,""id"",""en"")"),"Due Argentina won Messi Retired World Champion Want to Giveaway the Wallet Balance Each person just retweeted everyone could participate")</f>
        <v>Due Argentina won Messi Retired World Champion Want to Giveaway the Wallet Balance Each person just retweeted everyone could participate</v>
      </c>
    </row>
    <row r="9576" ht="15.75" customHeight="1">
      <c r="A9576" s="1">
        <v>10807.0</v>
      </c>
      <c r="B9576" s="3" t="s">
        <v>27305</v>
      </c>
      <c r="C9576" s="3">
        <v>0.0</v>
      </c>
      <c r="D9576" s="3">
        <v>0.0</v>
      </c>
      <c r="E9576" s="3">
        <v>2.0</v>
      </c>
      <c r="F9576" s="3" t="s">
        <v>27306</v>
      </c>
      <c r="G9576" s="3">
        <v>0.0</v>
      </c>
      <c r="H9576" s="3">
        <v>0.0</v>
      </c>
      <c r="I9576" s="3" t="s">
        <v>13</v>
      </c>
      <c r="J9576" s="3" t="s">
        <v>27307</v>
      </c>
      <c r="K9576" s="3" t="s">
        <v>2117</v>
      </c>
      <c r="L9576" s="3" t="str">
        <f>IFERROR(__xludf.DUMMYFUNCTION("GOOGLETRANSLATE(F9576,""id"",""en"")"),"Argentina the champion")</f>
        <v>Argentina the champion</v>
      </c>
    </row>
    <row r="9577" ht="15.75" customHeight="1">
      <c r="A9577" s="1">
        <v>10808.0</v>
      </c>
      <c r="B9577" s="3" t="s">
        <v>27308</v>
      </c>
      <c r="C9577" s="3">
        <v>0.0</v>
      </c>
      <c r="D9577" s="3">
        <v>0.0</v>
      </c>
      <c r="E9577" s="3">
        <v>0.0</v>
      </c>
      <c r="F9577" s="3" t="s">
        <v>27309</v>
      </c>
      <c r="G9577" s="3">
        <v>0.0</v>
      </c>
      <c r="H9577" s="3">
        <v>0.0</v>
      </c>
      <c r="I9577" s="3" t="s">
        <v>13</v>
      </c>
      <c r="J9577" s="3" t="s">
        <v>27310</v>
      </c>
      <c r="K9577" s="3" t="s">
        <v>35</v>
      </c>
      <c r="L9577" s="3" t="str">
        <f>IFERROR(__xludf.DUMMYFUNCTION("GOOGLETRANSLATE(F9577,""id"",""en"")"),"Croatia Runner Liquid Argentina Liquid champion between the choice of the state passed the group or returning this first pattern wkwk")</f>
        <v>Croatia Runner Liquid Argentina Liquid champion between the choice of the state passed the group or returning this first pattern wkwk</v>
      </c>
    </row>
    <row r="9578" ht="15.75" customHeight="1">
      <c r="A9578" s="1">
        <v>10809.0</v>
      </c>
      <c r="B9578" s="3" t="s">
        <v>27311</v>
      </c>
      <c r="C9578" s="3">
        <v>0.0</v>
      </c>
      <c r="D9578" s="3">
        <v>0.0</v>
      </c>
      <c r="E9578" s="3">
        <v>0.0</v>
      </c>
      <c r="F9578" s="3" t="s">
        <v>27312</v>
      </c>
      <c r="G9578" s="3">
        <v>0.0</v>
      </c>
      <c r="H9578" s="3">
        <v>0.0</v>
      </c>
      <c r="I9578" s="3" t="s">
        <v>13</v>
      </c>
      <c r="J9578" s="3" t="s">
        <v>27313</v>
      </c>
      <c r="K9578" s="3" t="s">
        <v>82</v>
      </c>
      <c r="L9578" s="3" t="str">
        <f>IFERROR(__xludf.DUMMYFUNCTION("GOOGLETRANSLATE(F9578,""id"",""en"")"),"Argentina Champion Lose French Hot Dodo Lopers")</f>
        <v>Argentina Champion Lose French Hot Dodo Lopers</v>
      </c>
    </row>
    <row r="9579" ht="15.75" customHeight="1">
      <c r="A9579" s="1">
        <v>10810.0</v>
      </c>
      <c r="B9579" s="3" t="s">
        <v>27314</v>
      </c>
      <c r="C9579" s="3">
        <v>0.0</v>
      </c>
      <c r="D9579" s="3">
        <v>0.0</v>
      </c>
      <c r="E9579" s="3">
        <v>0.0</v>
      </c>
      <c r="F9579" s="3" t="s">
        <v>27315</v>
      </c>
      <c r="G9579" s="3">
        <v>0.0</v>
      </c>
      <c r="H9579" s="3">
        <v>0.0</v>
      </c>
      <c r="I9579" s="3" t="s">
        <v>13</v>
      </c>
      <c r="J9579" s="3" t="s">
        <v>27316</v>
      </c>
      <c r="K9579" s="3" t="s">
        <v>41</v>
      </c>
      <c r="L9579" s="3" t="str">
        <f>IFERROR(__xludf.DUMMYFUNCTION("GOOGLETRANSLATE(F9579,""id"",""en"")"),"Lahoz is also unfair in Argentina Bang in the form of waiting for the Tango Champion Team")</f>
        <v>Lahoz is also unfair in Argentina Bang in the form of waiting for the Tango Champion Team</v>
      </c>
    </row>
    <row r="9580" ht="15.75" customHeight="1">
      <c r="A9580" s="1">
        <v>10811.0</v>
      </c>
      <c r="B9580" s="3" t="s">
        <v>27317</v>
      </c>
      <c r="C9580" s="3">
        <v>0.0</v>
      </c>
      <c r="D9580" s="3">
        <v>0.0</v>
      </c>
      <c r="E9580" s="3">
        <v>2.0</v>
      </c>
      <c r="F9580" s="3" t="s">
        <v>27318</v>
      </c>
      <c r="G9580" s="3">
        <v>0.0</v>
      </c>
      <c r="H9580" s="3">
        <v>0.0</v>
      </c>
      <c r="I9580" s="3" t="s">
        <v>13</v>
      </c>
      <c r="J9580" s="3" t="s">
        <v>27319</v>
      </c>
      <c r="K9580" s="3" t="s">
        <v>90</v>
      </c>
      <c r="L9580" s="3" t="str">
        <f>IFERROR(__xludf.DUMMYFUNCTION("GOOGLETRANSLATE(F9580,""id"",""en"")"),"The unique view occurred during the celebration of the Argentine national team title before lifting the Lionel Messi trophy was put on a typical Arab Bisht robe by Emir Qatar")</f>
        <v>The unique view occurred during the celebration of the Argentine national team title before lifting the Lionel Messi trophy was put on a typical Arab Bisht robe by Emir Qatar</v>
      </c>
    </row>
    <row r="9581" ht="15.75" customHeight="1">
      <c r="A9581" s="1">
        <v>10812.0</v>
      </c>
      <c r="B9581" s="3" t="s">
        <v>27320</v>
      </c>
      <c r="C9581" s="3">
        <v>0.0</v>
      </c>
      <c r="D9581" s="3">
        <v>0.0</v>
      </c>
      <c r="E9581" s="3">
        <v>0.0</v>
      </c>
      <c r="F9581" s="3" t="s">
        <v>27321</v>
      </c>
      <c r="G9581" s="3">
        <v>0.0</v>
      </c>
      <c r="H9581" s="3">
        <v>0.0</v>
      </c>
      <c r="I9581" s="3" t="s">
        <v>13</v>
      </c>
      <c r="J9581" s="3" t="s">
        <v>27322</v>
      </c>
      <c r="K9581" s="3" t="s">
        <v>82</v>
      </c>
      <c r="L9581" s="3" t="str">
        <f>IFERROR(__xludf.DUMMYFUNCTION("GOOGLETRANSLATE(F9581,""id"",""en"")"),"Argentine World Cup Nobar Champion Most Champion")</f>
        <v>Argentine World Cup Nobar Champion Most Champion</v>
      </c>
    </row>
    <row r="9582" ht="15.75" customHeight="1">
      <c r="A9582" s="1">
        <v>10813.0</v>
      </c>
      <c r="B9582" s="3" t="s">
        <v>27323</v>
      </c>
      <c r="C9582" s="3">
        <v>1.0</v>
      </c>
      <c r="D9582" s="3">
        <v>0.0</v>
      </c>
      <c r="E9582" s="3">
        <v>5.0</v>
      </c>
      <c r="F9582" s="3" t="s">
        <v>27324</v>
      </c>
      <c r="G9582" s="3">
        <v>0.0</v>
      </c>
      <c r="H9582" s="3">
        <v>0.0</v>
      </c>
      <c r="I9582" s="3" t="s">
        <v>13</v>
      </c>
      <c r="J9582" s="3" t="s">
        <v>27325</v>
      </c>
      <c r="K9582" s="3" t="s">
        <v>23</v>
      </c>
      <c r="L9582" s="3" t="str">
        <f>IFERROR(__xludf.DUMMYFUNCTION("GOOGLETRANSLATE(F9582,""id"",""en"")"),"Rich there is a conspiracy if the euphorian champion France will be different, it seems ordinary it will be fun if Argentina is champion but I don't know how the FIFA organization.")</f>
        <v>Rich there is a conspiracy if the euphorian champion France will be different, it seems ordinary it will be fun if Argentina is champion but I don't know how the FIFA organization.</v>
      </c>
    </row>
    <row r="9583" ht="15.75" customHeight="1">
      <c r="A9583" s="1">
        <v>10814.0</v>
      </c>
      <c r="B9583" s="3" t="s">
        <v>27326</v>
      </c>
      <c r="C9583" s="3">
        <v>1.0</v>
      </c>
      <c r="D9583" s="3">
        <v>2.0</v>
      </c>
      <c r="E9583" s="3">
        <v>4.0</v>
      </c>
      <c r="F9583" s="3" t="s">
        <v>27327</v>
      </c>
      <c r="G9583" s="3">
        <v>0.0</v>
      </c>
      <c r="H9583" s="3">
        <v>0.0</v>
      </c>
      <c r="I9583" s="3" t="s">
        <v>13</v>
      </c>
      <c r="J9583" s="3" t="s">
        <v>27328</v>
      </c>
      <c r="K9583" s="3" t="s">
        <v>41</v>
      </c>
      <c r="L9583" s="3" t="str">
        <f>IFERROR(__xludf.DUMMYFUNCTION("GOOGLETRANSLATE(F9583,""id"",""en"")"),"Complete List of Argentina World Cup Champion Not the Most Win")</f>
        <v>Complete List of Argentina World Cup Champion Not the Most Win</v>
      </c>
    </row>
    <row r="9584" ht="15.75" customHeight="1">
      <c r="A9584" s="1">
        <v>10815.0</v>
      </c>
      <c r="B9584" s="3" t="s">
        <v>27329</v>
      </c>
      <c r="C9584" s="3">
        <v>0.0</v>
      </c>
      <c r="D9584" s="3">
        <v>0.0</v>
      </c>
      <c r="E9584" s="3">
        <v>0.0</v>
      </c>
      <c r="F9584" s="3" t="s">
        <v>27330</v>
      </c>
      <c r="G9584" s="3">
        <v>0.0</v>
      </c>
      <c r="H9584" s="3">
        <v>0.0</v>
      </c>
      <c r="I9584" s="3" t="s">
        <v>13</v>
      </c>
      <c r="J9584" s="3" t="s">
        <v>27331</v>
      </c>
      <c r="K9584" s="3" t="s">
        <v>75</v>
      </c>
      <c r="L9584" s="3" t="str">
        <f>IFERROR(__xludf.DUMMYFUNCTION("GOOGLETRANSLATE(F9584,""id"",""en"")"),"It is undeniable that there is his intervention he can champion in our dear father")</f>
        <v>It is undeniable that there is his intervention he can champion in our dear father</v>
      </c>
    </row>
    <row r="9585" ht="15.75" customHeight="1">
      <c r="A9585" s="1">
        <v>10816.0</v>
      </c>
      <c r="B9585" s="3" t="s">
        <v>27332</v>
      </c>
      <c r="C9585" s="3">
        <v>0.0</v>
      </c>
      <c r="D9585" s="3">
        <v>0.0</v>
      </c>
      <c r="E9585" s="3">
        <v>0.0</v>
      </c>
      <c r="F9585" s="3" t="s">
        <v>27333</v>
      </c>
      <c r="G9585" s="3">
        <v>0.0</v>
      </c>
      <c r="H9585" s="3">
        <v>0.0</v>
      </c>
      <c r="I9585" s="3" t="s">
        <v>13</v>
      </c>
      <c r="J9585" s="3" t="s">
        <v>27334</v>
      </c>
      <c r="K9585" s="3" t="s">
        <v>3612</v>
      </c>
      <c r="L9585" s="3" t="str">
        <f>IFERROR(__xludf.DUMMYFUNCTION("GOOGLETRANSLATE(F9585,""id"",""en"")"),"the most long gap for the country for champions again in the Uruguy World Cup Italian year of Argentina, Germany year, Brazilian year France")</f>
        <v>the most long gap for the country for champions again in the Uruguy World Cup Italian year of Argentina, Germany year, Brazilian year France</v>
      </c>
    </row>
    <row r="9586" ht="15.75" customHeight="1">
      <c r="A9586" s="1">
        <v>10817.0</v>
      </c>
      <c r="B9586" s="3" t="s">
        <v>27335</v>
      </c>
      <c r="C9586" s="3">
        <v>0.0</v>
      </c>
      <c r="D9586" s="3">
        <v>0.0</v>
      </c>
      <c r="E9586" s="3">
        <v>0.0</v>
      </c>
      <c r="F9586" s="3" t="s">
        <v>27336</v>
      </c>
      <c r="G9586" s="3">
        <v>0.0</v>
      </c>
      <c r="H9586" s="3">
        <v>0.0</v>
      </c>
      <c r="I9586" s="3" t="s">
        <v>13</v>
      </c>
      <c r="J9586" s="3" t="s">
        <v>27337</v>
      </c>
      <c r="K9586" s="3" t="s">
        <v>899</v>
      </c>
      <c r="L9586" s="3" t="str">
        <f>IFERROR(__xludf.DUMMYFUNCTION("GOOGLETRANSLATE(F9586,""id"",""en"")"),"Dri who had been teased defeated by Saudi but his sweet ending came out as the Argentine world champion the settings were designed for Messi to surprise the narration arose when Portugal died when Portugal and Ronaldo champions were as long as it was shal"&amp;"low base")</f>
        <v>Dri who had been teased defeated by Saudi but his sweet ending came out as the Argentine world champion the settings were designed for Messi to surprise the narration arose when Portugal died when Portugal and Ronaldo champions were as long as it was shallow base</v>
      </c>
    </row>
    <row r="9587" ht="15.75" customHeight="1">
      <c r="A9587" s="1">
        <v>10818.0</v>
      </c>
      <c r="B9587" s="3" t="s">
        <v>27338</v>
      </c>
      <c r="C9587" s="3">
        <v>0.0</v>
      </c>
      <c r="D9587" s="3">
        <v>0.0</v>
      </c>
      <c r="E9587" s="3">
        <v>2.0</v>
      </c>
      <c r="F9587" s="3" t="s">
        <v>27339</v>
      </c>
      <c r="G9587" s="3">
        <v>0.5</v>
      </c>
      <c r="H9587" s="3">
        <v>0.4</v>
      </c>
      <c r="I9587" s="3" t="s">
        <v>48</v>
      </c>
      <c r="J9587" s="3" t="s">
        <v>27340</v>
      </c>
      <c r="K9587" s="3" t="s">
        <v>374</v>
      </c>
      <c r="L9587" s="3" t="str">
        <f>IFERROR(__xludf.DUMMYFUNCTION("GOOGLETRANSLATE(F9587,""id"",""en"")"),"Monday who enjoyed after Persib won then Argentina champions actually not supporters of Argentina felt called because the era of Messi and Ronaldo soon ended and the end of this era one of them won the World Cup let us welcome the new era of football")</f>
        <v>Monday who enjoyed after Persib won then Argentina champions actually not supporters of Argentina felt called because the era of Messi and Ronaldo soon ended and the end of this era one of them won the World Cup let us welcome the new era of football</v>
      </c>
    </row>
    <row r="9588" ht="15.75" customHeight="1">
      <c r="A9588" s="1">
        <v>10819.0</v>
      </c>
      <c r="B9588" s="3" t="s">
        <v>27341</v>
      </c>
      <c r="C9588" s="3">
        <v>0.0</v>
      </c>
      <c r="D9588" s="3">
        <v>0.0</v>
      </c>
      <c r="E9588" s="3">
        <v>0.0</v>
      </c>
      <c r="F9588" s="3" t="s">
        <v>27342</v>
      </c>
      <c r="G9588" s="3">
        <v>0.0</v>
      </c>
      <c r="H9588" s="3">
        <v>0.0</v>
      </c>
      <c r="I9588" s="3" t="s">
        <v>13</v>
      </c>
      <c r="J9588" s="3" t="s">
        <v>27343</v>
      </c>
      <c r="K9588" s="3" t="s">
        <v>15</v>
      </c>
      <c r="L9588" s="3" t="str">
        <f>IFERROR(__xludf.DUMMYFUNCTION("GOOGLETRANSLATE(F9588,""id"",""en"")"),"Saudi Arabia's champions should be able to defeat Argentina")</f>
        <v>Saudi Arabia's champions should be able to defeat Argentina</v>
      </c>
    </row>
    <row r="9589" ht="15.75" customHeight="1">
      <c r="A9589" s="1">
        <v>10820.0</v>
      </c>
      <c r="B9589" s="3" t="s">
        <v>27344</v>
      </c>
      <c r="C9589" s="3">
        <v>0.0</v>
      </c>
      <c r="D9589" s="3">
        <v>0.0</v>
      </c>
      <c r="E9589" s="3">
        <v>2.0</v>
      </c>
      <c r="F9589" s="3" t="s">
        <v>27345</v>
      </c>
      <c r="G9589" s="3">
        <v>0.0</v>
      </c>
      <c r="H9589" s="3">
        <v>0.0</v>
      </c>
      <c r="I9589" s="3" t="s">
        <v>13</v>
      </c>
      <c r="J9589" s="3" t="s">
        <v>27346</v>
      </c>
      <c r="K9589" s="3" t="s">
        <v>15</v>
      </c>
      <c r="L9589" s="3" t="str">
        <f>IFERROR(__xludf.DUMMYFUNCTION("GOOGLETRANSLATE(F9589,""id"",""en"")"),"After the World Cup champion coach Argentina wants Messi to do this")</f>
        <v>After the World Cup champion coach Argentina wants Messi to do this</v>
      </c>
    </row>
    <row r="9590" ht="15.75" customHeight="1">
      <c r="A9590" s="1">
        <v>10821.0</v>
      </c>
      <c r="B9590" s="3" t="s">
        <v>27347</v>
      </c>
      <c r="C9590" s="3">
        <v>2.0</v>
      </c>
      <c r="D9590" s="3">
        <v>0.0</v>
      </c>
      <c r="E9590" s="3">
        <v>0.0</v>
      </c>
      <c r="F9590" s="3" t="s">
        <v>27348</v>
      </c>
      <c r="G9590" s="3">
        <v>0.0</v>
      </c>
      <c r="H9590" s="3">
        <v>0.0</v>
      </c>
      <c r="I9590" s="3" t="s">
        <v>13</v>
      </c>
      <c r="J9590" s="3" t="s">
        <v>27349</v>
      </c>
      <c r="K9590" s="3" t="s">
        <v>1335</v>
      </c>
      <c r="L9590" s="3" t="str">
        <f>IFERROR(__xludf.DUMMYFUNCTION("GOOGLETRANSLATE(F9590,""id"",""en"")"),"It has been arranged in such a way by Argentina so that Argentina is champion")</f>
        <v>It has been arranged in such a way by Argentina so that Argentina is champion</v>
      </c>
    </row>
    <row r="9591" ht="15.75" customHeight="1">
      <c r="A9591" s="1">
        <v>10822.0</v>
      </c>
      <c r="B9591" s="3" t="s">
        <v>27350</v>
      </c>
      <c r="C9591" s="3">
        <v>0.0</v>
      </c>
      <c r="D9591" s="3">
        <v>0.0</v>
      </c>
      <c r="E9591" s="3">
        <v>0.0</v>
      </c>
      <c r="F9591" s="3" t="s">
        <v>27351</v>
      </c>
      <c r="G9591" s="3">
        <v>0.0</v>
      </c>
      <c r="H9591" s="3">
        <v>0.0</v>
      </c>
      <c r="I9591" s="3" t="s">
        <v>13</v>
      </c>
      <c r="J9591" s="3" t="s">
        <v>27352</v>
      </c>
      <c r="K9591" s="3" t="s">
        <v>765</v>
      </c>
      <c r="L9591" s="3" t="str">
        <f>IFERROR(__xludf.DUMMYFUNCTION("GOOGLETRANSLATE(F9591,""id"",""en"")"),"I was so bad for the way out of the people talking about Argentina to win but what was praised was still mbapp even though the champion was stealing the spotlight but don't be sad after this salary is getting higher boss")</f>
        <v>I was so bad for the way out of the people talking about Argentina to win but what was praised was still mbapp even though the champion was stealing the spotlight but don't be sad after this salary is getting higher boss</v>
      </c>
    </row>
    <row r="9592" ht="15.75" customHeight="1">
      <c r="A9592" s="1">
        <v>10823.0</v>
      </c>
      <c r="B9592" s="3" t="s">
        <v>27353</v>
      </c>
      <c r="C9592" s="3">
        <v>0.0</v>
      </c>
      <c r="D9592" s="3">
        <v>0.0</v>
      </c>
      <c r="E9592" s="3">
        <v>0.0</v>
      </c>
      <c r="F9592" s="3" t="s">
        <v>27354</v>
      </c>
      <c r="G9592" s="3">
        <v>0.0</v>
      </c>
      <c r="H9592" s="3">
        <v>0.0</v>
      </c>
      <c r="I9592" s="3" t="s">
        <v>13</v>
      </c>
      <c r="J9592" s="3" t="s">
        <v>27355</v>
      </c>
      <c r="K9592" s="3" t="s">
        <v>1265</v>
      </c>
      <c r="L9592" s="3" t="str">
        <f>IFERROR(__xludf.DUMMYFUNCTION("GOOGLETRANSLATE(F9592,""id"",""en"")"),"Only the era of Pak Jokowi Argentina can win the Pilduun Terdi Pak Jokowi")</f>
        <v>Only the era of Pak Jokowi Argentina can win the Pilduun Terdi Pak Jokowi</v>
      </c>
    </row>
    <row r="9593" ht="15.75" customHeight="1">
      <c r="A9593" s="1">
        <v>10824.0</v>
      </c>
      <c r="B9593" s="3" t="s">
        <v>27356</v>
      </c>
      <c r="C9593" s="3">
        <v>0.0</v>
      </c>
      <c r="D9593" s="3">
        <v>0.0</v>
      </c>
      <c r="E9593" s="3">
        <v>0.0</v>
      </c>
      <c r="F9593" s="3" t="s">
        <v>27357</v>
      </c>
      <c r="G9593" s="3">
        <v>0.0</v>
      </c>
      <c r="H9593" s="3">
        <v>0.0</v>
      </c>
      <c r="I9593" s="3" t="s">
        <v>13</v>
      </c>
      <c r="J9593" s="3" t="s">
        <v>27358</v>
      </c>
      <c r="K9593" s="3" t="s">
        <v>2117</v>
      </c>
      <c r="L9593" s="3" t="str">
        <f>IFERROR(__xludf.DUMMYFUNCTION("GOOGLETRANSLATE(F9593,""id"",""en"")"),"Argentina Champion CoIIII")</f>
        <v>Argentina Champion CoIIII</v>
      </c>
    </row>
    <row r="9594" ht="15.75" customHeight="1">
      <c r="A9594" s="1">
        <v>10825.0</v>
      </c>
      <c r="B9594" s="3" t="s">
        <v>27359</v>
      </c>
      <c r="C9594" s="3">
        <v>0.0</v>
      </c>
      <c r="D9594" s="3">
        <v>0.0</v>
      </c>
      <c r="E9594" s="3">
        <v>0.0</v>
      </c>
      <c r="F9594" s="3" t="s">
        <v>26880</v>
      </c>
      <c r="G9594" s="3">
        <v>0.0</v>
      </c>
      <c r="H9594" s="3">
        <v>0.0</v>
      </c>
      <c r="I9594" s="3" t="s">
        <v>13</v>
      </c>
      <c r="J9594" s="3" t="s">
        <v>26881</v>
      </c>
      <c r="K9594" s="3" t="s">
        <v>510</v>
      </c>
      <c r="L9594" s="3" t="str">
        <f>IFERROR(__xludf.DUMMYFUNCTION("GOOGLETRANSLATE(F9594,""id"",""en"")"),"Argentina national team video champion Instagram World Cristiano Ronaldo Product Bully Fans")</f>
        <v>Argentina national team video champion Instagram World Cristiano Ronaldo Product Bully Fans</v>
      </c>
    </row>
    <row r="9595" ht="15.75" customHeight="1">
      <c r="A9595" s="1">
        <v>10826.0</v>
      </c>
      <c r="B9595" s="3" t="s">
        <v>27360</v>
      </c>
      <c r="C9595" s="3">
        <v>0.0</v>
      </c>
      <c r="D9595" s="3">
        <v>3.0</v>
      </c>
      <c r="E9595" s="3">
        <v>4.0</v>
      </c>
      <c r="F9595" s="3" t="s">
        <v>25944</v>
      </c>
      <c r="G9595" s="3">
        <v>0.0</v>
      </c>
      <c r="H9595" s="3">
        <v>0.0</v>
      </c>
      <c r="I9595" s="3" t="s">
        <v>13</v>
      </c>
      <c r="J9595" s="3" t="s">
        <v>25945</v>
      </c>
      <c r="K9595" s="3" t="s">
        <v>240</v>
      </c>
      <c r="L9595" s="3" t="str">
        <f>IFERROR(__xludf.DUMMYFUNCTION("GOOGLETRANSLATE(F9595,""id"",""en"")"),"Argentina won two titles in two years after the Copa America at the current Lionel Scaloni squad also successfully won the World Cup")</f>
        <v>Argentina won two titles in two years after the Copa America at the current Lionel Scaloni squad also successfully won the World Cup</v>
      </c>
    </row>
    <row r="9596" ht="15.75" customHeight="1">
      <c r="A9596" s="1">
        <v>10827.0</v>
      </c>
      <c r="B9596" s="3" t="s">
        <v>27361</v>
      </c>
      <c r="C9596" s="3">
        <v>0.0</v>
      </c>
      <c r="D9596" s="3">
        <v>0.0</v>
      </c>
      <c r="E9596" s="3">
        <v>0.0</v>
      </c>
      <c r="F9596" s="3" t="s">
        <v>27362</v>
      </c>
      <c r="G9596" s="3">
        <v>0.0</v>
      </c>
      <c r="H9596" s="3">
        <v>0.0</v>
      </c>
      <c r="I9596" s="3" t="s">
        <v>13</v>
      </c>
      <c r="J9596" s="3" t="s">
        <v>27363</v>
      </c>
      <c r="K9596" s="3" t="s">
        <v>19</v>
      </c>
      <c r="L9596" s="3" t="str">
        <f>IFERROR(__xludf.DUMMYFUNCTION("GOOGLETRANSLATE(F9596,""id"",""en"")"),"Complete List of World Cup Champion which country is more than the Argentine national team via")</f>
        <v>Complete List of World Cup Champion which country is more than the Argentine national team via</v>
      </c>
    </row>
    <row r="9597" ht="15.75" customHeight="1">
      <c r="A9597" s="1">
        <v>10828.0</v>
      </c>
      <c r="B9597" s="3" t="s">
        <v>27364</v>
      </c>
      <c r="C9597" s="3">
        <v>0.0</v>
      </c>
      <c r="D9597" s="3">
        <v>0.0</v>
      </c>
      <c r="E9597" s="3">
        <v>1.0</v>
      </c>
      <c r="F9597" s="3" t="s">
        <v>27365</v>
      </c>
      <c r="G9597" s="3">
        <v>0.0</v>
      </c>
      <c r="H9597" s="3">
        <v>0.0</v>
      </c>
      <c r="I9597" s="3" t="s">
        <v>13</v>
      </c>
      <c r="J9597" s="3" t="s">
        <v>27366</v>
      </c>
      <c r="K9597" s="3" t="s">
        <v>433</v>
      </c>
      <c r="L9597" s="3" t="str">
        <f>IFERROR(__xludf.DUMMYFUNCTION("GOOGLETRANSLATE(F9597,""id"",""en"")"),"magical words Peter Drury who led Argentina to the World Cup champion Messi shook hands with heaven via")</f>
        <v>magical words Peter Drury who led Argentina to the World Cup champion Messi shook hands with heaven via</v>
      </c>
    </row>
    <row r="9598" ht="15.75" customHeight="1">
      <c r="A9598" s="1">
        <v>10829.0</v>
      </c>
      <c r="B9598" s="3" t="s">
        <v>27367</v>
      </c>
      <c r="C9598" s="3">
        <v>0.0</v>
      </c>
      <c r="D9598" s="3">
        <v>0.0</v>
      </c>
      <c r="E9598" s="3">
        <v>0.0</v>
      </c>
      <c r="F9598" s="3" t="s">
        <v>27368</v>
      </c>
      <c r="G9598" s="3">
        <v>0.0</v>
      </c>
      <c r="H9598" s="3">
        <v>0.0</v>
      </c>
      <c r="I9598" s="3" t="s">
        <v>13</v>
      </c>
      <c r="J9598" s="3" t="s">
        <v>27369</v>
      </c>
      <c r="K9598" s="3" t="s">
        <v>54</v>
      </c>
      <c r="L9598" s="3" t="str">
        <f>IFERROR(__xludf.DUMMYFUNCTION("GOOGLETRANSLATE(F9598,""id"",""en"")"),"still shocked to see Argentina to the TOD championship")</f>
        <v>still shocked to see Argentina to the TOD championship</v>
      </c>
    </row>
    <row r="9599" ht="15.75" customHeight="1">
      <c r="A9599" s="1">
        <v>10830.0</v>
      </c>
      <c r="B9599" s="3" t="s">
        <v>27370</v>
      </c>
      <c r="C9599" s="3">
        <v>0.0</v>
      </c>
      <c r="D9599" s="3">
        <v>0.0</v>
      </c>
      <c r="E9599" s="3">
        <v>2.0</v>
      </c>
      <c r="F9599" s="3" t="s">
        <v>27371</v>
      </c>
      <c r="G9599" s="3">
        <v>0.0</v>
      </c>
      <c r="H9599" s="3">
        <v>0.0</v>
      </c>
      <c r="I9599" s="3" t="s">
        <v>13</v>
      </c>
      <c r="J9599" s="3" t="s">
        <v>27372</v>
      </c>
      <c r="K9599" s="3" t="s">
        <v>50</v>
      </c>
      <c r="L9599" s="3" t="str">
        <f>IFERROR(__xludf.DUMMYFUNCTION("GOOGLETRANSLATE(F9599,""id"",""en"")"),"Redsindo Georgina from Argentina I think he is happy not his homeland world champion")</f>
        <v>Redsindo Georgina from Argentina I think he is happy not his homeland world champion</v>
      </c>
    </row>
    <row r="9600" ht="15.75" customHeight="1">
      <c r="A9600" s="1">
        <v>10831.0</v>
      </c>
      <c r="B9600" s="3" t="s">
        <v>27373</v>
      </c>
      <c r="C9600" s="3">
        <v>0.0</v>
      </c>
      <c r="D9600" s="3">
        <v>0.0</v>
      </c>
      <c r="E9600" s="3">
        <v>0.0</v>
      </c>
      <c r="F9600" s="3" t="s">
        <v>27374</v>
      </c>
      <c r="G9600" s="3">
        <v>0.0</v>
      </c>
      <c r="H9600" s="3">
        <v>0.0</v>
      </c>
      <c r="I9600" s="3" t="s">
        <v>13</v>
      </c>
      <c r="J9600" s="3" t="s">
        <v>27375</v>
      </c>
      <c r="K9600" s="3" t="s">
        <v>19</v>
      </c>
      <c r="L9600" s="3" t="str">
        <f>IFERROR(__xludf.DUMMYFUNCTION("GOOGLETRANSLATE(F9600,""id"",""en"")"),"Being a World Cup champion is Argentina's fairy tale losing to Arabic makes Messi say this magic spell")</f>
        <v>Being a World Cup champion is Argentina's fairy tale losing to Arabic makes Messi say this magic spell</v>
      </c>
    </row>
    <row r="9601" ht="15.75" customHeight="1">
      <c r="A9601" s="1">
        <v>10832.0</v>
      </c>
      <c r="B9601" s="3" t="s">
        <v>27376</v>
      </c>
      <c r="C9601" s="3">
        <v>0.0</v>
      </c>
      <c r="D9601" s="3">
        <v>1.0</v>
      </c>
      <c r="E9601" s="3">
        <v>0.0</v>
      </c>
      <c r="F9601" s="3" t="s">
        <v>27377</v>
      </c>
      <c r="G9601" s="3">
        <v>0.0</v>
      </c>
      <c r="H9601" s="3">
        <v>0.0</v>
      </c>
      <c r="I9601" s="3" t="s">
        <v>13</v>
      </c>
      <c r="J9601" s="3" t="s">
        <v>27378</v>
      </c>
      <c r="K9601" s="3" t="s">
        <v>657</v>
      </c>
      <c r="L9601" s="3" t="str">
        <f>IFERROR(__xludf.DUMMYFUNCTION("GOOGLETRANSLATE(F9601,""id"",""en"")"),"Argentine champion Mario Kempes Mexico Diego Maradona Qatar Lionel Messi Bismillahirrahmanirrahim hopefully there is a fortune for my family Aamiin")</f>
        <v>Argentine champion Mario Kempes Mexico Diego Maradona Qatar Lionel Messi Bismillahirrahmanirrahim hopefully there is a fortune for my family Aamiin</v>
      </c>
    </row>
    <row r="9602" ht="15.75" customHeight="1">
      <c r="A9602" s="1">
        <v>10833.0</v>
      </c>
      <c r="B9602" s="3" t="s">
        <v>27379</v>
      </c>
      <c r="C9602" s="3">
        <v>0.0</v>
      </c>
      <c r="D9602" s="3">
        <v>0.0</v>
      </c>
      <c r="E9602" s="3">
        <v>0.0</v>
      </c>
      <c r="F9602" s="3" t="s">
        <v>27380</v>
      </c>
      <c r="G9602" s="3">
        <v>0.0</v>
      </c>
      <c r="H9602" s="3">
        <v>0.0</v>
      </c>
      <c r="I9602" s="3" t="s">
        <v>13</v>
      </c>
      <c r="J9602" s="3" t="s">
        <v>27381</v>
      </c>
      <c r="K9602" s="3" t="s">
        <v>75</v>
      </c>
      <c r="L9602" s="3" t="str">
        <f>IFERROR(__xludf.DUMMYFUNCTION("GOOGLETRANSLATE(F9602,""id"",""en"")"),"Alexis Mac Allister revealed the secret of Argentina World Cup champions via")</f>
        <v>Alexis Mac Allister revealed the secret of Argentina World Cup champions via</v>
      </c>
    </row>
    <row r="9603" ht="15.75" customHeight="1">
      <c r="A9603" s="1">
        <v>10834.0</v>
      </c>
      <c r="B9603" s="3" t="s">
        <v>27382</v>
      </c>
      <c r="C9603" s="3">
        <v>0.0</v>
      </c>
      <c r="D9603" s="3">
        <v>0.0</v>
      </c>
      <c r="E9603" s="3">
        <v>0.0</v>
      </c>
      <c r="F9603" s="3" t="s">
        <v>27383</v>
      </c>
      <c r="G9603" s="3">
        <v>0.65</v>
      </c>
      <c r="H9603" s="3">
        <v>0.1</v>
      </c>
      <c r="I9603" s="3" t="s">
        <v>48</v>
      </c>
      <c r="J9603" s="3" t="s">
        <v>27384</v>
      </c>
      <c r="K9603" s="3" t="s">
        <v>657</v>
      </c>
      <c r="L9603" s="3" t="str">
        <f>IFERROR(__xludf.DUMMYFUNCTION("GOOGLETRANSLATE(F9603,""id"",""en"")"),"report card of the Argentine player of the World Cup Final Lionel Messi The Real Goat is indeed worth the VIA championship")</f>
        <v>report card of the Argentine player of the World Cup Final Lionel Messi The Real Goat is indeed worth the VIA championship</v>
      </c>
    </row>
    <row r="9604" ht="15.75" customHeight="1">
      <c r="A9604" s="1">
        <v>10835.0</v>
      </c>
      <c r="B9604" s="3" t="s">
        <v>27385</v>
      </c>
      <c r="C9604" s="3">
        <v>0.0</v>
      </c>
      <c r="D9604" s="3">
        <v>0.0</v>
      </c>
      <c r="E9604" s="3">
        <v>0.0</v>
      </c>
      <c r="F9604" s="3" t="s">
        <v>27386</v>
      </c>
      <c r="G9604" s="3">
        <v>0.0</v>
      </c>
      <c r="H9604" s="3">
        <v>0.0</v>
      </c>
      <c r="I9604" s="3" t="s">
        <v>13</v>
      </c>
      <c r="J9604" s="3" t="s">
        <v>27387</v>
      </c>
      <c r="K9604" s="3" t="s">
        <v>715</v>
      </c>
      <c r="L9604" s="3" t="str">
        <f>IFERROR(__xludf.DUMMYFUNCTION("GOOGLETRANSLATE(F9604,""id"",""en"")"),"actually champions in the Saudi Arabian Football World Cup because Saudi Arabia, the one, the team can beat the Argentine Team")</f>
        <v>actually champions in the Saudi Arabian Football World Cup because Saudi Arabia, the one, the team can beat the Argentine Team</v>
      </c>
    </row>
    <row r="9605" ht="15.75" customHeight="1">
      <c r="A9605" s="1">
        <v>10836.0</v>
      </c>
      <c r="B9605" s="3" t="s">
        <v>27388</v>
      </c>
      <c r="C9605" s="3">
        <v>0.0</v>
      </c>
      <c r="D9605" s="3">
        <v>0.0</v>
      </c>
      <c r="E9605" s="3">
        <v>0.0</v>
      </c>
      <c r="F9605" s="3" t="s">
        <v>27389</v>
      </c>
      <c r="G9605" s="3">
        <v>0.0</v>
      </c>
      <c r="H9605" s="3">
        <v>0.0</v>
      </c>
      <c r="I9605" s="3" t="s">
        <v>13</v>
      </c>
      <c r="J9605" s="3" t="s">
        <v>27390</v>
      </c>
      <c r="K9605" s="3" t="s">
        <v>50</v>
      </c>
      <c r="L9605" s="3" t="str">
        <f>IFERROR(__xludf.DUMMYFUNCTION("GOOGLETRANSLATE(F9605,""id"",""en"")"),"Argentina's shocking facts champion World Cup Lionel Messi Dewa Soccer")</f>
        <v>Argentina's shocking facts champion World Cup Lionel Messi Dewa Soccer</v>
      </c>
    </row>
    <row r="9606" ht="15.75" customHeight="1">
      <c r="A9606" s="1">
        <v>10837.0</v>
      </c>
      <c r="B9606" s="3" t="s">
        <v>27391</v>
      </c>
      <c r="C9606" s="3">
        <v>0.0</v>
      </c>
      <c r="D9606" s="3">
        <v>0.0</v>
      </c>
      <c r="E9606" s="3">
        <v>0.0</v>
      </c>
      <c r="F9606" s="3" t="s">
        <v>27392</v>
      </c>
      <c r="G9606" s="3">
        <v>0.0</v>
      </c>
      <c r="H9606" s="3">
        <v>0.0</v>
      </c>
      <c r="I9606" s="3" t="s">
        <v>13</v>
      </c>
      <c r="J9606" s="3" t="s">
        <v>27393</v>
      </c>
      <c r="K9606" s="3" t="s">
        <v>71</v>
      </c>
      <c r="L9606" s="3" t="str">
        <f>IFERROR(__xludf.DUMMYFUNCTION("GOOGLETRANSLATE(F9606,""id"",""en"")"),"France lost but it's okay Argentina to be the champion of Messi, it's time to lift the World Cup trophy")</f>
        <v>France lost but it's okay Argentina to be the champion of Messi, it's time to lift the World Cup trophy</v>
      </c>
    </row>
    <row r="9607" ht="15.75" customHeight="1">
      <c r="A9607" s="1">
        <v>10838.0</v>
      </c>
      <c r="B9607" s="3" t="s">
        <v>27394</v>
      </c>
      <c r="C9607" s="3">
        <v>0.0</v>
      </c>
      <c r="D9607" s="3">
        <v>0.0</v>
      </c>
      <c r="E9607" s="3">
        <v>0.0</v>
      </c>
      <c r="F9607" s="3" t="s">
        <v>27395</v>
      </c>
      <c r="G9607" s="3">
        <v>0.0</v>
      </c>
      <c r="H9607" s="3">
        <v>0.0</v>
      </c>
      <c r="I9607" s="3" t="s">
        <v>13</v>
      </c>
      <c r="J9607" s="3" t="s">
        <v>27396</v>
      </c>
      <c r="K9607" s="3" t="s">
        <v>75</v>
      </c>
      <c r="L9607" s="3" t="str">
        <f>IFERROR(__xludf.DUMMYFUNCTION("GOOGLETRANSLATE(F9607,""id"",""en"")"),"Want to giveaway or whatever is the history of late records Messi Argentina World Champion")</f>
        <v>Want to giveaway or whatever is the history of late records Messi Argentina World Champion</v>
      </c>
    </row>
    <row r="9608" ht="15.75" customHeight="1">
      <c r="A9608" s="1">
        <v>10839.0</v>
      </c>
      <c r="B9608" s="3" t="s">
        <v>27397</v>
      </c>
      <c r="C9608" s="3">
        <v>0.0</v>
      </c>
      <c r="D9608" s="3">
        <v>0.0</v>
      </c>
      <c r="E9608" s="3">
        <v>0.0</v>
      </c>
      <c r="F9608" s="3" t="s">
        <v>27398</v>
      </c>
      <c r="G9608" s="3">
        <v>0.0</v>
      </c>
      <c r="H9608" s="3">
        <v>0.0</v>
      </c>
      <c r="I9608" s="3" t="s">
        <v>13</v>
      </c>
      <c r="J9608" s="3" t="s">
        <v>27399</v>
      </c>
      <c r="K9608" s="3" t="s">
        <v>657</v>
      </c>
      <c r="L9608" s="3" t="str">
        <f>IFERROR(__xludf.DUMMYFUNCTION("GOOGLETRANSLATE(F9608,""id"",""en"")"),"Like the story of the new Emiliano Martinez fairy tale debut the Argentine national team but has given three titles via")</f>
        <v>Like the story of the new Emiliano Martinez fairy tale debut the Argentine national team but has given three titles via</v>
      </c>
    </row>
    <row r="9609" ht="15.75" customHeight="1">
      <c r="A9609" s="1">
        <v>10840.0</v>
      </c>
      <c r="B9609" s="3" t="s">
        <v>27400</v>
      </c>
      <c r="C9609" s="3">
        <v>0.0</v>
      </c>
      <c r="D9609" s="3">
        <v>0.0</v>
      </c>
      <c r="E9609" s="3">
        <v>0.0</v>
      </c>
      <c r="F9609" s="3" t="s">
        <v>27401</v>
      </c>
      <c r="G9609" s="3">
        <v>0.0</v>
      </c>
      <c r="H9609" s="3">
        <v>0.0</v>
      </c>
      <c r="I9609" s="3" t="s">
        <v>13</v>
      </c>
      <c r="J9609" s="3" t="s">
        <v>27402</v>
      </c>
      <c r="K9609" s="3" t="s">
        <v>657</v>
      </c>
      <c r="L9609" s="3" t="str">
        <f>IFERROR(__xludf.DUMMYFUNCTION("GOOGLETRANSLATE(F9609,""id"",""en"")"),"See Messi Losing Difinal It Painful Year now this loyalty is paid off as Vamos Argentina champion")</f>
        <v>See Messi Losing Difinal It Painful Year now this loyalty is paid off as Vamos Argentina champion</v>
      </c>
    </row>
    <row r="9610" ht="15.75" customHeight="1">
      <c r="A9610" s="1">
        <v>10841.0</v>
      </c>
      <c r="B9610" s="3" t="s">
        <v>27403</v>
      </c>
      <c r="C9610" s="3">
        <v>0.0</v>
      </c>
      <c r="D9610" s="3">
        <v>0.0</v>
      </c>
      <c r="E9610" s="3">
        <v>0.0</v>
      </c>
      <c r="F9610" s="3" t="s">
        <v>27404</v>
      </c>
      <c r="G9610" s="3">
        <v>0.0</v>
      </c>
      <c r="H9610" s="3">
        <v>0.0</v>
      </c>
      <c r="I9610" s="3" t="s">
        <v>13</v>
      </c>
      <c r="J9610" s="3" t="s">
        <v>27405</v>
      </c>
      <c r="K9610" s="3" t="s">
        <v>50</v>
      </c>
      <c r="L9610" s="3" t="str">
        <f>IFERROR(__xludf.DUMMYFUNCTION("GOOGLETRANSLATE(F9610,""id"",""en"")"),"Argentina Champion World Cup Messi Becomes a Mbappe Star Alone Carrying France")</f>
        <v>Argentina Champion World Cup Messi Becomes a Mbappe Star Alone Carrying France</v>
      </c>
    </row>
    <row r="9611" ht="15.75" customHeight="1">
      <c r="A9611" s="1">
        <v>10842.0</v>
      </c>
      <c r="B9611" s="3" t="s">
        <v>27406</v>
      </c>
      <c r="C9611" s="3">
        <v>0.0</v>
      </c>
      <c r="D9611" s="3">
        <v>2.0</v>
      </c>
      <c r="E9611" s="3">
        <v>8.0</v>
      </c>
      <c r="F9611" s="3" t="s">
        <v>27407</v>
      </c>
      <c r="G9611" s="3">
        <v>0.0</v>
      </c>
      <c r="H9611" s="3">
        <v>0.0</v>
      </c>
      <c r="I9611" s="3" t="s">
        <v>13</v>
      </c>
      <c r="J9611" s="3" t="s">
        <v>27408</v>
      </c>
      <c r="K9611" s="3" t="s">
        <v>82</v>
      </c>
      <c r="L9611" s="3" t="str">
        <f>IFERROR(__xludf.DUMMYFUNCTION("GOOGLETRANSLATE(F9611,""id"",""en"")"),"Messi's moment with Argentina became world champion")</f>
        <v>Messi's moment with Argentina became world champion</v>
      </c>
    </row>
    <row r="9612" ht="15.75" customHeight="1">
      <c r="A9612" s="1">
        <v>10843.0</v>
      </c>
      <c r="B9612" s="3" t="s">
        <v>27409</v>
      </c>
      <c r="C9612" s="3">
        <v>0.0</v>
      </c>
      <c r="D9612" s="3">
        <v>0.0</v>
      </c>
      <c r="E9612" s="3">
        <v>4.0</v>
      </c>
      <c r="F9612" s="3" t="s">
        <v>27410</v>
      </c>
      <c r="G9612" s="3">
        <v>0.0</v>
      </c>
      <c r="H9612" s="3">
        <v>0.0</v>
      </c>
      <c r="I9612" s="3" t="s">
        <v>13</v>
      </c>
      <c r="J9612" s="3" t="s">
        <v>27411</v>
      </c>
      <c r="K9612" s="3" t="s">
        <v>15</v>
      </c>
      <c r="L9612" s="3" t="str">
        <f>IFERROR(__xludf.DUMMYFUNCTION("GOOGLETRANSLATE(F9612,""id"",""en"")"),"After this, the Argentine World Cup Concert Argens was invited by the championship")</f>
        <v>After this, the Argentine World Cup Concert Argens was invited by the championship</v>
      </c>
    </row>
    <row r="9613" ht="15.75" customHeight="1">
      <c r="A9613" s="1">
        <v>10844.0</v>
      </c>
      <c r="B9613" s="3" t="s">
        <v>27412</v>
      </c>
      <c r="C9613" s="3">
        <v>0.0</v>
      </c>
      <c r="D9613" s="3">
        <v>0.0</v>
      </c>
      <c r="E9613" s="3">
        <v>0.0</v>
      </c>
      <c r="F9613" s="3" t="s">
        <v>27413</v>
      </c>
      <c r="G9613" s="3">
        <v>0.0</v>
      </c>
      <c r="H9613" s="3">
        <v>0.0</v>
      </c>
      <c r="I9613" s="3" t="s">
        <v>13</v>
      </c>
      <c r="J9613" s="3" t="s">
        <v>27414</v>
      </c>
      <c r="K9613" s="3" t="s">
        <v>244</v>
      </c>
      <c r="L9613" s="3" t="str">
        <f>IFERROR(__xludf.DUMMYFUNCTION("GOOGLETRANSLATE(F9613,""id"",""en"")"),"waiting for Argentina champions again Qatar began to know the history of the world soccer team and Argentina")</f>
        <v>waiting for Argentina champions again Qatar began to know the history of the world soccer team and Argentina</v>
      </c>
    </row>
    <row r="9614" ht="15.75" customHeight="1">
      <c r="A9614" s="1">
        <v>10845.0</v>
      </c>
      <c r="B9614" s="3" t="s">
        <v>27415</v>
      </c>
      <c r="C9614" s="3">
        <v>0.0</v>
      </c>
      <c r="D9614" s="3">
        <v>0.0</v>
      </c>
      <c r="E9614" s="3">
        <v>0.0</v>
      </c>
      <c r="F9614" s="3" t="s">
        <v>27416</v>
      </c>
      <c r="G9614" s="3">
        <v>0.0</v>
      </c>
      <c r="H9614" s="3">
        <v>0.0</v>
      </c>
      <c r="I9614" s="3" t="s">
        <v>13</v>
      </c>
      <c r="J9614" s="3" t="s">
        <v>27417</v>
      </c>
      <c r="K9614" s="3" t="s">
        <v>31</v>
      </c>
      <c r="L9614" s="3" t="str">
        <f>IFERROR(__xludf.DUMMYFUNCTION("GOOGLETRANSLATE(F9614,""id"",""en"")"),"Argentina Great World Cup Champion")</f>
        <v>Argentina Great World Cup Champion</v>
      </c>
    </row>
    <row r="9615" ht="15.75" customHeight="1">
      <c r="A9615" s="1">
        <v>10846.0</v>
      </c>
      <c r="B9615" s="3" t="s">
        <v>27418</v>
      </c>
      <c r="C9615" s="3">
        <v>0.0</v>
      </c>
      <c r="D9615" s="3">
        <v>1.0</v>
      </c>
      <c r="E9615" s="3">
        <v>0.0</v>
      </c>
      <c r="F9615" s="3" t="s">
        <v>27419</v>
      </c>
      <c r="G9615" s="3">
        <v>0.0</v>
      </c>
      <c r="H9615" s="3">
        <v>0.0</v>
      </c>
      <c r="I9615" s="3" t="s">
        <v>13</v>
      </c>
      <c r="J9615" s="3" t="s">
        <v>27420</v>
      </c>
      <c r="K9615" s="3" t="s">
        <v>75</v>
      </c>
      <c r="L9615" s="3" t="str">
        <f>IFERROR(__xludf.DUMMYFUNCTION("GOOGLETRANSLATE(F9615,""id"",""en"")"),"Idolence of Messi Habib Jafar showing off the video of Argentina World Cup champions")</f>
        <v>Idolence of Messi Habib Jafar showing off the video of Argentina World Cup champions</v>
      </c>
    </row>
    <row r="9616" ht="15.75" customHeight="1">
      <c r="A9616" s="1">
        <v>10847.0</v>
      </c>
      <c r="B9616" s="3" t="s">
        <v>27421</v>
      </c>
      <c r="C9616" s="3">
        <v>0.0</v>
      </c>
      <c r="D9616" s="3">
        <v>0.0</v>
      </c>
      <c r="E9616" s="3">
        <v>0.0</v>
      </c>
      <c r="F9616" s="3" t="s">
        <v>26880</v>
      </c>
      <c r="G9616" s="3">
        <v>0.0</v>
      </c>
      <c r="H9616" s="3">
        <v>0.0</v>
      </c>
      <c r="I9616" s="3" t="s">
        <v>13</v>
      </c>
      <c r="J9616" s="3" t="s">
        <v>26881</v>
      </c>
      <c r="K9616" s="3" t="s">
        <v>510</v>
      </c>
      <c r="L9616" s="3" t="str">
        <f>IFERROR(__xludf.DUMMYFUNCTION("GOOGLETRANSLATE(F9616,""id"",""en"")"),"Argentina national team video champion Instagram World Cristiano Ronaldo Product Bully Fans")</f>
        <v>Argentina national team video champion Instagram World Cristiano Ronaldo Product Bully Fans</v>
      </c>
    </row>
    <row r="9617" ht="15.75" customHeight="1">
      <c r="A9617" s="1">
        <v>10848.0</v>
      </c>
      <c r="B9617" s="3" t="s">
        <v>27422</v>
      </c>
      <c r="C9617" s="3">
        <v>1.0</v>
      </c>
      <c r="D9617" s="3">
        <v>0.0</v>
      </c>
      <c r="E9617" s="3">
        <v>0.0</v>
      </c>
      <c r="F9617" s="3" t="s">
        <v>27423</v>
      </c>
      <c r="G9617" s="3">
        <v>0.0</v>
      </c>
      <c r="H9617" s="3">
        <v>0.0</v>
      </c>
      <c r="I9617" s="3" t="s">
        <v>13</v>
      </c>
      <c r="J9617" s="3" t="s">
        <v>27424</v>
      </c>
      <c r="K9617" s="3" t="s">
        <v>240</v>
      </c>
      <c r="L9617" s="3" t="str">
        <f>IFERROR(__xludf.DUMMYFUNCTION("GOOGLETRANSLATE(F9617,""id"",""en"")"),"nuha creameee wkwkw has been logged in as long as I guess my Argentine goal")</f>
        <v>nuha creameee wkwkw has been logged in as long as I guess my Argentine goal</v>
      </c>
    </row>
    <row r="9618" ht="15.75" customHeight="1">
      <c r="A9618" s="1">
        <v>10849.0</v>
      </c>
      <c r="B9618" s="3" t="s">
        <v>27425</v>
      </c>
      <c r="C9618" s="3">
        <v>0.0</v>
      </c>
      <c r="D9618" s="3">
        <v>0.0</v>
      </c>
      <c r="E9618" s="3">
        <v>1.0</v>
      </c>
      <c r="F9618" s="3" t="s">
        <v>27426</v>
      </c>
      <c r="G9618" s="3">
        <v>0.0</v>
      </c>
      <c r="H9618" s="3">
        <v>0.0</v>
      </c>
      <c r="I9618" s="3" t="s">
        <v>13</v>
      </c>
      <c r="J9618" s="3" t="s">
        <v>27427</v>
      </c>
      <c r="K9618" s="3" t="s">
        <v>15</v>
      </c>
      <c r="L9618" s="3" t="str">
        <f>IFERROR(__xludf.DUMMYFUNCTION("GOOGLETRANSLATE(F9618,""id"",""en"")"),"The final result of the Argentina World Cup won the title")</f>
        <v>The final result of the Argentina World Cup won the title</v>
      </c>
    </row>
    <row r="9619" ht="15.75" customHeight="1">
      <c r="A9619" s="1">
        <v>10850.0</v>
      </c>
      <c r="B9619" s="3" t="s">
        <v>27428</v>
      </c>
      <c r="C9619" s="3">
        <v>0.0</v>
      </c>
      <c r="D9619" s="3">
        <v>1.0</v>
      </c>
      <c r="E9619" s="3">
        <v>4.0</v>
      </c>
      <c r="F9619" s="3" t="s">
        <v>27429</v>
      </c>
      <c r="G9619" s="3">
        <v>1.0</v>
      </c>
      <c r="H9619" s="3">
        <v>0.0</v>
      </c>
      <c r="I9619" s="3" t="s">
        <v>13</v>
      </c>
      <c r="J9619" s="3" t="s">
        <v>27430</v>
      </c>
      <c r="K9619" s="3" t="s">
        <v>205</v>
      </c>
      <c r="L9619" s="3" t="str">
        <f>IFERROR(__xludf.DUMMYFUNCTION("GOOGLETRANSLATE(F9619,""id"",""en"")"),"France failed to win the World Cup after defeating from Argentina Qatar, the President of France, hugged and entertained Mbappe who was sad after the final match along with his portrait")</f>
        <v>France failed to win the World Cup after defeating from Argentina Qatar, the President of France, hugged and entertained Mbappe who was sad after the final match along with his portrait</v>
      </c>
    </row>
    <row r="9620" ht="15.75" customHeight="1">
      <c r="A9620" s="1">
        <v>10851.0</v>
      </c>
      <c r="B9620" s="3" t="s">
        <v>27431</v>
      </c>
      <c r="C9620" s="3">
        <v>0.0</v>
      </c>
      <c r="D9620" s="3">
        <v>0.0</v>
      </c>
      <c r="E9620" s="3">
        <v>0.0</v>
      </c>
      <c r="F9620" s="3" t="s">
        <v>27432</v>
      </c>
      <c r="G9620" s="3">
        <v>0.2</v>
      </c>
      <c r="H9620" s="3">
        <v>0.3</v>
      </c>
      <c r="I9620" s="3" t="s">
        <v>48</v>
      </c>
      <c r="J9620" s="3" t="s">
        <v>27433</v>
      </c>
      <c r="K9620" s="3" t="s">
        <v>149</v>
      </c>
      <c r="L9620" s="3" t="str">
        <f>IFERROR(__xludf.DUMMYFUNCTION("GOOGLETRANSLATE(F9620,""id"",""en"")"),"Redsindo Fun Fact Argentina The team that most often changes the formation and composition of many pundit players says the best Argentine transition among other semifinalists brings Argetina Champion")</f>
        <v>Redsindo Fun Fact Argentina The team that most often changes the formation and composition of many pundit players says the best Argentine transition among other semifinalists brings Argetina Champion</v>
      </c>
    </row>
    <row r="9621" ht="15.75" customHeight="1">
      <c r="A9621" s="1">
        <v>10852.0</v>
      </c>
      <c r="B9621" s="3" t="s">
        <v>27434</v>
      </c>
      <c r="C9621" s="3">
        <v>0.0</v>
      </c>
      <c r="D9621" s="3">
        <v>0.0</v>
      </c>
      <c r="E9621" s="3">
        <v>1.0</v>
      </c>
      <c r="F9621" s="3" t="s">
        <v>27435</v>
      </c>
      <c r="G9621" s="3">
        <v>0.0</v>
      </c>
      <c r="H9621" s="3">
        <v>0.0</v>
      </c>
      <c r="I9621" s="3" t="s">
        <v>13</v>
      </c>
      <c r="J9621" s="3" t="s">
        <v>27436</v>
      </c>
      <c r="K9621" s="3" t="s">
        <v>675</v>
      </c>
      <c r="L9621" s="3" t="str">
        <f>IFERROR(__xludf.DUMMYFUNCTION("GOOGLETRANSLATE(F9621,""id"",""en"")"),"It is also interesting that in the competition it doesn't always have to continue to win to become a champion sometimes you can occasionally lose the facts of the first match Worldcup Argentina defeated by Saudi Arabia who distinguishes the great team wor"&amp;"k is the mentality of the champion after losing to rise again")</f>
        <v>It is also interesting that in the competition it doesn't always have to continue to win to become a champion sometimes you can occasionally lose the facts of the first match Worldcup Argentina defeated by Saudi Arabia who distinguishes the great team work is the mentality of the champion after losing to rise again</v>
      </c>
    </row>
    <row r="9622" ht="15.75" customHeight="1">
      <c r="A9622" s="1">
        <v>10853.0</v>
      </c>
      <c r="B9622" s="3" t="s">
        <v>27437</v>
      </c>
      <c r="C9622" s="3">
        <v>0.0</v>
      </c>
      <c r="D9622" s="3">
        <v>0.0</v>
      </c>
      <c r="E9622" s="3">
        <v>0.0</v>
      </c>
      <c r="F9622" s="3" t="s">
        <v>27438</v>
      </c>
      <c r="G9622" s="3">
        <v>0.0</v>
      </c>
      <c r="H9622" s="3">
        <v>0.0</v>
      </c>
      <c r="I9622" s="3" t="s">
        <v>13</v>
      </c>
      <c r="J9622" s="3" t="s">
        <v>27439</v>
      </c>
      <c r="K9622" s="3" t="s">
        <v>54</v>
      </c>
      <c r="L9622" s="3" t="str">
        <f>IFERROR(__xludf.DUMMYFUNCTION("GOOGLETRANSLATE(F9622,""id"",""en"")"),"Argentina is the champion, it's time for Indonesia to follow in his footsteps")</f>
        <v>Argentina is the champion, it's time for Indonesia to follow in his footsteps</v>
      </c>
    </row>
    <row r="9623" ht="15.75" customHeight="1">
      <c r="A9623" s="1">
        <v>10854.0</v>
      </c>
      <c r="B9623" s="3" t="s">
        <v>27440</v>
      </c>
      <c r="C9623" s="3">
        <v>0.0</v>
      </c>
      <c r="D9623" s="3">
        <v>0.0</v>
      </c>
      <c r="E9623" s="3">
        <v>1.0</v>
      </c>
      <c r="F9623" s="3" t="s">
        <v>27441</v>
      </c>
      <c r="G9623" s="3">
        <v>0.0</v>
      </c>
      <c r="H9623" s="3">
        <v>0.0</v>
      </c>
      <c r="I9623" s="3" t="s">
        <v>13</v>
      </c>
      <c r="J9623" s="3" t="s">
        <v>27442</v>
      </c>
      <c r="K9623" s="3" t="s">
        <v>633</v>
      </c>
      <c r="L9623" s="3" t="str">
        <f>IFERROR(__xludf.DUMMYFUNCTION("GOOGLETRANSLATE(F9623,""id"",""en"")"),"There are Argentine Victims Champion Want to Sell Gold Jewelry Wife of relatives or friends can really be directly for the priority info there is a letter of buying all Argentina Messi")</f>
        <v>There are Argentine Victims Champion Want to Sell Gold Jewelry Wife of relatives or friends can really be directly for the priority info there is a letter of buying all Argentina Messi</v>
      </c>
    </row>
    <row r="9624" ht="15.75" customHeight="1">
      <c r="A9624" s="1">
        <v>10855.0</v>
      </c>
      <c r="B9624" s="3" t="s">
        <v>27443</v>
      </c>
      <c r="C9624" s="3">
        <v>0.0</v>
      </c>
      <c r="D9624" s="3">
        <v>1.0</v>
      </c>
      <c r="E9624" s="3">
        <v>6.0</v>
      </c>
      <c r="F9624" s="3" t="s">
        <v>27444</v>
      </c>
      <c r="G9624" s="3">
        <v>0.0</v>
      </c>
      <c r="H9624" s="3">
        <v>0.0</v>
      </c>
      <c r="I9624" s="3" t="s">
        <v>13</v>
      </c>
      <c r="J9624" s="3" t="s">
        <v>27445</v>
      </c>
      <c r="K9624" s="3" t="s">
        <v>41</v>
      </c>
      <c r="L9624" s="3" t="str">
        <f>IFERROR(__xludf.DUMMYFUNCTION("GOOGLETRANSLATE(F9624,""id"",""en"")"),"It's not just Messi Argentina also harvesting the record after the World Cup championship")</f>
        <v>It's not just Messi Argentina also harvesting the record after the World Cup championship</v>
      </c>
    </row>
    <row r="9625" ht="15.75" customHeight="1">
      <c r="A9625" s="1">
        <v>10856.0</v>
      </c>
      <c r="B9625" s="3" t="s">
        <v>27446</v>
      </c>
      <c r="C9625" s="3">
        <v>0.0</v>
      </c>
      <c r="D9625" s="3">
        <v>1.0</v>
      </c>
      <c r="E9625" s="3">
        <v>0.0</v>
      </c>
      <c r="F9625" s="3" t="s">
        <v>27447</v>
      </c>
      <c r="G9625" s="3">
        <v>0.0</v>
      </c>
      <c r="H9625" s="3">
        <v>0.0</v>
      </c>
      <c r="I9625" s="3" t="s">
        <v>13</v>
      </c>
      <c r="J9625" s="3" t="s">
        <v>27448</v>
      </c>
      <c r="K9625" s="3" t="s">
        <v>15</v>
      </c>
      <c r="L9625" s="3" t="str">
        <f>IFERROR(__xludf.DUMMYFUNCTION("GOOGLETRANSLATE(F9625,""id"",""en"")"),"Now all of this Argentine players want to become champions")</f>
        <v>Now all of this Argentine players want to become champions</v>
      </c>
    </row>
    <row r="9626" ht="15.75" customHeight="1">
      <c r="A9626" s="1">
        <v>10857.0</v>
      </c>
      <c r="B9626" s="3" t="s">
        <v>27449</v>
      </c>
      <c r="C9626" s="3">
        <v>0.0</v>
      </c>
      <c r="D9626" s="3">
        <v>0.0</v>
      </c>
      <c r="E9626" s="3">
        <v>0.0</v>
      </c>
      <c r="F9626" s="3" t="s">
        <v>27450</v>
      </c>
      <c r="G9626" s="3">
        <v>0.0</v>
      </c>
      <c r="H9626" s="3">
        <v>0.0</v>
      </c>
      <c r="I9626" s="3" t="s">
        <v>13</v>
      </c>
      <c r="J9626" s="3" t="s">
        <v>27451</v>
      </c>
      <c r="K9626" s="3" t="s">
        <v>75</v>
      </c>
      <c r="L9626" s="3" t="str">
        <f>IFERROR(__xludf.DUMMYFUNCTION("GOOGLETRANSLATE(F9626,""id"",""en"")"),"Happy Argentina national team to win the Qatar World Cup Salam from PSSI")</f>
        <v>Happy Argentina national team to win the Qatar World Cup Salam from PSSI</v>
      </c>
    </row>
    <row r="9627" ht="15.75" customHeight="1">
      <c r="A9627" s="1">
        <v>10858.0</v>
      </c>
      <c r="B9627" s="3" t="s">
        <v>27452</v>
      </c>
      <c r="C9627" s="3">
        <v>0.0</v>
      </c>
      <c r="D9627" s="3">
        <v>0.0</v>
      </c>
      <c r="E9627" s="3">
        <v>0.0</v>
      </c>
      <c r="F9627" s="3" t="s">
        <v>27453</v>
      </c>
      <c r="G9627" s="3">
        <v>0.0</v>
      </c>
      <c r="H9627" s="3">
        <v>0.0</v>
      </c>
      <c r="I9627" s="3" t="s">
        <v>13</v>
      </c>
      <c r="J9627" s="3" t="s">
        <v>27454</v>
      </c>
      <c r="K9627" s="3" t="s">
        <v>41</v>
      </c>
      <c r="L9627" s="3" t="str">
        <f>IFERROR(__xludf.DUMMYFUNCTION("GOOGLETRANSLATE(F9627,""id"",""en"")"),"Hooray Argentina World Champion While Konoha Village is still earning from the Tarkam League")</f>
        <v>Hooray Argentina World Champion While Konoha Village is still earning from the Tarkam League</v>
      </c>
    </row>
    <row r="9628" ht="15.75" customHeight="1">
      <c r="A9628" s="1">
        <v>10859.0</v>
      </c>
      <c r="B9628" s="3" t="s">
        <v>27455</v>
      </c>
      <c r="C9628" s="3">
        <v>1.0</v>
      </c>
      <c r="D9628" s="3">
        <v>0.0</v>
      </c>
      <c r="E9628" s="3">
        <v>12.0</v>
      </c>
      <c r="F9628" s="3" t="s">
        <v>27456</v>
      </c>
      <c r="G9628" s="3">
        <v>0.0</v>
      </c>
      <c r="H9628" s="3">
        <v>0.0</v>
      </c>
      <c r="I9628" s="3" t="s">
        <v>13</v>
      </c>
      <c r="J9628" s="3" t="s">
        <v>27457</v>
      </c>
      <c r="K9628" s="3" t="s">
        <v>19</v>
      </c>
      <c r="L9628" s="3" t="str">
        <f>IFERROR(__xludf.DUMMYFUNCTION("GOOGLETRANSLATE(F9628,""id"",""en"")"),"What else will you be right later the American land cup, whose culture is almost the same as the Argentine country, will win again")</f>
        <v>What else will you be right later the American land cup, whose culture is almost the same as the Argentine country, will win again</v>
      </c>
    </row>
    <row r="9629" ht="15.75" customHeight="1">
      <c r="A9629" s="1">
        <v>10860.0</v>
      </c>
      <c r="B9629" s="3" t="s">
        <v>27458</v>
      </c>
      <c r="C9629" s="3">
        <v>0.0</v>
      </c>
      <c r="D9629" s="3">
        <v>0.0</v>
      </c>
      <c r="E9629" s="3">
        <v>0.0</v>
      </c>
      <c r="F9629" s="3" t="s">
        <v>27459</v>
      </c>
      <c r="G9629" s="3">
        <v>0.0</v>
      </c>
      <c r="H9629" s="3">
        <v>0.0</v>
      </c>
      <c r="I9629" s="3" t="s">
        <v>13</v>
      </c>
      <c r="J9629" s="3" t="s">
        <v>27460</v>
      </c>
      <c r="K9629" s="3" t="s">
        <v>2117</v>
      </c>
      <c r="L9629" s="3" t="str">
        <f>IFERROR(__xludf.DUMMYFUNCTION("GOOGLETRANSLATE(F9629,""id"",""en"")"),"Argentina Champion Point")</f>
        <v>Argentina Champion Point</v>
      </c>
    </row>
    <row r="9630" ht="15.75" customHeight="1">
      <c r="A9630" s="1">
        <v>10861.0</v>
      </c>
      <c r="B9630" s="3" t="s">
        <v>27461</v>
      </c>
      <c r="C9630" s="3">
        <v>0.0</v>
      </c>
      <c r="D9630" s="3">
        <v>0.0</v>
      </c>
      <c r="E9630" s="3">
        <v>0.0</v>
      </c>
      <c r="F9630" s="3" t="s">
        <v>27462</v>
      </c>
      <c r="G9630" s="3">
        <v>0.6</v>
      </c>
      <c r="H9630" s="3">
        <v>0.5</v>
      </c>
      <c r="I9630" s="3" t="s">
        <v>48</v>
      </c>
      <c r="J9630" s="3" t="s">
        <v>27463</v>
      </c>
      <c r="K9630" s="3" t="s">
        <v>437</v>
      </c>
      <c r="L9630" s="3" t="str">
        <f>IFERROR(__xludf.DUMMYFUNCTION("GOOGLETRANSLATE(F9630,""id"",""en"")"),"Suddenly the fact is that the fact is that we want Argentina or France, our championship all of us falling love with people can have")</f>
        <v>Suddenly the fact is that the fact is that we want Argentina or France, our championship all of us falling love with people can have</v>
      </c>
    </row>
    <row r="9631" ht="15.75" customHeight="1">
      <c r="A9631" s="1">
        <v>10862.0</v>
      </c>
      <c r="B9631" s="3" t="s">
        <v>27464</v>
      </c>
      <c r="C9631" s="3">
        <v>0.0</v>
      </c>
      <c r="D9631" s="3">
        <v>0.0</v>
      </c>
      <c r="E9631" s="3">
        <v>0.0</v>
      </c>
      <c r="F9631" s="3" t="s">
        <v>27465</v>
      </c>
      <c r="G9631" s="3">
        <v>0.0</v>
      </c>
      <c r="H9631" s="3">
        <v>0.0</v>
      </c>
      <c r="I9631" s="3" t="s">
        <v>13</v>
      </c>
      <c r="J9631" s="3" t="s">
        <v>27466</v>
      </c>
      <c r="K9631" s="3" t="s">
        <v>71</v>
      </c>
      <c r="L9631" s="3" t="str">
        <f>IFERROR(__xludf.DUMMYFUNCTION("GOOGLETRANSLATE(F9631,""id"",""en"")"),"Dumdum Ready France remains the best just because there is no Karim Benzema Paul Pogba and Ngolo Kante Argentina can enjoy the championship")</f>
        <v>Dumdum Ready France remains the best just because there is no Karim Benzema Paul Pogba and Ngolo Kante Argentina can enjoy the championship</v>
      </c>
    </row>
    <row r="9632" ht="15.75" customHeight="1">
      <c r="A9632" s="1">
        <v>10863.0</v>
      </c>
      <c r="B9632" s="3" t="s">
        <v>27467</v>
      </c>
      <c r="C9632" s="3">
        <v>0.0</v>
      </c>
      <c r="D9632" s="3">
        <v>1.0</v>
      </c>
      <c r="E9632" s="3">
        <v>0.0</v>
      </c>
      <c r="F9632" s="3" t="s">
        <v>27468</v>
      </c>
      <c r="G9632" s="3">
        <v>0.0</v>
      </c>
      <c r="H9632" s="3">
        <v>0.0</v>
      </c>
      <c r="I9632" s="3" t="s">
        <v>13</v>
      </c>
      <c r="J9632" s="3" t="s">
        <v>27469</v>
      </c>
      <c r="K9632" s="3" t="s">
        <v>31</v>
      </c>
      <c r="L9632" s="3" t="str">
        <f>IFERROR(__xludf.DUMMYFUNCTION("GOOGLETRANSLATE(F9632,""id"",""en"")"),"if Argentina still has a chance to win, sir")</f>
        <v>if Argentina still has a chance to win, sir</v>
      </c>
    </row>
    <row r="9633" ht="15.75" customHeight="1">
      <c r="A9633" s="1">
        <v>10864.0</v>
      </c>
      <c r="B9633" s="3" t="s">
        <v>27470</v>
      </c>
      <c r="C9633" s="3">
        <v>0.0</v>
      </c>
      <c r="D9633" s="3">
        <v>0.0</v>
      </c>
      <c r="E9633" s="3">
        <v>0.0</v>
      </c>
      <c r="F9633" s="3" t="s">
        <v>27471</v>
      </c>
      <c r="G9633" s="3">
        <v>0.0</v>
      </c>
      <c r="H9633" s="3">
        <v>0.0</v>
      </c>
      <c r="I9633" s="3" t="s">
        <v>13</v>
      </c>
      <c r="J9633" s="3" t="s">
        <v>27472</v>
      </c>
      <c r="K9633" s="3" t="s">
        <v>437</v>
      </c>
      <c r="L9633" s="3" t="str">
        <f>IFERROR(__xludf.DUMMYFUNCTION("GOOGLETRANSLATE(F9633,""id"",""en"")"),"This comment almost a month ago did not expect Argentina to champion really Walo Portugal Nyungsep first GPP from Argentina won")</f>
        <v>This comment almost a month ago did not expect Argentina to champion really Walo Portugal Nyungsep first GPP from Argentina won</v>
      </c>
    </row>
    <row r="9634" ht="15.75" customHeight="1">
      <c r="A9634" s="1">
        <v>10865.0</v>
      </c>
      <c r="B9634" s="3" t="s">
        <v>27473</v>
      </c>
      <c r="C9634" s="3">
        <v>0.0</v>
      </c>
      <c r="D9634" s="3">
        <v>0.0</v>
      </c>
      <c r="E9634" s="3">
        <v>0.0</v>
      </c>
      <c r="F9634" s="3" t="s">
        <v>27474</v>
      </c>
      <c r="G9634" s="3">
        <v>0.0</v>
      </c>
      <c r="H9634" s="3">
        <v>0.0</v>
      </c>
      <c r="I9634" s="3" t="s">
        <v>13</v>
      </c>
      <c r="J9634" s="3" t="s">
        <v>27475</v>
      </c>
      <c r="K9634" s="3" t="s">
        <v>41</v>
      </c>
      <c r="L9634" s="3" t="str">
        <f>IFERROR(__xludf.DUMMYFUNCTION("GOOGLETRANSLATE(F9634,""id"",""en"")"),"Messi did not believe that Argentina finally embraced the World Cup championship")</f>
        <v>Messi did not believe that Argentina finally embraced the World Cup championship</v>
      </c>
    </row>
    <row r="9635" ht="15.75" customHeight="1">
      <c r="A9635" s="1">
        <v>10866.0</v>
      </c>
      <c r="B9635" s="3" t="s">
        <v>27476</v>
      </c>
      <c r="C9635" s="3">
        <v>0.0</v>
      </c>
      <c r="D9635" s="3">
        <v>0.0</v>
      </c>
      <c r="E9635" s="3">
        <v>0.0</v>
      </c>
      <c r="F9635" s="3" t="s">
        <v>27477</v>
      </c>
      <c r="G9635" s="3">
        <v>0.0</v>
      </c>
      <c r="H9635" s="3">
        <v>0.0</v>
      </c>
      <c r="I9635" s="3" t="s">
        <v>13</v>
      </c>
      <c r="J9635" s="3" t="s">
        <v>27478</v>
      </c>
      <c r="K9635" s="3" t="s">
        <v>82</v>
      </c>
      <c r="L9635" s="3" t="str">
        <f>IFERROR(__xludf.DUMMYFUNCTION("GOOGLETRANSLATE(F9635,""id"",""en"")"),"Congratulations Champion World Cup Qatar Video Cool")</f>
        <v>Congratulations Champion World Cup Qatar Video Cool</v>
      </c>
    </row>
    <row r="9636" ht="15.75" customHeight="1">
      <c r="A9636" s="1">
        <v>10867.0</v>
      </c>
      <c r="B9636" s="3" t="s">
        <v>27479</v>
      </c>
      <c r="C9636" s="3">
        <v>7.0</v>
      </c>
      <c r="D9636" s="3">
        <v>45.0</v>
      </c>
      <c r="E9636" s="3">
        <v>307.0</v>
      </c>
      <c r="F9636" s="3" t="s">
        <v>27480</v>
      </c>
      <c r="G9636" s="3">
        <v>0.0</v>
      </c>
      <c r="H9636" s="3">
        <v>0.0</v>
      </c>
      <c r="I9636" s="3" t="s">
        <v>13</v>
      </c>
      <c r="J9636" s="3" t="s">
        <v>27481</v>
      </c>
      <c r="K9636" s="3" t="s">
        <v>348</v>
      </c>
      <c r="L9636" s="3" t="str">
        <f>IFERROR(__xludf.DUMMYFUNCTION("GOOGLETRANSLATE(F9636,""id"",""en"")"),"Kylian Mbappe must be satisfied with the achievement of the World Cup champion after being defeated by Argentina through his disappointed face penalties that cannot be hidden photos")</f>
        <v>Kylian Mbappe must be satisfied with the achievement of the World Cup champion after being defeated by Argentina through his disappointed face penalties that cannot be hidden photos</v>
      </c>
    </row>
    <row r="9637" ht="15.75" customHeight="1">
      <c r="A9637" s="1">
        <v>10868.0</v>
      </c>
      <c r="B9637" s="3" t="s">
        <v>27482</v>
      </c>
      <c r="C9637" s="3">
        <v>4.0</v>
      </c>
      <c r="D9637" s="3">
        <v>4.0</v>
      </c>
      <c r="E9637" s="3">
        <v>16.0</v>
      </c>
      <c r="F9637" s="3" t="s">
        <v>27483</v>
      </c>
      <c r="G9637" s="3">
        <v>0.1</v>
      </c>
      <c r="H9637" s="3">
        <v>0.0</v>
      </c>
      <c r="I9637" s="3" t="s">
        <v>13</v>
      </c>
      <c r="J9637" s="3" t="s">
        <v>27484</v>
      </c>
      <c r="K9637" s="3" t="s">
        <v>1061</v>
      </c>
      <c r="L9637" s="3" t="str">
        <f>IFERROR(__xludf.DUMMYFUNCTION("GOOGLETRANSLATE(F9637,""id"",""en"")"),"Drake Viral after risking millions of money for Argentina's victory despite the fact that Argentina became the champion of the hotline bling song singer was actually unfortunate because it placed a bet and did not take into account the extra time round")</f>
        <v>Drake Viral after risking millions of money for Argentina's victory despite the fact that Argentina became the champion of the hotline bling song singer was actually unfortunate because it placed a bet and did not take into account the extra time round</v>
      </c>
    </row>
    <row r="9638" ht="15.75" customHeight="1">
      <c r="A9638" s="1">
        <v>10869.0</v>
      </c>
      <c r="B9638" s="3" t="s">
        <v>27485</v>
      </c>
      <c r="C9638" s="3">
        <v>0.0</v>
      </c>
      <c r="D9638" s="3">
        <v>0.0</v>
      </c>
      <c r="E9638" s="3">
        <v>0.0</v>
      </c>
      <c r="F9638" s="3" t="s">
        <v>27486</v>
      </c>
      <c r="G9638" s="3">
        <v>0.0</v>
      </c>
      <c r="H9638" s="3">
        <v>0.0</v>
      </c>
      <c r="I9638" s="3" t="s">
        <v>13</v>
      </c>
      <c r="J9638" s="3" t="s">
        <v>27487</v>
      </c>
      <c r="K9638" s="3" t="s">
        <v>765</v>
      </c>
      <c r="L9638" s="3" t="str">
        <f>IFERROR(__xludf.DUMMYFUNCTION("GOOGLETRANSLATE(F9638,""id"",""en"")"),"Lovers of Argentina and Pulga Lionel Messi Mas Congratulations finally Argentina champion again I hope I get a bearded turtle reading ripiunya people seem to be interesting to read the thick novel")</f>
        <v>Lovers of Argentina and Pulga Lionel Messi Mas Congratulations finally Argentina champion again I hope I get a bearded turtle reading ripiunya people seem to be interesting to read the thick novel</v>
      </c>
    </row>
    <row r="9639" ht="15.75" customHeight="1">
      <c r="A9639" s="1">
        <v>10870.0</v>
      </c>
      <c r="B9639" s="3" t="s">
        <v>27488</v>
      </c>
      <c r="C9639" s="3">
        <v>1.0</v>
      </c>
      <c r="D9639" s="3">
        <v>0.0</v>
      </c>
      <c r="E9639" s="3">
        <v>0.0</v>
      </c>
      <c r="F9639" s="3" t="s">
        <v>27489</v>
      </c>
      <c r="G9639" s="3">
        <v>0.0</v>
      </c>
      <c r="H9639" s="3">
        <v>0.0</v>
      </c>
      <c r="I9639" s="3" t="s">
        <v>13</v>
      </c>
      <c r="J9639" s="3" t="s">
        <v>27490</v>
      </c>
      <c r="K9639" s="3" t="s">
        <v>6117</v>
      </c>
      <c r="L9639" s="3" t="str">
        <f>IFERROR(__xludf.DUMMYFUNCTION("GOOGLETRANSLATE(F9639,""id"",""en"")"),"Lawas first watched the World Cup see a list of players from the Argentina Squad Champion country as a whole filled with ordinary players except the front area even though the world champion is usually filled with star -studded players")</f>
        <v>Lawas first watched the World Cup see a list of players from the Argentina Squad Champion country as a whole filled with ordinary players except the front area even though the world champion is usually filled with star -studded players</v>
      </c>
    </row>
    <row r="9640" ht="15.75" customHeight="1">
      <c r="A9640" s="1">
        <v>10871.0</v>
      </c>
      <c r="B9640" s="3" t="s">
        <v>27491</v>
      </c>
      <c r="C9640" s="3">
        <v>0.0</v>
      </c>
      <c r="D9640" s="3">
        <v>0.0</v>
      </c>
      <c r="E9640" s="3">
        <v>0.0</v>
      </c>
      <c r="F9640" s="3" t="s">
        <v>27492</v>
      </c>
      <c r="G9640" s="3">
        <v>0.0</v>
      </c>
      <c r="H9640" s="3">
        <v>0.0</v>
      </c>
      <c r="I9640" s="3" t="s">
        <v>13</v>
      </c>
      <c r="J9640" s="3" t="s">
        <v>27493</v>
      </c>
      <c r="K9640" s="3" t="s">
        <v>236</v>
      </c>
      <c r="L9640" s="3" t="str">
        <f>IFERROR(__xludf.DUMMYFUNCTION("GOOGLETRANSLATE(F9640,""id"",""en"")"),"who said that Argentina champion settings is not correct but indeed every Argentine match always benefit the referee")</f>
        <v>who said that Argentina champion settings is not correct but indeed every Argentine match always benefit the referee</v>
      </c>
    </row>
    <row r="9641" ht="15.75" customHeight="1">
      <c r="A9641" s="1">
        <v>10872.0</v>
      </c>
      <c r="B9641" s="3" t="s">
        <v>27494</v>
      </c>
      <c r="C9641" s="3">
        <v>0.0</v>
      </c>
      <c r="D9641" s="3">
        <v>1.0</v>
      </c>
      <c r="E9641" s="3">
        <v>0.0</v>
      </c>
      <c r="F9641" s="3" t="s">
        <v>27495</v>
      </c>
      <c r="G9641" s="3">
        <v>0.5</v>
      </c>
      <c r="H9641" s="3">
        <v>0.2142857142857143</v>
      </c>
      <c r="I9641" s="3" t="s">
        <v>48</v>
      </c>
      <c r="J9641" s="3" t="s">
        <v>27496</v>
      </c>
      <c r="K9641" s="3" t="s">
        <v>4609</v>
      </c>
      <c r="L9641" s="3" t="str">
        <f>IFERROR(__xludf.DUMMYFUNCTION("GOOGLETRANSLATE(F9641,""id"",""en"")"),"I want to be surprised but this is Argentina, the world is supporting Argentina because Messi is not Pure because I want to support Argentina.")</f>
        <v>I want to be surprised but this is Argentina, the world is supporting Argentina because Messi is not Pure because I want to support Argentina.</v>
      </c>
    </row>
    <row r="9642" ht="15.75" customHeight="1">
      <c r="A9642" s="1">
        <v>10873.0</v>
      </c>
      <c r="B9642" s="3" t="s">
        <v>27497</v>
      </c>
      <c r="C9642" s="3">
        <v>2.0</v>
      </c>
      <c r="D9642" s="3">
        <v>0.0</v>
      </c>
      <c r="E9642" s="3">
        <v>0.0</v>
      </c>
      <c r="F9642" s="3" t="s">
        <v>27498</v>
      </c>
      <c r="G9642" s="3">
        <v>0.5</v>
      </c>
      <c r="H9642" s="3">
        <v>0.1363636363636364</v>
      </c>
      <c r="I9642" s="3" t="s">
        <v>48</v>
      </c>
      <c r="J9642" s="3" t="s">
        <v>27499</v>
      </c>
      <c r="K9642" s="3" t="s">
        <v>165</v>
      </c>
      <c r="L9642" s="3" t="str">
        <f>IFERROR(__xludf.DUMMYFUNCTION("GOOGLETRANSLATE(F9642,""id"",""en"")"),"indeed if foreign country is an important, it is important that he believes he is talking like that spontaneously, not deliberately, he really wants to celebrate Argentina, just like he is the Copa Aguero champion")</f>
        <v>indeed if foreign country is an important, it is important that he believes he is talking like that spontaneously, not deliberately, he really wants to celebrate Argentina, just like he is the Copa Aguero champion</v>
      </c>
    </row>
    <row r="9643" ht="15.75" customHeight="1">
      <c r="A9643" s="1">
        <v>10874.0</v>
      </c>
      <c r="B9643" s="3" t="s">
        <v>27500</v>
      </c>
      <c r="C9643" s="3">
        <v>0.0</v>
      </c>
      <c r="D9643" s="3">
        <v>0.0</v>
      </c>
      <c r="E9643" s="3">
        <v>0.0</v>
      </c>
      <c r="F9643" s="3" t="s">
        <v>27501</v>
      </c>
      <c r="G9643" s="3">
        <v>0.0</v>
      </c>
      <c r="H9643" s="3">
        <v>0.0</v>
      </c>
      <c r="I9643" s="3" t="s">
        <v>13</v>
      </c>
      <c r="J9643" s="3" t="s">
        <v>27502</v>
      </c>
      <c r="K9643" s="3" t="s">
        <v>308</v>
      </c>
      <c r="L9643" s="3" t="str">
        <f>IFERROR(__xludf.DUMMYFUNCTION("GOOGLETRANSLATE(F9643,""id"",""en"")"),"The Best MESSI World Cup Success in Argentina won the World Cup more sweetly for Lionel Messi Sang Megabar was also lined up as the best player of the tournament")</f>
        <v>The Best MESSI World Cup Success in Argentina won the World Cup more sweetly for Lionel Messi Sang Megabar was also lined up as the best player of the tournament</v>
      </c>
    </row>
    <row r="9644" ht="15.75" customHeight="1">
      <c r="A9644" s="1">
        <v>10875.0</v>
      </c>
      <c r="B9644" s="3" t="s">
        <v>27503</v>
      </c>
      <c r="C9644" s="3">
        <v>1.0</v>
      </c>
      <c r="D9644" s="3">
        <v>0.0</v>
      </c>
      <c r="E9644" s="3">
        <v>2.0</v>
      </c>
      <c r="F9644" s="3" t="s">
        <v>27504</v>
      </c>
      <c r="G9644" s="3">
        <v>0.0</v>
      </c>
      <c r="H9644" s="3">
        <v>0.0</v>
      </c>
      <c r="I9644" s="3" t="s">
        <v>13</v>
      </c>
      <c r="J9644" s="3" t="s">
        <v>27505</v>
      </c>
      <c r="K9644" s="3" t="s">
        <v>633</v>
      </c>
      <c r="L9644" s="3" t="str">
        <f>IFERROR(__xludf.DUMMYFUNCTION("GOOGLETRANSLATE(F9644,""id"",""en"")"),"Behind yesterday's match that made Dagdigdug Ser in the last seconds that pursued Argentina's victory as a world champion can not be separated from Lionel Messi's really cool leadership")</f>
        <v>Behind yesterday's match that made Dagdigdug Ser in the last seconds that pursued Argentina's victory as a world champion can not be separated from Lionel Messi's really cool leadership</v>
      </c>
    </row>
    <row r="9645" ht="15.75" customHeight="1">
      <c r="A9645" s="1">
        <v>10876.0</v>
      </c>
      <c r="B9645" s="3" t="s">
        <v>27506</v>
      </c>
      <c r="C9645" s="3">
        <v>0.0</v>
      </c>
      <c r="D9645" s="3">
        <v>0.0</v>
      </c>
      <c r="E9645" s="3">
        <v>0.0</v>
      </c>
      <c r="F9645" s="3" t="s">
        <v>27507</v>
      </c>
      <c r="G9645" s="3">
        <v>0.0</v>
      </c>
      <c r="H9645" s="3">
        <v>0.0</v>
      </c>
      <c r="I9645" s="3" t="s">
        <v>13</v>
      </c>
      <c r="J9645" s="3" t="s">
        <v>27508</v>
      </c>
      <c r="K9645" s="3" t="s">
        <v>75</v>
      </c>
      <c r="L9645" s="3" t="str">
        <f>IFERROR(__xludf.DUMMYFUNCTION("GOOGLETRANSLATE(F9645,""id"",""en"")"),"Argentina World Cup Champion Proof of Sports Prediction has always been true since")</f>
        <v>Argentina World Cup Champion Proof of Sports Prediction has always been true since</v>
      </c>
    </row>
    <row r="9646" ht="15.75" customHeight="1">
      <c r="A9646" s="1">
        <v>10877.0</v>
      </c>
      <c r="B9646" s="3" t="s">
        <v>27509</v>
      </c>
      <c r="C9646" s="3">
        <v>1.0</v>
      </c>
      <c r="D9646" s="3">
        <v>0.0</v>
      </c>
      <c r="E9646" s="3">
        <v>0.0</v>
      </c>
      <c r="F9646" s="3" t="s">
        <v>27510</v>
      </c>
      <c r="G9646" s="3">
        <v>0.0</v>
      </c>
      <c r="H9646" s="3">
        <v>0.0</v>
      </c>
      <c r="I9646" s="3" t="s">
        <v>13</v>
      </c>
      <c r="J9646" s="3" t="s">
        <v>27511</v>
      </c>
      <c r="K9646" s="3" t="s">
        <v>50</v>
      </c>
      <c r="L9646" s="3" t="str">
        <f>IFERROR(__xludf.DUMMYFUNCTION("GOOGLETRANSLATE(F9646,""id"",""en"")"),"What is the condition of the world of Medson Min if for example the Portuguese champion is not Argentina")</f>
        <v>What is the condition of the world of Medson Min if for example the Portuguese champion is not Argentina</v>
      </c>
    </row>
    <row r="9647" ht="15.75" customHeight="1">
      <c r="A9647" s="1">
        <v>10878.0</v>
      </c>
      <c r="B9647" s="3" t="s">
        <v>27512</v>
      </c>
      <c r="C9647" s="3">
        <v>1.0</v>
      </c>
      <c r="D9647" s="3">
        <v>2.0</v>
      </c>
      <c r="E9647" s="3">
        <v>9.0</v>
      </c>
      <c r="F9647" s="3" t="s">
        <v>27513</v>
      </c>
      <c r="G9647" s="3">
        <v>0.0</v>
      </c>
      <c r="H9647" s="3">
        <v>0.0</v>
      </c>
      <c r="I9647" s="3" t="s">
        <v>13</v>
      </c>
      <c r="J9647" s="3" t="s">
        <v>27514</v>
      </c>
      <c r="K9647" s="3" t="s">
        <v>3502</v>
      </c>
      <c r="L9647" s="3" t="str">
        <f>IFERROR(__xludf.DUMMYFUNCTION("GOOGLETRANSLATE(F9647,""id"",""en"")"),"Countries that won World Cup FIFA Brazil Kali Kali Kali Germany Kali Uruguay Kali Argentina Kali British Kali Kali Kali Kali Spain Malaysia next time")</f>
        <v>Countries that won World Cup FIFA Brazil Kali Kali Kali Germany Kali Uruguay Kali Argentina Kali British Kali Kali Kali Kali Spain Malaysia next time</v>
      </c>
    </row>
    <row r="9648" ht="15.75" customHeight="1">
      <c r="A9648" s="1">
        <v>10879.0</v>
      </c>
      <c r="B9648" s="3" t="s">
        <v>27515</v>
      </c>
      <c r="C9648" s="3">
        <v>0.0</v>
      </c>
      <c r="D9648" s="3">
        <v>0.0</v>
      </c>
      <c r="E9648" s="3">
        <v>0.0</v>
      </c>
      <c r="F9648" s="3" t="s">
        <v>27516</v>
      </c>
      <c r="G9648" s="3">
        <v>0.0</v>
      </c>
      <c r="H9648" s="3">
        <v>0.0</v>
      </c>
      <c r="I9648" s="3" t="s">
        <v>13</v>
      </c>
      <c r="J9648" s="3" t="s">
        <v>27517</v>
      </c>
      <c r="K9648" s="3" t="s">
        <v>449</v>
      </c>
      <c r="L9648" s="3" t="str">
        <f>IFERROR(__xludf.DUMMYFUNCTION("GOOGLETRANSLATE(F9648,""id"",""en"")"),"Congrats for Argentina because you have champions of the Qatar World Cup and for your France you remain great but haven't been lucky and finally the mega star Lionel Messi won the Trophy that has been crazy so far")</f>
        <v>Congrats for Argentina because you have champions of the Qatar World Cup and for your France you remain great but haven't been lucky and finally the mega star Lionel Messi won the Trophy that has been crazy so far</v>
      </c>
    </row>
    <row r="9649" ht="15.75" customHeight="1">
      <c r="A9649" s="1">
        <v>10880.0</v>
      </c>
      <c r="B9649" s="3" t="s">
        <v>27518</v>
      </c>
      <c r="C9649" s="3">
        <v>1.0</v>
      </c>
      <c r="D9649" s="3">
        <v>1.0</v>
      </c>
      <c r="E9649" s="3">
        <v>2.0</v>
      </c>
      <c r="F9649" s="3" t="s">
        <v>27519</v>
      </c>
      <c r="G9649" s="3">
        <v>1.0</v>
      </c>
      <c r="H9649" s="3">
        <v>0.0</v>
      </c>
      <c r="I9649" s="3" t="s">
        <v>13</v>
      </c>
      <c r="J9649" s="3" t="s">
        <v>27520</v>
      </c>
      <c r="K9649" s="3" t="s">
        <v>127</v>
      </c>
      <c r="L9649" s="3" t="str">
        <f>IFERROR(__xludf.DUMMYFUNCTION("GOOGLETRANSLATE(F9649,""id"",""en"")"),"Angel Maria and Lionel Messi Abadi became the people of Dewa Argentina after the World Cup Final Champion of all time")</f>
        <v>Angel Maria and Lionel Messi Abadi became the people of Dewa Argentina after the World Cup Final Champion of all time</v>
      </c>
    </row>
    <row r="9650" ht="15.75" customHeight="1">
      <c r="A9650" s="1">
        <v>10881.0</v>
      </c>
      <c r="B9650" s="3" t="s">
        <v>27521</v>
      </c>
      <c r="C9650" s="3">
        <v>0.0</v>
      </c>
      <c r="D9650" s="3">
        <v>0.0</v>
      </c>
      <c r="E9650" s="3">
        <v>2.0</v>
      </c>
      <c r="F9650" s="3" t="s">
        <v>27522</v>
      </c>
      <c r="G9650" s="3">
        <v>0.0</v>
      </c>
      <c r="H9650" s="3">
        <v>0.0</v>
      </c>
      <c r="I9650" s="3" t="s">
        <v>13</v>
      </c>
      <c r="J9650" s="3" t="s">
        <v>27523</v>
      </c>
      <c r="K9650" s="3" t="s">
        <v>236</v>
      </c>
      <c r="L9650" s="3" t="str">
        <f>IFERROR(__xludf.DUMMYFUNCTION("GOOGLETRANSLATE(F9650,""id"",""en"")"),"Argentina Parlay Champion Pildun Indonesia AFF champion Tamir Entering ITB")</f>
        <v>Argentina Parlay Champion Pildun Indonesia AFF champion Tamir Entering ITB</v>
      </c>
    </row>
    <row r="9651" ht="15.75" customHeight="1">
      <c r="A9651" s="1">
        <v>10882.0</v>
      </c>
      <c r="B9651" s="3" t="s">
        <v>27524</v>
      </c>
      <c r="C9651" s="3">
        <v>0.0</v>
      </c>
      <c r="D9651" s="3">
        <v>0.0</v>
      </c>
      <c r="E9651" s="3">
        <v>0.0</v>
      </c>
      <c r="F9651" s="3" t="s">
        <v>27525</v>
      </c>
      <c r="G9651" s="3">
        <v>0.0</v>
      </c>
      <c r="H9651" s="3">
        <v>0.0</v>
      </c>
      <c r="I9651" s="3" t="s">
        <v>13</v>
      </c>
      <c r="J9651" s="3" t="s">
        <v>27526</v>
      </c>
      <c r="K9651" s="3" t="s">
        <v>3671</v>
      </c>
      <c r="L9651" s="3" t="str">
        <f>IFERROR(__xludf.DUMMYFUNCTION("GOOGLETRANSLATE(F9651,""id"",""en"")"),"Argentina brought a billion prize money from Qatar Argentina national team home from Qatar with a million US dollar money home or around billions for the success of becoming champions")</f>
        <v>Argentina brought a billion prize money from Qatar Argentina national team home from Qatar with a million US dollar money home or around billions for the success of becoming champions</v>
      </c>
    </row>
    <row r="9652" ht="15.75" customHeight="1">
      <c r="A9652" s="1">
        <v>10883.0</v>
      </c>
      <c r="B9652" s="3" t="s">
        <v>27527</v>
      </c>
      <c r="C9652" s="3">
        <v>0.0</v>
      </c>
      <c r="D9652" s="3">
        <v>0.0</v>
      </c>
      <c r="E9652" s="3">
        <v>0.0</v>
      </c>
      <c r="F9652" s="3" t="s">
        <v>27528</v>
      </c>
      <c r="G9652" s="3">
        <v>0.0</v>
      </c>
      <c r="H9652" s="3">
        <v>0.0</v>
      </c>
      <c r="I9652" s="3" t="s">
        <v>13</v>
      </c>
      <c r="J9652" s="3" t="s">
        <v>27529</v>
      </c>
      <c r="K9652" s="3" t="s">
        <v>3245</v>
      </c>
      <c r="L9652" s="3" t="str">
        <f>IFERROR(__xludf.DUMMYFUNCTION("GOOGLETRANSLATE(F9652,""id"",""en"")"),"The haters Messi Poor still hasn't accepted the fact that the impact is getting crazy, the referee ngatin the Give Away champion whatever is still wkwkwk still won't be able to change the facts that the Argentina World Cup champion Boss Messi champion bos"&amp;"s wkwkwk don't cry.")</f>
        <v>The haters Messi Poor still hasn't accepted the fact that the impact is getting crazy, the referee ngatin the Give Away champion whatever is still wkwkwk still won't be able to change the facts that the Argentina World Cup champion Boss Messi champion boss wkwkwk don't cry.</v>
      </c>
    </row>
    <row r="9653" ht="15.75" customHeight="1">
      <c r="A9653" s="1">
        <v>10884.0</v>
      </c>
      <c r="B9653" s="3" t="s">
        <v>27530</v>
      </c>
      <c r="C9653" s="3">
        <v>0.0</v>
      </c>
      <c r="D9653" s="3">
        <v>0.0</v>
      </c>
      <c r="E9653" s="3">
        <v>0.0</v>
      </c>
      <c r="F9653" s="3" t="s">
        <v>27531</v>
      </c>
      <c r="G9653" s="3">
        <v>0.0</v>
      </c>
      <c r="H9653" s="3">
        <v>0.0</v>
      </c>
      <c r="I9653" s="3" t="s">
        <v>13</v>
      </c>
      <c r="J9653" s="3" t="s">
        <v>27532</v>
      </c>
      <c r="K9653" s="3" t="s">
        <v>2117</v>
      </c>
      <c r="L9653" s="3" t="str">
        <f>IFERROR(__xludf.DUMMYFUNCTION("GOOGLETRANSLATE(F9653,""id"",""en"")"),"Argentina Boss Champion")</f>
        <v>Argentina Boss Champion</v>
      </c>
    </row>
    <row r="9654" ht="15.75" customHeight="1">
      <c r="A9654" s="1">
        <v>10885.0</v>
      </c>
      <c r="B9654" s="3" t="s">
        <v>27533</v>
      </c>
      <c r="C9654" s="3">
        <v>0.0</v>
      </c>
      <c r="D9654" s="3">
        <v>0.0</v>
      </c>
      <c r="E9654" s="3">
        <v>0.0</v>
      </c>
      <c r="F9654" s="3" t="s">
        <v>22241</v>
      </c>
      <c r="G9654" s="3">
        <v>0.0</v>
      </c>
      <c r="H9654" s="3">
        <v>0.0</v>
      </c>
      <c r="I9654" s="3" t="s">
        <v>13</v>
      </c>
      <c r="J9654" s="3" t="s">
        <v>16942</v>
      </c>
      <c r="K9654" s="3" t="s">
        <v>644</v>
      </c>
      <c r="L9654" s="3" t="str">
        <f>IFERROR(__xludf.DUMMYFUNCTION("GOOGLETRANSLATE(F9654,""id"",""en"")"),"Argentina Champion World Cup")</f>
        <v>Argentina Champion World Cup</v>
      </c>
    </row>
    <row r="9655" ht="15.75" customHeight="1">
      <c r="A9655" s="1">
        <v>10886.0</v>
      </c>
      <c r="B9655" s="3" t="s">
        <v>27534</v>
      </c>
      <c r="C9655" s="3">
        <v>0.0</v>
      </c>
      <c r="D9655" s="3">
        <v>0.0</v>
      </c>
      <c r="E9655" s="3">
        <v>1.0</v>
      </c>
      <c r="F9655" s="3" t="s">
        <v>27535</v>
      </c>
      <c r="G9655" s="3">
        <v>0.6666666666666666</v>
      </c>
      <c r="H9655" s="3">
        <v>0.4833333333333333</v>
      </c>
      <c r="I9655" s="3" t="s">
        <v>48</v>
      </c>
      <c r="J9655" s="3" t="s">
        <v>27536</v>
      </c>
      <c r="K9655" s="3" t="s">
        <v>228</v>
      </c>
      <c r="L9655" s="3" t="str">
        <f>IFERROR(__xludf.DUMMYFUNCTION("GOOGLETRANSLATE(F9655,""id"",""en"")"),"Argentina The champion is only happy for Messi besides that there is no life Argentina there is Messi want to hate Messi want Ronaldo fans objectively if the World Cup Messi this time is really crazy but right ARGEN")</f>
        <v>Argentina The champion is only happy for Messi besides that there is no life Argentina there is Messi want to hate Messi want Ronaldo fans objectively if the World Cup Messi this time is really crazy but right ARGEN</v>
      </c>
    </row>
    <row r="9656" ht="15.75" customHeight="1">
      <c r="A9656" s="1">
        <v>10887.0</v>
      </c>
      <c r="B9656" s="3" t="s">
        <v>27537</v>
      </c>
      <c r="C9656" s="3">
        <v>1.0</v>
      </c>
      <c r="D9656" s="3">
        <v>0.0</v>
      </c>
      <c r="E9656" s="3">
        <v>0.0</v>
      </c>
      <c r="F9656" s="3" t="s">
        <v>27538</v>
      </c>
      <c r="G9656" s="3">
        <v>0.0</v>
      </c>
      <c r="H9656" s="3">
        <v>0.0</v>
      </c>
      <c r="I9656" s="3" t="s">
        <v>13</v>
      </c>
      <c r="J9656" s="3" t="s">
        <v>27539</v>
      </c>
      <c r="K9656" s="3" t="s">
        <v>433</v>
      </c>
      <c r="L9656" s="3" t="str">
        <f>IFERROR(__xludf.DUMMYFUNCTION("GOOGLETRANSLATE(F9656,""id"",""en"")"),"I know how much if the bet rarely wins on the other hand I want to see Argentina champions so why do I hold France")</f>
        <v>I know how much if the bet rarely wins on the other hand I want to see Argentina champions so why do I hold France</v>
      </c>
    </row>
    <row r="9657" ht="15.75" customHeight="1">
      <c r="A9657" s="1">
        <v>10888.0</v>
      </c>
      <c r="B9657" s="3" t="s">
        <v>27540</v>
      </c>
      <c r="C9657" s="3">
        <v>0.0</v>
      </c>
      <c r="D9657" s="3">
        <v>0.0</v>
      </c>
      <c r="E9657" s="3">
        <v>0.0</v>
      </c>
      <c r="F9657" s="3" t="s">
        <v>27541</v>
      </c>
      <c r="G9657" s="3">
        <v>0.0</v>
      </c>
      <c r="H9657" s="3">
        <v>0.0</v>
      </c>
      <c r="I9657" s="3" t="s">
        <v>13</v>
      </c>
      <c r="J9657" s="3" t="s">
        <v>27542</v>
      </c>
      <c r="K9657" s="3" t="s">
        <v>50</v>
      </c>
      <c r="L9657" s="3" t="str">
        <f>IFERROR(__xludf.DUMMYFUNCTION("GOOGLETRANSLATE(F9657,""id"",""en"")"),"Tango Team Champion World Cup Putin congratulates President Argentina iNews")</f>
        <v>Tango Team Champion World Cup Putin congratulates President Argentina iNews</v>
      </c>
    </row>
    <row r="9658" ht="15.75" customHeight="1">
      <c r="A9658" s="1">
        <v>10889.0</v>
      </c>
      <c r="B9658" s="3" t="s">
        <v>27543</v>
      </c>
      <c r="C9658" s="3">
        <v>0.0</v>
      </c>
      <c r="D9658" s="3">
        <v>0.0</v>
      </c>
      <c r="E9658" s="3">
        <v>2.0</v>
      </c>
      <c r="F9658" s="3" t="s">
        <v>27544</v>
      </c>
      <c r="G9658" s="3">
        <v>0.5</v>
      </c>
      <c r="H9658" s="3">
        <v>0.2</v>
      </c>
      <c r="I9658" s="3" t="s">
        <v>48</v>
      </c>
      <c r="J9658" s="3" t="s">
        <v>27545</v>
      </c>
      <c r="K9658" s="3" t="s">
        <v>603</v>
      </c>
      <c r="L9658" s="3" t="str">
        <f>IFERROR(__xludf.DUMMYFUNCTION("GOOGLETRANSLATE(F9658,""id"",""en"")"),"Funny EMG Indonesian Netizens Champion Argentina Losing France They are just used to ngkingkan Ngekan things like this, instead, Indonesia is crowded")</f>
        <v>Funny EMG Indonesian Netizens Champion Argentina Losing France They are just used to ngkingkan Ngekan things like this, instead, Indonesia is crowded</v>
      </c>
    </row>
    <row r="9659" ht="15.75" customHeight="1">
      <c r="A9659" s="1">
        <v>10890.0</v>
      </c>
      <c r="B9659" s="3" t="s">
        <v>27546</v>
      </c>
      <c r="C9659" s="3">
        <v>0.0</v>
      </c>
      <c r="D9659" s="3">
        <v>0.0</v>
      </c>
      <c r="E9659" s="3">
        <v>2.0</v>
      </c>
      <c r="F9659" s="3" t="s">
        <v>27547</v>
      </c>
      <c r="G9659" s="3">
        <v>0.0</v>
      </c>
      <c r="H9659" s="3">
        <v>0.0</v>
      </c>
      <c r="I9659" s="3" t="s">
        <v>13</v>
      </c>
      <c r="J9659" s="3" t="s">
        <v>27548</v>
      </c>
      <c r="K9659" s="3" t="s">
        <v>614</v>
      </c>
      <c r="L9659" s="3" t="str">
        <f>IFERROR(__xludf.DUMMYFUNCTION("GOOGLETRANSLATE(F9659,""id"",""en"")"),"At the end of the year Porto is still Mines Min, making badmood but quite treated by Argentina Messi succeeded in champions and I am optimistic that the new year can bring the crypto market to fly again The Moon")</f>
        <v>At the end of the year Porto is still Mines Min, making badmood but quite treated by Argentina Messi succeeded in champions and I am optimistic that the new year can bring the crypto market to fly again The Moon</v>
      </c>
    </row>
    <row r="9660" ht="15.75" customHeight="1">
      <c r="A9660" s="1">
        <v>10891.0</v>
      </c>
      <c r="B9660" s="3" t="s">
        <v>27549</v>
      </c>
      <c r="C9660" s="3">
        <v>11.0</v>
      </c>
      <c r="D9660" s="3">
        <v>5.0</v>
      </c>
      <c r="E9660" s="3">
        <v>70.0</v>
      </c>
      <c r="F9660" s="3" t="s">
        <v>27550</v>
      </c>
      <c r="G9660" s="3">
        <v>0.0</v>
      </c>
      <c r="H9660" s="3">
        <v>0.0</v>
      </c>
      <c r="I9660" s="3" t="s">
        <v>13</v>
      </c>
      <c r="J9660" s="3" t="s">
        <v>27551</v>
      </c>
      <c r="K9660" s="3" t="s">
        <v>510</v>
      </c>
      <c r="L9660" s="3" t="str">
        <f>IFERROR(__xludf.DUMMYFUNCTION("GOOGLETRANSLATE(F9660,""id"",""en"")"),"After Argentina the World Cup champion wanted to be a Ronaldo fan or hater Messi, how it felt")</f>
        <v>After Argentina the World Cup champion wanted to be a Ronaldo fan or hater Messi, how it felt</v>
      </c>
    </row>
    <row r="9661" ht="15.75" customHeight="1">
      <c r="A9661" s="1">
        <v>10892.0</v>
      </c>
      <c r="B9661" s="3" t="s">
        <v>27552</v>
      </c>
      <c r="C9661" s="3">
        <v>0.0</v>
      </c>
      <c r="D9661" s="3">
        <v>0.0</v>
      </c>
      <c r="E9661" s="3">
        <v>0.0</v>
      </c>
      <c r="F9661" s="3" t="s">
        <v>27553</v>
      </c>
      <c r="G9661" s="3">
        <v>1.0</v>
      </c>
      <c r="H9661" s="3">
        <v>0.0</v>
      </c>
      <c r="I9661" s="3" t="s">
        <v>13</v>
      </c>
      <c r="J9661" s="3" t="s">
        <v>27554</v>
      </c>
      <c r="K9661" s="3" t="s">
        <v>791</v>
      </c>
      <c r="L9661" s="3" t="str">
        <f>IFERROR(__xludf.DUMMYFUNCTION("GOOGLETRANSLATE(F9661,""id"",""en"")"),"Argentina The World Cup Champion Waiting Year Argentina emerged as the World Cup champion after crushing France through Argentina's final shootout ended the waiting for the championship after the year")</f>
        <v>Argentina The World Cup Champion Waiting Year Argentina emerged as the World Cup champion after crushing France through Argentina's final shootout ended the waiting for the championship after the year</v>
      </c>
    </row>
    <row r="9662" ht="15.75" customHeight="1">
      <c r="A9662" s="1">
        <v>10893.0</v>
      </c>
      <c r="B9662" s="3" t="s">
        <v>27555</v>
      </c>
      <c r="C9662" s="3">
        <v>0.0</v>
      </c>
      <c r="D9662" s="3">
        <v>0.0</v>
      </c>
      <c r="E9662" s="3">
        <v>0.0</v>
      </c>
      <c r="F9662" s="3" t="s">
        <v>27556</v>
      </c>
      <c r="G9662" s="3">
        <v>0.0</v>
      </c>
      <c r="H9662" s="3">
        <v>0.0</v>
      </c>
      <c r="I9662" s="3" t="s">
        <v>13</v>
      </c>
      <c r="J9662" s="3" t="s">
        <v>27557</v>
      </c>
      <c r="K9662" s="3" t="s">
        <v>15</v>
      </c>
      <c r="L9662" s="3" t="str">
        <f>IFERROR(__xludf.DUMMYFUNCTION("GOOGLETRANSLATE(F9662,""id"",""en"")"),"the price is up now, bro, because Argentina is a world champion")</f>
        <v>the price is up now, bro, because Argentina is a world champion</v>
      </c>
    </row>
    <row r="9663" ht="15.75" customHeight="1">
      <c r="A9663" s="1">
        <v>10894.0</v>
      </c>
      <c r="B9663" s="3" t="s">
        <v>27558</v>
      </c>
      <c r="C9663" s="3">
        <v>0.0</v>
      </c>
      <c r="D9663" s="3">
        <v>0.0</v>
      </c>
      <c r="E9663" s="3">
        <v>0.0</v>
      </c>
      <c r="F9663" s="3" t="s">
        <v>27559</v>
      </c>
      <c r="G9663" s="3">
        <v>0.0</v>
      </c>
      <c r="H9663" s="3">
        <v>0.0</v>
      </c>
      <c r="I9663" s="3" t="s">
        <v>13</v>
      </c>
      <c r="J9663" s="3" t="s">
        <v>27560</v>
      </c>
      <c r="K9663" s="3" t="s">
        <v>54</v>
      </c>
      <c r="L9663" s="3" t="str">
        <f>IFERROR(__xludf.DUMMYFUNCTION("GOOGLETRANSLATE(F9663,""id"",""en"")"),"The beginning of why Argentina could become a world champion")</f>
        <v>The beginning of why Argentina could become a world champion</v>
      </c>
    </row>
    <row r="9664" ht="15.75" customHeight="1">
      <c r="A9664" s="1">
        <v>10895.0</v>
      </c>
      <c r="B9664" s="3" t="s">
        <v>27561</v>
      </c>
      <c r="C9664" s="3">
        <v>0.0</v>
      </c>
      <c r="D9664" s="3">
        <v>0.0</v>
      </c>
      <c r="E9664" s="3">
        <v>1.0</v>
      </c>
      <c r="F9664" s="3" t="s">
        <v>27562</v>
      </c>
      <c r="G9664" s="3">
        <v>0.0</v>
      </c>
      <c r="H9664" s="3">
        <v>0.0</v>
      </c>
      <c r="I9664" s="3" t="s">
        <v>13</v>
      </c>
      <c r="J9664" s="3" t="s">
        <v>27563</v>
      </c>
      <c r="K9664" s="3" t="s">
        <v>75</v>
      </c>
      <c r="L9664" s="3" t="str">
        <f>IFERROR(__xludf.DUMMYFUNCTION("GOOGLETRANSLATE(F9664,""id"",""en"")"),"yes, I know Argentina champions seconds before degdeg samsek kontoolll")</f>
        <v>yes, I know Argentina champions seconds before degdeg samsek kontoolll</v>
      </c>
    </row>
    <row r="9665" ht="15.75" customHeight="1">
      <c r="A9665" s="1">
        <v>10896.0</v>
      </c>
      <c r="B9665" s="3" t="s">
        <v>27564</v>
      </c>
      <c r="C9665" s="3">
        <v>0.0</v>
      </c>
      <c r="D9665" s="3">
        <v>0.0</v>
      </c>
      <c r="E9665" s="3">
        <v>0.0</v>
      </c>
      <c r="F9665" s="3" t="s">
        <v>27565</v>
      </c>
      <c r="G9665" s="3">
        <v>0.0</v>
      </c>
      <c r="H9665" s="3">
        <v>0.0</v>
      </c>
      <c r="I9665" s="3" t="s">
        <v>13</v>
      </c>
      <c r="J9665" s="3" t="s">
        <v>27566</v>
      </c>
      <c r="K9665" s="3" t="s">
        <v>15</v>
      </c>
      <c r="L9665" s="3" t="str">
        <f>IFERROR(__xludf.DUMMYFUNCTION("GOOGLETRANSLATE(F9665,""id"",""en"")"),"Argentina Champion World Cup Messi et al take home")</f>
        <v>Argentina Champion World Cup Messi et al take home</v>
      </c>
    </row>
    <row r="9666" ht="15.75" customHeight="1">
      <c r="A9666" s="1">
        <v>10897.0</v>
      </c>
      <c r="B9666" s="3" t="s">
        <v>27567</v>
      </c>
      <c r="C9666" s="3">
        <v>0.0</v>
      </c>
      <c r="D9666" s="3">
        <v>0.0</v>
      </c>
      <c r="E9666" s="3">
        <v>0.0</v>
      </c>
      <c r="F9666" s="3" t="s">
        <v>27568</v>
      </c>
      <c r="G9666" s="3">
        <v>0.0</v>
      </c>
      <c r="H9666" s="3">
        <v>0.0</v>
      </c>
      <c r="I9666" s="3" t="s">
        <v>13</v>
      </c>
      <c r="J9666" s="3" t="s">
        <v>27569</v>
      </c>
      <c r="K9666" s="3" t="s">
        <v>75</v>
      </c>
      <c r="L9666" s="3" t="str">
        <f>IFERROR(__xludf.DUMMYFUNCTION("GOOGLETRANSLATE(F9666,""id"",""en"")"),"Argentina Drama Full Match Champion World Cup Qatar via com")</f>
        <v>Argentina Drama Full Match Champion World Cup Qatar via com</v>
      </c>
    </row>
    <row r="9667" ht="15.75" customHeight="1">
      <c r="A9667" s="1">
        <v>10898.0</v>
      </c>
      <c r="B9667" s="3" t="s">
        <v>27570</v>
      </c>
      <c r="C9667" s="3">
        <v>0.0</v>
      </c>
      <c r="D9667" s="3">
        <v>0.0</v>
      </c>
      <c r="E9667" s="3">
        <v>0.0</v>
      </c>
      <c r="F9667" s="3" t="s">
        <v>27571</v>
      </c>
      <c r="G9667" s="3">
        <v>0.0</v>
      </c>
      <c r="H9667" s="3">
        <v>0.0</v>
      </c>
      <c r="I9667" s="3" t="s">
        <v>13</v>
      </c>
      <c r="J9667" s="3" t="s">
        <v>27572</v>
      </c>
      <c r="K9667" s="3" t="s">
        <v>952</v>
      </c>
      <c r="L9667" s="3" t="str">
        <f>IFERROR(__xludf.DUMMYFUNCTION("GOOGLETRANSLATE(F9667,""id"",""en"")"),"Argentina and Messi have champions World Cup Champion when Indonesia Champion AFF")</f>
        <v>Argentina and Messi have champions World Cup Champion when Indonesia Champion AFF</v>
      </c>
    </row>
    <row r="9668" ht="15.75" customHeight="1">
      <c r="A9668" s="1">
        <v>10899.0</v>
      </c>
      <c r="B9668" s="3" t="s">
        <v>27573</v>
      </c>
      <c r="C9668" s="3">
        <v>0.0</v>
      </c>
      <c r="D9668" s="3">
        <v>0.0</v>
      </c>
      <c r="E9668" s="3">
        <v>0.0</v>
      </c>
      <c r="F9668" s="3" t="s">
        <v>27574</v>
      </c>
      <c r="G9668" s="3">
        <v>1.0</v>
      </c>
      <c r="H9668" s="3">
        <v>0.8</v>
      </c>
      <c r="I9668" s="3" t="s">
        <v>48</v>
      </c>
      <c r="J9668" s="3" t="s">
        <v>27575</v>
      </c>
      <c r="K9668" s="3" t="s">
        <v>244</v>
      </c>
      <c r="L9668" s="3" t="str">
        <f>IFERROR(__xludf.DUMMYFUNCTION("GOOGLETRANSLATE(F9668,""id"",""en"")"),"Know he is an Argentine who wants to play not if the team is a champion, it will be happy")</f>
        <v>Know he is an Argentine who wants to play not if the team is a champion, it will be happy</v>
      </c>
    </row>
    <row r="9669" ht="15.75" customHeight="1">
      <c r="A9669" s="1">
        <v>10900.0</v>
      </c>
      <c r="B9669" s="3" t="s">
        <v>27576</v>
      </c>
      <c r="C9669" s="3">
        <v>0.0</v>
      </c>
      <c r="D9669" s="3">
        <v>0.0</v>
      </c>
      <c r="E9669" s="3">
        <v>0.0</v>
      </c>
      <c r="F9669" s="3" t="s">
        <v>27577</v>
      </c>
      <c r="G9669" s="3">
        <v>0.0</v>
      </c>
      <c r="H9669" s="3">
        <v>0.0</v>
      </c>
      <c r="I9669" s="3" t="s">
        <v>13</v>
      </c>
      <c r="J9669" s="3" t="s">
        <v>27578</v>
      </c>
      <c r="K9669" s="3" t="s">
        <v>54</v>
      </c>
      <c r="L9669" s="3" t="str">
        <f>IFERROR(__xludf.DUMMYFUNCTION("GOOGLETRANSLATE(F9669,""id"",""en"")"),"Congratulations to Argentina who won the World Cup")</f>
        <v>Congratulations to Argentina who won the World Cup</v>
      </c>
    </row>
    <row r="9670" ht="15.75" customHeight="1">
      <c r="A9670" s="1">
        <v>10902.0</v>
      </c>
      <c r="B9670" s="3" t="s">
        <v>27579</v>
      </c>
      <c r="C9670" s="3">
        <v>0.0</v>
      </c>
      <c r="D9670" s="3">
        <v>1.0</v>
      </c>
      <c r="E9670" s="3">
        <v>0.0</v>
      </c>
      <c r="F9670" s="3" t="s">
        <v>27580</v>
      </c>
      <c r="G9670" s="3">
        <v>1.0</v>
      </c>
      <c r="H9670" s="3">
        <v>1.0</v>
      </c>
      <c r="I9670" s="3" t="s">
        <v>48</v>
      </c>
      <c r="J9670" s="3" t="s">
        <v>27581</v>
      </c>
      <c r="K9670" s="3" t="s">
        <v>19</v>
      </c>
      <c r="L9670" s="3" t="str">
        <f>IFERROR(__xludf.DUMMYFUNCTION("GOOGLETRANSLATE(F9670,""id"",""en"")"),"Bring Argentina World Champion Nickname GOAT GREATEST ALL TIME for Messi is getting stronger")</f>
        <v>Bring Argentina World Champion Nickname GOAT GREATEST ALL TIME for Messi is getting stronger</v>
      </c>
    </row>
    <row r="9671" ht="15.75" customHeight="1">
      <c r="A9671" s="1">
        <v>10903.0</v>
      </c>
      <c r="B9671" s="3" t="s">
        <v>27582</v>
      </c>
      <c r="C9671" s="3">
        <v>0.0</v>
      </c>
      <c r="D9671" s="3">
        <v>0.0</v>
      </c>
      <c r="E9671" s="3">
        <v>1.0</v>
      </c>
      <c r="F9671" s="3" t="s">
        <v>26045</v>
      </c>
      <c r="G9671" s="3">
        <v>0.0</v>
      </c>
      <c r="H9671" s="3">
        <v>0.0</v>
      </c>
      <c r="I9671" s="3" t="s">
        <v>13</v>
      </c>
      <c r="J9671" s="3" t="s">
        <v>26046</v>
      </c>
      <c r="K9671" s="3" t="s">
        <v>82</v>
      </c>
      <c r="L9671" s="3" t="str">
        <f>IFERROR(__xludf.DUMMYFUNCTION("GOOGLETRANSLATE(F9671,""id"",""en"")"),"Argentina World Cup Champion Takes Trillion home")</f>
        <v>Argentina World Cup Champion Takes Trillion home</v>
      </c>
    </row>
    <row r="9672" ht="15.75" customHeight="1">
      <c r="A9672" s="1">
        <v>10904.0</v>
      </c>
      <c r="B9672" s="3" t="s">
        <v>27583</v>
      </c>
      <c r="C9672" s="3">
        <v>0.0</v>
      </c>
      <c r="D9672" s="3">
        <v>0.0</v>
      </c>
      <c r="E9672" s="3">
        <v>0.0</v>
      </c>
      <c r="F9672" s="3" t="s">
        <v>27584</v>
      </c>
      <c r="G9672" s="3">
        <v>0.5399999999999999</v>
      </c>
      <c r="H9672" s="3">
        <v>0.16</v>
      </c>
      <c r="I9672" s="3" t="s">
        <v>48</v>
      </c>
      <c r="J9672" s="3" t="s">
        <v>27585</v>
      </c>
      <c r="K9672" s="3" t="s">
        <v>236</v>
      </c>
      <c r="L9672" s="3" t="str">
        <f>IFERROR(__xludf.DUMMYFUNCTION("GOOGLETRANSLATE(F9672,""id"",""en"")"),"Argentina Champion World Cup Middle Economic Crisis and High Inflation")</f>
        <v>Argentina Champion World Cup Middle Economic Crisis and High Inflation</v>
      </c>
    </row>
    <row r="9673" ht="15.75" customHeight="1">
      <c r="A9673" s="1">
        <v>10905.0</v>
      </c>
      <c r="B9673" s="3" t="s">
        <v>27586</v>
      </c>
      <c r="C9673" s="3">
        <v>0.0</v>
      </c>
      <c r="D9673" s="3">
        <v>0.0</v>
      </c>
      <c r="E9673" s="3">
        <v>0.0</v>
      </c>
      <c r="F9673" s="3" t="s">
        <v>23666</v>
      </c>
      <c r="G9673" s="3">
        <v>0.0</v>
      </c>
      <c r="H9673" s="3">
        <v>0.0</v>
      </c>
      <c r="I9673" s="3" t="s">
        <v>13</v>
      </c>
      <c r="J9673" s="3" t="s">
        <v>23667</v>
      </c>
      <c r="K9673" s="3" t="s">
        <v>75</v>
      </c>
      <c r="L9673" s="3" t="str">
        <f>IFERROR(__xludf.DUMMYFUNCTION("GOOGLETRANSLATE(F9673,""id"",""en"")"),"Argentina Champion World Cup Instagram account Messi was invaded by Indonesian artists")</f>
        <v>Argentina Champion World Cup Instagram account Messi was invaded by Indonesian artists</v>
      </c>
    </row>
    <row r="9674" ht="15.75" customHeight="1">
      <c r="A9674" s="1">
        <v>10906.0</v>
      </c>
      <c r="B9674" s="3" t="s">
        <v>27587</v>
      </c>
      <c r="C9674" s="3">
        <v>1.0</v>
      </c>
      <c r="D9674" s="3">
        <v>0.0</v>
      </c>
      <c r="E9674" s="3">
        <v>4.0</v>
      </c>
      <c r="F9674" s="3" t="s">
        <v>27588</v>
      </c>
      <c r="G9674" s="3">
        <v>0.0</v>
      </c>
      <c r="H9674" s="3">
        <v>0.0</v>
      </c>
      <c r="I9674" s="3" t="s">
        <v>13</v>
      </c>
      <c r="J9674" s="3" t="s">
        <v>27589</v>
      </c>
      <c r="K9674" s="3" t="s">
        <v>82</v>
      </c>
      <c r="L9674" s="3" t="str">
        <f>IFERROR(__xludf.DUMMYFUNCTION("GOOGLETRANSLATE(F9674,""id"",""en"")"),"Moko Argentina without imports from Africa can be world champion Hiyahiyahiya")</f>
        <v>Moko Argentina without imports from Africa can be world champion Hiyahiyahiya</v>
      </c>
    </row>
    <row r="9675" ht="15.75" customHeight="1">
      <c r="A9675" s="1">
        <v>10907.0</v>
      </c>
      <c r="B9675" s="3" t="s">
        <v>27590</v>
      </c>
      <c r="C9675" s="3">
        <v>0.0</v>
      </c>
      <c r="D9675" s="3">
        <v>0.0</v>
      </c>
      <c r="E9675" s="3">
        <v>0.0</v>
      </c>
      <c r="F9675" s="3" t="s">
        <v>27591</v>
      </c>
      <c r="G9675" s="3">
        <v>0.0</v>
      </c>
      <c r="H9675" s="3">
        <v>0.0</v>
      </c>
      <c r="I9675" s="3" t="s">
        <v>13</v>
      </c>
      <c r="J9675" s="3" t="s">
        <v>27592</v>
      </c>
      <c r="K9675" s="3" t="s">
        <v>3612</v>
      </c>
      <c r="L9675" s="3" t="str">
        <f>IFERROR(__xludf.DUMMYFUNCTION("GOOGLETRANSLATE(F9675,""id"",""en"")"),"Info Celebrating the Argentina World Cup Champion distributing free food Alun Alun Buenos Aires and distributed free STB in each Argentina District")</f>
        <v>Info Celebrating the Argentina World Cup Champion distributing free food Alun Alun Buenos Aires and distributed free STB in each Argentina District</v>
      </c>
    </row>
    <row r="9676" ht="15.75" customHeight="1">
      <c r="A9676" s="1">
        <v>10908.0</v>
      </c>
      <c r="B9676" s="3" t="s">
        <v>27593</v>
      </c>
      <c r="C9676" s="3">
        <v>0.0</v>
      </c>
      <c r="D9676" s="3">
        <v>0.0</v>
      </c>
      <c r="E9676" s="3">
        <v>0.0</v>
      </c>
      <c r="F9676" s="3" t="s">
        <v>27594</v>
      </c>
      <c r="G9676" s="3">
        <v>0.3333333333333333</v>
      </c>
      <c r="H9676" s="3">
        <v>0.1666666666666667</v>
      </c>
      <c r="I9676" s="3" t="s">
        <v>48</v>
      </c>
      <c r="J9676" s="3" t="s">
        <v>27595</v>
      </c>
      <c r="K9676" s="3" t="s">
        <v>495</v>
      </c>
      <c r="L9676" s="3" t="str">
        <f>IFERROR(__xludf.DUMMYFUNCTION("GOOGLETRANSLATE(F9676,""id"",""en"")"),"too optimistic that winning France is not strong according to because they play rough against Morocco actually when the referee is not honest Argentina deserves to be a cool champion")</f>
        <v>too optimistic that winning France is not strong according to because they play rough against Morocco actually when the referee is not honest Argentina deserves to be a cool champion</v>
      </c>
    </row>
    <row r="9677" ht="15.75" customHeight="1">
      <c r="A9677" s="1">
        <v>10909.0</v>
      </c>
      <c r="B9677" s="3" t="s">
        <v>27596</v>
      </c>
      <c r="C9677" s="3">
        <v>0.0</v>
      </c>
      <c r="D9677" s="3">
        <v>0.0</v>
      </c>
      <c r="E9677" s="3">
        <v>0.0</v>
      </c>
      <c r="F9677" s="3" t="s">
        <v>27597</v>
      </c>
      <c r="G9677" s="3">
        <v>0.0</v>
      </c>
      <c r="H9677" s="3">
        <v>0.0</v>
      </c>
      <c r="I9677" s="3" t="s">
        <v>13</v>
      </c>
      <c r="J9677" s="3" t="s">
        <v>27598</v>
      </c>
      <c r="K9677" s="3" t="s">
        <v>1293</v>
      </c>
      <c r="L9677" s="3" t="str">
        <f>IFERROR(__xludf.DUMMYFUNCTION("GOOGLETRANSLATE(F9677,""id"",""en"")"),"Dam look at the frustrate of what we are Argentina, we will make the ingredients for your hype, please appear, let's celebrate Argentina together")</f>
        <v>Dam look at the frustrate of what we are Argentina, we will make the ingredients for your hype, please appear, let's celebrate Argentina together</v>
      </c>
    </row>
    <row r="9678" ht="15.75" customHeight="1">
      <c r="A9678" s="1">
        <v>10910.0</v>
      </c>
      <c r="B9678" s="3" t="s">
        <v>27599</v>
      </c>
      <c r="C9678" s="3">
        <v>0.0</v>
      </c>
      <c r="D9678" s="3">
        <v>0.0</v>
      </c>
      <c r="E9678" s="3">
        <v>0.0</v>
      </c>
      <c r="F9678" s="3" t="s">
        <v>27600</v>
      </c>
      <c r="G9678" s="3">
        <v>0.0</v>
      </c>
      <c r="H9678" s="3">
        <v>0.0</v>
      </c>
      <c r="I9678" s="3" t="s">
        <v>13</v>
      </c>
      <c r="J9678" s="3" t="s">
        <v>27601</v>
      </c>
      <c r="K9678" s="3" t="s">
        <v>437</v>
      </c>
      <c r="L9678" s="3" t="str">
        <f>IFERROR(__xludf.DUMMYFUNCTION("GOOGLETRANSLATE(F9678,""id"",""en"")"),"Finally, one of the dreams of seeing Argentina was achieved by Mas, I wanted a bearded turtle tortoise.")</f>
        <v>Finally, one of the dreams of seeing Argentina was achieved by Mas, I wanted a bearded turtle tortoise.</v>
      </c>
    </row>
    <row r="9679" ht="15.75" customHeight="1">
      <c r="A9679" s="1">
        <v>10911.0</v>
      </c>
      <c r="B9679" s="3" t="s">
        <v>27602</v>
      </c>
      <c r="C9679" s="3">
        <v>0.0</v>
      </c>
      <c r="D9679" s="3">
        <v>0.0</v>
      </c>
      <c r="E9679" s="3">
        <v>0.0</v>
      </c>
      <c r="F9679" s="3" t="s">
        <v>27603</v>
      </c>
      <c r="G9679" s="3">
        <v>0.0</v>
      </c>
      <c r="H9679" s="3">
        <v>0.0</v>
      </c>
      <c r="I9679" s="3" t="s">
        <v>13</v>
      </c>
      <c r="J9679" s="3" t="s">
        <v>27604</v>
      </c>
      <c r="K9679" s="3" t="s">
        <v>7160</v>
      </c>
      <c r="L9679" s="3" t="str">
        <f>IFERROR(__xludf.DUMMYFUNCTION("GOOGLETRANSLATE(F9679,""id"",""en"")"),"Argentina Coach Champion Coach")</f>
        <v>Argentina Coach Champion Coach</v>
      </c>
    </row>
    <row r="9680" ht="15.75" customHeight="1">
      <c r="A9680" s="1">
        <v>10912.0</v>
      </c>
      <c r="B9680" s="3" t="s">
        <v>27605</v>
      </c>
      <c r="C9680" s="3">
        <v>0.0</v>
      </c>
      <c r="D9680" s="3">
        <v>0.0</v>
      </c>
      <c r="E9680" s="3">
        <v>0.0</v>
      </c>
      <c r="F9680" s="3" t="s">
        <v>27606</v>
      </c>
      <c r="G9680" s="3">
        <v>0.0</v>
      </c>
      <c r="H9680" s="3">
        <v>0.0</v>
      </c>
      <c r="I9680" s="3" t="s">
        <v>13</v>
      </c>
      <c r="J9680" s="3" t="s">
        <v>27607</v>
      </c>
      <c r="K9680" s="3" t="s">
        <v>3819</v>
      </c>
      <c r="L9680" s="3" t="str">
        <f>IFERROR(__xludf.DUMMYFUNCTION("GOOGLETRANSLATE(F9680,""id"",""en"")"),"The celebration of Argentina champions was truly elegant after the ceremony was completed by the new team official joined the ceremony like Indonesia when the team official champion and even the ketum joined the impression of being tacky because the playe"&amp;"rs' rights were excluded")</f>
        <v>The celebration of Argentina champions was truly elegant after the ceremony was completed by the new team official joined the ceremony like Indonesia when the team official champion and even the ketum joined the impression of being tacky because the players' rights were excluded</v>
      </c>
    </row>
    <row r="9681" ht="15.75" customHeight="1">
      <c r="A9681" s="1">
        <v>10913.0</v>
      </c>
      <c r="B9681" s="3" t="s">
        <v>27608</v>
      </c>
      <c r="C9681" s="3">
        <v>5.0</v>
      </c>
      <c r="D9681" s="3">
        <v>8.0</v>
      </c>
      <c r="E9681" s="3">
        <v>79.0</v>
      </c>
      <c r="F9681" s="3" t="s">
        <v>27609</v>
      </c>
      <c r="G9681" s="3">
        <v>0.0</v>
      </c>
      <c r="H9681" s="3">
        <v>0.0</v>
      </c>
      <c r="I9681" s="3" t="s">
        <v>13</v>
      </c>
      <c r="J9681" s="3" t="s">
        <v>27610</v>
      </c>
      <c r="K9681" s="3" t="s">
        <v>50</v>
      </c>
      <c r="L9681" s="3" t="str">
        <f>IFERROR(__xludf.DUMMYFUNCTION("GOOGLETRANSLATE(F9681,""id"",""en"")"),"Shaykh Leonel Messi lifted the Ayyuhannasss Hadza Argentina trophy champion World Cup")</f>
        <v>Shaykh Leonel Messi lifted the Ayyuhannasss Hadza Argentina trophy champion World Cup</v>
      </c>
    </row>
    <row r="9682" ht="15.75" customHeight="1">
      <c r="A9682" s="1">
        <v>10914.0</v>
      </c>
      <c r="B9682" s="3" t="s">
        <v>27611</v>
      </c>
      <c r="C9682" s="3">
        <v>0.0</v>
      </c>
      <c r="D9682" s="3">
        <v>0.0</v>
      </c>
      <c r="E9682" s="3">
        <v>0.0</v>
      </c>
      <c r="F9682" s="3" t="s">
        <v>27612</v>
      </c>
      <c r="G9682" s="3">
        <v>0.0</v>
      </c>
      <c r="H9682" s="3">
        <v>0.0</v>
      </c>
      <c r="I9682" s="3" t="s">
        <v>13</v>
      </c>
      <c r="J9682" s="3" t="s">
        <v>27613</v>
      </c>
      <c r="K9682" s="3" t="s">
        <v>54</v>
      </c>
      <c r="L9682" s="3" t="str">
        <f>IFERROR(__xludf.DUMMYFUNCTION("GOOGLETRANSLATE(F9682,""id"",""en"")"),"here we know the media needs Cristiano when Argentina is champion")</f>
        <v>here we know the media needs Cristiano when Argentina is champion</v>
      </c>
    </row>
    <row r="9683" ht="15.75" customHeight="1">
      <c r="A9683" s="1">
        <v>10915.0</v>
      </c>
      <c r="B9683" s="3" t="s">
        <v>27614</v>
      </c>
      <c r="C9683" s="3">
        <v>0.0</v>
      </c>
      <c r="D9683" s="3">
        <v>0.0</v>
      </c>
      <c r="E9683" s="3">
        <v>0.0</v>
      </c>
      <c r="F9683" s="3" t="s">
        <v>27615</v>
      </c>
      <c r="G9683" s="3">
        <v>0.0</v>
      </c>
      <c r="H9683" s="3">
        <v>0.0</v>
      </c>
      <c r="I9683" s="3" t="s">
        <v>13</v>
      </c>
      <c r="J9683" s="3" t="s">
        <v>27616</v>
      </c>
      <c r="K9683" s="3" t="s">
        <v>90</v>
      </c>
      <c r="L9683" s="3" t="str">
        <f>IFERROR(__xludf.DUMMYFUNCTION("GOOGLETRANSLATE(F9683,""id"",""en"")"),"As a leader Ganjar always considers himself as a servant of Argentine people in World Champion Greates All Time Ronaldo Cube Admiral Yudo Margono")</f>
        <v>As a leader Ganjar always considers himself as a servant of Argentine people in World Champion Greates All Time Ronaldo Cube Admiral Yudo Margono</v>
      </c>
    </row>
    <row r="9684" ht="15.75" customHeight="1">
      <c r="A9684" s="1">
        <v>10916.0</v>
      </c>
      <c r="B9684" s="3" t="s">
        <v>27617</v>
      </c>
      <c r="C9684" s="3">
        <v>0.0</v>
      </c>
      <c r="D9684" s="3">
        <v>0.0</v>
      </c>
      <c r="E9684" s="3">
        <v>0.0</v>
      </c>
      <c r="F9684" s="3" t="s">
        <v>27618</v>
      </c>
      <c r="G9684" s="3">
        <v>0.0</v>
      </c>
      <c r="H9684" s="3">
        <v>0.0</v>
      </c>
      <c r="I9684" s="3" t="s">
        <v>13</v>
      </c>
      <c r="J9684" s="3" t="s">
        <v>27619</v>
      </c>
      <c r="K9684" s="3" t="s">
        <v>54</v>
      </c>
      <c r="L9684" s="3" t="str">
        <f>IFERROR(__xludf.DUMMYFUNCTION("GOOGLETRANSLATE(F9684,""id"",""en"")"),"Not Argentina's General Leave the Champion")</f>
        <v>Not Argentina's General Leave the Champion</v>
      </c>
    </row>
    <row r="9685" ht="15.75" customHeight="1">
      <c r="A9685" s="1">
        <v>10918.0</v>
      </c>
      <c r="B9685" s="3" t="s">
        <v>27620</v>
      </c>
      <c r="C9685" s="3">
        <v>0.0</v>
      </c>
      <c r="D9685" s="3">
        <v>0.0</v>
      </c>
      <c r="E9685" s="3">
        <v>0.0</v>
      </c>
      <c r="F9685" s="3" t="s">
        <v>27621</v>
      </c>
      <c r="G9685" s="3">
        <v>0.4</v>
      </c>
      <c r="H9685" s="3">
        <v>0.2</v>
      </c>
      <c r="I9685" s="3" t="s">
        <v>48</v>
      </c>
      <c r="J9685" s="3" t="s">
        <v>27622</v>
      </c>
      <c r="K9685" s="3" t="s">
        <v>3721</v>
      </c>
      <c r="L9685" s="3" t="str">
        <f>IFERROR(__xludf.DUMMYFUNCTION("GOOGLETRANSLATE(F9685,""id"",""en"")"),"Fans Barca why do you join in Argentina champions and the French players have arrived at Griezmann Kouse Dembele, but all of them support ARGEN, MESSI, I have pulled out bro, Move, hahaha")</f>
        <v>Fans Barca why do you join in Argentina champions and the French players have arrived at Griezmann Kouse Dembele, but all of them support ARGEN, MESSI, I have pulled out bro, Move, hahaha</v>
      </c>
    </row>
    <row r="9686" ht="15.75" customHeight="1">
      <c r="A9686" s="1">
        <v>10919.0</v>
      </c>
      <c r="B9686" s="3" t="s">
        <v>27623</v>
      </c>
      <c r="C9686" s="3">
        <v>0.0</v>
      </c>
      <c r="D9686" s="3">
        <v>0.0</v>
      </c>
      <c r="E9686" s="3">
        <v>1.0</v>
      </c>
      <c r="F9686" s="3" t="s">
        <v>27624</v>
      </c>
      <c r="G9686" s="3">
        <v>0.0</v>
      </c>
      <c r="H9686" s="3">
        <v>0.0</v>
      </c>
      <c r="I9686" s="3" t="s">
        <v>13</v>
      </c>
      <c r="J9686" s="3" t="s">
        <v>27625</v>
      </c>
      <c r="K9686" s="3" t="s">
        <v>184</v>
      </c>
      <c r="L9686" s="3" t="str">
        <f>IFERROR(__xludf.DUMMYFUNCTION("GOOGLETRANSLATE(F9686,""id"",""en"")"),"Indeed, the Unique World Cup this time the Argentine champion lost France but was busy looking for the gap of Portugal fans, aka Dodo fans")</f>
        <v>Indeed, the Unique World Cup this time the Argentine champion lost France but was busy looking for the gap of Portugal fans, aka Dodo fans</v>
      </c>
    </row>
    <row r="9687" ht="15.75" customHeight="1">
      <c r="A9687" s="1">
        <v>10920.0</v>
      </c>
      <c r="B9687" s="3" t="s">
        <v>27626</v>
      </c>
      <c r="C9687" s="3">
        <v>0.0</v>
      </c>
      <c r="D9687" s="3">
        <v>3.0</v>
      </c>
      <c r="E9687" s="3">
        <v>0.0</v>
      </c>
      <c r="F9687" s="3" t="s">
        <v>27627</v>
      </c>
      <c r="G9687" s="3">
        <v>0.0</v>
      </c>
      <c r="H9687" s="3">
        <v>0.0</v>
      </c>
      <c r="I9687" s="3" t="s">
        <v>13</v>
      </c>
      <c r="J9687" s="3" t="s">
        <v>27628</v>
      </c>
      <c r="K9687" s="3" t="s">
        <v>41</v>
      </c>
      <c r="L9687" s="3" t="str">
        <f>IFERROR(__xludf.DUMMYFUNCTION("GOOGLETRANSLATE(F9687,""id"",""en"")"),"Aguero Hina Camavinga Video After Argentina World Cup Champion")</f>
        <v>Aguero Hina Camavinga Video After Argentina World Cup Champion</v>
      </c>
    </row>
    <row r="9688" ht="15.75" customHeight="1">
      <c r="A9688" s="1">
        <v>10921.0</v>
      </c>
      <c r="B9688" s="3" t="s">
        <v>27629</v>
      </c>
      <c r="C9688" s="3">
        <v>0.0</v>
      </c>
      <c r="D9688" s="3">
        <v>0.0</v>
      </c>
      <c r="E9688" s="3">
        <v>0.0</v>
      </c>
      <c r="F9688" s="3" t="s">
        <v>27630</v>
      </c>
      <c r="G9688" s="3">
        <v>0.0</v>
      </c>
      <c r="H9688" s="3">
        <v>0.0</v>
      </c>
      <c r="I9688" s="3" t="s">
        <v>13</v>
      </c>
      <c r="J9688" s="3" t="s">
        <v>27631</v>
      </c>
      <c r="K9688" s="3" t="s">
        <v>348</v>
      </c>
      <c r="L9688" s="3" t="str">
        <f>IFERROR(__xludf.DUMMYFUNCTION("GOOGLETRANSLATE(F9688,""id"",""en"")"),"Umar bin Khattab once advised that we must be honest dignified people and always convey the truth of Argentina World Champion Greates All Time Ronaldo Cube")</f>
        <v>Umar bin Khattab once advised that we must be honest dignified people and always convey the truth of Argentina World Champion Greates All Time Ronaldo Cube</v>
      </c>
    </row>
    <row r="9689" ht="15.75" customHeight="1">
      <c r="A9689" s="1">
        <v>10922.0</v>
      </c>
      <c r="B9689" s="3" t="s">
        <v>27632</v>
      </c>
      <c r="C9689" s="3">
        <v>0.0</v>
      </c>
      <c r="D9689" s="3">
        <v>0.0</v>
      </c>
      <c r="E9689" s="3">
        <v>0.0</v>
      </c>
      <c r="F9689" s="3" t="s">
        <v>27633</v>
      </c>
      <c r="G9689" s="3">
        <v>0.0</v>
      </c>
      <c r="H9689" s="3">
        <v>0.0</v>
      </c>
      <c r="I9689" s="3" t="s">
        <v>13</v>
      </c>
      <c r="J9689" s="3" t="s">
        <v>27634</v>
      </c>
      <c r="K9689" s="3" t="s">
        <v>1970</v>
      </c>
      <c r="L9689" s="3" t="str">
        <f>IFERROR(__xludf.DUMMYFUNCTION("GOOGLETRANSLATE(F9689,""id"",""en"")"),"Who was watching the World Cup yesterday and who championed Argentina, congratulations, hopefully the enthusiasm and happiness of the World Cup results made your Monday more happy")</f>
        <v>Who was watching the World Cup yesterday and who championed Argentina, congratulations, hopefully the enthusiasm and happiness of the World Cup results made your Monday more happy</v>
      </c>
    </row>
    <row r="9690" ht="15.75" customHeight="1">
      <c r="A9690" s="1">
        <v>10923.0</v>
      </c>
      <c r="B9690" s="3" t="s">
        <v>27635</v>
      </c>
      <c r="C9690" s="3">
        <v>0.0</v>
      </c>
      <c r="D9690" s="3">
        <v>0.0</v>
      </c>
      <c r="E9690" s="3">
        <v>0.0</v>
      </c>
      <c r="F9690" s="3" t="s">
        <v>27636</v>
      </c>
      <c r="G9690" s="3">
        <v>0.0</v>
      </c>
      <c r="H9690" s="3">
        <v>0.0</v>
      </c>
      <c r="I9690" s="3" t="s">
        <v>13</v>
      </c>
      <c r="J9690" s="3" t="s">
        <v>27637</v>
      </c>
      <c r="K9690" s="3" t="s">
        <v>82</v>
      </c>
      <c r="L9690" s="3" t="str">
        <f>IFERROR(__xludf.DUMMYFUNCTION("GOOGLETRANSLATE(F9690,""id"",""en"")"),"So the Argentine Economic World Cup champion can be jacked up")</f>
        <v>So the Argentine Economic World Cup champion can be jacked up</v>
      </c>
    </row>
    <row r="9691" ht="15.75" customHeight="1">
      <c r="A9691" s="1">
        <v>10924.0</v>
      </c>
      <c r="B9691" s="3" t="s">
        <v>27638</v>
      </c>
      <c r="C9691" s="3">
        <v>1.0</v>
      </c>
      <c r="D9691" s="3">
        <v>0.0</v>
      </c>
      <c r="E9691" s="3">
        <v>1.0</v>
      </c>
      <c r="F9691" s="3" t="s">
        <v>27639</v>
      </c>
      <c r="G9691" s="3">
        <v>0.1666666666666667</v>
      </c>
      <c r="H9691" s="3">
        <v>0.125</v>
      </c>
      <c r="I9691" s="3" t="s">
        <v>48</v>
      </c>
      <c r="J9691" s="3" t="s">
        <v>27640</v>
      </c>
      <c r="K9691" s="3" t="s">
        <v>503</v>
      </c>
      <c r="L9691" s="3" t="str">
        <f>IFERROR(__xludf.DUMMYFUNCTION("GOOGLETRANSLATE(F9691,""id"",""en"")"),"Argentina became champion after winning Argentina's penalty shootout The Third World Cup Messi Got His First and the Goat Debate Ended I was finished waiting for the year of Maracana's defeat that Argentina finally champions")</f>
        <v>Argentina became champion after winning Argentina's penalty shootout The Third World Cup Messi Got His First and the Goat Debate Ended I was finished waiting for the year of Maracana's defeat that Argentina finally champions</v>
      </c>
    </row>
    <row r="9692" ht="15.75" customHeight="1">
      <c r="A9692" s="1">
        <v>10925.0</v>
      </c>
      <c r="B9692" s="3" t="s">
        <v>27641</v>
      </c>
      <c r="C9692" s="3">
        <v>0.0</v>
      </c>
      <c r="D9692" s="3">
        <v>0.0</v>
      </c>
      <c r="E9692" s="3">
        <v>0.0</v>
      </c>
      <c r="F9692" s="3" t="s">
        <v>27642</v>
      </c>
      <c r="G9692" s="3">
        <v>0.0</v>
      </c>
      <c r="H9692" s="3">
        <v>0.0</v>
      </c>
      <c r="I9692" s="3" t="s">
        <v>13</v>
      </c>
      <c r="J9692" s="3" t="s">
        <v>27643</v>
      </c>
      <c r="K9692" s="3" t="s">
        <v>1097</v>
      </c>
      <c r="L9692" s="3" t="str">
        <f>IFERROR(__xludf.DUMMYFUNCTION("GOOGLETRANSLATE(F9692,""id"",""en"")"),"Arepo Seng Champion Argentina Seng Hanging Wong Wedok")</f>
        <v>Arepo Seng Champion Argentina Seng Hanging Wong Wedok</v>
      </c>
    </row>
    <row r="9693" ht="15.75" customHeight="1">
      <c r="A9693" s="1">
        <v>10926.0</v>
      </c>
      <c r="B9693" s="3" t="s">
        <v>27644</v>
      </c>
      <c r="C9693" s="3">
        <v>1.0</v>
      </c>
      <c r="D9693" s="3">
        <v>0.0</v>
      </c>
      <c r="E9693" s="3">
        <v>0.0</v>
      </c>
      <c r="F9693" s="3" t="s">
        <v>27645</v>
      </c>
      <c r="G9693" s="3">
        <v>0.5833333333333334</v>
      </c>
      <c r="H9693" s="3">
        <v>0.05</v>
      </c>
      <c r="I9693" s="3" t="s">
        <v>48</v>
      </c>
      <c r="J9693" s="3" t="s">
        <v>27646</v>
      </c>
      <c r="K9693" s="3" t="s">
        <v>13682</v>
      </c>
      <c r="L9693" s="3" t="str">
        <f>IFERROR(__xludf.DUMMYFUNCTION("GOOGLETRANSLATE(F9693,""id"",""en"")"),"Argentina also entered the final champion in the French edition and boy was showing the Century Argentina was the first half and was blessed with France until normal time was completed when extra time was added and the score was finished.")</f>
        <v>Argentina also entered the final champion in the French edition and boy was showing the Century Argentina was the first half and was blessed with France until normal time was completed when extra time was added and the score was finished.</v>
      </c>
    </row>
    <row r="9694" ht="15.75" customHeight="1">
      <c r="A9694" s="1">
        <v>10927.0</v>
      </c>
      <c r="B9694" s="3" t="s">
        <v>27647</v>
      </c>
      <c r="C9694" s="3">
        <v>1.0</v>
      </c>
      <c r="D9694" s="3">
        <v>0.0</v>
      </c>
      <c r="E9694" s="3">
        <v>0.0</v>
      </c>
      <c r="F9694" s="3" t="s">
        <v>27648</v>
      </c>
      <c r="G9694" s="3">
        <v>1.0</v>
      </c>
      <c r="H9694" s="3">
        <v>0.0</v>
      </c>
      <c r="I9694" s="3" t="s">
        <v>13</v>
      </c>
      <c r="J9694" s="3" t="s">
        <v>27649</v>
      </c>
      <c r="K9694" s="3" t="s">
        <v>135</v>
      </c>
      <c r="L9694" s="3" t="str">
        <f>IFERROR(__xludf.DUMMYFUNCTION("GOOGLETRANSLATE(F9694,""id"",""en"")"),"Britain actually convinced that year but stopped until the semifinals after a bit of not following the development of Argentina and more focused on the development of England even though Argentina won the Copa America and England lost the final euro")</f>
        <v>Britain actually convinced that year but stopped until the semifinals after a bit of not following the development of Argentina and more focused on the development of England even though Argentina won the Copa America and England lost the final euro</v>
      </c>
    </row>
    <row r="9695" ht="15.75" customHeight="1">
      <c r="A9695" s="1">
        <v>10928.0</v>
      </c>
      <c r="B9695" s="3" t="s">
        <v>27650</v>
      </c>
      <c r="C9695" s="3">
        <v>1.0</v>
      </c>
      <c r="D9695" s="3">
        <v>0.0</v>
      </c>
      <c r="E9695" s="3">
        <v>0.0</v>
      </c>
      <c r="F9695" s="3" t="s">
        <v>27651</v>
      </c>
      <c r="G9695" s="3">
        <v>1.0</v>
      </c>
      <c r="H9695" s="3">
        <v>0.0</v>
      </c>
      <c r="I9695" s="3" t="s">
        <v>13</v>
      </c>
      <c r="J9695" s="3" t="s">
        <v>27652</v>
      </c>
      <c r="K9695" s="3" t="s">
        <v>104</v>
      </c>
      <c r="L9695" s="3" t="str">
        <f>IFERROR(__xludf.DUMMYFUNCTION("GOOGLETRANSLATE(F9695,""id"",""en"")"),"I was so good that Argentina I was sure that the loss of Maria Final because injury was an absolute determinant why Argentina failed to champion I was also sure that many of them thought of the best Argentine players in the tournament")</f>
        <v>I was so good that Argentina I was sure that the loss of Maria Final because injury was an absolute determinant why Argentina failed to champion I was also sure that many of them thought of the best Argentine players in the tournament</v>
      </c>
    </row>
    <row r="9696" ht="15.75" customHeight="1">
      <c r="A9696" s="1">
        <v>10929.0</v>
      </c>
      <c r="B9696" s="3" t="s">
        <v>27653</v>
      </c>
      <c r="C9696" s="3">
        <v>0.0</v>
      </c>
      <c r="D9696" s="3">
        <v>0.0</v>
      </c>
      <c r="E9696" s="3">
        <v>0.0</v>
      </c>
      <c r="F9696" s="3" t="s">
        <v>27654</v>
      </c>
      <c r="G9696" s="3">
        <v>0.0</v>
      </c>
      <c r="H9696" s="3">
        <v>0.0</v>
      </c>
      <c r="I9696" s="3" t="s">
        <v>13</v>
      </c>
      <c r="J9696" s="3" t="s">
        <v>27655</v>
      </c>
      <c r="K9696" s="3" t="s">
        <v>240</v>
      </c>
      <c r="L9696" s="3" t="str">
        <f>IFERROR(__xludf.DUMMYFUNCTION("GOOGLETRANSLATE(F9696,""id"",""en"")"),"This is the way Ganjar Pranowo interprets the integrity of Argentina World Champion Greates All Time Ronaldo Cube Admiral Yudo Margono")</f>
        <v>This is the way Ganjar Pranowo interprets the integrity of Argentina World Champion Greates All Time Ronaldo Cube Admiral Yudo Margono</v>
      </c>
    </row>
    <row r="9697" ht="15.75" customHeight="1">
      <c r="A9697" s="1">
        <v>10930.0</v>
      </c>
      <c r="B9697" s="3" t="s">
        <v>27656</v>
      </c>
      <c r="C9697" s="3">
        <v>1.0</v>
      </c>
      <c r="D9697" s="3">
        <v>5.0</v>
      </c>
      <c r="E9697" s="3">
        <v>33.0</v>
      </c>
      <c r="F9697" s="3" t="s">
        <v>27480</v>
      </c>
      <c r="G9697" s="3">
        <v>0.0</v>
      </c>
      <c r="H9697" s="3">
        <v>0.0</v>
      </c>
      <c r="I9697" s="3" t="s">
        <v>13</v>
      </c>
      <c r="J9697" s="3" t="s">
        <v>27481</v>
      </c>
      <c r="K9697" s="3" t="s">
        <v>348</v>
      </c>
      <c r="L9697" s="3" t="str">
        <f>IFERROR(__xludf.DUMMYFUNCTION("GOOGLETRANSLATE(F9697,""id"",""en"")"),"Kylian Mbappe must be satisfied with the achievement of the World Cup champion after being defeated by Argentina through his disappointed face penalties that cannot be hidden photos")</f>
        <v>Kylian Mbappe must be satisfied with the achievement of the World Cup champion after being defeated by Argentina through his disappointed face penalties that cannot be hidden photos</v>
      </c>
    </row>
    <row r="9698" ht="15.75" customHeight="1">
      <c r="A9698" s="1">
        <v>10931.0</v>
      </c>
      <c r="B9698" s="3" t="s">
        <v>27657</v>
      </c>
      <c r="C9698" s="3">
        <v>0.0</v>
      </c>
      <c r="D9698" s="3">
        <v>0.0</v>
      </c>
      <c r="E9698" s="3">
        <v>0.0</v>
      </c>
      <c r="F9698" s="3" t="s">
        <v>27658</v>
      </c>
      <c r="G9698" s="3">
        <v>0.0</v>
      </c>
      <c r="H9698" s="3">
        <v>0.0</v>
      </c>
      <c r="I9698" s="3" t="s">
        <v>13</v>
      </c>
      <c r="J9698" s="3" t="s">
        <v>27659</v>
      </c>
      <c r="K9698" s="3" t="s">
        <v>348</v>
      </c>
      <c r="L9698" s="3" t="str">
        <f>IFERROR(__xludf.DUMMYFUNCTION("GOOGLETRANSLATE(F9698,""id"",""en"")"),"Jokowi reminded Bawaslu the political potential of money in every Argentine Election in the Menparekraf World Cup champion said Borobudur remains limited without a complete change of tariff")</f>
        <v>Jokowi reminded Bawaslu the political potential of money in every Argentine Election in the Menparekraf World Cup champion said Borobudur remains limited without a complete change of tariff</v>
      </c>
    </row>
    <row r="9699" ht="15.75" customHeight="1">
      <c r="A9699" s="1">
        <v>10932.0</v>
      </c>
      <c r="B9699" s="3" t="s">
        <v>27660</v>
      </c>
      <c r="C9699" s="3">
        <v>0.0</v>
      </c>
      <c r="D9699" s="3">
        <v>0.0</v>
      </c>
      <c r="E9699" s="3">
        <v>0.0</v>
      </c>
      <c r="F9699" s="3" t="s">
        <v>27661</v>
      </c>
      <c r="G9699" s="3">
        <v>1.0</v>
      </c>
      <c r="H9699" s="3">
        <v>0.0</v>
      </c>
      <c r="I9699" s="3" t="s">
        <v>13</v>
      </c>
      <c r="J9699" s="3" t="s">
        <v>27662</v>
      </c>
      <c r="K9699" s="3" t="s">
        <v>127</v>
      </c>
      <c r="L9699" s="3" t="str">
        <f>IFERROR(__xludf.DUMMYFUNCTION("GOOGLETRANSLATE(F9699,""id"",""en"")"),"Argentina won the FIFA World Cup after winning over France Final through the full penalty shootout drama")</f>
        <v>Argentina won the FIFA World Cup after winning over France Final through the full penalty shootout drama</v>
      </c>
    </row>
    <row r="9700" ht="15.75" customHeight="1">
      <c r="A9700" s="1">
        <v>10933.0</v>
      </c>
      <c r="B9700" s="3" t="s">
        <v>27663</v>
      </c>
      <c r="C9700" s="3">
        <v>1.0</v>
      </c>
      <c r="D9700" s="3">
        <v>0.0</v>
      </c>
      <c r="E9700" s="3">
        <v>1.0</v>
      </c>
      <c r="F9700" s="3" t="s">
        <v>27664</v>
      </c>
      <c r="G9700" s="3">
        <v>0.0</v>
      </c>
      <c r="H9700" s="3">
        <v>0.0</v>
      </c>
      <c r="I9700" s="3" t="s">
        <v>13</v>
      </c>
      <c r="J9700" s="3" t="s">
        <v>27665</v>
      </c>
      <c r="K9700" s="3" t="s">
        <v>41</v>
      </c>
      <c r="L9700" s="3" t="str">
        <f>IFERROR(__xludf.DUMMYFUNCTION("GOOGLETRANSLATE(F9700,""id"",""en"")"),"List of Brazilian World Cup Champions and Germany and Italy and Argentina")</f>
        <v>List of Brazilian World Cup Champions and Germany and Italy and Argentina</v>
      </c>
    </row>
    <row r="9701" ht="15.75" customHeight="1">
      <c r="A9701" s="1">
        <v>10934.0</v>
      </c>
      <c r="B9701" s="3" t="s">
        <v>27666</v>
      </c>
      <c r="C9701" s="3">
        <v>0.0</v>
      </c>
      <c r="D9701" s="3">
        <v>1.0</v>
      </c>
      <c r="E9701" s="3">
        <v>0.0</v>
      </c>
      <c r="F9701" s="3" t="s">
        <v>27667</v>
      </c>
      <c r="G9701" s="3">
        <v>0.5</v>
      </c>
      <c r="H9701" s="3">
        <v>0.5</v>
      </c>
      <c r="I9701" s="3" t="s">
        <v>48</v>
      </c>
      <c r="J9701" s="3" t="s">
        <v>27668</v>
      </c>
      <c r="K9701" s="3" t="s">
        <v>27669</v>
      </c>
      <c r="L9701" s="3" t="str">
        <f>IFERROR(__xludf.DUMMYFUNCTION("GOOGLETRANSLATE(F9701,""id"",""en"")"),"Argentina Champion World Cup Argentina Top Scorer Mario Kempes Year Mexico Top Scorer Maradona Year Qatar Top Scorer Lionel Messi")</f>
        <v>Argentina Champion World Cup Argentina Top Scorer Mario Kempes Year Mexico Top Scorer Maradona Year Qatar Top Scorer Lionel Messi</v>
      </c>
    </row>
    <row r="9702" ht="15.75" customHeight="1">
      <c r="A9702" s="1">
        <v>10935.0</v>
      </c>
      <c r="B9702" s="3" t="s">
        <v>27670</v>
      </c>
      <c r="C9702" s="3">
        <v>0.0</v>
      </c>
      <c r="D9702" s="3">
        <v>0.0</v>
      </c>
      <c r="E9702" s="3">
        <v>0.0</v>
      </c>
      <c r="F9702" s="3" t="s">
        <v>27671</v>
      </c>
      <c r="G9702" s="3">
        <v>0.0</v>
      </c>
      <c r="H9702" s="3">
        <v>0.0</v>
      </c>
      <c r="I9702" s="3" t="s">
        <v>13</v>
      </c>
      <c r="J9702" s="3" t="s">
        <v>27672</v>
      </c>
      <c r="K9702" s="3" t="s">
        <v>244</v>
      </c>
      <c r="L9702" s="3" t="str">
        <f>IFERROR(__xludf.DUMMYFUNCTION("GOOGLETRANSLATE(F9702,""id"",""en"")"),"Argentine champions are not solar anti -smoking father with heart gaggeuan")</f>
        <v>Argentine champions are not solar anti -smoking father with heart gaggeuan</v>
      </c>
    </row>
    <row r="9703" ht="15.75" customHeight="1">
      <c r="A9703" s="1">
        <v>10936.0</v>
      </c>
      <c r="B9703" s="3" t="s">
        <v>27673</v>
      </c>
      <c r="C9703" s="3">
        <v>0.0</v>
      </c>
      <c r="D9703" s="3">
        <v>0.0</v>
      </c>
      <c r="E9703" s="3">
        <v>0.0</v>
      </c>
      <c r="F9703" s="3" t="s">
        <v>27674</v>
      </c>
      <c r="G9703" s="3">
        <v>1.0</v>
      </c>
      <c r="H9703" s="3">
        <v>1.0</v>
      </c>
      <c r="I9703" s="3" t="s">
        <v>48</v>
      </c>
      <c r="J9703" s="3" t="s">
        <v>27675</v>
      </c>
      <c r="K9703" s="3" t="s">
        <v>657</v>
      </c>
      <c r="L9703" s="3" t="str">
        <f>IFERROR(__xludf.DUMMYFUNCTION("GOOGLETRANSLATE(F9703,""id"",""en"")"),"Argentina Champion World Cup and Messi Status as Greatest All Time Officially Watch later Watch later today Thank you")</f>
        <v>Argentina Champion World Cup and Messi Status as Greatest All Time Officially Watch later Watch later today Thank you</v>
      </c>
    </row>
    <row r="9704" ht="15.75" customHeight="1">
      <c r="A9704" s="1">
        <v>10937.0</v>
      </c>
      <c r="B9704" s="3" t="s">
        <v>27676</v>
      </c>
      <c r="C9704" s="3">
        <v>0.0</v>
      </c>
      <c r="D9704" s="3">
        <v>0.0</v>
      </c>
      <c r="E9704" s="3">
        <v>0.0</v>
      </c>
      <c r="F9704" s="3" t="s">
        <v>27677</v>
      </c>
      <c r="G9704" s="3">
        <v>0.0</v>
      </c>
      <c r="H9704" s="3">
        <v>0.0</v>
      </c>
      <c r="I9704" s="3" t="s">
        <v>13</v>
      </c>
      <c r="J9704" s="3" t="s">
        <v>27678</v>
      </c>
      <c r="K9704" s="3" t="s">
        <v>244</v>
      </c>
      <c r="L9704" s="3" t="str">
        <f>IFERROR(__xludf.DUMMYFUNCTION("GOOGLETRANSLATE(F9704,""id"",""en"")"),"Poetis and Magical Words Peter Drury between Argentina World Cup Champion")</f>
        <v>Poetis and Magical Words Peter Drury between Argentina World Cup Champion</v>
      </c>
    </row>
    <row r="9705" ht="15.75" customHeight="1">
      <c r="A9705" s="1">
        <v>10938.0</v>
      </c>
      <c r="B9705" s="3" t="s">
        <v>27679</v>
      </c>
      <c r="C9705" s="3">
        <v>3.0</v>
      </c>
      <c r="D9705" s="3">
        <v>1.0</v>
      </c>
      <c r="E9705" s="3">
        <v>25.0</v>
      </c>
      <c r="F9705" s="3" t="s">
        <v>27680</v>
      </c>
      <c r="G9705" s="3">
        <v>0.0</v>
      </c>
      <c r="H9705" s="3">
        <v>0.0</v>
      </c>
      <c r="I9705" s="3" t="s">
        <v>13</v>
      </c>
      <c r="J9705" s="3" t="s">
        <v>27681</v>
      </c>
      <c r="K9705" s="3" t="s">
        <v>184</v>
      </c>
      <c r="L9705" s="3" t="str">
        <f>IFERROR(__xludf.DUMMYFUNCTION("GOOGLETRANSLATE(F9705,""id"",""en"")"),"I am very happy to read the Argentina Coment Champion French losing Indonesia Adu Bacot Emg Indonesia New Level Until Here, Running Logout")</f>
        <v>I am very happy to read the Argentina Coment Champion French losing Indonesia Adu Bacot Emg Indonesia New Level Until Here, Running Logout</v>
      </c>
    </row>
    <row r="9706" ht="15.75" customHeight="1">
      <c r="A9706" s="1">
        <v>10939.0</v>
      </c>
      <c r="B9706" s="3" t="s">
        <v>27682</v>
      </c>
      <c r="C9706" s="3">
        <v>0.0</v>
      </c>
      <c r="D9706" s="3">
        <v>0.0</v>
      </c>
      <c r="E9706" s="3">
        <v>0.0</v>
      </c>
      <c r="F9706" s="3" t="s">
        <v>27683</v>
      </c>
      <c r="G9706" s="3">
        <v>0.1</v>
      </c>
      <c r="H9706" s="3">
        <v>-0.1</v>
      </c>
      <c r="I9706" s="3" t="s">
        <v>179</v>
      </c>
      <c r="J9706" s="3" t="s">
        <v>27684</v>
      </c>
      <c r="K9706" s="3" t="s">
        <v>82</v>
      </c>
      <c r="L9706" s="3" t="str">
        <f>IFERROR(__xludf.DUMMYFUNCTION("GOOGLETRANSLATE(F9706,""id"",""en"")"),"Argentina World Champion Minus Mother and Alfathaha Prayer")</f>
        <v>Argentina World Champion Minus Mother and Alfathaha Prayer</v>
      </c>
    </row>
    <row r="9707" ht="15.75" customHeight="1">
      <c r="A9707" s="1">
        <v>10940.0</v>
      </c>
      <c r="B9707" s="3" t="s">
        <v>27685</v>
      </c>
      <c r="C9707" s="3">
        <v>0.0</v>
      </c>
      <c r="D9707" s="3">
        <v>0.0</v>
      </c>
      <c r="E9707" s="3">
        <v>0.0</v>
      </c>
      <c r="F9707" s="3" t="s">
        <v>27686</v>
      </c>
      <c r="G9707" s="3">
        <v>0.0</v>
      </c>
      <c r="H9707" s="3">
        <v>0.0</v>
      </c>
      <c r="I9707" s="3" t="s">
        <v>13</v>
      </c>
      <c r="J9707" s="3" t="s">
        <v>27687</v>
      </c>
      <c r="K9707" s="3" t="s">
        <v>19</v>
      </c>
      <c r="L9707" s="3" t="str">
        <f>IFERROR(__xludf.DUMMYFUNCTION("GOOGLETRANSLATE(F9707,""id"",""en"")"),"Lionel Messi's record brought Argentina World Cup champions make wah through com")</f>
        <v>Lionel Messi's record brought Argentina World Cup champions make wah through com</v>
      </c>
    </row>
    <row r="9708" ht="15.75" customHeight="1">
      <c r="A9708" s="1">
        <v>10941.0</v>
      </c>
      <c r="B9708" s="3" t="s">
        <v>27688</v>
      </c>
      <c r="C9708" s="3">
        <v>8.0</v>
      </c>
      <c r="D9708" s="3">
        <v>12.0</v>
      </c>
      <c r="E9708" s="3">
        <v>97.0</v>
      </c>
      <c r="F9708" s="3" t="s">
        <v>27689</v>
      </c>
      <c r="G9708" s="3">
        <v>0.0</v>
      </c>
      <c r="H9708" s="3">
        <v>0.0</v>
      </c>
      <c r="I9708" s="3" t="s">
        <v>13</v>
      </c>
      <c r="J9708" s="3" t="s">
        <v>27690</v>
      </c>
      <c r="K9708" s="3" t="s">
        <v>3948</v>
      </c>
      <c r="L9708" s="3" t="str">
        <f>IFERROR(__xludf.DUMMYFUNCTION("GOOGLETRANSLATE(F9708,""id"",""en"")"),"When the Copa Champion is the Tournament Cup Cup only followed by the state when the finalists champion is the opponent of Italy doang Italy and the Euro champion because the hockey is when the World Cup champion is clear.")</f>
        <v>When the Copa Champion is the Tournament Cup Cup only followed by the state when the finalists champion is the opponent of Italy doang Italy and the Euro champion because the hockey is when the World Cup champion is clear.</v>
      </c>
    </row>
    <row r="9709" ht="15.75" customHeight="1">
      <c r="A9709" s="1">
        <v>10942.0</v>
      </c>
      <c r="B9709" s="3" t="s">
        <v>27691</v>
      </c>
      <c r="C9709" s="3">
        <v>0.0</v>
      </c>
      <c r="D9709" s="3">
        <v>0.0</v>
      </c>
      <c r="E9709" s="3">
        <v>0.0</v>
      </c>
      <c r="F9709" s="3" t="s">
        <v>27692</v>
      </c>
      <c r="G9709" s="3">
        <v>0.0</v>
      </c>
      <c r="H9709" s="3">
        <v>0.0</v>
      </c>
      <c r="I9709" s="3" t="s">
        <v>13</v>
      </c>
      <c r="J9709" s="3" t="s">
        <v>27693</v>
      </c>
      <c r="K9709" s="3" t="s">
        <v>71</v>
      </c>
      <c r="L9709" s="3" t="str">
        <f>IFERROR(__xludf.DUMMYFUNCTION("GOOGLETRANSLATE(F9709,""id"",""en"")"),"Although finally winning the world title Messi did not want to retire from the Argentine national team, see more here")</f>
        <v>Although finally winning the world title Messi did not want to retire from the Argentine national team, see more here</v>
      </c>
    </row>
    <row r="9710" ht="15.75" customHeight="1">
      <c r="A9710" s="1">
        <v>10943.0</v>
      </c>
      <c r="B9710" s="3" t="s">
        <v>27694</v>
      </c>
      <c r="C9710" s="3">
        <v>1.0</v>
      </c>
      <c r="D9710" s="3">
        <v>0.0</v>
      </c>
      <c r="E9710" s="3">
        <v>4.0</v>
      </c>
      <c r="F9710" s="3" t="s">
        <v>27695</v>
      </c>
      <c r="G9710" s="3">
        <v>0.0</v>
      </c>
      <c r="H9710" s="3">
        <v>0.0</v>
      </c>
      <c r="I9710" s="3" t="s">
        <v>13</v>
      </c>
      <c r="J9710" s="3" t="s">
        <v>27696</v>
      </c>
      <c r="K9710" s="3" t="s">
        <v>510</v>
      </c>
      <c r="L9710" s="3" t="str">
        <f>IFERROR(__xludf.DUMMYFUNCTION("GOOGLETRANSLATE(F9710,""id"",""en"")"),"I already tweeted from December if my prediction Argentina will win the World Cup this year")</f>
        <v>I already tweeted from December if my prediction Argentina will win the World Cup this year</v>
      </c>
    </row>
    <row r="9711" ht="15.75" customHeight="1">
      <c r="A9711" s="1">
        <v>10944.0</v>
      </c>
      <c r="B9711" s="3" t="s">
        <v>27697</v>
      </c>
      <c r="C9711" s="3">
        <v>0.0</v>
      </c>
      <c r="D9711" s="3">
        <v>0.0</v>
      </c>
      <c r="E9711" s="3">
        <v>0.0</v>
      </c>
      <c r="F9711" s="3" t="s">
        <v>27698</v>
      </c>
      <c r="G9711" s="3">
        <v>0.0</v>
      </c>
      <c r="H9711" s="3">
        <v>0.0</v>
      </c>
      <c r="I9711" s="3" t="s">
        <v>13</v>
      </c>
      <c r="J9711" s="3" t="s">
        <v>27699</v>
      </c>
      <c r="K9711" s="3" t="s">
        <v>244</v>
      </c>
      <c r="L9711" s="3" t="str">
        <f>IFERROR(__xludf.DUMMYFUNCTION("GOOGLETRANSLATE(F9711,""id"",""en"")"),"Argentina Champion World Cup Messi and Mbappe are the same as winning these two individual titles")</f>
        <v>Argentina Champion World Cup Messi and Mbappe are the same as winning these two individual titles</v>
      </c>
    </row>
    <row r="9712" ht="15.75" customHeight="1">
      <c r="A9712" s="1">
        <v>10945.0</v>
      </c>
      <c r="B9712" s="3" t="s">
        <v>27700</v>
      </c>
      <c r="C9712" s="3">
        <v>1.0</v>
      </c>
      <c r="D9712" s="3">
        <v>0.0</v>
      </c>
      <c r="E9712" s="3">
        <v>0.0</v>
      </c>
      <c r="F9712" s="3" t="s">
        <v>27701</v>
      </c>
      <c r="G9712" s="3">
        <v>0.0</v>
      </c>
      <c r="H9712" s="3">
        <v>0.0</v>
      </c>
      <c r="I9712" s="3" t="s">
        <v>13</v>
      </c>
      <c r="J9712" s="3" t="s">
        <v>27702</v>
      </c>
      <c r="K9712" s="3" t="s">
        <v>510</v>
      </c>
      <c r="L9712" s="3" t="str">
        <f>IFERROR(__xludf.DUMMYFUNCTION("GOOGLETRANSLATE(F9712,""id"",""en"")"),"Last year I tweeted like this and was really Argentina champion wkwkwkwkwk was really handsome")</f>
        <v>Last year I tweeted like this and was really Argentina champion wkwkwkwkwk was really handsome</v>
      </c>
    </row>
    <row r="9713" ht="15.75" customHeight="1">
      <c r="A9713" s="1">
        <v>10946.0</v>
      </c>
      <c r="B9713" s="3" t="s">
        <v>27703</v>
      </c>
      <c r="C9713" s="3">
        <v>0.0</v>
      </c>
      <c r="D9713" s="3">
        <v>0.0</v>
      </c>
      <c r="E9713" s="3">
        <v>0.0</v>
      </c>
      <c r="F9713" s="3" t="s">
        <v>27704</v>
      </c>
      <c r="G9713" s="3">
        <v>0.0</v>
      </c>
      <c r="H9713" s="3">
        <v>0.0</v>
      </c>
      <c r="I9713" s="3" t="s">
        <v>13</v>
      </c>
      <c r="J9713" s="3" t="s">
        <v>27705</v>
      </c>
      <c r="K9713" s="3" t="s">
        <v>903</v>
      </c>
      <c r="L9713" s="3" t="str">
        <f>IFERROR(__xludf.DUMMYFUNCTION("GOOGLETRANSLATE(F9713,""id"",""en"")"),"wkwk yeah, yes, I saw my own confused because it should not be pinalty but instead it was given a pinalty because it was clear if the camera was important")</f>
        <v>wkwk yeah, yes, I saw my own confused because it should not be pinalty but instead it was given a pinalty because it was clear if the camera was important</v>
      </c>
    </row>
    <row r="9714" ht="15.75" customHeight="1">
      <c r="A9714" s="1">
        <v>10947.0</v>
      </c>
      <c r="B9714" s="3" t="s">
        <v>27706</v>
      </c>
      <c r="C9714" s="3">
        <v>1.0</v>
      </c>
      <c r="D9714" s="3">
        <v>1.0</v>
      </c>
      <c r="E9714" s="3">
        <v>15.0</v>
      </c>
      <c r="F9714" s="3" t="s">
        <v>27707</v>
      </c>
      <c r="G9714" s="3">
        <v>0.0</v>
      </c>
      <c r="H9714" s="3">
        <v>0.0</v>
      </c>
      <c r="I9714" s="3" t="s">
        <v>13</v>
      </c>
      <c r="J9714" s="3" t="s">
        <v>27708</v>
      </c>
      <c r="K9714" s="3" t="s">
        <v>82</v>
      </c>
      <c r="L9714" s="3" t="str">
        <f>IFERROR(__xludf.DUMMYFUNCTION("GOOGLETRANSLATE(F9714,""id"",""en"")"),"Dramatic Argentina Champion After Defeating France Adu Penalty")</f>
        <v>Dramatic Argentina Champion After Defeating France Adu Penalty</v>
      </c>
    </row>
    <row r="9715" ht="15.75" customHeight="1">
      <c r="A9715" s="1">
        <v>10948.0</v>
      </c>
      <c r="B9715" s="3" t="s">
        <v>27709</v>
      </c>
      <c r="C9715" s="3">
        <v>1.0</v>
      </c>
      <c r="D9715" s="3">
        <v>0.0</v>
      </c>
      <c r="E9715" s="3">
        <v>0.0</v>
      </c>
      <c r="F9715" s="3" t="s">
        <v>27710</v>
      </c>
      <c r="G9715" s="3">
        <v>0.0</v>
      </c>
      <c r="H9715" s="3">
        <v>0.0</v>
      </c>
      <c r="I9715" s="3" t="s">
        <v>13</v>
      </c>
      <c r="J9715" s="3" t="s">
        <v>27711</v>
      </c>
      <c r="K9715" s="3" t="s">
        <v>15</v>
      </c>
      <c r="L9715" s="3" t="str">
        <f>IFERROR(__xludf.DUMMYFUNCTION("GOOGLETRANSLATE(F9715,""id"",""en"")"),"Argentina champions with this debate who is the best between Messi and Ronaldo is finished")</f>
        <v>Argentina champions with this debate who is the best between Messi and Ronaldo is finished</v>
      </c>
    </row>
    <row r="9716" ht="15.75" customHeight="1">
      <c r="A9716" s="1">
        <v>10949.0</v>
      </c>
      <c r="B9716" s="3" t="s">
        <v>27712</v>
      </c>
      <c r="C9716" s="3">
        <v>0.0</v>
      </c>
      <c r="D9716" s="3">
        <v>0.0</v>
      </c>
      <c r="E9716" s="3">
        <v>1.0</v>
      </c>
      <c r="F9716" s="3" t="s">
        <v>27713</v>
      </c>
      <c r="G9716" s="3">
        <v>0.0</v>
      </c>
      <c r="H9716" s="3">
        <v>0.0</v>
      </c>
      <c r="I9716" s="3" t="s">
        <v>13</v>
      </c>
      <c r="J9716" s="3" t="s">
        <v>27714</v>
      </c>
      <c r="K9716" s="3" t="s">
        <v>50</v>
      </c>
      <c r="L9716" s="3" t="str">
        <f>IFERROR(__xludf.DUMMYFUNCTION("GOOGLETRANSLATE(F9716,""id"",""en"")"),"Ronaldo Praise and congratulate Messi after bringing Argentina World Cup champions")</f>
        <v>Ronaldo Praise and congratulate Messi after bringing Argentina World Cup champions</v>
      </c>
    </row>
    <row r="9717" ht="15.75" customHeight="1">
      <c r="A9717" s="1">
        <v>10950.0</v>
      </c>
      <c r="B9717" s="3" t="s">
        <v>27715</v>
      </c>
      <c r="C9717" s="3">
        <v>0.0</v>
      </c>
      <c r="D9717" s="3">
        <v>0.0</v>
      </c>
      <c r="E9717" s="3">
        <v>0.0</v>
      </c>
      <c r="F9717" s="3" t="s">
        <v>27716</v>
      </c>
      <c r="G9717" s="3">
        <v>0.3</v>
      </c>
      <c r="H9717" s="3">
        <v>0.2</v>
      </c>
      <c r="I9717" s="3" t="s">
        <v>48</v>
      </c>
      <c r="J9717" s="3" t="s">
        <v>27717</v>
      </c>
      <c r="K9717" s="3" t="s">
        <v>657</v>
      </c>
      <c r="L9717" s="3" t="str">
        <f>IFERROR(__xludf.DUMMYFUNCTION("GOOGLETRANSLATE(F9717,""id"",""en"")"),"I want to ask, I have seen a Real Madrid fan update on social media about Argentina to be the champion of the pildun not yet")</f>
        <v>I want to ask, I have seen a Real Madrid fan update on social media about Argentina to be the champion of the pildun not yet</v>
      </c>
    </row>
    <row r="9718" ht="15.75" customHeight="1">
      <c r="A9718" s="1">
        <v>10951.0</v>
      </c>
      <c r="B9718" s="3" t="s">
        <v>27718</v>
      </c>
      <c r="C9718" s="3">
        <v>0.0</v>
      </c>
      <c r="D9718" s="3">
        <v>0.0</v>
      </c>
      <c r="E9718" s="3">
        <v>1.0</v>
      </c>
      <c r="F9718" s="3" t="s">
        <v>27321</v>
      </c>
      <c r="G9718" s="3">
        <v>0.0</v>
      </c>
      <c r="H9718" s="3">
        <v>0.0</v>
      </c>
      <c r="I9718" s="3" t="s">
        <v>13</v>
      </c>
      <c r="J9718" s="3" t="s">
        <v>27322</v>
      </c>
      <c r="K9718" s="3" t="s">
        <v>82</v>
      </c>
      <c r="L9718" s="3" t="str">
        <f>IFERROR(__xludf.DUMMYFUNCTION("GOOGLETRANSLATE(F9718,""id"",""en"")"),"Argentine World Cup Nobar Champion Most Champion")</f>
        <v>Argentine World Cup Nobar Champion Most Champion</v>
      </c>
    </row>
    <row r="9719" ht="15.75" customHeight="1">
      <c r="A9719" s="1">
        <v>10952.0</v>
      </c>
      <c r="B9719" s="3" t="s">
        <v>27719</v>
      </c>
      <c r="C9719" s="3">
        <v>0.0</v>
      </c>
      <c r="D9719" s="3">
        <v>0.0</v>
      </c>
      <c r="E9719" s="3">
        <v>0.0</v>
      </c>
      <c r="F9719" s="3" t="s">
        <v>27720</v>
      </c>
      <c r="G9719" s="3">
        <v>0.0</v>
      </c>
      <c r="H9719" s="3">
        <v>0.0</v>
      </c>
      <c r="I9719" s="3" t="s">
        <v>13</v>
      </c>
      <c r="J9719" s="3" t="s">
        <v>27721</v>
      </c>
      <c r="K9719" s="3" t="s">
        <v>899</v>
      </c>
      <c r="L9719" s="3" t="str">
        <f>IFERROR(__xludf.DUMMYFUNCTION("GOOGLETRANSLATE(F9719,""id"",""en"")"),"Luis Figo Ama Rui Costa once won what Argentina has the late Diego clearly the inspiration of Leo Messi and his friends Portugal became Diego so the inspiration for generations")</f>
        <v>Luis Figo Ama Rui Costa once won what Argentina has the late Diego clearly the inspiration of Leo Messi and his friends Portugal became Diego so the inspiration for generations</v>
      </c>
    </row>
    <row r="9720" ht="15.75" customHeight="1">
      <c r="A9720" s="1">
        <v>10953.0</v>
      </c>
      <c r="B9720" s="3" t="s">
        <v>27722</v>
      </c>
      <c r="C9720" s="3">
        <v>0.0</v>
      </c>
      <c r="D9720" s="3">
        <v>0.0</v>
      </c>
      <c r="E9720" s="3">
        <v>0.0</v>
      </c>
      <c r="F9720" s="3" t="s">
        <v>27519</v>
      </c>
      <c r="G9720" s="3">
        <v>1.0</v>
      </c>
      <c r="H9720" s="3">
        <v>0.0</v>
      </c>
      <c r="I9720" s="3" t="s">
        <v>13</v>
      </c>
      <c r="J9720" s="3" t="s">
        <v>27520</v>
      </c>
      <c r="K9720" s="3" t="s">
        <v>127</v>
      </c>
      <c r="L9720" s="3" t="str">
        <f>IFERROR(__xludf.DUMMYFUNCTION("GOOGLETRANSLATE(F9720,""id"",""en"")"),"Angel Maria and Lionel Messi Abadi became the people of Dewa Argentina after the World Cup Final Champion of all time")</f>
        <v>Angel Maria and Lionel Messi Abadi became the people of Dewa Argentina after the World Cup Final Champion of all time</v>
      </c>
    </row>
    <row r="9721" ht="15.75" customHeight="1">
      <c r="A9721" s="1">
        <v>10954.0</v>
      </c>
      <c r="B9721" s="3" t="s">
        <v>27723</v>
      </c>
      <c r="C9721" s="3">
        <v>1.0</v>
      </c>
      <c r="D9721" s="3">
        <v>0.0</v>
      </c>
      <c r="E9721" s="3">
        <v>0.0</v>
      </c>
      <c r="F9721" s="3" t="s">
        <v>27724</v>
      </c>
      <c r="G9721" s="3">
        <v>0.0</v>
      </c>
      <c r="H9721" s="3">
        <v>0.0</v>
      </c>
      <c r="I9721" s="3" t="s">
        <v>13</v>
      </c>
      <c r="J9721" s="3" t="s">
        <v>27725</v>
      </c>
      <c r="K9721" s="3" t="s">
        <v>19410</v>
      </c>
      <c r="L9721" s="3" t="str">
        <f>IFERROR(__xludf.DUMMYFUNCTION("GOOGLETRANSLATE(F9721,""id"",""en"")"),"Argentina Mario Kempes Argentina Diego Maradona Argentina Lionel Messi I am Argentine fans since seeing Maradona TVRI need long to see Argentina champions again")</f>
        <v>Argentina Mario Kempes Argentina Diego Maradona Argentina Lionel Messi I am Argentine fans since seeing Maradona TVRI need long to see Argentina champions again</v>
      </c>
    </row>
    <row r="9722" ht="15.75" customHeight="1">
      <c r="A9722" s="1">
        <v>10955.0</v>
      </c>
      <c r="B9722" s="3" t="s">
        <v>27726</v>
      </c>
      <c r="C9722" s="3">
        <v>0.0</v>
      </c>
      <c r="D9722" s="3">
        <v>0.0</v>
      </c>
      <c r="E9722" s="3">
        <v>1.0</v>
      </c>
      <c r="F9722" s="3" t="s">
        <v>27727</v>
      </c>
      <c r="G9722" s="3">
        <v>0.0</v>
      </c>
      <c r="H9722" s="3">
        <v>0.0</v>
      </c>
      <c r="I9722" s="3" t="s">
        <v>13</v>
      </c>
      <c r="J9722" s="3" t="s">
        <v>27728</v>
      </c>
      <c r="K9722" s="3" t="s">
        <v>15</v>
      </c>
      <c r="L9722" s="3" t="str">
        <f>IFERROR(__xludf.DUMMYFUNCTION("GOOGLETRANSLATE(F9722,""id"",""en"")"),"Maybe the secret of Argentina is a shaman champion from Indonesia Halaaaa Messi")</f>
        <v>Maybe the secret of Argentina is a shaman champion from Indonesia Halaaaa Messi</v>
      </c>
    </row>
    <row r="9723" ht="15.75" customHeight="1">
      <c r="A9723" s="1">
        <v>10956.0</v>
      </c>
      <c r="B9723" s="3" t="s">
        <v>27729</v>
      </c>
      <c r="C9723" s="3">
        <v>0.0</v>
      </c>
      <c r="D9723" s="3">
        <v>0.0</v>
      </c>
      <c r="E9723" s="3">
        <v>0.0</v>
      </c>
      <c r="F9723" s="3" t="s">
        <v>16103</v>
      </c>
      <c r="G9723" s="3">
        <v>0.0</v>
      </c>
      <c r="H9723" s="3">
        <v>0.0</v>
      </c>
      <c r="I9723" s="3" t="s">
        <v>13</v>
      </c>
      <c r="J9723" s="3" t="s">
        <v>16104</v>
      </c>
      <c r="K9723" s="3" t="s">
        <v>14571</v>
      </c>
      <c r="L9723" s="3" t="str">
        <f>IFERROR(__xludf.DUMMYFUNCTION("GOOGLETRANSLATE(F9723,""id"",""en"")"),"Argentina Champion")</f>
        <v>Argentina Champion</v>
      </c>
    </row>
    <row r="9724" ht="15.75" customHeight="1">
      <c r="A9724" s="1">
        <v>10957.0</v>
      </c>
      <c r="B9724" s="3" t="s">
        <v>27730</v>
      </c>
      <c r="C9724" s="3">
        <v>0.0</v>
      </c>
      <c r="D9724" s="3">
        <v>0.0</v>
      </c>
      <c r="E9724" s="3">
        <v>1.0</v>
      </c>
      <c r="F9724" s="3" t="s">
        <v>27731</v>
      </c>
      <c r="G9724" s="3">
        <v>0.0</v>
      </c>
      <c r="H9724" s="3">
        <v>0.0</v>
      </c>
      <c r="I9724" s="3" t="s">
        <v>13</v>
      </c>
      <c r="J9724" s="3" t="s">
        <v>27732</v>
      </c>
      <c r="K9724" s="3" t="s">
        <v>71</v>
      </c>
      <c r="L9724" s="3" t="str">
        <f>IFERROR(__xludf.DUMMYFUNCTION("GOOGLETRANSLATE(F9724,""id"",""en"")"),"The fact of Leo Messi after the World Cup champion successfully adopted the image of Argentina who had jumped into the umbrella")</f>
        <v>The fact of Leo Messi after the World Cup champion successfully adopted the image of Argentina who had jumped into the umbrella</v>
      </c>
    </row>
    <row r="9725" ht="15.75" customHeight="1">
      <c r="A9725" s="1">
        <v>10958.0</v>
      </c>
      <c r="B9725" s="3" t="s">
        <v>27733</v>
      </c>
      <c r="C9725" s="3">
        <v>1.0</v>
      </c>
      <c r="D9725" s="3">
        <v>0.0</v>
      </c>
      <c r="E9725" s="3">
        <v>1.0</v>
      </c>
      <c r="F9725" s="3" t="s">
        <v>27734</v>
      </c>
      <c r="G9725" s="3">
        <v>0.0</v>
      </c>
      <c r="H9725" s="3">
        <v>0.0</v>
      </c>
      <c r="I9725" s="3" t="s">
        <v>13</v>
      </c>
      <c r="J9725" s="3" t="s">
        <v>27735</v>
      </c>
      <c r="K9725" s="3" t="s">
        <v>165</v>
      </c>
      <c r="L9725" s="3" t="str">
        <f>IFERROR(__xludf.DUMMYFUNCTION("GOOGLETRANSLATE(F9725,""id"",""en"")"),"he means maybe the context of soccer bang means that the history of Argentina is already not strange before I ever won the World Cup try occasionally to understand the meaning of others first when it was immediately labeled often bol")</f>
        <v>he means maybe the context of soccer bang means that the history of Argentina is already not strange before I ever won the World Cup try occasionally to understand the meaning of others first when it was immediately labeled often bol</v>
      </c>
    </row>
    <row r="9726" ht="15.75" customHeight="1">
      <c r="A9726" s="1">
        <v>10959.0</v>
      </c>
      <c r="B9726" s="3" t="s">
        <v>27736</v>
      </c>
      <c r="C9726" s="3">
        <v>0.0</v>
      </c>
      <c r="D9726" s="3">
        <v>0.0</v>
      </c>
      <c r="E9726" s="3">
        <v>0.0</v>
      </c>
      <c r="F9726" s="3" t="s">
        <v>25269</v>
      </c>
      <c r="G9726" s="3">
        <v>0.0</v>
      </c>
      <c r="H9726" s="3">
        <v>0.0</v>
      </c>
      <c r="I9726" s="3" t="s">
        <v>13</v>
      </c>
      <c r="J9726" s="3" t="s">
        <v>25270</v>
      </c>
      <c r="K9726" s="3" t="s">
        <v>510</v>
      </c>
      <c r="L9726" s="3" t="str">
        <f>IFERROR(__xludf.DUMMYFUNCTION("GOOGLETRANSLATE(F9726,""id"",""en"")"),"Makes Prabowo and TNI Commander's answer, Jokowi's answer when asked about Argentina to become the World Cup champion")</f>
        <v>Makes Prabowo and TNI Commander's answer, Jokowi's answer when asked about Argentina to become the World Cup champion</v>
      </c>
    </row>
    <row r="9727" ht="15.75" customHeight="1">
      <c r="A9727" s="1">
        <v>10960.0</v>
      </c>
      <c r="B9727" s="3" t="s">
        <v>27737</v>
      </c>
      <c r="C9727" s="3">
        <v>0.0</v>
      </c>
      <c r="D9727" s="3">
        <v>0.0</v>
      </c>
      <c r="E9727" s="3">
        <v>0.0</v>
      </c>
      <c r="F9727" s="3" t="s">
        <v>25269</v>
      </c>
      <c r="G9727" s="3">
        <v>0.0</v>
      </c>
      <c r="H9727" s="3">
        <v>0.0</v>
      </c>
      <c r="I9727" s="3" t="s">
        <v>13</v>
      </c>
      <c r="J9727" s="3" t="s">
        <v>25270</v>
      </c>
      <c r="K9727" s="3" t="s">
        <v>510</v>
      </c>
      <c r="L9727" s="3" t="str">
        <f>IFERROR(__xludf.DUMMYFUNCTION("GOOGLETRANSLATE(F9727,""id"",""en"")"),"Makes Prabowo and TNI Commander's answer, Jokowi's answer when asked about Argentina to become the World Cup champion")</f>
        <v>Makes Prabowo and TNI Commander's answer, Jokowi's answer when asked about Argentina to become the World Cup champion</v>
      </c>
    </row>
    <row r="9728" ht="15.75" customHeight="1">
      <c r="A9728" s="1">
        <v>10961.0</v>
      </c>
      <c r="B9728" s="3" t="s">
        <v>27738</v>
      </c>
      <c r="C9728" s="3">
        <v>1.0</v>
      </c>
      <c r="D9728" s="3">
        <v>0.0</v>
      </c>
      <c r="E9728" s="3">
        <v>0.0</v>
      </c>
      <c r="F9728" s="3" t="s">
        <v>27739</v>
      </c>
      <c r="G9728" s="3">
        <v>0.0</v>
      </c>
      <c r="H9728" s="3">
        <v>0.0</v>
      </c>
      <c r="I9728" s="3" t="s">
        <v>13</v>
      </c>
      <c r="J9728" s="3" t="s">
        <v>27740</v>
      </c>
      <c r="K9728" s="3" t="s">
        <v>15</v>
      </c>
      <c r="L9728" s="3" t="str">
        <f>IFERROR(__xludf.DUMMYFUNCTION("GOOGLETRANSLATE(F9728,""id"",""en"")"),"ehh Argentina Wahh champion is not bad for free tickets")</f>
        <v>ehh Argentina Wahh champion is not bad for free tickets</v>
      </c>
    </row>
    <row r="9729" ht="15.75" customHeight="1">
      <c r="A9729" s="1">
        <v>10962.0</v>
      </c>
      <c r="B9729" s="3" t="s">
        <v>27741</v>
      </c>
      <c r="C9729" s="3">
        <v>0.0</v>
      </c>
      <c r="D9729" s="3">
        <v>0.0</v>
      </c>
      <c r="E9729" s="3">
        <v>0.0</v>
      </c>
      <c r="F9729" s="3" t="s">
        <v>27742</v>
      </c>
      <c r="G9729" s="3">
        <v>0.0</v>
      </c>
      <c r="H9729" s="3">
        <v>0.0</v>
      </c>
      <c r="I9729" s="3" t="s">
        <v>13</v>
      </c>
      <c r="J9729" s="3" t="s">
        <v>27743</v>
      </c>
      <c r="K9729" s="3" t="s">
        <v>2117</v>
      </c>
      <c r="L9729" s="3" t="str">
        <f>IFERROR(__xludf.DUMMYFUNCTION("GOOGLETRANSLATE(F9729,""id"",""en"")"),"cuy champion in Argentina")</f>
        <v>cuy champion in Argentina</v>
      </c>
    </row>
    <row r="9730" ht="15.75" customHeight="1">
      <c r="A9730" s="1">
        <v>10963.0</v>
      </c>
      <c r="B9730" s="3" t="s">
        <v>27744</v>
      </c>
      <c r="C9730" s="3">
        <v>0.0</v>
      </c>
      <c r="D9730" s="3">
        <v>0.0</v>
      </c>
      <c r="E9730" s="3">
        <v>0.0</v>
      </c>
      <c r="F9730" s="3" t="s">
        <v>27745</v>
      </c>
      <c r="G9730" s="3">
        <v>0.0</v>
      </c>
      <c r="H9730" s="3">
        <v>0.0</v>
      </c>
      <c r="I9730" s="3" t="s">
        <v>13</v>
      </c>
      <c r="J9730" s="3" t="s">
        <v>27746</v>
      </c>
      <c r="K9730" s="3" t="s">
        <v>54</v>
      </c>
      <c r="L9730" s="3" t="str">
        <f>IFERROR(__xludf.DUMMYFUNCTION("GOOGLETRANSLATE(F9730,""id"",""en"")"),"there are many controversies but the champion is Argentina")</f>
        <v>there are many controversies but the champion is Argentina</v>
      </c>
    </row>
    <row r="9731" ht="15.75" customHeight="1">
      <c r="A9731" s="1">
        <v>10964.0</v>
      </c>
      <c r="B9731" s="3" t="s">
        <v>27747</v>
      </c>
      <c r="C9731" s="3">
        <v>1.0</v>
      </c>
      <c r="D9731" s="3">
        <v>0.0</v>
      </c>
      <c r="E9731" s="3">
        <v>0.0</v>
      </c>
      <c r="F9731" s="3" t="s">
        <v>27748</v>
      </c>
      <c r="G9731" s="3">
        <v>0.0</v>
      </c>
      <c r="H9731" s="3">
        <v>0.0</v>
      </c>
      <c r="I9731" s="3" t="s">
        <v>13</v>
      </c>
      <c r="J9731" s="3" t="s">
        <v>27749</v>
      </c>
      <c r="K9731" s="3" t="s">
        <v>15</v>
      </c>
      <c r="L9731" s="3" t="str">
        <f>IFERROR(__xludf.DUMMYFUNCTION("GOOGLETRANSLATE(F9731,""id"",""en"")"),"the one who champions Argentina who lost France who worked sleepy like me")</f>
        <v>the one who champions Argentina who lost France who worked sleepy like me</v>
      </c>
    </row>
    <row r="9732" ht="15.75" customHeight="1">
      <c r="A9732" s="1">
        <v>10965.0</v>
      </c>
      <c r="B9732" s="3" t="s">
        <v>27750</v>
      </c>
      <c r="C9732" s="3">
        <v>1.0</v>
      </c>
      <c r="D9732" s="3">
        <v>1.0</v>
      </c>
      <c r="E9732" s="3">
        <v>13.0</v>
      </c>
      <c r="F9732" s="3" t="s">
        <v>27751</v>
      </c>
      <c r="G9732" s="3">
        <v>0.3333333333333333</v>
      </c>
      <c r="H9732" s="3">
        <v>0.1666666666666667</v>
      </c>
      <c r="I9732" s="3" t="s">
        <v>48</v>
      </c>
      <c r="J9732" s="3" t="s">
        <v>27752</v>
      </c>
      <c r="K9732" s="3" t="s">
        <v>58</v>
      </c>
      <c r="L9732" s="3" t="str">
        <f>IFERROR(__xludf.DUMMYFUNCTION("GOOGLETRANSLATE(F9732,""id"",""en"")"),"Type of Argentine Soccer Player Type Mbappe Champion Memenk may play football as long as you don't take Takatek")</f>
        <v>Type of Argentine Soccer Player Type Mbappe Champion Memenk may play football as long as you don't take Takatek</v>
      </c>
    </row>
    <row r="9733" ht="15.75" customHeight="1">
      <c r="A9733" s="1">
        <v>10966.0</v>
      </c>
      <c r="B9733" s="3" t="s">
        <v>27753</v>
      </c>
      <c r="C9733" s="3">
        <v>0.0</v>
      </c>
      <c r="D9733" s="3">
        <v>0.0</v>
      </c>
      <c r="E9733" s="3">
        <v>0.0</v>
      </c>
      <c r="F9733" s="3" t="s">
        <v>27754</v>
      </c>
      <c r="G9733" s="3">
        <v>0.0</v>
      </c>
      <c r="H9733" s="3">
        <v>0.0</v>
      </c>
      <c r="I9733" s="3" t="s">
        <v>13</v>
      </c>
      <c r="J9733" s="3" t="s">
        <v>27755</v>
      </c>
      <c r="K9733" s="3" t="s">
        <v>50</v>
      </c>
      <c r="L9733" s="3" t="str">
        <f>IFERROR(__xludf.DUMMYFUNCTION("GOOGLETRANSLATE(F9733,""id"",""en"")"),"managed to bring Argentina World Cup champion Messi broke five records by")</f>
        <v>managed to bring Argentina World Cup champion Messi broke five records by</v>
      </c>
    </row>
    <row r="9734" ht="15.75" customHeight="1">
      <c r="A9734" s="1">
        <v>10967.0</v>
      </c>
      <c r="B9734" s="3" t="s">
        <v>27756</v>
      </c>
      <c r="C9734" s="3">
        <v>0.0</v>
      </c>
      <c r="D9734" s="3">
        <v>0.0</v>
      </c>
      <c r="E9734" s="3">
        <v>0.0</v>
      </c>
      <c r="F9734" s="3" t="s">
        <v>22241</v>
      </c>
      <c r="G9734" s="3">
        <v>0.0</v>
      </c>
      <c r="H9734" s="3">
        <v>0.0</v>
      </c>
      <c r="I9734" s="3" t="s">
        <v>13</v>
      </c>
      <c r="J9734" s="3" t="s">
        <v>16942</v>
      </c>
      <c r="K9734" s="3" t="s">
        <v>644</v>
      </c>
      <c r="L9734" s="3" t="str">
        <f>IFERROR(__xludf.DUMMYFUNCTION("GOOGLETRANSLATE(F9734,""id"",""en"")"),"Argentina Champion World Cup")</f>
        <v>Argentina Champion World Cup</v>
      </c>
    </row>
    <row r="9735" ht="15.75" customHeight="1">
      <c r="A9735" s="1">
        <v>10968.0</v>
      </c>
      <c r="B9735" s="3" t="s">
        <v>27757</v>
      </c>
      <c r="C9735" s="3">
        <v>1.0</v>
      </c>
      <c r="D9735" s="3">
        <v>0.0</v>
      </c>
      <c r="E9735" s="3">
        <v>31.0</v>
      </c>
      <c r="F9735" s="3" t="s">
        <v>27758</v>
      </c>
      <c r="G9735" s="3">
        <v>0.0</v>
      </c>
      <c r="H9735" s="3">
        <v>0.0</v>
      </c>
      <c r="I9735" s="3" t="s">
        <v>13</v>
      </c>
      <c r="J9735" s="3" t="s">
        <v>27759</v>
      </c>
      <c r="K9735" s="3" t="s">
        <v>236</v>
      </c>
      <c r="L9735" s="3" t="str">
        <f>IFERROR(__xludf.DUMMYFUNCTION("GOOGLETRANSLATE(F9735,""id"",""en"")"),"Redsindo Giorgina Ronaldo celebrates Argentina's world champion not Argentina")</f>
        <v>Redsindo Giorgina Ronaldo celebrates Argentina's world champion not Argentina</v>
      </c>
    </row>
    <row r="9736" ht="15.75" customHeight="1">
      <c r="A9736" s="1">
        <v>10969.0</v>
      </c>
      <c r="B9736" s="3" t="s">
        <v>27760</v>
      </c>
      <c r="C9736" s="3">
        <v>0.0</v>
      </c>
      <c r="D9736" s="3">
        <v>0.0</v>
      </c>
      <c r="E9736" s="3">
        <v>0.0</v>
      </c>
      <c r="F9736" s="3" t="s">
        <v>27761</v>
      </c>
      <c r="G9736" s="3">
        <v>0.4</v>
      </c>
      <c r="H9736" s="3">
        <v>0.4</v>
      </c>
      <c r="I9736" s="3" t="s">
        <v>48</v>
      </c>
      <c r="J9736" s="3" t="s">
        <v>27762</v>
      </c>
      <c r="K9736" s="3" t="s">
        <v>657</v>
      </c>
      <c r="L9736" s="3" t="str">
        <f>IFERROR(__xludf.DUMMYFUNCTION("GOOGLETRANSLATE(F9736,""id"",""en"")"),"I like the Argentine Edits Champion the most using Viva Vida sound because it feels more euphoric vibe")</f>
        <v>I like the Argentine Edits Champion the most using Viva Vida sound because it feels more euphoric vibe</v>
      </c>
    </row>
    <row r="9737" ht="15.75" customHeight="1">
      <c r="A9737" s="1">
        <v>10970.0</v>
      </c>
      <c r="B9737" s="3" t="s">
        <v>27763</v>
      </c>
      <c r="C9737" s="3">
        <v>0.0</v>
      </c>
      <c r="D9737" s="3">
        <v>0.0</v>
      </c>
      <c r="E9737" s="3">
        <v>0.0</v>
      </c>
      <c r="F9737" s="3" t="s">
        <v>27764</v>
      </c>
      <c r="G9737" s="3">
        <v>0.0</v>
      </c>
      <c r="H9737" s="3">
        <v>0.0</v>
      </c>
      <c r="I9737" s="3" t="s">
        <v>13</v>
      </c>
      <c r="J9737" s="3" t="s">
        <v>27765</v>
      </c>
      <c r="K9737" s="3" t="s">
        <v>1293</v>
      </c>
      <c r="L9737" s="3" t="str">
        <f>IFERROR(__xludf.DUMMYFUNCTION("GOOGLETRANSLATE(F9737,""id"",""en"")"),"Argentina's best year starting from winning the Copa America in the year Messi is able to win the Qatar World Cup title")</f>
        <v>Argentina's best year starting from winning the Copa America in the year Messi is able to win the Qatar World Cup title</v>
      </c>
    </row>
    <row r="9738" ht="15.75" customHeight="1">
      <c r="A9738" s="1">
        <v>10971.0</v>
      </c>
      <c r="B9738" s="3" t="s">
        <v>27766</v>
      </c>
      <c r="C9738" s="3">
        <v>0.0</v>
      </c>
      <c r="D9738" s="3">
        <v>0.0</v>
      </c>
      <c r="E9738" s="3">
        <v>0.0</v>
      </c>
      <c r="F9738" s="3" t="s">
        <v>27767</v>
      </c>
      <c r="G9738" s="3">
        <v>0.0</v>
      </c>
      <c r="H9738" s="3">
        <v>0.0</v>
      </c>
      <c r="I9738" s="3" t="s">
        <v>13</v>
      </c>
      <c r="J9738" s="3" t="s">
        <v>27768</v>
      </c>
      <c r="K9738" s="3" t="s">
        <v>236</v>
      </c>
      <c r="L9738" s="3" t="str">
        <f>IFERROR(__xludf.DUMMYFUNCTION("GOOGLETRANSLATE(F9738,""id"",""en"")"),"Argentina Champion I think there is a congratulatory poster from the political party")</f>
        <v>Argentina Champion I think there is a congratulatory poster from the political party</v>
      </c>
    </row>
    <row r="9739" ht="15.75" customHeight="1">
      <c r="A9739" s="1">
        <v>10972.0</v>
      </c>
      <c r="B9739" s="3" t="s">
        <v>27769</v>
      </c>
      <c r="C9739" s="3">
        <v>0.0</v>
      </c>
      <c r="D9739" s="3">
        <v>0.0</v>
      </c>
      <c r="E9739" s="3">
        <v>0.0</v>
      </c>
      <c r="F9739" s="3" t="s">
        <v>27770</v>
      </c>
      <c r="G9739" s="3">
        <v>0.0</v>
      </c>
      <c r="H9739" s="3">
        <v>0.0</v>
      </c>
      <c r="I9739" s="3" t="s">
        <v>13</v>
      </c>
      <c r="J9739" s="3" t="s">
        <v>27771</v>
      </c>
      <c r="K9739" s="3" t="s">
        <v>15</v>
      </c>
      <c r="L9739" s="3" t="str">
        <f>IFERROR(__xludf.DUMMYFUNCTION("GOOGLETRANSLATE(F9739,""id"",""en"")"),"Angel Maria's goal back to the Argentine title")</f>
        <v>Angel Maria's goal back to the Argentine title</v>
      </c>
    </row>
    <row r="9740" ht="15.75" customHeight="1">
      <c r="A9740" s="1">
        <v>10973.0</v>
      </c>
      <c r="B9740" s="3" t="s">
        <v>27772</v>
      </c>
      <c r="C9740" s="3">
        <v>0.0</v>
      </c>
      <c r="D9740" s="3">
        <v>0.0</v>
      </c>
      <c r="E9740" s="3">
        <v>0.0</v>
      </c>
      <c r="F9740" s="3" t="s">
        <v>27773</v>
      </c>
      <c r="G9740" s="3">
        <v>0.0</v>
      </c>
      <c r="H9740" s="3">
        <v>0.0</v>
      </c>
      <c r="I9740" s="3" t="s">
        <v>13</v>
      </c>
      <c r="J9740" s="3" t="s">
        <v>27774</v>
      </c>
      <c r="K9740" s="3" t="s">
        <v>71</v>
      </c>
      <c r="L9740" s="3" t="str">
        <f>IFERROR(__xludf.DUMMYFUNCTION("GOOGLETRANSLATE(F9740,""id"",""en"")"),"Antonella Roccuzzo's profile in the spotlight after Messi managed to bring Argentina to the Qatar World Cup championship")</f>
        <v>Antonella Roccuzzo's profile in the spotlight after Messi managed to bring Argentina to the Qatar World Cup championship</v>
      </c>
    </row>
    <row r="9741" ht="15.75" customHeight="1">
      <c r="A9741" s="1">
        <v>10974.0</v>
      </c>
      <c r="B9741" s="3" t="s">
        <v>27775</v>
      </c>
      <c r="C9741" s="3">
        <v>0.0</v>
      </c>
      <c r="D9741" s="3">
        <v>2.0</v>
      </c>
      <c r="E9741" s="3">
        <v>8.0</v>
      </c>
      <c r="F9741" s="3" t="s">
        <v>27776</v>
      </c>
      <c r="G9741" s="3">
        <v>0.0</v>
      </c>
      <c r="H9741" s="3">
        <v>0.0</v>
      </c>
      <c r="I9741" s="3" t="s">
        <v>13</v>
      </c>
      <c r="J9741" s="3" t="s">
        <v>27777</v>
      </c>
      <c r="K9741" s="3" t="s">
        <v>644</v>
      </c>
      <c r="L9741" s="3" t="str">
        <f>IFERROR(__xludf.DUMMYFUNCTION("GOOGLETRANSLATE(F9741,""id"",""en"")"),"Jokowi Argentina Era Champion")</f>
        <v>Jokowi Argentina Era Champion</v>
      </c>
    </row>
    <row r="9742" ht="15.75" customHeight="1">
      <c r="A9742" s="1">
        <v>10975.0</v>
      </c>
      <c r="B9742" s="3" t="s">
        <v>27778</v>
      </c>
      <c r="C9742" s="3">
        <v>0.0</v>
      </c>
      <c r="D9742" s="3">
        <v>0.0</v>
      </c>
      <c r="E9742" s="3">
        <v>0.0</v>
      </c>
      <c r="F9742" s="3" t="s">
        <v>24759</v>
      </c>
      <c r="G9742" s="3">
        <v>0.0</v>
      </c>
      <c r="H9742" s="3">
        <v>0.0</v>
      </c>
      <c r="I9742" s="3" t="s">
        <v>13</v>
      </c>
      <c r="J9742" s="3" t="s">
        <v>24760</v>
      </c>
      <c r="K9742" s="3" t="s">
        <v>495</v>
      </c>
      <c r="L9742" s="3" t="str">
        <f>IFERROR(__xludf.DUMMYFUNCTION("GOOGLETRANSLATE(F9742,""id"",""en"")"),"Emiliano Martinez hasn't even been established as the club's main goalkeeper three years ago and only debuted with Argentina in now the World Cup championship")</f>
        <v>Emiliano Martinez hasn't even been established as the club's main goalkeeper three years ago and only debuted with Argentina in now the World Cup championship</v>
      </c>
    </row>
    <row r="9743" ht="15.75" customHeight="1">
      <c r="A9743" s="1">
        <v>10976.0</v>
      </c>
      <c r="B9743" s="3" t="s">
        <v>27779</v>
      </c>
      <c r="C9743" s="3">
        <v>0.0</v>
      </c>
      <c r="D9743" s="3">
        <v>3.0</v>
      </c>
      <c r="E9743" s="3">
        <v>11.0</v>
      </c>
      <c r="F9743" s="3" t="s">
        <v>26705</v>
      </c>
      <c r="G9743" s="3">
        <v>1.0</v>
      </c>
      <c r="H9743" s="3">
        <v>0.0</v>
      </c>
      <c r="I9743" s="3" t="s">
        <v>13</v>
      </c>
      <c r="J9743" s="3" t="s">
        <v>26706</v>
      </c>
      <c r="K9743" s="3" t="s">
        <v>437</v>
      </c>
      <c r="L9743" s="3" t="str">
        <f>IFERROR(__xludf.DUMMYFUNCTION("GOOGLETRANSLATE(F9743,""id"",""en"")"),"Argentina Champion World Cup after defeating France Angel Maria once again showed the favore of the final match with Argentina")</f>
        <v>Argentina Champion World Cup after defeating France Angel Maria once again showed the favore of the final match with Argentina</v>
      </c>
    </row>
    <row r="9744" ht="15.75" customHeight="1">
      <c r="A9744" s="1">
        <v>10977.0</v>
      </c>
      <c r="B9744" s="3" t="s">
        <v>27780</v>
      </c>
      <c r="C9744" s="3">
        <v>0.0</v>
      </c>
      <c r="D9744" s="3">
        <v>0.0</v>
      </c>
      <c r="E9744" s="3">
        <v>0.0</v>
      </c>
      <c r="F9744" s="3" t="s">
        <v>27781</v>
      </c>
      <c r="G9744" s="3">
        <v>0.0</v>
      </c>
      <c r="H9744" s="3">
        <v>0.0</v>
      </c>
      <c r="I9744" s="3" t="s">
        <v>13</v>
      </c>
      <c r="J9744" s="3" t="s">
        <v>27782</v>
      </c>
      <c r="K9744" s="3" t="s">
        <v>19</v>
      </c>
      <c r="L9744" s="3" t="str">
        <f>IFERROR(__xludf.DUMMYFUNCTION("GOOGLETRANSLATE(F9744,""id"",""en"")"),"The winner who won the Argentina champion who was cooperated by netizens Iwan Bule wkwkwk anjirr cute bgt")</f>
        <v>The winner who won the Argentina champion who was cooperated by netizens Iwan Bule wkwkwk anjirr cute bgt</v>
      </c>
    </row>
    <row r="9745" ht="15.75" customHeight="1">
      <c r="A9745" s="1">
        <v>10978.0</v>
      </c>
      <c r="B9745" s="3" t="s">
        <v>27783</v>
      </c>
      <c r="C9745" s="3">
        <v>0.0</v>
      </c>
      <c r="D9745" s="3">
        <v>1.0</v>
      </c>
      <c r="E9745" s="3">
        <v>1.0</v>
      </c>
      <c r="F9745" s="3" t="s">
        <v>27784</v>
      </c>
      <c r="G9745" s="3">
        <v>0.0</v>
      </c>
      <c r="H9745" s="3">
        <v>0.0</v>
      </c>
      <c r="I9745" s="3" t="s">
        <v>13</v>
      </c>
      <c r="J9745" s="3" t="s">
        <v>27785</v>
      </c>
      <c r="K9745" s="3" t="s">
        <v>71</v>
      </c>
      <c r="L9745" s="3" t="str">
        <f>IFERROR(__xludf.DUMMYFUNCTION("GOOGLETRANSLATE(F9745,""id"",""en"")"),"Besides Argentina, the Qatari World Cup, the FIFA World Cup won through what year's penalties")</f>
        <v>Besides Argentina, the Qatari World Cup, the FIFA World Cup won through what year's penalties</v>
      </c>
    </row>
    <row r="9746" ht="15.75" customHeight="1">
      <c r="A9746" s="1">
        <v>10979.0</v>
      </c>
      <c r="B9746" s="3" t="s">
        <v>27786</v>
      </c>
      <c r="C9746" s="3">
        <v>0.0</v>
      </c>
      <c r="D9746" s="3">
        <v>0.0</v>
      </c>
      <c r="E9746" s="3">
        <v>0.0</v>
      </c>
      <c r="F9746" s="3" t="s">
        <v>27787</v>
      </c>
      <c r="G9746" s="3">
        <v>0.0</v>
      </c>
      <c r="H9746" s="3">
        <v>0.0</v>
      </c>
      <c r="I9746" s="3" t="s">
        <v>13</v>
      </c>
      <c r="J9746" s="3" t="s">
        <v>27788</v>
      </c>
      <c r="K9746" s="3" t="s">
        <v>123</v>
      </c>
      <c r="L9746" s="3" t="str">
        <f>IFERROR(__xludf.DUMMYFUNCTION("GOOGLETRANSLATE(F9746,""id"",""en"")"),"Argentine Heart Heart Pain Conspiracy Theory Champion is wrong because there are no acmilation players of the Argentine squad")</f>
        <v>Argentine Heart Heart Pain Conspiracy Theory Champion is wrong because there are no acmilation players of the Argentine squad</v>
      </c>
    </row>
    <row r="9747" ht="15.75" customHeight="1">
      <c r="A9747" s="1">
        <v>10980.0</v>
      </c>
      <c r="B9747" s="3" t="s">
        <v>27789</v>
      </c>
      <c r="C9747" s="3">
        <v>0.0</v>
      </c>
      <c r="D9747" s="3">
        <v>0.0</v>
      </c>
      <c r="E9747" s="3">
        <v>0.0</v>
      </c>
      <c r="F9747" s="3" t="s">
        <v>27790</v>
      </c>
      <c r="G9747" s="3">
        <v>0.0</v>
      </c>
      <c r="H9747" s="3">
        <v>0.0</v>
      </c>
      <c r="I9747" s="3" t="s">
        <v>13</v>
      </c>
      <c r="J9747" s="3" t="s">
        <v>27791</v>
      </c>
      <c r="K9747" s="3" t="s">
        <v>942</v>
      </c>
      <c r="L9747" s="3" t="str">
        <f>IFERROR(__xludf.DUMMYFUNCTION("GOOGLETRANSLATE(F9747,""id"",""en"")"),"Original cok I don't win the championship than champion because of being runner it feels more pleasant")</f>
        <v>Original cok I don't win the championship than champion because of being runner it feels more pleasant</v>
      </c>
    </row>
    <row r="9748" ht="15.75" customHeight="1">
      <c r="A9748" s="1">
        <v>10981.0</v>
      </c>
      <c r="B9748" s="3" t="s">
        <v>27792</v>
      </c>
      <c r="C9748" s="3">
        <v>0.0</v>
      </c>
      <c r="D9748" s="3">
        <v>0.0</v>
      </c>
      <c r="E9748" s="3">
        <v>0.0</v>
      </c>
      <c r="F9748" s="3" t="s">
        <v>27793</v>
      </c>
      <c r="G9748" s="3">
        <v>1.0</v>
      </c>
      <c r="H9748" s="3">
        <v>-0.5</v>
      </c>
      <c r="I9748" s="3" t="s">
        <v>179</v>
      </c>
      <c r="J9748" s="3" t="s">
        <v>27794</v>
      </c>
      <c r="K9748" s="3" t="s">
        <v>1465</v>
      </c>
      <c r="L9748" s="3" t="str">
        <f>IFERROR(__xludf.DUMMYFUNCTION("GOOGLETRANSLATE(F9748,""id"",""en"")"),"Look at this picture, I realize that the British is far behind the big country for the affairs of world champion football, even once the host has a controversial goal with Argentina France, European champions are not even more far away")</f>
        <v>Look at this picture, I realize that the British is far behind the big country for the affairs of world champion football, even once the host has a controversial goal with Argentina France, European champions are not even more far away</v>
      </c>
    </row>
    <row r="9749" ht="15.75" customHeight="1">
      <c r="A9749" s="1">
        <v>10982.0</v>
      </c>
      <c r="B9749" s="3" t="s">
        <v>27795</v>
      </c>
      <c r="C9749" s="3">
        <v>1.0</v>
      </c>
      <c r="D9749" s="3">
        <v>0.0</v>
      </c>
      <c r="E9749" s="3">
        <v>0.0</v>
      </c>
      <c r="F9749" s="3" t="s">
        <v>27796</v>
      </c>
      <c r="G9749" s="3">
        <v>0.0</v>
      </c>
      <c r="H9749" s="3">
        <v>0.0</v>
      </c>
      <c r="I9749" s="3" t="s">
        <v>13</v>
      </c>
      <c r="J9749" s="3" t="s">
        <v>27797</v>
      </c>
      <c r="K9749" s="3" t="s">
        <v>54</v>
      </c>
      <c r="L9749" s="3" t="str">
        <f>IFERROR(__xludf.DUMMYFUNCTION("GOOGLETRANSLATE(F9749,""id"",""en"")"),"finally the Jokowi Argentina era could win after last")</f>
        <v>finally the Jokowi Argentina era could win after last</v>
      </c>
    </row>
    <row r="9750" ht="15.75" customHeight="1">
      <c r="A9750" s="1">
        <v>10983.0</v>
      </c>
      <c r="B9750" s="3" t="s">
        <v>27798</v>
      </c>
      <c r="C9750" s="3">
        <v>0.0</v>
      </c>
      <c r="D9750" s="3">
        <v>0.0</v>
      </c>
      <c r="E9750" s="3">
        <v>0.0</v>
      </c>
      <c r="F9750" s="3" t="s">
        <v>24759</v>
      </c>
      <c r="G9750" s="3">
        <v>0.0</v>
      </c>
      <c r="H9750" s="3">
        <v>0.0</v>
      </c>
      <c r="I9750" s="3" t="s">
        <v>13</v>
      </c>
      <c r="J9750" s="3" t="s">
        <v>24760</v>
      </c>
      <c r="K9750" s="3" t="s">
        <v>495</v>
      </c>
      <c r="L9750" s="3" t="str">
        <f>IFERROR(__xludf.DUMMYFUNCTION("GOOGLETRANSLATE(F9750,""id"",""en"")"),"Emiliano Martinez hasn't even been established as the club's main goalkeeper three years ago and only debuted with Argentina in now the World Cup championship")</f>
        <v>Emiliano Martinez hasn't even been established as the club's main goalkeeper three years ago and only debuted with Argentina in now the World Cup championship</v>
      </c>
    </row>
    <row r="9751" ht="15.75" customHeight="1">
      <c r="A9751" s="1">
        <v>10984.0</v>
      </c>
      <c r="B9751" s="3" t="s">
        <v>27799</v>
      </c>
      <c r="C9751" s="3">
        <v>0.0</v>
      </c>
      <c r="D9751" s="3">
        <v>0.0</v>
      </c>
      <c r="E9751" s="3">
        <v>0.0</v>
      </c>
      <c r="F9751" s="3" t="s">
        <v>27800</v>
      </c>
      <c r="G9751" s="3">
        <v>0.0</v>
      </c>
      <c r="H9751" s="3">
        <v>0.0</v>
      </c>
      <c r="I9751" s="3" t="s">
        <v>13</v>
      </c>
      <c r="J9751" s="3" t="s">
        <v>27801</v>
      </c>
      <c r="K9751" s="3" t="s">
        <v>35</v>
      </c>
      <c r="L9751" s="3" t="str">
        <f>IFERROR(__xludf.DUMMYFUNCTION("GOOGLETRANSLATE(F9751,""id"",""en"")"),"Rahmat hahahahhahah yes again tomorrow tomorrow just watch the others, congratulations Argentina, sis, sis")</f>
        <v>Rahmat hahahahhahah yes again tomorrow tomorrow just watch the others, congratulations Argentina, sis, sis</v>
      </c>
    </row>
    <row r="9752" ht="15.75" customHeight="1">
      <c r="A9752" s="1">
        <v>10985.0</v>
      </c>
      <c r="B9752" s="3" t="s">
        <v>27802</v>
      </c>
      <c r="C9752" s="3">
        <v>0.0</v>
      </c>
      <c r="D9752" s="3">
        <v>0.0</v>
      </c>
      <c r="E9752" s="3">
        <v>0.0</v>
      </c>
      <c r="F9752" s="3" t="s">
        <v>27803</v>
      </c>
      <c r="G9752" s="3">
        <v>0.55</v>
      </c>
      <c r="H9752" s="3">
        <v>0.35</v>
      </c>
      <c r="I9752" s="3" t="s">
        <v>48</v>
      </c>
      <c r="J9752" s="3" t="s">
        <v>27804</v>
      </c>
      <c r="K9752" s="3" t="s">
        <v>54</v>
      </c>
      <c r="L9752" s="3" t="str">
        <f>IFERROR(__xludf.DUMMYFUNCTION("GOOGLETRANSLATE(F9752,""id"",""en"")"),"Argentina Champion Pele Maradona Full Smile")</f>
        <v>Argentina Champion Pele Maradona Full Smile</v>
      </c>
    </row>
    <row r="9753" ht="15.75" customHeight="1">
      <c r="A9753" s="1">
        <v>10986.0</v>
      </c>
      <c r="B9753" s="3" t="s">
        <v>27805</v>
      </c>
      <c r="C9753" s="3">
        <v>0.0</v>
      </c>
      <c r="D9753" s="3">
        <v>0.0</v>
      </c>
      <c r="E9753" s="3">
        <v>0.0</v>
      </c>
      <c r="F9753" s="3" t="s">
        <v>27806</v>
      </c>
      <c r="G9753" s="3">
        <v>0.0</v>
      </c>
      <c r="H9753" s="3">
        <v>0.0</v>
      </c>
      <c r="I9753" s="3" t="s">
        <v>13</v>
      </c>
      <c r="J9753" s="3" t="s">
        <v>27807</v>
      </c>
      <c r="K9753" s="3" t="s">
        <v>6592</v>
      </c>
      <c r="L9753" s="3" t="str">
        <f>IFERROR(__xludf.DUMMYFUNCTION("GOOGLETRANSLATE(F9753,""id"",""en"")"),"Argentina won because Messi I won because of you")</f>
        <v>Argentina won because Messi I won because of you</v>
      </c>
    </row>
    <row r="9754" ht="15.75" customHeight="1">
      <c r="A9754" s="1">
        <v>10987.0</v>
      </c>
      <c r="B9754" s="3" t="s">
        <v>27808</v>
      </c>
      <c r="C9754" s="3">
        <v>0.0</v>
      </c>
      <c r="D9754" s="3">
        <v>0.0</v>
      </c>
      <c r="E9754" s="3">
        <v>0.0</v>
      </c>
      <c r="F9754" s="3" t="s">
        <v>27809</v>
      </c>
      <c r="G9754" s="3">
        <v>0.0</v>
      </c>
      <c r="H9754" s="3">
        <v>0.0</v>
      </c>
      <c r="I9754" s="3" t="s">
        <v>13</v>
      </c>
      <c r="J9754" s="3" t="s">
        <v>27810</v>
      </c>
      <c r="K9754" s="3" t="s">
        <v>71</v>
      </c>
      <c r="L9754" s="3" t="str">
        <f>IFERROR(__xludf.DUMMYFUNCTION("GOOGLETRANSLATE(F9754,""id"",""en"")"),"Messi re -recorded a new record after bringing the Argentine national team champions of the Qatar World Cup Sunday December")</f>
        <v>Messi re -recorded a new record after bringing the Argentine national team champions of the Qatar World Cup Sunday December</v>
      </c>
    </row>
    <row r="9755" ht="15.75" customHeight="1">
      <c r="A9755" s="1">
        <v>10988.0</v>
      </c>
      <c r="B9755" s="3" t="s">
        <v>27811</v>
      </c>
      <c r="C9755" s="3">
        <v>1.0</v>
      </c>
      <c r="D9755" s="3">
        <v>0.0</v>
      </c>
      <c r="E9755" s="3">
        <v>0.0</v>
      </c>
      <c r="F9755" s="3" t="s">
        <v>27812</v>
      </c>
      <c r="G9755" s="3">
        <v>0.55</v>
      </c>
      <c r="H9755" s="3">
        <v>0.35</v>
      </c>
      <c r="I9755" s="3" t="s">
        <v>48</v>
      </c>
      <c r="J9755" s="3" t="s">
        <v>27813</v>
      </c>
      <c r="K9755" s="3" t="s">
        <v>31</v>
      </c>
      <c r="L9755" s="3" t="str">
        <f>IFERROR(__xludf.DUMMYFUNCTION("GOOGLETRANSLATE(F9755,""id"",""en"")"),"Full Smile Mergo Argentina Champion")</f>
        <v>Full Smile Mergo Argentina Champion</v>
      </c>
    </row>
    <row r="9756" ht="15.75" customHeight="1">
      <c r="A9756" s="1">
        <v>10989.0</v>
      </c>
      <c r="B9756" s="3" t="s">
        <v>27814</v>
      </c>
      <c r="C9756" s="3">
        <v>0.0</v>
      </c>
      <c r="D9756" s="3">
        <v>1.0</v>
      </c>
      <c r="E9756" s="3">
        <v>0.0</v>
      </c>
      <c r="F9756" s="3" t="s">
        <v>27815</v>
      </c>
      <c r="G9756" s="3">
        <v>0.5</v>
      </c>
      <c r="H9756" s="3">
        <v>0.5</v>
      </c>
      <c r="I9756" s="3" t="s">
        <v>48</v>
      </c>
      <c r="J9756" s="3" t="s">
        <v>27816</v>
      </c>
      <c r="K9756" s="3" t="s">
        <v>22524</v>
      </c>
      <c r="L9756" s="3" t="str">
        <f>IFERROR(__xludf.DUMMYFUNCTION("GOOGLETRANSLATE(F9756,""id"",""en"")"),"Argentina Host Top Scorer Champion Mario Kempes Host Mexico Top Scorer Maradona Host Qatar Top Scorer Leo Messi")</f>
        <v>Argentina Host Top Scorer Champion Mario Kempes Host Mexico Top Scorer Maradona Host Qatar Top Scorer Leo Messi</v>
      </c>
    </row>
    <row r="9757" ht="15.75" customHeight="1">
      <c r="A9757" s="1">
        <v>10990.0</v>
      </c>
      <c r="B9757" s="3" t="s">
        <v>27817</v>
      </c>
      <c r="C9757" s="3">
        <v>0.0</v>
      </c>
      <c r="D9757" s="3">
        <v>0.0</v>
      </c>
      <c r="E9757" s="3">
        <v>1.0</v>
      </c>
      <c r="F9757" s="3" t="s">
        <v>27818</v>
      </c>
      <c r="G9757" s="3">
        <v>0.0</v>
      </c>
      <c r="H9757" s="3">
        <v>0.0</v>
      </c>
      <c r="I9757" s="3" t="s">
        <v>13</v>
      </c>
      <c r="J9757" s="3" t="s">
        <v>27819</v>
      </c>
      <c r="K9757" s="3" t="s">
        <v>510</v>
      </c>
      <c r="L9757" s="3" t="str">
        <f>IFERROR(__xludf.DUMMYFUNCTION("GOOGLETRANSLATE(F9757,""id"",""en"")"),"Drunk Kepayang after carrying Argentina World Cup champion Lionel Messi decided to cancel retirement")</f>
        <v>Drunk Kepayang after carrying Argentina World Cup champion Lionel Messi decided to cancel retirement</v>
      </c>
    </row>
    <row r="9758" ht="15.75" customHeight="1">
      <c r="A9758" s="1">
        <v>10991.0</v>
      </c>
      <c r="B9758" s="3" t="s">
        <v>27820</v>
      </c>
      <c r="C9758" s="3">
        <v>2.0</v>
      </c>
      <c r="D9758" s="3">
        <v>0.0</v>
      </c>
      <c r="E9758" s="3">
        <v>34.0</v>
      </c>
      <c r="F9758" s="3" t="s">
        <v>27821</v>
      </c>
      <c r="G9758" s="3">
        <v>0.0</v>
      </c>
      <c r="H9758" s="3">
        <v>0.0</v>
      </c>
      <c r="I9758" s="3" t="s">
        <v>13</v>
      </c>
      <c r="J9758" s="3" t="s">
        <v>27822</v>
      </c>
      <c r="K9758" s="3" t="s">
        <v>3401</v>
      </c>
      <c r="L9758" s="3" t="str">
        <f>IFERROR(__xludf.DUMMYFUNCTION("GOOGLETRANSLATE(F9758,""id"",""en"")"),"Awalx I am good at France, I remember the delay of Argentina, I have a friend of Argentina, my friend is surprised, how come I can say there is a dog")</f>
        <v>Awalx I am good at France, I remember the delay of Argentina, I have a friend of Argentina, my friend is surprised, how come I can say there is a dog</v>
      </c>
    </row>
    <row r="9759" ht="15.75" customHeight="1">
      <c r="A9759" s="1">
        <v>10992.0</v>
      </c>
      <c r="B9759" s="3" t="s">
        <v>27823</v>
      </c>
      <c r="C9759" s="3">
        <v>0.0</v>
      </c>
      <c r="D9759" s="3">
        <v>0.0</v>
      </c>
      <c r="E9759" s="3">
        <v>0.0</v>
      </c>
      <c r="F9759" s="3" t="s">
        <v>27824</v>
      </c>
      <c r="G9759" s="3">
        <v>0.0</v>
      </c>
      <c r="H9759" s="3">
        <v>0.0</v>
      </c>
      <c r="I9759" s="3" t="s">
        <v>13</v>
      </c>
      <c r="J9759" s="3" t="s">
        <v>27825</v>
      </c>
      <c r="K9759" s="3" t="s">
        <v>644</v>
      </c>
      <c r="L9759" s="3" t="str">
        <f>IFERROR(__xludf.DUMMYFUNCTION("GOOGLETRANSLATE(F9759,""id"",""en"")"),"Zeejkt Alhamdulillah Argentina Champion")</f>
        <v>Zeejkt Alhamdulillah Argentina Champion</v>
      </c>
    </row>
    <row r="9760" ht="15.75" customHeight="1">
      <c r="A9760" s="1">
        <v>10993.0</v>
      </c>
      <c r="B9760" s="3" t="s">
        <v>27826</v>
      </c>
      <c r="C9760" s="3">
        <v>0.0</v>
      </c>
      <c r="D9760" s="3">
        <v>0.0</v>
      </c>
      <c r="E9760" s="3">
        <v>0.0</v>
      </c>
      <c r="F9760" s="3" t="s">
        <v>27827</v>
      </c>
      <c r="G9760" s="3">
        <v>0.0</v>
      </c>
      <c r="H9760" s="3">
        <v>0.0</v>
      </c>
      <c r="I9760" s="3" t="s">
        <v>13</v>
      </c>
      <c r="J9760" s="3" t="s">
        <v>27828</v>
      </c>
      <c r="K9760" s="3" t="s">
        <v>41</v>
      </c>
      <c r="L9760" s="3" t="str">
        <f>IFERROR(__xludf.DUMMYFUNCTION("GOOGLETRANSLATE(F9760,""id"",""en"")"),"Ojo Gawe Mood is broken, you know Man Argentina Bar Champion")</f>
        <v>Ojo Gawe Mood is broken, you know Man Argentina Bar Champion</v>
      </c>
    </row>
    <row r="9761" ht="15.75" customHeight="1">
      <c r="A9761" s="1">
        <v>10994.0</v>
      </c>
      <c r="B9761" s="3" t="s">
        <v>27829</v>
      </c>
      <c r="C9761" s="3">
        <v>0.0</v>
      </c>
      <c r="D9761" s="3">
        <v>0.0</v>
      </c>
      <c r="E9761" s="3">
        <v>0.0</v>
      </c>
      <c r="F9761" s="3" t="s">
        <v>27830</v>
      </c>
      <c r="G9761" s="3">
        <v>0.0</v>
      </c>
      <c r="H9761" s="3">
        <v>0.0</v>
      </c>
      <c r="I9761" s="3" t="s">
        <v>13</v>
      </c>
      <c r="J9761" s="3" t="s">
        <v>27831</v>
      </c>
      <c r="K9761" s="3" t="s">
        <v>50</v>
      </c>
      <c r="L9761" s="3" t="str">
        <f>IFERROR(__xludf.DUMMYFUNCTION("GOOGLETRANSLATE(F9761,""id"",""en"")"),"Argentine champion noisy seeing his fans Ronaldo Messi is also an Indonesian")</f>
        <v>Argentine champion noisy seeing his fans Ronaldo Messi is also an Indonesian</v>
      </c>
    </row>
    <row r="9762" ht="15.75" customHeight="1">
      <c r="A9762" s="1">
        <v>10995.0</v>
      </c>
      <c r="B9762" s="3" t="s">
        <v>27832</v>
      </c>
      <c r="C9762" s="3">
        <v>2.0</v>
      </c>
      <c r="D9762" s="3">
        <v>1.0</v>
      </c>
      <c r="E9762" s="3">
        <v>2.0</v>
      </c>
      <c r="F9762" s="3" t="s">
        <v>27833</v>
      </c>
      <c r="G9762" s="3">
        <v>0.0</v>
      </c>
      <c r="H9762" s="3">
        <v>0.0</v>
      </c>
      <c r="I9762" s="3" t="s">
        <v>13</v>
      </c>
      <c r="J9762" s="3" t="s">
        <v>27834</v>
      </c>
      <c r="K9762" s="3" t="s">
        <v>1097</v>
      </c>
      <c r="L9762" s="3" t="str">
        <f>IFERROR(__xludf.DUMMYFUNCTION("GOOGLETRANSLATE(F9762,""id"",""en"")"),"Luck, Argentina, Lord Bang Aguerok, is also not necessarily Argentina.")</f>
        <v>Luck, Argentina, Lord Bang Aguerok, is also not necessarily Argentina.</v>
      </c>
    </row>
    <row r="9763" ht="15.75" customHeight="1">
      <c r="A9763" s="1">
        <v>10996.0</v>
      </c>
      <c r="B9763" s="3" t="s">
        <v>27835</v>
      </c>
      <c r="C9763" s="3">
        <v>0.0</v>
      </c>
      <c r="D9763" s="3">
        <v>0.0</v>
      </c>
      <c r="E9763" s="3">
        <v>1.0</v>
      </c>
      <c r="F9763" s="3" t="s">
        <v>27836</v>
      </c>
      <c r="G9763" s="3">
        <v>0.0</v>
      </c>
      <c r="H9763" s="3">
        <v>0.0</v>
      </c>
      <c r="I9763" s="3" t="s">
        <v>13</v>
      </c>
      <c r="J9763" s="3" t="s">
        <v>27837</v>
      </c>
      <c r="K9763" s="3" t="s">
        <v>1970</v>
      </c>
      <c r="L9763" s="3" t="str">
        <f>IFERROR(__xludf.DUMMYFUNCTION("GOOGLETRANSLATE(F9763,""id"",""en"")"),"From the Staff Oponent Report to be the main coach who brought the world champion who made Argentina also a team that was structured Flexible Details of the World Cup Smart Young Role Model")</f>
        <v>From the Staff Oponent Report to be the main coach who brought the world champion who made Argentina also a team that was structured Flexible Details of the World Cup Smart Young Role Model</v>
      </c>
    </row>
    <row r="9764" ht="15.75" customHeight="1">
      <c r="A9764" s="1">
        <v>10997.0</v>
      </c>
      <c r="B9764" s="3" t="s">
        <v>27838</v>
      </c>
      <c r="C9764" s="3">
        <v>0.0</v>
      </c>
      <c r="D9764" s="3">
        <v>0.0</v>
      </c>
      <c r="E9764" s="3">
        <v>0.0</v>
      </c>
      <c r="F9764" s="3" t="s">
        <v>27839</v>
      </c>
      <c r="G9764" s="3">
        <v>0.0</v>
      </c>
      <c r="H9764" s="3">
        <v>0.0</v>
      </c>
      <c r="I9764" s="3" t="s">
        <v>13</v>
      </c>
      <c r="J9764" s="3" t="s">
        <v>27840</v>
      </c>
      <c r="K9764" s="3" t="s">
        <v>19</v>
      </c>
      <c r="L9764" s="3" t="str">
        <f>IFERROR(__xludf.DUMMYFUNCTION("GOOGLETRANSLATE(F9764,""id"",""en"")"),"The mood of watching the soccer has been reduced since Portugal lost and added Argentina champions")</f>
        <v>The mood of watching the soccer has been reduced since Portugal lost and added Argentina champions</v>
      </c>
    </row>
    <row r="9765" ht="15.75" customHeight="1">
      <c r="A9765" s="1">
        <v>10998.0</v>
      </c>
      <c r="B9765" s="3" t="s">
        <v>27841</v>
      </c>
      <c r="C9765" s="3">
        <v>0.0</v>
      </c>
      <c r="D9765" s="3">
        <v>0.0</v>
      </c>
      <c r="E9765" s="3">
        <v>0.0</v>
      </c>
      <c r="F9765" s="3" t="s">
        <v>27842</v>
      </c>
      <c r="G9765" s="3">
        <v>0.0</v>
      </c>
      <c r="H9765" s="3">
        <v>0.0</v>
      </c>
      <c r="I9765" s="3" t="s">
        <v>13</v>
      </c>
      <c r="J9765" s="3" t="s">
        <v>27843</v>
      </c>
      <c r="K9765" s="3" t="s">
        <v>54</v>
      </c>
      <c r="L9765" s="3" t="str">
        <f>IFERROR(__xludf.DUMMYFUNCTION("GOOGLETRANSLATE(F9765,""id"",""en"")"),"besides being able to make Argentina champion Messi can also make a payday before the date")</f>
        <v>besides being able to make Argentina champion Messi can also make a payday before the date</v>
      </c>
    </row>
    <row r="9766" ht="15.75" customHeight="1">
      <c r="A9766" s="1">
        <v>10999.0</v>
      </c>
      <c r="B9766" s="3" t="s">
        <v>27844</v>
      </c>
      <c r="C9766" s="3">
        <v>0.0</v>
      </c>
      <c r="D9766" s="3">
        <v>0.0</v>
      </c>
      <c r="E9766" s="3">
        <v>5.0</v>
      </c>
      <c r="F9766" s="3" t="s">
        <v>27845</v>
      </c>
      <c r="G9766" s="3">
        <v>0.0</v>
      </c>
      <c r="H9766" s="3">
        <v>0.0</v>
      </c>
      <c r="I9766" s="3" t="s">
        <v>13</v>
      </c>
      <c r="J9766" s="3" t="s">
        <v>27846</v>
      </c>
      <c r="K9766" s="3" t="s">
        <v>1293</v>
      </c>
      <c r="L9766" s="3" t="str">
        <f>IFERROR(__xludf.DUMMYFUNCTION("GOOGLETRANSLATE(F9766,""id"",""en"")"),"Argentina has just won the latest edition of the World Cup along with the list of the champions of the biggest football tournament from the period")</f>
        <v>Argentina has just won the latest edition of the World Cup along with the list of the champions of the biggest football tournament from the period</v>
      </c>
    </row>
    <row r="9767" ht="15.75" customHeight="1">
      <c r="A9767" s="1">
        <v>11000.0</v>
      </c>
      <c r="B9767" s="3" t="s">
        <v>27847</v>
      </c>
      <c r="C9767" s="3">
        <v>0.0</v>
      </c>
      <c r="D9767" s="3">
        <v>1.0</v>
      </c>
      <c r="E9767" s="3">
        <v>0.0</v>
      </c>
      <c r="F9767" s="3" t="s">
        <v>27848</v>
      </c>
      <c r="G9767" s="3">
        <v>0.55</v>
      </c>
      <c r="H9767" s="3">
        <v>0.35</v>
      </c>
      <c r="I9767" s="3" t="s">
        <v>48</v>
      </c>
      <c r="J9767" s="3" t="s">
        <v>27849</v>
      </c>
      <c r="K9767" s="3" t="s">
        <v>510</v>
      </c>
      <c r="L9767" s="3" t="str">
        <f>IFERROR(__xludf.DUMMYFUNCTION("GOOGLETRANSLATE(F9767,""id"",""en"")"),"happy to bring Argentina to win Lionel Messi full smile when lifting the World Cup trophy")</f>
        <v>happy to bring Argentina to win Lionel Messi full smile when lifting the World Cup trophy</v>
      </c>
    </row>
    <row r="9768" ht="15.75" customHeight="1">
      <c r="A9768" s="1">
        <v>11001.0</v>
      </c>
      <c r="B9768" s="3" t="s">
        <v>27850</v>
      </c>
      <c r="C9768" s="3">
        <v>0.0</v>
      </c>
      <c r="D9768" s="3">
        <v>0.0</v>
      </c>
      <c r="E9768" s="3">
        <v>0.0</v>
      </c>
      <c r="F9768" s="3" t="s">
        <v>27851</v>
      </c>
      <c r="G9768" s="3">
        <v>0.0</v>
      </c>
      <c r="H9768" s="3">
        <v>0.0</v>
      </c>
      <c r="I9768" s="3" t="s">
        <v>13</v>
      </c>
      <c r="J9768" s="3" t="s">
        <v>27852</v>
      </c>
      <c r="K9768" s="3" t="s">
        <v>433</v>
      </c>
      <c r="L9768" s="3" t="str">
        <f>IFERROR(__xludf.DUMMYFUNCTION("GOOGLETRANSLATE(F9768,""id"",""en"")"),"The Qatar World Cup is over where Argentina won this season after conquering France Sunday December")</f>
        <v>The Qatar World Cup is over where Argentina won this season after conquering France Sunday December</v>
      </c>
    </row>
    <row r="9769" ht="15.75" customHeight="1">
      <c r="A9769" s="1">
        <v>11002.0</v>
      </c>
      <c r="B9769" s="3" t="s">
        <v>27853</v>
      </c>
      <c r="C9769" s="3">
        <v>0.0</v>
      </c>
      <c r="D9769" s="3">
        <v>0.0</v>
      </c>
      <c r="E9769" s="3">
        <v>0.0</v>
      </c>
      <c r="F9769" s="3" t="s">
        <v>27854</v>
      </c>
      <c r="G9769" s="3">
        <v>0.0</v>
      </c>
      <c r="H9769" s="3">
        <v>0.0</v>
      </c>
      <c r="I9769" s="3" t="s">
        <v>13</v>
      </c>
      <c r="J9769" s="3" t="s">
        <v>27855</v>
      </c>
      <c r="K9769" s="3" t="s">
        <v>75</v>
      </c>
      <c r="L9769" s="3" t="str">
        <f>IFERROR(__xludf.DUMMYFUNCTION("GOOGLETRANSLATE(F9769,""id"",""en"")"),"The cheers of the Argentine World Cup champion still have crazy inflation")</f>
        <v>The cheers of the Argentine World Cup champion still have crazy inflation</v>
      </c>
    </row>
    <row r="9770" ht="15.75" customHeight="1">
      <c r="A9770" s="1">
        <v>11003.0</v>
      </c>
      <c r="B9770" s="3" t="s">
        <v>27856</v>
      </c>
      <c r="C9770" s="3">
        <v>0.0</v>
      </c>
      <c r="D9770" s="3">
        <v>0.0</v>
      </c>
      <c r="E9770" s="3">
        <v>0.0</v>
      </c>
      <c r="F9770" s="3" t="s">
        <v>27857</v>
      </c>
      <c r="G9770" s="3">
        <v>0.0</v>
      </c>
      <c r="H9770" s="3">
        <v>0.0</v>
      </c>
      <c r="I9770" s="3" t="s">
        <v>13</v>
      </c>
      <c r="J9770" s="3" t="s">
        <v>27858</v>
      </c>
      <c r="K9770" s="3" t="s">
        <v>27859</v>
      </c>
      <c r="L9770" s="3" t="str">
        <f>IFERROR(__xludf.DUMMYFUNCTION("GOOGLETRANSLATE(F9770,""id"",""en"")"),"Even though now I'm shut up, but I have been happy today because of Argentinaaaa, the world champion, Vamos Vamos Argentinaaa I entered because of Argentina lost German")</f>
        <v>Even though now I'm shut up, but I have been happy today because of Argentinaaaa, the world champion, Vamos Vamos Argentinaaa I entered because of Argentina lost German</v>
      </c>
    </row>
    <row r="9771" ht="15.75" customHeight="1">
      <c r="A9771" s="1">
        <v>11004.0</v>
      </c>
      <c r="B9771" s="3" t="s">
        <v>27860</v>
      </c>
      <c r="C9771" s="3">
        <v>0.0</v>
      </c>
      <c r="D9771" s="3">
        <v>0.0</v>
      </c>
      <c r="E9771" s="3">
        <v>0.0</v>
      </c>
      <c r="F9771" s="3" t="s">
        <v>27861</v>
      </c>
      <c r="G9771" s="3">
        <v>0.0</v>
      </c>
      <c r="H9771" s="3">
        <v>0.0</v>
      </c>
      <c r="I9771" s="3" t="s">
        <v>13</v>
      </c>
      <c r="J9771" s="3" t="s">
        <v>27862</v>
      </c>
      <c r="K9771" s="3" t="s">
        <v>31</v>
      </c>
      <c r="L9771" s="3" t="str">
        <f>IFERROR(__xludf.DUMMYFUNCTION("GOOGLETRANSLATE(F9771,""id"",""en"")"),"Seneng Cuk Argentina Champion Wkwkwk")</f>
        <v>Seneng Cuk Argentina Champion Wkwkwk</v>
      </c>
    </row>
    <row r="9772" ht="15.75" customHeight="1">
      <c r="A9772" s="1">
        <v>11005.0</v>
      </c>
      <c r="B9772" s="3" t="s">
        <v>27863</v>
      </c>
      <c r="C9772" s="3">
        <v>0.0</v>
      </c>
      <c r="D9772" s="3">
        <v>0.0</v>
      </c>
      <c r="E9772" s="3">
        <v>0.0</v>
      </c>
      <c r="F9772" s="3" t="s">
        <v>27864</v>
      </c>
      <c r="G9772" s="3">
        <v>0.6499999999999999</v>
      </c>
      <c r="H9772" s="3">
        <v>0.15</v>
      </c>
      <c r="I9772" s="3" t="s">
        <v>48</v>
      </c>
      <c r="J9772" s="3" t="s">
        <v>27865</v>
      </c>
      <c r="K9772" s="3" t="s">
        <v>184</v>
      </c>
      <c r="L9772" s="3" t="str">
        <f>IFERROR(__xludf.DUMMYFUNCTION("GOOGLETRANSLATE(F9772,""id"",""en"")"),"Argentina Champion World Cup through a penalty shootout with France's normal time the two teams are equally strong by collecting each goal")</f>
        <v>Argentina Champion World Cup through a penalty shootout with France's normal time the two teams are equally strong by collecting each goal</v>
      </c>
    </row>
    <row r="9773" ht="15.75" customHeight="1">
      <c r="A9773" s="1">
        <v>11006.0</v>
      </c>
      <c r="B9773" s="3" t="s">
        <v>27866</v>
      </c>
      <c r="C9773" s="3">
        <v>0.0</v>
      </c>
      <c r="D9773" s="3">
        <v>0.0</v>
      </c>
      <c r="E9773" s="3">
        <v>0.0</v>
      </c>
      <c r="F9773" s="3" t="s">
        <v>27867</v>
      </c>
      <c r="G9773" s="3">
        <v>0.0</v>
      </c>
      <c r="H9773" s="3">
        <v>0.0</v>
      </c>
      <c r="I9773" s="3" t="s">
        <v>13</v>
      </c>
      <c r="J9773" s="3" t="s">
        <v>27868</v>
      </c>
      <c r="K9773" s="3" t="s">
        <v>54</v>
      </c>
      <c r="L9773" s="3" t="str">
        <f>IFERROR(__xludf.DUMMYFUNCTION("GOOGLETRANSLATE(F9773,""id"",""en"")"),"The Argentine champion who wins is still old people")</f>
        <v>The Argentine champion who wins is still old people</v>
      </c>
    </row>
    <row r="9774" ht="15.75" customHeight="1">
      <c r="A9774" s="1">
        <v>11007.0</v>
      </c>
      <c r="B9774" s="3" t="s">
        <v>27869</v>
      </c>
      <c r="C9774" s="3">
        <v>0.0</v>
      </c>
      <c r="D9774" s="3">
        <v>0.0</v>
      </c>
      <c r="E9774" s="3">
        <v>0.0</v>
      </c>
      <c r="F9774" s="3" t="s">
        <v>27870</v>
      </c>
      <c r="G9774" s="3">
        <v>0.0</v>
      </c>
      <c r="H9774" s="3">
        <v>0.0</v>
      </c>
      <c r="I9774" s="3" t="s">
        <v>13</v>
      </c>
      <c r="J9774" s="3" t="s">
        <v>27871</v>
      </c>
      <c r="K9774" s="3" t="s">
        <v>1045</v>
      </c>
      <c r="L9774" s="3" t="str">
        <f>IFERROR(__xludf.DUMMYFUNCTION("GOOGLETRANSLATE(F9774,""id"",""en"")"),"Like Argentina, if it's been destined to win the champion even though France is a little, we want to fail like that, even though we have never known and met if the matchmaking will be where")</f>
        <v>Like Argentina, if it's been destined to win the champion even though France is a little, we want to fail like that, even though we have never known and met if the matchmaking will be where</v>
      </c>
    </row>
    <row r="9775" ht="15.75" customHeight="1">
      <c r="A9775" s="1">
        <v>11008.0</v>
      </c>
      <c r="B9775" s="3" t="s">
        <v>27872</v>
      </c>
      <c r="C9775" s="3">
        <v>0.0</v>
      </c>
      <c r="D9775" s="3">
        <v>0.0</v>
      </c>
      <c r="E9775" s="3">
        <v>0.0</v>
      </c>
      <c r="F9775" s="3" t="s">
        <v>27873</v>
      </c>
      <c r="G9775" s="3">
        <v>0.0</v>
      </c>
      <c r="H9775" s="3">
        <v>0.0</v>
      </c>
      <c r="I9775" s="3" t="s">
        <v>13</v>
      </c>
      <c r="J9775" s="3" t="s">
        <v>27874</v>
      </c>
      <c r="K9775" s="3" t="s">
        <v>41</v>
      </c>
      <c r="L9775" s="3" t="str">
        <f>IFERROR(__xludf.DUMMYFUNCTION("GOOGLETRANSLATE(F9775,""id"",""en"")"),"Want to see Aimar's expression when Argentina champions, how come you found it")</f>
        <v>Want to see Aimar's expression when Argentina champions, how come you found it</v>
      </c>
    </row>
    <row r="9776" ht="15.75" customHeight="1">
      <c r="A9776" s="1">
        <v>11009.0</v>
      </c>
      <c r="B9776" s="3" t="s">
        <v>27875</v>
      </c>
      <c r="C9776" s="3">
        <v>0.0</v>
      </c>
      <c r="D9776" s="3">
        <v>0.0</v>
      </c>
      <c r="E9776" s="3">
        <v>0.0</v>
      </c>
      <c r="F9776" s="3" t="s">
        <v>27876</v>
      </c>
      <c r="G9776" s="3">
        <v>0.5</v>
      </c>
      <c r="H9776" s="3">
        <v>0.5</v>
      </c>
      <c r="I9776" s="3" t="s">
        <v>48</v>
      </c>
      <c r="J9776" s="3" t="s">
        <v>27877</v>
      </c>
      <c r="K9776" s="3" t="s">
        <v>1280</v>
      </c>
      <c r="L9776" s="3" t="str">
        <f>IFERROR(__xludf.DUMMYFUNCTION("GOOGLETRANSLATE(F9776,""id"",""en"")"),"Kun Ngegolin opponents Brighton Hughton fired changed Potter Potter Buy or Maupay Maucay with Leno Leno Injury Martinez entered Martinez Top Form called the Argentine national team champion Copa America Argentina World Champion World Champion")</f>
        <v>Kun Ngegolin opponents Brighton Hughton fired changed Potter Potter Buy or Maupay Maucay with Leno Leno Injury Martinez entered Martinez Top Form called the Argentine national team champion Copa America Argentina World Champion World Champion</v>
      </c>
    </row>
    <row r="9777" ht="15.75" customHeight="1">
      <c r="A9777" s="1">
        <v>11010.0</v>
      </c>
      <c r="B9777" s="3" t="s">
        <v>27878</v>
      </c>
      <c r="C9777" s="3">
        <v>0.0</v>
      </c>
      <c r="D9777" s="3">
        <v>0.0</v>
      </c>
      <c r="E9777" s="3">
        <v>0.0</v>
      </c>
      <c r="F9777" s="3" t="s">
        <v>27879</v>
      </c>
      <c r="G9777" s="3">
        <v>0.0</v>
      </c>
      <c r="H9777" s="3">
        <v>0.0</v>
      </c>
      <c r="I9777" s="3" t="s">
        <v>13</v>
      </c>
      <c r="J9777" s="3" t="s">
        <v>27880</v>
      </c>
      <c r="K9777" s="3" t="s">
        <v>19</v>
      </c>
      <c r="L9777" s="3" t="str">
        <f>IFERROR(__xludf.DUMMYFUNCTION("GOOGLETRANSLATE(F9777,""id"",""en"")"),"Argentina won the Qatar World Cup third title for the team nicknamed Albicelestes after the year and")</f>
        <v>Argentina won the Qatar World Cup third title for the team nicknamed Albicelestes after the year and</v>
      </c>
    </row>
    <row r="9778" ht="15.75" customHeight="1">
      <c r="A9778" s="1">
        <v>11011.0</v>
      </c>
      <c r="B9778" s="3" t="s">
        <v>27881</v>
      </c>
      <c r="C9778" s="3">
        <v>0.0</v>
      </c>
      <c r="D9778" s="3">
        <v>0.0</v>
      </c>
      <c r="E9778" s="3">
        <v>0.0</v>
      </c>
      <c r="F9778" s="3" t="s">
        <v>27882</v>
      </c>
      <c r="G9778" s="3">
        <v>0.0</v>
      </c>
      <c r="H9778" s="3">
        <v>0.0</v>
      </c>
      <c r="I9778" s="3" t="s">
        <v>13</v>
      </c>
      <c r="J9778" s="3" t="s">
        <v>27883</v>
      </c>
      <c r="K9778" s="3" t="s">
        <v>41</v>
      </c>
      <c r="L9778" s="3" t="str">
        <f>IFERROR(__xludf.DUMMYFUNCTION("GOOGLETRANSLATE(F9778,""id"",""en"")"),"Open social media all Bhas champion Pilduun Argentina feels like hot")</f>
        <v>Open social media all Bhas champion Pilduun Argentina feels like hot</v>
      </c>
    </row>
    <row r="9779" ht="15.75" customHeight="1">
      <c r="A9779" s="1">
        <v>11012.0</v>
      </c>
      <c r="B9779" s="3" t="s">
        <v>27884</v>
      </c>
      <c r="C9779" s="3">
        <v>0.0</v>
      </c>
      <c r="D9779" s="3">
        <v>0.0</v>
      </c>
      <c r="E9779" s="3">
        <v>0.0</v>
      </c>
      <c r="F9779" s="3" t="s">
        <v>27885</v>
      </c>
      <c r="G9779" s="3">
        <v>0.0</v>
      </c>
      <c r="H9779" s="3">
        <v>0.0</v>
      </c>
      <c r="I9779" s="3" t="s">
        <v>13</v>
      </c>
      <c r="J9779" s="3" t="s">
        <v>27886</v>
      </c>
      <c r="K9779" s="3" t="s">
        <v>15</v>
      </c>
      <c r="L9779" s="3" t="str">
        <f>IFERROR(__xludf.DUMMYFUNCTION("GOOGLETRANSLATE(F9779,""id"",""en"")"),"Argentine Economic Crisis Back Euphoria World Cup Champion")</f>
        <v>Argentine Economic Crisis Back Euphoria World Cup Champion</v>
      </c>
    </row>
    <row r="9780" ht="15.75" customHeight="1">
      <c r="A9780" s="1">
        <v>11013.0</v>
      </c>
      <c r="B9780" s="3" t="s">
        <v>27887</v>
      </c>
      <c r="C9780" s="3">
        <v>3.0</v>
      </c>
      <c r="D9780" s="3">
        <v>0.0</v>
      </c>
      <c r="E9780" s="3">
        <v>0.0</v>
      </c>
      <c r="F9780" s="3" t="s">
        <v>27888</v>
      </c>
      <c r="G9780" s="3">
        <v>0.0</v>
      </c>
      <c r="H9780" s="3">
        <v>0.0</v>
      </c>
      <c r="I9780" s="3" t="s">
        <v>13</v>
      </c>
      <c r="J9780" s="3" t="s">
        <v>27889</v>
      </c>
      <c r="K9780" s="3" t="s">
        <v>240</v>
      </c>
      <c r="L9780" s="3" t="str">
        <f>IFERROR(__xludf.DUMMYFUNCTION("GOOGLETRANSLATE(F9780,""id"",""en"")"),"if the question is why the record will be nimbulin cons, especially aguero uda maen to enter the team tarnished the euphoria of Argentina Slaku Champion")</f>
        <v>if the question is why the record will be nimbulin cons, especially aguero uda maen to enter the team tarnished the euphoria of Argentina Slaku Champion</v>
      </c>
    </row>
    <row r="9781" ht="15.75" customHeight="1">
      <c r="A9781" s="1">
        <v>11014.0</v>
      </c>
      <c r="B9781" s="3" t="s">
        <v>27890</v>
      </c>
      <c r="C9781" s="3">
        <v>0.0</v>
      </c>
      <c r="D9781" s="3">
        <v>0.0</v>
      </c>
      <c r="E9781" s="3">
        <v>0.0</v>
      </c>
      <c r="F9781" s="3" t="s">
        <v>27891</v>
      </c>
      <c r="G9781" s="3">
        <v>0.0</v>
      </c>
      <c r="H9781" s="3">
        <v>0.0</v>
      </c>
      <c r="I9781" s="3" t="s">
        <v>13</v>
      </c>
      <c r="J9781" s="3" t="s">
        <v>27892</v>
      </c>
      <c r="K9781" s="3" t="s">
        <v>15</v>
      </c>
      <c r="L9781" s="3" t="str">
        <f>IFERROR(__xludf.DUMMYFUNCTION("GOOGLETRANSLATE(F9781,""id"",""en"")"),"Sabet title Argentina Economy Cup Champion can grow")</f>
        <v>Sabet title Argentina Economy Cup Champion can grow</v>
      </c>
    </row>
    <row r="9782" ht="15.75" customHeight="1">
      <c r="A9782" s="1">
        <v>11015.0</v>
      </c>
      <c r="B9782" s="3" t="s">
        <v>27893</v>
      </c>
      <c r="C9782" s="3">
        <v>0.0</v>
      </c>
      <c r="D9782" s="3">
        <v>0.0</v>
      </c>
      <c r="E9782" s="3">
        <v>0.0</v>
      </c>
      <c r="F9782" s="3" t="s">
        <v>27894</v>
      </c>
      <c r="G9782" s="3">
        <v>0.0</v>
      </c>
      <c r="H9782" s="3">
        <v>0.0</v>
      </c>
      <c r="I9782" s="3" t="s">
        <v>13</v>
      </c>
      <c r="J9782" s="3" t="s">
        <v>27895</v>
      </c>
      <c r="K9782" s="3" t="s">
        <v>644</v>
      </c>
      <c r="L9782" s="3" t="str">
        <f>IFERROR(__xludf.DUMMYFUNCTION("GOOGLETRANSLATE(F9782,""id"",""en"")"),"the most memorable Argentina Champion")</f>
        <v>the most memorable Argentina Champion</v>
      </c>
    </row>
    <row r="9783" ht="15.75" customHeight="1">
      <c r="A9783" s="1">
        <v>11016.0</v>
      </c>
      <c r="B9783" s="3" t="s">
        <v>27896</v>
      </c>
      <c r="C9783" s="3">
        <v>0.0</v>
      </c>
      <c r="D9783" s="3">
        <v>1.0</v>
      </c>
      <c r="E9783" s="3">
        <v>3.0</v>
      </c>
      <c r="F9783" s="3" t="s">
        <v>27897</v>
      </c>
      <c r="G9783" s="3">
        <v>0.0</v>
      </c>
      <c r="H9783" s="3">
        <v>0.0</v>
      </c>
      <c r="I9783" s="3" t="s">
        <v>13</v>
      </c>
      <c r="J9783" s="3" t="s">
        <v>27898</v>
      </c>
      <c r="K9783" s="3" t="s">
        <v>41</v>
      </c>
      <c r="L9783" s="3" t="str">
        <f>IFERROR(__xludf.DUMMYFUNCTION("GOOGLETRANSLATE(F9783,""id"",""en"")"),"Argentina Champion World Cup Qatar Received Money Received Not Sold")</f>
        <v>Argentina Champion World Cup Qatar Received Money Received Not Sold</v>
      </c>
    </row>
    <row r="9784" ht="15.75" customHeight="1">
      <c r="A9784" s="1">
        <v>11017.0</v>
      </c>
      <c r="B9784" s="3" t="s">
        <v>27899</v>
      </c>
      <c r="C9784" s="3">
        <v>0.0</v>
      </c>
      <c r="D9784" s="3">
        <v>1.0</v>
      </c>
      <c r="E9784" s="3">
        <v>2.0</v>
      </c>
      <c r="F9784" s="3" t="s">
        <v>27897</v>
      </c>
      <c r="G9784" s="3">
        <v>0.0</v>
      </c>
      <c r="H9784" s="3">
        <v>0.0</v>
      </c>
      <c r="I9784" s="3" t="s">
        <v>13</v>
      </c>
      <c r="J9784" s="3" t="s">
        <v>27898</v>
      </c>
      <c r="K9784" s="3" t="s">
        <v>41</v>
      </c>
      <c r="L9784" s="3" t="str">
        <f>IFERROR(__xludf.DUMMYFUNCTION("GOOGLETRANSLATE(F9784,""id"",""en"")"),"Argentina Champion World Cup Qatar Received Money Received Not Sold")</f>
        <v>Argentina Champion World Cup Qatar Received Money Received Not Sold</v>
      </c>
    </row>
    <row r="9785" ht="15.75" customHeight="1">
      <c r="A9785" s="1">
        <v>11018.0</v>
      </c>
      <c r="B9785" s="3" t="s">
        <v>27900</v>
      </c>
      <c r="C9785" s="3">
        <v>0.0</v>
      </c>
      <c r="D9785" s="3">
        <v>0.0</v>
      </c>
      <c r="E9785" s="3">
        <v>0.0</v>
      </c>
      <c r="F9785" s="3" t="s">
        <v>22584</v>
      </c>
      <c r="G9785" s="3">
        <v>0.0</v>
      </c>
      <c r="H9785" s="3">
        <v>0.0</v>
      </c>
      <c r="I9785" s="3" t="s">
        <v>13</v>
      </c>
      <c r="J9785" s="3" t="s">
        <v>22585</v>
      </c>
      <c r="K9785" s="3" t="s">
        <v>31</v>
      </c>
      <c r="L9785" s="3" t="str">
        <f>IFERROR(__xludf.DUMMYFUNCTION("GOOGLETRANSLATE(F9785,""id"",""en"")"),"Argentina Champion World Cup Qatar")</f>
        <v>Argentina Champion World Cup Qatar</v>
      </c>
    </row>
    <row r="9786" ht="15.75" customHeight="1">
      <c r="A9786" s="1">
        <v>11019.0</v>
      </c>
      <c r="B9786" s="3" t="s">
        <v>27901</v>
      </c>
      <c r="C9786" s="3">
        <v>0.0</v>
      </c>
      <c r="D9786" s="3">
        <v>0.0</v>
      </c>
      <c r="E9786" s="3">
        <v>0.0</v>
      </c>
      <c r="F9786" s="3" t="s">
        <v>27902</v>
      </c>
      <c r="G9786" s="3">
        <v>0.0</v>
      </c>
      <c r="H9786" s="3">
        <v>0.0</v>
      </c>
      <c r="I9786" s="3" t="s">
        <v>13</v>
      </c>
      <c r="J9786" s="3" t="s">
        <v>27903</v>
      </c>
      <c r="K9786" s="3" t="s">
        <v>75</v>
      </c>
      <c r="L9786" s="3" t="str">
        <f>IFERROR(__xludf.DUMMYFUNCTION("GOOGLETRANSLATE(F9786,""id"",""en"")"),"Argentina won after undergoing a match full of drama and had to be completed with penalties")</f>
        <v>Argentina won after undergoing a match full of drama and had to be completed with penalties</v>
      </c>
    </row>
    <row r="9787" ht="15.75" customHeight="1">
      <c r="A9787" s="1">
        <v>11020.0</v>
      </c>
      <c r="B9787" s="3" t="s">
        <v>27904</v>
      </c>
      <c r="C9787" s="3">
        <v>0.0</v>
      </c>
      <c r="D9787" s="3">
        <v>0.0</v>
      </c>
      <c r="E9787" s="3">
        <v>0.0</v>
      </c>
      <c r="F9787" s="3" t="s">
        <v>27905</v>
      </c>
      <c r="G9787" s="3">
        <v>0.0</v>
      </c>
      <c r="H9787" s="3">
        <v>0.0</v>
      </c>
      <c r="I9787" s="3" t="s">
        <v>13</v>
      </c>
      <c r="J9787" s="3" t="s">
        <v>27906</v>
      </c>
      <c r="K9787" s="3" t="s">
        <v>15</v>
      </c>
      <c r="L9787" s="3" t="str">
        <f>IFERROR(__xludf.DUMMYFUNCTION("GOOGLETRANSLATE(F9787,""id"",""en"")"),"Argentina Champion Asahan Police Chief Advicing Miniature World Cup Miniature")</f>
        <v>Argentina Champion Asahan Police Chief Advicing Miniature World Cup Miniature</v>
      </c>
    </row>
    <row r="9788" ht="15.75" customHeight="1">
      <c r="A9788" s="1">
        <v>11021.0</v>
      </c>
      <c r="B9788" s="3" t="s">
        <v>27907</v>
      </c>
      <c r="C9788" s="3">
        <v>0.0</v>
      </c>
      <c r="D9788" s="3">
        <v>0.0</v>
      </c>
      <c r="E9788" s="3">
        <v>3.0</v>
      </c>
      <c r="F9788" s="3" t="s">
        <v>24946</v>
      </c>
      <c r="G9788" s="3">
        <v>0.0</v>
      </c>
      <c r="H9788" s="3">
        <v>0.0</v>
      </c>
      <c r="I9788" s="3" t="s">
        <v>13</v>
      </c>
      <c r="J9788" s="3" t="s">
        <v>24947</v>
      </c>
      <c r="K9788" s="3" t="s">
        <v>244</v>
      </c>
      <c r="L9788" s="3" t="str">
        <f>IFERROR(__xludf.DUMMYFUNCTION("GOOGLETRANSLATE(F9788,""id"",""en"")"),"Argentina World Cup Champion Lionel Scaloni's Emotional Request to Lionel Messi reappeared")</f>
        <v>Argentina World Cup Champion Lionel Scaloni's Emotional Request to Lionel Messi reappeared</v>
      </c>
    </row>
    <row r="9789" ht="15.75" customHeight="1">
      <c r="A9789" s="1">
        <v>11022.0</v>
      </c>
      <c r="B9789" s="3" t="s">
        <v>27908</v>
      </c>
      <c r="C9789" s="3">
        <v>0.0</v>
      </c>
      <c r="D9789" s="3">
        <v>1.0</v>
      </c>
      <c r="E9789" s="3">
        <v>2.0</v>
      </c>
      <c r="F9789" s="3" t="s">
        <v>27909</v>
      </c>
      <c r="G9789" s="3">
        <v>0.0</v>
      </c>
      <c r="H9789" s="3">
        <v>0.0</v>
      </c>
      <c r="I9789" s="3" t="s">
        <v>13</v>
      </c>
      <c r="J9789" s="3" t="s">
        <v>27910</v>
      </c>
      <c r="K9789" s="3" t="s">
        <v>15</v>
      </c>
      <c r="L9789" s="3" t="str">
        <f>IFERROR(__xludf.DUMMYFUNCTION("GOOGLETRANSLATE(F9789,""id"",""en"")"),"Announcement of Argentina World Cup Champion Thank you Kang Emil")</f>
        <v>Announcement of Argentina World Cup Champion Thank you Kang Emil</v>
      </c>
    </row>
    <row r="9790" ht="15.75" customHeight="1">
      <c r="A9790" s="1">
        <v>11023.0</v>
      </c>
      <c r="B9790" s="3" t="s">
        <v>27911</v>
      </c>
      <c r="C9790" s="3">
        <v>0.0</v>
      </c>
      <c r="D9790" s="3">
        <v>0.0</v>
      </c>
      <c r="E9790" s="3">
        <v>3.0</v>
      </c>
      <c r="F9790" s="3" t="s">
        <v>27912</v>
      </c>
      <c r="G9790" s="3">
        <v>0.0</v>
      </c>
      <c r="H9790" s="3">
        <v>0.0</v>
      </c>
      <c r="I9790" s="3" t="s">
        <v>13</v>
      </c>
      <c r="J9790" s="3" t="s">
        <v>27913</v>
      </c>
      <c r="K9790" s="3" t="s">
        <v>15</v>
      </c>
      <c r="L9790" s="3" t="str">
        <f>IFERROR(__xludf.DUMMYFUNCTION("GOOGLETRANSLATE(F9790,""id"",""en"")"),"In addition to Messi, this name also contributed to delivering Argentina Champion")</f>
        <v>In addition to Messi, this name also contributed to delivering Argentina Champion</v>
      </c>
    </row>
    <row r="9791" ht="15.75" customHeight="1">
      <c r="A9791" s="1">
        <v>11024.0</v>
      </c>
      <c r="B9791" s="3" t="s">
        <v>27914</v>
      </c>
      <c r="C9791" s="3">
        <v>0.0</v>
      </c>
      <c r="D9791" s="3">
        <v>0.0</v>
      </c>
      <c r="E9791" s="3">
        <v>1.0</v>
      </c>
      <c r="F9791" s="3" t="s">
        <v>27915</v>
      </c>
      <c r="G9791" s="3">
        <v>0.0</v>
      </c>
      <c r="H9791" s="3">
        <v>0.0</v>
      </c>
      <c r="I9791" s="3" t="s">
        <v>13</v>
      </c>
      <c r="J9791" s="3" t="s">
        <v>27916</v>
      </c>
      <c r="K9791" s="3" t="s">
        <v>75</v>
      </c>
      <c r="L9791" s="3" t="str">
        <f>IFERROR(__xludf.DUMMYFUNCTION("GOOGLETRANSLATE(F9791,""id"",""en"")"),"World Cup Lionel Messi's Hearts After carrying Argentina Champion")</f>
        <v>World Cup Lionel Messi's Hearts After carrying Argentina Champion</v>
      </c>
    </row>
    <row r="9792" ht="15.75" customHeight="1">
      <c r="A9792" s="1">
        <v>11025.0</v>
      </c>
      <c r="B9792" s="3" t="s">
        <v>27917</v>
      </c>
      <c r="C9792" s="3">
        <v>1.0</v>
      </c>
      <c r="D9792" s="3">
        <v>0.0</v>
      </c>
      <c r="E9792" s="3">
        <v>2.0</v>
      </c>
      <c r="F9792" s="3" t="s">
        <v>27918</v>
      </c>
      <c r="G9792" s="3">
        <v>0.0</v>
      </c>
      <c r="H9792" s="3">
        <v>0.0</v>
      </c>
      <c r="I9792" s="3" t="s">
        <v>13</v>
      </c>
      <c r="J9792" s="3" t="s">
        <v>27919</v>
      </c>
      <c r="K9792" s="3" t="s">
        <v>883</v>
      </c>
      <c r="L9792" s="3" t="str">
        <f>IFERROR(__xludf.DUMMYFUNCTION("GOOGLETRANSLATE(F9792,""id"",""en"")"),"Argentina takes the year to find a field inspirator of Maradonna's class after Messi retired, maybe for decades Argentina can only win the World Cup again")</f>
        <v>Argentina takes the year to find a field inspirator of Maradonna's class after Messi retired, maybe for decades Argentina can only win the World Cup again</v>
      </c>
    </row>
    <row r="9793" ht="15.75" customHeight="1">
      <c r="A9793" s="1">
        <v>11026.0</v>
      </c>
      <c r="B9793" s="3" t="s">
        <v>27920</v>
      </c>
      <c r="C9793" s="3">
        <v>0.0</v>
      </c>
      <c r="D9793" s="3">
        <v>0.0</v>
      </c>
      <c r="E9793" s="3">
        <v>0.0</v>
      </c>
      <c r="F9793" s="3" t="s">
        <v>27921</v>
      </c>
      <c r="G9793" s="3">
        <v>0.0</v>
      </c>
      <c r="H9793" s="3">
        <v>0.0</v>
      </c>
      <c r="I9793" s="3" t="s">
        <v>13</v>
      </c>
      <c r="J9793" s="3" t="s">
        <v>27922</v>
      </c>
      <c r="K9793" s="3" t="s">
        <v>82</v>
      </c>
      <c r="L9793" s="3" t="str">
        <f>IFERROR(__xludf.DUMMYFUNCTION("GOOGLETRANSLATE(F9793,""id"",""en"")"),"Argentina World Cup Champion Congratulations on his achievements")</f>
        <v>Argentina World Cup Champion Congratulations on his achievements</v>
      </c>
    </row>
    <row r="9794" ht="15.75" customHeight="1">
      <c r="A9794" s="1">
        <v>11027.0</v>
      </c>
      <c r="B9794" s="3" t="s">
        <v>27923</v>
      </c>
      <c r="C9794" s="3">
        <v>1.0</v>
      </c>
      <c r="D9794" s="3">
        <v>0.0</v>
      </c>
      <c r="E9794" s="3">
        <v>0.0</v>
      </c>
      <c r="F9794" s="3" t="s">
        <v>27924</v>
      </c>
      <c r="G9794" s="3">
        <v>1.0</v>
      </c>
      <c r="H9794" s="3">
        <v>0.0</v>
      </c>
      <c r="I9794" s="3" t="s">
        <v>13</v>
      </c>
      <c r="J9794" s="3" t="s">
        <v>27925</v>
      </c>
      <c r="K9794" s="3" t="s">
        <v>240</v>
      </c>
      <c r="L9794" s="3" t="str">
        <f>IFERROR(__xludf.DUMMYFUNCTION("GOOGLETRANSLATE(F9794,""id"",""en"")"),"And today the final week of the match between Argentina and France will be held to win the title and how the predictions of Ina Reuters' friends")</f>
        <v>And today the final week of the match between Argentina and France will be held to win the title and how the predictions of Ina Reuters' friends</v>
      </c>
    </row>
    <row r="9795" ht="15.75" customHeight="1">
      <c r="A9795" s="1">
        <v>11028.0</v>
      </c>
      <c r="B9795" s="3" t="s">
        <v>27926</v>
      </c>
      <c r="C9795" s="3">
        <v>1.0</v>
      </c>
      <c r="D9795" s="3">
        <v>0.0</v>
      </c>
      <c r="E9795" s="3">
        <v>1.0</v>
      </c>
      <c r="F9795" s="3" t="s">
        <v>27927</v>
      </c>
      <c r="G9795" s="3">
        <v>0.0</v>
      </c>
      <c r="H9795" s="3">
        <v>0.0</v>
      </c>
      <c r="I9795" s="3" t="s">
        <v>13</v>
      </c>
      <c r="J9795" s="3" t="s">
        <v>27928</v>
      </c>
      <c r="K9795" s="3" t="s">
        <v>2023</v>
      </c>
      <c r="L9795" s="3" t="str">
        <f>IFERROR(__xludf.DUMMYFUNCTION("GOOGLETRANSLATE(F9795,""id"",""en"")"),"thank you, bro, please send the gift while the world champion, bro, if you want to give a gift, I also accept it with pleasure or Messi want to give you too")</f>
        <v>thank you, bro, please send the gift while the world champion, bro, if you want to give a gift, I also accept it with pleasure or Messi want to give you too</v>
      </c>
    </row>
    <row r="9796" ht="15.75" customHeight="1">
      <c r="A9796" s="1">
        <v>11029.0</v>
      </c>
      <c r="B9796" s="3" t="s">
        <v>27929</v>
      </c>
      <c r="C9796" s="3">
        <v>0.0</v>
      </c>
      <c r="D9796" s="3">
        <v>0.0</v>
      </c>
      <c r="E9796" s="3">
        <v>0.0</v>
      </c>
      <c r="F9796" s="3" t="s">
        <v>27930</v>
      </c>
      <c r="G9796" s="3">
        <v>0.0</v>
      </c>
      <c r="H9796" s="3">
        <v>0.0</v>
      </c>
      <c r="I9796" s="3" t="s">
        <v>13</v>
      </c>
      <c r="J9796" s="3" t="s">
        <v>27931</v>
      </c>
      <c r="K9796" s="3" t="s">
        <v>657</v>
      </c>
      <c r="L9796" s="3" t="str">
        <f>IFERROR(__xludf.DUMMYFUNCTION("GOOGLETRANSLATE(F9796,""id"",""en"")"),"that's what still says Argentina champions of the give away path or just better sleep all day is not what it looks stupid because")</f>
        <v>that's what still says Argentina champions of the give away path or just better sleep all day is not what it looks stupid because</v>
      </c>
    </row>
    <row r="9797" ht="15.75" customHeight="1">
      <c r="A9797" s="1">
        <v>11030.0</v>
      </c>
      <c r="B9797" s="3" t="s">
        <v>27932</v>
      </c>
      <c r="C9797" s="3">
        <v>0.0</v>
      </c>
      <c r="D9797" s="3">
        <v>0.0</v>
      </c>
      <c r="E9797" s="3">
        <v>0.0</v>
      </c>
      <c r="F9797" s="3" t="s">
        <v>27933</v>
      </c>
      <c r="G9797" s="3">
        <v>0.0</v>
      </c>
      <c r="H9797" s="3">
        <v>0.0</v>
      </c>
      <c r="I9797" s="3" t="s">
        <v>13</v>
      </c>
      <c r="J9797" s="3" t="s">
        <v>27934</v>
      </c>
      <c r="K9797" s="3" t="s">
        <v>54</v>
      </c>
      <c r="L9797" s="3" t="str">
        <f>IFERROR(__xludf.DUMMYFUNCTION("GOOGLETRANSLATE(F9797,""id"",""en"")"),"Sports already knows Argentina will win the World Cup")</f>
        <v>Sports already knows Argentina will win the World Cup</v>
      </c>
    </row>
    <row r="9798" ht="15.75" customHeight="1">
      <c r="A9798" s="1">
        <v>11031.0</v>
      </c>
      <c r="B9798" s="3" t="s">
        <v>27935</v>
      </c>
      <c r="C9798" s="3">
        <v>0.0</v>
      </c>
      <c r="D9798" s="3">
        <v>1.0</v>
      </c>
      <c r="E9798" s="3">
        <v>2.0</v>
      </c>
      <c r="F9798" s="3" t="s">
        <v>27936</v>
      </c>
      <c r="G9798" s="3">
        <v>0.0</v>
      </c>
      <c r="H9798" s="3">
        <v>0.0</v>
      </c>
      <c r="I9798" s="3" t="s">
        <v>13</v>
      </c>
      <c r="J9798" s="3" t="s">
        <v>27937</v>
      </c>
      <c r="K9798" s="3" t="s">
        <v>19</v>
      </c>
      <c r="L9798" s="3" t="str">
        <f>IFERROR(__xludf.DUMMYFUNCTION("GOOGLETRANSLATE(F9798,""id"",""en"")"),"Upload photos with Lionel Messi after Argentina Champion Donna Agnesia History has been made")</f>
        <v>Upload photos with Lionel Messi after Argentina Champion Donna Agnesia History has been made</v>
      </c>
    </row>
    <row r="9799" ht="15.75" customHeight="1">
      <c r="A9799" s="1">
        <v>11032.0</v>
      </c>
      <c r="B9799" s="3" t="s">
        <v>27938</v>
      </c>
      <c r="C9799" s="3">
        <v>0.0</v>
      </c>
      <c r="D9799" s="3">
        <v>2.0</v>
      </c>
      <c r="E9799" s="3">
        <v>2.0</v>
      </c>
      <c r="F9799" s="3" t="s">
        <v>27939</v>
      </c>
      <c r="G9799" s="3">
        <v>0.0</v>
      </c>
      <c r="H9799" s="3">
        <v>0.0</v>
      </c>
      <c r="I9799" s="3" t="s">
        <v>13</v>
      </c>
      <c r="J9799" s="3" t="s">
        <v>27940</v>
      </c>
      <c r="K9799" s="3" t="s">
        <v>15</v>
      </c>
      <c r="L9799" s="3" t="str">
        <f>IFERROR(__xludf.DUMMYFUNCTION("GOOGLETRANSLATE(F9799,""id"",""en"")"),"Amazingly, Argentina is happy after the year waiting for the world champion again")</f>
        <v>Amazingly, Argentina is happy after the year waiting for the world champion again</v>
      </c>
    </row>
    <row r="9800" ht="15.75" customHeight="1">
      <c r="A9800" s="1">
        <v>11033.0</v>
      </c>
      <c r="B9800" s="3" t="s">
        <v>27941</v>
      </c>
      <c r="C9800" s="3">
        <v>0.0</v>
      </c>
      <c r="D9800" s="3">
        <v>0.0</v>
      </c>
      <c r="E9800" s="3">
        <v>8.0</v>
      </c>
      <c r="F9800" s="3" t="s">
        <v>27942</v>
      </c>
      <c r="G9800" s="3">
        <v>0.0</v>
      </c>
      <c r="H9800" s="3">
        <v>0.0</v>
      </c>
      <c r="I9800" s="3" t="s">
        <v>13</v>
      </c>
      <c r="J9800" s="3" t="s">
        <v>27943</v>
      </c>
      <c r="K9800" s="3" t="s">
        <v>41</v>
      </c>
      <c r="L9800" s="3" t="str">
        <f>IFERROR(__xludf.DUMMYFUNCTION("GOOGLETRANSLATE(F9800,""id"",""en"")"),"Argentina Saudi Arabian World Cup champions joined proud splashes")</f>
        <v>Argentina Saudi Arabian World Cup champions joined proud splashes</v>
      </c>
    </row>
    <row r="9801" ht="15.75" customHeight="1">
      <c r="A9801" s="1">
        <v>11034.0</v>
      </c>
      <c r="B9801" s="3" t="s">
        <v>27944</v>
      </c>
      <c r="C9801" s="3">
        <v>1.0</v>
      </c>
      <c r="D9801" s="3">
        <v>1.0</v>
      </c>
      <c r="E9801" s="3">
        <v>10.0</v>
      </c>
      <c r="F9801" s="3" t="s">
        <v>27945</v>
      </c>
      <c r="G9801" s="3">
        <v>0.0</v>
      </c>
      <c r="H9801" s="3">
        <v>0.0</v>
      </c>
      <c r="I9801" s="3" t="s">
        <v>13</v>
      </c>
      <c r="J9801" s="3" t="s">
        <v>27946</v>
      </c>
      <c r="K9801" s="3" t="s">
        <v>123</v>
      </c>
      <c r="L9801" s="3" t="str">
        <f>IFERROR(__xludf.DUMMYFUNCTION("GOOGLETRANSLATE(F9801,""id"",""en"")"),"Argentine captain Lionel Messi was finally able to perfect his career with the World Cup champion when lifting the Messi trophy so happy")</f>
        <v>Argentine captain Lionel Messi was finally able to perfect his career with the World Cup champion when lifting the Messi trophy so happy</v>
      </c>
    </row>
    <row r="9802" ht="15.75" customHeight="1">
      <c r="A9802" s="1">
        <v>11035.0</v>
      </c>
      <c r="B9802" s="3" t="s">
        <v>27947</v>
      </c>
      <c r="C9802" s="3">
        <v>0.0</v>
      </c>
      <c r="D9802" s="3">
        <v>0.0</v>
      </c>
      <c r="E9802" s="3">
        <v>0.0</v>
      </c>
      <c r="F9802" s="3" t="s">
        <v>27948</v>
      </c>
      <c r="G9802" s="3">
        <v>0.0</v>
      </c>
      <c r="H9802" s="3">
        <v>0.0</v>
      </c>
      <c r="I9802" s="3" t="s">
        <v>13</v>
      </c>
      <c r="J9802" s="3" t="s">
        <v>27949</v>
      </c>
      <c r="K9802" s="3" t="s">
        <v>75</v>
      </c>
      <c r="L9802" s="3" t="str">
        <f>IFERROR(__xludf.DUMMYFUNCTION("GOOGLETRANSLATE(F9802,""id"",""en"")"),"Argentina Jagoan Governor of Aceh and Regent of Nagan Raya World Champion Passing")</f>
        <v>Argentina Jagoan Governor of Aceh and Regent of Nagan Raya World Champion Passing</v>
      </c>
    </row>
    <row r="9803" ht="15.75" customHeight="1">
      <c r="A9803" s="1">
        <v>11036.0</v>
      </c>
      <c r="B9803" s="3" t="s">
        <v>27950</v>
      </c>
      <c r="C9803" s="3">
        <v>0.0</v>
      </c>
      <c r="D9803" s="3">
        <v>0.0</v>
      </c>
      <c r="E9803" s="3">
        <v>0.0</v>
      </c>
      <c r="F9803" s="3" t="s">
        <v>27951</v>
      </c>
      <c r="G9803" s="3">
        <v>0.0</v>
      </c>
      <c r="H9803" s="3">
        <v>0.0</v>
      </c>
      <c r="I9803" s="3" t="s">
        <v>13</v>
      </c>
      <c r="J9803" s="3" t="s">
        <v>27952</v>
      </c>
      <c r="K9803" s="3" t="s">
        <v>644</v>
      </c>
      <c r="L9803" s="3" t="str">
        <f>IFERROR(__xludf.DUMMYFUNCTION("GOOGLETRANSLATE(F9803,""id"",""en"")"),"thanks to him Argentina Champion")</f>
        <v>thanks to him Argentina Champion</v>
      </c>
    </row>
    <row r="9804" ht="15.75" customHeight="1">
      <c r="A9804" s="1">
        <v>11037.0</v>
      </c>
      <c r="B9804" s="3" t="s">
        <v>27953</v>
      </c>
      <c r="C9804" s="3">
        <v>0.0</v>
      </c>
      <c r="D9804" s="3">
        <v>0.0</v>
      </c>
      <c r="E9804" s="3">
        <v>0.0</v>
      </c>
      <c r="F9804" s="3" t="s">
        <v>27954</v>
      </c>
      <c r="G9804" s="3">
        <v>0.0</v>
      </c>
      <c r="H9804" s="3">
        <v>0.0</v>
      </c>
      <c r="I9804" s="3" t="s">
        <v>13</v>
      </c>
      <c r="J9804" s="3" t="s">
        <v>27955</v>
      </c>
      <c r="K9804" s="3" t="s">
        <v>699</v>
      </c>
      <c r="L9804" s="3" t="str">
        <f>IFERROR(__xludf.DUMMYFUNCTION("GOOGLETRANSLATE(F9804,""id"",""en"")"),"Even if you want to win the Argentina, the Argentina champion is already controversial every Argentine match from the GRUB phase to Knoukout, all there is a final.")</f>
        <v>Even if you want to win the Argentina, the Argentina champion is already controversial every Argentine match from the GRUB phase to Knoukout, all there is a final.</v>
      </c>
    </row>
    <row r="9805" ht="15.75" customHeight="1">
      <c r="A9805" s="1">
        <v>11038.0</v>
      </c>
      <c r="B9805" s="3" t="s">
        <v>27956</v>
      </c>
      <c r="C9805" s="3">
        <v>1.0</v>
      </c>
      <c r="D9805" s="3">
        <v>0.0</v>
      </c>
      <c r="E9805" s="3">
        <v>0.0</v>
      </c>
      <c r="F9805" s="3" t="s">
        <v>27957</v>
      </c>
      <c r="G9805" s="3">
        <v>0.0</v>
      </c>
      <c r="H9805" s="3">
        <v>0.0</v>
      </c>
      <c r="I9805" s="3" t="s">
        <v>13</v>
      </c>
      <c r="J9805" s="3" t="s">
        <v>27958</v>
      </c>
      <c r="K9805" s="3" t="s">
        <v>286</v>
      </c>
      <c r="L9805" s="3" t="str">
        <f>IFERROR(__xludf.DUMMYFUNCTION("GOOGLETRANSLATE(F9805,""id"",""en"")"),"Arya means his tweet is a kind of hope and prediction maybe he really knows that Argentina will win differently if he is tweeting until the game like who scored the goal")</f>
        <v>Arya means his tweet is a kind of hope and prediction maybe he really knows that Argentina will win differently if he is tweeting until the game like who scored the goal</v>
      </c>
    </row>
    <row r="9806" ht="15.75" customHeight="1">
      <c r="A9806" s="1">
        <v>11039.0</v>
      </c>
      <c r="B9806" s="3" t="s">
        <v>27959</v>
      </c>
      <c r="C9806" s="3">
        <v>0.0</v>
      </c>
      <c r="D9806" s="3">
        <v>0.0</v>
      </c>
      <c r="E9806" s="3">
        <v>1.0</v>
      </c>
      <c r="F9806" s="3" t="s">
        <v>27960</v>
      </c>
      <c r="G9806" s="3">
        <v>0.0</v>
      </c>
      <c r="H9806" s="3">
        <v>0.0</v>
      </c>
      <c r="I9806" s="3" t="s">
        <v>13</v>
      </c>
      <c r="J9806" s="3" t="s">
        <v>27961</v>
      </c>
      <c r="K9806" s="3" t="s">
        <v>2633</v>
      </c>
      <c r="L9806" s="3" t="str">
        <f>IFERROR(__xludf.DUMMYFUNCTION("GOOGLETRANSLATE(F9806,""id"",""en"")"),"to remember the day DMN Lionel Messi brought Argentina to win the beautiful World Cup World Cup to prove Lionel Messi Goat")</f>
        <v>to remember the day DMN Lionel Messi brought Argentina to win the beautiful World Cup World Cup to prove Lionel Messi Goat</v>
      </c>
    </row>
    <row r="9807" ht="15.75" customHeight="1">
      <c r="A9807" s="1">
        <v>11040.0</v>
      </c>
      <c r="B9807" s="3" t="s">
        <v>27962</v>
      </c>
      <c r="C9807" s="3">
        <v>0.0</v>
      </c>
      <c r="D9807" s="3">
        <v>0.0</v>
      </c>
      <c r="E9807" s="3">
        <v>0.0</v>
      </c>
      <c r="F9807" s="3" t="s">
        <v>27963</v>
      </c>
      <c r="G9807" s="3">
        <v>0.7999999999999999</v>
      </c>
      <c r="H9807" s="3">
        <v>0.06666666666666667</v>
      </c>
      <c r="I9807" s="3" t="s">
        <v>48</v>
      </c>
      <c r="J9807" s="3" t="s">
        <v>27964</v>
      </c>
      <c r="K9807" s="3" t="s">
        <v>903</v>
      </c>
      <c r="L9807" s="3" t="str">
        <f>IFERROR(__xludf.DUMMYFUNCTION("GOOGLETRANSLATE(F9807,""id"",""en"")"),"Still not moving from the final last night it feels mules hahaha as good as Congrat Argentina After Years but honestly France mentally champion, especially Mbappe Ckckck Final is the most entertaining and last night")</f>
        <v>Still not moving from the final last night it feels mules hahaha as good as Congrat Argentina After Years but honestly France mentally champion, especially Mbappe Ckckck Final is the most entertaining and last night</v>
      </c>
    </row>
    <row r="9808" ht="15.75" customHeight="1">
      <c r="A9808" s="1">
        <v>11041.0</v>
      </c>
      <c r="B9808" s="3" t="s">
        <v>27965</v>
      </c>
      <c r="C9808" s="3">
        <v>1.0</v>
      </c>
      <c r="D9808" s="3">
        <v>7.0</v>
      </c>
      <c r="E9808" s="3">
        <v>21.0</v>
      </c>
      <c r="F9808" s="3" t="s">
        <v>27966</v>
      </c>
      <c r="G9808" s="3">
        <v>0.0</v>
      </c>
      <c r="H9808" s="3">
        <v>0.0</v>
      </c>
      <c r="I9808" s="3" t="s">
        <v>13</v>
      </c>
      <c r="J9808" s="3" t="s">
        <v>27967</v>
      </c>
      <c r="K9808" s="3" t="s">
        <v>27968</v>
      </c>
      <c r="L9808" s="3" t="str">
        <f>IFERROR(__xludf.DUMMYFUNCTION("GOOGLETRANSLATE(F9808,""id"",""en"")"),"Argentina The Indonesian World Cup Champion first time champion SEA Games Argentina champions of the Indonesian World Cup first champion AFF Cup")</f>
        <v>Argentina The Indonesian World Cup Champion first time champion SEA Games Argentina champions of the Indonesian World Cup first champion AFF Cup</v>
      </c>
    </row>
    <row r="9809" ht="15.75" customHeight="1">
      <c r="A9809" s="1">
        <v>11042.0</v>
      </c>
      <c r="B9809" s="3" t="s">
        <v>27969</v>
      </c>
      <c r="C9809" s="3">
        <v>0.0</v>
      </c>
      <c r="D9809" s="3">
        <v>0.0</v>
      </c>
      <c r="E9809" s="3">
        <v>0.0</v>
      </c>
      <c r="F9809" s="3" t="s">
        <v>27970</v>
      </c>
      <c r="G9809" s="3">
        <v>0.0</v>
      </c>
      <c r="H9809" s="3">
        <v>0.0</v>
      </c>
      <c r="I9809" s="3" t="s">
        <v>13</v>
      </c>
      <c r="J9809" s="3" t="s">
        <v>27971</v>
      </c>
      <c r="K9809" s="3" t="s">
        <v>41</v>
      </c>
      <c r="L9809" s="3" t="str">
        <f>IFERROR(__xludf.DUMMYFUNCTION("GOOGLETRANSLATE(F9809,""id"",""en"")"),"Lionel Messi leaked the Secret of Argentina what World Cup champions were")</f>
        <v>Lionel Messi leaked the Secret of Argentina what World Cup champions were</v>
      </c>
    </row>
    <row r="9810" ht="15.75" customHeight="1">
      <c r="A9810" s="1">
        <v>11043.0</v>
      </c>
      <c r="B9810" s="3" t="s">
        <v>27972</v>
      </c>
      <c r="C9810" s="3">
        <v>0.0</v>
      </c>
      <c r="D9810" s="3">
        <v>0.0</v>
      </c>
      <c r="E9810" s="3">
        <v>0.0</v>
      </c>
      <c r="F9810" s="3" t="s">
        <v>27973</v>
      </c>
      <c r="G9810" s="3">
        <v>0.0</v>
      </c>
      <c r="H9810" s="3">
        <v>0.0</v>
      </c>
      <c r="I9810" s="3" t="s">
        <v>13</v>
      </c>
      <c r="J9810" s="3" t="s">
        <v>27974</v>
      </c>
      <c r="K9810" s="3" t="s">
        <v>31</v>
      </c>
      <c r="L9810" s="3" t="str">
        <f>IFERROR(__xludf.DUMMYFUNCTION("GOOGLETRANSLATE(F9810,""id"",""en"")"),"Can stop crying seeing Argentina Champion")</f>
        <v>Can stop crying seeing Argentina Champion</v>
      </c>
    </row>
    <row r="9811" ht="15.75" customHeight="1">
      <c r="A9811" s="1">
        <v>11044.0</v>
      </c>
      <c r="B9811" s="3" t="s">
        <v>27975</v>
      </c>
      <c r="C9811" s="3">
        <v>1.0</v>
      </c>
      <c r="D9811" s="3">
        <v>8.0</v>
      </c>
      <c r="E9811" s="3">
        <v>47.0</v>
      </c>
      <c r="F9811" s="3" t="s">
        <v>27945</v>
      </c>
      <c r="G9811" s="3">
        <v>0.0</v>
      </c>
      <c r="H9811" s="3">
        <v>0.0</v>
      </c>
      <c r="I9811" s="3" t="s">
        <v>13</v>
      </c>
      <c r="J9811" s="3" t="s">
        <v>27946</v>
      </c>
      <c r="K9811" s="3" t="s">
        <v>123</v>
      </c>
      <c r="L9811" s="3" t="str">
        <f>IFERROR(__xludf.DUMMYFUNCTION("GOOGLETRANSLATE(F9811,""id"",""en"")"),"Argentine captain Lionel Messi was finally able to perfect his career with the World Cup champion when lifting the Messi trophy so happy")</f>
        <v>Argentine captain Lionel Messi was finally able to perfect his career with the World Cup champion when lifting the Messi trophy so happy</v>
      </c>
    </row>
    <row r="9812" ht="15.75" customHeight="1">
      <c r="A9812" s="1">
        <v>11045.0</v>
      </c>
      <c r="B9812" s="3" t="s">
        <v>27976</v>
      </c>
      <c r="C9812" s="3">
        <v>0.0</v>
      </c>
      <c r="D9812" s="3">
        <v>0.0</v>
      </c>
      <c r="E9812" s="3">
        <v>0.0</v>
      </c>
      <c r="F9812" s="3" t="s">
        <v>27977</v>
      </c>
      <c r="G9812" s="3">
        <v>0.0</v>
      </c>
      <c r="H9812" s="3">
        <v>0.0</v>
      </c>
      <c r="I9812" s="3" t="s">
        <v>13</v>
      </c>
      <c r="J9812" s="3" t="s">
        <v>27978</v>
      </c>
      <c r="K9812" s="3" t="s">
        <v>131</v>
      </c>
      <c r="L9812" s="3" t="str">
        <f>IFERROR(__xludf.DUMMYFUNCTION("GOOGLETRANSLATE(F9812,""id"",""en"")"),"Alhamdulillah, finally since Argentina always failed to win the new World Cup in the Jokowi Argentina government succeeded in the world champion again thank you Jokowi")</f>
        <v>Alhamdulillah, finally since Argentina always failed to win the new World Cup in the Jokowi Argentina government succeeded in the world champion again thank you Jokowi</v>
      </c>
    </row>
    <row r="9813" ht="15.75" customHeight="1">
      <c r="A9813" s="1">
        <v>11046.0</v>
      </c>
      <c r="B9813" s="3" t="s">
        <v>27979</v>
      </c>
      <c r="C9813" s="3">
        <v>0.0</v>
      </c>
      <c r="D9813" s="3">
        <v>0.0</v>
      </c>
      <c r="E9813" s="3">
        <v>1.0</v>
      </c>
      <c r="F9813" s="3" t="s">
        <v>27980</v>
      </c>
      <c r="G9813" s="3">
        <v>0.3333333333333333</v>
      </c>
      <c r="H9813" s="3">
        <v>0.1666666666666667</v>
      </c>
      <c r="I9813" s="3" t="s">
        <v>48</v>
      </c>
      <c r="J9813" s="3" t="s">
        <v>27981</v>
      </c>
      <c r="K9813" s="3" t="s">
        <v>184</v>
      </c>
      <c r="L9813" s="3" t="str">
        <f>IFERROR(__xludf.DUMMYFUNCTION("GOOGLETRANSLATE(F9813,""id"",""en"")"),"What is meant is that the football industry and that's a more advanced European fact, just try Argentine players now about playing the local league, sure")</f>
        <v>What is meant is that the football industry and that's a more advanced European fact, just try Argentine players now about playing the local league, sure</v>
      </c>
    </row>
    <row r="9814" ht="15.75" customHeight="1">
      <c r="A9814" s="1">
        <v>11047.0</v>
      </c>
      <c r="B9814" s="3" t="s">
        <v>27982</v>
      </c>
      <c r="C9814" s="3">
        <v>0.0</v>
      </c>
      <c r="D9814" s="3">
        <v>0.0</v>
      </c>
      <c r="E9814" s="3">
        <v>0.0</v>
      </c>
      <c r="F9814" s="3" t="s">
        <v>27983</v>
      </c>
      <c r="G9814" s="3">
        <v>0.0</v>
      </c>
      <c r="H9814" s="3">
        <v>0.0</v>
      </c>
      <c r="I9814" s="3" t="s">
        <v>13</v>
      </c>
      <c r="J9814" s="3" t="s">
        <v>27984</v>
      </c>
      <c r="K9814" s="3" t="s">
        <v>27985</v>
      </c>
      <c r="L9814" s="3" t="str">
        <f>IFERROR(__xludf.DUMMYFUNCTION("GOOGLETRANSLATE(F9814,""id"",""en"")"),"Lionel Messi's record after bringing Argentina World Cup Champion Record Lionel Messi After Bringing Argentina World Cup Champion")</f>
        <v>Lionel Messi's record after bringing Argentina World Cup Champion Record Lionel Messi After Bringing Argentina World Cup Champion</v>
      </c>
    </row>
    <row r="9815" ht="15.75" customHeight="1">
      <c r="A9815" s="1">
        <v>11048.0</v>
      </c>
      <c r="B9815" s="3" t="s">
        <v>27986</v>
      </c>
      <c r="C9815" s="3">
        <v>0.0</v>
      </c>
      <c r="D9815" s="3">
        <v>0.0</v>
      </c>
      <c r="E9815" s="3">
        <v>0.0</v>
      </c>
      <c r="F9815" s="3" t="s">
        <v>27987</v>
      </c>
      <c r="G9815" s="3">
        <v>1.0</v>
      </c>
      <c r="H9815" s="3">
        <v>0.0</v>
      </c>
      <c r="I9815" s="3" t="s">
        <v>13</v>
      </c>
      <c r="J9815" s="3" t="s">
        <v>27988</v>
      </c>
      <c r="K9815" s="3" t="s">
        <v>41</v>
      </c>
      <c r="L9815" s="3" t="str">
        <f>IFERROR(__xludf.DUMMYFUNCTION("GOOGLETRANSLATE(F9815,""id"",""en"")"),"World Cup Ends the waiting year of the most tense final year to visit")</f>
        <v>World Cup Ends the waiting year of the most tense final year to visit</v>
      </c>
    </row>
    <row r="9816" ht="15.75" customHeight="1">
      <c r="A9816" s="1">
        <v>11049.0</v>
      </c>
      <c r="B9816" s="3" t="s">
        <v>27989</v>
      </c>
      <c r="C9816" s="3">
        <v>0.0</v>
      </c>
      <c r="D9816" s="3">
        <v>0.0</v>
      </c>
      <c r="E9816" s="3">
        <v>0.0</v>
      </c>
      <c r="F9816" s="3" t="s">
        <v>27990</v>
      </c>
      <c r="G9816" s="3">
        <v>0.0</v>
      </c>
      <c r="H9816" s="3">
        <v>0.0</v>
      </c>
      <c r="I9816" s="3" t="s">
        <v>13</v>
      </c>
      <c r="J9816" s="3" t="s">
        <v>27991</v>
      </c>
      <c r="K9816" s="3" t="s">
        <v>50</v>
      </c>
      <c r="L9816" s="3" t="str">
        <f>IFERROR(__xludf.DUMMYFUNCTION("GOOGLETRANSLATE(F9816,""id"",""en"")"),"World Cup Champion Sragen's name suddenly goes worldwide, how come Joglosemar News")</f>
        <v>World Cup Champion Sragen's name suddenly goes worldwide, how come Joglosemar News</v>
      </c>
    </row>
    <row r="9817" ht="15.75" customHeight="1">
      <c r="A9817" s="1">
        <v>11050.0</v>
      </c>
      <c r="B9817" s="3" t="s">
        <v>27992</v>
      </c>
      <c r="C9817" s="3">
        <v>0.0</v>
      </c>
      <c r="D9817" s="3">
        <v>0.0</v>
      </c>
      <c r="E9817" s="3">
        <v>0.0</v>
      </c>
      <c r="F9817" s="3" t="s">
        <v>27993</v>
      </c>
      <c r="G9817" s="3">
        <v>0.0</v>
      </c>
      <c r="H9817" s="3">
        <v>0.0</v>
      </c>
      <c r="I9817" s="3" t="s">
        <v>13</v>
      </c>
      <c r="J9817" s="3" t="s">
        <v>27994</v>
      </c>
      <c r="K9817" s="3" t="s">
        <v>9733</v>
      </c>
      <c r="L9817" s="3" t="str">
        <f>IFERROR(__xludf.DUMMYFUNCTION("GOOGLETRANSLATE(F9817,""id"",""en"")"),"Banyk was monitored fans accused if FIFA was biased one of wanting Argentina Messi champion PDHL if the referee was fair enough, after all, the supporters of France did not accept why fansbase did not accept there was no respect.")</f>
        <v>Banyk was monitored fans accused if FIFA was biased one of wanting Argentina Messi champion PDHL if the referee was fair enough, after all, the supporters of France did not accept why fansbase did not accept there was no respect.</v>
      </c>
    </row>
    <row r="9818" ht="15.75" customHeight="1">
      <c r="A9818" s="1">
        <v>11051.0</v>
      </c>
      <c r="B9818" s="3" t="s">
        <v>27995</v>
      </c>
      <c r="C9818" s="3">
        <v>9.0</v>
      </c>
      <c r="D9818" s="3">
        <v>9.0</v>
      </c>
      <c r="E9818" s="3">
        <v>46.0</v>
      </c>
      <c r="F9818" s="3" t="s">
        <v>27996</v>
      </c>
      <c r="G9818" s="3">
        <v>0.0</v>
      </c>
      <c r="H9818" s="3">
        <v>0.0</v>
      </c>
      <c r="I9818" s="3" t="s">
        <v>13</v>
      </c>
      <c r="J9818" s="3" t="s">
        <v>27997</v>
      </c>
      <c r="K9818" s="3" t="s">
        <v>127</v>
      </c>
      <c r="L9818" s="3" t="str">
        <f>IFERROR(__xludf.DUMMYFUNCTION("GOOGLETRANSLATE(F9818,""id"",""en"")"),"Argentina World Cup Champion brought home a prize of around billion if it was converted to buy a car capable of getting a wuling air unit")</f>
        <v>Argentina World Cup Champion brought home a prize of around billion if it was converted to buy a car capable of getting a wuling air unit</v>
      </c>
    </row>
    <row r="9819" ht="15.75" customHeight="1">
      <c r="A9819" s="1">
        <v>11052.0</v>
      </c>
      <c r="B9819" s="3" t="s">
        <v>27998</v>
      </c>
      <c r="C9819" s="3">
        <v>0.0</v>
      </c>
      <c r="D9819" s="3">
        <v>0.0</v>
      </c>
      <c r="E9819" s="3">
        <v>1.0</v>
      </c>
      <c r="F9819" s="3" t="s">
        <v>27999</v>
      </c>
      <c r="G9819" s="3">
        <v>0.0</v>
      </c>
      <c r="H9819" s="3">
        <v>0.0</v>
      </c>
      <c r="I9819" s="3" t="s">
        <v>13</v>
      </c>
      <c r="J9819" s="3" t="s">
        <v>28000</v>
      </c>
      <c r="K9819" s="3" t="s">
        <v>657</v>
      </c>
      <c r="L9819" s="3" t="str">
        <f>IFERROR(__xludf.DUMMYFUNCTION("GOOGLETRANSLATE(F9819,""id"",""en"")"),"Learning from Argentina loses early with Saudi Arabia, not means that the champion is lost there is no attempt to betray the results")</f>
        <v>Learning from Argentina loses early with Saudi Arabia, not means that the champion is lost there is no attempt to betray the results</v>
      </c>
    </row>
    <row r="9820" ht="15.75" customHeight="1">
      <c r="A9820" s="1">
        <v>11053.0</v>
      </c>
      <c r="B9820" s="3" t="s">
        <v>28001</v>
      </c>
      <c r="C9820" s="3">
        <v>0.0</v>
      </c>
      <c r="D9820" s="3">
        <v>0.0</v>
      </c>
      <c r="E9820" s="3">
        <v>0.0</v>
      </c>
      <c r="F9820" s="3" t="s">
        <v>28002</v>
      </c>
      <c r="G9820" s="3">
        <v>0.0</v>
      </c>
      <c r="H9820" s="3">
        <v>0.0</v>
      </c>
      <c r="I9820" s="3" t="s">
        <v>13</v>
      </c>
      <c r="J9820" s="3" t="s">
        <v>28003</v>
      </c>
      <c r="K9820" s="3" t="s">
        <v>35</v>
      </c>
      <c r="L9820" s="3" t="str">
        <f>IFERROR(__xludf.DUMMYFUNCTION("GOOGLETRANSLATE(F9820,""id"",""en"")"),"alternative login Argentina champion Slot Gacor Site Easily Win Deposit Clock Slot")</f>
        <v>alternative login Argentina champion Slot Gacor Site Easily Win Deposit Clock Slot</v>
      </c>
    </row>
    <row r="9821" ht="15.75" customHeight="1">
      <c r="A9821" s="1">
        <v>11054.0</v>
      </c>
      <c r="B9821" s="3" t="s">
        <v>28004</v>
      </c>
      <c r="C9821" s="3">
        <v>0.0</v>
      </c>
      <c r="D9821" s="3">
        <v>0.0</v>
      </c>
      <c r="E9821" s="3">
        <v>1.0</v>
      </c>
      <c r="F9821" s="3" t="s">
        <v>28005</v>
      </c>
      <c r="G9821" s="3">
        <v>0.0</v>
      </c>
      <c r="H9821" s="3">
        <v>0.0</v>
      </c>
      <c r="I9821" s="3" t="s">
        <v>13</v>
      </c>
      <c r="J9821" s="3" t="s">
        <v>28006</v>
      </c>
      <c r="K9821" s="3" t="s">
        <v>1293</v>
      </c>
      <c r="L9821" s="3" t="str">
        <f>IFERROR(__xludf.DUMMYFUNCTION("GOOGLETRANSLATE(F9821,""id"",""en"")"),"Before Qatar began, Argentina was jagted to become a World Cup champion this year and the results could be made a tweet from this this")</f>
        <v>Before Qatar began, Argentina was jagted to become a World Cup champion this year and the results could be made a tweet from this this</v>
      </c>
    </row>
    <row r="9822" ht="15.75" customHeight="1">
      <c r="A9822" s="1">
        <v>11055.0</v>
      </c>
      <c r="B9822" s="3" t="s">
        <v>28007</v>
      </c>
      <c r="C9822" s="3">
        <v>0.0</v>
      </c>
      <c r="D9822" s="3">
        <v>0.0</v>
      </c>
      <c r="E9822" s="3">
        <v>0.0</v>
      </c>
      <c r="F9822" s="3" t="s">
        <v>28008</v>
      </c>
      <c r="G9822" s="3">
        <v>0.0</v>
      </c>
      <c r="H9822" s="3">
        <v>0.0</v>
      </c>
      <c r="I9822" s="3" t="s">
        <v>13</v>
      </c>
      <c r="J9822" s="3" t="s">
        <v>28009</v>
      </c>
      <c r="K9822" s="3" t="s">
        <v>75</v>
      </c>
      <c r="L9822" s="3" t="str">
        <f>IFERROR(__xludf.DUMMYFUNCTION("GOOGLETRANSLATE(F9822,""id"",""en"")"),"Ronaldo Saudi Arabia Argentina World Champion Messi Admiral Yudo Margono")</f>
        <v>Ronaldo Saudi Arabia Argentina World Champion Messi Admiral Yudo Margono</v>
      </c>
    </row>
    <row r="9823" ht="15.75" customHeight="1">
      <c r="A9823" s="1">
        <v>11056.0</v>
      </c>
      <c r="B9823" s="3" t="s">
        <v>28010</v>
      </c>
      <c r="C9823" s="3">
        <v>0.0</v>
      </c>
      <c r="D9823" s="3">
        <v>0.0</v>
      </c>
      <c r="E9823" s="3">
        <v>0.0</v>
      </c>
      <c r="F9823" s="3" t="s">
        <v>28011</v>
      </c>
      <c r="G9823" s="3">
        <v>0.0</v>
      </c>
      <c r="H9823" s="3">
        <v>0.0</v>
      </c>
      <c r="I9823" s="3" t="s">
        <v>13</v>
      </c>
      <c r="J9823" s="3" t="s">
        <v>28012</v>
      </c>
      <c r="K9823" s="3" t="s">
        <v>82</v>
      </c>
      <c r="L9823" s="3" t="str">
        <f>IFERROR(__xludf.DUMMYFUNCTION("GOOGLETRANSLATE(F9823,""id"",""en"")"),"Try to see Iwan posting Argentina champions")</f>
        <v>Try to see Iwan posting Argentina champions</v>
      </c>
    </row>
    <row r="9824" ht="15.75" customHeight="1">
      <c r="A9824" s="1">
        <v>11057.0</v>
      </c>
      <c r="B9824" s="3" t="s">
        <v>28013</v>
      </c>
      <c r="C9824" s="3">
        <v>0.0</v>
      </c>
      <c r="D9824" s="3">
        <v>0.0</v>
      </c>
      <c r="E9824" s="3">
        <v>0.0</v>
      </c>
      <c r="F9824" s="3" t="s">
        <v>28014</v>
      </c>
      <c r="G9824" s="3">
        <v>1.0</v>
      </c>
      <c r="H9824" s="3">
        <v>0.0</v>
      </c>
      <c r="I9824" s="3" t="s">
        <v>13</v>
      </c>
      <c r="J9824" s="3" t="s">
        <v>28015</v>
      </c>
      <c r="K9824" s="3" t="s">
        <v>3819</v>
      </c>
      <c r="L9824" s="3" t="str">
        <f>IFERROR(__xludf.DUMMYFUNCTION("GOOGLETRANSLATE(F9824,""id"",""en"")"),"Argentina national team successfully won the World Cup after defeating the French national team Lionel Messi then made an emotional post after bringing the world champion tango team")</f>
        <v>Argentina national team successfully won the World Cup after defeating the French national team Lionel Messi then made an emotional post after bringing the world champion tango team</v>
      </c>
    </row>
    <row r="9825" ht="15.75" customHeight="1">
      <c r="A9825" s="1">
        <v>11058.0</v>
      </c>
      <c r="B9825" s="3" t="s">
        <v>28016</v>
      </c>
      <c r="C9825" s="3">
        <v>0.0</v>
      </c>
      <c r="D9825" s="3">
        <v>0.0</v>
      </c>
      <c r="E9825" s="3">
        <v>0.0</v>
      </c>
      <c r="F9825" s="3" t="s">
        <v>28014</v>
      </c>
      <c r="G9825" s="3">
        <v>1.0</v>
      </c>
      <c r="H9825" s="3">
        <v>0.0</v>
      </c>
      <c r="I9825" s="3" t="s">
        <v>13</v>
      </c>
      <c r="J9825" s="3" t="s">
        <v>28015</v>
      </c>
      <c r="K9825" s="3" t="s">
        <v>3819</v>
      </c>
      <c r="L9825" s="3" t="str">
        <f>IFERROR(__xludf.DUMMYFUNCTION("GOOGLETRANSLATE(F9825,""id"",""en"")"),"Argentina national team successfully won the World Cup after defeating the French national team Lionel Messi then made an emotional post after bringing the world champion tango team")</f>
        <v>Argentina national team successfully won the World Cup after defeating the French national team Lionel Messi then made an emotional post after bringing the world champion tango team</v>
      </c>
    </row>
    <row r="9826" ht="15.75" customHeight="1">
      <c r="A9826" s="1">
        <v>11059.0</v>
      </c>
      <c r="B9826" s="3" t="s">
        <v>28017</v>
      </c>
      <c r="C9826" s="3">
        <v>0.0</v>
      </c>
      <c r="D9826" s="3">
        <v>1.0</v>
      </c>
      <c r="E9826" s="3">
        <v>2.0</v>
      </c>
      <c r="F9826" s="3" t="s">
        <v>28018</v>
      </c>
      <c r="G9826" s="3">
        <v>0.0</v>
      </c>
      <c r="H9826" s="3">
        <v>0.0</v>
      </c>
      <c r="I9826" s="3" t="s">
        <v>13</v>
      </c>
      <c r="J9826" s="3" t="s">
        <v>28019</v>
      </c>
      <c r="K9826" s="3" t="s">
        <v>942</v>
      </c>
      <c r="L9826" s="3" t="str">
        <f>IFERROR(__xludf.DUMMYFUNCTION("GOOGLETRANSLATE(F9826,""id"",""en"")"),"Argentina was last champion when Messi was born now champions Messi retired from the national team what twist")</f>
        <v>Argentina was last champion when Messi was born now champions Messi retired from the national team what twist</v>
      </c>
    </row>
    <row r="9827" ht="15.75" customHeight="1">
      <c r="A9827" s="1">
        <v>11060.0</v>
      </c>
      <c r="B9827" s="3" t="s">
        <v>28020</v>
      </c>
      <c r="C9827" s="3">
        <v>0.0</v>
      </c>
      <c r="D9827" s="3">
        <v>0.0</v>
      </c>
      <c r="E9827" s="3">
        <v>0.0</v>
      </c>
      <c r="F9827" s="3" t="s">
        <v>28021</v>
      </c>
      <c r="G9827" s="3">
        <v>0.0</v>
      </c>
      <c r="H9827" s="3">
        <v>0.0</v>
      </c>
      <c r="I9827" s="3" t="s">
        <v>13</v>
      </c>
      <c r="J9827" s="3" t="s">
        <v>28022</v>
      </c>
      <c r="K9827" s="3" t="s">
        <v>2215</v>
      </c>
      <c r="L9827" s="3" t="str">
        <f>IFERROR(__xludf.DUMMYFUNCTION("GOOGLETRANSLATE(F9827,""id"",""en"")"),"Argentina Champion of Argentina World Cup Hurry Hurry List Dewabandar Many Promo and Attractive Events List")</f>
        <v>Argentina Champion of Argentina World Cup Hurry Hurry List Dewabandar Many Promo and Attractive Events List</v>
      </c>
    </row>
    <row r="9828" ht="15.75" customHeight="1">
      <c r="A9828" s="1">
        <v>11061.0</v>
      </c>
      <c r="B9828" s="3" t="s">
        <v>28023</v>
      </c>
      <c r="C9828" s="3">
        <v>0.0</v>
      </c>
      <c r="D9828" s="3">
        <v>0.0</v>
      </c>
      <c r="E9828" s="3">
        <v>0.0</v>
      </c>
      <c r="F9828" s="3" t="s">
        <v>28024</v>
      </c>
      <c r="G9828" s="3">
        <v>0.0</v>
      </c>
      <c r="H9828" s="3">
        <v>0.0</v>
      </c>
      <c r="I9828" s="3" t="s">
        <v>13</v>
      </c>
      <c r="J9828" s="3" t="s">
        <v>28025</v>
      </c>
      <c r="K9828" s="3" t="s">
        <v>184</v>
      </c>
      <c r="L9828" s="3" t="str">
        <f>IFERROR(__xludf.DUMMYFUNCTION("GOOGLETRANSLATE(F9828,""id"",""en"")"),"Bravo Argentina came out as the World Cup champion Messi officially drained the GOAT GOOD I could not imagine how happy Argentina residents today")</f>
        <v>Bravo Argentina came out as the World Cup champion Messi officially drained the GOAT GOOD I could not imagine how happy Argentina residents today</v>
      </c>
    </row>
    <row r="9829" ht="15.75" customHeight="1">
      <c r="A9829" s="1">
        <v>11062.0</v>
      </c>
      <c r="B9829" s="3" t="s">
        <v>28026</v>
      </c>
      <c r="C9829" s="3">
        <v>0.0</v>
      </c>
      <c r="D9829" s="3">
        <v>1.0</v>
      </c>
      <c r="E9829" s="3">
        <v>0.0</v>
      </c>
      <c r="F9829" s="3" t="s">
        <v>28027</v>
      </c>
      <c r="G9829" s="3">
        <v>0.0</v>
      </c>
      <c r="H9829" s="3">
        <v>0.0</v>
      </c>
      <c r="I9829" s="3" t="s">
        <v>13</v>
      </c>
      <c r="J9829" s="3" t="s">
        <v>28028</v>
      </c>
      <c r="K9829" s="3" t="s">
        <v>35</v>
      </c>
      <c r="L9829" s="3" t="str">
        <f>IFERROR(__xludf.DUMMYFUNCTION("GOOGLETRANSLATE(F9829,""id"",""en"")"),"Splashy Rayyanza managed to guess Argentina to win the netizen world cup, don't")</f>
        <v>Splashy Rayyanza managed to guess Argentina to win the netizen world cup, don't</v>
      </c>
    </row>
    <row r="9830" ht="15.75" customHeight="1">
      <c r="A9830" s="1">
        <v>11063.0</v>
      </c>
      <c r="B9830" s="3" t="s">
        <v>28029</v>
      </c>
      <c r="C9830" s="3">
        <v>0.0</v>
      </c>
      <c r="D9830" s="3">
        <v>0.0</v>
      </c>
      <c r="E9830" s="3">
        <v>0.0</v>
      </c>
      <c r="F9830" s="3" t="s">
        <v>28030</v>
      </c>
      <c r="G9830" s="3">
        <v>0.0</v>
      </c>
      <c r="H9830" s="3">
        <v>0.0</v>
      </c>
      <c r="I9830" s="3" t="s">
        <v>13</v>
      </c>
      <c r="J9830" s="3" t="s">
        <v>28031</v>
      </c>
      <c r="K9830" s="3" t="s">
        <v>82</v>
      </c>
      <c r="L9830" s="3" t="str">
        <f>IFERROR(__xludf.DUMMYFUNCTION("GOOGLETRANSLATE(F9830,""id"",""en"")"),"Winning against France Argentina Champion World Cup")</f>
        <v>Winning against France Argentina Champion World Cup</v>
      </c>
    </row>
    <row r="9831" ht="15.75" customHeight="1">
      <c r="A9831" s="1">
        <v>11064.0</v>
      </c>
      <c r="B9831" s="3" t="s">
        <v>28032</v>
      </c>
      <c r="C9831" s="3">
        <v>0.0</v>
      </c>
      <c r="D9831" s="3">
        <v>0.0</v>
      </c>
      <c r="E9831" s="3">
        <v>0.0</v>
      </c>
      <c r="F9831" s="3" t="s">
        <v>28033</v>
      </c>
      <c r="G9831" s="3">
        <v>0.0</v>
      </c>
      <c r="H9831" s="3">
        <v>0.0</v>
      </c>
      <c r="I9831" s="3" t="s">
        <v>13</v>
      </c>
      <c r="J9831" s="3" t="s">
        <v>28034</v>
      </c>
      <c r="K9831" s="3" t="s">
        <v>50</v>
      </c>
      <c r="L9831" s="3" t="str">
        <f>IFERROR(__xludf.DUMMYFUNCTION("GOOGLETRANSLATE(F9831,""id"",""en"")"),"Unique prediction of the French Argentine World Cup champion from Robot to Rain Pawang")</f>
        <v>Unique prediction of the French Argentine World Cup champion from Robot to Rain Pawang</v>
      </c>
    </row>
    <row r="9832" ht="15.75" customHeight="1">
      <c r="A9832" s="1">
        <v>11065.0</v>
      </c>
      <c r="B9832" s="3" t="s">
        <v>28035</v>
      </c>
      <c r="C9832" s="3">
        <v>0.0</v>
      </c>
      <c r="D9832" s="3">
        <v>0.0</v>
      </c>
      <c r="E9832" s="3">
        <v>0.0</v>
      </c>
      <c r="F9832" s="3" t="s">
        <v>22486</v>
      </c>
      <c r="G9832" s="3">
        <v>0.0</v>
      </c>
      <c r="H9832" s="3">
        <v>0.0</v>
      </c>
      <c r="I9832" s="3" t="s">
        <v>13</v>
      </c>
      <c r="J9832" s="3" t="s">
        <v>22487</v>
      </c>
      <c r="K9832" s="3" t="s">
        <v>6117</v>
      </c>
      <c r="L9832" s="3" t="str">
        <f>IFERROR(__xludf.DUMMYFUNCTION("GOOGLETRANSLATE(F9832,""id"",""en"")"),"Good morning to supporters of the French national team, keep up the spirit and need to cry good morning your Argentina supporters are worthy")</f>
        <v>Good morning to supporters of the French national team, keep up the spirit and need to cry good morning your Argentina supporters are worthy</v>
      </c>
    </row>
    <row r="9833" ht="15.75" customHeight="1">
      <c r="A9833" s="1">
        <v>11066.0</v>
      </c>
      <c r="B9833" s="3" t="s">
        <v>28036</v>
      </c>
      <c r="C9833" s="3">
        <v>0.0</v>
      </c>
      <c r="D9833" s="3">
        <v>0.0</v>
      </c>
      <c r="E9833" s="3">
        <v>0.0</v>
      </c>
      <c r="F9833" s="3" t="s">
        <v>28037</v>
      </c>
      <c r="G9833" s="3">
        <v>0.0</v>
      </c>
      <c r="H9833" s="3">
        <v>0.0</v>
      </c>
      <c r="I9833" s="3" t="s">
        <v>13</v>
      </c>
      <c r="J9833" s="3" t="s">
        <v>28038</v>
      </c>
      <c r="K9833" s="3" t="s">
        <v>41</v>
      </c>
      <c r="L9833" s="3" t="str">
        <f>IFERROR(__xludf.DUMMYFUNCTION("GOOGLETRANSLATE(F9833,""id"",""en"")"),"Euro Argentina is never a league champion still inferior to Bali United")</f>
        <v>Euro Argentina is never a league champion still inferior to Bali United</v>
      </c>
    </row>
    <row r="9834" ht="15.75" customHeight="1">
      <c r="A9834" s="1">
        <v>11067.0</v>
      </c>
      <c r="B9834" s="3" t="s">
        <v>28039</v>
      </c>
      <c r="C9834" s="3">
        <v>0.0</v>
      </c>
      <c r="D9834" s="3">
        <v>0.0</v>
      </c>
      <c r="E9834" s="3">
        <v>0.0</v>
      </c>
      <c r="F9834" s="3" t="s">
        <v>28040</v>
      </c>
      <c r="G9834" s="3">
        <v>0.0</v>
      </c>
      <c r="H9834" s="3">
        <v>0.0</v>
      </c>
      <c r="I9834" s="3" t="s">
        <v>13</v>
      </c>
      <c r="J9834" s="3" t="s">
        <v>28041</v>
      </c>
      <c r="K9834" s="3" t="s">
        <v>127</v>
      </c>
      <c r="L9834" s="3" t="str">
        <f>IFERROR(__xludf.DUMMYFUNCTION("GOOGLETRANSLATE(F9834,""id"",""en"")"),"former Argentine national team striker Sergio Aguero was heard blasphemous French player Eduardo Camavinga while celebrating the moment of the World Cup championship")</f>
        <v>former Argentine national team striker Sergio Aguero was heard blasphemous French player Eduardo Camavinga while celebrating the moment of the World Cup championship</v>
      </c>
    </row>
    <row r="9835" ht="15.75" customHeight="1">
      <c r="A9835" s="1">
        <v>11068.0</v>
      </c>
      <c r="B9835" s="3" t="s">
        <v>28042</v>
      </c>
      <c r="C9835" s="3">
        <v>0.0</v>
      </c>
      <c r="D9835" s="3">
        <v>0.0</v>
      </c>
      <c r="E9835" s="3">
        <v>0.0</v>
      </c>
      <c r="F9835" s="3" t="s">
        <v>28040</v>
      </c>
      <c r="G9835" s="3">
        <v>0.0</v>
      </c>
      <c r="H9835" s="3">
        <v>0.0</v>
      </c>
      <c r="I9835" s="3" t="s">
        <v>13</v>
      </c>
      <c r="J9835" s="3" t="s">
        <v>28041</v>
      </c>
      <c r="K9835" s="3" t="s">
        <v>127</v>
      </c>
      <c r="L9835" s="3" t="str">
        <f>IFERROR(__xludf.DUMMYFUNCTION("GOOGLETRANSLATE(F9835,""id"",""en"")"),"former Argentine national team striker Sergio Aguero was heard blasphemous French player Eduardo Camavinga while celebrating the moment of the World Cup championship")</f>
        <v>former Argentine national team striker Sergio Aguero was heard blasphemous French player Eduardo Camavinga while celebrating the moment of the World Cup championship</v>
      </c>
    </row>
    <row r="9836" ht="15.75" customHeight="1">
      <c r="A9836" s="1">
        <v>11069.0</v>
      </c>
      <c r="B9836" s="3" t="s">
        <v>28043</v>
      </c>
      <c r="C9836" s="3">
        <v>0.0</v>
      </c>
      <c r="D9836" s="3">
        <v>0.0</v>
      </c>
      <c r="E9836" s="3">
        <v>0.0</v>
      </c>
      <c r="F9836" s="3" t="s">
        <v>28044</v>
      </c>
      <c r="G9836" s="3">
        <v>0.0</v>
      </c>
      <c r="H9836" s="3">
        <v>0.0</v>
      </c>
      <c r="I9836" s="3" t="s">
        <v>13</v>
      </c>
      <c r="J9836" s="3" t="s">
        <v>28045</v>
      </c>
      <c r="K9836" s="3" t="s">
        <v>19</v>
      </c>
      <c r="L9836" s="3" t="str">
        <f>IFERROR(__xludf.DUMMYFUNCTION("GOOGLETRANSLATE(F9836,""id"",""en"")"),"Lionel Messi Wearing a Typical Arab Clothing when Lifting the Argentine Trophy for World Cup Champion")</f>
        <v>Lionel Messi Wearing a Typical Arab Clothing when Lifting the Argentine Trophy for World Cup Champion</v>
      </c>
    </row>
    <row r="9837" ht="15.75" customHeight="1">
      <c r="A9837" s="1">
        <v>11070.0</v>
      </c>
      <c r="B9837" s="3" t="s">
        <v>28046</v>
      </c>
      <c r="C9837" s="3">
        <v>0.0</v>
      </c>
      <c r="D9837" s="3">
        <v>0.0</v>
      </c>
      <c r="E9837" s="3">
        <v>0.0</v>
      </c>
      <c r="F9837" s="3" t="s">
        <v>28047</v>
      </c>
      <c r="G9837" s="3">
        <v>0.0</v>
      </c>
      <c r="H9837" s="3">
        <v>0.0</v>
      </c>
      <c r="I9837" s="3" t="s">
        <v>13</v>
      </c>
      <c r="J9837" s="3" t="s">
        <v>28048</v>
      </c>
      <c r="K9837" s="3" t="s">
        <v>41</v>
      </c>
      <c r="L9837" s="3" t="str">
        <f>IFERROR(__xludf.DUMMYFUNCTION("GOOGLETRANSLATE(F9837,""id"",""en"")"),"There is another success from Pilduun besides Argentina to become a champion, which is a lot of shahada to convert to Islam")</f>
        <v>There is another success from Pilduun besides Argentina to become a champion, which is a lot of shahada to convert to Islam</v>
      </c>
    </row>
    <row r="9838" ht="15.75" customHeight="1">
      <c r="A9838" s="1">
        <v>11071.0</v>
      </c>
      <c r="B9838" s="3" t="s">
        <v>28049</v>
      </c>
      <c r="C9838" s="3">
        <v>0.0</v>
      </c>
      <c r="D9838" s="3">
        <v>0.0</v>
      </c>
      <c r="E9838" s="3">
        <v>0.0</v>
      </c>
      <c r="F9838" s="3" t="s">
        <v>28050</v>
      </c>
      <c r="G9838" s="3">
        <v>0.5</v>
      </c>
      <c r="H9838" s="3">
        <v>0.5</v>
      </c>
      <c r="I9838" s="3" t="s">
        <v>48</v>
      </c>
      <c r="J9838" s="3" t="s">
        <v>28051</v>
      </c>
      <c r="K9838" s="3" t="s">
        <v>266</v>
      </c>
      <c r="L9838" s="3" t="str">
        <f>IFERROR(__xludf.DUMMYFUNCTION("GOOGLETRANSLATE(F9838,""id"",""en"")"),"Argentina World Cup Champion Champion Unworthy Top Score competition feels hurt by the best player in disbelief in himself the best goalkeeper to maintain the feelings of others the best young player Life Quater Crisis")</f>
        <v>Argentina World Cup Champion Champion Unworthy Top Score competition feels hurt by the best player in disbelief in himself the best goalkeeper to maintain the feelings of others the best young player Life Quater Crisis</v>
      </c>
    </row>
    <row r="9839" ht="15.75" customHeight="1">
      <c r="A9839" s="1">
        <v>11072.0</v>
      </c>
      <c r="B9839" s="3" t="s">
        <v>28052</v>
      </c>
      <c r="C9839" s="3">
        <v>0.0</v>
      </c>
      <c r="D9839" s="3">
        <v>0.0</v>
      </c>
      <c r="E9839" s="3">
        <v>1.0</v>
      </c>
      <c r="F9839" s="3" t="s">
        <v>28053</v>
      </c>
      <c r="G9839" s="3">
        <v>1.0</v>
      </c>
      <c r="H9839" s="3">
        <v>1.0</v>
      </c>
      <c r="I9839" s="3" t="s">
        <v>48</v>
      </c>
      <c r="J9839" s="3" t="s">
        <v>28054</v>
      </c>
      <c r="K9839" s="3" t="s">
        <v>484</v>
      </c>
      <c r="L9839" s="3" t="str">
        <f>IFERROR(__xludf.DUMMYFUNCTION("GOOGLETRANSLATE(F9839,""id"",""en"")"),"Already watching Argentina France, but the Argentine champion is really Messi Greatest All Time")</f>
        <v>Already watching Argentina France, but the Argentine champion is really Messi Greatest All Time</v>
      </c>
    </row>
    <row r="9840" ht="15.75" customHeight="1">
      <c r="A9840" s="1">
        <v>11073.0</v>
      </c>
      <c r="B9840" s="3" t="s">
        <v>28055</v>
      </c>
      <c r="C9840" s="3">
        <v>0.0</v>
      </c>
      <c r="D9840" s="3">
        <v>0.0</v>
      </c>
      <c r="E9840" s="3">
        <v>0.0</v>
      </c>
      <c r="F9840" s="3" t="s">
        <v>28056</v>
      </c>
      <c r="G9840" s="3">
        <v>0.3</v>
      </c>
      <c r="H9840" s="3">
        <v>1.0</v>
      </c>
      <c r="I9840" s="3" t="s">
        <v>48</v>
      </c>
      <c r="J9840" s="3" t="s">
        <v>28057</v>
      </c>
      <c r="K9840" s="3" t="s">
        <v>15</v>
      </c>
      <c r="L9840" s="3" t="str">
        <f>IFERROR(__xludf.DUMMYFUNCTION("GOOGLETRANSLATE(F9840,""id"",""en"")"),"Best Day Life Argentina Champion Buyeon Jang Sailing")</f>
        <v>Best Day Life Argentina Champion Buyeon Jang Sailing</v>
      </c>
    </row>
    <row r="9841" ht="15.75" customHeight="1">
      <c r="A9841" s="1">
        <v>11074.0</v>
      </c>
      <c r="B9841" s="3" t="s">
        <v>28058</v>
      </c>
      <c r="C9841" s="3">
        <v>0.0</v>
      </c>
      <c r="D9841" s="3">
        <v>0.0</v>
      </c>
      <c r="E9841" s="3">
        <v>0.0</v>
      </c>
      <c r="F9841" s="3" t="s">
        <v>28059</v>
      </c>
      <c r="G9841" s="3">
        <v>0.0</v>
      </c>
      <c r="H9841" s="3">
        <v>0.0</v>
      </c>
      <c r="I9841" s="3" t="s">
        <v>13</v>
      </c>
      <c r="J9841" s="3" t="s">
        <v>28060</v>
      </c>
      <c r="K9841" s="3" t="s">
        <v>19</v>
      </c>
      <c r="L9841" s="3" t="str">
        <f>IFERROR(__xludf.DUMMYFUNCTION("GOOGLETRANSLATE(F9841,""id"",""en"")"),"as the World Cup champion in the Argentine uniform does not mean Messi will play the next pildun")</f>
        <v>as the World Cup champion in the Argentine uniform does not mean Messi will play the next pildun</v>
      </c>
    </row>
    <row r="9842" ht="15.75" customHeight="1">
      <c r="A9842" s="1">
        <v>11075.0</v>
      </c>
      <c r="B9842" s="3" t="s">
        <v>28061</v>
      </c>
      <c r="C9842" s="3">
        <v>0.0</v>
      </c>
      <c r="D9842" s="3">
        <v>0.0</v>
      </c>
      <c r="E9842" s="3">
        <v>0.0</v>
      </c>
      <c r="F9842" s="3" t="s">
        <v>28062</v>
      </c>
      <c r="G9842" s="3">
        <v>1.0</v>
      </c>
      <c r="H9842" s="3">
        <v>0.0</v>
      </c>
      <c r="I9842" s="3" t="s">
        <v>13</v>
      </c>
      <c r="J9842" s="3" t="s">
        <v>28063</v>
      </c>
      <c r="K9842" s="3" t="s">
        <v>50</v>
      </c>
      <c r="L9842" s="3" t="str">
        <f>IFERROR(__xludf.DUMMYFUNCTION("GOOGLETRANSLATE(F9842,""id"",""en"")"),"Nontin Final Only Round Due to Be Sleeping Really Argentina Champion Congratulations")</f>
        <v>Nontin Final Only Round Due to Be Sleeping Really Argentina Champion Congratulations</v>
      </c>
    </row>
    <row r="9843" ht="15.75" customHeight="1">
      <c r="A9843" s="1">
        <v>11076.0</v>
      </c>
      <c r="B9843" s="3" t="s">
        <v>28064</v>
      </c>
      <c r="C9843" s="3">
        <v>1.0</v>
      </c>
      <c r="D9843" s="3">
        <v>0.0</v>
      </c>
      <c r="E9843" s="3">
        <v>0.0</v>
      </c>
      <c r="F9843" s="3" t="s">
        <v>28065</v>
      </c>
      <c r="G9843" s="3">
        <v>0.0</v>
      </c>
      <c r="H9843" s="3">
        <v>0.0</v>
      </c>
      <c r="I9843" s="3" t="s">
        <v>13</v>
      </c>
      <c r="J9843" s="3" t="s">
        <v>28066</v>
      </c>
      <c r="K9843" s="3" t="s">
        <v>31</v>
      </c>
      <c r="L9843" s="3" t="str">
        <f>IFERROR(__xludf.DUMMYFUNCTION("GOOGLETRANSLATE(F9843,""id"",""en"")"),"if there is a seaaro argentina can champion the pildun ngab")</f>
        <v>if there is a seaaro argentina can champion the pildun ngab</v>
      </c>
    </row>
    <row r="9844" ht="15.75" customHeight="1">
      <c r="A9844" s="1">
        <v>11077.0</v>
      </c>
      <c r="B9844" s="3" t="s">
        <v>28067</v>
      </c>
      <c r="C9844" s="3">
        <v>0.0</v>
      </c>
      <c r="D9844" s="3">
        <v>0.0</v>
      </c>
      <c r="E9844" s="3">
        <v>2.0</v>
      </c>
      <c r="F9844" s="3" t="s">
        <v>28068</v>
      </c>
      <c r="G9844" s="3">
        <v>0.0</v>
      </c>
      <c r="H9844" s="3">
        <v>0.0</v>
      </c>
      <c r="I9844" s="3" t="s">
        <v>13</v>
      </c>
      <c r="J9844" s="3" t="s">
        <v>28069</v>
      </c>
      <c r="K9844" s="3" t="s">
        <v>54</v>
      </c>
      <c r="L9844" s="3" t="str">
        <f>IFERROR(__xludf.DUMMYFUNCTION("GOOGLETRANSLATE(F9844,""id"",""en"")"),"From the beginning of Argentina's jagoin and finally Vamos champions")</f>
        <v>From the beginning of Argentina's jagoin and finally Vamos champions</v>
      </c>
    </row>
    <row r="9845" ht="15.75" customHeight="1">
      <c r="A9845" s="1">
        <v>11078.0</v>
      </c>
      <c r="B9845" s="3" t="s">
        <v>28070</v>
      </c>
      <c r="C9845" s="3">
        <v>0.0</v>
      </c>
      <c r="D9845" s="3">
        <v>1.0</v>
      </c>
      <c r="E9845" s="3">
        <v>0.0</v>
      </c>
      <c r="F9845" s="3" t="s">
        <v>28071</v>
      </c>
      <c r="G9845" s="3">
        <v>0.0</v>
      </c>
      <c r="H9845" s="3">
        <v>0.0</v>
      </c>
      <c r="I9845" s="3" t="s">
        <v>13</v>
      </c>
      <c r="J9845" s="3" t="s">
        <v>28072</v>
      </c>
      <c r="K9845" s="3" t="s">
        <v>449</v>
      </c>
      <c r="L9845" s="3" t="str">
        <f>IFERROR(__xludf.DUMMYFUNCTION("GOOGLETRANSLATE(F9845,""id"",""en"")"),"Three times the angel Gabriel Batigol Batistuta led Argentina and but his dream to become a world champion always foundered this delayed dream was finally realized by the Savior Lionel Messi")</f>
        <v>Three times the angel Gabriel Batigol Batistuta led Argentina and but his dream to become a world champion always foundered this delayed dream was finally realized by the Savior Lionel Messi</v>
      </c>
    </row>
    <row r="9846" ht="15.75" customHeight="1">
      <c r="A9846" s="1">
        <v>11079.0</v>
      </c>
      <c r="B9846" s="3" t="s">
        <v>28073</v>
      </c>
      <c r="C9846" s="3">
        <v>0.0</v>
      </c>
      <c r="D9846" s="3">
        <v>0.0</v>
      </c>
      <c r="E9846" s="3">
        <v>0.0</v>
      </c>
      <c r="F9846" s="3" t="s">
        <v>28074</v>
      </c>
      <c r="G9846" s="3">
        <v>0.0</v>
      </c>
      <c r="H9846" s="3">
        <v>0.0</v>
      </c>
      <c r="I9846" s="3" t="s">
        <v>13</v>
      </c>
      <c r="J9846" s="3" t="s">
        <v>28075</v>
      </c>
      <c r="K9846" s="3" t="s">
        <v>58</v>
      </c>
      <c r="L9846" s="3" t="str">
        <f>IFERROR(__xludf.DUMMYFUNCTION("GOOGLETRANSLATE(F9846,""id"",""en"")"),"Farewell Caricatur Farewell Caricatur Group Group Concept of Football Repeat Order Wika Concrete Jakarta")</f>
        <v>Farewell Caricatur Farewell Caricatur Group Group Concept of Football Repeat Order Wika Concrete Jakarta</v>
      </c>
    </row>
    <row r="9847" ht="15.75" customHeight="1">
      <c r="A9847" s="1">
        <v>11080.0</v>
      </c>
      <c r="B9847" s="3" t="s">
        <v>28076</v>
      </c>
      <c r="C9847" s="3">
        <v>0.0</v>
      </c>
      <c r="D9847" s="3">
        <v>7.0</v>
      </c>
      <c r="E9847" s="3">
        <v>33.0</v>
      </c>
      <c r="F9847" s="3" t="s">
        <v>28077</v>
      </c>
      <c r="G9847" s="3">
        <v>0.1</v>
      </c>
      <c r="H9847" s="3">
        <v>0.0</v>
      </c>
      <c r="I9847" s="3" t="s">
        <v>13</v>
      </c>
      <c r="J9847" s="3" t="s">
        <v>28078</v>
      </c>
      <c r="K9847" s="3" t="s">
        <v>765</v>
      </c>
      <c r="L9847" s="3" t="str">
        <f>IFERROR(__xludf.DUMMYFUNCTION("GOOGLETRANSLATE(F9847,""id"",""en"")"),"This Argentina can be a champion like this, what is their food, plus the view of the world cup in the middle")</f>
        <v>This Argentina can be a champion like this, what is their food, plus the view of the world cup in the middle</v>
      </c>
    </row>
    <row r="9848" ht="15.75" customHeight="1">
      <c r="A9848" s="1">
        <v>11081.0</v>
      </c>
      <c r="B9848" s="3" t="s">
        <v>28079</v>
      </c>
      <c r="C9848" s="3">
        <v>1.0</v>
      </c>
      <c r="D9848" s="3">
        <v>1.0</v>
      </c>
      <c r="E9848" s="3">
        <v>0.0</v>
      </c>
      <c r="F9848" s="3" t="s">
        <v>28080</v>
      </c>
      <c r="G9848" s="3">
        <v>0.0</v>
      </c>
      <c r="H9848" s="3">
        <v>0.0</v>
      </c>
      <c r="I9848" s="3" t="s">
        <v>13</v>
      </c>
      <c r="J9848" s="3" t="s">
        <v>28081</v>
      </c>
      <c r="K9848" s="3" t="s">
        <v>2117</v>
      </c>
      <c r="L9848" s="3" t="str">
        <f>IFERROR(__xludf.DUMMYFUNCTION("GOOGLETRANSLATE(F9848,""id"",""en"")"),"Year after Argentina Champion")</f>
        <v>Year after Argentina Champion</v>
      </c>
    </row>
    <row r="9849" ht="15.75" customHeight="1">
      <c r="A9849" s="1">
        <v>11082.0</v>
      </c>
      <c r="B9849" s="3" t="s">
        <v>28082</v>
      </c>
      <c r="C9849" s="3">
        <v>0.0</v>
      </c>
      <c r="D9849" s="3">
        <v>1.0</v>
      </c>
      <c r="E9849" s="3">
        <v>1.0</v>
      </c>
      <c r="F9849" s="3" t="s">
        <v>28083</v>
      </c>
      <c r="G9849" s="3">
        <v>0.0</v>
      </c>
      <c r="H9849" s="3">
        <v>0.0</v>
      </c>
      <c r="I9849" s="3" t="s">
        <v>13</v>
      </c>
      <c r="J9849" s="3" t="s">
        <v>28084</v>
      </c>
      <c r="K9849" s="3" t="s">
        <v>657</v>
      </c>
      <c r="L9849" s="3" t="str">
        <f>IFERROR(__xludf.DUMMYFUNCTION("GOOGLETRANSLATE(F9849,""id"",""en"")"),"former Barcelona Sergio Aguero participated in the Argentine world champion celebration for the third time the Qatar Lusail Stadium Sunday")</f>
        <v>former Barcelona Sergio Aguero participated in the Argentine world champion celebration for the third time the Qatar Lusail Stadium Sunday</v>
      </c>
    </row>
    <row r="9850" ht="15.75" customHeight="1">
      <c r="A9850" s="1">
        <v>11083.0</v>
      </c>
      <c r="B9850" s="3" t="s">
        <v>28085</v>
      </c>
      <c r="C9850" s="3">
        <v>0.0</v>
      </c>
      <c r="D9850" s="3">
        <v>0.0</v>
      </c>
      <c r="E9850" s="3">
        <v>0.0</v>
      </c>
      <c r="F9850" s="3" t="s">
        <v>28086</v>
      </c>
      <c r="G9850" s="3">
        <v>0.0</v>
      </c>
      <c r="H9850" s="3">
        <v>0.0</v>
      </c>
      <c r="I9850" s="3" t="s">
        <v>13</v>
      </c>
      <c r="J9850" s="3" t="s">
        <v>28087</v>
      </c>
      <c r="K9850" s="3" t="s">
        <v>19</v>
      </c>
      <c r="L9850" s="3" t="str">
        <f>IFERROR(__xludf.DUMMYFUNCTION("GOOGLETRANSLATE(F9850,""id"",""en"")"),"Bringing Argentina This World Cup Champion is the Best Record of Messi FIFA World Cup")</f>
        <v>Bringing Argentina This World Cup Champion is the Best Record of Messi FIFA World Cup</v>
      </c>
    </row>
    <row r="9851" ht="15.75" customHeight="1">
      <c r="A9851" s="1">
        <v>11084.0</v>
      </c>
      <c r="B9851" s="3" t="s">
        <v>28088</v>
      </c>
      <c r="C9851" s="3">
        <v>0.0</v>
      </c>
      <c r="D9851" s="3">
        <v>0.0</v>
      </c>
      <c r="E9851" s="3">
        <v>0.0</v>
      </c>
      <c r="F9851" s="3" t="s">
        <v>28089</v>
      </c>
      <c r="G9851" s="3">
        <v>0.0</v>
      </c>
      <c r="H9851" s="3">
        <v>0.0</v>
      </c>
      <c r="I9851" s="3" t="s">
        <v>13</v>
      </c>
      <c r="J9851" s="3" t="s">
        <v>28090</v>
      </c>
      <c r="K9851" s="3" t="s">
        <v>942</v>
      </c>
      <c r="L9851" s="3" t="str">
        <f>IFERROR(__xludf.DUMMYFUNCTION("GOOGLETRANSLATE(F9851,""id"",""en"")"),"Argentina won three World Cup championship trophies after the World Cup by Maradona")</f>
        <v>Argentina won three World Cup championship trophies after the World Cup by Maradona</v>
      </c>
    </row>
    <row r="9852" ht="15.75" customHeight="1">
      <c r="A9852" s="1">
        <v>11085.0</v>
      </c>
      <c r="B9852" s="3" t="s">
        <v>28091</v>
      </c>
      <c r="C9852" s="3">
        <v>0.0</v>
      </c>
      <c r="D9852" s="3">
        <v>0.0</v>
      </c>
      <c r="E9852" s="3">
        <v>1.0</v>
      </c>
      <c r="F9852" s="3" t="s">
        <v>28092</v>
      </c>
      <c r="G9852" s="3">
        <v>0.0</v>
      </c>
      <c r="H9852" s="3">
        <v>0.0</v>
      </c>
      <c r="I9852" s="3" t="s">
        <v>13</v>
      </c>
      <c r="J9852" s="3" t="s">
        <v>28093</v>
      </c>
      <c r="K9852" s="3" t="s">
        <v>1421</v>
      </c>
      <c r="L9852" s="3" t="str">
        <f>IFERROR(__xludf.DUMMYFUNCTION("GOOGLETRANSLATE(F9852,""id"",""en"")"),"Messi won with Argentina whether Egy Messi also won with Indonesia")</f>
        <v>Messi won with Argentina whether Egy Messi also won with Indonesia</v>
      </c>
    </row>
    <row r="9853" ht="15.75" customHeight="1">
      <c r="A9853" s="1">
        <v>11086.0</v>
      </c>
      <c r="B9853" s="3" t="s">
        <v>28094</v>
      </c>
      <c r="C9853" s="3">
        <v>0.0</v>
      </c>
      <c r="D9853" s="3">
        <v>0.0</v>
      </c>
      <c r="E9853" s="3">
        <v>0.0</v>
      </c>
      <c r="F9853" s="3" t="s">
        <v>28086</v>
      </c>
      <c r="G9853" s="3">
        <v>0.0</v>
      </c>
      <c r="H9853" s="3">
        <v>0.0</v>
      </c>
      <c r="I9853" s="3" t="s">
        <v>13</v>
      </c>
      <c r="J9853" s="3" t="s">
        <v>28087</v>
      </c>
      <c r="K9853" s="3" t="s">
        <v>19</v>
      </c>
      <c r="L9853" s="3" t="str">
        <f>IFERROR(__xludf.DUMMYFUNCTION("GOOGLETRANSLATE(F9853,""id"",""en"")"),"Bringing Argentina This World Cup Champion is the Best Record of Messi FIFA World Cup")</f>
        <v>Bringing Argentina This World Cup Champion is the Best Record of Messi FIFA World Cup</v>
      </c>
    </row>
    <row r="9854" ht="15.75" customHeight="1">
      <c r="A9854" s="1">
        <v>11087.0</v>
      </c>
      <c r="B9854" s="3" t="s">
        <v>28095</v>
      </c>
      <c r="C9854" s="3">
        <v>0.0</v>
      </c>
      <c r="D9854" s="3">
        <v>0.0</v>
      </c>
      <c r="E9854" s="3">
        <v>0.0</v>
      </c>
      <c r="F9854" s="3" t="s">
        <v>28086</v>
      </c>
      <c r="G9854" s="3">
        <v>0.0</v>
      </c>
      <c r="H9854" s="3">
        <v>0.0</v>
      </c>
      <c r="I9854" s="3" t="s">
        <v>13</v>
      </c>
      <c r="J9854" s="3" t="s">
        <v>28087</v>
      </c>
      <c r="K9854" s="3" t="s">
        <v>19</v>
      </c>
      <c r="L9854" s="3" t="str">
        <f>IFERROR(__xludf.DUMMYFUNCTION("GOOGLETRANSLATE(F9854,""id"",""en"")"),"Bringing Argentina This World Cup Champion is the Best Record of Messi FIFA World Cup")</f>
        <v>Bringing Argentina This World Cup Champion is the Best Record of Messi FIFA World Cup</v>
      </c>
    </row>
    <row r="9855" ht="15.75" customHeight="1">
      <c r="A9855" s="1">
        <v>11088.0</v>
      </c>
      <c r="B9855" s="3" t="s">
        <v>28096</v>
      </c>
      <c r="C9855" s="3">
        <v>0.0</v>
      </c>
      <c r="D9855" s="3">
        <v>0.0</v>
      </c>
      <c r="E9855" s="3">
        <v>0.0</v>
      </c>
      <c r="F9855" s="3" t="s">
        <v>28097</v>
      </c>
      <c r="G9855" s="3">
        <v>0.0</v>
      </c>
      <c r="H9855" s="3">
        <v>0.0</v>
      </c>
      <c r="I9855" s="3" t="s">
        <v>13</v>
      </c>
      <c r="J9855" s="3" t="s">
        <v>28098</v>
      </c>
      <c r="K9855" s="3" t="s">
        <v>54</v>
      </c>
      <c r="L9855" s="3" t="str">
        <f>IFERROR(__xludf.DUMMYFUNCTION("GOOGLETRANSLATE(F9855,""id"",""en"")"),"Because Bang Ibul Argentina Champion World Cup")</f>
        <v>Because Bang Ibul Argentina Champion World Cup</v>
      </c>
    </row>
    <row r="9856" ht="15.75" customHeight="1">
      <c r="A9856" s="1">
        <v>11089.0</v>
      </c>
      <c r="B9856" s="3" t="s">
        <v>28099</v>
      </c>
      <c r="C9856" s="3">
        <v>0.0</v>
      </c>
      <c r="D9856" s="3">
        <v>0.0</v>
      </c>
      <c r="E9856" s="3">
        <v>0.0</v>
      </c>
      <c r="F9856" s="3" t="s">
        <v>28086</v>
      </c>
      <c r="G9856" s="3">
        <v>0.0</v>
      </c>
      <c r="H9856" s="3">
        <v>0.0</v>
      </c>
      <c r="I9856" s="3" t="s">
        <v>13</v>
      </c>
      <c r="J9856" s="3" t="s">
        <v>28087</v>
      </c>
      <c r="K9856" s="3" t="s">
        <v>19</v>
      </c>
      <c r="L9856" s="3" t="str">
        <f>IFERROR(__xludf.DUMMYFUNCTION("GOOGLETRANSLATE(F9856,""id"",""en"")"),"Bringing Argentina This World Cup Champion is the Best Record of Messi FIFA World Cup")</f>
        <v>Bringing Argentina This World Cup Champion is the Best Record of Messi FIFA World Cup</v>
      </c>
    </row>
    <row r="9857" ht="15.75" customHeight="1">
      <c r="A9857" s="1">
        <v>11090.0</v>
      </c>
      <c r="B9857" s="3" t="s">
        <v>28100</v>
      </c>
      <c r="C9857" s="3">
        <v>0.0</v>
      </c>
      <c r="D9857" s="3">
        <v>0.0</v>
      </c>
      <c r="E9857" s="3">
        <v>0.0</v>
      </c>
      <c r="F9857" s="3" t="s">
        <v>28101</v>
      </c>
      <c r="G9857" s="3">
        <v>0.0</v>
      </c>
      <c r="H9857" s="3">
        <v>0.0</v>
      </c>
      <c r="I9857" s="3" t="s">
        <v>13</v>
      </c>
      <c r="J9857" s="3" t="s">
        <v>28102</v>
      </c>
      <c r="K9857" s="3" t="s">
        <v>205</v>
      </c>
      <c r="L9857" s="3" t="str">
        <f>IFERROR(__xludf.DUMMYFUNCTION("GOOGLETRANSLATE(F9857,""id"",""en"")"),"After Argentina won the Qatar World Cup, this apparently had a sweet impact on Argentine children who increasingly wanted to be the future football athlete albiceleste")</f>
        <v>After Argentina won the Qatar World Cup, this apparently had a sweet impact on Argentine children who increasingly wanted to be the future football athlete albiceleste</v>
      </c>
    </row>
    <row r="9858" ht="15.75" customHeight="1">
      <c r="A9858" s="1">
        <v>11091.0</v>
      </c>
      <c r="B9858" s="3" t="s">
        <v>28103</v>
      </c>
      <c r="C9858" s="3">
        <v>0.0</v>
      </c>
      <c r="D9858" s="3">
        <v>0.0</v>
      </c>
      <c r="E9858" s="3">
        <v>0.0</v>
      </c>
      <c r="F9858" s="3" t="s">
        <v>28086</v>
      </c>
      <c r="G9858" s="3">
        <v>0.0</v>
      </c>
      <c r="H9858" s="3">
        <v>0.0</v>
      </c>
      <c r="I9858" s="3" t="s">
        <v>13</v>
      </c>
      <c r="J9858" s="3" t="s">
        <v>28087</v>
      </c>
      <c r="K9858" s="3" t="s">
        <v>19</v>
      </c>
      <c r="L9858" s="3" t="str">
        <f>IFERROR(__xludf.DUMMYFUNCTION("GOOGLETRANSLATE(F9858,""id"",""en"")"),"Bringing Argentina This World Cup Champion is the Best Record of Messi FIFA World Cup")</f>
        <v>Bringing Argentina This World Cup Champion is the Best Record of Messi FIFA World Cup</v>
      </c>
    </row>
    <row r="9859" ht="15.75" customHeight="1">
      <c r="A9859" s="1">
        <v>11092.0</v>
      </c>
      <c r="B9859" s="3" t="s">
        <v>28104</v>
      </c>
      <c r="C9859" s="3">
        <v>0.0</v>
      </c>
      <c r="D9859" s="3">
        <v>0.0</v>
      </c>
      <c r="E9859" s="3">
        <v>6.0</v>
      </c>
      <c r="F9859" s="3" t="s">
        <v>20671</v>
      </c>
      <c r="G9859" s="3">
        <v>0.0</v>
      </c>
      <c r="H9859" s="3">
        <v>0.0</v>
      </c>
      <c r="I9859" s="3" t="s">
        <v>13</v>
      </c>
      <c r="J9859" s="3" t="s">
        <v>20672</v>
      </c>
      <c r="K9859" s="3" t="s">
        <v>495</v>
      </c>
      <c r="L9859" s="3" t="str">
        <f>IFERROR(__xludf.DUMMYFUNCTION("GOOGLETRANSLATE(F9859,""id"",""en"")"),"Argentina won the World Cup after defeating France through a penalty shootout, bring home up to hundreds of billions")</f>
        <v>Argentina won the World Cup after defeating France through a penalty shootout, bring home up to hundreds of billions</v>
      </c>
    </row>
    <row r="9860" ht="15.75" customHeight="1">
      <c r="A9860" s="1">
        <v>11093.0</v>
      </c>
      <c r="B9860" s="3" t="s">
        <v>28105</v>
      </c>
      <c r="C9860" s="3">
        <v>0.0</v>
      </c>
      <c r="D9860" s="3">
        <v>0.0</v>
      </c>
      <c r="E9860" s="3">
        <v>0.0</v>
      </c>
      <c r="F9860" s="3" t="s">
        <v>27897</v>
      </c>
      <c r="G9860" s="3">
        <v>0.0</v>
      </c>
      <c r="H9860" s="3">
        <v>0.0</v>
      </c>
      <c r="I9860" s="3" t="s">
        <v>13</v>
      </c>
      <c r="J9860" s="3" t="s">
        <v>27898</v>
      </c>
      <c r="K9860" s="3" t="s">
        <v>41</v>
      </c>
      <c r="L9860" s="3" t="str">
        <f>IFERROR(__xludf.DUMMYFUNCTION("GOOGLETRANSLATE(F9860,""id"",""en"")"),"Argentina Champion World Cup Qatar Received Money Received Not Sold")</f>
        <v>Argentina Champion World Cup Qatar Received Money Received Not Sold</v>
      </c>
    </row>
    <row r="9861" ht="15.75" customHeight="1">
      <c r="A9861" s="1">
        <v>11094.0</v>
      </c>
      <c r="B9861" s="3" t="s">
        <v>28106</v>
      </c>
      <c r="C9861" s="3">
        <v>0.0</v>
      </c>
      <c r="D9861" s="3">
        <v>0.0</v>
      </c>
      <c r="E9861" s="3">
        <v>0.0</v>
      </c>
      <c r="F9861" s="3" t="s">
        <v>28107</v>
      </c>
      <c r="G9861" s="3">
        <v>0.5</v>
      </c>
      <c r="H9861" s="3">
        <v>0.5</v>
      </c>
      <c r="I9861" s="3" t="s">
        <v>48</v>
      </c>
      <c r="J9861" s="3" t="s">
        <v>28108</v>
      </c>
      <c r="K9861" s="3" t="s">
        <v>477</v>
      </c>
      <c r="L9861" s="3" t="str">
        <f>IFERROR(__xludf.DUMMYFUNCTION("GOOGLETRANSLATE(F9861,""id"",""en"")"),"Argentina, boss champion top scorer is not the champion")</f>
        <v>Argentina, boss champion top scorer is not the champion</v>
      </c>
    </row>
    <row r="9862" ht="15.75" customHeight="1">
      <c r="A9862" s="1">
        <v>11095.0</v>
      </c>
      <c r="B9862" s="3" t="s">
        <v>28109</v>
      </c>
      <c r="C9862" s="3">
        <v>0.0</v>
      </c>
      <c r="D9862" s="3">
        <v>0.0</v>
      </c>
      <c r="E9862" s="3">
        <v>0.0</v>
      </c>
      <c r="F9862" s="3" t="s">
        <v>28086</v>
      </c>
      <c r="G9862" s="3">
        <v>0.0</v>
      </c>
      <c r="H9862" s="3">
        <v>0.0</v>
      </c>
      <c r="I9862" s="3" t="s">
        <v>13</v>
      </c>
      <c r="J9862" s="3" t="s">
        <v>28087</v>
      </c>
      <c r="K9862" s="3" t="s">
        <v>19</v>
      </c>
      <c r="L9862" s="3" t="str">
        <f>IFERROR(__xludf.DUMMYFUNCTION("GOOGLETRANSLATE(F9862,""id"",""en"")"),"Bringing Argentina This World Cup Champion is the Best Record of Messi FIFA World Cup")</f>
        <v>Bringing Argentina This World Cup Champion is the Best Record of Messi FIFA World Cup</v>
      </c>
    </row>
    <row r="9863" ht="15.75" customHeight="1">
      <c r="A9863" s="1">
        <v>11096.0</v>
      </c>
      <c r="B9863" s="3" t="s">
        <v>28110</v>
      </c>
      <c r="C9863" s="3">
        <v>0.0</v>
      </c>
      <c r="D9863" s="3">
        <v>0.0</v>
      </c>
      <c r="E9863" s="3">
        <v>0.0</v>
      </c>
      <c r="F9863" s="3" t="s">
        <v>28111</v>
      </c>
      <c r="G9863" s="3">
        <v>0.0</v>
      </c>
      <c r="H9863" s="3">
        <v>0.0</v>
      </c>
      <c r="I9863" s="3" t="s">
        <v>13</v>
      </c>
      <c r="J9863" s="3" t="s">
        <v>28112</v>
      </c>
      <c r="K9863" s="3" t="s">
        <v>41</v>
      </c>
      <c r="L9863" s="3" t="str">
        <f>IFERROR(__xludf.DUMMYFUNCTION("GOOGLETRANSLATE(F9863,""id"",""en"")"),"hit by revision again but Argentina champions became enthusiastic for revisions hahahahahahahahahahaha")</f>
        <v>hit by revision again but Argentina champions became enthusiastic for revisions hahahahahahahahahahaha</v>
      </c>
    </row>
    <row r="9864" ht="15.75" customHeight="1">
      <c r="A9864" s="1">
        <v>11097.0</v>
      </c>
      <c r="B9864" s="3" t="s">
        <v>28113</v>
      </c>
      <c r="C9864" s="3">
        <v>0.0</v>
      </c>
      <c r="D9864" s="3">
        <v>0.0</v>
      </c>
      <c r="E9864" s="3">
        <v>0.0</v>
      </c>
      <c r="F9864" s="3" t="s">
        <v>18529</v>
      </c>
      <c r="G9864" s="3">
        <v>0.0</v>
      </c>
      <c r="H9864" s="3">
        <v>0.0</v>
      </c>
      <c r="I9864" s="3" t="s">
        <v>13</v>
      </c>
      <c r="J9864" s="3" t="s">
        <v>18530</v>
      </c>
      <c r="K9864" s="3" t="s">
        <v>2117</v>
      </c>
      <c r="L9864" s="3" t="str">
        <f>IFERROR(__xludf.DUMMYFUNCTION("GOOGLETRANSLATE(F9864,""id"",""en"")"),"Argentina deserves champions")</f>
        <v>Argentina deserves champions</v>
      </c>
    </row>
    <row r="9865" ht="15.75" customHeight="1">
      <c r="A9865" s="1">
        <v>11098.0</v>
      </c>
      <c r="B9865" s="3" t="s">
        <v>28114</v>
      </c>
      <c r="C9865" s="3">
        <v>0.0</v>
      </c>
      <c r="D9865" s="3">
        <v>0.0</v>
      </c>
      <c r="E9865" s="3">
        <v>0.0</v>
      </c>
      <c r="F9865" s="3" t="s">
        <v>28115</v>
      </c>
      <c r="G9865" s="3">
        <v>0.0</v>
      </c>
      <c r="H9865" s="3">
        <v>0.0</v>
      </c>
      <c r="I9865" s="3" t="s">
        <v>13</v>
      </c>
      <c r="J9865" s="3" t="s">
        <v>28116</v>
      </c>
      <c r="K9865" s="3" t="s">
        <v>58</v>
      </c>
      <c r="L9865" s="3" t="str">
        <f>IFERROR(__xludf.DUMMYFUNCTION("GOOGLETRANSLATE(F9865,""id"",""en"")"),"When there is your friend who is suddenly inviting you to eat hanging out.")</f>
        <v>When there is your friend who is suddenly inviting you to eat hanging out.</v>
      </c>
    </row>
    <row r="9866" ht="15.75" customHeight="1">
      <c r="A9866" s="1">
        <v>11099.0</v>
      </c>
      <c r="B9866" s="3" t="s">
        <v>28117</v>
      </c>
      <c r="C9866" s="3">
        <v>0.0</v>
      </c>
      <c r="D9866" s="3">
        <v>0.0</v>
      </c>
      <c r="E9866" s="3">
        <v>0.0</v>
      </c>
      <c r="F9866" s="3" t="s">
        <v>28118</v>
      </c>
      <c r="G9866" s="3">
        <v>0.0</v>
      </c>
      <c r="H9866" s="3">
        <v>0.0</v>
      </c>
      <c r="I9866" s="3" t="s">
        <v>13</v>
      </c>
      <c r="J9866" s="3" t="s">
        <v>28119</v>
      </c>
      <c r="K9866" s="3" t="s">
        <v>903</v>
      </c>
      <c r="L9866" s="3" t="str">
        <f>IFERROR(__xludf.DUMMYFUNCTION("GOOGLETRANSLATE(F9866,""id"",""en"")"),"Last night Argentina adopted the trophy with the chairman of the Argentine soccer fedration, even though the World Cup was different from the AFF champion until the head of the fedration also joined hehehe")</f>
        <v>Last night Argentina adopted the trophy with the chairman of the Argentine soccer fedration, even though the World Cup was different from the AFF champion until the head of the fedration also joined hehehe</v>
      </c>
    </row>
    <row r="9867" ht="15.75" customHeight="1">
      <c r="A9867" s="1">
        <v>11100.0</v>
      </c>
      <c r="B9867" s="3" t="s">
        <v>28120</v>
      </c>
      <c r="C9867" s="3">
        <v>0.0</v>
      </c>
      <c r="D9867" s="3">
        <v>0.0</v>
      </c>
      <c r="E9867" s="3">
        <v>0.0</v>
      </c>
      <c r="F9867" s="3" t="s">
        <v>28121</v>
      </c>
      <c r="G9867" s="3">
        <v>0.0</v>
      </c>
      <c r="H9867" s="3">
        <v>0.0</v>
      </c>
      <c r="I9867" s="3" t="s">
        <v>13</v>
      </c>
      <c r="J9867" s="3" t="s">
        <v>28122</v>
      </c>
      <c r="K9867" s="3" t="s">
        <v>510</v>
      </c>
      <c r="L9867" s="3" t="str">
        <f>IFERROR(__xludf.DUMMYFUNCTION("GOOGLETRANSLATE(F9867,""id"",""en"")"),"Those who want to debate Argentina champions and Messi is Goat, it's okay, why don't you keep up with tears")</f>
        <v>Those who want to debate Argentina champions and Messi is Goat, it's okay, why don't you keep up with tears</v>
      </c>
    </row>
    <row r="9868" ht="15.75" customHeight="1">
      <c r="A9868" s="1">
        <v>11101.0</v>
      </c>
      <c r="B9868" s="3" t="s">
        <v>28123</v>
      </c>
      <c r="C9868" s="3">
        <v>0.0</v>
      </c>
      <c r="D9868" s="3">
        <v>0.0</v>
      </c>
      <c r="E9868" s="3">
        <v>0.0</v>
      </c>
      <c r="F9868" s="3" t="s">
        <v>28124</v>
      </c>
      <c r="G9868" s="3">
        <v>0.0</v>
      </c>
      <c r="H9868" s="3">
        <v>0.0</v>
      </c>
      <c r="I9868" s="3" t="s">
        <v>13</v>
      </c>
      <c r="J9868" s="3" t="s">
        <v>28125</v>
      </c>
      <c r="K9868" s="3" t="s">
        <v>35</v>
      </c>
      <c r="L9868" s="3" t="str">
        <f>IFERROR(__xludf.DUMMYFUNCTION("GOOGLETRANSLATE(F9868,""id"",""en"")"),"Successfully Bringing Argentina World Champion Beautiful Gift for Lionel Messi's last World Cup")</f>
        <v>Successfully Bringing Argentina World Champion Beautiful Gift for Lionel Messi's last World Cup</v>
      </c>
    </row>
    <row r="9869" ht="15.75" customHeight="1">
      <c r="A9869" s="1">
        <v>11102.0</v>
      </c>
      <c r="B9869" s="3" t="s">
        <v>28126</v>
      </c>
      <c r="C9869" s="3">
        <v>0.0</v>
      </c>
      <c r="D9869" s="3">
        <v>0.0</v>
      </c>
      <c r="E9869" s="3">
        <v>0.0</v>
      </c>
      <c r="F9869" s="3" t="s">
        <v>28127</v>
      </c>
      <c r="G9869" s="3">
        <v>0.0</v>
      </c>
      <c r="H9869" s="3">
        <v>0.0</v>
      </c>
      <c r="I9869" s="3" t="s">
        <v>13</v>
      </c>
      <c r="J9869" s="3" t="s">
        <v>28128</v>
      </c>
      <c r="K9869" s="3" t="s">
        <v>657</v>
      </c>
      <c r="L9869" s="3" t="str">
        <f>IFERROR(__xludf.DUMMYFUNCTION("GOOGLETRANSLATE(F9869,""id"",""en"")"),"Finally, after a long wait during the year Argentina could win again for the time and became a sweet cover of the Lionel Messi star")</f>
        <v>Finally, after a long wait during the year Argentina could win again for the time and became a sweet cover of the Lionel Messi star</v>
      </c>
    </row>
    <row r="9870" ht="15.75" customHeight="1">
      <c r="A9870" s="1">
        <v>11103.0</v>
      </c>
      <c r="B9870" s="3" t="s">
        <v>28129</v>
      </c>
      <c r="C9870" s="3">
        <v>2.0</v>
      </c>
      <c r="D9870" s="3">
        <v>2.0</v>
      </c>
      <c r="E9870" s="3">
        <v>10.0</v>
      </c>
      <c r="F9870" s="3" t="s">
        <v>28130</v>
      </c>
      <c r="G9870" s="3">
        <v>0.0</v>
      </c>
      <c r="H9870" s="3">
        <v>0.0</v>
      </c>
      <c r="I9870" s="3" t="s">
        <v>13</v>
      </c>
      <c r="J9870" s="3" t="s">
        <v>28131</v>
      </c>
      <c r="K9870" s="3" t="s">
        <v>15</v>
      </c>
      <c r="L9870" s="3" t="str">
        <f>IFERROR(__xludf.DUMMYFUNCTION("GOOGLETRANSLATE(F9870,""id"",""en"")"),"Argentina Champion The Most Good at Messi Ronaldo")</f>
        <v>Argentina Champion The Most Good at Messi Ronaldo</v>
      </c>
    </row>
    <row r="9871" ht="15.75" customHeight="1">
      <c r="A9871" s="1">
        <v>11104.0</v>
      </c>
      <c r="B9871" s="3" t="s">
        <v>28132</v>
      </c>
      <c r="C9871" s="3">
        <v>0.0</v>
      </c>
      <c r="D9871" s="3">
        <v>0.0</v>
      </c>
      <c r="E9871" s="3">
        <v>0.0</v>
      </c>
      <c r="F9871" s="3" t="s">
        <v>28133</v>
      </c>
      <c r="G9871" s="3">
        <v>0.0</v>
      </c>
      <c r="H9871" s="3">
        <v>0.0</v>
      </c>
      <c r="I9871" s="3" t="s">
        <v>13</v>
      </c>
      <c r="J9871" s="3" t="s">
        <v>28134</v>
      </c>
      <c r="K9871" s="3" t="s">
        <v>510</v>
      </c>
      <c r="L9871" s="3" t="str">
        <f>IFERROR(__xludf.DUMMYFUNCTION("GOOGLETRANSLATE(F9871,""id"",""en"")"),"The end of the beautiful fairy tale Lionel Messi brought Argentina in the world champion and broke Diego Maradona's record")</f>
        <v>The end of the beautiful fairy tale Lionel Messi brought Argentina in the world champion and broke Diego Maradona's record</v>
      </c>
    </row>
    <row r="9872" ht="15.75" customHeight="1">
      <c r="A9872" s="1">
        <v>11105.0</v>
      </c>
      <c r="B9872" s="3" t="s">
        <v>28135</v>
      </c>
      <c r="C9872" s="3">
        <v>0.0</v>
      </c>
      <c r="D9872" s="3">
        <v>0.0</v>
      </c>
      <c r="E9872" s="3">
        <v>0.0</v>
      </c>
      <c r="F9872" s="3" t="s">
        <v>28136</v>
      </c>
      <c r="G9872" s="3">
        <v>0.5</v>
      </c>
      <c r="H9872" s="3">
        <v>0.4</v>
      </c>
      <c r="I9872" s="3" t="s">
        <v>48</v>
      </c>
      <c r="J9872" s="3" t="s">
        <v>28137</v>
      </c>
      <c r="K9872" s="3" t="s">
        <v>1097</v>
      </c>
      <c r="L9872" s="3" t="str">
        <f>IFERROR(__xludf.DUMMYFUNCTION("GOOGLETRANSLATE(F9872,""id"",""en"")"),"Argentina Champion Everybody Happy Enjoy This Moment Adick Adick")</f>
        <v>Argentina Champion Everybody Happy Enjoy This Moment Adick Adick</v>
      </c>
    </row>
    <row r="9873" ht="15.75" customHeight="1">
      <c r="A9873" s="1">
        <v>11106.0</v>
      </c>
      <c r="B9873" s="3" t="s">
        <v>28138</v>
      </c>
      <c r="C9873" s="3">
        <v>0.0</v>
      </c>
      <c r="D9873" s="3">
        <v>0.0</v>
      </c>
      <c r="E9873" s="3">
        <v>0.0</v>
      </c>
      <c r="F9873" s="3" t="s">
        <v>28139</v>
      </c>
      <c r="G9873" s="3">
        <v>0.0</v>
      </c>
      <c r="H9873" s="3">
        <v>0.0</v>
      </c>
      <c r="I9873" s="3" t="s">
        <v>13</v>
      </c>
      <c r="J9873" s="3" t="s">
        <v>28140</v>
      </c>
      <c r="K9873" s="3" t="s">
        <v>19</v>
      </c>
      <c r="L9873" s="3" t="str">
        <f>IFERROR(__xludf.DUMMYFUNCTION("GOOGLETRANSLATE(F9873,""id"",""en"")"),"Argentina Champion World Cup after defeating France through the Jambi Digital News Penalty")</f>
        <v>Argentina Champion World Cup after defeating France through the Jambi Digital News Penalty</v>
      </c>
    </row>
    <row r="9874" ht="15.75" customHeight="1">
      <c r="A9874" s="1">
        <v>11107.0</v>
      </c>
      <c r="B9874" s="3" t="s">
        <v>28141</v>
      </c>
      <c r="C9874" s="3">
        <v>0.0</v>
      </c>
      <c r="D9874" s="3">
        <v>0.0</v>
      </c>
      <c r="E9874" s="3">
        <v>0.0</v>
      </c>
      <c r="F9874" s="3" t="s">
        <v>28142</v>
      </c>
      <c r="G9874" s="3">
        <v>0.0</v>
      </c>
      <c r="H9874" s="3">
        <v>0.0</v>
      </c>
      <c r="I9874" s="3" t="s">
        <v>13</v>
      </c>
      <c r="J9874" s="3" t="s">
        <v>28143</v>
      </c>
      <c r="K9874" s="3" t="s">
        <v>31</v>
      </c>
      <c r="L9874" s="3" t="str">
        <f>IFERROR(__xludf.DUMMYFUNCTION("GOOGLETRANSLATE(F9874,""id"",""en"")"),"Argentina returns to the world champion. Happy salute")</f>
        <v>Argentina returns to the world champion. Happy salute</v>
      </c>
    </row>
    <row r="9875" ht="15.75" customHeight="1">
      <c r="A9875" s="1">
        <v>11108.0</v>
      </c>
      <c r="B9875" s="3" t="s">
        <v>28144</v>
      </c>
      <c r="C9875" s="3">
        <v>1.0</v>
      </c>
      <c r="D9875" s="3">
        <v>0.0</v>
      </c>
      <c r="E9875" s="3">
        <v>0.0</v>
      </c>
      <c r="F9875" s="3" t="s">
        <v>16103</v>
      </c>
      <c r="G9875" s="3">
        <v>0.0</v>
      </c>
      <c r="H9875" s="3">
        <v>0.0</v>
      </c>
      <c r="I9875" s="3" t="s">
        <v>13</v>
      </c>
      <c r="J9875" s="3" t="s">
        <v>16104</v>
      </c>
      <c r="K9875" s="3" t="s">
        <v>14571</v>
      </c>
      <c r="L9875" s="3" t="str">
        <f>IFERROR(__xludf.DUMMYFUNCTION("GOOGLETRANSLATE(F9875,""id"",""en"")"),"Argentina Champion")</f>
        <v>Argentina Champion</v>
      </c>
    </row>
    <row r="9876" ht="15.75" customHeight="1">
      <c r="A9876" s="1">
        <v>11109.0</v>
      </c>
      <c r="B9876" s="3" t="s">
        <v>28145</v>
      </c>
      <c r="C9876" s="3">
        <v>0.0</v>
      </c>
      <c r="D9876" s="3">
        <v>0.0</v>
      </c>
      <c r="E9876" s="3">
        <v>0.0</v>
      </c>
      <c r="F9876" s="3" t="s">
        <v>28146</v>
      </c>
      <c r="G9876" s="3">
        <v>0.0</v>
      </c>
      <c r="H9876" s="3">
        <v>0.0</v>
      </c>
      <c r="I9876" s="3" t="s">
        <v>13</v>
      </c>
      <c r="J9876" s="3" t="s">
        <v>28147</v>
      </c>
      <c r="K9876" s="3" t="s">
        <v>50</v>
      </c>
      <c r="L9876" s="3" t="str">
        <f>IFERROR(__xludf.DUMMYFUNCTION("GOOGLETRANSLATE(F9876,""id"",""en"")"),"Argentina also with a makeshift team, this champion can inspire more Leonel Messi there is Maria there is a dybala and there are others")</f>
        <v>Argentina also with a makeshift team, this champion can inspire more Leonel Messi there is Maria there is a dybala and there are others</v>
      </c>
    </row>
    <row r="9877" ht="15.75" customHeight="1">
      <c r="A9877" s="1">
        <v>11110.0</v>
      </c>
      <c r="B9877" s="3" t="s">
        <v>28148</v>
      </c>
      <c r="C9877" s="3">
        <v>0.0</v>
      </c>
      <c r="D9877" s="3">
        <v>0.0</v>
      </c>
      <c r="E9877" s="3">
        <v>0.0</v>
      </c>
      <c r="F9877" s="3" t="s">
        <v>28149</v>
      </c>
      <c r="G9877" s="3">
        <v>0.0</v>
      </c>
      <c r="H9877" s="3">
        <v>0.0</v>
      </c>
      <c r="I9877" s="3" t="s">
        <v>13</v>
      </c>
      <c r="J9877" s="3" t="s">
        <v>28150</v>
      </c>
      <c r="K9877" s="3" t="s">
        <v>1293</v>
      </c>
      <c r="L9877" s="3" t="str">
        <f>IFERROR(__xludf.DUMMYFUNCTION("GOOGLETRANSLATE(F9877,""id"",""en"")"),"Edition of the World Cup OLH PSEPPAKBOLA The most successful universe if you don't know later the Jokowi Argentina era can become a world champion again Ajjah")</f>
        <v>Edition of the World Cup OLH PSEPPAKBOLA The most successful universe if you don't know later the Jokowi Argentina era can become a world champion again Ajjah</v>
      </c>
    </row>
    <row r="9878" ht="15.75" customHeight="1">
      <c r="A9878" s="1">
        <v>11111.0</v>
      </c>
      <c r="B9878" s="3" t="s">
        <v>28151</v>
      </c>
      <c r="C9878" s="3">
        <v>0.0</v>
      </c>
      <c r="D9878" s="3">
        <v>0.0</v>
      </c>
      <c r="E9878" s="3">
        <v>0.0</v>
      </c>
      <c r="F9878" s="3" t="s">
        <v>28152</v>
      </c>
      <c r="G9878" s="3">
        <v>0.0</v>
      </c>
      <c r="H9878" s="3">
        <v>0.0</v>
      </c>
      <c r="I9878" s="3" t="s">
        <v>13</v>
      </c>
      <c r="J9878" s="3" t="s">
        <v>28153</v>
      </c>
      <c r="K9878" s="3" t="s">
        <v>15</v>
      </c>
      <c r="L9878" s="3" t="str">
        <f>IFERROR(__xludf.DUMMYFUNCTION("GOOGLETRANSLATE(F9878,""id"",""en"")"),"It's up to you guys, please bark as much as the important thing is Argentina Champion")</f>
        <v>It's up to you guys, please bark as much as the important thing is Argentina Champion</v>
      </c>
    </row>
    <row r="9879" ht="15.75" customHeight="1">
      <c r="A9879" s="1">
        <v>11112.0</v>
      </c>
      <c r="B9879" s="3" t="s">
        <v>28154</v>
      </c>
      <c r="C9879" s="3">
        <v>0.0</v>
      </c>
      <c r="D9879" s="3">
        <v>0.0</v>
      </c>
      <c r="E9879" s="3">
        <v>0.0</v>
      </c>
      <c r="F9879" s="3" t="s">
        <v>28155</v>
      </c>
      <c r="G9879" s="3">
        <v>0.0</v>
      </c>
      <c r="H9879" s="3">
        <v>0.0</v>
      </c>
      <c r="I9879" s="3" t="s">
        <v>13</v>
      </c>
      <c r="J9879" s="3" t="s">
        <v>28156</v>
      </c>
      <c r="K9879" s="3" t="s">
        <v>75</v>
      </c>
      <c r="L9879" s="3" t="str">
        <f>IFERROR(__xludf.DUMMYFUNCTION("GOOGLETRANSLATE(F9879,""id"",""en"")"),"It seems like a lot of hurt Argentina is the referee champion to be his scapegoat")</f>
        <v>It seems like a lot of hurt Argentina is the referee champion to be his scapegoat</v>
      </c>
    </row>
    <row r="9880" ht="15.75" customHeight="1">
      <c r="A9880" s="1">
        <v>11113.0</v>
      </c>
      <c r="B9880" s="3" t="s">
        <v>28157</v>
      </c>
      <c r="C9880" s="3">
        <v>0.0</v>
      </c>
      <c r="D9880" s="3">
        <v>0.0</v>
      </c>
      <c r="E9880" s="3">
        <v>4.0</v>
      </c>
      <c r="F9880" s="3" t="s">
        <v>28158</v>
      </c>
      <c r="G9880" s="3">
        <v>0.0</v>
      </c>
      <c r="H9880" s="3">
        <v>0.0</v>
      </c>
      <c r="I9880" s="3" t="s">
        <v>13</v>
      </c>
      <c r="J9880" s="3" t="s">
        <v>28159</v>
      </c>
      <c r="K9880" s="3" t="s">
        <v>75</v>
      </c>
      <c r="L9880" s="3" t="str">
        <f>IFERROR(__xludf.DUMMYFUNCTION("GOOGLETRANSLATE(F9880,""id"",""en"")"),"how come Argentina is world champion even though he has never been able to beat the Indonesian national team")</f>
        <v>how come Argentina is world champion even though he has never been able to beat the Indonesian national team</v>
      </c>
    </row>
    <row r="9881" ht="15.75" customHeight="1">
      <c r="A9881" s="1">
        <v>11114.0</v>
      </c>
      <c r="B9881" s="3" t="s">
        <v>28160</v>
      </c>
      <c r="C9881" s="3">
        <v>1.0</v>
      </c>
      <c r="D9881" s="3">
        <v>0.0</v>
      </c>
      <c r="E9881" s="3">
        <v>0.0</v>
      </c>
      <c r="F9881" s="3" t="s">
        <v>28161</v>
      </c>
      <c r="G9881" s="3">
        <v>0.0</v>
      </c>
      <c r="H9881" s="3">
        <v>0.0</v>
      </c>
      <c r="I9881" s="3" t="s">
        <v>13</v>
      </c>
      <c r="J9881" s="3" t="s">
        <v>28162</v>
      </c>
      <c r="K9881" s="3" t="s">
        <v>41</v>
      </c>
      <c r="L9881" s="3" t="str">
        <f>IFERROR(__xludf.DUMMYFUNCTION("GOOGLETRANSLATE(F9881,""id"",""en"")"),"Blessing in defeating the opponent of the Muslim Ridho Divine Argentina championship team")</f>
        <v>Blessing in defeating the opponent of the Muslim Ridho Divine Argentina championship team</v>
      </c>
    </row>
    <row r="9882" ht="15.75" customHeight="1">
      <c r="A9882" s="1">
        <v>11115.0</v>
      </c>
      <c r="B9882" s="3" t="s">
        <v>28163</v>
      </c>
      <c r="C9882" s="3">
        <v>0.0</v>
      </c>
      <c r="D9882" s="3">
        <v>0.0</v>
      </c>
      <c r="E9882" s="3">
        <v>0.0</v>
      </c>
      <c r="F9882" s="3" t="s">
        <v>28164</v>
      </c>
      <c r="G9882" s="3">
        <v>0.0</v>
      </c>
      <c r="H9882" s="3">
        <v>0.0</v>
      </c>
      <c r="I9882" s="3" t="s">
        <v>13</v>
      </c>
      <c r="J9882" s="3" t="s">
        <v>28165</v>
      </c>
      <c r="K9882" s="3" t="s">
        <v>2117</v>
      </c>
      <c r="L9882" s="3" t="str">
        <f>IFERROR(__xludf.DUMMYFUNCTION("GOOGLETRANSLATE(F9882,""id"",""en"")"),"Without Save this Argentina will win")</f>
        <v>Without Save this Argentina will win</v>
      </c>
    </row>
    <row r="9883" ht="15.75" customHeight="1">
      <c r="A9883" s="1">
        <v>11116.0</v>
      </c>
      <c r="B9883" s="3" t="s">
        <v>28166</v>
      </c>
      <c r="C9883" s="3">
        <v>0.0</v>
      </c>
      <c r="D9883" s="3">
        <v>0.0</v>
      </c>
      <c r="E9883" s="3">
        <v>0.0</v>
      </c>
      <c r="F9883" s="3" t="s">
        <v>28167</v>
      </c>
      <c r="G9883" s="3">
        <v>0.1</v>
      </c>
      <c r="H9883" s="3">
        <v>0.0</v>
      </c>
      <c r="I9883" s="3" t="s">
        <v>13</v>
      </c>
      <c r="J9883" s="3" t="s">
        <v>28168</v>
      </c>
      <c r="K9883" s="3" t="s">
        <v>54</v>
      </c>
      <c r="L9883" s="3" t="str">
        <f>IFERROR(__xludf.DUMMYFUNCTION("GOOGLETRANSLATE(F9883,""id"",""en"")"),"Blue World Champion For example Argentina and EVOS")</f>
        <v>Blue World Champion For example Argentina and EVOS</v>
      </c>
    </row>
    <row r="9884" ht="15.75" customHeight="1">
      <c r="A9884" s="1">
        <v>11117.0</v>
      </c>
      <c r="B9884" s="3" t="s">
        <v>28169</v>
      </c>
      <c r="C9884" s="3">
        <v>0.0</v>
      </c>
      <c r="D9884" s="3">
        <v>0.0</v>
      </c>
      <c r="E9884" s="3">
        <v>8.0</v>
      </c>
      <c r="F9884" s="3" t="s">
        <v>28170</v>
      </c>
      <c r="G9884" s="3">
        <v>0.0</v>
      </c>
      <c r="H9884" s="3">
        <v>0.0</v>
      </c>
      <c r="I9884" s="3" t="s">
        <v>13</v>
      </c>
      <c r="J9884" s="3" t="s">
        <v>28171</v>
      </c>
      <c r="K9884" s="3" t="s">
        <v>1518</v>
      </c>
      <c r="L9884" s="3" t="str">
        <f>IFERROR(__xludf.DUMMYFUNCTION("GOOGLETRANSLATE(F9884,""id"",""en"")"),"I don't know the ball, but what I salute this match is so exciting and dramatic, finally Argentina as the champion after an extension of the time ending with the final of the Qatar Succes Succes as the host with very magnificent facilitation and his da'wa"&amp;"h")</f>
        <v>I don't know the ball, but what I salute this match is so exciting and dramatic, finally Argentina as the champion after an extension of the time ending with the final of the Qatar Succes Succes as the host with very magnificent facilitation and his da'wah</v>
      </c>
    </row>
    <row r="9885" ht="15.75" customHeight="1">
      <c r="A9885" s="1">
        <v>11118.0</v>
      </c>
      <c r="B9885" s="3" t="s">
        <v>28172</v>
      </c>
      <c r="C9885" s="3">
        <v>0.0</v>
      </c>
      <c r="D9885" s="3">
        <v>0.0</v>
      </c>
      <c r="E9885" s="3">
        <v>1.0</v>
      </c>
      <c r="F9885" s="3" t="s">
        <v>28173</v>
      </c>
      <c r="G9885" s="3">
        <v>0.0</v>
      </c>
      <c r="H9885" s="3">
        <v>0.0</v>
      </c>
      <c r="I9885" s="3" t="s">
        <v>13</v>
      </c>
      <c r="J9885" s="3" t="s">
        <v>26342</v>
      </c>
      <c r="K9885" s="3" t="s">
        <v>2117</v>
      </c>
      <c r="L9885" s="3" t="str">
        <f>IFERROR(__xludf.DUMMYFUNCTION("GOOGLETRANSLATE(F9885,""id"",""en"")"),"remains Argentina who champions")</f>
        <v>remains Argentina who champions</v>
      </c>
    </row>
    <row r="9886" ht="15.75" customHeight="1">
      <c r="A9886" s="1">
        <v>11119.0</v>
      </c>
      <c r="B9886" s="3" t="s">
        <v>28174</v>
      </c>
      <c r="C9886" s="3">
        <v>0.0</v>
      </c>
      <c r="D9886" s="3">
        <v>0.0</v>
      </c>
      <c r="E9886" s="3">
        <v>0.0</v>
      </c>
      <c r="F9886" s="3" t="s">
        <v>28175</v>
      </c>
      <c r="G9886" s="3">
        <v>0.0</v>
      </c>
      <c r="H9886" s="3">
        <v>0.0</v>
      </c>
      <c r="I9886" s="3" t="s">
        <v>13</v>
      </c>
      <c r="J9886" s="3" t="s">
        <v>28176</v>
      </c>
      <c r="K9886" s="3" t="s">
        <v>82</v>
      </c>
      <c r="L9886" s="3" t="str">
        <f>IFERROR(__xludf.DUMMYFUNCTION("GOOGLETRANSLATE(F9886,""id"",""en"")"),"well, even though I am happy Argentina, there is just a champion")</f>
        <v>well, even though I am happy Argentina, there is just a champion</v>
      </c>
    </row>
    <row r="9887" ht="15.75" customHeight="1">
      <c r="A9887" s="1">
        <v>11120.0</v>
      </c>
      <c r="B9887" s="3" t="s">
        <v>28177</v>
      </c>
      <c r="C9887" s="3">
        <v>0.0</v>
      </c>
      <c r="D9887" s="3">
        <v>0.0</v>
      </c>
      <c r="E9887" s="3">
        <v>0.0</v>
      </c>
      <c r="F9887" s="3" t="s">
        <v>28178</v>
      </c>
      <c r="G9887" s="3">
        <v>0.0</v>
      </c>
      <c r="H9887" s="3">
        <v>0.0</v>
      </c>
      <c r="I9887" s="3" t="s">
        <v>13</v>
      </c>
      <c r="J9887" s="3" t="s">
        <v>28179</v>
      </c>
      <c r="K9887" s="3" t="s">
        <v>75</v>
      </c>
      <c r="L9887" s="3" t="str">
        <f>IFERROR(__xludf.DUMMYFUNCTION("GOOGLETRANSLATE(F9887,""id"",""en"")"),"Argentina World Cup Champion Sragen's name suddenly went worldwide")</f>
        <v>Argentina World Cup Champion Sragen's name suddenly went worldwide</v>
      </c>
    </row>
    <row r="9888" ht="15.75" customHeight="1">
      <c r="A9888" s="1">
        <v>11121.0</v>
      </c>
      <c r="B9888" s="3" t="s">
        <v>28180</v>
      </c>
      <c r="C9888" s="3">
        <v>0.0</v>
      </c>
      <c r="D9888" s="3">
        <v>0.0</v>
      </c>
      <c r="E9888" s="3">
        <v>0.0</v>
      </c>
      <c r="F9888" s="3" t="s">
        <v>28181</v>
      </c>
      <c r="G9888" s="3">
        <v>0.0</v>
      </c>
      <c r="H9888" s="3">
        <v>0.0</v>
      </c>
      <c r="I9888" s="3" t="s">
        <v>13</v>
      </c>
      <c r="J9888" s="3" t="s">
        <v>28182</v>
      </c>
      <c r="K9888" s="3" t="s">
        <v>71</v>
      </c>
      <c r="L9888" s="3" t="str">
        <f>IFERROR(__xludf.DUMMYFUNCTION("GOOGLETRANSLATE(F9888,""id"",""en"")"),"Around million Argentina residents descend the road throughout the city after hearing the country champions of the Qatar Albiceleste World Cup")</f>
        <v>Around million Argentina residents descend the road throughout the city after hearing the country champions of the Qatar Albiceleste World Cup</v>
      </c>
    </row>
    <row r="9889" ht="15.75" customHeight="1">
      <c r="A9889" s="1">
        <v>11122.0</v>
      </c>
      <c r="B9889" s="3" t="s">
        <v>28183</v>
      </c>
      <c r="C9889" s="3">
        <v>0.0</v>
      </c>
      <c r="D9889" s="3">
        <v>0.0</v>
      </c>
      <c r="E9889" s="3">
        <v>0.0</v>
      </c>
      <c r="F9889" s="3" t="s">
        <v>28184</v>
      </c>
      <c r="G9889" s="3">
        <v>0.0</v>
      </c>
      <c r="H9889" s="3">
        <v>0.0</v>
      </c>
      <c r="I9889" s="3" t="s">
        <v>13</v>
      </c>
      <c r="J9889" s="3" t="s">
        <v>28185</v>
      </c>
      <c r="K9889" s="3" t="s">
        <v>41</v>
      </c>
      <c r="L9889" s="3" t="str">
        <f>IFERROR(__xludf.DUMMYFUNCTION("GOOGLETRANSLATE(F9889,""id"",""en"")"),"Scaloni invites the Argentine people to enjoy the success of the World Cup championship")</f>
        <v>Scaloni invites the Argentine people to enjoy the success of the World Cup championship</v>
      </c>
    </row>
    <row r="9890" ht="15.75" customHeight="1">
      <c r="A9890" s="1">
        <v>11123.0</v>
      </c>
      <c r="B9890" s="3" t="s">
        <v>28186</v>
      </c>
      <c r="C9890" s="3">
        <v>0.0</v>
      </c>
      <c r="D9890" s="3">
        <v>0.0</v>
      </c>
      <c r="E9890" s="3">
        <v>0.0</v>
      </c>
      <c r="F9890" s="3" t="s">
        <v>28187</v>
      </c>
      <c r="G9890" s="3">
        <v>0.0</v>
      </c>
      <c r="H9890" s="3">
        <v>0.0</v>
      </c>
      <c r="I9890" s="3" t="s">
        <v>13</v>
      </c>
      <c r="J9890" s="3" t="s">
        <v>28188</v>
      </c>
      <c r="K9890" s="3" t="s">
        <v>71</v>
      </c>
      <c r="L9890" s="3" t="str">
        <f>IFERROR(__xludf.DUMMYFUNCTION("GOOGLETRANSLATE(F9890,""id"",""en"")"),"Argentina can be world champion again after the last Indonesian senior national team lifts the end of the trophy.")</f>
        <v>Argentina can be world champion again after the last Indonesian senior national team lifts the end of the trophy.</v>
      </c>
    </row>
    <row r="9891" ht="15.75" customHeight="1">
      <c r="A9891" s="1">
        <v>11124.0</v>
      </c>
      <c r="B9891" s="3" t="s">
        <v>28189</v>
      </c>
      <c r="C9891" s="3">
        <v>0.0</v>
      </c>
      <c r="D9891" s="3">
        <v>0.0</v>
      </c>
      <c r="E9891" s="3">
        <v>0.0</v>
      </c>
      <c r="F9891" s="3" t="s">
        <v>28190</v>
      </c>
      <c r="G9891" s="3">
        <v>0.0</v>
      </c>
      <c r="H9891" s="3">
        <v>0.0</v>
      </c>
      <c r="I9891" s="3" t="s">
        <v>13</v>
      </c>
      <c r="J9891" s="3" t="s">
        <v>28191</v>
      </c>
      <c r="K9891" s="3" t="s">
        <v>644</v>
      </c>
      <c r="L9891" s="3" t="str">
        <f>IFERROR(__xludf.DUMMYFUNCTION("GOOGLETRANSLATE(F9891,""id"",""en"")"),"Afternoon Bang Argentina Champion")</f>
        <v>Afternoon Bang Argentina Champion</v>
      </c>
    </row>
    <row r="9892" ht="15.75" customHeight="1">
      <c r="A9892" s="1">
        <v>11125.0</v>
      </c>
      <c r="B9892" s="3" t="s">
        <v>28192</v>
      </c>
      <c r="C9892" s="3">
        <v>0.0</v>
      </c>
      <c r="D9892" s="3">
        <v>0.0</v>
      </c>
      <c r="E9892" s="3">
        <v>0.0</v>
      </c>
      <c r="F9892" s="3" t="s">
        <v>22241</v>
      </c>
      <c r="G9892" s="3">
        <v>0.0</v>
      </c>
      <c r="H9892" s="3">
        <v>0.0</v>
      </c>
      <c r="I9892" s="3" t="s">
        <v>13</v>
      </c>
      <c r="J9892" s="3" t="s">
        <v>16942</v>
      </c>
      <c r="K9892" s="3" t="s">
        <v>644</v>
      </c>
      <c r="L9892" s="3" t="str">
        <f>IFERROR(__xludf.DUMMYFUNCTION("GOOGLETRANSLATE(F9892,""id"",""en"")"),"Argentina Champion World Cup")</f>
        <v>Argentina Champion World Cup</v>
      </c>
    </row>
    <row r="9893" ht="15.75" customHeight="1">
      <c r="A9893" s="1">
        <v>11126.0</v>
      </c>
      <c r="B9893" s="3" t="s">
        <v>28193</v>
      </c>
      <c r="C9893" s="3">
        <v>0.0</v>
      </c>
      <c r="D9893" s="3">
        <v>0.0</v>
      </c>
      <c r="E9893" s="3">
        <v>0.0</v>
      </c>
      <c r="F9893" s="3" t="s">
        <v>28194</v>
      </c>
      <c r="G9893" s="3">
        <v>0.0</v>
      </c>
      <c r="H9893" s="3">
        <v>0.0</v>
      </c>
      <c r="I9893" s="3" t="s">
        <v>13</v>
      </c>
      <c r="J9893" s="3" t="s">
        <v>28195</v>
      </c>
      <c r="K9893" s="3" t="s">
        <v>41</v>
      </c>
      <c r="L9893" s="3" t="str">
        <f>IFERROR(__xludf.DUMMYFUNCTION("GOOGLETRANSLATE(F9893,""id"",""en"")"),"Argentina World Cup Champion End Fasting Title During the Year")</f>
        <v>Argentina World Cup Champion End Fasting Title During the Year</v>
      </c>
    </row>
    <row r="9894" ht="15.75" customHeight="1">
      <c r="A9894" s="1">
        <v>11127.0</v>
      </c>
      <c r="B9894" s="3" t="s">
        <v>28196</v>
      </c>
      <c r="C9894" s="3">
        <v>0.0</v>
      </c>
      <c r="D9894" s="3">
        <v>0.0</v>
      </c>
      <c r="E9894" s="3">
        <v>0.0</v>
      </c>
      <c r="F9894" s="3" t="s">
        <v>28197</v>
      </c>
      <c r="G9894" s="3">
        <v>0.0</v>
      </c>
      <c r="H9894" s="3">
        <v>0.0</v>
      </c>
      <c r="I9894" s="3" t="s">
        <v>13</v>
      </c>
      <c r="J9894" s="3" t="s">
        <v>28198</v>
      </c>
      <c r="K9894" s="3" t="s">
        <v>41</v>
      </c>
      <c r="L9894" s="3" t="str">
        <f>IFERROR(__xludf.DUMMYFUNCTION("GOOGLETRANSLATE(F9894,""id"",""en"")"),"Finally, the World Cup champion Lionel Messi was my dream since childhood")</f>
        <v>Finally, the World Cup champion Lionel Messi was my dream since childhood</v>
      </c>
    </row>
    <row r="9895" ht="15.75" customHeight="1">
      <c r="A9895" s="1">
        <v>11128.0</v>
      </c>
      <c r="B9895" s="3" t="s">
        <v>28199</v>
      </c>
      <c r="C9895" s="3">
        <v>0.0</v>
      </c>
      <c r="D9895" s="3">
        <v>0.0</v>
      </c>
      <c r="E9895" s="3">
        <v>0.0</v>
      </c>
      <c r="F9895" s="3" t="s">
        <v>28200</v>
      </c>
      <c r="G9895" s="3">
        <v>0.0</v>
      </c>
      <c r="H9895" s="3">
        <v>0.0</v>
      </c>
      <c r="I9895" s="3" t="s">
        <v>13</v>
      </c>
      <c r="J9895" s="3" t="s">
        <v>28201</v>
      </c>
      <c r="K9895" s="3" t="s">
        <v>644</v>
      </c>
      <c r="L9895" s="3" t="str">
        <f>IFERROR(__xludf.DUMMYFUNCTION("GOOGLETRANSLATE(F9895,""id"",""en"")"),"Argentina Expressions Champion Again")</f>
        <v>Argentina Expressions Champion Again</v>
      </c>
    </row>
    <row r="9896" ht="15.75" customHeight="1">
      <c r="A9896" s="1">
        <v>11129.0</v>
      </c>
      <c r="B9896" s="3" t="s">
        <v>28202</v>
      </c>
      <c r="C9896" s="3">
        <v>1.0</v>
      </c>
      <c r="D9896" s="3">
        <v>0.0</v>
      </c>
      <c r="E9896" s="3">
        <v>1.0</v>
      </c>
      <c r="F9896" s="3" t="s">
        <v>28203</v>
      </c>
      <c r="G9896" s="3">
        <v>0.0</v>
      </c>
      <c r="H9896" s="3">
        <v>0.0</v>
      </c>
      <c r="I9896" s="3" t="s">
        <v>13</v>
      </c>
      <c r="J9896" s="3" t="s">
        <v>28204</v>
      </c>
      <c r="K9896" s="3" t="s">
        <v>31</v>
      </c>
      <c r="L9896" s="3" t="str">
        <f>IFERROR(__xludf.DUMMYFUNCTION("GOOGLETRANSLATE(F9896,""id"",""en"")"),"Meliala is right but I have bet Argentina champions")</f>
        <v>Meliala is right but I have bet Argentina champions</v>
      </c>
    </row>
    <row r="9897" ht="15.75" customHeight="1">
      <c r="A9897" s="1">
        <v>11130.0</v>
      </c>
      <c r="B9897" s="3" t="s">
        <v>28205</v>
      </c>
      <c r="C9897" s="3">
        <v>0.0</v>
      </c>
      <c r="D9897" s="3">
        <v>0.0</v>
      </c>
      <c r="E9897" s="3">
        <v>0.0</v>
      </c>
      <c r="F9897" s="3" t="s">
        <v>28206</v>
      </c>
      <c r="G9897" s="3">
        <v>1.0</v>
      </c>
      <c r="H9897" s="3">
        <v>0.0</v>
      </c>
      <c r="I9897" s="3" t="s">
        <v>13</v>
      </c>
      <c r="J9897" s="3" t="s">
        <v>28207</v>
      </c>
      <c r="K9897" s="3" t="s">
        <v>510</v>
      </c>
      <c r="L9897" s="3" t="str">
        <f>IFERROR(__xludf.DUMMYFUNCTION("GOOGLETRANSLATE(F9897,""id"",""en"")"),"The most exciting final in the history of Argentina World Champion Defeated France through penalties")</f>
        <v>The most exciting final in the history of Argentina World Champion Defeated France through penalties</v>
      </c>
    </row>
    <row r="9898" ht="15.75" customHeight="1">
      <c r="A9898" s="1">
        <v>11131.0</v>
      </c>
      <c r="B9898" s="3" t="s">
        <v>28208</v>
      </c>
      <c r="C9898" s="3">
        <v>0.0</v>
      </c>
      <c r="D9898" s="3">
        <v>0.0</v>
      </c>
      <c r="E9898" s="3">
        <v>0.0</v>
      </c>
      <c r="F9898" s="3" t="s">
        <v>27241</v>
      </c>
      <c r="G9898" s="3">
        <v>0.0</v>
      </c>
      <c r="H9898" s="3">
        <v>0.0</v>
      </c>
      <c r="I9898" s="3" t="s">
        <v>13</v>
      </c>
      <c r="J9898" s="3" t="s">
        <v>16104</v>
      </c>
      <c r="K9898" s="3" t="s">
        <v>14571</v>
      </c>
      <c r="L9898" s="3" t="str">
        <f>IFERROR(__xludf.DUMMYFUNCTION("GOOGLETRANSLATE(F9898,""id"",""en"")"),"Argentina champions again")</f>
        <v>Argentina champions again</v>
      </c>
    </row>
    <row r="9899" ht="15.75" customHeight="1">
      <c r="A9899" s="1">
        <v>11133.0</v>
      </c>
      <c r="B9899" s="3" t="s">
        <v>28209</v>
      </c>
      <c r="C9899" s="3">
        <v>0.0</v>
      </c>
      <c r="D9899" s="3">
        <v>0.0</v>
      </c>
      <c r="E9899" s="3">
        <v>1.0</v>
      </c>
      <c r="F9899" s="3" t="s">
        <v>28210</v>
      </c>
      <c r="G9899" s="3">
        <v>0.0</v>
      </c>
      <c r="H9899" s="3">
        <v>0.0</v>
      </c>
      <c r="I9899" s="3" t="s">
        <v>13</v>
      </c>
      <c r="J9899" s="3" t="s">
        <v>28211</v>
      </c>
      <c r="K9899" s="3" t="s">
        <v>75</v>
      </c>
      <c r="L9899" s="3" t="str">
        <f>IFERROR(__xludf.DUMMYFUNCTION("GOOGLETRANSLATE(F9899,""id"",""en"")"),"the appearance of a sea of ​​supporters buenos aires celebrates Argentina World Cup champions")</f>
        <v>the appearance of a sea of ​​supporters buenos aires celebrates Argentina World Cup champions</v>
      </c>
    </row>
    <row r="9900" ht="15.75" customHeight="1">
      <c r="A9900" s="1">
        <v>11134.0</v>
      </c>
      <c r="B9900" s="3" t="s">
        <v>28212</v>
      </c>
      <c r="C9900" s="3">
        <v>0.0</v>
      </c>
      <c r="D9900" s="3">
        <v>0.0</v>
      </c>
      <c r="E9900" s="3">
        <v>0.0</v>
      </c>
      <c r="F9900" s="3" t="s">
        <v>28213</v>
      </c>
      <c r="G9900" s="3">
        <v>0.0</v>
      </c>
      <c r="H9900" s="3">
        <v>0.0</v>
      </c>
      <c r="I9900" s="3" t="s">
        <v>13</v>
      </c>
      <c r="J9900" s="3" t="s">
        <v>28214</v>
      </c>
      <c r="K9900" s="3" t="s">
        <v>14571</v>
      </c>
      <c r="L9900" s="3" t="str">
        <f>IFERROR(__xludf.DUMMYFUNCTION("GOOGLETRANSLATE(F9900,""id"",""en"")"),"MORNING KEZZZ")</f>
        <v>MORNING KEZZZ</v>
      </c>
    </row>
    <row r="9901" ht="15.75" customHeight="1">
      <c r="A9901" s="1">
        <v>11135.0</v>
      </c>
      <c r="B9901" s="3" t="s">
        <v>28215</v>
      </c>
      <c r="C9901" s="3">
        <v>0.0</v>
      </c>
      <c r="D9901" s="3">
        <v>0.0</v>
      </c>
      <c r="E9901" s="3">
        <v>0.0</v>
      </c>
      <c r="F9901" s="3" t="s">
        <v>28216</v>
      </c>
      <c r="G9901" s="3">
        <v>0.0</v>
      </c>
      <c r="H9901" s="3">
        <v>0.0</v>
      </c>
      <c r="I9901" s="3" t="s">
        <v>13</v>
      </c>
      <c r="J9901" s="3" t="s">
        <v>28217</v>
      </c>
      <c r="K9901" s="3" t="s">
        <v>71</v>
      </c>
      <c r="L9901" s="3" t="str">
        <f>IFERROR(__xludf.DUMMYFUNCTION("GOOGLETRANSLATE(F9901,""id"",""en"")"),"Almost all Argentine cities are decorated with a sea of ​​people considering that his country champions of the Qatar Albiceleste World Cup")</f>
        <v>Almost all Argentine cities are decorated with a sea of ​​people considering that his country champions of the Qatar Albiceleste World Cup</v>
      </c>
    </row>
    <row r="9902" ht="15.75" customHeight="1">
      <c r="A9902" s="1">
        <v>11136.0</v>
      </c>
      <c r="B9902" s="3" t="s">
        <v>28218</v>
      </c>
      <c r="C9902" s="3">
        <v>0.0</v>
      </c>
      <c r="D9902" s="3">
        <v>0.0</v>
      </c>
      <c r="E9902" s="3">
        <v>2.0</v>
      </c>
      <c r="F9902" s="3" t="s">
        <v>28219</v>
      </c>
      <c r="G9902" s="3">
        <v>0.0</v>
      </c>
      <c r="H9902" s="3">
        <v>0.0</v>
      </c>
      <c r="I9902" s="3" t="s">
        <v>13</v>
      </c>
      <c r="J9902" s="3" t="s">
        <v>28220</v>
      </c>
      <c r="K9902" s="3" t="s">
        <v>192</v>
      </c>
      <c r="L9902" s="3" t="str">
        <f>IFERROR(__xludf.DUMMYFUNCTION("GOOGLETRANSLATE(F9902,""id"",""en"")"),"Argentina won the World Cup after defeating France through the Qatar Lusail Stadium shootout Sunday Tango team managed")</f>
        <v>Argentina won the World Cup after defeating France through the Qatar Lusail Stadium shootout Sunday Tango team managed</v>
      </c>
    </row>
    <row r="9903" ht="15.75" customHeight="1">
      <c r="A9903" s="1">
        <v>11137.0</v>
      </c>
      <c r="B9903" s="3" t="s">
        <v>28221</v>
      </c>
      <c r="C9903" s="3">
        <v>0.0</v>
      </c>
      <c r="D9903" s="3">
        <v>0.0</v>
      </c>
      <c r="E9903" s="3">
        <v>0.0</v>
      </c>
      <c r="F9903" s="3" t="s">
        <v>28222</v>
      </c>
      <c r="G9903" s="3">
        <v>0.0</v>
      </c>
      <c r="H9903" s="3">
        <v>0.0</v>
      </c>
      <c r="I9903" s="3" t="s">
        <v>13</v>
      </c>
      <c r="J9903" s="3" t="s">
        <v>28223</v>
      </c>
      <c r="K9903" s="3" t="s">
        <v>75</v>
      </c>
      <c r="L9903" s="3" t="str">
        <f>IFERROR(__xludf.DUMMYFUNCTION("GOOGLETRANSLATE(F9903,""id"",""en"")"),"Fantastic this number of prizes obtained by Argentina as the Qatar World Cup champion")</f>
        <v>Fantastic this number of prizes obtained by Argentina as the Qatar World Cup champion</v>
      </c>
    </row>
    <row r="9904" ht="15.75" customHeight="1">
      <c r="A9904" s="1">
        <v>11138.0</v>
      </c>
      <c r="B9904" s="3" t="s">
        <v>28224</v>
      </c>
      <c r="C9904" s="3">
        <v>0.0</v>
      </c>
      <c r="D9904" s="3">
        <v>0.0</v>
      </c>
      <c r="E9904" s="3">
        <v>0.0</v>
      </c>
      <c r="F9904" s="3" t="s">
        <v>28225</v>
      </c>
      <c r="G9904" s="3">
        <v>0.0</v>
      </c>
      <c r="H9904" s="3">
        <v>0.0</v>
      </c>
      <c r="I9904" s="3" t="s">
        <v>13</v>
      </c>
      <c r="J9904" s="3" t="s">
        <v>28226</v>
      </c>
      <c r="K9904" s="3" t="s">
        <v>82</v>
      </c>
      <c r="L9904" s="3" t="str">
        <f>IFERROR(__xludf.DUMMYFUNCTION("GOOGLETRANSLATE(F9904,""id"",""en"")"),"end the Argentina year of the World Cup championship year")</f>
        <v>end the Argentina year of the World Cup championship year</v>
      </c>
    </row>
    <row r="9905" ht="15.75" customHeight="1">
      <c r="A9905" s="1">
        <v>11139.0</v>
      </c>
      <c r="B9905" s="3" t="s">
        <v>28227</v>
      </c>
      <c r="C9905" s="3">
        <v>3.0</v>
      </c>
      <c r="D9905" s="3">
        <v>29.0</v>
      </c>
      <c r="E9905" s="3">
        <v>167.0</v>
      </c>
      <c r="F9905" s="3" t="s">
        <v>28228</v>
      </c>
      <c r="G9905" s="3">
        <v>0.0</v>
      </c>
      <c r="H9905" s="3">
        <v>0.0</v>
      </c>
      <c r="I9905" s="3" t="s">
        <v>13</v>
      </c>
      <c r="J9905" s="3" t="s">
        <v>28229</v>
      </c>
      <c r="K9905" s="3" t="s">
        <v>1493</v>
      </c>
      <c r="L9905" s="3" t="str">
        <f>IFERROR(__xludf.DUMMYFUNCTION("GOOGLETRANSLATE(F9905,""id"",""en"")"),"Great Lionel Messi has just led Argentina to become a champion of the striker Cup and Captain Argentina carved four records after the success and the four records of Messi after Argentina World Cup champions champions")</f>
        <v>Great Lionel Messi has just led Argentina to become a champion of the striker Cup and Captain Argentina carved four records after the success and the four records of Messi after Argentina World Cup champions champions</v>
      </c>
    </row>
    <row r="9906" ht="15.75" customHeight="1">
      <c r="A9906" s="1">
        <v>11140.0</v>
      </c>
      <c r="B9906" s="3" t="s">
        <v>28230</v>
      </c>
      <c r="C9906" s="3">
        <v>0.0</v>
      </c>
      <c r="D9906" s="3">
        <v>0.0</v>
      </c>
      <c r="E9906" s="3">
        <v>0.0</v>
      </c>
      <c r="F9906" s="3" t="s">
        <v>28231</v>
      </c>
      <c r="G9906" s="3">
        <v>1.0</v>
      </c>
      <c r="H9906" s="3">
        <v>0.0</v>
      </c>
      <c r="I9906" s="3" t="s">
        <v>13</v>
      </c>
      <c r="J9906" s="3" t="s">
        <v>28232</v>
      </c>
      <c r="K9906" s="3" t="s">
        <v>725</v>
      </c>
      <c r="L9906" s="3" t="str">
        <f>IFERROR(__xludf.DUMMYFUNCTION("GOOGLETRANSLATE(F9906,""id"",""en"")"),"Exciting Many unexpected things that happened from Japan and Korea can excel the Moroccan group stage can enter the semi -finals and finally Argentina became a champion for the Babget Clay Messi could lift the World Cup")</f>
        <v>Exciting Many unexpected things that happened from Japan and Korea can excel the Moroccan group stage can enter the semi -finals and finally Argentina became a champion for the Babget Clay Messi could lift the World Cup</v>
      </c>
    </row>
    <row r="9907" ht="15.75" customHeight="1">
      <c r="A9907" s="1">
        <v>11141.0</v>
      </c>
      <c r="B9907" s="3" t="s">
        <v>28233</v>
      </c>
      <c r="C9907" s="3">
        <v>0.0</v>
      </c>
      <c r="D9907" s="3">
        <v>0.0</v>
      </c>
      <c r="E9907" s="3">
        <v>0.0</v>
      </c>
      <c r="F9907" s="3" t="s">
        <v>28184</v>
      </c>
      <c r="G9907" s="3">
        <v>0.0</v>
      </c>
      <c r="H9907" s="3">
        <v>0.0</v>
      </c>
      <c r="I9907" s="3" t="s">
        <v>13</v>
      </c>
      <c r="J9907" s="3" t="s">
        <v>28185</v>
      </c>
      <c r="K9907" s="3" t="s">
        <v>41</v>
      </c>
      <c r="L9907" s="3" t="str">
        <f>IFERROR(__xludf.DUMMYFUNCTION("GOOGLETRANSLATE(F9907,""id"",""en"")"),"Scaloni invites the Argentine people to enjoy the success of the World Cup championship")</f>
        <v>Scaloni invites the Argentine people to enjoy the success of the World Cup championship</v>
      </c>
    </row>
    <row r="9908" ht="15.75" customHeight="1">
      <c r="A9908" s="1">
        <v>11142.0</v>
      </c>
      <c r="B9908" s="3" t="s">
        <v>28234</v>
      </c>
      <c r="C9908" s="3">
        <v>0.0</v>
      </c>
      <c r="D9908" s="3">
        <v>0.0</v>
      </c>
      <c r="E9908" s="3">
        <v>0.0</v>
      </c>
      <c r="F9908" s="3" t="s">
        <v>22412</v>
      </c>
      <c r="G9908" s="3">
        <v>0.0</v>
      </c>
      <c r="H9908" s="3">
        <v>0.0</v>
      </c>
      <c r="I9908" s="3" t="s">
        <v>13</v>
      </c>
      <c r="J9908" s="3" t="s">
        <v>22413</v>
      </c>
      <c r="K9908" s="3" t="s">
        <v>41</v>
      </c>
      <c r="L9908" s="3" t="str">
        <f>IFERROR(__xludf.DUMMYFUNCTION("GOOGLETRANSLATE(F9908,""id"",""en"")"),"Countries that win the World Cup via the latest Argentine penalty shootout")</f>
        <v>Countries that win the World Cup via the latest Argentine penalty shootout</v>
      </c>
    </row>
    <row r="9909" ht="15.75" customHeight="1">
      <c r="A9909" s="1">
        <v>11143.0</v>
      </c>
      <c r="B9909" s="3" t="s">
        <v>28235</v>
      </c>
      <c r="C9909" s="3">
        <v>0.0</v>
      </c>
      <c r="D9909" s="3">
        <v>0.0</v>
      </c>
      <c r="E9909" s="3">
        <v>0.0</v>
      </c>
      <c r="F9909" s="3" t="s">
        <v>28236</v>
      </c>
      <c r="G9909" s="3">
        <v>0.0</v>
      </c>
      <c r="H9909" s="3">
        <v>0.0</v>
      </c>
      <c r="I9909" s="3" t="s">
        <v>13</v>
      </c>
      <c r="J9909" s="3" t="s">
        <v>28237</v>
      </c>
      <c r="K9909" s="3" t="s">
        <v>127</v>
      </c>
      <c r="L9909" s="3" t="str">
        <f>IFERROR(__xludf.DUMMYFUNCTION("GOOGLETRANSLATE(F9909,""id"",""en"")"),"Argentina The World Cup is defeated by Saudi Arabia at the beginning ending as the full reading champion Betting now also wins no matter how much we pay the link")</f>
        <v>Argentina The World Cup is defeated by Saudi Arabia at the beginning ending as the full reading champion Betting now also wins no matter how much we pay the link</v>
      </c>
    </row>
    <row r="9910" ht="15.75" customHeight="1">
      <c r="A9910" s="1">
        <v>11145.0</v>
      </c>
      <c r="B9910" s="3" t="s">
        <v>28238</v>
      </c>
      <c r="C9910" s="3">
        <v>0.0</v>
      </c>
      <c r="D9910" s="3">
        <v>0.0</v>
      </c>
      <c r="E9910" s="3">
        <v>0.0</v>
      </c>
      <c r="F9910" s="3" t="s">
        <v>28239</v>
      </c>
      <c r="G9910" s="3">
        <v>0.0</v>
      </c>
      <c r="H9910" s="3">
        <v>0.0</v>
      </c>
      <c r="I9910" s="3" t="s">
        <v>13</v>
      </c>
      <c r="J9910" s="3" t="s">
        <v>28240</v>
      </c>
      <c r="K9910" s="3" t="s">
        <v>82</v>
      </c>
      <c r="L9910" s="3" t="str">
        <f>IFERROR(__xludf.DUMMYFUNCTION("GOOGLETRANSLATE(F9910,""id"",""en"")"),"Argentina World Champion Middle Crisis Economy of His Country")</f>
        <v>Argentina World Champion Middle Crisis Economy of His Country</v>
      </c>
    </row>
    <row r="9911" ht="15.75" customHeight="1">
      <c r="A9911" s="1">
        <v>11146.0</v>
      </c>
      <c r="B9911" s="3" t="s">
        <v>28241</v>
      </c>
      <c r="C9911" s="3">
        <v>0.0</v>
      </c>
      <c r="D9911" s="3">
        <v>0.0</v>
      </c>
      <c r="E9911" s="3">
        <v>0.0</v>
      </c>
      <c r="F9911" s="3" t="s">
        <v>28242</v>
      </c>
      <c r="G9911" s="3">
        <v>0.0</v>
      </c>
      <c r="H9911" s="3">
        <v>0.0</v>
      </c>
      <c r="I9911" s="3" t="s">
        <v>13</v>
      </c>
      <c r="J9911" s="3" t="s">
        <v>28243</v>
      </c>
      <c r="K9911" s="3" t="s">
        <v>31</v>
      </c>
      <c r="L9911" s="3" t="str">
        <f>IFERROR(__xludf.DUMMYFUNCTION("GOOGLETRANSLATE(F9911,""id"",""en"")"),"Argentina Champion thanks to Mr. Jokowi")</f>
        <v>Argentina Champion thanks to Mr. Jokowi</v>
      </c>
    </row>
    <row r="9912" ht="15.75" customHeight="1">
      <c r="A9912" s="1">
        <v>11147.0</v>
      </c>
      <c r="B9912" s="3" t="s">
        <v>28244</v>
      </c>
      <c r="C9912" s="3">
        <v>0.0</v>
      </c>
      <c r="D9912" s="3">
        <v>0.0</v>
      </c>
      <c r="E9912" s="3">
        <v>0.0</v>
      </c>
      <c r="F9912" s="3" t="s">
        <v>28245</v>
      </c>
      <c r="G9912" s="3">
        <v>0.0</v>
      </c>
      <c r="H9912" s="3">
        <v>0.0</v>
      </c>
      <c r="I9912" s="3" t="s">
        <v>13</v>
      </c>
      <c r="J9912" s="3" t="s">
        <v>28246</v>
      </c>
      <c r="K9912" s="3" t="s">
        <v>1293</v>
      </c>
      <c r="L9912" s="3" t="str">
        <f>IFERROR(__xludf.DUMMYFUNCTION("GOOGLETRANSLATE(F9912,""id"",""en"")"),"Emiliano Martinez was in the spotlight after Argentina Champion World Cup because Martinez celebrated that success by a perverted way of putting a trophy around the genitals")</f>
        <v>Emiliano Martinez was in the spotlight after Argentina Champion World Cup because Martinez celebrated that success by a perverted way of putting a trophy around the genitals</v>
      </c>
    </row>
    <row r="9913" ht="15.75" customHeight="1">
      <c r="A9913" s="1">
        <v>11148.0</v>
      </c>
      <c r="B9913" s="3" t="s">
        <v>28247</v>
      </c>
      <c r="C9913" s="3">
        <v>0.0</v>
      </c>
      <c r="D9913" s="3">
        <v>0.0</v>
      </c>
      <c r="E9913" s="3">
        <v>0.0</v>
      </c>
      <c r="F9913" s="3" t="s">
        <v>28248</v>
      </c>
      <c r="G9913" s="3">
        <v>0.55</v>
      </c>
      <c r="H9913" s="3">
        <v>0.35</v>
      </c>
      <c r="I9913" s="3" t="s">
        <v>48</v>
      </c>
      <c r="J9913" s="3" t="s">
        <v>28249</v>
      </c>
      <c r="K9913" s="3" t="s">
        <v>1293</v>
      </c>
      <c r="L9913" s="3" t="str">
        <f>IFERROR(__xludf.DUMMYFUNCTION("GOOGLETRANSLATE(F9913,""id"",""en"")"),"still very happy Allah Argentina is the fun champion how long it is now")</f>
        <v>still very happy Allah Argentina is the fun champion how long it is now</v>
      </c>
    </row>
    <row r="9914" ht="15.75" customHeight="1">
      <c r="A9914" s="1">
        <v>11149.0</v>
      </c>
      <c r="B9914" s="3" t="s">
        <v>28250</v>
      </c>
      <c r="C9914" s="3">
        <v>0.0</v>
      </c>
      <c r="D9914" s="3">
        <v>0.0</v>
      </c>
      <c r="E9914" s="3">
        <v>0.0</v>
      </c>
      <c r="F9914" s="3" t="s">
        <v>28251</v>
      </c>
      <c r="G9914" s="3">
        <v>0.0</v>
      </c>
      <c r="H9914" s="3">
        <v>0.0</v>
      </c>
      <c r="I9914" s="3" t="s">
        <v>13</v>
      </c>
      <c r="J9914" s="3" t="s">
        <v>28252</v>
      </c>
      <c r="K9914" s="3" t="s">
        <v>131</v>
      </c>
      <c r="L9914" s="3" t="str">
        <f>IFERROR(__xludf.DUMMYFUNCTION("GOOGLETRANSLATE(F9914,""id"",""en"")"),"take care of Enek Wong Sing Talking I am alay, the important thing")</f>
        <v>take care of Enek Wong Sing Talking I am alay, the important thing</v>
      </c>
    </row>
    <row r="9915" ht="15.75" customHeight="1">
      <c r="A9915" s="1">
        <v>11150.0</v>
      </c>
      <c r="B9915" s="3" t="s">
        <v>28253</v>
      </c>
      <c r="C9915" s="3">
        <v>0.0</v>
      </c>
      <c r="D9915" s="3">
        <v>0.0</v>
      </c>
      <c r="E9915" s="3">
        <v>1.0</v>
      </c>
      <c r="F9915" s="3" t="s">
        <v>28254</v>
      </c>
      <c r="G9915" s="3">
        <v>0.5</v>
      </c>
      <c r="H9915" s="3">
        <v>0.4</v>
      </c>
      <c r="I9915" s="3" t="s">
        <v>48</v>
      </c>
      <c r="J9915" s="3" t="s">
        <v>28255</v>
      </c>
      <c r="K9915" s="3" t="s">
        <v>1045</v>
      </c>
      <c r="L9915" s="3" t="str">
        <f>IFERROR(__xludf.DUMMYFUNCTION("GOOGLETRANSLATE(F9915,""id"",""en"")"),"For those who are not happy Argentina, champions want to blame the referee with evidence or data EMG should be checked or want to be said to have been setting Argentina, still recorded history as champions, please judge with the opinion of each enjoy")</f>
        <v>For those who are not happy Argentina, champions want to blame the referee with evidence or data EMG should be checked or want to be said to have been setting Argentina, still recorded history as champions, please judge with the opinion of each enjoy</v>
      </c>
    </row>
    <row r="9916" ht="15.75" customHeight="1">
      <c r="A9916" s="1">
        <v>11151.0</v>
      </c>
      <c r="B9916" s="3" t="s">
        <v>28256</v>
      </c>
      <c r="C9916" s="3">
        <v>2.0</v>
      </c>
      <c r="D9916" s="3">
        <v>6.0</v>
      </c>
      <c r="E9916" s="3">
        <v>14.0</v>
      </c>
      <c r="F9916" s="3" t="s">
        <v>28257</v>
      </c>
      <c r="G9916" s="3">
        <v>0.0</v>
      </c>
      <c r="H9916" s="3">
        <v>0.0</v>
      </c>
      <c r="I9916" s="3" t="s">
        <v>13</v>
      </c>
      <c r="J9916" s="3" t="s">
        <v>28258</v>
      </c>
      <c r="K9916" s="3" t="s">
        <v>41</v>
      </c>
      <c r="L9916" s="3" t="str">
        <f>IFERROR(__xludf.DUMMYFUNCTION("GOOGLETRANSLATE(F9916,""id"",""en"")"),"Congratulations to the national team who has succeeded in getting the Congratulation World Cup title")</f>
        <v>Congratulations to the national team who has succeeded in getting the Congratulation World Cup title</v>
      </c>
    </row>
    <row r="9917" ht="15.75" customHeight="1">
      <c r="A9917" s="1">
        <v>11152.0</v>
      </c>
      <c r="B9917" s="3" t="s">
        <v>28259</v>
      </c>
      <c r="C9917" s="3">
        <v>0.0</v>
      </c>
      <c r="D9917" s="3">
        <v>0.0</v>
      </c>
      <c r="E9917" s="3">
        <v>4.0</v>
      </c>
      <c r="F9917" s="3" t="s">
        <v>28260</v>
      </c>
      <c r="G9917" s="3">
        <v>0.0</v>
      </c>
      <c r="H9917" s="3">
        <v>0.0</v>
      </c>
      <c r="I9917" s="3" t="s">
        <v>13</v>
      </c>
      <c r="J9917" s="3" t="s">
        <v>28261</v>
      </c>
      <c r="K9917" s="3" t="s">
        <v>495</v>
      </c>
      <c r="L9917" s="3" t="str">
        <f>IFERROR(__xludf.DUMMYFUNCTION("GOOGLETRANSLATE(F9917,""id"",""en"")"),"Argentina's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9918" ht="15.75" customHeight="1">
      <c r="A9918" s="1">
        <v>11153.0</v>
      </c>
      <c r="B9918" s="3" t="s">
        <v>28262</v>
      </c>
      <c r="C9918" s="3">
        <v>0.0</v>
      </c>
      <c r="D9918" s="3">
        <v>0.0</v>
      </c>
      <c r="E9918" s="3">
        <v>0.0</v>
      </c>
      <c r="F9918" s="3" t="s">
        <v>28263</v>
      </c>
      <c r="G9918" s="3">
        <v>0.0</v>
      </c>
      <c r="H9918" s="3">
        <v>0.0</v>
      </c>
      <c r="I9918" s="3" t="s">
        <v>13</v>
      </c>
      <c r="J9918" s="3" t="s">
        <v>28264</v>
      </c>
      <c r="K9918" s="3" t="s">
        <v>19</v>
      </c>
      <c r="L9918" s="3" t="str">
        <f>IFERROR(__xludf.DUMMYFUNCTION("GOOGLETRANSLATE(F9918,""id"",""en"")"),"Redsindo After seeing the Fix Retweet Winning I lost, Argentina was set for the world champion")</f>
        <v>Redsindo After seeing the Fix Retweet Winning I lost, Argentina was set for the world champion</v>
      </c>
    </row>
    <row r="9919" ht="15.75" customHeight="1">
      <c r="A9919" s="1">
        <v>11154.0</v>
      </c>
      <c r="B9919" s="3" t="s">
        <v>28265</v>
      </c>
      <c r="C9919" s="3">
        <v>1.0</v>
      </c>
      <c r="D9919" s="3">
        <v>0.0</v>
      </c>
      <c r="E9919" s="3">
        <v>0.0</v>
      </c>
      <c r="F9919" s="3" t="s">
        <v>28266</v>
      </c>
      <c r="G9919" s="3">
        <v>1.0</v>
      </c>
      <c r="H9919" s="3">
        <v>0.5</v>
      </c>
      <c r="I9919" s="3" t="s">
        <v>48</v>
      </c>
      <c r="J9919" s="3" t="s">
        <v>28267</v>
      </c>
      <c r="K9919" s="3" t="s">
        <v>13682</v>
      </c>
      <c r="L9919" s="3" t="str">
        <f>IFERROR(__xludf.DUMMYFUNCTION("GOOGLETRANSLATE(F9919,""id"",""en"")"),"Messi World Champion can pursue Gap This section is a sign that is clearly like Adidas Reporting Messi Jersey Argentina Sold Out Brand Messi is still still and more sold if PSG is also the UCL champion this season Ballon again Messi Gap Famous, Cristiano "&amp;"can be overtaken")</f>
        <v>Messi World Champion can pursue Gap This section is a sign that is clearly like Adidas Reporting Messi Jersey Argentina Sold Out Brand Messi is still still and more sold if PSG is also the UCL champion this season Ballon again Messi Gap Famous, Cristiano can be overtaken</v>
      </c>
    </row>
    <row r="9920" ht="15.75" customHeight="1">
      <c r="A9920" s="1">
        <v>11155.0</v>
      </c>
      <c r="B9920" s="3" t="s">
        <v>28268</v>
      </c>
      <c r="C9920" s="3">
        <v>0.0</v>
      </c>
      <c r="D9920" s="3">
        <v>0.0</v>
      </c>
      <c r="E9920" s="3">
        <v>0.0</v>
      </c>
      <c r="F9920" s="3" t="s">
        <v>28269</v>
      </c>
      <c r="G9920" s="3">
        <v>0.0</v>
      </c>
      <c r="H9920" s="3">
        <v>0.0</v>
      </c>
      <c r="I9920" s="3" t="s">
        <v>13</v>
      </c>
      <c r="J9920" s="3" t="s">
        <v>28270</v>
      </c>
      <c r="K9920" s="3" t="s">
        <v>71</v>
      </c>
      <c r="L9920" s="3" t="str">
        <f>IFERROR(__xludf.DUMMYFUNCTION("GOOGLETRANSLATE(F9920,""id"",""en"")"),"Argentina, who won the Indonesian World Cup netizen who was complicated, speculated that he lived all the gala.")</f>
        <v>Argentina, who won the Indonesian World Cup netizen who was complicated, speculated that he lived all the gala.</v>
      </c>
    </row>
    <row r="9921" ht="15.75" customHeight="1">
      <c r="A9921" s="1">
        <v>11156.0</v>
      </c>
      <c r="B9921" s="3" t="s">
        <v>28271</v>
      </c>
      <c r="C9921" s="3">
        <v>0.0</v>
      </c>
      <c r="D9921" s="3">
        <v>0.0</v>
      </c>
      <c r="E9921" s="3">
        <v>0.0</v>
      </c>
      <c r="F9921" s="3" t="s">
        <v>28210</v>
      </c>
      <c r="G9921" s="3">
        <v>0.0</v>
      </c>
      <c r="H9921" s="3">
        <v>0.0</v>
      </c>
      <c r="I9921" s="3" t="s">
        <v>13</v>
      </c>
      <c r="J9921" s="3" t="s">
        <v>28211</v>
      </c>
      <c r="K9921" s="3" t="s">
        <v>75</v>
      </c>
      <c r="L9921" s="3" t="str">
        <f>IFERROR(__xludf.DUMMYFUNCTION("GOOGLETRANSLATE(F9921,""id"",""en"")"),"the appearance of a sea of ​​supporters buenos aires celebrates Argentina World Cup champions")</f>
        <v>the appearance of a sea of ​​supporters buenos aires celebrates Argentina World Cup champions</v>
      </c>
    </row>
    <row r="9922" ht="15.75" customHeight="1">
      <c r="A9922" s="1">
        <v>11157.0</v>
      </c>
      <c r="B9922" s="3" t="s">
        <v>28272</v>
      </c>
      <c r="C9922" s="3">
        <v>1.0</v>
      </c>
      <c r="D9922" s="3">
        <v>0.0</v>
      </c>
      <c r="E9922" s="3">
        <v>0.0</v>
      </c>
      <c r="F9922" s="3" t="s">
        <v>28273</v>
      </c>
      <c r="G9922" s="3">
        <v>0.0</v>
      </c>
      <c r="H9922" s="3">
        <v>0.0</v>
      </c>
      <c r="I9922" s="3" t="s">
        <v>13</v>
      </c>
      <c r="J9922" s="3" t="s">
        <v>28274</v>
      </c>
      <c r="K9922" s="3" t="s">
        <v>15736</v>
      </c>
      <c r="L9922" s="3" t="str">
        <f>IFERROR(__xludf.DUMMYFUNCTION("GOOGLETRANSLATE(F9922,""id"",""en"")"),"Argentina World Champion Argentina appeared World Cup champion after the year finally the World Cup is now in the grasp of Lionel Messi Tahniah Argentina")</f>
        <v>Argentina World Champion Argentina appeared World Cup champion after the year finally the World Cup is now in the grasp of Lionel Messi Tahniah Argentina</v>
      </c>
    </row>
    <row r="9923" ht="15.75" customHeight="1">
      <c r="A9923" s="1">
        <v>11158.0</v>
      </c>
      <c r="B9923" s="3" t="s">
        <v>28275</v>
      </c>
      <c r="C9923" s="3">
        <v>0.0</v>
      </c>
      <c r="D9923" s="3">
        <v>2.0</v>
      </c>
      <c r="E9923" s="3">
        <v>7.0</v>
      </c>
      <c r="F9923" s="3" t="s">
        <v>28276</v>
      </c>
      <c r="G9923" s="3">
        <v>0.5</v>
      </c>
      <c r="H9923" s="3">
        <v>0.3</v>
      </c>
      <c r="I9923" s="3" t="s">
        <v>48</v>
      </c>
      <c r="J9923" s="3" t="s">
        <v>28277</v>
      </c>
      <c r="K9923" s="3" t="s">
        <v>266</v>
      </c>
      <c r="L9923" s="3" t="str">
        <f>IFERROR(__xludf.DUMMYFUNCTION("GOOGLETRANSLATE(F9923,""id"",""en"")"),"Argentine national team captain Lionel Messi won the title of the World Cup's best player to be won after delivering AlbiceSte World Cup champions were also named Man The Match Messi also brought home the Golden Ball")</f>
        <v>Argentine national team captain Lionel Messi won the title of the World Cup's best player to be won after delivering AlbiceSte World Cup champions were also named Man The Match Messi also brought home the Golden Ball</v>
      </c>
    </row>
    <row r="9924" ht="15.75" customHeight="1">
      <c r="A9924" s="1">
        <v>11159.0</v>
      </c>
      <c r="B9924" s="3" t="s">
        <v>28278</v>
      </c>
      <c r="C9924" s="3">
        <v>0.0</v>
      </c>
      <c r="D9924" s="3">
        <v>0.0</v>
      </c>
      <c r="E9924" s="3">
        <v>0.0</v>
      </c>
      <c r="F9924" s="3" t="s">
        <v>28279</v>
      </c>
      <c r="G9924" s="3">
        <v>0.0</v>
      </c>
      <c r="H9924" s="3">
        <v>0.0</v>
      </c>
      <c r="I9924" s="3" t="s">
        <v>13</v>
      </c>
      <c r="J9924" s="3" t="s">
        <v>28280</v>
      </c>
      <c r="K9924" s="3" t="s">
        <v>13682</v>
      </c>
      <c r="L9924" s="3" t="str">
        <f>IFERROR(__xludf.DUMMYFUNCTION("GOOGLETRANSLATE(F9924,""id"",""en"")"),"before the world cup was held, I already had many people if my predicted champion between Argentina Brazil was proven that the Tango team came out of the champion, I sat Anti Messi, I was just anti -Barcelona, ​​how come Messi Run was good and congratulat"&amp;"ions on completing football")</f>
        <v>before the world cup was held, I already had many people if my predicted champion between Argentina Brazil was proven that the Tango team came out of the champion, I sat Anti Messi, I was just anti -Barcelona, ​​how come Messi Run was good and congratulations on completing football</v>
      </c>
    </row>
    <row r="9925" ht="15.75" customHeight="1">
      <c r="A9925" s="1">
        <v>11160.0</v>
      </c>
      <c r="B9925" s="3" t="s">
        <v>28281</v>
      </c>
      <c r="C9925" s="3">
        <v>0.0</v>
      </c>
      <c r="D9925" s="3">
        <v>0.0</v>
      </c>
      <c r="E9925" s="3">
        <v>0.0</v>
      </c>
      <c r="F9925" s="3" t="s">
        <v>28282</v>
      </c>
      <c r="G9925" s="3">
        <v>0.0</v>
      </c>
      <c r="H9925" s="3">
        <v>0.0</v>
      </c>
      <c r="I9925" s="3" t="s">
        <v>13</v>
      </c>
      <c r="J9925" s="3" t="s">
        <v>28283</v>
      </c>
      <c r="K9925" s="3" t="s">
        <v>123</v>
      </c>
      <c r="L9925" s="3" t="str">
        <f>IFERROR(__xludf.DUMMYFUNCTION("GOOGLETRANSLATE(F9925,""id"",""en"")"),"The end of the career of Messi Tanggo national team is quite proud of Ronaldo Cenut Cenut to see the success of Argentina champions")</f>
        <v>The end of the career of Messi Tanggo national team is quite proud of Ronaldo Cenut Cenut to see the success of Argentina champions</v>
      </c>
    </row>
    <row r="9926" ht="15.75" customHeight="1">
      <c r="A9926" s="1">
        <v>11161.0</v>
      </c>
      <c r="B9926" s="3" t="s">
        <v>28284</v>
      </c>
      <c r="C9926" s="3">
        <v>0.0</v>
      </c>
      <c r="D9926" s="3">
        <v>0.0</v>
      </c>
      <c r="E9926" s="3">
        <v>0.0</v>
      </c>
      <c r="F9926" s="3" t="s">
        <v>28285</v>
      </c>
      <c r="G9926" s="3">
        <v>0.0</v>
      </c>
      <c r="H9926" s="3">
        <v>0.0</v>
      </c>
      <c r="I9926" s="3" t="s">
        <v>13</v>
      </c>
      <c r="J9926" s="3" t="s">
        <v>28286</v>
      </c>
      <c r="K9926" s="3" t="s">
        <v>41</v>
      </c>
      <c r="L9926" s="3" t="str">
        <f>IFERROR(__xludf.DUMMYFUNCTION("GOOGLETRANSLATE(F9926,""id"",""en"")"),"This Argentina after the World Cup champion was appointed as a civil servant")</f>
        <v>This Argentina after the World Cup champion was appointed as a civil servant</v>
      </c>
    </row>
    <row r="9927" ht="15.75" customHeight="1">
      <c r="A9927" s="1">
        <v>11162.0</v>
      </c>
      <c r="B9927" s="3" t="s">
        <v>28287</v>
      </c>
      <c r="C9927" s="3">
        <v>0.0</v>
      </c>
      <c r="D9927" s="3">
        <v>0.0</v>
      </c>
      <c r="E9927" s="3">
        <v>0.0</v>
      </c>
      <c r="F9927" s="3" t="s">
        <v>28288</v>
      </c>
      <c r="G9927" s="3">
        <v>0.0</v>
      </c>
      <c r="H9927" s="3">
        <v>0.0</v>
      </c>
      <c r="I9927" s="3" t="s">
        <v>13</v>
      </c>
      <c r="J9927" s="3" t="s">
        <v>28289</v>
      </c>
      <c r="K9927" s="3" t="s">
        <v>71</v>
      </c>
      <c r="L9927" s="3" t="str">
        <f>IFERROR(__xludf.DUMMYFUNCTION("GOOGLETRANSLATE(F9927,""id"",""en"")"),"Messi scored half a goal from Argentina World Cup Qatar brought back the FIFA World Cup championship")</f>
        <v>Messi scored half a goal from Argentina World Cup Qatar brought back the FIFA World Cup championship</v>
      </c>
    </row>
    <row r="9928" ht="15.75" customHeight="1">
      <c r="A9928" s="1">
        <v>11163.0</v>
      </c>
      <c r="B9928" s="3" t="s">
        <v>28290</v>
      </c>
      <c r="C9928" s="3">
        <v>0.0</v>
      </c>
      <c r="D9928" s="3">
        <v>0.0</v>
      </c>
      <c r="E9928" s="3">
        <v>0.0</v>
      </c>
      <c r="F9928" s="3" t="s">
        <v>28288</v>
      </c>
      <c r="G9928" s="3">
        <v>0.0</v>
      </c>
      <c r="H9928" s="3">
        <v>0.0</v>
      </c>
      <c r="I9928" s="3" t="s">
        <v>13</v>
      </c>
      <c r="J9928" s="3" t="s">
        <v>28289</v>
      </c>
      <c r="K9928" s="3" t="s">
        <v>71</v>
      </c>
      <c r="L9928" s="3" t="str">
        <f>IFERROR(__xludf.DUMMYFUNCTION("GOOGLETRANSLATE(F9928,""id"",""en"")"),"Messi scored half a goal from Argentina World Cup Qatar brought back the FIFA World Cup championship")</f>
        <v>Messi scored half a goal from Argentina World Cup Qatar brought back the FIFA World Cup championship</v>
      </c>
    </row>
    <row r="9929" ht="15.75" customHeight="1">
      <c r="A9929" s="1">
        <v>11164.0</v>
      </c>
      <c r="B9929" s="3" t="s">
        <v>28291</v>
      </c>
      <c r="C9929" s="3">
        <v>0.0</v>
      </c>
      <c r="D9929" s="3">
        <v>0.0</v>
      </c>
      <c r="E9929" s="3">
        <v>0.0</v>
      </c>
      <c r="F9929" s="3" t="s">
        <v>28288</v>
      </c>
      <c r="G9929" s="3">
        <v>0.0</v>
      </c>
      <c r="H9929" s="3">
        <v>0.0</v>
      </c>
      <c r="I9929" s="3" t="s">
        <v>13</v>
      </c>
      <c r="J9929" s="3" t="s">
        <v>28289</v>
      </c>
      <c r="K9929" s="3" t="s">
        <v>71</v>
      </c>
      <c r="L9929" s="3" t="str">
        <f>IFERROR(__xludf.DUMMYFUNCTION("GOOGLETRANSLATE(F9929,""id"",""en"")"),"Messi scored half a goal from Argentina World Cup Qatar brought back the FIFA World Cup championship")</f>
        <v>Messi scored half a goal from Argentina World Cup Qatar brought back the FIFA World Cup championship</v>
      </c>
    </row>
    <row r="9930" ht="15.75" customHeight="1">
      <c r="A9930" s="1">
        <v>11165.0</v>
      </c>
      <c r="B9930" s="3" t="s">
        <v>28292</v>
      </c>
      <c r="C9930" s="3">
        <v>0.0</v>
      </c>
      <c r="D9930" s="3">
        <v>0.0</v>
      </c>
      <c r="E9930" s="3">
        <v>0.0</v>
      </c>
      <c r="F9930" s="3" t="s">
        <v>28288</v>
      </c>
      <c r="G9930" s="3">
        <v>0.0</v>
      </c>
      <c r="H9930" s="3">
        <v>0.0</v>
      </c>
      <c r="I9930" s="3" t="s">
        <v>13</v>
      </c>
      <c r="J9930" s="3" t="s">
        <v>28289</v>
      </c>
      <c r="K9930" s="3" t="s">
        <v>71</v>
      </c>
      <c r="L9930" s="3" t="str">
        <f>IFERROR(__xludf.DUMMYFUNCTION("GOOGLETRANSLATE(F9930,""id"",""en"")"),"Messi scored half a goal from Argentina World Cup Qatar brought back the FIFA World Cup championship")</f>
        <v>Messi scored half a goal from Argentina World Cup Qatar brought back the FIFA World Cup championship</v>
      </c>
    </row>
    <row r="9931" ht="15.75" customHeight="1">
      <c r="A9931" s="1">
        <v>11166.0</v>
      </c>
      <c r="B9931" s="3" t="s">
        <v>28293</v>
      </c>
      <c r="C9931" s="3">
        <v>0.0</v>
      </c>
      <c r="D9931" s="3">
        <v>1.0</v>
      </c>
      <c r="E9931" s="3">
        <v>0.0</v>
      </c>
      <c r="F9931" s="3" t="s">
        <v>28294</v>
      </c>
      <c r="G9931" s="3">
        <v>0.0</v>
      </c>
      <c r="H9931" s="3">
        <v>0.0</v>
      </c>
      <c r="I9931" s="3" t="s">
        <v>13</v>
      </c>
      <c r="J9931" s="3" t="s">
        <v>28295</v>
      </c>
      <c r="K9931" s="3" t="s">
        <v>31</v>
      </c>
      <c r="L9931" s="3" t="str">
        <f>IFERROR(__xludf.DUMMYFUNCTION("GOOGLETRANSLATE(F9931,""id"",""en"")"),"The reason for Argentina is the World Cup championship")</f>
        <v>The reason for Argentina is the World Cup championship</v>
      </c>
    </row>
    <row r="9932" ht="15.75" customHeight="1">
      <c r="A9932" s="1">
        <v>11167.0</v>
      </c>
      <c r="B9932" s="3" t="s">
        <v>28296</v>
      </c>
      <c r="C9932" s="3">
        <v>0.0</v>
      </c>
      <c r="D9932" s="3">
        <v>0.0</v>
      </c>
      <c r="E9932" s="3">
        <v>0.0</v>
      </c>
      <c r="F9932" s="3" t="s">
        <v>28288</v>
      </c>
      <c r="G9932" s="3">
        <v>0.0</v>
      </c>
      <c r="H9932" s="3">
        <v>0.0</v>
      </c>
      <c r="I9932" s="3" t="s">
        <v>13</v>
      </c>
      <c r="J9932" s="3" t="s">
        <v>28289</v>
      </c>
      <c r="K9932" s="3" t="s">
        <v>71</v>
      </c>
      <c r="L9932" s="3" t="str">
        <f>IFERROR(__xludf.DUMMYFUNCTION("GOOGLETRANSLATE(F9932,""id"",""en"")"),"Messi scored half a goal from Argentina World Cup Qatar brought back the FIFA World Cup championship")</f>
        <v>Messi scored half a goal from Argentina World Cup Qatar brought back the FIFA World Cup championship</v>
      </c>
    </row>
    <row r="9933" ht="15.75" customHeight="1">
      <c r="A9933" s="1">
        <v>11168.0</v>
      </c>
      <c r="B9933" s="3" t="s">
        <v>28297</v>
      </c>
      <c r="C9933" s="3">
        <v>0.0</v>
      </c>
      <c r="D9933" s="3">
        <v>0.0</v>
      </c>
      <c r="E9933" s="3">
        <v>0.0</v>
      </c>
      <c r="F9933" s="3" t="s">
        <v>28288</v>
      </c>
      <c r="G9933" s="3">
        <v>0.0</v>
      </c>
      <c r="H9933" s="3">
        <v>0.0</v>
      </c>
      <c r="I9933" s="3" t="s">
        <v>13</v>
      </c>
      <c r="J9933" s="3" t="s">
        <v>28289</v>
      </c>
      <c r="K9933" s="3" t="s">
        <v>71</v>
      </c>
      <c r="L9933" s="3" t="str">
        <f>IFERROR(__xludf.DUMMYFUNCTION("GOOGLETRANSLATE(F9933,""id"",""en"")"),"Messi scored half a goal from Argentina World Cup Qatar brought back the FIFA World Cup championship")</f>
        <v>Messi scored half a goal from Argentina World Cup Qatar brought back the FIFA World Cup championship</v>
      </c>
    </row>
    <row r="9934" ht="15.75" customHeight="1">
      <c r="A9934" s="1">
        <v>11169.0</v>
      </c>
      <c r="B9934" s="3" t="s">
        <v>28298</v>
      </c>
      <c r="C9934" s="3">
        <v>0.0</v>
      </c>
      <c r="D9934" s="3">
        <v>1.0</v>
      </c>
      <c r="E9934" s="3">
        <v>0.0</v>
      </c>
      <c r="F9934" s="3" t="s">
        <v>28299</v>
      </c>
      <c r="G9934" s="3">
        <v>0.0</v>
      </c>
      <c r="H9934" s="3">
        <v>0.0</v>
      </c>
      <c r="I9934" s="3" t="s">
        <v>13</v>
      </c>
      <c r="J9934" s="3" t="s">
        <v>28300</v>
      </c>
      <c r="K9934" s="3" t="s">
        <v>520</v>
      </c>
      <c r="L9934" s="3" t="str">
        <f>IFERROR(__xludf.DUMMYFUNCTION("GOOGLETRANSLATE(F9934,""id"",""en"")"),"Genius scaloni he proves Argentina can appear attacking the ball with a fast circulation of the ball but he is aware that he always appears not to make a champion")</f>
        <v>Genius scaloni he proves Argentina can appear attacking the ball with a fast circulation of the ball but he is aware that he always appears not to make a champion</v>
      </c>
    </row>
    <row r="9935" ht="15.75" customHeight="1">
      <c r="A9935" s="1">
        <v>11170.0</v>
      </c>
      <c r="B9935" s="3" t="s">
        <v>28301</v>
      </c>
      <c r="C9935" s="3">
        <v>0.0</v>
      </c>
      <c r="D9935" s="3">
        <v>0.0</v>
      </c>
      <c r="E9935" s="3">
        <v>0.0</v>
      </c>
      <c r="F9935" s="3" t="s">
        <v>28302</v>
      </c>
      <c r="G9935" s="3">
        <v>0.0</v>
      </c>
      <c r="H9935" s="3">
        <v>0.0</v>
      </c>
      <c r="I9935" s="3" t="s">
        <v>13</v>
      </c>
      <c r="J9935" s="3" t="s">
        <v>28303</v>
      </c>
      <c r="K9935" s="3" t="s">
        <v>54</v>
      </c>
      <c r="L9935" s="3" t="str">
        <f>IFERROR(__xludf.DUMMYFUNCTION("GOOGLETRANSLATE(F9935,""id"",""en"")"),"Messi wants to continue to defend Argentina as a world champion")</f>
        <v>Messi wants to continue to defend Argentina as a world champion</v>
      </c>
    </row>
    <row r="9936" ht="15.75" customHeight="1">
      <c r="A9936" s="1">
        <v>11171.0</v>
      </c>
      <c r="B9936" s="3" t="s">
        <v>28304</v>
      </c>
      <c r="C9936" s="3">
        <v>0.0</v>
      </c>
      <c r="D9936" s="3">
        <v>0.0</v>
      </c>
      <c r="E9936" s="3">
        <v>0.0</v>
      </c>
      <c r="F9936" s="3" t="s">
        <v>28305</v>
      </c>
      <c r="G9936" s="3">
        <v>0.0</v>
      </c>
      <c r="H9936" s="3">
        <v>0.0</v>
      </c>
      <c r="I9936" s="3" t="s">
        <v>13</v>
      </c>
      <c r="J9936" s="3" t="s">
        <v>28306</v>
      </c>
      <c r="K9936" s="3" t="s">
        <v>31</v>
      </c>
      <c r="L9936" s="3" t="str">
        <f>IFERROR(__xludf.DUMMYFUNCTION("GOOGLETRANSLATE(F9936,""id"",""en"")"),"Believe me FIFA wants only Argentina to win")</f>
        <v>Believe me FIFA wants only Argentina to win</v>
      </c>
    </row>
    <row r="9937" ht="15.75" customHeight="1">
      <c r="A9937" s="1">
        <v>11172.0</v>
      </c>
      <c r="B9937" s="3" t="s">
        <v>28307</v>
      </c>
      <c r="C9937" s="3">
        <v>0.0</v>
      </c>
      <c r="D9937" s="3">
        <v>0.0</v>
      </c>
      <c r="E9937" s="3">
        <v>0.0</v>
      </c>
      <c r="F9937" s="3" t="s">
        <v>28308</v>
      </c>
      <c r="G9937" s="3">
        <v>0.0</v>
      </c>
      <c r="H9937" s="3">
        <v>0.0</v>
      </c>
      <c r="I9937" s="3" t="s">
        <v>13</v>
      </c>
      <c r="J9937" s="3" t="s">
        <v>28309</v>
      </c>
      <c r="K9937" s="3" t="s">
        <v>244</v>
      </c>
      <c r="L9937" s="3" t="str">
        <f>IFERROR(__xludf.DUMMYFUNCTION("GOOGLETRANSLATE(F9937,""id"",""en"")"),"Argentina team if the trophy champion and prize are taken by school or not")</f>
        <v>Argentina team if the trophy champion and prize are taken by school or not</v>
      </c>
    </row>
    <row r="9938" ht="15.75" customHeight="1">
      <c r="A9938" s="1">
        <v>11173.0</v>
      </c>
      <c r="B9938" s="3" t="s">
        <v>28310</v>
      </c>
      <c r="C9938" s="3">
        <v>0.0</v>
      </c>
      <c r="D9938" s="3">
        <v>0.0</v>
      </c>
      <c r="E9938" s="3">
        <v>0.0</v>
      </c>
      <c r="F9938" s="3" t="s">
        <v>28311</v>
      </c>
      <c r="G9938" s="3">
        <v>0.0</v>
      </c>
      <c r="H9938" s="3">
        <v>0.0</v>
      </c>
      <c r="I9938" s="3" t="s">
        <v>13</v>
      </c>
      <c r="J9938" s="3" t="s">
        <v>28312</v>
      </c>
      <c r="K9938" s="3" t="s">
        <v>90</v>
      </c>
      <c r="L9938" s="3" t="str">
        <f>IFERROR(__xludf.DUMMYFUNCTION("GOOGLETRANSLATE(F9938,""id"",""en"")"),"Not only celebrating Argentina's victory as the champion of the FIFA World Cup also gave a series of awards to the players and teams that have shown the best performance of this most prestigious event")</f>
        <v>Not only celebrating Argentina's victory as the champion of the FIFA World Cup also gave a series of awards to the players and teams that have shown the best performance of this most prestigious event</v>
      </c>
    </row>
    <row r="9939" ht="15.75" customHeight="1">
      <c r="A9939" s="1">
        <v>11174.0</v>
      </c>
      <c r="B9939" s="3" t="s">
        <v>28313</v>
      </c>
      <c r="C9939" s="3">
        <v>0.0</v>
      </c>
      <c r="D9939" s="3">
        <v>0.0</v>
      </c>
      <c r="E9939" s="3">
        <v>0.0</v>
      </c>
      <c r="F9939" s="3" t="s">
        <v>28314</v>
      </c>
      <c r="G9939" s="3">
        <v>0.0</v>
      </c>
      <c r="H9939" s="3">
        <v>0.0</v>
      </c>
      <c r="I9939" s="3" t="s">
        <v>13</v>
      </c>
      <c r="J9939" s="3" t="s">
        <v>28315</v>
      </c>
      <c r="K9939" s="3" t="s">
        <v>41</v>
      </c>
      <c r="L9939" s="3" t="str">
        <f>IFERROR(__xludf.DUMMYFUNCTION("GOOGLETRANSLATE(F9939,""id"",""en"")"),"This is Bini Messi if Ronaldo's girlfriend is not happy that Argentina is a world champion")</f>
        <v>This is Bini Messi if Ronaldo's girlfriend is not happy that Argentina is a world champion</v>
      </c>
    </row>
    <row r="9940" ht="15.75" customHeight="1">
      <c r="A9940" s="1">
        <v>11175.0</v>
      </c>
      <c r="B9940" s="3" t="s">
        <v>28316</v>
      </c>
      <c r="C9940" s="3">
        <v>1.0</v>
      </c>
      <c r="D9940" s="3">
        <v>3.0</v>
      </c>
      <c r="E9940" s="3">
        <v>14.0</v>
      </c>
      <c r="F9940" s="3" t="s">
        <v>28317</v>
      </c>
      <c r="G9940" s="3">
        <v>0.0</v>
      </c>
      <c r="H9940" s="3">
        <v>0.0</v>
      </c>
      <c r="I9940" s="3" t="s">
        <v>13</v>
      </c>
      <c r="J9940" s="3" t="s">
        <v>28318</v>
      </c>
      <c r="K9940" s="3" t="s">
        <v>1293</v>
      </c>
      <c r="L9940" s="3" t="str">
        <f>IFERROR(__xludf.DUMMYFUNCTION("GOOGLETRANSLATE(F9940,""id"",""en"")"),"Argentina won the World Cup now Adidas admitted that he was overwhelmed by the Argentine jersey request that was so great that detikers had yet")</f>
        <v>Argentina won the World Cup now Adidas admitted that he was overwhelmed by the Argentine jersey request that was so great that detikers had yet</v>
      </c>
    </row>
    <row r="9941" ht="15.75" customHeight="1">
      <c r="A9941" s="1">
        <v>11176.0</v>
      </c>
      <c r="B9941" s="3" t="s">
        <v>28319</v>
      </c>
      <c r="C9941" s="3">
        <v>0.0</v>
      </c>
      <c r="D9941" s="3">
        <v>0.0</v>
      </c>
      <c r="E9941" s="3">
        <v>0.0</v>
      </c>
      <c r="F9941" s="3" t="s">
        <v>28320</v>
      </c>
      <c r="G9941" s="3">
        <v>0.0</v>
      </c>
      <c r="H9941" s="3">
        <v>0.0</v>
      </c>
      <c r="I9941" s="3" t="s">
        <v>13</v>
      </c>
      <c r="J9941" s="3" t="s">
        <v>28321</v>
      </c>
      <c r="K9941" s="3" t="s">
        <v>50</v>
      </c>
      <c r="L9941" s="3" t="str">
        <f>IFERROR(__xludf.DUMMYFUNCTION("GOOGLETRANSLATE(F9941,""id"",""en"")"),"And later in the future when asked by reporters at that time me and the team managed to deliver Argentina champions lhoo")</f>
        <v>And later in the future when asked by reporters at that time me and the team managed to deliver Argentina champions lhoo</v>
      </c>
    </row>
    <row r="9942" ht="15.75" customHeight="1">
      <c r="A9942" s="1">
        <v>11177.0</v>
      </c>
      <c r="B9942" s="3" t="s">
        <v>28322</v>
      </c>
      <c r="C9942" s="3">
        <v>1.0</v>
      </c>
      <c r="D9942" s="3">
        <v>0.0</v>
      </c>
      <c r="E9942" s="3">
        <v>0.0</v>
      </c>
      <c r="F9942" s="3" t="s">
        <v>28323</v>
      </c>
      <c r="G9942" s="3">
        <v>0.0</v>
      </c>
      <c r="H9942" s="3">
        <v>0.0</v>
      </c>
      <c r="I9942" s="3" t="s">
        <v>13</v>
      </c>
      <c r="J9942" s="3" t="s">
        <v>28324</v>
      </c>
      <c r="K9942" s="3" t="s">
        <v>50</v>
      </c>
      <c r="L9942" s="3" t="str">
        <f>IFERROR(__xludf.DUMMYFUNCTION("GOOGLETRANSLATE(F9942,""id"",""en"")"),"Argentina champions are also stupid if overproud is thought to have a map only Indo only")</f>
        <v>Argentina champions are also stupid if overproud is thought to have a map only Indo only</v>
      </c>
    </row>
    <row r="9943" ht="15.75" customHeight="1">
      <c r="A9943" s="1">
        <v>11178.0</v>
      </c>
      <c r="B9943" s="3" t="s">
        <v>28325</v>
      </c>
      <c r="C9943" s="3">
        <v>0.0</v>
      </c>
      <c r="D9943" s="3">
        <v>0.0</v>
      </c>
      <c r="E9943" s="3">
        <v>1.0</v>
      </c>
      <c r="F9943" s="3" t="s">
        <v>28326</v>
      </c>
      <c r="G9943" s="3">
        <v>0.0</v>
      </c>
      <c r="H9943" s="3">
        <v>0.0</v>
      </c>
      <c r="I9943" s="3" t="s">
        <v>13</v>
      </c>
      <c r="J9943" s="3" t="s">
        <v>28327</v>
      </c>
      <c r="K9943" s="3" t="s">
        <v>75</v>
      </c>
      <c r="L9943" s="3" t="str">
        <f>IFERROR(__xludf.DUMMYFUNCTION("GOOGLETRANSLATE(F9943,""id"",""en"")"),"Three Determining Factors Argentina Podium Champion and Messi Legitimate To Be a Goat")</f>
        <v>Three Determining Factors Argentina Podium Champion and Messi Legitimate To Be a Goat</v>
      </c>
    </row>
    <row r="9944" ht="15.75" customHeight="1">
      <c r="A9944" s="1">
        <v>11179.0</v>
      </c>
      <c r="B9944" s="3" t="s">
        <v>28328</v>
      </c>
      <c r="C9944" s="3">
        <v>0.0</v>
      </c>
      <c r="D9944" s="3">
        <v>1.0</v>
      </c>
      <c r="E9944" s="3">
        <v>1.0</v>
      </c>
      <c r="F9944" s="3" t="s">
        <v>28329</v>
      </c>
      <c r="G9944" s="3">
        <v>0.0</v>
      </c>
      <c r="H9944" s="3">
        <v>0.0</v>
      </c>
      <c r="I9944" s="3" t="s">
        <v>13</v>
      </c>
      <c r="J9944" s="3" t="s">
        <v>28330</v>
      </c>
      <c r="K9944" s="3" t="s">
        <v>41</v>
      </c>
      <c r="L9944" s="3" t="str">
        <f>IFERROR(__xludf.DUMMYFUNCTION("GOOGLETRANSLATE(F9944,""id"",""en"")"),"Messi Plenary Bring Argentina The third World Cup championship")</f>
        <v>Messi Plenary Bring Argentina The third World Cup championship</v>
      </c>
    </row>
    <row r="9945" ht="15.75" customHeight="1">
      <c r="A9945" s="1">
        <v>11180.0</v>
      </c>
      <c r="B9945" s="3" t="s">
        <v>28331</v>
      </c>
      <c r="C9945" s="3">
        <v>0.0</v>
      </c>
      <c r="D9945" s="3">
        <v>0.0</v>
      </c>
      <c r="E9945" s="3">
        <v>0.0</v>
      </c>
      <c r="F9945" s="3" t="s">
        <v>28332</v>
      </c>
      <c r="G9945" s="3">
        <v>0.0</v>
      </c>
      <c r="H9945" s="3">
        <v>0.0</v>
      </c>
      <c r="I9945" s="3" t="s">
        <v>13</v>
      </c>
      <c r="J9945" s="3" t="s">
        <v>28333</v>
      </c>
      <c r="K9945" s="3" t="s">
        <v>240</v>
      </c>
      <c r="L9945" s="3" t="str">
        <f>IFERROR(__xludf.DUMMYFUNCTION("GOOGLETRANSLATE(F9945,""id"",""en"")"),"Argentine national team captain Lionel Messi still does not want to retire from international football after winning the Qatar World Nutmeg title")</f>
        <v>Argentine national team captain Lionel Messi still does not want to retire from international football after winning the Qatar World Nutmeg title</v>
      </c>
    </row>
    <row r="9946" ht="15.75" customHeight="1">
      <c r="A9946" s="1">
        <v>11181.0</v>
      </c>
      <c r="B9946" s="3" t="s">
        <v>28334</v>
      </c>
      <c r="C9946" s="3">
        <v>0.0</v>
      </c>
      <c r="D9946" s="3">
        <v>0.0</v>
      </c>
      <c r="E9946" s="3">
        <v>1.0</v>
      </c>
      <c r="F9946" s="3" t="s">
        <v>28335</v>
      </c>
      <c r="G9946" s="3">
        <v>0.0</v>
      </c>
      <c r="H9946" s="3">
        <v>0.0</v>
      </c>
      <c r="I9946" s="3" t="s">
        <v>13</v>
      </c>
      <c r="J9946" s="3" t="s">
        <v>28336</v>
      </c>
      <c r="K9946" s="3" t="s">
        <v>82</v>
      </c>
      <c r="L9946" s="3" t="str">
        <f>IFERROR(__xludf.DUMMYFUNCTION("GOOGLETRANSLATE(F9946,""id"",""en"")"),"Argentina may be world champion but can still be defeated by Saudi Arabia")</f>
        <v>Argentina may be world champion but can still be defeated by Saudi Arabia</v>
      </c>
    </row>
    <row r="9947" ht="15.75" customHeight="1">
      <c r="A9947" s="1">
        <v>11182.0</v>
      </c>
      <c r="B9947" s="3" t="s">
        <v>28337</v>
      </c>
      <c r="C9947" s="3">
        <v>0.0</v>
      </c>
      <c r="D9947" s="3">
        <v>0.0</v>
      </c>
      <c r="E9947" s="3">
        <v>0.0</v>
      </c>
      <c r="F9947" s="3" t="s">
        <v>28338</v>
      </c>
      <c r="G9947" s="3">
        <v>0.0</v>
      </c>
      <c r="H9947" s="3">
        <v>0.0</v>
      </c>
      <c r="I9947" s="3" t="s">
        <v>13</v>
      </c>
      <c r="J9947" s="3" t="s">
        <v>28339</v>
      </c>
      <c r="K9947" s="3" t="s">
        <v>19</v>
      </c>
      <c r="L9947" s="3" t="str">
        <f>IFERROR(__xludf.DUMMYFUNCTION("GOOGLETRANSLATE(F9947,""id"",""en"")"),"How many Argentina prizes after the CNN Indonesia World Cup Champion Google News Sports News")</f>
        <v>How many Argentina prizes after the CNN Indonesia World Cup Champion Google News Sports News</v>
      </c>
    </row>
    <row r="9948" ht="15.75" customHeight="1">
      <c r="A9948" s="1">
        <v>11183.0</v>
      </c>
      <c r="B9948" s="3" t="s">
        <v>28340</v>
      </c>
      <c r="C9948" s="3">
        <v>0.0</v>
      </c>
      <c r="D9948" s="3">
        <v>0.0</v>
      </c>
      <c r="E9948" s="3">
        <v>0.0</v>
      </c>
      <c r="F9948" s="3" t="s">
        <v>28341</v>
      </c>
      <c r="G9948" s="3">
        <v>0.0</v>
      </c>
      <c r="H9948" s="3">
        <v>0.0</v>
      </c>
      <c r="I9948" s="3" t="s">
        <v>13</v>
      </c>
      <c r="J9948" s="3" t="s">
        <v>28342</v>
      </c>
      <c r="K9948" s="3" t="s">
        <v>82</v>
      </c>
      <c r="L9948" s="3" t="str">
        <f>IFERROR(__xludf.DUMMYFUNCTION("GOOGLETRANSLATE(F9948,""id"",""en"")"),"Argentina This world champion is a prize that will be brought by Beritasatu players")</f>
        <v>Argentina This world champion is a prize that will be brought by Beritasatu players</v>
      </c>
    </row>
    <row r="9949" ht="15.75" customHeight="1">
      <c r="A9949" s="1">
        <v>11184.0</v>
      </c>
      <c r="B9949" s="3" t="s">
        <v>28343</v>
      </c>
      <c r="C9949" s="3">
        <v>0.0</v>
      </c>
      <c r="D9949" s="3">
        <v>0.0</v>
      </c>
      <c r="E9949" s="3">
        <v>0.0</v>
      </c>
      <c r="F9949" s="3" t="s">
        <v>28344</v>
      </c>
      <c r="G9949" s="3">
        <v>0.0</v>
      </c>
      <c r="H9949" s="3">
        <v>0.0</v>
      </c>
      <c r="I9949" s="3" t="s">
        <v>13</v>
      </c>
      <c r="J9949" s="3" t="s">
        <v>28345</v>
      </c>
      <c r="K9949" s="3" t="s">
        <v>75</v>
      </c>
      <c r="L9949" s="3" t="str">
        <f>IFERROR(__xludf.DUMMYFUNCTION("GOOGLETRANSLATE(F9949,""id"",""en"")"),"Argentina Champion only can be a hoarse only anjirrrrrrr but why is it important champion")</f>
        <v>Argentina Champion only can be a hoarse only anjirrrrrrr but why is it important champion</v>
      </c>
    </row>
    <row r="9950" ht="15.75" customHeight="1">
      <c r="A9950" s="1">
        <v>11185.0</v>
      </c>
      <c r="B9950" s="3" t="s">
        <v>28346</v>
      </c>
      <c r="C9950" s="3">
        <v>0.0</v>
      </c>
      <c r="D9950" s="3">
        <v>0.0</v>
      </c>
      <c r="E9950" s="3">
        <v>0.0</v>
      </c>
      <c r="F9950" s="3" t="s">
        <v>28347</v>
      </c>
      <c r="G9950" s="3">
        <v>0.0</v>
      </c>
      <c r="H9950" s="3">
        <v>0.0</v>
      </c>
      <c r="I9950" s="3" t="s">
        <v>13</v>
      </c>
      <c r="J9950" s="3" t="s">
        <v>28348</v>
      </c>
      <c r="K9950" s="3" t="s">
        <v>58</v>
      </c>
      <c r="L9950" s="3" t="str">
        <f>IFERROR(__xludf.DUMMYFUNCTION("GOOGLETRANSLATE(F9950,""id"",""en"")"),"Happy Argentina Argentina won the Qatar World Cup after defeating France Penalties")</f>
        <v>Happy Argentina Argentina won the Qatar World Cup after defeating France Penalties</v>
      </c>
    </row>
    <row r="9951" ht="15.75" customHeight="1">
      <c r="A9951" s="1">
        <v>11186.0</v>
      </c>
      <c r="B9951" s="3" t="s">
        <v>28349</v>
      </c>
      <c r="C9951" s="3">
        <v>2.0</v>
      </c>
      <c r="D9951" s="3">
        <v>0.0</v>
      </c>
      <c r="E9951" s="3">
        <v>0.0</v>
      </c>
      <c r="F9951" s="3" t="s">
        <v>28350</v>
      </c>
      <c r="G9951" s="3">
        <v>0.0</v>
      </c>
      <c r="H9951" s="3">
        <v>0.0</v>
      </c>
      <c r="I9951" s="3" t="s">
        <v>13</v>
      </c>
      <c r="J9951" s="3" t="s">
        <v>28351</v>
      </c>
      <c r="K9951" s="3" t="s">
        <v>437</v>
      </c>
      <c r="L9951" s="3" t="str">
        <f>IFERROR(__xludf.DUMMYFUNCTION("GOOGLETRANSLATE(F9951,""id"",""en"")"),"Fratnolo wants Argentina to medioker players from the middle of nowhere if the unity of the team and the manager of the player championship is the tournament.")</f>
        <v>Fratnolo wants Argentina to medioker players from the middle of nowhere if the unity of the team and the manager of the player championship is the tournament.</v>
      </c>
    </row>
    <row r="9952" ht="15.75" customHeight="1">
      <c r="A9952" s="1">
        <v>11187.0</v>
      </c>
      <c r="B9952" s="3" t="s">
        <v>28352</v>
      </c>
      <c r="C9952" s="3">
        <v>1.0</v>
      </c>
      <c r="D9952" s="3">
        <v>0.0</v>
      </c>
      <c r="E9952" s="3">
        <v>0.0</v>
      </c>
      <c r="F9952" s="3" t="s">
        <v>28353</v>
      </c>
      <c r="G9952" s="3">
        <v>0.0</v>
      </c>
      <c r="H9952" s="3">
        <v>0.0</v>
      </c>
      <c r="I9952" s="3" t="s">
        <v>13</v>
      </c>
      <c r="J9952" s="3" t="s">
        <v>28354</v>
      </c>
      <c r="K9952" s="3" t="s">
        <v>16529</v>
      </c>
      <c r="L9952" s="3" t="str">
        <f>IFERROR(__xludf.DUMMYFUNCTION("GOOGLETRANSLATE(F9952,""id"",""en"")"),"Argentina Champion French World Cup Saudi Arabia Defeated Argentina The early match of the Argentine Saudi Arabian World Cup")</f>
        <v>Argentina Champion French World Cup Saudi Arabia Defeated Argentina The early match of the Argentine Saudi Arabian World Cup</v>
      </c>
    </row>
    <row r="9953" ht="15.75" customHeight="1">
      <c r="A9953" s="1">
        <v>11188.0</v>
      </c>
      <c r="B9953" s="3" t="s">
        <v>28355</v>
      </c>
      <c r="C9953" s="3">
        <v>0.0</v>
      </c>
      <c r="D9953" s="3">
        <v>0.0</v>
      </c>
      <c r="E9953" s="3">
        <v>0.0</v>
      </c>
      <c r="F9953" s="3" t="s">
        <v>28356</v>
      </c>
      <c r="G9953" s="3">
        <v>0.0</v>
      </c>
      <c r="H9953" s="3">
        <v>0.0</v>
      </c>
      <c r="I9953" s="3" t="s">
        <v>13</v>
      </c>
      <c r="J9953" s="3" t="s">
        <v>28357</v>
      </c>
      <c r="K9953" s="3" t="s">
        <v>2907</v>
      </c>
      <c r="L9953" s="3" t="str">
        <f>IFERROR(__xludf.DUMMYFUNCTION("GOOGLETRANSLATE(F9953,""id"",""en"")"),"Saudi Arabia champions really because he was able to make Argentina the champion survived for Argentina and France")</f>
        <v>Saudi Arabia champions really because he was able to make Argentina the champion survived for Argentina and France</v>
      </c>
    </row>
    <row r="9954" ht="15.75" customHeight="1">
      <c r="A9954" s="1">
        <v>11189.0</v>
      </c>
      <c r="B9954" s="3" t="s">
        <v>28358</v>
      </c>
      <c r="C9954" s="3">
        <v>0.0</v>
      </c>
      <c r="D9954" s="3">
        <v>0.0</v>
      </c>
      <c r="E9954" s="3">
        <v>0.0</v>
      </c>
      <c r="F9954" s="3" t="s">
        <v>28359</v>
      </c>
      <c r="G9954" s="3">
        <v>0.0</v>
      </c>
      <c r="H9954" s="3">
        <v>0.0</v>
      </c>
      <c r="I9954" s="3" t="s">
        <v>13</v>
      </c>
      <c r="J9954" s="3" t="s">
        <v>28360</v>
      </c>
      <c r="K9954" s="3" t="s">
        <v>6592</v>
      </c>
      <c r="L9954" s="3" t="str">
        <f>IFERROR(__xludf.DUMMYFUNCTION("GOOGLETRANSLATE(F9954,""id"",""en"")"),"Lunch before Argentina Champion after Argentina Champion")</f>
        <v>Lunch before Argentina Champion after Argentina Champion</v>
      </c>
    </row>
    <row r="9955" ht="15.75" customHeight="1">
      <c r="A9955" s="1">
        <v>11190.0</v>
      </c>
      <c r="B9955" s="3" t="s">
        <v>28361</v>
      </c>
      <c r="C9955" s="3">
        <v>1.0</v>
      </c>
      <c r="D9955" s="3">
        <v>2.0</v>
      </c>
      <c r="E9955" s="3">
        <v>22.0</v>
      </c>
      <c r="F9955" s="3" t="s">
        <v>28362</v>
      </c>
      <c r="G9955" s="3">
        <v>0.0</v>
      </c>
      <c r="H9955" s="3">
        <v>0.0</v>
      </c>
      <c r="I9955" s="3" t="s">
        <v>13</v>
      </c>
      <c r="J9955" s="3" t="s">
        <v>28363</v>
      </c>
      <c r="K9955" s="3" t="s">
        <v>510</v>
      </c>
      <c r="L9955" s="3" t="str">
        <f>IFERROR(__xludf.DUMMYFUNCTION("GOOGLETRANSLATE(F9955,""id"",""en"")"),"Argentine supporters celebrate their team's winning victory after defeating France through the final shootout")</f>
        <v>Argentine supporters celebrate their team's winning victory after defeating France through the final shootout</v>
      </c>
    </row>
    <row r="9956" ht="15.75" customHeight="1">
      <c r="A9956" s="1">
        <v>11191.0</v>
      </c>
      <c r="B9956" s="3" t="s">
        <v>28364</v>
      </c>
      <c r="C9956" s="3">
        <v>0.0</v>
      </c>
      <c r="D9956" s="3">
        <v>0.0</v>
      </c>
      <c r="E9956" s="3">
        <v>0.0</v>
      </c>
      <c r="F9956" s="3" t="s">
        <v>28365</v>
      </c>
      <c r="G9956" s="3">
        <v>0.0</v>
      </c>
      <c r="H9956" s="3">
        <v>0.0</v>
      </c>
      <c r="I9956" s="3" t="s">
        <v>13</v>
      </c>
      <c r="J9956" s="3" t="s">
        <v>28366</v>
      </c>
      <c r="K9956" s="3" t="s">
        <v>41</v>
      </c>
      <c r="L9956" s="3" t="str">
        <f>IFERROR(__xludf.DUMMYFUNCTION("GOOGLETRANSLATE(F9956,""id"",""en"")"),"Mao, whatever history still records Argentina champions of the World Cup")</f>
        <v>Mao, whatever history still records Argentina champions of the World Cup</v>
      </c>
    </row>
    <row r="9957" ht="15.75" customHeight="1">
      <c r="A9957" s="1">
        <v>11192.0</v>
      </c>
      <c r="B9957" s="3" t="s">
        <v>28367</v>
      </c>
      <c r="C9957" s="3">
        <v>0.0</v>
      </c>
      <c r="D9957" s="3">
        <v>0.0</v>
      </c>
      <c r="E9957" s="3">
        <v>2.0</v>
      </c>
      <c r="F9957" s="3" t="s">
        <v>28368</v>
      </c>
      <c r="G9957" s="3">
        <v>0.3333333333333333</v>
      </c>
      <c r="H9957" s="3">
        <v>0.1666666666666667</v>
      </c>
      <c r="I9957" s="3" t="s">
        <v>48</v>
      </c>
      <c r="J9957" s="3" t="s">
        <v>28369</v>
      </c>
      <c r="K9957" s="3" t="s">
        <v>41</v>
      </c>
      <c r="L9957" s="3" t="str">
        <f>IFERROR(__xludf.DUMMYFUNCTION("GOOGLETRANSLATE(F9957,""id"",""en"")"),"Paulo Dybala Playing Only Minutes Immediately Bring Argentina Champion")</f>
        <v>Paulo Dybala Playing Only Minutes Immediately Bring Argentina Champion</v>
      </c>
    </row>
    <row r="9958" ht="15.75" customHeight="1">
      <c r="A9958" s="1">
        <v>11193.0</v>
      </c>
      <c r="B9958" s="3" t="s">
        <v>28370</v>
      </c>
      <c r="C9958" s="3">
        <v>0.0</v>
      </c>
      <c r="D9958" s="3">
        <v>0.0</v>
      </c>
      <c r="E9958" s="3">
        <v>0.0</v>
      </c>
      <c r="F9958" s="3" t="s">
        <v>28371</v>
      </c>
      <c r="G9958" s="3">
        <v>0.0</v>
      </c>
      <c r="H9958" s="3">
        <v>0.0</v>
      </c>
      <c r="I9958" s="3" t="s">
        <v>13</v>
      </c>
      <c r="J9958" s="3" t="s">
        <v>28372</v>
      </c>
      <c r="K9958" s="3" t="s">
        <v>215</v>
      </c>
      <c r="L9958" s="3" t="str">
        <f>IFERROR(__xludf.DUMMYFUNCTION("GOOGLETRANSLATE(F9958,""id"",""en"")"),"Just order a bitter coffee so that it is strong in her eyes when you drink, you know how sweet, I still forget to still carry a sweet atmosphere last night Argentina champions World Cup Qatar Happy Monday Monday")</f>
        <v>Just order a bitter coffee so that it is strong in her eyes when you drink, you know how sweet, I still forget to still carry a sweet atmosphere last night Argentina champions World Cup Qatar Happy Monday Monday</v>
      </c>
    </row>
    <row r="9959" ht="15.75" customHeight="1">
      <c r="A9959" s="1">
        <v>11194.0</v>
      </c>
      <c r="B9959" s="3" t="s">
        <v>28373</v>
      </c>
      <c r="C9959" s="3">
        <v>1.0</v>
      </c>
      <c r="D9959" s="3">
        <v>0.0</v>
      </c>
      <c r="E9959" s="3">
        <v>0.0</v>
      </c>
      <c r="F9959" s="3" t="s">
        <v>28374</v>
      </c>
      <c r="G9959" s="3">
        <v>0.4</v>
      </c>
      <c r="H9959" s="3">
        <v>0.2</v>
      </c>
      <c r="I9959" s="3" t="s">
        <v>48</v>
      </c>
      <c r="J9959" s="3" t="s">
        <v>28375</v>
      </c>
      <c r="K9959" s="3" t="s">
        <v>82</v>
      </c>
      <c r="L9959" s="3" t="str">
        <f>IFERROR(__xludf.DUMMYFUNCTION("GOOGLETRANSLATE(F9959,""id"",""en"")"),"Yes, if it's already set, why is Argentina not champion from and surely they can't answer hahaha")</f>
        <v>Yes, if it's already set, why is Argentina not champion from and surely they can't answer hahaha</v>
      </c>
    </row>
    <row r="9960" ht="15.75" customHeight="1">
      <c r="A9960" s="1">
        <v>11195.0</v>
      </c>
      <c r="B9960" s="3" t="s">
        <v>28376</v>
      </c>
      <c r="C9960" s="3">
        <v>0.0</v>
      </c>
      <c r="D9960" s="3">
        <v>0.0</v>
      </c>
      <c r="E9960" s="3">
        <v>0.0</v>
      </c>
      <c r="F9960" s="3" t="s">
        <v>28377</v>
      </c>
      <c r="G9960" s="3">
        <v>0.0</v>
      </c>
      <c r="H9960" s="3">
        <v>0.0</v>
      </c>
      <c r="I9960" s="3" t="s">
        <v>13</v>
      </c>
      <c r="J9960" s="3" t="s">
        <v>28378</v>
      </c>
      <c r="K9960" s="3" t="s">
        <v>50</v>
      </c>
      <c r="L9960" s="3" t="str">
        <f>IFERROR(__xludf.DUMMYFUNCTION("GOOGLETRANSLATE(F9960,""id"",""en"")"),"Viral Lumpia Mozarella typical of Argentina is sold to welcome the World Cup champion this time")</f>
        <v>Viral Lumpia Mozarella typical of Argentina is sold to welcome the World Cup champion this time</v>
      </c>
    </row>
    <row r="9961" ht="15.75" customHeight="1">
      <c r="A9961" s="1">
        <v>11196.0</v>
      </c>
      <c r="B9961" s="3" t="s">
        <v>28379</v>
      </c>
      <c r="C9961" s="3">
        <v>3.0</v>
      </c>
      <c r="D9961" s="3">
        <v>0.0</v>
      </c>
      <c r="E9961" s="3">
        <v>0.0</v>
      </c>
      <c r="F9961" s="3" t="s">
        <v>28380</v>
      </c>
      <c r="G9961" s="3">
        <v>0.0</v>
      </c>
      <c r="H9961" s="3">
        <v>0.0</v>
      </c>
      <c r="I9961" s="3" t="s">
        <v>13</v>
      </c>
      <c r="J9961" s="3" t="s">
        <v>28381</v>
      </c>
      <c r="K9961" s="3" t="s">
        <v>54</v>
      </c>
      <c r="L9961" s="3" t="str">
        <f>IFERROR(__xludf.DUMMYFUNCTION("GOOGLETRANSLATE(F9961,""id"",""en"")"),"Jan Gak Lilo I Argentina Champion Cok")</f>
        <v>Jan Gak Lilo I Argentina Champion Cok</v>
      </c>
    </row>
    <row r="9962" ht="15.75" customHeight="1">
      <c r="A9962" s="1">
        <v>11197.0</v>
      </c>
      <c r="B9962" s="3" t="s">
        <v>28382</v>
      </c>
      <c r="C9962" s="3">
        <v>1.0</v>
      </c>
      <c r="D9962" s="3">
        <v>0.0</v>
      </c>
      <c r="E9962" s="3">
        <v>0.0</v>
      </c>
      <c r="F9962" s="3" t="s">
        <v>28383</v>
      </c>
      <c r="G9962" s="3">
        <v>0.0</v>
      </c>
      <c r="H9962" s="3">
        <v>0.0</v>
      </c>
      <c r="I9962" s="3" t="s">
        <v>13</v>
      </c>
      <c r="J9962" s="3" t="s">
        <v>28384</v>
      </c>
      <c r="K9962" s="3" t="s">
        <v>1628</v>
      </c>
      <c r="L9962" s="3" t="str">
        <f>IFERROR(__xludf.DUMMYFUNCTION("GOOGLETRANSLATE(F9962,""id"",""en"")"),"But many say Argentina has set for the champion said that most of them never watching the ball do not understand the ball do not understand the process and struggle of the reference from the short video Tiktok knows for yourself what is the tiktok user")</f>
        <v>But many say Argentina has set for the champion said that most of them never watching the ball do not understand the ball do not understand the process and struggle of the reference from the short video Tiktok knows for yourself what is the tiktok user</v>
      </c>
    </row>
    <row r="9963" ht="15.75" customHeight="1">
      <c r="A9963" s="1">
        <v>11198.0</v>
      </c>
      <c r="B9963" s="3" t="s">
        <v>28385</v>
      </c>
      <c r="C9963" s="3">
        <v>1.0</v>
      </c>
      <c r="D9963" s="3">
        <v>0.0</v>
      </c>
      <c r="E9963" s="3">
        <v>0.0</v>
      </c>
      <c r="F9963" s="3" t="s">
        <v>28386</v>
      </c>
      <c r="G9963" s="3">
        <v>0.0</v>
      </c>
      <c r="H9963" s="3">
        <v>0.0</v>
      </c>
      <c r="I9963" s="3" t="s">
        <v>13</v>
      </c>
      <c r="J9963" s="3" t="s">
        <v>28387</v>
      </c>
      <c r="K9963" s="3" t="s">
        <v>50</v>
      </c>
      <c r="L9963" s="3" t="str">
        <f>IFERROR(__xludf.DUMMYFUNCTION("GOOGLETRANSLATE(F9963,""id"",""en"")"),"Argentina This World Cup Champion Moment Sri Mulyani Wearing Lionel Messi's Shirt")</f>
        <v>Argentina This World Cup Champion Moment Sri Mulyani Wearing Lionel Messi's Shirt</v>
      </c>
    </row>
    <row r="9964" ht="15.75" customHeight="1">
      <c r="A9964" s="1">
        <v>11199.0</v>
      </c>
      <c r="B9964" s="3" t="s">
        <v>28388</v>
      </c>
      <c r="C9964" s="3">
        <v>0.0</v>
      </c>
      <c r="D9964" s="3">
        <v>0.0</v>
      </c>
      <c r="E9964" s="3">
        <v>0.0</v>
      </c>
      <c r="F9964" s="3" t="s">
        <v>28389</v>
      </c>
      <c r="G9964" s="3">
        <v>0.0</v>
      </c>
      <c r="H9964" s="3">
        <v>0.0</v>
      </c>
      <c r="I9964" s="3" t="s">
        <v>13</v>
      </c>
      <c r="J9964" s="3" t="s">
        <v>28390</v>
      </c>
      <c r="K9964" s="3" t="s">
        <v>75</v>
      </c>
      <c r="L9964" s="3" t="str">
        <f>IFERROR(__xludf.DUMMYFUNCTION("GOOGLETRANSLATE(F9964,""id"",""en"")"),"Bring Argentina World Cup Champion Funny Lionel Messi Scattered")</f>
        <v>Bring Argentina World Cup Champion Funny Lionel Messi Scattered</v>
      </c>
    </row>
    <row r="9965" ht="15.75" customHeight="1">
      <c r="A9965" s="1">
        <v>11200.0</v>
      </c>
      <c r="B9965" s="3" t="s">
        <v>28391</v>
      </c>
      <c r="C9965" s="3">
        <v>5.0</v>
      </c>
      <c r="D9965" s="3">
        <v>14.0</v>
      </c>
      <c r="E9965" s="3">
        <v>61.0</v>
      </c>
      <c r="F9965" s="3" t="s">
        <v>28392</v>
      </c>
      <c r="G9965" s="3">
        <v>0.0</v>
      </c>
      <c r="H9965" s="3">
        <v>0.0</v>
      </c>
      <c r="I9965" s="3" t="s">
        <v>13</v>
      </c>
      <c r="J9965" s="3" t="s">
        <v>28393</v>
      </c>
      <c r="K9965" s="3" t="s">
        <v>28394</v>
      </c>
      <c r="L9965" s="3" t="str">
        <f>IFERROR(__xludf.DUMMYFUNCTION("GOOGLETRANSLATE(F9965,""id"",""en"")"),"Predictions of SOE Minister Erick Thohir about who will be the world champion right Pak Erick's prediction if Argentina will be a world champion through a penalty shootout again besides the business champion and take care of the Ministry of SOE Pak Erick "&amp;"is also good at soccer ball")</f>
        <v>Predictions of SOE Minister Erick Thohir about who will be the world champion right Pak Erick's prediction if Argentina will be a world champion through a penalty shootout again besides the business champion and take care of the Ministry of SOE Pak Erick is also good at soccer ball</v>
      </c>
    </row>
    <row r="9966" ht="15.75" customHeight="1">
      <c r="A9966" s="1">
        <v>11201.0</v>
      </c>
      <c r="B9966" s="3" t="s">
        <v>28395</v>
      </c>
      <c r="C9966" s="3">
        <v>1.0</v>
      </c>
      <c r="D9966" s="3">
        <v>0.0</v>
      </c>
      <c r="E9966" s="3">
        <v>0.0</v>
      </c>
      <c r="F9966" s="3" t="s">
        <v>28396</v>
      </c>
      <c r="G9966" s="3">
        <v>1.0</v>
      </c>
      <c r="H9966" s="3">
        <v>0.0</v>
      </c>
      <c r="I9966" s="3" t="s">
        <v>13</v>
      </c>
      <c r="J9966" s="3" t="s">
        <v>28397</v>
      </c>
      <c r="K9966" s="3" t="s">
        <v>1628</v>
      </c>
      <c r="L9966" s="3" t="str">
        <f>IFERROR(__xludf.DUMMYFUNCTION("GOOGLETRANSLATE(F9966,""id"",""en"")"),"Only a hockey guess he was really Argentina champions about why the final date was guessing there was also a reply tweet FIFA had determined the final date of the day before this tweet was in March there was a news")</f>
        <v>Only a hockey guess he was really Argentina champions about why the final date was guessing there was also a reply tweet FIFA had determined the final date of the day before this tweet was in March there was a news</v>
      </c>
    </row>
    <row r="9967" ht="15.75" customHeight="1">
      <c r="A9967" s="1">
        <v>11202.0</v>
      </c>
      <c r="B9967" s="3" t="s">
        <v>28398</v>
      </c>
      <c r="C9967" s="3">
        <v>1.0</v>
      </c>
      <c r="D9967" s="3">
        <v>0.0</v>
      </c>
      <c r="E9967" s="3">
        <v>0.0</v>
      </c>
      <c r="F9967" s="3" t="s">
        <v>28399</v>
      </c>
      <c r="G9967" s="3">
        <v>1.0</v>
      </c>
      <c r="H9967" s="3">
        <v>0.0</v>
      </c>
      <c r="I9967" s="3" t="s">
        <v>13</v>
      </c>
      <c r="J9967" s="3" t="s">
        <v>28400</v>
      </c>
      <c r="K9967" s="3" t="s">
        <v>228</v>
      </c>
      <c r="L9967" s="3" t="str">
        <f>IFERROR(__xludf.DUMMYFUNCTION("GOOGLETRANSLATE(F9967,""id"",""en"")"),"The final when you are the month of Argentina French day won by Argentina via Papa's penalties remain faithful to wait until the year the championship is finally not than the people of Argentina waiting for the old year")</f>
        <v>The final when you are the month of Argentina French day won by Argentina via Papa's penalties remain faithful to wait until the year the championship is finally not than the people of Argentina waiting for the old year</v>
      </c>
    </row>
    <row r="9968" ht="15.75" customHeight="1">
      <c r="A9968" s="1">
        <v>11203.0</v>
      </c>
      <c r="B9968" s="3" t="s">
        <v>28401</v>
      </c>
      <c r="C9968" s="3">
        <v>2.0</v>
      </c>
      <c r="D9968" s="3">
        <v>1.0</v>
      </c>
      <c r="E9968" s="3">
        <v>5.0</v>
      </c>
      <c r="F9968" s="3" t="s">
        <v>28402</v>
      </c>
      <c r="G9968" s="3">
        <v>1.0</v>
      </c>
      <c r="H9968" s="3">
        <v>0.0</v>
      </c>
      <c r="I9968" s="3" t="s">
        <v>13</v>
      </c>
      <c r="J9968" s="3" t="s">
        <v>28403</v>
      </c>
      <c r="K9968" s="3" t="s">
        <v>86</v>
      </c>
      <c r="L9968" s="3" t="str">
        <f>IFERROR(__xludf.DUMMYFUNCTION("GOOGLETRANSLATE(F9968,""id"",""en"")"),"Age of SBY Argentina's best achievements until the quarter -finals then Jokowi Nyapres President became the runner of the Brazilian World Cup, now Mr. Jokowi is still president of Argentina MMPU to win the Qatar World Cup where the last time was embraced.")</f>
        <v>Age of SBY Argentina's best achievements until the quarter -finals then Jokowi Nyapres President became the runner of the Brazilian World Cup, now Mr. Jokowi is still president of Argentina MMPU to win the Qatar World Cup where the last time was embraced.</v>
      </c>
    </row>
    <row r="9969" ht="15.75" customHeight="1">
      <c r="A9969" s="1">
        <v>11204.0</v>
      </c>
      <c r="B9969" s="3" t="s">
        <v>28404</v>
      </c>
      <c r="C9969" s="3">
        <v>0.0</v>
      </c>
      <c r="D9969" s="3">
        <v>0.0</v>
      </c>
      <c r="E9969" s="3">
        <v>0.0</v>
      </c>
      <c r="F9969" s="3" t="s">
        <v>28405</v>
      </c>
      <c r="G9969" s="3">
        <v>0.0</v>
      </c>
      <c r="H9969" s="3">
        <v>0.0</v>
      </c>
      <c r="I9969" s="3" t="s">
        <v>13</v>
      </c>
      <c r="J9969" s="3" t="s">
        <v>28406</v>
      </c>
      <c r="K9969" s="3" t="s">
        <v>236</v>
      </c>
      <c r="L9969" s="3" t="str">
        <f>IFERROR(__xludf.DUMMYFUNCTION("GOOGLETRANSLATE(F9969,""id"",""en"")"),"Taehyun saw Argentina champions like Moa see Txt winning award")</f>
        <v>Taehyun saw Argentina champions like Moa see Txt winning award</v>
      </c>
    </row>
    <row r="9970" ht="15.75" customHeight="1">
      <c r="A9970" s="1">
        <v>11205.0</v>
      </c>
      <c r="B9970" s="3" t="s">
        <v>28407</v>
      </c>
      <c r="C9970" s="3">
        <v>0.0</v>
      </c>
      <c r="D9970" s="3">
        <v>0.0</v>
      </c>
      <c r="E9970" s="3">
        <v>1.0</v>
      </c>
      <c r="F9970" s="3" t="s">
        <v>28408</v>
      </c>
      <c r="G9970" s="3">
        <v>0.0</v>
      </c>
      <c r="H9970" s="3">
        <v>0.0</v>
      </c>
      <c r="I9970" s="3" t="s">
        <v>13</v>
      </c>
      <c r="J9970" s="3" t="s">
        <v>28409</v>
      </c>
      <c r="K9970" s="3" t="s">
        <v>244</v>
      </c>
      <c r="L9970" s="3" t="str">
        <f>IFERROR(__xludf.DUMMYFUNCTION("GOOGLETRANSLATE(F9970,""id"",""en"")"),"The first day of Argentina World Cup champions were bored with Santen Santen")</f>
        <v>The first day of Argentina World Cup champions were bored with Santen Santen</v>
      </c>
    </row>
    <row r="9971" ht="15.75" customHeight="1">
      <c r="A9971" s="1">
        <v>11206.0</v>
      </c>
      <c r="B9971" s="3" t="s">
        <v>28410</v>
      </c>
      <c r="C9971" s="3">
        <v>1.0</v>
      </c>
      <c r="D9971" s="3">
        <v>0.0</v>
      </c>
      <c r="E9971" s="3">
        <v>0.0</v>
      </c>
      <c r="F9971" s="3" t="s">
        <v>28411</v>
      </c>
      <c r="G9971" s="3">
        <v>1.0</v>
      </c>
      <c r="H9971" s="3">
        <v>0.0</v>
      </c>
      <c r="I9971" s="3" t="s">
        <v>13</v>
      </c>
      <c r="J9971" s="3" t="s">
        <v>28412</v>
      </c>
      <c r="K9971" s="3" t="s">
        <v>3671</v>
      </c>
      <c r="L9971" s="3" t="str">
        <f>IFERROR(__xludf.DUMMYFUNCTION("GOOGLETRANSLATE(F9971,""id"",""en"")"),"Argentina's final narrowly lost Germany just a puppet goal scored by Mario Gotze minutes Germany champion Argentina lost French big round with French champion scores")</f>
        <v>Argentina's final narrowly lost Germany just a puppet goal scored by Mario Gotze minutes Germany champion Argentina lost French big round with French champion scores</v>
      </c>
    </row>
    <row r="9972" ht="15.75" customHeight="1">
      <c r="A9972" s="1">
        <v>11207.0</v>
      </c>
      <c r="B9972" s="3" t="s">
        <v>28413</v>
      </c>
      <c r="C9972" s="3">
        <v>1.0</v>
      </c>
      <c r="D9972" s="3">
        <v>0.0</v>
      </c>
      <c r="E9972" s="3">
        <v>1.0</v>
      </c>
      <c r="F9972" s="3" t="s">
        <v>28414</v>
      </c>
      <c r="G9972" s="3">
        <v>0.5</v>
      </c>
      <c r="H9972" s="3">
        <v>0.2</v>
      </c>
      <c r="I9972" s="3" t="s">
        <v>48</v>
      </c>
      <c r="J9972" s="3" t="s">
        <v>28415</v>
      </c>
      <c r="K9972" s="3" t="s">
        <v>31</v>
      </c>
      <c r="L9972" s="3" t="str">
        <f>IFERROR(__xludf.DUMMYFUNCTION("GOOGLETRANSLATE(F9972,""id"",""en"")"),"Yeay Argentina became champion hahahaha")</f>
        <v>Yeay Argentina became champion hahahaha</v>
      </c>
    </row>
    <row r="9973" ht="15.75" customHeight="1">
      <c r="A9973" s="1">
        <v>11208.0</v>
      </c>
      <c r="B9973" s="3" t="s">
        <v>28416</v>
      </c>
      <c r="C9973" s="3">
        <v>0.0</v>
      </c>
      <c r="D9973" s="3">
        <v>0.0</v>
      </c>
      <c r="E9973" s="3">
        <v>0.0</v>
      </c>
      <c r="F9973" s="3" t="s">
        <v>28417</v>
      </c>
      <c r="G9973" s="3">
        <v>0.0</v>
      </c>
      <c r="H9973" s="3">
        <v>0.0</v>
      </c>
      <c r="I9973" s="3" t="s">
        <v>13</v>
      </c>
      <c r="J9973" s="3" t="s">
        <v>28418</v>
      </c>
      <c r="K9973" s="3" t="s">
        <v>54</v>
      </c>
      <c r="L9973" s="3" t="str">
        <f>IFERROR(__xludf.DUMMYFUNCTION("GOOGLETRANSLATE(F9973,""id"",""en"")"),"The era is that Argentina can be respected world champion")</f>
        <v>The era is that Argentina can be respected world champion</v>
      </c>
    </row>
    <row r="9974" ht="15.75" customHeight="1">
      <c r="A9974" s="1">
        <v>11209.0</v>
      </c>
      <c r="B9974" s="3" t="s">
        <v>28419</v>
      </c>
      <c r="C9974" s="3">
        <v>0.0</v>
      </c>
      <c r="D9974" s="3">
        <v>0.0</v>
      </c>
      <c r="E9974" s="3">
        <v>1.0</v>
      </c>
      <c r="F9974" s="3" t="s">
        <v>28420</v>
      </c>
      <c r="G9974" s="3">
        <v>0.55</v>
      </c>
      <c r="H9974" s="3">
        <v>0.35</v>
      </c>
      <c r="I9974" s="3" t="s">
        <v>48</v>
      </c>
      <c r="J9974" s="3" t="s">
        <v>28421</v>
      </c>
      <c r="K9974" s="3" t="s">
        <v>644</v>
      </c>
      <c r="L9974" s="3" t="str">
        <f>IFERROR(__xludf.DUMMYFUNCTION("GOOGLETRANSLATE(F9974,""id"",""en"")"),"full smile Argentina Champion")</f>
        <v>full smile Argentina Champion</v>
      </c>
    </row>
    <row r="9975" ht="15.75" customHeight="1">
      <c r="A9975" s="1">
        <v>11210.0</v>
      </c>
      <c r="B9975" s="3" t="s">
        <v>28422</v>
      </c>
      <c r="C9975" s="3">
        <v>0.0</v>
      </c>
      <c r="D9975" s="3">
        <v>0.0</v>
      </c>
      <c r="E9975" s="3">
        <v>0.0</v>
      </c>
      <c r="F9975" s="3" t="s">
        <v>28423</v>
      </c>
      <c r="G9975" s="3">
        <v>0.775</v>
      </c>
      <c r="H9975" s="3">
        <v>0.575</v>
      </c>
      <c r="I9975" s="3" t="s">
        <v>48</v>
      </c>
      <c r="J9975" s="3" t="s">
        <v>28424</v>
      </c>
      <c r="K9975" s="3" t="s">
        <v>41</v>
      </c>
      <c r="L9975" s="3" t="str">
        <f>IFERROR(__xludf.DUMMYFUNCTION("GOOGLETRANSLATE(F9975,""id"",""en"")"),"Even though Monday is still happy school for the Argentine holiday champion full smile")</f>
        <v>Even though Monday is still happy school for the Argentine holiday champion full smile</v>
      </c>
    </row>
    <row r="9976" ht="15.75" customHeight="1">
      <c r="A9976" s="1">
        <v>11211.0</v>
      </c>
      <c r="B9976" s="3" t="s">
        <v>28425</v>
      </c>
      <c r="C9976" s="3">
        <v>0.0</v>
      </c>
      <c r="D9976" s="3">
        <v>0.0</v>
      </c>
      <c r="E9976" s="3">
        <v>0.0</v>
      </c>
      <c r="F9976" s="3" t="s">
        <v>28426</v>
      </c>
      <c r="G9976" s="3">
        <v>0.0</v>
      </c>
      <c r="H9976" s="3">
        <v>0.0</v>
      </c>
      <c r="I9976" s="3" t="s">
        <v>13</v>
      </c>
      <c r="J9976" s="3" t="s">
        <v>28427</v>
      </c>
      <c r="K9976" s="3" t="s">
        <v>75</v>
      </c>
      <c r="L9976" s="3" t="str">
        <f>IFERROR(__xludf.DUMMYFUNCTION("GOOGLETRANSLATE(F9976,""id"",""en"")"),"Elden Ring Goty Argentina Champion really made a lot of money for me")</f>
        <v>Elden Ring Goty Argentina Champion really made a lot of money for me</v>
      </c>
    </row>
    <row r="9977" ht="15.75" customHeight="1">
      <c r="A9977" s="1">
        <v>11212.0</v>
      </c>
      <c r="B9977" s="3" t="s">
        <v>28428</v>
      </c>
      <c r="C9977" s="3">
        <v>0.0</v>
      </c>
      <c r="D9977" s="3">
        <v>3.0</v>
      </c>
      <c r="E9977" s="3">
        <v>0.0</v>
      </c>
      <c r="F9977" s="3" t="s">
        <v>28429</v>
      </c>
      <c r="G9977" s="3">
        <v>0.0</v>
      </c>
      <c r="H9977" s="3">
        <v>0.0</v>
      </c>
      <c r="I9977" s="3" t="s">
        <v>13</v>
      </c>
      <c r="J9977" s="3" t="s">
        <v>28430</v>
      </c>
      <c r="K9977" s="3" t="s">
        <v>75</v>
      </c>
      <c r="L9977" s="3" t="str">
        <f>IFERROR(__xludf.DUMMYFUNCTION("GOOGLETRANSLATE(F9977,""id"",""en"")"),"Video Bring Argentina Champion World Cup Qatar Messi Can Be a Special Robe")</f>
        <v>Video Bring Argentina Champion World Cup Qatar Messi Can Be a Special Robe</v>
      </c>
    </row>
    <row r="9978" ht="15.75" customHeight="1">
      <c r="A9978" s="1">
        <v>11213.0</v>
      </c>
      <c r="B9978" s="3" t="s">
        <v>28431</v>
      </c>
      <c r="C9978" s="3">
        <v>1.0</v>
      </c>
      <c r="D9978" s="3">
        <v>0.0</v>
      </c>
      <c r="E9978" s="3">
        <v>0.0</v>
      </c>
      <c r="F9978" s="3" t="s">
        <v>28432</v>
      </c>
      <c r="G9978" s="3">
        <v>0.0</v>
      </c>
      <c r="H9978" s="3">
        <v>0.0</v>
      </c>
      <c r="I9978" s="3" t="s">
        <v>13</v>
      </c>
      <c r="J9978" s="3" t="s">
        <v>28433</v>
      </c>
      <c r="K9978" s="3" t="s">
        <v>1428</v>
      </c>
      <c r="L9978" s="3" t="str">
        <f>IFERROR(__xludf.DUMMYFUNCTION("GOOGLETRANSLATE(F9978,""id"",""en"")"),"Boy in the next few years Papa will tell you what is Papa's loyalty from the year of supporting the Argentine National Team of the Argentine Bapuk edition of the Bapuk lost to Germany Spanish champion")</f>
        <v>Boy in the next few years Papa will tell you what is Papa's loyalty from the year of supporting the Argentine National Team of the Argentine Bapuk edition of the Bapuk lost to Germany Spanish champion</v>
      </c>
    </row>
    <row r="9979" ht="15.75" customHeight="1">
      <c r="A9979" s="1">
        <v>11214.0</v>
      </c>
      <c r="B9979" s="3" t="s">
        <v>28434</v>
      </c>
      <c r="C9979" s="3">
        <v>0.0</v>
      </c>
      <c r="D9979" s="3">
        <v>0.0</v>
      </c>
      <c r="E9979" s="3">
        <v>0.0</v>
      </c>
      <c r="F9979" s="3" t="s">
        <v>28435</v>
      </c>
      <c r="G9979" s="3">
        <v>0.0</v>
      </c>
      <c r="H9979" s="3">
        <v>0.0</v>
      </c>
      <c r="I9979" s="3" t="s">
        <v>13</v>
      </c>
      <c r="J9979" s="3" t="s">
        <v>28436</v>
      </c>
      <c r="K9979" s="3" t="s">
        <v>244</v>
      </c>
      <c r="L9979" s="3" t="str">
        <f>IFERROR(__xludf.DUMMYFUNCTION("GOOGLETRANSLATE(F9979,""id"",""en"")"),"Complete List of World Cup Champion from the latest Argentina Brazilian era is still the most")</f>
        <v>Complete List of World Cup Champion from the latest Argentina Brazilian era is still the most</v>
      </c>
    </row>
    <row r="9980" ht="15.75" customHeight="1">
      <c r="A9980" s="1">
        <v>11215.0</v>
      </c>
      <c r="B9980" s="3" t="s">
        <v>28437</v>
      </c>
      <c r="C9980" s="3">
        <v>0.0</v>
      </c>
      <c r="D9980" s="3">
        <v>0.0</v>
      </c>
      <c r="E9980" s="3">
        <v>0.0</v>
      </c>
      <c r="F9980" s="3" t="s">
        <v>28438</v>
      </c>
      <c r="G9980" s="3">
        <v>0.0</v>
      </c>
      <c r="H9980" s="3">
        <v>0.0</v>
      </c>
      <c r="I9980" s="3" t="s">
        <v>13</v>
      </c>
      <c r="J9980" s="3" t="s">
        <v>28439</v>
      </c>
      <c r="K9980" s="3" t="s">
        <v>574</v>
      </c>
      <c r="L9980" s="3" t="str">
        <f>IFERROR(__xludf.DUMMYFUNCTION("GOOGLETRANSLATE(F9980,""id"",""en"")"),"Emi makes a significant change for Argentina Copa America champion champion Pilduun shows how important the position of goalkeeper is if Indonesia is difficult to think still stuck the most fat becomes the goalkeeper")</f>
        <v>Emi makes a significant change for Argentina Copa America champion champion Pilduun shows how important the position of goalkeeper is if Indonesia is difficult to think still stuck the most fat becomes the goalkeeper</v>
      </c>
    </row>
    <row r="9981" ht="15.75" customHeight="1">
      <c r="A9981" s="1">
        <v>11216.0</v>
      </c>
      <c r="B9981" s="3" t="s">
        <v>28440</v>
      </c>
      <c r="C9981" s="3">
        <v>1.0</v>
      </c>
      <c r="D9981" s="3">
        <v>1.0</v>
      </c>
      <c r="E9981" s="3">
        <v>5.0</v>
      </c>
      <c r="F9981" s="3" t="s">
        <v>28441</v>
      </c>
      <c r="G9981" s="3">
        <v>0.3333333333333333</v>
      </c>
      <c r="H9981" s="3">
        <v>0.1666666666666667</v>
      </c>
      <c r="I9981" s="3" t="s">
        <v>48</v>
      </c>
      <c r="J9981" s="3" t="s">
        <v>28442</v>
      </c>
      <c r="K9981" s="3" t="s">
        <v>657</v>
      </c>
      <c r="L9981" s="3" t="str">
        <f>IFERROR(__xludf.DUMMYFUNCTION("GOOGLETRANSLATE(F9981,""id"",""en"")"),"Mbappe's statement is really proof that the Argentine world champion squad is currently mostly players playing European League")</f>
        <v>Mbappe's statement is really proof that the Argentine world champion squad is currently mostly players playing European League</v>
      </c>
    </row>
    <row r="9982" ht="15.75" customHeight="1">
      <c r="A9982" s="1">
        <v>11217.0</v>
      </c>
      <c r="B9982" s="3" t="s">
        <v>28443</v>
      </c>
      <c r="C9982" s="3">
        <v>0.0</v>
      </c>
      <c r="D9982" s="3">
        <v>0.0</v>
      </c>
      <c r="E9982" s="3">
        <v>0.0</v>
      </c>
      <c r="F9982" s="3" t="s">
        <v>28444</v>
      </c>
      <c r="G9982" s="3">
        <v>0.0</v>
      </c>
      <c r="H9982" s="3">
        <v>0.0</v>
      </c>
      <c r="I9982" s="3" t="s">
        <v>13</v>
      </c>
      <c r="J9982" s="3" t="s">
        <v>28445</v>
      </c>
      <c r="K9982" s="3" t="s">
        <v>603</v>
      </c>
      <c r="L9982" s="3" t="str">
        <f>IFERROR(__xludf.DUMMYFUNCTION("GOOGLETRANSLATE(F9982,""id"",""en"")"),"I want if the audience protesting FIFA wants to love Argentina champions less beautiful for fans and audiences and Argentina prestige if given")</f>
        <v>I want if the audience protesting FIFA wants to love Argentina champions less beautiful for fans and audiences and Argentina prestige if given</v>
      </c>
    </row>
    <row r="9983" ht="15.75" customHeight="1">
      <c r="A9983" s="1">
        <v>11218.0</v>
      </c>
      <c r="B9983" s="3" t="s">
        <v>28446</v>
      </c>
      <c r="C9983" s="3">
        <v>0.0</v>
      </c>
      <c r="D9983" s="3">
        <v>0.0</v>
      </c>
      <c r="E9983" s="3">
        <v>0.0</v>
      </c>
      <c r="F9983" s="3" t="s">
        <v>28447</v>
      </c>
      <c r="G9983" s="3">
        <v>0.5</v>
      </c>
      <c r="H9983" s="3">
        <v>0.375</v>
      </c>
      <c r="I9983" s="3" t="s">
        <v>48</v>
      </c>
      <c r="J9983" s="3" t="s">
        <v>28448</v>
      </c>
      <c r="K9983" s="3" t="s">
        <v>50</v>
      </c>
      <c r="L9983" s="3" t="str">
        <f>IFERROR(__xludf.DUMMYFUNCTION("GOOGLETRANSLATE(F9983,""id"",""en"")"),"The jealous footballer after Lionel Messi won the World Cup with Argentina Familiar")</f>
        <v>The jealous footballer after Lionel Messi won the World Cup with Argentina Familiar</v>
      </c>
    </row>
    <row r="9984" ht="15.75" customHeight="1">
      <c r="A9984" s="1">
        <v>11219.0</v>
      </c>
      <c r="B9984" s="3" t="s">
        <v>28449</v>
      </c>
      <c r="C9984" s="3">
        <v>0.0</v>
      </c>
      <c r="D9984" s="3">
        <v>0.0</v>
      </c>
      <c r="E9984" s="3">
        <v>1.0</v>
      </c>
      <c r="F9984" s="3" t="s">
        <v>28450</v>
      </c>
      <c r="G9984" s="3">
        <v>0.0</v>
      </c>
      <c r="H9984" s="3">
        <v>0.0</v>
      </c>
      <c r="I9984" s="3" t="s">
        <v>13</v>
      </c>
      <c r="J9984" s="3" t="s">
        <v>28451</v>
      </c>
      <c r="K9984" s="3" t="s">
        <v>644</v>
      </c>
      <c r="L9984" s="3" t="str">
        <f>IFERROR(__xludf.DUMMYFUNCTION("GOOGLETRANSLATE(F9984,""id"",""en"")"),"Argentina Tasyakuran World Champion")</f>
        <v>Argentina Tasyakuran World Champion</v>
      </c>
    </row>
    <row r="9985" ht="15.75" customHeight="1">
      <c r="A9985" s="1">
        <v>11220.0</v>
      </c>
      <c r="B9985" s="3" t="s">
        <v>28452</v>
      </c>
      <c r="C9985" s="3">
        <v>4.0</v>
      </c>
      <c r="D9985" s="3">
        <v>0.0</v>
      </c>
      <c r="E9985" s="3">
        <v>0.0</v>
      </c>
      <c r="F9985" s="3" t="s">
        <v>28453</v>
      </c>
      <c r="G9985" s="3">
        <v>0.0</v>
      </c>
      <c r="H9985" s="3">
        <v>0.0</v>
      </c>
      <c r="I9985" s="3" t="s">
        <v>13</v>
      </c>
      <c r="J9985" s="3" t="s">
        <v>28454</v>
      </c>
      <c r="K9985" s="3" t="s">
        <v>15</v>
      </c>
      <c r="L9985" s="3" t="str">
        <f>IFERROR(__xludf.DUMMYFUNCTION("GOOGLETRANSLATE(F9985,""id"",""en"")"),"Already that's all wkwkwk calling Baggot Gabawa Martinez is also still the Argentina champion")</f>
        <v>Already that's all wkwkwk calling Baggot Gabawa Martinez is also still the Argentina champion</v>
      </c>
    </row>
    <row r="9986" ht="15.75" customHeight="1">
      <c r="A9986" s="1">
        <v>11221.0</v>
      </c>
      <c r="B9986" s="3" t="s">
        <v>28455</v>
      </c>
      <c r="C9986" s="3">
        <v>0.0</v>
      </c>
      <c r="D9986" s="3">
        <v>0.0</v>
      </c>
      <c r="E9986" s="3">
        <v>0.0</v>
      </c>
      <c r="F9986" s="3" t="s">
        <v>28456</v>
      </c>
      <c r="G9986" s="3">
        <v>0.55</v>
      </c>
      <c r="H9986" s="3">
        <v>0.35</v>
      </c>
      <c r="I9986" s="3" t="s">
        <v>48</v>
      </c>
      <c r="J9986" s="3" t="s">
        <v>28457</v>
      </c>
      <c r="K9986" s="3" t="s">
        <v>82</v>
      </c>
      <c r="L9986" s="3" t="str">
        <f>IFERROR(__xludf.DUMMYFUNCTION("GOOGLETRANSLATE(F9986,""id"",""en"")"),"Today is full of smile because of Argentina World Cup champions")</f>
        <v>Today is full of smile because of Argentina World Cup champions</v>
      </c>
    </row>
    <row r="9987" ht="15.75" customHeight="1">
      <c r="A9987" s="1">
        <v>11222.0</v>
      </c>
      <c r="B9987" s="3" t="s">
        <v>28458</v>
      </c>
      <c r="C9987" s="3">
        <v>0.0</v>
      </c>
      <c r="D9987" s="3">
        <v>0.0</v>
      </c>
      <c r="E9987" s="3">
        <v>3.0</v>
      </c>
      <c r="F9987" s="3" t="s">
        <v>28459</v>
      </c>
      <c r="G9987" s="3">
        <v>0.0</v>
      </c>
      <c r="H9987" s="3">
        <v>0.0</v>
      </c>
      <c r="I9987" s="3" t="s">
        <v>13</v>
      </c>
      <c r="J9987" s="3" t="s">
        <v>28460</v>
      </c>
      <c r="K9987" s="3" t="s">
        <v>244</v>
      </c>
      <c r="L9987" s="3" t="str">
        <f>IFERROR(__xludf.DUMMYFUNCTION("GOOGLETRANSLATE(F9987,""id"",""en"")"),"Even though it's a lot of talking, how come the Argentina champion is so bullshit")</f>
        <v>Even though it's a lot of talking, how come the Argentina champion is so bullshit</v>
      </c>
    </row>
    <row r="9988" ht="15.75" customHeight="1">
      <c r="A9988" s="1">
        <v>11223.0</v>
      </c>
      <c r="B9988" s="3" t="s">
        <v>28461</v>
      </c>
      <c r="C9988" s="3">
        <v>0.0</v>
      </c>
      <c r="D9988" s="3">
        <v>0.0</v>
      </c>
      <c r="E9988" s="3">
        <v>3.0</v>
      </c>
      <c r="F9988" s="3" t="s">
        <v>28462</v>
      </c>
      <c r="G9988" s="3">
        <v>0.0</v>
      </c>
      <c r="H9988" s="3">
        <v>0.0</v>
      </c>
      <c r="I9988" s="3" t="s">
        <v>13</v>
      </c>
      <c r="J9988" s="3" t="s">
        <v>28463</v>
      </c>
      <c r="K9988" s="3" t="s">
        <v>695</v>
      </c>
      <c r="L9988" s="3" t="str">
        <f>IFERROR(__xludf.DUMMYFUNCTION("GOOGLETRANSLATE(F9988,""id"",""en"")"),"Argentina and Messi are already destiny champions usually become the backbone of many people everything is facilitated")</f>
        <v>Argentina and Messi are already destiny champions usually become the backbone of many people everything is facilitated</v>
      </c>
    </row>
    <row r="9989" ht="15.75" customHeight="1">
      <c r="A9989" s="1">
        <v>11224.0</v>
      </c>
      <c r="B9989" s="3" t="s">
        <v>28464</v>
      </c>
      <c r="C9989" s="3">
        <v>1.0</v>
      </c>
      <c r="D9989" s="3">
        <v>0.0</v>
      </c>
      <c r="E9989" s="3">
        <v>0.0</v>
      </c>
      <c r="F9989" s="3" t="s">
        <v>28465</v>
      </c>
      <c r="G9989" s="3">
        <v>0.0</v>
      </c>
      <c r="H9989" s="3">
        <v>0.0</v>
      </c>
      <c r="I9989" s="3" t="s">
        <v>13</v>
      </c>
      <c r="J9989" s="3" t="s">
        <v>28466</v>
      </c>
      <c r="K9989" s="3" t="s">
        <v>437</v>
      </c>
      <c r="L9989" s="3" t="str">
        <f>IFERROR(__xludf.DUMMYFUNCTION("GOOGLETRANSLATE(F9989,""id"",""en"")"),"Argentina Champion World Cup Photo Sentani Jayapura Papua Dormitory Yonif VJS July before Argentina lost Germany")</f>
        <v>Argentina Champion World Cup Photo Sentani Jayapura Papua Dormitory Yonif VJS July before Argentina lost Germany</v>
      </c>
    </row>
    <row r="9990" ht="15.75" customHeight="1">
      <c r="A9990" s="1">
        <v>11225.0</v>
      </c>
      <c r="B9990" s="3" t="s">
        <v>28467</v>
      </c>
      <c r="C9990" s="3">
        <v>0.0</v>
      </c>
      <c r="D9990" s="3">
        <v>0.0</v>
      </c>
      <c r="E9990" s="3">
        <v>1.0</v>
      </c>
      <c r="F9990" s="3" t="s">
        <v>28468</v>
      </c>
      <c r="G9990" s="3">
        <v>0.0</v>
      </c>
      <c r="H9990" s="3">
        <v>0.0</v>
      </c>
      <c r="I9990" s="3" t="s">
        <v>13</v>
      </c>
      <c r="J9990" s="3" t="s">
        <v>28469</v>
      </c>
      <c r="K9990" s="3" t="s">
        <v>15</v>
      </c>
      <c r="L9990" s="3" t="str">
        <f>IFERROR(__xludf.DUMMYFUNCTION("GOOGLETRANSLATE(F9990,""id"",""en"")"),"Argentina Champion World Cup Emi Martinez We have to suffer first")</f>
        <v>Argentina Champion World Cup Emi Martinez We have to suffer first</v>
      </c>
    </row>
    <row r="9991" ht="15.75" customHeight="1">
      <c r="A9991" s="1">
        <v>11226.0</v>
      </c>
      <c r="B9991" s="3" t="s">
        <v>28470</v>
      </c>
      <c r="C9991" s="3">
        <v>0.0</v>
      </c>
      <c r="D9991" s="3">
        <v>2.0</v>
      </c>
      <c r="E9991" s="3">
        <v>16.0</v>
      </c>
      <c r="F9991" s="3" t="s">
        <v>28471</v>
      </c>
      <c r="G9991" s="3">
        <v>0.0</v>
      </c>
      <c r="H9991" s="3">
        <v>0.0</v>
      </c>
      <c r="I9991" s="3" t="s">
        <v>13</v>
      </c>
      <c r="J9991" s="3" t="s">
        <v>28472</v>
      </c>
      <c r="K9991" s="3" t="s">
        <v>35</v>
      </c>
      <c r="L9991" s="3" t="str">
        <f>IFERROR(__xludf.DUMMYFUNCTION("GOOGLETRANSLATE(F9991,""id"",""en"")"),"Argentina managed to bring the title of the world soccer party Vamos Argentina")</f>
        <v>Argentina managed to bring the title of the world soccer party Vamos Argentina</v>
      </c>
    </row>
    <row r="9992" ht="15.75" customHeight="1">
      <c r="A9992" s="1">
        <v>11228.0</v>
      </c>
      <c r="B9992" s="3" t="s">
        <v>28473</v>
      </c>
      <c r="C9992" s="3">
        <v>1.0</v>
      </c>
      <c r="D9992" s="3">
        <v>1.0</v>
      </c>
      <c r="E9992" s="3">
        <v>1.0</v>
      </c>
      <c r="F9992" s="3" t="s">
        <v>28474</v>
      </c>
      <c r="G9992" s="3">
        <v>0.55</v>
      </c>
      <c r="H9992" s="3">
        <v>0.0</v>
      </c>
      <c r="I9992" s="3" t="s">
        <v>13</v>
      </c>
      <c r="J9992" s="3" t="s">
        <v>28475</v>
      </c>
      <c r="K9992" s="3" t="s">
        <v>614</v>
      </c>
      <c r="L9992" s="3" t="str">
        <f>IFERROR(__xludf.DUMMYFUNCTION("GOOGLETRANSLATE(F9992,""id"",""en"")"),"Argentina won the Argentine World Cup championship trophy to defeat France Final through penalties after playing the Extra Time photo series Getty Images")</f>
        <v>Argentina won the Argentine World Cup championship trophy to defeat France Final through penalties after playing the Extra Time photo series Getty Images</v>
      </c>
    </row>
    <row r="9993" ht="15.75" customHeight="1">
      <c r="A9993" s="1">
        <v>11229.0</v>
      </c>
      <c r="B9993" s="3" t="s">
        <v>28476</v>
      </c>
      <c r="C9993" s="3">
        <v>2.0</v>
      </c>
      <c r="D9993" s="3">
        <v>1.0</v>
      </c>
      <c r="E9993" s="3">
        <v>17.0</v>
      </c>
      <c r="F9993" s="3" t="s">
        <v>28474</v>
      </c>
      <c r="G9993" s="3">
        <v>0.55</v>
      </c>
      <c r="H9993" s="3">
        <v>0.0</v>
      </c>
      <c r="I9993" s="3" t="s">
        <v>13</v>
      </c>
      <c r="J9993" s="3" t="s">
        <v>28475</v>
      </c>
      <c r="K9993" s="3" t="s">
        <v>614</v>
      </c>
      <c r="L9993" s="3" t="str">
        <f>IFERROR(__xludf.DUMMYFUNCTION("GOOGLETRANSLATE(F9993,""id"",""en"")"),"Argentina won the Argentine World Cup championship trophy to defeat France Final through penalties after playing the Extra Time photo series Getty Images")</f>
        <v>Argentina won the Argentine World Cup championship trophy to defeat France Final through penalties after playing the Extra Time photo series Getty Images</v>
      </c>
    </row>
    <row r="9994" ht="15.75" customHeight="1">
      <c r="A9994" s="1">
        <v>11230.0</v>
      </c>
      <c r="B9994" s="3" t="s">
        <v>28477</v>
      </c>
      <c r="C9994" s="3">
        <v>0.0</v>
      </c>
      <c r="D9994" s="3">
        <v>0.0</v>
      </c>
      <c r="E9994" s="3">
        <v>0.0</v>
      </c>
      <c r="F9994" s="3" t="s">
        <v>28478</v>
      </c>
      <c r="G9994" s="3">
        <v>0.0</v>
      </c>
      <c r="H9994" s="3">
        <v>0.0</v>
      </c>
      <c r="I9994" s="3" t="s">
        <v>13</v>
      </c>
      <c r="J9994" s="3" t="s">
        <v>28479</v>
      </c>
      <c r="K9994" s="3" t="s">
        <v>15</v>
      </c>
      <c r="L9994" s="3" t="str">
        <f>IFERROR(__xludf.DUMMYFUNCTION("GOOGLETRANSLATE(F9994,""id"",""en"")"),"Argentina was slaughtered by Saudi Arabia but the Qatar World Cup champion")</f>
        <v>Argentina was slaughtered by Saudi Arabia but the Qatar World Cup champion</v>
      </c>
    </row>
    <row r="9995" ht="15.75" customHeight="1">
      <c r="A9995" s="1">
        <v>11231.0</v>
      </c>
      <c r="B9995" s="3" t="s">
        <v>28480</v>
      </c>
      <c r="C9995" s="3">
        <v>0.0</v>
      </c>
      <c r="D9995" s="3">
        <v>0.0</v>
      </c>
      <c r="E9995" s="3">
        <v>0.0</v>
      </c>
      <c r="F9995" s="3" t="s">
        <v>28481</v>
      </c>
      <c r="G9995" s="3">
        <v>0.0</v>
      </c>
      <c r="H9995" s="3">
        <v>0.0</v>
      </c>
      <c r="I9995" s="3" t="s">
        <v>13</v>
      </c>
      <c r="J9995" s="3" t="s">
        <v>28482</v>
      </c>
      <c r="K9995" s="3" t="s">
        <v>31</v>
      </c>
      <c r="L9995" s="3" t="str">
        <f>IFERROR(__xludf.DUMMYFUNCTION("GOOGLETRANSLATE(F9995,""id"",""en"")"),"Kann who has PSG Boss Mbappe")</f>
        <v>Kann who has PSG Boss Mbappe</v>
      </c>
    </row>
    <row r="9996" ht="15.75" customHeight="1">
      <c r="A9996" s="1">
        <v>11232.0</v>
      </c>
      <c r="B9996" s="3" t="s">
        <v>28483</v>
      </c>
      <c r="C9996" s="3">
        <v>0.0</v>
      </c>
      <c r="D9996" s="3">
        <v>0.0</v>
      </c>
      <c r="E9996" s="3">
        <v>0.0</v>
      </c>
      <c r="F9996" s="3" t="s">
        <v>28338</v>
      </c>
      <c r="G9996" s="3">
        <v>0.0</v>
      </c>
      <c r="H9996" s="3">
        <v>0.0</v>
      </c>
      <c r="I9996" s="3" t="s">
        <v>13</v>
      </c>
      <c r="J9996" s="3" t="s">
        <v>28339</v>
      </c>
      <c r="K9996" s="3" t="s">
        <v>19</v>
      </c>
      <c r="L9996" s="3" t="str">
        <f>IFERROR(__xludf.DUMMYFUNCTION("GOOGLETRANSLATE(F9996,""id"",""en"")"),"How many Argentina prizes after the CNN Indonesia World Cup Champion Google News Sports News")</f>
        <v>How many Argentina prizes after the CNN Indonesia World Cup Champion Google News Sports News</v>
      </c>
    </row>
    <row r="9997" ht="15.75" customHeight="1">
      <c r="A9997" s="1">
        <v>11233.0</v>
      </c>
      <c r="B9997" s="3" t="s">
        <v>28484</v>
      </c>
      <c r="C9997" s="3">
        <v>0.0</v>
      </c>
      <c r="D9997" s="3">
        <v>12.0</v>
      </c>
      <c r="E9997" s="3">
        <v>84.0</v>
      </c>
      <c r="F9997" s="3" t="s">
        <v>28485</v>
      </c>
      <c r="G9997" s="3">
        <v>0.8</v>
      </c>
      <c r="H9997" s="3">
        <v>0.4</v>
      </c>
      <c r="I9997" s="3" t="s">
        <v>48</v>
      </c>
      <c r="J9997" s="3" t="s">
        <v>28486</v>
      </c>
      <c r="K9997" s="3" t="s">
        <v>75</v>
      </c>
      <c r="L9997" s="3" t="str">
        <f>IFERROR(__xludf.DUMMYFUNCTION("GOOGLETRANSLATE(F9997,""id"",""en"")"),"Last night, how come guys are satisfied with Argentina champions free doodstream beautiful celebrities")</f>
        <v>Last night, how come guys are satisfied with Argentina champions free doodstream beautiful celebrities</v>
      </c>
    </row>
    <row r="9998" ht="15.75" customHeight="1">
      <c r="A9998" s="1">
        <v>11234.0</v>
      </c>
      <c r="B9998" s="3" t="s">
        <v>28487</v>
      </c>
      <c r="C9998" s="3">
        <v>0.0</v>
      </c>
      <c r="D9998" s="3">
        <v>0.0</v>
      </c>
      <c r="E9998" s="3">
        <v>0.0</v>
      </c>
      <c r="F9998" s="3" t="s">
        <v>28488</v>
      </c>
      <c r="G9998" s="3">
        <v>0.0</v>
      </c>
      <c r="H9998" s="3">
        <v>0.0</v>
      </c>
      <c r="I9998" s="3" t="s">
        <v>13</v>
      </c>
      <c r="J9998" s="3" t="s">
        <v>28489</v>
      </c>
      <c r="K9998" s="3" t="s">
        <v>1097</v>
      </c>
      <c r="L9998" s="3" t="str">
        <f>IFERROR(__xludf.DUMMYFUNCTION("GOOGLETRANSLATE(F9998,""id"",""en"")"),"Bring Argentina World Cup Champion Messi returned to break the world record")</f>
        <v>Bring Argentina World Cup Champion Messi returned to break the world record</v>
      </c>
    </row>
    <row r="9999" ht="15.75" customHeight="1">
      <c r="A9999" s="1">
        <v>11235.0</v>
      </c>
      <c r="B9999" s="3" t="s">
        <v>28490</v>
      </c>
      <c r="C9999" s="3">
        <v>0.0</v>
      </c>
      <c r="D9999" s="3">
        <v>0.0</v>
      </c>
      <c r="E9999" s="3">
        <v>0.0</v>
      </c>
      <c r="F9999" s="3" t="s">
        <v>28491</v>
      </c>
      <c r="G9999" s="3">
        <v>0.0</v>
      </c>
      <c r="H9999" s="3">
        <v>0.0</v>
      </c>
      <c r="I9999" s="3" t="s">
        <v>13</v>
      </c>
      <c r="J9999" s="3" t="s">
        <v>28492</v>
      </c>
      <c r="K9999" s="3" t="s">
        <v>82</v>
      </c>
      <c r="L9999" s="3" t="str">
        <f>IFERROR(__xludf.DUMMYFUNCTION("GOOGLETRANSLATE(F9999,""id"",""en"")"),"Argentina Champion World Cup After Beating France")</f>
        <v>Argentina Champion World Cup After Beating France</v>
      </c>
    </row>
    <row r="10000" ht="15.75" customHeight="1">
      <c r="A10000" s="1">
        <v>11236.0</v>
      </c>
      <c r="B10000" s="3" t="s">
        <v>28493</v>
      </c>
      <c r="C10000" s="3">
        <v>0.0</v>
      </c>
      <c r="D10000" s="3">
        <v>0.0</v>
      </c>
      <c r="E10000" s="3">
        <v>1.0</v>
      </c>
      <c r="F10000" s="3" t="s">
        <v>28493</v>
      </c>
      <c r="G10000" s="3">
        <v>0.0</v>
      </c>
      <c r="H10000" s="3">
        <v>0.0</v>
      </c>
      <c r="I10000" s="3" t="s">
        <v>13</v>
      </c>
      <c r="J10000" s="3" t="s">
        <v>28494</v>
      </c>
      <c r="K10000" s="3" t="s">
        <v>82</v>
      </c>
      <c r="L10000" s="3" t="str">
        <f>IFERROR(__xludf.DUMMYFUNCTION("GOOGLETRANSLATE(F10000,""id"",""en"")"),"Mnta plg cpt because of Argentina champions wkwkwk")</f>
        <v>Mnta plg cpt because of Argentina champions wkwkwk</v>
      </c>
    </row>
    <row r="10001" ht="15.75" customHeight="1">
      <c r="A10001" s="1">
        <v>11237.0</v>
      </c>
      <c r="B10001" s="3" t="s">
        <v>28495</v>
      </c>
      <c r="C10001" s="3">
        <v>2.0</v>
      </c>
      <c r="D10001" s="3">
        <v>8.0</v>
      </c>
      <c r="E10001" s="3">
        <v>71.0</v>
      </c>
      <c r="F10001" s="3" t="s">
        <v>28496</v>
      </c>
      <c r="G10001" s="3">
        <v>0.0</v>
      </c>
      <c r="H10001" s="3">
        <v>0.0</v>
      </c>
      <c r="I10001" s="3" t="s">
        <v>13</v>
      </c>
      <c r="J10001" s="3" t="s">
        <v>28497</v>
      </c>
      <c r="K10001" s="3" t="s">
        <v>19</v>
      </c>
      <c r="L10001" s="3" t="str">
        <f>IFERROR(__xludf.DUMMYFUNCTION("GOOGLETRANSLATE(F10001,""id"",""en"")"),"The full moment of the emotion of Messi was hugged by his mother after delivering Argentina World Cup champions")</f>
        <v>The full moment of the emotion of Messi was hugged by his mother after delivering Argentina World Cup champions</v>
      </c>
    </row>
    <row r="10002" ht="15.75" customHeight="1">
      <c r="A10002" s="1">
        <v>11238.0</v>
      </c>
      <c r="B10002" s="3" t="s">
        <v>28498</v>
      </c>
      <c r="C10002" s="3">
        <v>0.0</v>
      </c>
      <c r="D10002" s="3">
        <v>0.0</v>
      </c>
      <c r="E10002" s="3">
        <v>0.0</v>
      </c>
      <c r="F10002" s="3" t="s">
        <v>28499</v>
      </c>
      <c r="G10002" s="3">
        <v>0.0</v>
      </c>
      <c r="H10002" s="3">
        <v>0.0</v>
      </c>
      <c r="I10002" s="3" t="s">
        <v>13</v>
      </c>
      <c r="J10002" s="3" t="s">
        <v>28500</v>
      </c>
      <c r="K10002" s="3" t="s">
        <v>657</v>
      </c>
      <c r="L10002" s="3" t="str">
        <f>IFERROR(__xludf.DUMMYFUNCTION("GOOGLETRANSLATE(F10002,""id"",""en"")"),"Min, if you want to win the AFF, ask for help from Eva Elfie who knows her fate is like Tundra and Argentina")</f>
        <v>Min, if you want to win the AFF, ask for help from Eva Elfie who knows her fate is like Tundra and Argentina</v>
      </c>
    </row>
    <row r="10003" ht="15.75" customHeight="1">
      <c r="A10003" s="1">
        <v>11239.0</v>
      </c>
      <c r="B10003" s="3" t="s">
        <v>28501</v>
      </c>
      <c r="C10003" s="3">
        <v>0.0</v>
      </c>
      <c r="D10003" s="3">
        <v>0.0</v>
      </c>
      <c r="E10003" s="3">
        <v>0.0</v>
      </c>
      <c r="F10003" s="3" t="s">
        <v>28502</v>
      </c>
      <c r="G10003" s="3">
        <v>0.0</v>
      </c>
      <c r="H10003" s="3">
        <v>0.0</v>
      </c>
      <c r="I10003" s="3" t="s">
        <v>13</v>
      </c>
      <c r="J10003" s="3" t="s">
        <v>28503</v>
      </c>
      <c r="K10003" s="3" t="s">
        <v>54</v>
      </c>
      <c r="L10003" s="3" t="str">
        <f>IFERROR(__xludf.DUMMYFUNCTION("GOOGLETRANSLATE(F10003,""id"",""en"")"),"Already planned Argentina Champion with FIFA")</f>
        <v>Already planned Argentina Champion with FIFA</v>
      </c>
    </row>
    <row r="10004" ht="15.75" customHeight="1">
      <c r="A10004" s="1">
        <v>11240.0</v>
      </c>
      <c r="B10004" s="3" t="s">
        <v>28504</v>
      </c>
      <c r="C10004" s="3">
        <v>2.0</v>
      </c>
      <c r="D10004" s="3">
        <v>2.0</v>
      </c>
      <c r="E10004" s="3">
        <v>9.0</v>
      </c>
      <c r="F10004" s="3" t="s">
        <v>28505</v>
      </c>
      <c r="G10004" s="3">
        <v>0.0</v>
      </c>
      <c r="H10004" s="3">
        <v>0.0</v>
      </c>
      <c r="I10004" s="3" t="s">
        <v>13</v>
      </c>
      <c r="J10004" s="3" t="s">
        <v>28506</v>
      </c>
      <c r="K10004" s="3" t="s">
        <v>358</v>
      </c>
      <c r="L10004" s="3" t="str">
        <f>IFERROR(__xludf.DUMMYFUNCTION("GOOGLETRANSLATE(F10004,""id"",""en"")"),"Argentina Champion World Cup After silencing France through a penalty shootout after the victory the Argentine national team was paraded on the bus")</f>
        <v>Argentina Champion World Cup After silencing France through a penalty shootout after the victory the Argentine national team was paraded on the bus</v>
      </c>
    </row>
    <row r="10005" ht="15.75" customHeight="1">
      <c r="A10005" s="1">
        <v>11241.0</v>
      </c>
      <c r="B10005" s="3" t="s">
        <v>28507</v>
      </c>
      <c r="C10005" s="3">
        <v>8.0</v>
      </c>
      <c r="D10005" s="3">
        <v>22.0</v>
      </c>
      <c r="E10005" s="3">
        <v>209.0</v>
      </c>
      <c r="F10005" s="3" t="s">
        <v>28508</v>
      </c>
      <c r="G10005" s="3">
        <v>0.0</v>
      </c>
      <c r="H10005" s="3">
        <v>0.0</v>
      </c>
      <c r="I10005" s="3" t="s">
        <v>13</v>
      </c>
      <c r="J10005" s="3" t="s">
        <v>28509</v>
      </c>
      <c r="K10005" s="3" t="s">
        <v>1428</v>
      </c>
      <c r="L10005" s="3" t="str">
        <f>IFERROR(__xludf.DUMMYFUNCTION("GOOGLETRANSLATE(F10005,""id"",""en"")"),"Exequiel Alejandro Palacios The pride of Tucum who won the world champion Exequiel played three times down from the bench and played for minutes for Argentina throughout the Congratulations World Cup")</f>
        <v>Exequiel Alejandro Palacios The pride of Tucum who won the world champion Exequiel played three times down from the bench and played for minutes for Argentina throughout the Congratulations World Cup</v>
      </c>
    </row>
    <row r="10006" ht="15.75" customHeight="1">
      <c r="A10006" s="1">
        <v>11242.0</v>
      </c>
      <c r="B10006" s="3" t="s">
        <v>28510</v>
      </c>
      <c r="C10006" s="3">
        <v>0.0</v>
      </c>
      <c r="D10006" s="3">
        <v>0.0</v>
      </c>
      <c r="E10006" s="3">
        <v>0.0</v>
      </c>
      <c r="F10006" s="3" t="s">
        <v>28511</v>
      </c>
      <c r="G10006" s="3">
        <v>0.0</v>
      </c>
      <c r="H10006" s="3">
        <v>0.0</v>
      </c>
      <c r="I10006" s="3" t="s">
        <v>13</v>
      </c>
      <c r="J10006" s="3" t="s">
        <v>28512</v>
      </c>
      <c r="K10006" s="3" t="s">
        <v>75</v>
      </c>
      <c r="L10006" s="3" t="str">
        <f>IFERROR(__xludf.DUMMYFUNCTION("GOOGLETRANSLATE(F10006,""id"",""en"")"),"The one who won Argentina Runner France who was bullied by Ronaldo and Fans who trending Aguero")</f>
        <v>The one who won Argentina Runner France who was bullied by Ronaldo and Fans who trending Aguero</v>
      </c>
    </row>
    <row r="10007" ht="15.75" customHeight="1">
      <c r="A10007" s="1">
        <v>11243.0</v>
      </c>
      <c r="B10007" s="3" t="s">
        <v>28513</v>
      </c>
      <c r="C10007" s="3">
        <v>1.0</v>
      </c>
      <c r="D10007" s="3">
        <v>3.0</v>
      </c>
      <c r="E10007" s="3">
        <v>7.0</v>
      </c>
      <c r="F10007" s="3" t="s">
        <v>28514</v>
      </c>
      <c r="G10007" s="3">
        <v>0.0</v>
      </c>
      <c r="H10007" s="3">
        <v>0.0</v>
      </c>
      <c r="I10007" s="3" t="s">
        <v>13</v>
      </c>
      <c r="J10007" s="3" t="s">
        <v>28515</v>
      </c>
      <c r="K10007" s="3" t="s">
        <v>236</v>
      </c>
      <c r="L10007" s="3" t="str">
        <f>IFERROR(__xludf.DUMMYFUNCTION("GOOGLETRANSLATE(F10007,""id"",""en"")"),"There is also a referee, so I believe that the universe is very supportive of Argentina.")</f>
        <v>There is also a referee, so I believe that the universe is very supportive of Argentina.</v>
      </c>
    </row>
    <row r="10008" ht="15.75" customHeight="1">
      <c r="A10008" s="1">
        <v>11245.0</v>
      </c>
      <c r="B10008" s="3" t="s">
        <v>28516</v>
      </c>
      <c r="C10008" s="3">
        <v>0.0</v>
      </c>
      <c r="D10008" s="3">
        <v>0.0</v>
      </c>
      <c r="E10008" s="3">
        <v>0.0</v>
      </c>
      <c r="F10008" s="3" t="s">
        <v>28517</v>
      </c>
      <c r="G10008" s="3">
        <v>0.0</v>
      </c>
      <c r="H10008" s="3">
        <v>0.0</v>
      </c>
      <c r="I10008" s="3" t="s">
        <v>13</v>
      </c>
      <c r="J10008" s="3" t="s">
        <v>28518</v>
      </c>
      <c r="K10008" s="3" t="s">
        <v>510</v>
      </c>
      <c r="L10008" s="3" t="str">
        <f>IFERROR(__xludf.DUMMYFUNCTION("GOOGLETRANSLATE(F10008,""id"",""en"")"),"Lionel Messi Makes Mbappe Kicep Proves South American Football Forward World Cup Champion")</f>
        <v>Lionel Messi Makes Mbappe Kicep Proves South American Football Forward World Cup Champion</v>
      </c>
    </row>
    <row r="10009" ht="15.75" customHeight="1">
      <c r="A10009" s="1">
        <v>11246.0</v>
      </c>
      <c r="B10009" s="3" t="s">
        <v>28519</v>
      </c>
      <c r="C10009" s="3">
        <v>0.0</v>
      </c>
      <c r="D10009" s="3">
        <v>1.0</v>
      </c>
      <c r="E10009" s="3">
        <v>17.0</v>
      </c>
      <c r="F10009" s="3" t="s">
        <v>28520</v>
      </c>
      <c r="G10009" s="3">
        <v>0.0</v>
      </c>
      <c r="H10009" s="3">
        <v>0.0</v>
      </c>
      <c r="I10009" s="3" t="s">
        <v>13</v>
      </c>
      <c r="J10009" s="3" t="s">
        <v>28521</v>
      </c>
      <c r="K10009" s="3" t="s">
        <v>433</v>
      </c>
      <c r="L10009" s="3" t="str">
        <f>IFERROR(__xludf.DUMMYFUNCTION("GOOGLETRANSLATE(F10009,""id"",""en"")"),"Qatar World Cup Scaloni Dreaming of Maradona with Argentina Enjoying the Glory of World Champion Stadium Astro")</f>
        <v>Qatar World Cup Scaloni Dreaming of Maradona with Argentina Enjoying the Glory of World Champion Stadium Astro</v>
      </c>
    </row>
    <row r="10010" ht="15.75" customHeight="1">
      <c r="A10010" s="1">
        <v>11247.0</v>
      </c>
      <c r="B10010" s="3" t="s">
        <v>28522</v>
      </c>
      <c r="C10010" s="3">
        <v>0.0</v>
      </c>
      <c r="D10010" s="3">
        <v>0.0</v>
      </c>
      <c r="E10010" s="3">
        <v>0.0</v>
      </c>
      <c r="F10010" s="3" t="s">
        <v>28523</v>
      </c>
      <c r="G10010" s="3">
        <v>0.0</v>
      </c>
      <c r="H10010" s="3">
        <v>0.0</v>
      </c>
      <c r="I10010" s="3" t="s">
        <v>13</v>
      </c>
      <c r="J10010" s="3" t="s">
        <v>28524</v>
      </c>
      <c r="K10010" s="3" t="s">
        <v>54</v>
      </c>
      <c r="L10010" s="3" t="str">
        <f>IFERROR(__xludf.DUMMYFUNCTION("GOOGLETRANSLATE(F10010,""id"",""en"")"),"Argentina Champion of Qatar Football World Cup")</f>
        <v>Argentina Champion of Qatar Football World Cup</v>
      </c>
    </row>
    <row r="10011" ht="15.75" customHeight="1">
      <c r="A10011" s="1">
        <v>11248.0</v>
      </c>
      <c r="B10011" s="3" t="s">
        <v>28525</v>
      </c>
      <c r="C10011" s="3">
        <v>0.0</v>
      </c>
      <c r="D10011" s="3">
        <v>1.0</v>
      </c>
      <c r="E10011" s="3">
        <v>0.0</v>
      </c>
      <c r="F10011" s="3" t="s">
        <v>28526</v>
      </c>
      <c r="G10011" s="3">
        <v>0.0</v>
      </c>
      <c r="H10011" s="3">
        <v>0.0</v>
      </c>
      <c r="I10011" s="3" t="s">
        <v>13</v>
      </c>
      <c r="J10011" s="3" t="s">
        <v>28527</v>
      </c>
      <c r="K10011" s="3" t="s">
        <v>1097</v>
      </c>
      <c r="L10011" s="3" t="str">
        <f>IFERROR(__xludf.DUMMYFUNCTION("GOOGLETRANSLATE(F10011,""id"",""en"")"),"The blue Argentina flag approaches the blue Pan, Pak, worth the championship")</f>
        <v>The blue Argentina flag approaches the blue Pan, Pak, worth the championship</v>
      </c>
    </row>
    <row r="10012" ht="15.75" customHeight="1">
      <c r="A10012" s="1">
        <v>11249.0</v>
      </c>
      <c r="B10012" s="3" t="s">
        <v>28528</v>
      </c>
      <c r="C10012" s="3">
        <v>0.0</v>
      </c>
      <c r="D10012" s="3">
        <v>0.0</v>
      </c>
      <c r="E10012" s="3">
        <v>0.0</v>
      </c>
      <c r="F10012" s="3" t="s">
        <v>28529</v>
      </c>
      <c r="G10012" s="3">
        <v>0.125</v>
      </c>
      <c r="H10012" s="3">
        <v>-0.125</v>
      </c>
      <c r="I10012" s="3" t="s">
        <v>179</v>
      </c>
      <c r="J10012" s="3" t="s">
        <v>28530</v>
      </c>
      <c r="K10012" s="3" t="s">
        <v>75</v>
      </c>
      <c r="L10012" s="3" t="str">
        <f>IFERROR(__xludf.DUMMYFUNCTION("GOOGLETRANSLATE(F10012,""id"",""en"")"),"see Argentina the champion is thanks to the upbringing and support me Iwan Foreign People")</f>
        <v>see Argentina the champion is thanks to the upbringing and support me Iwan Foreign People</v>
      </c>
    </row>
    <row r="10013" ht="15.75" customHeight="1">
      <c r="A10013" s="1">
        <v>11250.0</v>
      </c>
      <c r="B10013" s="3" t="s">
        <v>28531</v>
      </c>
      <c r="C10013" s="3">
        <v>0.0</v>
      </c>
      <c r="D10013" s="3">
        <v>0.0</v>
      </c>
      <c r="E10013" s="3">
        <v>0.0</v>
      </c>
      <c r="F10013" s="3" t="s">
        <v>28532</v>
      </c>
      <c r="G10013" s="3">
        <v>0.6666666666666666</v>
      </c>
      <c r="H10013" s="3">
        <v>0.08333333333333333</v>
      </c>
      <c r="I10013" s="3" t="s">
        <v>48</v>
      </c>
      <c r="J10013" s="3" t="s">
        <v>28533</v>
      </c>
      <c r="K10013" s="3" t="s">
        <v>58</v>
      </c>
      <c r="L10013" s="3" t="str">
        <f>IFERROR(__xludf.DUMMYFUNCTION("GOOGLETRANSLATE(F10013,""id"",""en"")"),"I already said smalem if the Argentina champion would definitely be ronaldo, even though he didn't play the final smalem")</f>
        <v>I already said smalem if the Argentina champion would definitely be ronaldo, even though he didn't play the final smalem</v>
      </c>
    </row>
    <row r="10014" ht="15.75" customHeight="1">
      <c r="A10014" s="1">
        <v>11251.0</v>
      </c>
      <c r="B10014" s="3" t="s">
        <v>28534</v>
      </c>
      <c r="C10014" s="3">
        <v>0.0</v>
      </c>
      <c r="D10014" s="3">
        <v>0.0</v>
      </c>
      <c r="E10014" s="3">
        <v>0.0</v>
      </c>
      <c r="F10014" s="3" t="s">
        <v>28535</v>
      </c>
      <c r="G10014" s="3">
        <v>0.0</v>
      </c>
      <c r="H10014" s="3">
        <v>0.0</v>
      </c>
      <c r="I10014" s="3" t="s">
        <v>13</v>
      </c>
      <c r="J10014" s="3" t="s">
        <v>28536</v>
      </c>
      <c r="K10014" s="3" t="s">
        <v>75</v>
      </c>
      <c r="L10014" s="3" t="str">
        <f>IFERROR(__xludf.DUMMYFUNCTION("GOOGLETRANSLATE(F10014,""id"",""en"")"),"But FIFA has indeed been a renuting Argentina champion so that their beloved child lifts the Cup")</f>
        <v>But FIFA has indeed been a renuting Argentina champion so that their beloved child lifts the Cup</v>
      </c>
    </row>
    <row r="10015" ht="15.75" customHeight="1">
      <c r="A10015" s="1">
        <v>11252.0</v>
      </c>
      <c r="B10015" s="3" t="s">
        <v>28537</v>
      </c>
      <c r="C10015" s="3">
        <v>0.0</v>
      </c>
      <c r="D10015" s="3">
        <v>0.0</v>
      </c>
      <c r="E10015" s="3">
        <v>0.0</v>
      </c>
      <c r="F10015" s="3" t="s">
        <v>28538</v>
      </c>
      <c r="G10015" s="3">
        <v>0.0</v>
      </c>
      <c r="H10015" s="3">
        <v>0.0</v>
      </c>
      <c r="I10015" s="3" t="s">
        <v>13</v>
      </c>
      <c r="J10015" s="3" t="s">
        <v>28539</v>
      </c>
      <c r="K10015" s="3" t="s">
        <v>520</v>
      </c>
      <c r="L10015" s="3" t="str">
        <f>IFERROR(__xludf.DUMMYFUNCTION("GOOGLETRANSLATE(F10015,""id"",""en"")"),"Coach Justin Timberlake Mano yaaa his voice Argentina champion here Messi raised the Cup Shemu Bed I raised the World Cup")</f>
        <v>Coach Justin Timberlake Mano yaaa his voice Argentina champion here Messi raised the Cup Shemu Bed I raised the World Cup</v>
      </c>
    </row>
    <row r="10016" ht="15.75" customHeight="1">
      <c r="A10016" s="1">
        <v>11253.0</v>
      </c>
      <c r="B10016" s="3" t="s">
        <v>28540</v>
      </c>
      <c r="C10016" s="3">
        <v>1.0</v>
      </c>
      <c r="D10016" s="3">
        <v>0.0</v>
      </c>
      <c r="E10016" s="3">
        <v>1.0</v>
      </c>
      <c r="F10016" s="3" t="s">
        <v>28541</v>
      </c>
      <c r="G10016" s="3">
        <v>0.0</v>
      </c>
      <c r="H10016" s="3">
        <v>0.0</v>
      </c>
      <c r="I10016" s="3" t="s">
        <v>13</v>
      </c>
      <c r="J10016" s="3" t="s">
        <v>28542</v>
      </c>
      <c r="K10016" s="3" t="s">
        <v>82</v>
      </c>
      <c r="L10016" s="3" t="str">
        <f>IFERROR(__xludf.DUMMYFUNCTION("GOOGLETRANSLATE(F10016,""id"",""en"")"),"Messi Bring Argentina Champion Peso can rise from the grave")</f>
        <v>Messi Bring Argentina Champion Peso can rise from the grave</v>
      </c>
    </row>
    <row r="10017" ht="15.75" customHeight="1">
      <c r="A10017" s="1">
        <v>11254.0</v>
      </c>
      <c r="B10017" s="3" t="s">
        <v>28543</v>
      </c>
      <c r="C10017" s="3">
        <v>0.0</v>
      </c>
      <c r="D10017" s="3">
        <v>0.0</v>
      </c>
      <c r="E10017" s="3">
        <v>0.0</v>
      </c>
      <c r="F10017" s="3" t="s">
        <v>28544</v>
      </c>
      <c r="G10017" s="3">
        <v>0.0</v>
      </c>
      <c r="H10017" s="3">
        <v>0.0</v>
      </c>
      <c r="I10017" s="3" t="s">
        <v>13</v>
      </c>
      <c r="J10017" s="3" t="s">
        <v>28545</v>
      </c>
      <c r="K10017" s="3" t="s">
        <v>41</v>
      </c>
      <c r="L10017" s="3" t="str">
        <f>IFERROR(__xludf.DUMMYFUNCTION("GOOGLETRANSLATE(F10017,""id"",""en"")"),"I don't know why this morning I woke up so fresh it turned out to be Argentina in the championship")</f>
        <v>I don't know why this morning I woke up so fresh it turned out to be Argentina in the championship</v>
      </c>
    </row>
    <row r="10018" ht="15.75" customHeight="1">
      <c r="A10018" s="1">
        <v>11255.0</v>
      </c>
      <c r="B10018" s="3" t="s">
        <v>28546</v>
      </c>
      <c r="C10018" s="3">
        <v>0.0</v>
      </c>
      <c r="D10018" s="3">
        <v>0.0</v>
      </c>
      <c r="E10018" s="3">
        <v>1.0</v>
      </c>
      <c r="F10018" s="3" t="s">
        <v>22241</v>
      </c>
      <c r="G10018" s="3">
        <v>0.0</v>
      </c>
      <c r="H10018" s="3">
        <v>0.0</v>
      </c>
      <c r="I10018" s="3" t="s">
        <v>13</v>
      </c>
      <c r="J10018" s="3" t="s">
        <v>16942</v>
      </c>
      <c r="K10018" s="3" t="s">
        <v>644</v>
      </c>
      <c r="L10018" s="3" t="str">
        <f>IFERROR(__xludf.DUMMYFUNCTION("GOOGLETRANSLATE(F10018,""id"",""en"")"),"Argentina Champion World Cup")</f>
        <v>Argentina Champion World Cup</v>
      </c>
    </row>
    <row r="10019" ht="15.75" customHeight="1">
      <c r="A10019" s="1">
        <v>11256.0</v>
      </c>
      <c r="B10019" s="3" t="s">
        <v>28547</v>
      </c>
      <c r="C10019" s="3">
        <v>0.0</v>
      </c>
      <c r="D10019" s="3">
        <v>0.0</v>
      </c>
      <c r="E10019" s="3">
        <v>0.0</v>
      </c>
      <c r="F10019" s="3" t="s">
        <v>25470</v>
      </c>
      <c r="G10019" s="3">
        <v>0.0</v>
      </c>
      <c r="H10019" s="3">
        <v>0.0</v>
      </c>
      <c r="I10019" s="3" t="s">
        <v>13</v>
      </c>
      <c r="J10019" s="3" t="s">
        <v>25471</v>
      </c>
      <c r="K10019" s="3" t="s">
        <v>510</v>
      </c>
      <c r="L10019" s="3" t="str">
        <f>IFERROR(__xludf.DUMMYFUNCTION("GOOGLETRANSLATE(F10019,""id"",""en"")"),"Amazing the hometown of Lionel Messi became a sea of ​​people after Argentina Champion World Cup")</f>
        <v>Amazing the hometown of Lionel Messi became a sea of ​​people after Argentina Champion World Cup</v>
      </c>
    </row>
    <row r="10020" ht="15.75" customHeight="1">
      <c r="A10020" s="1">
        <v>11257.0</v>
      </c>
      <c r="B10020" s="3" t="s">
        <v>28548</v>
      </c>
      <c r="C10020" s="3">
        <v>0.0</v>
      </c>
      <c r="D10020" s="3">
        <v>0.0</v>
      </c>
      <c r="E10020" s="3">
        <v>0.0</v>
      </c>
      <c r="F10020" s="3" t="s">
        <v>28549</v>
      </c>
      <c r="G10020" s="3">
        <v>0.0</v>
      </c>
      <c r="H10020" s="3">
        <v>0.0</v>
      </c>
      <c r="I10020" s="3" t="s">
        <v>13</v>
      </c>
      <c r="J10020" s="3" t="s">
        <v>28550</v>
      </c>
      <c r="K10020" s="3" t="s">
        <v>1925</v>
      </c>
      <c r="L10020" s="3" t="str">
        <f>IFERROR(__xludf.DUMMYFUNCTION("GOOGLETRANSLATE(F10020,""id"",""en"")"),"Lusail Messi and Argentina opened the tournament with suffocating but the lusail also Albiceleste closed with the champion of Messi and God seemed to know that football owed Messi Maradona in another Argentina")</f>
        <v>Lusail Messi and Argentina opened the tournament with suffocating but the lusail also Albiceleste closed with the champion of Messi and God seemed to know that football owed Messi Maradona in another Argentina</v>
      </c>
    </row>
    <row r="10021" ht="15.75" customHeight="1">
      <c r="A10021" s="1">
        <v>11258.0</v>
      </c>
      <c r="B10021" s="3" t="s">
        <v>28551</v>
      </c>
      <c r="C10021" s="3">
        <v>0.0</v>
      </c>
      <c r="D10021" s="3">
        <v>0.0</v>
      </c>
      <c r="E10021" s="3">
        <v>1.0</v>
      </c>
      <c r="F10021" s="3" t="s">
        <v>28552</v>
      </c>
      <c r="G10021" s="3">
        <v>0.0</v>
      </c>
      <c r="H10021" s="3">
        <v>0.0</v>
      </c>
      <c r="I10021" s="3" t="s">
        <v>13</v>
      </c>
      <c r="J10021" s="3" t="s">
        <v>28553</v>
      </c>
      <c r="K10021" s="3" t="s">
        <v>614</v>
      </c>
      <c r="L10021" s="3" t="str">
        <f>IFERROR(__xludf.DUMMYFUNCTION("GOOGLETRANSLATE(F10021,""id"",""en"")"),"Congratulations Argentinaa Btw like AFC Futsal yesterday which was defeated by Arabic so the champion was the same as defeating the defending champions too, the party wasn't Argentina fans too")</f>
        <v>Congratulations Argentinaa Btw like AFC Futsal yesterday which was defeated by Arabic so the champion was the same as defeating the defending champions too, the party wasn't Argentina fans too</v>
      </c>
    </row>
    <row r="10022" ht="15.75" customHeight="1">
      <c r="A10022" s="1">
        <v>11259.0</v>
      </c>
      <c r="B10022" s="3" t="s">
        <v>28554</v>
      </c>
      <c r="C10022" s="3">
        <v>0.0</v>
      </c>
      <c r="D10022" s="3">
        <v>0.0</v>
      </c>
      <c r="E10022" s="3">
        <v>0.0</v>
      </c>
      <c r="F10022" s="3" t="s">
        <v>28555</v>
      </c>
      <c r="G10022" s="3">
        <v>0.0</v>
      </c>
      <c r="H10022" s="3">
        <v>0.0</v>
      </c>
      <c r="I10022" s="3" t="s">
        <v>13</v>
      </c>
      <c r="J10022" s="3" t="s">
        <v>28556</v>
      </c>
      <c r="K10022" s="3" t="s">
        <v>348</v>
      </c>
      <c r="L10022" s="3" t="str">
        <f>IFERROR(__xludf.DUMMYFUNCTION("GOOGLETRANSLATE(F10022,""id"",""en"")"),"Watching from a Korean server turned out to be faster and not cool, Argentina played last night, his team's work was tactic")</f>
        <v>Watching from a Korean server turned out to be faster and not cool, Argentina played last night, his team's work was tactic</v>
      </c>
    </row>
    <row r="10023" ht="15.75" customHeight="1">
      <c r="A10023" s="1">
        <v>11260.0</v>
      </c>
      <c r="B10023" s="3" t="s">
        <v>28557</v>
      </c>
      <c r="C10023" s="3">
        <v>0.0</v>
      </c>
      <c r="D10023" s="3">
        <v>0.0</v>
      </c>
      <c r="E10023" s="3">
        <v>0.0</v>
      </c>
      <c r="F10023" s="3" t="s">
        <v>28558</v>
      </c>
      <c r="G10023" s="3">
        <v>0.55</v>
      </c>
      <c r="H10023" s="3">
        <v>0.0</v>
      </c>
      <c r="I10023" s="3" t="s">
        <v>13</v>
      </c>
      <c r="J10023" s="3" t="s">
        <v>28559</v>
      </c>
      <c r="K10023" s="3" t="s">
        <v>205</v>
      </c>
      <c r="L10023" s="3" t="str">
        <f>IFERROR(__xludf.DUMMYFUNCTION("GOOGLETRANSLATE(F10023,""id"",""en"")"),"Argentina won the Argentine World Cup championship trophy to defeat France Final through penalties after playing series until Extra Time Happy Argentina")</f>
        <v>Argentina won the Argentine World Cup championship trophy to defeat France Final through penalties after playing series until Extra Time Happy Argentina</v>
      </c>
    </row>
    <row r="10024" ht="15.75" customHeight="1">
      <c r="A10024" s="1">
        <v>11261.0</v>
      </c>
      <c r="B10024" s="3" t="s">
        <v>28560</v>
      </c>
      <c r="C10024" s="3">
        <v>0.0</v>
      </c>
      <c r="D10024" s="3">
        <v>0.0</v>
      </c>
      <c r="E10024" s="3">
        <v>0.0</v>
      </c>
      <c r="F10024" s="3" t="s">
        <v>28561</v>
      </c>
      <c r="G10024" s="3">
        <v>0.0</v>
      </c>
      <c r="H10024" s="3">
        <v>0.0</v>
      </c>
      <c r="I10024" s="3" t="s">
        <v>13</v>
      </c>
      <c r="J10024" s="3" t="s">
        <v>28562</v>
      </c>
      <c r="K10024" s="3" t="s">
        <v>50</v>
      </c>
      <c r="L10024" s="3" t="str">
        <f>IFERROR(__xludf.DUMMYFUNCTION("GOOGLETRANSLATE(F10024,""id"",""en"")"),"Dramatic Crying Haru Lionel Messi Bring Argentina Champion World Cup Qatar")</f>
        <v>Dramatic Crying Haru Lionel Messi Bring Argentina Champion World Cup Qatar</v>
      </c>
    </row>
    <row r="10025" ht="15.75" customHeight="1">
      <c r="A10025" s="1">
        <v>11262.0</v>
      </c>
      <c r="B10025" s="3" t="s">
        <v>28563</v>
      </c>
      <c r="C10025" s="3">
        <v>0.0</v>
      </c>
      <c r="D10025" s="3">
        <v>0.0</v>
      </c>
      <c r="E10025" s="3">
        <v>0.0</v>
      </c>
      <c r="F10025" s="3" t="s">
        <v>28326</v>
      </c>
      <c r="G10025" s="3">
        <v>0.0</v>
      </c>
      <c r="H10025" s="3">
        <v>0.0</v>
      </c>
      <c r="I10025" s="3" t="s">
        <v>13</v>
      </c>
      <c r="J10025" s="3" t="s">
        <v>28327</v>
      </c>
      <c r="K10025" s="3" t="s">
        <v>75</v>
      </c>
      <c r="L10025" s="3" t="str">
        <f>IFERROR(__xludf.DUMMYFUNCTION("GOOGLETRANSLATE(F10025,""id"",""en"")"),"Three Determining Factors Argentina Podium Champion and Messi Legitimate To Be a Goat")</f>
        <v>Three Determining Factors Argentina Podium Champion and Messi Legitimate To Be a Goat</v>
      </c>
    </row>
    <row r="10026" ht="15.75" customHeight="1">
      <c r="A10026" s="1">
        <v>11263.0</v>
      </c>
      <c r="B10026" s="3" t="s">
        <v>28564</v>
      </c>
      <c r="C10026" s="3">
        <v>0.0</v>
      </c>
      <c r="D10026" s="3">
        <v>0.0</v>
      </c>
      <c r="E10026" s="3">
        <v>0.0</v>
      </c>
      <c r="F10026" s="3" t="s">
        <v>28329</v>
      </c>
      <c r="G10026" s="3">
        <v>0.0</v>
      </c>
      <c r="H10026" s="3">
        <v>0.0</v>
      </c>
      <c r="I10026" s="3" t="s">
        <v>13</v>
      </c>
      <c r="J10026" s="3" t="s">
        <v>28330</v>
      </c>
      <c r="K10026" s="3" t="s">
        <v>41</v>
      </c>
      <c r="L10026" s="3" t="str">
        <f>IFERROR(__xludf.DUMMYFUNCTION("GOOGLETRANSLATE(F10026,""id"",""en"")"),"Messi Plenary Bring Argentina The third World Cup championship")</f>
        <v>Messi Plenary Bring Argentina The third World Cup championship</v>
      </c>
    </row>
    <row r="10027" ht="15.75" customHeight="1">
      <c r="A10027" s="1">
        <v>11264.0</v>
      </c>
      <c r="B10027" s="3" t="s">
        <v>28565</v>
      </c>
      <c r="C10027" s="3">
        <v>0.0</v>
      </c>
      <c r="D10027" s="3">
        <v>0.0</v>
      </c>
      <c r="E10027" s="3">
        <v>0.0</v>
      </c>
      <c r="F10027" s="3" t="s">
        <v>28566</v>
      </c>
      <c r="G10027" s="3">
        <v>0.0</v>
      </c>
      <c r="H10027" s="3">
        <v>0.0</v>
      </c>
      <c r="I10027" s="3" t="s">
        <v>13</v>
      </c>
      <c r="J10027" s="3" t="s">
        <v>28567</v>
      </c>
      <c r="K10027" s="3" t="s">
        <v>31</v>
      </c>
      <c r="L10027" s="3" t="str">
        <f>IFERROR(__xludf.DUMMYFUNCTION("GOOGLETRANSLATE(F10027,""id"",""en"")"),"the Argentina champion who said Selamet Malau")</f>
        <v>the Argentina champion who said Selamet Malau</v>
      </c>
    </row>
    <row r="10028" ht="15.75" customHeight="1">
      <c r="A10028" s="1">
        <v>11265.0</v>
      </c>
      <c r="B10028" s="3" t="s">
        <v>28568</v>
      </c>
      <c r="C10028" s="3">
        <v>0.0</v>
      </c>
      <c r="D10028" s="3">
        <v>0.0</v>
      </c>
      <c r="E10028" s="3">
        <v>0.0</v>
      </c>
      <c r="F10028" s="3" t="s">
        <v>28569</v>
      </c>
      <c r="G10028" s="3">
        <v>0.0</v>
      </c>
      <c r="H10028" s="3">
        <v>0.0</v>
      </c>
      <c r="I10028" s="3" t="s">
        <v>13</v>
      </c>
      <c r="J10028" s="3" t="s">
        <v>28570</v>
      </c>
      <c r="K10028" s="3" t="s">
        <v>1097</v>
      </c>
      <c r="L10028" s="3" t="str">
        <f>IFERROR(__xludf.DUMMYFUNCTION("GOOGLETRANSLATE(F10028,""id"",""en"")"),"Argentina Champion Hikaru Champion Billie Birthday What Freakin Dayyy")</f>
        <v>Argentina Champion Hikaru Champion Billie Birthday What Freakin Dayyy</v>
      </c>
    </row>
    <row r="10029" ht="15.75" customHeight="1">
      <c r="A10029" s="1">
        <v>11266.0</v>
      </c>
      <c r="B10029" s="3" t="s">
        <v>28571</v>
      </c>
      <c r="C10029" s="3">
        <v>0.0</v>
      </c>
      <c r="D10029" s="3">
        <v>4.0</v>
      </c>
      <c r="E10029" s="3">
        <v>0.0</v>
      </c>
      <c r="F10029" s="3" t="s">
        <v>28572</v>
      </c>
      <c r="G10029" s="3">
        <v>0.0</v>
      </c>
      <c r="H10029" s="3">
        <v>0.0</v>
      </c>
      <c r="I10029" s="3" t="s">
        <v>13</v>
      </c>
      <c r="J10029" s="3" t="s">
        <v>28573</v>
      </c>
      <c r="K10029" s="3" t="s">
        <v>58</v>
      </c>
      <c r="L10029" s="3" t="str">
        <f>IFERROR(__xludf.DUMMYFUNCTION("GOOGLETRANSLATE(F10029,""id"",""en"")"),"John Terry Terolok olok Sergio Aguero joined the Argentine celebration of the World Cup championship")</f>
        <v>John Terry Terolok olok Sergio Aguero joined the Argentine celebration of the World Cup championship</v>
      </c>
    </row>
    <row r="10030" ht="15.75" customHeight="1">
      <c r="A10030" s="1">
        <v>11267.0</v>
      </c>
      <c r="B10030" s="3" t="s">
        <v>28574</v>
      </c>
      <c r="C10030" s="3">
        <v>1.0</v>
      </c>
      <c r="D10030" s="3">
        <v>0.0</v>
      </c>
      <c r="E10030" s="3">
        <v>0.0</v>
      </c>
      <c r="F10030" s="3" t="s">
        <v>28575</v>
      </c>
      <c r="G10030" s="3">
        <v>0.0</v>
      </c>
      <c r="H10030" s="3">
        <v>0.0</v>
      </c>
      <c r="I10030" s="3" t="s">
        <v>13</v>
      </c>
      <c r="J10030" s="3" t="s">
        <v>28576</v>
      </c>
      <c r="K10030" s="3" t="s">
        <v>236</v>
      </c>
      <c r="L10030" s="3" t="str">
        <f>IFERROR(__xludf.DUMMYFUNCTION("GOOGLETRANSLATE(F10030,""id"",""en"")"),"I used to support Argentina but this time supported Argentina because of Messi and finally champions")</f>
        <v>I used to support Argentina but this time supported Argentina because of Messi and finally champions</v>
      </c>
    </row>
    <row r="10031" ht="15.75" customHeight="1">
      <c r="A10031" s="1">
        <v>11268.0</v>
      </c>
      <c r="B10031" s="3" t="s">
        <v>28577</v>
      </c>
      <c r="C10031" s="3">
        <v>0.0</v>
      </c>
      <c r="D10031" s="3">
        <v>4.0</v>
      </c>
      <c r="E10031" s="3">
        <v>0.0</v>
      </c>
      <c r="F10031" s="3" t="s">
        <v>28578</v>
      </c>
      <c r="G10031" s="3">
        <v>0.0</v>
      </c>
      <c r="H10031" s="3">
        <v>0.0</v>
      </c>
      <c r="I10031" s="3" t="s">
        <v>13</v>
      </c>
      <c r="J10031" s="3" t="s">
        <v>28579</v>
      </c>
      <c r="K10031" s="3" t="s">
        <v>15</v>
      </c>
      <c r="L10031" s="3" t="str">
        <f>IFERROR(__xludf.DUMMYFUNCTION("GOOGLETRANSLATE(F10031,""id"",""en"")"),"Without sweat, these two players won the World Cup with Argentina")</f>
        <v>Without sweat, these two players won the World Cup with Argentina</v>
      </c>
    </row>
    <row r="10032" ht="15.75" customHeight="1">
      <c r="A10032" s="1">
        <v>11269.0</v>
      </c>
      <c r="B10032" s="3" t="s">
        <v>28580</v>
      </c>
      <c r="C10032" s="3">
        <v>0.0</v>
      </c>
      <c r="D10032" s="3">
        <v>0.0</v>
      </c>
      <c r="E10032" s="3">
        <v>1.0</v>
      </c>
      <c r="F10032" s="3" t="s">
        <v>28581</v>
      </c>
      <c r="G10032" s="3">
        <v>0.0</v>
      </c>
      <c r="H10032" s="3">
        <v>0.0</v>
      </c>
      <c r="I10032" s="3" t="s">
        <v>13</v>
      </c>
      <c r="J10032" s="3" t="s">
        <v>28582</v>
      </c>
      <c r="K10032" s="3" t="s">
        <v>75</v>
      </c>
      <c r="L10032" s="3" t="str">
        <f>IFERROR(__xludf.DUMMYFUNCTION("GOOGLETRANSLATE(F10032,""id"",""en"")"),"Official Alah Argentina Bacot, the champion is already witnessed by the world")</f>
        <v>Official Alah Argentina Bacot, the champion is already witnessed by the world</v>
      </c>
    </row>
    <row r="10033" ht="15.75" customHeight="1">
      <c r="A10033" s="1">
        <v>11270.0</v>
      </c>
      <c r="B10033" s="3" t="s">
        <v>28583</v>
      </c>
      <c r="C10033" s="3">
        <v>0.0</v>
      </c>
      <c r="D10033" s="3">
        <v>4.0</v>
      </c>
      <c r="E10033" s="3">
        <v>0.0</v>
      </c>
      <c r="F10033" s="3" t="s">
        <v>28584</v>
      </c>
      <c r="G10033" s="3">
        <v>0.0</v>
      </c>
      <c r="H10033" s="3">
        <v>0.0</v>
      </c>
      <c r="I10033" s="3" t="s">
        <v>13</v>
      </c>
      <c r="J10033" s="3" t="s">
        <v>28585</v>
      </c>
      <c r="K10033" s="3" t="s">
        <v>19</v>
      </c>
      <c r="L10033" s="3" t="str">
        <f>IFERROR(__xludf.DUMMYFUNCTION("GOOGLETRANSLATE(F10033,""id"",""en"")"),"between Argentina World Cup champion Paulo Dybala ended a bad shadow of a penalty shootout")</f>
        <v>between Argentina World Cup champion Paulo Dybala ended a bad shadow of a penalty shootout</v>
      </c>
    </row>
    <row r="10034" ht="15.75" customHeight="1">
      <c r="A10034" s="1">
        <v>11271.0</v>
      </c>
      <c r="B10034" s="3" t="s">
        <v>28586</v>
      </c>
      <c r="C10034" s="3">
        <v>0.0</v>
      </c>
      <c r="D10034" s="3">
        <v>0.0</v>
      </c>
      <c r="E10034" s="3">
        <v>0.0</v>
      </c>
      <c r="F10034" s="3" t="s">
        <v>28587</v>
      </c>
      <c r="G10034" s="3">
        <v>0.0</v>
      </c>
      <c r="H10034" s="3">
        <v>0.0</v>
      </c>
      <c r="I10034" s="3" t="s">
        <v>13</v>
      </c>
      <c r="J10034" s="3" t="s">
        <v>28588</v>
      </c>
      <c r="K10034" s="3" t="s">
        <v>41</v>
      </c>
      <c r="L10034" s="3" t="str">
        <f>IFERROR(__xludf.DUMMYFUNCTION("GOOGLETRANSLATE(F10034,""id"",""en"")"),"Stupid makes Argentina fail to win Higuain not Aguero Bloon stupid")</f>
        <v>Stupid makes Argentina fail to win Higuain not Aguero Bloon stupid</v>
      </c>
    </row>
    <row r="10035" ht="15.75" customHeight="1">
      <c r="A10035" s="1">
        <v>11272.0</v>
      </c>
      <c r="B10035" s="3" t="s">
        <v>28589</v>
      </c>
      <c r="C10035" s="3">
        <v>1.0</v>
      </c>
      <c r="D10035" s="3">
        <v>3.0</v>
      </c>
      <c r="E10035" s="3">
        <v>8.0</v>
      </c>
      <c r="F10035" s="3" t="s">
        <v>28590</v>
      </c>
      <c r="G10035" s="3">
        <v>0.0</v>
      </c>
      <c r="H10035" s="3">
        <v>0.0</v>
      </c>
      <c r="I10035" s="3" t="s">
        <v>13</v>
      </c>
      <c r="J10035" s="3" t="s">
        <v>28591</v>
      </c>
      <c r="K10035" s="3" t="s">
        <v>348</v>
      </c>
      <c r="L10035" s="3" t="str">
        <f>IFERROR(__xludf.DUMMYFUNCTION("GOOGLETRANSLATE(F10035,""id"",""en"")"),"Here the row hurt will be able to accept Messi and Argentina the referee champion has shown the match that there was no conspiracy last night with a French penalty prize but")</f>
        <v>Here the row hurt will be able to accept Messi and Argentina the referee champion has shown the match that there was no conspiracy last night with a French penalty prize but</v>
      </c>
    </row>
    <row r="10036" ht="15.75" customHeight="1">
      <c r="A10036" s="1">
        <v>11273.0</v>
      </c>
      <c r="B10036" s="3" t="s">
        <v>28592</v>
      </c>
      <c r="C10036" s="3">
        <v>0.0</v>
      </c>
      <c r="D10036" s="3">
        <v>0.0</v>
      </c>
      <c r="E10036" s="3">
        <v>0.0</v>
      </c>
      <c r="F10036" s="3" t="s">
        <v>28593</v>
      </c>
      <c r="G10036" s="3">
        <v>0.0</v>
      </c>
      <c r="H10036" s="3">
        <v>0.0</v>
      </c>
      <c r="I10036" s="3" t="s">
        <v>13</v>
      </c>
      <c r="J10036" s="3" t="s">
        <v>28594</v>
      </c>
      <c r="K10036" s="3" t="s">
        <v>510</v>
      </c>
      <c r="L10036" s="3" t="str">
        <f>IFERROR(__xludf.DUMMYFUNCTION("GOOGLETRANSLATE(F10036,""id"",""en"")"),"hahahahaiks ugly the last fwc point but fortunately Argentina champions back fpl which is clearer system wkwk")</f>
        <v>hahahahaiks ugly the last fwc point but fortunately Argentina champions back fpl which is clearer system wkwk</v>
      </c>
    </row>
    <row r="10037" ht="15.75" customHeight="1">
      <c r="A10037" s="1">
        <v>11274.0</v>
      </c>
      <c r="B10037" s="3" t="s">
        <v>28595</v>
      </c>
      <c r="C10037" s="3">
        <v>0.0</v>
      </c>
      <c r="D10037" s="3">
        <v>0.0</v>
      </c>
      <c r="E10037" s="3">
        <v>0.0</v>
      </c>
      <c r="F10037" s="3" t="s">
        <v>28596</v>
      </c>
      <c r="G10037" s="3">
        <v>0.0</v>
      </c>
      <c r="H10037" s="3">
        <v>0.0</v>
      </c>
      <c r="I10037" s="3" t="s">
        <v>13</v>
      </c>
      <c r="J10037" s="3" t="s">
        <v>28597</v>
      </c>
      <c r="K10037" s="3" t="s">
        <v>54</v>
      </c>
      <c r="L10037" s="3" t="str">
        <f>IFERROR(__xludf.DUMMYFUNCTION("GOOGLETRANSLATE(F10037,""id"",""en"")"),"Mamang is proud of you Argentina champion Aya")</f>
        <v>Mamang is proud of you Argentina champion Aya</v>
      </c>
    </row>
    <row r="10038" ht="15.75" customHeight="1">
      <c r="A10038" s="1">
        <v>11275.0</v>
      </c>
      <c r="B10038" s="3" t="s">
        <v>28598</v>
      </c>
      <c r="C10038" s="3">
        <v>0.0</v>
      </c>
      <c r="D10038" s="3">
        <v>13.0</v>
      </c>
      <c r="E10038" s="3">
        <v>14.0</v>
      </c>
      <c r="F10038" s="3" t="s">
        <v>28599</v>
      </c>
      <c r="G10038" s="3">
        <v>0.0</v>
      </c>
      <c r="H10038" s="3">
        <v>0.0</v>
      </c>
      <c r="I10038" s="3" t="s">
        <v>13</v>
      </c>
      <c r="J10038" s="3" t="s">
        <v>28600</v>
      </c>
      <c r="K10038" s="3" t="s">
        <v>1061</v>
      </c>
      <c r="L10038" s="3" t="str">
        <f>IFERROR(__xludf.DUMMYFUNCTION("GOOGLETRANSLATE(F10038,""id"",""en"")"),"Argentina Champion France Runner with Mbappe Hattrick Croatia Hepi penalties even though only Moroccan champions are prayed for her mother and Indonesia is still not finished.")</f>
        <v>Argentina Champion France Runner with Mbappe Hattrick Croatia Hepi penalties even though only Moroccan champions are prayed for her mother and Indonesia is still not finished.</v>
      </c>
    </row>
    <row r="10039" ht="15.75" customHeight="1">
      <c r="A10039" s="1">
        <v>11276.0</v>
      </c>
      <c r="B10039" s="3" t="s">
        <v>28601</v>
      </c>
      <c r="C10039" s="3">
        <v>0.0</v>
      </c>
      <c r="D10039" s="3">
        <v>0.0</v>
      </c>
      <c r="E10039" s="3">
        <v>0.0</v>
      </c>
      <c r="F10039" s="3" t="s">
        <v>28602</v>
      </c>
      <c r="G10039" s="3">
        <v>0.0</v>
      </c>
      <c r="H10039" s="3">
        <v>0.0</v>
      </c>
      <c r="I10039" s="3" t="s">
        <v>13</v>
      </c>
      <c r="J10039" s="3" t="s">
        <v>28603</v>
      </c>
      <c r="K10039" s="3" t="s">
        <v>644</v>
      </c>
      <c r="L10039" s="3" t="str">
        <f>IFERROR(__xludf.DUMMYFUNCTION("GOOGLETRANSLATE(F10039,""id"",""en"")"),"Argentina who won me who was bullied")</f>
        <v>Argentina who won me who was bullied</v>
      </c>
    </row>
    <row r="10040" ht="15.75" customHeight="1">
      <c r="A10040" s="1">
        <v>11277.0</v>
      </c>
      <c r="B10040" s="3" t="s">
        <v>28604</v>
      </c>
      <c r="C10040" s="3">
        <v>0.0</v>
      </c>
      <c r="D10040" s="3">
        <v>0.0</v>
      </c>
      <c r="E10040" s="3">
        <v>0.0</v>
      </c>
      <c r="F10040" s="3" t="s">
        <v>28605</v>
      </c>
      <c r="G10040" s="3">
        <v>0.0</v>
      </c>
      <c r="H10040" s="3">
        <v>0.0</v>
      </c>
      <c r="I10040" s="3" t="s">
        <v>13</v>
      </c>
      <c r="J10040" s="3" t="s">
        <v>28606</v>
      </c>
      <c r="K10040" s="3" t="s">
        <v>82</v>
      </c>
      <c r="L10040" s="3" t="str">
        <f>IFERROR(__xludf.DUMMYFUNCTION("GOOGLETRANSLATE(F10040,""id"",""en"")"),"Don't forget to wash Argentina. Already Champion")</f>
        <v>Don't forget to wash Argentina. Already Champion</v>
      </c>
    </row>
    <row r="10041" ht="15.75" customHeight="1">
      <c r="A10041" s="1">
        <v>11278.0</v>
      </c>
      <c r="B10041" s="3" t="s">
        <v>28607</v>
      </c>
      <c r="C10041" s="3">
        <v>0.0</v>
      </c>
      <c r="D10041" s="3">
        <v>0.0</v>
      </c>
      <c r="E10041" s="3">
        <v>0.0</v>
      </c>
      <c r="F10041" s="3" t="s">
        <v>28608</v>
      </c>
      <c r="G10041" s="3">
        <v>0.0</v>
      </c>
      <c r="H10041" s="3">
        <v>0.0</v>
      </c>
      <c r="I10041" s="3" t="s">
        <v>13</v>
      </c>
      <c r="J10041" s="3" t="s">
        <v>28609</v>
      </c>
      <c r="K10041" s="3" t="s">
        <v>82</v>
      </c>
      <c r="L10041" s="3" t="str">
        <f>IFERROR(__xludf.DUMMYFUNCTION("GOOGLETRANSLATE(F10041,""id"",""en"")"),"Argentina Champion World Cup President Selfie Front")</f>
        <v>Argentina Champion World Cup President Selfie Front</v>
      </c>
    </row>
    <row r="10042" ht="15.75" customHeight="1">
      <c r="A10042" s="1">
        <v>11279.0</v>
      </c>
      <c r="B10042" s="3" t="s">
        <v>28610</v>
      </c>
      <c r="C10042" s="3">
        <v>0.0</v>
      </c>
      <c r="D10042" s="3">
        <v>0.0</v>
      </c>
      <c r="E10042" s="3">
        <v>0.0</v>
      </c>
      <c r="F10042" s="3" t="s">
        <v>28611</v>
      </c>
      <c r="G10042" s="3">
        <v>0.0</v>
      </c>
      <c r="H10042" s="3">
        <v>0.0</v>
      </c>
      <c r="I10042" s="3" t="s">
        <v>13</v>
      </c>
      <c r="J10042" s="3" t="s">
        <v>28612</v>
      </c>
      <c r="K10042" s="3" t="s">
        <v>236</v>
      </c>
      <c r="L10042" s="3" t="str">
        <f>IFERROR(__xludf.DUMMYFUNCTION("GOOGLETRANSLATE(F10042,""id"",""en"")"),"Better to see Argentina champions than you see you walk with him")</f>
        <v>Better to see Argentina champions than you see you walk with him</v>
      </c>
    </row>
    <row r="10043" ht="15.75" customHeight="1">
      <c r="A10043" s="1">
        <v>11280.0</v>
      </c>
      <c r="B10043" s="3" t="s">
        <v>28613</v>
      </c>
      <c r="C10043" s="3">
        <v>1.0</v>
      </c>
      <c r="D10043" s="3">
        <v>1.0</v>
      </c>
      <c r="E10043" s="3">
        <v>3.0</v>
      </c>
      <c r="F10043" s="3" t="s">
        <v>28614</v>
      </c>
      <c r="G10043" s="3">
        <v>0.0</v>
      </c>
      <c r="H10043" s="3">
        <v>0.0</v>
      </c>
      <c r="I10043" s="3" t="s">
        <v>13</v>
      </c>
      <c r="J10043" s="3" t="s">
        <v>28615</v>
      </c>
      <c r="K10043" s="3" t="s">
        <v>286</v>
      </c>
      <c r="L10043" s="3" t="str">
        <f>IFERROR(__xludf.DUMMYFUNCTION("GOOGLETRANSLATE(F10043,""id"",""en"")"),"Radite but you can believe that KLU Argentina goalkeeper Emiliano Martinez is actually lifting this team Copa America and KLU World Cup Bukn Martinez Messi will be champions any national opinion team")</f>
        <v>Radite but you can believe that KLU Argentina goalkeeper Emiliano Martinez is actually lifting this team Copa America and KLU World Cup Bukn Martinez Messi will be champions any national opinion team</v>
      </c>
    </row>
    <row r="10044" ht="15.75" customHeight="1">
      <c r="A10044" s="1">
        <v>11281.0</v>
      </c>
      <c r="B10044" s="3" t="s">
        <v>28616</v>
      </c>
      <c r="C10044" s="3">
        <v>0.0</v>
      </c>
      <c r="D10044" s="3">
        <v>1.0</v>
      </c>
      <c r="E10044" s="3">
        <v>14.0</v>
      </c>
      <c r="F10044" s="3" t="s">
        <v>28260</v>
      </c>
      <c r="G10044" s="3">
        <v>0.0</v>
      </c>
      <c r="H10044" s="3">
        <v>0.0</v>
      </c>
      <c r="I10044" s="3" t="s">
        <v>13</v>
      </c>
      <c r="J10044" s="3" t="s">
        <v>28261</v>
      </c>
      <c r="K10044" s="3" t="s">
        <v>495</v>
      </c>
      <c r="L10044" s="3" t="str">
        <f>IFERROR(__xludf.DUMMYFUNCTION("GOOGLETRANSLATE(F10044,""id"",""en"")"),"Argentina's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0045" ht="15.75" customHeight="1">
      <c r="A10045" s="1">
        <v>11282.0</v>
      </c>
      <c r="B10045" s="3" t="s">
        <v>28617</v>
      </c>
      <c r="C10045" s="3">
        <v>2.0</v>
      </c>
      <c r="D10045" s="3">
        <v>0.0</v>
      </c>
      <c r="E10045" s="3">
        <v>1.0</v>
      </c>
      <c r="F10045" s="3" t="s">
        <v>28618</v>
      </c>
      <c r="G10045" s="3">
        <v>0.5</v>
      </c>
      <c r="H10045" s="3">
        <v>0.2</v>
      </c>
      <c r="I10045" s="3" t="s">
        <v>48</v>
      </c>
      <c r="J10045" s="3" t="s">
        <v>28619</v>
      </c>
      <c r="K10045" s="3" t="s">
        <v>131</v>
      </c>
      <c r="L10045" s="3" t="str">
        <f>IFERROR(__xludf.DUMMYFUNCTION("GOOGLETRANSLATE(F10045,""id"",""en"")"),"The point is that the handsome champion is the champion try France players and Argentina players hahahaha lost the skill losing faces all of them boss")</f>
        <v>The point is that the handsome champion is the champion try France players and Argentina players hahahaha lost the skill losing faces all of them boss</v>
      </c>
    </row>
    <row r="10046" ht="15.75" customHeight="1">
      <c r="A10046" s="1">
        <v>11283.0</v>
      </c>
      <c r="B10046" s="3" t="s">
        <v>28620</v>
      </c>
      <c r="C10046" s="3">
        <v>1.0</v>
      </c>
      <c r="D10046" s="3">
        <v>0.0</v>
      </c>
      <c r="E10046" s="3">
        <v>0.0</v>
      </c>
      <c r="F10046" s="3" t="s">
        <v>28621</v>
      </c>
      <c r="G10046" s="3">
        <v>0.0</v>
      </c>
      <c r="H10046" s="3">
        <v>0.0</v>
      </c>
      <c r="I10046" s="3" t="s">
        <v>13</v>
      </c>
      <c r="J10046" s="3" t="s">
        <v>28622</v>
      </c>
      <c r="K10046" s="3" t="s">
        <v>644</v>
      </c>
      <c r="L10046" s="3" t="str">
        <f>IFERROR(__xludf.DUMMYFUNCTION("GOOGLETRANSLATE(F10046,""id"",""en"")"),"From the initial settings of the Argentina champion wkwk")</f>
        <v>From the initial settings of the Argentina champion wkwk</v>
      </c>
    </row>
    <row r="10047" ht="15.75" customHeight="1">
      <c r="A10047" s="1">
        <v>11284.0</v>
      </c>
      <c r="B10047" s="3" t="s">
        <v>28623</v>
      </c>
      <c r="C10047" s="3">
        <v>0.0</v>
      </c>
      <c r="D10047" s="3">
        <v>2.0</v>
      </c>
      <c r="E10047" s="3">
        <v>12.0</v>
      </c>
      <c r="F10047" s="3" t="s">
        <v>28505</v>
      </c>
      <c r="G10047" s="3">
        <v>0.0</v>
      </c>
      <c r="H10047" s="3">
        <v>0.0</v>
      </c>
      <c r="I10047" s="3" t="s">
        <v>13</v>
      </c>
      <c r="J10047" s="3" t="s">
        <v>28506</v>
      </c>
      <c r="K10047" s="3" t="s">
        <v>358</v>
      </c>
      <c r="L10047" s="3" t="str">
        <f>IFERROR(__xludf.DUMMYFUNCTION("GOOGLETRANSLATE(F10047,""id"",""en"")"),"Argentina Champion World Cup After silencing France through a penalty shootout after the victory the Argentine national team was paraded on the bus")</f>
        <v>Argentina Champion World Cup After silencing France through a penalty shootout after the victory the Argentine national team was paraded on the bus</v>
      </c>
    </row>
    <row r="10048" ht="15.75" customHeight="1">
      <c r="A10048" s="1">
        <v>11285.0</v>
      </c>
      <c r="B10048" s="3" t="s">
        <v>28624</v>
      </c>
      <c r="C10048" s="3">
        <v>1.0</v>
      </c>
      <c r="D10048" s="3">
        <v>5.0</v>
      </c>
      <c r="E10048" s="3">
        <v>43.0</v>
      </c>
      <c r="F10048" s="3" t="s">
        <v>28625</v>
      </c>
      <c r="G10048" s="3">
        <v>0.0</v>
      </c>
      <c r="H10048" s="3">
        <v>0.0</v>
      </c>
      <c r="I10048" s="3" t="s">
        <v>13</v>
      </c>
      <c r="J10048" s="3" t="s">
        <v>28626</v>
      </c>
      <c r="K10048" s="3" t="s">
        <v>433</v>
      </c>
      <c r="L10048" s="3" t="str">
        <f>IFERROR(__xludf.DUMMYFUNCTION("GOOGLETRANSLATE(F10048,""id"",""en"")"),"The former JDT player who is now an Argentina Juruaratih helper and has helped Argentina Champion the Qatar World Cup")</f>
        <v>The former JDT player who is now an Argentina Juruaratih helper and has helped Argentina Champion the Qatar World Cup</v>
      </c>
    </row>
    <row r="10049" ht="15.75" customHeight="1">
      <c r="A10049" s="1">
        <v>11286.0</v>
      </c>
      <c r="B10049" s="3" t="s">
        <v>28627</v>
      </c>
      <c r="C10049" s="3">
        <v>0.0</v>
      </c>
      <c r="D10049" s="3">
        <v>0.0</v>
      </c>
      <c r="E10049" s="3">
        <v>0.0</v>
      </c>
      <c r="F10049" s="3" t="s">
        <v>28628</v>
      </c>
      <c r="G10049" s="3">
        <v>0.0</v>
      </c>
      <c r="H10049" s="3">
        <v>0.0</v>
      </c>
      <c r="I10049" s="3" t="s">
        <v>13</v>
      </c>
      <c r="J10049" s="3" t="s">
        <v>28629</v>
      </c>
      <c r="K10049" s="3" t="s">
        <v>433</v>
      </c>
      <c r="L10049" s="3" t="str">
        <f>IFERROR(__xludf.DUMMYFUNCTION("GOOGLETRANSLATE(F10049,""id"",""en"")"),"Fix Federation France will report this incident FIFA and hopes that the Argentine world title is unplug if it is not federation")</f>
        <v>Fix Federation France will report this incident FIFA and hopes that the Argentine world title is unplug if it is not federation</v>
      </c>
    </row>
    <row r="10050" ht="15.75" customHeight="1">
      <c r="A10050" s="1">
        <v>11287.0</v>
      </c>
      <c r="B10050" s="3" t="s">
        <v>28630</v>
      </c>
      <c r="C10050" s="3">
        <v>6.0</v>
      </c>
      <c r="D10050" s="3">
        <v>3.0</v>
      </c>
      <c r="E10050" s="3">
        <v>70.0</v>
      </c>
      <c r="F10050" s="3" t="s">
        <v>28631</v>
      </c>
      <c r="G10050" s="3">
        <v>1.0</v>
      </c>
      <c r="H10050" s="3">
        <v>0.6</v>
      </c>
      <c r="I10050" s="3" t="s">
        <v>48</v>
      </c>
      <c r="J10050" s="3" t="s">
        <v>28632</v>
      </c>
      <c r="K10050" s="3" t="s">
        <v>82</v>
      </c>
      <c r="L10050" s="3" t="str">
        <f>IFERROR(__xludf.DUMMYFUNCTION("GOOGLETRANSLATE(F10050,""id"",""en"")"),"Argentina Champion So Messi Filming Nice Ads")</f>
        <v>Argentina Champion So Messi Filming Nice Ads</v>
      </c>
    </row>
    <row r="10051" ht="15.75" customHeight="1">
      <c r="A10051" s="1">
        <v>11288.0</v>
      </c>
      <c r="B10051" s="3" t="s">
        <v>28633</v>
      </c>
      <c r="C10051" s="3">
        <v>2.0</v>
      </c>
      <c r="D10051" s="3">
        <v>0.0</v>
      </c>
      <c r="E10051" s="3">
        <v>0.0</v>
      </c>
      <c r="F10051" s="3" t="s">
        <v>28634</v>
      </c>
      <c r="G10051" s="3">
        <v>0.0</v>
      </c>
      <c r="H10051" s="3">
        <v>0.0</v>
      </c>
      <c r="I10051" s="3" t="s">
        <v>13</v>
      </c>
      <c r="J10051" s="3" t="s">
        <v>28635</v>
      </c>
      <c r="K10051" s="3" t="s">
        <v>15</v>
      </c>
      <c r="L10051" s="3" t="str">
        <f>IFERROR(__xludf.DUMMYFUNCTION("GOOGLETRANSLATE(F10051,""id"",""en"")"),"Najeges Argentina Champion I immediately bought the jersey Messi")</f>
        <v>Najeges Argentina Champion I immediately bought the jersey Messi</v>
      </c>
    </row>
    <row r="10052" ht="15.75" customHeight="1">
      <c r="A10052" s="1">
        <v>11289.0</v>
      </c>
      <c r="B10052" s="3" t="s">
        <v>28636</v>
      </c>
      <c r="C10052" s="3">
        <v>0.0</v>
      </c>
      <c r="D10052" s="3">
        <v>0.0</v>
      </c>
      <c r="E10052" s="3">
        <v>0.0</v>
      </c>
      <c r="F10052" s="3" t="s">
        <v>28637</v>
      </c>
      <c r="G10052" s="3">
        <v>0.0</v>
      </c>
      <c r="H10052" s="3">
        <v>0.0</v>
      </c>
      <c r="I10052" s="3" t="s">
        <v>13</v>
      </c>
      <c r="J10052" s="3" t="s">
        <v>28638</v>
      </c>
      <c r="K10052" s="3" t="s">
        <v>82</v>
      </c>
      <c r="L10052" s="3" t="str">
        <f>IFERROR(__xludf.DUMMYFUNCTION("GOOGLETRANSLATE(F10052,""id"",""en"")"),"all your bacotan will not change the facts if the Argentine championship")</f>
        <v>all your bacotan will not change the facts if the Argentine championship</v>
      </c>
    </row>
    <row r="10053" ht="15.75" customHeight="1">
      <c r="A10053" s="1">
        <v>11290.0</v>
      </c>
      <c r="B10053" s="3" t="s">
        <v>28639</v>
      </c>
      <c r="C10053" s="3">
        <v>2.0</v>
      </c>
      <c r="D10053" s="3">
        <v>0.0</v>
      </c>
      <c r="E10053" s="3">
        <v>0.0</v>
      </c>
      <c r="F10053" s="3" t="s">
        <v>28640</v>
      </c>
      <c r="G10053" s="3">
        <v>0.0</v>
      </c>
      <c r="H10053" s="3">
        <v>0.0</v>
      </c>
      <c r="I10053" s="3" t="s">
        <v>13</v>
      </c>
      <c r="J10053" s="3" t="s">
        <v>28641</v>
      </c>
      <c r="K10053" s="3" t="s">
        <v>437</v>
      </c>
      <c r="L10053" s="3" t="str">
        <f>IFERROR(__xludf.DUMMYFUNCTION("GOOGLETRANSLATE(F10053,""id"",""en"")"),"Redsindo if FIFA can set the Argentina world champion why not just setting politics, right watching many rich officials there are macron etc.")</f>
        <v>Redsindo if FIFA can set the Argentina world champion why not just setting politics, right watching many rich officials there are macron etc.</v>
      </c>
    </row>
    <row r="10054" ht="15.75" customHeight="1">
      <c r="A10054" s="1">
        <v>11291.0</v>
      </c>
      <c r="B10054" s="3" t="s">
        <v>28642</v>
      </c>
      <c r="C10054" s="3">
        <v>0.0</v>
      </c>
      <c r="D10054" s="3">
        <v>0.0</v>
      </c>
      <c r="E10054" s="3">
        <v>0.0</v>
      </c>
      <c r="F10054" s="3" t="s">
        <v>28643</v>
      </c>
      <c r="G10054" s="3">
        <v>0.0</v>
      </c>
      <c r="H10054" s="3">
        <v>0.0</v>
      </c>
      <c r="I10054" s="3" t="s">
        <v>13</v>
      </c>
      <c r="J10054" s="3" t="s">
        <v>28644</v>
      </c>
      <c r="K10054" s="3" t="s">
        <v>58</v>
      </c>
      <c r="L10054" s="3" t="str">
        <f>IFERROR(__xludf.DUMMYFUNCTION("GOOGLETRANSLATE(F10054,""id"",""en"")"),"to be precise after Anies Safari the Universe so supporting Argentina Champion Thank you Anies for")</f>
        <v>to be precise after Anies Safari the Universe so supporting Argentina Champion Thank you Anies for</v>
      </c>
    </row>
    <row r="10055" ht="15.75" customHeight="1">
      <c r="A10055" s="1">
        <v>11292.0</v>
      </c>
      <c r="B10055" s="3" t="s">
        <v>28645</v>
      </c>
      <c r="C10055" s="3">
        <v>0.0</v>
      </c>
      <c r="D10055" s="3">
        <v>4.0</v>
      </c>
      <c r="E10055" s="3">
        <v>0.0</v>
      </c>
      <c r="F10055" s="3" t="s">
        <v>28646</v>
      </c>
      <c r="G10055" s="3">
        <v>1.0</v>
      </c>
      <c r="H10055" s="3">
        <v>0.0</v>
      </c>
      <c r="I10055" s="3" t="s">
        <v>13</v>
      </c>
      <c r="J10055" s="3" t="s">
        <v>28647</v>
      </c>
      <c r="K10055" s="3" t="s">
        <v>50</v>
      </c>
      <c r="L10055" s="3" t="str">
        <f>IFERROR(__xludf.DUMMYFUNCTION("GOOGLETRANSLATE(F10055,""id"",""en"")"),"Congratulations to those who won the world champion after winning the final against France last night")</f>
        <v>Congratulations to those who won the world champion after winning the final against France last night</v>
      </c>
    </row>
    <row r="10056" ht="15.75" customHeight="1">
      <c r="A10056" s="1">
        <v>11293.0</v>
      </c>
      <c r="B10056" s="3" t="s">
        <v>28648</v>
      </c>
      <c r="C10056" s="3">
        <v>1.0</v>
      </c>
      <c r="D10056" s="3">
        <v>4.0</v>
      </c>
      <c r="E10056" s="3">
        <v>11.0</v>
      </c>
      <c r="F10056" s="3" t="s">
        <v>28649</v>
      </c>
      <c r="G10056" s="3">
        <v>0.0</v>
      </c>
      <c r="H10056" s="3">
        <v>0.0</v>
      </c>
      <c r="I10056" s="3" t="s">
        <v>13</v>
      </c>
      <c r="J10056" s="3" t="s">
        <v>28650</v>
      </c>
      <c r="K10056" s="3" t="s">
        <v>2610</v>
      </c>
      <c r="L10056" s="3" t="str">
        <f>IFERROR(__xludf.DUMMYFUNCTION("GOOGLETRANSLATE(F10056,""id"",""en"")"),"God so sorry for the family should have reminded that don't want to be composed of stoves in heat, heating people around him Argentina champions of the World Cup PSSI lift the giant trophy")</f>
        <v>God so sorry for the family should have reminded that don't want to be composed of stoves in heat, heating people around him Argentina champions of the World Cup PSSI lift the giant trophy</v>
      </c>
    </row>
    <row r="10057" ht="15.75" customHeight="1">
      <c r="A10057" s="1">
        <v>11294.0</v>
      </c>
      <c r="B10057" s="3" t="s">
        <v>28651</v>
      </c>
      <c r="C10057" s="3">
        <v>0.0</v>
      </c>
      <c r="D10057" s="3">
        <v>0.0</v>
      </c>
      <c r="E10057" s="3">
        <v>0.0</v>
      </c>
      <c r="F10057" s="3" t="s">
        <v>28652</v>
      </c>
      <c r="G10057" s="3">
        <v>0.0</v>
      </c>
      <c r="H10057" s="3">
        <v>0.0</v>
      </c>
      <c r="I10057" s="3" t="s">
        <v>13</v>
      </c>
      <c r="J10057" s="3" t="s">
        <v>28653</v>
      </c>
      <c r="K10057" s="3" t="s">
        <v>82</v>
      </c>
      <c r="L10057" s="3" t="str">
        <f>IFERROR(__xludf.DUMMYFUNCTION("GOOGLETRANSLATE(F10057,""id"",""en"")"),"World Cup Champion Argentine goalkeeper said it was destiny")</f>
        <v>World Cup Champion Argentine goalkeeper said it was destiny</v>
      </c>
    </row>
    <row r="10058" ht="15.75" customHeight="1">
      <c r="A10058" s="1">
        <v>11295.0</v>
      </c>
      <c r="B10058" s="3" t="s">
        <v>28654</v>
      </c>
      <c r="C10058" s="3">
        <v>0.0</v>
      </c>
      <c r="D10058" s="3">
        <v>0.0</v>
      </c>
      <c r="E10058" s="3">
        <v>0.0</v>
      </c>
      <c r="F10058" s="3" t="s">
        <v>28655</v>
      </c>
      <c r="G10058" s="3">
        <v>0.0</v>
      </c>
      <c r="H10058" s="3">
        <v>0.0</v>
      </c>
      <c r="I10058" s="3" t="s">
        <v>13</v>
      </c>
      <c r="J10058" s="3" t="s">
        <v>28656</v>
      </c>
      <c r="K10058" s="3" t="s">
        <v>28657</v>
      </c>
      <c r="L10058" s="3" t="str">
        <f>IFERROR(__xludf.DUMMYFUNCTION("GOOGLETRANSLATE(F10058,""id"",""en"")"),"Many team fans can lose to Argentina Seng Trima Argentina World Cup champion said that this is a penalty that is hadeh, so the team is supporting to win, so I can lift the world cup just so it is a team of entertainers during the World Cup alone")</f>
        <v>Many team fans can lose to Argentina Seng Trima Argentina World Cup champion said that this is a penalty that is hadeh, so the team is supporting to win, so I can lift the world cup just so it is a team of entertainers during the World Cup alone</v>
      </c>
    </row>
    <row r="10059" ht="15.75" customHeight="1">
      <c r="A10059" s="1">
        <v>11296.0</v>
      </c>
      <c r="B10059" s="3" t="s">
        <v>28658</v>
      </c>
      <c r="C10059" s="3">
        <v>0.0</v>
      </c>
      <c r="D10059" s="3">
        <v>0.0</v>
      </c>
      <c r="E10059" s="3">
        <v>0.0</v>
      </c>
      <c r="F10059" s="3" t="s">
        <v>28659</v>
      </c>
      <c r="G10059" s="3">
        <v>0.0</v>
      </c>
      <c r="H10059" s="3">
        <v>0.0</v>
      </c>
      <c r="I10059" s="3" t="s">
        <v>13</v>
      </c>
      <c r="J10059" s="3" t="s">
        <v>28660</v>
      </c>
      <c r="K10059" s="3" t="s">
        <v>236</v>
      </c>
      <c r="L10059" s="3" t="str">
        <f>IFERROR(__xludf.DUMMYFUNCTION("GOOGLETRANSLATE(F10059,""id"",""en"")"),"surprised that Argentina champions World Cup clearly there is an Emyu player that can definitely be a champion")</f>
        <v>surprised that Argentina champions World Cup clearly there is an Emyu player that can definitely be a champion</v>
      </c>
    </row>
    <row r="10060" ht="15.75" customHeight="1">
      <c r="A10060" s="1">
        <v>11297.0</v>
      </c>
      <c r="B10060" s="3" t="s">
        <v>28661</v>
      </c>
      <c r="C10060" s="3">
        <v>0.0</v>
      </c>
      <c r="D10060" s="3">
        <v>0.0</v>
      </c>
      <c r="E10060" s="3">
        <v>0.0</v>
      </c>
      <c r="F10060" s="3" t="s">
        <v>25456</v>
      </c>
      <c r="G10060" s="3">
        <v>0.0</v>
      </c>
      <c r="H10060" s="3">
        <v>0.0</v>
      </c>
      <c r="I10060" s="3" t="s">
        <v>13</v>
      </c>
      <c r="J10060" s="3" t="s">
        <v>25457</v>
      </c>
      <c r="K10060" s="3" t="s">
        <v>41</v>
      </c>
      <c r="L10060" s="3" t="str">
        <f>IFERROR(__xludf.DUMMYFUNCTION("GOOGLETRANSLATE(F10060,""id"",""en"")"),"Argentina Champion World Cup after defeating France through penalties")</f>
        <v>Argentina Champion World Cup after defeating France through penalties</v>
      </c>
    </row>
    <row r="10061" ht="15.75" customHeight="1">
      <c r="A10061" s="1">
        <v>11298.0</v>
      </c>
      <c r="B10061" s="3" t="s">
        <v>28662</v>
      </c>
      <c r="C10061" s="3">
        <v>2.0</v>
      </c>
      <c r="D10061" s="3">
        <v>2.0</v>
      </c>
      <c r="E10061" s="3">
        <v>0.0</v>
      </c>
      <c r="F10061" s="3" t="s">
        <v>28663</v>
      </c>
      <c r="G10061" s="3">
        <v>0.0</v>
      </c>
      <c r="H10061" s="3">
        <v>0.0</v>
      </c>
      <c r="I10061" s="3" t="s">
        <v>13</v>
      </c>
      <c r="J10061" s="3" t="s">
        <v>28664</v>
      </c>
      <c r="K10061" s="3" t="s">
        <v>82</v>
      </c>
      <c r="L10061" s="3" t="str">
        <f>IFERROR(__xludf.DUMMYFUNCTION("GOOGLETRANSLATE(F10061,""id"",""en"")"),"Messi was happy after being able to bring Argentina to become world champion")</f>
        <v>Messi was happy after being able to bring Argentina to become world champion</v>
      </c>
    </row>
    <row r="10062" ht="15.75" customHeight="1">
      <c r="A10062" s="1">
        <v>11299.0</v>
      </c>
      <c r="B10062" s="3" t="s">
        <v>28665</v>
      </c>
      <c r="C10062" s="3">
        <v>1.0</v>
      </c>
      <c r="D10062" s="3">
        <v>0.0</v>
      </c>
      <c r="E10062" s="3">
        <v>1.0</v>
      </c>
      <c r="F10062" s="3" t="s">
        <v>28666</v>
      </c>
      <c r="G10062" s="3">
        <v>0.0</v>
      </c>
      <c r="H10062" s="3">
        <v>0.0</v>
      </c>
      <c r="I10062" s="3" t="s">
        <v>13</v>
      </c>
      <c r="J10062" s="3" t="s">
        <v>28667</v>
      </c>
      <c r="K10062" s="3" t="s">
        <v>657</v>
      </c>
      <c r="L10062" s="3" t="str">
        <f>IFERROR(__xludf.DUMMYFUNCTION("GOOGLETRANSLATE(F10062,""id"",""en"")"),"Even though Betting Holds France, I was touched when Argentina won the Tanggo team, especially the King Messi")</f>
        <v>Even though Betting Holds France, I was touched when Argentina won the Tanggo team, especially the King Messi</v>
      </c>
    </row>
    <row r="10063" ht="15.75" customHeight="1">
      <c r="A10063" s="1">
        <v>11300.0</v>
      </c>
      <c r="B10063" s="3" t="s">
        <v>28668</v>
      </c>
      <c r="C10063" s="3">
        <v>0.0</v>
      </c>
      <c r="D10063" s="3">
        <v>0.0</v>
      </c>
      <c r="E10063" s="3">
        <v>6.0</v>
      </c>
      <c r="F10063" s="3" t="s">
        <v>28669</v>
      </c>
      <c r="G10063" s="3">
        <v>0.0</v>
      </c>
      <c r="H10063" s="3">
        <v>0.0</v>
      </c>
      <c r="I10063" s="3" t="s">
        <v>13</v>
      </c>
      <c r="J10063" s="3" t="s">
        <v>28670</v>
      </c>
      <c r="K10063" s="3" t="s">
        <v>90</v>
      </c>
      <c r="L10063" s="3" t="str">
        <f>IFERROR(__xludf.DUMMYFUNCTION("GOOGLETRANSLATE(F10063,""id"",""en"")"),"Argentina successfully won the World Cup championship trophy from outside the supporting field supporting with various rituals ranging from using reverse to the rejects of Qatar")</f>
        <v>Argentina successfully won the World Cup championship trophy from outside the supporting field supporting with various rituals ranging from using reverse to the rejects of Qatar</v>
      </c>
    </row>
    <row r="10064" ht="15.75" customHeight="1">
      <c r="A10064" s="1">
        <v>11301.0</v>
      </c>
      <c r="B10064" s="3" t="s">
        <v>28671</v>
      </c>
      <c r="C10064" s="3">
        <v>1.0</v>
      </c>
      <c r="D10064" s="3">
        <v>0.0</v>
      </c>
      <c r="E10064" s="3">
        <v>1.0</v>
      </c>
      <c r="F10064" s="3" t="s">
        <v>28672</v>
      </c>
      <c r="G10064" s="3">
        <v>0.6</v>
      </c>
      <c r="H10064" s="3">
        <v>-0.1</v>
      </c>
      <c r="I10064" s="3" t="s">
        <v>179</v>
      </c>
      <c r="J10064" s="3" t="s">
        <v>28673</v>
      </c>
      <c r="K10064" s="3" t="s">
        <v>123</v>
      </c>
      <c r="L10064" s="3" t="str">
        <f>IFERROR(__xludf.DUMMYFUNCTION("GOOGLETRANSLATE(F10064,""id"",""en"")"),"The chairman is Argentina, where do you not appear when lifting the trophy at least the welcome after the championship champion")</f>
        <v>The chairman is Argentina, where do you not appear when lifting the trophy at least the welcome after the championship champion</v>
      </c>
    </row>
    <row r="10065" ht="15.75" customHeight="1">
      <c r="A10065" s="1">
        <v>11302.0</v>
      </c>
      <c r="B10065" s="3" t="s">
        <v>28674</v>
      </c>
      <c r="C10065" s="3">
        <v>0.0</v>
      </c>
      <c r="D10065" s="3">
        <v>0.0</v>
      </c>
      <c r="E10065" s="3">
        <v>0.0</v>
      </c>
      <c r="F10065" s="3" t="s">
        <v>28675</v>
      </c>
      <c r="G10065" s="3">
        <v>0.0</v>
      </c>
      <c r="H10065" s="3">
        <v>0.0</v>
      </c>
      <c r="I10065" s="3" t="s">
        <v>13</v>
      </c>
      <c r="J10065" s="3" t="s">
        <v>28676</v>
      </c>
      <c r="K10065" s="3" t="s">
        <v>644</v>
      </c>
      <c r="L10065" s="3" t="str">
        <f>IFERROR(__xludf.DUMMYFUNCTION("GOOGLETRANSLATE(F10065,""id"",""en"")"),"contains this again the euphoria of Argentina Champion")</f>
        <v>contains this again the euphoria of Argentina Champion</v>
      </c>
    </row>
    <row r="10066" ht="15.75" customHeight="1">
      <c r="A10066" s="1">
        <v>11303.0</v>
      </c>
      <c r="B10066" s="3" t="s">
        <v>28677</v>
      </c>
      <c r="C10066" s="3">
        <v>0.0</v>
      </c>
      <c r="D10066" s="3">
        <v>0.0</v>
      </c>
      <c r="E10066" s="3">
        <v>0.0</v>
      </c>
      <c r="F10066" s="3" t="s">
        <v>28678</v>
      </c>
      <c r="G10066" s="3">
        <v>0.0</v>
      </c>
      <c r="H10066" s="3">
        <v>0.0</v>
      </c>
      <c r="I10066" s="3" t="s">
        <v>13</v>
      </c>
      <c r="J10066" s="3" t="s">
        <v>28679</v>
      </c>
      <c r="K10066" s="3" t="s">
        <v>244</v>
      </c>
      <c r="L10066" s="3" t="str">
        <f>IFERROR(__xludf.DUMMYFUNCTION("GOOGLETRANSLATE(F10066,""id"",""en"")"),"wait for Messi is my wait I want Argentina to world champion since long time ago")</f>
        <v>wait for Messi is my wait I want Argentina to world champion since long time ago</v>
      </c>
    </row>
    <row r="10067" ht="15.75" customHeight="1">
      <c r="A10067" s="1">
        <v>11304.0</v>
      </c>
      <c r="B10067" s="3" t="s">
        <v>28680</v>
      </c>
      <c r="C10067" s="3">
        <v>1.0</v>
      </c>
      <c r="D10067" s="3">
        <v>0.0</v>
      </c>
      <c r="E10067" s="3">
        <v>0.0</v>
      </c>
      <c r="F10067" s="3" t="s">
        <v>28681</v>
      </c>
      <c r="G10067" s="3">
        <v>0.8333333333333334</v>
      </c>
      <c r="H10067" s="3">
        <v>0.3333333333333333</v>
      </c>
      <c r="I10067" s="3" t="s">
        <v>48</v>
      </c>
      <c r="J10067" s="3" t="s">
        <v>28682</v>
      </c>
      <c r="K10067" s="3" t="s">
        <v>192</v>
      </c>
      <c r="L10067" s="3" t="str">
        <f>IFERROR(__xludf.DUMMYFUNCTION("GOOGLETRANSLATE(F10067,""id"",""en"")"),"the serious thing is like this if you go to log or even see using each other's views, both Messi or Ronaldo Portugal or Argentina have a chance for champions because they are equally struggling with their respective ways from the mentality and lucky.")</f>
        <v>the serious thing is like this if you go to log or even see using each other's views, both Messi or Ronaldo Portugal or Argentina have a chance for champions because they are equally struggling with their respective ways from the mentality and lucky.</v>
      </c>
    </row>
    <row r="10068" ht="15.75" customHeight="1">
      <c r="A10068" s="1">
        <v>11305.0</v>
      </c>
      <c r="B10068" s="3" t="s">
        <v>28683</v>
      </c>
      <c r="C10068" s="3">
        <v>0.0</v>
      </c>
      <c r="D10068" s="3">
        <v>0.0</v>
      </c>
      <c r="E10068" s="3">
        <v>0.0</v>
      </c>
      <c r="F10068" s="3" t="s">
        <v>28684</v>
      </c>
      <c r="G10068" s="3">
        <v>0.0</v>
      </c>
      <c r="H10068" s="3">
        <v>0.0</v>
      </c>
      <c r="I10068" s="3" t="s">
        <v>13</v>
      </c>
      <c r="J10068" s="3" t="s">
        <v>28685</v>
      </c>
      <c r="K10068" s="3" t="s">
        <v>54</v>
      </c>
      <c r="L10068" s="3" t="str">
        <f>IFERROR(__xludf.DUMMYFUNCTION("GOOGLETRANSLATE(F10068,""id"",""en"")"),"Nek Seng Argentina Cuaks Lak Champion")</f>
        <v>Nek Seng Argentina Cuaks Lak Champion</v>
      </c>
    </row>
    <row r="10069" ht="15.75" customHeight="1">
      <c r="A10069" s="1">
        <v>11306.0</v>
      </c>
      <c r="B10069" s="3" t="s">
        <v>28686</v>
      </c>
      <c r="C10069" s="3">
        <v>0.0</v>
      </c>
      <c r="D10069" s="3">
        <v>0.0</v>
      </c>
      <c r="E10069" s="3">
        <v>3.0</v>
      </c>
      <c r="F10069" s="3" t="s">
        <v>28687</v>
      </c>
      <c r="G10069" s="3">
        <v>0.0</v>
      </c>
      <c r="H10069" s="3">
        <v>0.0</v>
      </c>
      <c r="I10069" s="3" t="s">
        <v>13</v>
      </c>
      <c r="J10069" s="3" t="s">
        <v>28688</v>
      </c>
      <c r="K10069" s="3" t="s">
        <v>1518</v>
      </c>
      <c r="L10069" s="3" t="str">
        <f>IFERROR(__xludf.DUMMYFUNCTION("GOOGLETRANSLATE(F10069,""id"",""en"")"),"Congratulations to The Winner Argentina who has been waiting for its waiting during the year I was not retired from the national team I wanted to continue to play as the champion said Messi in an interview Gaston Edul quoted from NBC")</f>
        <v>Congratulations to The Winner Argentina who has been waiting for its waiting during the year I was not retired from the national team I wanted to continue to play as the champion said Messi in an interview Gaston Edul quoted from NBC</v>
      </c>
    </row>
    <row r="10070" ht="15.75" customHeight="1">
      <c r="A10070" s="1">
        <v>11307.0</v>
      </c>
      <c r="B10070" s="3" t="s">
        <v>28689</v>
      </c>
      <c r="C10070" s="3">
        <v>0.0</v>
      </c>
      <c r="D10070" s="3">
        <v>0.0</v>
      </c>
      <c r="E10070" s="3">
        <v>0.0</v>
      </c>
      <c r="F10070" s="3" t="s">
        <v>28690</v>
      </c>
      <c r="G10070" s="3">
        <v>0.0</v>
      </c>
      <c r="H10070" s="3">
        <v>0.0</v>
      </c>
      <c r="I10070" s="3" t="s">
        <v>13</v>
      </c>
      <c r="J10070" s="3" t="s">
        <v>28691</v>
      </c>
      <c r="K10070" s="3" t="s">
        <v>2907</v>
      </c>
      <c r="L10070" s="3" t="str">
        <f>IFERROR(__xludf.DUMMYFUNCTION("GOOGLETRANSLATE(F10070,""id"",""en"")"),"Short profile of Emi Martinez, the best world cup goalkeeper who brought Argentina to the World Cup championship")</f>
        <v>Short profile of Emi Martinez, the best world cup goalkeeper who brought Argentina to the World Cup championship</v>
      </c>
    </row>
    <row r="10071" ht="15.75" customHeight="1">
      <c r="A10071" s="1">
        <v>11308.0</v>
      </c>
      <c r="B10071" s="3" t="s">
        <v>28692</v>
      </c>
      <c r="C10071" s="3">
        <v>0.0</v>
      </c>
      <c r="D10071" s="3">
        <v>0.0</v>
      </c>
      <c r="E10071" s="3">
        <v>4.0</v>
      </c>
      <c r="F10071" s="3" t="s">
        <v>28693</v>
      </c>
      <c r="G10071" s="3">
        <v>0.0</v>
      </c>
      <c r="H10071" s="3">
        <v>0.0</v>
      </c>
      <c r="I10071" s="3" t="s">
        <v>13</v>
      </c>
      <c r="J10071" s="3" t="s">
        <v>28694</v>
      </c>
      <c r="K10071" s="3" t="s">
        <v>82</v>
      </c>
      <c r="L10071" s="3" t="str">
        <f>IFERROR(__xludf.DUMMYFUNCTION("GOOGLETRANSLATE(F10071,""id"",""en"")"),"see the shirt thanks to Mr. Jokowi Argentina Champion")</f>
        <v>see the shirt thanks to Mr. Jokowi Argentina Champion</v>
      </c>
    </row>
    <row r="10072" ht="15.75" customHeight="1">
      <c r="A10072" s="1">
        <v>11309.0</v>
      </c>
      <c r="B10072" s="3" t="s">
        <v>28695</v>
      </c>
      <c r="C10072" s="3">
        <v>0.0</v>
      </c>
      <c r="D10072" s="3">
        <v>1.0</v>
      </c>
      <c r="E10072" s="3">
        <v>5.0</v>
      </c>
      <c r="F10072" s="3" t="s">
        <v>28696</v>
      </c>
      <c r="G10072" s="3">
        <v>0.0</v>
      </c>
      <c r="H10072" s="3">
        <v>0.0</v>
      </c>
      <c r="I10072" s="3" t="s">
        <v>13</v>
      </c>
      <c r="J10072" s="3" t="s">
        <v>28697</v>
      </c>
      <c r="K10072" s="3" t="s">
        <v>244</v>
      </c>
      <c r="L10072" s="3" t="str">
        <f>IFERROR(__xludf.DUMMYFUNCTION("GOOGLETRANSLATE(F10072,""id"",""en"")"),"Jalan Argentina is full")</f>
        <v>Jalan Argentina is full</v>
      </c>
    </row>
    <row r="10073" ht="15.75" customHeight="1">
      <c r="A10073" s="1">
        <v>11310.0</v>
      </c>
      <c r="B10073" s="3" t="s">
        <v>28698</v>
      </c>
      <c r="C10073" s="3">
        <v>0.0</v>
      </c>
      <c r="D10073" s="3">
        <v>0.0</v>
      </c>
      <c r="E10073" s="3">
        <v>0.0</v>
      </c>
      <c r="F10073" s="3" t="s">
        <v>28699</v>
      </c>
      <c r="G10073" s="3">
        <v>0.0</v>
      </c>
      <c r="H10073" s="3">
        <v>0.0</v>
      </c>
      <c r="I10073" s="3" t="s">
        <v>13</v>
      </c>
      <c r="J10073" s="3" t="s">
        <v>28700</v>
      </c>
      <c r="K10073" s="3" t="s">
        <v>2117</v>
      </c>
      <c r="L10073" s="3" t="str">
        <f>IFERROR(__xludf.DUMMYFUNCTION("GOOGLETRANSLATE(F10073,""id"",""en"")"),"Argentina World Championaaaaaa")</f>
        <v>Argentina World Championaaaaaa</v>
      </c>
    </row>
    <row r="10074" ht="15.75" customHeight="1">
      <c r="A10074" s="1">
        <v>11311.0</v>
      </c>
      <c r="B10074" s="3" t="s">
        <v>28701</v>
      </c>
      <c r="C10074" s="3">
        <v>0.0</v>
      </c>
      <c r="D10074" s="3">
        <v>0.0</v>
      </c>
      <c r="E10074" s="3">
        <v>0.0</v>
      </c>
      <c r="F10074" s="3" t="s">
        <v>28702</v>
      </c>
      <c r="G10074" s="3">
        <v>0.0</v>
      </c>
      <c r="H10074" s="3">
        <v>0.0</v>
      </c>
      <c r="I10074" s="3" t="s">
        <v>13</v>
      </c>
      <c r="J10074" s="3" t="s">
        <v>28703</v>
      </c>
      <c r="K10074" s="3" t="s">
        <v>75</v>
      </c>
      <c r="L10074" s="3" t="str">
        <f>IFERROR(__xludf.DUMMYFUNCTION("GOOGLETRANSLATE(F10074,""id"",""en"")"),"win the Argentina national team world cup champion getting a trophy in a row")</f>
        <v>win the Argentina national team world cup champion getting a trophy in a row</v>
      </c>
    </row>
    <row r="10075" ht="15.75" customHeight="1">
      <c r="A10075" s="1">
        <v>11312.0</v>
      </c>
      <c r="B10075" s="3" t="s">
        <v>28704</v>
      </c>
      <c r="C10075" s="3">
        <v>0.0</v>
      </c>
      <c r="D10075" s="3">
        <v>0.0</v>
      </c>
      <c r="E10075" s="3">
        <v>0.0</v>
      </c>
      <c r="F10075" s="3" t="s">
        <v>28705</v>
      </c>
      <c r="G10075" s="3">
        <v>0.0</v>
      </c>
      <c r="H10075" s="3">
        <v>0.0</v>
      </c>
      <c r="I10075" s="3" t="s">
        <v>13</v>
      </c>
      <c r="J10075" s="3" t="s">
        <v>28706</v>
      </c>
      <c r="K10075" s="3" t="s">
        <v>477</v>
      </c>
      <c r="L10075" s="3" t="str">
        <f>IFERROR(__xludf.DUMMYFUNCTION("GOOGLETRANSLATE(F10075,""id"",""en"")"),"Argentina succeeded in your world champion when her heart champion")</f>
        <v>Argentina succeeded in your world champion when her heart champion</v>
      </c>
    </row>
    <row r="10076" ht="15.75" customHeight="1">
      <c r="A10076" s="1">
        <v>11313.0</v>
      </c>
      <c r="B10076" s="3" t="s">
        <v>28707</v>
      </c>
      <c r="C10076" s="3">
        <v>1.0</v>
      </c>
      <c r="D10076" s="3">
        <v>0.0</v>
      </c>
      <c r="E10076" s="3">
        <v>0.0</v>
      </c>
      <c r="F10076" s="3" t="s">
        <v>28708</v>
      </c>
      <c r="G10076" s="3">
        <v>0.0</v>
      </c>
      <c r="H10076" s="3">
        <v>0.0</v>
      </c>
      <c r="I10076" s="3" t="s">
        <v>13</v>
      </c>
      <c r="J10076" s="3" t="s">
        <v>28709</v>
      </c>
      <c r="K10076" s="3" t="s">
        <v>23</v>
      </c>
      <c r="L10076" s="3" t="str">
        <f>IFERROR(__xludf.DUMMYFUNCTION("GOOGLETRANSLATE(F10076,""id"",""en"")"),"The point is to discuss the current squad if you think that it is so it is also the end of the world, Portugal will win with a good squad that is said to be above Argentina Portugal should be")</f>
        <v>The point is to discuss the current squad if you think that it is so it is also the end of the world, Portugal will win with a good squad that is said to be above Argentina Portugal should be</v>
      </c>
    </row>
    <row r="10077" ht="15.75" customHeight="1">
      <c r="A10077" s="1">
        <v>11314.0</v>
      </c>
      <c r="B10077" s="3" t="s">
        <v>28710</v>
      </c>
      <c r="C10077" s="3">
        <v>0.0</v>
      </c>
      <c r="D10077" s="3">
        <v>0.0</v>
      </c>
      <c r="E10077" s="3">
        <v>0.0</v>
      </c>
      <c r="F10077" s="3" t="s">
        <v>28711</v>
      </c>
      <c r="G10077" s="3">
        <v>0.0</v>
      </c>
      <c r="H10077" s="3">
        <v>0.0</v>
      </c>
      <c r="I10077" s="3" t="s">
        <v>13</v>
      </c>
      <c r="J10077" s="3" t="s">
        <v>28712</v>
      </c>
      <c r="K10077" s="3" t="s">
        <v>1428</v>
      </c>
      <c r="L10077" s="3" t="str">
        <f>IFERROR(__xludf.DUMMYFUNCTION("GOOGLETRANSLATE(F10077,""id"",""en"")"),"Already watching Brazil French world champion Italy Germany even the new Spanish champions both Europe and the world of Portuguese and Argentina who supported the fanatical Britain with the Dutch not seeing the championship")</f>
        <v>Already watching Brazil French world champion Italy Germany even the new Spanish champions both Europe and the world of Portuguese and Argentina who supported the fanatical Britain with the Dutch not seeing the championship</v>
      </c>
    </row>
    <row r="10078" ht="15.75" customHeight="1">
      <c r="A10078" s="1">
        <v>11315.0</v>
      </c>
      <c r="B10078" s="3" t="s">
        <v>28713</v>
      </c>
      <c r="C10078" s="3">
        <v>0.0</v>
      </c>
      <c r="D10078" s="3">
        <v>0.0</v>
      </c>
      <c r="E10078" s="3">
        <v>0.0</v>
      </c>
      <c r="F10078" s="3" t="s">
        <v>28714</v>
      </c>
      <c r="G10078" s="3">
        <v>0.0</v>
      </c>
      <c r="H10078" s="3">
        <v>0.0</v>
      </c>
      <c r="I10078" s="3" t="s">
        <v>13</v>
      </c>
      <c r="J10078" s="3" t="s">
        <v>28715</v>
      </c>
      <c r="K10078" s="3" t="s">
        <v>3721</v>
      </c>
      <c r="L10078" s="3" t="str">
        <f>IFERROR(__xludf.DUMMYFUNCTION("GOOGLETRANSLATE(F10078,""id"",""en"")"),"Argentina managed to come out as champions at the World Cup after defeating France through the winning round of the victory was celebrated by thousands of supporters who were Buenos Aires Argentina see other update info click the Bio link or our website")</f>
        <v>Argentina managed to come out as champions at the World Cup after defeating France through the winning round of the victory was celebrated by thousands of supporters who were Buenos Aires Argentina see other update info click the Bio link or our website</v>
      </c>
    </row>
    <row r="10079" ht="15.75" customHeight="1">
      <c r="A10079" s="1">
        <v>11316.0</v>
      </c>
      <c r="B10079" s="3" t="s">
        <v>28716</v>
      </c>
      <c r="C10079" s="3">
        <v>0.0</v>
      </c>
      <c r="D10079" s="3">
        <v>0.0</v>
      </c>
      <c r="E10079" s="3">
        <v>0.0</v>
      </c>
      <c r="F10079" s="3" t="s">
        <v>28717</v>
      </c>
      <c r="G10079" s="3">
        <v>0.0</v>
      </c>
      <c r="H10079" s="3">
        <v>0.0</v>
      </c>
      <c r="I10079" s="3" t="s">
        <v>13</v>
      </c>
      <c r="J10079" s="3" t="s">
        <v>28718</v>
      </c>
      <c r="K10079" s="3" t="s">
        <v>942</v>
      </c>
      <c r="L10079" s="3" t="str">
        <f>IFERROR(__xludf.DUMMYFUNCTION("GOOGLETRANSLATE(F10079,""id"",""en"")"),"Ronaldo's GF should be happy that Argentina is a world champion because the one who brought the world champion is the BF rival")</f>
        <v>Ronaldo's GF should be happy that Argentina is a world champion because the one who brought the world champion is the BF rival</v>
      </c>
    </row>
    <row r="10080" ht="15.75" customHeight="1">
      <c r="A10080" s="1">
        <v>11317.0</v>
      </c>
      <c r="B10080" s="3" t="s">
        <v>28719</v>
      </c>
      <c r="C10080" s="3">
        <v>0.0</v>
      </c>
      <c r="D10080" s="3">
        <v>0.0</v>
      </c>
      <c r="E10080" s="3">
        <v>1.0</v>
      </c>
      <c r="F10080" s="3" t="s">
        <v>28720</v>
      </c>
      <c r="G10080" s="3">
        <v>0.0</v>
      </c>
      <c r="H10080" s="3">
        <v>0.0</v>
      </c>
      <c r="I10080" s="3" t="s">
        <v>13</v>
      </c>
      <c r="J10080" s="3" t="s">
        <v>28721</v>
      </c>
      <c r="K10080" s="3" t="s">
        <v>19</v>
      </c>
      <c r="L10080" s="3" t="str">
        <f>IFERROR(__xludf.DUMMYFUNCTION("GOOGLETRANSLATE(F10080,""id"",""en"")"),"Sports triumphant Rame Argentina The FIFA World Cup Champion is now in a successive edition")</f>
        <v>Sports triumphant Rame Argentina The FIFA World Cup Champion is now in a successive edition</v>
      </c>
    </row>
    <row r="10081" ht="15.75" customHeight="1">
      <c r="A10081" s="1">
        <v>11318.0</v>
      </c>
      <c r="B10081" s="3" t="s">
        <v>28722</v>
      </c>
      <c r="C10081" s="3">
        <v>1.0</v>
      </c>
      <c r="D10081" s="3">
        <v>0.0</v>
      </c>
      <c r="E10081" s="3">
        <v>1.0</v>
      </c>
      <c r="F10081" s="3" t="s">
        <v>28723</v>
      </c>
      <c r="G10081" s="3">
        <v>0.0</v>
      </c>
      <c r="H10081" s="3">
        <v>0.0</v>
      </c>
      <c r="I10081" s="3" t="s">
        <v>13</v>
      </c>
      <c r="J10081" s="3" t="s">
        <v>28724</v>
      </c>
      <c r="K10081" s="3" t="s">
        <v>15</v>
      </c>
      <c r="L10081" s="3" t="str">
        <f>IFERROR(__xludf.DUMMYFUNCTION("GOOGLETRANSLATE(F10081,""id"",""en"")"),"Argentina Champion World Cup Messi I dreamed of him many times")</f>
        <v>Argentina Champion World Cup Messi I dreamed of him many times</v>
      </c>
    </row>
    <row r="10082" ht="15.75" customHeight="1">
      <c r="A10082" s="1">
        <v>11319.0</v>
      </c>
      <c r="B10082" s="3" t="s">
        <v>28725</v>
      </c>
      <c r="C10082" s="3">
        <v>1.0</v>
      </c>
      <c r="D10082" s="3">
        <v>0.0</v>
      </c>
      <c r="E10082" s="3">
        <v>0.0</v>
      </c>
      <c r="F10082" s="3" t="s">
        <v>28726</v>
      </c>
      <c r="G10082" s="3">
        <v>0.0</v>
      </c>
      <c r="H10082" s="3">
        <v>0.0</v>
      </c>
      <c r="I10082" s="3" t="s">
        <v>13</v>
      </c>
      <c r="J10082" s="3" t="s">
        <v>28727</v>
      </c>
      <c r="K10082" s="3" t="s">
        <v>19</v>
      </c>
      <c r="L10082" s="3" t="str">
        <f>IFERROR(__xludf.DUMMYFUNCTION("GOOGLETRANSLATE(F10082,""id"",""en"")"),"Menpora and Ketum Football Argentina where they don't pay attention to them, their children are champions.")</f>
        <v>Menpora and Ketum Football Argentina where they don't pay attention to them, their children are champions.</v>
      </c>
    </row>
    <row r="10083" ht="15.75" customHeight="1">
      <c r="A10083" s="1">
        <v>11320.0</v>
      </c>
      <c r="B10083" s="3" t="s">
        <v>28728</v>
      </c>
      <c r="C10083" s="3">
        <v>1.0</v>
      </c>
      <c r="D10083" s="3">
        <v>0.0</v>
      </c>
      <c r="E10083" s="3">
        <v>8.0</v>
      </c>
      <c r="F10083" s="3" t="s">
        <v>20551</v>
      </c>
      <c r="G10083" s="3">
        <v>0.0</v>
      </c>
      <c r="H10083" s="3">
        <v>0.0</v>
      </c>
      <c r="I10083" s="3" t="s">
        <v>13</v>
      </c>
      <c r="J10083" s="3" t="s">
        <v>20552</v>
      </c>
      <c r="K10083" s="3" t="s">
        <v>1518</v>
      </c>
      <c r="L10083" s="3" t="str">
        <f>IFERROR(__xludf.DUMMYFUNCTION("GOOGLETRANSLATE(F10083,""id"",""en"")"),"Argentine moment Champion became the talk of the world community there are a number of reasons, one of which is a fierce duel in the top party that forced a penalty shootout match")</f>
        <v>Argentine moment Champion became the talk of the world community there are a number of reasons, one of which is a fierce duel in the top party that forced a penalty shootout match</v>
      </c>
    </row>
    <row r="10084" ht="15.75" customHeight="1">
      <c r="A10084" s="1">
        <v>11321.0</v>
      </c>
      <c r="B10084" s="3" t="s">
        <v>28729</v>
      </c>
      <c r="C10084" s="3">
        <v>0.0</v>
      </c>
      <c r="D10084" s="3">
        <v>0.0</v>
      </c>
      <c r="E10084" s="3">
        <v>0.0</v>
      </c>
      <c r="F10084" s="3" t="s">
        <v>28730</v>
      </c>
      <c r="G10084" s="3">
        <v>0.0</v>
      </c>
      <c r="H10084" s="3">
        <v>0.0</v>
      </c>
      <c r="I10084" s="3" t="s">
        <v>13</v>
      </c>
      <c r="J10084" s="3" t="s">
        <v>28731</v>
      </c>
      <c r="K10084" s="3" t="s">
        <v>71</v>
      </c>
      <c r="L10084" s="3" t="str">
        <f>IFERROR(__xludf.DUMMYFUNCTION("GOOGLETRANSLATE(F10084,""id"",""en"")"),"Continue the tradition of the Argentina national team player cutting the goal net after the World Cup champion for memories")</f>
        <v>Continue the tradition of the Argentina national team player cutting the goal net after the World Cup champion for memories</v>
      </c>
    </row>
    <row r="10085" ht="15.75" customHeight="1">
      <c r="A10085" s="1">
        <v>11322.0</v>
      </c>
      <c r="B10085" s="3" t="s">
        <v>28732</v>
      </c>
      <c r="C10085" s="3">
        <v>0.0</v>
      </c>
      <c r="D10085" s="3">
        <v>0.0</v>
      </c>
      <c r="E10085" s="3">
        <v>0.0</v>
      </c>
      <c r="F10085" s="3" t="s">
        <v>28733</v>
      </c>
      <c r="G10085" s="3">
        <v>0.0</v>
      </c>
      <c r="H10085" s="3">
        <v>0.0</v>
      </c>
      <c r="I10085" s="3" t="s">
        <v>13</v>
      </c>
      <c r="J10085" s="3" t="s">
        <v>28734</v>
      </c>
      <c r="K10085" s="3" t="s">
        <v>50</v>
      </c>
      <c r="L10085" s="3" t="str">
        <f>IFERROR(__xludf.DUMMYFUNCTION("GOOGLETRANSLATE(F10085,""id"",""en"")"),"Lionel Messi et al Champion World Cup Putin congratulates President Argentina")</f>
        <v>Lionel Messi et al Champion World Cup Putin congratulates President Argentina</v>
      </c>
    </row>
    <row r="10086" ht="15.75" customHeight="1">
      <c r="A10086" s="1">
        <v>11323.0</v>
      </c>
      <c r="B10086" s="3" t="s">
        <v>28735</v>
      </c>
      <c r="C10086" s="3">
        <v>0.0</v>
      </c>
      <c r="D10086" s="3">
        <v>0.0</v>
      </c>
      <c r="E10086" s="3">
        <v>0.0</v>
      </c>
      <c r="F10086" s="3" t="s">
        <v>28736</v>
      </c>
      <c r="G10086" s="3">
        <v>0.0</v>
      </c>
      <c r="H10086" s="3">
        <v>0.0</v>
      </c>
      <c r="I10086" s="3" t="s">
        <v>13</v>
      </c>
      <c r="J10086" s="3" t="s">
        <v>28737</v>
      </c>
      <c r="K10086" s="3" t="s">
        <v>14571</v>
      </c>
      <c r="L10086" s="3" t="str">
        <f>IFERROR(__xludf.DUMMYFUNCTION("GOOGLETRANSLATE(F10086,""id"",""en"")"),"Congratulations to the champions")</f>
        <v>Congratulations to the champions</v>
      </c>
    </row>
    <row r="10087" ht="15.75" customHeight="1">
      <c r="A10087" s="1">
        <v>11324.0</v>
      </c>
      <c r="B10087" s="3" t="s">
        <v>28738</v>
      </c>
      <c r="C10087" s="3">
        <v>0.0</v>
      </c>
      <c r="D10087" s="3">
        <v>0.0</v>
      </c>
      <c r="E10087" s="3">
        <v>0.0</v>
      </c>
      <c r="F10087" s="3" t="s">
        <v>25875</v>
      </c>
      <c r="G10087" s="3">
        <v>0.0</v>
      </c>
      <c r="H10087" s="3">
        <v>0.0</v>
      </c>
      <c r="I10087" s="3" t="s">
        <v>13</v>
      </c>
      <c r="J10087" s="3" t="s">
        <v>25876</v>
      </c>
      <c r="K10087" s="3" t="s">
        <v>31</v>
      </c>
      <c r="L10087" s="3" t="str">
        <f>IFERROR(__xludf.DUMMYFUNCTION("GOOGLETRANSLATE(F10087,""id"",""en"")"),"Happy Argentina World Cup Champion")</f>
        <v>Happy Argentina World Cup Champion</v>
      </c>
    </row>
    <row r="10088" ht="15.75" customHeight="1">
      <c r="A10088" s="1">
        <v>11325.0</v>
      </c>
      <c r="B10088" s="3" t="s">
        <v>28739</v>
      </c>
      <c r="C10088" s="3">
        <v>0.0</v>
      </c>
      <c r="D10088" s="3">
        <v>0.0</v>
      </c>
      <c r="E10088" s="3">
        <v>0.0</v>
      </c>
      <c r="F10088" s="3" t="s">
        <v>28740</v>
      </c>
      <c r="G10088" s="3">
        <v>0.0</v>
      </c>
      <c r="H10088" s="3">
        <v>0.0</v>
      </c>
      <c r="I10088" s="3" t="s">
        <v>13</v>
      </c>
      <c r="J10088" s="3" t="s">
        <v>28741</v>
      </c>
      <c r="K10088" s="3" t="s">
        <v>31</v>
      </c>
      <c r="L10088" s="3" t="str">
        <f>IFERROR(__xludf.DUMMYFUNCTION("GOOGLETRANSLATE(F10088,""id"",""en"")"),"It feels that the year Argentina World Champion")</f>
        <v>It feels that the year Argentina World Champion</v>
      </c>
    </row>
    <row r="10089" ht="15.75" customHeight="1">
      <c r="A10089" s="1">
        <v>11326.0</v>
      </c>
      <c r="B10089" s="3" t="s">
        <v>28742</v>
      </c>
      <c r="C10089" s="3">
        <v>0.0</v>
      </c>
      <c r="D10089" s="3">
        <v>0.0</v>
      </c>
      <c r="E10089" s="3">
        <v>2.0</v>
      </c>
      <c r="F10089" s="3" t="s">
        <v>28743</v>
      </c>
      <c r="G10089" s="3">
        <v>0.0</v>
      </c>
      <c r="H10089" s="3">
        <v>0.0</v>
      </c>
      <c r="I10089" s="3" t="s">
        <v>13</v>
      </c>
      <c r="J10089" s="3" t="s">
        <v>28744</v>
      </c>
      <c r="K10089" s="3" t="s">
        <v>123</v>
      </c>
      <c r="L10089" s="3" t="str">
        <f>IFERROR(__xludf.DUMMYFUNCTION("GOOGLETRANSLATE(F10089,""id"",""en"")"),"Argentina The Indonesian champion also smells of champion, I want to feel like it first from Depok Kalibata smoothly Kramat Jati is quiet")</f>
        <v>Argentina The Indonesian champion also smells of champion, I want to feel like it first from Depok Kalibata smoothly Kramat Jati is quiet</v>
      </c>
    </row>
    <row r="10090" ht="15.75" customHeight="1">
      <c r="A10090" s="1">
        <v>11327.0</v>
      </c>
      <c r="B10090" s="3" t="s">
        <v>28745</v>
      </c>
      <c r="C10090" s="3">
        <v>0.0</v>
      </c>
      <c r="D10090" s="3">
        <v>0.0</v>
      </c>
      <c r="E10090" s="3">
        <v>0.0</v>
      </c>
      <c r="F10090" s="3" t="s">
        <v>28746</v>
      </c>
      <c r="G10090" s="3">
        <v>0.5</v>
      </c>
      <c r="H10090" s="3">
        <v>-0.5</v>
      </c>
      <c r="I10090" s="3" t="s">
        <v>179</v>
      </c>
      <c r="J10090" s="3" t="s">
        <v>28747</v>
      </c>
      <c r="K10090" s="3" t="s">
        <v>870</v>
      </c>
      <c r="L10090" s="3" t="str">
        <f>IFERROR(__xludf.DUMMYFUNCTION("GOOGLETRANSLATE(F10090,""id"",""en"")"),"Not only Mbappe Misuh Argentine President Alberto Fern Ndez is the same as Misuh, he is ouch, he is ouch, he is ouch, he is ouch.")</f>
        <v>Not only Mbappe Misuh Argentine President Alberto Fern Ndez is the same as Misuh, he is ouch, he is ouch, he is ouch, he is ouch.</v>
      </c>
    </row>
    <row r="10091" ht="15.75" customHeight="1">
      <c r="A10091" s="1">
        <v>11328.0</v>
      </c>
      <c r="B10091" s="3" t="s">
        <v>28748</v>
      </c>
      <c r="C10091" s="3">
        <v>177.0</v>
      </c>
      <c r="D10091" s="3">
        <v>44.0</v>
      </c>
      <c r="E10091" s="3">
        <v>575.0</v>
      </c>
      <c r="F10091" s="3" t="s">
        <v>28749</v>
      </c>
      <c r="G10091" s="3">
        <v>0.5</v>
      </c>
      <c r="H10091" s="3">
        <v>0.1363636363636364</v>
      </c>
      <c r="I10091" s="3" t="s">
        <v>48</v>
      </c>
      <c r="J10091" s="3" t="s">
        <v>28750</v>
      </c>
      <c r="K10091" s="3" t="s">
        <v>240</v>
      </c>
      <c r="L10091" s="3" t="str">
        <f>IFERROR(__xludf.DUMMYFUNCTION("GOOGLETRANSLATE(F10091,""id"",""en"")"),"I don't know what a problem is Kun Aguero mocking Camavinga The Face in his Instagram live during the celebration of the Argentina dressing room champion")</f>
        <v>I don't know what a problem is Kun Aguero mocking Camavinga The Face in his Instagram live during the celebration of the Argentina dressing room champion</v>
      </c>
    </row>
    <row r="10092" ht="15.75" customHeight="1">
      <c r="A10092" s="1">
        <v>11329.0</v>
      </c>
      <c r="B10092" s="3" t="s">
        <v>28751</v>
      </c>
      <c r="C10092" s="3">
        <v>0.0</v>
      </c>
      <c r="D10092" s="3">
        <v>1.0</v>
      </c>
      <c r="E10092" s="3">
        <v>0.0</v>
      </c>
      <c r="F10092" s="3" t="s">
        <v>28752</v>
      </c>
      <c r="G10092" s="3">
        <v>0.0</v>
      </c>
      <c r="H10092" s="3">
        <v>0.0</v>
      </c>
      <c r="I10092" s="3" t="s">
        <v>13</v>
      </c>
      <c r="J10092" s="3" t="s">
        <v>28753</v>
      </c>
      <c r="K10092" s="3" t="s">
        <v>14571</v>
      </c>
      <c r="L10092" s="3" t="str">
        <f>IFERROR(__xludf.DUMMYFUNCTION("GOOGLETRANSLATE(F10092,""id"",""en"")"),"Tahniah Argentina")</f>
        <v>Tahniah Argentina</v>
      </c>
    </row>
    <row r="10093" ht="15.75" customHeight="1">
      <c r="A10093" s="1">
        <v>11330.0</v>
      </c>
      <c r="B10093" s="3" t="s">
        <v>28754</v>
      </c>
      <c r="C10093" s="3">
        <v>0.0</v>
      </c>
      <c r="D10093" s="3">
        <v>1.0</v>
      </c>
      <c r="E10093" s="3">
        <v>4.0</v>
      </c>
      <c r="F10093" s="3" t="s">
        <v>28755</v>
      </c>
      <c r="G10093" s="3">
        <v>0.0</v>
      </c>
      <c r="H10093" s="3">
        <v>0.0</v>
      </c>
      <c r="I10093" s="3" t="s">
        <v>13</v>
      </c>
      <c r="J10093" s="3" t="s">
        <v>28756</v>
      </c>
      <c r="K10093" s="3" t="s">
        <v>2117</v>
      </c>
      <c r="L10093" s="3" t="str">
        <f>IFERROR(__xludf.DUMMYFUNCTION("GOOGLETRANSLATE(F10093,""id"",""en"")"),"Argentina Urrasantory Champion")</f>
        <v>Argentina Urrasantory Champion</v>
      </c>
    </row>
    <row r="10094" ht="15.75" customHeight="1">
      <c r="A10094" s="1">
        <v>11331.0</v>
      </c>
      <c r="B10094" s="3" t="s">
        <v>28757</v>
      </c>
      <c r="C10094" s="3">
        <v>1.0</v>
      </c>
      <c r="D10094" s="3">
        <v>0.0</v>
      </c>
      <c r="E10094" s="3">
        <v>2.0</v>
      </c>
      <c r="F10094" s="3" t="s">
        <v>28758</v>
      </c>
      <c r="G10094" s="3">
        <v>0.0</v>
      </c>
      <c r="H10094" s="3">
        <v>0.0</v>
      </c>
      <c r="I10094" s="3" t="s">
        <v>13</v>
      </c>
      <c r="J10094" s="3" t="s">
        <v>28759</v>
      </c>
      <c r="K10094" s="3" t="s">
        <v>15</v>
      </c>
      <c r="L10094" s="3" t="str">
        <f>IFERROR(__xludf.DUMMYFUNCTION("GOOGLETRANSLATE(F10094,""id"",""en"")"),"Even though Messi Xde I still Argentina until the bearded bro")</f>
        <v>Even though Messi Xde I still Argentina until the bearded bro</v>
      </c>
    </row>
    <row r="10095" ht="15.75" customHeight="1">
      <c r="A10095" s="1">
        <v>11332.0</v>
      </c>
      <c r="B10095" s="3" t="s">
        <v>28760</v>
      </c>
      <c r="C10095" s="3">
        <v>0.0</v>
      </c>
      <c r="D10095" s="3">
        <v>0.0</v>
      </c>
      <c r="E10095" s="3">
        <v>0.0</v>
      </c>
      <c r="F10095" s="3" t="s">
        <v>28761</v>
      </c>
      <c r="G10095" s="3">
        <v>0.0</v>
      </c>
      <c r="H10095" s="3">
        <v>0.0</v>
      </c>
      <c r="I10095" s="3" t="s">
        <v>13</v>
      </c>
      <c r="J10095" s="3" t="s">
        <v>28762</v>
      </c>
      <c r="K10095" s="3" t="s">
        <v>50</v>
      </c>
      <c r="L10095" s="3" t="str">
        <f>IFERROR(__xludf.DUMMYFUNCTION("GOOGLETRANSLATE(F10095,""id"",""en"")"),"Girang Argentina Champion World Cup Women's Audience Desperate to Appear Without Clothes")</f>
        <v>Girang Argentina Champion World Cup Women's Audience Desperate to Appear Without Clothes</v>
      </c>
    </row>
    <row r="10096" ht="15.75" customHeight="1">
      <c r="A10096" s="1">
        <v>11333.0</v>
      </c>
      <c r="B10096" s="3" t="s">
        <v>28763</v>
      </c>
      <c r="C10096" s="3">
        <v>0.0</v>
      </c>
      <c r="D10096" s="3">
        <v>0.0</v>
      </c>
      <c r="E10096" s="3">
        <v>0.0</v>
      </c>
      <c r="F10096" s="3" t="s">
        <v>28764</v>
      </c>
      <c r="G10096" s="3">
        <v>0.0</v>
      </c>
      <c r="H10096" s="3">
        <v>0.0</v>
      </c>
      <c r="I10096" s="3" t="s">
        <v>13</v>
      </c>
      <c r="J10096" s="3" t="s">
        <v>28765</v>
      </c>
      <c r="K10096" s="3" t="s">
        <v>82</v>
      </c>
      <c r="L10096" s="3" t="str">
        <f>IFERROR(__xludf.DUMMYFUNCTION("GOOGLETRANSLATE(F10096,""id"",""en"")"),"Rawk as the PSSI Chairman he joined in celebrating Argentina Champion")</f>
        <v>Rawk as the PSSI Chairman he joined in celebrating Argentina Champion</v>
      </c>
    </row>
    <row r="10097" ht="15.75" customHeight="1">
      <c r="A10097" s="1">
        <v>11334.0</v>
      </c>
      <c r="B10097" s="3" t="s">
        <v>28766</v>
      </c>
      <c r="C10097" s="3">
        <v>0.0</v>
      </c>
      <c r="D10097" s="3">
        <v>0.0</v>
      </c>
      <c r="E10097" s="3">
        <v>0.0</v>
      </c>
      <c r="F10097" s="3" t="s">
        <v>28767</v>
      </c>
      <c r="G10097" s="3">
        <v>0.0</v>
      </c>
      <c r="H10097" s="3">
        <v>0.0</v>
      </c>
      <c r="I10097" s="3" t="s">
        <v>13</v>
      </c>
      <c r="J10097" s="3" t="s">
        <v>28768</v>
      </c>
      <c r="K10097" s="3" t="s">
        <v>75</v>
      </c>
      <c r="L10097" s="3" t="str">
        <f>IFERROR(__xludf.DUMMYFUNCTION("GOOGLETRANSLATE(F10097,""id"",""en"")"),"Sutrisno Arya Assalamualaikum I from the future of Argentina World Cup champions")</f>
        <v>Sutrisno Arya Assalamualaikum I from the future of Argentina World Cup champions</v>
      </c>
    </row>
    <row r="10098" ht="15.75" customHeight="1">
      <c r="A10098" s="1">
        <v>11335.0</v>
      </c>
      <c r="B10098" s="3" t="s">
        <v>28769</v>
      </c>
      <c r="C10098" s="3">
        <v>1.0</v>
      </c>
      <c r="D10098" s="3">
        <v>0.0</v>
      </c>
      <c r="E10098" s="3">
        <v>0.0</v>
      </c>
      <c r="F10098" s="3" t="s">
        <v>28770</v>
      </c>
      <c r="G10098" s="3">
        <v>0.0</v>
      </c>
      <c r="H10098" s="3">
        <v>0.0</v>
      </c>
      <c r="I10098" s="3" t="s">
        <v>13</v>
      </c>
      <c r="J10098" s="3" t="s">
        <v>28771</v>
      </c>
      <c r="K10098" s="3" t="s">
        <v>123</v>
      </c>
      <c r="L10098" s="3" t="str">
        <f>IFERROR(__xludf.DUMMYFUNCTION("GOOGLETRANSLATE(F10098,""id"",""en"")"),"Brdskan Pnglan Pnglaman SPANY GERMAN SPANY JERSEY Jersey Champion Expensive Sekrng Bgt Min if the Argentina jersey will go down")</f>
        <v>Brdskan Pnglan Pnglaman SPANY GERMAN SPANY JERSEY Jersey Champion Expensive Sekrng Bgt Min if the Argentina jersey will go down</v>
      </c>
    </row>
    <row r="10099" ht="15.75" customHeight="1">
      <c r="A10099" s="1">
        <v>11336.0</v>
      </c>
      <c r="B10099" s="3" t="s">
        <v>28772</v>
      </c>
      <c r="C10099" s="3">
        <v>0.0</v>
      </c>
      <c r="D10099" s="3">
        <v>0.0</v>
      </c>
      <c r="E10099" s="3">
        <v>0.0</v>
      </c>
      <c r="F10099" s="3" t="s">
        <v>28773</v>
      </c>
      <c r="G10099" s="3">
        <v>0.0</v>
      </c>
      <c r="H10099" s="3">
        <v>0.0</v>
      </c>
      <c r="I10099" s="3" t="s">
        <v>13</v>
      </c>
      <c r="J10099" s="3" t="s">
        <v>28774</v>
      </c>
      <c r="K10099" s="3" t="s">
        <v>510</v>
      </c>
      <c r="L10099" s="3" t="str">
        <f>IFERROR(__xludf.DUMMYFUNCTION("GOOGLETRANSLATE(F10099,""id"",""en"")"),"Everything is too focused on the role of Messi as a goat but forgot to save Martinez to deliver Argentina in the world champion")</f>
        <v>Everything is too focused on the role of Messi as a goat but forgot to save Martinez to deliver Argentina in the world champion</v>
      </c>
    </row>
    <row r="10100" ht="15.75" customHeight="1">
      <c r="A10100" s="1">
        <v>11337.0</v>
      </c>
      <c r="B10100" s="3" t="s">
        <v>28775</v>
      </c>
      <c r="C10100" s="3">
        <v>1.0</v>
      </c>
      <c r="D10100" s="3">
        <v>1.0</v>
      </c>
      <c r="E10100" s="3">
        <v>1.0</v>
      </c>
      <c r="F10100" s="3" t="s">
        <v>28776</v>
      </c>
      <c r="G10100" s="3">
        <v>0.0</v>
      </c>
      <c r="H10100" s="3">
        <v>0.0</v>
      </c>
      <c r="I10100" s="3" t="s">
        <v>13</v>
      </c>
      <c r="J10100" s="3" t="s">
        <v>28777</v>
      </c>
      <c r="K10100" s="3" t="s">
        <v>614</v>
      </c>
      <c r="L10100" s="3" t="str">
        <f>IFERROR(__xludf.DUMMYFUNCTION("GOOGLETRANSLATE(F10100,""id"",""en"")"),"Argentina won the world champion, BKN Skedar because the great skills were forgotten by Argentina's ball fans that the team was not supported by Cak Imron and the defeat of France because of his supported")</f>
        <v>Argentina won the world champion, BKN Skedar because the great skills were forgotten by Argentina's ball fans that the team was not supported by Cak Imron and the defeat of France because of his supported</v>
      </c>
    </row>
    <row r="10101" ht="15.75" customHeight="1">
      <c r="A10101" s="1">
        <v>11338.0</v>
      </c>
      <c r="B10101" s="3" t="s">
        <v>28778</v>
      </c>
      <c r="C10101" s="3">
        <v>0.0</v>
      </c>
      <c r="D10101" s="3">
        <v>0.0</v>
      </c>
      <c r="E10101" s="3">
        <v>1.0</v>
      </c>
      <c r="F10101" s="3" t="s">
        <v>28779</v>
      </c>
      <c r="G10101" s="3">
        <v>0.0</v>
      </c>
      <c r="H10101" s="3">
        <v>0.0</v>
      </c>
      <c r="I10101" s="3" t="s">
        <v>13</v>
      </c>
      <c r="J10101" s="3" t="s">
        <v>28780</v>
      </c>
      <c r="K10101" s="3" t="s">
        <v>903</v>
      </c>
      <c r="L10101" s="3" t="str">
        <f>IFERROR(__xludf.DUMMYFUNCTION("GOOGLETRANSLATE(F10101,""id"",""en"")"),"Argentina's decision to win has not yet heard of Croatia Morocco agreed to join France to become a combined World Cup champion we are waiting for the full decision at PTG later Bongok Konen")</f>
        <v>Argentina's decision to win has not yet heard of Croatia Morocco agreed to join France to become a combined World Cup champion we are waiting for the full decision at PTG later Bongok Konen</v>
      </c>
    </row>
    <row r="10102" ht="15.75" customHeight="1">
      <c r="A10102" s="1">
        <v>11339.0</v>
      </c>
      <c r="B10102" s="3" t="s">
        <v>28781</v>
      </c>
      <c r="C10102" s="3">
        <v>0.0</v>
      </c>
      <c r="D10102" s="3">
        <v>0.0</v>
      </c>
      <c r="E10102" s="3">
        <v>0.0</v>
      </c>
      <c r="F10102" s="3" t="s">
        <v>28782</v>
      </c>
      <c r="G10102" s="3">
        <v>1.0</v>
      </c>
      <c r="H10102" s="3">
        <v>1.0</v>
      </c>
      <c r="I10102" s="3" t="s">
        <v>48</v>
      </c>
      <c r="J10102" s="3" t="s">
        <v>28783</v>
      </c>
      <c r="K10102" s="3" t="s">
        <v>1157</v>
      </c>
      <c r="L10102" s="3" t="str">
        <f>IFERROR(__xludf.DUMMYFUNCTION("GOOGLETRANSLATE(F10102,""id"",""en"")"),"Messi proves that hormone disorders don't block him to become the world's best Lionel Messi brought Argentina to become the World Cup champion and holds the Greatest All Time Growth Hormone Disorder GHD Disease Tak Jad Jad Jad Jad Jadan")</f>
        <v>Messi proves that hormone disorders don't block him to become the world's best Lionel Messi brought Argentina to become the World Cup champion and holds the Greatest All Time Growth Hormone Disorder GHD Disease Tak Jad Jad Jad Jad Jadan</v>
      </c>
    </row>
    <row r="10103" ht="15.75" customHeight="1">
      <c r="A10103" s="1">
        <v>11340.0</v>
      </c>
      <c r="B10103" s="3" t="s">
        <v>28784</v>
      </c>
      <c r="C10103" s="3">
        <v>0.0</v>
      </c>
      <c r="D10103" s="3">
        <v>0.0</v>
      </c>
      <c r="E10103" s="3">
        <v>21.0</v>
      </c>
      <c r="F10103" s="3" t="s">
        <v>28785</v>
      </c>
      <c r="G10103" s="3">
        <v>0.0</v>
      </c>
      <c r="H10103" s="3">
        <v>0.0</v>
      </c>
      <c r="I10103" s="3" t="s">
        <v>13</v>
      </c>
      <c r="J10103" s="3" t="s">
        <v>28786</v>
      </c>
      <c r="K10103" s="3" t="s">
        <v>75</v>
      </c>
      <c r="L10103" s="3" t="str">
        <f>IFERROR(__xludf.DUMMYFUNCTION("GOOGLETRANSLATE(F10103,""id"",""en"")"),"want the results to win or lose Argentina remain in the group champion")</f>
        <v>want the results to win or lose Argentina remain in the group champion</v>
      </c>
    </row>
    <row r="10104" ht="15.75" customHeight="1">
      <c r="A10104" s="1">
        <v>11341.0</v>
      </c>
      <c r="B10104" s="3" t="s">
        <v>28787</v>
      </c>
      <c r="C10104" s="3">
        <v>0.0</v>
      </c>
      <c r="D10104" s="3">
        <v>0.0</v>
      </c>
      <c r="E10104" s="3">
        <v>0.0</v>
      </c>
      <c r="F10104" s="3" t="s">
        <v>28788</v>
      </c>
      <c r="G10104" s="3">
        <v>0.0</v>
      </c>
      <c r="H10104" s="3">
        <v>0.0</v>
      </c>
      <c r="I10104" s="3" t="s">
        <v>13</v>
      </c>
      <c r="J10104" s="3" t="s">
        <v>28789</v>
      </c>
      <c r="K10104" s="3" t="s">
        <v>149</v>
      </c>
      <c r="L10104" s="3" t="str">
        <f>IFERROR(__xludf.DUMMYFUNCTION("GOOGLETRANSLATE(F10104,""id"",""en"")"),"Learning from the figure of Lionel Messi after failing to bring Argentina to the championship rather than finally successfully becoming a World Cup champion all requires a process and stages there are no instant results")</f>
        <v>Learning from the figure of Lionel Messi after failing to bring Argentina to the championship rather than finally successfully becoming a World Cup champion all requires a process and stages there are no instant results</v>
      </c>
    </row>
    <row r="10105" ht="15.75" customHeight="1">
      <c r="A10105" s="1">
        <v>11342.0</v>
      </c>
      <c r="B10105" s="3" t="s">
        <v>28790</v>
      </c>
      <c r="C10105" s="3">
        <v>0.0</v>
      </c>
      <c r="D10105" s="3">
        <v>0.0</v>
      </c>
      <c r="E10105" s="3">
        <v>2.0</v>
      </c>
      <c r="F10105" s="3" t="s">
        <v>28791</v>
      </c>
      <c r="G10105" s="3">
        <v>0.0</v>
      </c>
      <c r="H10105" s="3">
        <v>0.0</v>
      </c>
      <c r="I10105" s="3" t="s">
        <v>13</v>
      </c>
      <c r="J10105" s="3" t="s">
        <v>28792</v>
      </c>
      <c r="K10105" s="3" t="s">
        <v>41</v>
      </c>
      <c r="L10105" s="3" t="str">
        <f>IFERROR(__xludf.DUMMYFUNCTION("GOOGLETRANSLATE(F10105,""id"",""en"")"),"Pele After Argentina World Cup Champion Diego Maradona must smile")</f>
        <v>Pele After Argentina World Cup Champion Diego Maradona must smile</v>
      </c>
    </row>
    <row r="10106" ht="15.75" customHeight="1">
      <c r="A10106" s="1">
        <v>11343.0</v>
      </c>
      <c r="B10106" s="3" t="s">
        <v>28793</v>
      </c>
      <c r="C10106" s="3">
        <v>1.0</v>
      </c>
      <c r="D10106" s="3">
        <v>0.0</v>
      </c>
      <c r="E10106" s="3">
        <v>0.0</v>
      </c>
      <c r="F10106" s="3" t="s">
        <v>28794</v>
      </c>
      <c r="G10106" s="3">
        <v>0.0</v>
      </c>
      <c r="H10106" s="3">
        <v>0.0</v>
      </c>
      <c r="I10106" s="3" t="s">
        <v>13</v>
      </c>
      <c r="J10106" s="3" t="s">
        <v>28795</v>
      </c>
      <c r="K10106" s="3" t="s">
        <v>644</v>
      </c>
      <c r="L10106" s="3" t="str">
        <f>IFERROR(__xludf.DUMMYFUNCTION("GOOGLETRANSLATE(F10106,""id"",""en"")"),"Argentina is the champion")</f>
        <v>Argentina is the champion</v>
      </c>
    </row>
    <row r="10107" ht="15.75" customHeight="1">
      <c r="A10107" s="1">
        <v>11344.0</v>
      </c>
      <c r="B10107" s="3" t="s">
        <v>28796</v>
      </c>
      <c r="C10107" s="3">
        <v>0.0</v>
      </c>
      <c r="D10107" s="3">
        <v>0.0</v>
      </c>
      <c r="E10107" s="3">
        <v>0.0</v>
      </c>
      <c r="F10107" s="3" t="s">
        <v>28797</v>
      </c>
      <c r="G10107" s="3">
        <v>0.0</v>
      </c>
      <c r="H10107" s="3">
        <v>0.0</v>
      </c>
      <c r="I10107" s="3" t="s">
        <v>13</v>
      </c>
      <c r="J10107" s="3" t="s">
        <v>28798</v>
      </c>
      <c r="K10107" s="3" t="s">
        <v>82</v>
      </c>
      <c r="L10107" s="3" t="str">
        <f>IFERROR(__xludf.DUMMYFUNCTION("GOOGLETRANSLATE(F10107,""id"",""en"")"),"Just cry, bro, it's okay, Argentina is still in the world champion")</f>
        <v>Just cry, bro, it's okay, Argentina is still in the world champion</v>
      </c>
    </row>
    <row r="10108" ht="15.75" customHeight="1">
      <c r="A10108" s="1">
        <v>11345.0</v>
      </c>
      <c r="B10108" s="3" t="s">
        <v>28799</v>
      </c>
      <c r="C10108" s="3">
        <v>0.0</v>
      </c>
      <c r="D10108" s="3">
        <v>0.0</v>
      </c>
      <c r="E10108" s="3">
        <v>0.0</v>
      </c>
      <c r="F10108" s="3" t="s">
        <v>28800</v>
      </c>
      <c r="G10108" s="3">
        <v>0.0</v>
      </c>
      <c r="H10108" s="3">
        <v>0.0</v>
      </c>
      <c r="I10108" s="3" t="s">
        <v>13</v>
      </c>
      <c r="J10108" s="3" t="s">
        <v>28801</v>
      </c>
      <c r="K10108" s="3" t="s">
        <v>41</v>
      </c>
      <c r="L10108" s="3" t="str">
        <f>IFERROR(__xludf.DUMMYFUNCTION("GOOGLETRANSLATE(F10108,""id"",""en"")"),"Not only the Argentina World Cup champion also bought a number of other awards")</f>
        <v>Not only the Argentina World Cup champion also bought a number of other awards</v>
      </c>
    </row>
    <row r="10109" ht="15.75" customHeight="1">
      <c r="A10109" s="1">
        <v>11346.0</v>
      </c>
      <c r="B10109" s="3" t="s">
        <v>28802</v>
      </c>
      <c r="C10109" s="3">
        <v>0.0</v>
      </c>
      <c r="D10109" s="3">
        <v>0.0</v>
      </c>
      <c r="E10109" s="3">
        <v>2.0</v>
      </c>
      <c r="F10109" s="3" t="s">
        <v>28803</v>
      </c>
      <c r="G10109" s="3">
        <v>0.0</v>
      </c>
      <c r="H10109" s="3">
        <v>0.0</v>
      </c>
      <c r="I10109" s="3" t="s">
        <v>13</v>
      </c>
      <c r="J10109" s="3" t="s">
        <v>28804</v>
      </c>
      <c r="K10109" s="3" t="s">
        <v>3734</v>
      </c>
      <c r="L10109" s="3" t="str">
        <f>IFERROR(__xludf.DUMMYFUNCTION("GOOGLETRANSLATE(F10109,""id"",""en"")"),"Saudi Arabia supported by Kadrun lost Argentina against Saudi Arabia because Allah said Kadrun in fact Argentina champions group then advanced to become world champion because Messi was not because of Kadrun")</f>
        <v>Saudi Arabia supported by Kadrun lost Argentina against Saudi Arabia because Allah said Kadrun in fact Argentina champions group then advanced to become world champion because Messi was not because of Kadrun</v>
      </c>
    </row>
    <row r="10110" ht="15.75" customHeight="1">
      <c r="A10110" s="1">
        <v>11347.0</v>
      </c>
      <c r="B10110" s="3" t="s">
        <v>28805</v>
      </c>
      <c r="C10110" s="3">
        <v>1.0</v>
      </c>
      <c r="D10110" s="3">
        <v>0.0</v>
      </c>
      <c r="E10110" s="3">
        <v>0.0</v>
      </c>
      <c r="F10110" s="3" t="s">
        <v>28806</v>
      </c>
      <c r="G10110" s="3">
        <v>0.0</v>
      </c>
      <c r="H10110" s="3">
        <v>0.0</v>
      </c>
      <c r="I10110" s="3" t="s">
        <v>13</v>
      </c>
      <c r="J10110" s="3" t="s">
        <v>28807</v>
      </c>
      <c r="K10110" s="3" t="s">
        <v>41</v>
      </c>
      <c r="L10110" s="3" t="str">
        <f>IFERROR(__xludf.DUMMYFUNCTION("GOOGLETRANSLATE(F10110,""id"",""en"")"),"Makes Argentina can be a lot of champions, not Messi but Duo Martinez Lautaro and Emiliano")</f>
        <v>Makes Argentina can be a lot of champions, not Messi but Duo Martinez Lautaro and Emiliano</v>
      </c>
    </row>
    <row r="10111" ht="15.75" customHeight="1">
      <c r="A10111" s="1">
        <v>11348.0</v>
      </c>
      <c r="B10111" s="3" t="s">
        <v>28808</v>
      </c>
      <c r="C10111" s="3">
        <v>0.0</v>
      </c>
      <c r="D10111" s="3">
        <v>0.0</v>
      </c>
      <c r="E10111" s="3">
        <v>0.0</v>
      </c>
      <c r="F10111" s="3" t="s">
        <v>28809</v>
      </c>
      <c r="G10111" s="3">
        <v>0.0</v>
      </c>
      <c r="H10111" s="3">
        <v>0.0</v>
      </c>
      <c r="I10111" s="3" t="s">
        <v>13</v>
      </c>
      <c r="J10111" s="3" t="s">
        <v>28810</v>
      </c>
      <c r="K10111" s="3" t="s">
        <v>54</v>
      </c>
      <c r="L10111" s="3" t="str">
        <f>IFERROR(__xludf.DUMMYFUNCTION("GOOGLETRANSLATE(F10111,""id"",""en"")"),"Congratulations to Argentina World Cup Champion")</f>
        <v>Congratulations to Argentina World Cup Champion</v>
      </c>
    </row>
    <row r="10112" ht="15.75" customHeight="1">
      <c r="A10112" s="1">
        <v>11349.0</v>
      </c>
      <c r="B10112" s="3" t="s">
        <v>28811</v>
      </c>
      <c r="C10112" s="3">
        <v>0.0</v>
      </c>
      <c r="D10112" s="3">
        <v>0.0</v>
      </c>
      <c r="E10112" s="3">
        <v>0.0</v>
      </c>
      <c r="F10112" s="3" t="s">
        <v>28812</v>
      </c>
      <c r="G10112" s="3">
        <v>1.0</v>
      </c>
      <c r="H10112" s="3">
        <v>0.0</v>
      </c>
      <c r="I10112" s="3" t="s">
        <v>13</v>
      </c>
      <c r="J10112" s="3" t="s">
        <v>28813</v>
      </c>
      <c r="K10112" s="3" t="s">
        <v>15</v>
      </c>
      <c r="L10112" s="3" t="str">
        <f>IFERROR(__xludf.DUMMYFUNCTION("GOOGLETRANSLATE(F10112,""id"",""en"")"),"Argentina Champion World Cup French goalkeeper made a final record")</f>
        <v>Argentina Champion World Cup French goalkeeper made a final record</v>
      </c>
    </row>
    <row r="10113" ht="15.75" customHeight="1">
      <c r="A10113" s="1">
        <v>11350.0</v>
      </c>
      <c r="B10113" s="3" t="s">
        <v>28814</v>
      </c>
      <c r="C10113" s="3">
        <v>0.0</v>
      </c>
      <c r="D10113" s="3">
        <v>0.0</v>
      </c>
      <c r="E10113" s="3">
        <v>0.0</v>
      </c>
      <c r="F10113" s="3" t="s">
        <v>28814</v>
      </c>
      <c r="G10113" s="3">
        <v>0.0</v>
      </c>
      <c r="H10113" s="3">
        <v>0.0</v>
      </c>
      <c r="I10113" s="3" t="s">
        <v>13</v>
      </c>
      <c r="J10113" s="3" t="s">
        <v>28815</v>
      </c>
      <c r="K10113" s="3" t="s">
        <v>644</v>
      </c>
      <c r="L10113" s="3" t="str">
        <f>IFERROR(__xludf.DUMMYFUNCTION("GOOGLETRANSLATE(F10113,""id"",""en"")"),"Kuramal Definitely Argentina Champion Pildun")</f>
        <v>Kuramal Definitely Argentina Champion Pildun</v>
      </c>
    </row>
    <row r="10114" ht="15.75" customHeight="1">
      <c r="A10114" s="1">
        <v>11351.0</v>
      </c>
      <c r="B10114" s="3" t="s">
        <v>28816</v>
      </c>
      <c r="C10114" s="3">
        <v>0.0</v>
      </c>
      <c r="D10114" s="3">
        <v>0.0</v>
      </c>
      <c r="E10114" s="3">
        <v>0.0</v>
      </c>
      <c r="F10114" s="3" t="s">
        <v>28817</v>
      </c>
      <c r="G10114" s="3">
        <v>0.0</v>
      </c>
      <c r="H10114" s="3">
        <v>0.0</v>
      </c>
      <c r="I10114" s="3" t="s">
        <v>13</v>
      </c>
      <c r="J10114" s="3" t="s">
        <v>28818</v>
      </c>
      <c r="K10114" s="3" t="s">
        <v>699</v>
      </c>
      <c r="L10114" s="3" t="str">
        <f>IFERROR(__xludf.DUMMYFUNCTION("GOOGLETRANSLATE(F10114,""id"",""en"")"),"Argentina Gegara Champion Sweet World Cup Hilage and Cubby Cubby Fyp Tiktok heh arises the contents of Messi just tarus")</f>
        <v>Argentina Gegara Champion Sweet World Cup Hilage and Cubby Cubby Fyp Tiktok heh arises the contents of Messi just tarus</v>
      </c>
    </row>
    <row r="10115" ht="15.75" customHeight="1">
      <c r="A10115" s="1">
        <v>11352.0</v>
      </c>
      <c r="B10115" s="3" t="s">
        <v>28819</v>
      </c>
      <c r="C10115" s="3">
        <v>0.0</v>
      </c>
      <c r="D10115" s="3">
        <v>0.0</v>
      </c>
      <c r="E10115" s="3">
        <v>0.0</v>
      </c>
      <c r="F10115" s="3" t="s">
        <v>28820</v>
      </c>
      <c r="G10115" s="3">
        <v>0.0</v>
      </c>
      <c r="H10115" s="3">
        <v>0.0</v>
      </c>
      <c r="I10115" s="3" t="s">
        <v>13</v>
      </c>
      <c r="J10115" s="3" t="s">
        <v>28821</v>
      </c>
      <c r="K10115" s="3" t="s">
        <v>15</v>
      </c>
      <c r="L10115" s="3" t="str">
        <f>IFERROR(__xludf.DUMMYFUNCTION("GOOGLETRANSLATE(F10115,""id"",""en"")"),"Saiki Argentina Dadi Champion Yen Ngene Piye Jal")</f>
        <v>Saiki Argentina Dadi Champion Yen Ngene Piye Jal</v>
      </c>
    </row>
    <row r="10116" ht="15.75" customHeight="1">
      <c r="A10116" s="1">
        <v>11353.0</v>
      </c>
      <c r="B10116" s="3" t="s">
        <v>28822</v>
      </c>
      <c r="C10116" s="3">
        <v>0.0</v>
      </c>
      <c r="D10116" s="3">
        <v>1.0</v>
      </c>
      <c r="E10116" s="3">
        <v>2.0</v>
      </c>
      <c r="F10116" s="3" t="s">
        <v>28823</v>
      </c>
      <c r="G10116" s="3">
        <v>0.0</v>
      </c>
      <c r="H10116" s="3">
        <v>0.0</v>
      </c>
      <c r="I10116" s="3" t="s">
        <v>13</v>
      </c>
      <c r="J10116" s="3" t="s">
        <v>28824</v>
      </c>
      <c r="K10116" s="3" t="s">
        <v>657</v>
      </c>
      <c r="L10116" s="3" t="str">
        <f>IFERROR(__xludf.DUMMYFUNCTION("GOOGLETRANSLATE(F10116,""id"",""en"")"),"Messi's success in leading Argentina to finally end the thirst of the World Cup title to the best of all time")</f>
        <v>Messi's success in leading Argentina to finally end the thirst of the World Cup title to the best of all time</v>
      </c>
    </row>
    <row r="10117" ht="15.75" customHeight="1">
      <c r="A10117" s="1">
        <v>11354.0</v>
      </c>
      <c r="B10117" s="3" t="s">
        <v>28825</v>
      </c>
      <c r="C10117" s="3">
        <v>0.0</v>
      </c>
      <c r="D10117" s="3">
        <v>0.0</v>
      </c>
      <c r="E10117" s="3">
        <v>0.0</v>
      </c>
      <c r="F10117" s="3" t="s">
        <v>28826</v>
      </c>
      <c r="G10117" s="3">
        <v>0.0</v>
      </c>
      <c r="H10117" s="3">
        <v>0.0</v>
      </c>
      <c r="I10117" s="3" t="s">
        <v>13</v>
      </c>
      <c r="J10117" s="3" t="s">
        <v>28827</v>
      </c>
      <c r="K10117" s="3" t="s">
        <v>75</v>
      </c>
      <c r="L10117" s="3" t="str">
        <f>IFERROR(__xludf.DUMMYFUNCTION("GOOGLETRANSLATE(F10117,""id"",""en"")"),"The troops dare to die for Messi until Argentina Champion World Cup via")</f>
        <v>The troops dare to die for Messi until Argentina Champion World Cup via</v>
      </c>
    </row>
    <row r="10118" ht="15.75" customHeight="1">
      <c r="A10118" s="1">
        <v>11355.0</v>
      </c>
      <c r="B10118" s="3" t="s">
        <v>28828</v>
      </c>
      <c r="C10118" s="3">
        <v>0.0</v>
      </c>
      <c r="D10118" s="3">
        <v>0.0</v>
      </c>
      <c r="E10118" s="3">
        <v>0.0</v>
      </c>
      <c r="F10118" s="3" t="s">
        <v>28829</v>
      </c>
      <c r="G10118" s="3">
        <v>0.0</v>
      </c>
      <c r="H10118" s="3">
        <v>0.0</v>
      </c>
      <c r="I10118" s="3" t="s">
        <v>13</v>
      </c>
      <c r="J10118" s="3" t="s">
        <v>28830</v>
      </c>
      <c r="K10118" s="3" t="s">
        <v>1699</v>
      </c>
      <c r="L10118" s="3" t="str">
        <f>IFERROR(__xludf.DUMMYFUNCTION("GOOGLETRANSLATE(F10118,""id"",""en"")"),"Emg mbappe Speed, there is an opponent there is a defender who can balance him if the stamina after Messi will be able to make an Argentina extratime extratime goal many opportunities as well as France only French players EMG Bapuk Pas Pas")</f>
        <v>Emg mbappe Speed, there is an opponent there is a defender who can balance him if the stamina after Messi will be able to make an Argentina extratime extratime goal many opportunities as well as France only French players EMG Bapuk Pas Pas</v>
      </c>
    </row>
    <row r="10119" ht="15.75" customHeight="1">
      <c r="A10119" s="1">
        <v>11356.0</v>
      </c>
      <c r="B10119" s="3" t="s">
        <v>28831</v>
      </c>
      <c r="C10119" s="3">
        <v>0.0</v>
      </c>
      <c r="D10119" s="3">
        <v>0.0</v>
      </c>
      <c r="E10119" s="3">
        <v>0.0</v>
      </c>
      <c r="F10119" s="3" t="s">
        <v>28832</v>
      </c>
      <c r="G10119" s="3">
        <v>0.0</v>
      </c>
      <c r="H10119" s="3">
        <v>0.0</v>
      </c>
      <c r="I10119" s="3" t="s">
        <v>13</v>
      </c>
      <c r="J10119" s="3" t="s">
        <v>28833</v>
      </c>
      <c r="K10119" s="3" t="s">
        <v>82</v>
      </c>
      <c r="L10119" s="3" t="str">
        <f>IFERROR(__xludf.DUMMYFUNCTION("GOOGLETRANSLATE(F10119,""id"",""en"")"),"the Argentina champion who trending fyp is still bang dodo")</f>
        <v>the Argentina champion who trending fyp is still bang dodo</v>
      </c>
    </row>
    <row r="10120" ht="15.75" customHeight="1">
      <c r="A10120" s="1">
        <v>11357.0</v>
      </c>
      <c r="B10120" s="3" t="s">
        <v>28834</v>
      </c>
      <c r="C10120" s="3">
        <v>0.0</v>
      </c>
      <c r="D10120" s="3">
        <v>0.0</v>
      </c>
      <c r="E10120" s="3">
        <v>0.0</v>
      </c>
      <c r="F10120" s="3" t="s">
        <v>28835</v>
      </c>
      <c r="G10120" s="3">
        <v>0.0</v>
      </c>
      <c r="H10120" s="3">
        <v>0.0</v>
      </c>
      <c r="I10120" s="3" t="s">
        <v>13</v>
      </c>
      <c r="J10120" s="3" t="s">
        <v>28836</v>
      </c>
      <c r="K10120" s="3" t="s">
        <v>127</v>
      </c>
      <c r="L10120" s="3" t="str">
        <f>IFERROR(__xludf.DUMMYFUNCTION("GOOGLETRANSLATE(F10120,""id"",""en"")"),"Argentine President Alberto Fernandez celebrates the success of his country to become a World Cup champion by uploading a selfie photo in front of the television screen")</f>
        <v>Argentine President Alberto Fernandez celebrates the success of his country to become a World Cup champion by uploading a selfie photo in front of the television screen</v>
      </c>
    </row>
    <row r="10121" ht="15.75" customHeight="1">
      <c r="A10121" s="1">
        <v>11358.0</v>
      </c>
      <c r="B10121" s="3" t="s">
        <v>28837</v>
      </c>
      <c r="C10121" s="3">
        <v>0.0</v>
      </c>
      <c r="D10121" s="3">
        <v>1.0</v>
      </c>
      <c r="E10121" s="3">
        <v>2.0</v>
      </c>
      <c r="F10121" s="3" t="s">
        <v>28838</v>
      </c>
      <c r="G10121" s="3">
        <v>0.5</v>
      </c>
      <c r="H10121" s="3">
        <v>0.5</v>
      </c>
      <c r="I10121" s="3" t="s">
        <v>48</v>
      </c>
      <c r="J10121" s="3" t="s">
        <v>28839</v>
      </c>
      <c r="K10121" s="3" t="s">
        <v>90</v>
      </c>
      <c r="L10121" s="3" t="str">
        <f>IFERROR(__xludf.DUMMYFUNCTION("GOOGLETRANSLATE(F10121,""id"",""en"")"),"Argentina won the World Cup after beating France through the Lusail Iconic Stadium penalties on Sunday December")</f>
        <v>Argentina won the World Cup after beating France through the Lusail Iconic Stadium penalties on Sunday December</v>
      </c>
    </row>
    <row r="10122" ht="15.75" customHeight="1">
      <c r="A10122" s="1">
        <v>11359.0</v>
      </c>
      <c r="B10122" s="3" t="s">
        <v>28840</v>
      </c>
      <c r="C10122" s="3">
        <v>0.0</v>
      </c>
      <c r="D10122" s="3">
        <v>0.0</v>
      </c>
      <c r="E10122" s="3">
        <v>0.0</v>
      </c>
      <c r="F10122" s="3" t="s">
        <v>28841</v>
      </c>
      <c r="G10122" s="3">
        <v>0.0</v>
      </c>
      <c r="H10122" s="3">
        <v>0.0</v>
      </c>
      <c r="I10122" s="3" t="s">
        <v>13</v>
      </c>
      <c r="J10122" s="3" t="s">
        <v>28842</v>
      </c>
      <c r="K10122" s="3" t="s">
        <v>657</v>
      </c>
      <c r="L10122" s="3" t="str">
        <f>IFERROR(__xludf.DUMMYFUNCTION("GOOGLETRANSLATE(F10122,""id"",""en"")"),"Argentina won the World Cup championship after beating France through a penalty kick at this time")</f>
        <v>Argentina won the World Cup championship after beating France through a penalty kick at this time</v>
      </c>
    </row>
    <row r="10123" ht="15.75" customHeight="1">
      <c r="A10123" s="1">
        <v>11360.0</v>
      </c>
      <c r="B10123" s="3" t="s">
        <v>28843</v>
      </c>
      <c r="C10123" s="3">
        <v>1.0</v>
      </c>
      <c r="D10123" s="3">
        <v>0.0</v>
      </c>
      <c r="E10123" s="3">
        <v>0.0</v>
      </c>
      <c r="F10123" s="3" t="s">
        <v>28844</v>
      </c>
      <c r="G10123" s="3">
        <v>0.0</v>
      </c>
      <c r="H10123" s="3">
        <v>0.0</v>
      </c>
      <c r="I10123" s="3" t="s">
        <v>13</v>
      </c>
      <c r="J10123" s="3" t="s">
        <v>28845</v>
      </c>
      <c r="K10123" s="3" t="s">
        <v>657</v>
      </c>
      <c r="L10123" s="3" t="str">
        <f>IFERROR(__xludf.DUMMYFUNCTION("GOOGLETRANSLATE(F10123,""id"",""en"")"),"Football Economy Congratulations to Argentina and especially Lionel Messi who won the Qatar World Cup Extraordinary Utas")</f>
        <v>Football Economy Congratulations to Argentina and especially Lionel Messi who won the Qatar World Cup Extraordinary Utas</v>
      </c>
    </row>
    <row r="10124" ht="15.75" customHeight="1">
      <c r="A10124" s="1">
        <v>11361.0</v>
      </c>
      <c r="B10124" s="3" t="s">
        <v>28846</v>
      </c>
      <c r="C10124" s="3">
        <v>0.0</v>
      </c>
      <c r="D10124" s="3">
        <v>0.0</v>
      </c>
      <c r="E10124" s="3">
        <v>0.0</v>
      </c>
      <c r="F10124" s="3" t="s">
        <v>28847</v>
      </c>
      <c r="G10124" s="3">
        <v>0.0</v>
      </c>
      <c r="H10124" s="3">
        <v>0.0</v>
      </c>
      <c r="I10124" s="3" t="s">
        <v>13</v>
      </c>
      <c r="J10124" s="3" t="s">
        <v>28848</v>
      </c>
      <c r="K10124" s="3" t="s">
        <v>31</v>
      </c>
      <c r="L10124" s="3" t="str">
        <f>IFERROR(__xludf.DUMMYFUNCTION("GOOGLETRANSLATE(F10124,""id"",""en"")"),"The beginning of Argentina champions pildun")</f>
        <v>The beginning of Argentina champions pildun</v>
      </c>
    </row>
    <row r="10125" ht="15.75" customHeight="1">
      <c r="A10125" s="1">
        <v>11362.0</v>
      </c>
      <c r="B10125" s="3" t="s">
        <v>28849</v>
      </c>
      <c r="C10125" s="3">
        <v>0.0</v>
      </c>
      <c r="D10125" s="3">
        <v>0.0</v>
      </c>
      <c r="E10125" s="3">
        <v>0.0</v>
      </c>
      <c r="F10125" s="3" t="s">
        <v>28850</v>
      </c>
      <c r="G10125" s="3">
        <v>0.0</v>
      </c>
      <c r="H10125" s="3">
        <v>0.0</v>
      </c>
      <c r="I10125" s="3" t="s">
        <v>13</v>
      </c>
      <c r="J10125" s="3" t="s">
        <v>28851</v>
      </c>
      <c r="K10125" s="3" t="s">
        <v>82</v>
      </c>
      <c r="L10125" s="3" t="str">
        <f>IFERROR(__xludf.DUMMYFUNCTION("GOOGLETRANSLATE(F10125,""id"",""en"")"),"finally Argentina could become a world champion again in the Jokowi era")</f>
        <v>finally Argentina could become a world champion again in the Jokowi era</v>
      </c>
    </row>
    <row r="10126" ht="15.75" customHeight="1">
      <c r="A10126" s="1">
        <v>11363.0</v>
      </c>
      <c r="B10126" s="3" t="s">
        <v>28852</v>
      </c>
      <c r="C10126" s="3">
        <v>0.0</v>
      </c>
      <c r="D10126" s="3">
        <v>0.0</v>
      </c>
      <c r="E10126" s="3">
        <v>0.0</v>
      </c>
      <c r="F10126" s="3" t="s">
        <v>28853</v>
      </c>
      <c r="G10126" s="3">
        <v>0.0</v>
      </c>
      <c r="H10126" s="3">
        <v>0.0</v>
      </c>
      <c r="I10126" s="3" t="s">
        <v>13</v>
      </c>
      <c r="J10126" s="3" t="s">
        <v>28854</v>
      </c>
      <c r="K10126" s="3" t="s">
        <v>82</v>
      </c>
      <c r="L10126" s="3" t="str">
        <f>IFERROR(__xludf.DUMMYFUNCTION("GOOGLETRANSLATE(F10126,""id"",""en"")"),"Argentina brought home billion after the World Cup championship")</f>
        <v>Argentina brought home billion after the World Cup championship</v>
      </c>
    </row>
    <row r="10127" ht="15.75" customHeight="1">
      <c r="A10127" s="1">
        <v>11364.0</v>
      </c>
      <c r="B10127" s="3" t="s">
        <v>28855</v>
      </c>
      <c r="C10127" s="3">
        <v>0.0</v>
      </c>
      <c r="D10127" s="3">
        <v>0.0</v>
      </c>
      <c r="E10127" s="3">
        <v>0.0</v>
      </c>
      <c r="F10127" s="3" t="s">
        <v>28856</v>
      </c>
      <c r="G10127" s="3">
        <v>0.0</v>
      </c>
      <c r="H10127" s="3">
        <v>0.0</v>
      </c>
      <c r="I10127" s="3" t="s">
        <v>13</v>
      </c>
      <c r="J10127" s="3" t="s">
        <v>28857</v>
      </c>
      <c r="K10127" s="3" t="s">
        <v>41</v>
      </c>
      <c r="L10127" s="3" t="str">
        <f>IFERROR(__xludf.DUMMYFUNCTION("GOOGLETRANSLATE(F10127,""id"",""en"")"),"finally you can see Argentina champions Copa America and FIFA World Cup")</f>
        <v>finally you can see Argentina champions Copa America and FIFA World Cup</v>
      </c>
    </row>
    <row r="10128" ht="15.75" customHeight="1">
      <c r="A10128" s="1">
        <v>11365.0</v>
      </c>
      <c r="B10128" s="3" t="s">
        <v>28858</v>
      </c>
      <c r="C10128" s="3">
        <v>0.0</v>
      </c>
      <c r="D10128" s="3">
        <v>0.0</v>
      </c>
      <c r="E10128" s="3">
        <v>0.0</v>
      </c>
      <c r="F10128" s="3" t="s">
        <v>28859</v>
      </c>
      <c r="G10128" s="3">
        <v>0.65</v>
      </c>
      <c r="H10128" s="3">
        <v>0.5</v>
      </c>
      <c r="I10128" s="3" t="s">
        <v>48</v>
      </c>
      <c r="J10128" s="3" t="s">
        <v>28860</v>
      </c>
      <c r="K10128" s="3" t="s">
        <v>23</v>
      </c>
      <c r="L10128" s="3" t="str">
        <f>IFERROR(__xludf.DUMMYFUNCTION("GOOGLETRANSLATE(F10128,""id"",""en"")"),"Best Final Gileh Drama MNT Goal Best Team from Two Continents of Football TPI Well MMG CMN Competition There is a Champion and Finally Messi and Argentina Champion")</f>
        <v>Best Final Gileh Drama MNT Goal Best Team from Two Continents of Football TPI Well MMG CMN Competition There is a Champion and Finally Messi and Argentina Champion</v>
      </c>
    </row>
    <row r="10129" ht="15.75" customHeight="1">
      <c r="A10129" s="1">
        <v>11366.0</v>
      </c>
      <c r="B10129" s="3" t="s">
        <v>28861</v>
      </c>
      <c r="C10129" s="3">
        <v>16.0</v>
      </c>
      <c r="D10129" s="3">
        <v>13.0</v>
      </c>
      <c r="E10129" s="3">
        <v>89.0</v>
      </c>
      <c r="F10129" s="3" t="s">
        <v>28862</v>
      </c>
      <c r="G10129" s="3">
        <v>0.5</v>
      </c>
      <c r="H10129" s="3">
        <v>0.5</v>
      </c>
      <c r="I10129" s="3" t="s">
        <v>48</v>
      </c>
      <c r="J10129" s="3" t="s">
        <v>28863</v>
      </c>
      <c r="K10129" s="3" t="s">
        <v>603</v>
      </c>
      <c r="L10129" s="3" t="str">
        <f>IFERROR(__xludf.DUMMYFUNCTION("GOOGLETRANSLATE(F10129,""id"",""en"")"),"Argentine Champion Best Player Messi Best Goalkeeper Martinez Best Young Player Enzo Fernandez Top Scorer Mbappe Worst Prediction Denny Siregar")</f>
        <v>Argentine Champion Best Player Messi Best Goalkeeper Martinez Best Young Player Enzo Fernandez Top Scorer Mbappe Worst Prediction Denny Siregar</v>
      </c>
    </row>
    <row r="10130" ht="15.75" customHeight="1">
      <c r="A10130" s="1">
        <v>11367.0</v>
      </c>
      <c r="B10130" s="3" t="s">
        <v>28864</v>
      </c>
      <c r="C10130" s="3">
        <v>0.0</v>
      </c>
      <c r="D10130" s="3">
        <v>0.0</v>
      </c>
      <c r="E10130" s="3">
        <v>4.0</v>
      </c>
      <c r="F10130" s="3" t="s">
        <v>28865</v>
      </c>
      <c r="G10130" s="3">
        <v>0.0</v>
      </c>
      <c r="H10130" s="3">
        <v>0.0</v>
      </c>
      <c r="I10130" s="3" t="s">
        <v>13</v>
      </c>
      <c r="J10130" s="3" t="s">
        <v>28866</v>
      </c>
      <c r="K10130" s="3" t="s">
        <v>75</v>
      </c>
      <c r="L10130" s="3" t="str">
        <f>IFERROR(__xludf.DUMMYFUNCTION("GOOGLETRANSLATE(F10130,""id"",""en"")"),"Cool already given twice still loses like this still say the Argentina championship settings")</f>
        <v>Cool already given twice still loses like this still say the Argentina championship settings</v>
      </c>
    </row>
    <row r="10131" ht="15.75" customHeight="1">
      <c r="A10131" s="1">
        <v>11368.0</v>
      </c>
      <c r="B10131" s="3" t="s">
        <v>28867</v>
      </c>
      <c r="C10131" s="3">
        <v>0.0</v>
      </c>
      <c r="D10131" s="3">
        <v>0.0</v>
      </c>
      <c r="E10131" s="3">
        <v>0.0</v>
      </c>
      <c r="F10131" s="3" t="s">
        <v>28868</v>
      </c>
      <c r="G10131" s="3">
        <v>0.0</v>
      </c>
      <c r="H10131" s="3">
        <v>0.0</v>
      </c>
      <c r="I10131" s="3" t="s">
        <v>13</v>
      </c>
      <c r="J10131" s="3" t="s">
        <v>28869</v>
      </c>
      <c r="K10131" s="3" t="s">
        <v>15</v>
      </c>
      <c r="L10131" s="3" t="str">
        <f>IFERROR(__xludf.DUMMYFUNCTION("GOOGLETRANSLATE(F10131,""id"",""en"")"),"how come Argentina is not the champion of the federation ketum who adopts the trophy")</f>
        <v>how come Argentina is not the champion of the federation ketum who adopts the trophy</v>
      </c>
    </row>
    <row r="10132" ht="15.75" customHeight="1">
      <c r="A10132" s="1">
        <v>11369.0</v>
      </c>
      <c r="B10132" s="3" t="s">
        <v>28870</v>
      </c>
      <c r="C10132" s="3">
        <v>0.0</v>
      </c>
      <c r="D10132" s="3">
        <v>0.0</v>
      </c>
      <c r="E10132" s="3">
        <v>0.0</v>
      </c>
      <c r="F10132" s="3" t="s">
        <v>28871</v>
      </c>
      <c r="G10132" s="3">
        <v>1.0</v>
      </c>
      <c r="H10132" s="3">
        <v>0.0</v>
      </c>
      <c r="I10132" s="3" t="s">
        <v>13</v>
      </c>
      <c r="J10132" s="3" t="s">
        <v>28872</v>
      </c>
      <c r="K10132" s="3" t="s">
        <v>94</v>
      </c>
      <c r="L10132" s="3" t="str">
        <f>IFERROR(__xludf.DUMMYFUNCTION("GOOGLETRANSLATE(F10132,""id"",""en"")"),"Last night supported France but was grateful that Argentina won because I didn't imagine the frustration of Messi if I wanted to retire and failed the world cup champion a moment with his family also made thx for his exciting final even though I hadn't wa"&amp;"tched football for a long time")</f>
        <v>Last night supported France but was grateful that Argentina won because I didn't imagine the frustration of Messi if I wanted to retire and failed the world cup champion a moment with his family also made thx for his exciting final even though I hadn't watched football for a long time</v>
      </c>
    </row>
    <row r="10133" ht="15.75" customHeight="1">
      <c r="A10133" s="1">
        <v>11370.0</v>
      </c>
      <c r="B10133" s="3" t="s">
        <v>28873</v>
      </c>
      <c r="C10133" s="3">
        <v>0.0</v>
      </c>
      <c r="D10133" s="3">
        <v>0.0</v>
      </c>
      <c r="E10133" s="3">
        <v>0.0</v>
      </c>
      <c r="F10133" s="3" t="s">
        <v>28874</v>
      </c>
      <c r="G10133" s="3">
        <v>0.0</v>
      </c>
      <c r="H10133" s="3">
        <v>0.0</v>
      </c>
      <c r="I10133" s="3" t="s">
        <v>13</v>
      </c>
      <c r="J10133" s="3" t="s">
        <v>28875</v>
      </c>
      <c r="K10133" s="3" t="s">
        <v>644</v>
      </c>
      <c r="L10133" s="3" t="str">
        <f>IFERROR(__xludf.DUMMYFUNCTION("GOOGLETRANSLATE(F10133,""id"",""en"")"),"Argentina World Champion Due to Settings")</f>
        <v>Argentina World Champion Due to Settings</v>
      </c>
    </row>
    <row r="10134" ht="15.75" customHeight="1">
      <c r="A10134" s="1">
        <v>11371.0</v>
      </c>
      <c r="B10134" s="3" t="s">
        <v>28876</v>
      </c>
      <c r="C10134" s="3">
        <v>0.0</v>
      </c>
      <c r="D10134" s="3">
        <v>0.0</v>
      </c>
      <c r="E10134" s="3">
        <v>0.0</v>
      </c>
      <c r="F10134" s="3" t="s">
        <v>28877</v>
      </c>
      <c r="G10134" s="3">
        <v>1.0</v>
      </c>
      <c r="H10134" s="3">
        <v>0.0</v>
      </c>
      <c r="I10134" s="3" t="s">
        <v>13</v>
      </c>
      <c r="J10134" s="3" t="s">
        <v>28878</v>
      </c>
      <c r="K10134" s="3" t="s">
        <v>499</v>
      </c>
      <c r="L10134" s="3" t="str">
        <f>IFERROR(__xludf.DUMMYFUNCTION("GOOGLETRANSLATE(F10134,""id"",""en"")"),"Argentina won the World Cup after dramatically conquered the defending champions of France through the final party shootout until the extension round ended in a draw position")</f>
        <v>Argentina won the World Cup after dramatically conquered the defending champions of France through the final party shootout until the extension round ended in a draw position</v>
      </c>
    </row>
    <row r="10135" ht="15.75" customHeight="1">
      <c r="A10135" s="1">
        <v>11372.0</v>
      </c>
      <c r="B10135" s="3" t="s">
        <v>28879</v>
      </c>
      <c r="C10135" s="3">
        <v>0.0</v>
      </c>
      <c r="D10135" s="3">
        <v>0.0</v>
      </c>
      <c r="E10135" s="3">
        <v>0.0</v>
      </c>
      <c r="F10135" s="3" t="s">
        <v>28880</v>
      </c>
      <c r="G10135" s="3">
        <v>0.0</v>
      </c>
      <c r="H10135" s="3">
        <v>0.0</v>
      </c>
      <c r="I10135" s="3" t="s">
        <v>13</v>
      </c>
      <c r="J10135" s="3" t="s">
        <v>28881</v>
      </c>
      <c r="K10135" s="3" t="s">
        <v>54</v>
      </c>
      <c r="L10135" s="3" t="str">
        <f>IFERROR(__xludf.DUMMYFUNCTION("GOOGLETRANSLATE(F10135,""id"",""en"")"),"Argentina won the World Cup championship")</f>
        <v>Argentina won the World Cup championship</v>
      </c>
    </row>
    <row r="10136" ht="15.75" customHeight="1">
      <c r="A10136" s="1">
        <v>11373.0</v>
      </c>
      <c r="B10136" s="3" t="s">
        <v>28882</v>
      </c>
      <c r="C10136" s="3">
        <v>2.0</v>
      </c>
      <c r="D10136" s="3">
        <v>0.0</v>
      </c>
      <c r="E10136" s="3">
        <v>0.0</v>
      </c>
      <c r="F10136" s="3" t="s">
        <v>28883</v>
      </c>
      <c r="G10136" s="3">
        <v>0.0</v>
      </c>
      <c r="H10136" s="3">
        <v>0.0</v>
      </c>
      <c r="I10136" s="3" t="s">
        <v>13</v>
      </c>
      <c r="J10136" s="3" t="s">
        <v>28884</v>
      </c>
      <c r="K10136" s="3" t="s">
        <v>2215</v>
      </c>
      <c r="L10136" s="3" t="str">
        <f>IFERROR(__xludf.DUMMYFUNCTION("GOOGLETRANSLATE(F10136,""id"",""en"")"),"Ciaaakh is able to reply to individuals, don't discuss Spanish fans, it's Argentina's turn to champion Argentine fans")</f>
        <v>Ciaaakh is able to reply to individuals, don't discuss Spanish fans, it's Argentina's turn to champion Argentine fans</v>
      </c>
    </row>
    <row r="10137" ht="15.75" customHeight="1">
      <c r="A10137" s="1">
        <v>11374.0</v>
      </c>
      <c r="B10137" s="3" t="s">
        <v>28885</v>
      </c>
      <c r="C10137" s="3">
        <v>0.0</v>
      </c>
      <c r="D10137" s="3">
        <v>0.0</v>
      </c>
      <c r="E10137" s="3">
        <v>0.0</v>
      </c>
      <c r="F10137" s="3" t="s">
        <v>28886</v>
      </c>
      <c r="G10137" s="3">
        <v>0.0</v>
      </c>
      <c r="H10137" s="3">
        <v>0.0</v>
      </c>
      <c r="I10137" s="3" t="s">
        <v>13</v>
      </c>
      <c r="J10137" s="3" t="s">
        <v>28887</v>
      </c>
      <c r="K10137" s="3" t="s">
        <v>19</v>
      </c>
      <c r="L10137" s="3" t="str">
        <f>IFERROR(__xludf.DUMMYFUNCTION("GOOGLETRANSLATE(F10137,""id"",""en"")"),"This is a series of facts Argentina champions of the World Cup waiting for Lionel Messi in the year ends")</f>
        <v>This is a series of facts Argentina champions of the World Cup waiting for Lionel Messi in the year ends</v>
      </c>
    </row>
    <row r="10138" ht="15.75" customHeight="1">
      <c r="A10138" s="1">
        <v>11375.0</v>
      </c>
      <c r="B10138" s="3" t="s">
        <v>28888</v>
      </c>
      <c r="C10138" s="3">
        <v>0.0</v>
      </c>
      <c r="D10138" s="3">
        <v>0.0</v>
      </c>
      <c r="E10138" s="3">
        <v>0.0</v>
      </c>
      <c r="F10138" s="3" t="s">
        <v>28889</v>
      </c>
      <c r="G10138" s="3">
        <v>0.0</v>
      </c>
      <c r="H10138" s="3">
        <v>0.0</v>
      </c>
      <c r="I10138" s="3" t="s">
        <v>13</v>
      </c>
      <c r="J10138" s="3" t="s">
        <v>28890</v>
      </c>
      <c r="K10138" s="3" t="s">
        <v>75</v>
      </c>
      <c r="L10138" s="3" t="str">
        <f>IFERROR(__xludf.DUMMYFUNCTION("GOOGLETRANSLATE(F10138,""id"",""en"")"),"Argentina won the world champion for the third time after conquering France passing")</f>
        <v>Argentina won the world champion for the third time after conquering France passing</v>
      </c>
    </row>
    <row r="10139" ht="15.75" customHeight="1">
      <c r="A10139" s="1">
        <v>11376.0</v>
      </c>
      <c r="B10139" s="3" t="s">
        <v>28891</v>
      </c>
      <c r="C10139" s="3">
        <v>0.0</v>
      </c>
      <c r="D10139" s="3">
        <v>0.0</v>
      </c>
      <c r="E10139" s="3">
        <v>0.0</v>
      </c>
      <c r="F10139" s="3" t="s">
        <v>28892</v>
      </c>
      <c r="G10139" s="3">
        <v>0.4</v>
      </c>
      <c r="H10139" s="3">
        <v>0.8</v>
      </c>
      <c r="I10139" s="3" t="s">
        <v>48</v>
      </c>
      <c r="J10139" s="3" t="s">
        <v>28893</v>
      </c>
      <c r="K10139" s="3" t="s">
        <v>75</v>
      </c>
      <c r="L10139" s="3" t="str">
        <f>IFERROR(__xludf.DUMMYFUNCTION("GOOGLETRANSLATE(F10139,""id"",""en"")"),"Congratulation Congratulations for Argentina Win World Cup World Cup Champion")</f>
        <v>Congratulation Congratulations for Argentina Win World Cup World Cup Champion</v>
      </c>
    </row>
    <row r="10140" ht="15.75" customHeight="1">
      <c r="A10140" s="1">
        <v>11377.0</v>
      </c>
      <c r="B10140" s="3" t="s">
        <v>28894</v>
      </c>
      <c r="C10140" s="3">
        <v>0.0</v>
      </c>
      <c r="D10140" s="3">
        <v>0.0</v>
      </c>
      <c r="E10140" s="3">
        <v>1.0</v>
      </c>
      <c r="F10140" s="3" t="s">
        <v>28895</v>
      </c>
      <c r="G10140" s="3">
        <v>0.0</v>
      </c>
      <c r="H10140" s="3">
        <v>0.0</v>
      </c>
      <c r="I10140" s="3" t="s">
        <v>13</v>
      </c>
      <c r="J10140" s="3" t="s">
        <v>28896</v>
      </c>
      <c r="K10140" s="3" t="s">
        <v>15</v>
      </c>
      <c r="L10140" s="3" t="str">
        <f>IFERROR(__xludf.DUMMYFUNCTION("GOOGLETRANSLATE(F10140,""id"",""en"")"),"Successfully brush France and brought Argentina World Cup champions")</f>
        <v>Successfully brush France and brought Argentina World Cup champions</v>
      </c>
    </row>
    <row r="10141" ht="15.75" customHeight="1">
      <c r="A10141" s="1">
        <v>11378.0</v>
      </c>
      <c r="B10141" s="3" t="s">
        <v>28897</v>
      </c>
      <c r="C10141" s="3">
        <v>0.0</v>
      </c>
      <c r="D10141" s="3">
        <v>0.0</v>
      </c>
      <c r="E10141" s="3">
        <v>0.0</v>
      </c>
      <c r="F10141" s="3" t="s">
        <v>28898</v>
      </c>
      <c r="G10141" s="3">
        <v>0.0</v>
      </c>
      <c r="H10141" s="3">
        <v>0.0</v>
      </c>
      <c r="I10141" s="3" t="s">
        <v>13</v>
      </c>
      <c r="J10141" s="3" t="s">
        <v>28899</v>
      </c>
      <c r="K10141" s="3" t="s">
        <v>633</v>
      </c>
      <c r="L10141" s="3" t="str">
        <f>IFERROR(__xludf.DUMMYFUNCTION("GOOGLETRANSLATE(F10141,""id"",""en"")"),"France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0142" ht="15.75" customHeight="1">
      <c r="A10142" s="1">
        <v>11379.0</v>
      </c>
      <c r="B10142" s="3" t="s">
        <v>28900</v>
      </c>
      <c r="C10142" s="3">
        <v>0.0</v>
      </c>
      <c r="D10142" s="3">
        <v>0.0</v>
      </c>
      <c r="E10142" s="3">
        <v>0.0</v>
      </c>
      <c r="F10142" s="3" t="s">
        <v>28901</v>
      </c>
      <c r="G10142" s="3">
        <v>0.0</v>
      </c>
      <c r="H10142" s="3">
        <v>0.0</v>
      </c>
      <c r="I10142" s="3" t="s">
        <v>13</v>
      </c>
      <c r="J10142" s="3" t="s">
        <v>28902</v>
      </c>
      <c r="K10142" s="3" t="s">
        <v>41</v>
      </c>
      <c r="L10142" s="3" t="str">
        <f>IFERROR(__xludf.DUMMYFUNCTION("GOOGLETRANSLATE(F10142,""id"",""en"")"),"said Lionel Scaloni after Argentina, I hope that Maradona is here")</f>
        <v>said Lionel Scaloni after Argentina, I hope that Maradona is here</v>
      </c>
    </row>
    <row r="10143" ht="15.75" customHeight="1">
      <c r="A10143" s="1">
        <v>11380.0</v>
      </c>
      <c r="B10143" s="3" t="s">
        <v>28903</v>
      </c>
      <c r="C10143" s="3">
        <v>0.0</v>
      </c>
      <c r="D10143" s="3">
        <v>0.0</v>
      </c>
      <c r="E10143" s="3">
        <v>0.0</v>
      </c>
      <c r="F10143" s="3" t="s">
        <v>28904</v>
      </c>
      <c r="G10143" s="3">
        <v>0.6666666666666666</v>
      </c>
      <c r="H10143" s="3">
        <v>0.08333333333333333</v>
      </c>
      <c r="I10143" s="3" t="s">
        <v>48</v>
      </c>
      <c r="J10143" s="3" t="s">
        <v>28905</v>
      </c>
      <c r="K10143" s="3" t="s">
        <v>491</v>
      </c>
      <c r="L10143" s="3" t="str">
        <f>IFERROR(__xludf.DUMMYFUNCTION("GOOGLETRANSLATE(F10143,""id"",""en"")"),"Then Argentina can win if Mar is injured and play final but God postponed it for the sake of a more perfect champion moment to mel")</f>
        <v>Then Argentina can win if Mar is injured and play final but God postponed it for the sake of a more perfect champion moment to mel</v>
      </c>
    </row>
    <row r="10144" ht="15.75" customHeight="1">
      <c r="A10144" s="1">
        <v>11381.0</v>
      </c>
      <c r="B10144" s="3" t="s">
        <v>28906</v>
      </c>
      <c r="C10144" s="3">
        <v>3.0</v>
      </c>
      <c r="D10144" s="3">
        <v>0.0</v>
      </c>
      <c r="E10144" s="3">
        <v>9.0</v>
      </c>
      <c r="F10144" s="3" t="s">
        <v>28907</v>
      </c>
      <c r="G10144" s="3">
        <v>0.0</v>
      </c>
      <c r="H10144" s="3">
        <v>0.0</v>
      </c>
      <c r="I10144" s="3" t="s">
        <v>13</v>
      </c>
      <c r="J10144" s="3" t="s">
        <v>28908</v>
      </c>
      <c r="K10144" s="3" t="s">
        <v>35</v>
      </c>
      <c r="L10144" s="3" t="str">
        <f>IFERROR(__xludf.DUMMYFUNCTION("GOOGLETRANSLATE(F10144,""id"",""en"")"),"Conducting a Google search this morning for Argentina champions will be welcomed with digital fireworks and Argentine flags")</f>
        <v>Conducting a Google search this morning for Argentina champions will be welcomed with digital fireworks and Argentine flags</v>
      </c>
    </row>
    <row r="10145" ht="15.75" customHeight="1">
      <c r="A10145" s="1">
        <v>11382.0</v>
      </c>
      <c r="B10145" s="3" t="s">
        <v>28909</v>
      </c>
      <c r="C10145" s="3">
        <v>0.0</v>
      </c>
      <c r="D10145" s="3">
        <v>0.0</v>
      </c>
      <c r="E10145" s="3">
        <v>0.0</v>
      </c>
      <c r="F10145" s="3" t="s">
        <v>28910</v>
      </c>
      <c r="G10145" s="3">
        <v>0.0</v>
      </c>
      <c r="H10145" s="3">
        <v>0.0</v>
      </c>
      <c r="I10145" s="3" t="s">
        <v>13</v>
      </c>
      <c r="J10145" s="3" t="s">
        <v>28911</v>
      </c>
      <c r="K10145" s="3" t="s">
        <v>50</v>
      </c>
      <c r="L10145" s="3" t="str">
        <f>IFERROR(__xludf.DUMMYFUNCTION("GOOGLETRANSLATE(F10145,""id"",""en"")"),"if not because of respect Messi is very willing, I am Argentina champion the behavior of the players is AMATUUN")</f>
        <v>if not because of respect Messi is very willing, I am Argentina champion the behavior of the players is AMATUUN</v>
      </c>
    </row>
    <row r="10146" ht="15.75" customHeight="1">
      <c r="A10146" s="1">
        <v>11383.0</v>
      </c>
      <c r="B10146" s="3" t="s">
        <v>28912</v>
      </c>
      <c r="C10146" s="3">
        <v>1.0</v>
      </c>
      <c r="D10146" s="3">
        <v>0.0</v>
      </c>
      <c r="E10146" s="3">
        <v>1.0</v>
      </c>
      <c r="F10146" s="3" t="s">
        <v>28913</v>
      </c>
      <c r="G10146" s="3">
        <v>0.0</v>
      </c>
      <c r="H10146" s="3">
        <v>0.0</v>
      </c>
      <c r="I10146" s="3" t="s">
        <v>13</v>
      </c>
      <c r="J10146" s="3" t="s">
        <v>28914</v>
      </c>
      <c r="K10146" s="3" t="s">
        <v>71</v>
      </c>
      <c r="L10146" s="3" t="str">
        <f>IFERROR(__xludf.DUMMYFUNCTION("GOOGLETRANSLATE(F10146,""id"",""en"")"),"That is the thrill of football there will definitely be dramas that can always be debated and enjoyed by the fact that Argentina has won with Messi as the best player of the World Cup")</f>
        <v>That is the thrill of football there will definitely be dramas that can always be debated and enjoyed by the fact that Argentina has won with Messi as the best player of the World Cup</v>
      </c>
    </row>
    <row r="10147" ht="15.75" customHeight="1">
      <c r="A10147" s="1">
        <v>11384.0</v>
      </c>
      <c r="B10147" s="3" t="s">
        <v>28915</v>
      </c>
      <c r="C10147" s="3">
        <v>0.0</v>
      </c>
      <c r="D10147" s="3">
        <v>0.0</v>
      </c>
      <c r="E10147" s="3">
        <v>0.0</v>
      </c>
      <c r="F10147" s="3" t="s">
        <v>23020</v>
      </c>
      <c r="G10147" s="3">
        <v>0.0</v>
      </c>
      <c r="H10147" s="3">
        <v>0.0</v>
      </c>
      <c r="I10147" s="3" t="s">
        <v>13</v>
      </c>
      <c r="J10147" s="3" t="s">
        <v>23021</v>
      </c>
      <c r="K10147" s="3" t="s">
        <v>50</v>
      </c>
      <c r="L10147" s="3" t="str">
        <f>IFERROR(__xludf.DUMMYFUNCTION("GOOGLETRANSLATE(F10147,""id"",""en"")"),"President Argentina uploads a photo of the front selfie after his country champions of the World Cup")</f>
        <v>President Argentina uploads a photo of the front selfie after his country champions of the World Cup</v>
      </c>
    </row>
    <row r="10148" ht="15.75" customHeight="1">
      <c r="A10148" s="1">
        <v>11385.0</v>
      </c>
      <c r="B10148" s="3" t="s">
        <v>28916</v>
      </c>
      <c r="C10148" s="3">
        <v>0.0</v>
      </c>
      <c r="D10148" s="3">
        <v>0.0</v>
      </c>
      <c r="E10148" s="3">
        <v>0.0</v>
      </c>
      <c r="F10148" s="3" t="s">
        <v>28917</v>
      </c>
      <c r="G10148" s="3">
        <v>0.0</v>
      </c>
      <c r="H10148" s="3">
        <v>0.0</v>
      </c>
      <c r="I10148" s="3" t="s">
        <v>13</v>
      </c>
      <c r="J10148" s="3" t="s">
        <v>28918</v>
      </c>
      <c r="K10148" s="3" t="s">
        <v>41</v>
      </c>
      <c r="L10148" s="3" t="str">
        <f>IFERROR(__xludf.DUMMYFUNCTION("GOOGLETRANSLATE(F10148,""id"",""en"")"),"FIFA gave a World Cup championship prize for Argentina how much value")</f>
        <v>FIFA gave a World Cup championship prize for Argentina how much value</v>
      </c>
    </row>
    <row r="10149" ht="15.75" customHeight="1">
      <c r="A10149" s="1">
        <v>11386.0</v>
      </c>
      <c r="B10149" s="3" t="s">
        <v>28919</v>
      </c>
      <c r="C10149" s="3">
        <v>0.0</v>
      </c>
      <c r="D10149" s="3">
        <v>0.0</v>
      </c>
      <c r="E10149" s="3">
        <v>0.0</v>
      </c>
      <c r="F10149" s="3" t="s">
        <v>28919</v>
      </c>
      <c r="G10149" s="3">
        <v>0.0</v>
      </c>
      <c r="H10149" s="3">
        <v>0.0</v>
      </c>
      <c r="I10149" s="3" t="s">
        <v>13</v>
      </c>
      <c r="J10149" s="3" t="s">
        <v>28920</v>
      </c>
      <c r="K10149" s="3" t="s">
        <v>644</v>
      </c>
      <c r="L10149" s="3" t="str">
        <f>IFERROR(__xludf.DUMMYFUNCTION("GOOGLETRANSLATE(F10149,""id"",""en"")"),"Argentina's beautiful dream champion")</f>
        <v>Argentina's beautiful dream champion</v>
      </c>
    </row>
    <row r="10150" ht="15.75" customHeight="1">
      <c r="A10150" s="1">
        <v>11387.0</v>
      </c>
      <c r="B10150" s="3" t="s">
        <v>28921</v>
      </c>
      <c r="C10150" s="3">
        <v>1.0</v>
      </c>
      <c r="D10150" s="3">
        <v>0.0</v>
      </c>
      <c r="E10150" s="3">
        <v>33.0</v>
      </c>
      <c r="F10150" s="3" t="s">
        <v>28922</v>
      </c>
      <c r="G10150" s="3">
        <v>0.0</v>
      </c>
      <c r="H10150" s="3">
        <v>0.0</v>
      </c>
      <c r="I10150" s="3" t="s">
        <v>13</v>
      </c>
      <c r="J10150" s="3" t="s">
        <v>28923</v>
      </c>
      <c r="K10150" s="3" t="s">
        <v>574</v>
      </c>
      <c r="L10150" s="3" t="str">
        <f>IFERROR(__xludf.DUMMYFUNCTION("GOOGLETRANSLATE(F10150,""id"",""en"")"),"His name is also the country he won again since last year was also proud of being proud while he was also a former player still able to come to the Dressing Room Argentina Gas just like this Indo can win the AFF EMG Kyk he is also what he is.")</f>
        <v>His name is also the country he won again since last year was also proud of being proud while he was also a former player still able to come to the Dressing Room Argentina Gas just like this Indo can win the AFF EMG Kyk he is also what he is.</v>
      </c>
    </row>
    <row r="10151" ht="15.75" customHeight="1">
      <c r="A10151" s="1">
        <v>11388.0</v>
      </c>
      <c r="B10151" s="3" t="s">
        <v>28924</v>
      </c>
      <c r="C10151" s="3">
        <v>0.0</v>
      </c>
      <c r="D10151" s="3">
        <v>0.0</v>
      </c>
      <c r="E10151" s="3">
        <v>0.0</v>
      </c>
      <c r="F10151" s="3" t="s">
        <v>23029</v>
      </c>
      <c r="G10151" s="3">
        <v>0.0</v>
      </c>
      <c r="H10151" s="3">
        <v>0.0</v>
      </c>
      <c r="I10151" s="3" t="s">
        <v>13</v>
      </c>
      <c r="J10151" s="3" t="s">
        <v>23030</v>
      </c>
      <c r="K10151" s="3" t="s">
        <v>31</v>
      </c>
      <c r="L10151" s="3" t="str">
        <f>IFERROR(__xludf.DUMMYFUNCTION("GOOGLETRANSLATE(F10151,""id"",""en"")"),"Dramatic Argentina World Cup Champion")</f>
        <v>Dramatic Argentina World Cup Champion</v>
      </c>
    </row>
    <row r="10152" ht="15.75" customHeight="1">
      <c r="A10152" s="1">
        <v>11389.0</v>
      </c>
      <c r="B10152" s="3" t="s">
        <v>28925</v>
      </c>
      <c r="C10152" s="3">
        <v>0.0</v>
      </c>
      <c r="D10152" s="3">
        <v>0.0</v>
      </c>
      <c r="E10152" s="3">
        <v>0.0</v>
      </c>
      <c r="F10152" s="3" t="s">
        <v>22241</v>
      </c>
      <c r="G10152" s="3">
        <v>0.0</v>
      </c>
      <c r="H10152" s="3">
        <v>0.0</v>
      </c>
      <c r="I10152" s="3" t="s">
        <v>13</v>
      </c>
      <c r="J10152" s="3" t="s">
        <v>16942</v>
      </c>
      <c r="K10152" s="3" t="s">
        <v>644</v>
      </c>
      <c r="L10152" s="3" t="str">
        <f>IFERROR(__xludf.DUMMYFUNCTION("GOOGLETRANSLATE(F10152,""id"",""en"")"),"Argentina Champion World Cup")</f>
        <v>Argentina Champion World Cup</v>
      </c>
    </row>
    <row r="10153" ht="15.75" customHeight="1">
      <c r="A10153" s="1">
        <v>11390.0</v>
      </c>
      <c r="B10153" s="3" t="s">
        <v>28926</v>
      </c>
      <c r="C10153" s="3">
        <v>0.0</v>
      </c>
      <c r="D10153" s="3">
        <v>0.0</v>
      </c>
      <c r="E10153" s="3">
        <v>0.0</v>
      </c>
      <c r="F10153" s="3" t="s">
        <v>28927</v>
      </c>
      <c r="G10153" s="3">
        <v>1.0</v>
      </c>
      <c r="H10153" s="3">
        <v>0.0</v>
      </c>
      <c r="I10153" s="3" t="s">
        <v>13</v>
      </c>
      <c r="J10153" s="3" t="s">
        <v>28928</v>
      </c>
      <c r="K10153" s="3" t="s">
        <v>71</v>
      </c>
      <c r="L10153" s="3" t="str">
        <f>IFERROR(__xludf.DUMMYFUNCTION("GOOGLETRANSLATE(F10153,""id"",""en"")"),"Argentina appeared as the World Cup champion after crushing France through the final penalty reading.")</f>
        <v>Argentina appeared as the World Cup champion after crushing France through the final penalty reading.</v>
      </c>
    </row>
    <row r="10154" ht="15.75" customHeight="1">
      <c r="A10154" s="1">
        <v>11391.0</v>
      </c>
      <c r="B10154" s="3" t="s">
        <v>28929</v>
      </c>
      <c r="C10154" s="3">
        <v>0.0</v>
      </c>
      <c r="D10154" s="3">
        <v>0.0</v>
      </c>
      <c r="E10154" s="3">
        <v>2.0</v>
      </c>
      <c r="F10154" s="3" t="s">
        <v>28930</v>
      </c>
      <c r="G10154" s="3">
        <v>0.0</v>
      </c>
      <c r="H10154" s="3">
        <v>0.0</v>
      </c>
      <c r="I10154" s="3" t="s">
        <v>13</v>
      </c>
      <c r="J10154" s="3" t="s">
        <v>28931</v>
      </c>
      <c r="K10154" s="3" t="s">
        <v>41</v>
      </c>
      <c r="L10154" s="3" t="str">
        <f>IFERROR(__xludf.DUMMYFUNCTION("GOOGLETRANSLATE(F10154,""id"",""en"")"),"Gimna is proud of Argentina Francis's penalty to win the archipelago national team")</f>
        <v>Gimna is proud of Argentina Francis's penalty to win the archipelago national team</v>
      </c>
    </row>
    <row r="10155" ht="15.75" customHeight="1">
      <c r="A10155" s="1">
        <v>11392.0</v>
      </c>
      <c r="B10155" s="3" t="s">
        <v>28932</v>
      </c>
      <c r="C10155" s="3">
        <v>0.0</v>
      </c>
      <c r="D10155" s="3">
        <v>0.0</v>
      </c>
      <c r="E10155" s="3">
        <v>0.0</v>
      </c>
      <c r="F10155" s="3" t="s">
        <v>28933</v>
      </c>
      <c r="G10155" s="3">
        <v>0.0</v>
      </c>
      <c r="H10155" s="3">
        <v>0.0</v>
      </c>
      <c r="I10155" s="3" t="s">
        <v>13</v>
      </c>
      <c r="J10155" s="3" t="s">
        <v>28934</v>
      </c>
      <c r="K10155" s="3" t="s">
        <v>236</v>
      </c>
      <c r="L10155" s="3" t="str">
        <f>IFERROR(__xludf.DUMMYFUNCTION("GOOGLETRANSLATE(F10155,""id"",""en"")"),"let's ndelok the concert then ndelok argentina champion moto rodok sepet iki")</f>
        <v>let's ndelok the concert then ndelok argentina champion moto rodok sepet iki</v>
      </c>
    </row>
    <row r="10156" ht="15.75" customHeight="1">
      <c r="A10156" s="1">
        <v>11393.0</v>
      </c>
      <c r="B10156" s="3" t="s">
        <v>28935</v>
      </c>
      <c r="C10156" s="3">
        <v>0.0</v>
      </c>
      <c r="D10156" s="3">
        <v>0.0</v>
      </c>
      <c r="E10156" s="3">
        <v>0.0</v>
      </c>
      <c r="F10156" s="3" t="s">
        <v>28936</v>
      </c>
      <c r="G10156" s="3">
        <v>0.0</v>
      </c>
      <c r="H10156" s="3">
        <v>0.0</v>
      </c>
      <c r="I10156" s="3" t="s">
        <v>13</v>
      </c>
      <c r="J10156" s="3" t="s">
        <v>28937</v>
      </c>
      <c r="K10156" s="3" t="s">
        <v>82</v>
      </c>
      <c r="L10156" s="3" t="str">
        <f>IFERROR(__xludf.DUMMYFUNCTION("GOOGLETRANSLATE(F10156,""id"",""en"")"),"the spirit of the happy Monday to the Blue of Argentina Champion")</f>
        <v>the spirit of the happy Monday to the Blue of Argentina Champion</v>
      </c>
    </row>
    <row r="10157" ht="15.75" customHeight="1">
      <c r="A10157" s="1">
        <v>11394.0</v>
      </c>
      <c r="B10157" s="3" t="s">
        <v>28938</v>
      </c>
      <c r="C10157" s="3">
        <v>2.0</v>
      </c>
      <c r="D10157" s="3">
        <v>0.0</v>
      </c>
      <c r="E10157" s="3">
        <v>0.0</v>
      </c>
      <c r="F10157" s="3" t="s">
        <v>28939</v>
      </c>
      <c r="G10157" s="3">
        <v>0.0</v>
      </c>
      <c r="H10157" s="3">
        <v>0.0</v>
      </c>
      <c r="I10157" s="3" t="s">
        <v>13</v>
      </c>
      <c r="J10157" s="3" t="s">
        <v>28940</v>
      </c>
      <c r="K10157" s="3" t="s">
        <v>19</v>
      </c>
      <c r="L10157" s="3" t="str">
        <f>IFERROR(__xludf.DUMMYFUNCTION("GOOGLETRANSLATE(F10157,""id"",""en"")"),"promised because Argentina champions of the World Cup I will Giveaway thousand for people tonight")</f>
        <v>promised because Argentina champions of the World Cup I will Giveaway thousand for people tonight</v>
      </c>
    </row>
    <row r="10158" ht="15.75" customHeight="1">
      <c r="A10158" s="1">
        <v>11395.0</v>
      </c>
      <c r="B10158" s="3" t="s">
        <v>28941</v>
      </c>
      <c r="C10158" s="3">
        <v>1.0</v>
      </c>
      <c r="D10158" s="3">
        <v>0.0</v>
      </c>
      <c r="E10158" s="3">
        <v>6.0</v>
      </c>
      <c r="F10158" s="3" t="s">
        <v>28942</v>
      </c>
      <c r="G10158" s="3">
        <v>0.0</v>
      </c>
      <c r="H10158" s="3">
        <v>0.0</v>
      </c>
      <c r="I10158" s="3" t="s">
        <v>13</v>
      </c>
      <c r="J10158" s="3" t="s">
        <v>28943</v>
      </c>
      <c r="K10158" s="3" t="s">
        <v>1552</v>
      </c>
      <c r="L10158" s="3" t="str">
        <f>IFERROR(__xludf.DUMMYFUNCTION("GOOGLETRANSLATE(F10158,""id"",""en"")"),"Madrid's Argentina is Dodo alias, there is a Madrid and Dodo Agen player championship")</f>
        <v>Madrid's Argentina is Dodo alias, there is a Madrid and Dodo Agen player championship</v>
      </c>
    </row>
    <row r="10159" ht="15.75" customHeight="1">
      <c r="A10159" s="1">
        <v>11396.0</v>
      </c>
      <c r="B10159" s="3" t="s">
        <v>28944</v>
      </c>
      <c r="C10159" s="3">
        <v>0.0</v>
      </c>
      <c r="D10159" s="3">
        <v>0.0</v>
      </c>
      <c r="E10159" s="3">
        <v>0.0</v>
      </c>
      <c r="F10159" s="3" t="s">
        <v>28945</v>
      </c>
      <c r="G10159" s="3">
        <v>0.6666666666666666</v>
      </c>
      <c r="H10159" s="3">
        <v>0.08333333333333333</v>
      </c>
      <c r="I10159" s="3" t="s">
        <v>48</v>
      </c>
      <c r="J10159" s="3" t="s">
        <v>28946</v>
      </c>
      <c r="K10159" s="3" t="s">
        <v>215</v>
      </c>
      <c r="L10159" s="3" t="str">
        <f>IFERROR(__xludf.DUMMYFUNCTION("GOOGLETRANSLATE(F10159,""id"",""en"")"),"indeed, from the beginning of playing the World Cup event, the referee was very visible with the commentators of all Argentina who won many handsball and violations from Argentina got a penalty and check the Var Final made a fun struggle")</f>
        <v>indeed, from the beginning of playing the World Cup event, the referee was very visible with the commentators of all Argentina who won many handsball and violations from Argentina got a penalty and check the Var Final made a fun struggle</v>
      </c>
    </row>
    <row r="10160" ht="15.75" customHeight="1">
      <c r="A10160" s="1">
        <v>11397.0</v>
      </c>
      <c r="B10160" s="3" t="s">
        <v>28947</v>
      </c>
      <c r="C10160" s="3">
        <v>0.0</v>
      </c>
      <c r="D10160" s="3">
        <v>0.0</v>
      </c>
      <c r="E10160" s="3">
        <v>0.0</v>
      </c>
      <c r="F10160" s="3" t="s">
        <v>28948</v>
      </c>
      <c r="G10160" s="3">
        <v>0.0</v>
      </c>
      <c r="H10160" s="3">
        <v>0.0</v>
      </c>
      <c r="I10160" s="3" t="s">
        <v>13</v>
      </c>
      <c r="J10160" s="3" t="s">
        <v>28949</v>
      </c>
      <c r="K10160" s="3" t="s">
        <v>433</v>
      </c>
      <c r="L10160" s="3" t="str">
        <f>IFERROR(__xludf.DUMMYFUNCTION("GOOGLETRANSLATE(F10160,""id"",""en"")"),"The World Cup Qatar Champion for the Indonesian Argentina People's Party when our residents lose to the inhabitants")</f>
        <v>The World Cup Qatar Champion for the Indonesian Argentina People's Party when our residents lose to the inhabitants</v>
      </c>
    </row>
    <row r="10161" ht="15.75" customHeight="1">
      <c r="A10161" s="1">
        <v>11398.0</v>
      </c>
      <c r="B10161" s="3" t="s">
        <v>28950</v>
      </c>
      <c r="C10161" s="3">
        <v>0.0</v>
      </c>
      <c r="D10161" s="3">
        <v>0.0</v>
      </c>
      <c r="E10161" s="3">
        <v>0.0</v>
      </c>
      <c r="F10161" s="3" t="s">
        <v>28951</v>
      </c>
      <c r="G10161" s="3">
        <v>0.0</v>
      </c>
      <c r="H10161" s="3">
        <v>0.0</v>
      </c>
      <c r="I10161" s="3" t="s">
        <v>13</v>
      </c>
      <c r="J10161" s="3" t="s">
        <v>28952</v>
      </c>
      <c r="K10161" s="3" t="s">
        <v>2117</v>
      </c>
      <c r="L10161" s="3" t="str">
        <f>IFERROR(__xludf.DUMMYFUNCTION("GOOGLETRANSLATE(F10161,""id"",""en"")"),"Argentina Thanksgiving Champion")</f>
        <v>Argentina Thanksgiving Champion</v>
      </c>
    </row>
    <row r="10162" ht="15.75" customHeight="1">
      <c r="A10162" s="1">
        <v>11399.0</v>
      </c>
      <c r="B10162" s="3" t="s">
        <v>28953</v>
      </c>
      <c r="C10162" s="3">
        <v>1.0</v>
      </c>
      <c r="D10162" s="3">
        <v>0.0</v>
      </c>
      <c r="E10162" s="3">
        <v>0.0</v>
      </c>
      <c r="F10162" s="3" t="s">
        <v>28954</v>
      </c>
      <c r="G10162" s="3">
        <v>0.0</v>
      </c>
      <c r="H10162" s="3">
        <v>0.0</v>
      </c>
      <c r="I10162" s="3" t="s">
        <v>13</v>
      </c>
      <c r="J10162" s="3" t="s">
        <v>28955</v>
      </c>
      <c r="K10162" s="3" t="s">
        <v>437</v>
      </c>
      <c r="L10162" s="3" t="str">
        <f>IFERROR(__xludf.DUMMYFUNCTION("GOOGLETRANSLATE(F10162,""id"",""en"")"),"joined the time when Messi with Argentina champions of other people's countries, even though I imagined that I was the championship")</f>
        <v>joined the time when Messi with Argentina champions of other people's countries, even though I imagined that I was the championship</v>
      </c>
    </row>
    <row r="10163" ht="15.75" customHeight="1">
      <c r="A10163" s="1">
        <v>11400.0</v>
      </c>
      <c r="B10163" s="3" t="s">
        <v>28956</v>
      </c>
      <c r="C10163" s="3">
        <v>3.0</v>
      </c>
      <c r="D10163" s="3">
        <v>0.0</v>
      </c>
      <c r="E10163" s="3">
        <v>11.0</v>
      </c>
      <c r="F10163" s="3" t="s">
        <v>28957</v>
      </c>
      <c r="G10163" s="3">
        <v>0.0</v>
      </c>
      <c r="H10163" s="3">
        <v>0.0</v>
      </c>
      <c r="I10163" s="3" t="s">
        <v>13</v>
      </c>
      <c r="J10163" s="3" t="s">
        <v>28958</v>
      </c>
      <c r="K10163" s="3" t="s">
        <v>123</v>
      </c>
      <c r="L10163" s="3" t="str">
        <f>IFERROR(__xludf.DUMMYFUNCTION("GOOGLETRANSLATE(F10163,""id"",""en"")"),"Ready for Argentina boss willing to be an economic crisis in order to pay FIFA for the world champion of the dream of Messi Millions of Argentina")</f>
        <v>Ready for Argentina boss willing to be an economic crisis in order to pay FIFA for the world champion of the dream of Messi Millions of Argentina</v>
      </c>
    </row>
    <row r="10164" ht="15.75" customHeight="1">
      <c r="A10164" s="1">
        <v>11401.0</v>
      </c>
      <c r="B10164" s="3" t="s">
        <v>28959</v>
      </c>
      <c r="C10164" s="3">
        <v>0.0</v>
      </c>
      <c r="D10164" s="3">
        <v>0.0</v>
      </c>
      <c r="E10164" s="3">
        <v>0.0</v>
      </c>
      <c r="F10164" s="3" t="s">
        <v>28960</v>
      </c>
      <c r="G10164" s="3">
        <v>0.0</v>
      </c>
      <c r="H10164" s="3">
        <v>0.0</v>
      </c>
      <c r="I10164" s="3" t="s">
        <v>13</v>
      </c>
      <c r="J10164" s="3" t="s">
        <v>28961</v>
      </c>
      <c r="K10164" s="3" t="s">
        <v>1335</v>
      </c>
      <c r="L10164" s="3" t="str">
        <f>IFERROR(__xludf.DUMMYFUNCTION("GOOGLETRANSLATE(F10164,""id"",""en"")"),"Become the Argentina Worldcup Champion Champion Champion")</f>
        <v>Become the Argentina Worldcup Champion Champion Champion</v>
      </c>
    </row>
    <row r="10165" ht="15.75" customHeight="1">
      <c r="A10165" s="1">
        <v>11402.0</v>
      </c>
      <c r="B10165" s="3" t="s">
        <v>28962</v>
      </c>
      <c r="C10165" s="3">
        <v>0.0</v>
      </c>
      <c r="D10165" s="3">
        <v>0.0</v>
      </c>
      <c r="E10165" s="3">
        <v>0.0</v>
      </c>
      <c r="F10165" s="3" t="s">
        <v>28963</v>
      </c>
      <c r="G10165" s="3">
        <v>0.0</v>
      </c>
      <c r="H10165" s="3">
        <v>0.0</v>
      </c>
      <c r="I10165" s="3" t="s">
        <v>13</v>
      </c>
      <c r="J10165" s="3" t="s">
        <v>28964</v>
      </c>
      <c r="K10165" s="3" t="s">
        <v>644</v>
      </c>
      <c r="L10165" s="3" t="str">
        <f>IFERROR(__xludf.DUMMYFUNCTION("GOOGLETRANSLATE(F10165,""id"",""en"")"),"Only the Irawan Argentina era can win")</f>
        <v>Only the Irawan Argentina era can win</v>
      </c>
    </row>
    <row r="10166" ht="15.75" customHeight="1">
      <c r="A10166" s="1">
        <v>11403.0</v>
      </c>
      <c r="B10166" s="3" t="s">
        <v>28965</v>
      </c>
      <c r="C10166" s="3">
        <v>0.0</v>
      </c>
      <c r="D10166" s="3">
        <v>1.0</v>
      </c>
      <c r="E10166" s="3">
        <v>0.0</v>
      </c>
      <c r="F10166" s="3" t="s">
        <v>28966</v>
      </c>
      <c r="G10166" s="3">
        <v>0.3333333333333333</v>
      </c>
      <c r="H10166" s="3">
        <v>0.1666666666666667</v>
      </c>
      <c r="I10166" s="3" t="s">
        <v>48</v>
      </c>
      <c r="J10166" s="3" t="s">
        <v>28967</v>
      </c>
      <c r="K10166" s="3" t="s">
        <v>765</v>
      </c>
      <c r="L10166" s="3" t="str">
        <f>IFERROR(__xludf.DUMMYFUNCTION("GOOGLETRANSLATE(F10166,""id"",""en"")"),"That's how it felt like I was a child, all the children who played football using a sandals want to be the greatest maradona number, now they watched Messi and Argentina champion Argentina in the world champion")</f>
        <v>That's how it felt like I was a child, all the children who played football using a sandals want to be the greatest maradona number, now they watched Messi and Argentina champion Argentina in the world champion</v>
      </c>
    </row>
    <row r="10167" ht="15.75" customHeight="1">
      <c r="A10167" s="1">
        <v>11404.0</v>
      </c>
      <c r="B10167" s="3" t="s">
        <v>28968</v>
      </c>
      <c r="C10167" s="3">
        <v>0.0</v>
      </c>
      <c r="D10167" s="3">
        <v>0.0</v>
      </c>
      <c r="E10167" s="3">
        <v>0.0</v>
      </c>
      <c r="F10167" s="3" t="s">
        <v>28969</v>
      </c>
      <c r="G10167" s="3">
        <v>0.0</v>
      </c>
      <c r="H10167" s="3">
        <v>0.0</v>
      </c>
      <c r="I10167" s="3" t="s">
        <v>13</v>
      </c>
      <c r="J10167" s="3" t="s">
        <v>28970</v>
      </c>
      <c r="K10167" s="3" t="s">
        <v>41</v>
      </c>
      <c r="L10167" s="3" t="str">
        <f>IFERROR(__xludf.DUMMYFUNCTION("GOOGLETRANSLATE(F10167,""id"",""en"")"),"Indonesia must imitate Argentina who knows later the AFF champion is just patient waiting for it")</f>
        <v>Indonesia must imitate Argentina who knows later the AFF champion is just patient waiting for it</v>
      </c>
    </row>
    <row r="10168" ht="15.75" customHeight="1">
      <c r="A10168" s="1">
        <v>11405.0</v>
      </c>
      <c r="B10168" s="3" t="s">
        <v>28971</v>
      </c>
      <c r="C10168" s="3">
        <v>0.0</v>
      </c>
      <c r="D10168" s="3">
        <v>15.0</v>
      </c>
      <c r="E10168" s="3">
        <v>18.0</v>
      </c>
      <c r="F10168" s="3" t="s">
        <v>28761</v>
      </c>
      <c r="G10168" s="3">
        <v>0.0</v>
      </c>
      <c r="H10168" s="3">
        <v>0.0</v>
      </c>
      <c r="I10168" s="3" t="s">
        <v>13</v>
      </c>
      <c r="J10168" s="3" t="s">
        <v>28762</v>
      </c>
      <c r="K10168" s="3" t="s">
        <v>50</v>
      </c>
      <c r="L10168" s="3" t="str">
        <f>IFERROR(__xludf.DUMMYFUNCTION("GOOGLETRANSLATE(F10168,""id"",""en"")"),"Girang Argentina Champion World Cup Women's Audience Desperate to Appear Without Clothes")</f>
        <v>Girang Argentina Champion World Cup Women's Audience Desperate to Appear Without Clothes</v>
      </c>
    </row>
    <row r="10169" ht="15.75" customHeight="1">
      <c r="A10169" s="1">
        <v>11406.0</v>
      </c>
      <c r="B10169" s="3" t="s">
        <v>28972</v>
      </c>
      <c r="C10169" s="3">
        <v>0.0</v>
      </c>
      <c r="D10169" s="3">
        <v>0.0</v>
      </c>
      <c r="E10169" s="3">
        <v>0.0</v>
      </c>
      <c r="F10169" s="3" t="s">
        <v>28973</v>
      </c>
      <c r="G10169" s="3">
        <v>0.0</v>
      </c>
      <c r="H10169" s="3">
        <v>0.0</v>
      </c>
      <c r="I10169" s="3" t="s">
        <v>13</v>
      </c>
      <c r="J10169" s="3" t="s">
        <v>28974</v>
      </c>
      <c r="K10169" s="3" t="s">
        <v>644</v>
      </c>
      <c r="L10169" s="3" t="str">
        <f>IFERROR(__xludf.DUMMYFUNCTION("GOOGLETRANSLATE(F10169,""id"",""en"")"),"Argentina Tasyat Argentina Vamosargentina Champion")</f>
        <v>Argentina Tasyat Argentina Vamosargentina Champion</v>
      </c>
    </row>
    <row r="10170" ht="15.75" customHeight="1">
      <c r="A10170" s="1">
        <v>11407.0</v>
      </c>
      <c r="B10170" s="3" t="s">
        <v>28975</v>
      </c>
      <c r="C10170" s="3">
        <v>0.0</v>
      </c>
      <c r="D10170" s="3">
        <v>0.0</v>
      </c>
      <c r="E10170" s="3">
        <v>0.0</v>
      </c>
      <c r="F10170" s="3" t="s">
        <v>28976</v>
      </c>
      <c r="G10170" s="3">
        <v>0.0</v>
      </c>
      <c r="H10170" s="3">
        <v>0.0</v>
      </c>
      <c r="I10170" s="3" t="s">
        <v>13</v>
      </c>
      <c r="J10170" s="3" t="s">
        <v>28977</v>
      </c>
      <c r="K10170" s="3" t="s">
        <v>715</v>
      </c>
      <c r="L10170" s="3" t="str">
        <f>IFERROR(__xludf.DUMMYFUNCTION("GOOGLETRANSLATE(F10170,""id"",""en"")"),"From the beginning hoping between Portugal and Argentina who won so that one of his best players could retire happily and it turned out that Argentina was a congratulations championship")</f>
        <v>From the beginning hoping between Portugal and Argentina who won so that one of his best players could retire happily and it turned out that Argentina was a congratulations championship</v>
      </c>
    </row>
    <row r="10171" ht="15.75" customHeight="1">
      <c r="A10171" s="1">
        <v>11408.0</v>
      </c>
      <c r="B10171" s="3" t="s">
        <v>28978</v>
      </c>
      <c r="C10171" s="3">
        <v>0.0</v>
      </c>
      <c r="D10171" s="3">
        <v>0.0</v>
      </c>
      <c r="E10171" s="3">
        <v>0.0</v>
      </c>
      <c r="F10171" s="3" t="s">
        <v>28979</v>
      </c>
      <c r="G10171" s="3">
        <v>0.0</v>
      </c>
      <c r="H10171" s="3">
        <v>0.0</v>
      </c>
      <c r="I10171" s="3" t="s">
        <v>13</v>
      </c>
      <c r="J10171" s="3" t="s">
        <v>28980</v>
      </c>
      <c r="K10171" s="3" t="s">
        <v>644</v>
      </c>
      <c r="L10171" s="3" t="str">
        <f>IFERROR(__xludf.DUMMYFUNCTION("GOOGLETRANSLATE(F10171,""id"",""en"")"),"satisfied see Argentina Champion")</f>
        <v>satisfied see Argentina Champion</v>
      </c>
    </row>
    <row r="10172" ht="15.75" customHeight="1">
      <c r="A10172" s="1">
        <v>11409.0</v>
      </c>
      <c r="B10172" s="3" t="s">
        <v>28981</v>
      </c>
      <c r="C10172" s="3">
        <v>0.0</v>
      </c>
      <c r="D10172" s="3">
        <v>0.0</v>
      </c>
      <c r="E10172" s="3">
        <v>0.0</v>
      </c>
      <c r="F10172" s="3" t="s">
        <v>28982</v>
      </c>
      <c r="G10172" s="3">
        <v>0.0</v>
      </c>
      <c r="H10172" s="3">
        <v>0.0</v>
      </c>
      <c r="I10172" s="3" t="s">
        <v>13</v>
      </c>
      <c r="J10172" s="3" t="s">
        <v>28983</v>
      </c>
      <c r="K10172" s="3" t="s">
        <v>75</v>
      </c>
      <c r="L10172" s="3" t="str">
        <f>IFERROR(__xludf.DUMMYFUNCTION("GOOGLETRANSLATE(F10172,""id"",""en"")"),"Congratulations to Argentina and Messi who have won the World Soccer League")</f>
        <v>Congratulations to Argentina and Messi who have won the World Soccer League</v>
      </c>
    </row>
    <row r="10173" ht="15.75" customHeight="1">
      <c r="A10173" s="1">
        <v>11410.0</v>
      </c>
      <c r="B10173" s="3" t="s">
        <v>28984</v>
      </c>
      <c r="C10173" s="3">
        <v>0.0</v>
      </c>
      <c r="D10173" s="3">
        <v>0.0</v>
      </c>
      <c r="E10173" s="3">
        <v>0.0</v>
      </c>
      <c r="F10173" s="3" t="s">
        <v>28985</v>
      </c>
      <c r="G10173" s="3">
        <v>0.0</v>
      </c>
      <c r="H10173" s="3">
        <v>0.0</v>
      </c>
      <c r="I10173" s="3" t="s">
        <v>13</v>
      </c>
      <c r="J10173" s="3" t="s">
        <v>28986</v>
      </c>
      <c r="K10173" s="3" t="s">
        <v>71</v>
      </c>
      <c r="L10173" s="3" t="str">
        <f>IFERROR(__xludf.DUMMYFUNCTION("GOOGLETRANSLATE(F10173,""id"",""en"")"),"Like the story of the new Emiliano Martinez fairy tale debut the Argentine national team but has given three titles")</f>
        <v>Like the story of the new Emiliano Martinez fairy tale debut the Argentine national team but has given three titles</v>
      </c>
    </row>
    <row r="10174" ht="15.75" customHeight="1">
      <c r="A10174" s="1">
        <v>11411.0</v>
      </c>
      <c r="B10174" s="3" t="s">
        <v>28987</v>
      </c>
      <c r="C10174" s="3">
        <v>0.0</v>
      </c>
      <c r="D10174" s="3">
        <v>0.0</v>
      </c>
      <c r="E10174" s="3">
        <v>0.0</v>
      </c>
      <c r="F10174" s="3" t="s">
        <v>28988</v>
      </c>
      <c r="G10174" s="3">
        <v>0.0</v>
      </c>
      <c r="H10174" s="3">
        <v>0.0</v>
      </c>
      <c r="I10174" s="3" t="s">
        <v>13</v>
      </c>
      <c r="J10174" s="3" t="s">
        <v>28989</v>
      </c>
      <c r="K10174" s="3" t="s">
        <v>15</v>
      </c>
      <c r="L10174" s="3" t="str">
        <f>IFERROR(__xludf.DUMMYFUNCTION("GOOGLETRANSLATE(F10174,""id"",""en"")"),"fortunately Argentina champions if he runs out he is Jafi Monthly Netijen Monthly")</f>
        <v>fortunately Argentina champions if he runs out he is Jafi Monthly Netijen Monthly</v>
      </c>
    </row>
    <row r="10175" ht="15.75" customHeight="1">
      <c r="A10175" s="1">
        <v>11412.0</v>
      </c>
      <c r="B10175" s="3" t="s">
        <v>28990</v>
      </c>
      <c r="C10175" s="3">
        <v>0.0</v>
      </c>
      <c r="D10175" s="3">
        <v>0.0</v>
      </c>
      <c r="E10175" s="3">
        <v>0.0</v>
      </c>
      <c r="F10175" s="3" t="s">
        <v>22241</v>
      </c>
      <c r="G10175" s="3">
        <v>0.0</v>
      </c>
      <c r="H10175" s="3">
        <v>0.0</v>
      </c>
      <c r="I10175" s="3" t="s">
        <v>13</v>
      </c>
      <c r="J10175" s="3" t="s">
        <v>16942</v>
      </c>
      <c r="K10175" s="3" t="s">
        <v>644</v>
      </c>
      <c r="L10175" s="3" t="str">
        <f>IFERROR(__xludf.DUMMYFUNCTION("GOOGLETRANSLATE(F10175,""id"",""en"")"),"Argentina Champion World Cup")</f>
        <v>Argentina Champion World Cup</v>
      </c>
    </row>
    <row r="10176" ht="15.75" customHeight="1">
      <c r="A10176" s="1">
        <v>11413.0</v>
      </c>
      <c r="B10176" s="3" t="s">
        <v>28991</v>
      </c>
      <c r="C10176" s="3">
        <v>0.0</v>
      </c>
      <c r="D10176" s="3">
        <v>0.0</v>
      </c>
      <c r="E10176" s="3">
        <v>0.0</v>
      </c>
      <c r="F10176" s="3" t="s">
        <v>28992</v>
      </c>
      <c r="G10176" s="3">
        <v>0.0</v>
      </c>
      <c r="H10176" s="3">
        <v>0.0</v>
      </c>
      <c r="I10176" s="3" t="s">
        <v>13</v>
      </c>
      <c r="J10176" s="3" t="s">
        <v>28993</v>
      </c>
      <c r="K10176" s="3" t="s">
        <v>82</v>
      </c>
      <c r="L10176" s="3" t="str">
        <f>IFERROR(__xludf.DUMMYFUNCTION("GOOGLETRANSLATE(F10176,""id"",""en"")"),"Bring Argentina The champion Messi wants to extend the national team's career")</f>
        <v>Bring Argentina The champion Messi wants to extend the national team's career</v>
      </c>
    </row>
    <row r="10177" ht="15.75" customHeight="1">
      <c r="A10177" s="1">
        <v>11414.0</v>
      </c>
      <c r="B10177" s="3" t="s">
        <v>28994</v>
      </c>
      <c r="C10177" s="3">
        <v>0.0</v>
      </c>
      <c r="D10177" s="3">
        <v>0.0</v>
      </c>
      <c r="E10177" s="3">
        <v>0.0</v>
      </c>
      <c r="F10177" s="3" t="s">
        <v>28995</v>
      </c>
      <c r="G10177" s="3">
        <v>0.2</v>
      </c>
      <c r="H10177" s="3">
        <v>-0.1</v>
      </c>
      <c r="I10177" s="3" t="s">
        <v>179</v>
      </c>
      <c r="J10177" s="3" t="s">
        <v>28996</v>
      </c>
      <c r="K10177" s="3" t="s">
        <v>50</v>
      </c>
      <c r="L10177" s="3" t="str">
        <f>IFERROR(__xludf.DUMMYFUNCTION("GOOGLETRANSLATE(F10177,""id"",""en"")"),"Where yesterday said that Argentina didn't have a mental champion here, I would not have to buy rice beguling")</f>
        <v>Where yesterday said that Argentina didn't have a mental champion here, I would not have to buy rice beguling</v>
      </c>
    </row>
    <row r="10178" ht="15.75" customHeight="1">
      <c r="A10178" s="1">
        <v>11415.0</v>
      </c>
      <c r="B10178" s="3" t="s">
        <v>28997</v>
      </c>
      <c r="C10178" s="3">
        <v>0.0</v>
      </c>
      <c r="D10178" s="3">
        <v>0.0</v>
      </c>
      <c r="E10178" s="3">
        <v>2.0</v>
      </c>
      <c r="F10178" s="3" t="s">
        <v>28998</v>
      </c>
      <c r="G10178" s="3">
        <v>0.0</v>
      </c>
      <c r="H10178" s="3">
        <v>0.0</v>
      </c>
      <c r="I10178" s="3" t="s">
        <v>13</v>
      </c>
      <c r="J10178" s="3" t="s">
        <v>28999</v>
      </c>
      <c r="K10178" s="3" t="s">
        <v>29000</v>
      </c>
      <c r="L10178" s="3" t="str">
        <f>IFERROR(__xludf.DUMMYFUNCTION("GOOGLETRANSLATE(F10178,""id"",""en"")"),"Argentina Argentina Argentina Argentina Argentina Argentina Argentina Argentina Argentina Champion thanks to President Argentina met with Mr. Jokowi so he could win the championship")</f>
        <v>Argentina Argentina Argentina Argentina Argentina Argentina Argentina Argentina Argentina Champion thanks to President Argentina met with Mr. Jokowi so he could win the championship</v>
      </c>
    </row>
    <row r="10179" ht="15.75" customHeight="1">
      <c r="A10179" s="1">
        <v>11416.0</v>
      </c>
      <c r="B10179" s="3" t="s">
        <v>29001</v>
      </c>
      <c r="C10179" s="3">
        <v>0.0</v>
      </c>
      <c r="D10179" s="3">
        <v>0.0</v>
      </c>
      <c r="E10179" s="3">
        <v>1.0</v>
      </c>
      <c r="F10179" s="3" t="s">
        <v>29002</v>
      </c>
      <c r="G10179" s="3">
        <v>0.0</v>
      </c>
      <c r="H10179" s="3">
        <v>0.0</v>
      </c>
      <c r="I10179" s="3" t="s">
        <v>13</v>
      </c>
      <c r="J10179" s="3" t="s">
        <v>29003</v>
      </c>
      <c r="K10179" s="3" t="s">
        <v>1628</v>
      </c>
      <c r="L10179" s="3" t="str">
        <f>IFERROR(__xludf.DUMMYFUNCTION("GOOGLETRANSLATE(F10179,""id"",""en"")"),"Hey Hey Ronaldo Nazario once said that the Brazilian champion candidate state but it would be difficult when there were Argentina British and France and there was a question that Portugal Kandiy was strong who had champions of the World Cup")</f>
        <v>Hey Hey Ronaldo Nazario once said that the Brazilian champion candidate state but it would be difficult when there were Argentina British and France and there was a question that Portugal Kandiy was strong who had champions of the World Cup</v>
      </c>
    </row>
    <row r="10180" ht="15.75" customHeight="1">
      <c r="A10180" s="1">
        <v>11417.0</v>
      </c>
      <c r="B10180" s="3" t="s">
        <v>29004</v>
      </c>
      <c r="C10180" s="3">
        <v>1.0</v>
      </c>
      <c r="D10180" s="3">
        <v>0.0</v>
      </c>
      <c r="E10180" s="3">
        <v>0.0</v>
      </c>
      <c r="F10180" s="3" t="s">
        <v>29005</v>
      </c>
      <c r="G10180" s="3">
        <v>0.175</v>
      </c>
      <c r="H10180" s="3">
        <v>-0.175</v>
      </c>
      <c r="I10180" s="3" t="s">
        <v>179</v>
      </c>
      <c r="J10180" s="3" t="s">
        <v>29006</v>
      </c>
      <c r="K10180" s="3" t="s">
        <v>903</v>
      </c>
      <c r="L10180" s="3" t="str">
        <f>IFERROR(__xludf.DUMMYFUNCTION("GOOGLETRANSLATE(F10180,""id"",""en"")"),"Thank you Messi for successful champions trying to fail, you will always appear commented Eti and make sure you will seizures the Argentina Bullyan seizure, Makasi Bang Mess")</f>
        <v>Thank you Messi for successful champions trying to fail, you will always appear commented Eti and make sure you will seizures the Argentina Bullyan seizure, Makasi Bang Mess</v>
      </c>
    </row>
    <row r="10181" ht="15.75" customHeight="1">
      <c r="A10181" s="1">
        <v>11418.0</v>
      </c>
      <c r="B10181" s="3" t="s">
        <v>29007</v>
      </c>
      <c r="C10181" s="3">
        <v>0.0</v>
      </c>
      <c r="D10181" s="3">
        <v>0.0</v>
      </c>
      <c r="E10181" s="3">
        <v>0.0</v>
      </c>
      <c r="F10181" s="3" t="s">
        <v>29008</v>
      </c>
      <c r="G10181" s="3">
        <v>0.0</v>
      </c>
      <c r="H10181" s="3">
        <v>0.0</v>
      </c>
      <c r="I10181" s="3" t="s">
        <v>13</v>
      </c>
      <c r="J10181" s="3" t="s">
        <v>29009</v>
      </c>
      <c r="K10181" s="3" t="s">
        <v>510</v>
      </c>
      <c r="L10181" s="3" t="str">
        <f>IFERROR(__xludf.DUMMYFUNCTION("GOOGLETRANSLATE(F10181,""id"",""en"")"),"Wow, the Argentine President will use the Argentian news of the World Cup champion to cover up the depravity of his government")</f>
        <v>Wow, the Argentine President will use the Argentian news of the World Cup champion to cover up the depravity of his government</v>
      </c>
    </row>
    <row r="10182" ht="15.75" customHeight="1">
      <c r="A10182" s="1">
        <v>11419.0</v>
      </c>
      <c r="B10182" s="3" t="s">
        <v>29010</v>
      </c>
      <c r="C10182" s="3">
        <v>0.0</v>
      </c>
      <c r="D10182" s="3">
        <v>0.0</v>
      </c>
      <c r="E10182" s="3">
        <v>2.0</v>
      </c>
      <c r="F10182" s="3" t="s">
        <v>29011</v>
      </c>
      <c r="G10182" s="3">
        <v>0.0</v>
      </c>
      <c r="H10182" s="3">
        <v>0.0</v>
      </c>
      <c r="I10182" s="3" t="s">
        <v>13</v>
      </c>
      <c r="J10182" s="3" t="s">
        <v>29012</v>
      </c>
      <c r="K10182" s="3" t="s">
        <v>715</v>
      </c>
      <c r="L10182" s="3" t="str">
        <f>IFERROR(__xludf.DUMMYFUNCTION("GOOGLETRANSLATE(F10182,""id"",""en"")"),"If you see the arrogance of Messi Argentina fans, you really will not believe how more the haters are Messi when Argentina failed to win")</f>
        <v>If you see the arrogance of Messi Argentina fans, you really will not believe how more the haters are Messi when Argentina failed to win</v>
      </c>
    </row>
    <row r="10183" ht="15.75" customHeight="1">
      <c r="A10183" s="1">
        <v>11420.0</v>
      </c>
      <c r="B10183" s="3" t="s">
        <v>29013</v>
      </c>
      <c r="C10183" s="3">
        <v>0.0</v>
      </c>
      <c r="D10183" s="3">
        <v>0.0</v>
      </c>
      <c r="E10183" s="3">
        <v>0.0</v>
      </c>
      <c r="F10183" s="3" t="s">
        <v>29014</v>
      </c>
      <c r="G10183" s="3">
        <v>0.0</v>
      </c>
      <c r="H10183" s="3">
        <v>0.0</v>
      </c>
      <c r="I10183" s="3" t="s">
        <v>13</v>
      </c>
      <c r="J10183" s="3" t="s">
        <v>29015</v>
      </c>
      <c r="K10183" s="3" t="s">
        <v>19</v>
      </c>
      <c r="L10183" s="3" t="str">
        <f>IFERROR(__xludf.DUMMYFUNCTION("GOOGLETRANSLATE(F10183,""id"",""en"")"),"Envy John Terry Terry Milok Okok Aguero who joined the Argentine celebration of the World Champion")</f>
        <v>Envy John Terry Terry Milok Okok Aguero who joined the Argentine celebration of the World Champion</v>
      </c>
    </row>
    <row r="10184" ht="15.75" customHeight="1">
      <c r="A10184" s="1">
        <v>11421.0</v>
      </c>
      <c r="B10184" s="3" t="s">
        <v>29016</v>
      </c>
      <c r="C10184" s="3">
        <v>0.0</v>
      </c>
      <c r="D10184" s="3">
        <v>0.0</v>
      </c>
      <c r="E10184" s="3">
        <v>0.0</v>
      </c>
      <c r="F10184" s="3" t="s">
        <v>29017</v>
      </c>
      <c r="G10184" s="3">
        <v>0.0</v>
      </c>
      <c r="H10184" s="3">
        <v>0.0</v>
      </c>
      <c r="I10184" s="3" t="s">
        <v>13</v>
      </c>
      <c r="J10184" s="3" t="s">
        <v>29018</v>
      </c>
      <c r="K10184" s="3" t="s">
        <v>35</v>
      </c>
      <c r="L10184" s="3" t="str">
        <f>IFERROR(__xludf.DUMMYFUNCTION("GOOGLETRANSLATE(F10184,""id"",""en"")"),"Only the Chairperson of PSSI is now Argentina, can the world champion of PSSI and Mr. Iwan Bule Andalannn")</f>
        <v>Only the Chairperson of PSSI is now Argentina, can the world champion of PSSI and Mr. Iwan Bule Andalannn</v>
      </c>
    </row>
    <row r="10185" ht="15.75" customHeight="1">
      <c r="A10185" s="1">
        <v>11422.0</v>
      </c>
      <c r="B10185" s="3" t="s">
        <v>29019</v>
      </c>
      <c r="C10185" s="3">
        <v>1.0</v>
      </c>
      <c r="D10185" s="3">
        <v>0.0</v>
      </c>
      <c r="E10185" s="3">
        <v>0.0</v>
      </c>
      <c r="F10185" s="3" t="s">
        <v>29020</v>
      </c>
      <c r="G10185" s="3">
        <v>0.0</v>
      </c>
      <c r="H10185" s="3">
        <v>0.0</v>
      </c>
      <c r="I10185" s="3" t="s">
        <v>13</v>
      </c>
      <c r="J10185" s="3" t="s">
        <v>29021</v>
      </c>
      <c r="K10185" s="3" t="s">
        <v>3721</v>
      </c>
      <c r="L10185" s="3" t="str">
        <f>IFERROR(__xludf.DUMMYFUNCTION("GOOGLETRANSLATE(F10185,""id"",""en"")"),"Lawas can't see the semifinal brace printing who is the fierce discusses until the pildun qualification is the proof of the pildun only twice the starter because the scaloni realizes that he will continue to Argentina, it won't win the champion.")</f>
        <v>Lawas can't see the semifinal brace printing who is the fierce discusses until the pildun qualification is the proof of the pildun only twice the starter because the scaloni realizes that he will continue to Argentina, it won't win the champion.</v>
      </c>
    </row>
    <row r="10186" ht="15.75" customHeight="1">
      <c r="A10186" s="1">
        <v>11423.0</v>
      </c>
      <c r="B10186" s="3" t="s">
        <v>29022</v>
      </c>
      <c r="C10186" s="3">
        <v>1.0</v>
      </c>
      <c r="D10186" s="3">
        <v>1.0</v>
      </c>
      <c r="E10186" s="3">
        <v>9.0</v>
      </c>
      <c r="F10186" s="3" t="s">
        <v>29023</v>
      </c>
      <c r="G10186" s="3">
        <v>0.2</v>
      </c>
      <c r="H10186" s="3">
        <v>0.2</v>
      </c>
      <c r="I10186" s="3" t="s">
        <v>48</v>
      </c>
      <c r="J10186" s="3" t="s">
        <v>29024</v>
      </c>
      <c r="K10186" s="3" t="s">
        <v>240</v>
      </c>
      <c r="L10186" s="3" t="str">
        <f>IFERROR(__xludf.DUMMYFUNCTION("GOOGLETRANSLATE(F10186,""id"",""en"")"),"After the day of the world champion, I published my social media, Twitter Instagram Linkedn Tiktok You Tube is looking for a gift from Thanks")</f>
        <v>After the day of the world champion, I published my social media, Twitter Instagram Linkedn Tiktok You Tube is looking for a gift from Thanks</v>
      </c>
    </row>
    <row r="10187" ht="15.75" customHeight="1">
      <c r="A10187" s="1">
        <v>11424.0</v>
      </c>
      <c r="B10187" s="3" t="s">
        <v>29025</v>
      </c>
      <c r="C10187" s="3">
        <v>1.0</v>
      </c>
      <c r="D10187" s="3">
        <v>0.0</v>
      </c>
      <c r="E10187" s="3">
        <v>0.0</v>
      </c>
      <c r="F10187" s="3" t="s">
        <v>29026</v>
      </c>
      <c r="G10187" s="3">
        <v>0.0</v>
      </c>
      <c r="H10187" s="3">
        <v>0.0</v>
      </c>
      <c r="I10187" s="3" t="s">
        <v>13</v>
      </c>
      <c r="J10187" s="3" t="s">
        <v>29027</v>
      </c>
      <c r="K10187" s="3" t="s">
        <v>41</v>
      </c>
      <c r="L10187" s="3" t="str">
        <f>IFERROR(__xludf.DUMMYFUNCTION("GOOGLETRANSLATE(F10187,""id"",""en"")"),"Plis, there is someone who makes Argentine poster champion and there is Iwan Caucasians")</f>
        <v>Plis, there is someone who makes Argentine poster champion and there is Iwan Caucasians</v>
      </c>
    </row>
    <row r="10188" ht="15.75" customHeight="1">
      <c r="A10188" s="1">
        <v>11425.0</v>
      </c>
      <c r="B10188" s="3" t="s">
        <v>29028</v>
      </c>
      <c r="C10188" s="3">
        <v>0.0</v>
      </c>
      <c r="D10188" s="3">
        <v>0.0</v>
      </c>
      <c r="E10188" s="3">
        <v>0.0</v>
      </c>
      <c r="F10188" s="3" t="s">
        <v>29029</v>
      </c>
      <c r="G10188" s="3">
        <v>0.0</v>
      </c>
      <c r="H10188" s="3">
        <v>0.0</v>
      </c>
      <c r="I10188" s="3" t="s">
        <v>13</v>
      </c>
      <c r="J10188" s="3" t="s">
        <v>29030</v>
      </c>
      <c r="K10188" s="3" t="s">
        <v>2117</v>
      </c>
      <c r="L10188" s="3" t="str">
        <f>IFERROR(__xludf.DUMMYFUNCTION("GOOGLETRANSLATE(F10188,""id"",""en"")"),"Argentine effect champion")</f>
        <v>Argentine effect champion</v>
      </c>
    </row>
    <row r="10189" ht="15.75" customHeight="1">
      <c r="A10189" s="1">
        <v>11426.0</v>
      </c>
      <c r="B10189" s="3" t="s">
        <v>29031</v>
      </c>
      <c r="C10189" s="3">
        <v>0.0</v>
      </c>
      <c r="D10189" s="3">
        <v>0.0</v>
      </c>
      <c r="E10189" s="3">
        <v>0.0</v>
      </c>
      <c r="F10189" s="3" t="s">
        <v>29032</v>
      </c>
      <c r="G10189" s="3">
        <v>0.0</v>
      </c>
      <c r="H10189" s="3">
        <v>0.0</v>
      </c>
      <c r="I10189" s="3" t="s">
        <v>13</v>
      </c>
      <c r="J10189" s="3" t="s">
        <v>29033</v>
      </c>
      <c r="K10189" s="3" t="s">
        <v>899</v>
      </c>
      <c r="L10189" s="3" t="str">
        <f>IFERROR(__xludf.DUMMYFUNCTION("GOOGLETRANSLATE(F10189,""id"",""en"")"),"Mon Maap likes the world of sports from until now Pildun Tahun Skli and Argentina The Fav Champion Team today wants to take part in cheering the world of Persosmedan because I don't know KDPN MSIH can be a pildun or")</f>
        <v>Mon Maap likes the world of sports from until now Pildun Tahun Skli and Argentina The Fav Champion Team today wants to take part in cheering the world of Persosmedan because I don't know KDPN MSIH can be a pildun or</v>
      </c>
    </row>
    <row r="10190" ht="15.75" customHeight="1">
      <c r="A10190" s="1">
        <v>11427.0</v>
      </c>
      <c r="B10190" s="3" t="s">
        <v>29034</v>
      </c>
      <c r="C10190" s="3">
        <v>0.0</v>
      </c>
      <c r="D10190" s="3">
        <v>0.0</v>
      </c>
      <c r="E10190" s="3">
        <v>0.0</v>
      </c>
      <c r="F10190" s="3" t="s">
        <v>29035</v>
      </c>
      <c r="G10190" s="3">
        <v>0.0</v>
      </c>
      <c r="H10190" s="3">
        <v>0.0</v>
      </c>
      <c r="I10190" s="3" t="s">
        <v>13</v>
      </c>
      <c r="J10190" s="3" t="s">
        <v>29036</v>
      </c>
      <c r="K10190" s="3" t="s">
        <v>795</v>
      </c>
      <c r="L10190" s="3" t="str">
        <f>IFERROR(__xludf.DUMMYFUNCTION("GOOGLETRANSLATE(F10190,""id"",""en"")"),"Losing just winning losing in a match is usually not necessary to overdo Argentina and France as good as the game only in this case Argentina must be a champion")</f>
        <v>Losing just winning losing in a match is usually not necessary to overdo Argentina and France as good as the game only in this case Argentina must be a champion</v>
      </c>
    </row>
    <row r="10191" ht="15.75" customHeight="1">
      <c r="A10191" s="1">
        <v>11428.0</v>
      </c>
      <c r="B10191" s="3" t="s">
        <v>29037</v>
      </c>
      <c r="C10191" s="3">
        <v>0.0</v>
      </c>
      <c r="D10191" s="3">
        <v>0.0</v>
      </c>
      <c r="E10191" s="3">
        <v>3.0</v>
      </c>
      <c r="F10191" s="3" t="s">
        <v>29038</v>
      </c>
      <c r="G10191" s="3">
        <v>0.0</v>
      </c>
      <c r="H10191" s="3">
        <v>0.0</v>
      </c>
      <c r="I10191" s="3" t="s">
        <v>13</v>
      </c>
      <c r="J10191" s="3" t="s">
        <v>29039</v>
      </c>
      <c r="K10191" s="3" t="s">
        <v>765</v>
      </c>
      <c r="L10191" s="3" t="str">
        <f>IFERROR(__xludf.DUMMYFUNCTION("GOOGLETRANSLATE(F10191,""id"",""en"")"),"Yesterday afternoon friends asked who won who I saw Argentina had an aura of champion but all turned out to be just because the finalty was not because of the battle in the fortune there was Argentina but Messi was like a reliable circus player")</f>
        <v>Yesterday afternoon friends asked who won who I saw Argentina had an aura of champion but all turned out to be just because the finalty was not because of the battle in the fortune there was Argentina but Messi was like a reliable circus player</v>
      </c>
    </row>
    <row r="10192" ht="15.75" customHeight="1">
      <c r="A10192" s="1">
        <v>11429.0</v>
      </c>
      <c r="B10192" s="3" t="s">
        <v>29040</v>
      </c>
      <c r="C10192" s="3">
        <v>0.0</v>
      </c>
      <c r="D10192" s="3">
        <v>0.0</v>
      </c>
      <c r="E10192" s="3">
        <v>0.0</v>
      </c>
      <c r="F10192" s="3" t="s">
        <v>29041</v>
      </c>
      <c r="G10192" s="3">
        <v>0.0</v>
      </c>
      <c r="H10192" s="3">
        <v>0.0</v>
      </c>
      <c r="I10192" s="3" t="s">
        <v>13</v>
      </c>
      <c r="J10192" s="3" t="s">
        <v>29042</v>
      </c>
      <c r="K10192" s="3" t="s">
        <v>58</v>
      </c>
      <c r="L10192" s="3" t="str">
        <f>IFERROR(__xludf.DUMMYFUNCTION("GOOGLETRANSLATE(F10192,""id"",""en"")"),"Not only Argentina is a complete list of World Cup champions from the time")</f>
        <v>Not only Argentina is a complete list of World Cup champions from the time</v>
      </c>
    </row>
    <row r="10193" ht="15.75" customHeight="1">
      <c r="A10193" s="1">
        <v>11430.0</v>
      </c>
      <c r="B10193" s="3" t="s">
        <v>29043</v>
      </c>
      <c r="C10193" s="3">
        <v>0.0</v>
      </c>
      <c r="D10193" s="3">
        <v>0.0</v>
      </c>
      <c r="E10193" s="3">
        <v>0.0</v>
      </c>
      <c r="F10193" s="3" t="s">
        <v>29044</v>
      </c>
      <c r="G10193" s="3">
        <v>0.0</v>
      </c>
      <c r="H10193" s="3">
        <v>0.0</v>
      </c>
      <c r="I10193" s="3" t="s">
        <v>13</v>
      </c>
      <c r="J10193" s="3" t="s">
        <v>29045</v>
      </c>
      <c r="K10193" s="3" t="s">
        <v>75</v>
      </c>
      <c r="L10193" s="3" t="str">
        <f>IFERROR(__xludf.DUMMYFUNCTION("GOOGLETRANSLATE(F10193,""id"",""en"")"),"Lautan Bueons Aires Man Celebrates the success of Argentina World Cup Champion")</f>
        <v>Lautan Bueons Aires Man Celebrates the success of Argentina World Cup Champion</v>
      </c>
    </row>
    <row r="10194" ht="15.75" customHeight="1">
      <c r="A10194" s="1">
        <v>11431.0</v>
      </c>
      <c r="B10194" s="3" t="s">
        <v>29046</v>
      </c>
      <c r="C10194" s="3">
        <v>1.0</v>
      </c>
      <c r="D10194" s="3">
        <v>0.0</v>
      </c>
      <c r="E10194" s="3">
        <v>2.0</v>
      </c>
      <c r="F10194" s="3" t="s">
        <v>29047</v>
      </c>
      <c r="G10194" s="3">
        <v>0.0</v>
      </c>
      <c r="H10194" s="3">
        <v>0.0</v>
      </c>
      <c r="I10194" s="3" t="s">
        <v>13</v>
      </c>
      <c r="J10194" s="3" t="s">
        <v>29048</v>
      </c>
      <c r="K10194" s="3" t="s">
        <v>19</v>
      </c>
      <c r="L10194" s="3" t="str">
        <f>IFERROR(__xludf.DUMMYFUNCTION("GOOGLETRANSLATE(F10194,""id"",""en"")"),"The embrace of the victory of Messi's mother ran away from her son's arms after Argentina, make sure the championship")</f>
        <v>The embrace of the victory of Messi's mother ran away from her son's arms after Argentina, make sure the championship</v>
      </c>
    </row>
    <row r="10195" ht="15.75" customHeight="1">
      <c r="A10195" s="1">
        <v>11432.0</v>
      </c>
      <c r="B10195" s="3" t="s">
        <v>29049</v>
      </c>
      <c r="C10195" s="3">
        <v>0.0</v>
      </c>
      <c r="D10195" s="3">
        <v>0.0</v>
      </c>
      <c r="E10195" s="3">
        <v>0.0</v>
      </c>
      <c r="F10195" s="3" t="s">
        <v>29050</v>
      </c>
      <c r="G10195" s="3">
        <v>0.0</v>
      </c>
      <c r="H10195" s="3">
        <v>0.0</v>
      </c>
      <c r="I10195" s="3" t="s">
        <v>13</v>
      </c>
      <c r="J10195" s="3" t="s">
        <v>29051</v>
      </c>
      <c r="K10195" s="3" t="s">
        <v>35</v>
      </c>
      <c r="L10195" s="3" t="str">
        <f>IFERROR(__xludf.DUMMYFUNCTION("GOOGLETRANSLATE(F10195,""id"",""en"")"),"Argentina Champion Pildun Sampek Kegowo Ngimpi Cuk Tangi Dibuan Supporters Bencong Argentina")</f>
        <v>Argentina Champion Pildun Sampek Kegowo Ngimpi Cuk Tangi Dibuan Supporters Bencong Argentina</v>
      </c>
    </row>
    <row r="10196" ht="15.75" customHeight="1">
      <c r="A10196" s="1">
        <v>11433.0</v>
      </c>
      <c r="B10196" s="3" t="s">
        <v>29052</v>
      </c>
      <c r="C10196" s="3">
        <v>0.0</v>
      </c>
      <c r="D10196" s="3">
        <v>0.0</v>
      </c>
      <c r="E10196" s="3">
        <v>0.0</v>
      </c>
      <c r="F10196" s="3" t="s">
        <v>29053</v>
      </c>
      <c r="G10196" s="3">
        <v>0.0</v>
      </c>
      <c r="H10196" s="3">
        <v>0.0</v>
      </c>
      <c r="I10196" s="3" t="s">
        <v>13</v>
      </c>
      <c r="J10196" s="3" t="s">
        <v>29054</v>
      </c>
      <c r="K10196" s="3" t="s">
        <v>644</v>
      </c>
      <c r="L10196" s="3" t="str">
        <f>IFERROR(__xludf.DUMMYFUNCTION("GOOGLETRANSLATE(F10196,""id"",""en"")"),"Destiny said Argentina Champion")</f>
        <v>Destiny said Argentina Champion</v>
      </c>
    </row>
    <row r="10197" ht="15.75" customHeight="1">
      <c r="A10197" s="1">
        <v>11434.0</v>
      </c>
      <c r="B10197" s="3" t="s">
        <v>29055</v>
      </c>
      <c r="C10197" s="3">
        <v>0.0</v>
      </c>
      <c r="D10197" s="3">
        <v>0.0</v>
      </c>
      <c r="E10197" s="3">
        <v>0.0</v>
      </c>
      <c r="F10197" s="3" t="s">
        <v>29056</v>
      </c>
      <c r="G10197" s="3">
        <v>0.0</v>
      </c>
      <c r="H10197" s="3">
        <v>0.0</v>
      </c>
      <c r="I10197" s="3" t="s">
        <v>13</v>
      </c>
      <c r="J10197" s="3" t="s">
        <v>29057</v>
      </c>
      <c r="K10197" s="3" t="s">
        <v>1552</v>
      </c>
      <c r="L10197" s="3" t="str">
        <f>IFERROR(__xludf.DUMMYFUNCTION("GOOGLETRANSLATE(F10197,""id"",""en"")"),"Saudi Arabia should be proud because only Saudi Arabia can defeat the Argentine championship")</f>
        <v>Saudi Arabia should be proud because only Saudi Arabia can defeat the Argentine championship</v>
      </c>
    </row>
    <row r="10198" ht="15.75" customHeight="1">
      <c r="A10198" s="1">
        <v>11435.0</v>
      </c>
      <c r="B10198" s="3" t="s">
        <v>29058</v>
      </c>
      <c r="C10198" s="3">
        <v>1.0</v>
      </c>
      <c r="D10198" s="3">
        <v>0.0</v>
      </c>
      <c r="E10198" s="3">
        <v>2.0</v>
      </c>
      <c r="F10198" s="3" t="s">
        <v>29059</v>
      </c>
      <c r="G10198" s="3">
        <v>0.0</v>
      </c>
      <c r="H10198" s="3">
        <v>0.0</v>
      </c>
      <c r="I10198" s="3" t="s">
        <v>13</v>
      </c>
      <c r="J10198" s="3" t="s">
        <v>29060</v>
      </c>
      <c r="K10198" s="3" t="s">
        <v>71</v>
      </c>
      <c r="L10198" s="3" t="str">
        <f>IFERROR(__xludf.DUMMYFUNCTION("GOOGLETRANSLATE(F10198,""id"",""en"")"),"The atmosphere of the excitement of the citizens of Buenos Aires, the capital of Argentina, when his country won the World Cup championship")</f>
        <v>The atmosphere of the excitement of the citizens of Buenos Aires, the capital of Argentina, when his country won the World Cup championship</v>
      </c>
    </row>
    <row r="10199" ht="15.75" customHeight="1">
      <c r="A10199" s="1">
        <v>11436.0</v>
      </c>
      <c r="B10199" s="3" t="s">
        <v>29061</v>
      </c>
      <c r="C10199" s="3">
        <v>0.0</v>
      </c>
      <c r="D10199" s="3">
        <v>0.0</v>
      </c>
      <c r="E10199" s="3">
        <v>0.0</v>
      </c>
      <c r="F10199" s="3" t="s">
        <v>29062</v>
      </c>
      <c r="G10199" s="3">
        <v>0.0</v>
      </c>
      <c r="H10199" s="3">
        <v>0.0</v>
      </c>
      <c r="I10199" s="3" t="s">
        <v>13</v>
      </c>
      <c r="J10199" s="3" t="s">
        <v>29063</v>
      </c>
      <c r="K10199" s="3" t="s">
        <v>477</v>
      </c>
      <c r="L10199" s="3" t="str">
        <f>IFERROR(__xludf.DUMMYFUNCTION("GOOGLETRANSLATE(F10199,""id"",""en"")"),"Argentine World Cup Champion Third Champion")</f>
        <v>Argentine World Cup Champion Third Champion</v>
      </c>
    </row>
    <row r="10200" ht="15.75" customHeight="1">
      <c r="A10200" s="1">
        <v>11437.0</v>
      </c>
      <c r="B10200" s="3" t="s">
        <v>29064</v>
      </c>
      <c r="C10200" s="3">
        <v>0.0</v>
      </c>
      <c r="D10200" s="3">
        <v>0.0</v>
      </c>
      <c r="E10200" s="3">
        <v>0.0</v>
      </c>
      <c r="F10200" s="3" t="s">
        <v>29065</v>
      </c>
      <c r="G10200" s="3">
        <v>0.0</v>
      </c>
      <c r="H10200" s="3">
        <v>0.0</v>
      </c>
      <c r="I10200" s="3" t="s">
        <v>13</v>
      </c>
      <c r="J10200" s="3" t="s">
        <v>29066</v>
      </c>
      <c r="K10200" s="3" t="s">
        <v>19</v>
      </c>
      <c r="L10200" s="3" t="str">
        <f>IFERROR(__xludf.DUMMYFUNCTION("GOOGLETRANSLATE(F10200,""id"",""en"")"),"Since Argentina, the World Cup champion today has been a paranoid to see Tiktok and Twitter")</f>
        <v>Since Argentina, the World Cup champion today has been a paranoid to see Tiktok and Twitter</v>
      </c>
    </row>
    <row r="10201" ht="15.75" customHeight="1">
      <c r="A10201" s="1">
        <v>11438.0</v>
      </c>
      <c r="B10201" s="3" t="s">
        <v>29067</v>
      </c>
      <c r="C10201" s="3">
        <v>0.0</v>
      </c>
      <c r="D10201" s="3">
        <v>0.0</v>
      </c>
      <c r="E10201" s="3">
        <v>0.0</v>
      </c>
      <c r="F10201" s="3" t="s">
        <v>29068</v>
      </c>
      <c r="G10201" s="3">
        <v>0.0</v>
      </c>
      <c r="H10201" s="3">
        <v>0.0</v>
      </c>
      <c r="I10201" s="3" t="s">
        <v>13</v>
      </c>
      <c r="J10201" s="3" t="s">
        <v>29069</v>
      </c>
      <c r="K10201" s="3" t="s">
        <v>15</v>
      </c>
      <c r="L10201" s="3" t="str">
        <f>IFERROR(__xludf.DUMMYFUNCTION("GOOGLETRANSLATE(F10201,""id"",""en"")"),"Argentine era champion and Bang Messi became the best player")</f>
        <v>Argentine era champion and Bang Messi became the best player</v>
      </c>
    </row>
    <row r="10202" ht="15.75" customHeight="1">
      <c r="A10202" s="1">
        <v>11440.0</v>
      </c>
      <c r="B10202" s="3" t="s">
        <v>29070</v>
      </c>
      <c r="C10202" s="3">
        <v>0.0</v>
      </c>
      <c r="D10202" s="3">
        <v>0.0</v>
      </c>
      <c r="E10202" s="3">
        <v>0.0</v>
      </c>
      <c r="F10202" s="3" t="s">
        <v>29071</v>
      </c>
      <c r="G10202" s="3">
        <v>0.0</v>
      </c>
      <c r="H10202" s="3">
        <v>0.0</v>
      </c>
      <c r="I10202" s="3" t="s">
        <v>13</v>
      </c>
      <c r="J10202" s="3" t="s">
        <v>29072</v>
      </c>
      <c r="K10202" s="3" t="s">
        <v>15</v>
      </c>
      <c r="L10202" s="3" t="str">
        <f>IFERROR(__xludf.DUMMYFUNCTION("GOOGLETRANSLATE(F10202,""id"",""en"")"),"How many prize money received by Argentina as World Cup champions")</f>
        <v>How many prize money received by Argentina as World Cup champions</v>
      </c>
    </row>
    <row r="10203" ht="15.75" customHeight="1">
      <c r="A10203" s="1">
        <v>11441.0</v>
      </c>
      <c r="B10203" s="3" t="s">
        <v>29073</v>
      </c>
      <c r="C10203" s="3">
        <v>1.0</v>
      </c>
      <c r="D10203" s="3">
        <v>0.0</v>
      </c>
      <c r="E10203" s="3">
        <v>0.0</v>
      </c>
      <c r="F10203" s="3" t="s">
        <v>29074</v>
      </c>
      <c r="G10203" s="3">
        <v>0.3333333333333333</v>
      </c>
      <c r="H10203" s="3">
        <v>0.1666666666666667</v>
      </c>
      <c r="I10203" s="3" t="s">
        <v>48</v>
      </c>
      <c r="J10203" s="3" t="s">
        <v>29075</v>
      </c>
      <c r="K10203" s="3" t="s">
        <v>50</v>
      </c>
      <c r="L10203" s="3" t="str">
        <f>IFERROR(__xludf.DUMMYFUNCTION("GOOGLETRANSLATE(F10203,""id"",""en"")"),"After the Argentina national team coach champion asked Lionel Messi to play the World Cup again")</f>
        <v>After the Argentina national team coach champion asked Lionel Messi to play the World Cup again</v>
      </c>
    </row>
    <row r="10204" ht="15.75" customHeight="1">
      <c r="A10204" s="1">
        <v>11442.0</v>
      </c>
      <c r="B10204" s="3" t="s">
        <v>29076</v>
      </c>
      <c r="C10204" s="3">
        <v>1.0</v>
      </c>
      <c r="D10204" s="3">
        <v>2.0</v>
      </c>
      <c r="E10204" s="3">
        <v>3.0</v>
      </c>
      <c r="F10204" s="3" t="s">
        <v>29077</v>
      </c>
      <c r="G10204" s="3">
        <v>0.0</v>
      </c>
      <c r="H10204" s="3">
        <v>0.0</v>
      </c>
      <c r="I10204" s="3" t="s">
        <v>13</v>
      </c>
      <c r="J10204" s="3" t="s">
        <v>29078</v>
      </c>
      <c r="K10204" s="3" t="s">
        <v>82</v>
      </c>
      <c r="L10204" s="3" t="str">
        <f>IFERROR(__xludf.DUMMYFUNCTION("GOOGLETRANSLATE(F10204,""id"",""en"")"),"Macallister Catching Argentine Secret Champion World Cup")</f>
        <v>Macallister Catching Argentine Secret Champion World Cup</v>
      </c>
    </row>
    <row r="10205" ht="15.75" customHeight="1">
      <c r="A10205" s="1">
        <v>11443.0</v>
      </c>
      <c r="B10205" s="3" t="s">
        <v>29079</v>
      </c>
      <c r="C10205" s="3">
        <v>0.0</v>
      </c>
      <c r="D10205" s="3">
        <v>0.0</v>
      </c>
      <c r="E10205" s="3">
        <v>0.0</v>
      </c>
      <c r="F10205" s="3" t="s">
        <v>29080</v>
      </c>
      <c r="G10205" s="3">
        <v>0.0</v>
      </c>
      <c r="H10205" s="3">
        <v>0.0</v>
      </c>
      <c r="I10205" s="3" t="s">
        <v>13</v>
      </c>
      <c r="J10205" s="3" t="s">
        <v>29081</v>
      </c>
      <c r="K10205" s="3" t="s">
        <v>82</v>
      </c>
      <c r="L10205" s="3" t="str">
        <f>IFERROR(__xludf.DUMMYFUNCTION("GOOGLETRANSLATE(F10205,""id"",""en"")"),"Argentina Champion Permanent Pak Ketum lifts the Cup")</f>
        <v>Argentina Champion Permanent Pak Ketum lifts the Cup</v>
      </c>
    </row>
    <row r="10206" ht="15.75" customHeight="1">
      <c r="A10206" s="1">
        <v>11444.0</v>
      </c>
      <c r="B10206" s="3" t="s">
        <v>29082</v>
      </c>
      <c r="C10206" s="3">
        <v>0.0</v>
      </c>
      <c r="D10206" s="3">
        <v>0.0</v>
      </c>
      <c r="E10206" s="3">
        <v>1.0</v>
      </c>
      <c r="F10206" s="3" t="s">
        <v>29083</v>
      </c>
      <c r="G10206" s="3">
        <v>1.0</v>
      </c>
      <c r="H10206" s="3">
        <v>1.0</v>
      </c>
      <c r="I10206" s="3" t="s">
        <v>48</v>
      </c>
      <c r="J10206" s="3" t="s">
        <v>29084</v>
      </c>
      <c r="K10206" s="3" t="s">
        <v>27</v>
      </c>
      <c r="L10206" s="3" t="str">
        <f>IFERROR(__xludf.DUMMYFUNCTION("GOOGLETRANSLATE(F10206,""id"",""en"")"),"Messi deliver Argentina Champion World Cup Budiman Sudjatmiko a beautiful way to end our era of follow for other interesting news Sheikh Messi Greatest All Time Paul")</f>
        <v>Messi deliver Argentina Champion World Cup Budiman Sudjatmiko a beautiful way to end our era of follow for other interesting news Sheikh Messi Greatest All Time Paul</v>
      </c>
    </row>
    <row r="10207" ht="15.75" customHeight="1">
      <c r="A10207" s="1">
        <v>11445.0</v>
      </c>
      <c r="B10207" s="3" t="s">
        <v>29085</v>
      </c>
      <c r="C10207" s="3">
        <v>0.0</v>
      </c>
      <c r="D10207" s="3">
        <v>0.0</v>
      </c>
      <c r="E10207" s="3">
        <v>8.0</v>
      </c>
      <c r="F10207" s="3" t="s">
        <v>29086</v>
      </c>
      <c r="G10207" s="3">
        <v>0.0</v>
      </c>
      <c r="H10207" s="3">
        <v>0.0</v>
      </c>
      <c r="I10207" s="3" t="s">
        <v>13</v>
      </c>
      <c r="J10207" s="3" t="s">
        <v>29087</v>
      </c>
      <c r="K10207" s="3" t="s">
        <v>244</v>
      </c>
      <c r="L10207" s="3" t="str">
        <f>IFERROR(__xludf.DUMMYFUNCTION("GOOGLETRANSLATE(F10207,""id"",""en"")"),"Continue your essay as if the Argentina is not champion until your mouth foam still Argentina is the winner")</f>
        <v>Continue your essay as if the Argentina is not champion until your mouth foam still Argentina is the winner</v>
      </c>
    </row>
    <row r="10208" ht="15.75" customHeight="1">
      <c r="A10208" s="1">
        <v>11446.0</v>
      </c>
      <c r="B10208" s="3" t="s">
        <v>29088</v>
      </c>
      <c r="C10208" s="3">
        <v>0.0</v>
      </c>
      <c r="D10208" s="3">
        <v>1.0</v>
      </c>
      <c r="E10208" s="3">
        <v>4.0</v>
      </c>
      <c r="F10208" s="3" t="s">
        <v>29089</v>
      </c>
      <c r="G10208" s="3">
        <v>0.55</v>
      </c>
      <c r="H10208" s="3">
        <v>0.35</v>
      </c>
      <c r="I10208" s="3" t="s">
        <v>48</v>
      </c>
      <c r="J10208" s="3" t="s">
        <v>29090</v>
      </c>
      <c r="K10208" s="3" t="s">
        <v>244</v>
      </c>
      <c r="L10208" s="3" t="str">
        <f>IFERROR(__xludf.DUMMYFUNCTION("GOOGLETRANSLATE(F10208,""id"",""en"")"),"Congratulations to Argentina Champion World Cup Qatar Supporting Argentina Full Smile")</f>
        <v>Congratulations to Argentina Champion World Cup Qatar Supporting Argentina Full Smile</v>
      </c>
    </row>
    <row r="10209" ht="15.75" customHeight="1">
      <c r="A10209" s="1">
        <v>11447.0</v>
      </c>
      <c r="B10209" s="3" t="s">
        <v>29091</v>
      </c>
      <c r="C10209" s="3">
        <v>0.0</v>
      </c>
      <c r="D10209" s="3">
        <v>0.0</v>
      </c>
      <c r="E10209" s="3">
        <v>0.0</v>
      </c>
      <c r="F10209" s="3" t="s">
        <v>29092</v>
      </c>
      <c r="G10209" s="3">
        <v>0.0</v>
      </c>
      <c r="H10209" s="3">
        <v>0.0</v>
      </c>
      <c r="I10209" s="3" t="s">
        <v>13</v>
      </c>
      <c r="J10209" s="3" t="s">
        <v>29093</v>
      </c>
      <c r="K10209" s="3" t="s">
        <v>165</v>
      </c>
      <c r="L10209" s="3" t="str">
        <f>IFERROR(__xludf.DUMMYFUNCTION("GOOGLETRANSLATE(F10209,""id"",""en"")"),"This referee means that there is a penalty for France, the ball touches the hands of the French player but the human referee is the business of Argentinian players, they are not worthy")</f>
        <v>This referee means that there is a penalty for France, the ball touches the hands of the French player but the human referee is the business of Argentinian players, they are not worthy</v>
      </c>
    </row>
    <row r="10210" ht="15.75" customHeight="1">
      <c r="A10210" s="1">
        <v>11448.0</v>
      </c>
      <c r="B10210" s="3" t="s">
        <v>29094</v>
      </c>
      <c r="C10210" s="3">
        <v>15.0</v>
      </c>
      <c r="D10210" s="3">
        <v>1.0</v>
      </c>
      <c r="E10210" s="3">
        <v>9.0</v>
      </c>
      <c r="F10210" s="3" t="s">
        <v>29095</v>
      </c>
      <c r="G10210" s="3">
        <v>0.0</v>
      </c>
      <c r="H10210" s="3">
        <v>0.0</v>
      </c>
      <c r="I10210" s="3" t="s">
        <v>13</v>
      </c>
      <c r="J10210" s="3" t="s">
        <v>29096</v>
      </c>
      <c r="K10210" s="3" t="s">
        <v>1428</v>
      </c>
      <c r="L10210" s="3" t="str">
        <f>IFERROR(__xludf.DUMMYFUNCTION("GOOGLETRANSLATE(F10210,""id"",""en"")"),"Want to debate, however, Argentina is already supported by the universe to become a champion, not only the dashinals and also Argentina is always favored by the referee during Qatar Arab")</f>
        <v>Want to debate, however, Argentina is already supported by the universe to become a champion, not only the dashinals and also Argentina is always favored by the referee during Qatar Arab</v>
      </c>
    </row>
    <row r="10211" ht="15.75" customHeight="1">
      <c r="A10211" s="1">
        <v>11449.0</v>
      </c>
      <c r="B10211" s="3" t="s">
        <v>29097</v>
      </c>
      <c r="C10211" s="3">
        <v>0.0</v>
      </c>
      <c r="D10211" s="3">
        <v>0.0</v>
      </c>
      <c r="E10211" s="3">
        <v>0.0</v>
      </c>
      <c r="F10211" s="3" t="s">
        <v>29098</v>
      </c>
      <c r="G10211" s="3">
        <v>0.0</v>
      </c>
      <c r="H10211" s="3">
        <v>0.0</v>
      </c>
      <c r="I10211" s="3" t="s">
        <v>13</v>
      </c>
      <c r="J10211" s="3" t="s">
        <v>29099</v>
      </c>
      <c r="K10211" s="3" t="s">
        <v>1479</v>
      </c>
      <c r="L10211" s="3" t="str">
        <f>IFERROR(__xludf.DUMMYFUNCTION("GOOGLETRANSLATE(F10211,""id"",""en"")"),"After becoming a witness Messi brought Argentina to become a world champion when Nketiah brought Arsenal BPL champions")</f>
        <v>After becoming a witness Messi brought Argentina to become a world champion when Nketiah brought Arsenal BPL champions</v>
      </c>
    </row>
    <row r="10212" ht="15.75" customHeight="1">
      <c r="A10212" s="1">
        <v>11450.0</v>
      </c>
      <c r="B10212" s="3" t="s">
        <v>29100</v>
      </c>
      <c r="C10212" s="3">
        <v>0.0</v>
      </c>
      <c r="D10212" s="3">
        <v>0.0</v>
      </c>
      <c r="E10212" s="3">
        <v>0.0</v>
      </c>
      <c r="F10212" s="3" t="s">
        <v>29101</v>
      </c>
      <c r="G10212" s="3">
        <v>0.0</v>
      </c>
      <c r="H10212" s="3">
        <v>0.0</v>
      </c>
      <c r="I10212" s="3" t="s">
        <v>13</v>
      </c>
      <c r="J10212" s="3" t="s">
        <v>29102</v>
      </c>
      <c r="K10212" s="3" t="s">
        <v>75</v>
      </c>
      <c r="L10212" s="3" t="str">
        <f>IFERROR(__xludf.DUMMYFUNCTION("GOOGLETRANSLATE(F10212,""id"",""en"")"),"Argentina Champion World Cup after defeating France through penalties")</f>
        <v>Argentina Champion World Cup after defeating France through penalties</v>
      </c>
    </row>
    <row r="10213" ht="15.75" customHeight="1">
      <c r="A10213" s="1">
        <v>11451.0</v>
      </c>
      <c r="B10213" s="3" t="s">
        <v>29103</v>
      </c>
      <c r="C10213" s="3">
        <v>1.0</v>
      </c>
      <c r="D10213" s="3">
        <v>0.0</v>
      </c>
      <c r="E10213" s="3">
        <v>0.0</v>
      </c>
      <c r="F10213" s="3" t="s">
        <v>29104</v>
      </c>
      <c r="G10213" s="3">
        <v>0.0</v>
      </c>
      <c r="H10213" s="3">
        <v>0.0</v>
      </c>
      <c r="I10213" s="3" t="s">
        <v>13</v>
      </c>
      <c r="J10213" s="3" t="s">
        <v>29105</v>
      </c>
      <c r="K10213" s="3" t="s">
        <v>58</v>
      </c>
      <c r="L10213" s="3" t="str">
        <f>IFERROR(__xludf.DUMMYFUNCTION("GOOGLETRANSLATE(F10213,""id"",""en"")"),"Adjem I think Mr. Ketum PSSI Argentina uses to make a president")</f>
        <v>Adjem I think Mr. Ketum PSSI Argentina uses to make a president</v>
      </c>
    </row>
    <row r="10214" ht="15.75" customHeight="1">
      <c r="A10214" s="1">
        <v>11452.0</v>
      </c>
      <c r="B10214" s="3" t="s">
        <v>29106</v>
      </c>
      <c r="C10214" s="3">
        <v>1.0</v>
      </c>
      <c r="D10214" s="3">
        <v>0.0</v>
      </c>
      <c r="E10214" s="3">
        <v>0.0</v>
      </c>
      <c r="F10214" s="3" t="s">
        <v>29107</v>
      </c>
      <c r="G10214" s="3">
        <v>0.7999999999999999</v>
      </c>
      <c r="H10214" s="3">
        <v>0.7000000000000001</v>
      </c>
      <c r="I10214" s="3" t="s">
        <v>48</v>
      </c>
      <c r="J10214" s="3" t="s">
        <v>29108</v>
      </c>
      <c r="K10214" s="3" t="s">
        <v>1824</v>
      </c>
      <c r="L10214" s="3" t="str">
        <f>IFERROR(__xludf.DUMMYFUNCTION("GOOGLETRANSLATE(F10214,""id"",""en"")"),"Seeing a friend who said Argentina Champion World Cup Since Day One this morning his face was bright with the series Don Care Doi using a Literally Beach Shirt Picture of his face look bright and very sweet")</f>
        <v>Seeing a friend who said Argentina Champion World Cup Since Day One this morning his face was bright with the series Don Care Doi using a Literally Beach Shirt Picture of his face look bright and very sweet</v>
      </c>
    </row>
    <row r="10215" ht="15.75" customHeight="1">
      <c r="A10215" s="1">
        <v>11453.0</v>
      </c>
      <c r="B10215" s="3" t="s">
        <v>29109</v>
      </c>
      <c r="C10215" s="3">
        <v>0.0</v>
      </c>
      <c r="D10215" s="3">
        <v>0.0</v>
      </c>
      <c r="E10215" s="3">
        <v>0.0</v>
      </c>
      <c r="F10215" s="3" t="s">
        <v>29110</v>
      </c>
      <c r="G10215" s="3">
        <v>0.0</v>
      </c>
      <c r="H10215" s="3">
        <v>0.0</v>
      </c>
      <c r="I10215" s="3" t="s">
        <v>13</v>
      </c>
      <c r="J10215" s="3" t="s">
        <v>29111</v>
      </c>
      <c r="K10215" s="3" t="s">
        <v>82</v>
      </c>
      <c r="L10215" s="3" t="str">
        <f>IFERROR(__xludf.DUMMYFUNCTION("GOOGLETRANSLATE(F10215,""id"",""en"")"),"Remarkably Messi and Boncos Drake Holds Argentina Champion")</f>
        <v>Remarkably Messi and Boncos Drake Holds Argentina Champion</v>
      </c>
    </row>
    <row r="10216" ht="15.75" customHeight="1">
      <c r="A10216" s="1">
        <v>11454.0</v>
      </c>
      <c r="B10216" s="3" t="s">
        <v>29112</v>
      </c>
      <c r="C10216" s="3">
        <v>0.0</v>
      </c>
      <c r="D10216" s="3">
        <v>0.0</v>
      </c>
      <c r="E10216" s="3">
        <v>0.0</v>
      </c>
      <c r="F10216" s="3" t="s">
        <v>29110</v>
      </c>
      <c r="G10216" s="3">
        <v>0.0</v>
      </c>
      <c r="H10216" s="3">
        <v>0.0</v>
      </c>
      <c r="I10216" s="3" t="s">
        <v>13</v>
      </c>
      <c r="J10216" s="3" t="s">
        <v>29111</v>
      </c>
      <c r="K10216" s="3" t="s">
        <v>82</v>
      </c>
      <c r="L10216" s="3" t="str">
        <f>IFERROR(__xludf.DUMMYFUNCTION("GOOGLETRANSLATE(F10216,""id"",""en"")"),"Remarkably Messi and Boncos Drake Holds Argentina Champion")</f>
        <v>Remarkably Messi and Boncos Drake Holds Argentina Champion</v>
      </c>
    </row>
    <row r="10217" ht="15.75" customHeight="1">
      <c r="A10217" s="1">
        <v>11455.0</v>
      </c>
      <c r="B10217" s="3" t="s">
        <v>29113</v>
      </c>
      <c r="C10217" s="3">
        <v>2.0</v>
      </c>
      <c r="D10217" s="3">
        <v>0.0</v>
      </c>
      <c r="E10217" s="3">
        <v>2.0</v>
      </c>
      <c r="F10217" s="3" t="s">
        <v>29114</v>
      </c>
      <c r="G10217" s="3">
        <v>0.0</v>
      </c>
      <c r="H10217" s="3">
        <v>0.0</v>
      </c>
      <c r="I10217" s="3" t="s">
        <v>13</v>
      </c>
      <c r="J10217" s="3" t="s">
        <v>29115</v>
      </c>
      <c r="K10217" s="3" t="s">
        <v>54</v>
      </c>
      <c r="L10217" s="3" t="str">
        <f>IFERROR(__xludf.DUMMYFUNCTION("GOOGLETRANSLATE(F10217,""id"",""en"")"),"If the duet Aguero can not champion the Argentine world")</f>
        <v>If the duet Aguero can not champion the Argentine world</v>
      </c>
    </row>
    <row r="10218" ht="15.75" customHeight="1">
      <c r="A10218" s="1">
        <v>11456.0</v>
      </c>
      <c r="B10218" s="3" t="s">
        <v>29116</v>
      </c>
      <c r="C10218" s="3">
        <v>0.0</v>
      </c>
      <c r="D10218" s="3">
        <v>0.0</v>
      </c>
      <c r="E10218" s="3">
        <v>0.0</v>
      </c>
      <c r="F10218" s="3" t="s">
        <v>29117</v>
      </c>
      <c r="G10218" s="3">
        <v>0.0</v>
      </c>
      <c r="H10218" s="3">
        <v>0.0</v>
      </c>
      <c r="I10218" s="3" t="s">
        <v>13</v>
      </c>
      <c r="J10218" s="3" t="s">
        <v>29118</v>
      </c>
      <c r="K10218" s="3" t="s">
        <v>236</v>
      </c>
      <c r="L10218" s="3" t="str">
        <f>IFERROR(__xludf.DUMMYFUNCTION("GOOGLETRANSLATE(F10218,""id"",""en"")"),"Lionel Messi's confession after Argentina, I knew I would win the World Cup")</f>
        <v>Lionel Messi's confession after Argentina, I knew I would win the World Cup</v>
      </c>
    </row>
    <row r="10219" ht="15.75" customHeight="1">
      <c r="A10219" s="1">
        <v>11457.0</v>
      </c>
      <c r="B10219" s="3" t="s">
        <v>29119</v>
      </c>
      <c r="C10219" s="3">
        <v>0.0</v>
      </c>
      <c r="D10219" s="3">
        <v>0.0</v>
      </c>
      <c r="E10219" s="3">
        <v>0.0</v>
      </c>
      <c r="F10219" s="3" t="s">
        <v>29120</v>
      </c>
      <c r="G10219" s="3">
        <v>0.0</v>
      </c>
      <c r="H10219" s="3">
        <v>0.0</v>
      </c>
      <c r="I10219" s="3" t="s">
        <v>13</v>
      </c>
      <c r="J10219" s="3" t="s">
        <v>29121</v>
      </c>
      <c r="K10219" s="3" t="s">
        <v>75</v>
      </c>
      <c r="L10219" s="3" t="str">
        <f>IFERROR(__xludf.DUMMYFUNCTION("GOOGLETRANSLATE(F10219,""id"",""en"")"),"Lionel Messi finally managed to bring Argentina to win the World Cup")</f>
        <v>Lionel Messi finally managed to bring Argentina to win the World Cup</v>
      </c>
    </row>
    <row r="10220" ht="15.75" customHeight="1">
      <c r="A10220" s="1">
        <v>11458.0</v>
      </c>
      <c r="B10220" s="3" t="s">
        <v>29122</v>
      </c>
      <c r="C10220" s="3">
        <v>0.0</v>
      </c>
      <c r="D10220" s="3">
        <v>0.0</v>
      </c>
      <c r="E10220" s="3">
        <v>0.0</v>
      </c>
      <c r="F10220" s="3" t="s">
        <v>29123</v>
      </c>
      <c r="G10220" s="3">
        <v>0.0</v>
      </c>
      <c r="H10220" s="3">
        <v>0.0</v>
      </c>
      <c r="I10220" s="3" t="s">
        <v>13</v>
      </c>
      <c r="J10220" s="3" t="s">
        <v>29124</v>
      </c>
      <c r="K10220" s="3" t="s">
        <v>50</v>
      </c>
      <c r="L10220" s="3" t="str">
        <f>IFERROR(__xludf.DUMMYFUNCTION("GOOGLETRANSLATE(F10220,""id"",""en"")"),"The person who most contributed to bringing Argentina was reportedly until his bloody blood")</f>
        <v>The person who most contributed to bringing Argentina was reportedly until his bloody blood</v>
      </c>
    </row>
    <row r="10221" ht="15.75" customHeight="1">
      <c r="A10221" s="1">
        <v>11459.0</v>
      </c>
      <c r="B10221" s="3" t="s">
        <v>29125</v>
      </c>
      <c r="C10221" s="3">
        <v>0.0</v>
      </c>
      <c r="D10221" s="3">
        <v>2.0</v>
      </c>
      <c r="E10221" s="3">
        <v>9.0</v>
      </c>
      <c r="F10221" s="3" t="s">
        <v>29126</v>
      </c>
      <c r="G10221" s="3">
        <v>0.0</v>
      </c>
      <c r="H10221" s="3">
        <v>0.0</v>
      </c>
      <c r="I10221" s="3" t="s">
        <v>13</v>
      </c>
      <c r="J10221" s="3" t="s">
        <v>29127</v>
      </c>
      <c r="K10221" s="3" t="s">
        <v>1942</v>
      </c>
      <c r="L10221" s="3" t="str">
        <f>IFERROR(__xludf.DUMMYFUNCTION("GOOGLETRANSLATE(F10221,""id"",""en"")"),"Argentina won the World Cup after defeating France through the match shootout continued the penalty shootout that was won by Argentina with a score of four Argentine kickers was Lionel Messi Paulo Dybala Leandro Paredes and Gonzalo Montiel")</f>
        <v>Argentina won the World Cup after defeating France through the match shootout continued the penalty shootout that was won by Argentina with a score of four Argentine kickers was Lionel Messi Paulo Dybala Leandro Paredes and Gonzalo Montiel</v>
      </c>
    </row>
    <row r="10222" ht="15.75" customHeight="1">
      <c r="A10222" s="1">
        <v>11460.0</v>
      </c>
      <c r="B10222" s="3" t="s">
        <v>29128</v>
      </c>
      <c r="C10222" s="3">
        <v>0.0</v>
      </c>
      <c r="D10222" s="3">
        <v>0.0</v>
      </c>
      <c r="E10222" s="3">
        <v>0.0</v>
      </c>
      <c r="F10222" s="3" t="s">
        <v>29129</v>
      </c>
      <c r="G10222" s="3">
        <v>0.0</v>
      </c>
      <c r="H10222" s="3">
        <v>0.0</v>
      </c>
      <c r="I10222" s="3" t="s">
        <v>13</v>
      </c>
      <c r="J10222" s="3" t="s">
        <v>29130</v>
      </c>
      <c r="K10222" s="3" t="s">
        <v>236</v>
      </c>
      <c r="L10222" s="3" t="str">
        <f>IFERROR(__xludf.DUMMYFUNCTION("GOOGLETRANSLATE(F10222,""id"",""en"")"),"Already this champion is already carved also Argentina Cup Yakali Want Tipex")</f>
        <v>Already this champion is already carved also Argentina Cup Yakali Want Tipex</v>
      </c>
    </row>
    <row r="10223" ht="15.75" customHeight="1">
      <c r="A10223" s="1">
        <v>11461.0</v>
      </c>
      <c r="B10223" s="3" t="s">
        <v>29131</v>
      </c>
      <c r="C10223" s="3">
        <v>0.0</v>
      </c>
      <c r="D10223" s="3">
        <v>2.0</v>
      </c>
      <c r="E10223" s="3">
        <v>5.0</v>
      </c>
      <c r="F10223" s="3" t="s">
        <v>29132</v>
      </c>
      <c r="G10223" s="3">
        <v>0.0</v>
      </c>
      <c r="H10223" s="3">
        <v>0.0</v>
      </c>
      <c r="I10223" s="3" t="s">
        <v>13</v>
      </c>
      <c r="J10223" s="3" t="s">
        <v>29133</v>
      </c>
      <c r="K10223" s="3" t="s">
        <v>437</v>
      </c>
      <c r="L10223" s="3" t="str">
        <f>IFERROR(__xludf.DUMMYFUNCTION("GOOGLETRANSLATE(F10223,""id"",""en"")"),"The Argentine people gathered the heart of Buenos Aires they partyed to celebrate the Argentine national team who won the Qatar World Cup championship")</f>
        <v>The Argentine people gathered the heart of Buenos Aires they partyed to celebrate the Argentine national team who won the Qatar World Cup championship</v>
      </c>
    </row>
    <row r="10224" ht="15.75" customHeight="1">
      <c r="A10224" s="1">
        <v>11462.0</v>
      </c>
      <c r="B10224" s="3" t="s">
        <v>29134</v>
      </c>
      <c r="C10224" s="3">
        <v>0.0</v>
      </c>
      <c r="D10224" s="3">
        <v>9.0</v>
      </c>
      <c r="E10224" s="3">
        <v>42.0</v>
      </c>
      <c r="F10224" s="3" t="s">
        <v>29132</v>
      </c>
      <c r="G10224" s="3">
        <v>0.0</v>
      </c>
      <c r="H10224" s="3">
        <v>0.0</v>
      </c>
      <c r="I10224" s="3" t="s">
        <v>13</v>
      </c>
      <c r="J10224" s="3" t="s">
        <v>29133</v>
      </c>
      <c r="K10224" s="3" t="s">
        <v>437</v>
      </c>
      <c r="L10224" s="3" t="str">
        <f>IFERROR(__xludf.DUMMYFUNCTION("GOOGLETRANSLATE(F10224,""id"",""en"")"),"The Argentine people gathered the heart of Buenos Aires they partyed to celebrate the Argentine national team who won the Qatar World Cup championship")</f>
        <v>The Argentine people gathered the heart of Buenos Aires they partyed to celebrate the Argentine national team who won the Qatar World Cup championship</v>
      </c>
    </row>
    <row r="10225" ht="15.75" customHeight="1">
      <c r="A10225" s="1">
        <v>11463.0</v>
      </c>
      <c r="B10225" s="3" t="s">
        <v>29135</v>
      </c>
      <c r="C10225" s="3">
        <v>1.0</v>
      </c>
      <c r="D10225" s="3">
        <v>0.0</v>
      </c>
      <c r="E10225" s="3">
        <v>1.0</v>
      </c>
      <c r="F10225" s="3" t="s">
        <v>29136</v>
      </c>
      <c r="G10225" s="3">
        <v>0.0</v>
      </c>
      <c r="H10225" s="3">
        <v>0.0</v>
      </c>
      <c r="I10225" s="3" t="s">
        <v>13</v>
      </c>
      <c r="J10225" s="3" t="s">
        <v>29137</v>
      </c>
      <c r="K10225" s="3" t="s">
        <v>1335</v>
      </c>
      <c r="L10225" s="3" t="str">
        <f>IFERROR(__xludf.DUMMYFUNCTION("GOOGLETRANSLATE(F10225,""id"",""en"")"),"Yuhuuu Happy Masss Argentina Champion Congratulations on Party")</f>
        <v>Yuhuuu Happy Masss Argentina Champion Congratulations on Party</v>
      </c>
    </row>
    <row r="10226" ht="15.75" customHeight="1">
      <c r="A10226" s="1">
        <v>11464.0</v>
      </c>
      <c r="B10226" s="3" t="s">
        <v>29138</v>
      </c>
      <c r="C10226" s="3">
        <v>0.0</v>
      </c>
      <c r="D10226" s="3">
        <v>0.0</v>
      </c>
      <c r="E10226" s="3">
        <v>12.0</v>
      </c>
      <c r="F10226" s="3" t="s">
        <v>29139</v>
      </c>
      <c r="G10226" s="3">
        <v>0.9</v>
      </c>
      <c r="H10226" s="3">
        <v>0.3</v>
      </c>
      <c r="I10226" s="3" t="s">
        <v>48</v>
      </c>
      <c r="J10226" s="3" t="s">
        <v>29140</v>
      </c>
      <c r="K10226" s="3" t="s">
        <v>1518</v>
      </c>
      <c r="L10226" s="3" t="str">
        <f>IFERROR(__xludf.DUMMYFUNCTION("GOOGLETRANSLATE(F10226,""id"",""en"")"),"Antonela Roccuzzo could not hide his happiness and pride for the achievement of Lionel Messi's husband after Argentina became the AWW World Cup championship like this his phrase")</f>
        <v>Antonela Roccuzzo could not hide his happiness and pride for the achievement of Lionel Messi's husband after Argentina became the AWW World Cup championship like this his phrase</v>
      </c>
    </row>
    <row r="10227" ht="15.75" customHeight="1">
      <c r="A10227" s="1">
        <v>11465.0</v>
      </c>
      <c r="B10227" s="3" t="s">
        <v>29141</v>
      </c>
      <c r="C10227" s="3">
        <v>1.0</v>
      </c>
      <c r="D10227" s="3">
        <v>5.0</v>
      </c>
      <c r="E10227" s="3">
        <v>36.0</v>
      </c>
      <c r="F10227" s="3" t="s">
        <v>29139</v>
      </c>
      <c r="G10227" s="3">
        <v>0.9</v>
      </c>
      <c r="H10227" s="3">
        <v>0.3</v>
      </c>
      <c r="I10227" s="3" t="s">
        <v>48</v>
      </c>
      <c r="J10227" s="3" t="s">
        <v>29140</v>
      </c>
      <c r="K10227" s="3" t="s">
        <v>1518</v>
      </c>
      <c r="L10227" s="3" t="str">
        <f>IFERROR(__xludf.DUMMYFUNCTION("GOOGLETRANSLATE(F10227,""id"",""en"")"),"Antonela Roccuzzo could not hide his happiness and pride for the achievement of Lionel Messi's husband after Argentina became the AWW World Cup championship like this his phrase")</f>
        <v>Antonela Roccuzzo could not hide his happiness and pride for the achievement of Lionel Messi's husband after Argentina became the AWW World Cup championship like this his phrase</v>
      </c>
    </row>
    <row r="10228" ht="15.75" customHeight="1">
      <c r="A10228" s="1">
        <v>11466.0</v>
      </c>
      <c r="B10228" s="3" t="s">
        <v>29142</v>
      </c>
      <c r="C10228" s="3">
        <v>21.0</v>
      </c>
      <c r="D10228" s="3">
        <v>1.0</v>
      </c>
      <c r="E10228" s="3">
        <v>22.0</v>
      </c>
      <c r="F10228" s="3" t="s">
        <v>29143</v>
      </c>
      <c r="G10228" s="3">
        <v>0.0</v>
      </c>
      <c r="H10228" s="3">
        <v>0.0</v>
      </c>
      <c r="I10228" s="3" t="s">
        <v>13</v>
      </c>
      <c r="J10228" s="3" t="s">
        <v>29144</v>
      </c>
      <c r="K10228" s="3" t="s">
        <v>633</v>
      </c>
      <c r="L10228" s="3" t="str">
        <f>IFERROR(__xludf.DUMMYFUNCTION("GOOGLETRANSLATE(F10228,""id"",""en"")"),"It is like if Messi Songong is okay, he's the best player printing goals with the Diffinal Goal with Argentina, this champion is Mon, I'm sorry, just not, Songong is exorbitant in jir")</f>
        <v>It is like if Messi Songong is okay, he's the best player printing goals with the Diffinal Goal with Argentina, this champion is Mon, I'm sorry, just not, Songong is exorbitant in jir</v>
      </c>
    </row>
    <row r="10229" ht="15.75" customHeight="1">
      <c r="A10229" s="1">
        <v>11467.0</v>
      </c>
      <c r="B10229" s="3" t="s">
        <v>29145</v>
      </c>
      <c r="C10229" s="3">
        <v>0.0</v>
      </c>
      <c r="D10229" s="3">
        <v>0.0</v>
      </c>
      <c r="E10229" s="3">
        <v>0.0</v>
      </c>
      <c r="F10229" s="3" t="s">
        <v>29146</v>
      </c>
      <c r="G10229" s="3">
        <v>0.0</v>
      </c>
      <c r="H10229" s="3">
        <v>0.0</v>
      </c>
      <c r="I10229" s="3" t="s">
        <v>13</v>
      </c>
      <c r="J10229" s="3" t="s">
        <v>29147</v>
      </c>
      <c r="K10229" s="3" t="s">
        <v>495</v>
      </c>
      <c r="L10229" s="3" t="str">
        <f>IFERROR(__xludf.DUMMYFUNCTION("GOOGLETRANSLATE(F10229,""id"",""en"")"),"Lionel Scaloni proves that age is not an obstacle to bringing Argentina to the World Cup champion he has just followed in the footsteps of Cesar Luis Menotti what it is")</f>
        <v>Lionel Scaloni proves that age is not an obstacle to bringing Argentina to the World Cup champion he has just followed in the footsteps of Cesar Luis Menotti what it is</v>
      </c>
    </row>
    <row r="10230" ht="15.75" customHeight="1">
      <c r="A10230" s="1">
        <v>11468.0</v>
      </c>
      <c r="B10230" s="3" t="s">
        <v>29148</v>
      </c>
      <c r="C10230" s="3">
        <v>0.0</v>
      </c>
      <c r="D10230" s="3">
        <v>0.0</v>
      </c>
      <c r="E10230" s="3">
        <v>1.0</v>
      </c>
      <c r="F10230" s="3" t="s">
        <v>29149</v>
      </c>
      <c r="G10230" s="3">
        <v>0.0</v>
      </c>
      <c r="H10230" s="3">
        <v>0.0</v>
      </c>
      <c r="I10230" s="3" t="s">
        <v>13</v>
      </c>
      <c r="J10230" s="3" t="s">
        <v>29150</v>
      </c>
      <c r="K10230" s="3" t="s">
        <v>41</v>
      </c>
      <c r="L10230" s="3" t="str">
        <f>IFERROR(__xludf.DUMMYFUNCTION("GOOGLETRANSLATE(F10230,""id"",""en"")"),"This I agree that Argentina is a racist champion worse than Indo people")</f>
        <v>This I agree that Argentina is a racist champion worse than Indo people</v>
      </c>
    </row>
    <row r="10231" ht="15.75" customHeight="1">
      <c r="A10231" s="1">
        <v>11469.0</v>
      </c>
      <c r="B10231" s="3" t="s">
        <v>29151</v>
      </c>
      <c r="C10231" s="3">
        <v>0.0</v>
      </c>
      <c r="D10231" s="3">
        <v>0.0</v>
      </c>
      <c r="E10231" s="3">
        <v>0.0</v>
      </c>
      <c r="F10231" s="3" t="s">
        <v>29152</v>
      </c>
      <c r="G10231" s="3">
        <v>0.0</v>
      </c>
      <c r="H10231" s="3">
        <v>0.0</v>
      </c>
      <c r="I10231" s="3" t="s">
        <v>13</v>
      </c>
      <c r="J10231" s="3" t="s">
        <v>29153</v>
      </c>
      <c r="K10231" s="3" t="s">
        <v>1912</v>
      </c>
      <c r="L10231" s="3" t="str">
        <f>IFERROR(__xludf.DUMMYFUNCTION("GOOGLETRANSLATE(F10231,""id"",""en"")"),"In the past many people underestimate the height of Siwan, especially when standing a tall actress but those who underestimate Siwan must be reminded that Leonel Messi who is height again brought Argentina to the World Cup champion so do not be trivial to"&amp;" someone")</f>
        <v>In the past many people underestimate the height of Siwan, especially when standing a tall actress but those who underestimate Siwan must be reminded that Leonel Messi who is height again brought Argentina to the World Cup champion so do not be trivial to someone</v>
      </c>
    </row>
    <row r="10232" ht="15.75" customHeight="1">
      <c r="A10232" s="1">
        <v>11470.0</v>
      </c>
      <c r="B10232" s="3" t="s">
        <v>29154</v>
      </c>
      <c r="C10232" s="3">
        <v>0.0</v>
      </c>
      <c r="D10232" s="3">
        <v>0.0</v>
      </c>
      <c r="E10232" s="3">
        <v>0.0</v>
      </c>
      <c r="F10232" s="3" t="s">
        <v>29155</v>
      </c>
      <c r="G10232" s="3">
        <v>0.0</v>
      </c>
      <c r="H10232" s="3">
        <v>0.0</v>
      </c>
      <c r="I10232" s="3" t="s">
        <v>13</v>
      </c>
      <c r="J10232" s="3" t="s">
        <v>29156</v>
      </c>
      <c r="K10232" s="3" t="s">
        <v>15</v>
      </c>
      <c r="L10232" s="3" t="str">
        <f>IFERROR(__xludf.DUMMYFUNCTION("GOOGLETRANSLATE(F10232,""id"",""en"")"),"Lionel Messi will not retire from Argentina after becoming the World Cup championship")</f>
        <v>Lionel Messi will not retire from Argentina after becoming the World Cup championship</v>
      </c>
    </row>
    <row r="10233" ht="15.75" customHeight="1">
      <c r="A10233" s="1">
        <v>11471.0</v>
      </c>
      <c r="B10233" s="3" t="s">
        <v>29157</v>
      </c>
      <c r="C10233" s="3">
        <v>0.0</v>
      </c>
      <c r="D10233" s="3">
        <v>0.0</v>
      </c>
      <c r="E10233" s="3">
        <v>0.0</v>
      </c>
      <c r="F10233" s="3" t="s">
        <v>29158</v>
      </c>
      <c r="G10233" s="3">
        <v>0.0</v>
      </c>
      <c r="H10233" s="3">
        <v>0.0</v>
      </c>
      <c r="I10233" s="3" t="s">
        <v>13</v>
      </c>
      <c r="J10233" s="3" t="s">
        <v>29159</v>
      </c>
      <c r="K10233" s="3" t="s">
        <v>322</v>
      </c>
      <c r="L10233" s="3" t="str">
        <f>IFERROR(__xludf.DUMMYFUNCTION("GOOGLETRANSLATE(F10233,""id"",""en"")"),"The point is the Argentina Argentina Azza Bestieee")</f>
        <v>The point is the Argentina Argentina Azza Bestieee</v>
      </c>
    </row>
    <row r="10234" ht="15.75" customHeight="1">
      <c r="A10234" s="1">
        <v>11472.0</v>
      </c>
      <c r="B10234" s="3" t="s">
        <v>29160</v>
      </c>
      <c r="C10234" s="3">
        <v>0.0</v>
      </c>
      <c r="D10234" s="3">
        <v>2.0</v>
      </c>
      <c r="E10234" s="3">
        <v>1.0</v>
      </c>
      <c r="F10234" s="3" t="s">
        <v>29161</v>
      </c>
      <c r="G10234" s="3">
        <v>0.0</v>
      </c>
      <c r="H10234" s="3">
        <v>0.0</v>
      </c>
      <c r="I10234" s="3" t="s">
        <v>13</v>
      </c>
      <c r="J10234" s="3" t="s">
        <v>29162</v>
      </c>
      <c r="K10234" s="3" t="s">
        <v>41</v>
      </c>
      <c r="L10234" s="3" t="str">
        <f>IFERROR(__xludf.DUMMYFUNCTION("GOOGLETRANSLATE(F10234,""id"",""en"")"),"Lionel Scaloni is the time for the people of Argentina to enjoy the World Champion Party")</f>
        <v>Lionel Scaloni is the time for the people of Argentina to enjoy the World Champion Party</v>
      </c>
    </row>
    <row r="10235" ht="15.75" customHeight="1">
      <c r="A10235" s="1">
        <v>11473.0</v>
      </c>
      <c r="B10235" s="3" t="s">
        <v>29163</v>
      </c>
      <c r="C10235" s="3">
        <v>1.0</v>
      </c>
      <c r="D10235" s="3">
        <v>0.0</v>
      </c>
      <c r="E10235" s="3">
        <v>0.0</v>
      </c>
      <c r="F10235" s="3" t="s">
        <v>17033</v>
      </c>
      <c r="G10235" s="3">
        <v>0.0</v>
      </c>
      <c r="H10235" s="3">
        <v>0.0</v>
      </c>
      <c r="I10235" s="3" t="s">
        <v>13</v>
      </c>
      <c r="J10235" s="3" t="s">
        <v>17034</v>
      </c>
      <c r="K10235" s="3" t="s">
        <v>82</v>
      </c>
      <c r="L10235" s="3" t="str">
        <f>IFERROR(__xludf.DUMMYFUNCTION("GOOGLETRANSLATE(F10235,""id"",""en"")"),"hbd sis, I hope Argentina won the World Cup")</f>
        <v>hbd sis, I hope Argentina won the World Cup</v>
      </c>
    </row>
    <row r="10236" ht="15.75" customHeight="1">
      <c r="A10236" s="1">
        <v>11474.0</v>
      </c>
      <c r="B10236" s="3" t="s">
        <v>29164</v>
      </c>
      <c r="C10236" s="3">
        <v>0.0</v>
      </c>
      <c r="D10236" s="3">
        <v>0.0</v>
      </c>
      <c r="E10236" s="3">
        <v>0.0</v>
      </c>
      <c r="F10236" s="3" t="s">
        <v>29165</v>
      </c>
      <c r="G10236" s="3">
        <v>0.0</v>
      </c>
      <c r="H10236" s="3">
        <v>0.0</v>
      </c>
      <c r="I10236" s="3" t="s">
        <v>13</v>
      </c>
      <c r="J10236" s="3" t="s">
        <v>29166</v>
      </c>
      <c r="K10236" s="3" t="s">
        <v>433</v>
      </c>
      <c r="L10236" s="3" t="str">
        <f>IFERROR(__xludf.DUMMYFUNCTION("GOOGLETRANSLATE(F10236,""id"",""en"")"),"Waiting Netflix about the journey of Argentina champions yesterday, it's already italy if England knows it's still the championship")</f>
        <v>Waiting Netflix about the journey of Argentina champions yesterday, it's already italy if England knows it's still the championship</v>
      </c>
    </row>
    <row r="10237" ht="15.75" customHeight="1">
      <c r="A10237" s="1">
        <v>11475.0</v>
      </c>
      <c r="B10237" s="3" t="s">
        <v>29167</v>
      </c>
      <c r="C10237" s="3">
        <v>0.0</v>
      </c>
      <c r="D10237" s="3">
        <v>0.0</v>
      </c>
      <c r="E10237" s="3">
        <v>0.0</v>
      </c>
      <c r="F10237" s="3" t="s">
        <v>29168</v>
      </c>
      <c r="G10237" s="3">
        <v>0.0</v>
      </c>
      <c r="H10237" s="3">
        <v>0.0</v>
      </c>
      <c r="I10237" s="3" t="s">
        <v>13</v>
      </c>
      <c r="J10237" s="3" t="s">
        <v>29169</v>
      </c>
      <c r="K10237" s="3" t="s">
        <v>41</v>
      </c>
      <c r="L10237" s="3" t="str">
        <f>IFERROR(__xludf.DUMMYFUNCTION("GOOGLETRANSLATE(F10237,""id"",""en"")"),"Gapape Dah Argentina Champion Algeria Fucking in Defending France")</f>
        <v>Gapape Dah Argentina Champion Algeria Fucking in Defending France</v>
      </c>
    </row>
    <row r="10238" ht="15.75" customHeight="1">
      <c r="A10238" s="1">
        <v>11476.0</v>
      </c>
      <c r="B10238" s="3" t="s">
        <v>29170</v>
      </c>
      <c r="C10238" s="3">
        <v>1.0</v>
      </c>
      <c r="D10238" s="3">
        <v>0.0</v>
      </c>
      <c r="E10238" s="3">
        <v>1.0</v>
      </c>
      <c r="F10238" s="3" t="s">
        <v>29171</v>
      </c>
      <c r="G10238" s="3">
        <v>0.0</v>
      </c>
      <c r="H10238" s="3">
        <v>0.0</v>
      </c>
      <c r="I10238" s="3" t="s">
        <v>13</v>
      </c>
      <c r="J10238" s="3" t="s">
        <v>29172</v>
      </c>
      <c r="K10238" s="3" t="s">
        <v>71</v>
      </c>
      <c r="L10238" s="3" t="str">
        <f>IFERROR(__xludf.DUMMYFUNCTION("GOOGLETRANSLATE(F10238,""id"",""en"")"),"Slamat for Argentina's victory as the World Cup Qatar champion don't forget to massage so that the body is relaxed")</f>
        <v>Slamat for Argentina's victory as the World Cup Qatar champion don't forget to massage so that the body is relaxed</v>
      </c>
    </row>
    <row r="10239" ht="15.75" customHeight="1">
      <c r="A10239" s="1">
        <v>11477.0</v>
      </c>
      <c r="B10239" s="3" t="s">
        <v>29173</v>
      </c>
      <c r="C10239" s="3">
        <v>2.0</v>
      </c>
      <c r="D10239" s="3">
        <v>0.0</v>
      </c>
      <c r="E10239" s="3">
        <v>0.0</v>
      </c>
      <c r="F10239" s="3" t="s">
        <v>29174</v>
      </c>
      <c r="G10239" s="3">
        <v>0.0</v>
      </c>
      <c r="H10239" s="3">
        <v>0.0</v>
      </c>
      <c r="I10239" s="3" t="s">
        <v>13</v>
      </c>
      <c r="J10239" s="3" t="s">
        <v>29175</v>
      </c>
      <c r="K10239" s="3" t="s">
        <v>86</v>
      </c>
      <c r="L10239" s="3" t="str">
        <f>IFERROR(__xludf.DUMMYFUNCTION("GOOGLETRANSLATE(F10239,""id"",""en"")"),"Argentine coach Lionel Scaloni during the celebration of the World Cup champion last night he wore jersey he was when the Malaysian World Cup champion at that time Argentina Champion Shah Alam Stadium won against Uruguay the Argentina team also contained "&amp;"Riquelme Aimar Cambiasso et al")</f>
        <v>Argentine coach Lionel Scaloni during the celebration of the World Cup champion last night he wore jersey he was when the Malaysian World Cup champion at that time Argentina Champion Shah Alam Stadium won against Uruguay the Argentina team also contained Riquelme Aimar Cambiasso et al</v>
      </c>
    </row>
    <row r="10240" ht="15.75" customHeight="1">
      <c r="A10240" s="1">
        <v>11478.0</v>
      </c>
      <c r="B10240" s="3" t="s">
        <v>29176</v>
      </c>
      <c r="C10240" s="3">
        <v>0.0</v>
      </c>
      <c r="D10240" s="3">
        <v>0.0</v>
      </c>
      <c r="E10240" s="3">
        <v>0.0</v>
      </c>
      <c r="F10240" s="3" t="s">
        <v>29177</v>
      </c>
      <c r="G10240" s="3">
        <v>0.0</v>
      </c>
      <c r="H10240" s="3">
        <v>0.0</v>
      </c>
      <c r="I10240" s="3" t="s">
        <v>13</v>
      </c>
      <c r="J10240" s="3" t="s">
        <v>29178</v>
      </c>
      <c r="K10240" s="3" t="s">
        <v>54</v>
      </c>
      <c r="L10240" s="3" t="str">
        <f>IFERROR(__xludf.DUMMYFUNCTION("GOOGLETRANSLATE(F10240,""id"",""en"")"),"Winning the Argentine Penalty World Cup Champion")</f>
        <v>Winning the Argentine Penalty World Cup Champion</v>
      </c>
    </row>
    <row r="10241" ht="15.75" customHeight="1">
      <c r="A10241" s="1">
        <v>11479.0</v>
      </c>
      <c r="B10241" s="3" t="s">
        <v>29179</v>
      </c>
      <c r="C10241" s="3">
        <v>0.0</v>
      </c>
      <c r="D10241" s="3">
        <v>0.0</v>
      </c>
      <c r="E10241" s="3">
        <v>0.0</v>
      </c>
      <c r="F10241" s="3" t="s">
        <v>29180</v>
      </c>
      <c r="G10241" s="3">
        <v>0.0</v>
      </c>
      <c r="H10241" s="3">
        <v>0.0</v>
      </c>
      <c r="I10241" s="3" t="s">
        <v>13</v>
      </c>
      <c r="J10241" s="3" t="s">
        <v>29181</v>
      </c>
      <c r="K10241" s="3" t="s">
        <v>71</v>
      </c>
      <c r="L10241" s="3" t="str">
        <f>IFERROR(__xludf.DUMMYFUNCTION("GOOGLETRANSLATE(F10241,""id"",""en"")"),"Check out the brief profile of Lionel Messi PSG player who successfully won the World Cup champion with Argentina")</f>
        <v>Check out the brief profile of Lionel Messi PSG player who successfully won the World Cup champion with Argentina</v>
      </c>
    </row>
    <row r="10242" ht="15.75" customHeight="1">
      <c r="A10242" s="1">
        <v>11480.0</v>
      </c>
      <c r="B10242" s="3" t="s">
        <v>29182</v>
      </c>
      <c r="C10242" s="3">
        <v>0.0</v>
      </c>
      <c r="D10242" s="3">
        <v>2.0</v>
      </c>
      <c r="E10242" s="3">
        <v>9.0</v>
      </c>
      <c r="F10242" s="3" t="s">
        <v>20671</v>
      </c>
      <c r="G10242" s="3">
        <v>0.0</v>
      </c>
      <c r="H10242" s="3">
        <v>0.0</v>
      </c>
      <c r="I10242" s="3" t="s">
        <v>13</v>
      </c>
      <c r="J10242" s="3" t="s">
        <v>20672</v>
      </c>
      <c r="K10242" s="3" t="s">
        <v>495</v>
      </c>
      <c r="L10242" s="3" t="str">
        <f>IFERROR(__xludf.DUMMYFUNCTION("GOOGLETRANSLATE(F10242,""id"",""en"")"),"Argentina won the World Cup after defeating France through a penalty shootout, bring home up to hundreds of billions")</f>
        <v>Argentina won the World Cup after defeating France through a penalty shootout, bring home up to hundreds of billions</v>
      </c>
    </row>
    <row r="10243" ht="15.75" customHeight="1">
      <c r="A10243" s="1">
        <v>11481.0</v>
      </c>
      <c r="B10243" s="3" t="s">
        <v>29183</v>
      </c>
      <c r="C10243" s="3">
        <v>9.0</v>
      </c>
      <c r="D10243" s="3">
        <v>0.0</v>
      </c>
      <c r="E10243" s="3">
        <v>7.0</v>
      </c>
      <c r="F10243" s="3" t="s">
        <v>29184</v>
      </c>
      <c r="G10243" s="3">
        <v>0.0</v>
      </c>
      <c r="H10243" s="3">
        <v>0.0</v>
      </c>
      <c r="I10243" s="3" t="s">
        <v>13</v>
      </c>
      <c r="J10243" s="3" t="s">
        <v>29185</v>
      </c>
      <c r="K10243" s="3" t="s">
        <v>31</v>
      </c>
      <c r="L10243" s="3" t="str">
        <f>IFERROR(__xludf.DUMMYFUNCTION("GOOGLETRANSLATE(F10243,""id"",""en"")"),"Argentina Can Champion Because Wasite Paid")</f>
        <v>Argentina Can Champion Because Wasite Paid</v>
      </c>
    </row>
    <row r="10244" ht="15.75" customHeight="1">
      <c r="A10244" s="1">
        <v>11482.0</v>
      </c>
      <c r="B10244" s="3" t="s">
        <v>29186</v>
      </c>
      <c r="C10244" s="3">
        <v>1.0</v>
      </c>
      <c r="D10244" s="3">
        <v>0.0</v>
      </c>
      <c r="E10244" s="3">
        <v>1.0</v>
      </c>
      <c r="F10244" s="3" t="s">
        <v>29187</v>
      </c>
      <c r="G10244" s="3">
        <v>0.0</v>
      </c>
      <c r="H10244" s="3">
        <v>0.0</v>
      </c>
      <c r="I10244" s="3" t="s">
        <v>13</v>
      </c>
      <c r="J10244" s="3" t="s">
        <v>29188</v>
      </c>
      <c r="K10244" s="3" t="s">
        <v>41</v>
      </c>
      <c r="L10244" s="3" t="str">
        <f>IFERROR(__xludf.DUMMYFUNCTION("GOOGLETRANSLATE(F10244,""id"",""en"")"),"The positive side of Argentina is a championship around Saparua while naked")</f>
        <v>The positive side of Argentina is a championship around Saparua while naked</v>
      </c>
    </row>
    <row r="10245" ht="15.75" customHeight="1">
      <c r="A10245" s="1">
        <v>11483.0</v>
      </c>
      <c r="B10245" s="3" t="s">
        <v>29189</v>
      </c>
      <c r="C10245" s="3">
        <v>0.0</v>
      </c>
      <c r="D10245" s="3">
        <v>0.0</v>
      </c>
      <c r="E10245" s="3">
        <v>0.0</v>
      </c>
      <c r="F10245" s="3" t="s">
        <v>29190</v>
      </c>
      <c r="G10245" s="3">
        <v>0.0</v>
      </c>
      <c r="H10245" s="3">
        <v>0.0</v>
      </c>
      <c r="I10245" s="3" t="s">
        <v>13</v>
      </c>
      <c r="J10245" s="3" t="s">
        <v>29191</v>
      </c>
      <c r="K10245" s="3" t="s">
        <v>15</v>
      </c>
      <c r="L10245" s="3" t="str">
        <f>IFERROR(__xludf.DUMMYFUNCTION("GOOGLETRANSLATE(F10245,""id"",""en"")"),"Argentina Champion World Cup Messi Records Great History")</f>
        <v>Argentina Champion World Cup Messi Records Great History</v>
      </c>
    </row>
    <row r="10246" ht="15.75" customHeight="1">
      <c r="A10246" s="1">
        <v>11484.0</v>
      </c>
      <c r="B10246" s="3" t="s">
        <v>29192</v>
      </c>
      <c r="C10246" s="3">
        <v>0.0</v>
      </c>
      <c r="D10246" s="3">
        <v>0.0</v>
      </c>
      <c r="E10246" s="3">
        <v>0.0</v>
      </c>
      <c r="F10246" s="3" t="s">
        <v>29193</v>
      </c>
      <c r="G10246" s="3">
        <v>0.3333333333333333</v>
      </c>
      <c r="H10246" s="3">
        <v>0.1666666666666667</v>
      </c>
      <c r="I10246" s="3" t="s">
        <v>48</v>
      </c>
      <c r="J10246" s="3" t="s">
        <v>29194</v>
      </c>
      <c r="K10246" s="3" t="s">
        <v>27</v>
      </c>
      <c r="L10246" s="3" t="str">
        <f>IFERROR(__xludf.DUMMYFUNCTION("GOOGLETRANSLATE(F10246,""id"",""en"")"),"Supposing players like Messi Dimaria Emi Enzo etc. If Songong is okay they have brought Argentina champion elu, just cheerleaders but the songong is too much more than the players who play in the shame")</f>
        <v>Supposing players like Messi Dimaria Emi Enzo etc. If Songong is okay they have brought Argentina champion elu, just cheerleaders but the songong is too much more than the players who play in the shame</v>
      </c>
    </row>
    <row r="10247" ht="15.75" customHeight="1">
      <c r="A10247" s="1">
        <v>11485.0</v>
      </c>
      <c r="B10247" s="3" t="s">
        <v>29195</v>
      </c>
      <c r="C10247" s="3">
        <v>0.0</v>
      </c>
      <c r="D10247" s="3">
        <v>0.0</v>
      </c>
      <c r="E10247" s="3">
        <v>0.0</v>
      </c>
      <c r="F10247" s="3" t="s">
        <v>29196</v>
      </c>
      <c r="G10247" s="3">
        <v>0.0</v>
      </c>
      <c r="H10247" s="3">
        <v>0.0</v>
      </c>
      <c r="I10247" s="3" t="s">
        <v>13</v>
      </c>
      <c r="J10247" s="3" t="s">
        <v>25457</v>
      </c>
      <c r="K10247" s="3" t="s">
        <v>41</v>
      </c>
      <c r="L10247" s="3" t="str">
        <f>IFERROR(__xludf.DUMMYFUNCTION("GOOGLETRANSLATE(F10247,""id"",""en"")"),"Argentina Champion World Cup Defeated France through Penalties")</f>
        <v>Argentina Champion World Cup Defeated France through Penalties</v>
      </c>
    </row>
    <row r="10248" ht="15.75" customHeight="1">
      <c r="A10248" s="1">
        <v>11486.0</v>
      </c>
      <c r="B10248" s="3" t="s">
        <v>29197</v>
      </c>
      <c r="C10248" s="3">
        <v>0.0</v>
      </c>
      <c r="D10248" s="3">
        <v>0.0</v>
      </c>
      <c r="E10248" s="3">
        <v>0.0</v>
      </c>
      <c r="F10248" s="3" t="s">
        <v>29198</v>
      </c>
      <c r="G10248" s="3">
        <v>0.0</v>
      </c>
      <c r="H10248" s="3">
        <v>0.0</v>
      </c>
      <c r="I10248" s="3" t="s">
        <v>13</v>
      </c>
      <c r="J10248" s="3" t="s">
        <v>29199</v>
      </c>
      <c r="K10248" s="3" t="s">
        <v>41</v>
      </c>
      <c r="L10248" s="3" t="str">
        <f>IFERROR(__xludf.DUMMYFUNCTION("GOOGLETRANSLATE(F10248,""id"",""en"")"),"Racing hehehe the important thing Argentina is the champion thank you Emtek Group")</f>
        <v>Racing hehehe the important thing Argentina is the champion thank you Emtek Group</v>
      </c>
    </row>
    <row r="10249" ht="15.75" customHeight="1">
      <c r="A10249" s="1">
        <v>11487.0</v>
      </c>
      <c r="B10249" s="3" t="s">
        <v>29200</v>
      </c>
      <c r="C10249" s="3">
        <v>0.0</v>
      </c>
      <c r="D10249" s="3">
        <v>10.0</v>
      </c>
      <c r="E10249" s="3">
        <v>25.0</v>
      </c>
      <c r="F10249" s="3" t="s">
        <v>29201</v>
      </c>
      <c r="G10249" s="3">
        <v>1.0</v>
      </c>
      <c r="H10249" s="3">
        <v>1.0</v>
      </c>
      <c r="I10249" s="3" t="s">
        <v>48</v>
      </c>
      <c r="J10249" s="3" t="s">
        <v>29202</v>
      </c>
      <c r="K10249" s="3" t="s">
        <v>499</v>
      </c>
      <c r="L10249" s="3" t="str">
        <f>IFERROR(__xludf.DUMMYFUNCTION("GOOGLETRANSLATE(F10249,""id"",""en"")"),"Lionel Messi brought Argentina to the World Cup champion and hold the Greatest All Time Disease Growth Hormone Disorder GHD Tak Jad's Disorder Disease")</f>
        <v>Lionel Messi brought Argentina to the World Cup champion and hold the Greatest All Time Disease Growth Hormone Disorder GHD Tak Jad's Disorder Disease</v>
      </c>
    </row>
    <row r="10250" ht="15.75" customHeight="1">
      <c r="A10250" s="1">
        <v>11488.0</v>
      </c>
      <c r="B10250" s="3" t="s">
        <v>29203</v>
      </c>
      <c r="C10250" s="3">
        <v>0.0</v>
      </c>
      <c r="D10250" s="3">
        <v>0.0</v>
      </c>
      <c r="E10250" s="3">
        <v>0.0</v>
      </c>
      <c r="F10250" s="3" t="s">
        <v>29204</v>
      </c>
      <c r="G10250" s="3">
        <v>0.0</v>
      </c>
      <c r="H10250" s="3">
        <v>0.0</v>
      </c>
      <c r="I10250" s="3" t="s">
        <v>13</v>
      </c>
      <c r="J10250" s="3" t="s">
        <v>29205</v>
      </c>
      <c r="K10250" s="3" t="s">
        <v>236</v>
      </c>
      <c r="L10250" s="3" t="str">
        <f>IFERROR(__xludf.DUMMYFUNCTION("GOOGLETRANSLATE(F10250,""id"",""en"")"),"Croatia won the third winner of Argentina's strong marker champion for the World Cup")</f>
        <v>Croatia won the third winner of Argentina's strong marker champion for the World Cup</v>
      </c>
    </row>
    <row r="10251" ht="15.75" customHeight="1">
      <c r="A10251" s="1">
        <v>11489.0</v>
      </c>
      <c r="B10251" s="3" t="s">
        <v>29206</v>
      </c>
      <c r="C10251" s="3">
        <v>0.0</v>
      </c>
      <c r="D10251" s="3">
        <v>0.0</v>
      </c>
      <c r="E10251" s="3">
        <v>0.0</v>
      </c>
      <c r="F10251" s="3" t="s">
        <v>29207</v>
      </c>
      <c r="G10251" s="3">
        <v>0.0</v>
      </c>
      <c r="H10251" s="3">
        <v>0.0</v>
      </c>
      <c r="I10251" s="3" t="s">
        <v>13</v>
      </c>
      <c r="J10251" s="3" t="s">
        <v>29208</v>
      </c>
      <c r="K10251" s="3" t="s">
        <v>1265</v>
      </c>
      <c r="L10251" s="3" t="str">
        <f>IFERROR(__xludf.DUMMYFUNCTION("GOOGLETRANSLATE(F10251,""id"",""en"")"),"Argentina World Champion Susanti announced for retirement from the world of cartoon thank you Susanti")</f>
        <v>Argentina World Champion Susanti announced for retirement from the world of cartoon thank you Susanti</v>
      </c>
    </row>
    <row r="10252" ht="15.75" customHeight="1">
      <c r="A10252" s="1">
        <v>11490.0</v>
      </c>
      <c r="B10252" s="3" t="s">
        <v>29209</v>
      </c>
      <c r="C10252" s="3">
        <v>0.0</v>
      </c>
      <c r="D10252" s="3">
        <v>0.0</v>
      </c>
      <c r="E10252" s="3">
        <v>0.0</v>
      </c>
      <c r="F10252" s="3" t="s">
        <v>29210</v>
      </c>
      <c r="G10252" s="3">
        <v>0.0</v>
      </c>
      <c r="H10252" s="3">
        <v>0.0</v>
      </c>
      <c r="I10252" s="3" t="s">
        <v>13</v>
      </c>
      <c r="J10252" s="3" t="s">
        <v>29211</v>
      </c>
      <c r="K10252" s="3" t="s">
        <v>123</v>
      </c>
      <c r="L10252" s="3" t="str">
        <f>IFERROR(__xludf.DUMMYFUNCTION("GOOGLETRANSLATE(F10252,""id"",""en"")"),"Aneee semetimmm dongg and jonginnnn Iyadonggg Argentinaaaa Famoss Famossss I stopped gamon udhhh bebbbbb")</f>
        <v>Aneee semetimmm dongg and jonginnnn Iyadonggg Argentinaaaa Famoss Famossss I stopped gamon udhhh bebbbbb</v>
      </c>
    </row>
    <row r="10253" ht="15.75" customHeight="1">
      <c r="A10253" s="1">
        <v>11491.0</v>
      </c>
      <c r="B10253" s="3" t="s">
        <v>29212</v>
      </c>
      <c r="C10253" s="3">
        <v>0.0</v>
      </c>
      <c r="D10253" s="3">
        <v>0.0</v>
      </c>
      <c r="E10253" s="3">
        <v>0.0</v>
      </c>
      <c r="F10253" s="3" t="s">
        <v>29213</v>
      </c>
      <c r="G10253" s="3">
        <v>0.0</v>
      </c>
      <c r="H10253" s="3">
        <v>0.0</v>
      </c>
      <c r="I10253" s="3" t="s">
        <v>13</v>
      </c>
      <c r="J10253" s="3" t="s">
        <v>29214</v>
      </c>
      <c r="K10253" s="3" t="s">
        <v>41</v>
      </c>
      <c r="L10253" s="3" t="str">
        <f>IFERROR(__xludf.DUMMYFUNCTION("GOOGLETRANSLATE(F10253,""id"",""en"")"),"Congratulations to Argentina as champion pildun so who goat really guys")</f>
        <v>Congratulations to Argentina as champion pildun so who goat really guys</v>
      </c>
    </row>
    <row r="10254" ht="15.75" customHeight="1">
      <c r="A10254" s="1">
        <v>11492.0</v>
      </c>
      <c r="B10254" s="3" t="s">
        <v>29215</v>
      </c>
      <c r="C10254" s="3">
        <v>0.0</v>
      </c>
      <c r="D10254" s="3">
        <v>0.0</v>
      </c>
      <c r="E10254" s="3">
        <v>1.0</v>
      </c>
      <c r="F10254" s="3" t="s">
        <v>29216</v>
      </c>
      <c r="G10254" s="3">
        <v>0.06666666666666667</v>
      </c>
      <c r="H10254" s="3">
        <v>0.0</v>
      </c>
      <c r="I10254" s="3" t="s">
        <v>13</v>
      </c>
      <c r="J10254" s="3" t="s">
        <v>29217</v>
      </c>
      <c r="K10254" s="3" t="s">
        <v>1628</v>
      </c>
      <c r="L10254" s="3" t="str">
        <f>IFERROR(__xludf.DUMMYFUNCTION("GOOGLETRANSLATE(F10254,""id"",""en"")"),"And finally lift his hat to Lionel Messi happy Argentina won but again sad because this is last dance for Messi, thank you very much for his struggle with Argentina Argentina World Champion")</f>
        <v>And finally lift his hat to Lionel Messi happy Argentina won but again sad because this is last dance for Messi, thank you very much for his struggle with Argentina Argentina World Champion</v>
      </c>
    </row>
    <row r="10255" ht="15.75" customHeight="1">
      <c r="A10255" s="1">
        <v>11493.0</v>
      </c>
      <c r="B10255" s="3" t="s">
        <v>29218</v>
      </c>
      <c r="C10255" s="3">
        <v>0.0</v>
      </c>
      <c r="D10255" s="3">
        <v>1.0</v>
      </c>
      <c r="E10255" s="3">
        <v>1.0</v>
      </c>
      <c r="F10255" s="3" t="s">
        <v>29219</v>
      </c>
      <c r="G10255" s="3">
        <v>1.0</v>
      </c>
      <c r="H10255" s="3">
        <v>0.0</v>
      </c>
      <c r="I10255" s="3" t="s">
        <v>13</v>
      </c>
      <c r="J10255" s="3" t="s">
        <v>29220</v>
      </c>
      <c r="K10255" s="3" t="s">
        <v>1970</v>
      </c>
      <c r="L10255" s="3" t="str">
        <f>IFERROR(__xludf.DUMMYFUNCTION("GOOGLETRANSLATE(F10255,""id"",""en"")"),"Argentine national team wags are compact gathering green fields after becoming the final world cup champion held Sunday there is a wife and lover of Argentine players who are compact together")</f>
        <v>Argentine national team wags are compact gathering green fields after becoming the final world cup champion held Sunday there is a wife and lover of Argentine players who are compact together</v>
      </c>
    </row>
    <row r="10256" ht="15.75" customHeight="1">
      <c r="A10256" s="1">
        <v>11494.0</v>
      </c>
      <c r="B10256" s="3" t="s">
        <v>29221</v>
      </c>
      <c r="C10256" s="3">
        <v>0.0</v>
      </c>
      <c r="D10256" s="3">
        <v>0.0</v>
      </c>
      <c r="E10256" s="3">
        <v>0.0</v>
      </c>
      <c r="F10256" s="3" t="s">
        <v>29222</v>
      </c>
      <c r="G10256" s="3">
        <v>0.0</v>
      </c>
      <c r="H10256" s="3">
        <v>0.0</v>
      </c>
      <c r="I10256" s="3" t="s">
        <v>13</v>
      </c>
      <c r="J10256" s="3" t="s">
        <v>29223</v>
      </c>
      <c r="K10256" s="3" t="s">
        <v>41</v>
      </c>
      <c r="L10256" s="3" t="str">
        <f>IFERROR(__xludf.DUMMYFUNCTION("GOOGLETRANSLATE(F10256,""id"",""en"")"),"Messi gave Argentina's final offerings of the World Cup championship")</f>
        <v>Messi gave Argentina's final offerings of the World Cup championship</v>
      </c>
    </row>
    <row r="10257" ht="15.75" customHeight="1">
      <c r="A10257" s="1">
        <v>11495.0</v>
      </c>
      <c r="B10257" s="3" t="s">
        <v>29224</v>
      </c>
      <c r="C10257" s="3">
        <v>0.0</v>
      </c>
      <c r="D10257" s="3">
        <v>0.0</v>
      </c>
      <c r="E10257" s="3">
        <v>0.0</v>
      </c>
      <c r="F10257" s="3" t="s">
        <v>29225</v>
      </c>
      <c r="G10257" s="3">
        <v>0.0</v>
      </c>
      <c r="H10257" s="3">
        <v>0.0</v>
      </c>
      <c r="I10257" s="3" t="s">
        <v>13</v>
      </c>
      <c r="J10257" s="3" t="s">
        <v>29226</v>
      </c>
      <c r="K10257" s="3" t="s">
        <v>15</v>
      </c>
      <c r="L10257" s="3" t="str">
        <f>IFERROR(__xludf.DUMMYFUNCTION("GOOGLETRANSLATE(F10257,""id"",""en"")"),"The era of Mr. Jokowi Argentina World Champion Fix Debate")</f>
        <v>The era of Mr. Jokowi Argentina World Champion Fix Debate</v>
      </c>
    </row>
    <row r="10258" ht="15.75" customHeight="1">
      <c r="A10258" s="1">
        <v>11496.0</v>
      </c>
      <c r="B10258" s="3" t="s">
        <v>29227</v>
      </c>
      <c r="C10258" s="3">
        <v>3.0</v>
      </c>
      <c r="D10258" s="3">
        <v>1.0</v>
      </c>
      <c r="E10258" s="3">
        <v>14.0</v>
      </c>
      <c r="F10258" s="3" t="s">
        <v>29228</v>
      </c>
      <c r="G10258" s="3">
        <v>0.0</v>
      </c>
      <c r="H10258" s="3">
        <v>0.0</v>
      </c>
      <c r="I10258" s="3" t="s">
        <v>13</v>
      </c>
      <c r="J10258" s="3" t="s">
        <v>29229</v>
      </c>
      <c r="K10258" s="3" t="s">
        <v>695</v>
      </c>
      <c r="L10258" s="3" t="str">
        <f>IFERROR(__xludf.DUMMYFUNCTION("GOOGLETRANSLATE(F10258,""id"",""en"")"),"Even though Argentina wins to see the match last night so I know more about France.")</f>
        <v>Even though Argentina wins to see the match last night so I know more about France.</v>
      </c>
    </row>
    <row r="10259" ht="15.75" customHeight="1">
      <c r="A10259" s="1">
        <v>11497.0</v>
      </c>
      <c r="B10259" s="3" t="s">
        <v>29230</v>
      </c>
      <c r="C10259" s="3">
        <v>0.0</v>
      </c>
      <c r="D10259" s="3">
        <v>0.0</v>
      </c>
      <c r="E10259" s="3">
        <v>1.0</v>
      </c>
      <c r="F10259" s="3" t="s">
        <v>29231</v>
      </c>
      <c r="G10259" s="3">
        <v>0.0</v>
      </c>
      <c r="H10259" s="3">
        <v>0.0</v>
      </c>
      <c r="I10259" s="3" t="s">
        <v>13</v>
      </c>
      <c r="J10259" s="3" t="s">
        <v>29232</v>
      </c>
      <c r="K10259" s="3" t="s">
        <v>149</v>
      </c>
      <c r="L10259" s="3" t="str">
        <f>IFERROR(__xludf.DUMMYFUNCTION("GOOGLETRANSLATE(F10259,""id"",""en"")"),"It is wrong to dick if you have such a stupid thought then see the fact that Argentina is in fact with Messi to win and then assume Messi is more powerful")</f>
        <v>It is wrong to dick if you have such a stupid thought then see the fact that Argentina is in fact with Messi to win and then assume Messi is more powerful</v>
      </c>
    </row>
    <row r="10260" ht="15.75" customHeight="1">
      <c r="A10260" s="1">
        <v>11498.0</v>
      </c>
      <c r="B10260" s="3" t="s">
        <v>29233</v>
      </c>
      <c r="C10260" s="3">
        <v>2.0</v>
      </c>
      <c r="D10260" s="3">
        <v>2.0</v>
      </c>
      <c r="E10260" s="3">
        <v>7.0</v>
      </c>
      <c r="F10260" s="3" t="s">
        <v>29234</v>
      </c>
      <c r="G10260" s="3">
        <v>0.0</v>
      </c>
      <c r="H10260" s="3">
        <v>0.0</v>
      </c>
      <c r="I10260" s="3" t="s">
        <v>13</v>
      </c>
      <c r="J10260" s="3" t="s">
        <v>29235</v>
      </c>
      <c r="K10260" s="3" t="s">
        <v>1518</v>
      </c>
      <c r="L10260" s="3" t="str">
        <f>IFERROR(__xludf.DUMMYFUNCTION("GOOGLETRANSLATE(F10260,""id"",""en"")"),"No need to be confused anymore to determine who is a better player between Cristiano Ronaldo and Lionel Messi the question is easily answered now after the Argentine national team won the World Cup championship")</f>
        <v>No need to be confused anymore to determine who is a better player between Cristiano Ronaldo and Lionel Messi the question is easily answered now after the Argentine national team won the World Cup championship</v>
      </c>
    </row>
    <row r="10261" ht="15.75" customHeight="1">
      <c r="A10261" s="1">
        <v>11499.0</v>
      </c>
      <c r="B10261" s="3" t="s">
        <v>29236</v>
      </c>
      <c r="C10261" s="3">
        <v>0.0</v>
      </c>
      <c r="D10261" s="3">
        <v>0.0</v>
      </c>
      <c r="E10261" s="3">
        <v>0.0</v>
      </c>
      <c r="F10261" s="3" t="s">
        <v>29237</v>
      </c>
      <c r="G10261" s="3">
        <v>0.0</v>
      </c>
      <c r="H10261" s="3">
        <v>0.0</v>
      </c>
      <c r="I10261" s="3" t="s">
        <v>13</v>
      </c>
      <c r="J10261" s="3" t="s">
        <v>29238</v>
      </c>
      <c r="K10261" s="3" t="s">
        <v>82</v>
      </c>
      <c r="L10261" s="3" t="str">
        <f>IFERROR(__xludf.DUMMYFUNCTION("GOOGLETRANSLATE(F10261,""id"",""en"")"),"I was so happy that Argentina was forgotten to open COC")</f>
        <v>I was so happy that Argentina was forgotten to open COC</v>
      </c>
    </row>
    <row r="10262" ht="15.75" customHeight="1">
      <c r="A10262" s="1">
        <v>11500.0</v>
      </c>
      <c r="B10262" s="3" t="s">
        <v>29239</v>
      </c>
      <c r="C10262" s="3">
        <v>0.0</v>
      </c>
      <c r="D10262" s="3">
        <v>0.0</v>
      </c>
      <c r="E10262" s="3">
        <v>0.0</v>
      </c>
      <c r="F10262" s="3" t="s">
        <v>29240</v>
      </c>
      <c r="G10262" s="3">
        <v>0.0</v>
      </c>
      <c r="H10262" s="3">
        <v>0.0</v>
      </c>
      <c r="I10262" s="3" t="s">
        <v>13</v>
      </c>
      <c r="J10262" s="3" t="s">
        <v>29241</v>
      </c>
      <c r="K10262" s="3" t="s">
        <v>3401</v>
      </c>
      <c r="L10262" s="3" t="str">
        <f>IFERROR(__xludf.DUMMYFUNCTION("GOOGLETRANSLATE(F10262,""id"",""en"")"),"Funny News When Argentina Lose Arabic Phase of Group Eliminating at that time Argentina lost Kadrun because Arabic Arabic MLM Argentina MMBUKTICN MRK Champion Arab World Cup Not Lols Putar")</f>
        <v>Funny News When Argentina Lose Arabic Phase of Group Eliminating at that time Argentina lost Kadrun because Arabic Arabic MLM Argentina MMBUKTICN MRK Champion Arab World Cup Not Lols Putar</v>
      </c>
    </row>
    <row r="10263" ht="15.75" customHeight="1">
      <c r="A10263" s="1">
        <v>11501.0</v>
      </c>
      <c r="B10263" s="3" t="s">
        <v>29242</v>
      </c>
      <c r="C10263" s="3">
        <v>0.0</v>
      </c>
      <c r="D10263" s="3">
        <v>0.0</v>
      </c>
      <c r="E10263" s="3">
        <v>0.0</v>
      </c>
      <c r="F10263" s="3" t="s">
        <v>29243</v>
      </c>
      <c r="G10263" s="3">
        <v>0.0</v>
      </c>
      <c r="H10263" s="3">
        <v>0.0</v>
      </c>
      <c r="I10263" s="3" t="s">
        <v>13</v>
      </c>
      <c r="J10263" s="3" t="s">
        <v>29244</v>
      </c>
      <c r="K10263" s="3" t="s">
        <v>54</v>
      </c>
      <c r="L10263" s="3" t="str">
        <f>IFERROR(__xludf.DUMMYFUNCTION("GOOGLETRANSLATE(F10263,""id"",""en"")"),"albiceleste is okay, min, the important thing is Argentina champions")</f>
        <v>albiceleste is okay, min, the important thing is Argentina champions</v>
      </c>
    </row>
    <row r="10264" ht="15.75" customHeight="1">
      <c r="A10264" s="1">
        <v>11502.0</v>
      </c>
      <c r="B10264" s="3" t="s">
        <v>29245</v>
      </c>
      <c r="C10264" s="3">
        <v>0.0</v>
      </c>
      <c r="D10264" s="3">
        <v>0.0</v>
      </c>
      <c r="E10264" s="3">
        <v>0.0</v>
      </c>
      <c r="F10264" s="3" t="s">
        <v>29246</v>
      </c>
      <c r="G10264" s="3">
        <v>0.0</v>
      </c>
      <c r="H10264" s="3">
        <v>0.0</v>
      </c>
      <c r="I10264" s="3" t="s">
        <v>13</v>
      </c>
      <c r="J10264" s="3" t="s">
        <v>29247</v>
      </c>
      <c r="K10264" s="3" t="s">
        <v>1335</v>
      </c>
      <c r="L10264" s="3" t="str">
        <f>IFERROR(__xludf.DUMMYFUNCTION("GOOGLETRANSLATE(F10264,""id"",""en"")"),"Argentina champions because I was supported by my Javanese friends")</f>
        <v>Argentina champions because I was supported by my Javanese friends</v>
      </c>
    </row>
    <row r="10265" ht="15.75" customHeight="1">
      <c r="A10265" s="1">
        <v>11503.0</v>
      </c>
      <c r="B10265" s="3" t="s">
        <v>29248</v>
      </c>
      <c r="C10265" s="3">
        <v>20.0</v>
      </c>
      <c r="D10265" s="3">
        <v>13.0</v>
      </c>
      <c r="E10265" s="3">
        <v>136.0</v>
      </c>
      <c r="F10265" s="3" t="s">
        <v>29249</v>
      </c>
      <c r="G10265" s="3">
        <v>0.0</v>
      </c>
      <c r="H10265" s="3">
        <v>0.0</v>
      </c>
      <c r="I10265" s="3" t="s">
        <v>13</v>
      </c>
      <c r="J10265" s="3" t="s">
        <v>29250</v>
      </c>
      <c r="K10265" s="3" t="s">
        <v>1465</v>
      </c>
      <c r="L10265" s="3" t="str">
        <f>IFERROR(__xludf.DUMMYFUNCTION("GOOGLETRANSLATE(F10265,""id"",""en"")"),"Muchachos Thank you very much for the attention of our accounts, your extraordinary account since last night Tab Mention broke down even until often the error didn't want to go out, sorry I could not reply to one by one Argentina already champions Muchach"&amp;"os world champion world champion")</f>
        <v>Muchachos Thank you very much for the attention of our accounts, your extraordinary account since last night Tab Mention broke down even until often the error didn't want to go out, sorry I could not reply to one by one Argentina already champions Muchachos world champion world champion</v>
      </c>
    </row>
    <row r="10266" ht="15.75" customHeight="1">
      <c r="A10266" s="1">
        <v>11504.0</v>
      </c>
      <c r="B10266" s="3" t="s">
        <v>29251</v>
      </c>
      <c r="C10266" s="3">
        <v>0.0</v>
      </c>
      <c r="D10266" s="3">
        <v>0.0</v>
      </c>
      <c r="E10266" s="3">
        <v>0.0</v>
      </c>
      <c r="F10266" s="3" t="s">
        <v>29252</v>
      </c>
      <c r="G10266" s="3">
        <v>0.0</v>
      </c>
      <c r="H10266" s="3">
        <v>0.0</v>
      </c>
      <c r="I10266" s="3" t="s">
        <v>13</v>
      </c>
      <c r="J10266" s="3" t="s">
        <v>29253</v>
      </c>
      <c r="K10266" s="3" t="s">
        <v>41</v>
      </c>
      <c r="L10266" s="3" t="str">
        <f>IFERROR(__xludf.DUMMYFUNCTION("GOOGLETRANSLATE(F10266,""id"",""en"")"),"Messi created a new record after Argentina became a world champion")</f>
        <v>Messi created a new record after Argentina became a world champion</v>
      </c>
    </row>
    <row r="10267" ht="15.75" customHeight="1">
      <c r="A10267" s="1">
        <v>11505.0</v>
      </c>
      <c r="B10267" s="3" t="s">
        <v>29254</v>
      </c>
      <c r="C10267" s="3">
        <v>0.0</v>
      </c>
      <c r="D10267" s="3">
        <v>2.0</v>
      </c>
      <c r="E10267" s="3">
        <v>3.0</v>
      </c>
      <c r="F10267" s="3" t="s">
        <v>29255</v>
      </c>
      <c r="G10267" s="3">
        <v>0.0</v>
      </c>
      <c r="H10267" s="3">
        <v>0.0</v>
      </c>
      <c r="I10267" s="3" t="s">
        <v>13</v>
      </c>
      <c r="J10267" s="3" t="s">
        <v>29256</v>
      </c>
      <c r="K10267" s="3" t="s">
        <v>50</v>
      </c>
      <c r="L10267" s="3" t="str">
        <f>IFERROR(__xludf.DUMMYFUNCTION("GOOGLETRANSLATE(F10267,""id"",""en"")"),"Argentina and Lionel Messi's record after the World Cup Champion Read more here")</f>
        <v>Argentina and Lionel Messi's record after the World Cup Champion Read more here</v>
      </c>
    </row>
    <row r="10268" ht="15.75" customHeight="1">
      <c r="A10268" s="1">
        <v>11506.0</v>
      </c>
      <c r="B10268" s="3" t="s">
        <v>29257</v>
      </c>
      <c r="C10268" s="3">
        <v>3.0</v>
      </c>
      <c r="D10268" s="3">
        <v>0.0</v>
      </c>
      <c r="E10268" s="3">
        <v>0.0</v>
      </c>
      <c r="F10268" s="3" t="s">
        <v>29258</v>
      </c>
      <c r="G10268" s="3">
        <v>0.0</v>
      </c>
      <c r="H10268" s="3">
        <v>0.0</v>
      </c>
      <c r="I10268" s="3" t="s">
        <v>13</v>
      </c>
      <c r="J10268" s="3" t="s">
        <v>29259</v>
      </c>
      <c r="K10268" s="3" t="s">
        <v>54</v>
      </c>
      <c r="L10268" s="3" t="str">
        <f>IFERROR(__xludf.DUMMYFUNCTION("GOOGLETRANSLATE(F10268,""id"",""en"")"),"Celebrate Argentina Champion with Light Blue Grobak")</f>
        <v>Celebrate Argentina Champion with Light Blue Grobak</v>
      </c>
    </row>
    <row r="10269" ht="15.75" customHeight="1">
      <c r="A10269" s="1">
        <v>11507.0</v>
      </c>
      <c r="B10269" s="3" t="s">
        <v>29260</v>
      </c>
      <c r="C10269" s="3">
        <v>0.0</v>
      </c>
      <c r="D10269" s="3">
        <v>0.0</v>
      </c>
      <c r="E10269" s="3">
        <v>0.0</v>
      </c>
      <c r="F10269" s="3" t="s">
        <v>29261</v>
      </c>
      <c r="G10269" s="3">
        <v>0.0</v>
      </c>
      <c r="H10269" s="3">
        <v>0.0</v>
      </c>
      <c r="I10269" s="3" t="s">
        <v>13</v>
      </c>
      <c r="J10269" s="3" t="s">
        <v>29262</v>
      </c>
      <c r="K10269" s="3" t="s">
        <v>54</v>
      </c>
      <c r="L10269" s="3" t="str">
        <f>IFERROR(__xludf.DUMMYFUNCTION("GOOGLETRANSLATE(F10269,""id"",""en"")"),"Still believe that Messi and Argentina are the World Cup champions")</f>
        <v>Still believe that Messi and Argentina are the World Cup champions</v>
      </c>
    </row>
    <row r="10270" ht="15.75" customHeight="1">
      <c r="A10270" s="1">
        <v>11508.0</v>
      </c>
      <c r="B10270" s="3" t="s">
        <v>29263</v>
      </c>
      <c r="C10270" s="3">
        <v>0.0</v>
      </c>
      <c r="D10270" s="3">
        <v>0.0</v>
      </c>
      <c r="E10270" s="3">
        <v>0.0</v>
      </c>
      <c r="F10270" s="3" t="s">
        <v>29264</v>
      </c>
      <c r="G10270" s="3">
        <v>0.0</v>
      </c>
      <c r="H10270" s="3">
        <v>0.0</v>
      </c>
      <c r="I10270" s="3" t="s">
        <v>13</v>
      </c>
      <c r="J10270" s="3" t="s">
        <v>29265</v>
      </c>
      <c r="K10270" s="3" t="s">
        <v>41</v>
      </c>
      <c r="L10270" s="3" t="str">
        <f>IFERROR(__xludf.DUMMYFUNCTION("GOOGLETRANSLATE(F10270,""id"",""en"")"),"Argentine supporters partying after Messi DKK won the World Cup passing")</f>
        <v>Argentine supporters partying after Messi DKK won the World Cup passing</v>
      </c>
    </row>
    <row r="10271" ht="15.75" customHeight="1">
      <c r="A10271" s="1">
        <v>11509.0</v>
      </c>
      <c r="B10271" s="3" t="s">
        <v>29266</v>
      </c>
      <c r="C10271" s="3">
        <v>0.0</v>
      </c>
      <c r="D10271" s="3">
        <v>0.0</v>
      </c>
      <c r="E10271" s="3">
        <v>0.0</v>
      </c>
      <c r="F10271" s="3" t="s">
        <v>28702</v>
      </c>
      <c r="G10271" s="3">
        <v>0.0</v>
      </c>
      <c r="H10271" s="3">
        <v>0.0</v>
      </c>
      <c r="I10271" s="3" t="s">
        <v>13</v>
      </c>
      <c r="J10271" s="3" t="s">
        <v>28703</v>
      </c>
      <c r="K10271" s="3" t="s">
        <v>75</v>
      </c>
      <c r="L10271" s="3" t="str">
        <f>IFERROR(__xludf.DUMMYFUNCTION("GOOGLETRANSLATE(F10271,""id"",""en"")"),"win the Argentina national team world cup champion getting a trophy in a row")</f>
        <v>win the Argentina national team world cup champion getting a trophy in a row</v>
      </c>
    </row>
    <row r="10272" ht="15.75" customHeight="1">
      <c r="A10272" s="1">
        <v>11510.0</v>
      </c>
      <c r="B10272" s="3" t="s">
        <v>29267</v>
      </c>
      <c r="C10272" s="3">
        <v>0.0</v>
      </c>
      <c r="D10272" s="3">
        <v>0.0</v>
      </c>
      <c r="E10272" s="3">
        <v>0.0</v>
      </c>
      <c r="F10272" s="3" t="s">
        <v>29268</v>
      </c>
      <c r="G10272" s="3">
        <v>0.0</v>
      </c>
      <c r="H10272" s="3">
        <v>0.0</v>
      </c>
      <c r="I10272" s="3" t="s">
        <v>13</v>
      </c>
      <c r="J10272" s="3" t="s">
        <v>29269</v>
      </c>
      <c r="K10272" s="3" t="s">
        <v>50</v>
      </c>
      <c r="L10272" s="3" t="str">
        <f>IFERROR(__xludf.DUMMYFUNCTION("GOOGLETRANSLATE(F10272,""id"",""en"")"),"Argentina Champion World Cup Instagram account Messi was invaded")</f>
        <v>Argentina Champion World Cup Instagram account Messi was invaded</v>
      </c>
    </row>
    <row r="10273" ht="15.75" customHeight="1">
      <c r="A10273" s="1">
        <v>11511.0</v>
      </c>
      <c r="B10273" s="3" t="s">
        <v>29270</v>
      </c>
      <c r="C10273" s="3">
        <v>0.0</v>
      </c>
      <c r="D10273" s="3">
        <v>0.0</v>
      </c>
      <c r="E10273" s="3">
        <v>0.0</v>
      </c>
      <c r="F10273" s="3" t="s">
        <v>29271</v>
      </c>
      <c r="G10273" s="3">
        <v>0.0</v>
      </c>
      <c r="H10273" s="3">
        <v>0.0</v>
      </c>
      <c r="I10273" s="3" t="s">
        <v>13</v>
      </c>
      <c r="J10273" s="3" t="s">
        <v>29272</v>
      </c>
      <c r="K10273" s="3" t="s">
        <v>90</v>
      </c>
      <c r="L10273" s="3" t="str">
        <f>IFERROR(__xludf.DUMMYFUNCTION("GOOGLETRANSLATE(F10273,""id"",""en"")"),"Like being hit by karma from Kylian Mbappe Argentina won the World Cup via Saudi Arabia Tag Emi Martinez Drake tag")</f>
        <v>Like being hit by karma from Kylian Mbappe Argentina won the World Cup via Saudi Arabia Tag Emi Martinez Drake tag</v>
      </c>
    </row>
    <row r="10274" ht="15.75" customHeight="1">
      <c r="A10274" s="1">
        <v>11512.0</v>
      </c>
      <c r="B10274" s="3" t="s">
        <v>29273</v>
      </c>
      <c r="C10274" s="3">
        <v>0.0</v>
      </c>
      <c r="D10274" s="3">
        <v>4.0</v>
      </c>
      <c r="E10274" s="3">
        <v>8.0</v>
      </c>
      <c r="F10274" s="3" t="s">
        <v>29274</v>
      </c>
      <c r="G10274" s="3">
        <v>0.0</v>
      </c>
      <c r="H10274" s="3">
        <v>0.0</v>
      </c>
      <c r="I10274" s="3" t="s">
        <v>13</v>
      </c>
      <c r="J10274" s="3" t="s">
        <v>29275</v>
      </c>
      <c r="K10274" s="3" t="s">
        <v>510</v>
      </c>
      <c r="L10274" s="3" t="str">
        <f>IFERROR(__xludf.DUMMYFUNCTION("GOOGLETRANSLATE(F10274,""id"",""en"")"),"Argentina may be a world champion but when it comes to promos and a lot of profit from Bank Mega Credit Cards")</f>
        <v>Argentina may be a world champion but when it comes to promos and a lot of profit from Bank Mega Credit Cards</v>
      </c>
    </row>
    <row r="10275" ht="15.75" customHeight="1">
      <c r="A10275" s="1">
        <v>11513.0</v>
      </c>
      <c r="B10275" s="3" t="s">
        <v>29276</v>
      </c>
      <c r="C10275" s="3">
        <v>0.0</v>
      </c>
      <c r="D10275" s="3">
        <v>0.0</v>
      </c>
      <c r="E10275" s="3">
        <v>0.0</v>
      </c>
      <c r="F10275" s="3" t="s">
        <v>29277</v>
      </c>
      <c r="G10275" s="3">
        <v>0.0</v>
      </c>
      <c r="H10275" s="3">
        <v>0.0</v>
      </c>
      <c r="I10275" s="3" t="s">
        <v>13</v>
      </c>
      <c r="J10275" s="3" t="s">
        <v>29278</v>
      </c>
      <c r="K10275" s="3" t="s">
        <v>75</v>
      </c>
      <c r="L10275" s="3" t="str">
        <f>IFERROR(__xludf.DUMMYFUNCTION("GOOGLETRANSLATE(F10275,""id"",""en"")"),"End the wait during the year of Argentina to reclaim the World Cup title")</f>
        <v>End the wait during the year of Argentina to reclaim the World Cup title</v>
      </c>
    </row>
    <row r="10276" ht="15.75" customHeight="1">
      <c r="A10276" s="1">
        <v>11514.0</v>
      </c>
      <c r="B10276" s="3" t="s">
        <v>29279</v>
      </c>
      <c r="C10276" s="3">
        <v>0.0</v>
      </c>
      <c r="D10276" s="3">
        <v>0.0</v>
      </c>
      <c r="E10276" s="3">
        <v>1.0</v>
      </c>
      <c r="F10276" s="3" t="s">
        <v>29280</v>
      </c>
      <c r="G10276" s="3">
        <v>0.0</v>
      </c>
      <c r="H10276" s="3">
        <v>0.0</v>
      </c>
      <c r="I10276" s="3" t="s">
        <v>13</v>
      </c>
      <c r="J10276" s="3" t="s">
        <v>29281</v>
      </c>
      <c r="K10276" s="3" t="s">
        <v>75</v>
      </c>
      <c r="L10276" s="3" t="str">
        <f>IFERROR(__xludf.DUMMYFUNCTION("GOOGLETRANSLATE(F10276,""id"",""en"")"),"Lionel Messi brought Argentina World Cup Champion Prince William Goat")</f>
        <v>Lionel Messi brought Argentina World Cup Champion Prince William Goat</v>
      </c>
    </row>
    <row r="10277" ht="15.75" customHeight="1">
      <c r="A10277" s="1">
        <v>11515.0</v>
      </c>
      <c r="B10277" s="3" t="s">
        <v>29282</v>
      </c>
      <c r="C10277" s="3">
        <v>0.0</v>
      </c>
      <c r="D10277" s="3">
        <v>0.0</v>
      </c>
      <c r="E10277" s="3">
        <v>0.0</v>
      </c>
      <c r="F10277" s="3" t="s">
        <v>29283</v>
      </c>
      <c r="G10277" s="3">
        <v>0.0</v>
      </c>
      <c r="H10277" s="3">
        <v>0.0</v>
      </c>
      <c r="I10277" s="3" t="s">
        <v>13</v>
      </c>
      <c r="J10277" s="3" t="s">
        <v>29284</v>
      </c>
      <c r="K10277" s="3" t="s">
        <v>15</v>
      </c>
      <c r="L10277" s="3" t="str">
        <f>IFERROR(__xludf.DUMMYFUNCTION("GOOGLETRANSLATE(F10277,""id"",""en"")"),"important pillars of champions for Argentina Iwan Bule")</f>
        <v>important pillars of champions for Argentina Iwan Bule</v>
      </c>
    </row>
    <row r="10278" ht="15.75" customHeight="1">
      <c r="A10278" s="1">
        <v>11516.0</v>
      </c>
      <c r="B10278" s="3" t="s">
        <v>29285</v>
      </c>
      <c r="C10278" s="3">
        <v>0.0</v>
      </c>
      <c r="D10278" s="3">
        <v>0.0</v>
      </c>
      <c r="E10278" s="3">
        <v>0.0</v>
      </c>
      <c r="F10278" s="3" t="s">
        <v>29286</v>
      </c>
      <c r="G10278" s="3">
        <v>0.0</v>
      </c>
      <c r="H10278" s="3">
        <v>0.0</v>
      </c>
      <c r="I10278" s="3" t="s">
        <v>13</v>
      </c>
      <c r="J10278" s="3" t="s">
        <v>29287</v>
      </c>
      <c r="K10278" s="3" t="s">
        <v>31</v>
      </c>
      <c r="L10278" s="3" t="str">
        <f>IFERROR(__xludf.DUMMYFUNCTION("GOOGLETRANSLATE(F10278,""id"",""en"")"),"Bokap is very happy if you know Argentina Champion")</f>
        <v>Bokap is very happy if you know Argentina Champion</v>
      </c>
    </row>
    <row r="10279" ht="15.75" customHeight="1">
      <c r="A10279" s="1">
        <v>11517.0</v>
      </c>
      <c r="B10279" s="3" t="s">
        <v>29288</v>
      </c>
      <c r="C10279" s="3">
        <v>1.0</v>
      </c>
      <c r="D10279" s="3">
        <v>0.0</v>
      </c>
      <c r="E10279" s="3">
        <v>0.0</v>
      </c>
      <c r="F10279" s="3" t="s">
        <v>29289</v>
      </c>
      <c r="G10279" s="3">
        <v>0.0</v>
      </c>
      <c r="H10279" s="3">
        <v>0.0</v>
      </c>
      <c r="I10279" s="3" t="s">
        <v>13</v>
      </c>
      <c r="J10279" s="3" t="s">
        <v>29290</v>
      </c>
      <c r="K10279" s="3" t="s">
        <v>244</v>
      </c>
      <c r="L10279" s="3" t="str">
        <f>IFERROR(__xludf.DUMMYFUNCTION("GOOGLETRANSLATE(F10279,""id"",""en"")"),"This offside for Argentina's petition is not champions, the champions are shifted by France.")</f>
        <v>This offside for Argentina's petition is not champions, the champions are shifted by France.</v>
      </c>
    </row>
    <row r="10280" ht="15.75" customHeight="1">
      <c r="A10280" s="1">
        <v>11518.0</v>
      </c>
      <c r="B10280" s="3" t="s">
        <v>29291</v>
      </c>
      <c r="C10280" s="3">
        <v>0.0</v>
      </c>
      <c r="D10280" s="3">
        <v>0.0</v>
      </c>
      <c r="E10280" s="3">
        <v>0.0</v>
      </c>
      <c r="F10280" s="3" t="s">
        <v>29292</v>
      </c>
      <c r="G10280" s="3">
        <v>0.0</v>
      </c>
      <c r="H10280" s="3">
        <v>0.0</v>
      </c>
      <c r="I10280" s="3" t="s">
        <v>13</v>
      </c>
      <c r="J10280" s="3" t="s">
        <v>29293</v>
      </c>
      <c r="K10280" s="3" t="s">
        <v>58</v>
      </c>
      <c r="L10280" s="3" t="str">
        <f>IFERROR(__xludf.DUMMYFUNCTION("GOOGLETRANSLATE(F10280,""id"",""en"")"),"Argentina officially won the Qatar World Cup Lionel Messi legally Goat with plenary")</f>
        <v>Argentina officially won the Qatar World Cup Lionel Messi legally Goat with plenary</v>
      </c>
    </row>
    <row r="10281" ht="15.75" customHeight="1">
      <c r="A10281" s="1">
        <v>11519.0</v>
      </c>
      <c r="B10281" s="3" t="s">
        <v>29294</v>
      </c>
      <c r="C10281" s="3">
        <v>0.0</v>
      </c>
      <c r="D10281" s="3">
        <v>0.0</v>
      </c>
      <c r="E10281" s="3">
        <v>3.0</v>
      </c>
      <c r="F10281" s="3" t="s">
        <v>27845</v>
      </c>
      <c r="G10281" s="3">
        <v>0.0</v>
      </c>
      <c r="H10281" s="3">
        <v>0.0</v>
      </c>
      <c r="I10281" s="3" t="s">
        <v>13</v>
      </c>
      <c r="J10281" s="3" t="s">
        <v>27846</v>
      </c>
      <c r="K10281" s="3" t="s">
        <v>1293</v>
      </c>
      <c r="L10281" s="3" t="str">
        <f>IFERROR(__xludf.DUMMYFUNCTION("GOOGLETRANSLATE(F10281,""id"",""en"")"),"Argentina has just won the latest edition of the World Cup along with the list of the champions of the biggest football tournament from the period")</f>
        <v>Argentina has just won the latest edition of the World Cup along with the list of the champions of the biggest football tournament from the period</v>
      </c>
    </row>
    <row r="10282" ht="15.75" customHeight="1">
      <c r="A10282" s="1">
        <v>11520.0</v>
      </c>
      <c r="B10282" s="3" t="s">
        <v>29295</v>
      </c>
      <c r="C10282" s="3">
        <v>0.0</v>
      </c>
      <c r="D10282" s="3">
        <v>1.0</v>
      </c>
      <c r="E10282" s="3">
        <v>2.0</v>
      </c>
      <c r="F10282" s="3" t="s">
        <v>20671</v>
      </c>
      <c r="G10282" s="3">
        <v>0.0</v>
      </c>
      <c r="H10282" s="3">
        <v>0.0</v>
      </c>
      <c r="I10282" s="3" t="s">
        <v>13</v>
      </c>
      <c r="J10282" s="3" t="s">
        <v>20672</v>
      </c>
      <c r="K10282" s="3" t="s">
        <v>495</v>
      </c>
      <c r="L10282" s="3" t="str">
        <f>IFERROR(__xludf.DUMMYFUNCTION("GOOGLETRANSLATE(F10282,""id"",""en"")"),"Argentina won the World Cup after defeating France through a penalty shootout, bring home up to hundreds of billions")</f>
        <v>Argentina won the World Cup after defeating France through a penalty shootout, bring home up to hundreds of billions</v>
      </c>
    </row>
    <row r="10283" ht="15.75" customHeight="1">
      <c r="A10283" s="1">
        <v>11521.0</v>
      </c>
      <c r="B10283" s="3" t="s">
        <v>29296</v>
      </c>
      <c r="C10283" s="3">
        <v>0.0</v>
      </c>
      <c r="D10283" s="3">
        <v>0.0</v>
      </c>
      <c r="E10283" s="3">
        <v>0.0</v>
      </c>
      <c r="F10283" s="3" t="s">
        <v>29297</v>
      </c>
      <c r="G10283" s="3">
        <v>0.0</v>
      </c>
      <c r="H10283" s="3">
        <v>0.0</v>
      </c>
      <c r="I10283" s="3" t="s">
        <v>13</v>
      </c>
      <c r="J10283" s="3" t="s">
        <v>29298</v>
      </c>
      <c r="K10283" s="3" t="s">
        <v>2117</v>
      </c>
      <c r="L10283" s="3" t="str">
        <f>IFERROR(__xludf.DUMMYFUNCTION("GOOGLETRANSLATE(F10283,""id"",""en"")"),"Argentina champion mah")</f>
        <v>Argentina champion mah</v>
      </c>
    </row>
    <row r="10284" ht="15.75" customHeight="1">
      <c r="A10284" s="1">
        <v>11522.0</v>
      </c>
      <c r="B10284" s="3" t="s">
        <v>29299</v>
      </c>
      <c r="C10284" s="3">
        <v>2.0</v>
      </c>
      <c r="D10284" s="3">
        <v>0.0</v>
      </c>
      <c r="E10284" s="3">
        <v>22.0</v>
      </c>
      <c r="F10284" s="3" t="s">
        <v>29300</v>
      </c>
      <c r="G10284" s="3">
        <v>0.0</v>
      </c>
      <c r="H10284" s="3">
        <v>0.0</v>
      </c>
      <c r="I10284" s="3" t="s">
        <v>13</v>
      </c>
      <c r="J10284" s="3" t="s">
        <v>29301</v>
      </c>
      <c r="K10284" s="3" t="s">
        <v>603</v>
      </c>
      <c r="L10284" s="3" t="str">
        <f>IFERROR(__xludf.DUMMYFUNCTION("GOOGLETRANSLATE(F10284,""id"",""en"")"),"Both the Argentine and French teams are as great but Argentina deserves to be a congratulations for Argentina, congratulations to Messi et al and also for football fans")</f>
        <v>Both the Argentine and French teams are as great but Argentina deserves to be a congratulations for Argentina, congratulations to Messi et al and also for football fans</v>
      </c>
    </row>
    <row r="10285" ht="15.75" customHeight="1">
      <c r="A10285" s="1">
        <v>11523.0</v>
      </c>
      <c r="B10285" s="3" t="s">
        <v>29302</v>
      </c>
      <c r="C10285" s="3">
        <v>0.0</v>
      </c>
      <c r="D10285" s="3">
        <v>0.0</v>
      </c>
      <c r="E10285" s="3">
        <v>0.0</v>
      </c>
      <c r="F10285" s="3" t="s">
        <v>29303</v>
      </c>
      <c r="G10285" s="3">
        <v>0.0</v>
      </c>
      <c r="H10285" s="3">
        <v>0.0</v>
      </c>
      <c r="I10285" s="3" t="s">
        <v>13</v>
      </c>
      <c r="J10285" s="3" t="s">
        <v>29304</v>
      </c>
      <c r="K10285" s="3" t="s">
        <v>35</v>
      </c>
      <c r="L10285" s="3" t="str">
        <f>IFERROR(__xludf.DUMMYFUNCTION("GOOGLETRANSLATE(F10285,""id"",""en"")"),"Short profile of Lionel Messi Argentina national team star who brought Argentina World Cup champions")</f>
        <v>Short profile of Lionel Messi Argentina national team star who brought Argentina World Cup champions</v>
      </c>
    </row>
    <row r="10286" ht="15.75" customHeight="1">
      <c r="A10286" s="1">
        <v>11524.0</v>
      </c>
      <c r="B10286" s="3" t="s">
        <v>29305</v>
      </c>
      <c r="C10286" s="3">
        <v>0.0</v>
      </c>
      <c r="D10286" s="3">
        <v>0.0</v>
      </c>
      <c r="E10286" s="3">
        <v>0.0</v>
      </c>
      <c r="F10286" s="3" t="s">
        <v>29306</v>
      </c>
      <c r="G10286" s="3">
        <v>0.0</v>
      </c>
      <c r="H10286" s="3">
        <v>0.0</v>
      </c>
      <c r="I10286" s="3" t="s">
        <v>13</v>
      </c>
      <c r="J10286" s="3" t="s">
        <v>29307</v>
      </c>
      <c r="K10286" s="3" t="s">
        <v>31</v>
      </c>
      <c r="L10286" s="3" t="str">
        <f>IFERROR(__xludf.DUMMYFUNCTION("GOOGLETRANSLATE(F10286,""id"",""en"")"),"whatever will be done as long as Argentina champions")</f>
        <v>whatever will be done as long as Argentina champions</v>
      </c>
    </row>
    <row r="10287" ht="15.75" customHeight="1">
      <c r="A10287" s="1">
        <v>11525.0</v>
      </c>
      <c r="B10287" s="3" t="s">
        <v>29308</v>
      </c>
      <c r="C10287" s="3">
        <v>0.0</v>
      </c>
      <c r="D10287" s="3">
        <v>0.0</v>
      </c>
      <c r="E10287" s="3">
        <v>0.0</v>
      </c>
      <c r="F10287" s="3" t="s">
        <v>29309</v>
      </c>
      <c r="G10287" s="3">
        <v>0.0</v>
      </c>
      <c r="H10287" s="3">
        <v>0.0</v>
      </c>
      <c r="I10287" s="3" t="s">
        <v>13</v>
      </c>
      <c r="J10287" s="3" t="s">
        <v>29310</v>
      </c>
      <c r="K10287" s="3" t="s">
        <v>82</v>
      </c>
      <c r="L10287" s="3" t="str">
        <f>IFERROR(__xludf.DUMMYFUNCTION("GOOGLETRANSLATE(F10287,""id"",""en"")"),"Otamendi Lucky Argentina Champion Nearly a prisoner")</f>
        <v>Otamendi Lucky Argentina Champion Nearly a prisoner</v>
      </c>
    </row>
    <row r="10288" ht="15.75" customHeight="1">
      <c r="A10288" s="1">
        <v>11526.0</v>
      </c>
      <c r="B10288" s="3" t="s">
        <v>29311</v>
      </c>
      <c r="C10288" s="3">
        <v>0.0</v>
      </c>
      <c r="D10288" s="3">
        <v>5.0</v>
      </c>
      <c r="E10288" s="3">
        <v>15.0</v>
      </c>
      <c r="F10288" s="3" t="s">
        <v>29312</v>
      </c>
      <c r="G10288" s="3">
        <v>0.2</v>
      </c>
      <c r="H10288" s="3">
        <v>0.2</v>
      </c>
      <c r="I10288" s="3" t="s">
        <v>48</v>
      </c>
      <c r="J10288" s="3" t="s">
        <v>29313</v>
      </c>
      <c r="K10288" s="3" t="s">
        <v>1293</v>
      </c>
      <c r="L10288" s="3" t="str">
        <f>IFERROR(__xludf.DUMMYFUNCTION("GOOGLETRANSLATE(F10288,""id"",""en"")"),"FYI MORNINGG this Antonella Rocuzo has shampooing three times YGY Messi is crazy after Argentina champion Argentina World Cup Thanks Qatar")</f>
        <v>FYI MORNINGG this Antonella Rocuzo has shampooing three times YGY Messi is crazy after Argentina champion Argentina World Cup Thanks Qatar</v>
      </c>
    </row>
    <row r="10289" ht="15.75" customHeight="1">
      <c r="A10289" s="1">
        <v>11527.0</v>
      </c>
      <c r="B10289" s="3" t="s">
        <v>29314</v>
      </c>
      <c r="C10289" s="3">
        <v>0.0</v>
      </c>
      <c r="D10289" s="3">
        <v>0.0</v>
      </c>
      <c r="E10289" s="3">
        <v>0.0</v>
      </c>
      <c r="F10289" s="3" t="s">
        <v>29315</v>
      </c>
      <c r="G10289" s="3">
        <v>0.0</v>
      </c>
      <c r="H10289" s="3">
        <v>0.0</v>
      </c>
      <c r="I10289" s="3" t="s">
        <v>13</v>
      </c>
      <c r="J10289" s="3" t="s">
        <v>29316</v>
      </c>
      <c r="K10289" s="3" t="s">
        <v>82</v>
      </c>
      <c r="L10289" s="3" t="str">
        <f>IFERROR(__xludf.DUMMYFUNCTION("GOOGLETRANSLATE(F10289,""id"",""en"")"),"The key to calm in the execution of the penalty makes Argentina champions")</f>
        <v>The key to calm in the execution of the penalty makes Argentina champions</v>
      </c>
    </row>
    <row r="10290" ht="15.75" customHeight="1">
      <c r="A10290" s="1">
        <v>11528.0</v>
      </c>
      <c r="B10290" s="3" t="s">
        <v>29317</v>
      </c>
      <c r="C10290" s="3">
        <v>0.0</v>
      </c>
      <c r="D10290" s="3">
        <v>0.0</v>
      </c>
      <c r="E10290" s="3">
        <v>0.0</v>
      </c>
      <c r="F10290" s="3" t="s">
        <v>29318</v>
      </c>
      <c r="G10290" s="3">
        <v>1.0</v>
      </c>
      <c r="H10290" s="3">
        <v>0.0</v>
      </c>
      <c r="I10290" s="3" t="s">
        <v>13</v>
      </c>
      <c r="J10290" s="3" t="s">
        <v>29319</v>
      </c>
      <c r="K10290" s="3" t="s">
        <v>75</v>
      </c>
      <c r="L10290" s="3" t="str">
        <f>IFERROR(__xludf.DUMMYFUNCTION("GOOGLETRANSLATE(F10290,""id"",""en"")"),"Really, my father said that if Argentina entered the final, it would be a champion")</f>
        <v>Really, my father said that if Argentina entered the final, it would be a champion</v>
      </c>
    </row>
    <row r="10291" ht="15.75" customHeight="1">
      <c r="A10291" s="1">
        <v>11529.0</v>
      </c>
      <c r="B10291" s="3" t="s">
        <v>29320</v>
      </c>
      <c r="C10291" s="3">
        <v>2.0</v>
      </c>
      <c r="D10291" s="3">
        <v>1.0</v>
      </c>
      <c r="E10291" s="3">
        <v>10.0</v>
      </c>
      <c r="F10291" s="3" t="s">
        <v>29321</v>
      </c>
      <c r="G10291" s="3">
        <v>0.0</v>
      </c>
      <c r="H10291" s="3">
        <v>0.0</v>
      </c>
      <c r="I10291" s="3" t="s">
        <v>13</v>
      </c>
      <c r="J10291" s="3" t="s">
        <v>29322</v>
      </c>
      <c r="K10291" s="3" t="s">
        <v>433</v>
      </c>
      <c r="L10291" s="3" t="str">
        <f>IFERROR(__xludf.DUMMYFUNCTION("GOOGLETRANSLATE(F10291,""id"",""en"")"),"Morningg Argentina is indeed a world champion but my heart you are actually champions in giving me satisfaction until wet")</f>
        <v>Morningg Argentina is indeed a world champion but my heart you are actually champions in giving me satisfaction until wet</v>
      </c>
    </row>
    <row r="10292" ht="15.75" customHeight="1">
      <c r="A10292" s="1">
        <v>11530.0</v>
      </c>
      <c r="B10292" s="3" t="s">
        <v>29323</v>
      </c>
      <c r="C10292" s="3">
        <v>0.0</v>
      </c>
      <c r="D10292" s="3">
        <v>0.0</v>
      </c>
      <c r="E10292" s="3">
        <v>1.0</v>
      </c>
      <c r="F10292" s="3" t="s">
        <v>29324</v>
      </c>
      <c r="G10292" s="3">
        <v>0.0</v>
      </c>
      <c r="H10292" s="3">
        <v>0.0</v>
      </c>
      <c r="I10292" s="3" t="s">
        <v>13</v>
      </c>
      <c r="J10292" s="3" t="s">
        <v>29325</v>
      </c>
      <c r="K10292" s="3" t="s">
        <v>50</v>
      </c>
      <c r="L10292" s="3" t="str">
        <f>IFERROR(__xludf.DUMMYFUNCTION("GOOGLETRANSLATE(F10292,""id"",""en"")"),"Complete List of World Cup Champion from Edition to Argentina Borong Three Title")</f>
        <v>Complete List of World Cup Champion from Edition to Argentina Borong Three Title</v>
      </c>
    </row>
    <row r="10293" ht="15.75" customHeight="1">
      <c r="A10293" s="1">
        <v>11531.0</v>
      </c>
      <c r="B10293" s="3" t="s">
        <v>29326</v>
      </c>
      <c r="C10293" s="3">
        <v>0.0</v>
      </c>
      <c r="D10293" s="3">
        <v>1.0</v>
      </c>
      <c r="E10293" s="3">
        <v>0.0</v>
      </c>
      <c r="F10293" s="3" t="s">
        <v>29327</v>
      </c>
      <c r="G10293" s="3">
        <v>1.0</v>
      </c>
      <c r="H10293" s="3">
        <v>0.0</v>
      </c>
      <c r="I10293" s="3" t="s">
        <v>13</v>
      </c>
      <c r="J10293" s="3" t="s">
        <v>29328</v>
      </c>
      <c r="K10293" s="3" t="s">
        <v>491</v>
      </c>
      <c r="L10293" s="3" t="str">
        <f>IFERROR(__xludf.DUMMYFUNCTION("GOOGLETRANSLATE(F10293,""id"",""en"")"),"The Argentina victory of the World Cup Final has been predicted Sports which has been four times in a row to predict the exact World Cup championship")</f>
        <v>The Argentina victory of the World Cup Final has been predicted Sports which has been four times in a row to predict the exact World Cup championship</v>
      </c>
    </row>
    <row r="10294" ht="15.75" customHeight="1">
      <c r="A10294" s="1">
        <v>11532.0</v>
      </c>
      <c r="B10294" s="3" t="s">
        <v>29329</v>
      </c>
      <c r="C10294" s="3">
        <v>0.0</v>
      </c>
      <c r="D10294" s="3">
        <v>0.0</v>
      </c>
      <c r="E10294" s="3">
        <v>0.0</v>
      </c>
      <c r="F10294" s="3" t="s">
        <v>29330</v>
      </c>
      <c r="G10294" s="3">
        <v>0.0</v>
      </c>
      <c r="H10294" s="3">
        <v>0.0</v>
      </c>
      <c r="I10294" s="3" t="s">
        <v>13</v>
      </c>
      <c r="J10294" s="3" t="s">
        <v>29331</v>
      </c>
      <c r="K10294" s="3" t="s">
        <v>71</v>
      </c>
      <c r="L10294" s="3" t="str">
        <f>IFERROR(__xludf.DUMMYFUNCTION("GOOGLETRANSLATE(F10294,""id"",""en"")"),"Amanda Amelia Argentina National Team managed to embrace the World Cup championship title after overcoming the resistance")</f>
        <v>Amanda Amelia Argentina National Team managed to embrace the World Cup championship title after overcoming the resistance</v>
      </c>
    </row>
    <row r="10295" ht="15.75" customHeight="1">
      <c r="A10295" s="1">
        <v>11533.0</v>
      </c>
      <c r="B10295" s="3" t="s">
        <v>29332</v>
      </c>
      <c r="C10295" s="3">
        <v>0.0</v>
      </c>
      <c r="D10295" s="3">
        <v>0.0</v>
      </c>
      <c r="E10295" s="3">
        <v>0.0</v>
      </c>
      <c r="F10295" s="3" t="s">
        <v>29333</v>
      </c>
      <c r="G10295" s="3">
        <v>0.0</v>
      </c>
      <c r="H10295" s="3">
        <v>0.0</v>
      </c>
      <c r="I10295" s="3" t="s">
        <v>13</v>
      </c>
      <c r="J10295" s="3" t="s">
        <v>29334</v>
      </c>
      <c r="K10295" s="3" t="s">
        <v>54</v>
      </c>
      <c r="L10295" s="3" t="str">
        <f>IFERROR(__xludf.DUMMYFUNCTION("GOOGLETRANSLATE(F10295,""id"",""en"")"),"The most contributing player to bring Argentina Champion")</f>
        <v>The most contributing player to bring Argentina Champion</v>
      </c>
    </row>
    <row r="10296" ht="15.75" customHeight="1">
      <c r="A10296" s="1">
        <v>11534.0</v>
      </c>
      <c r="B10296" s="3" t="s">
        <v>29335</v>
      </c>
      <c r="C10296" s="3">
        <v>0.0</v>
      </c>
      <c r="D10296" s="3">
        <v>0.0</v>
      </c>
      <c r="E10296" s="3">
        <v>0.0</v>
      </c>
      <c r="F10296" s="3" t="s">
        <v>29336</v>
      </c>
      <c r="G10296" s="3">
        <v>0.0</v>
      </c>
      <c r="H10296" s="3">
        <v>0.0</v>
      </c>
      <c r="I10296" s="3" t="s">
        <v>13</v>
      </c>
      <c r="J10296" s="3" t="s">
        <v>29337</v>
      </c>
      <c r="K10296" s="3" t="s">
        <v>433</v>
      </c>
      <c r="L10296" s="3" t="str">
        <f>IFERROR(__xludf.DUMMYFUNCTION("GOOGLETRANSLATE(F10296,""id"",""en"")"),"Argentina World Champion at least can entertain the people of Argentina, his country experiences economic recession and fails to pay debts hahahahahahahahahahahahahahahahahahahahahahahahahahahahahahahahahahahahahahahahahahahahahahahahahahahahahahahahahaha"&amp;"hahahahahahahahahahahahahahahahahahahahahahahahahahahahahahahahahahahahahahahahahahahahahahahahahahahahahahahahahahahahahahahahahahahahahahahahahahahahahahahahahahahahahaeeeeeeks")</f>
        <v>Argentina World Champion at least can entertain the people of Argentina, his country experiences economic recession and fails to pay debts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eeeeeeks</v>
      </c>
    </row>
    <row r="10297" ht="15.75" customHeight="1">
      <c r="A10297" s="1">
        <v>11535.0</v>
      </c>
      <c r="B10297" s="3" t="s">
        <v>29338</v>
      </c>
      <c r="C10297" s="3">
        <v>1.0</v>
      </c>
      <c r="D10297" s="3">
        <v>0.0</v>
      </c>
      <c r="E10297" s="3">
        <v>0.0</v>
      </c>
      <c r="F10297" s="3" t="s">
        <v>29339</v>
      </c>
      <c r="G10297" s="3">
        <v>0.0</v>
      </c>
      <c r="H10297" s="3">
        <v>0.0</v>
      </c>
      <c r="I10297" s="3" t="s">
        <v>13</v>
      </c>
      <c r="J10297" s="3" t="s">
        <v>29340</v>
      </c>
      <c r="K10297" s="3" t="s">
        <v>358</v>
      </c>
      <c r="L10297" s="3" t="str">
        <f>IFERROR(__xludf.DUMMYFUNCTION("GOOGLETRANSLATE(F10297,""id"",""en"")"),"From the beginning of Argentina Arabic the first half of Argentina looked like it was pleasing to see until there was a filling going to champion ehh really champion")</f>
        <v>From the beginning of Argentina Arabic the first half of Argentina looked like it was pleasing to see until there was a filling going to champion ehh really champion</v>
      </c>
    </row>
    <row r="10298" ht="15.75" customHeight="1">
      <c r="A10298" s="1">
        <v>11536.0</v>
      </c>
      <c r="B10298" s="3" t="s">
        <v>29341</v>
      </c>
      <c r="C10298" s="3">
        <v>0.0</v>
      </c>
      <c r="D10298" s="3">
        <v>0.0</v>
      </c>
      <c r="E10298" s="3">
        <v>9.0</v>
      </c>
      <c r="F10298" s="3" t="s">
        <v>29342</v>
      </c>
      <c r="G10298" s="3">
        <v>1.0</v>
      </c>
      <c r="H10298" s="3">
        <v>0.0</v>
      </c>
      <c r="I10298" s="3" t="s">
        <v>13</v>
      </c>
      <c r="J10298" s="3" t="s">
        <v>29343</v>
      </c>
      <c r="K10298" s="3" t="s">
        <v>104</v>
      </c>
      <c r="L10298" s="3" t="str">
        <f>IFERROR(__xludf.DUMMYFUNCTION("GOOGLETRANSLATE(F10298,""id"",""en"")"),"Argentina as the World Cup champion will get a million cash prize for their football federation while France as a team losing in the final week will get millions of money obtained from FIFA Million Prize Funds")</f>
        <v>Argentina as the World Cup champion will get a million cash prize for their football federation while France as a team losing in the final week will get millions of money obtained from FIFA Million Prize Funds</v>
      </c>
    </row>
    <row r="10299" ht="15.75" customHeight="1">
      <c r="A10299" s="1">
        <v>11537.0</v>
      </c>
      <c r="B10299" s="3" t="s">
        <v>29344</v>
      </c>
      <c r="C10299" s="3">
        <v>0.0</v>
      </c>
      <c r="D10299" s="3">
        <v>0.0</v>
      </c>
      <c r="E10299" s="3">
        <v>0.0</v>
      </c>
      <c r="F10299" s="3" t="s">
        <v>29345</v>
      </c>
      <c r="G10299" s="3">
        <v>1.0</v>
      </c>
      <c r="H10299" s="3">
        <v>0.0</v>
      </c>
      <c r="I10299" s="3" t="s">
        <v>13</v>
      </c>
      <c r="J10299" s="3" t="s">
        <v>29346</v>
      </c>
      <c r="K10299" s="3" t="s">
        <v>50</v>
      </c>
      <c r="L10299" s="3" t="str">
        <f>IFERROR(__xludf.DUMMYFUNCTION("GOOGLETRANSLATE(F10299,""id"",""en"")"),"FINA FINAL RESULTS FIFA QATAR Argentina Champion Croatia Third place")</f>
        <v>FINA FINAL RESULTS FIFA QATAR Argentina Champion Croatia Third place</v>
      </c>
    </row>
    <row r="10300" ht="15.75" customHeight="1">
      <c r="A10300" s="1">
        <v>11538.0</v>
      </c>
      <c r="B10300" s="3" t="s">
        <v>29347</v>
      </c>
      <c r="C10300" s="3">
        <v>0.0</v>
      </c>
      <c r="D10300" s="3">
        <v>1.0</v>
      </c>
      <c r="E10300" s="3">
        <v>11.0</v>
      </c>
      <c r="F10300" s="3" t="s">
        <v>29348</v>
      </c>
      <c r="G10300" s="3">
        <v>0.0</v>
      </c>
      <c r="H10300" s="3">
        <v>0.0</v>
      </c>
      <c r="I10300" s="3" t="s">
        <v>13</v>
      </c>
      <c r="J10300" s="3" t="s">
        <v>29349</v>
      </c>
      <c r="K10300" s="3" t="s">
        <v>75</v>
      </c>
      <c r="L10300" s="3" t="str">
        <f>IFERROR(__xludf.DUMMYFUNCTION("GOOGLETRANSLATE(F10300,""id"",""en"")"),"Only Saudi Arabia managed to beat the Argentine champion where Messi")</f>
        <v>Only Saudi Arabia managed to beat the Argentine champion where Messi</v>
      </c>
    </row>
    <row r="10301" ht="15.75" customHeight="1">
      <c r="A10301" s="1">
        <v>11539.0</v>
      </c>
      <c r="B10301" s="3" t="s">
        <v>29350</v>
      </c>
      <c r="C10301" s="3">
        <v>0.0</v>
      </c>
      <c r="D10301" s="3">
        <v>0.0</v>
      </c>
      <c r="E10301" s="3">
        <v>0.0</v>
      </c>
      <c r="F10301" s="3" t="s">
        <v>29351</v>
      </c>
      <c r="G10301" s="3">
        <v>0.0</v>
      </c>
      <c r="H10301" s="3">
        <v>0.0</v>
      </c>
      <c r="I10301" s="3" t="s">
        <v>13</v>
      </c>
      <c r="J10301" s="3" t="s">
        <v>29352</v>
      </c>
      <c r="K10301" s="3" t="s">
        <v>41</v>
      </c>
      <c r="L10301" s="3" t="str">
        <f>IFERROR(__xludf.DUMMYFUNCTION("GOOGLETRANSLATE(F10301,""id"",""en"")"),"Argentina Champion World Cup Special Account Congratulations to Messi")</f>
        <v>Argentina Champion World Cup Special Account Congratulations to Messi</v>
      </c>
    </row>
    <row r="10302" ht="15.75" customHeight="1">
      <c r="A10302" s="1">
        <v>11540.0</v>
      </c>
      <c r="B10302" s="3" t="s">
        <v>29353</v>
      </c>
      <c r="C10302" s="3">
        <v>0.0</v>
      </c>
      <c r="D10302" s="3">
        <v>0.0</v>
      </c>
      <c r="E10302" s="3">
        <v>2.0</v>
      </c>
      <c r="F10302" s="3" t="s">
        <v>29354</v>
      </c>
      <c r="G10302" s="3">
        <v>0.0</v>
      </c>
      <c r="H10302" s="3">
        <v>0.0</v>
      </c>
      <c r="I10302" s="3" t="s">
        <v>13</v>
      </c>
      <c r="J10302" s="3" t="s">
        <v>29355</v>
      </c>
      <c r="K10302" s="3" t="s">
        <v>15</v>
      </c>
      <c r="L10302" s="3" t="str">
        <f>IFERROR(__xludf.DUMMYFUNCTION("GOOGLETRANSLATE(F10302,""id"",""en"")"),"Argentina Champion Messi became the main enemy of the French League")</f>
        <v>Argentina Champion Messi became the main enemy of the French League</v>
      </c>
    </row>
    <row r="10303" ht="15.75" customHeight="1">
      <c r="A10303" s="1">
        <v>11541.0</v>
      </c>
      <c r="B10303" s="3" t="s">
        <v>29356</v>
      </c>
      <c r="C10303" s="3">
        <v>0.0</v>
      </c>
      <c r="D10303" s="3">
        <v>0.0</v>
      </c>
      <c r="E10303" s="3">
        <v>0.0</v>
      </c>
      <c r="F10303" s="3" t="s">
        <v>29357</v>
      </c>
      <c r="G10303" s="3">
        <v>0.0</v>
      </c>
      <c r="H10303" s="3">
        <v>0.0</v>
      </c>
      <c r="I10303" s="3" t="s">
        <v>13</v>
      </c>
      <c r="J10303" s="3" t="s">
        <v>29358</v>
      </c>
      <c r="K10303" s="3" t="s">
        <v>510</v>
      </c>
      <c r="L10303" s="3" t="str">
        <f>IFERROR(__xludf.DUMMYFUNCTION("GOOGLETRANSLATE(F10303,""id"",""en"")"),"Messi's record after carrying Argentina Champion World Cup Cnn Indonesia Google Sports News")</f>
        <v>Messi's record after carrying Argentina Champion World Cup Cnn Indonesia Google Sports News</v>
      </c>
    </row>
    <row r="10304" ht="15.75" customHeight="1">
      <c r="A10304" s="1">
        <v>11542.0</v>
      </c>
      <c r="B10304" s="3" t="s">
        <v>29359</v>
      </c>
      <c r="C10304" s="3">
        <v>0.0</v>
      </c>
      <c r="D10304" s="3">
        <v>0.0</v>
      </c>
      <c r="E10304" s="3">
        <v>1.0</v>
      </c>
      <c r="F10304" s="3" t="s">
        <v>29351</v>
      </c>
      <c r="G10304" s="3">
        <v>0.0</v>
      </c>
      <c r="H10304" s="3">
        <v>0.0</v>
      </c>
      <c r="I10304" s="3" t="s">
        <v>13</v>
      </c>
      <c r="J10304" s="3" t="s">
        <v>29352</v>
      </c>
      <c r="K10304" s="3" t="s">
        <v>41</v>
      </c>
      <c r="L10304" s="3" t="str">
        <f>IFERROR(__xludf.DUMMYFUNCTION("GOOGLETRANSLATE(F10304,""id"",""en"")"),"Argentina Champion World Cup Special Account Congratulations to Messi")</f>
        <v>Argentina Champion World Cup Special Account Congratulations to Messi</v>
      </c>
    </row>
    <row r="10305" ht="15.75" customHeight="1">
      <c r="A10305" s="1">
        <v>11543.0</v>
      </c>
      <c r="B10305" s="3" t="s">
        <v>29360</v>
      </c>
      <c r="C10305" s="3">
        <v>1.0</v>
      </c>
      <c r="D10305" s="3">
        <v>0.0</v>
      </c>
      <c r="E10305" s="3">
        <v>0.0</v>
      </c>
      <c r="F10305" s="3" t="s">
        <v>29361</v>
      </c>
      <c r="G10305" s="3">
        <v>0.0</v>
      </c>
      <c r="H10305" s="3">
        <v>0.0</v>
      </c>
      <c r="I10305" s="3" t="s">
        <v>13</v>
      </c>
      <c r="J10305" s="3" t="s">
        <v>29362</v>
      </c>
      <c r="K10305" s="3" t="s">
        <v>942</v>
      </c>
      <c r="L10305" s="3" t="str">
        <f>IFERROR(__xludf.DUMMYFUNCTION("GOOGLETRANSLATE(F10305,""id"",""en"")"),"Argentina may win the World Cup but in fact the Post Cup champion is Saudi Arabia in mind")</f>
        <v>Argentina may win the World Cup but in fact the Post Cup champion is Saudi Arabia in mind</v>
      </c>
    </row>
    <row r="10306" ht="15.75" customHeight="1">
      <c r="A10306" s="1">
        <v>11544.0</v>
      </c>
      <c r="B10306" s="3" t="s">
        <v>29363</v>
      </c>
      <c r="C10306" s="3">
        <v>0.0</v>
      </c>
      <c r="D10306" s="3">
        <v>0.0</v>
      </c>
      <c r="E10306" s="3">
        <v>0.0</v>
      </c>
      <c r="F10306" s="3" t="s">
        <v>29364</v>
      </c>
      <c r="G10306" s="3">
        <v>0.0</v>
      </c>
      <c r="H10306" s="3">
        <v>0.0</v>
      </c>
      <c r="I10306" s="3" t="s">
        <v>13</v>
      </c>
      <c r="J10306" s="3" t="s">
        <v>29365</v>
      </c>
      <c r="K10306" s="3" t="s">
        <v>2869</v>
      </c>
      <c r="L10306" s="3" t="str">
        <f>IFERROR(__xludf.DUMMYFUNCTION("GOOGLETRANSLATE(F10306,""id"",""en"")"),"Argentina Jember Regent Champion Hendy Siswanto is relieved that there is no wrong prediction Jember Jember Regent Hendy Siswanto finally able to smile with relief after Argentina via")</f>
        <v>Argentina Jember Regent Champion Hendy Siswanto is relieved that there is no wrong prediction Jember Jember Regent Hendy Siswanto finally able to smile with relief after Argentina via</v>
      </c>
    </row>
    <row r="10307" ht="15.75" customHeight="1">
      <c r="A10307" s="1">
        <v>11545.0</v>
      </c>
      <c r="B10307" s="3" t="s">
        <v>29366</v>
      </c>
      <c r="C10307" s="3">
        <v>0.0</v>
      </c>
      <c r="D10307" s="3">
        <v>0.0</v>
      </c>
      <c r="E10307" s="3">
        <v>3.0</v>
      </c>
      <c r="F10307" s="3" t="s">
        <v>29367</v>
      </c>
      <c r="G10307" s="3">
        <v>0.0</v>
      </c>
      <c r="H10307" s="3">
        <v>0.0</v>
      </c>
      <c r="I10307" s="3" t="s">
        <v>13</v>
      </c>
      <c r="J10307" s="3" t="s">
        <v>29368</v>
      </c>
      <c r="K10307" s="3" t="s">
        <v>477</v>
      </c>
      <c r="L10307" s="3" t="str">
        <f>IFERROR(__xludf.DUMMYFUNCTION("GOOGLETRANSLATE(F10307,""id"",""en"")"),"thanks a lot, sir, it's time for Indonesia to win like Argentina")</f>
        <v>thanks a lot, sir, it's time for Indonesia to win like Argentina</v>
      </c>
    </row>
    <row r="10308" ht="15.75" customHeight="1">
      <c r="A10308" s="1">
        <v>11546.0</v>
      </c>
      <c r="B10308" s="3" t="s">
        <v>29369</v>
      </c>
      <c r="C10308" s="3">
        <v>0.0</v>
      </c>
      <c r="D10308" s="3">
        <v>0.0</v>
      </c>
      <c r="E10308" s="3">
        <v>1.0</v>
      </c>
      <c r="F10308" s="3" t="s">
        <v>29370</v>
      </c>
      <c r="G10308" s="3">
        <v>0.0</v>
      </c>
      <c r="H10308" s="3">
        <v>0.0</v>
      </c>
      <c r="I10308" s="3" t="s">
        <v>13</v>
      </c>
      <c r="J10308" s="3" t="s">
        <v>29371</v>
      </c>
      <c r="K10308" s="3" t="s">
        <v>883</v>
      </c>
      <c r="L10308" s="3" t="str">
        <f>IFERROR(__xludf.DUMMYFUNCTION("GOOGLETRANSLATE(F10308,""id"",""en"")"),"Argentina Champion Sunday Des Lose at the beginning does not mean that success is closed as long as working hard and praying for success is always open to Argentina is an example")</f>
        <v>Argentina Champion Sunday Des Lose at the beginning does not mean that success is closed as long as working hard and praying for success is always open to Argentina is an example</v>
      </c>
    </row>
    <row r="10309" ht="15.75" customHeight="1">
      <c r="A10309" s="1">
        <v>11547.0</v>
      </c>
      <c r="B10309" s="3" t="s">
        <v>29372</v>
      </c>
      <c r="C10309" s="3">
        <v>1.0</v>
      </c>
      <c r="D10309" s="3">
        <v>0.0</v>
      </c>
      <c r="E10309" s="3">
        <v>0.0</v>
      </c>
      <c r="F10309" s="3" t="s">
        <v>29373</v>
      </c>
      <c r="G10309" s="3">
        <v>0.0</v>
      </c>
      <c r="H10309" s="3">
        <v>0.0</v>
      </c>
      <c r="I10309" s="3" t="s">
        <v>13</v>
      </c>
      <c r="J10309" s="3" t="s">
        <v>16104</v>
      </c>
      <c r="K10309" s="3" t="s">
        <v>14571</v>
      </c>
      <c r="L10309" s="3" t="str">
        <f>IFERROR(__xludf.DUMMYFUNCTION("GOOGLETRANSLATE(F10309,""id"",""en"")"),"Argentina Champion WKWK")</f>
        <v>Argentina Champion WKWK</v>
      </c>
    </row>
    <row r="10310" ht="15.75" customHeight="1">
      <c r="A10310" s="1">
        <v>11548.0</v>
      </c>
      <c r="B10310" s="3" t="s">
        <v>29374</v>
      </c>
      <c r="C10310" s="3">
        <v>3.0</v>
      </c>
      <c r="D10310" s="3">
        <v>0.0</v>
      </c>
      <c r="E10310" s="3">
        <v>21.0</v>
      </c>
      <c r="F10310" s="3" t="s">
        <v>29375</v>
      </c>
      <c r="G10310" s="3">
        <v>0.0</v>
      </c>
      <c r="H10310" s="3">
        <v>0.0</v>
      </c>
      <c r="I10310" s="3" t="s">
        <v>13</v>
      </c>
      <c r="J10310" s="3" t="s">
        <v>29376</v>
      </c>
      <c r="K10310" s="3" t="s">
        <v>1489</v>
      </c>
      <c r="L10310" s="3" t="str">
        <f>IFERROR(__xludf.DUMMYFUNCTION("GOOGLETRANSLATE(F10310,""id"",""en"")"),"wake up, get a photo shipment from his wife, he said soundly sleeping mentang mentang Argentina champion until he had time to change nightgowns, he said that sleeping was already up to my bed")</f>
        <v>wake up, get a photo shipment from his wife, he said soundly sleeping mentang mentang Argentina champion until he had time to change nightgowns, he said that sleeping was already up to my bed</v>
      </c>
    </row>
    <row r="10311" ht="15.75" customHeight="1">
      <c r="A10311" s="1">
        <v>11549.0</v>
      </c>
      <c r="B10311" s="3" t="s">
        <v>29377</v>
      </c>
      <c r="C10311" s="3">
        <v>0.0</v>
      </c>
      <c r="D10311" s="3">
        <v>0.0</v>
      </c>
      <c r="E10311" s="3">
        <v>0.0</v>
      </c>
      <c r="F10311" s="3" t="s">
        <v>29378</v>
      </c>
      <c r="G10311" s="3">
        <v>0.0</v>
      </c>
      <c r="H10311" s="3">
        <v>0.0</v>
      </c>
      <c r="I10311" s="3" t="s">
        <v>13</v>
      </c>
      <c r="J10311" s="3" t="s">
        <v>29379</v>
      </c>
      <c r="K10311" s="3" t="s">
        <v>675</v>
      </c>
      <c r="L10311" s="3" t="str">
        <f>IFERROR(__xludf.DUMMYFUNCTION("GOOGLETRANSLATE(F10311,""id"",""en"")"),"At the end of all the hard struggles since the beginning of Messi debut the World Cup since the age of the year finally led Argentina to become champions to defeat France with a score through Argentina's penalties.")</f>
        <v>At the end of all the hard struggles since the beginning of Messi debut the World Cup since the age of the year finally led Argentina to become champions to defeat France with a score through Argentina's penalties.</v>
      </c>
    </row>
    <row r="10312" ht="15.75" customHeight="1">
      <c r="A10312" s="1">
        <v>11550.0</v>
      </c>
      <c r="B10312" s="3" t="s">
        <v>29380</v>
      </c>
      <c r="C10312" s="3">
        <v>0.0</v>
      </c>
      <c r="D10312" s="3">
        <v>0.0</v>
      </c>
      <c r="E10312" s="3">
        <v>0.0</v>
      </c>
      <c r="F10312" s="3" t="s">
        <v>29381</v>
      </c>
      <c r="G10312" s="3">
        <v>0.0</v>
      </c>
      <c r="H10312" s="3">
        <v>0.0</v>
      </c>
      <c r="I10312" s="3" t="s">
        <v>13</v>
      </c>
      <c r="J10312" s="3" t="s">
        <v>29382</v>
      </c>
      <c r="K10312" s="3" t="s">
        <v>1097</v>
      </c>
      <c r="L10312" s="3" t="str">
        <f>IFERROR(__xludf.DUMMYFUNCTION("GOOGLETRANSLATE(F10312,""id"",""en"")"),"still can't believe Argentina world champion is not in vain Argentina")</f>
        <v>still can't believe Argentina world champion is not in vain Argentina</v>
      </c>
    </row>
    <row r="10313" ht="15.75" customHeight="1">
      <c r="A10313" s="1">
        <v>11551.0</v>
      </c>
      <c r="B10313" s="3" t="s">
        <v>29383</v>
      </c>
      <c r="C10313" s="3">
        <v>0.0</v>
      </c>
      <c r="D10313" s="3">
        <v>0.0</v>
      </c>
      <c r="E10313" s="3">
        <v>0.0</v>
      </c>
      <c r="F10313" s="3" t="s">
        <v>29384</v>
      </c>
      <c r="G10313" s="3">
        <v>0.0</v>
      </c>
      <c r="H10313" s="3">
        <v>0.0</v>
      </c>
      <c r="I10313" s="3" t="s">
        <v>13</v>
      </c>
      <c r="J10313" s="3" t="s">
        <v>29385</v>
      </c>
      <c r="K10313" s="3" t="s">
        <v>31</v>
      </c>
      <c r="L10313" s="3" t="str">
        <f>IFERROR(__xludf.DUMMYFUNCTION("GOOGLETRANSLATE(F10313,""id"",""en"")"),"as well as Monday but Argentina is champion right")</f>
        <v>as well as Monday but Argentina is champion right</v>
      </c>
    </row>
    <row r="10314" ht="15.75" customHeight="1">
      <c r="A10314" s="1">
        <v>11552.0</v>
      </c>
      <c r="B10314" s="3" t="s">
        <v>29386</v>
      </c>
      <c r="C10314" s="3">
        <v>3.0</v>
      </c>
      <c r="D10314" s="3">
        <v>4.0</v>
      </c>
      <c r="E10314" s="3">
        <v>91.0</v>
      </c>
      <c r="F10314" s="3" t="s">
        <v>29143</v>
      </c>
      <c r="G10314" s="3">
        <v>0.0</v>
      </c>
      <c r="H10314" s="3">
        <v>0.0</v>
      </c>
      <c r="I10314" s="3" t="s">
        <v>13</v>
      </c>
      <c r="J10314" s="3" t="s">
        <v>29144</v>
      </c>
      <c r="K10314" s="3" t="s">
        <v>633</v>
      </c>
      <c r="L10314" s="3" t="str">
        <f>IFERROR(__xludf.DUMMYFUNCTION("GOOGLETRANSLATE(F10314,""id"",""en"")"),"It is like if Messi Songong is okay, he's the best player printing goals with the Diffinal Goal with Argentina, this champion is Mon, I'm sorry, just not, Songong is exorbitant in jir")</f>
        <v>It is like if Messi Songong is okay, he's the best player printing goals with the Diffinal Goal with Argentina, this champion is Mon, I'm sorry, just not, Songong is exorbitant in jir</v>
      </c>
    </row>
    <row r="10315" ht="15.75" customHeight="1">
      <c r="A10315" s="1">
        <v>11553.0</v>
      </c>
      <c r="B10315" s="3" t="s">
        <v>29387</v>
      </c>
      <c r="C10315" s="3">
        <v>1.0</v>
      </c>
      <c r="D10315" s="3">
        <v>0.0</v>
      </c>
      <c r="E10315" s="3">
        <v>0.0</v>
      </c>
      <c r="F10315" s="3" t="s">
        <v>29388</v>
      </c>
      <c r="G10315" s="3">
        <v>0.0</v>
      </c>
      <c r="H10315" s="3">
        <v>0.0</v>
      </c>
      <c r="I10315" s="3" t="s">
        <v>13</v>
      </c>
      <c r="J10315" s="3" t="s">
        <v>29389</v>
      </c>
      <c r="K10315" s="3" t="s">
        <v>348</v>
      </c>
      <c r="L10315" s="3" t="str">
        <f>IFERROR(__xludf.DUMMYFUNCTION("GOOGLETRANSLATE(F10315,""id"",""en"")"),"Today's Twitter trending hosts and hunters on the rules of Cak Melon succumbed to the discussion of Leo Messi succeeded in bringing Argentina World Cup champions")</f>
        <v>Today's Twitter trending hosts and hunters on the rules of Cak Melon succumbed to the discussion of Leo Messi succeeded in bringing Argentina World Cup champions</v>
      </c>
    </row>
    <row r="10316" ht="15.75" customHeight="1">
      <c r="A10316" s="1">
        <v>11554.0</v>
      </c>
      <c r="B10316" s="3" t="s">
        <v>29390</v>
      </c>
      <c r="C10316" s="3">
        <v>0.0</v>
      </c>
      <c r="D10316" s="3">
        <v>0.0</v>
      </c>
      <c r="E10316" s="3">
        <v>1.0</v>
      </c>
      <c r="F10316" s="3" t="s">
        <v>29391</v>
      </c>
      <c r="G10316" s="3">
        <v>0.0</v>
      </c>
      <c r="H10316" s="3">
        <v>0.0</v>
      </c>
      <c r="I10316" s="3" t="s">
        <v>13</v>
      </c>
      <c r="J10316" s="3" t="s">
        <v>29392</v>
      </c>
      <c r="K10316" s="3" t="s">
        <v>41</v>
      </c>
      <c r="L10316" s="3" t="str">
        <f>IFERROR(__xludf.DUMMYFUNCTION("GOOGLETRANSLATE(F10316,""id"",""en"")"),"Saudi Arabian world champion because the only one who beats Argentina hehehe")</f>
        <v>Saudi Arabian world champion because the only one who beats Argentina hehehe</v>
      </c>
    </row>
    <row r="10317" ht="15.75" customHeight="1">
      <c r="A10317" s="1">
        <v>11555.0</v>
      </c>
      <c r="B10317" s="3" t="s">
        <v>29393</v>
      </c>
      <c r="C10317" s="3">
        <v>1.0</v>
      </c>
      <c r="D10317" s="3">
        <v>0.0</v>
      </c>
      <c r="E10317" s="3">
        <v>0.0</v>
      </c>
      <c r="F10317" s="3" t="s">
        <v>29394</v>
      </c>
      <c r="G10317" s="3">
        <v>0.0</v>
      </c>
      <c r="H10317" s="3">
        <v>0.0</v>
      </c>
      <c r="I10317" s="3" t="s">
        <v>13</v>
      </c>
      <c r="J10317" s="3" t="s">
        <v>29395</v>
      </c>
      <c r="K10317" s="3" t="s">
        <v>82</v>
      </c>
      <c r="L10317" s="3" t="str">
        <f>IFERROR(__xludf.DUMMYFUNCTION("GOOGLETRANSLATE(F10317,""id"",""en"")"),"Argentina The World Pialan Champion was also thanks to me Iwan Bule")</f>
        <v>Argentina The World Pialan Champion was also thanks to me Iwan Bule</v>
      </c>
    </row>
    <row r="10318" ht="15.75" customHeight="1">
      <c r="A10318" s="1">
        <v>11556.0</v>
      </c>
      <c r="B10318" s="3" t="s">
        <v>29396</v>
      </c>
      <c r="C10318" s="3">
        <v>0.0</v>
      </c>
      <c r="D10318" s="3">
        <v>0.0</v>
      </c>
      <c r="E10318" s="3">
        <v>0.0</v>
      </c>
      <c r="F10318" s="3" t="s">
        <v>29397</v>
      </c>
      <c r="G10318" s="3">
        <v>0.0</v>
      </c>
      <c r="H10318" s="3">
        <v>0.0</v>
      </c>
      <c r="I10318" s="3" t="s">
        <v>13</v>
      </c>
      <c r="J10318" s="3" t="s">
        <v>29398</v>
      </c>
      <c r="K10318" s="3" t="s">
        <v>19</v>
      </c>
      <c r="L10318" s="3" t="str">
        <f>IFERROR(__xludf.DUMMYFUNCTION("GOOGLETRANSLATE(F10318,""id"",""en"")"),"President Alberto Fernandez uploaded a photo of the front selfie after Argentina Champion World Cup")</f>
        <v>President Alberto Fernandez uploaded a photo of the front selfie after Argentina Champion World Cup</v>
      </c>
    </row>
    <row r="10319" ht="15.75" customHeight="1">
      <c r="A10319" s="1">
        <v>11557.0</v>
      </c>
      <c r="B10319" s="3" t="s">
        <v>29399</v>
      </c>
      <c r="C10319" s="3">
        <v>0.0</v>
      </c>
      <c r="D10319" s="3">
        <v>0.0</v>
      </c>
      <c r="E10319" s="3">
        <v>0.0</v>
      </c>
      <c r="F10319" s="3" t="s">
        <v>29400</v>
      </c>
      <c r="G10319" s="3">
        <v>0.0</v>
      </c>
      <c r="H10319" s="3">
        <v>0.0</v>
      </c>
      <c r="I10319" s="3" t="s">
        <v>13</v>
      </c>
      <c r="J10319" s="3" t="s">
        <v>29401</v>
      </c>
      <c r="K10319" s="3" t="s">
        <v>644</v>
      </c>
      <c r="L10319" s="3" t="str">
        <f>IFERROR(__xludf.DUMMYFUNCTION("GOOGLETRANSLATE(F10319,""id"",""en"")"),"Argentine Conspiracy Champion")</f>
        <v>Argentine Conspiracy Champion</v>
      </c>
    </row>
    <row r="10320" ht="15.75" customHeight="1">
      <c r="A10320" s="1">
        <v>11558.0</v>
      </c>
      <c r="B10320" s="3" t="s">
        <v>29402</v>
      </c>
      <c r="C10320" s="3">
        <v>0.0</v>
      </c>
      <c r="D10320" s="3">
        <v>0.0</v>
      </c>
      <c r="E10320" s="3">
        <v>0.0</v>
      </c>
      <c r="F10320" s="3" t="s">
        <v>26705</v>
      </c>
      <c r="G10320" s="3">
        <v>1.0</v>
      </c>
      <c r="H10320" s="3">
        <v>0.0</v>
      </c>
      <c r="I10320" s="3" t="s">
        <v>13</v>
      </c>
      <c r="J10320" s="3" t="s">
        <v>26706</v>
      </c>
      <c r="K10320" s="3" t="s">
        <v>437</v>
      </c>
      <c r="L10320" s="3" t="str">
        <f>IFERROR(__xludf.DUMMYFUNCTION("GOOGLETRANSLATE(F10320,""id"",""en"")"),"Argentina Champion World Cup after defeating France Angel Maria once again showed the favore of the final match with Argentina")</f>
        <v>Argentina Champion World Cup after defeating France Angel Maria once again showed the favore of the final match with Argentina</v>
      </c>
    </row>
    <row r="10321" ht="15.75" customHeight="1">
      <c r="A10321" s="1">
        <v>11559.0</v>
      </c>
      <c r="B10321" s="3" t="s">
        <v>29403</v>
      </c>
      <c r="C10321" s="3">
        <v>0.0</v>
      </c>
      <c r="D10321" s="3">
        <v>0.0</v>
      </c>
      <c r="E10321" s="3">
        <v>0.0</v>
      </c>
      <c r="F10321" s="3" t="s">
        <v>29404</v>
      </c>
      <c r="G10321" s="3">
        <v>0.1</v>
      </c>
      <c r="H10321" s="3">
        <v>0.0</v>
      </c>
      <c r="I10321" s="3" t="s">
        <v>13</v>
      </c>
      <c r="J10321" s="3" t="s">
        <v>29405</v>
      </c>
      <c r="K10321" s="3" t="s">
        <v>75</v>
      </c>
      <c r="L10321" s="3" t="str">
        <f>IFERROR(__xludf.DUMMYFUNCTION("GOOGLETRANSLATE(F10321,""id"",""en"")"),"Today's sky Vanilla Blue was very happy champion Argentina Amigos Siempre")</f>
        <v>Today's sky Vanilla Blue was very happy champion Argentina Amigos Siempre</v>
      </c>
    </row>
    <row r="10322" ht="15.75" customHeight="1">
      <c r="A10322" s="1">
        <v>11560.0</v>
      </c>
      <c r="B10322" s="3" t="s">
        <v>29406</v>
      </c>
      <c r="C10322" s="3">
        <v>1.0</v>
      </c>
      <c r="D10322" s="3">
        <v>0.0</v>
      </c>
      <c r="E10322" s="3">
        <v>0.0</v>
      </c>
      <c r="F10322" s="3" t="s">
        <v>29407</v>
      </c>
      <c r="G10322" s="3">
        <v>0.0</v>
      </c>
      <c r="H10322" s="3">
        <v>0.0</v>
      </c>
      <c r="I10322" s="3" t="s">
        <v>13</v>
      </c>
      <c r="J10322" s="3" t="s">
        <v>29408</v>
      </c>
      <c r="K10322" s="3" t="s">
        <v>499</v>
      </c>
      <c r="L10322" s="3" t="str">
        <f>IFERROR(__xludf.DUMMYFUNCTION("GOOGLETRANSLATE(F10322,""id"",""en"")"),"The full moment of the emotion of Lionel Messi Telalri from the stands for the hug of her son after delivering Argentina World Cup champion Emi Martinez Giroud Agueroud Maria")</f>
        <v>The full moment of the emotion of Lionel Messi Telalri from the stands for the hug of her son after delivering Argentina World Cup champion Emi Martinez Giroud Agueroud Maria</v>
      </c>
    </row>
    <row r="10323" ht="15.75" customHeight="1">
      <c r="A10323" s="1">
        <v>11561.0</v>
      </c>
      <c r="B10323" s="3" t="s">
        <v>29409</v>
      </c>
      <c r="C10323" s="3">
        <v>0.0</v>
      </c>
      <c r="D10323" s="3">
        <v>18.0</v>
      </c>
      <c r="E10323" s="3">
        <v>37.0</v>
      </c>
      <c r="F10323" s="3" t="s">
        <v>25470</v>
      </c>
      <c r="G10323" s="3">
        <v>0.0</v>
      </c>
      <c r="H10323" s="3">
        <v>0.0</v>
      </c>
      <c r="I10323" s="3" t="s">
        <v>13</v>
      </c>
      <c r="J10323" s="3" t="s">
        <v>25471</v>
      </c>
      <c r="K10323" s="3" t="s">
        <v>510</v>
      </c>
      <c r="L10323" s="3" t="str">
        <f>IFERROR(__xludf.DUMMYFUNCTION("GOOGLETRANSLATE(F10323,""id"",""en"")"),"Amazing the hometown of Lionel Messi became a sea of ​​people after Argentina Champion World Cup")</f>
        <v>Amazing the hometown of Lionel Messi became a sea of ​​people after Argentina Champion World Cup</v>
      </c>
    </row>
    <row r="10324" ht="15.75" customHeight="1">
      <c r="A10324" s="1">
        <v>11562.0</v>
      </c>
      <c r="B10324" s="3" t="s">
        <v>29410</v>
      </c>
      <c r="C10324" s="3">
        <v>0.0</v>
      </c>
      <c r="D10324" s="3">
        <v>0.0</v>
      </c>
      <c r="E10324" s="3">
        <v>0.0</v>
      </c>
      <c r="F10324" s="3" t="s">
        <v>26705</v>
      </c>
      <c r="G10324" s="3">
        <v>1.0</v>
      </c>
      <c r="H10324" s="3">
        <v>0.0</v>
      </c>
      <c r="I10324" s="3" t="s">
        <v>13</v>
      </c>
      <c r="J10324" s="3" t="s">
        <v>26706</v>
      </c>
      <c r="K10324" s="3" t="s">
        <v>437</v>
      </c>
      <c r="L10324" s="3" t="str">
        <f>IFERROR(__xludf.DUMMYFUNCTION("GOOGLETRANSLATE(F10324,""id"",""en"")"),"Argentina Champion World Cup after defeating France Angel Maria once again showed the favore of the final match with Argentina")</f>
        <v>Argentina Champion World Cup after defeating France Angel Maria once again showed the favore of the final match with Argentina</v>
      </c>
    </row>
    <row r="10325" ht="15.75" customHeight="1">
      <c r="A10325" s="1">
        <v>11563.0</v>
      </c>
      <c r="B10325" s="3" t="s">
        <v>29411</v>
      </c>
      <c r="C10325" s="3">
        <v>1.0</v>
      </c>
      <c r="D10325" s="3">
        <v>1.0</v>
      </c>
      <c r="E10325" s="3">
        <v>7.0</v>
      </c>
      <c r="F10325" s="3" t="s">
        <v>29412</v>
      </c>
      <c r="G10325" s="3">
        <v>0.0</v>
      </c>
      <c r="H10325" s="3">
        <v>0.0</v>
      </c>
      <c r="I10325" s="3" t="s">
        <v>13</v>
      </c>
      <c r="J10325" s="3" t="s">
        <v>29413</v>
      </c>
      <c r="K10325" s="3" t="s">
        <v>1157</v>
      </c>
      <c r="L10325" s="3" t="str">
        <f>IFERROR(__xludf.DUMMYFUNCTION("GOOGLETRANSLATE(F10325,""id"",""en"")"),"Weve this time the Pildun was set up by FIFA for Argentina, the liracter of his own legs can get a penalty where the judge is a child from the judge of the Maradona world champion, Argentina, the economic crisis for the FIFA just https")</f>
        <v>Weve this time the Pildun was set up by FIFA for Argentina, the liracter of his own legs can get a penalty where the judge is a child from the judge of the Maradona world champion, Argentina, the economic crisis for the FIFA just https</v>
      </c>
    </row>
    <row r="10326" ht="15.75" customHeight="1">
      <c r="A10326" s="1">
        <v>11564.0</v>
      </c>
      <c r="B10326" s="3" t="s">
        <v>29414</v>
      </c>
      <c r="C10326" s="3">
        <v>0.0</v>
      </c>
      <c r="D10326" s="3">
        <v>0.0</v>
      </c>
      <c r="E10326" s="3">
        <v>1.0</v>
      </c>
      <c r="F10326" s="3" t="s">
        <v>29415</v>
      </c>
      <c r="G10326" s="3">
        <v>0.0</v>
      </c>
      <c r="H10326" s="3">
        <v>0.0</v>
      </c>
      <c r="I10326" s="3" t="s">
        <v>13</v>
      </c>
      <c r="J10326" s="3" t="s">
        <v>29416</v>
      </c>
      <c r="K10326" s="3" t="s">
        <v>50</v>
      </c>
      <c r="L10326" s="3" t="str">
        <f>IFERROR(__xludf.DUMMYFUNCTION("GOOGLETRANSLATE(F10326,""id"",""en"")"),"Bring Argentina World Cup Champion Lionel Messi managed to break any record")</f>
        <v>Bring Argentina World Cup Champion Lionel Messi managed to break any record</v>
      </c>
    </row>
    <row r="10327" ht="15.75" customHeight="1">
      <c r="A10327" s="1">
        <v>11565.0</v>
      </c>
      <c r="B10327" s="3" t="s">
        <v>29417</v>
      </c>
      <c r="C10327" s="3">
        <v>0.0</v>
      </c>
      <c r="D10327" s="3">
        <v>0.0</v>
      </c>
      <c r="E10327" s="3">
        <v>0.0</v>
      </c>
      <c r="F10327" s="3" t="s">
        <v>29418</v>
      </c>
      <c r="G10327" s="3">
        <v>0.0</v>
      </c>
      <c r="H10327" s="3">
        <v>0.0</v>
      </c>
      <c r="I10327" s="3" t="s">
        <v>13</v>
      </c>
      <c r="J10327" s="3" t="s">
        <v>29419</v>
      </c>
      <c r="K10327" s="3" t="s">
        <v>644</v>
      </c>
      <c r="L10327" s="3" t="str">
        <f>IFERROR(__xludf.DUMMYFUNCTION("GOOGLETRANSLATE(F10327,""id"",""en"")"),"Bangke is still touched by Argentina Champion")</f>
        <v>Bangke is still touched by Argentina Champion</v>
      </c>
    </row>
    <row r="10328" ht="15.75" customHeight="1">
      <c r="A10328" s="1">
        <v>11567.0</v>
      </c>
      <c r="B10328" s="3" t="s">
        <v>29420</v>
      </c>
      <c r="C10328" s="3">
        <v>0.0</v>
      </c>
      <c r="D10328" s="3">
        <v>0.0</v>
      </c>
      <c r="E10328" s="3">
        <v>10.0</v>
      </c>
      <c r="F10328" s="3" t="s">
        <v>29421</v>
      </c>
      <c r="G10328" s="3">
        <v>0.0</v>
      </c>
      <c r="H10328" s="3">
        <v>0.0</v>
      </c>
      <c r="I10328" s="3" t="s">
        <v>13</v>
      </c>
      <c r="J10328" s="3" t="s">
        <v>29422</v>
      </c>
      <c r="K10328" s="3" t="s">
        <v>449</v>
      </c>
      <c r="L10328" s="3" t="str">
        <f>IFERROR(__xludf.DUMMYFUNCTION("GOOGLETRANSLATE(F10328,""id"",""en"")"),"Argentina's biggest kriting blunder pulled Maria immediately shake it the front lines added to play too pragmatic when they were superior to become javu like the Dutch opponent fortunately the champion last night")</f>
        <v>Argentina's biggest kriting blunder pulled Maria immediately shake it the front lines added to play too pragmatic when they were superior to become javu like the Dutch opponent fortunately the champion last night</v>
      </c>
    </row>
    <row r="10329" ht="15.75" customHeight="1">
      <c r="A10329" s="1">
        <v>11568.0</v>
      </c>
      <c r="B10329" s="3" t="s">
        <v>29423</v>
      </c>
      <c r="C10329" s="3">
        <v>0.0</v>
      </c>
      <c r="D10329" s="3">
        <v>0.0</v>
      </c>
      <c r="E10329" s="3">
        <v>0.0</v>
      </c>
      <c r="F10329" s="3" t="s">
        <v>29424</v>
      </c>
      <c r="G10329" s="3">
        <v>0.0</v>
      </c>
      <c r="H10329" s="3">
        <v>0.0</v>
      </c>
      <c r="I10329" s="3" t="s">
        <v>13</v>
      </c>
      <c r="J10329" s="3" t="s">
        <v>29425</v>
      </c>
      <c r="K10329" s="3" t="s">
        <v>2117</v>
      </c>
      <c r="L10329" s="3" t="str">
        <f>IFERROR(__xludf.DUMMYFUNCTION("GOOGLETRANSLATE(F10329,""id"",""en"")"),"Wiiii Argentina Champion")</f>
        <v>Wiiii Argentina Champion</v>
      </c>
    </row>
    <row r="10330" ht="15.75" customHeight="1">
      <c r="A10330" s="1">
        <v>11570.0</v>
      </c>
      <c r="B10330" s="3" t="s">
        <v>29426</v>
      </c>
      <c r="C10330" s="3">
        <v>0.0</v>
      </c>
      <c r="D10330" s="3">
        <v>0.0</v>
      </c>
      <c r="E10330" s="3">
        <v>0.0</v>
      </c>
      <c r="F10330" s="3" t="s">
        <v>29427</v>
      </c>
      <c r="G10330" s="3">
        <v>0.0</v>
      </c>
      <c r="H10330" s="3">
        <v>0.0</v>
      </c>
      <c r="I10330" s="3" t="s">
        <v>13</v>
      </c>
      <c r="J10330" s="3" t="s">
        <v>29428</v>
      </c>
      <c r="K10330" s="3" t="s">
        <v>41</v>
      </c>
      <c r="L10330" s="3" t="str">
        <f>IFERROR(__xludf.DUMMYFUNCTION("GOOGLETRANSLATE(F10330,""id"",""en"")"),"Word Cup World Champion This Argentina coach is a historical moment for our country")</f>
        <v>Word Cup World Champion This Argentina coach is a historical moment for our country</v>
      </c>
    </row>
    <row r="10331" ht="15.75" customHeight="1">
      <c r="A10331" s="1">
        <v>11571.0</v>
      </c>
      <c r="B10331" s="3" t="s">
        <v>29429</v>
      </c>
      <c r="C10331" s="3">
        <v>0.0</v>
      </c>
      <c r="D10331" s="3">
        <v>0.0</v>
      </c>
      <c r="E10331" s="3">
        <v>0.0</v>
      </c>
      <c r="F10331" s="3" t="s">
        <v>29430</v>
      </c>
      <c r="G10331" s="3">
        <v>0.0</v>
      </c>
      <c r="H10331" s="3">
        <v>0.0</v>
      </c>
      <c r="I10331" s="3" t="s">
        <v>13</v>
      </c>
      <c r="J10331" s="3" t="s">
        <v>29431</v>
      </c>
      <c r="K10331" s="3" t="s">
        <v>50</v>
      </c>
      <c r="L10331" s="3" t="str">
        <f>IFERROR(__xludf.DUMMYFUNCTION("GOOGLETRANSLATE(F10331,""id"",""en"")"),"Imagine in the year of his experience was believed to be the main goalkeeper of Argentina to the world champion")</f>
        <v>Imagine in the year of his experience was believed to be the main goalkeeper of Argentina to the world champion</v>
      </c>
    </row>
    <row r="10332" ht="15.75" customHeight="1">
      <c r="A10332" s="1">
        <v>11572.0</v>
      </c>
      <c r="B10332" s="3" t="s">
        <v>29432</v>
      </c>
      <c r="C10332" s="3">
        <v>1.0</v>
      </c>
      <c r="D10332" s="3">
        <v>0.0</v>
      </c>
      <c r="E10332" s="3">
        <v>3.0</v>
      </c>
      <c r="F10332" s="3" t="s">
        <v>29433</v>
      </c>
      <c r="G10332" s="3">
        <v>0.0</v>
      </c>
      <c r="H10332" s="3">
        <v>0.0</v>
      </c>
      <c r="I10332" s="3" t="s">
        <v>13</v>
      </c>
      <c r="J10332" s="3" t="s">
        <v>29434</v>
      </c>
      <c r="K10332" s="3" t="s">
        <v>41</v>
      </c>
      <c r="L10332" s="3" t="str">
        <f>IFERROR(__xludf.DUMMYFUNCTION("GOOGLETRANSLATE(F10332,""id"",""en"")"),"When Argentina champions always have goals all related to the number, sir")</f>
        <v>When Argentina champions always have goals all related to the number, sir</v>
      </c>
    </row>
    <row r="10333" ht="15.75" customHeight="1">
      <c r="A10333" s="1">
        <v>11573.0</v>
      </c>
      <c r="B10333" s="3" t="s">
        <v>29435</v>
      </c>
      <c r="C10333" s="3">
        <v>0.0</v>
      </c>
      <c r="D10333" s="3">
        <v>0.0</v>
      </c>
      <c r="E10333" s="3">
        <v>0.0</v>
      </c>
      <c r="F10333" s="3" t="s">
        <v>29436</v>
      </c>
      <c r="G10333" s="3">
        <v>0.0</v>
      </c>
      <c r="H10333" s="3">
        <v>0.0</v>
      </c>
      <c r="I10333" s="3" t="s">
        <v>13</v>
      </c>
      <c r="J10333" s="3" t="s">
        <v>29437</v>
      </c>
      <c r="K10333" s="3" t="s">
        <v>54</v>
      </c>
      <c r="L10333" s="3" t="str">
        <f>IFERROR(__xludf.DUMMYFUNCTION("GOOGLETRANSLATE(F10333,""id"",""en"")"),"Argentina Champion France Runner according to predictions")</f>
        <v>Argentina Champion France Runner according to predictions</v>
      </c>
    </row>
    <row r="10334" ht="15.75" customHeight="1">
      <c r="A10334" s="1">
        <v>11574.0</v>
      </c>
      <c r="B10334" s="3" t="s">
        <v>29438</v>
      </c>
      <c r="C10334" s="3">
        <v>1.0</v>
      </c>
      <c r="D10334" s="3">
        <v>12.0</v>
      </c>
      <c r="E10334" s="3">
        <v>70.0</v>
      </c>
      <c r="F10334" s="3" t="s">
        <v>29439</v>
      </c>
      <c r="G10334" s="3">
        <v>0.0</v>
      </c>
      <c r="H10334" s="3">
        <v>0.0</v>
      </c>
      <c r="I10334" s="3" t="s">
        <v>13</v>
      </c>
      <c r="J10334" s="3" t="s">
        <v>29440</v>
      </c>
      <c r="K10334" s="3" t="s">
        <v>266</v>
      </c>
      <c r="L10334" s="3" t="str">
        <f>IFERROR(__xludf.DUMMYFUNCTION("GOOGLETRANSLATE(F10334,""id"",""en"")"),"The sea of ​​humans with a typical color of Argentina jersey packed the capital city of Buenos Aires after the Tango team holding the winning title became the third title for Argentina after waiting for the year")</f>
        <v>The sea of ​​humans with a typical color of Argentina jersey packed the capital city of Buenos Aires after the Tango team holding the winning title became the third title for Argentina after waiting for the year</v>
      </c>
    </row>
    <row r="10335" ht="15.75" customHeight="1">
      <c r="A10335" s="1">
        <v>11575.0</v>
      </c>
      <c r="B10335" s="3" t="s">
        <v>29441</v>
      </c>
      <c r="C10335" s="3">
        <v>0.0</v>
      </c>
      <c r="D10335" s="3">
        <v>0.0</v>
      </c>
      <c r="E10335" s="3">
        <v>0.0</v>
      </c>
      <c r="F10335" s="3" t="s">
        <v>29442</v>
      </c>
      <c r="G10335" s="3">
        <v>0.0</v>
      </c>
      <c r="H10335" s="3">
        <v>0.0</v>
      </c>
      <c r="I10335" s="3" t="s">
        <v>13</v>
      </c>
      <c r="J10335" s="3" t="s">
        <v>29443</v>
      </c>
      <c r="K10335" s="3" t="s">
        <v>75</v>
      </c>
      <c r="L10335" s="3" t="str">
        <f>IFERROR(__xludf.DUMMYFUNCTION("GOOGLETRANSLATE(F10335,""id"",""en"")"),"Argentina Champion World Cup After France Bending via Penalties")</f>
        <v>Argentina Champion World Cup After France Bending via Penalties</v>
      </c>
    </row>
    <row r="10336" ht="15.75" customHeight="1">
      <c r="A10336" s="1">
        <v>11576.0</v>
      </c>
      <c r="B10336" s="3" t="s">
        <v>29444</v>
      </c>
      <c r="C10336" s="3">
        <v>0.0</v>
      </c>
      <c r="D10336" s="3">
        <v>0.0</v>
      </c>
      <c r="E10336" s="3">
        <v>0.0</v>
      </c>
      <c r="F10336" s="3" t="s">
        <v>29445</v>
      </c>
      <c r="G10336" s="3">
        <v>0.2</v>
      </c>
      <c r="H10336" s="3">
        <v>-0.1</v>
      </c>
      <c r="I10336" s="3" t="s">
        <v>179</v>
      </c>
      <c r="J10336" s="3" t="s">
        <v>29446</v>
      </c>
      <c r="K10336" s="3" t="s">
        <v>860</v>
      </c>
      <c r="L10336" s="3" t="str">
        <f>IFERROR(__xludf.DUMMYFUNCTION("GOOGLETRANSLATE(F10336,""id"",""en"")"),"I think Ronaldo EMG is hard, the champion is a matter of the mentality of his team, Argentina EMG has history and mental champion, now the moment is now if Portugal is heavy")</f>
        <v>I think Ronaldo EMG is hard, the champion is a matter of the mentality of his team, Argentina EMG has history and mental champion, now the moment is now if Portugal is heavy</v>
      </c>
    </row>
    <row r="10337" ht="15.75" customHeight="1">
      <c r="A10337" s="1">
        <v>11577.0</v>
      </c>
      <c r="B10337" s="3" t="s">
        <v>29447</v>
      </c>
      <c r="C10337" s="3">
        <v>0.0</v>
      </c>
      <c r="D10337" s="3">
        <v>0.0</v>
      </c>
      <c r="E10337" s="3">
        <v>1.0</v>
      </c>
      <c r="F10337" s="3" t="s">
        <v>29448</v>
      </c>
      <c r="G10337" s="3">
        <v>0.0</v>
      </c>
      <c r="H10337" s="3">
        <v>0.0</v>
      </c>
      <c r="I10337" s="3" t="s">
        <v>13</v>
      </c>
      <c r="J10337" s="3" t="s">
        <v>29449</v>
      </c>
      <c r="K10337" s="3" t="s">
        <v>1335</v>
      </c>
      <c r="L10337" s="3" t="str">
        <f>IFERROR(__xludf.DUMMYFUNCTION("GOOGLETRANSLATE(F10337,""id"",""en"")"),"The era of Iwan was Argentina champion thank you Iwan")</f>
        <v>The era of Iwan was Argentina champion thank you Iwan</v>
      </c>
    </row>
    <row r="10338" ht="15.75" customHeight="1">
      <c r="A10338" s="1">
        <v>11578.0</v>
      </c>
      <c r="B10338" s="3" t="s">
        <v>29450</v>
      </c>
      <c r="C10338" s="3">
        <v>0.0</v>
      </c>
      <c r="D10338" s="3">
        <v>0.0</v>
      </c>
      <c r="E10338" s="3">
        <v>0.0</v>
      </c>
      <c r="F10338" s="3" t="s">
        <v>29451</v>
      </c>
      <c r="G10338" s="3">
        <v>0.0</v>
      </c>
      <c r="H10338" s="3">
        <v>0.0</v>
      </c>
      <c r="I10338" s="3" t="s">
        <v>13</v>
      </c>
      <c r="J10338" s="3" t="s">
        <v>29452</v>
      </c>
      <c r="K10338" s="3" t="s">
        <v>54</v>
      </c>
      <c r="L10338" s="3" t="str">
        <f>IFERROR(__xludf.DUMMYFUNCTION("GOOGLETRANSLATE(F10338,""id"",""en"")"),"Gpp likes him from Argentina WJW champions")</f>
        <v>Gpp likes him from Argentina WJW champions</v>
      </c>
    </row>
    <row r="10339" ht="15.75" customHeight="1">
      <c r="A10339" s="1">
        <v>11579.0</v>
      </c>
      <c r="B10339" s="3" t="s">
        <v>29453</v>
      </c>
      <c r="C10339" s="3">
        <v>0.0</v>
      </c>
      <c r="D10339" s="3">
        <v>0.0</v>
      </c>
      <c r="E10339" s="3">
        <v>0.0</v>
      </c>
      <c r="F10339" s="3" t="s">
        <v>24632</v>
      </c>
      <c r="G10339" s="3">
        <v>0.0</v>
      </c>
      <c r="H10339" s="3">
        <v>0.0</v>
      </c>
      <c r="I10339" s="3" t="s">
        <v>13</v>
      </c>
      <c r="J10339" s="3" t="s">
        <v>24633</v>
      </c>
      <c r="K10339" s="3" t="s">
        <v>31</v>
      </c>
      <c r="L10339" s="3" t="str">
        <f>IFERROR(__xludf.DUMMYFUNCTION("GOOGLETRANSLATE(F10339,""id"",""en"")"),"Argentina World Cup World Champion")</f>
        <v>Argentina World Cup World Champion</v>
      </c>
    </row>
    <row r="10340" ht="15.75" customHeight="1">
      <c r="A10340" s="1">
        <v>11580.0</v>
      </c>
      <c r="B10340" s="3" t="s">
        <v>29454</v>
      </c>
      <c r="C10340" s="3">
        <v>0.0</v>
      </c>
      <c r="D10340" s="3">
        <v>0.0</v>
      </c>
      <c r="E10340" s="3">
        <v>2.0</v>
      </c>
      <c r="F10340" s="3" t="s">
        <v>29455</v>
      </c>
      <c r="G10340" s="3">
        <v>0.0</v>
      </c>
      <c r="H10340" s="3">
        <v>0.0</v>
      </c>
      <c r="I10340" s="3" t="s">
        <v>13</v>
      </c>
      <c r="J10340" s="3" t="s">
        <v>29456</v>
      </c>
      <c r="K10340" s="3" t="s">
        <v>236</v>
      </c>
      <c r="L10340" s="3" t="str">
        <f>IFERROR(__xludf.DUMMYFUNCTION("GOOGLETRANSLATE(F10340,""id"",""en"")"),"noisy champion Argentina why is here it's complicated this is the chocolate champion")</f>
        <v>noisy champion Argentina why is here it's complicated this is the chocolate champion</v>
      </c>
    </row>
    <row r="10341" ht="15.75" customHeight="1">
      <c r="A10341" s="1">
        <v>11581.0</v>
      </c>
      <c r="B10341" s="3" t="s">
        <v>29457</v>
      </c>
      <c r="C10341" s="3">
        <v>0.0</v>
      </c>
      <c r="D10341" s="3">
        <v>0.0</v>
      </c>
      <c r="E10341" s="3">
        <v>0.0</v>
      </c>
      <c r="F10341" s="3" t="s">
        <v>29458</v>
      </c>
      <c r="G10341" s="3">
        <v>0.0</v>
      </c>
      <c r="H10341" s="3">
        <v>0.0</v>
      </c>
      <c r="I10341" s="3" t="s">
        <v>13</v>
      </c>
      <c r="J10341" s="3" t="s">
        <v>29459</v>
      </c>
      <c r="K10341" s="3" t="s">
        <v>71</v>
      </c>
      <c r="L10341" s="3" t="str">
        <f>IFERROR(__xludf.DUMMYFUNCTION("GOOGLETRANSLATE(F10341,""id"",""en"")"),"Lionel Messi brought Argentina to be selected World Cup champions as Maradona Giroud Ageuro's best player")</f>
        <v>Lionel Messi brought Argentina to be selected World Cup champions as Maradona Giroud Ageuro's best player</v>
      </c>
    </row>
    <row r="10342" ht="15.75" customHeight="1">
      <c r="A10342" s="1">
        <v>11582.0</v>
      </c>
      <c r="B10342" s="3" t="s">
        <v>29460</v>
      </c>
      <c r="C10342" s="3">
        <v>0.0</v>
      </c>
      <c r="D10342" s="3">
        <v>1.0</v>
      </c>
      <c r="E10342" s="3">
        <v>3.0</v>
      </c>
      <c r="F10342" s="3" t="s">
        <v>29461</v>
      </c>
      <c r="G10342" s="3">
        <v>1.0</v>
      </c>
      <c r="H10342" s="3">
        <v>0.0</v>
      </c>
      <c r="I10342" s="3" t="s">
        <v>13</v>
      </c>
      <c r="J10342" s="3" t="s">
        <v>29462</v>
      </c>
      <c r="K10342" s="3" t="s">
        <v>184</v>
      </c>
      <c r="L10342" s="3" t="str">
        <f>IFERROR(__xludf.DUMMYFUNCTION("GOOGLETRANSLATE(F10342,""id"",""en"")"),"Argentina emerged as the World Cup champion after crushing France through the final penalty shootout of the Tango Team also ended the wait for the championship after the year")</f>
        <v>Argentina emerged as the World Cup champion after crushing France through the final penalty shootout of the Tango Team also ended the wait for the championship after the year</v>
      </c>
    </row>
    <row r="10343" ht="15.75" customHeight="1">
      <c r="A10343" s="1">
        <v>11583.0</v>
      </c>
      <c r="B10343" s="3" t="s">
        <v>29463</v>
      </c>
      <c r="C10343" s="3">
        <v>1.0</v>
      </c>
      <c r="D10343" s="3">
        <v>0.0</v>
      </c>
      <c r="E10343" s="3">
        <v>1.0</v>
      </c>
      <c r="F10343" s="3" t="s">
        <v>29464</v>
      </c>
      <c r="G10343" s="3">
        <v>0.0</v>
      </c>
      <c r="H10343" s="3">
        <v>0.0</v>
      </c>
      <c r="I10343" s="3" t="s">
        <v>13</v>
      </c>
      <c r="J10343" s="3" t="s">
        <v>29465</v>
      </c>
      <c r="K10343" s="3" t="s">
        <v>15</v>
      </c>
      <c r="L10343" s="3" t="str">
        <f>IFERROR(__xludf.DUMMYFUNCTION("GOOGLETRANSLATE(F10343,""id"",""en"")"),"Argentine sports are predicted to win the World Cup championship")</f>
        <v>Argentine sports are predicted to win the World Cup championship</v>
      </c>
    </row>
    <row r="10344" ht="15.75" customHeight="1">
      <c r="A10344" s="1">
        <v>11584.0</v>
      </c>
      <c r="B10344" s="3" t="s">
        <v>29466</v>
      </c>
      <c r="C10344" s="3">
        <v>0.0</v>
      </c>
      <c r="D10344" s="3">
        <v>0.0</v>
      </c>
      <c r="E10344" s="3">
        <v>0.0</v>
      </c>
      <c r="F10344" s="3" t="s">
        <v>29467</v>
      </c>
      <c r="G10344" s="3">
        <v>0.0</v>
      </c>
      <c r="H10344" s="3">
        <v>0.0</v>
      </c>
      <c r="I10344" s="3" t="s">
        <v>13</v>
      </c>
      <c r="J10344" s="3" t="s">
        <v>29468</v>
      </c>
      <c r="K10344" s="3" t="s">
        <v>15</v>
      </c>
      <c r="L10344" s="3" t="str">
        <f>IFERROR(__xludf.DUMMYFUNCTION("GOOGLETRANSLATE(F10344,""id"",""en"")"),"The proud expression of his wife to Messi after Argentina champions pildun")</f>
        <v>The proud expression of his wife to Messi after Argentina champions pildun</v>
      </c>
    </row>
    <row r="10345" ht="15.75" customHeight="1">
      <c r="A10345" s="1">
        <v>11585.0</v>
      </c>
      <c r="B10345" s="3" t="s">
        <v>29469</v>
      </c>
      <c r="C10345" s="3">
        <v>0.0</v>
      </c>
      <c r="D10345" s="3">
        <v>0.0</v>
      </c>
      <c r="E10345" s="3">
        <v>0.0</v>
      </c>
      <c r="F10345" s="3" t="s">
        <v>29470</v>
      </c>
      <c r="G10345" s="3">
        <v>0.0</v>
      </c>
      <c r="H10345" s="3">
        <v>0.0</v>
      </c>
      <c r="I10345" s="3" t="s">
        <v>13</v>
      </c>
      <c r="J10345" s="3" t="s">
        <v>29471</v>
      </c>
      <c r="K10345" s="3" t="s">
        <v>50</v>
      </c>
      <c r="L10345" s="3" t="str">
        <f>IFERROR(__xludf.DUMMYFUNCTION("GOOGLETRANSLATE(F10345,""id"",""en"")"),"Defeat France through the Argentine penalty shooting drama to become the World Cup championship")</f>
        <v>Defeat France through the Argentine penalty shooting drama to become the World Cup championship</v>
      </c>
    </row>
    <row r="10346" ht="15.75" customHeight="1">
      <c r="A10346" s="1">
        <v>11586.0</v>
      </c>
      <c r="B10346" s="3" t="s">
        <v>29472</v>
      </c>
      <c r="C10346" s="3">
        <v>1.0</v>
      </c>
      <c r="D10346" s="3">
        <v>0.0</v>
      </c>
      <c r="E10346" s="3">
        <v>0.0</v>
      </c>
      <c r="F10346" s="3" t="s">
        <v>29473</v>
      </c>
      <c r="G10346" s="3">
        <v>0.0</v>
      </c>
      <c r="H10346" s="3">
        <v>0.0</v>
      </c>
      <c r="I10346" s="3" t="s">
        <v>13</v>
      </c>
      <c r="J10346" s="3" t="s">
        <v>29474</v>
      </c>
      <c r="K10346" s="3" t="s">
        <v>695</v>
      </c>
      <c r="L10346" s="3" t="str">
        <f>IFERROR(__xludf.DUMMYFUNCTION("GOOGLETRANSLATE(F10346,""id"",""en"")"),"Arsenal fans I remember Leno injured and replaced by Emi HBIS, he won the cup and championed the Argentina Breng until now")</f>
        <v>Arsenal fans I remember Leno injured and replaced by Emi HBIS, he won the cup and championed the Argentina Breng until now</v>
      </c>
    </row>
    <row r="10347" ht="15.75" customHeight="1">
      <c r="A10347" s="1">
        <v>11587.0</v>
      </c>
      <c r="B10347" s="3" t="s">
        <v>29475</v>
      </c>
      <c r="C10347" s="3">
        <v>0.0</v>
      </c>
      <c r="D10347" s="3">
        <v>0.0</v>
      </c>
      <c r="E10347" s="3">
        <v>0.0</v>
      </c>
      <c r="F10347" s="3" t="s">
        <v>22584</v>
      </c>
      <c r="G10347" s="3">
        <v>0.0</v>
      </c>
      <c r="H10347" s="3">
        <v>0.0</v>
      </c>
      <c r="I10347" s="3" t="s">
        <v>13</v>
      </c>
      <c r="J10347" s="3" t="s">
        <v>22585</v>
      </c>
      <c r="K10347" s="3" t="s">
        <v>31</v>
      </c>
      <c r="L10347" s="3" t="str">
        <f>IFERROR(__xludf.DUMMYFUNCTION("GOOGLETRANSLATE(F10347,""id"",""en"")"),"Argentina Champion World Cup Qatar")</f>
        <v>Argentina Champion World Cup Qatar</v>
      </c>
    </row>
    <row r="10348" ht="15.75" customHeight="1">
      <c r="A10348" s="1">
        <v>11588.0</v>
      </c>
      <c r="B10348" s="3" t="s">
        <v>29476</v>
      </c>
      <c r="C10348" s="3">
        <v>0.0</v>
      </c>
      <c r="D10348" s="3">
        <v>0.0</v>
      </c>
      <c r="E10348" s="3">
        <v>0.0</v>
      </c>
      <c r="F10348" s="3" t="s">
        <v>29477</v>
      </c>
      <c r="G10348" s="3">
        <v>0.0</v>
      </c>
      <c r="H10348" s="3">
        <v>0.0</v>
      </c>
      <c r="I10348" s="3" t="s">
        <v>13</v>
      </c>
      <c r="J10348" s="3" t="s">
        <v>29478</v>
      </c>
      <c r="K10348" s="3" t="s">
        <v>75</v>
      </c>
      <c r="L10348" s="3" t="str">
        <f>IFERROR(__xludf.DUMMYFUNCTION("GOOGLETRANSLATE(F10348,""id"",""en"")"),"Argentina World Cup Champion continues KNP Raul Lemos Trending Topic")</f>
        <v>Argentina World Cup Champion continues KNP Raul Lemos Trending Topic</v>
      </c>
    </row>
    <row r="10349" ht="15.75" customHeight="1">
      <c r="A10349" s="1">
        <v>11589.0</v>
      </c>
      <c r="B10349" s="3" t="s">
        <v>29479</v>
      </c>
      <c r="C10349" s="3">
        <v>0.0</v>
      </c>
      <c r="D10349" s="3">
        <v>0.0</v>
      </c>
      <c r="E10349" s="3">
        <v>4.0</v>
      </c>
      <c r="F10349" s="3" t="s">
        <v>29480</v>
      </c>
      <c r="G10349" s="3">
        <v>0.0</v>
      </c>
      <c r="H10349" s="3">
        <v>0.0</v>
      </c>
      <c r="I10349" s="3" t="s">
        <v>13</v>
      </c>
      <c r="J10349" s="3" t="s">
        <v>29481</v>
      </c>
      <c r="K10349" s="3" t="s">
        <v>15</v>
      </c>
      <c r="L10349" s="3" t="str">
        <f>IFERROR(__xludf.DUMMYFUNCTION("GOOGLETRANSLATE(F10349,""id"",""en"")"),"Thanks to Mr. Jokowi Argentina, he won the drun, don't go.")</f>
        <v>Thanks to Mr. Jokowi Argentina, he won the drun, don't go.</v>
      </c>
    </row>
    <row r="10350" ht="15.75" customHeight="1">
      <c r="A10350" s="1">
        <v>11590.0</v>
      </c>
      <c r="B10350" s="3" t="s">
        <v>29482</v>
      </c>
      <c r="C10350" s="3">
        <v>0.0</v>
      </c>
      <c r="D10350" s="3">
        <v>0.0</v>
      </c>
      <c r="E10350" s="3">
        <v>0.0</v>
      </c>
      <c r="F10350" s="3" t="s">
        <v>29483</v>
      </c>
      <c r="G10350" s="3">
        <v>0.0</v>
      </c>
      <c r="H10350" s="3">
        <v>0.0</v>
      </c>
      <c r="I10350" s="3" t="s">
        <v>13</v>
      </c>
      <c r="J10350" s="3" t="s">
        <v>29484</v>
      </c>
      <c r="K10350" s="3" t="s">
        <v>50</v>
      </c>
      <c r="L10350" s="3" t="str">
        <f>IFERROR(__xludf.DUMMYFUNCTION("GOOGLETRANSLATE(F10350,""id"",""en"")"),"How many prizes have been obtained by Argentina as the champion of the Qatar World Cup to reach billion")</f>
        <v>How many prizes have been obtained by Argentina as the champion of the Qatar World Cup to reach billion</v>
      </c>
    </row>
    <row r="10351" ht="15.75" customHeight="1">
      <c r="A10351" s="1">
        <v>11591.0</v>
      </c>
      <c r="B10351" s="3" t="s">
        <v>29485</v>
      </c>
      <c r="C10351" s="3">
        <v>0.0</v>
      </c>
      <c r="D10351" s="3">
        <v>0.0</v>
      </c>
      <c r="E10351" s="3">
        <v>0.0</v>
      </c>
      <c r="F10351" s="3" t="s">
        <v>29483</v>
      </c>
      <c r="G10351" s="3">
        <v>0.0</v>
      </c>
      <c r="H10351" s="3">
        <v>0.0</v>
      </c>
      <c r="I10351" s="3" t="s">
        <v>13</v>
      </c>
      <c r="J10351" s="3" t="s">
        <v>29484</v>
      </c>
      <c r="K10351" s="3" t="s">
        <v>50</v>
      </c>
      <c r="L10351" s="3" t="str">
        <f>IFERROR(__xludf.DUMMYFUNCTION("GOOGLETRANSLATE(F10351,""id"",""en"")"),"How many prizes have been obtained by Argentina as the champion of the Qatar World Cup to reach billion")</f>
        <v>How many prizes have been obtained by Argentina as the champion of the Qatar World Cup to reach billion</v>
      </c>
    </row>
    <row r="10352" ht="15.75" customHeight="1">
      <c r="A10352" s="1">
        <v>11592.0</v>
      </c>
      <c r="B10352" s="3" t="s">
        <v>29486</v>
      </c>
      <c r="C10352" s="3">
        <v>0.0</v>
      </c>
      <c r="D10352" s="3">
        <v>0.0</v>
      </c>
      <c r="E10352" s="3">
        <v>0.0</v>
      </c>
      <c r="F10352" s="3" t="s">
        <v>29487</v>
      </c>
      <c r="G10352" s="3">
        <v>0.0</v>
      </c>
      <c r="H10352" s="3">
        <v>0.0</v>
      </c>
      <c r="I10352" s="3" t="s">
        <v>13</v>
      </c>
      <c r="J10352" s="3" t="s">
        <v>29488</v>
      </c>
      <c r="K10352" s="3" t="s">
        <v>15</v>
      </c>
      <c r="L10352" s="3" t="str">
        <f>IFERROR(__xludf.DUMMYFUNCTION("GOOGLETRANSLATE(F10352,""id"",""en"")"),"Argentina Congratulations Champion World Cup Vamos Tango Team")</f>
        <v>Argentina Congratulations Champion World Cup Vamos Tango Team</v>
      </c>
    </row>
    <row r="10353" ht="15.75" customHeight="1">
      <c r="A10353" s="1">
        <v>11593.0</v>
      </c>
      <c r="B10353" s="3" t="s">
        <v>29489</v>
      </c>
      <c r="C10353" s="3">
        <v>3.0</v>
      </c>
      <c r="D10353" s="3">
        <v>0.0</v>
      </c>
      <c r="E10353" s="3">
        <v>7.0</v>
      </c>
      <c r="F10353" s="3" t="s">
        <v>29490</v>
      </c>
      <c r="G10353" s="3">
        <v>0.0</v>
      </c>
      <c r="H10353" s="3">
        <v>0.0</v>
      </c>
      <c r="I10353" s="3" t="s">
        <v>13</v>
      </c>
      <c r="J10353" s="3" t="s">
        <v>29491</v>
      </c>
      <c r="K10353" s="3" t="s">
        <v>491</v>
      </c>
      <c r="L10353" s="3" t="str">
        <f>IFERROR(__xludf.DUMMYFUNCTION("GOOGLETRANSLATE(F10353,""id"",""en"")"),"South Korea Japan champion Brazil Qatar Argentina Asia champions are where American Latin State has a next Asian party")</f>
        <v>South Korea Japan champion Brazil Qatar Argentina Asia champions are where American Latin State has a next Asian party</v>
      </c>
    </row>
    <row r="10354" ht="15.75" customHeight="1">
      <c r="A10354" s="1">
        <v>11594.0</v>
      </c>
      <c r="B10354" s="3" t="s">
        <v>29492</v>
      </c>
      <c r="C10354" s="3">
        <v>0.0</v>
      </c>
      <c r="D10354" s="3">
        <v>0.0</v>
      </c>
      <c r="E10354" s="3">
        <v>0.0</v>
      </c>
      <c r="F10354" s="3" t="s">
        <v>29493</v>
      </c>
      <c r="G10354" s="3">
        <v>0.0</v>
      </c>
      <c r="H10354" s="3">
        <v>0.0</v>
      </c>
      <c r="I10354" s="3" t="s">
        <v>13</v>
      </c>
      <c r="J10354" s="3" t="s">
        <v>29494</v>
      </c>
      <c r="K10354" s="3" t="s">
        <v>644</v>
      </c>
      <c r="L10354" s="3" t="str">
        <f>IFERROR(__xludf.DUMMYFUNCTION("GOOGLETRANSLATE(F10354,""id"",""en"")"),"Our Argentine President is a world champion")</f>
        <v>Our Argentine President is a world champion</v>
      </c>
    </row>
    <row r="10355" ht="15.75" customHeight="1">
      <c r="A10355" s="1">
        <v>11595.0</v>
      </c>
      <c r="B10355" s="3" t="s">
        <v>29495</v>
      </c>
      <c r="C10355" s="3">
        <v>1.0</v>
      </c>
      <c r="D10355" s="3">
        <v>0.0</v>
      </c>
      <c r="E10355" s="3">
        <v>0.0</v>
      </c>
      <c r="F10355" s="3" t="s">
        <v>29496</v>
      </c>
      <c r="G10355" s="3">
        <v>0.0</v>
      </c>
      <c r="H10355" s="3">
        <v>0.0</v>
      </c>
      <c r="I10355" s="3" t="s">
        <v>13</v>
      </c>
      <c r="J10355" s="3" t="s">
        <v>16104</v>
      </c>
      <c r="K10355" s="3" t="s">
        <v>14571</v>
      </c>
      <c r="L10355" s="3" t="str">
        <f>IFERROR(__xludf.DUMMYFUNCTION("GOOGLETRANSLATE(F10355,""id"",""en"")"),"Argentina Champion")</f>
        <v>Argentina Champion</v>
      </c>
    </row>
    <row r="10356" ht="15.75" customHeight="1">
      <c r="A10356" s="1">
        <v>11596.0</v>
      </c>
      <c r="B10356" s="3" t="s">
        <v>29497</v>
      </c>
      <c r="C10356" s="3">
        <v>0.0</v>
      </c>
      <c r="D10356" s="3">
        <v>0.0</v>
      </c>
      <c r="E10356" s="3">
        <v>2.0</v>
      </c>
      <c r="F10356" s="3" t="s">
        <v>28572</v>
      </c>
      <c r="G10356" s="3">
        <v>0.0</v>
      </c>
      <c r="H10356" s="3">
        <v>0.0</v>
      </c>
      <c r="I10356" s="3" t="s">
        <v>13</v>
      </c>
      <c r="J10356" s="3" t="s">
        <v>28573</v>
      </c>
      <c r="K10356" s="3" t="s">
        <v>58</v>
      </c>
      <c r="L10356" s="3" t="str">
        <f>IFERROR(__xludf.DUMMYFUNCTION("GOOGLETRANSLATE(F10356,""id"",""en"")"),"John Terry Terolok olok Sergio Aguero joined the Argentine celebration of the World Cup championship")</f>
        <v>John Terry Terolok olok Sergio Aguero joined the Argentine celebration of the World Cup championship</v>
      </c>
    </row>
    <row r="10357" ht="15.75" customHeight="1">
      <c r="A10357" s="1">
        <v>11597.0</v>
      </c>
      <c r="B10357" s="3" t="s">
        <v>29498</v>
      </c>
      <c r="C10357" s="3">
        <v>0.0</v>
      </c>
      <c r="D10357" s="3">
        <v>0.0</v>
      </c>
      <c r="E10357" s="3">
        <v>1.0</v>
      </c>
      <c r="F10357" s="3" t="s">
        <v>28429</v>
      </c>
      <c r="G10357" s="3">
        <v>0.0</v>
      </c>
      <c r="H10357" s="3">
        <v>0.0</v>
      </c>
      <c r="I10357" s="3" t="s">
        <v>13</v>
      </c>
      <c r="J10357" s="3" t="s">
        <v>28430</v>
      </c>
      <c r="K10357" s="3" t="s">
        <v>75</v>
      </c>
      <c r="L10357" s="3" t="str">
        <f>IFERROR(__xludf.DUMMYFUNCTION("GOOGLETRANSLATE(F10357,""id"",""en"")"),"Video Bring Argentina Champion World Cup Qatar Messi Can Be a Special Robe")</f>
        <v>Video Bring Argentina Champion World Cup Qatar Messi Can Be a Special Robe</v>
      </c>
    </row>
    <row r="10358" ht="15.75" customHeight="1">
      <c r="A10358" s="1">
        <v>11598.0</v>
      </c>
      <c r="B10358" s="3" t="s">
        <v>29499</v>
      </c>
      <c r="C10358" s="3">
        <v>0.0</v>
      </c>
      <c r="D10358" s="3">
        <v>0.0</v>
      </c>
      <c r="E10358" s="3">
        <v>0.0</v>
      </c>
      <c r="F10358" s="3" t="s">
        <v>29500</v>
      </c>
      <c r="G10358" s="3">
        <v>1.0</v>
      </c>
      <c r="H10358" s="3">
        <v>0.0</v>
      </c>
      <c r="I10358" s="3" t="s">
        <v>13</v>
      </c>
      <c r="J10358" s="3" t="s">
        <v>29501</v>
      </c>
      <c r="K10358" s="3" t="s">
        <v>308</v>
      </c>
      <c r="L10358" s="3" t="str">
        <f>IFERROR(__xludf.DUMMYFUNCTION("GOOGLETRANSLATE(F10358,""id"",""en"")"),"Final Best Fighting Tactics for Upper Class Coach The best player skills of each team came out if the champion of the French team Argentina deserves to be a champion")</f>
        <v>Final Best Fighting Tactics for Upper Class Coach The best player skills of each team came out if the champion of the French team Argentina deserves to be a champion</v>
      </c>
    </row>
    <row r="10359" ht="15.75" customHeight="1">
      <c r="A10359" s="1">
        <v>11599.0</v>
      </c>
      <c r="B10359" s="3" t="s">
        <v>29502</v>
      </c>
      <c r="C10359" s="3">
        <v>0.0</v>
      </c>
      <c r="D10359" s="3">
        <v>0.0</v>
      </c>
      <c r="E10359" s="3">
        <v>0.0</v>
      </c>
      <c r="F10359" s="3" t="s">
        <v>29503</v>
      </c>
      <c r="G10359" s="3">
        <v>0.0</v>
      </c>
      <c r="H10359" s="3">
        <v>0.0</v>
      </c>
      <c r="I10359" s="3" t="s">
        <v>13</v>
      </c>
      <c r="J10359" s="3" t="s">
        <v>29504</v>
      </c>
      <c r="K10359" s="3" t="s">
        <v>54</v>
      </c>
      <c r="L10359" s="3" t="str">
        <f>IFERROR(__xludf.DUMMYFUNCTION("GOOGLETRANSLATE(F10359,""id"",""en"")"),"Argentina Messi can win because the referee is paid")</f>
        <v>Argentina Messi can win because the referee is paid</v>
      </c>
    </row>
    <row r="10360" ht="15.75" customHeight="1">
      <c r="A10360" s="1">
        <v>11600.0</v>
      </c>
      <c r="B10360" s="3" t="s">
        <v>29505</v>
      </c>
      <c r="C10360" s="3">
        <v>0.0</v>
      </c>
      <c r="D10360" s="3">
        <v>3.0</v>
      </c>
      <c r="E10360" s="3">
        <v>22.0</v>
      </c>
      <c r="F10360" s="3" t="s">
        <v>29506</v>
      </c>
      <c r="G10360" s="3">
        <v>0.0</v>
      </c>
      <c r="H10360" s="3">
        <v>0.0</v>
      </c>
      <c r="I10360" s="3" t="s">
        <v>13</v>
      </c>
      <c r="J10360" s="3" t="s">
        <v>29507</v>
      </c>
      <c r="K10360" s="3" t="s">
        <v>50</v>
      </c>
      <c r="L10360" s="3" t="str">
        <f>IFERROR(__xludf.DUMMYFUNCTION("GOOGLETRANSLATE(F10360,""id"",""en"")"),"Argentina Champion World Cup Street Buenos Aires is filled with a sea of ​​people who celebrate it")</f>
        <v>Argentina Champion World Cup Street Buenos Aires is filled with a sea of ​​people who celebrate it</v>
      </c>
    </row>
    <row r="10361" ht="15.75" customHeight="1">
      <c r="A10361" s="1">
        <v>11601.0</v>
      </c>
      <c r="B10361" s="3" t="s">
        <v>29508</v>
      </c>
      <c r="C10361" s="3">
        <v>0.0</v>
      </c>
      <c r="D10361" s="3">
        <v>0.0</v>
      </c>
      <c r="E10361" s="3">
        <v>1.0</v>
      </c>
      <c r="F10361" s="3" t="s">
        <v>29509</v>
      </c>
      <c r="G10361" s="3">
        <v>0.5</v>
      </c>
      <c r="H10361" s="3">
        <v>-0.08333333333333333</v>
      </c>
      <c r="I10361" s="3" t="s">
        <v>179</v>
      </c>
      <c r="J10361" s="3" t="s">
        <v>29510</v>
      </c>
      <c r="K10361" s="3" t="s">
        <v>27</v>
      </c>
      <c r="L10361" s="3" t="str">
        <f>IFERROR(__xludf.DUMMYFUNCTION("GOOGLETRANSLATE(F10361,""id"",""en"")"),"Seriously Aguero doesn't play with a scene that is excited by this country's officials even though there is no strange French player and annoying Argentina but he arrived like this and defended the world because of Argentina CKCK champions")</f>
        <v>Seriously Aguero doesn't play with a scene that is excited by this country's officials even though there is no strange French player and annoying Argentina but he arrived like this and defended the world because of Argentina CKCK champions</v>
      </c>
    </row>
    <row r="10362" ht="15.75" customHeight="1">
      <c r="A10362" s="1">
        <v>11602.0</v>
      </c>
      <c r="B10362" s="3" t="s">
        <v>29511</v>
      </c>
      <c r="C10362" s="3">
        <v>0.0</v>
      </c>
      <c r="D10362" s="3">
        <v>0.0</v>
      </c>
      <c r="E10362" s="3">
        <v>0.0</v>
      </c>
      <c r="F10362" s="3" t="s">
        <v>29512</v>
      </c>
      <c r="G10362" s="3">
        <v>0.0</v>
      </c>
      <c r="H10362" s="3">
        <v>0.0</v>
      </c>
      <c r="I10362" s="3" t="s">
        <v>13</v>
      </c>
      <c r="J10362" s="3" t="s">
        <v>29513</v>
      </c>
      <c r="K10362" s="3" t="s">
        <v>82</v>
      </c>
      <c r="L10362" s="3" t="str">
        <f>IFERROR(__xludf.DUMMYFUNCTION("GOOGLETRANSLATE(F10362,""id"",""en"")"),"who won Argentina but mbappe won the night")</f>
        <v>who won Argentina but mbappe won the night</v>
      </c>
    </row>
    <row r="10363" ht="15.75" customHeight="1">
      <c r="A10363" s="1">
        <v>11603.0</v>
      </c>
      <c r="B10363" s="3" t="s">
        <v>29514</v>
      </c>
      <c r="C10363" s="3">
        <v>0.0</v>
      </c>
      <c r="D10363" s="3">
        <v>0.0</v>
      </c>
      <c r="E10363" s="3">
        <v>0.0</v>
      </c>
      <c r="F10363" s="3" t="s">
        <v>29515</v>
      </c>
      <c r="G10363" s="3">
        <v>0.75</v>
      </c>
      <c r="H10363" s="3">
        <v>0.375</v>
      </c>
      <c r="I10363" s="3" t="s">
        <v>48</v>
      </c>
      <c r="J10363" s="3" t="s">
        <v>29516</v>
      </c>
      <c r="K10363" s="3" t="s">
        <v>374</v>
      </c>
      <c r="L10363" s="3" t="str">
        <f>IFERROR(__xludf.DUMMYFUNCTION("GOOGLETRANSLATE(F10363,""id"",""en"")"),"Argentina fans are happy because Messi champions French fans are proud of the achievements of Mbappe et al Kroroisa fans and Morocco are happy because their team succeeded")</f>
        <v>Argentina fans are happy because Messi champions French fans are proud of the achievements of Mbappe et al Kroroisa fans and Morocco are happy because their team succeeded</v>
      </c>
    </row>
    <row r="10364" ht="15.75" customHeight="1">
      <c r="A10364" s="1">
        <v>11604.0</v>
      </c>
      <c r="B10364" s="3" t="s">
        <v>29517</v>
      </c>
      <c r="C10364" s="3">
        <v>0.0</v>
      </c>
      <c r="D10364" s="3">
        <v>0.0</v>
      </c>
      <c r="E10364" s="3">
        <v>0.0</v>
      </c>
      <c r="F10364" s="3" t="s">
        <v>29518</v>
      </c>
      <c r="G10364" s="3">
        <v>0.0</v>
      </c>
      <c r="H10364" s="3">
        <v>0.0</v>
      </c>
      <c r="I10364" s="3" t="s">
        <v>13</v>
      </c>
      <c r="J10364" s="3" t="s">
        <v>29519</v>
      </c>
      <c r="K10364" s="3" t="s">
        <v>82</v>
      </c>
      <c r="L10364" s="3" t="str">
        <f>IFERROR(__xludf.DUMMYFUNCTION("GOOGLETRANSLATE(F10364,""id"",""en"")"),"Argentina world champion ride proud Barcelona hilarious")</f>
        <v>Argentina world champion ride proud Barcelona hilarious</v>
      </c>
    </row>
    <row r="10365" ht="15.75" customHeight="1">
      <c r="A10365" s="1">
        <v>11605.0</v>
      </c>
      <c r="B10365" s="3" t="s">
        <v>29520</v>
      </c>
      <c r="C10365" s="3">
        <v>0.0</v>
      </c>
      <c r="D10365" s="3">
        <v>0.0</v>
      </c>
      <c r="E10365" s="3">
        <v>0.0</v>
      </c>
      <c r="F10365" s="3" t="s">
        <v>29521</v>
      </c>
      <c r="G10365" s="3">
        <v>0.0</v>
      </c>
      <c r="H10365" s="3">
        <v>0.0</v>
      </c>
      <c r="I10365" s="3" t="s">
        <v>13</v>
      </c>
      <c r="J10365" s="3" t="s">
        <v>29522</v>
      </c>
      <c r="K10365" s="3" t="s">
        <v>31</v>
      </c>
      <c r="L10365" s="3" t="str">
        <f>IFERROR(__xludf.DUMMYFUNCTION("GOOGLETRANSLATE(F10365,""id"",""en"")"),"The World Champion Happy Argentina")</f>
        <v>The World Champion Happy Argentina</v>
      </c>
    </row>
    <row r="10366" ht="15.75" customHeight="1">
      <c r="A10366" s="1">
        <v>11606.0</v>
      </c>
      <c r="B10366" s="3" t="s">
        <v>29523</v>
      </c>
      <c r="C10366" s="3">
        <v>0.0</v>
      </c>
      <c r="D10366" s="3">
        <v>0.0</v>
      </c>
      <c r="E10366" s="3">
        <v>0.0</v>
      </c>
      <c r="F10366" s="3" t="s">
        <v>29524</v>
      </c>
      <c r="G10366" s="3">
        <v>0.0</v>
      </c>
      <c r="H10366" s="3">
        <v>0.0</v>
      </c>
      <c r="I10366" s="3" t="s">
        <v>13</v>
      </c>
      <c r="J10366" s="3" t="s">
        <v>29525</v>
      </c>
      <c r="K10366" s="3" t="s">
        <v>2117</v>
      </c>
      <c r="L10366" s="3" t="str">
        <f>IFERROR(__xludf.DUMMYFUNCTION("GOOGLETRANSLATE(F10366,""id"",""en"")"),"Argentina Champion BTW")</f>
        <v>Argentina Champion BTW</v>
      </c>
    </row>
    <row r="10367" ht="15.75" customHeight="1">
      <c r="A10367" s="1">
        <v>11607.0</v>
      </c>
      <c r="B10367" s="3" t="s">
        <v>29526</v>
      </c>
      <c r="C10367" s="3">
        <v>0.0</v>
      </c>
      <c r="D10367" s="3">
        <v>0.0</v>
      </c>
      <c r="E10367" s="3">
        <v>0.0</v>
      </c>
      <c r="F10367" s="3" t="s">
        <v>29527</v>
      </c>
      <c r="G10367" s="3">
        <v>0.0</v>
      </c>
      <c r="H10367" s="3">
        <v>0.0</v>
      </c>
      <c r="I10367" s="3" t="s">
        <v>13</v>
      </c>
      <c r="J10367" s="3" t="s">
        <v>29528</v>
      </c>
      <c r="K10367" s="3" t="s">
        <v>82</v>
      </c>
      <c r="L10367" s="3" t="str">
        <f>IFERROR(__xludf.DUMMYFUNCTION("GOOGLETRANSLATE(F10367,""id"",""en"")"),"It turns out that Argentina has prepared a jersey with a world champion patch")</f>
        <v>It turns out that Argentina has prepared a jersey with a world champion patch</v>
      </c>
    </row>
    <row r="10368" ht="15.75" customHeight="1">
      <c r="A10368" s="1">
        <v>11608.0</v>
      </c>
      <c r="B10368" s="3" t="s">
        <v>29529</v>
      </c>
      <c r="C10368" s="3">
        <v>8.0</v>
      </c>
      <c r="D10368" s="3">
        <v>20.0</v>
      </c>
      <c r="E10368" s="3">
        <v>1733.0</v>
      </c>
      <c r="F10368" s="3" t="s">
        <v>29530</v>
      </c>
      <c r="G10368" s="3">
        <v>0.0</v>
      </c>
      <c r="H10368" s="3">
        <v>0.0</v>
      </c>
      <c r="I10368" s="3" t="s">
        <v>13</v>
      </c>
      <c r="J10368" s="3" t="s">
        <v>29531</v>
      </c>
      <c r="K10368" s="3" t="s">
        <v>903</v>
      </c>
      <c r="L10368" s="3" t="str">
        <f>IFERROR(__xludf.DUMMYFUNCTION("GOOGLETRANSLATE(F10368,""id"",""en"")"),"yes it's pure gold but the pure one gets it if it's already a champion later on the Argentina cabinet that is replica because I just won the BTW that was kissed by Messi last night the original trophy")</f>
        <v>yes it's pure gold but the pure one gets it if it's already a champion later on the Argentina cabinet that is replica because I just won the BTW that was kissed by Messi last night the original trophy</v>
      </c>
    </row>
    <row r="10369" ht="15.75" customHeight="1">
      <c r="A10369" s="1">
        <v>11609.0</v>
      </c>
      <c r="B10369" s="3" t="s">
        <v>29532</v>
      </c>
      <c r="C10369" s="3">
        <v>0.0</v>
      </c>
      <c r="D10369" s="3">
        <v>0.0</v>
      </c>
      <c r="E10369" s="3">
        <v>2.0</v>
      </c>
      <c r="F10369" s="3" t="s">
        <v>29354</v>
      </c>
      <c r="G10369" s="3">
        <v>0.0</v>
      </c>
      <c r="H10369" s="3">
        <v>0.0</v>
      </c>
      <c r="I10369" s="3" t="s">
        <v>13</v>
      </c>
      <c r="J10369" s="3" t="s">
        <v>29355</v>
      </c>
      <c r="K10369" s="3" t="s">
        <v>15</v>
      </c>
      <c r="L10369" s="3" t="str">
        <f>IFERROR(__xludf.DUMMYFUNCTION("GOOGLETRANSLATE(F10369,""id"",""en"")"),"Argentina Champion Messi became the main enemy of the French League")</f>
        <v>Argentina Champion Messi became the main enemy of the French League</v>
      </c>
    </row>
    <row r="10370" ht="15.75" customHeight="1">
      <c r="A10370" s="1">
        <v>11610.0</v>
      </c>
      <c r="B10370" s="3" t="s">
        <v>29533</v>
      </c>
      <c r="C10370" s="3">
        <v>0.0</v>
      </c>
      <c r="D10370" s="3">
        <v>0.0</v>
      </c>
      <c r="E10370" s="3">
        <v>1.0</v>
      </c>
      <c r="F10370" s="3" t="s">
        <v>29351</v>
      </c>
      <c r="G10370" s="3">
        <v>0.0</v>
      </c>
      <c r="H10370" s="3">
        <v>0.0</v>
      </c>
      <c r="I10370" s="3" t="s">
        <v>13</v>
      </c>
      <c r="J10370" s="3" t="s">
        <v>29352</v>
      </c>
      <c r="K10370" s="3" t="s">
        <v>41</v>
      </c>
      <c r="L10370" s="3" t="str">
        <f>IFERROR(__xludf.DUMMYFUNCTION("GOOGLETRANSLATE(F10370,""id"",""en"")"),"Argentina Champion World Cup Special Account Congratulations to Messi")</f>
        <v>Argentina Champion World Cup Special Account Congratulations to Messi</v>
      </c>
    </row>
    <row r="10371" ht="15.75" customHeight="1">
      <c r="A10371" s="1">
        <v>11611.0</v>
      </c>
      <c r="B10371" s="3" t="s">
        <v>29534</v>
      </c>
      <c r="C10371" s="3">
        <v>1.0</v>
      </c>
      <c r="D10371" s="3">
        <v>1.0</v>
      </c>
      <c r="E10371" s="3">
        <v>2.0</v>
      </c>
      <c r="F10371" s="3" t="s">
        <v>29535</v>
      </c>
      <c r="G10371" s="3">
        <v>1.0</v>
      </c>
      <c r="H10371" s="3">
        <v>0.0</v>
      </c>
      <c r="I10371" s="3" t="s">
        <v>13</v>
      </c>
      <c r="J10371" s="3" t="s">
        <v>29536</v>
      </c>
      <c r="K10371" s="3" t="s">
        <v>127</v>
      </c>
      <c r="L10371" s="3" t="str">
        <f>IFERROR(__xludf.DUMMYFUNCTION("GOOGLETRANSLATE(F10371,""id"",""en"")"),"hear the issue, he said, Argentina is the champion of Messi Video Call Pak Iwan Bule, the night of the day before the final party")</f>
        <v>hear the issue, he said, Argentina is the champion of Messi Video Call Pak Iwan Bule, the night of the day before the final party</v>
      </c>
    </row>
    <row r="10372" ht="15.75" customHeight="1">
      <c r="A10372" s="1">
        <v>11612.0</v>
      </c>
      <c r="B10372" s="3" t="s">
        <v>29537</v>
      </c>
      <c r="C10372" s="3">
        <v>0.0</v>
      </c>
      <c r="D10372" s="3">
        <v>0.0</v>
      </c>
      <c r="E10372" s="3">
        <v>0.0</v>
      </c>
      <c r="F10372" s="3" t="s">
        <v>29538</v>
      </c>
      <c r="G10372" s="3">
        <v>0.0</v>
      </c>
      <c r="H10372" s="3">
        <v>0.0</v>
      </c>
      <c r="I10372" s="3" t="s">
        <v>13</v>
      </c>
      <c r="J10372" s="3" t="s">
        <v>29539</v>
      </c>
      <c r="K10372" s="3" t="s">
        <v>82</v>
      </c>
      <c r="L10372" s="3" t="str">
        <f>IFERROR(__xludf.DUMMYFUNCTION("GOOGLETRANSLATE(F10372,""id"",""en"")"),"Support and Conspiracy Theory of Argentina World Cup Champion")</f>
        <v>Support and Conspiracy Theory of Argentina World Cup Champion</v>
      </c>
    </row>
    <row r="10373" ht="15.75" customHeight="1">
      <c r="A10373" s="1">
        <v>11613.0</v>
      </c>
      <c r="B10373" s="3" t="s">
        <v>29540</v>
      </c>
      <c r="C10373" s="3">
        <v>0.0</v>
      </c>
      <c r="D10373" s="3">
        <v>0.0</v>
      </c>
      <c r="E10373" s="3">
        <v>1.0</v>
      </c>
      <c r="F10373" s="3" t="s">
        <v>29541</v>
      </c>
      <c r="G10373" s="3">
        <v>0.0</v>
      </c>
      <c r="H10373" s="3">
        <v>0.0</v>
      </c>
      <c r="I10373" s="3" t="s">
        <v>13</v>
      </c>
      <c r="J10373" s="3" t="s">
        <v>29542</v>
      </c>
      <c r="K10373" s="3" t="s">
        <v>75</v>
      </c>
      <c r="L10373" s="3" t="str">
        <f>IFERROR(__xludf.DUMMYFUNCTION("GOOGLETRANSLATE(F10373,""id"",""en"")"),"Argentina Champion Lionel Messi Carving a Record Terrible number is quite rare")</f>
        <v>Argentina Champion Lionel Messi Carving a Record Terrible number is quite rare</v>
      </c>
    </row>
    <row r="10374" ht="15.75" customHeight="1">
      <c r="A10374" s="1">
        <v>11614.0</v>
      </c>
      <c r="B10374" s="3" t="s">
        <v>29543</v>
      </c>
      <c r="C10374" s="3">
        <v>0.0</v>
      </c>
      <c r="D10374" s="3">
        <v>0.0</v>
      </c>
      <c r="E10374" s="3">
        <v>1.0</v>
      </c>
      <c r="F10374" s="3" t="s">
        <v>29544</v>
      </c>
      <c r="G10374" s="3">
        <v>1.0</v>
      </c>
      <c r="H10374" s="3">
        <v>0.0</v>
      </c>
      <c r="I10374" s="3" t="s">
        <v>13</v>
      </c>
      <c r="J10374" s="3" t="s">
        <v>29545</v>
      </c>
      <c r="K10374" s="3" t="s">
        <v>19</v>
      </c>
      <c r="L10374" s="3" t="str">
        <f>IFERROR(__xludf.DUMMYFUNCTION("GOOGLETRANSLATE(F10374,""id"",""en"")"),"The Argentine national team won a penalty shootout over France French World Cup AAS in full")</f>
        <v>The Argentine national team won a penalty shootout over France French World Cup AAS in full</v>
      </c>
    </row>
    <row r="10375" ht="15.75" customHeight="1">
      <c r="A10375" s="1">
        <v>11615.0</v>
      </c>
      <c r="B10375" s="3" t="s">
        <v>29546</v>
      </c>
      <c r="C10375" s="3">
        <v>0.0</v>
      </c>
      <c r="D10375" s="3">
        <v>1.0</v>
      </c>
      <c r="E10375" s="3">
        <v>0.0</v>
      </c>
      <c r="F10375" s="3" t="s">
        <v>29547</v>
      </c>
      <c r="G10375" s="3">
        <v>0.0</v>
      </c>
      <c r="H10375" s="3">
        <v>0.0</v>
      </c>
      <c r="I10375" s="3" t="s">
        <v>13</v>
      </c>
      <c r="J10375" s="3" t="s">
        <v>29548</v>
      </c>
      <c r="K10375" s="3" t="s">
        <v>491</v>
      </c>
      <c r="L10375" s="3" t="str">
        <f>IFERROR(__xludf.DUMMYFUNCTION("GOOGLETRANSLATE(F10375,""id"",""en"")"),"Congratulations Argentina won the Qatar World Cup final waiting and struggle for Messi Vamos Vamos Argentina legend")</f>
        <v>Congratulations Argentina won the Qatar World Cup final waiting and struggle for Messi Vamos Vamos Argentina legend</v>
      </c>
    </row>
    <row r="10376" ht="15.75" customHeight="1">
      <c r="A10376" s="1">
        <v>11616.0</v>
      </c>
      <c r="B10376" s="3" t="s">
        <v>29549</v>
      </c>
      <c r="C10376" s="3">
        <v>0.0</v>
      </c>
      <c r="D10376" s="3">
        <v>0.0</v>
      </c>
      <c r="E10376" s="3">
        <v>0.0</v>
      </c>
      <c r="F10376" s="3" t="s">
        <v>29550</v>
      </c>
      <c r="G10376" s="3">
        <v>0.0</v>
      </c>
      <c r="H10376" s="3">
        <v>0.0</v>
      </c>
      <c r="I10376" s="3" t="s">
        <v>13</v>
      </c>
      <c r="J10376" s="3" t="s">
        <v>29551</v>
      </c>
      <c r="K10376" s="3" t="s">
        <v>15</v>
      </c>
      <c r="L10376" s="3" t="str">
        <f>IFERROR(__xludf.DUMMYFUNCTION("GOOGLETRANSLATE(F10376,""id"",""en"")"),"Argentina is a champion but the winner is actually still the past")</f>
        <v>Argentina is a champion but the winner is actually still the past</v>
      </c>
    </row>
    <row r="10377" ht="15.75" customHeight="1">
      <c r="A10377" s="1">
        <v>11617.0</v>
      </c>
      <c r="B10377" s="3" t="s">
        <v>29552</v>
      </c>
      <c r="C10377" s="3">
        <v>0.0</v>
      </c>
      <c r="D10377" s="3">
        <v>0.0</v>
      </c>
      <c r="E10377" s="3">
        <v>0.0</v>
      </c>
      <c r="F10377" s="3" t="s">
        <v>17033</v>
      </c>
      <c r="G10377" s="3">
        <v>0.0</v>
      </c>
      <c r="H10377" s="3">
        <v>0.0</v>
      </c>
      <c r="I10377" s="3" t="s">
        <v>13</v>
      </c>
      <c r="J10377" s="3" t="s">
        <v>17034</v>
      </c>
      <c r="K10377" s="3" t="s">
        <v>82</v>
      </c>
      <c r="L10377" s="3" t="str">
        <f>IFERROR(__xludf.DUMMYFUNCTION("GOOGLETRANSLATE(F10377,""id"",""en"")"),"hbd sis, I hope Argentina won the World Cup")</f>
        <v>hbd sis, I hope Argentina won the World Cup</v>
      </c>
    </row>
    <row r="10378" ht="15.75" customHeight="1">
      <c r="A10378" s="1">
        <v>11618.0</v>
      </c>
      <c r="B10378" s="3" t="s">
        <v>29553</v>
      </c>
      <c r="C10378" s="3">
        <v>0.0</v>
      </c>
      <c r="D10378" s="3">
        <v>0.0</v>
      </c>
      <c r="E10378" s="3">
        <v>0.0</v>
      </c>
      <c r="F10378" s="3" t="s">
        <v>29554</v>
      </c>
      <c r="G10378" s="3">
        <v>0.0</v>
      </c>
      <c r="H10378" s="3">
        <v>0.0</v>
      </c>
      <c r="I10378" s="3" t="s">
        <v>13</v>
      </c>
      <c r="J10378" s="3" t="s">
        <v>29555</v>
      </c>
      <c r="K10378" s="3" t="s">
        <v>82</v>
      </c>
      <c r="L10378" s="3" t="str">
        <f>IFERROR(__xludf.DUMMYFUNCTION("GOOGLETRANSLATE(F10378,""id"",""en"")"),"The era of Iwan was Argentina to win the World Cup")</f>
        <v>The era of Iwan was Argentina to win the World Cup</v>
      </c>
    </row>
    <row r="10379" ht="15.75" customHeight="1">
      <c r="A10379" s="1">
        <v>11619.0</v>
      </c>
      <c r="B10379" s="3" t="s">
        <v>29556</v>
      </c>
      <c r="C10379" s="3">
        <v>0.0</v>
      </c>
      <c r="D10379" s="3">
        <v>0.0</v>
      </c>
      <c r="E10379" s="3">
        <v>0.0</v>
      </c>
      <c r="F10379" s="3" t="s">
        <v>29557</v>
      </c>
      <c r="G10379" s="3">
        <v>0.0</v>
      </c>
      <c r="H10379" s="3">
        <v>0.0</v>
      </c>
      <c r="I10379" s="3" t="s">
        <v>13</v>
      </c>
      <c r="J10379" s="3" t="s">
        <v>29558</v>
      </c>
      <c r="K10379" s="3" t="s">
        <v>19</v>
      </c>
      <c r="L10379" s="3" t="str">
        <f>IFERROR(__xludf.DUMMYFUNCTION("GOOGLETRANSLATE(F10379,""id"",""en"")"),"I'm waiting for Molaik Argentina to leave Qatar until they are the champions not yet Mbieb Mumuhehe Polytell")</f>
        <v>I'm waiting for Molaik Argentina to leave Qatar until they are the champions not yet Mbieb Mumuhehe Polytell</v>
      </c>
    </row>
    <row r="10380" ht="15.75" customHeight="1">
      <c r="A10380" s="1">
        <v>11620.0</v>
      </c>
      <c r="B10380" s="3" t="s">
        <v>29559</v>
      </c>
      <c r="C10380" s="3">
        <v>2.0</v>
      </c>
      <c r="D10380" s="3">
        <v>1.0</v>
      </c>
      <c r="E10380" s="3">
        <v>4.0</v>
      </c>
      <c r="F10380" s="3" t="s">
        <v>29560</v>
      </c>
      <c r="G10380" s="3">
        <v>0.0</v>
      </c>
      <c r="H10380" s="3">
        <v>0.0</v>
      </c>
      <c r="I10380" s="3" t="s">
        <v>13</v>
      </c>
      <c r="J10380" s="3" t="s">
        <v>29561</v>
      </c>
      <c r="K10380" s="3" t="s">
        <v>614</v>
      </c>
      <c r="L10380" s="3" t="str">
        <f>IFERROR(__xludf.DUMMYFUNCTION("GOOGLETRANSLATE(F10380,""id"",""en"")"),"Most world champions have good goalkeeper Brazil Tafarel Penanci Barthez Brazil Dida Italy Spain Casillas German Neuer France Lloris Argentina Martinez")</f>
        <v>Most world champions have good goalkeeper Brazil Tafarel Penanci Barthez Brazil Dida Italy Spain Casillas German Neuer France Lloris Argentina Martinez</v>
      </c>
    </row>
    <row r="10381" ht="15.75" customHeight="1">
      <c r="A10381" s="1">
        <v>11621.0</v>
      </c>
      <c r="B10381" s="3" t="s">
        <v>29562</v>
      </c>
      <c r="C10381" s="3">
        <v>0.0</v>
      </c>
      <c r="D10381" s="3">
        <v>0.0</v>
      </c>
      <c r="E10381" s="3">
        <v>1.0</v>
      </c>
      <c r="F10381" s="3" t="s">
        <v>29563</v>
      </c>
      <c r="G10381" s="3">
        <v>0.0</v>
      </c>
      <c r="H10381" s="3">
        <v>0.0</v>
      </c>
      <c r="I10381" s="3" t="s">
        <v>13</v>
      </c>
      <c r="J10381" s="3" t="s">
        <v>29564</v>
      </c>
      <c r="K10381" s="3" t="s">
        <v>15</v>
      </c>
      <c r="L10381" s="3" t="str">
        <f>IFERROR(__xludf.DUMMYFUNCTION("GOOGLETRANSLATE(F10381,""id"",""en"")"),"Predictions turned out to be true Argentina Champion World Cup Qatar")</f>
        <v>Predictions turned out to be true Argentina Champion World Cup Qatar</v>
      </c>
    </row>
    <row r="10382" ht="15.75" customHeight="1">
      <c r="A10382" s="1">
        <v>11622.0</v>
      </c>
      <c r="B10382" s="3" t="s">
        <v>29565</v>
      </c>
      <c r="C10382" s="3">
        <v>0.0</v>
      </c>
      <c r="D10382" s="3">
        <v>0.0</v>
      </c>
      <c r="E10382" s="3">
        <v>0.0</v>
      </c>
      <c r="F10382" s="3" t="s">
        <v>29566</v>
      </c>
      <c r="G10382" s="3">
        <v>0.0</v>
      </c>
      <c r="H10382" s="3">
        <v>0.0</v>
      </c>
      <c r="I10382" s="3" t="s">
        <v>13</v>
      </c>
      <c r="J10382" s="3" t="s">
        <v>29567</v>
      </c>
      <c r="K10382" s="3" t="s">
        <v>437</v>
      </c>
      <c r="L10382" s="3" t="str">
        <f>IFERROR(__xludf.DUMMYFUNCTION("GOOGLETRANSLATE(F10382,""id"",""en"")"),"The one who won Argentina congratulated Saudi Arabia the only Mediocre national team who was able to defeat the world champion team")</f>
        <v>The one who won Argentina congratulated Saudi Arabia the only Mediocre national team who was able to defeat the world champion team</v>
      </c>
    </row>
    <row r="10383" ht="15.75" customHeight="1">
      <c r="A10383" s="1">
        <v>11623.0</v>
      </c>
      <c r="B10383" s="3" t="s">
        <v>29568</v>
      </c>
      <c r="C10383" s="3">
        <v>0.0</v>
      </c>
      <c r="D10383" s="3">
        <v>1.0</v>
      </c>
      <c r="E10383" s="3">
        <v>8.0</v>
      </c>
      <c r="F10383" s="3" t="s">
        <v>29569</v>
      </c>
      <c r="G10383" s="3">
        <v>0.0</v>
      </c>
      <c r="H10383" s="3">
        <v>0.0</v>
      </c>
      <c r="I10383" s="3" t="s">
        <v>13</v>
      </c>
      <c r="J10383" s="3" t="s">
        <v>29570</v>
      </c>
      <c r="K10383" s="3" t="s">
        <v>495</v>
      </c>
      <c r="L10383" s="3" t="str">
        <f>IFERROR(__xludf.DUMMYFUNCTION("GOOGLETRANSLATE(F10383,""id"",""en"")"),"Antonela Roccuzzo learned how Lionel Messi's suffering was for many years until he finally succeeded in bringing Argentina to the World Cup championship")</f>
        <v>Antonela Roccuzzo learned how Lionel Messi's suffering was for many years until he finally succeeded in bringing Argentina to the World Cup championship</v>
      </c>
    </row>
    <row r="10384" ht="15.75" customHeight="1">
      <c r="A10384" s="1">
        <v>11624.0</v>
      </c>
      <c r="B10384" s="3" t="s">
        <v>29571</v>
      </c>
      <c r="C10384" s="3">
        <v>0.0</v>
      </c>
      <c r="D10384" s="3">
        <v>0.0</v>
      </c>
      <c r="E10384" s="3">
        <v>0.0</v>
      </c>
      <c r="F10384" s="3" t="s">
        <v>29572</v>
      </c>
      <c r="G10384" s="3">
        <v>0.0</v>
      </c>
      <c r="H10384" s="3">
        <v>0.0</v>
      </c>
      <c r="I10384" s="3" t="s">
        <v>13</v>
      </c>
      <c r="J10384" s="3" t="s">
        <v>29573</v>
      </c>
      <c r="K10384" s="3" t="s">
        <v>75</v>
      </c>
      <c r="L10384" s="3" t="str">
        <f>IFERROR(__xludf.DUMMYFUNCTION("GOOGLETRANSLATE(F10384,""id"",""en"")"),"Messi did not believe that Argentina finally embraced the World Cup Champion Day")</f>
        <v>Messi did not believe that Argentina finally embraced the World Cup Champion Day</v>
      </c>
    </row>
    <row r="10385" ht="15.75" customHeight="1">
      <c r="A10385" s="1">
        <v>11625.0</v>
      </c>
      <c r="B10385" s="3" t="s">
        <v>29574</v>
      </c>
      <c r="C10385" s="3">
        <v>0.0</v>
      </c>
      <c r="D10385" s="3">
        <v>0.0</v>
      </c>
      <c r="E10385" s="3">
        <v>0.0</v>
      </c>
      <c r="F10385" s="3" t="s">
        <v>29575</v>
      </c>
      <c r="G10385" s="3">
        <v>0.0</v>
      </c>
      <c r="H10385" s="3">
        <v>0.0</v>
      </c>
      <c r="I10385" s="3" t="s">
        <v>13</v>
      </c>
      <c r="J10385" s="3" t="s">
        <v>29576</v>
      </c>
      <c r="K10385" s="3" t="s">
        <v>19</v>
      </c>
      <c r="L10385" s="3" t="str">
        <f>IFERROR(__xludf.DUMMYFUNCTION("GOOGLETRANSLATE(F10385,""id"",""en"")"),"What is your Argentina similar to the World Cup who knows you are only first place in my heart")</f>
        <v>What is your Argentina similar to the World Cup who knows you are only first place in my heart</v>
      </c>
    </row>
    <row r="10386" ht="15.75" customHeight="1">
      <c r="A10386" s="1">
        <v>11626.0</v>
      </c>
      <c r="B10386" s="3" t="s">
        <v>29577</v>
      </c>
      <c r="C10386" s="3">
        <v>0.0</v>
      </c>
      <c r="D10386" s="3">
        <v>0.0</v>
      </c>
      <c r="E10386" s="3">
        <v>0.0</v>
      </c>
      <c r="F10386" s="3" t="s">
        <v>29578</v>
      </c>
      <c r="G10386" s="3">
        <v>0.0</v>
      </c>
      <c r="H10386" s="3">
        <v>0.0</v>
      </c>
      <c r="I10386" s="3" t="s">
        <v>13</v>
      </c>
      <c r="J10386" s="3" t="s">
        <v>29579</v>
      </c>
      <c r="K10386" s="3" t="s">
        <v>15</v>
      </c>
      <c r="L10386" s="3" t="str">
        <f>IFERROR(__xludf.DUMMYFUNCTION("GOOGLETRANSLATE(F10386,""id"",""en"")"),"Theory makes it believe that this year Argentina will be champions and proven")</f>
        <v>Theory makes it believe that this year Argentina will be champions and proven</v>
      </c>
    </row>
    <row r="10387" ht="15.75" customHeight="1">
      <c r="A10387" s="1">
        <v>11627.0</v>
      </c>
      <c r="B10387" s="3" t="s">
        <v>29580</v>
      </c>
      <c r="C10387" s="3">
        <v>1.0</v>
      </c>
      <c r="D10387" s="3">
        <v>0.0</v>
      </c>
      <c r="E10387" s="3">
        <v>0.0</v>
      </c>
      <c r="F10387" s="3" t="s">
        <v>29581</v>
      </c>
      <c r="G10387" s="3">
        <v>0.0</v>
      </c>
      <c r="H10387" s="3">
        <v>0.0</v>
      </c>
      <c r="I10387" s="3" t="s">
        <v>13</v>
      </c>
      <c r="J10387" s="3" t="s">
        <v>29582</v>
      </c>
      <c r="K10387" s="3" t="s">
        <v>215</v>
      </c>
      <c r="L10387" s="3" t="str">
        <f>IFERROR(__xludf.DUMMYFUNCTION("GOOGLETRANSLATE(F10387,""id"",""en"")"),"Even you are willing to exchange all your individual award trophies for a trophy for your country you can just win with Spanish Diwc Euro but you choose your homeland where you are born Rosario Argentina")</f>
        <v>Even you are willing to exchange all your individual award trophies for a trophy for your country you can just win with Spanish Diwc Euro but you choose your homeland where you are born Rosario Argentina</v>
      </c>
    </row>
    <row r="10388" ht="15.75" customHeight="1">
      <c r="A10388" s="1">
        <v>11628.0</v>
      </c>
      <c r="B10388" s="3" t="s">
        <v>29583</v>
      </c>
      <c r="C10388" s="3">
        <v>0.0</v>
      </c>
      <c r="D10388" s="3">
        <v>0.0</v>
      </c>
      <c r="E10388" s="3">
        <v>0.0</v>
      </c>
      <c r="F10388" s="3" t="s">
        <v>29584</v>
      </c>
      <c r="G10388" s="3">
        <v>0.0</v>
      </c>
      <c r="H10388" s="3">
        <v>0.0</v>
      </c>
      <c r="I10388" s="3" t="s">
        <v>13</v>
      </c>
      <c r="J10388" s="3" t="s">
        <v>29585</v>
      </c>
      <c r="K10388" s="3" t="s">
        <v>15</v>
      </c>
      <c r="L10388" s="3" t="str">
        <f>IFERROR(__xludf.DUMMYFUNCTION("GOOGLETRANSLATE(F10388,""id"",""en"")"),"The first mules after Argentina Champion World Cup is important info")</f>
        <v>The first mules after Argentina Champion World Cup is important info</v>
      </c>
    </row>
    <row r="10389" ht="15.75" customHeight="1">
      <c r="A10389" s="1">
        <v>11629.0</v>
      </c>
      <c r="B10389" s="3" t="s">
        <v>29586</v>
      </c>
      <c r="C10389" s="3">
        <v>0.0</v>
      </c>
      <c r="D10389" s="3">
        <v>0.0</v>
      </c>
      <c r="E10389" s="3">
        <v>0.0</v>
      </c>
      <c r="F10389" s="3" t="s">
        <v>29587</v>
      </c>
      <c r="G10389" s="3">
        <v>0.0</v>
      </c>
      <c r="H10389" s="3">
        <v>0.0</v>
      </c>
      <c r="I10389" s="3" t="s">
        <v>13</v>
      </c>
      <c r="J10389" s="3" t="s">
        <v>29588</v>
      </c>
      <c r="K10389" s="3" t="s">
        <v>15</v>
      </c>
      <c r="L10389" s="3" t="str">
        <f>IFERROR(__xludf.DUMMYFUNCTION("GOOGLETRANSLATE(F10389,""id"",""en"")"),"Argentina World Cup Champion This Comment of coach Lionel Scaloni")</f>
        <v>Argentina World Cup Champion This Comment of coach Lionel Scaloni</v>
      </c>
    </row>
    <row r="10390" ht="15.75" customHeight="1">
      <c r="A10390" s="1">
        <v>11630.0</v>
      </c>
      <c r="B10390" s="3" t="s">
        <v>29589</v>
      </c>
      <c r="C10390" s="3">
        <v>0.0</v>
      </c>
      <c r="D10390" s="3">
        <v>0.0</v>
      </c>
      <c r="E10390" s="3">
        <v>0.0</v>
      </c>
      <c r="F10390" s="3" t="s">
        <v>29590</v>
      </c>
      <c r="G10390" s="3">
        <v>0.0</v>
      </c>
      <c r="H10390" s="3">
        <v>0.0</v>
      </c>
      <c r="I10390" s="3" t="s">
        <v>13</v>
      </c>
      <c r="J10390" s="3" t="s">
        <v>29591</v>
      </c>
      <c r="K10390" s="3" t="s">
        <v>3519</v>
      </c>
      <c r="L10390" s="3" t="str">
        <f>IFERROR(__xludf.DUMMYFUNCTION("GOOGLETRANSLATE(F10390,""id"",""en"")"),"This time the World Cup feels like the world cup is the national team goalkeeper where the goalkeeper is better, it will be smooth to advance the next round or even the champion of the Croatian Moroccan goalkeeper and the last Argentina reflex")</f>
        <v>This time the World Cup feels like the world cup is the national team goalkeeper where the goalkeeper is better, it will be smooth to advance the next round or even the champion of the Croatian Moroccan goalkeeper and the last Argentina reflex</v>
      </c>
    </row>
    <row r="10391" ht="15.75" customHeight="1">
      <c r="A10391" s="1">
        <v>11631.0</v>
      </c>
      <c r="B10391" s="3" t="s">
        <v>29592</v>
      </c>
      <c r="C10391" s="3">
        <v>0.0</v>
      </c>
      <c r="D10391" s="3">
        <v>0.0</v>
      </c>
      <c r="E10391" s="3">
        <v>0.0</v>
      </c>
      <c r="F10391" s="3" t="s">
        <v>29593</v>
      </c>
      <c r="G10391" s="3">
        <v>0.0</v>
      </c>
      <c r="H10391" s="3">
        <v>0.0</v>
      </c>
      <c r="I10391" s="3" t="s">
        <v>13</v>
      </c>
      <c r="J10391" s="3" t="s">
        <v>29594</v>
      </c>
      <c r="K10391" s="3" t="s">
        <v>41</v>
      </c>
      <c r="L10391" s="3" t="str">
        <f>IFERROR(__xludf.DUMMYFUNCTION("GOOGLETRANSLATE(F10391,""id"",""en"")"),"Messi can sleep soundly the trophy after the World Cup championship")</f>
        <v>Messi can sleep soundly the trophy after the World Cup championship</v>
      </c>
    </row>
    <row r="10392" ht="15.75" customHeight="1">
      <c r="A10392" s="1">
        <v>11632.0</v>
      </c>
      <c r="B10392" s="3" t="s">
        <v>29595</v>
      </c>
      <c r="C10392" s="3">
        <v>0.0</v>
      </c>
      <c r="D10392" s="3">
        <v>0.0</v>
      </c>
      <c r="E10392" s="3">
        <v>1.0</v>
      </c>
      <c r="F10392" s="3" t="s">
        <v>29596</v>
      </c>
      <c r="G10392" s="3">
        <v>0.0</v>
      </c>
      <c r="H10392" s="3">
        <v>0.0</v>
      </c>
      <c r="I10392" s="3" t="s">
        <v>13</v>
      </c>
      <c r="J10392" s="3" t="s">
        <v>29597</v>
      </c>
      <c r="K10392" s="3" t="s">
        <v>3612</v>
      </c>
      <c r="L10392" s="3" t="str">
        <f>IFERROR(__xludf.DUMMYFUNCTION("GOOGLETRANSLATE(F10392,""id"",""en"")"),"The moment of Messi Bring and Lifting the World Cup Trophy and celebrating with Argentine national team fellow as the Argentine National Team Bravo World Cup champion")</f>
        <v>The moment of Messi Bring and Lifting the World Cup Trophy and celebrating with Argentine national team fellow as the Argentine National Team Bravo World Cup champion</v>
      </c>
    </row>
    <row r="10393" ht="15.75" customHeight="1">
      <c r="A10393" s="1">
        <v>11633.0</v>
      </c>
      <c r="B10393" s="3" t="s">
        <v>29598</v>
      </c>
      <c r="C10393" s="3">
        <v>0.0</v>
      </c>
      <c r="D10393" s="3">
        <v>0.0</v>
      </c>
      <c r="E10393" s="3">
        <v>0.0</v>
      </c>
      <c r="F10393" s="3" t="s">
        <v>29599</v>
      </c>
      <c r="G10393" s="3">
        <v>0.0</v>
      </c>
      <c r="H10393" s="3">
        <v>0.0</v>
      </c>
      <c r="I10393" s="3" t="s">
        <v>13</v>
      </c>
      <c r="J10393" s="3" t="s">
        <v>29600</v>
      </c>
      <c r="K10393" s="3" t="s">
        <v>54</v>
      </c>
      <c r="L10393" s="3" t="str">
        <f>IFERROR(__xludf.DUMMYFUNCTION("GOOGLETRANSLATE(F10393,""id"",""en"")"),"Argentina's tough opponent mbape worthy of championship")</f>
        <v>Argentina's tough opponent mbape worthy of championship</v>
      </c>
    </row>
    <row r="10394" ht="15.75" customHeight="1">
      <c r="A10394" s="1">
        <v>11634.0</v>
      </c>
      <c r="B10394" s="3" t="s">
        <v>29601</v>
      </c>
      <c r="C10394" s="3">
        <v>0.0</v>
      </c>
      <c r="D10394" s="3">
        <v>0.0</v>
      </c>
      <c r="E10394" s="3">
        <v>1.0</v>
      </c>
      <c r="F10394" s="3" t="s">
        <v>29602</v>
      </c>
      <c r="G10394" s="3">
        <v>0.0</v>
      </c>
      <c r="H10394" s="3">
        <v>0.0</v>
      </c>
      <c r="I10394" s="3" t="s">
        <v>13</v>
      </c>
      <c r="J10394" s="3" t="s">
        <v>29603</v>
      </c>
      <c r="K10394" s="3" t="s">
        <v>19</v>
      </c>
      <c r="L10394" s="3" t="str">
        <f>IFERROR(__xludf.DUMMYFUNCTION("GOOGLETRANSLATE(F10394,""id"",""en"")"),"hear the word France will gather to become a world champion once Gus canceling the Argentina championship")</f>
        <v>hear the word France will gather to become a world champion once Gus canceling the Argentina championship</v>
      </c>
    </row>
    <row r="10395" ht="15.75" customHeight="1">
      <c r="A10395" s="1">
        <v>11635.0</v>
      </c>
      <c r="B10395" s="3" t="s">
        <v>29604</v>
      </c>
      <c r="C10395" s="3">
        <v>2.0</v>
      </c>
      <c r="D10395" s="3">
        <v>4.0</v>
      </c>
      <c r="E10395" s="3">
        <v>16.0</v>
      </c>
      <c r="F10395" s="3" t="s">
        <v>29605</v>
      </c>
      <c r="G10395" s="3">
        <v>0.0</v>
      </c>
      <c r="H10395" s="3">
        <v>0.0</v>
      </c>
      <c r="I10395" s="3" t="s">
        <v>13</v>
      </c>
      <c r="J10395" s="3" t="s">
        <v>29606</v>
      </c>
      <c r="K10395" s="3" t="s">
        <v>23</v>
      </c>
      <c r="L10395" s="3" t="str">
        <f>IFERROR(__xludf.DUMMYFUNCTION("GOOGLETRANSLATE(F10395,""id"",""en"")"),"When the Saudi Arabian team defeated Argentina in the beginning of the Kadrun said that Arabic football was accompanied")</f>
        <v>When the Saudi Arabian team defeated Argentina in the beginning of the Kadrun said that Arabic football was accompanied</v>
      </c>
    </row>
    <row r="10396" ht="15.75" customHeight="1">
      <c r="A10396" s="1">
        <v>11636.0</v>
      </c>
      <c r="B10396" s="3" t="s">
        <v>29607</v>
      </c>
      <c r="C10396" s="3">
        <v>0.0</v>
      </c>
      <c r="D10396" s="3">
        <v>0.0</v>
      </c>
      <c r="E10396" s="3">
        <v>0.0</v>
      </c>
      <c r="F10396" s="3" t="s">
        <v>29608</v>
      </c>
      <c r="G10396" s="3">
        <v>0.0</v>
      </c>
      <c r="H10396" s="3">
        <v>0.0</v>
      </c>
      <c r="I10396" s="3" t="s">
        <v>13</v>
      </c>
      <c r="J10396" s="3" t="s">
        <v>29609</v>
      </c>
      <c r="K10396" s="3" t="s">
        <v>16362</v>
      </c>
      <c r="L10396" s="3" t="str">
        <f>IFERROR(__xludf.DUMMYFUNCTION("GOOGLETRANSLATE(F10396,""id"",""en"")"),"Arisan Euro and World Cup several times this time is lucky Euro got Portugal World Cup champion joining the social gathering hehe Euro got Italya the World Cup champion got Argentina Champion")</f>
        <v>Arisan Euro and World Cup several times this time is lucky Euro got Portugal World Cup champion joining the social gathering hehe Euro got Italya the World Cup champion got Argentina Champion</v>
      </c>
    </row>
    <row r="10397" ht="15.75" customHeight="1">
      <c r="A10397" s="1">
        <v>11637.0</v>
      </c>
      <c r="B10397" s="3" t="s">
        <v>29610</v>
      </c>
      <c r="C10397" s="3">
        <v>0.0</v>
      </c>
      <c r="D10397" s="3">
        <v>1.0</v>
      </c>
      <c r="E10397" s="3">
        <v>7.0</v>
      </c>
      <c r="F10397" s="3" t="s">
        <v>29146</v>
      </c>
      <c r="G10397" s="3">
        <v>0.0</v>
      </c>
      <c r="H10397" s="3">
        <v>0.0</v>
      </c>
      <c r="I10397" s="3" t="s">
        <v>13</v>
      </c>
      <c r="J10397" s="3" t="s">
        <v>29147</v>
      </c>
      <c r="K10397" s="3" t="s">
        <v>495</v>
      </c>
      <c r="L10397" s="3" t="str">
        <f>IFERROR(__xludf.DUMMYFUNCTION("GOOGLETRANSLATE(F10397,""id"",""en"")"),"Lionel Scaloni proves that age is not an obstacle to bringing Argentina to the World Cup champion he has just followed in the footsteps of Cesar Luis Menotti what it is")</f>
        <v>Lionel Scaloni proves that age is not an obstacle to bringing Argentina to the World Cup champion he has just followed in the footsteps of Cesar Luis Menotti what it is</v>
      </c>
    </row>
    <row r="10398" ht="15.75" customHeight="1">
      <c r="A10398" s="1">
        <v>11638.0</v>
      </c>
      <c r="B10398" s="3" t="s">
        <v>29611</v>
      </c>
      <c r="C10398" s="3">
        <v>0.0</v>
      </c>
      <c r="D10398" s="3">
        <v>0.0</v>
      </c>
      <c r="E10398" s="3">
        <v>0.0</v>
      </c>
      <c r="F10398" s="3" t="s">
        <v>29612</v>
      </c>
      <c r="G10398" s="3">
        <v>0.0</v>
      </c>
      <c r="H10398" s="3">
        <v>0.0</v>
      </c>
      <c r="I10398" s="3" t="s">
        <v>13</v>
      </c>
      <c r="J10398" s="3" t="s">
        <v>29613</v>
      </c>
      <c r="K10398" s="3" t="s">
        <v>41</v>
      </c>
      <c r="L10398" s="3" t="str">
        <f>IFERROR(__xludf.DUMMYFUNCTION("GOOGLETRANSLATE(F10398,""id"",""en"")"),"Argentina won the third championship trophy for the Qatar World Cup")</f>
        <v>Argentina won the third championship trophy for the Qatar World Cup</v>
      </c>
    </row>
    <row r="10399" ht="15.75" customHeight="1">
      <c r="A10399" s="1">
        <v>11639.0</v>
      </c>
      <c r="B10399" s="3" t="s">
        <v>29614</v>
      </c>
      <c r="C10399" s="3">
        <v>0.0</v>
      </c>
      <c r="D10399" s="3">
        <v>0.0</v>
      </c>
      <c r="E10399" s="3">
        <v>0.0</v>
      </c>
      <c r="F10399" s="3" t="s">
        <v>29615</v>
      </c>
      <c r="G10399" s="3">
        <v>0.0</v>
      </c>
      <c r="H10399" s="3">
        <v>0.0</v>
      </c>
      <c r="I10399" s="3" t="s">
        <v>13</v>
      </c>
      <c r="J10399" s="3" t="s">
        <v>29616</v>
      </c>
      <c r="K10399" s="3" t="s">
        <v>1097</v>
      </c>
      <c r="L10399" s="3" t="str">
        <f>IFERROR(__xludf.DUMMYFUNCTION("GOOGLETRANSLATE(F10399,""id"",""en"")"),"yes yes the whole world knows Argentina champion plisdah don't need to be caught")</f>
        <v>yes yes the whole world knows Argentina champion plisdah don't need to be caught</v>
      </c>
    </row>
    <row r="10400" ht="15.75" customHeight="1">
      <c r="A10400" s="1">
        <v>11640.0</v>
      </c>
      <c r="B10400" s="3" t="s">
        <v>29617</v>
      </c>
      <c r="C10400" s="3">
        <v>0.0</v>
      </c>
      <c r="D10400" s="3">
        <v>4.0</v>
      </c>
      <c r="E10400" s="3">
        <v>0.0</v>
      </c>
      <c r="F10400" s="3" t="s">
        <v>29618</v>
      </c>
      <c r="G10400" s="3">
        <v>0.0</v>
      </c>
      <c r="H10400" s="3">
        <v>0.0</v>
      </c>
      <c r="I10400" s="3" t="s">
        <v>13</v>
      </c>
      <c r="J10400" s="3" t="s">
        <v>29619</v>
      </c>
      <c r="K10400" s="3" t="s">
        <v>15</v>
      </c>
      <c r="L10400" s="3" t="str">
        <f>IFERROR(__xludf.DUMMYFUNCTION("GOOGLETRANSLATE(F10400,""id"",""en"")"),"World Cup Champion Welcomed to Gempita Argentina Coverage")</f>
        <v>World Cup Champion Welcomed to Gempita Argentina Coverage</v>
      </c>
    </row>
    <row r="10401" ht="15.75" customHeight="1">
      <c r="A10401" s="1">
        <v>11641.0</v>
      </c>
      <c r="B10401" s="3" t="s">
        <v>29620</v>
      </c>
      <c r="C10401" s="3">
        <v>1.0</v>
      </c>
      <c r="D10401" s="3">
        <v>0.0</v>
      </c>
      <c r="E10401" s="3">
        <v>0.0</v>
      </c>
      <c r="F10401" s="3" t="s">
        <v>29621</v>
      </c>
      <c r="G10401" s="3">
        <v>0.0</v>
      </c>
      <c r="H10401" s="3">
        <v>0.0</v>
      </c>
      <c r="I10401" s="3" t="s">
        <v>13</v>
      </c>
      <c r="J10401" s="3" t="s">
        <v>29622</v>
      </c>
      <c r="K10401" s="3" t="s">
        <v>31</v>
      </c>
      <c r="L10401" s="3" t="str">
        <f>IFERROR(__xludf.DUMMYFUNCTION("GOOGLETRANSLATE(F10401,""id"",""en"")"),"Argentina Champion Paraguay was given a bonus")</f>
        <v>Argentina Champion Paraguay was given a bonus</v>
      </c>
    </row>
    <row r="10402" ht="15.75" customHeight="1">
      <c r="A10402" s="1">
        <v>11642.0</v>
      </c>
      <c r="B10402" s="3" t="s">
        <v>29623</v>
      </c>
      <c r="C10402" s="3">
        <v>0.0</v>
      </c>
      <c r="D10402" s="3">
        <v>0.0</v>
      </c>
      <c r="E10402" s="3">
        <v>0.0</v>
      </c>
      <c r="F10402" s="3" t="s">
        <v>29624</v>
      </c>
      <c r="G10402" s="3">
        <v>1.0</v>
      </c>
      <c r="H10402" s="3">
        <v>0.0</v>
      </c>
      <c r="I10402" s="3" t="s">
        <v>13</v>
      </c>
      <c r="J10402" s="3" t="s">
        <v>29625</v>
      </c>
      <c r="K10402" s="3" t="s">
        <v>24132</v>
      </c>
      <c r="L10402" s="3" t="str">
        <f>IFERROR(__xludf.DUMMYFUNCTION("GOOGLETRANSLATE(F10402,""id"",""en"")"),"Full of Argentina's tension won the Qatar World Cup champion full of Argentina's tension won the Bogor Regency Qatar World Cup champion, the tense match of the Qatar World Cup was successful")</f>
        <v>Full of Argentina's tension won the Qatar World Cup champion full of Argentina's tension won the Bogor Regency Qatar World Cup champion, the tense match of the Qatar World Cup was successful</v>
      </c>
    </row>
    <row r="10403" ht="15.75" customHeight="1">
      <c r="A10403" s="1">
        <v>11643.0</v>
      </c>
      <c r="B10403" s="3" t="s">
        <v>29626</v>
      </c>
      <c r="C10403" s="3">
        <v>0.0</v>
      </c>
      <c r="D10403" s="3">
        <v>0.0</v>
      </c>
      <c r="E10403" s="3">
        <v>1.0</v>
      </c>
      <c r="F10403" s="3" t="s">
        <v>29627</v>
      </c>
      <c r="G10403" s="3">
        <v>0.0</v>
      </c>
      <c r="H10403" s="3">
        <v>0.0</v>
      </c>
      <c r="I10403" s="3" t="s">
        <v>13</v>
      </c>
      <c r="J10403" s="3" t="s">
        <v>29628</v>
      </c>
      <c r="K10403" s="3" t="s">
        <v>75</v>
      </c>
      <c r="L10403" s="3" t="str">
        <f>IFERROR(__xludf.DUMMYFUNCTION("GOOGLETRANSLATE(F10403,""id"",""en"")"),"Bring Argentina World Cup Champion Messi Breaks Any Latest Record")</f>
        <v>Bring Argentina World Cup Champion Messi Breaks Any Latest Record</v>
      </c>
    </row>
    <row r="10404" ht="15.75" customHeight="1">
      <c r="A10404" s="1">
        <v>11644.0</v>
      </c>
      <c r="B10404" s="3" t="s">
        <v>29629</v>
      </c>
      <c r="C10404" s="3">
        <v>0.0</v>
      </c>
      <c r="D10404" s="3">
        <v>0.0</v>
      </c>
      <c r="E10404" s="3">
        <v>0.0</v>
      </c>
      <c r="F10404" s="3" t="s">
        <v>29630</v>
      </c>
      <c r="G10404" s="3">
        <v>0.0</v>
      </c>
      <c r="H10404" s="3">
        <v>0.0</v>
      </c>
      <c r="I10404" s="3" t="s">
        <v>13</v>
      </c>
      <c r="J10404" s="3" t="s">
        <v>29631</v>
      </c>
      <c r="K10404" s="3" t="s">
        <v>82</v>
      </c>
      <c r="L10404" s="3" t="str">
        <f>IFERROR(__xludf.DUMMYFUNCTION("GOOGLETRANSLATE(F10404,""id"",""en"")"),"Argentina World Cup Champion After France French")</f>
        <v>Argentina World Cup Champion After France French</v>
      </c>
    </row>
    <row r="10405" ht="15.75" customHeight="1">
      <c r="A10405" s="1">
        <v>11645.0</v>
      </c>
      <c r="B10405" s="3" t="s">
        <v>29632</v>
      </c>
      <c r="C10405" s="3">
        <v>0.0</v>
      </c>
      <c r="D10405" s="3">
        <v>0.0</v>
      </c>
      <c r="E10405" s="3">
        <v>0.0</v>
      </c>
      <c r="F10405" s="3" t="s">
        <v>29624</v>
      </c>
      <c r="G10405" s="3">
        <v>1.0</v>
      </c>
      <c r="H10405" s="3">
        <v>0.0</v>
      </c>
      <c r="I10405" s="3" t="s">
        <v>13</v>
      </c>
      <c r="J10405" s="3" t="s">
        <v>29625</v>
      </c>
      <c r="K10405" s="3" t="s">
        <v>24132</v>
      </c>
      <c r="L10405" s="3" t="str">
        <f>IFERROR(__xludf.DUMMYFUNCTION("GOOGLETRANSLATE(F10405,""id"",""en"")"),"Full of Argentina's tension won the Qatar World Cup champion full of Argentina's tension won the Bogor Regency Qatar World Cup champion, the tense match of the Qatar World Cup was successful")</f>
        <v>Full of Argentina's tension won the Qatar World Cup champion full of Argentina's tension won the Bogor Regency Qatar World Cup champion, the tense match of the Qatar World Cup was successful</v>
      </c>
    </row>
    <row r="10406" ht="15.75" customHeight="1">
      <c r="A10406" s="1">
        <v>11646.0</v>
      </c>
      <c r="B10406" s="3" t="s">
        <v>29633</v>
      </c>
      <c r="C10406" s="3">
        <v>0.0</v>
      </c>
      <c r="D10406" s="3">
        <v>0.0</v>
      </c>
      <c r="E10406" s="3">
        <v>0.0</v>
      </c>
      <c r="F10406" s="3" t="s">
        <v>29634</v>
      </c>
      <c r="G10406" s="3">
        <v>0.0</v>
      </c>
      <c r="H10406" s="3">
        <v>0.0</v>
      </c>
      <c r="I10406" s="3" t="s">
        <v>13</v>
      </c>
      <c r="J10406" s="3" t="s">
        <v>29635</v>
      </c>
      <c r="K10406" s="3" t="s">
        <v>41</v>
      </c>
      <c r="L10406" s="3" t="str">
        <f>IFERROR(__xludf.DUMMYFUNCTION("GOOGLETRANSLATE(F10406,""id"",""en"")"),"Full of Argentina's tension won the Qatar World Cup championship")</f>
        <v>Full of Argentina's tension won the Qatar World Cup championship</v>
      </c>
    </row>
    <row r="10407" ht="15.75" customHeight="1">
      <c r="A10407" s="1">
        <v>11647.0</v>
      </c>
      <c r="B10407" s="3" t="s">
        <v>29636</v>
      </c>
      <c r="C10407" s="3">
        <v>0.0</v>
      </c>
      <c r="D10407" s="3">
        <v>1.0</v>
      </c>
      <c r="E10407" s="3">
        <v>3.0</v>
      </c>
      <c r="F10407" s="3" t="s">
        <v>29637</v>
      </c>
      <c r="G10407" s="3">
        <v>0.0</v>
      </c>
      <c r="H10407" s="3">
        <v>0.0</v>
      </c>
      <c r="I10407" s="3" t="s">
        <v>13</v>
      </c>
      <c r="J10407" s="3" t="s">
        <v>29638</v>
      </c>
      <c r="K10407" s="3" t="s">
        <v>75</v>
      </c>
      <c r="L10407" s="3" t="str">
        <f>IFERROR(__xludf.DUMMYFUNCTION("GOOGLETRANSLATE(F10407,""id"",""en"")"),"Portrait of Lionel Messi and Family Celebrate Argentina Champion Dear Wife and Children")</f>
        <v>Portrait of Lionel Messi and Family Celebrate Argentina Champion Dear Wife and Children</v>
      </c>
    </row>
    <row r="10408" ht="15.75" customHeight="1">
      <c r="A10408" s="1">
        <v>11648.0</v>
      </c>
      <c r="B10408" s="3" t="s">
        <v>29639</v>
      </c>
      <c r="C10408" s="3">
        <v>0.0</v>
      </c>
      <c r="D10408" s="3">
        <v>0.0</v>
      </c>
      <c r="E10408" s="3">
        <v>0.0</v>
      </c>
      <c r="F10408" s="3" t="s">
        <v>29640</v>
      </c>
      <c r="G10408" s="3">
        <v>0.0</v>
      </c>
      <c r="H10408" s="3">
        <v>0.0</v>
      </c>
      <c r="I10408" s="3" t="s">
        <v>13</v>
      </c>
      <c r="J10408" s="3" t="s">
        <v>29641</v>
      </c>
      <c r="K10408" s="3" t="s">
        <v>510</v>
      </c>
      <c r="L10408" s="3" t="str">
        <f>IFERROR(__xludf.DUMMYFUNCTION("GOOGLETRANSLATE(F10408,""id"",""en"")"),"Substitution of French players in the first half became the historical record of Argentina champions of the Qatar World Cup")</f>
        <v>Substitution of French players in the first half became the historical record of Argentina champions of the Qatar World Cup</v>
      </c>
    </row>
    <row r="10409" ht="15.75" customHeight="1">
      <c r="A10409" s="1">
        <v>11649.0</v>
      </c>
      <c r="B10409" s="3" t="s">
        <v>29642</v>
      </c>
      <c r="C10409" s="3">
        <v>0.0</v>
      </c>
      <c r="D10409" s="3">
        <v>0.0</v>
      </c>
      <c r="E10409" s="3">
        <v>0.0</v>
      </c>
      <c r="F10409" s="3" t="s">
        <v>29643</v>
      </c>
      <c r="G10409" s="3">
        <v>0.0</v>
      </c>
      <c r="H10409" s="3">
        <v>0.0</v>
      </c>
      <c r="I10409" s="3" t="s">
        <v>13</v>
      </c>
      <c r="J10409" s="3" t="s">
        <v>29644</v>
      </c>
      <c r="K10409" s="3" t="s">
        <v>1293</v>
      </c>
      <c r="L10409" s="3" t="str">
        <f>IFERROR(__xludf.DUMMYFUNCTION("GOOGLETRANSLATE(F10409,""id"",""en"")"),"There are two national teams that are happy that the Argentine World Cup event won the Saudi championship defeat the champion during the group phase")</f>
        <v>There are two national teams that are happy that the Argentine World Cup event won the Saudi championship defeat the champion during the group phase</v>
      </c>
    </row>
    <row r="10410" ht="15.75" customHeight="1">
      <c r="A10410" s="1">
        <v>11650.0</v>
      </c>
      <c r="B10410" s="3" t="s">
        <v>29645</v>
      </c>
      <c r="C10410" s="3">
        <v>0.0</v>
      </c>
      <c r="D10410" s="3">
        <v>0.0</v>
      </c>
      <c r="E10410" s="3">
        <v>0.0</v>
      </c>
      <c r="F10410" s="3" t="s">
        <v>29646</v>
      </c>
      <c r="G10410" s="3">
        <v>0.0</v>
      </c>
      <c r="H10410" s="3">
        <v>0.0</v>
      </c>
      <c r="I10410" s="3" t="s">
        <v>13</v>
      </c>
      <c r="J10410" s="3" t="s">
        <v>29647</v>
      </c>
      <c r="K10410" s="3" t="s">
        <v>27669</v>
      </c>
      <c r="L10410" s="3" t="str">
        <f>IFERROR(__xludf.DUMMYFUNCTION("GOOGLETRANSLATE(F10410,""id"",""en"")"),"Take Argentina World Cup Champion This Collection of the Mega Star Lionel Messi Following is the Argentine National Team Mega Star Collection Lionel Messi")</f>
        <v>Take Argentina World Cup Champion This Collection of the Mega Star Lionel Messi Following is the Argentine National Team Mega Star Collection Lionel Messi</v>
      </c>
    </row>
    <row r="10411" ht="15.75" customHeight="1">
      <c r="A10411" s="1">
        <v>11651.0</v>
      </c>
      <c r="B10411" s="3" t="s">
        <v>29648</v>
      </c>
      <c r="C10411" s="3">
        <v>0.0</v>
      </c>
      <c r="D10411" s="3">
        <v>0.0</v>
      </c>
      <c r="E10411" s="3">
        <v>2.0</v>
      </c>
      <c r="F10411" s="3" t="s">
        <v>29649</v>
      </c>
      <c r="G10411" s="3">
        <v>0.0</v>
      </c>
      <c r="H10411" s="3">
        <v>0.0</v>
      </c>
      <c r="I10411" s="3" t="s">
        <v>13</v>
      </c>
      <c r="J10411" s="3" t="s">
        <v>29650</v>
      </c>
      <c r="K10411" s="3" t="s">
        <v>71</v>
      </c>
      <c r="L10411" s="3" t="str">
        <f>IFERROR(__xludf.DUMMYFUNCTION("GOOGLETRANSLATE(F10411,""id"",""en"")"),"Congratulations from the Chairperson of the Indonesian Football Federation for the victory and title of the Argentine National Team World Cup")</f>
        <v>Congratulations from the Chairperson of the Indonesian Football Federation for the victory and title of the Argentine National Team World Cup</v>
      </c>
    </row>
    <row r="10412" ht="15.75" customHeight="1">
      <c r="A10412" s="1">
        <v>11652.0</v>
      </c>
      <c r="B10412" s="3" t="s">
        <v>29651</v>
      </c>
      <c r="C10412" s="3">
        <v>0.0</v>
      </c>
      <c r="D10412" s="3">
        <v>1.0</v>
      </c>
      <c r="E10412" s="3">
        <v>5.0</v>
      </c>
      <c r="F10412" s="3" t="s">
        <v>29652</v>
      </c>
      <c r="G10412" s="3">
        <v>0.0</v>
      </c>
      <c r="H10412" s="3">
        <v>0.0</v>
      </c>
      <c r="I10412" s="3" t="s">
        <v>13</v>
      </c>
      <c r="J10412" s="3" t="s">
        <v>29653</v>
      </c>
      <c r="K10412" s="3" t="s">
        <v>184</v>
      </c>
      <c r="L10412" s="3" t="str">
        <f>IFERROR(__xludf.DUMMYFUNCTION("GOOGLETRANSLATE(F10412,""id"",""en"")"),"It seems that Argentine is very happy so Iwan Caucasian becomes the chairman of the federation they still care about the important thing this year already champions")</f>
        <v>It seems that Argentine is very happy so Iwan Caucasian becomes the chairman of the federation they still care about the important thing this year already champions</v>
      </c>
    </row>
    <row r="10413" ht="15.75" customHeight="1">
      <c r="A10413" s="1">
        <v>11653.0</v>
      </c>
      <c r="B10413" s="3" t="s">
        <v>29654</v>
      </c>
      <c r="C10413" s="3">
        <v>0.0</v>
      </c>
      <c r="D10413" s="3">
        <v>0.0</v>
      </c>
      <c r="E10413" s="3">
        <v>1.0</v>
      </c>
      <c r="F10413" s="3" t="s">
        <v>29655</v>
      </c>
      <c r="G10413" s="3">
        <v>1.0</v>
      </c>
      <c r="H10413" s="3">
        <v>0.0</v>
      </c>
      <c r="I10413" s="3" t="s">
        <v>13</v>
      </c>
      <c r="J10413" s="3" t="s">
        <v>29656</v>
      </c>
      <c r="K10413" s="3" t="s">
        <v>823</v>
      </c>
      <c r="L10413" s="3" t="str">
        <f>IFERROR(__xludf.DUMMYFUNCTION("GOOGLETRANSLATE(F10413,""id"",""en"")"),"Once again the white color of the pants like a sweet fruit for Argentina The World Cup Final is similar to Estadio Maracana a year ago now at the World Cup Final Lionel Messi and friends back to win the championship")</f>
        <v>Once again the white color of the pants like a sweet fruit for Argentina The World Cup Final is similar to Estadio Maracana a year ago now at the World Cup Final Lionel Messi and friends back to win the championship</v>
      </c>
    </row>
    <row r="10414" ht="15.75" customHeight="1">
      <c r="A10414" s="1">
        <v>11654.0</v>
      </c>
      <c r="B10414" s="3" t="s">
        <v>29657</v>
      </c>
      <c r="C10414" s="3">
        <v>0.0</v>
      </c>
      <c r="D10414" s="3">
        <v>0.0</v>
      </c>
      <c r="E10414" s="3">
        <v>0.0</v>
      </c>
      <c r="F10414" s="3" t="s">
        <v>29658</v>
      </c>
      <c r="G10414" s="3">
        <v>0.0</v>
      </c>
      <c r="H10414" s="3">
        <v>0.0</v>
      </c>
      <c r="I10414" s="3" t="s">
        <v>13</v>
      </c>
      <c r="J10414" s="3" t="s">
        <v>29659</v>
      </c>
      <c r="K10414" s="3" t="s">
        <v>82</v>
      </c>
      <c r="L10414" s="3" t="str">
        <f>IFERROR(__xludf.DUMMYFUNCTION("GOOGLETRANSLATE(F10414,""id"",""en"")"),"yes right when Argentina champions Copa America")</f>
        <v>yes right when Argentina champions Copa America</v>
      </c>
    </row>
    <row r="10415" ht="15.75" customHeight="1">
      <c r="A10415" s="1">
        <v>11655.0</v>
      </c>
      <c r="B10415" s="3" t="s">
        <v>29660</v>
      </c>
      <c r="C10415" s="3">
        <v>0.0</v>
      </c>
      <c r="D10415" s="3">
        <v>0.0</v>
      </c>
      <c r="E10415" s="3">
        <v>0.0</v>
      </c>
      <c r="F10415" s="3" t="s">
        <v>29655</v>
      </c>
      <c r="G10415" s="3">
        <v>1.0</v>
      </c>
      <c r="H10415" s="3">
        <v>0.0</v>
      </c>
      <c r="I10415" s="3" t="s">
        <v>13</v>
      </c>
      <c r="J10415" s="3" t="s">
        <v>29656</v>
      </c>
      <c r="K10415" s="3" t="s">
        <v>823</v>
      </c>
      <c r="L10415" s="3" t="str">
        <f>IFERROR(__xludf.DUMMYFUNCTION("GOOGLETRANSLATE(F10415,""id"",""en"")"),"Once again the white color of the pants like a sweet fruit for Argentina The World Cup Final is similar to Estadio Maracana a year ago now at the World Cup Final Lionel Messi and friends back to win the championship")</f>
        <v>Once again the white color of the pants like a sweet fruit for Argentina The World Cup Final is similar to Estadio Maracana a year ago now at the World Cup Final Lionel Messi and friends back to win the championship</v>
      </c>
    </row>
    <row r="10416" ht="15.75" customHeight="1">
      <c r="A10416" s="1">
        <v>11656.0</v>
      </c>
      <c r="B10416" s="3" t="s">
        <v>29661</v>
      </c>
      <c r="C10416" s="3">
        <v>0.0</v>
      </c>
      <c r="D10416" s="3">
        <v>0.0</v>
      </c>
      <c r="E10416" s="3">
        <v>0.0</v>
      </c>
      <c r="F10416" s="3" t="s">
        <v>29662</v>
      </c>
      <c r="G10416" s="3">
        <v>0.55</v>
      </c>
      <c r="H10416" s="3">
        <v>0.35</v>
      </c>
      <c r="I10416" s="3" t="s">
        <v>48</v>
      </c>
      <c r="J10416" s="3" t="s">
        <v>29663</v>
      </c>
      <c r="K10416" s="3" t="s">
        <v>15</v>
      </c>
      <c r="L10416" s="3" t="str">
        <f>IFERROR(__xludf.DUMMYFUNCTION("GOOGLETRANSLATE(F10416,""id"",""en"")"),"because of Argentina the champion today is full listening to Latin songs")</f>
        <v>because of Argentina the champion today is full listening to Latin songs</v>
      </c>
    </row>
    <row r="10417" ht="15.75" customHeight="1">
      <c r="A10417" s="1">
        <v>11657.0</v>
      </c>
      <c r="B10417" s="3" t="s">
        <v>29664</v>
      </c>
      <c r="C10417" s="3">
        <v>0.0</v>
      </c>
      <c r="D10417" s="3">
        <v>0.0</v>
      </c>
      <c r="E10417" s="3">
        <v>0.0</v>
      </c>
      <c r="F10417" s="3" t="s">
        <v>29665</v>
      </c>
      <c r="G10417" s="3">
        <v>0.0</v>
      </c>
      <c r="H10417" s="3">
        <v>0.0</v>
      </c>
      <c r="I10417" s="3" t="s">
        <v>13</v>
      </c>
      <c r="J10417" s="3" t="s">
        <v>29666</v>
      </c>
      <c r="K10417" s="3" t="s">
        <v>6752</v>
      </c>
      <c r="L10417" s="3" t="str">
        <f>IFERROR(__xludf.DUMMYFUNCTION("GOOGLETRANSLATE(F10417,""id"",""en"")"),"champion champion Argentina championa yeayy")</f>
        <v>champion champion Argentina championa yeayy</v>
      </c>
    </row>
    <row r="10418" ht="15.75" customHeight="1">
      <c r="A10418" s="1">
        <v>11658.0</v>
      </c>
      <c r="B10418" s="3" t="s">
        <v>29667</v>
      </c>
      <c r="C10418" s="3">
        <v>0.0</v>
      </c>
      <c r="D10418" s="3">
        <v>1.0</v>
      </c>
      <c r="E10418" s="3">
        <v>2.0</v>
      </c>
      <c r="F10418" s="3" t="s">
        <v>29668</v>
      </c>
      <c r="G10418" s="3">
        <v>0.0</v>
      </c>
      <c r="H10418" s="3">
        <v>0.0</v>
      </c>
      <c r="I10418" s="3" t="s">
        <v>13</v>
      </c>
      <c r="J10418" s="3" t="s">
        <v>29669</v>
      </c>
      <c r="K10418" s="3" t="s">
        <v>50</v>
      </c>
      <c r="L10418" s="3" t="str">
        <f>IFERROR(__xludf.DUMMYFUNCTION("GOOGLETRANSLATE(F10418,""id"",""en"")"),"The wait during that year was over the Argentine national team won the World Cup again")</f>
        <v>The wait during that year was over the Argentine national team won the World Cup again</v>
      </c>
    </row>
    <row r="10419" ht="15.75" customHeight="1">
      <c r="A10419" s="1">
        <v>11659.0</v>
      </c>
      <c r="B10419" s="3" t="s">
        <v>29670</v>
      </c>
      <c r="C10419" s="3">
        <v>1.0</v>
      </c>
      <c r="D10419" s="3">
        <v>0.0</v>
      </c>
      <c r="E10419" s="3">
        <v>0.0</v>
      </c>
      <c r="F10419" s="3" t="s">
        <v>29671</v>
      </c>
      <c r="G10419" s="3">
        <v>0.0</v>
      </c>
      <c r="H10419" s="3">
        <v>0.0</v>
      </c>
      <c r="I10419" s="3" t="s">
        <v>13</v>
      </c>
      <c r="J10419" s="3" t="s">
        <v>29672</v>
      </c>
      <c r="K10419" s="3" t="s">
        <v>75</v>
      </c>
      <c r="L10419" s="3" t="str">
        <f>IFERROR(__xludf.DUMMYFUNCTION("GOOGLETRANSLATE(F10419,""id"",""en"")"),"Congratulations on Argentina True Fans The champion is waiting for later from the Riquelme era")</f>
        <v>Congratulations on Argentina True Fans The champion is waiting for later from the Riquelme era</v>
      </c>
    </row>
    <row r="10420" ht="15.75" customHeight="1">
      <c r="A10420" s="1">
        <v>11660.0</v>
      </c>
      <c r="B10420" s="3" t="s">
        <v>29673</v>
      </c>
      <c r="C10420" s="3">
        <v>0.0</v>
      </c>
      <c r="D10420" s="3">
        <v>0.0</v>
      </c>
      <c r="E10420" s="3">
        <v>0.0</v>
      </c>
      <c r="F10420" s="3" t="s">
        <v>29674</v>
      </c>
      <c r="G10420" s="3">
        <v>0.0</v>
      </c>
      <c r="H10420" s="3">
        <v>0.0</v>
      </c>
      <c r="I10420" s="3" t="s">
        <v>13</v>
      </c>
      <c r="J10420" s="3" t="s">
        <v>29675</v>
      </c>
      <c r="K10420" s="3" t="s">
        <v>240</v>
      </c>
      <c r="L10420" s="3" t="str">
        <f>IFERROR(__xludf.DUMMYFUNCTION("GOOGLETRANSLATE(F10420,""id"",""en"")"),"wkwkwk really exciting who will be the finger of the champion of the pildun this year but Mimin Indihome is not bothering to be curious anymore because Argentina is gone")</f>
        <v>wkwkwk really exciting who will be the finger of the champion of the pildun this year but Mimin Indihome is not bothering to be curious anymore because Argentina is gone</v>
      </c>
    </row>
    <row r="10421" ht="15.75" customHeight="1">
      <c r="A10421" s="1">
        <v>11661.0</v>
      </c>
      <c r="B10421" s="3" t="s">
        <v>29676</v>
      </c>
      <c r="C10421" s="3">
        <v>0.0</v>
      </c>
      <c r="D10421" s="3">
        <v>0.0</v>
      </c>
      <c r="E10421" s="3">
        <v>0.0</v>
      </c>
      <c r="F10421" s="3" t="s">
        <v>29677</v>
      </c>
      <c r="G10421" s="3">
        <v>0.0</v>
      </c>
      <c r="H10421" s="3">
        <v>0.0</v>
      </c>
      <c r="I10421" s="3" t="s">
        <v>13</v>
      </c>
      <c r="J10421" s="3" t="s">
        <v>29678</v>
      </c>
      <c r="K10421" s="3" t="s">
        <v>127</v>
      </c>
      <c r="L10421" s="3" t="str">
        <f>IFERROR(__xludf.DUMMYFUNCTION("GOOGLETRANSLATE(F10421,""id"",""en"")"),"finally Argentina came out to win the Qatar World Cup for those who did not have time to watch the thrill of the game last night we summarized in the infographic")</f>
        <v>finally Argentina came out to win the Qatar World Cup for those who did not have time to watch the thrill of the game last night we summarized in the infographic</v>
      </c>
    </row>
    <row r="10422" ht="15.75" customHeight="1">
      <c r="A10422" s="1">
        <v>11662.0</v>
      </c>
      <c r="B10422" s="3" t="s">
        <v>29679</v>
      </c>
      <c r="C10422" s="3">
        <v>0.0</v>
      </c>
      <c r="D10422" s="3">
        <v>0.0</v>
      </c>
      <c r="E10422" s="3">
        <v>0.0</v>
      </c>
      <c r="F10422" s="3" t="s">
        <v>29680</v>
      </c>
      <c r="G10422" s="3">
        <v>0.0</v>
      </c>
      <c r="H10422" s="3">
        <v>0.0</v>
      </c>
      <c r="I10422" s="3" t="s">
        <v>13</v>
      </c>
      <c r="J10422" s="3" t="s">
        <v>29681</v>
      </c>
      <c r="K10422" s="3" t="s">
        <v>31</v>
      </c>
      <c r="L10422" s="3" t="str">
        <f>IFERROR(__xludf.DUMMYFUNCTION("GOOGLETRANSLATE(F10422,""id"",""en"")"),"while Argentina is champion dating")</f>
        <v>while Argentina is champion dating</v>
      </c>
    </row>
    <row r="10423" ht="15.75" customHeight="1">
      <c r="A10423" s="1">
        <v>11663.0</v>
      </c>
      <c r="B10423" s="3" t="s">
        <v>29682</v>
      </c>
      <c r="C10423" s="3">
        <v>0.0</v>
      </c>
      <c r="D10423" s="3">
        <v>1.0</v>
      </c>
      <c r="E10423" s="3">
        <v>5.0</v>
      </c>
      <c r="F10423" s="3" t="s">
        <v>20212</v>
      </c>
      <c r="G10423" s="3">
        <v>0.0</v>
      </c>
      <c r="H10423" s="3">
        <v>0.0</v>
      </c>
      <c r="I10423" s="3" t="s">
        <v>13</v>
      </c>
      <c r="J10423" s="3" t="s">
        <v>20213</v>
      </c>
      <c r="K10423" s="3" t="s">
        <v>31</v>
      </c>
      <c r="L10423" s="3" t="str">
        <f>IFERROR(__xludf.DUMMYFUNCTION("GOOGLETRANSLATE(F10423,""id"",""en"")"),"Argentina won the World Cup")</f>
        <v>Argentina won the World Cup</v>
      </c>
    </row>
    <row r="10424" ht="15.75" customHeight="1">
      <c r="A10424" s="1">
        <v>11664.0</v>
      </c>
      <c r="B10424" s="3" t="s">
        <v>29683</v>
      </c>
      <c r="C10424" s="3">
        <v>0.0</v>
      </c>
      <c r="D10424" s="3">
        <v>0.0</v>
      </c>
      <c r="E10424" s="3">
        <v>0.0</v>
      </c>
      <c r="F10424" s="3" t="s">
        <v>29684</v>
      </c>
      <c r="G10424" s="3">
        <v>0.0</v>
      </c>
      <c r="H10424" s="3">
        <v>0.0</v>
      </c>
      <c r="I10424" s="3" t="s">
        <v>13</v>
      </c>
      <c r="J10424" s="3" t="s">
        <v>29685</v>
      </c>
      <c r="K10424" s="3" t="s">
        <v>58</v>
      </c>
      <c r="L10424" s="3" t="str">
        <f>IFERROR(__xludf.DUMMYFUNCTION("GOOGLETRANSLATE(F10424,""id"",""en"")"),"Argentina's broken heart year was defeated by the host finally this year the World Cup champion even though he had followed again")</f>
        <v>Argentina's broken heart year was defeated by the host finally this year the World Cup champion even though he had followed again</v>
      </c>
    </row>
    <row r="10425" ht="15.75" customHeight="1">
      <c r="A10425" s="1">
        <v>11665.0</v>
      </c>
      <c r="B10425" s="3" t="s">
        <v>29686</v>
      </c>
      <c r="C10425" s="3">
        <v>0.0</v>
      </c>
      <c r="D10425" s="3">
        <v>0.0</v>
      </c>
      <c r="E10425" s="3">
        <v>0.0</v>
      </c>
      <c r="F10425" s="3" t="s">
        <v>29687</v>
      </c>
      <c r="G10425" s="3">
        <v>0.75</v>
      </c>
      <c r="H10425" s="3">
        <v>0.0</v>
      </c>
      <c r="I10425" s="3" t="s">
        <v>13</v>
      </c>
      <c r="J10425" s="3" t="s">
        <v>29688</v>
      </c>
      <c r="K10425" s="3" t="s">
        <v>266</v>
      </c>
      <c r="L10425" s="3" t="str">
        <f>IFERROR(__xludf.DUMMYFUNCTION("GOOGLETRANSLATE(F10425,""id"",""en"")"),"I see now that Argentina is a world champion, meaning the best game at this time is just if you want to still be able to survive the best game, you have to change the gameplay from now over the big overhampun because Messi will retire")</f>
        <v>I see now that Argentina is a world champion, meaning the best game at this time is just if you want to still be able to survive the best game, you have to change the gameplay from now over the big overhampun because Messi will retire</v>
      </c>
    </row>
    <row r="10426" ht="15.75" customHeight="1">
      <c r="A10426" s="1">
        <v>11666.0</v>
      </c>
      <c r="B10426" s="3" t="s">
        <v>29689</v>
      </c>
      <c r="C10426" s="3">
        <v>0.0</v>
      </c>
      <c r="D10426" s="3">
        <v>0.0</v>
      </c>
      <c r="E10426" s="3">
        <v>0.0</v>
      </c>
      <c r="F10426" s="3" t="s">
        <v>29690</v>
      </c>
      <c r="G10426" s="3">
        <v>0.0</v>
      </c>
      <c r="H10426" s="3">
        <v>0.0</v>
      </c>
      <c r="I10426" s="3" t="s">
        <v>13</v>
      </c>
      <c r="J10426" s="3" t="s">
        <v>16942</v>
      </c>
      <c r="K10426" s="3" t="s">
        <v>644</v>
      </c>
      <c r="L10426" s="3" t="str">
        <f>IFERROR(__xludf.DUMMYFUNCTION("GOOGLETRANSLATE(F10426,""id"",""en"")"),"What made Argentina Champion World Cup")</f>
        <v>What made Argentina Champion World Cup</v>
      </c>
    </row>
    <row r="10427" ht="15.75" customHeight="1">
      <c r="A10427" s="1">
        <v>11667.0</v>
      </c>
      <c r="B10427" s="3" t="s">
        <v>29691</v>
      </c>
      <c r="C10427" s="3">
        <v>0.0</v>
      </c>
      <c r="D10427" s="3">
        <v>2.0</v>
      </c>
      <c r="E10427" s="3">
        <v>8.0</v>
      </c>
      <c r="F10427" s="3" t="s">
        <v>29692</v>
      </c>
      <c r="G10427" s="3">
        <v>0.0</v>
      </c>
      <c r="H10427" s="3">
        <v>0.0</v>
      </c>
      <c r="I10427" s="3" t="s">
        <v>13</v>
      </c>
      <c r="J10427" s="3" t="s">
        <v>29693</v>
      </c>
      <c r="K10427" s="3" t="s">
        <v>510</v>
      </c>
      <c r="L10427" s="3" t="str">
        <f>IFERROR(__xludf.DUMMYFUNCTION("GOOGLETRANSLATE(F10427,""id"",""en"")"),"Argentina ended the waiting for the champion after the extraordinary year what lessons could be taken from this great story")</f>
        <v>Argentina ended the waiting for the champion after the extraordinary year what lessons could be taken from this great story</v>
      </c>
    </row>
    <row r="10428" ht="15.75" customHeight="1">
      <c r="A10428" s="1">
        <v>11668.0</v>
      </c>
      <c r="B10428" s="3" t="s">
        <v>29694</v>
      </c>
      <c r="C10428" s="3">
        <v>1.0</v>
      </c>
      <c r="D10428" s="3">
        <v>0.0</v>
      </c>
      <c r="E10428" s="3">
        <v>0.0</v>
      </c>
      <c r="F10428" s="3" t="s">
        <v>29695</v>
      </c>
      <c r="G10428" s="3">
        <v>0.9</v>
      </c>
      <c r="H10428" s="3">
        <v>-0.8</v>
      </c>
      <c r="I10428" s="3" t="s">
        <v>179</v>
      </c>
      <c r="J10428" s="3" t="s">
        <v>29696</v>
      </c>
      <c r="K10428" s="3" t="s">
        <v>127</v>
      </c>
      <c r="L10428" s="3" t="str">
        <f>IFERROR(__xludf.DUMMYFUNCTION("GOOGLETRANSLATE(F10428,""id"",""en"")"),"Sanp Just Kepoo Alhamdulillah Argentina Champion Beb Sebe Sebean France because Islamophobhic Hate for Their Football Team")</f>
        <v>Sanp Just Kepoo Alhamdulillah Argentina Champion Beb Sebe Sebean France because Islamophobhic Hate for Their Football Team</v>
      </c>
    </row>
    <row r="10429" ht="15.75" customHeight="1">
      <c r="A10429" s="1">
        <v>11669.0</v>
      </c>
      <c r="B10429" s="3" t="s">
        <v>29697</v>
      </c>
      <c r="C10429" s="3">
        <v>0.0</v>
      </c>
      <c r="D10429" s="3">
        <v>0.0</v>
      </c>
      <c r="E10429" s="3">
        <v>0.0</v>
      </c>
      <c r="F10429" s="3" t="s">
        <v>28809</v>
      </c>
      <c r="G10429" s="3">
        <v>0.0</v>
      </c>
      <c r="H10429" s="3">
        <v>0.0</v>
      </c>
      <c r="I10429" s="3" t="s">
        <v>13</v>
      </c>
      <c r="J10429" s="3" t="s">
        <v>28810</v>
      </c>
      <c r="K10429" s="3" t="s">
        <v>54</v>
      </c>
      <c r="L10429" s="3" t="str">
        <f>IFERROR(__xludf.DUMMYFUNCTION("GOOGLETRANSLATE(F10429,""id"",""en"")"),"Congratulations to Argentina World Cup Champion")</f>
        <v>Congratulations to Argentina World Cup Champion</v>
      </c>
    </row>
    <row r="10430" ht="15.75" customHeight="1">
      <c r="A10430" s="1">
        <v>11670.0</v>
      </c>
      <c r="B10430" s="3" t="s">
        <v>29698</v>
      </c>
      <c r="C10430" s="3">
        <v>0.0</v>
      </c>
      <c r="D10430" s="3">
        <v>0.0</v>
      </c>
      <c r="E10430" s="3">
        <v>0.0</v>
      </c>
      <c r="F10430" s="3" t="s">
        <v>29699</v>
      </c>
      <c r="G10430" s="3">
        <v>0.0</v>
      </c>
      <c r="H10430" s="3">
        <v>0.0</v>
      </c>
      <c r="I10430" s="3" t="s">
        <v>13</v>
      </c>
      <c r="J10430" s="3" t="s">
        <v>29700</v>
      </c>
      <c r="K10430" s="3" t="s">
        <v>75</v>
      </c>
      <c r="L10430" s="3" t="str">
        <f>IFERROR(__xludf.DUMMYFUNCTION("GOOGLETRANSLATE(F10430,""id"",""en"")"),"The actions of the Argentine shamans to Lionel Messi were able to win the World Cup")</f>
        <v>The actions of the Argentine shamans to Lionel Messi were able to win the World Cup</v>
      </c>
    </row>
    <row r="10431" ht="15.75" customHeight="1">
      <c r="A10431" s="1">
        <v>11671.0</v>
      </c>
      <c r="B10431" s="3" t="s">
        <v>29701</v>
      </c>
      <c r="C10431" s="3">
        <v>0.0</v>
      </c>
      <c r="D10431" s="3">
        <v>2.0</v>
      </c>
      <c r="E10431" s="3">
        <v>3.0</v>
      </c>
      <c r="F10431" s="3" t="s">
        <v>29702</v>
      </c>
      <c r="G10431" s="3">
        <v>0.0</v>
      </c>
      <c r="H10431" s="3">
        <v>0.0</v>
      </c>
      <c r="I10431" s="3" t="s">
        <v>13</v>
      </c>
      <c r="J10431" s="3" t="s">
        <v>29703</v>
      </c>
      <c r="K10431" s="3" t="s">
        <v>15</v>
      </c>
      <c r="L10431" s="3" t="str">
        <f>IFERROR(__xludf.DUMMYFUNCTION("GOOGLETRANSLATE(F10431,""id"",""en"")"),"Argentine People's Passion Photos Celebrate World Cup Champion")</f>
        <v>Argentine People's Passion Photos Celebrate World Cup Champion</v>
      </c>
    </row>
    <row r="10432" ht="15.75" customHeight="1">
      <c r="A10432" s="1">
        <v>11672.0</v>
      </c>
      <c r="B10432" s="3" t="s">
        <v>29704</v>
      </c>
      <c r="C10432" s="3">
        <v>0.0</v>
      </c>
      <c r="D10432" s="3">
        <v>0.0</v>
      </c>
      <c r="E10432" s="3">
        <v>0.0</v>
      </c>
      <c r="F10432" s="3" t="s">
        <v>29705</v>
      </c>
      <c r="G10432" s="3">
        <v>0.4</v>
      </c>
      <c r="H10432" s="3">
        <v>0.4</v>
      </c>
      <c r="I10432" s="3" t="s">
        <v>48</v>
      </c>
      <c r="J10432" s="3" t="s">
        <v>29706</v>
      </c>
      <c r="K10432" s="3" t="s">
        <v>437</v>
      </c>
      <c r="L10432" s="3" t="str">
        <f>IFERROR(__xludf.DUMMYFUNCTION("GOOGLETRANSLATE(F10432,""id"",""en"")"),"Drowsiness to Watch Tiktok Videos Videos The success of Messi and Argentina won the World Cup with Sound Viva Vida")</f>
        <v>Drowsiness to Watch Tiktok Videos Videos The success of Messi and Argentina won the World Cup with Sound Viva Vida</v>
      </c>
    </row>
    <row r="10433" ht="15.75" customHeight="1">
      <c r="A10433" s="1">
        <v>11673.0</v>
      </c>
      <c r="B10433" s="3" t="s">
        <v>29707</v>
      </c>
      <c r="C10433" s="3">
        <v>0.0</v>
      </c>
      <c r="D10433" s="3">
        <v>0.0</v>
      </c>
      <c r="E10433" s="3">
        <v>1.0</v>
      </c>
      <c r="F10433" s="3" t="s">
        <v>29708</v>
      </c>
      <c r="G10433" s="3">
        <v>0.0</v>
      </c>
      <c r="H10433" s="3">
        <v>0.0</v>
      </c>
      <c r="I10433" s="3" t="s">
        <v>13</v>
      </c>
      <c r="J10433" s="3" t="s">
        <v>29709</v>
      </c>
      <c r="K10433" s="3" t="s">
        <v>82</v>
      </c>
      <c r="L10433" s="3" t="str">
        <f>IFERROR(__xludf.DUMMYFUNCTION("GOOGLETRANSLATE(F10433,""id"",""en"")"),"Iyaya Argentina, the champion doesn't need to be bullied")</f>
        <v>Iyaya Argentina, the champion doesn't need to be bullied</v>
      </c>
    </row>
    <row r="10434" ht="15.75" customHeight="1">
      <c r="A10434" s="1">
        <v>11674.0</v>
      </c>
      <c r="B10434" s="3" t="s">
        <v>29710</v>
      </c>
      <c r="C10434" s="3">
        <v>0.0</v>
      </c>
      <c r="D10434" s="3">
        <v>0.0</v>
      </c>
      <c r="E10434" s="3">
        <v>1.0</v>
      </c>
      <c r="F10434" s="3" t="s">
        <v>29711</v>
      </c>
      <c r="G10434" s="3">
        <v>0.0</v>
      </c>
      <c r="H10434" s="3">
        <v>0.0</v>
      </c>
      <c r="I10434" s="3" t="s">
        <v>13</v>
      </c>
      <c r="J10434" s="3" t="s">
        <v>29712</v>
      </c>
      <c r="K10434" s="3" t="s">
        <v>3156</v>
      </c>
      <c r="L10434" s="3" t="str">
        <f>IFERROR(__xludf.DUMMYFUNCTION("GOOGLETRANSLATE(F10434,""id"",""en"")"),"Already wearing Argentina and Argentina's champion clothes, sir, this is a congratulations, sir, so Mr. Mahfud France's hope is the championship championship")</f>
        <v>Already wearing Argentina and Argentina's champion clothes, sir, this is a congratulations, sir, so Mr. Mahfud France's hope is the championship championship</v>
      </c>
    </row>
    <row r="10435" ht="15.75" customHeight="1">
      <c r="A10435" s="1">
        <v>11675.0</v>
      </c>
      <c r="B10435" s="3" t="s">
        <v>29713</v>
      </c>
      <c r="C10435" s="3">
        <v>0.0</v>
      </c>
      <c r="D10435" s="3">
        <v>0.0</v>
      </c>
      <c r="E10435" s="3">
        <v>2.0</v>
      </c>
      <c r="F10435" s="3" t="s">
        <v>29714</v>
      </c>
      <c r="G10435" s="3">
        <v>0.0</v>
      </c>
      <c r="H10435" s="3">
        <v>0.0</v>
      </c>
      <c r="I10435" s="3" t="s">
        <v>13</v>
      </c>
      <c r="J10435" s="3" t="s">
        <v>29715</v>
      </c>
      <c r="K10435" s="3" t="s">
        <v>75</v>
      </c>
      <c r="L10435" s="3" t="str">
        <f>IFERROR(__xludf.DUMMYFUNCTION("GOOGLETRANSLATE(F10435,""id"",""en"")"),"where is the rafathar child bringing bad luck yesterday Argentina champion nichhh")</f>
        <v>where is the rafathar child bringing bad luck yesterday Argentina champion nichhh</v>
      </c>
    </row>
    <row r="10436" ht="15.75" customHeight="1">
      <c r="A10436" s="1">
        <v>11676.0</v>
      </c>
      <c r="B10436" s="3" t="s">
        <v>29716</v>
      </c>
      <c r="C10436" s="3">
        <v>1.0</v>
      </c>
      <c r="D10436" s="3">
        <v>0.0</v>
      </c>
      <c r="E10436" s="3">
        <v>0.0</v>
      </c>
      <c r="F10436" s="3" t="s">
        <v>29717</v>
      </c>
      <c r="G10436" s="3">
        <v>0.0</v>
      </c>
      <c r="H10436" s="3">
        <v>0.0</v>
      </c>
      <c r="I10436" s="3" t="s">
        <v>13</v>
      </c>
      <c r="J10436" s="3" t="s">
        <v>29718</v>
      </c>
      <c r="K10436" s="3" t="s">
        <v>1854</v>
      </c>
      <c r="L10436" s="3" t="str">
        <f>IFERROR(__xludf.DUMMYFUNCTION("GOOGLETRANSLATE(F10436,""id"",""en"")"),"Ciaaaakh Double Standard Buy Spanish yesterday I lost how to get dead to the argument of Argentina's turn to the biggest Koar champion I was not a hilarious Spanish fan")</f>
        <v>Ciaaaakh Double Standard Buy Spanish yesterday I lost how to get dead to the argument of Argentina's turn to the biggest Koar champion I was not a hilarious Spanish fan</v>
      </c>
    </row>
    <row r="10437" ht="15.75" customHeight="1">
      <c r="A10437" s="1">
        <v>11677.0</v>
      </c>
      <c r="B10437" s="3" t="s">
        <v>29719</v>
      </c>
      <c r="C10437" s="3">
        <v>1.0</v>
      </c>
      <c r="D10437" s="3">
        <v>0.0</v>
      </c>
      <c r="E10437" s="3">
        <v>0.0</v>
      </c>
      <c r="F10437" s="3" t="s">
        <v>29720</v>
      </c>
      <c r="G10437" s="3">
        <v>0.0</v>
      </c>
      <c r="H10437" s="3">
        <v>0.0</v>
      </c>
      <c r="I10437" s="3" t="s">
        <v>13</v>
      </c>
      <c r="J10437" s="3" t="s">
        <v>29721</v>
      </c>
      <c r="K10437" s="3" t="s">
        <v>2117</v>
      </c>
      <c r="L10437" s="3" t="str">
        <f>IFERROR(__xludf.DUMMYFUNCTION("GOOGLETRANSLATE(F10437,""id"",""en"")"),"Exciting because Argentina Champion")</f>
        <v>Exciting because Argentina Champion</v>
      </c>
    </row>
    <row r="10438" ht="15.75" customHeight="1">
      <c r="A10438" s="1">
        <v>11678.0</v>
      </c>
      <c r="B10438" s="3" t="s">
        <v>29722</v>
      </c>
      <c r="C10438" s="3">
        <v>0.0</v>
      </c>
      <c r="D10438" s="3">
        <v>0.0</v>
      </c>
      <c r="E10438" s="3">
        <v>2.0</v>
      </c>
      <c r="F10438" s="3" t="s">
        <v>28429</v>
      </c>
      <c r="G10438" s="3">
        <v>0.0</v>
      </c>
      <c r="H10438" s="3">
        <v>0.0</v>
      </c>
      <c r="I10438" s="3" t="s">
        <v>13</v>
      </c>
      <c r="J10438" s="3" t="s">
        <v>28430</v>
      </c>
      <c r="K10438" s="3" t="s">
        <v>75</v>
      </c>
      <c r="L10438" s="3" t="str">
        <f>IFERROR(__xludf.DUMMYFUNCTION("GOOGLETRANSLATE(F10438,""id"",""en"")"),"Video Bring Argentina Champion World Cup Qatar Messi Can Be a Special Robe")</f>
        <v>Video Bring Argentina Champion World Cup Qatar Messi Can Be a Special Robe</v>
      </c>
    </row>
    <row r="10439" ht="15.75" customHeight="1">
      <c r="A10439" s="1">
        <v>11679.0</v>
      </c>
      <c r="B10439" s="3" t="s">
        <v>29723</v>
      </c>
      <c r="C10439" s="3">
        <v>0.0</v>
      </c>
      <c r="D10439" s="3">
        <v>1.0</v>
      </c>
      <c r="E10439" s="3">
        <v>5.0</v>
      </c>
      <c r="F10439" s="3" t="s">
        <v>3136</v>
      </c>
      <c r="G10439" s="3">
        <v>1.0</v>
      </c>
      <c r="H10439" s="3">
        <v>0.0</v>
      </c>
      <c r="I10439" s="3" t="s">
        <v>13</v>
      </c>
      <c r="J10439" s="3" t="s">
        <v>3137</v>
      </c>
      <c r="K10439" s="3" t="s">
        <v>135</v>
      </c>
      <c r="L10439" s="3" t="str">
        <f>IFERROR(__xludf.DUMMYFUNCTION("GOOGLETRANSLATE(F10439,""id"",""en"")"),"Argentina won the World Cup after defeating France through the shootout of the French Argentine match of the World Cup Final took place the Lusail Qatar Stadium Sunday night WIB")</f>
        <v>Argentina won the World Cup after defeating France through the shootout of the French Argentine match of the World Cup Final took place the Lusail Qatar Stadium Sunday night WIB</v>
      </c>
    </row>
    <row r="10440" ht="15.75" customHeight="1">
      <c r="A10440" s="1">
        <v>11680.0</v>
      </c>
      <c r="B10440" s="3" t="s">
        <v>29724</v>
      </c>
      <c r="C10440" s="3">
        <v>0.0</v>
      </c>
      <c r="D10440" s="3">
        <v>0.0</v>
      </c>
      <c r="E10440" s="3">
        <v>0.0</v>
      </c>
      <c r="F10440" s="3" t="s">
        <v>29725</v>
      </c>
      <c r="G10440" s="3">
        <v>0.0</v>
      </c>
      <c r="H10440" s="3">
        <v>0.0</v>
      </c>
      <c r="I10440" s="3" t="s">
        <v>13</v>
      </c>
      <c r="J10440" s="3" t="s">
        <v>27000</v>
      </c>
      <c r="K10440" s="3" t="s">
        <v>644</v>
      </c>
      <c r="L10440" s="3" t="str">
        <f>IFERROR(__xludf.DUMMYFUNCTION("GOOGLETRANSLATE(F10440,""id"",""en"")"),"finally Argentina world champion too")</f>
        <v>finally Argentina world champion too</v>
      </c>
    </row>
    <row r="10441" ht="15.75" customHeight="1">
      <c r="A10441" s="1">
        <v>11681.0</v>
      </c>
      <c r="B10441" s="3" t="s">
        <v>29726</v>
      </c>
      <c r="C10441" s="3">
        <v>0.0</v>
      </c>
      <c r="D10441" s="3">
        <v>0.0</v>
      </c>
      <c r="E10441" s="3">
        <v>0.0</v>
      </c>
      <c r="F10441" s="3" t="s">
        <v>29727</v>
      </c>
      <c r="G10441" s="3">
        <v>1.0</v>
      </c>
      <c r="H10441" s="3">
        <v>0.0</v>
      </c>
      <c r="I10441" s="3" t="s">
        <v>13</v>
      </c>
      <c r="J10441" s="3" t="s">
        <v>29728</v>
      </c>
      <c r="K10441" s="3" t="s">
        <v>699</v>
      </c>
      <c r="L10441" s="3" t="str">
        <f>IFERROR(__xludf.DUMMYFUNCTION("GOOGLETRANSLATE(F10441,""id"",""en"")"),"Argentina Mania Which voice Argentina came out as the Qatar World Cup final championship against France with Argentina Congrats score")</f>
        <v>Argentina Mania Which voice Argentina came out as the Qatar World Cup final championship against France with Argentina Congrats score</v>
      </c>
    </row>
    <row r="10442" ht="15.75" customHeight="1">
      <c r="A10442" s="1">
        <v>11682.0</v>
      </c>
      <c r="B10442" s="3" t="s">
        <v>29729</v>
      </c>
      <c r="C10442" s="3">
        <v>0.0</v>
      </c>
      <c r="D10442" s="3">
        <v>0.0</v>
      </c>
      <c r="E10442" s="3">
        <v>0.0</v>
      </c>
      <c r="F10442" s="3" t="s">
        <v>29730</v>
      </c>
      <c r="G10442" s="3">
        <v>0.0</v>
      </c>
      <c r="H10442" s="3">
        <v>0.0</v>
      </c>
      <c r="I10442" s="3" t="s">
        <v>13</v>
      </c>
      <c r="J10442" s="3" t="s">
        <v>29731</v>
      </c>
      <c r="K10442" s="3" t="s">
        <v>82</v>
      </c>
      <c r="L10442" s="3" t="str">
        <f>IFERROR(__xludf.DUMMYFUNCTION("GOOGLETRANSLATE(F10442,""id"",""en"")"),"Argentina Champion thanks to Iwan Bule and PSSI staff")</f>
        <v>Argentina Champion thanks to Iwan Bule and PSSI staff</v>
      </c>
    </row>
    <row r="10443" ht="15.75" customHeight="1">
      <c r="A10443" s="1">
        <v>11683.0</v>
      </c>
      <c r="B10443" s="3" t="s">
        <v>29732</v>
      </c>
      <c r="C10443" s="3">
        <v>0.0</v>
      </c>
      <c r="D10443" s="3">
        <v>0.0</v>
      </c>
      <c r="E10443" s="3">
        <v>0.0</v>
      </c>
      <c r="F10443" s="3" t="s">
        <v>29733</v>
      </c>
      <c r="G10443" s="3">
        <v>0.0</v>
      </c>
      <c r="H10443" s="3">
        <v>0.0</v>
      </c>
      <c r="I10443" s="3" t="s">
        <v>13</v>
      </c>
      <c r="J10443" s="3" t="s">
        <v>29734</v>
      </c>
      <c r="K10443" s="3" t="s">
        <v>322</v>
      </c>
      <c r="L10443" s="3" t="str">
        <f>IFERROR(__xludf.DUMMYFUNCTION("GOOGLETRANSLATE(F10443,""id"",""en"")"),"Argentina Seng Champion Crew Seng Meriang")</f>
        <v>Argentina Seng Champion Crew Seng Meriang</v>
      </c>
    </row>
    <row r="10444" ht="15.75" customHeight="1">
      <c r="A10444" s="1">
        <v>11684.0</v>
      </c>
      <c r="B10444" s="3" t="s">
        <v>29735</v>
      </c>
      <c r="C10444" s="3">
        <v>0.0</v>
      </c>
      <c r="D10444" s="3">
        <v>0.0</v>
      </c>
      <c r="E10444" s="3">
        <v>0.0</v>
      </c>
      <c r="F10444" s="3" t="s">
        <v>29735</v>
      </c>
      <c r="G10444" s="3">
        <v>0.0</v>
      </c>
      <c r="H10444" s="3">
        <v>0.0</v>
      </c>
      <c r="I10444" s="3" t="s">
        <v>13</v>
      </c>
      <c r="J10444" s="3" t="s">
        <v>29736</v>
      </c>
      <c r="K10444" s="3" t="s">
        <v>41</v>
      </c>
      <c r="L10444" s="3" t="str">
        <f>IFERROR(__xludf.DUMMYFUNCTION("GOOGLETRANSLATE(F10444,""id"",""en"")"),"Argentina French who champions sweet tea cigarette created twelve")</f>
        <v>Argentina French who champions sweet tea cigarette created twelve</v>
      </c>
    </row>
    <row r="10445" ht="15.75" customHeight="1">
      <c r="A10445" s="1">
        <v>11685.0</v>
      </c>
      <c r="B10445" s="3" t="s">
        <v>29737</v>
      </c>
      <c r="C10445" s="3">
        <v>0.0</v>
      </c>
      <c r="D10445" s="3">
        <v>0.0</v>
      </c>
      <c r="E10445" s="3">
        <v>0.0</v>
      </c>
      <c r="F10445" s="3" t="s">
        <v>29738</v>
      </c>
      <c r="G10445" s="3">
        <v>0.0</v>
      </c>
      <c r="H10445" s="3">
        <v>0.0</v>
      </c>
      <c r="I10445" s="3" t="s">
        <v>13</v>
      </c>
      <c r="J10445" s="3" t="s">
        <v>29739</v>
      </c>
      <c r="K10445" s="3" t="s">
        <v>50</v>
      </c>
      <c r="L10445" s="3" t="str">
        <f>IFERROR(__xludf.DUMMYFUNCTION("GOOGLETRANSLATE(F10445,""id"",""en"")"),"Calm down Mr. Lee Ikjoon I still love you even though supporting Argentina Champion")</f>
        <v>Calm down Mr. Lee Ikjoon I still love you even though supporting Argentina Champion</v>
      </c>
    </row>
    <row r="10446" ht="15.75" customHeight="1">
      <c r="A10446" s="1">
        <v>11686.0</v>
      </c>
      <c r="B10446" s="3" t="s">
        <v>29740</v>
      </c>
      <c r="C10446" s="3">
        <v>0.0</v>
      </c>
      <c r="D10446" s="3">
        <v>0.0</v>
      </c>
      <c r="E10446" s="3">
        <v>0.0</v>
      </c>
      <c r="F10446" s="3" t="s">
        <v>29741</v>
      </c>
      <c r="G10446" s="3">
        <v>0.5</v>
      </c>
      <c r="H10446" s="3">
        <v>0.3</v>
      </c>
      <c r="I10446" s="3" t="s">
        <v>48</v>
      </c>
      <c r="J10446" s="3" t="s">
        <v>29742</v>
      </c>
      <c r="K10446" s="3" t="s">
        <v>41</v>
      </c>
      <c r="L10446" s="3" t="str">
        <f>IFERROR(__xludf.DUMMYFUNCTION("GOOGLETRANSLATE(F10446,""id"",""en"")"),"Lionel Messi brought Argentina to the champion and win the Golden Ball")</f>
        <v>Lionel Messi brought Argentina to the champion and win the Golden Ball</v>
      </c>
    </row>
    <row r="10447" ht="15.75" customHeight="1">
      <c r="A10447" s="1">
        <v>11687.0</v>
      </c>
      <c r="B10447" s="3" t="s">
        <v>29743</v>
      </c>
      <c r="C10447" s="3">
        <v>0.0</v>
      </c>
      <c r="D10447" s="3">
        <v>0.0</v>
      </c>
      <c r="E10447" s="3">
        <v>9.0</v>
      </c>
      <c r="F10447" s="3" t="s">
        <v>29744</v>
      </c>
      <c r="G10447" s="3">
        <v>0.0</v>
      </c>
      <c r="H10447" s="3">
        <v>0.0</v>
      </c>
      <c r="I10447" s="3" t="s">
        <v>13</v>
      </c>
      <c r="J10447" s="3" t="s">
        <v>29745</v>
      </c>
      <c r="K10447" s="3" t="s">
        <v>29746</v>
      </c>
      <c r="L10447" s="3" t="str">
        <f>IFERROR(__xludf.DUMMYFUNCTION("GOOGLETRANSLATE(F10447,""id"",""en"")"),"Argentina Indonesian World Champion Southeast Asia Champion Argentina Indonesian World Champion Champion Southeast Asia Champion")</f>
        <v>Argentina Indonesian World Champion Southeast Asia Champion Argentina Indonesian World Champion Champion Southeast Asia Champion</v>
      </c>
    </row>
    <row r="10448" ht="15.75" customHeight="1">
      <c r="A10448" s="1">
        <v>11688.0</v>
      </c>
      <c r="B10448" s="3" t="s">
        <v>29747</v>
      </c>
      <c r="C10448" s="3">
        <v>0.0</v>
      </c>
      <c r="D10448" s="3">
        <v>0.0</v>
      </c>
      <c r="E10448" s="3">
        <v>0.0</v>
      </c>
      <c r="F10448" s="3" t="s">
        <v>16103</v>
      </c>
      <c r="G10448" s="3">
        <v>0.0</v>
      </c>
      <c r="H10448" s="3">
        <v>0.0</v>
      </c>
      <c r="I10448" s="3" t="s">
        <v>13</v>
      </c>
      <c r="J10448" s="3" t="s">
        <v>16104</v>
      </c>
      <c r="K10448" s="3" t="s">
        <v>14571</v>
      </c>
      <c r="L10448" s="3" t="str">
        <f>IFERROR(__xludf.DUMMYFUNCTION("GOOGLETRANSLATE(F10448,""id"",""en"")"),"Argentina Champion")</f>
        <v>Argentina Champion</v>
      </c>
    </row>
    <row r="10449" ht="15.75" customHeight="1">
      <c r="A10449" s="1">
        <v>11689.0</v>
      </c>
      <c r="B10449" s="3" t="s">
        <v>29748</v>
      </c>
      <c r="C10449" s="3">
        <v>0.0</v>
      </c>
      <c r="D10449" s="3">
        <v>0.0</v>
      </c>
      <c r="E10449" s="3">
        <v>1.0</v>
      </c>
      <c r="F10449" s="3" t="s">
        <v>29749</v>
      </c>
      <c r="G10449" s="3">
        <v>0.0</v>
      </c>
      <c r="H10449" s="3">
        <v>0.0</v>
      </c>
      <c r="I10449" s="3" t="s">
        <v>13</v>
      </c>
      <c r="J10449" s="3" t="s">
        <v>29750</v>
      </c>
      <c r="K10449" s="3" t="s">
        <v>41</v>
      </c>
      <c r="L10449" s="3" t="str">
        <f>IFERROR(__xludf.DUMMYFUNCTION("GOOGLETRANSLATE(F10449,""id"",""en"")"),"Argentina won World Cup Kylian Mbappe Print Hattrick")</f>
        <v>Argentina won World Cup Kylian Mbappe Print Hattrick</v>
      </c>
    </row>
    <row r="10450" ht="15.75" customHeight="1">
      <c r="A10450" s="1">
        <v>11690.0</v>
      </c>
      <c r="B10450" s="3" t="s">
        <v>29751</v>
      </c>
      <c r="C10450" s="3">
        <v>0.0</v>
      </c>
      <c r="D10450" s="3">
        <v>0.0</v>
      </c>
      <c r="E10450" s="3">
        <v>0.0</v>
      </c>
      <c r="F10450" s="3" t="s">
        <v>29752</v>
      </c>
      <c r="G10450" s="3">
        <v>0.0</v>
      </c>
      <c r="H10450" s="3">
        <v>0.0</v>
      </c>
      <c r="I10450" s="3" t="s">
        <v>13</v>
      </c>
      <c r="J10450" s="3" t="s">
        <v>29753</v>
      </c>
      <c r="K10450" s="3" t="s">
        <v>71</v>
      </c>
      <c r="L10450" s="3" t="str">
        <f>IFERROR(__xludf.DUMMYFUNCTION("GOOGLETRANSLATE(F10450,""id"",""en"")"),"Argentina Champion World Cup Lionel Messi wrote the message of emotion after successfully winning the trophy")</f>
        <v>Argentina Champion World Cup Lionel Messi wrote the message of emotion after successfully winning the trophy</v>
      </c>
    </row>
    <row r="10451" ht="15.75" customHeight="1">
      <c r="A10451" s="1">
        <v>11691.0</v>
      </c>
      <c r="B10451" s="3" t="s">
        <v>29754</v>
      </c>
      <c r="C10451" s="3">
        <v>0.0</v>
      </c>
      <c r="D10451" s="3">
        <v>0.0</v>
      </c>
      <c r="E10451" s="3">
        <v>0.0</v>
      </c>
      <c r="F10451" s="3" t="s">
        <v>29755</v>
      </c>
      <c r="G10451" s="3">
        <v>0.0</v>
      </c>
      <c r="H10451" s="3">
        <v>0.0</v>
      </c>
      <c r="I10451" s="3" t="s">
        <v>13</v>
      </c>
      <c r="J10451" s="3" t="s">
        <v>29756</v>
      </c>
      <c r="K10451" s="3" t="s">
        <v>41</v>
      </c>
      <c r="L10451" s="3" t="str">
        <f>IFERROR(__xludf.DUMMYFUNCTION("GOOGLETRANSLATE(F10451,""id"",""en"")"),"The hunch and promise of Lionel Messi after the World Cup champion with Argentina")</f>
        <v>The hunch and promise of Lionel Messi after the World Cup champion with Argentina</v>
      </c>
    </row>
    <row r="10452" ht="15.75" customHeight="1">
      <c r="A10452" s="1">
        <v>11692.0</v>
      </c>
      <c r="B10452" s="3" t="s">
        <v>29757</v>
      </c>
      <c r="C10452" s="3">
        <v>5.0</v>
      </c>
      <c r="D10452" s="3">
        <v>41.0</v>
      </c>
      <c r="E10452" s="3">
        <v>222.0</v>
      </c>
      <c r="F10452" s="3" t="s">
        <v>29758</v>
      </c>
      <c r="G10452" s="3">
        <v>0.0</v>
      </c>
      <c r="H10452" s="3">
        <v>0.0</v>
      </c>
      <c r="I10452" s="3" t="s">
        <v>13</v>
      </c>
      <c r="J10452" s="3" t="s">
        <v>29759</v>
      </c>
      <c r="K10452" s="3" t="s">
        <v>3721</v>
      </c>
      <c r="L10452" s="3" t="str">
        <f>IFERROR(__xludf.DUMMYFUNCTION("GOOGLETRANSLATE(F10452,""id"",""en"")"),"Yesterday there was a man who brought the World Cup trophy before being mobilized by Lionel Messi, his name was Nery Pumpido and Sergio Checho Batista goalkeeper and midfielder when Argentina was champions for his troops Diego Maradona Wish You Were Here "&amp;"Diego")</f>
        <v>Yesterday there was a man who brought the World Cup trophy before being mobilized by Lionel Messi, his name was Nery Pumpido and Sergio Checho Batista goalkeeper and midfielder when Argentina was champions for his troops Diego Maradona Wish You Were Here Diego</v>
      </c>
    </row>
    <row r="10453" ht="15.75" customHeight="1">
      <c r="A10453" s="1">
        <v>11693.0</v>
      </c>
      <c r="B10453" s="3" t="s">
        <v>29760</v>
      </c>
      <c r="C10453" s="3">
        <v>0.0</v>
      </c>
      <c r="D10453" s="3">
        <v>0.0</v>
      </c>
      <c r="E10453" s="3">
        <v>0.0</v>
      </c>
      <c r="F10453" s="3" t="s">
        <v>29761</v>
      </c>
      <c r="G10453" s="3">
        <v>0.0</v>
      </c>
      <c r="H10453" s="3">
        <v>0.0</v>
      </c>
      <c r="I10453" s="3" t="s">
        <v>13</v>
      </c>
      <c r="J10453" s="3" t="s">
        <v>29762</v>
      </c>
      <c r="K10453" s="3" t="s">
        <v>19</v>
      </c>
      <c r="L10453" s="3" t="str">
        <f>IFERROR(__xludf.DUMMYFUNCTION("GOOGLETRANSLATE(F10453,""id"",""en"")"),"Depostbali World Cup is over Argentina to come out as champion Lionel Messi was chosen as the best player")</f>
        <v>Depostbali World Cup is over Argentina to come out as champion Lionel Messi was chosen as the best player</v>
      </c>
    </row>
    <row r="10454" ht="15.75" customHeight="1">
      <c r="A10454" s="1">
        <v>11694.0</v>
      </c>
      <c r="B10454" s="3" t="s">
        <v>29763</v>
      </c>
      <c r="C10454" s="3">
        <v>0.0</v>
      </c>
      <c r="D10454" s="3">
        <v>0.0</v>
      </c>
      <c r="E10454" s="3">
        <v>0.0</v>
      </c>
      <c r="F10454" s="3" t="s">
        <v>29764</v>
      </c>
      <c r="G10454" s="3">
        <v>0.0</v>
      </c>
      <c r="H10454" s="3">
        <v>0.0</v>
      </c>
      <c r="I10454" s="3" t="s">
        <v>13</v>
      </c>
      <c r="J10454" s="3" t="s">
        <v>29765</v>
      </c>
      <c r="K10454" s="3" t="s">
        <v>1335</v>
      </c>
      <c r="L10454" s="3" t="str">
        <f>IFERROR(__xludf.DUMMYFUNCTION("GOOGLETRANSLATE(F10454,""id"",""en"")"),"Dramatic Seconds Argentina World Cup Champion")</f>
        <v>Dramatic Seconds Argentina World Cup Champion</v>
      </c>
    </row>
    <row r="10455" ht="15.75" customHeight="1">
      <c r="A10455" s="1">
        <v>11695.0</v>
      </c>
      <c r="B10455" s="3" t="s">
        <v>29766</v>
      </c>
      <c r="C10455" s="3">
        <v>0.0</v>
      </c>
      <c r="D10455" s="3">
        <v>0.0</v>
      </c>
      <c r="E10455" s="3">
        <v>0.0</v>
      </c>
      <c r="F10455" s="3" t="s">
        <v>29767</v>
      </c>
      <c r="G10455" s="3">
        <v>0.0</v>
      </c>
      <c r="H10455" s="3">
        <v>0.0</v>
      </c>
      <c r="I10455" s="3" t="s">
        <v>13</v>
      </c>
      <c r="J10455" s="3" t="s">
        <v>29768</v>
      </c>
      <c r="K10455" s="3" t="s">
        <v>71</v>
      </c>
      <c r="L10455" s="3" t="str">
        <f>IFERROR(__xludf.DUMMYFUNCTION("GOOGLETRANSLATE(F10455,""id"",""en"")"),"Indo WQWQWQWWW even though the Argentina Blue Fans Claims Champion because there are club players despite the Camat and minimal contribution")</f>
        <v>Indo WQWQWQWWW even though the Argentina Blue Fans Claims Champion because there are club players despite the Camat and minimal contribution</v>
      </c>
    </row>
    <row r="10456" ht="15.75" customHeight="1">
      <c r="A10456" s="1">
        <v>11696.0</v>
      </c>
      <c r="B10456" s="3" t="s">
        <v>29769</v>
      </c>
      <c r="C10456" s="3">
        <v>0.0</v>
      </c>
      <c r="D10456" s="3">
        <v>0.0</v>
      </c>
      <c r="E10456" s="3">
        <v>0.0</v>
      </c>
      <c r="F10456" s="3" t="s">
        <v>29770</v>
      </c>
      <c r="G10456" s="3">
        <v>0.0</v>
      </c>
      <c r="H10456" s="3">
        <v>0.0</v>
      </c>
      <c r="I10456" s="3" t="s">
        <v>13</v>
      </c>
      <c r="J10456" s="3" t="s">
        <v>29771</v>
      </c>
      <c r="K10456" s="3" t="s">
        <v>15</v>
      </c>
      <c r="L10456" s="3" t="str">
        <f>IFERROR(__xludf.DUMMYFUNCTION("GOOGLETRANSLATE(F10456,""id"",""en"")"),"Win a penalty drama from France Argentina champions of the World Cup")</f>
        <v>Win a penalty drama from France Argentina champions of the World Cup</v>
      </c>
    </row>
    <row r="10457" ht="15.75" customHeight="1">
      <c r="A10457" s="1">
        <v>11697.0</v>
      </c>
      <c r="B10457" s="3" t="s">
        <v>29772</v>
      </c>
      <c r="C10457" s="3">
        <v>0.0</v>
      </c>
      <c r="D10457" s="3">
        <v>0.0</v>
      </c>
      <c r="E10457" s="3">
        <v>0.0</v>
      </c>
      <c r="F10457" s="3" t="s">
        <v>29773</v>
      </c>
      <c r="G10457" s="3">
        <v>0.0</v>
      </c>
      <c r="H10457" s="3">
        <v>0.0</v>
      </c>
      <c r="I10457" s="3" t="s">
        <v>13</v>
      </c>
      <c r="J10457" s="3" t="s">
        <v>29774</v>
      </c>
      <c r="K10457" s="3" t="s">
        <v>35</v>
      </c>
      <c r="L10457" s="3" t="str">
        <f>IFERROR(__xludf.DUMMYFUNCTION("GOOGLETRANSLATE(F10457,""id"",""en"")"),"Viral Info Why Is Argentina So Splashy World Cup Champion This reason Argentina is feasible")</f>
        <v>Viral Info Why Is Argentina So Splashy World Cup Champion This reason Argentina is feasible</v>
      </c>
    </row>
    <row r="10458" ht="15.75" customHeight="1">
      <c r="A10458" s="1">
        <v>11698.0</v>
      </c>
      <c r="B10458" s="3" t="s">
        <v>29775</v>
      </c>
      <c r="C10458" s="3">
        <v>0.0</v>
      </c>
      <c r="D10458" s="3">
        <v>0.0</v>
      </c>
      <c r="E10458" s="3">
        <v>0.0</v>
      </c>
      <c r="F10458" s="3" t="s">
        <v>29776</v>
      </c>
      <c r="G10458" s="3">
        <v>0.0</v>
      </c>
      <c r="H10458" s="3">
        <v>0.0</v>
      </c>
      <c r="I10458" s="3" t="s">
        <v>13</v>
      </c>
      <c r="J10458" s="3" t="s">
        <v>29777</v>
      </c>
      <c r="K10458" s="3" t="s">
        <v>41</v>
      </c>
      <c r="L10458" s="3" t="str">
        <f>IFERROR(__xludf.DUMMYFUNCTION("GOOGLETRANSLATE(F10458,""id"",""en"")"),"Argentina Champion World Cup Lionel Messi was chosen as the best player")</f>
        <v>Argentina Champion World Cup Lionel Messi was chosen as the best player</v>
      </c>
    </row>
    <row r="10459" ht="15.75" customHeight="1">
      <c r="A10459" s="1">
        <v>11699.0</v>
      </c>
      <c r="B10459" s="3" t="s">
        <v>29778</v>
      </c>
      <c r="C10459" s="3">
        <v>1.0</v>
      </c>
      <c r="D10459" s="3">
        <v>0.0</v>
      </c>
      <c r="E10459" s="3">
        <v>0.0</v>
      </c>
      <c r="F10459" s="3" t="s">
        <v>29779</v>
      </c>
      <c r="G10459" s="3">
        <v>0.6818181818181818</v>
      </c>
      <c r="H10459" s="3">
        <v>0.2045454545454545</v>
      </c>
      <c r="I10459" s="3" t="s">
        <v>48</v>
      </c>
      <c r="J10459" s="3" t="s">
        <v>29780</v>
      </c>
      <c r="K10459" s="3" t="s">
        <v>899</v>
      </c>
      <c r="L10459" s="3" t="str">
        <f>IFERROR(__xludf.DUMMYFUNCTION("GOOGLETRANSLATE(F10459,""id"",""en"")"),"Messi The Real New Maradona Argentina Sah Champion Worldcup Messi as Captain managed to make Argentina the third time winning the Maradona World Cup must be very proud to see his country having the successor")</f>
        <v>Messi The Real New Maradona Argentina Sah Champion Worldcup Messi as Captain managed to make Argentina the third time winning the Maradona World Cup must be very proud to see his country having the successor</v>
      </c>
    </row>
    <row r="10460" ht="15.75" customHeight="1">
      <c r="A10460" s="1">
        <v>11700.0</v>
      </c>
      <c r="B10460" s="3" t="s">
        <v>29781</v>
      </c>
      <c r="C10460" s="3">
        <v>0.0</v>
      </c>
      <c r="D10460" s="3">
        <v>0.0</v>
      </c>
      <c r="E10460" s="3">
        <v>1.0</v>
      </c>
      <c r="F10460" s="3" t="s">
        <v>29538</v>
      </c>
      <c r="G10460" s="3">
        <v>0.0</v>
      </c>
      <c r="H10460" s="3">
        <v>0.0</v>
      </c>
      <c r="I10460" s="3" t="s">
        <v>13</v>
      </c>
      <c r="J10460" s="3" t="s">
        <v>29539</v>
      </c>
      <c r="K10460" s="3" t="s">
        <v>82</v>
      </c>
      <c r="L10460" s="3" t="str">
        <f>IFERROR(__xludf.DUMMYFUNCTION("GOOGLETRANSLATE(F10460,""id"",""en"")"),"Support and Conspiracy Theory of Argentina World Cup Champion")</f>
        <v>Support and Conspiracy Theory of Argentina World Cup Champion</v>
      </c>
    </row>
    <row r="10461" ht="15.75" customHeight="1">
      <c r="A10461" s="1">
        <v>11702.0</v>
      </c>
      <c r="B10461" s="3" t="s">
        <v>29782</v>
      </c>
      <c r="C10461" s="3">
        <v>0.0</v>
      </c>
      <c r="D10461" s="3">
        <v>0.0</v>
      </c>
      <c r="E10461" s="3">
        <v>1.0</v>
      </c>
      <c r="F10461" s="3" t="s">
        <v>29538</v>
      </c>
      <c r="G10461" s="3">
        <v>0.0</v>
      </c>
      <c r="H10461" s="3">
        <v>0.0</v>
      </c>
      <c r="I10461" s="3" t="s">
        <v>13</v>
      </c>
      <c r="J10461" s="3" t="s">
        <v>29539</v>
      </c>
      <c r="K10461" s="3" t="s">
        <v>82</v>
      </c>
      <c r="L10461" s="3" t="str">
        <f>IFERROR(__xludf.DUMMYFUNCTION("GOOGLETRANSLATE(F10461,""id"",""en"")"),"Support and Conspiracy Theory of Argentina World Cup Champion")</f>
        <v>Support and Conspiracy Theory of Argentina World Cup Champion</v>
      </c>
    </row>
    <row r="10462" ht="15.75" customHeight="1">
      <c r="A10462" s="1">
        <v>11703.0</v>
      </c>
      <c r="B10462" s="3" t="s">
        <v>29783</v>
      </c>
      <c r="C10462" s="3">
        <v>0.0</v>
      </c>
      <c r="D10462" s="3">
        <v>0.0</v>
      </c>
      <c r="E10462" s="3">
        <v>1.0</v>
      </c>
      <c r="F10462" s="3" t="s">
        <v>29784</v>
      </c>
      <c r="G10462" s="3">
        <v>0.0</v>
      </c>
      <c r="H10462" s="3">
        <v>0.0</v>
      </c>
      <c r="I10462" s="3" t="s">
        <v>13</v>
      </c>
      <c r="J10462" s="3" t="s">
        <v>29785</v>
      </c>
      <c r="K10462" s="3" t="s">
        <v>82</v>
      </c>
      <c r="L10462" s="3" t="str">
        <f>IFERROR(__xludf.DUMMYFUNCTION("GOOGLETRANSLATE(F10462,""id"",""en"")"),"forever will be known for his services helping Argentina champions")</f>
        <v>forever will be known for his services helping Argentina champions</v>
      </c>
    </row>
    <row r="10463" ht="15.75" customHeight="1">
      <c r="A10463" s="1">
        <v>11704.0</v>
      </c>
      <c r="B10463" s="3" t="s">
        <v>29786</v>
      </c>
      <c r="C10463" s="3">
        <v>0.0</v>
      </c>
      <c r="D10463" s="3">
        <v>0.0</v>
      </c>
      <c r="E10463" s="3">
        <v>0.0</v>
      </c>
      <c r="F10463" s="3" t="s">
        <v>29787</v>
      </c>
      <c r="G10463" s="3">
        <v>0.2</v>
      </c>
      <c r="H10463" s="3">
        <v>-0.1</v>
      </c>
      <c r="I10463" s="3" t="s">
        <v>179</v>
      </c>
      <c r="J10463" s="3" t="s">
        <v>29788</v>
      </c>
      <c r="K10463" s="3" t="s">
        <v>15</v>
      </c>
      <c r="L10463" s="3" t="str">
        <f>IFERROR(__xludf.DUMMYFUNCTION("GOOGLETRANSLATE(F10463,""id"",""en"")"),"Argentina Wes Mental Champion Mental Supports France")</f>
        <v>Argentina Wes Mental Champion Mental Supports France</v>
      </c>
    </row>
    <row r="10464" ht="15.75" customHeight="1">
      <c r="A10464" s="1">
        <v>11705.0</v>
      </c>
      <c r="B10464" s="3" t="s">
        <v>29789</v>
      </c>
      <c r="C10464" s="3">
        <v>0.0</v>
      </c>
      <c r="D10464" s="3">
        <v>0.0</v>
      </c>
      <c r="E10464" s="3">
        <v>0.0</v>
      </c>
      <c r="F10464" s="3" t="s">
        <v>29790</v>
      </c>
      <c r="G10464" s="3">
        <v>0.0</v>
      </c>
      <c r="H10464" s="3">
        <v>0.0</v>
      </c>
      <c r="I10464" s="3" t="s">
        <v>13</v>
      </c>
      <c r="J10464" s="3" t="s">
        <v>29791</v>
      </c>
      <c r="K10464" s="3" t="s">
        <v>205</v>
      </c>
      <c r="L10464" s="3" t="str">
        <f>IFERROR(__xludf.DUMMYFUNCTION("GOOGLETRANSLATE(F10464,""id"",""en"")"),"There is no intention of what for the documentary, the partner has been made last November, the Argentine documentary champion Coppa America even though the airing is limited")</f>
        <v>There is no intention of what for the documentary, the partner has been made last November, the Argentine documentary champion Coppa America even though the airing is limited</v>
      </c>
    </row>
    <row r="10465" ht="15.75" customHeight="1">
      <c r="A10465" s="1">
        <v>11706.0</v>
      </c>
      <c r="B10465" s="3" t="s">
        <v>29792</v>
      </c>
      <c r="C10465" s="3">
        <v>0.0</v>
      </c>
      <c r="D10465" s="3">
        <v>1.0</v>
      </c>
      <c r="E10465" s="3">
        <v>2.0</v>
      </c>
      <c r="F10465" s="3" t="s">
        <v>29793</v>
      </c>
      <c r="G10465" s="3">
        <v>0.0</v>
      </c>
      <c r="H10465" s="3">
        <v>0.0</v>
      </c>
      <c r="I10465" s="3" t="s">
        <v>13</v>
      </c>
      <c r="J10465" s="3" t="s">
        <v>29794</v>
      </c>
      <c r="K10465" s="3" t="s">
        <v>657</v>
      </c>
      <c r="L10465" s="3" t="str">
        <f>IFERROR(__xludf.DUMMYFUNCTION("GOOGLETRANSLATE(F10465,""id"",""en"")"),"There has been no post from the Mayor of Rosary, congratulating the success of Lionel Messi's sons bringing Argentina Puncak Champion")</f>
        <v>There has been no post from the Mayor of Rosary, congratulating the success of Lionel Messi's sons bringing Argentina Puncak Champion</v>
      </c>
    </row>
    <row r="10466" ht="15.75" customHeight="1">
      <c r="A10466" s="1">
        <v>11707.0</v>
      </c>
      <c r="B10466" s="3" t="s">
        <v>29795</v>
      </c>
      <c r="C10466" s="3">
        <v>0.0</v>
      </c>
      <c r="D10466" s="3">
        <v>0.0</v>
      </c>
      <c r="E10466" s="3">
        <v>0.0</v>
      </c>
      <c r="F10466" s="3" t="s">
        <v>29796</v>
      </c>
      <c r="G10466" s="3">
        <v>0.0</v>
      </c>
      <c r="H10466" s="3">
        <v>0.0</v>
      </c>
      <c r="I10466" s="3" t="s">
        <v>13</v>
      </c>
      <c r="J10466" s="3" t="s">
        <v>29797</v>
      </c>
      <c r="K10466" s="3" t="s">
        <v>644</v>
      </c>
      <c r="L10466" s="3" t="str">
        <f>IFERROR(__xludf.DUMMYFUNCTION("GOOGLETRANSLATE(F10466,""id"",""en"")"),"As a result of Argentina champion awkwkwkkw")</f>
        <v>As a result of Argentina champion awkwkwkkw</v>
      </c>
    </row>
    <row r="10467" ht="15.75" customHeight="1">
      <c r="A10467" s="1">
        <v>11708.0</v>
      </c>
      <c r="B10467" s="3" t="s">
        <v>29798</v>
      </c>
      <c r="C10467" s="3">
        <v>2.0</v>
      </c>
      <c r="D10467" s="3">
        <v>0.0</v>
      </c>
      <c r="E10467" s="3">
        <v>5.0</v>
      </c>
      <c r="F10467" s="3" t="s">
        <v>29799</v>
      </c>
      <c r="G10467" s="3">
        <v>0.5</v>
      </c>
      <c r="H10467" s="3">
        <v>0.3</v>
      </c>
      <c r="I10467" s="3" t="s">
        <v>48</v>
      </c>
      <c r="J10467" s="3" t="s">
        <v>29800</v>
      </c>
      <c r="K10467" s="3" t="s">
        <v>899</v>
      </c>
      <c r="L10467" s="3" t="str">
        <f>IFERROR(__xludf.DUMMYFUNCTION("GOOGLETRANSLATE(F10467,""id"",""en"")"),"Finally, Argentina champions, gangs, means that the year has been paid off, this year, huhuhu, there is something interesting from the ceremonial celebration last night, you can see a photo of Lionel Messi being holding a child who was embracing the Golde"&amp;"n Ball award")</f>
        <v>Finally, Argentina champions, gangs, means that the year has been paid off, this year, huhuhu, there is something interesting from the ceremonial celebration last night, you can see a photo of Lionel Messi being holding a child who was embracing the Golden Ball award</v>
      </c>
    </row>
    <row r="10468" ht="15.75" customHeight="1">
      <c r="A10468" s="1">
        <v>11709.0</v>
      </c>
      <c r="B10468" s="3" t="s">
        <v>29801</v>
      </c>
      <c r="C10468" s="3">
        <v>0.0</v>
      </c>
      <c r="D10468" s="3">
        <v>0.0</v>
      </c>
      <c r="E10468" s="3">
        <v>0.0</v>
      </c>
      <c r="F10468" s="3" t="s">
        <v>29802</v>
      </c>
      <c r="G10468" s="3">
        <v>0.0</v>
      </c>
      <c r="H10468" s="3">
        <v>0.0</v>
      </c>
      <c r="I10468" s="3" t="s">
        <v>13</v>
      </c>
      <c r="J10468" s="3" t="s">
        <v>29803</v>
      </c>
      <c r="K10468" s="3" t="s">
        <v>510</v>
      </c>
      <c r="L10468" s="3" t="str">
        <f>IFERROR(__xludf.DUMMYFUNCTION("GOOGLETRANSLATE(F10468,""id"",""en"")"),"Usually my morning coffee is bitter, but today it's really sweet, right Argentina is champion hihihi")</f>
        <v>Usually my morning coffee is bitter, but today it's really sweet, right Argentina is champion hihihi</v>
      </c>
    </row>
    <row r="10469" ht="15.75" customHeight="1">
      <c r="A10469" s="1">
        <v>11710.0</v>
      </c>
      <c r="B10469" s="3" t="s">
        <v>29804</v>
      </c>
      <c r="C10469" s="3">
        <v>0.0</v>
      </c>
      <c r="D10469" s="3">
        <v>0.0</v>
      </c>
      <c r="E10469" s="3">
        <v>0.0</v>
      </c>
      <c r="F10469" s="3" t="s">
        <v>29805</v>
      </c>
      <c r="G10469" s="3">
        <v>0.0</v>
      </c>
      <c r="H10469" s="3">
        <v>0.0</v>
      </c>
      <c r="I10469" s="3" t="s">
        <v>13</v>
      </c>
      <c r="J10469" s="3" t="s">
        <v>29806</v>
      </c>
      <c r="K10469" s="3" t="s">
        <v>35</v>
      </c>
      <c r="L10469" s="3" t="str">
        <f>IFERROR(__xludf.DUMMYFUNCTION("GOOGLETRANSLATE(F10469,""id"",""en"")"),"Argentina's atmosphere broke out when Messi succeeded in bringing Argentina to become a world champion for the three times")</f>
        <v>Argentina's atmosphere broke out when Messi succeeded in bringing Argentina to become a world champion for the three times</v>
      </c>
    </row>
    <row r="10470" ht="15.75" customHeight="1">
      <c r="A10470" s="1">
        <v>11711.0</v>
      </c>
      <c r="B10470" s="3" t="s">
        <v>29807</v>
      </c>
      <c r="C10470" s="3">
        <v>0.0</v>
      </c>
      <c r="D10470" s="3">
        <v>0.0</v>
      </c>
      <c r="E10470" s="3">
        <v>0.0</v>
      </c>
      <c r="F10470" s="3" t="s">
        <v>29808</v>
      </c>
      <c r="G10470" s="3">
        <v>0.2</v>
      </c>
      <c r="H10470" s="3">
        <v>-0.1</v>
      </c>
      <c r="I10470" s="3" t="s">
        <v>179</v>
      </c>
      <c r="J10470" s="3" t="s">
        <v>29809</v>
      </c>
      <c r="K10470" s="3" t="s">
        <v>15</v>
      </c>
      <c r="L10470" s="3" t="str">
        <f>IFERROR(__xludf.DUMMYFUNCTION("GOOGLETRANSLATE(F10470,""id"",""en"")"),"Sing Sabar Bwang Wes Mental Argentina Champion")</f>
        <v>Sing Sabar Bwang Wes Mental Argentina Champion</v>
      </c>
    </row>
    <row r="10471" ht="15.75" customHeight="1">
      <c r="A10471" s="1">
        <v>11712.0</v>
      </c>
      <c r="B10471" s="3" t="s">
        <v>29810</v>
      </c>
      <c r="C10471" s="3">
        <v>0.0</v>
      </c>
      <c r="D10471" s="3">
        <v>0.0</v>
      </c>
      <c r="E10471" s="3">
        <v>0.0</v>
      </c>
      <c r="F10471" s="3" t="s">
        <v>28702</v>
      </c>
      <c r="G10471" s="3">
        <v>0.0</v>
      </c>
      <c r="H10471" s="3">
        <v>0.0</v>
      </c>
      <c r="I10471" s="3" t="s">
        <v>13</v>
      </c>
      <c r="J10471" s="3" t="s">
        <v>28703</v>
      </c>
      <c r="K10471" s="3" t="s">
        <v>75</v>
      </c>
      <c r="L10471" s="3" t="str">
        <f>IFERROR(__xludf.DUMMYFUNCTION("GOOGLETRANSLATE(F10471,""id"",""en"")"),"win the Argentina national team world cup champion getting a trophy in a row")</f>
        <v>win the Argentina national team world cup champion getting a trophy in a row</v>
      </c>
    </row>
    <row r="10472" ht="15.75" customHeight="1">
      <c r="A10472" s="1">
        <v>11713.0</v>
      </c>
      <c r="B10472" s="3" t="s">
        <v>29811</v>
      </c>
      <c r="C10472" s="3">
        <v>0.0</v>
      </c>
      <c r="D10472" s="3">
        <v>0.0</v>
      </c>
      <c r="E10472" s="3">
        <v>0.0</v>
      </c>
      <c r="F10472" s="3" t="s">
        <v>29812</v>
      </c>
      <c r="G10472" s="3">
        <v>1.0</v>
      </c>
      <c r="H10472" s="3">
        <v>0.0</v>
      </c>
      <c r="I10472" s="3" t="s">
        <v>13</v>
      </c>
      <c r="J10472" s="3" t="s">
        <v>29813</v>
      </c>
      <c r="K10472" s="3" t="s">
        <v>883</v>
      </c>
      <c r="L10472" s="3" t="str">
        <f>IFERROR(__xludf.DUMMYFUNCTION("GOOGLETRANSLATE(F10472,""id"",""en"")"),"Argentina FWC this time is really crazy how Argentina is not the other champion is still competing to fight over the position of Argentina already perched the final first")</f>
        <v>Argentina FWC this time is really crazy how Argentina is not the other champion is still competing to fight over the position of Argentina already perched the final first</v>
      </c>
    </row>
    <row r="10473" ht="15.75" customHeight="1">
      <c r="A10473" s="1">
        <v>11714.0</v>
      </c>
      <c r="B10473" s="3" t="s">
        <v>29814</v>
      </c>
      <c r="C10473" s="3">
        <v>0.0</v>
      </c>
      <c r="D10473" s="3">
        <v>0.0</v>
      </c>
      <c r="E10473" s="3">
        <v>0.0</v>
      </c>
      <c r="F10473" s="3" t="s">
        <v>29815</v>
      </c>
      <c r="G10473" s="3">
        <v>0.0</v>
      </c>
      <c r="H10473" s="3">
        <v>0.0</v>
      </c>
      <c r="I10473" s="3" t="s">
        <v>13</v>
      </c>
      <c r="J10473" s="3" t="s">
        <v>29816</v>
      </c>
      <c r="K10473" s="3" t="s">
        <v>433</v>
      </c>
      <c r="L10473" s="3" t="str">
        <f>IFERROR(__xludf.DUMMYFUNCTION("GOOGLETRANSLATE(F10473,""id"",""en"")"),"One moment of footballers that will not be forgotten is to see Internazionale champions and Italy and Argentina champions and lift the World Cup")</f>
        <v>One moment of footballers that will not be forgotten is to see Internazionale champions and Italy and Argentina champions and lift the World Cup</v>
      </c>
    </row>
    <row r="10474" ht="15.75" customHeight="1">
      <c r="A10474" s="1">
        <v>11715.0</v>
      </c>
      <c r="B10474" s="3" t="s">
        <v>29817</v>
      </c>
      <c r="C10474" s="3">
        <v>0.0</v>
      </c>
      <c r="D10474" s="3">
        <v>0.0</v>
      </c>
      <c r="E10474" s="3">
        <v>0.0</v>
      </c>
      <c r="F10474" s="3" t="s">
        <v>29818</v>
      </c>
      <c r="G10474" s="3">
        <v>0.0</v>
      </c>
      <c r="H10474" s="3">
        <v>0.0</v>
      </c>
      <c r="I10474" s="3" t="s">
        <v>13</v>
      </c>
      <c r="J10474" s="3" t="s">
        <v>29819</v>
      </c>
      <c r="K10474" s="3" t="s">
        <v>31</v>
      </c>
      <c r="L10474" s="3" t="str">
        <f>IFERROR(__xludf.DUMMYFUNCTION("GOOGLETRANSLATE(F10474,""id"",""en"")"),"ahhh no matter the point of Argentina Champion")</f>
        <v>ahhh no matter the point of Argentina Champion</v>
      </c>
    </row>
    <row r="10475" ht="15.75" customHeight="1">
      <c r="A10475" s="1">
        <v>11716.0</v>
      </c>
      <c r="B10475" s="3" t="s">
        <v>29820</v>
      </c>
      <c r="C10475" s="3">
        <v>0.0</v>
      </c>
      <c r="D10475" s="3">
        <v>0.0</v>
      </c>
      <c r="E10475" s="3">
        <v>0.0</v>
      </c>
      <c r="F10475" s="3" t="s">
        <v>29821</v>
      </c>
      <c r="G10475" s="3">
        <v>0.0</v>
      </c>
      <c r="H10475" s="3">
        <v>0.0</v>
      </c>
      <c r="I10475" s="3" t="s">
        <v>13</v>
      </c>
      <c r="J10475" s="3" t="s">
        <v>29822</v>
      </c>
      <c r="K10475" s="3" t="s">
        <v>41</v>
      </c>
      <c r="L10475" s="3" t="str">
        <f>IFERROR(__xludf.DUMMYFUNCTION("GOOGLETRANSLATE(F10475,""id"",""en"")"),"Defeat France through Argentine Penalty Fighting World Cup Champion")</f>
        <v>Defeat France through Argentine Penalty Fighting World Cup Champion</v>
      </c>
    </row>
    <row r="10476" ht="15.75" customHeight="1">
      <c r="A10476" s="1">
        <v>11717.0</v>
      </c>
      <c r="B10476" s="3" t="s">
        <v>29823</v>
      </c>
      <c r="C10476" s="3">
        <v>0.0</v>
      </c>
      <c r="D10476" s="3">
        <v>1.0</v>
      </c>
      <c r="E10476" s="3">
        <v>11.0</v>
      </c>
      <c r="F10476" s="3" t="s">
        <v>29824</v>
      </c>
      <c r="G10476" s="3">
        <v>0.0</v>
      </c>
      <c r="H10476" s="3">
        <v>0.0</v>
      </c>
      <c r="I10476" s="3" t="s">
        <v>13</v>
      </c>
      <c r="J10476" s="3" t="s">
        <v>29825</v>
      </c>
      <c r="K10476" s="3" t="s">
        <v>82</v>
      </c>
      <c r="L10476" s="3" t="str">
        <f>IFERROR(__xludf.DUMMYFUNCTION("GOOGLETRANSLATE(F10476,""id"",""en"")"),"How many Argentina prizes after the World Cup championship")</f>
        <v>How many Argentina prizes after the World Cup championship</v>
      </c>
    </row>
    <row r="10477" ht="15.75" customHeight="1">
      <c r="A10477" s="1">
        <v>11718.0</v>
      </c>
      <c r="B10477" s="3" t="s">
        <v>29826</v>
      </c>
      <c r="C10477" s="3">
        <v>1.0</v>
      </c>
      <c r="D10477" s="3">
        <v>0.0</v>
      </c>
      <c r="E10477" s="3">
        <v>0.0</v>
      </c>
      <c r="F10477" s="3" t="s">
        <v>29827</v>
      </c>
      <c r="G10477" s="3">
        <v>0.0</v>
      </c>
      <c r="H10477" s="3">
        <v>0.0</v>
      </c>
      <c r="I10477" s="3" t="s">
        <v>13</v>
      </c>
      <c r="J10477" s="3" t="s">
        <v>29828</v>
      </c>
      <c r="K10477" s="3" t="s">
        <v>433</v>
      </c>
      <c r="L10477" s="3" t="str">
        <f>IFERROR(__xludf.DUMMYFUNCTION("GOOGLETRANSLATE(F10477,""id"",""en"")"),"Messi world champion with Argentina in the end I imagined he was waiting until his head but finally got it too")</f>
        <v>Messi world champion with Argentina in the end I imagined he was waiting until his head but finally got it too</v>
      </c>
    </row>
    <row r="10478" ht="15.75" customHeight="1">
      <c r="A10478" s="1">
        <v>11719.0</v>
      </c>
      <c r="B10478" s="3" t="s">
        <v>29829</v>
      </c>
      <c r="C10478" s="3">
        <v>0.0</v>
      </c>
      <c r="D10478" s="3">
        <v>0.0</v>
      </c>
      <c r="E10478" s="3">
        <v>0.0</v>
      </c>
      <c r="F10478" s="3" t="s">
        <v>29830</v>
      </c>
      <c r="G10478" s="3">
        <v>1.0</v>
      </c>
      <c r="H10478" s="3">
        <v>0.0</v>
      </c>
      <c r="I10478" s="3" t="s">
        <v>13</v>
      </c>
      <c r="J10478" s="3" t="s">
        <v>29831</v>
      </c>
      <c r="K10478" s="3" t="s">
        <v>104</v>
      </c>
      <c r="L10478" s="3" t="str">
        <f>IFERROR(__xludf.DUMMYFUNCTION("GOOGLETRANSLATE(F10478,""id"",""en"")"),"Thousands of Jember Nobar Argentina residents champions UMKM and Jukir Harvest Jember World Cup Final really became a party of residents of Jember Regency, East Java, thousands of people via")</f>
        <v>Thousands of Jember Nobar Argentina residents champions UMKM and Jukir Harvest Jember World Cup Final really became a party of residents of Jember Regency, East Java, thousands of people via</v>
      </c>
    </row>
    <row r="10479" ht="15.75" customHeight="1">
      <c r="A10479" s="1">
        <v>11720.0</v>
      </c>
      <c r="B10479" s="3" t="s">
        <v>29832</v>
      </c>
      <c r="C10479" s="3">
        <v>0.0</v>
      </c>
      <c r="D10479" s="3">
        <v>0.0</v>
      </c>
      <c r="E10479" s="3">
        <v>0.0</v>
      </c>
      <c r="F10479" s="3" t="s">
        <v>29833</v>
      </c>
      <c r="G10479" s="3">
        <v>0.0</v>
      </c>
      <c r="H10479" s="3">
        <v>0.0</v>
      </c>
      <c r="I10479" s="3" t="s">
        <v>13</v>
      </c>
      <c r="J10479" s="3" t="s">
        <v>29834</v>
      </c>
      <c r="K10479" s="3" t="s">
        <v>15</v>
      </c>
      <c r="L10479" s="3" t="str">
        <f>IFERROR(__xludf.DUMMYFUNCTION("GOOGLETRANSLATE(F10479,""id"",""en"")"),"Argentina World Cup Champion After Shouts with France")</f>
        <v>Argentina World Cup Champion After Shouts with France</v>
      </c>
    </row>
    <row r="10480" ht="15.75" customHeight="1">
      <c r="A10480" s="1">
        <v>11721.0</v>
      </c>
      <c r="B10480" s="3" t="s">
        <v>29835</v>
      </c>
      <c r="C10480" s="3">
        <v>0.0</v>
      </c>
      <c r="D10480" s="3">
        <v>0.0</v>
      </c>
      <c r="E10480" s="3">
        <v>1.0</v>
      </c>
      <c r="F10480" s="3" t="s">
        <v>29836</v>
      </c>
      <c r="G10480" s="3">
        <v>0.0</v>
      </c>
      <c r="H10480" s="3">
        <v>0.0</v>
      </c>
      <c r="I10480" s="3" t="s">
        <v>13</v>
      </c>
      <c r="J10480" s="3" t="s">
        <v>29837</v>
      </c>
      <c r="K10480" s="3" t="s">
        <v>477</v>
      </c>
      <c r="L10480" s="3" t="str">
        <f>IFERROR(__xludf.DUMMYFUNCTION("GOOGLETRANSLATE(F10480,""id"",""en"")"),"Video Seconds Dramatic Seconds Argentina World Cup Champion")</f>
        <v>Video Seconds Dramatic Seconds Argentina World Cup Champion</v>
      </c>
    </row>
    <row r="10481" ht="15.75" customHeight="1">
      <c r="A10481" s="1">
        <v>11722.0</v>
      </c>
      <c r="B10481" s="3" t="s">
        <v>29838</v>
      </c>
      <c r="C10481" s="3">
        <v>0.0</v>
      </c>
      <c r="D10481" s="3">
        <v>0.0</v>
      </c>
      <c r="E10481" s="3">
        <v>0.0</v>
      </c>
      <c r="F10481" s="3" t="s">
        <v>29839</v>
      </c>
      <c r="G10481" s="3">
        <v>0.0</v>
      </c>
      <c r="H10481" s="3">
        <v>0.0</v>
      </c>
      <c r="I10481" s="3" t="s">
        <v>13</v>
      </c>
      <c r="J10481" s="3" t="s">
        <v>29840</v>
      </c>
      <c r="K10481" s="3" t="s">
        <v>41</v>
      </c>
      <c r="L10481" s="3" t="str">
        <f>IFERROR(__xludf.DUMMYFUNCTION("GOOGLETRANSLATE(F10481,""id"",""en"")"),"Argentina Champion World Cup FIFA lifted the third trophy in history")</f>
        <v>Argentina Champion World Cup FIFA lifted the third trophy in history</v>
      </c>
    </row>
    <row r="10482" ht="15.75" customHeight="1">
      <c r="A10482" s="1">
        <v>11723.0</v>
      </c>
      <c r="B10482" s="3" t="s">
        <v>29841</v>
      </c>
      <c r="C10482" s="3">
        <v>0.0</v>
      </c>
      <c r="D10482" s="3">
        <v>0.0</v>
      </c>
      <c r="E10482" s="3">
        <v>0.0</v>
      </c>
      <c r="F10482" s="3" t="s">
        <v>29842</v>
      </c>
      <c r="G10482" s="3">
        <v>0.0</v>
      </c>
      <c r="H10482" s="3">
        <v>0.0</v>
      </c>
      <c r="I10482" s="3" t="s">
        <v>13</v>
      </c>
      <c r="J10482" s="3" t="s">
        <v>29843</v>
      </c>
      <c r="K10482" s="3" t="s">
        <v>456</v>
      </c>
      <c r="L10482" s="3" t="str">
        <f>IFERROR(__xludf.DUMMYFUNCTION("GOOGLETRANSLATE(F10482,""id"",""en"")"),"I will miss listening to the song STO whose title The Business Before Match Begins Congrats for Argentina to Wipe FIFA World Cup Congrats For Messi The Goat Get Sweet Gifts At the end of the year already graduated")</f>
        <v>I will miss listening to the song STO whose title The Business Before Match Begins Congrats for Argentina to Wipe FIFA World Cup Congrats For Messi The Goat Get Sweet Gifts At the end of the year already graduated</v>
      </c>
    </row>
    <row r="10483" ht="15.75" customHeight="1">
      <c r="A10483" s="1">
        <v>11724.0</v>
      </c>
      <c r="B10483" s="3" t="s">
        <v>29844</v>
      </c>
      <c r="C10483" s="3">
        <v>0.0</v>
      </c>
      <c r="D10483" s="3">
        <v>0.0</v>
      </c>
      <c r="E10483" s="3">
        <v>0.0</v>
      </c>
      <c r="F10483" s="3" t="s">
        <v>29845</v>
      </c>
      <c r="G10483" s="3">
        <v>0.5</v>
      </c>
      <c r="H10483" s="3">
        <v>0.3</v>
      </c>
      <c r="I10483" s="3" t="s">
        <v>48</v>
      </c>
      <c r="J10483" s="3" t="s">
        <v>29846</v>
      </c>
      <c r="K10483" s="3" t="s">
        <v>86</v>
      </c>
      <c r="L10483" s="3" t="str">
        <f>IFERROR(__xludf.DUMMYFUNCTION("GOOGLETRANSLATE(F10483,""id"",""en"")"),"Congratulations Argentina won the World Cup Successful Qatar to be the most beautiful gift for Lionel Messi who has performed the World Cup five times since Messi also won the Golden Ball or a gold ball which has been a symbol of awards for the best world"&amp;" cup players")</f>
        <v>Congratulations Argentina won the World Cup Successful Qatar to be the most beautiful gift for Lionel Messi who has performed the World Cup five times since Messi also won the Golden Ball or a gold ball which has been a symbol of awards for the best world cup players</v>
      </c>
    </row>
    <row r="10484" ht="15.75" customHeight="1">
      <c r="A10484" s="1">
        <v>11725.0</v>
      </c>
      <c r="B10484" s="3" t="s">
        <v>29847</v>
      </c>
      <c r="C10484" s="3">
        <v>0.0</v>
      </c>
      <c r="D10484" s="3">
        <v>0.0</v>
      </c>
      <c r="E10484" s="3">
        <v>0.0</v>
      </c>
      <c r="F10484" s="3" t="s">
        <v>29848</v>
      </c>
      <c r="G10484" s="3">
        <v>0.0</v>
      </c>
      <c r="H10484" s="3">
        <v>0.0</v>
      </c>
      <c r="I10484" s="3" t="s">
        <v>13</v>
      </c>
      <c r="J10484" s="3" t="s">
        <v>29849</v>
      </c>
      <c r="K10484" s="3" t="s">
        <v>75</v>
      </c>
      <c r="L10484" s="3" t="str">
        <f>IFERROR(__xludf.DUMMYFUNCTION("GOOGLETRANSLATE(F10484,""id"",""en"")"),"Bring Argentina World Champion Lionel Messi Officially Clothing Goat Title")</f>
        <v>Bring Argentina World Champion Lionel Messi Officially Clothing Goat Title</v>
      </c>
    </row>
    <row r="10485" ht="15.75" customHeight="1">
      <c r="A10485" s="1">
        <v>11726.0</v>
      </c>
      <c r="B10485" s="3" t="s">
        <v>29850</v>
      </c>
      <c r="C10485" s="3">
        <v>0.0</v>
      </c>
      <c r="D10485" s="3">
        <v>0.0</v>
      </c>
      <c r="E10485" s="3">
        <v>1.0</v>
      </c>
      <c r="F10485" s="3" t="s">
        <v>29851</v>
      </c>
      <c r="G10485" s="3">
        <v>0.0</v>
      </c>
      <c r="H10485" s="3">
        <v>0.0</v>
      </c>
      <c r="I10485" s="3" t="s">
        <v>13</v>
      </c>
      <c r="J10485" s="3" t="s">
        <v>29852</v>
      </c>
      <c r="K10485" s="3" t="s">
        <v>41</v>
      </c>
      <c r="L10485" s="3" t="str">
        <f>IFERROR(__xludf.DUMMYFUNCTION("GOOGLETRANSLATE(F10485,""id"",""en"")"),"Argentina champion oala understands the record of the keturon, how come it's liquid hehe")</f>
        <v>Argentina champion oala understands the record of the keturon, how come it's liquid hehe</v>
      </c>
    </row>
    <row r="10486" ht="15.75" customHeight="1">
      <c r="A10486" s="1">
        <v>11727.0</v>
      </c>
      <c r="B10486" s="3" t="s">
        <v>29853</v>
      </c>
      <c r="C10486" s="3">
        <v>0.0</v>
      </c>
      <c r="D10486" s="3">
        <v>0.0</v>
      </c>
      <c r="E10486" s="3">
        <v>0.0</v>
      </c>
      <c r="F10486" s="3" t="s">
        <v>29854</v>
      </c>
      <c r="G10486" s="3">
        <v>0.0</v>
      </c>
      <c r="H10486" s="3">
        <v>0.0</v>
      </c>
      <c r="I10486" s="3" t="s">
        <v>13</v>
      </c>
      <c r="J10486" s="3" t="s">
        <v>29855</v>
      </c>
      <c r="K10486" s="3" t="s">
        <v>244</v>
      </c>
      <c r="L10486" s="3" t="str">
        <f>IFERROR(__xludf.DUMMYFUNCTION("GOOGLETRANSLATE(F10486,""id"",""en"")"),"Argentina Champion Messi completes his title and there is a vows after that all really happened Argentina")</f>
        <v>Argentina Champion Messi completes his title and there is a vows after that all really happened Argentina</v>
      </c>
    </row>
    <row r="10487" ht="15.75" customHeight="1">
      <c r="A10487" s="1">
        <v>11728.0</v>
      </c>
      <c r="B10487" s="3" t="s">
        <v>29856</v>
      </c>
      <c r="C10487" s="3">
        <v>0.0</v>
      </c>
      <c r="D10487" s="3">
        <v>0.0</v>
      </c>
      <c r="E10487" s="3">
        <v>0.0</v>
      </c>
      <c r="F10487" s="3" t="s">
        <v>29857</v>
      </c>
      <c r="G10487" s="3">
        <v>0.0</v>
      </c>
      <c r="H10487" s="3">
        <v>0.0</v>
      </c>
      <c r="I10487" s="3" t="s">
        <v>13</v>
      </c>
      <c r="J10487" s="3" t="s">
        <v>29858</v>
      </c>
      <c r="K10487" s="3" t="s">
        <v>82</v>
      </c>
      <c r="L10487" s="3" t="str">
        <f>IFERROR(__xludf.DUMMYFUNCTION("GOOGLETRANSLATE(F10487,""id"",""en"")"),"The toughness of Mbape makes Argentina deserve to be a champion")</f>
        <v>The toughness of Mbape makes Argentina deserve to be a champion</v>
      </c>
    </row>
    <row r="10488" ht="15.75" customHeight="1">
      <c r="A10488" s="1">
        <v>11729.0</v>
      </c>
      <c r="B10488" s="3" t="s">
        <v>29859</v>
      </c>
      <c r="C10488" s="3">
        <v>1.0</v>
      </c>
      <c r="D10488" s="3">
        <v>0.0</v>
      </c>
      <c r="E10488" s="3">
        <v>0.0</v>
      </c>
      <c r="F10488" s="3" t="s">
        <v>29860</v>
      </c>
      <c r="G10488" s="3">
        <v>0.0</v>
      </c>
      <c r="H10488" s="3">
        <v>0.0</v>
      </c>
      <c r="I10488" s="3" t="s">
        <v>13</v>
      </c>
      <c r="J10488" s="3" t="s">
        <v>29861</v>
      </c>
      <c r="K10488" s="3" t="s">
        <v>82</v>
      </c>
      <c r="L10488" s="3" t="str">
        <f>IFERROR(__xludf.DUMMYFUNCTION("GOOGLETRANSLATE(F10488,""id"",""en"")"),"It's not wrong if Argentina won many twice fans")</f>
        <v>It's not wrong if Argentina won many twice fans</v>
      </c>
    </row>
    <row r="10489" ht="15.75" customHeight="1">
      <c r="A10489" s="1">
        <v>11730.0</v>
      </c>
      <c r="B10489" s="3" t="s">
        <v>29862</v>
      </c>
      <c r="C10489" s="3">
        <v>0.0</v>
      </c>
      <c r="D10489" s="3">
        <v>0.0</v>
      </c>
      <c r="E10489" s="3">
        <v>0.0</v>
      </c>
      <c r="F10489" s="3" t="s">
        <v>29863</v>
      </c>
      <c r="G10489" s="3">
        <v>0.0</v>
      </c>
      <c r="H10489" s="3">
        <v>0.0</v>
      </c>
      <c r="I10489" s="3" t="s">
        <v>13</v>
      </c>
      <c r="J10489" s="3" t="s">
        <v>29864</v>
      </c>
      <c r="K10489" s="3" t="s">
        <v>41</v>
      </c>
      <c r="L10489" s="3" t="str">
        <f>IFERROR(__xludf.DUMMYFUNCTION("GOOGLETRANSLATE(F10489,""id"",""en"")"),"Argentina Champion World Cup Pantun Ridwan Kamil Proven Effective")</f>
        <v>Argentina Champion World Cup Pantun Ridwan Kamil Proven Effective</v>
      </c>
    </row>
    <row r="10490" ht="15.75" customHeight="1">
      <c r="A10490" s="1">
        <v>11731.0</v>
      </c>
      <c r="B10490" s="3" t="s">
        <v>29865</v>
      </c>
      <c r="C10490" s="3">
        <v>0.0</v>
      </c>
      <c r="D10490" s="3">
        <v>0.0</v>
      </c>
      <c r="E10490" s="3">
        <v>0.0</v>
      </c>
      <c r="F10490" s="3" t="s">
        <v>29866</v>
      </c>
      <c r="G10490" s="3">
        <v>0.0</v>
      </c>
      <c r="H10490" s="3">
        <v>0.0</v>
      </c>
      <c r="I10490" s="3" t="s">
        <v>13</v>
      </c>
      <c r="J10490" s="3" t="s">
        <v>29867</v>
      </c>
      <c r="K10490" s="3" t="s">
        <v>510</v>
      </c>
      <c r="L10490" s="3" t="str">
        <f>IFERROR(__xludf.DUMMYFUNCTION("GOOGLETRANSLATE(F10490,""id"",""en"")"),"The debate is over now Lionel Messi is legitimate of the Status of Goat after Argentina Champion World Cup")</f>
        <v>The debate is over now Lionel Messi is legitimate of the Status of Goat after Argentina Champion World Cup</v>
      </c>
    </row>
    <row r="10491" ht="15.75" customHeight="1">
      <c r="A10491" s="1">
        <v>11732.0</v>
      </c>
      <c r="B10491" s="3" t="s">
        <v>29868</v>
      </c>
      <c r="C10491" s="3">
        <v>0.0</v>
      </c>
      <c r="D10491" s="3">
        <v>0.0</v>
      </c>
      <c r="E10491" s="3">
        <v>0.0</v>
      </c>
      <c r="F10491" s="3" t="s">
        <v>29869</v>
      </c>
      <c r="G10491" s="3">
        <v>1.0</v>
      </c>
      <c r="H10491" s="3">
        <v>0.85</v>
      </c>
      <c r="I10491" s="3" t="s">
        <v>48</v>
      </c>
      <c r="J10491" s="3" t="s">
        <v>29870</v>
      </c>
      <c r="K10491" s="3" t="s">
        <v>50</v>
      </c>
      <c r="L10491" s="3" t="str">
        <f>IFERROR(__xludf.DUMMYFUNCTION("GOOGLETRANSLATE(F10491,""id"",""en"")"),"Argentina Champion Twitter this morning is no longer a bug anymore what beautiful monday morning")</f>
        <v>Argentina Champion Twitter this morning is no longer a bug anymore what beautiful monday morning</v>
      </c>
    </row>
    <row r="10492" ht="15.75" customHeight="1">
      <c r="A10492" s="1">
        <v>11733.0</v>
      </c>
      <c r="B10492" s="3" t="s">
        <v>29871</v>
      </c>
      <c r="C10492" s="3">
        <v>0.0</v>
      </c>
      <c r="D10492" s="3">
        <v>0.0</v>
      </c>
      <c r="E10492" s="3">
        <v>0.0</v>
      </c>
      <c r="F10492" s="3" t="s">
        <v>29872</v>
      </c>
      <c r="G10492" s="3">
        <v>0.0</v>
      </c>
      <c r="H10492" s="3">
        <v>0.0</v>
      </c>
      <c r="I10492" s="3" t="s">
        <v>13</v>
      </c>
      <c r="J10492" s="3" t="s">
        <v>29873</v>
      </c>
      <c r="K10492" s="3" t="s">
        <v>41</v>
      </c>
      <c r="L10492" s="3" t="str">
        <f>IFERROR(__xludf.DUMMYFUNCTION("GOOGLETRANSLATE(F10492,""id"",""en"")"),"Lionel Messi brought Argentina to the World Cup champion I did not want to retire")</f>
        <v>Lionel Messi brought Argentina to the World Cup champion I did not want to retire</v>
      </c>
    </row>
    <row r="10493" ht="15.75" customHeight="1">
      <c r="A10493" s="1">
        <v>11734.0</v>
      </c>
      <c r="B10493" s="3" t="s">
        <v>29874</v>
      </c>
      <c r="C10493" s="3">
        <v>0.0</v>
      </c>
      <c r="D10493" s="3">
        <v>0.0</v>
      </c>
      <c r="E10493" s="3">
        <v>0.0</v>
      </c>
      <c r="F10493" s="3" t="s">
        <v>29875</v>
      </c>
      <c r="G10493" s="3">
        <v>0.0</v>
      </c>
      <c r="H10493" s="3">
        <v>0.0</v>
      </c>
      <c r="I10493" s="3" t="s">
        <v>13</v>
      </c>
      <c r="J10493" s="3" t="s">
        <v>29876</v>
      </c>
      <c r="K10493" s="3" t="s">
        <v>31</v>
      </c>
      <c r="L10493" s="3" t="str">
        <f>IFERROR(__xludf.DUMMYFUNCTION("GOOGLETRANSLATE(F10493,""id"",""en"")"),"Waiting for Argentina Conversion Ambon Champion")</f>
        <v>Waiting for Argentina Conversion Ambon Champion</v>
      </c>
    </row>
    <row r="10494" ht="15.75" customHeight="1">
      <c r="A10494" s="1">
        <v>11735.0</v>
      </c>
      <c r="B10494" s="3" t="s">
        <v>29877</v>
      </c>
      <c r="C10494" s="3">
        <v>1.0</v>
      </c>
      <c r="D10494" s="3">
        <v>0.0</v>
      </c>
      <c r="E10494" s="3">
        <v>7.0</v>
      </c>
      <c r="F10494" s="3" t="s">
        <v>28898</v>
      </c>
      <c r="G10494" s="3">
        <v>0.0</v>
      </c>
      <c r="H10494" s="3">
        <v>0.0</v>
      </c>
      <c r="I10494" s="3" t="s">
        <v>13</v>
      </c>
      <c r="J10494" s="3" t="s">
        <v>28899</v>
      </c>
      <c r="K10494" s="3" t="s">
        <v>633</v>
      </c>
      <c r="L10494" s="3" t="str">
        <f>IFERROR(__xludf.DUMMYFUNCTION("GOOGLETRANSLATE(F10494,""id"",""en"")"),"France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0495" ht="15.75" customHeight="1">
      <c r="A10495" s="1">
        <v>11736.0</v>
      </c>
      <c r="B10495" s="3" t="s">
        <v>29878</v>
      </c>
      <c r="C10495" s="3">
        <v>0.0</v>
      </c>
      <c r="D10495" s="3">
        <v>0.0</v>
      </c>
      <c r="E10495" s="3">
        <v>0.0</v>
      </c>
      <c r="F10495" s="3" t="s">
        <v>29879</v>
      </c>
      <c r="G10495" s="3">
        <v>0.0</v>
      </c>
      <c r="H10495" s="3">
        <v>0.0</v>
      </c>
      <c r="I10495" s="3" t="s">
        <v>13</v>
      </c>
      <c r="J10495" s="3" t="s">
        <v>29880</v>
      </c>
      <c r="K10495" s="3" t="s">
        <v>29881</v>
      </c>
      <c r="L10495" s="3" t="str">
        <f>IFERROR(__xludf.DUMMYFUNCTION("GOOGLETRANSLATE(F10495,""id"",""en"")"),"Cucoklogi new players in PSG uniform a year later World Cup Champion Ronaldinho Join PSG Brazilian World Cup Champion MBAPE PSG France Champion World Cup Join PSG Argentina Champion World Cup Champion")</f>
        <v>Cucoklogi new players in PSG uniform a year later World Cup Champion Ronaldinho Join PSG Brazilian World Cup Champion MBAPE PSG France Champion World Cup Join PSG Argentina Champion World Cup Champion</v>
      </c>
    </row>
    <row r="10496" ht="15.75" customHeight="1">
      <c r="A10496" s="1">
        <v>11737.0</v>
      </c>
      <c r="B10496" s="3" t="s">
        <v>29882</v>
      </c>
      <c r="C10496" s="3">
        <v>0.0</v>
      </c>
      <c r="D10496" s="3">
        <v>0.0</v>
      </c>
      <c r="E10496" s="3">
        <v>0.0</v>
      </c>
      <c r="F10496" s="3" t="s">
        <v>29883</v>
      </c>
      <c r="G10496" s="3">
        <v>0.0</v>
      </c>
      <c r="H10496" s="3">
        <v>0.0</v>
      </c>
      <c r="I10496" s="3" t="s">
        <v>13</v>
      </c>
      <c r="J10496" s="3" t="s">
        <v>29884</v>
      </c>
      <c r="K10496" s="3" t="s">
        <v>75</v>
      </c>
      <c r="L10496" s="3" t="str">
        <f>IFERROR(__xludf.DUMMYFUNCTION("GOOGLETRANSLATE(F10496,""id"",""en"")"),"Wes did not move Chanel Dadi Onee, how come the champion is still Argentina")</f>
        <v>Wes did not move Chanel Dadi Onee, how come the champion is still Argentina</v>
      </c>
    </row>
    <row r="10497" ht="15.75" customHeight="1">
      <c r="A10497" s="1">
        <v>11738.0</v>
      </c>
      <c r="B10497" s="3" t="s">
        <v>29885</v>
      </c>
      <c r="C10497" s="3">
        <v>0.0</v>
      </c>
      <c r="D10497" s="3">
        <v>0.0</v>
      </c>
      <c r="E10497" s="3">
        <v>0.0</v>
      </c>
      <c r="F10497" s="3" t="s">
        <v>29886</v>
      </c>
      <c r="G10497" s="3">
        <v>0.0</v>
      </c>
      <c r="H10497" s="3">
        <v>0.0</v>
      </c>
      <c r="I10497" s="3" t="s">
        <v>13</v>
      </c>
      <c r="J10497" s="3" t="s">
        <v>29887</v>
      </c>
      <c r="K10497" s="3" t="s">
        <v>82</v>
      </c>
      <c r="L10497" s="3" t="str">
        <f>IFERROR(__xludf.DUMMYFUNCTION("GOOGLETRANSLATE(F10497,""id"",""en"")"),"he was entitled to the Argentine champion medal")</f>
        <v>he was entitled to the Argentine champion medal</v>
      </c>
    </row>
    <row r="10498" ht="15.75" customHeight="1">
      <c r="A10498" s="1">
        <v>11739.0</v>
      </c>
      <c r="B10498" s="3" t="s">
        <v>29888</v>
      </c>
      <c r="C10498" s="3">
        <v>1.0</v>
      </c>
      <c r="D10498" s="3">
        <v>2.0</v>
      </c>
      <c r="E10498" s="3">
        <v>29.0</v>
      </c>
      <c r="F10498" s="3" t="s">
        <v>29889</v>
      </c>
      <c r="G10498" s="3">
        <v>0.0</v>
      </c>
      <c r="H10498" s="3">
        <v>0.0</v>
      </c>
      <c r="I10498" s="3" t="s">
        <v>13</v>
      </c>
      <c r="J10498" s="3" t="s">
        <v>29890</v>
      </c>
      <c r="K10498" s="3" t="s">
        <v>899</v>
      </c>
      <c r="L10498" s="3" t="str">
        <f>IFERROR(__xludf.DUMMYFUNCTION("GOOGLETRANSLATE(F10498,""id"",""en"")"),"Argentina The World Cup Champion Resistance was forced to determine the penalty kick after the two two countries were bound until the additional minit period of the end of the most epic and dramatic world cup in the history of the goal was produced")</f>
        <v>Argentina The World Cup Champion Resistance was forced to determine the penalty kick after the two two countries were bound until the additional minit period of the end of the most epic and dramatic world cup in the history of the goal was produced</v>
      </c>
    </row>
    <row r="10499" ht="15.75" customHeight="1">
      <c r="A10499" s="1">
        <v>11740.0</v>
      </c>
      <c r="B10499" s="3" t="s">
        <v>29891</v>
      </c>
      <c r="C10499" s="3">
        <v>0.0</v>
      </c>
      <c r="D10499" s="3">
        <v>0.0</v>
      </c>
      <c r="E10499" s="3">
        <v>0.0</v>
      </c>
      <c r="F10499" s="3" t="s">
        <v>29892</v>
      </c>
      <c r="G10499" s="3">
        <v>0.5</v>
      </c>
      <c r="H10499" s="3">
        <v>0.0</v>
      </c>
      <c r="I10499" s="3" t="s">
        <v>13</v>
      </c>
      <c r="J10499" s="3" t="s">
        <v>29893</v>
      </c>
      <c r="K10499" s="3" t="s">
        <v>82</v>
      </c>
      <c r="L10499" s="3" t="str">
        <f>IFERROR(__xludf.DUMMYFUNCTION("GOOGLETRANSLATE(F10499,""id"",""en"")"),"Finally Argentina Champion FWC Whos The Next")</f>
        <v>Finally Argentina Champion FWC Whos The Next</v>
      </c>
    </row>
    <row r="10500" ht="15.75" customHeight="1">
      <c r="A10500" s="1">
        <v>11741.0</v>
      </c>
      <c r="B10500" s="3" t="s">
        <v>29894</v>
      </c>
      <c r="C10500" s="3">
        <v>0.0</v>
      </c>
      <c r="D10500" s="3">
        <v>0.0</v>
      </c>
      <c r="E10500" s="3">
        <v>0.0</v>
      </c>
      <c r="F10500" s="3" t="s">
        <v>29895</v>
      </c>
      <c r="G10500" s="3">
        <v>0.0</v>
      </c>
      <c r="H10500" s="3">
        <v>0.0</v>
      </c>
      <c r="I10500" s="3" t="s">
        <v>13</v>
      </c>
      <c r="J10500" s="3" t="s">
        <v>29896</v>
      </c>
      <c r="K10500" s="3" t="s">
        <v>31</v>
      </c>
      <c r="L10500" s="3" t="str">
        <f>IFERROR(__xludf.DUMMYFUNCTION("GOOGLETRANSLATE(F10500,""id"",""en"")"),"Argentina champions but not a tranding topic hehe")</f>
        <v>Argentina champions but not a tranding topic hehe</v>
      </c>
    </row>
    <row r="10501" ht="15.75" customHeight="1">
      <c r="A10501" s="1">
        <v>11742.0</v>
      </c>
      <c r="B10501" s="3" t="s">
        <v>29897</v>
      </c>
      <c r="C10501" s="3">
        <v>0.0</v>
      </c>
      <c r="D10501" s="3">
        <v>0.0</v>
      </c>
      <c r="E10501" s="3">
        <v>0.0</v>
      </c>
      <c r="F10501" s="3" t="s">
        <v>29898</v>
      </c>
      <c r="G10501" s="3">
        <v>0.0</v>
      </c>
      <c r="H10501" s="3">
        <v>0.0</v>
      </c>
      <c r="I10501" s="3" t="s">
        <v>13</v>
      </c>
      <c r="J10501" s="3" t="s">
        <v>29899</v>
      </c>
      <c r="K10501" s="3" t="s">
        <v>484</v>
      </c>
      <c r="L10501" s="3" t="str">
        <f>IFERROR(__xludf.DUMMYFUNCTION("GOOGLETRANSLATE(F10501,""id"",""en"")"),"Finally, Argentina is also the championship era of the Jokowi regime of the previous regime where this is a wrong proof of Jokowi's success for the world to continue yr")</f>
        <v>Finally, Argentina is also the championship era of the Jokowi regime of the previous regime where this is a wrong proof of Jokowi's success for the world to continue yr</v>
      </c>
    </row>
    <row r="10502" ht="15.75" customHeight="1">
      <c r="A10502" s="1">
        <v>11743.0</v>
      </c>
      <c r="B10502" s="3" t="s">
        <v>29900</v>
      </c>
      <c r="C10502" s="3">
        <v>0.0</v>
      </c>
      <c r="D10502" s="3">
        <v>0.0</v>
      </c>
      <c r="E10502" s="3">
        <v>0.0</v>
      </c>
      <c r="F10502" s="3" t="s">
        <v>29901</v>
      </c>
      <c r="G10502" s="3">
        <v>0.0</v>
      </c>
      <c r="H10502" s="3">
        <v>0.0</v>
      </c>
      <c r="I10502" s="3" t="s">
        <v>13</v>
      </c>
      <c r="J10502" s="3" t="s">
        <v>29902</v>
      </c>
      <c r="K10502" s="3" t="s">
        <v>358</v>
      </c>
      <c r="L10502" s="3" t="str">
        <f>IFERROR(__xludf.DUMMYFUNCTION("GOOGLETRANSLATE(F10502,""id"",""en"")"),"Congratulations to the Argentina national team who won the Qatar Football World Cup, good luck and success with Qatar Doha")</f>
        <v>Congratulations to the Argentina national team who won the Qatar Football World Cup, good luck and success with Qatar Doha</v>
      </c>
    </row>
    <row r="10503" ht="15.75" customHeight="1">
      <c r="A10503" s="1">
        <v>11744.0</v>
      </c>
      <c r="B10503" s="3" t="s">
        <v>29903</v>
      </c>
      <c r="C10503" s="3">
        <v>0.0</v>
      </c>
      <c r="D10503" s="3">
        <v>0.0</v>
      </c>
      <c r="E10503" s="3">
        <v>0.0</v>
      </c>
      <c r="F10503" s="3" t="s">
        <v>29904</v>
      </c>
      <c r="G10503" s="3">
        <v>0.0</v>
      </c>
      <c r="H10503" s="3">
        <v>0.0</v>
      </c>
      <c r="I10503" s="3" t="s">
        <v>13</v>
      </c>
      <c r="J10503" s="3" t="s">
        <v>29905</v>
      </c>
      <c r="K10503" s="3" t="s">
        <v>657</v>
      </c>
      <c r="L10503" s="3" t="str">
        <f>IFERROR(__xludf.DUMMYFUNCTION("GOOGLETRANSLATE(F10503,""id"",""en"")"),"Let Read Drama Adu Pinal of prestigious Penalty Bringing Argentina to Champion Qatar World Cup Click This Click")</f>
        <v>Let Read Drama Adu Pinal of prestigious Penalty Bringing Argentina to Champion Qatar World Cup Click This Click</v>
      </c>
    </row>
    <row r="10504" ht="15.75" customHeight="1">
      <c r="A10504" s="1">
        <v>11745.0</v>
      </c>
      <c r="B10504" s="3" t="s">
        <v>29906</v>
      </c>
      <c r="C10504" s="3">
        <v>0.0</v>
      </c>
      <c r="D10504" s="3">
        <v>0.0</v>
      </c>
      <c r="E10504" s="3">
        <v>0.0</v>
      </c>
      <c r="F10504" s="3" t="s">
        <v>29907</v>
      </c>
      <c r="G10504" s="3">
        <v>1.0</v>
      </c>
      <c r="H10504" s="3">
        <v>-0.5</v>
      </c>
      <c r="I10504" s="3" t="s">
        <v>179</v>
      </c>
      <c r="J10504" s="3" t="s">
        <v>29908</v>
      </c>
      <c r="K10504" s="3" t="s">
        <v>1428</v>
      </c>
      <c r="L10504" s="3" t="str">
        <f>IFERROR(__xludf.DUMMYFUNCTION("GOOGLETRANSLATE(F10504,""id"",""en"")"),"It looks very corrupt FIFA years of winning Argentina Shortly Saudi Arabia champions of the World Cup because he is the one of the troops to defeat Argentina Kot maybe this is the suspended victory for Saudi Arabia Takburrrrrrrrrrrrrrrrrrrrrrrrrrrr")</f>
        <v>It looks very corrupt FIFA years of winning Argentina Shortly Saudi Arabia champions of the World Cup because he is the one of the troops to defeat Argentina Kot maybe this is the suspended victory for Saudi Arabia Takburrrrrrrrrrrrrrrrrrrrrrrrrrrr</v>
      </c>
    </row>
    <row r="10505" ht="15.75" customHeight="1">
      <c r="A10505" s="1">
        <v>11746.0</v>
      </c>
      <c r="B10505" s="3" t="s">
        <v>29909</v>
      </c>
      <c r="C10505" s="3">
        <v>0.0</v>
      </c>
      <c r="D10505" s="3">
        <v>0.0</v>
      </c>
      <c r="E10505" s="3">
        <v>1.0</v>
      </c>
      <c r="F10505" s="3" t="s">
        <v>29910</v>
      </c>
      <c r="G10505" s="3">
        <v>0.0</v>
      </c>
      <c r="H10505" s="3">
        <v>0.0</v>
      </c>
      <c r="I10505" s="3" t="s">
        <v>13</v>
      </c>
      <c r="J10505" s="3" t="s">
        <v>29911</v>
      </c>
      <c r="K10505" s="3" t="s">
        <v>82</v>
      </c>
      <c r="L10505" s="3" t="str">
        <f>IFERROR(__xludf.DUMMYFUNCTION("GOOGLETRANSLATE(F10505,""id"",""en"")"),"finally Argentina can return to champion with her new god Messi")</f>
        <v>finally Argentina can return to champion with her new god Messi</v>
      </c>
    </row>
    <row r="10506" ht="15.75" customHeight="1">
      <c r="A10506" s="1">
        <v>11747.0</v>
      </c>
      <c r="B10506" s="3" t="s">
        <v>29912</v>
      </c>
      <c r="C10506" s="3">
        <v>0.0</v>
      </c>
      <c r="D10506" s="3">
        <v>0.0</v>
      </c>
      <c r="E10506" s="3">
        <v>0.0</v>
      </c>
      <c r="F10506" s="3" t="s">
        <v>29913</v>
      </c>
      <c r="G10506" s="3">
        <v>0.0</v>
      </c>
      <c r="H10506" s="3">
        <v>0.0</v>
      </c>
      <c r="I10506" s="3" t="s">
        <v>13</v>
      </c>
      <c r="J10506" s="3" t="s">
        <v>29914</v>
      </c>
      <c r="K10506" s="3" t="s">
        <v>510</v>
      </c>
      <c r="L10506" s="3" t="str">
        <f>IFERROR(__xludf.DUMMYFUNCTION("GOOGLETRANSLATE(F10506,""id"",""en"")"),"I thought that Argentina was an anti -climax champion because it was in accordance with the expectations of the people but the match was so exciting")</f>
        <v>I thought that Argentina was an anti -climax champion because it was in accordance with the expectations of the people but the match was so exciting</v>
      </c>
    </row>
    <row r="10507" ht="15.75" customHeight="1">
      <c r="A10507" s="1">
        <v>11748.0</v>
      </c>
      <c r="B10507" s="3" t="s">
        <v>29915</v>
      </c>
      <c r="C10507" s="3">
        <v>0.0</v>
      </c>
      <c r="D10507" s="3">
        <v>0.0</v>
      </c>
      <c r="E10507" s="3">
        <v>1.0</v>
      </c>
      <c r="F10507" s="3" t="s">
        <v>29916</v>
      </c>
      <c r="G10507" s="3">
        <v>0.0</v>
      </c>
      <c r="H10507" s="3">
        <v>0.0</v>
      </c>
      <c r="I10507" s="3" t="s">
        <v>13</v>
      </c>
      <c r="J10507" s="3" t="s">
        <v>29917</v>
      </c>
      <c r="K10507" s="3" t="s">
        <v>31</v>
      </c>
      <c r="L10507" s="3" t="str">
        <f>IFERROR(__xludf.DUMMYFUNCTION("GOOGLETRANSLATE(F10507,""id"",""en"")"),"Argentina Champion Because Mr. Iwan Bule")</f>
        <v>Argentina Champion Because Mr. Iwan Bule</v>
      </c>
    </row>
    <row r="10508" ht="15.75" customHeight="1">
      <c r="A10508" s="1">
        <v>11749.0</v>
      </c>
      <c r="B10508" s="3" t="s">
        <v>29918</v>
      </c>
      <c r="C10508" s="3">
        <v>0.0</v>
      </c>
      <c r="D10508" s="3">
        <v>0.0</v>
      </c>
      <c r="E10508" s="3">
        <v>0.0</v>
      </c>
      <c r="F10508" s="3" t="s">
        <v>29919</v>
      </c>
      <c r="G10508" s="3">
        <v>0.0</v>
      </c>
      <c r="H10508" s="3">
        <v>0.0</v>
      </c>
      <c r="I10508" s="3" t="s">
        <v>13</v>
      </c>
      <c r="J10508" s="3" t="s">
        <v>29920</v>
      </c>
      <c r="K10508" s="3" t="s">
        <v>31</v>
      </c>
      <c r="L10508" s="3" t="str">
        <f>IFERROR(__xludf.DUMMYFUNCTION("GOOGLETRANSLATE(F10508,""id"",""en"")"),"The Argentina champion was discussed by the French coach")</f>
        <v>The Argentina champion was discussed by the French coach</v>
      </c>
    </row>
    <row r="10509" ht="15.75" customHeight="1">
      <c r="A10509" s="1">
        <v>11750.0</v>
      </c>
      <c r="B10509" s="3" t="s">
        <v>29921</v>
      </c>
      <c r="C10509" s="3">
        <v>0.0</v>
      </c>
      <c r="D10509" s="3">
        <v>0.0</v>
      </c>
      <c r="E10509" s="3">
        <v>0.0</v>
      </c>
      <c r="F10509" s="3" t="s">
        <v>29922</v>
      </c>
      <c r="G10509" s="3">
        <v>0.0</v>
      </c>
      <c r="H10509" s="3">
        <v>0.0</v>
      </c>
      <c r="I10509" s="3" t="s">
        <v>13</v>
      </c>
      <c r="J10509" s="3" t="s">
        <v>29923</v>
      </c>
      <c r="K10509" s="3" t="s">
        <v>54</v>
      </c>
      <c r="L10509" s="3" t="str">
        <f>IFERROR(__xludf.DUMMYFUNCTION("GOOGLETRANSLATE(F10509,""id"",""en"")"),"Messi brought Argentina World Cup champions")</f>
        <v>Messi brought Argentina World Cup champions</v>
      </c>
    </row>
    <row r="10510" ht="15.75" customHeight="1">
      <c r="A10510" s="1">
        <v>11751.0</v>
      </c>
      <c r="B10510" s="3" t="s">
        <v>29924</v>
      </c>
      <c r="C10510" s="3">
        <v>0.0</v>
      </c>
      <c r="D10510" s="3">
        <v>0.0</v>
      </c>
      <c r="E10510" s="3">
        <v>1.0</v>
      </c>
      <c r="F10510" s="3" t="s">
        <v>28332</v>
      </c>
      <c r="G10510" s="3">
        <v>0.0</v>
      </c>
      <c r="H10510" s="3">
        <v>0.0</v>
      </c>
      <c r="I10510" s="3" t="s">
        <v>13</v>
      </c>
      <c r="J10510" s="3" t="s">
        <v>28333</v>
      </c>
      <c r="K10510" s="3" t="s">
        <v>240</v>
      </c>
      <c r="L10510" s="3" t="str">
        <f>IFERROR(__xludf.DUMMYFUNCTION("GOOGLETRANSLATE(F10510,""id"",""en"")"),"Argentine national team captain Lionel Messi still does not want to retire from international football after winning the Qatar World Nutmeg title")</f>
        <v>Argentine national team captain Lionel Messi still does not want to retire from international football after winning the Qatar World Nutmeg title</v>
      </c>
    </row>
    <row r="10511" ht="15.75" customHeight="1">
      <c r="A10511" s="1">
        <v>11752.0</v>
      </c>
      <c r="B10511" s="3" t="s">
        <v>29925</v>
      </c>
      <c r="C10511" s="3">
        <v>1.0</v>
      </c>
      <c r="D10511" s="3">
        <v>1.0</v>
      </c>
      <c r="E10511" s="3">
        <v>1.0</v>
      </c>
      <c r="F10511" s="3" t="s">
        <v>29926</v>
      </c>
      <c r="G10511" s="3">
        <v>0.875</v>
      </c>
      <c r="H10511" s="3">
        <v>0.4</v>
      </c>
      <c r="I10511" s="3" t="s">
        <v>48</v>
      </c>
      <c r="J10511" s="3" t="s">
        <v>29927</v>
      </c>
      <c r="K10511" s="3" t="s">
        <v>172</v>
      </c>
      <c r="L10511" s="3" t="str">
        <f>IFERROR(__xludf.DUMMYFUNCTION("GOOGLETRANSLATE(F10511,""id"",""en"")"),"Great Player Double Btw Balloon Era Wesley Sneijder Trebel and Bring Dutch quarter -finals Zesan berthrikan Argentina Champion really confusing how he judged for caliber he was really great he mbappe this young age")</f>
        <v>Great Player Double Btw Balloon Era Wesley Sneijder Trebel and Bring Dutch quarter -finals Zesan berthrikan Argentina Champion really confusing how he judged for caliber he was really great he mbappe this young age</v>
      </c>
    </row>
    <row r="10512" ht="15.75" customHeight="1">
      <c r="A10512" s="1">
        <v>11753.0</v>
      </c>
      <c r="B10512" s="3" t="s">
        <v>29928</v>
      </c>
      <c r="C10512" s="3">
        <v>0.0</v>
      </c>
      <c r="D10512" s="3">
        <v>1.0</v>
      </c>
      <c r="E10512" s="3">
        <v>1.0</v>
      </c>
      <c r="F10512" s="3" t="s">
        <v>29929</v>
      </c>
      <c r="G10512" s="3">
        <v>0.0</v>
      </c>
      <c r="H10512" s="3">
        <v>0.0</v>
      </c>
      <c r="I10512" s="3" t="s">
        <v>13</v>
      </c>
      <c r="J10512" s="3" t="s">
        <v>29930</v>
      </c>
      <c r="K10512" s="3" t="s">
        <v>41</v>
      </c>
      <c r="L10512" s="3" t="str">
        <f>IFERROR(__xludf.DUMMYFUNCTION("GOOGLETRANSLATE(F10512,""id"",""en"")"),"Unique Facts of the Argentine National Team Indicator Wins World Cup Champion")</f>
        <v>Unique Facts of the Argentine National Team Indicator Wins World Cup Champion</v>
      </c>
    </row>
    <row r="10513" ht="15.75" customHeight="1">
      <c r="A10513" s="1">
        <v>11754.0</v>
      </c>
      <c r="B10513" s="3" t="s">
        <v>29931</v>
      </c>
      <c r="C10513" s="3">
        <v>0.0</v>
      </c>
      <c r="D10513" s="3">
        <v>0.0</v>
      </c>
      <c r="E10513" s="3">
        <v>0.0</v>
      </c>
      <c r="F10513" s="3" t="s">
        <v>29932</v>
      </c>
      <c r="G10513" s="3">
        <v>0.0</v>
      </c>
      <c r="H10513" s="3">
        <v>0.0</v>
      </c>
      <c r="I10513" s="3" t="s">
        <v>13</v>
      </c>
      <c r="J10513" s="3" t="s">
        <v>29933</v>
      </c>
      <c r="K10513" s="3" t="s">
        <v>123</v>
      </c>
      <c r="L10513" s="3" t="str">
        <f>IFERROR(__xludf.DUMMYFUNCTION("GOOGLETRANSLATE(F10513,""id"",""en"")"),"Argentina returned home as the champion of the Qatar World Cup from all matches unable to beat Argentina except Saudi Arabia")</f>
        <v>Argentina returned home as the champion of the Qatar World Cup from all matches unable to beat Argentina except Saudi Arabia</v>
      </c>
    </row>
    <row r="10514" ht="15.75" customHeight="1">
      <c r="A10514" s="1">
        <v>11755.0</v>
      </c>
      <c r="B10514" s="3" t="s">
        <v>29934</v>
      </c>
      <c r="C10514" s="3">
        <v>0.0</v>
      </c>
      <c r="D10514" s="3">
        <v>0.0</v>
      </c>
      <c r="E10514" s="3">
        <v>0.0</v>
      </c>
      <c r="F10514" s="3" t="s">
        <v>20542</v>
      </c>
      <c r="G10514" s="3">
        <v>0.0</v>
      </c>
      <c r="H10514" s="3">
        <v>0.0</v>
      </c>
      <c r="I10514" s="3" t="s">
        <v>13</v>
      </c>
      <c r="J10514" s="3" t="s">
        <v>20543</v>
      </c>
      <c r="K10514" s="3" t="s">
        <v>2117</v>
      </c>
      <c r="L10514" s="3" t="str">
        <f>IFERROR(__xludf.DUMMYFUNCTION("GOOGLETRANSLATE(F10514,""id"",""en"")"),"Argentina World Champion")</f>
        <v>Argentina World Champion</v>
      </c>
    </row>
    <row r="10515" ht="15.75" customHeight="1">
      <c r="A10515" s="1">
        <v>11756.0</v>
      </c>
      <c r="B10515" s="3" t="s">
        <v>29935</v>
      </c>
      <c r="C10515" s="3">
        <v>0.0</v>
      </c>
      <c r="D10515" s="3">
        <v>0.0</v>
      </c>
      <c r="E10515" s="3">
        <v>1.0</v>
      </c>
      <c r="F10515" s="3" t="s">
        <v>29936</v>
      </c>
      <c r="G10515" s="3">
        <v>0.0</v>
      </c>
      <c r="H10515" s="3">
        <v>0.0</v>
      </c>
      <c r="I10515" s="3" t="s">
        <v>13</v>
      </c>
      <c r="J10515" s="3" t="s">
        <v>29937</v>
      </c>
      <c r="K10515" s="3" t="s">
        <v>31</v>
      </c>
      <c r="L10515" s="3" t="str">
        <f>IFERROR(__xludf.DUMMYFUNCTION("GOOGLETRANSLATE(F10515,""id"",""en"")"),"Argentina Champion Through God's Scenario")</f>
        <v>Argentina Champion Through God's Scenario</v>
      </c>
    </row>
    <row r="10516" ht="15.75" customHeight="1">
      <c r="A10516" s="1">
        <v>11757.0</v>
      </c>
      <c r="B10516" s="3" t="s">
        <v>29938</v>
      </c>
      <c r="C10516" s="3">
        <v>0.0</v>
      </c>
      <c r="D10516" s="3">
        <v>0.0</v>
      </c>
      <c r="E10516" s="3">
        <v>0.0</v>
      </c>
      <c r="F10516" s="3" t="s">
        <v>29939</v>
      </c>
      <c r="G10516" s="3">
        <v>0.0</v>
      </c>
      <c r="H10516" s="3">
        <v>0.0</v>
      </c>
      <c r="I10516" s="3" t="s">
        <v>13</v>
      </c>
      <c r="J10516" s="3" t="s">
        <v>29940</v>
      </c>
      <c r="K10516" s="3" t="s">
        <v>883</v>
      </c>
      <c r="L10516" s="3" t="str">
        <f>IFERROR(__xludf.DUMMYFUNCTION("GOOGLETRANSLATE(F10516,""id"",""en"")"),"Argentina teamplay is good even though there are some referees' decisions that are questionable Argentina deserves to be champions and Messi worthy of closing his career with the World Cup")</f>
        <v>Argentina teamplay is good even though there are some referees' decisions that are questionable Argentina deserves to be champions and Messi worthy of closing his career with the World Cup</v>
      </c>
    </row>
    <row r="10517" ht="15.75" customHeight="1">
      <c r="A10517" s="1">
        <v>11758.0</v>
      </c>
      <c r="B10517" s="3" t="s">
        <v>29941</v>
      </c>
      <c r="C10517" s="3">
        <v>0.0</v>
      </c>
      <c r="D10517" s="3">
        <v>0.0</v>
      </c>
      <c r="E10517" s="3">
        <v>0.0</v>
      </c>
      <c r="F10517" s="3" t="s">
        <v>25470</v>
      </c>
      <c r="G10517" s="3">
        <v>0.0</v>
      </c>
      <c r="H10517" s="3">
        <v>0.0</v>
      </c>
      <c r="I10517" s="3" t="s">
        <v>13</v>
      </c>
      <c r="J10517" s="3" t="s">
        <v>25471</v>
      </c>
      <c r="K10517" s="3" t="s">
        <v>510</v>
      </c>
      <c r="L10517" s="3" t="str">
        <f>IFERROR(__xludf.DUMMYFUNCTION("GOOGLETRANSLATE(F10517,""id"",""en"")"),"Amazing the hometown of Lionel Messi became a sea of ​​people after Argentina Champion World Cup")</f>
        <v>Amazing the hometown of Lionel Messi became a sea of ​​people after Argentina Champion World Cup</v>
      </c>
    </row>
    <row r="10518" ht="15.75" customHeight="1">
      <c r="A10518" s="1">
        <v>11759.0</v>
      </c>
      <c r="B10518" s="3" t="s">
        <v>29942</v>
      </c>
      <c r="C10518" s="3">
        <v>0.0</v>
      </c>
      <c r="D10518" s="3">
        <v>0.0</v>
      </c>
      <c r="E10518" s="3">
        <v>0.0</v>
      </c>
      <c r="F10518" s="3" t="s">
        <v>29943</v>
      </c>
      <c r="G10518" s="3">
        <v>0.3583333333333334</v>
      </c>
      <c r="H10518" s="3">
        <v>-0.1083333333333333</v>
      </c>
      <c r="I10518" s="3" t="s">
        <v>179</v>
      </c>
      <c r="J10518" s="3" t="s">
        <v>29944</v>
      </c>
      <c r="K10518" s="3" t="s">
        <v>1970</v>
      </c>
      <c r="L10518" s="3" t="str">
        <f>IFERROR(__xludf.DUMMYFUNCTION("GOOGLETRANSLATE(F10518,""id"",""en"")"),"Is the Game Football League Support Gamepad Oiya congratulations for Argentina who has become a world champion and Messi The Real Goat after watching the World Cup Monday Playing Games Again")</f>
        <v>Is the Game Football League Support Gamepad Oiya congratulations for Argentina who has become a world champion and Messi The Real Goat after watching the World Cup Monday Playing Games Again</v>
      </c>
    </row>
    <row r="10519" ht="15.75" customHeight="1">
      <c r="A10519" s="1">
        <v>11760.0</v>
      </c>
      <c r="B10519" s="3" t="s">
        <v>29945</v>
      </c>
      <c r="C10519" s="3">
        <v>0.0</v>
      </c>
      <c r="D10519" s="3">
        <v>0.0</v>
      </c>
      <c r="E10519" s="3">
        <v>5.0</v>
      </c>
      <c r="F10519" s="3" t="s">
        <v>29461</v>
      </c>
      <c r="G10519" s="3">
        <v>1.0</v>
      </c>
      <c r="H10519" s="3">
        <v>0.0</v>
      </c>
      <c r="I10519" s="3" t="s">
        <v>13</v>
      </c>
      <c r="J10519" s="3" t="s">
        <v>29462</v>
      </c>
      <c r="K10519" s="3" t="s">
        <v>184</v>
      </c>
      <c r="L10519" s="3" t="str">
        <f>IFERROR(__xludf.DUMMYFUNCTION("GOOGLETRANSLATE(F10519,""id"",""en"")"),"Argentina emerged as the World Cup champion after crushing France through the final penalty shootout of the Tango Team also ended the wait for the championship after the year")</f>
        <v>Argentina emerged as the World Cup champion after crushing France through the final penalty shootout of the Tango Team also ended the wait for the championship after the year</v>
      </c>
    </row>
    <row r="10520" ht="15.75" customHeight="1">
      <c r="A10520" s="1">
        <v>11761.0</v>
      </c>
      <c r="B10520" s="3" t="s">
        <v>29946</v>
      </c>
      <c r="C10520" s="3">
        <v>0.0</v>
      </c>
      <c r="D10520" s="3">
        <v>0.0</v>
      </c>
      <c r="E10520" s="3">
        <v>0.0</v>
      </c>
      <c r="F10520" s="3" t="s">
        <v>22241</v>
      </c>
      <c r="G10520" s="3">
        <v>0.0</v>
      </c>
      <c r="H10520" s="3">
        <v>0.0</v>
      </c>
      <c r="I10520" s="3" t="s">
        <v>13</v>
      </c>
      <c r="J10520" s="3" t="s">
        <v>16942</v>
      </c>
      <c r="K10520" s="3" t="s">
        <v>644</v>
      </c>
      <c r="L10520" s="3" t="str">
        <f>IFERROR(__xludf.DUMMYFUNCTION("GOOGLETRANSLATE(F10520,""id"",""en"")"),"Argentina Champion World Cup")</f>
        <v>Argentina Champion World Cup</v>
      </c>
    </row>
    <row r="10521" ht="15.75" customHeight="1">
      <c r="A10521" s="1">
        <v>11762.0</v>
      </c>
      <c r="B10521" s="3" t="s">
        <v>29947</v>
      </c>
      <c r="C10521" s="3">
        <v>0.0</v>
      </c>
      <c r="D10521" s="3">
        <v>0.0</v>
      </c>
      <c r="E10521" s="3">
        <v>0.0</v>
      </c>
      <c r="F10521" s="3" t="s">
        <v>29948</v>
      </c>
      <c r="G10521" s="3">
        <v>0.0</v>
      </c>
      <c r="H10521" s="3">
        <v>0.0</v>
      </c>
      <c r="I10521" s="3" t="s">
        <v>13</v>
      </c>
      <c r="J10521" s="3" t="s">
        <v>29949</v>
      </c>
      <c r="K10521" s="3" t="s">
        <v>54</v>
      </c>
      <c r="L10521" s="3" t="str">
        <f>IFERROR(__xludf.DUMMYFUNCTION("GOOGLETRANSLATE(F10521,""id"",""en"")"),"The one who champions Argentina is noisy")</f>
        <v>The one who champions Argentina is noisy</v>
      </c>
    </row>
    <row r="10522" ht="15.75" customHeight="1">
      <c r="A10522" s="1">
        <v>11763.0</v>
      </c>
      <c r="B10522" s="3" t="s">
        <v>29950</v>
      </c>
      <c r="C10522" s="3">
        <v>0.0</v>
      </c>
      <c r="D10522" s="3">
        <v>0.0</v>
      </c>
      <c r="E10522" s="3">
        <v>0.0</v>
      </c>
      <c r="F10522" s="3" t="s">
        <v>29951</v>
      </c>
      <c r="G10522" s="3">
        <v>0.0</v>
      </c>
      <c r="H10522" s="3">
        <v>0.0</v>
      </c>
      <c r="I10522" s="3" t="s">
        <v>13</v>
      </c>
      <c r="J10522" s="3" t="s">
        <v>29952</v>
      </c>
      <c r="K10522" s="3" t="s">
        <v>899</v>
      </c>
      <c r="L10522" s="3" t="str">
        <f>IFERROR(__xludf.DUMMYFUNCTION("GOOGLETRANSLATE(F10522,""id"",""en"")"),"Win the World Cup Lionel Messi does not want to retire from Argentine national team Amanda Amelia Argentina national team managed to embrace the title of World Cup champion after overcoming the resistance")</f>
        <v>Win the World Cup Lionel Messi does not want to retire from Argentine national team Amanda Amelia Argentina national team managed to embrace the title of World Cup champion after overcoming the resistance</v>
      </c>
    </row>
    <row r="10523" ht="15.75" customHeight="1">
      <c r="A10523" s="1">
        <v>11764.0</v>
      </c>
      <c r="B10523" s="3" t="s">
        <v>29953</v>
      </c>
      <c r="C10523" s="3">
        <v>0.0</v>
      </c>
      <c r="D10523" s="3">
        <v>0.0</v>
      </c>
      <c r="E10523" s="3">
        <v>0.0</v>
      </c>
      <c r="F10523" s="3" t="s">
        <v>29954</v>
      </c>
      <c r="G10523" s="3">
        <v>0.0</v>
      </c>
      <c r="H10523" s="3">
        <v>0.0</v>
      </c>
      <c r="I10523" s="3" t="s">
        <v>13</v>
      </c>
      <c r="J10523" s="3" t="s">
        <v>29955</v>
      </c>
      <c r="K10523" s="3" t="s">
        <v>437</v>
      </c>
      <c r="L10523" s="3" t="str">
        <f>IFERROR(__xludf.DUMMYFUNCTION("GOOGLETRANSLATE(F10523,""id"",""en"")"),"which is certainly Argentina Saudi Arabia champions are proud because as one team is able to defeat the world world maestro")</f>
        <v>which is certainly Argentina Saudi Arabia champions are proud because as one team is able to defeat the world world maestro</v>
      </c>
    </row>
    <row r="10524" ht="15.75" customHeight="1">
      <c r="A10524" s="1">
        <v>11765.0</v>
      </c>
      <c r="B10524" s="3" t="s">
        <v>29956</v>
      </c>
      <c r="C10524" s="3">
        <v>0.0</v>
      </c>
      <c r="D10524" s="3">
        <v>0.0</v>
      </c>
      <c r="E10524" s="3">
        <v>0.0</v>
      </c>
      <c r="F10524" s="3" t="s">
        <v>29957</v>
      </c>
      <c r="G10524" s="3">
        <v>0.0</v>
      </c>
      <c r="H10524" s="3">
        <v>0.0</v>
      </c>
      <c r="I10524" s="3" t="s">
        <v>13</v>
      </c>
      <c r="J10524" s="3" t="s">
        <v>29958</v>
      </c>
      <c r="K10524" s="3" t="s">
        <v>1345</v>
      </c>
      <c r="L10524" s="3" t="str">
        <f>IFERROR(__xludf.DUMMYFUNCTION("GOOGLETRANSLATE(F10524,""id"",""en"")"),"happiness doesn't have to have a lot of money to support Argentina until the champion is so there is a lot of money")</f>
        <v>happiness doesn't have to have a lot of money to support Argentina until the champion is so there is a lot of money</v>
      </c>
    </row>
    <row r="10525" ht="15.75" customHeight="1">
      <c r="A10525" s="1">
        <v>11766.0</v>
      </c>
      <c r="B10525" s="3" t="s">
        <v>29959</v>
      </c>
      <c r="C10525" s="3">
        <v>0.0</v>
      </c>
      <c r="D10525" s="3">
        <v>0.0</v>
      </c>
      <c r="E10525" s="3">
        <v>1.0</v>
      </c>
      <c r="F10525" s="3" t="s">
        <v>29960</v>
      </c>
      <c r="G10525" s="3">
        <v>1.0</v>
      </c>
      <c r="H10525" s="3">
        <v>0.0</v>
      </c>
      <c r="I10525" s="3" t="s">
        <v>13</v>
      </c>
      <c r="J10525" s="3" t="s">
        <v>29961</v>
      </c>
      <c r="K10525" s="3" t="s">
        <v>1045</v>
      </c>
      <c r="L10525" s="3" t="str">
        <f>IFERROR(__xludf.DUMMYFUNCTION("GOOGLETRANSLATE(F10525,""id"",""en"")"),"The World Cup Final has officially ended and Argentina came out as Kylian Mbappe champions managed to record a row of crazy records in the World Cup final despite failing to bring France to win the title")</f>
        <v>The World Cup Final has officially ended and Argentina came out as Kylian Mbappe champions managed to record a row of crazy records in the World Cup final despite failing to bring France to win the title</v>
      </c>
    </row>
    <row r="10526" ht="15.75" customHeight="1">
      <c r="A10526" s="1">
        <v>11767.0</v>
      </c>
      <c r="B10526" s="3" t="s">
        <v>29962</v>
      </c>
      <c r="C10526" s="3">
        <v>0.0</v>
      </c>
      <c r="D10526" s="3">
        <v>0.0</v>
      </c>
      <c r="E10526" s="3">
        <v>0.0</v>
      </c>
      <c r="F10526" s="3" t="s">
        <v>29960</v>
      </c>
      <c r="G10526" s="3">
        <v>1.0</v>
      </c>
      <c r="H10526" s="3">
        <v>0.0</v>
      </c>
      <c r="I10526" s="3" t="s">
        <v>13</v>
      </c>
      <c r="J10526" s="3" t="s">
        <v>29961</v>
      </c>
      <c r="K10526" s="3" t="s">
        <v>1045</v>
      </c>
      <c r="L10526" s="3" t="str">
        <f>IFERROR(__xludf.DUMMYFUNCTION("GOOGLETRANSLATE(F10526,""id"",""en"")"),"The World Cup Final has officially ended and Argentina came out as Kylian Mbappe champions managed to record a row of crazy records in the World Cup final despite failing to bring France to win the title")</f>
        <v>The World Cup Final has officially ended and Argentina came out as Kylian Mbappe champions managed to record a row of crazy records in the World Cup final despite failing to bring France to win the title</v>
      </c>
    </row>
    <row r="10527" ht="15.75" customHeight="1">
      <c r="A10527" s="1">
        <v>11768.0</v>
      </c>
      <c r="B10527" s="3" t="s">
        <v>29963</v>
      </c>
      <c r="C10527" s="3">
        <v>1.0</v>
      </c>
      <c r="D10527" s="3">
        <v>0.0</v>
      </c>
      <c r="E10527" s="3">
        <v>0.0</v>
      </c>
      <c r="F10527" s="3" t="s">
        <v>29964</v>
      </c>
      <c r="G10527" s="3">
        <v>0.55</v>
      </c>
      <c r="H10527" s="3">
        <v>0.35</v>
      </c>
      <c r="I10527" s="3" t="s">
        <v>48</v>
      </c>
      <c r="J10527" s="3" t="s">
        <v>29965</v>
      </c>
      <c r="K10527" s="3" t="s">
        <v>41</v>
      </c>
      <c r="L10527" s="3" t="str">
        <f>IFERROR(__xludf.DUMMYFUNCTION("GOOGLETRANSLATE(F10527,""id"",""en"")"),"Starting the day with a smile of Dong Scroll Timeline Full about Argentina Champion")</f>
        <v>Starting the day with a smile of Dong Scroll Timeline Full about Argentina Champion</v>
      </c>
    </row>
    <row r="10528" ht="15.75" customHeight="1">
      <c r="A10528" s="1">
        <v>11769.0</v>
      </c>
      <c r="B10528" s="3" t="s">
        <v>29966</v>
      </c>
      <c r="C10528" s="3">
        <v>1.0</v>
      </c>
      <c r="D10528" s="3">
        <v>0.0</v>
      </c>
      <c r="E10528" s="3">
        <v>4.0</v>
      </c>
      <c r="F10528" s="3" t="s">
        <v>29967</v>
      </c>
      <c r="G10528" s="3">
        <v>0.0</v>
      </c>
      <c r="H10528" s="3">
        <v>0.0</v>
      </c>
      <c r="I10528" s="3" t="s">
        <v>13</v>
      </c>
      <c r="J10528" s="3" t="s">
        <v>29968</v>
      </c>
      <c r="K10528" s="3" t="s">
        <v>244</v>
      </c>
      <c r="L10528" s="3" t="str">
        <f>IFERROR(__xludf.DUMMYFUNCTION("GOOGLETRANSLATE(F10528,""id"",""en"")"),"Argentina The World Cup Champion President Fernandez is busy starting the tweet of world leaders")</f>
        <v>Argentina The World Cup Champion President Fernandez is busy starting the tweet of world leaders</v>
      </c>
    </row>
    <row r="10529" ht="15.75" customHeight="1">
      <c r="A10529" s="1">
        <v>11770.0</v>
      </c>
      <c r="B10529" s="3" t="s">
        <v>29969</v>
      </c>
      <c r="C10529" s="3">
        <v>0.0</v>
      </c>
      <c r="D10529" s="3">
        <v>0.0</v>
      </c>
      <c r="E10529" s="3">
        <v>0.0</v>
      </c>
      <c r="F10529" s="3" t="s">
        <v>29970</v>
      </c>
      <c r="G10529" s="3">
        <v>0.0</v>
      </c>
      <c r="H10529" s="3">
        <v>0.0</v>
      </c>
      <c r="I10529" s="3" t="s">
        <v>13</v>
      </c>
      <c r="J10529" s="3" t="s">
        <v>29971</v>
      </c>
      <c r="K10529" s="3" t="s">
        <v>71</v>
      </c>
      <c r="L10529" s="3" t="str">
        <f>IFERROR(__xludf.DUMMYFUNCTION("GOOGLETRANSLATE(F10529,""id"",""en"")"),"Poor Messi after champion Pilduun with Argentina when returning PSG will be a session of BOS MBAPE High School")</f>
        <v>Poor Messi after champion Pilduun with Argentina when returning PSG will be a session of BOS MBAPE High School</v>
      </c>
    </row>
    <row r="10530" ht="15.75" customHeight="1">
      <c r="A10530" s="1">
        <v>11771.0</v>
      </c>
      <c r="B10530" s="3" t="s">
        <v>29972</v>
      </c>
      <c r="C10530" s="3">
        <v>0.0</v>
      </c>
      <c r="D10530" s="3">
        <v>0.0</v>
      </c>
      <c r="E10530" s="3">
        <v>0.0</v>
      </c>
      <c r="F10530" s="3" t="s">
        <v>29973</v>
      </c>
      <c r="G10530" s="3">
        <v>0.0</v>
      </c>
      <c r="H10530" s="3">
        <v>0.0</v>
      </c>
      <c r="I10530" s="3" t="s">
        <v>13</v>
      </c>
      <c r="J10530" s="3" t="s">
        <v>29974</v>
      </c>
      <c r="K10530" s="3" t="s">
        <v>3612</v>
      </c>
      <c r="L10530" s="3" t="str">
        <f>IFERROR(__xludf.DUMMYFUNCTION("GOOGLETRANSLATE(F10530,""id"",""en"")"),"The champion last year Messi was over the old month maybe last year when Argentina champion Messi was in the womb or maybe just wanted to be made")</f>
        <v>The champion last year Messi was over the old month maybe last year when Argentina champion Messi was in the womb or maybe just wanted to be made</v>
      </c>
    </row>
    <row r="10531" ht="15.75" customHeight="1">
      <c r="A10531" s="1">
        <v>11772.0</v>
      </c>
      <c r="B10531" s="3" t="s">
        <v>29975</v>
      </c>
      <c r="C10531" s="3">
        <v>0.0</v>
      </c>
      <c r="D10531" s="3">
        <v>0.0</v>
      </c>
      <c r="E10531" s="3">
        <v>0.0</v>
      </c>
      <c r="F10531" s="3" t="s">
        <v>29976</v>
      </c>
      <c r="G10531" s="3">
        <v>1.0</v>
      </c>
      <c r="H10531" s="3">
        <v>0.1</v>
      </c>
      <c r="I10531" s="3" t="s">
        <v>48</v>
      </c>
      <c r="J10531" s="3" t="s">
        <v>29977</v>
      </c>
      <c r="K10531" s="3" t="s">
        <v>75</v>
      </c>
      <c r="L10531" s="3" t="str">
        <f>IFERROR(__xludf.DUMMYFUNCTION("GOOGLETRANSLATE(F10531,""id"",""en"")"),"Wow Rapper Drake Betting USD Million For Argentina World Cup Champion")</f>
        <v>Wow Rapper Drake Betting USD Million For Argentina World Cup Champion</v>
      </c>
    </row>
    <row r="10532" ht="15.75" customHeight="1">
      <c r="A10532" s="1">
        <v>11773.0</v>
      </c>
      <c r="B10532" s="3" t="s">
        <v>29978</v>
      </c>
      <c r="C10532" s="3">
        <v>0.0</v>
      </c>
      <c r="D10532" s="3">
        <v>0.0</v>
      </c>
      <c r="E10532" s="3">
        <v>0.0</v>
      </c>
      <c r="F10532" s="3" t="s">
        <v>29979</v>
      </c>
      <c r="G10532" s="3">
        <v>0.75</v>
      </c>
      <c r="H10532" s="3">
        <v>-0.25</v>
      </c>
      <c r="I10532" s="3" t="s">
        <v>179</v>
      </c>
      <c r="J10532" s="3" t="s">
        <v>29980</v>
      </c>
      <c r="K10532" s="3" t="s">
        <v>883</v>
      </c>
      <c r="L10532" s="3" t="str">
        <f>IFERROR(__xludf.DUMMYFUNCTION("GOOGLETRANSLATE(F10532,""id"",""en"")"),"yes sir but bodo really wants to be helped by FIFA Kek Alien Kek Bodo very dead there you are stupid as Argentina champion Oki Rengga")</f>
        <v>yes sir but bodo really wants to be helped by FIFA Kek Alien Kek Bodo very dead there you are stupid as Argentina champion Oki Rengga</v>
      </c>
    </row>
    <row r="10533" ht="15.75" customHeight="1">
      <c r="A10533" s="1">
        <v>11774.0</v>
      </c>
      <c r="B10533" s="3" t="s">
        <v>29981</v>
      </c>
      <c r="C10533" s="3">
        <v>0.0</v>
      </c>
      <c r="D10533" s="3">
        <v>0.0</v>
      </c>
      <c r="E10533" s="3">
        <v>2.0</v>
      </c>
      <c r="F10533" s="3" t="s">
        <v>29982</v>
      </c>
      <c r="G10533" s="3">
        <v>0.4166666666666666</v>
      </c>
      <c r="H10533" s="3">
        <v>0.3333333333333333</v>
      </c>
      <c r="I10533" s="3" t="s">
        <v>48</v>
      </c>
      <c r="J10533" s="3" t="s">
        <v>29983</v>
      </c>
      <c r="K10533" s="3" t="s">
        <v>456</v>
      </c>
      <c r="L10533" s="3" t="str">
        <f>IFERROR(__xludf.DUMMYFUNCTION("GOOGLETRANSLATE(F10533,""id"",""en"")"),"As the Pele era after the maradona era the two countries the players are known to play the world's top league from the back row to the front, it must always be awaited when the world champion again for Argentina is quite long waiting, finally Jurdun again"&amp;" in the Messi Era Congratulations")</f>
        <v>As the Pele era after the maradona era the two countries the players are known to play the world's top league from the back row to the front, it must always be awaited when the world champion again for Argentina is quite long waiting, finally Jurdun again in the Messi Era Congratulations</v>
      </c>
    </row>
    <row r="10534" ht="15.75" customHeight="1">
      <c r="A10534" s="1">
        <v>11775.0</v>
      </c>
      <c r="B10534" s="3" t="s">
        <v>29984</v>
      </c>
      <c r="C10534" s="3">
        <v>0.0</v>
      </c>
      <c r="D10534" s="3">
        <v>0.0</v>
      </c>
      <c r="E10534" s="3">
        <v>0.0</v>
      </c>
      <c r="F10534" s="3" t="s">
        <v>29985</v>
      </c>
      <c r="G10534" s="3">
        <v>0.0</v>
      </c>
      <c r="H10534" s="3">
        <v>0.0</v>
      </c>
      <c r="I10534" s="3" t="s">
        <v>13</v>
      </c>
      <c r="J10534" s="3" t="s">
        <v>29986</v>
      </c>
      <c r="K10534" s="3" t="s">
        <v>54</v>
      </c>
      <c r="L10534" s="3" t="str">
        <f>IFERROR(__xludf.DUMMYFUNCTION("GOOGLETRANSLATE(F10534,""id"",""en"")"),"Argentina Kereeeen Anyway, you wonder the champions")</f>
        <v>Argentina Kereeeen Anyway, you wonder the champions</v>
      </c>
    </row>
    <row r="10535" ht="15.75" customHeight="1">
      <c r="A10535" s="1">
        <v>11776.0</v>
      </c>
      <c r="B10535" s="3" t="s">
        <v>29987</v>
      </c>
      <c r="C10535" s="3">
        <v>0.0</v>
      </c>
      <c r="D10535" s="3">
        <v>0.0</v>
      </c>
      <c r="E10535" s="3">
        <v>1.0</v>
      </c>
      <c r="F10535" s="3" t="s">
        <v>29988</v>
      </c>
      <c r="G10535" s="3">
        <v>0.0</v>
      </c>
      <c r="H10535" s="3">
        <v>0.0</v>
      </c>
      <c r="I10535" s="3" t="s">
        <v>13</v>
      </c>
      <c r="J10535" s="3" t="s">
        <v>29989</v>
      </c>
      <c r="K10535" s="3" t="s">
        <v>50</v>
      </c>
      <c r="L10535" s="3" t="str">
        <f>IFERROR(__xludf.DUMMYFUNCTION("GOOGLETRANSLATE(F10535,""id"",""en"")"),"But he deliberately entered because the team believed he would succeed in kicking Pinalty and brought Argentina champions")</f>
        <v>But he deliberately entered because the team believed he would succeed in kicking Pinalty and brought Argentina champions</v>
      </c>
    </row>
    <row r="10536" ht="15.75" customHeight="1">
      <c r="A10536" s="1">
        <v>11777.0</v>
      </c>
      <c r="B10536" s="3" t="s">
        <v>29990</v>
      </c>
      <c r="C10536" s="3">
        <v>0.0</v>
      </c>
      <c r="D10536" s="3">
        <v>0.0</v>
      </c>
      <c r="E10536" s="3">
        <v>0.0</v>
      </c>
      <c r="F10536" s="3" t="s">
        <v>29991</v>
      </c>
      <c r="G10536" s="3">
        <v>0.0</v>
      </c>
      <c r="H10536" s="3">
        <v>0.0</v>
      </c>
      <c r="I10536" s="3" t="s">
        <v>13</v>
      </c>
      <c r="J10536" s="3" t="s">
        <v>29992</v>
      </c>
      <c r="K10536" s="3" t="s">
        <v>1335</v>
      </c>
      <c r="L10536" s="3" t="str">
        <f>IFERROR(__xludf.DUMMYFUNCTION("GOOGLETRANSLATE(F10536,""id"",""en"")"),"because of Argentina the championship is a late AJG")</f>
        <v>because of Argentina the championship is a late AJG</v>
      </c>
    </row>
    <row r="10537" ht="15.75" customHeight="1">
      <c r="A10537" s="1">
        <v>11778.0</v>
      </c>
      <c r="B10537" s="3" t="s">
        <v>29993</v>
      </c>
      <c r="C10537" s="3">
        <v>4.0</v>
      </c>
      <c r="D10537" s="3">
        <v>0.0</v>
      </c>
      <c r="E10537" s="3">
        <v>3.0</v>
      </c>
      <c r="F10537" s="3" t="s">
        <v>29994</v>
      </c>
      <c r="G10537" s="3">
        <v>0.3333333333333333</v>
      </c>
      <c r="H10537" s="3">
        <v>0.1666666666666667</v>
      </c>
      <c r="I10537" s="3" t="s">
        <v>48</v>
      </c>
      <c r="J10537" s="3" t="s">
        <v>29995</v>
      </c>
      <c r="K10537" s="3" t="s">
        <v>633</v>
      </c>
      <c r="L10537" s="3" t="str">
        <f>IFERROR(__xludf.DUMMYFUNCTION("GOOGLETRANSLATE(F10537,""id"",""en"")"),"Argentine in the stars all played well using the systems and skills of the players but the champion now the impression of grasak grusuk but compact to cover each other finally champions")</f>
        <v>Argentine in the stars all played well using the systems and skills of the players but the champion now the impression of grasak grusuk but compact to cover each other finally champions</v>
      </c>
    </row>
    <row r="10538" ht="15.75" customHeight="1">
      <c r="A10538" s="1">
        <v>11779.0</v>
      </c>
      <c r="B10538" s="3" t="s">
        <v>29996</v>
      </c>
      <c r="C10538" s="3">
        <v>0.0</v>
      </c>
      <c r="D10538" s="3">
        <v>0.0</v>
      </c>
      <c r="E10538" s="3">
        <v>3.0</v>
      </c>
      <c r="F10538" s="3" t="s">
        <v>29997</v>
      </c>
      <c r="G10538" s="3">
        <v>0.0</v>
      </c>
      <c r="H10538" s="3">
        <v>0.0</v>
      </c>
      <c r="I10538" s="3" t="s">
        <v>13</v>
      </c>
      <c r="J10538" s="3" t="s">
        <v>29998</v>
      </c>
      <c r="K10538" s="3" t="s">
        <v>82</v>
      </c>
      <c r="L10538" s="3" t="str">
        <f>IFERROR(__xludf.DUMMYFUNCTION("GOOGLETRANSLATE(F10538,""id"",""en"")"),"Argentina World Champion thanks to the prayers")</f>
        <v>Argentina World Champion thanks to the prayers</v>
      </c>
    </row>
    <row r="10539" ht="15.75" customHeight="1">
      <c r="A10539" s="1">
        <v>11780.0</v>
      </c>
      <c r="B10539" s="3" t="s">
        <v>29999</v>
      </c>
      <c r="C10539" s="3">
        <v>0.0</v>
      </c>
      <c r="D10539" s="3">
        <v>0.0</v>
      </c>
      <c r="E10539" s="3">
        <v>0.0</v>
      </c>
      <c r="F10539" s="3" t="s">
        <v>30000</v>
      </c>
      <c r="G10539" s="3">
        <v>0.0</v>
      </c>
      <c r="H10539" s="3">
        <v>0.0</v>
      </c>
      <c r="I10539" s="3" t="s">
        <v>13</v>
      </c>
      <c r="J10539" s="3" t="s">
        <v>30001</v>
      </c>
      <c r="K10539" s="3" t="s">
        <v>75</v>
      </c>
      <c r="L10539" s="3" t="str">
        <f>IFERROR(__xludf.DUMMYFUNCTION("GOOGLETRANSLATE(F10539,""id"",""en"")"),"Although Argentina at the beginning lost to Saudi Arabia finally champions too Bravoo")</f>
        <v>Although Argentina at the beginning lost to Saudi Arabia finally champions too Bravoo</v>
      </c>
    </row>
    <row r="10540" ht="15.75" customHeight="1">
      <c r="A10540" s="1">
        <v>11781.0</v>
      </c>
      <c r="B10540" s="3" t="s">
        <v>30002</v>
      </c>
      <c r="C10540" s="3">
        <v>0.0</v>
      </c>
      <c r="D10540" s="3">
        <v>0.0</v>
      </c>
      <c r="E10540" s="3">
        <v>0.0</v>
      </c>
      <c r="F10540" s="3" t="s">
        <v>30003</v>
      </c>
      <c r="G10540" s="3">
        <v>0.0</v>
      </c>
      <c r="H10540" s="3">
        <v>0.0</v>
      </c>
      <c r="I10540" s="3" t="s">
        <v>13</v>
      </c>
      <c r="J10540" s="3" t="s">
        <v>30004</v>
      </c>
      <c r="K10540" s="3" t="s">
        <v>31</v>
      </c>
      <c r="L10540" s="3" t="str">
        <f>IFERROR(__xludf.DUMMYFUNCTION("GOOGLETRANSLATE(F10540,""id"",""en"")"),"CBUM Wins Olympia Argentina Champion")</f>
        <v>CBUM Wins Olympia Argentina Champion</v>
      </c>
    </row>
    <row r="10541" ht="15.75" customHeight="1">
      <c r="A10541" s="1">
        <v>11782.0</v>
      </c>
      <c r="B10541" s="3" t="s">
        <v>30005</v>
      </c>
      <c r="C10541" s="3">
        <v>0.0</v>
      </c>
      <c r="D10541" s="3">
        <v>0.0</v>
      </c>
      <c r="E10541" s="3">
        <v>0.0</v>
      </c>
      <c r="F10541" s="3" t="s">
        <v>30006</v>
      </c>
      <c r="G10541" s="3">
        <v>0.0</v>
      </c>
      <c r="H10541" s="3">
        <v>0.0</v>
      </c>
      <c r="I10541" s="3" t="s">
        <v>13</v>
      </c>
      <c r="J10541" s="3" t="s">
        <v>30007</v>
      </c>
      <c r="K10541" s="3" t="s">
        <v>75</v>
      </c>
      <c r="L10541" s="3" t="str">
        <f>IFERROR(__xludf.DUMMYFUNCTION("GOOGLETRANSLATE(F10541,""id"",""en"")"),"If Argentina has champions, I think the Pemaen can get PSTORE and GLOW")</f>
        <v>If Argentina has champions, I think the Pemaen can get PSTORE and GLOW</v>
      </c>
    </row>
    <row r="10542" ht="15.75" customHeight="1">
      <c r="A10542" s="1">
        <v>11783.0</v>
      </c>
      <c r="B10542" s="3" t="s">
        <v>30008</v>
      </c>
      <c r="C10542" s="3">
        <v>0.0</v>
      </c>
      <c r="D10542" s="3">
        <v>6.0</v>
      </c>
      <c r="E10542" s="3">
        <v>19.0</v>
      </c>
      <c r="F10542" s="3" t="s">
        <v>30009</v>
      </c>
      <c r="G10542" s="3">
        <v>0.0</v>
      </c>
      <c r="H10542" s="3">
        <v>0.0</v>
      </c>
      <c r="I10542" s="3" t="s">
        <v>13</v>
      </c>
      <c r="J10542" s="3" t="s">
        <v>30010</v>
      </c>
      <c r="K10542" s="3" t="s">
        <v>1061</v>
      </c>
      <c r="L10542" s="3" t="str">
        <f>IFERROR(__xludf.DUMMYFUNCTION("GOOGLETRANSLATE(F10542,""id"",""en"")"),"Argentine national team arrival schedule Landing Pistarini Arak Arakan Airport along Jalan Buenos Aires lunch with Argentine President the appointment of Messi et al became a civil servant after world champion")</f>
        <v>Argentine national team arrival schedule Landing Pistarini Arak Arakan Airport along Jalan Buenos Aires lunch with Argentine President the appointment of Messi et al became a civil servant after world champion</v>
      </c>
    </row>
    <row r="10543" ht="15.75" customHeight="1">
      <c r="A10543" s="1">
        <v>11784.0</v>
      </c>
      <c r="B10543" s="3" t="s">
        <v>30011</v>
      </c>
      <c r="C10543" s="3">
        <v>0.0</v>
      </c>
      <c r="D10543" s="3">
        <v>0.0</v>
      </c>
      <c r="E10543" s="3">
        <v>0.0</v>
      </c>
      <c r="F10543" s="3" t="s">
        <v>30012</v>
      </c>
      <c r="G10543" s="3">
        <v>0.0</v>
      </c>
      <c r="H10543" s="3">
        <v>0.0</v>
      </c>
      <c r="I10543" s="3" t="s">
        <v>13</v>
      </c>
      <c r="J10543" s="3" t="s">
        <v>30013</v>
      </c>
      <c r="K10543" s="3" t="s">
        <v>50</v>
      </c>
      <c r="L10543" s="3" t="str">
        <f>IFERROR(__xludf.DUMMYFUNCTION("GOOGLETRANSLATE(F10543,""id"",""en"")"),"After Argentina, the World Cup Champion in the city of Messi became a sea of ​​people")</f>
        <v>After Argentina, the World Cup Champion in the city of Messi became a sea of ​​people</v>
      </c>
    </row>
    <row r="10544" ht="15.75" customHeight="1">
      <c r="A10544" s="1">
        <v>11785.0</v>
      </c>
      <c r="B10544" s="3" t="s">
        <v>30014</v>
      </c>
      <c r="C10544" s="3">
        <v>0.0</v>
      </c>
      <c r="D10544" s="3">
        <v>0.0</v>
      </c>
      <c r="E10544" s="3">
        <v>0.0</v>
      </c>
      <c r="F10544" s="3" t="s">
        <v>30012</v>
      </c>
      <c r="G10544" s="3">
        <v>0.0</v>
      </c>
      <c r="H10544" s="3">
        <v>0.0</v>
      </c>
      <c r="I10544" s="3" t="s">
        <v>13</v>
      </c>
      <c r="J10544" s="3" t="s">
        <v>30013</v>
      </c>
      <c r="K10544" s="3" t="s">
        <v>50</v>
      </c>
      <c r="L10544" s="3" t="str">
        <f>IFERROR(__xludf.DUMMYFUNCTION("GOOGLETRANSLATE(F10544,""id"",""en"")"),"After Argentina, the World Cup Champion in the city of Messi became a sea of ​​people")</f>
        <v>After Argentina, the World Cup Champion in the city of Messi became a sea of ​​people</v>
      </c>
    </row>
    <row r="10545" ht="15.75" customHeight="1">
      <c r="A10545" s="1">
        <v>11786.0</v>
      </c>
      <c r="B10545" s="3" t="s">
        <v>30015</v>
      </c>
      <c r="C10545" s="3">
        <v>0.0</v>
      </c>
      <c r="D10545" s="3">
        <v>0.0</v>
      </c>
      <c r="E10545" s="3">
        <v>0.0</v>
      </c>
      <c r="F10545" s="3" t="s">
        <v>30016</v>
      </c>
      <c r="G10545" s="3">
        <v>1.0</v>
      </c>
      <c r="H10545" s="3">
        <v>0.0</v>
      </c>
      <c r="I10545" s="3" t="s">
        <v>13</v>
      </c>
      <c r="J10545" s="3" t="s">
        <v>30017</v>
      </c>
      <c r="K10545" s="3" t="s">
        <v>184</v>
      </c>
      <c r="L10545" s="3" t="str">
        <f>IFERROR(__xludf.DUMMYFUNCTION("GOOGLETRANSLATE(F10545,""id"",""en"")"),"Bravo Messi Day won the world title through penalties along with interesting facts of the World Cup Argentina")</f>
        <v>Bravo Messi Day won the world title through penalties along with interesting facts of the World Cup Argentina</v>
      </c>
    </row>
    <row r="10546" ht="15.75" customHeight="1">
      <c r="A10546" s="1">
        <v>11787.0</v>
      </c>
      <c r="B10546" s="3" t="s">
        <v>30018</v>
      </c>
      <c r="C10546" s="3">
        <v>0.0</v>
      </c>
      <c r="D10546" s="3">
        <v>0.0</v>
      </c>
      <c r="E10546" s="3">
        <v>0.0</v>
      </c>
      <c r="F10546" s="3" t="s">
        <v>30019</v>
      </c>
      <c r="G10546" s="3">
        <v>0.0</v>
      </c>
      <c r="H10546" s="3">
        <v>0.0</v>
      </c>
      <c r="I10546" s="3" t="s">
        <v>13</v>
      </c>
      <c r="J10546" s="3" t="s">
        <v>30020</v>
      </c>
      <c r="K10546" s="3" t="s">
        <v>614</v>
      </c>
      <c r="L10546" s="3" t="str">
        <f>IFERROR(__xludf.DUMMYFUNCTION("GOOGLETRANSLATE(F10546,""id"",""en"")"),"Besides Argentina won the World Cup two Mediocre English League teams, they recorded a great record of the two teams were Aston Villa and Brighton and Hove Albion")</f>
        <v>Besides Argentina won the World Cup two Mediocre English League teams, they recorded a great record of the two teams were Aston Villa and Brighton and Hove Albion</v>
      </c>
    </row>
    <row r="10547" ht="15.75" customHeight="1">
      <c r="A10547" s="1">
        <v>11788.0</v>
      </c>
      <c r="B10547" s="3" t="s">
        <v>30021</v>
      </c>
      <c r="C10547" s="3">
        <v>0.0</v>
      </c>
      <c r="D10547" s="3">
        <v>0.0</v>
      </c>
      <c r="E10547" s="3">
        <v>1.0</v>
      </c>
      <c r="F10547" s="3" t="s">
        <v>30019</v>
      </c>
      <c r="G10547" s="3">
        <v>0.0</v>
      </c>
      <c r="H10547" s="3">
        <v>0.0</v>
      </c>
      <c r="I10547" s="3" t="s">
        <v>13</v>
      </c>
      <c r="J10547" s="3" t="s">
        <v>30020</v>
      </c>
      <c r="K10547" s="3" t="s">
        <v>614</v>
      </c>
      <c r="L10547" s="3" t="str">
        <f>IFERROR(__xludf.DUMMYFUNCTION("GOOGLETRANSLATE(F10547,""id"",""en"")"),"Besides Argentina won the World Cup two Mediocre English League teams, they recorded a great record of the two teams were Aston Villa and Brighton and Hove Albion")</f>
        <v>Besides Argentina won the World Cup two Mediocre English League teams, they recorded a great record of the two teams were Aston Villa and Brighton and Hove Albion</v>
      </c>
    </row>
    <row r="10548" ht="15.75" customHeight="1">
      <c r="A10548" s="1">
        <v>11789.0</v>
      </c>
      <c r="B10548" s="3" t="s">
        <v>30022</v>
      </c>
      <c r="C10548" s="3">
        <v>0.0</v>
      </c>
      <c r="D10548" s="3">
        <v>0.0</v>
      </c>
      <c r="E10548" s="3">
        <v>0.0</v>
      </c>
      <c r="F10548" s="3" t="s">
        <v>30023</v>
      </c>
      <c r="G10548" s="3">
        <v>1.0</v>
      </c>
      <c r="H10548" s="3">
        <v>0.0</v>
      </c>
      <c r="I10548" s="3" t="s">
        <v>13</v>
      </c>
      <c r="J10548" s="3" t="s">
        <v>30024</v>
      </c>
      <c r="K10548" s="3" t="s">
        <v>699</v>
      </c>
      <c r="L10548" s="3" t="str">
        <f>IFERROR(__xludf.DUMMYFUNCTION("GOOGLETRANSLATE(F10548,""id"",""en"")"),"The French French struggle for the World Cup to be thumbs up but not bearing sweet fruit because they have to give up the Argentine World Cup title")</f>
        <v>The French French struggle for the World Cup to be thumbs up but not bearing sweet fruit because they have to give up the Argentine World Cup title</v>
      </c>
    </row>
    <row r="10549" ht="15.75" customHeight="1">
      <c r="A10549" s="1">
        <v>11790.0</v>
      </c>
      <c r="B10549" s="3" t="s">
        <v>30025</v>
      </c>
      <c r="C10549" s="3">
        <v>1.0</v>
      </c>
      <c r="D10549" s="3">
        <v>0.0</v>
      </c>
      <c r="E10549" s="3">
        <v>1.0</v>
      </c>
      <c r="F10549" s="3" t="s">
        <v>30026</v>
      </c>
      <c r="G10549" s="3">
        <v>0.0</v>
      </c>
      <c r="H10549" s="3">
        <v>0.0</v>
      </c>
      <c r="I10549" s="3" t="s">
        <v>13</v>
      </c>
      <c r="J10549" s="3" t="s">
        <v>30027</v>
      </c>
      <c r="K10549" s="3" t="s">
        <v>31</v>
      </c>
      <c r="L10549" s="3" t="str">
        <f>IFERROR(__xludf.DUMMYFUNCTION("GOOGLETRANSLATE(F10549,""id"",""en"")"),"Trusted reportedly Argentina Champion")</f>
        <v>Trusted reportedly Argentina Champion</v>
      </c>
    </row>
    <row r="10550" ht="15.75" customHeight="1">
      <c r="A10550" s="1">
        <v>11791.0</v>
      </c>
      <c r="B10550" s="3" t="s">
        <v>30028</v>
      </c>
      <c r="C10550" s="3">
        <v>0.0</v>
      </c>
      <c r="D10550" s="3">
        <v>0.0</v>
      </c>
      <c r="E10550" s="3">
        <v>5.0</v>
      </c>
      <c r="F10550" s="3" t="s">
        <v>30029</v>
      </c>
      <c r="G10550" s="3">
        <v>0.0</v>
      </c>
      <c r="H10550" s="3">
        <v>0.0</v>
      </c>
      <c r="I10550" s="3" t="s">
        <v>13</v>
      </c>
      <c r="J10550" s="3" t="s">
        <v>30030</v>
      </c>
      <c r="K10550" s="3" t="s">
        <v>82</v>
      </c>
      <c r="L10550" s="3" t="str">
        <f>IFERROR(__xludf.DUMMYFUNCTION("GOOGLETRANSLATE(F10550,""id"",""en"")"),"Low boisterous videos of Argentine celebrations")</f>
        <v>Low boisterous videos of Argentine celebrations</v>
      </c>
    </row>
    <row r="10551" ht="15.75" customHeight="1">
      <c r="A10551" s="1">
        <v>11792.0</v>
      </c>
      <c r="B10551" s="3" t="s">
        <v>30031</v>
      </c>
      <c r="C10551" s="3">
        <v>0.0</v>
      </c>
      <c r="D10551" s="3">
        <v>1.0</v>
      </c>
      <c r="E10551" s="3">
        <v>13.0</v>
      </c>
      <c r="F10551" s="3" t="s">
        <v>30032</v>
      </c>
      <c r="G10551" s="3">
        <v>0.0</v>
      </c>
      <c r="H10551" s="3">
        <v>0.0</v>
      </c>
      <c r="I10551" s="3" t="s">
        <v>13</v>
      </c>
      <c r="J10551" s="3" t="s">
        <v>30033</v>
      </c>
      <c r="K10551" s="3" t="s">
        <v>41</v>
      </c>
      <c r="L10551" s="3" t="str">
        <f>IFERROR(__xludf.DUMMYFUNCTION("GOOGLETRANSLATE(F10551,""id"",""en"")"),"Only his era Argentina, the world champion of PSSI, what were you doing before")</f>
        <v>Only his era Argentina, the world champion of PSSI, what were you doing before</v>
      </c>
    </row>
    <row r="10552" ht="15.75" customHeight="1">
      <c r="A10552" s="1">
        <v>11793.0</v>
      </c>
      <c r="B10552" s="3" t="s">
        <v>30034</v>
      </c>
      <c r="C10552" s="3">
        <v>0.0</v>
      </c>
      <c r="D10552" s="3">
        <v>0.0</v>
      </c>
      <c r="E10552" s="3">
        <v>0.0</v>
      </c>
      <c r="F10552" s="3" t="s">
        <v>30035</v>
      </c>
      <c r="G10552" s="3">
        <v>0.0</v>
      </c>
      <c r="H10552" s="3">
        <v>0.0</v>
      </c>
      <c r="I10552" s="3" t="s">
        <v>13</v>
      </c>
      <c r="J10552" s="3" t="s">
        <v>30036</v>
      </c>
      <c r="K10552" s="3" t="s">
        <v>6592</v>
      </c>
      <c r="L10552" s="3" t="str">
        <f>IFERROR(__xludf.DUMMYFUNCTION("GOOGLETRANSLATE(F10552,""id"",""en"")"),"Argentina World Champion Saudi Arabia Champion in the hereafter")</f>
        <v>Argentina World Champion Saudi Arabia Champion in the hereafter</v>
      </c>
    </row>
    <row r="10553" ht="15.75" customHeight="1">
      <c r="A10553" s="1">
        <v>11794.0</v>
      </c>
      <c r="B10553" s="3" t="s">
        <v>30037</v>
      </c>
      <c r="C10553" s="3">
        <v>0.0</v>
      </c>
      <c r="D10553" s="3">
        <v>4.0</v>
      </c>
      <c r="E10553" s="3">
        <v>0.0</v>
      </c>
      <c r="F10553" s="3" t="s">
        <v>30038</v>
      </c>
      <c r="G10553" s="3">
        <v>0.0</v>
      </c>
      <c r="H10553" s="3">
        <v>0.0</v>
      </c>
      <c r="I10553" s="3" t="s">
        <v>13</v>
      </c>
      <c r="J10553" s="3" t="s">
        <v>30039</v>
      </c>
      <c r="K10553" s="3" t="s">
        <v>75</v>
      </c>
      <c r="L10553" s="3" t="str">
        <f>IFERROR(__xludf.DUMMYFUNCTION("GOOGLETRANSLATE(F10553,""id"",""en"")"),"Bring Argentina Champion World Cup Qatar Messi Can Be a Special Coverage Robe")</f>
        <v>Bring Argentina Champion World Cup Qatar Messi Can Be a Special Coverage Robe</v>
      </c>
    </row>
    <row r="10554" ht="15.75" customHeight="1">
      <c r="A10554" s="1">
        <v>11795.0</v>
      </c>
      <c r="B10554" s="3" t="s">
        <v>30040</v>
      </c>
      <c r="C10554" s="3">
        <v>0.0</v>
      </c>
      <c r="D10554" s="3">
        <v>0.0</v>
      </c>
      <c r="E10554" s="3">
        <v>0.0</v>
      </c>
      <c r="F10554" s="3" t="s">
        <v>30041</v>
      </c>
      <c r="G10554" s="3">
        <v>1.0</v>
      </c>
      <c r="H10554" s="3">
        <v>0.0</v>
      </c>
      <c r="I10554" s="3" t="s">
        <v>13</v>
      </c>
      <c r="J10554" s="3" t="s">
        <v>30042</v>
      </c>
      <c r="K10554" s="3" t="s">
        <v>715</v>
      </c>
      <c r="L10554" s="3" t="str">
        <f>IFERROR(__xludf.DUMMYFUNCTION("GOOGLETRANSLATE(F10554,""id"",""en"")"),"France must give up the Argentine World Cup title but the French French game of the World Cup to be thumbs up because it gives resistance")</f>
        <v>France must give up the Argentine World Cup title but the French French game of the World Cup to be thumbs up because it gives resistance</v>
      </c>
    </row>
    <row r="10555" ht="15.75" customHeight="1">
      <c r="A10555" s="1">
        <v>11796.0</v>
      </c>
      <c r="B10555" s="3" t="s">
        <v>30043</v>
      </c>
      <c r="C10555" s="3">
        <v>0.0</v>
      </c>
      <c r="D10555" s="3">
        <v>0.0</v>
      </c>
      <c r="E10555" s="3">
        <v>2.0</v>
      </c>
      <c r="F10555" s="3" t="s">
        <v>30044</v>
      </c>
      <c r="G10555" s="3">
        <v>0.0</v>
      </c>
      <c r="H10555" s="3">
        <v>0.0</v>
      </c>
      <c r="I10555" s="3" t="s">
        <v>13</v>
      </c>
      <c r="J10555" s="3" t="s">
        <v>30045</v>
      </c>
      <c r="K10555" s="3" t="s">
        <v>240</v>
      </c>
      <c r="L10555" s="3" t="str">
        <f>IFERROR(__xludf.DUMMYFUNCTION("GOOGLETRANSLATE(F10555,""id"",""en"")"),"The demands for the expectations of the people of Argentina in South America in general football is indeed very high, of course the world champion is a good achievement")</f>
        <v>The demands for the expectations of the people of Argentina in South America in general football is indeed very high, of course the world champion is a good achievement</v>
      </c>
    </row>
    <row r="10556" ht="15.75" customHeight="1">
      <c r="A10556" s="1">
        <v>11797.0</v>
      </c>
      <c r="B10556" s="3" t="s">
        <v>30046</v>
      </c>
      <c r="C10556" s="3">
        <v>0.0</v>
      </c>
      <c r="D10556" s="3">
        <v>0.0</v>
      </c>
      <c r="E10556" s="3">
        <v>5.0</v>
      </c>
      <c r="F10556" s="3" t="s">
        <v>30047</v>
      </c>
      <c r="G10556" s="3">
        <v>0.0</v>
      </c>
      <c r="H10556" s="3">
        <v>0.0</v>
      </c>
      <c r="I10556" s="3" t="s">
        <v>13</v>
      </c>
      <c r="J10556" s="3" t="s">
        <v>30048</v>
      </c>
      <c r="K10556" s="3" t="s">
        <v>41</v>
      </c>
      <c r="L10556" s="3" t="str">
        <f>IFERROR(__xludf.DUMMYFUNCTION("GOOGLETRANSLATE(F10556,""id"",""en"")"),"The World Cup Argentina was defeated by Saudi Arabia at the beginning ended as a champion")</f>
        <v>The World Cup Argentina was defeated by Saudi Arabia at the beginning ended as a champion</v>
      </c>
    </row>
    <row r="10557" ht="15.75" customHeight="1">
      <c r="A10557" s="1">
        <v>11798.0</v>
      </c>
      <c r="B10557" s="3" t="s">
        <v>30049</v>
      </c>
      <c r="C10557" s="3">
        <v>0.0</v>
      </c>
      <c r="D10557" s="3">
        <v>0.0</v>
      </c>
      <c r="E10557" s="3">
        <v>0.0</v>
      </c>
      <c r="F10557" s="3" t="s">
        <v>30050</v>
      </c>
      <c r="G10557" s="3">
        <v>0.0</v>
      </c>
      <c r="H10557" s="3">
        <v>0.0</v>
      </c>
      <c r="I10557" s="3" t="s">
        <v>13</v>
      </c>
      <c r="J10557" s="3" t="s">
        <v>30051</v>
      </c>
      <c r="K10557" s="3" t="s">
        <v>244</v>
      </c>
      <c r="L10557" s="3" t="str">
        <f>IFERROR(__xludf.DUMMYFUNCTION("GOOGLETRANSLATE(F10557,""id"",""en"")"),"List of Complete World Cup Champions Argentina won France how many times")</f>
        <v>List of Complete World Cup Champions Argentina won France how many times</v>
      </c>
    </row>
    <row r="10558" ht="15.75" customHeight="1">
      <c r="A10558" s="1">
        <v>11799.0</v>
      </c>
      <c r="B10558" s="3" t="s">
        <v>30052</v>
      </c>
      <c r="C10558" s="3">
        <v>0.0</v>
      </c>
      <c r="D10558" s="3">
        <v>0.0</v>
      </c>
      <c r="E10558" s="3">
        <v>0.0</v>
      </c>
      <c r="F10558" s="3" t="s">
        <v>30053</v>
      </c>
      <c r="G10558" s="3">
        <v>0.0</v>
      </c>
      <c r="H10558" s="3">
        <v>0.0</v>
      </c>
      <c r="I10558" s="3" t="s">
        <v>13</v>
      </c>
      <c r="J10558" s="3" t="s">
        <v>30054</v>
      </c>
      <c r="K10558" s="3" t="s">
        <v>22524</v>
      </c>
      <c r="L10558" s="3" t="str">
        <f>IFERROR(__xludf.DUMMYFUNCTION("GOOGLETRANSLATE(F10558,""id"",""en"")"),"Tundra Supports Eva Argentina Champion Supports Eva World Cup Champion Is Yes Indo National Team Must Support Eva Let the AFF Champion Wkwk")</f>
        <v>Tundra Supports Eva Argentina Champion Supports Eva World Cup Champion Is Yes Indo National Team Must Support Eva Let the AFF Champion Wkwk</v>
      </c>
    </row>
    <row r="10559" ht="15.75" customHeight="1">
      <c r="A10559" s="1">
        <v>11800.0</v>
      </c>
      <c r="B10559" s="3" t="s">
        <v>30055</v>
      </c>
      <c r="C10559" s="3">
        <v>2.0</v>
      </c>
      <c r="D10559" s="3">
        <v>29.0</v>
      </c>
      <c r="E10559" s="3">
        <v>165.0</v>
      </c>
      <c r="F10559" s="3" t="s">
        <v>30056</v>
      </c>
      <c r="G10559" s="3">
        <v>0.0</v>
      </c>
      <c r="H10559" s="3">
        <v>0.0</v>
      </c>
      <c r="I10559" s="3" t="s">
        <v>13</v>
      </c>
      <c r="J10559" s="3" t="s">
        <v>30057</v>
      </c>
      <c r="K10559" s="3" t="s">
        <v>41</v>
      </c>
      <c r="L10559" s="3" t="str">
        <f>IFERROR(__xludf.DUMMYFUNCTION("GOOGLETRANSLATE(F10559,""id"",""en"")"),"Just nitip just want to see highlights with the celebration of Argentina champions")</f>
        <v>Just nitip just want to see highlights with the celebration of Argentina champions</v>
      </c>
    </row>
    <row r="10560" ht="15.75" customHeight="1">
      <c r="A10560" s="1">
        <v>11801.0</v>
      </c>
      <c r="B10560" s="3" t="s">
        <v>30058</v>
      </c>
      <c r="C10560" s="3">
        <v>7.0</v>
      </c>
      <c r="D10560" s="3">
        <v>3.0</v>
      </c>
      <c r="E10560" s="3">
        <v>60.0</v>
      </c>
      <c r="F10560" s="3" t="s">
        <v>30059</v>
      </c>
      <c r="G10560" s="3">
        <v>0.0</v>
      </c>
      <c r="H10560" s="3">
        <v>0.0</v>
      </c>
      <c r="I10560" s="3" t="s">
        <v>13</v>
      </c>
      <c r="J10560" s="3" t="s">
        <v>30060</v>
      </c>
      <c r="K10560" s="3" t="s">
        <v>35</v>
      </c>
      <c r="L10560" s="3" t="str">
        <f>IFERROR(__xludf.DUMMYFUNCTION("GOOGLETRANSLATE(F10560,""id"",""en"")"),"I will not retire I want to continue playing as World Cup champions said Messi after bringing Argentina champions")</f>
        <v>I will not retire I want to continue playing as World Cup champions said Messi after bringing Argentina champions</v>
      </c>
    </row>
    <row r="10561" ht="15.75" customHeight="1">
      <c r="A10561" s="1">
        <v>11802.0</v>
      </c>
      <c r="B10561" s="3" t="s">
        <v>30061</v>
      </c>
      <c r="C10561" s="3">
        <v>0.0</v>
      </c>
      <c r="D10561" s="3">
        <v>0.0</v>
      </c>
      <c r="E10561" s="3">
        <v>2.0</v>
      </c>
      <c r="F10561" s="3" t="s">
        <v>30062</v>
      </c>
      <c r="G10561" s="3">
        <v>0.0</v>
      </c>
      <c r="H10561" s="3">
        <v>0.0</v>
      </c>
      <c r="I10561" s="3" t="s">
        <v>13</v>
      </c>
      <c r="J10561" s="3" t="s">
        <v>30063</v>
      </c>
      <c r="K10561" s="3" t="s">
        <v>31</v>
      </c>
      <c r="L10561" s="3" t="str">
        <f>IFERROR(__xludf.DUMMYFUNCTION("GOOGLETRANSLATE(F10561,""id"",""en"")"),"Congratulations to the national team as World Cup champions")</f>
        <v>Congratulations to the national team as World Cup champions</v>
      </c>
    </row>
    <row r="10562" ht="15.75" customHeight="1">
      <c r="A10562" s="1">
        <v>11803.0</v>
      </c>
      <c r="B10562" s="3" t="s">
        <v>30064</v>
      </c>
      <c r="C10562" s="3">
        <v>0.0</v>
      </c>
      <c r="D10562" s="3">
        <v>0.0</v>
      </c>
      <c r="E10562" s="3">
        <v>0.0</v>
      </c>
      <c r="F10562" s="3" t="s">
        <v>30065</v>
      </c>
      <c r="G10562" s="3">
        <v>0.0</v>
      </c>
      <c r="H10562" s="3">
        <v>0.0</v>
      </c>
      <c r="I10562" s="3" t="s">
        <v>13</v>
      </c>
      <c r="J10562" s="3" t="s">
        <v>30066</v>
      </c>
      <c r="K10562" s="3" t="s">
        <v>31</v>
      </c>
      <c r="L10562" s="3" t="str">
        <f>IFERROR(__xludf.DUMMYFUNCTION("GOOGLETRANSLATE(F10562,""id"",""en"")"),"Aing Guess Argentina Champion")</f>
        <v>Aing Guess Argentina Champion</v>
      </c>
    </row>
    <row r="10563" ht="15.75" customHeight="1">
      <c r="A10563" s="1">
        <v>11804.0</v>
      </c>
      <c r="B10563" s="3" t="s">
        <v>30067</v>
      </c>
      <c r="C10563" s="3">
        <v>0.0</v>
      </c>
      <c r="D10563" s="3">
        <v>0.0</v>
      </c>
      <c r="E10563" s="3">
        <v>0.0</v>
      </c>
      <c r="F10563" s="3" t="s">
        <v>30068</v>
      </c>
      <c r="G10563" s="3">
        <v>0.0</v>
      </c>
      <c r="H10563" s="3">
        <v>0.0</v>
      </c>
      <c r="I10563" s="3" t="s">
        <v>13</v>
      </c>
      <c r="J10563" s="3" t="s">
        <v>30069</v>
      </c>
      <c r="K10563" s="3" t="s">
        <v>75</v>
      </c>
      <c r="L10563" s="3" t="str">
        <f>IFERROR(__xludf.DUMMYFUNCTION("GOOGLETRANSLATE(F10563,""id"",""en"")"),"Become a world champion Lionel Messi undo the intention of retiring from the Argentine national team")</f>
        <v>Become a world champion Lionel Messi undo the intention of retiring from the Argentine national team</v>
      </c>
    </row>
    <row r="10564" ht="15.75" customHeight="1">
      <c r="A10564" s="1">
        <v>11805.0</v>
      </c>
      <c r="B10564" s="3" t="s">
        <v>30070</v>
      </c>
      <c r="C10564" s="3">
        <v>0.0</v>
      </c>
      <c r="D10564" s="3">
        <v>0.0</v>
      </c>
      <c r="E10564" s="3">
        <v>0.0</v>
      </c>
      <c r="F10564" s="3" t="s">
        <v>30071</v>
      </c>
      <c r="G10564" s="3">
        <v>0.0</v>
      </c>
      <c r="H10564" s="3">
        <v>0.0</v>
      </c>
      <c r="I10564" s="3" t="s">
        <v>13</v>
      </c>
      <c r="J10564" s="3" t="s">
        <v>30072</v>
      </c>
      <c r="K10564" s="3" t="s">
        <v>31</v>
      </c>
      <c r="L10564" s="3" t="str">
        <f>IFERROR(__xludf.DUMMYFUNCTION("GOOGLETRANSLATE(F10564,""id"",""en"")"),"Alhmadulilah Wastikah Argentina at the end of the championship")</f>
        <v>Alhmadulilah Wastikah Argentina at the end of the championship</v>
      </c>
    </row>
    <row r="10565" ht="15.75" customHeight="1">
      <c r="A10565" s="1">
        <v>11806.0</v>
      </c>
      <c r="B10565" s="3" t="s">
        <v>30073</v>
      </c>
      <c r="C10565" s="3">
        <v>0.0</v>
      </c>
      <c r="D10565" s="3">
        <v>0.0</v>
      </c>
      <c r="E10565" s="3">
        <v>1.0</v>
      </c>
      <c r="F10565" s="3" t="s">
        <v>30074</v>
      </c>
      <c r="G10565" s="3">
        <v>0.0</v>
      </c>
      <c r="H10565" s="3">
        <v>0.0</v>
      </c>
      <c r="I10565" s="3" t="s">
        <v>13</v>
      </c>
      <c r="J10565" s="3" t="s">
        <v>30075</v>
      </c>
      <c r="K10565" s="3" t="s">
        <v>31</v>
      </c>
      <c r="L10565" s="3" t="str">
        <f>IFERROR(__xludf.DUMMYFUNCTION("GOOGLETRANSLATE(F10565,""id"",""en"")"),"Ina Argentina Croatian Champion Number")</f>
        <v>Ina Argentina Croatian Champion Number</v>
      </c>
    </row>
    <row r="10566" ht="15.75" customHeight="1">
      <c r="A10566" s="1">
        <v>11807.0</v>
      </c>
      <c r="B10566" s="3" t="s">
        <v>30076</v>
      </c>
      <c r="C10566" s="3">
        <v>0.0</v>
      </c>
      <c r="D10566" s="3">
        <v>0.0</v>
      </c>
      <c r="E10566" s="3">
        <v>2.0</v>
      </c>
      <c r="F10566" s="3" t="s">
        <v>30077</v>
      </c>
      <c r="G10566" s="3">
        <v>1.0</v>
      </c>
      <c r="H10566" s="3">
        <v>0.0</v>
      </c>
      <c r="I10566" s="3" t="s">
        <v>13</v>
      </c>
      <c r="J10566" s="3" t="s">
        <v>30078</v>
      </c>
      <c r="K10566" s="3" t="s">
        <v>19</v>
      </c>
      <c r="L10566" s="3" t="str">
        <f>IFERROR(__xludf.DUMMYFUNCTION("GOOGLETRANSLATE(F10566,""id"",""en"")"),"Argentina's steep road to the world title loses initially lifting the Final Cup")</f>
        <v>Argentina's steep road to the world title loses initially lifting the Final Cup</v>
      </c>
    </row>
    <row r="10567" ht="15.75" customHeight="1">
      <c r="A10567" s="1">
        <v>11808.0</v>
      </c>
      <c r="B10567" s="3" t="s">
        <v>30079</v>
      </c>
      <c r="C10567" s="3">
        <v>0.0</v>
      </c>
      <c r="D10567" s="3">
        <v>0.0</v>
      </c>
      <c r="E10567" s="3">
        <v>0.0</v>
      </c>
      <c r="F10567" s="3" t="s">
        <v>30080</v>
      </c>
      <c r="G10567" s="3">
        <v>0.0</v>
      </c>
      <c r="H10567" s="3">
        <v>0.0</v>
      </c>
      <c r="I10567" s="3" t="s">
        <v>13</v>
      </c>
      <c r="J10567" s="3" t="s">
        <v>30081</v>
      </c>
      <c r="K10567" s="3" t="s">
        <v>41</v>
      </c>
      <c r="L10567" s="3" t="str">
        <f>IFERROR(__xludf.DUMMYFUNCTION("GOOGLETRANSLATE(F10567,""id"",""en"")"),"the champions of Messi Argentina who trending Portuguese Dembele and Aguero Salvation")</f>
        <v>the champions of Messi Argentina who trending Portuguese Dembele and Aguero Salvation</v>
      </c>
    </row>
    <row r="10568" ht="15.75" customHeight="1">
      <c r="A10568" s="1">
        <v>11809.0</v>
      </c>
      <c r="B10568" s="3" t="s">
        <v>30082</v>
      </c>
      <c r="C10568" s="3">
        <v>0.0</v>
      </c>
      <c r="D10568" s="3">
        <v>0.0</v>
      </c>
      <c r="E10568" s="3">
        <v>0.0</v>
      </c>
      <c r="F10568" s="3" t="s">
        <v>30083</v>
      </c>
      <c r="G10568" s="3">
        <v>0.4</v>
      </c>
      <c r="H10568" s="3">
        <v>0.2</v>
      </c>
      <c r="I10568" s="3" t="s">
        <v>48</v>
      </c>
      <c r="J10568" s="3" t="s">
        <v>30084</v>
      </c>
      <c r="K10568" s="3" t="s">
        <v>50</v>
      </c>
      <c r="L10568" s="3" t="str">
        <f>IFERROR(__xludf.DUMMYFUNCTION("GOOGLETRANSLATE(F10568,""id"",""en"")"),"My childhood was complete, seeing Argentina won Messi champion hahaha")</f>
        <v>My childhood was complete, seeing Argentina won Messi champion hahaha</v>
      </c>
    </row>
    <row r="10569" ht="15.75" customHeight="1">
      <c r="A10569" s="1">
        <v>11810.0</v>
      </c>
      <c r="B10569" s="3" t="s">
        <v>30085</v>
      </c>
      <c r="C10569" s="3">
        <v>0.0</v>
      </c>
      <c r="D10569" s="3">
        <v>0.0</v>
      </c>
      <c r="E10569" s="3">
        <v>0.0</v>
      </c>
      <c r="F10569" s="3" t="s">
        <v>22241</v>
      </c>
      <c r="G10569" s="3">
        <v>0.0</v>
      </c>
      <c r="H10569" s="3">
        <v>0.0</v>
      </c>
      <c r="I10569" s="3" t="s">
        <v>13</v>
      </c>
      <c r="J10569" s="3" t="s">
        <v>16942</v>
      </c>
      <c r="K10569" s="3" t="s">
        <v>644</v>
      </c>
      <c r="L10569" s="3" t="str">
        <f>IFERROR(__xludf.DUMMYFUNCTION("GOOGLETRANSLATE(F10569,""id"",""en"")"),"Argentina Champion World Cup")</f>
        <v>Argentina Champion World Cup</v>
      </c>
    </row>
    <row r="10570" ht="15.75" customHeight="1">
      <c r="A10570" s="1">
        <v>11811.0</v>
      </c>
      <c r="B10570" s="3" t="s">
        <v>30086</v>
      </c>
      <c r="C10570" s="3">
        <v>0.0</v>
      </c>
      <c r="D10570" s="3">
        <v>0.0</v>
      </c>
      <c r="E10570" s="3">
        <v>0.0</v>
      </c>
      <c r="F10570" s="3" t="s">
        <v>30087</v>
      </c>
      <c r="G10570" s="3">
        <v>0.0</v>
      </c>
      <c r="H10570" s="3">
        <v>0.0</v>
      </c>
      <c r="I10570" s="3" t="s">
        <v>13</v>
      </c>
      <c r="J10570" s="3" t="s">
        <v>30088</v>
      </c>
      <c r="K10570" s="3" t="s">
        <v>50</v>
      </c>
      <c r="L10570" s="3" t="str">
        <f>IFERROR(__xludf.DUMMYFUNCTION("GOOGLETRANSLATE(F10570,""id"",""en"")"),"Qatar World Cup Neymar said Tahniah to Messi after Argentina appeared champions")</f>
        <v>Qatar World Cup Neymar said Tahniah to Messi after Argentina appeared champions</v>
      </c>
    </row>
    <row r="10571" ht="15.75" customHeight="1">
      <c r="A10571" s="1">
        <v>11812.0</v>
      </c>
      <c r="B10571" s="3" t="s">
        <v>30089</v>
      </c>
      <c r="C10571" s="3">
        <v>0.0</v>
      </c>
      <c r="D10571" s="3">
        <v>0.0</v>
      </c>
      <c r="E10571" s="3">
        <v>0.0</v>
      </c>
      <c r="F10571" s="3" t="s">
        <v>30090</v>
      </c>
      <c r="G10571" s="3">
        <v>1.0</v>
      </c>
      <c r="H10571" s="3">
        <v>0.0</v>
      </c>
      <c r="I10571" s="3" t="s">
        <v>13</v>
      </c>
      <c r="J10571" s="3" t="s">
        <v>30091</v>
      </c>
      <c r="K10571" s="3" t="s">
        <v>644</v>
      </c>
      <c r="L10571" s="3" t="str">
        <f>IFERROR(__xludf.DUMMYFUNCTION("GOOGLETRANSLATE(F10571,""id"",""en"")"),"Touched because Argentina Champion Finally")</f>
        <v>Touched because Argentina Champion Finally</v>
      </c>
    </row>
    <row r="10572" ht="15.75" customHeight="1">
      <c r="A10572" s="1">
        <v>11813.0</v>
      </c>
      <c r="B10572" s="3" t="s">
        <v>30092</v>
      </c>
      <c r="C10572" s="3">
        <v>0.0</v>
      </c>
      <c r="D10572" s="3">
        <v>0.0</v>
      </c>
      <c r="E10572" s="3">
        <v>0.0</v>
      </c>
      <c r="F10572" s="3" t="s">
        <v>30093</v>
      </c>
      <c r="G10572" s="3">
        <v>0.0</v>
      </c>
      <c r="H10572" s="3">
        <v>0.0</v>
      </c>
      <c r="I10572" s="3" t="s">
        <v>13</v>
      </c>
      <c r="J10572" s="3" t="s">
        <v>30094</v>
      </c>
      <c r="K10572" s="3" t="s">
        <v>15</v>
      </c>
      <c r="L10572" s="3" t="str">
        <f>IFERROR(__xludf.DUMMYFUNCTION("GOOGLETRANSLATE(F10572,""id"",""en"")"),"During Argentina the Worldcup and Leonal Messi became a star")</f>
        <v>During Argentina the Worldcup and Leonal Messi became a star</v>
      </c>
    </row>
    <row r="10573" ht="15.75" customHeight="1">
      <c r="A10573" s="1">
        <v>11814.0</v>
      </c>
      <c r="B10573" s="3" t="s">
        <v>30095</v>
      </c>
      <c r="C10573" s="3">
        <v>0.0</v>
      </c>
      <c r="D10573" s="3">
        <v>0.0</v>
      </c>
      <c r="E10573" s="3">
        <v>0.0</v>
      </c>
      <c r="F10573" s="3" t="s">
        <v>30041</v>
      </c>
      <c r="G10573" s="3">
        <v>1.0</v>
      </c>
      <c r="H10573" s="3">
        <v>0.0</v>
      </c>
      <c r="I10573" s="3" t="s">
        <v>13</v>
      </c>
      <c r="J10573" s="3" t="s">
        <v>30042</v>
      </c>
      <c r="K10573" s="3" t="s">
        <v>715</v>
      </c>
      <c r="L10573" s="3" t="str">
        <f>IFERROR(__xludf.DUMMYFUNCTION("GOOGLETRANSLATE(F10573,""id"",""en"")"),"France must give up the Argentine World Cup title but the French French game of the World Cup to be thumbs up because it gives resistance")</f>
        <v>France must give up the Argentine World Cup title but the French French game of the World Cup to be thumbs up because it gives resistance</v>
      </c>
    </row>
    <row r="10574" ht="15.75" customHeight="1">
      <c r="A10574" s="1">
        <v>11815.0</v>
      </c>
      <c r="B10574" s="3" t="s">
        <v>30096</v>
      </c>
      <c r="C10574" s="3">
        <v>0.0</v>
      </c>
      <c r="D10574" s="3">
        <v>0.0</v>
      </c>
      <c r="E10574" s="3">
        <v>0.0</v>
      </c>
      <c r="F10574" s="3" t="s">
        <v>30096</v>
      </c>
      <c r="G10574" s="3">
        <v>0.0</v>
      </c>
      <c r="H10574" s="3">
        <v>0.0</v>
      </c>
      <c r="I10574" s="3" t="s">
        <v>13</v>
      </c>
      <c r="J10574" s="3" t="s">
        <v>30097</v>
      </c>
      <c r="K10574" s="3" t="s">
        <v>644</v>
      </c>
      <c r="L10574" s="3" t="str">
        <f>IFERROR(__xludf.DUMMYFUNCTION("GOOGLETRANSLATE(F10574,""id"",""en"")"),"Gajadi because Argentina Champion")</f>
        <v>Gajadi because Argentina Champion</v>
      </c>
    </row>
    <row r="10575" ht="15.75" customHeight="1">
      <c r="A10575" s="1">
        <v>11816.0</v>
      </c>
      <c r="B10575" s="3" t="s">
        <v>30098</v>
      </c>
      <c r="C10575" s="3">
        <v>0.0</v>
      </c>
      <c r="D10575" s="3">
        <v>0.0</v>
      </c>
      <c r="E10575" s="3">
        <v>0.0</v>
      </c>
      <c r="F10575" s="3" t="s">
        <v>30099</v>
      </c>
      <c r="G10575" s="3">
        <v>0.0</v>
      </c>
      <c r="H10575" s="3">
        <v>0.0</v>
      </c>
      <c r="I10575" s="3" t="s">
        <v>13</v>
      </c>
      <c r="J10575" s="3" t="s">
        <v>30100</v>
      </c>
      <c r="K10575" s="3" t="s">
        <v>41</v>
      </c>
      <c r="L10575" s="3" t="str">
        <f>IFERROR(__xludf.DUMMYFUNCTION("GOOGLETRANSLATE(F10575,""id"",""en"")"),"The winner was the night of the Rispek Mr. finally PSSI Argentina Champion")</f>
        <v>The winner was the night of the Rispek Mr. finally PSSI Argentina Champion</v>
      </c>
    </row>
    <row r="10576" ht="15.75" customHeight="1">
      <c r="A10576" s="1">
        <v>11817.0</v>
      </c>
      <c r="B10576" s="3" t="s">
        <v>30101</v>
      </c>
      <c r="C10576" s="3">
        <v>0.0</v>
      </c>
      <c r="D10576" s="3">
        <v>0.0</v>
      </c>
      <c r="E10576" s="3">
        <v>0.0</v>
      </c>
      <c r="F10576" s="3" t="s">
        <v>30102</v>
      </c>
      <c r="G10576" s="3">
        <v>0.0</v>
      </c>
      <c r="H10576" s="3">
        <v>0.0</v>
      </c>
      <c r="I10576" s="3" t="s">
        <v>13</v>
      </c>
      <c r="J10576" s="3" t="s">
        <v>30103</v>
      </c>
      <c r="K10576" s="3" t="s">
        <v>75</v>
      </c>
      <c r="L10576" s="3" t="str">
        <f>IFERROR(__xludf.DUMMYFUNCTION("GOOGLETRANSLATE(F10576,""id"",""en"")"),"Alhamdulillah, from the beginning of the World Cup until Argentina, the champion did not gambling at all")</f>
        <v>Alhamdulillah, from the beginning of the World Cup until Argentina, the champion did not gambling at all</v>
      </c>
    </row>
    <row r="10577" ht="15.75" customHeight="1">
      <c r="A10577" s="1">
        <v>11818.0</v>
      </c>
      <c r="B10577" s="3" t="s">
        <v>30104</v>
      </c>
      <c r="C10577" s="3">
        <v>1.0</v>
      </c>
      <c r="D10577" s="3">
        <v>0.0</v>
      </c>
      <c r="E10577" s="3">
        <v>0.0</v>
      </c>
      <c r="F10577" s="3" t="s">
        <v>30105</v>
      </c>
      <c r="G10577" s="3">
        <v>0.0</v>
      </c>
      <c r="H10577" s="3">
        <v>0.0</v>
      </c>
      <c r="I10577" s="3" t="s">
        <v>13</v>
      </c>
      <c r="J10577" s="3" t="s">
        <v>30106</v>
      </c>
      <c r="K10577" s="3" t="s">
        <v>71</v>
      </c>
      <c r="L10577" s="3" t="str">
        <f>IFERROR(__xludf.DUMMYFUNCTION("GOOGLETRANSLATE(F10577,""id"",""en"")"),"Looking for a congratulatory greeting poster for the Argentina World Cup championship by certain party officials or members")</f>
        <v>Looking for a congratulatory greeting poster for the Argentina World Cup championship by certain party officials or members</v>
      </c>
    </row>
    <row r="10578" ht="15.75" customHeight="1">
      <c r="A10578" s="1">
        <v>11819.0</v>
      </c>
      <c r="B10578" s="3" t="s">
        <v>30107</v>
      </c>
      <c r="C10578" s="3">
        <v>0.0</v>
      </c>
      <c r="D10578" s="3">
        <v>0.0</v>
      </c>
      <c r="E10578" s="3">
        <v>0.0</v>
      </c>
      <c r="F10578" s="3" t="s">
        <v>30108</v>
      </c>
      <c r="G10578" s="3">
        <v>0.0</v>
      </c>
      <c r="H10578" s="3">
        <v>0.0</v>
      </c>
      <c r="I10578" s="3" t="s">
        <v>13</v>
      </c>
      <c r="J10578" s="3" t="s">
        <v>30109</v>
      </c>
      <c r="K10578" s="3" t="s">
        <v>82</v>
      </c>
      <c r="L10578" s="3" t="str">
        <f>IFERROR(__xludf.DUMMYFUNCTION("GOOGLETRANSLATE(F10578,""id"",""en"")"),"any song sounds delicious Argentina championship")</f>
        <v>any song sounds delicious Argentina championship</v>
      </c>
    </row>
    <row r="10579" ht="15.75" customHeight="1">
      <c r="A10579" s="1">
        <v>11820.0</v>
      </c>
      <c r="B10579" s="3" t="s">
        <v>30110</v>
      </c>
      <c r="C10579" s="3">
        <v>0.0</v>
      </c>
      <c r="D10579" s="3">
        <v>0.0</v>
      </c>
      <c r="E10579" s="3">
        <v>0.0</v>
      </c>
      <c r="F10579" s="3" t="s">
        <v>30111</v>
      </c>
      <c r="G10579" s="3">
        <v>0.0</v>
      </c>
      <c r="H10579" s="3">
        <v>0.0</v>
      </c>
      <c r="I10579" s="3" t="s">
        <v>13</v>
      </c>
      <c r="J10579" s="3" t="s">
        <v>30112</v>
      </c>
      <c r="K10579" s="3" t="s">
        <v>41</v>
      </c>
      <c r="L10579" s="3" t="str">
        <f>IFERROR(__xludf.DUMMYFUNCTION("GOOGLETRANSLATE(F10579,""id"",""en"")"),"put aside first Argentina champion don't forget Barca is still the top of the standings")</f>
        <v>put aside first Argentina champion don't forget Barca is still the top of the standings</v>
      </c>
    </row>
    <row r="10580" ht="15.75" customHeight="1">
      <c r="A10580" s="1">
        <v>11821.0</v>
      </c>
      <c r="B10580" s="3" t="s">
        <v>30113</v>
      </c>
      <c r="C10580" s="3">
        <v>0.0</v>
      </c>
      <c r="D10580" s="3">
        <v>0.0</v>
      </c>
      <c r="E10580" s="3">
        <v>0.0</v>
      </c>
      <c r="F10580" s="3" t="s">
        <v>30114</v>
      </c>
      <c r="G10580" s="3">
        <v>0.0</v>
      </c>
      <c r="H10580" s="3">
        <v>0.0</v>
      </c>
      <c r="I10580" s="3" t="s">
        <v>13</v>
      </c>
      <c r="J10580" s="3" t="s">
        <v>30115</v>
      </c>
      <c r="K10580" s="3" t="s">
        <v>20982</v>
      </c>
      <c r="L10580" s="3" t="str">
        <f>IFERROR(__xludf.DUMMYFUNCTION("GOOGLETRANSLATE(F10580,""id"",""en"")"),"Congratulations Argentina The World Cup champion for Argentina is their third World Cup trophy in their history to become world champions for the first time in the year")</f>
        <v>Congratulations Argentina The World Cup champion for Argentina is their third World Cup trophy in their history to become world champions for the first time in the year</v>
      </c>
    </row>
    <row r="10581" ht="15.75" customHeight="1">
      <c r="A10581" s="1">
        <v>11822.0</v>
      </c>
      <c r="B10581" s="3" t="s">
        <v>30116</v>
      </c>
      <c r="C10581" s="3">
        <v>0.0</v>
      </c>
      <c r="D10581" s="3">
        <v>0.0</v>
      </c>
      <c r="E10581" s="3">
        <v>0.0</v>
      </c>
      <c r="F10581" s="3" t="s">
        <v>30117</v>
      </c>
      <c r="G10581" s="3">
        <v>0.0</v>
      </c>
      <c r="H10581" s="3">
        <v>0.0</v>
      </c>
      <c r="I10581" s="3" t="s">
        <v>13</v>
      </c>
      <c r="J10581" s="3" t="s">
        <v>30118</v>
      </c>
      <c r="K10581" s="3" t="s">
        <v>50</v>
      </c>
      <c r="L10581" s="3" t="str">
        <f>IFERROR(__xludf.DUMMYFUNCTION("GOOGLETRANSLATE(F10581,""id"",""en"")"),"Happy Monday, I just want to remember Argentina Champion World Cup Qatar")</f>
        <v>Happy Monday, I just want to remember Argentina Champion World Cup Qatar</v>
      </c>
    </row>
    <row r="10582" ht="15.75" customHeight="1">
      <c r="A10582" s="1">
        <v>11823.0</v>
      </c>
      <c r="B10582" s="3" t="s">
        <v>30119</v>
      </c>
      <c r="C10582" s="3">
        <v>1.0</v>
      </c>
      <c r="D10582" s="3">
        <v>0.0</v>
      </c>
      <c r="E10582" s="3">
        <v>2.0</v>
      </c>
      <c r="F10582" s="3" t="s">
        <v>30120</v>
      </c>
      <c r="G10582" s="3">
        <v>0.0</v>
      </c>
      <c r="H10582" s="3">
        <v>0.0</v>
      </c>
      <c r="I10582" s="3" t="s">
        <v>13</v>
      </c>
      <c r="J10582" s="3" t="s">
        <v>30121</v>
      </c>
      <c r="K10582" s="3" t="s">
        <v>30122</v>
      </c>
      <c r="L10582" s="3" t="str">
        <f>IFERROR(__xludf.DUMMYFUNCTION("GOOGLETRANSLATE(F10582,""id"",""en"")"),"Lawas curiously just a Juve player, italy, Italy, Italy player, the French player, the French player, the Argentine player, the player, isn't")</f>
        <v>Lawas curiously just a Juve player, italy, Italy, Italy player, the French player, the French player, the Argentine player, the player, isn't</v>
      </c>
    </row>
    <row r="10583" ht="15.75" customHeight="1">
      <c r="A10583" s="1">
        <v>11824.0</v>
      </c>
      <c r="B10583" s="3" t="s">
        <v>30123</v>
      </c>
      <c r="C10583" s="3">
        <v>0.0</v>
      </c>
      <c r="D10583" s="3">
        <v>0.0</v>
      </c>
      <c r="E10583" s="3">
        <v>0.0</v>
      </c>
      <c r="F10583" s="3" t="s">
        <v>30124</v>
      </c>
      <c r="G10583" s="3">
        <v>0.3</v>
      </c>
      <c r="H10583" s="3">
        <v>0.2</v>
      </c>
      <c r="I10583" s="3" t="s">
        <v>48</v>
      </c>
      <c r="J10583" s="3" t="s">
        <v>30125</v>
      </c>
      <c r="K10583" s="3" t="s">
        <v>19</v>
      </c>
      <c r="L10583" s="3" t="str">
        <f>IFERROR(__xludf.DUMMYFUNCTION("GOOGLETRANSLATE(F10583,""id"",""en"")"),"Thankfully in the end Argentina the champion is also perfect for the Pulga Messi career you are the real goat")</f>
        <v>Thankfully in the end Argentina the champion is also perfect for the Pulga Messi career you are the real goat</v>
      </c>
    </row>
    <row r="10584" ht="15.75" customHeight="1">
      <c r="A10584" s="1">
        <v>11825.0</v>
      </c>
      <c r="B10584" s="3" t="s">
        <v>30126</v>
      </c>
      <c r="C10584" s="3">
        <v>0.0</v>
      </c>
      <c r="D10584" s="3">
        <v>0.0</v>
      </c>
      <c r="E10584" s="3">
        <v>0.0</v>
      </c>
      <c r="F10584" s="3" t="s">
        <v>30127</v>
      </c>
      <c r="G10584" s="3">
        <v>0.0</v>
      </c>
      <c r="H10584" s="3">
        <v>0.0</v>
      </c>
      <c r="I10584" s="3" t="s">
        <v>13</v>
      </c>
      <c r="J10584" s="3" t="s">
        <v>30128</v>
      </c>
      <c r="K10584" s="3" t="s">
        <v>495</v>
      </c>
      <c r="L10584" s="3" t="str">
        <f>IFERROR(__xludf.DUMMYFUNCTION("GOOGLETRANSLATE(F10584,""id"",""en"")"),"Congratulations for Argentina supporters to become the World Cup champion, it's not been liquid, don't forget that his friends are treated here")</f>
        <v>Congratulations for Argentina supporters to become the World Cup champion, it's not been liquid, don't forget that his friends are treated here</v>
      </c>
    </row>
    <row r="10585" ht="15.75" customHeight="1">
      <c r="A10585" s="1">
        <v>11826.0</v>
      </c>
      <c r="B10585" s="3" t="s">
        <v>30129</v>
      </c>
      <c r="C10585" s="3">
        <v>0.0</v>
      </c>
      <c r="D10585" s="3">
        <v>0.0</v>
      </c>
      <c r="E10585" s="3">
        <v>0.0</v>
      </c>
      <c r="F10585" s="3" t="s">
        <v>30130</v>
      </c>
      <c r="G10585" s="3">
        <v>0.0</v>
      </c>
      <c r="H10585" s="3">
        <v>0.0</v>
      </c>
      <c r="I10585" s="3" t="s">
        <v>13</v>
      </c>
      <c r="J10585" s="3" t="s">
        <v>16104</v>
      </c>
      <c r="K10585" s="3" t="s">
        <v>14571</v>
      </c>
      <c r="L10585" s="3" t="str">
        <f>IFERROR(__xludf.DUMMYFUNCTION("GOOGLETRANSLATE(F10585,""id"",""en"")"),"Argentina champions too")</f>
        <v>Argentina champions too</v>
      </c>
    </row>
    <row r="10586" ht="15.75" customHeight="1">
      <c r="A10586" s="1">
        <v>11827.0</v>
      </c>
      <c r="B10586" s="3" t="s">
        <v>30131</v>
      </c>
      <c r="C10586" s="3">
        <v>1.0</v>
      </c>
      <c r="D10586" s="3">
        <v>0.0</v>
      </c>
      <c r="E10586" s="3">
        <v>0.0</v>
      </c>
      <c r="F10586" s="3" t="s">
        <v>30132</v>
      </c>
      <c r="G10586" s="3">
        <v>0.0</v>
      </c>
      <c r="H10586" s="3">
        <v>0.0</v>
      </c>
      <c r="I10586" s="3" t="s">
        <v>13</v>
      </c>
      <c r="J10586" s="3" t="s">
        <v>30133</v>
      </c>
      <c r="K10586" s="3" t="s">
        <v>603</v>
      </c>
      <c r="L10586" s="3" t="str">
        <f>IFERROR(__xludf.DUMMYFUNCTION("GOOGLETRANSLATE(F10586,""id"",""en"")"),"until the finals and champions of the scaloni brothers and siblings with the very luxurious one even as Assistant before but can bring Argentina champions that are really amazing")</f>
        <v>until the finals and champions of the scaloni brothers and siblings with the very luxurious one even as Assistant before but can bring Argentina champions that are really amazing</v>
      </c>
    </row>
    <row r="10587" ht="15.75" customHeight="1">
      <c r="A10587" s="1">
        <v>11828.0</v>
      </c>
      <c r="B10587" s="3" t="s">
        <v>30134</v>
      </c>
      <c r="C10587" s="3">
        <v>0.0</v>
      </c>
      <c r="D10587" s="3">
        <v>0.0</v>
      </c>
      <c r="E10587" s="3">
        <v>0.0</v>
      </c>
      <c r="F10587" s="3" t="s">
        <v>30135</v>
      </c>
      <c r="G10587" s="3">
        <v>0.0</v>
      </c>
      <c r="H10587" s="3">
        <v>0.0</v>
      </c>
      <c r="I10587" s="3" t="s">
        <v>13</v>
      </c>
      <c r="J10587" s="3" t="s">
        <v>30136</v>
      </c>
      <c r="K10587" s="3" t="s">
        <v>75</v>
      </c>
      <c r="L10587" s="3" t="str">
        <f>IFERROR(__xludf.DUMMYFUNCTION("GOOGLETRANSLATE(F10587,""id"",""en"")"),"Argentina Champion World Cup Ernest Prakasa The Goat Debate Over")</f>
        <v>Argentina Champion World Cup Ernest Prakasa The Goat Debate Over</v>
      </c>
    </row>
    <row r="10588" ht="15.75" customHeight="1">
      <c r="A10588" s="1">
        <v>11829.0</v>
      </c>
      <c r="B10588" s="3" t="s">
        <v>30137</v>
      </c>
      <c r="C10588" s="3">
        <v>0.0</v>
      </c>
      <c r="D10588" s="3">
        <v>0.0</v>
      </c>
      <c r="E10588" s="3">
        <v>0.0</v>
      </c>
      <c r="F10588" s="3" t="s">
        <v>30138</v>
      </c>
      <c r="G10588" s="3">
        <v>0.0</v>
      </c>
      <c r="H10588" s="3">
        <v>0.0</v>
      </c>
      <c r="I10588" s="3" t="s">
        <v>13</v>
      </c>
      <c r="J10588" s="3" t="s">
        <v>30139</v>
      </c>
      <c r="K10588" s="3" t="s">
        <v>1157</v>
      </c>
      <c r="L10588" s="3" t="str">
        <f>IFERROR(__xludf.DUMMYFUNCTION("GOOGLETRANSLATE(F10588,""id"",""en"")"),"Completed all the achievements of you incised history cannot be manipulated but today the new history of the world football born in Rosary Juni has carved a new gold ink for Argentina and he deserves Vamos champions")</f>
        <v>Completed all the achievements of you incised history cannot be manipulated but today the new history of the world football born in Rosary Juni has carved a new gold ink for Argentina and he deserves Vamos champions</v>
      </c>
    </row>
    <row r="10589" ht="15.75" customHeight="1">
      <c r="A10589" s="1">
        <v>11830.0</v>
      </c>
      <c r="B10589" s="3" t="s">
        <v>30140</v>
      </c>
      <c r="C10589" s="3">
        <v>0.0</v>
      </c>
      <c r="D10589" s="3">
        <v>0.0</v>
      </c>
      <c r="E10589" s="3">
        <v>0.0</v>
      </c>
      <c r="F10589" s="3" t="s">
        <v>30141</v>
      </c>
      <c r="G10589" s="3">
        <v>0.0</v>
      </c>
      <c r="H10589" s="3">
        <v>0.0</v>
      </c>
      <c r="I10589" s="3" t="s">
        <v>13</v>
      </c>
      <c r="J10589" s="3" t="s">
        <v>30142</v>
      </c>
      <c r="K10589" s="3" t="s">
        <v>75</v>
      </c>
      <c r="L10589" s="3" t="str">
        <f>IFERROR(__xludf.DUMMYFUNCTION("GOOGLETRANSLATE(F10589,""id"",""en"")"),"Warbianyakkkkk Argentina Champion World Cup PSSI PSSI lifts the giant trophy")</f>
        <v>Warbianyakkkkk Argentina Champion World Cup PSSI PSSI lifts the giant trophy</v>
      </c>
    </row>
    <row r="10590" ht="15.75" customHeight="1">
      <c r="A10590" s="1">
        <v>11831.0</v>
      </c>
      <c r="B10590" s="3" t="s">
        <v>30143</v>
      </c>
      <c r="C10590" s="3">
        <v>0.0</v>
      </c>
      <c r="D10590" s="3">
        <v>0.0</v>
      </c>
      <c r="E10590" s="3">
        <v>0.0</v>
      </c>
      <c r="F10590" s="3" t="s">
        <v>30144</v>
      </c>
      <c r="G10590" s="3">
        <v>0.0</v>
      </c>
      <c r="H10590" s="3">
        <v>0.0</v>
      </c>
      <c r="I10590" s="3" t="s">
        <v>13</v>
      </c>
      <c r="J10590" s="3" t="s">
        <v>30145</v>
      </c>
      <c r="K10590" s="3" t="s">
        <v>2341</v>
      </c>
      <c r="L10590" s="3" t="str">
        <f>IFERROR(__xludf.DUMMYFUNCTION("GOOGLETRANSLATE(F10590,""id"",""en"")"),"Argentina is indeed Qatar Hockey Qatar once hosted the World Cup in the year Argentina champions and then again Wayah became the host of Argentina champions so Kek Qatar is really good for Argentina")</f>
        <v>Argentina is indeed Qatar Hockey Qatar once hosted the World Cup in the year Argentina champions and then again Wayah became the host of Argentina champions so Kek Qatar is really good for Argentina</v>
      </c>
    </row>
    <row r="10591" ht="15.75" customHeight="1">
      <c r="A10591" s="1">
        <v>11832.0</v>
      </c>
      <c r="B10591" s="3" t="s">
        <v>30146</v>
      </c>
      <c r="C10591" s="3">
        <v>0.0</v>
      </c>
      <c r="D10591" s="3">
        <v>0.0</v>
      </c>
      <c r="E10591" s="3">
        <v>4.0</v>
      </c>
      <c r="F10591" s="3" t="s">
        <v>30147</v>
      </c>
      <c r="G10591" s="3">
        <v>0.0</v>
      </c>
      <c r="H10591" s="3">
        <v>0.0</v>
      </c>
      <c r="I10591" s="3" t="s">
        <v>13</v>
      </c>
      <c r="J10591" s="3" t="s">
        <v>30148</v>
      </c>
      <c r="K10591" s="3" t="s">
        <v>35</v>
      </c>
      <c r="L10591" s="3" t="str">
        <f>IFERROR(__xludf.DUMMYFUNCTION("GOOGLETRANSLATE(F10591,""id"",""en"")"),"In the Argentine match never lost before meeting Saudi Arabia after the Saudi defeat was invincible again until the championship")</f>
        <v>In the Argentine match never lost before meeting Saudi Arabia after the Saudi defeat was invincible again until the championship</v>
      </c>
    </row>
    <row r="10592" ht="15.75" customHeight="1">
      <c r="A10592" s="1">
        <v>11833.0</v>
      </c>
      <c r="B10592" s="3" t="s">
        <v>30149</v>
      </c>
      <c r="C10592" s="3">
        <v>0.0</v>
      </c>
      <c r="D10592" s="3">
        <v>1.0</v>
      </c>
      <c r="E10592" s="3">
        <v>3.0</v>
      </c>
      <c r="F10592" s="3" t="s">
        <v>30150</v>
      </c>
      <c r="G10592" s="3">
        <v>0.0</v>
      </c>
      <c r="H10592" s="3">
        <v>0.0</v>
      </c>
      <c r="I10592" s="3" t="s">
        <v>13</v>
      </c>
      <c r="J10592" s="3" t="s">
        <v>30151</v>
      </c>
      <c r="K10592" s="3" t="s">
        <v>1097</v>
      </c>
      <c r="L10592" s="3" t="str">
        <f>IFERROR(__xludf.DUMMYFUNCTION("GOOGLETRANSLATE(F10592,""id"",""en"")"),"Argentina Non -Muslim State is not the first time world champion")</f>
        <v>Argentina Non -Muslim State is not the first time world champion</v>
      </c>
    </row>
    <row r="10593" ht="15.75" customHeight="1">
      <c r="A10593" s="1">
        <v>11834.0</v>
      </c>
      <c r="B10593" s="3" t="s">
        <v>30152</v>
      </c>
      <c r="C10593" s="3">
        <v>0.0</v>
      </c>
      <c r="D10593" s="3">
        <v>0.0</v>
      </c>
      <c r="E10593" s="3">
        <v>0.0</v>
      </c>
      <c r="F10593" s="3" t="s">
        <v>30153</v>
      </c>
      <c r="G10593" s="3">
        <v>0.0</v>
      </c>
      <c r="H10593" s="3">
        <v>0.0</v>
      </c>
      <c r="I10593" s="3" t="s">
        <v>13</v>
      </c>
      <c r="J10593" s="3" t="s">
        <v>30154</v>
      </c>
      <c r="K10593" s="3" t="s">
        <v>1970</v>
      </c>
      <c r="L10593" s="3" t="str">
        <f>IFERROR(__xludf.DUMMYFUNCTION("GOOGLETRANSLATE(F10593,""id"",""en"")"),"I really cried last night when I watched the world cup even though the spain was not champion, my champion was happy to see Argentina, especially Messi to become a world champion")</f>
        <v>I really cried last night when I watched the world cup even though the spain was not champion, my champion was happy to see Argentina, especially Messi to become a world champion</v>
      </c>
    </row>
    <row r="10594" ht="15.75" customHeight="1">
      <c r="A10594" s="1">
        <v>11835.0</v>
      </c>
      <c r="B10594" s="3" t="s">
        <v>30155</v>
      </c>
      <c r="C10594" s="3">
        <v>0.0</v>
      </c>
      <c r="D10594" s="3">
        <v>0.0</v>
      </c>
      <c r="E10594" s="3">
        <v>0.0</v>
      </c>
      <c r="F10594" s="3" t="s">
        <v>30156</v>
      </c>
      <c r="G10594" s="3">
        <v>0.0</v>
      </c>
      <c r="H10594" s="3">
        <v>0.0</v>
      </c>
      <c r="I10594" s="3" t="s">
        <v>13</v>
      </c>
      <c r="J10594" s="3" t="s">
        <v>30157</v>
      </c>
      <c r="K10594" s="3" t="s">
        <v>19</v>
      </c>
      <c r="L10594" s="3" t="str">
        <f>IFERROR(__xludf.DUMMYFUNCTION("GOOGLETRANSLATE(F10594,""id"",""en"")"),"A row of new records carved by Lionel Messi after successfully carrying Argentina World Cup champions")</f>
        <v>A row of new records carved by Lionel Messi after successfully carrying Argentina World Cup champions</v>
      </c>
    </row>
    <row r="10595" ht="15.75" customHeight="1">
      <c r="A10595" s="1">
        <v>11836.0</v>
      </c>
      <c r="B10595" s="3" t="s">
        <v>30158</v>
      </c>
      <c r="C10595" s="3">
        <v>0.0</v>
      </c>
      <c r="D10595" s="3">
        <v>1.0</v>
      </c>
      <c r="E10595" s="3">
        <v>0.0</v>
      </c>
      <c r="F10595" s="3" t="s">
        <v>30159</v>
      </c>
      <c r="G10595" s="3">
        <v>0.0</v>
      </c>
      <c r="H10595" s="3">
        <v>0.0</v>
      </c>
      <c r="I10595" s="3" t="s">
        <v>13</v>
      </c>
      <c r="J10595" s="3" t="s">
        <v>30160</v>
      </c>
      <c r="K10595" s="3" t="s">
        <v>477</v>
      </c>
      <c r="L10595" s="3" t="str">
        <f>IFERROR(__xludf.DUMMYFUNCTION("GOOGLETRANSLATE(F10595,""id"",""en"")"),"Argentina Champion World Cup Fiorentina Want to Champion UECL or not")</f>
        <v>Argentina Champion World Cup Fiorentina Want to Champion UECL or not</v>
      </c>
    </row>
    <row r="10596" ht="15.75" customHeight="1">
      <c r="A10596" s="1">
        <v>11837.0</v>
      </c>
      <c r="B10596" s="3" t="s">
        <v>30161</v>
      </c>
      <c r="C10596" s="3">
        <v>0.0</v>
      </c>
      <c r="D10596" s="3">
        <v>1.0</v>
      </c>
      <c r="E10596" s="3">
        <v>1.0</v>
      </c>
      <c r="F10596" s="3" t="s">
        <v>30162</v>
      </c>
      <c r="G10596" s="3">
        <v>0.0</v>
      </c>
      <c r="H10596" s="3">
        <v>0.0</v>
      </c>
      <c r="I10596" s="3" t="s">
        <v>13</v>
      </c>
      <c r="J10596" s="3" t="s">
        <v>30163</v>
      </c>
      <c r="K10596" s="3" t="s">
        <v>1518</v>
      </c>
      <c r="L10596" s="3" t="str">
        <f>IFERROR(__xludf.DUMMYFUNCTION("GOOGLETRANSLATE(F10596,""id"",""en"")"),"Stop fooled by the Jokowi community asking not to give the political space of identity and politicization of Dybala Aguero Religion in the French Champion Argentina Ronaldo Messi Argentia")</f>
        <v>Stop fooled by the Jokowi community asking not to give the political space of identity and politicization of Dybala Aguero Religion in the French Champion Argentina Ronaldo Messi Argentia</v>
      </c>
    </row>
    <row r="10597" ht="15.75" customHeight="1">
      <c r="A10597" s="1">
        <v>11838.0</v>
      </c>
      <c r="B10597" s="3" t="s">
        <v>30164</v>
      </c>
      <c r="C10597" s="3">
        <v>0.0</v>
      </c>
      <c r="D10597" s="3">
        <v>0.0</v>
      </c>
      <c r="E10597" s="3">
        <v>0.0</v>
      </c>
      <c r="F10597" s="3" t="s">
        <v>30162</v>
      </c>
      <c r="G10597" s="3">
        <v>0.0</v>
      </c>
      <c r="H10597" s="3">
        <v>0.0</v>
      </c>
      <c r="I10597" s="3" t="s">
        <v>13</v>
      </c>
      <c r="J10597" s="3" t="s">
        <v>30163</v>
      </c>
      <c r="K10597" s="3" t="s">
        <v>1518</v>
      </c>
      <c r="L10597" s="3" t="str">
        <f>IFERROR(__xludf.DUMMYFUNCTION("GOOGLETRANSLATE(F10597,""id"",""en"")"),"Stop fooled by the Jokowi community asking not to give the political space of identity and politicization of Dybala Aguero Religion in the French Champion Argentina Ronaldo Messi Argentia")</f>
        <v>Stop fooled by the Jokowi community asking not to give the political space of identity and politicization of Dybala Aguero Religion in the French Champion Argentina Ronaldo Messi Argentia</v>
      </c>
    </row>
    <row r="10598" ht="15.75" customHeight="1">
      <c r="A10598" s="1">
        <v>11839.0</v>
      </c>
      <c r="B10598" s="3" t="s">
        <v>30165</v>
      </c>
      <c r="C10598" s="3">
        <v>0.0</v>
      </c>
      <c r="D10598" s="3">
        <v>0.0</v>
      </c>
      <c r="E10598" s="3">
        <v>0.0</v>
      </c>
      <c r="F10598" s="3" t="s">
        <v>30162</v>
      </c>
      <c r="G10598" s="3">
        <v>0.0</v>
      </c>
      <c r="H10598" s="3">
        <v>0.0</v>
      </c>
      <c r="I10598" s="3" t="s">
        <v>13</v>
      </c>
      <c r="J10598" s="3" t="s">
        <v>30163</v>
      </c>
      <c r="K10598" s="3" t="s">
        <v>1518</v>
      </c>
      <c r="L10598" s="3" t="str">
        <f>IFERROR(__xludf.DUMMYFUNCTION("GOOGLETRANSLATE(F10598,""id"",""en"")"),"Stop fooled by the Jokowi community asking not to give the political space of identity and politicization of Dybala Aguero Religion in the French Champion Argentina Ronaldo Messi Argentia")</f>
        <v>Stop fooled by the Jokowi community asking not to give the political space of identity and politicization of Dybala Aguero Religion in the French Champion Argentina Ronaldo Messi Argentia</v>
      </c>
    </row>
    <row r="10599" ht="15.75" customHeight="1">
      <c r="A10599" s="1">
        <v>11840.0</v>
      </c>
      <c r="B10599" s="3" t="s">
        <v>30166</v>
      </c>
      <c r="C10599" s="3">
        <v>0.0</v>
      </c>
      <c r="D10599" s="3">
        <v>1.0</v>
      </c>
      <c r="E10599" s="3">
        <v>5.0</v>
      </c>
      <c r="F10599" s="3" t="s">
        <v>30167</v>
      </c>
      <c r="G10599" s="3">
        <v>0.5</v>
      </c>
      <c r="H10599" s="3">
        <v>0.0</v>
      </c>
      <c r="I10599" s="3" t="s">
        <v>13</v>
      </c>
      <c r="J10599" s="3" t="s">
        <v>30168</v>
      </c>
      <c r="K10599" s="3" t="s">
        <v>75</v>
      </c>
      <c r="L10599" s="3" t="str">
        <f>IFERROR(__xludf.DUMMYFUNCTION("GOOGLETRANSLATE(F10599,""id"",""en"")"),"Congrats Argentina won the World Cup champion again after the year of Messi You Such")</f>
        <v>Congrats Argentina won the World Cup champion again after the year of Messi You Such</v>
      </c>
    </row>
    <row r="10600" ht="15.75" customHeight="1">
      <c r="A10600" s="1">
        <v>11841.0</v>
      </c>
      <c r="B10600" s="3" t="s">
        <v>30169</v>
      </c>
      <c r="C10600" s="3">
        <v>0.0</v>
      </c>
      <c r="D10600" s="3">
        <v>0.0</v>
      </c>
      <c r="E10600" s="3">
        <v>0.0</v>
      </c>
      <c r="F10600" s="3" t="s">
        <v>30170</v>
      </c>
      <c r="G10600" s="3">
        <v>0.0</v>
      </c>
      <c r="H10600" s="3">
        <v>0.0</v>
      </c>
      <c r="I10600" s="3" t="s">
        <v>13</v>
      </c>
      <c r="J10600" s="3" t="s">
        <v>30171</v>
      </c>
      <c r="K10600" s="3" t="s">
        <v>50</v>
      </c>
      <c r="L10600" s="3" t="str">
        <f>IFERROR(__xludf.DUMMYFUNCTION("GOOGLETRANSLATE(F10600,""id"",""en"")"),"Argentina Champion World Cup After Joint French Through Penalty Fighting Drama")</f>
        <v>Argentina Champion World Cup After Joint French Through Penalty Fighting Drama</v>
      </c>
    </row>
    <row r="10601" ht="15.75" customHeight="1">
      <c r="A10601" s="1">
        <v>11842.0</v>
      </c>
      <c r="B10601" s="3" t="s">
        <v>30172</v>
      </c>
      <c r="C10601" s="3">
        <v>0.0</v>
      </c>
      <c r="D10601" s="3">
        <v>1.0</v>
      </c>
      <c r="E10601" s="3">
        <v>1.0</v>
      </c>
      <c r="F10601" s="3" t="s">
        <v>30173</v>
      </c>
      <c r="G10601" s="3">
        <v>0.0</v>
      </c>
      <c r="H10601" s="3">
        <v>0.0</v>
      </c>
      <c r="I10601" s="3" t="s">
        <v>13</v>
      </c>
      <c r="J10601" s="3" t="s">
        <v>30174</v>
      </c>
      <c r="K10601" s="3" t="s">
        <v>1518</v>
      </c>
      <c r="L10601" s="3" t="str">
        <f>IFERROR(__xludf.DUMMYFUNCTION("GOOGLETRANSLATE(F10601,""id"",""en"")"),"Elections became the biggest democratic party in Jokowi's history asking all to work optimally Dybala Aguero Penalty French champion Argentina Ronaldo Messi Argentia")</f>
        <v>Elections became the biggest democratic party in Jokowi's history asking all to work optimally Dybala Aguero Penalty French champion Argentina Ronaldo Messi Argentia</v>
      </c>
    </row>
    <row r="10602" ht="15.75" customHeight="1">
      <c r="A10602" s="1">
        <v>11843.0</v>
      </c>
      <c r="B10602" s="3" t="s">
        <v>30175</v>
      </c>
      <c r="C10602" s="3">
        <v>0.0</v>
      </c>
      <c r="D10602" s="3">
        <v>1.0</v>
      </c>
      <c r="E10602" s="3">
        <v>1.0</v>
      </c>
      <c r="F10602" s="3" t="s">
        <v>30173</v>
      </c>
      <c r="G10602" s="3">
        <v>0.0</v>
      </c>
      <c r="H10602" s="3">
        <v>0.0</v>
      </c>
      <c r="I10602" s="3" t="s">
        <v>13</v>
      </c>
      <c r="J10602" s="3" t="s">
        <v>30174</v>
      </c>
      <c r="K10602" s="3" t="s">
        <v>1518</v>
      </c>
      <c r="L10602" s="3" t="str">
        <f>IFERROR(__xludf.DUMMYFUNCTION("GOOGLETRANSLATE(F10602,""id"",""en"")"),"Elections became the biggest democratic party in Jokowi's history asking all to work optimally Dybala Aguero Penalty French champion Argentina Ronaldo Messi Argentia")</f>
        <v>Elections became the biggest democratic party in Jokowi's history asking all to work optimally Dybala Aguero Penalty French champion Argentina Ronaldo Messi Argentia</v>
      </c>
    </row>
    <row r="10603" ht="15.75" customHeight="1">
      <c r="A10603" s="1">
        <v>11844.0</v>
      </c>
      <c r="B10603" s="3" t="s">
        <v>30176</v>
      </c>
      <c r="C10603" s="3">
        <v>0.0</v>
      </c>
      <c r="D10603" s="3">
        <v>0.0</v>
      </c>
      <c r="E10603" s="3">
        <v>1.0</v>
      </c>
      <c r="F10603" s="3" t="s">
        <v>30062</v>
      </c>
      <c r="G10603" s="3">
        <v>0.0</v>
      </c>
      <c r="H10603" s="3">
        <v>0.0</v>
      </c>
      <c r="I10603" s="3" t="s">
        <v>13</v>
      </c>
      <c r="J10603" s="3" t="s">
        <v>30063</v>
      </c>
      <c r="K10603" s="3" t="s">
        <v>31</v>
      </c>
      <c r="L10603" s="3" t="str">
        <f>IFERROR(__xludf.DUMMYFUNCTION("GOOGLETRANSLATE(F10603,""id"",""en"")"),"Congratulations to the national team as World Cup champions")</f>
        <v>Congratulations to the national team as World Cup champions</v>
      </c>
    </row>
    <row r="10604" ht="15.75" customHeight="1">
      <c r="A10604" s="1">
        <v>11845.0</v>
      </c>
      <c r="B10604" s="3" t="s">
        <v>30177</v>
      </c>
      <c r="C10604" s="3">
        <v>0.0</v>
      </c>
      <c r="D10604" s="3">
        <v>1.0</v>
      </c>
      <c r="E10604" s="3">
        <v>1.0</v>
      </c>
      <c r="F10604" s="3" t="s">
        <v>30173</v>
      </c>
      <c r="G10604" s="3">
        <v>0.0</v>
      </c>
      <c r="H10604" s="3">
        <v>0.0</v>
      </c>
      <c r="I10604" s="3" t="s">
        <v>13</v>
      </c>
      <c r="J10604" s="3" t="s">
        <v>30174</v>
      </c>
      <c r="K10604" s="3" t="s">
        <v>1518</v>
      </c>
      <c r="L10604" s="3" t="str">
        <f>IFERROR(__xludf.DUMMYFUNCTION("GOOGLETRANSLATE(F10604,""id"",""en"")"),"Elections became the biggest democratic party in Jokowi's history asking all to work optimally Dybala Aguero Penalty French champion Argentina Ronaldo Messi Argentia")</f>
        <v>Elections became the biggest democratic party in Jokowi's history asking all to work optimally Dybala Aguero Penalty French champion Argentina Ronaldo Messi Argentia</v>
      </c>
    </row>
    <row r="10605" ht="15.75" customHeight="1">
      <c r="A10605" s="1">
        <v>11846.0</v>
      </c>
      <c r="B10605" s="3" t="s">
        <v>30178</v>
      </c>
      <c r="C10605" s="3">
        <v>0.0</v>
      </c>
      <c r="D10605" s="3">
        <v>0.0</v>
      </c>
      <c r="E10605" s="3">
        <v>0.0</v>
      </c>
      <c r="F10605" s="3" t="s">
        <v>30179</v>
      </c>
      <c r="G10605" s="3">
        <v>1.0</v>
      </c>
      <c r="H10605" s="3">
        <v>1.0</v>
      </c>
      <c r="I10605" s="3" t="s">
        <v>48</v>
      </c>
      <c r="J10605" s="3" t="s">
        <v>30180</v>
      </c>
      <c r="K10605" s="3" t="s">
        <v>3721</v>
      </c>
      <c r="L10605" s="3" t="str">
        <f>IFERROR(__xludf.DUMMYFUNCTION("GOOGLETRANSLATE(F10605,""id"",""en"")"),"Bad at the beginning of it is not an ah of the journey but good ahkir is the main congratulations for Argentina World Cup Qatar Mesi's world champion can finally be a Goat Greatest All Time or the greatest player of all time")</f>
        <v>Bad at the beginning of it is not an ah of the journey but good ahkir is the main congratulations for Argentina World Cup Qatar Mesi's world champion can finally be a Goat Greatest All Time or the greatest player of all time</v>
      </c>
    </row>
    <row r="10606" ht="15.75" customHeight="1">
      <c r="A10606" s="1">
        <v>11847.0</v>
      </c>
      <c r="B10606" s="3" t="s">
        <v>30181</v>
      </c>
      <c r="C10606" s="3">
        <v>0.0</v>
      </c>
      <c r="D10606" s="3">
        <v>0.0</v>
      </c>
      <c r="E10606" s="3">
        <v>2.0</v>
      </c>
      <c r="F10606" s="3" t="s">
        <v>30062</v>
      </c>
      <c r="G10606" s="3">
        <v>0.0</v>
      </c>
      <c r="H10606" s="3">
        <v>0.0</v>
      </c>
      <c r="I10606" s="3" t="s">
        <v>13</v>
      </c>
      <c r="J10606" s="3" t="s">
        <v>30063</v>
      </c>
      <c r="K10606" s="3" t="s">
        <v>31</v>
      </c>
      <c r="L10606" s="3" t="str">
        <f>IFERROR(__xludf.DUMMYFUNCTION("GOOGLETRANSLATE(F10606,""id"",""en"")"),"Congratulations to the national team as World Cup champions")</f>
        <v>Congratulations to the national team as World Cup champions</v>
      </c>
    </row>
    <row r="10607" ht="15.75" customHeight="1">
      <c r="A10607" s="1">
        <v>11848.0</v>
      </c>
      <c r="B10607" s="3" t="s">
        <v>30182</v>
      </c>
      <c r="C10607" s="3">
        <v>0.0</v>
      </c>
      <c r="D10607" s="3">
        <v>4.0</v>
      </c>
      <c r="E10607" s="3">
        <v>10.0</v>
      </c>
      <c r="F10607" s="3" t="s">
        <v>30183</v>
      </c>
      <c r="G10607" s="3">
        <v>0.55</v>
      </c>
      <c r="H10607" s="3">
        <v>0.0</v>
      </c>
      <c r="I10607" s="3" t="s">
        <v>13</v>
      </c>
      <c r="J10607" s="3" t="s">
        <v>30184</v>
      </c>
      <c r="K10607" s="3" t="s">
        <v>1656</v>
      </c>
      <c r="L10607" s="3" t="str">
        <f>IFERROR(__xludf.DUMMYFUNCTION("GOOGLETRANSLATE(F10607,""id"",""en"")"),"Congratulations Argentina officially won the World Cup after competing against France Final through Adi Penalty by playing series until Extra Time Argentina won the World Cup championship trophy")</f>
        <v>Congratulations Argentina officially won the World Cup after competing against France Final through Adi Penalty by playing series until Extra Time Argentina won the World Cup championship trophy</v>
      </c>
    </row>
    <row r="10608" ht="15.75" customHeight="1">
      <c r="A10608" s="1">
        <v>11849.0</v>
      </c>
      <c r="B10608" s="3" t="s">
        <v>30185</v>
      </c>
      <c r="C10608" s="3">
        <v>0.0</v>
      </c>
      <c r="D10608" s="3">
        <v>0.0</v>
      </c>
      <c r="E10608" s="3">
        <v>1.0</v>
      </c>
      <c r="F10608" s="3" t="s">
        <v>30186</v>
      </c>
      <c r="G10608" s="3">
        <v>0.0</v>
      </c>
      <c r="H10608" s="3">
        <v>0.0</v>
      </c>
      <c r="I10608" s="3" t="s">
        <v>13</v>
      </c>
      <c r="J10608" s="3" t="s">
        <v>29822</v>
      </c>
      <c r="K10608" s="3" t="s">
        <v>41</v>
      </c>
      <c r="L10608" s="3" t="str">
        <f>IFERROR(__xludf.DUMMYFUNCTION("GOOGLETRANSLATE(F10608,""id"",""en"")"),"Defeat France through Argentina's penalties champions of the World Cup")</f>
        <v>Defeat France through Argentina's penalties champions of the World Cup</v>
      </c>
    </row>
    <row r="10609" ht="15.75" customHeight="1">
      <c r="A10609" s="1">
        <v>11850.0</v>
      </c>
      <c r="B10609" s="3" t="s">
        <v>30187</v>
      </c>
      <c r="C10609" s="3">
        <v>0.0</v>
      </c>
      <c r="D10609" s="3">
        <v>0.0</v>
      </c>
      <c r="E10609" s="3">
        <v>0.0</v>
      </c>
      <c r="F10609" s="3" t="s">
        <v>25485</v>
      </c>
      <c r="G10609" s="3">
        <v>0.0</v>
      </c>
      <c r="H10609" s="3">
        <v>0.0</v>
      </c>
      <c r="I10609" s="3" t="s">
        <v>13</v>
      </c>
      <c r="J10609" s="3" t="s">
        <v>25486</v>
      </c>
      <c r="K10609" s="3" t="s">
        <v>82</v>
      </c>
      <c r="L10609" s="3" t="str">
        <f>IFERROR(__xludf.DUMMYFUNCTION("GOOGLETRANSLATE(F10609,""id"",""en"")"),"Argentina World Champion Messi Samai Achievement Maradona")</f>
        <v>Argentina World Champion Messi Samai Achievement Maradona</v>
      </c>
    </row>
    <row r="10610" ht="15.75" customHeight="1">
      <c r="A10610" s="1">
        <v>11851.0</v>
      </c>
      <c r="B10610" s="3" t="s">
        <v>30188</v>
      </c>
      <c r="C10610" s="3">
        <v>0.0</v>
      </c>
      <c r="D10610" s="3">
        <v>0.0</v>
      </c>
      <c r="E10610" s="3">
        <v>0.0</v>
      </c>
      <c r="F10610" s="3" t="s">
        <v>30189</v>
      </c>
      <c r="G10610" s="3">
        <v>1.0</v>
      </c>
      <c r="H10610" s="3">
        <v>0.0</v>
      </c>
      <c r="I10610" s="3" t="s">
        <v>13</v>
      </c>
      <c r="J10610" s="3" t="s">
        <v>30190</v>
      </c>
      <c r="K10610" s="3" t="s">
        <v>240</v>
      </c>
      <c r="L10610" s="3" t="str">
        <f>IFERROR(__xludf.DUMMYFUNCTION("GOOGLETRANSLATE(F10610,""id"",""en"")"),"Originally regretted after he left the game of the World Cup Final interesting, the original treat of spectacular spectacles was Argentina Champion")</f>
        <v>Originally regretted after he left the game of the World Cup Final interesting, the original treat of spectacular spectacles was Argentina Champion</v>
      </c>
    </row>
    <row r="10611" ht="15.75" customHeight="1">
      <c r="A10611" s="1">
        <v>11852.0</v>
      </c>
      <c r="B10611" s="3" t="s">
        <v>30191</v>
      </c>
      <c r="C10611" s="3">
        <v>0.0</v>
      </c>
      <c r="D10611" s="3">
        <v>0.0</v>
      </c>
      <c r="E10611" s="3">
        <v>0.0</v>
      </c>
      <c r="F10611" s="3" t="s">
        <v>30192</v>
      </c>
      <c r="G10611" s="3">
        <v>0.0</v>
      </c>
      <c r="H10611" s="3">
        <v>0.0</v>
      </c>
      <c r="I10611" s="3" t="s">
        <v>13</v>
      </c>
      <c r="J10611" s="3" t="s">
        <v>30193</v>
      </c>
      <c r="K10611" s="3" t="s">
        <v>477</v>
      </c>
      <c r="L10611" s="3" t="str">
        <f>IFERROR(__xludf.DUMMYFUNCTION("GOOGLETRANSLATE(F10611,""id"",""en"")"),"Argentina This champion is the World Cup champion from the days")</f>
        <v>Argentina This champion is the World Cup champion from the days</v>
      </c>
    </row>
    <row r="10612" ht="15.75" customHeight="1">
      <c r="A10612" s="1">
        <v>11853.0</v>
      </c>
      <c r="B10612" s="3" t="s">
        <v>30194</v>
      </c>
      <c r="C10612" s="3">
        <v>0.0</v>
      </c>
      <c r="D10612" s="3">
        <v>0.0</v>
      </c>
      <c r="E10612" s="3">
        <v>0.0</v>
      </c>
      <c r="F10612" s="3" t="s">
        <v>30195</v>
      </c>
      <c r="G10612" s="3">
        <v>0.0</v>
      </c>
      <c r="H10612" s="3">
        <v>0.0</v>
      </c>
      <c r="I10612" s="3" t="s">
        <v>13</v>
      </c>
      <c r="J10612" s="3" t="s">
        <v>30196</v>
      </c>
      <c r="K10612" s="3" t="s">
        <v>54</v>
      </c>
      <c r="L10612" s="3" t="str">
        <f>IFERROR(__xludf.DUMMYFUNCTION("GOOGLETRANSLATE(F10612,""id"",""en"")"),"the Argentina champion Kok Indonesia who was troubled")</f>
        <v>the Argentina champion Kok Indonesia who was troubled</v>
      </c>
    </row>
    <row r="10613" ht="15.75" customHeight="1">
      <c r="A10613" s="1">
        <v>11854.0</v>
      </c>
      <c r="B10613" s="3" t="s">
        <v>30197</v>
      </c>
      <c r="C10613" s="3">
        <v>0.0</v>
      </c>
      <c r="D10613" s="3">
        <v>0.0</v>
      </c>
      <c r="E10613" s="3">
        <v>0.0</v>
      </c>
      <c r="F10613" s="3" t="s">
        <v>30198</v>
      </c>
      <c r="G10613" s="3">
        <v>0.0</v>
      </c>
      <c r="H10613" s="3">
        <v>0.0</v>
      </c>
      <c r="I10613" s="3" t="s">
        <v>13</v>
      </c>
      <c r="J10613" s="3" t="s">
        <v>30199</v>
      </c>
      <c r="K10613" s="3" t="s">
        <v>15</v>
      </c>
      <c r="L10613" s="3" t="str">
        <f>IFERROR(__xludf.DUMMYFUNCTION("GOOGLETRANSLATE(F10613,""id"",""en"")"),"Not yet either Messi Want Argentina's Jejius Sarong as World Champion")</f>
        <v>Not yet either Messi Want Argentina's Jejius Sarong as World Champion</v>
      </c>
    </row>
    <row r="10614" ht="15.75" customHeight="1">
      <c r="A10614" s="1">
        <v>11855.0</v>
      </c>
      <c r="B10614" s="3" t="s">
        <v>30200</v>
      </c>
      <c r="C10614" s="3">
        <v>0.0</v>
      </c>
      <c r="D10614" s="3">
        <v>0.0</v>
      </c>
      <c r="E10614" s="3">
        <v>0.0</v>
      </c>
      <c r="F10614" s="3" t="s">
        <v>30201</v>
      </c>
      <c r="G10614" s="3">
        <v>0.0</v>
      </c>
      <c r="H10614" s="3">
        <v>0.0</v>
      </c>
      <c r="I10614" s="3" t="s">
        <v>13</v>
      </c>
      <c r="J10614" s="3" t="s">
        <v>30202</v>
      </c>
      <c r="K10614" s="3" t="s">
        <v>54</v>
      </c>
      <c r="L10614" s="3" t="str">
        <f>IFERROR(__xludf.DUMMYFUNCTION("GOOGLETRANSLATE(F10614,""id"",""en"")"),"It's okay Argentina who won Next Croatia and Pramcis")</f>
        <v>It's okay Argentina who won Next Croatia and Pramcis</v>
      </c>
    </row>
    <row r="10615" ht="15.75" customHeight="1">
      <c r="A10615" s="1">
        <v>11856.0</v>
      </c>
      <c r="B10615" s="3" t="s">
        <v>30203</v>
      </c>
      <c r="C10615" s="3">
        <v>0.0</v>
      </c>
      <c r="D10615" s="3">
        <v>0.0</v>
      </c>
      <c r="E10615" s="3">
        <v>0.0</v>
      </c>
      <c r="F10615" s="3" t="s">
        <v>30204</v>
      </c>
      <c r="G10615" s="3">
        <v>0.2333333333333333</v>
      </c>
      <c r="H10615" s="3">
        <v>-0.2</v>
      </c>
      <c r="I10615" s="3" t="s">
        <v>179</v>
      </c>
      <c r="J10615" s="3" t="s">
        <v>30205</v>
      </c>
      <c r="K10615" s="3" t="s">
        <v>1045</v>
      </c>
      <c r="L10615" s="3" t="str">
        <f>IFERROR(__xludf.DUMMYFUNCTION("GOOGLETRANSLATE(F10615,""id"",""en"")"),"Hafidz times, Nak Argentina is champion almost every game can be a penalty of Messi Last, he said, the FIFA Golden Children will not be FIFA so that Messi is not able to get")</f>
        <v>Hafidz times, Nak Argentina is champion almost every game can be a penalty of Messi Last, he said, the FIFA Golden Children will not be FIFA so that Messi is not able to get</v>
      </c>
    </row>
    <row r="10616" ht="15.75" customHeight="1">
      <c r="A10616" s="1">
        <v>11857.0</v>
      </c>
      <c r="B10616" s="3" t="s">
        <v>30206</v>
      </c>
      <c r="C10616" s="3">
        <v>0.0</v>
      </c>
      <c r="D10616" s="3">
        <v>0.0</v>
      </c>
      <c r="E10616" s="3">
        <v>0.0</v>
      </c>
      <c r="F10616" s="3" t="s">
        <v>30207</v>
      </c>
      <c r="G10616" s="3">
        <v>0.0</v>
      </c>
      <c r="H10616" s="3">
        <v>0.0</v>
      </c>
      <c r="I10616" s="3" t="s">
        <v>13</v>
      </c>
      <c r="J10616" s="3" t="s">
        <v>30208</v>
      </c>
      <c r="K10616" s="3" t="s">
        <v>15</v>
      </c>
      <c r="L10616" s="3" t="str">
        <f>IFERROR(__xludf.DUMMYFUNCTION("GOOGLETRANSLATE(F10616,""id"",""en"")"),"Statistics and drama Coloring Argentina Champion World Cup Qatar")</f>
        <v>Statistics and drama Coloring Argentina Champion World Cup Qatar</v>
      </c>
    </row>
    <row r="10617" ht="15.75" customHeight="1">
      <c r="A10617" s="1">
        <v>11858.0</v>
      </c>
      <c r="B10617" s="3" t="s">
        <v>30209</v>
      </c>
      <c r="C10617" s="3">
        <v>0.0</v>
      </c>
      <c r="D10617" s="3">
        <v>0.0</v>
      </c>
      <c r="E10617" s="3">
        <v>0.0</v>
      </c>
      <c r="F10617" s="3" t="s">
        <v>30210</v>
      </c>
      <c r="G10617" s="3">
        <v>1.0</v>
      </c>
      <c r="H10617" s="3">
        <v>0.8</v>
      </c>
      <c r="I10617" s="3" t="s">
        <v>48</v>
      </c>
      <c r="J10617" s="3" t="s">
        <v>30211</v>
      </c>
      <c r="K10617" s="3" t="s">
        <v>41</v>
      </c>
      <c r="L10617" s="3" t="str">
        <f>IFERROR(__xludf.DUMMYFUNCTION("GOOGLETRANSLATE(F10617,""id"",""en"")"),"I am so excited that I am also happy Argentina champion world cup")</f>
        <v>I am so excited that I am also happy Argentina champion world cup</v>
      </c>
    </row>
    <row r="10618" ht="15.75" customHeight="1">
      <c r="A10618" s="1">
        <v>11859.0</v>
      </c>
      <c r="B10618" s="3" t="s">
        <v>30212</v>
      </c>
      <c r="C10618" s="3">
        <v>0.0</v>
      </c>
      <c r="D10618" s="3">
        <v>1.0</v>
      </c>
      <c r="E10618" s="3">
        <v>13.0</v>
      </c>
      <c r="F10618" s="3" t="s">
        <v>30198</v>
      </c>
      <c r="G10618" s="3">
        <v>0.0</v>
      </c>
      <c r="H10618" s="3">
        <v>0.0</v>
      </c>
      <c r="I10618" s="3" t="s">
        <v>13</v>
      </c>
      <c r="J10618" s="3" t="s">
        <v>30199</v>
      </c>
      <c r="K10618" s="3" t="s">
        <v>15</v>
      </c>
      <c r="L10618" s="3" t="str">
        <f>IFERROR(__xludf.DUMMYFUNCTION("GOOGLETRANSLATE(F10618,""id"",""en"")"),"Not yet either Messi Want Argentina's Jejius Sarong as World Champion")</f>
        <v>Not yet either Messi Want Argentina's Jejius Sarong as World Champion</v>
      </c>
    </row>
    <row r="10619" ht="15.75" customHeight="1">
      <c r="A10619" s="1">
        <v>11860.0</v>
      </c>
      <c r="B10619" s="3" t="s">
        <v>30213</v>
      </c>
      <c r="C10619" s="3">
        <v>0.0</v>
      </c>
      <c r="D10619" s="3">
        <v>1.0</v>
      </c>
      <c r="E10619" s="3">
        <v>0.0</v>
      </c>
      <c r="F10619" s="3" t="s">
        <v>30214</v>
      </c>
      <c r="G10619" s="3">
        <v>0.0</v>
      </c>
      <c r="H10619" s="3">
        <v>0.0</v>
      </c>
      <c r="I10619" s="3" t="s">
        <v>13</v>
      </c>
      <c r="J10619" s="3" t="s">
        <v>30215</v>
      </c>
      <c r="K10619" s="3" t="s">
        <v>75</v>
      </c>
      <c r="L10619" s="3" t="str">
        <f>IFERROR(__xludf.DUMMYFUNCTION("GOOGLETRANSLATE(F10619,""id"",""en"")"),"Messi Bringing Argentina World Champion will be a Honda rider")</f>
        <v>Messi Bringing Argentina World Champion will be a Honda rider</v>
      </c>
    </row>
    <row r="10620" ht="15.75" customHeight="1">
      <c r="A10620" s="1">
        <v>11861.0</v>
      </c>
      <c r="B10620" s="3" t="s">
        <v>30216</v>
      </c>
      <c r="C10620" s="3">
        <v>0.0</v>
      </c>
      <c r="D10620" s="3">
        <v>0.0</v>
      </c>
      <c r="E10620" s="3">
        <v>0.0</v>
      </c>
      <c r="F10620" s="3" t="s">
        <v>30217</v>
      </c>
      <c r="G10620" s="3">
        <v>0.0</v>
      </c>
      <c r="H10620" s="3">
        <v>0.0</v>
      </c>
      <c r="I10620" s="3" t="s">
        <v>13</v>
      </c>
      <c r="J10620" s="3" t="s">
        <v>30218</v>
      </c>
      <c r="K10620" s="3" t="s">
        <v>19</v>
      </c>
      <c r="L10620" s="3" t="str">
        <f>IFERROR(__xludf.DUMMYFUNCTION("GOOGLETRANSLATE(F10620,""id"",""en"")"),"But Argentina is more shots targeted, the goalkeeper is also cool, the penalty specialist is worthy of being a champion")</f>
        <v>But Argentina is more shots targeted, the goalkeeper is also cool, the penalty specialist is worthy of being a champion</v>
      </c>
    </row>
    <row r="10621" ht="15.75" customHeight="1">
      <c r="A10621" s="1">
        <v>11862.0</v>
      </c>
      <c r="B10621" s="3" t="s">
        <v>30219</v>
      </c>
      <c r="C10621" s="3">
        <v>0.0</v>
      </c>
      <c r="D10621" s="3">
        <v>0.0</v>
      </c>
      <c r="E10621" s="3">
        <v>0.0</v>
      </c>
      <c r="F10621" s="3" t="s">
        <v>30220</v>
      </c>
      <c r="G10621" s="3">
        <v>0.0</v>
      </c>
      <c r="H10621" s="3">
        <v>0.0</v>
      </c>
      <c r="I10621" s="3" t="s">
        <v>13</v>
      </c>
      <c r="J10621" s="3" t="s">
        <v>30221</v>
      </c>
      <c r="K10621" s="3" t="s">
        <v>495</v>
      </c>
      <c r="L10621" s="3" t="str">
        <f>IFERROR(__xludf.DUMMYFUNCTION("GOOGLETRANSLATE(F10621,""id"",""en"")"),"The Argentine national team came out as World Cup champions after beating France Lusail Stadium Qatar Monday December early morning hrs")</f>
        <v>The Argentine national team came out as World Cup champions after beating France Lusail Stadium Qatar Monday December early morning hrs</v>
      </c>
    </row>
    <row r="10622" ht="15.75" customHeight="1">
      <c r="A10622" s="1">
        <v>11863.0</v>
      </c>
      <c r="B10622" s="3" t="s">
        <v>30222</v>
      </c>
      <c r="C10622" s="3">
        <v>0.0</v>
      </c>
      <c r="D10622" s="3">
        <v>0.0</v>
      </c>
      <c r="E10622" s="3">
        <v>0.0</v>
      </c>
      <c r="F10622" s="3" t="s">
        <v>30223</v>
      </c>
      <c r="G10622" s="3">
        <v>0.0</v>
      </c>
      <c r="H10622" s="3">
        <v>0.0</v>
      </c>
      <c r="I10622" s="3" t="s">
        <v>13</v>
      </c>
      <c r="J10622" s="3" t="s">
        <v>30224</v>
      </c>
      <c r="K10622" s="3" t="s">
        <v>15</v>
      </c>
      <c r="L10622" s="3" t="str">
        <f>IFERROR(__xludf.DUMMYFUNCTION("GOOGLETRANSLATE(F10622,""id"",""en"")"),"fortunately Dybala Maen is quite sincere Argentina champion")</f>
        <v>fortunately Dybala Maen is quite sincere Argentina champion</v>
      </c>
    </row>
    <row r="10623" ht="15.75" customHeight="1">
      <c r="A10623" s="1">
        <v>11864.0</v>
      </c>
      <c r="B10623" s="3" t="s">
        <v>30225</v>
      </c>
      <c r="C10623" s="3">
        <v>0.0</v>
      </c>
      <c r="D10623" s="3">
        <v>0.0</v>
      </c>
      <c r="E10623" s="3">
        <v>0.0</v>
      </c>
      <c r="F10623" s="3" t="s">
        <v>30226</v>
      </c>
      <c r="G10623" s="3">
        <v>0.0</v>
      </c>
      <c r="H10623" s="3">
        <v>0.0</v>
      </c>
      <c r="I10623" s="3" t="s">
        <v>13</v>
      </c>
      <c r="J10623" s="3" t="s">
        <v>30227</v>
      </c>
      <c r="K10623" s="3" t="s">
        <v>644</v>
      </c>
      <c r="L10623" s="3" t="str">
        <f>IFERROR(__xludf.DUMMYFUNCTION("GOOGLETRANSLATE(F10623,""id"",""en"")"),"Argentine Penalties Champion")</f>
        <v>Argentine Penalties Champion</v>
      </c>
    </row>
    <row r="10624" ht="15.75" customHeight="1">
      <c r="A10624" s="1">
        <v>11865.0</v>
      </c>
      <c r="B10624" s="3" t="s">
        <v>30228</v>
      </c>
      <c r="C10624" s="3">
        <v>0.0</v>
      </c>
      <c r="D10624" s="3">
        <v>0.0</v>
      </c>
      <c r="E10624" s="3">
        <v>0.0</v>
      </c>
      <c r="F10624" s="3" t="s">
        <v>30229</v>
      </c>
      <c r="G10624" s="3">
        <v>0.0</v>
      </c>
      <c r="H10624" s="3">
        <v>0.0</v>
      </c>
      <c r="I10624" s="3" t="s">
        <v>13</v>
      </c>
      <c r="J10624" s="3" t="s">
        <v>30230</v>
      </c>
      <c r="K10624" s="3" t="s">
        <v>41</v>
      </c>
      <c r="L10624" s="3" t="str">
        <f>IFERROR(__xludf.DUMMYFUNCTION("GOOGLETRANSLATE(F10624,""id"",""en"")"),"World Cup champions are determined through the French Argentine penalty shootout")</f>
        <v>World Cup champions are determined through the French Argentine penalty shootout</v>
      </c>
    </row>
    <row r="10625" ht="15.75" customHeight="1">
      <c r="A10625" s="1">
        <v>11866.0</v>
      </c>
      <c r="B10625" s="3" t="s">
        <v>30231</v>
      </c>
      <c r="C10625" s="3">
        <v>1.0</v>
      </c>
      <c r="D10625" s="3">
        <v>0.0</v>
      </c>
      <c r="E10625" s="3">
        <v>25.0</v>
      </c>
      <c r="F10625" s="3" t="s">
        <v>30232</v>
      </c>
      <c r="G10625" s="3">
        <v>0.0</v>
      </c>
      <c r="H10625" s="3">
        <v>0.0</v>
      </c>
      <c r="I10625" s="3" t="s">
        <v>13</v>
      </c>
      <c r="J10625" s="3" t="s">
        <v>30233</v>
      </c>
      <c r="K10625" s="3" t="s">
        <v>695</v>
      </c>
      <c r="L10625" s="3" t="str">
        <f>IFERROR(__xludf.DUMMYFUNCTION("GOOGLETRANSLATE(F10625,""id"",""en"")"),"Learning from Argentina defeat or failing the beginning is not the reason for you to be unable to become champion Gasssss enthusiasm and continues to fail again to fail to rub again until failure is bored with us")</f>
        <v>Learning from Argentina defeat or failing the beginning is not the reason for you to be unable to become champion Gasssss enthusiasm and continues to fail again to fail to rub again until failure is bored with us</v>
      </c>
    </row>
    <row r="10626" ht="15.75" customHeight="1">
      <c r="A10626" s="1">
        <v>11867.0</v>
      </c>
      <c r="B10626" s="3" t="s">
        <v>30234</v>
      </c>
      <c r="C10626" s="3">
        <v>0.0</v>
      </c>
      <c r="D10626" s="3">
        <v>0.0</v>
      </c>
      <c r="E10626" s="3">
        <v>0.0</v>
      </c>
      <c r="F10626" s="3" t="s">
        <v>30235</v>
      </c>
      <c r="G10626" s="3">
        <v>0.0</v>
      </c>
      <c r="H10626" s="3">
        <v>0.0</v>
      </c>
      <c r="I10626" s="3" t="s">
        <v>13</v>
      </c>
      <c r="J10626" s="3" t="s">
        <v>30236</v>
      </c>
      <c r="K10626" s="3" t="s">
        <v>1628</v>
      </c>
      <c r="L10626" s="3" t="str">
        <f>IFERROR(__xludf.DUMMYFUNCTION("GOOGLETRANSLATE(F10626,""id"",""en"")"),"Greetings to Mbape Min, his appearance is extraordinary even though not champion the French team inspired the revival of the lag not easy for Argentina to end the fasting of the title of France.")</f>
        <v>Greetings to Mbape Min, his appearance is extraordinary even though not champion the French team inspired the revival of the lag not easy for Argentina to end the fasting of the title of France.</v>
      </c>
    </row>
    <row r="10627" ht="15.75" customHeight="1">
      <c r="A10627" s="1">
        <v>11868.0</v>
      </c>
      <c r="B10627" s="3" t="s">
        <v>30237</v>
      </c>
      <c r="C10627" s="3">
        <v>0.0</v>
      </c>
      <c r="D10627" s="3">
        <v>0.0</v>
      </c>
      <c r="E10627" s="3">
        <v>0.0</v>
      </c>
      <c r="F10627" s="3" t="s">
        <v>30238</v>
      </c>
      <c r="G10627" s="3">
        <v>0.0</v>
      </c>
      <c r="H10627" s="3">
        <v>0.0</v>
      </c>
      <c r="I10627" s="3" t="s">
        <v>13</v>
      </c>
      <c r="J10627" s="3" t="s">
        <v>30239</v>
      </c>
      <c r="K10627" s="3" t="s">
        <v>6592</v>
      </c>
      <c r="L10627" s="3" t="str">
        <f>IFERROR(__xludf.DUMMYFUNCTION("GOOGLETRANSLATE(F10627,""id"",""en"")"),"Happy Argentina Saudi Arabia Champion Sdh Algentina")</f>
        <v>Happy Argentina Saudi Arabia Champion Sdh Algentina</v>
      </c>
    </row>
    <row r="10628" ht="15.75" customHeight="1">
      <c r="A10628" s="1">
        <v>11869.0</v>
      </c>
      <c r="B10628" s="3" t="s">
        <v>30240</v>
      </c>
      <c r="C10628" s="3">
        <v>0.0</v>
      </c>
      <c r="D10628" s="3">
        <v>0.0</v>
      </c>
      <c r="E10628" s="3">
        <v>0.0</v>
      </c>
      <c r="F10628" s="3" t="s">
        <v>30241</v>
      </c>
      <c r="G10628" s="3">
        <v>0.0</v>
      </c>
      <c r="H10628" s="3">
        <v>0.0</v>
      </c>
      <c r="I10628" s="3" t="s">
        <v>13</v>
      </c>
      <c r="J10628" s="3" t="s">
        <v>30242</v>
      </c>
      <c r="K10628" s="3" t="s">
        <v>75</v>
      </c>
      <c r="L10628" s="3" t="str">
        <f>IFERROR(__xludf.DUMMYFUNCTION("GOOGLETRANSLATE(F10628,""id"",""en"")"),"Argentina Champion World Cup Messi brought home the best player trophy")</f>
        <v>Argentina Champion World Cup Messi brought home the best player trophy</v>
      </c>
    </row>
    <row r="10629" ht="15.75" customHeight="1">
      <c r="A10629" s="1">
        <v>11870.0</v>
      </c>
      <c r="B10629" s="3" t="s">
        <v>30243</v>
      </c>
      <c r="C10629" s="3">
        <v>0.0</v>
      </c>
      <c r="D10629" s="3">
        <v>0.0</v>
      </c>
      <c r="E10629" s="3">
        <v>0.0</v>
      </c>
      <c r="F10629" s="3" t="s">
        <v>20542</v>
      </c>
      <c r="G10629" s="3">
        <v>0.0</v>
      </c>
      <c r="H10629" s="3">
        <v>0.0</v>
      </c>
      <c r="I10629" s="3" t="s">
        <v>13</v>
      </c>
      <c r="J10629" s="3" t="s">
        <v>20543</v>
      </c>
      <c r="K10629" s="3" t="s">
        <v>2117</v>
      </c>
      <c r="L10629" s="3" t="str">
        <f>IFERROR(__xludf.DUMMYFUNCTION("GOOGLETRANSLATE(F10629,""id"",""en"")"),"Argentina World Champion")</f>
        <v>Argentina World Champion</v>
      </c>
    </row>
    <row r="10630" ht="15.75" customHeight="1">
      <c r="A10630" s="1">
        <v>11871.0</v>
      </c>
      <c r="B10630" s="3" t="s">
        <v>30244</v>
      </c>
      <c r="C10630" s="3">
        <v>0.0</v>
      </c>
      <c r="D10630" s="3">
        <v>0.0</v>
      </c>
      <c r="E10630" s="3">
        <v>0.0</v>
      </c>
      <c r="F10630" s="3" t="s">
        <v>30245</v>
      </c>
      <c r="G10630" s="3">
        <v>0.0</v>
      </c>
      <c r="H10630" s="3">
        <v>0.0</v>
      </c>
      <c r="I10630" s="3" t="s">
        <v>13</v>
      </c>
      <c r="J10630" s="3" t="s">
        <v>30246</v>
      </c>
      <c r="K10630" s="3" t="s">
        <v>41</v>
      </c>
      <c r="L10630" s="3" t="str">
        <f>IFERROR(__xludf.DUMMYFUNCTION("GOOGLETRANSLATE(F10630,""id"",""en"")"),"Damn swear Argentina Moment Champion is moved to see Messi Cokkkk")</f>
        <v>Damn swear Argentina Moment Champion is moved to see Messi Cokkkk</v>
      </c>
    </row>
    <row r="10631" ht="15.75" customHeight="1">
      <c r="A10631" s="1">
        <v>11872.0</v>
      </c>
      <c r="B10631" s="3" t="s">
        <v>30247</v>
      </c>
      <c r="C10631" s="3">
        <v>0.0</v>
      </c>
      <c r="D10631" s="3">
        <v>0.0</v>
      </c>
      <c r="E10631" s="3">
        <v>0.0</v>
      </c>
      <c r="F10631" s="3" t="s">
        <v>30248</v>
      </c>
      <c r="G10631" s="3">
        <v>0.0</v>
      </c>
      <c r="H10631" s="3">
        <v>0.0</v>
      </c>
      <c r="I10631" s="3" t="s">
        <v>13</v>
      </c>
      <c r="J10631" s="3" t="s">
        <v>30249</v>
      </c>
      <c r="K10631" s="3" t="s">
        <v>2013</v>
      </c>
      <c r="L10631" s="3" t="str">
        <f>IFERROR(__xludf.DUMMYFUNCTION("GOOGLETRANSLATE(F10631,""id"",""en"")"),"Argentina came out as the Qatar World Cup champion after a draw for the minute with the second score forced team to play Argentina's penalties.")</f>
        <v>Argentina came out as the Qatar World Cup champion after a draw for the minute with the second score forced team to play Argentina's penalties.</v>
      </c>
    </row>
    <row r="10632" ht="15.75" customHeight="1">
      <c r="A10632" s="1">
        <v>11873.0</v>
      </c>
      <c r="B10632" s="3" t="s">
        <v>30250</v>
      </c>
      <c r="C10632" s="3">
        <v>0.0</v>
      </c>
      <c r="D10632" s="3">
        <v>0.0</v>
      </c>
      <c r="E10632" s="3">
        <v>1.0</v>
      </c>
      <c r="F10632" s="3" t="s">
        <v>30251</v>
      </c>
      <c r="G10632" s="3">
        <v>0.0</v>
      </c>
      <c r="H10632" s="3">
        <v>0.0</v>
      </c>
      <c r="I10632" s="3" t="s">
        <v>13</v>
      </c>
      <c r="J10632" s="3" t="s">
        <v>30252</v>
      </c>
      <c r="K10632" s="3" t="s">
        <v>4281</v>
      </c>
      <c r="L10632" s="3" t="str">
        <f>IFERROR(__xludf.DUMMYFUNCTION("GOOGLETRANSLATE(F10632,""id"",""en"")"),"The first title for Lionel Messi World Cup Diego Maradona will be proud to see his foster children get the title and soon retired Mimin's international match is not ready to see the GOAT retired congratulations to Argentina for the Qatar World Cup title")</f>
        <v>The first title for Lionel Messi World Cup Diego Maradona will be proud to see his foster children get the title and soon retired Mimin's international match is not ready to see the GOAT retired congratulations to Argentina for the Qatar World Cup title</v>
      </c>
    </row>
    <row r="10633" ht="15.75" customHeight="1">
      <c r="A10633" s="1">
        <v>11874.0</v>
      </c>
      <c r="B10633" s="3" t="s">
        <v>30253</v>
      </c>
      <c r="C10633" s="3">
        <v>2.0</v>
      </c>
      <c r="D10633" s="3">
        <v>2.0</v>
      </c>
      <c r="E10633" s="3">
        <v>5.0</v>
      </c>
      <c r="F10633" s="3" t="s">
        <v>30251</v>
      </c>
      <c r="G10633" s="3">
        <v>0.0</v>
      </c>
      <c r="H10633" s="3">
        <v>0.0</v>
      </c>
      <c r="I10633" s="3" t="s">
        <v>13</v>
      </c>
      <c r="J10633" s="3" t="s">
        <v>30252</v>
      </c>
      <c r="K10633" s="3" t="s">
        <v>4281</v>
      </c>
      <c r="L10633" s="3" t="str">
        <f>IFERROR(__xludf.DUMMYFUNCTION("GOOGLETRANSLATE(F10633,""id"",""en"")"),"The first title for Lionel Messi World Cup Diego Maradona will be proud to see his foster children get the title and soon retired Mimin's international match is not ready to see the GOAT retired congratulations to Argentina for the Qatar World Cup title")</f>
        <v>The first title for Lionel Messi World Cup Diego Maradona will be proud to see his foster children get the title and soon retired Mimin's international match is not ready to see the GOAT retired congratulations to Argentina for the Qatar World Cup title</v>
      </c>
    </row>
    <row r="10634" ht="15.75" customHeight="1">
      <c r="A10634" s="1">
        <v>11875.0</v>
      </c>
      <c r="B10634" s="3" t="s">
        <v>30254</v>
      </c>
      <c r="C10634" s="3">
        <v>0.0</v>
      </c>
      <c r="D10634" s="3">
        <v>0.0</v>
      </c>
      <c r="E10634" s="3">
        <v>0.0</v>
      </c>
      <c r="F10634" s="3" t="s">
        <v>30255</v>
      </c>
      <c r="G10634" s="3">
        <v>0.0</v>
      </c>
      <c r="H10634" s="3">
        <v>0.0</v>
      </c>
      <c r="I10634" s="3" t="s">
        <v>13</v>
      </c>
      <c r="J10634" s="3" t="s">
        <v>30256</v>
      </c>
      <c r="K10634" s="3" t="s">
        <v>1942</v>
      </c>
      <c r="L10634" s="3" t="str">
        <f>IFERROR(__xludf.DUMMYFUNCTION("GOOGLETRANSLATE(F10634,""id"",""en"")"),"Chairman of the Argentine Football Federation where KNP followed the trophy to be a very ignorant official with talent like the chairman of the federation here, very concerned")</f>
        <v>Chairman of the Argentine Football Federation where KNP followed the trophy to be a very ignorant official with talent like the chairman of the federation here, very concerned</v>
      </c>
    </row>
    <row r="10635" ht="15.75" customHeight="1">
      <c r="A10635" s="1">
        <v>11876.0</v>
      </c>
      <c r="B10635" s="3" t="s">
        <v>30257</v>
      </c>
      <c r="C10635" s="3">
        <v>0.0</v>
      </c>
      <c r="D10635" s="3">
        <v>0.0</v>
      </c>
      <c r="E10635" s="3">
        <v>0.0</v>
      </c>
      <c r="F10635" s="3" t="s">
        <v>30258</v>
      </c>
      <c r="G10635" s="3">
        <v>0.0</v>
      </c>
      <c r="H10635" s="3">
        <v>0.0</v>
      </c>
      <c r="I10635" s="3" t="s">
        <v>13</v>
      </c>
      <c r="J10635" s="3" t="s">
        <v>30259</v>
      </c>
      <c r="K10635" s="3" t="s">
        <v>205</v>
      </c>
      <c r="L10635" s="3" t="str">
        <f>IFERROR(__xludf.DUMMYFUNCTION("GOOGLETRANSLATE(F10635,""id"",""en"")"),"You are lazy but the task of piling up calm we have a solution to find the trusted task jockey the solution can directly click Bio Yah Messi Emil Martinez Argentina Champion World Cup")</f>
        <v>You are lazy but the task of piling up calm we have a solution to find the trusted task jockey the solution can directly click Bio Yah Messi Emil Martinez Argentina Champion World Cup</v>
      </c>
    </row>
    <row r="10636" ht="15.75" customHeight="1">
      <c r="A10636" s="1">
        <v>11877.0</v>
      </c>
      <c r="B10636" s="3" t="s">
        <v>30260</v>
      </c>
      <c r="C10636" s="3">
        <v>0.0</v>
      </c>
      <c r="D10636" s="3">
        <v>0.0</v>
      </c>
      <c r="E10636" s="3">
        <v>0.0</v>
      </c>
      <c r="F10636" s="3" t="s">
        <v>30261</v>
      </c>
      <c r="G10636" s="3">
        <v>0.0</v>
      </c>
      <c r="H10636" s="3">
        <v>0.0</v>
      </c>
      <c r="I10636" s="3" t="s">
        <v>13</v>
      </c>
      <c r="J10636" s="3" t="s">
        <v>30262</v>
      </c>
      <c r="K10636" s="3" t="s">
        <v>240</v>
      </c>
      <c r="L10636" s="3" t="str">
        <f>IFERROR(__xludf.DUMMYFUNCTION("GOOGLETRANSLATE(F10636,""id"",""en"")"),"Argentina won the Qatar World Cup after bulldozing France through a penalty kick shootout for the full news visit")</f>
        <v>Argentina won the Qatar World Cup after bulldozing France through a penalty kick shootout for the full news visit</v>
      </c>
    </row>
    <row r="10637" ht="15.75" customHeight="1">
      <c r="A10637" s="1">
        <v>11878.0</v>
      </c>
      <c r="B10637" s="3" t="s">
        <v>30263</v>
      </c>
      <c r="C10637" s="3">
        <v>0.0</v>
      </c>
      <c r="D10637" s="3">
        <v>0.0</v>
      </c>
      <c r="E10637" s="3">
        <v>0.0</v>
      </c>
      <c r="F10637" s="3" t="s">
        <v>30264</v>
      </c>
      <c r="G10637" s="3">
        <v>0.0</v>
      </c>
      <c r="H10637" s="3">
        <v>0.0</v>
      </c>
      <c r="I10637" s="3" t="s">
        <v>13</v>
      </c>
      <c r="J10637" s="3" t="s">
        <v>30265</v>
      </c>
      <c r="K10637" s="3" t="s">
        <v>41</v>
      </c>
      <c r="L10637" s="3" t="str">
        <f>IFERROR(__xludf.DUMMYFUNCTION("GOOGLETRANSLATE(F10637,""id"",""en"")"),"Well, GPP is France, and Congrats for Argentina")</f>
        <v>Well, GPP is France, and Congrats for Argentina</v>
      </c>
    </row>
    <row r="10638" ht="15.75" customHeight="1">
      <c r="A10638" s="1">
        <v>11879.0</v>
      </c>
      <c r="B10638" s="3" t="s">
        <v>30266</v>
      </c>
      <c r="C10638" s="3">
        <v>0.0</v>
      </c>
      <c r="D10638" s="3">
        <v>0.0</v>
      </c>
      <c r="E10638" s="3">
        <v>0.0</v>
      </c>
      <c r="F10638" s="3" t="s">
        <v>30267</v>
      </c>
      <c r="G10638" s="3">
        <v>0.3</v>
      </c>
      <c r="H10638" s="3">
        <v>0.2</v>
      </c>
      <c r="I10638" s="3" t="s">
        <v>48</v>
      </c>
      <c r="J10638" s="3" t="s">
        <v>30268</v>
      </c>
      <c r="K10638" s="3" t="s">
        <v>41</v>
      </c>
      <c r="L10638" s="3" t="str">
        <f>IFERROR(__xludf.DUMMYFUNCTION("GOOGLETRANSLATE(F10638,""id"",""en"")"),"If Argentina failed to win Messi The Real Goat")</f>
        <v>If Argentina failed to win Messi The Real Goat</v>
      </c>
    </row>
    <row r="10639" ht="15.75" customHeight="1">
      <c r="A10639" s="1">
        <v>11880.0</v>
      </c>
      <c r="B10639" s="3" t="s">
        <v>30269</v>
      </c>
      <c r="C10639" s="3">
        <v>0.0</v>
      </c>
      <c r="D10639" s="3">
        <v>0.0</v>
      </c>
      <c r="E10639" s="3">
        <v>0.0</v>
      </c>
      <c r="F10639" s="3" t="s">
        <v>30270</v>
      </c>
      <c r="G10639" s="3">
        <v>0.0</v>
      </c>
      <c r="H10639" s="3">
        <v>0.0</v>
      </c>
      <c r="I10639" s="3" t="s">
        <v>13</v>
      </c>
      <c r="J10639" s="3" t="s">
        <v>30271</v>
      </c>
      <c r="K10639" s="3" t="s">
        <v>23</v>
      </c>
      <c r="L10639" s="3" t="str">
        <f>IFERROR(__xludf.DUMMYFUNCTION("GOOGLETRANSLATE(F10639,""id"",""en"")"),"Lastly, France is actually the second half of LBH deserves Argentina LBH Hoki champions when the World Cup overalls are exciting")</f>
        <v>Lastly, France is actually the second half of LBH deserves Argentina LBH Hoki champions when the World Cup overalls are exciting</v>
      </c>
    </row>
    <row r="10640" ht="15.75" customHeight="1">
      <c r="A10640" s="1">
        <v>11881.0</v>
      </c>
      <c r="B10640" s="3" t="s">
        <v>30272</v>
      </c>
      <c r="C10640" s="3">
        <v>0.0</v>
      </c>
      <c r="D10640" s="3">
        <v>0.0</v>
      </c>
      <c r="E10640" s="3">
        <v>0.0</v>
      </c>
      <c r="F10640" s="3" t="s">
        <v>30273</v>
      </c>
      <c r="G10640" s="3">
        <v>0.0</v>
      </c>
      <c r="H10640" s="3">
        <v>0.0</v>
      </c>
      <c r="I10640" s="3" t="s">
        <v>13</v>
      </c>
      <c r="J10640" s="3" t="s">
        <v>30274</v>
      </c>
      <c r="K10640" s="3" t="s">
        <v>15</v>
      </c>
      <c r="L10640" s="3" t="str">
        <f>IFERROR(__xludf.DUMMYFUNCTION("GOOGLETRANSLATE(F10640,""id"",""en"")"),"Through the Argentine Penalty Drama Champion World Cup")</f>
        <v>Through the Argentine Penalty Drama Champion World Cup</v>
      </c>
    </row>
    <row r="10641" ht="15.75" customHeight="1">
      <c r="A10641" s="1">
        <v>11882.0</v>
      </c>
      <c r="B10641" s="3" t="s">
        <v>30275</v>
      </c>
      <c r="C10641" s="3">
        <v>44.0</v>
      </c>
      <c r="D10641" s="3">
        <v>38.0</v>
      </c>
      <c r="E10641" s="3">
        <v>231.0</v>
      </c>
      <c r="F10641" s="3" t="s">
        <v>30276</v>
      </c>
      <c r="G10641" s="3">
        <v>1.0</v>
      </c>
      <c r="H10641" s="3">
        <v>0.0</v>
      </c>
      <c r="I10641" s="3" t="s">
        <v>13</v>
      </c>
      <c r="J10641" s="3" t="s">
        <v>30277</v>
      </c>
      <c r="K10641" s="3" t="s">
        <v>682</v>
      </c>
      <c r="L10641" s="3" t="str">
        <f>IFERROR(__xludf.DUMMYFUNCTION("GOOGLETRANSLATE(F10641,""id"",""en"")"),"Last night the whole world watched the extraordinary world cup finals of the struggle of Argentina France showed that Argentina's class deserves French champions, hopefully one day our national team can compete in the World Cup we must be sure we can")</f>
        <v>Last night the whole world watched the extraordinary world cup finals of the struggle of Argentina France showed that Argentina's class deserves French champions, hopefully one day our national team can compete in the World Cup we must be sure we can</v>
      </c>
    </row>
    <row r="10642" ht="15.75" customHeight="1">
      <c r="A10642" s="1">
        <v>11883.0</v>
      </c>
      <c r="B10642" s="3" t="s">
        <v>30278</v>
      </c>
      <c r="C10642" s="3">
        <v>0.0</v>
      </c>
      <c r="D10642" s="3">
        <v>0.0</v>
      </c>
      <c r="E10642" s="3">
        <v>3.0</v>
      </c>
      <c r="F10642" s="3" t="s">
        <v>30279</v>
      </c>
      <c r="G10642" s="3">
        <v>0.0</v>
      </c>
      <c r="H10642" s="3">
        <v>0.0</v>
      </c>
      <c r="I10642" s="3" t="s">
        <v>13</v>
      </c>
      <c r="J10642" s="3" t="s">
        <v>30280</v>
      </c>
      <c r="K10642" s="3" t="s">
        <v>15</v>
      </c>
      <c r="L10642" s="3" t="str">
        <f>IFERROR(__xludf.DUMMYFUNCTION("GOOGLETRANSLATE(F10642,""id"",""en"")"),"Argentina Champion World Cup Putin congratulates Messi")</f>
        <v>Argentina Champion World Cup Putin congratulates Messi</v>
      </c>
    </row>
    <row r="10643" ht="15.75" customHeight="1">
      <c r="A10643" s="1">
        <v>11884.0</v>
      </c>
      <c r="B10643" s="3" t="s">
        <v>30281</v>
      </c>
      <c r="C10643" s="3">
        <v>0.0</v>
      </c>
      <c r="D10643" s="3">
        <v>0.0</v>
      </c>
      <c r="E10643" s="3">
        <v>0.0</v>
      </c>
      <c r="F10643" s="3" t="s">
        <v>30282</v>
      </c>
      <c r="G10643" s="3">
        <v>0.0</v>
      </c>
      <c r="H10643" s="3">
        <v>0.0</v>
      </c>
      <c r="I10643" s="3" t="s">
        <v>13</v>
      </c>
      <c r="J10643" s="3" t="s">
        <v>30283</v>
      </c>
      <c r="K10643" s="3" t="s">
        <v>715</v>
      </c>
      <c r="L10643" s="3" t="str">
        <f>IFERROR(__xludf.DUMMYFUNCTION("GOOGLETRANSLATE(F10643,""id"",""en"")"),"Congratulations Argentina national team to win the Qatar Edition World Cup Tuk Argentina Griya Babatan Mukti")</f>
        <v>Congratulations Argentina national team to win the Qatar Edition World Cup Tuk Argentina Griya Babatan Mukti</v>
      </c>
    </row>
    <row r="10644" ht="15.75" customHeight="1">
      <c r="A10644" s="1">
        <v>11885.0</v>
      </c>
      <c r="B10644" s="3" t="s">
        <v>30284</v>
      </c>
      <c r="C10644" s="3">
        <v>0.0</v>
      </c>
      <c r="D10644" s="3">
        <v>0.0</v>
      </c>
      <c r="E10644" s="3">
        <v>4.0</v>
      </c>
      <c r="F10644" s="3" t="s">
        <v>30285</v>
      </c>
      <c r="G10644" s="3">
        <v>0.0</v>
      </c>
      <c r="H10644" s="3">
        <v>0.0</v>
      </c>
      <c r="I10644" s="3" t="s">
        <v>13</v>
      </c>
      <c r="J10644" s="3" t="s">
        <v>30286</v>
      </c>
      <c r="K10644" s="3" t="s">
        <v>1097</v>
      </c>
      <c r="L10644" s="3" t="str">
        <f>IFERROR(__xludf.DUMMYFUNCTION("GOOGLETRANSLATE(F10644,""id"",""en"")"),"Argentina is the World Cup champion when you won the heart")</f>
        <v>Argentina is the World Cup champion when you won the heart</v>
      </c>
    </row>
    <row r="10645" ht="15.75" customHeight="1">
      <c r="A10645" s="1">
        <v>11886.0</v>
      </c>
      <c r="B10645" s="3" t="s">
        <v>30287</v>
      </c>
      <c r="C10645" s="3">
        <v>0.0</v>
      </c>
      <c r="D10645" s="3">
        <v>0.0</v>
      </c>
      <c r="E10645" s="3">
        <v>0.0</v>
      </c>
      <c r="F10645" s="3" t="s">
        <v>30288</v>
      </c>
      <c r="G10645" s="3">
        <v>0.0</v>
      </c>
      <c r="H10645" s="3">
        <v>0.0</v>
      </c>
      <c r="I10645" s="3" t="s">
        <v>13</v>
      </c>
      <c r="J10645" s="3" t="s">
        <v>30289</v>
      </c>
      <c r="K10645" s="3" t="s">
        <v>730</v>
      </c>
      <c r="L10645" s="3" t="str">
        <f>IFERROR(__xludf.DUMMYFUNCTION("GOOGLETRANSLATE(F10645,""id"",""en"")"),"The Fix of the British Curse ended because the English person had cursed Argentina, he said that during Maradona, Argentina would not be able to win the World Cup because of the goal of God Maradona for Britain to lose so British were furious so maradona")</f>
        <v>The Fix of the British Curse ended because the English person had cursed Argentina, he said that during Maradona, Argentina would not be able to win the World Cup because of the goal of God Maradona for Britain to lose so British were furious so maradona</v>
      </c>
    </row>
    <row r="10646" ht="15.75" customHeight="1">
      <c r="A10646" s="1">
        <v>11887.0</v>
      </c>
      <c r="B10646" s="3" t="s">
        <v>30290</v>
      </c>
      <c r="C10646" s="3">
        <v>1.0</v>
      </c>
      <c r="D10646" s="3">
        <v>0.0</v>
      </c>
      <c r="E10646" s="3">
        <v>1.0</v>
      </c>
      <c r="F10646" s="3" t="s">
        <v>30291</v>
      </c>
      <c r="G10646" s="3">
        <v>0.0</v>
      </c>
      <c r="H10646" s="3">
        <v>0.0</v>
      </c>
      <c r="I10646" s="3" t="s">
        <v>13</v>
      </c>
      <c r="J10646" s="3" t="s">
        <v>30292</v>
      </c>
      <c r="K10646" s="3" t="s">
        <v>644</v>
      </c>
      <c r="L10646" s="3" t="str">
        <f>IFERROR(__xludf.DUMMYFUNCTION("GOOGLETRANSLATE(F10646,""id"",""en"")"),"Argentine Celebration Foods Champion")</f>
        <v>Argentine Celebration Foods Champion</v>
      </c>
    </row>
    <row r="10647" ht="15.75" customHeight="1">
      <c r="A10647" s="1">
        <v>11888.0</v>
      </c>
      <c r="B10647" s="3" t="s">
        <v>30293</v>
      </c>
      <c r="C10647" s="3">
        <v>0.0</v>
      </c>
      <c r="D10647" s="3">
        <v>0.0</v>
      </c>
      <c r="E10647" s="3">
        <v>0.0</v>
      </c>
      <c r="F10647" s="3" t="s">
        <v>30294</v>
      </c>
      <c r="G10647" s="3">
        <v>0.0</v>
      </c>
      <c r="H10647" s="3">
        <v>0.0</v>
      </c>
      <c r="I10647" s="3" t="s">
        <v>13</v>
      </c>
      <c r="J10647" s="3" t="s">
        <v>30295</v>
      </c>
      <c r="K10647" s="3" t="s">
        <v>82</v>
      </c>
      <c r="L10647" s="3" t="str">
        <f>IFERROR(__xludf.DUMMYFUNCTION("GOOGLETRANSLATE(F10647,""id"",""en"")"),"Argentina The champion is the chairman of the PSSI not joining the celebration")</f>
        <v>Argentina The champion is the chairman of the PSSI not joining the celebration</v>
      </c>
    </row>
    <row r="10648" ht="15.75" customHeight="1">
      <c r="A10648" s="1">
        <v>11889.0</v>
      </c>
      <c r="B10648" s="3" t="s">
        <v>30296</v>
      </c>
      <c r="C10648" s="3">
        <v>1.0</v>
      </c>
      <c r="D10648" s="3">
        <v>0.0</v>
      </c>
      <c r="E10648" s="3">
        <v>1.0</v>
      </c>
      <c r="F10648" s="3" t="s">
        <v>30297</v>
      </c>
      <c r="G10648" s="3">
        <v>0.0</v>
      </c>
      <c r="H10648" s="3">
        <v>0.0</v>
      </c>
      <c r="I10648" s="3" t="s">
        <v>13</v>
      </c>
      <c r="J10648" s="3" t="s">
        <v>30298</v>
      </c>
      <c r="K10648" s="3" t="s">
        <v>19</v>
      </c>
      <c r="L10648" s="3" t="str">
        <f>IFERROR(__xludf.DUMMYFUNCTION("GOOGLETRANSLATE(F10648,""id"",""en"")"),"Yes, my brother screams when Argentina is champion, he cares about the neighbor or wkwkw")</f>
        <v>Yes, my brother screams when Argentina is champion, he cares about the neighbor or wkwkw</v>
      </c>
    </row>
    <row r="10649" ht="15.75" customHeight="1">
      <c r="A10649" s="1">
        <v>11890.0</v>
      </c>
      <c r="B10649" s="3" t="s">
        <v>30299</v>
      </c>
      <c r="C10649" s="3">
        <v>0.0</v>
      </c>
      <c r="D10649" s="3">
        <v>0.0</v>
      </c>
      <c r="E10649" s="3">
        <v>0.0</v>
      </c>
      <c r="F10649" s="3" t="s">
        <v>30300</v>
      </c>
      <c r="G10649" s="3">
        <v>0.0</v>
      </c>
      <c r="H10649" s="3">
        <v>0.0</v>
      </c>
      <c r="I10649" s="3" t="s">
        <v>13</v>
      </c>
      <c r="J10649" s="3" t="s">
        <v>30301</v>
      </c>
      <c r="K10649" s="3" t="s">
        <v>54</v>
      </c>
      <c r="L10649" s="3" t="str">
        <f>IFERROR(__xludf.DUMMYFUNCTION("GOOGLETRANSLATE(F10649,""id"",""en"")"),"Why is Argentina the World Cup champion so excited")</f>
        <v>Why is Argentina the World Cup champion so excited</v>
      </c>
    </row>
    <row r="10650" ht="15.75" customHeight="1">
      <c r="A10650" s="1">
        <v>11891.0</v>
      </c>
      <c r="B10650" s="3" t="s">
        <v>30302</v>
      </c>
      <c r="C10650" s="3">
        <v>0.0</v>
      </c>
      <c r="D10650" s="3">
        <v>0.0</v>
      </c>
      <c r="E10650" s="3">
        <v>0.0</v>
      </c>
      <c r="F10650" s="3" t="s">
        <v>30303</v>
      </c>
      <c r="G10650" s="3">
        <v>0.0</v>
      </c>
      <c r="H10650" s="3">
        <v>0.0</v>
      </c>
      <c r="I10650" s="3" t="s">
        <v>13</v>
      </c>
      <c r="J10650" s="3" t="s">
        <v>30304</v>
      </c>
      <c r="K10650" s="3" t="s">
        <v>1097</v>
      </c>
      <c r="L10650" s="3" t="str">
        <f>IFERROR(__xludf.DUMMYFUNCTION("GOOGLETRANSLATE(F10650,""id"",""en"")"),"Causes of Argentina Champion Insert Photo Wadon Wearing Argentina T -Shirt")</f>
        <v>Causes of Argentina Champion Insert Photo Wadon Wearing Argentina T -Shirt</v>
      </c>
    </row>
    <row r="10651" ht="15.75" customHeight="1">
      <c r="A10651" s="1">
        <v>11892.0</v>
      </c>
      <c r="B10651" s="3" t="s">
        <v>30305</v>
      </c>
      <c r="C10651" s="3">
        <v>10.0</v>
      </c>
      <c r="D10651" s="3">
        <v>3.0</v>
      </c>
      <c r="E10651" s="3">
        <v>22.0</v>
      </c>
      <c r="F10651" s="3" t="s">
        <v>30306</v>
      </c>
      <c r="G10651" s="3">
        <v>0.0</v>
      </c>
      <c r="H10651" s="3">
        <v>0.0</v>
      </c>
      <c r="I10651" s="3" t="s">
        <v>13</v>
      </c>
      <c r="J10651" s="3" t="s">
        <v>30307</v>
      </c>
      <c r="K10651" s="3" t="s">
        <v>433</v>
      </c>
      <c r="L10651" s="3" t="str">
        <f>IFERROR(__xludf.DUMMYFUNCTION("GOOGLETRANSLATE(F10651,""id"",""en"")"),"Although Argentina champions pildun to this day have not been able to defeat the Indonesia World Cup so what is the greatness of Argentina")</f>
        <v>Although Argentina champions pildun to this day have not been able to defeat the Indonesia World Cup so what is the greatness of Argentina</v>
      </c>
    </row>
    <row r="10652" ht="15.75" customHeight="1">
      <c r="A10652" s="1">
        <v>11893.0</v>
      </c>
      <c r="B10652" s="3" t="s">
        <v>30308</v>
      </c>
      <c r="C10652" s="3">
        <v>0.0</v>
      </c>
      <c r="D10652" s="3">
        <v>0.0</v>
      </c>
      <c r="E10652" s="3">
        <v>0.0</v>
      </c>
      <c r="F10652" s="3" t="s">
        <v>30309</v>
      </c>
      <c r="G10652" s="3">
        <v>0.3</v>
      </c>
      <c r="H10652" s="3">
        <v>0.2</v>
      </c>
      <c r="I10652" s="3" t="s">
        <v>48</v>
      </c>
      <c r="J10652" s="3" t="s">
        <v>30310</v>
      </c>
      <c r="K10652" s="3" t="s">
        <v>495</v>
      </c>
      <c r="L10652" s="3" t="str">
        <f>IFERROR(__xludf.DUMMYFUNCTION("GOOGLETRANSLATE(F10652,""id"",""en"")"),"Good morning Argentina world champion returns after the year of Maradona The Real Goat must smile this eternity must be a special gift for his country being hit by a crisis")</f>
        <v>Good morning Argentina world champion returns after the year of Maradona The Real Goat must smile this eternity must be a special gift for his country being hit by a crisis</v>
      </c>
    </row>
    <row r="10653" ht="15.75" customHeight="1">
      <c r="A10653" s="1">
        <v>11894.0</v>
      </c>
      <c r="B10653" s="3" t="s">
        <v>30311</v>
      </c>
      <c r="C10653" s="3">
        <v>0.0</v>
      </c>
      <c r="D10653" s="3">
        <v>0.0</v>
      </c>
      <c r="E10653" s="3">
        <v>0.0</v>
      </c>
      <c r="F10653" s="3" t="s">
        <v>22241</v>
      </c>
      <c r="G10653" s="3">
        <v>0.0</v>
      </c>
      <c r="H10653" s="3">
        <v>0.0</v>
      </c>
      <c r="I10653" s="3" t="s">
        <v>13</v>
      </c>
      <c r="J10653" s="3" t="s">
        <v>16942</v>
      </c>
      <c r="K10653" s="3" t="s">
        <v>644</v>
      </c>
      <c r="L10653" s="3" t="str">
        <f>IFERROR(__xludf.DUMMYFUNCTION("GOOGLETRANSLATE(F10653,""id"",""en"")"),"Argentina Champion World Cup")</f>
        <v>Argentina Champion World Cup</v>
      </c>
    </row>
    <row r="10654" ht="15.75" customHeight="1">
      <c r="A10654" s="1">
        <v>11895.0</v>
      </c>
      <c r="B10654" s="3" t="s">
        <v>30312</v>
      </c>
      <c r="C10654" s="3">
        <v>0.0</v>
      </c>
      <c r="D10654" s="3">
        <v>0.0</v>
      </c>
      <c r="E10654" s="3">
        <v>3.0</v>
      </c>
      <c r="F10654" s="3" t="s">
        <v>30313</v>
      </c>
      <c r="G10654" s="3">
        <v>0.0</v>
      </c>
      <c r="H10654" s="3">
        <v>0.0</v>
      </c>
      <c r="I10654" s="3" t="s">
        <v>13</v>
      </c>
      <c r="J10654" s="3" t="s">
        <v>30314</v>
      </c>
      <c r="K10654" s="3" t="s">
        <v>1518</v>
      </c>
      <c r="L10654" s="3" t="str">
        <f>IFERROR(__xludf.DUMMYFUNCTION("GOOGLETRANSLATE(F10654,""id"",""en"")"),"Good morning everyone, don't forget that this is still Monday and Saturday is still a long time since you know, do you know last night Argentina won the World Cup for Mbappe who was already carrying the team")</f>
        <v>Good morning everyone, don't forget that this is still Monday and Saturday is still a long time since you know, do you know last night Argentina won the World Cup for Mbappe who was already carrying the team</v>
      </c>
    </row>
    <row r="10655" ht="15.75" customHeight="1">
      <c r="A10655" s="1">
        <v>11897.0</v>
      </c>
      <c r="B10655" s="3" t="s">
        <v>30315</v>
      </c>
      <c r="C10655" s="3">
        <v>0.0</v>
      </c>
      <c r="D10655" s="3">
        <v>0.0</v>
      </c>
      <c r="E10655" s="3">
        <v>0.0</v>
      </c>
      <c r="F10655" s="3" t="s">
        <v>30316</v>
      </c>
      <c r="G10655" s="3">
        <v>0.4</v>
      </c>
      <c r="H10655" s="3">
        <v>-0.4</v>
      </c>
      <c r="I10655" s="3" t="s">
        <v>179</v>
      </c>
      <c r="J10655" s="3" t="s">
        <v>30317</v>
      </c>
      <c r="K10655" s="3" t="s">
        <v>19</v>
      </c>
      <c r="L10655" s="3" t="str">
        <f>IFERROR(__xludf.DUMMYFUNCTION("GOOGLETRANSLATE(F10655,""id"",""en"")"),"Aseli org determines Argentina champions if it's a goal up game over Gada Adu Pinal of")</f>
        <v>Aseli org determines Argentina champions if it's a goal up game over Gada Adu Pinal of</v>
      </c>
    </row>
    <row r="10656" ht="15.75" customHeight="1">
      <c r="A10656" s="1">
        <v>11898.0</v>
      </c>
      <c r="B10656" s="3" t="s">
        <v>30318</v>
      </c>
      <c r="C10656" s="3">
        <v>1.0</v>
      </c>
      <c r="D10656" s="3">
        <v>0.0</v>
      </c>
      <c r="E10656" s="3">
        <v>0.0</v>
      </c>
      <c r="F10656" s="3" t="s">
        <v>30319</v>
      </c>
      <c r="G10656" s="3">
        <v>0.0</v>
      </c>
      <c r="H10656" s="3">
        <v>0.0</v>
      </c>
      <c r="I10656" s="3" t="s">
        <v>13</v>
      </c>
      <c r="J10656" s="3" t="s">
        <v>30320</v>
      </c>
      <c r="K10656" s="3" t="s">
        <v>644</v>
      </c>
      <c r="L10656" s="3" t="str">
        <f>IFERROR(__xludf.DUMMYFUNCTION("GOOGLETRANSLATE(F10656,""id"",""en"")"),"Argentina GBKL Champion If so")</f>
        <v>Argentina GBKL Champion If so</v>
      </c>
    </row>
    <row r="10657" ht="15.75" customHeight="1">
      <c r="A10657" s="1">
        <v>11899.0</v>
      </c>
      <c r="B10657" s="3" t="s">
        <v>30321</v>
      </c>
      <c r="C10657" s="3">
        <v>0.0</v>
      </c>
      <c r="D10657" s="3">
        <v>0.0</v>
      </c>
      <c r="E10657" s="3">
        <v>0.0</v>
      </c>
      <c r="F10657" s="3" t="s">
        <v>30322</v>
      </c>
      <c r="G10657" s="3">
        <v>0.0</v>
      </c>
      <c r="H10657" s="3">
        <v>0.0</v>
      </c>
      <c r="I10657" s="3" t="s">
        <v>13</v>
      </c>
      <c r="J10657" s="3" t="s">
        <v>30323</v>
      </c>
      <c r="K10657" s="3" t="s">
        <v>50</v>
      </c>
      <c r="L10657" s="3" t="str">
        <f>IFERROR(__xludf.DUMMYFUNCTION("GOOGLETRANSLATE(F10657,""id"",""en"")"),"Argentina Champion World Cup Defeat France via Pinaltifighting through com")</f>
        <v>Argentina Champion World Cup Defeat France via Pinaltifighting through com</v>
      </c>
    </row>
    <row r="10658" ht="15.75" customHeight="1">
      <c r="A10658" s="1">
        <v>11900.0</v>
      </c>
      <c r="B10658" s="3" t="s">
        <v>30324</v>
      </c>
      <c r="C10658" s="3">
        <v>0.0</v>
      </c>
      <c r="D10658" s="3">
        <v>0.0</v>
      </c>
      <c r="E10658" s="3">
        <v>0.0</v>
      </c>
      <c r="F10658" s="3" t="s">
        <v>30325</v>
      </c>
      <c r="G10658" s="3">
        <v>0.6</v>
      </c>
      <c r="H10658" s="3">
        <v>-0.3</v>
      </c>
      <c r="I10658" s="3" t="s">
        <v>179</v>
      </c>
      <c r="J10658" s="3" t="s">
        <v>30326</v>
      </c>
      <c r="K10658" s="3" t="s">
        <v>15</v>
      </c>
      <c r="L10658" s="3" t="str">
        <f>IFERROR(__xludf.DUMMYFUNCTION("GOOGLETRANSLATE(F10658,""id"",""en"")"),"Persib Meunang Argentina champion enaakkk pisan sleep duh")</f>
        <v>Persib Meunang Argentina champion enaakkk pisan sleep duh</v>
      </c>
    </row>
    <row r="10659" ht="15.75" customHeight="1">
      <c r="A10659" s="1">
        <v>11901.0</v>
      </c>
      <c r="B10659" s="3" t="s">
        <v>30327</v>
      </c>
      <c r="C10659" s="3">
        <v>2.0</v>
      </c>
      <c r="D10659" s="3">
        <v>0.0</v>
      </c>
      <c r="E10659" s="3">
        <v>0.0</v>
      </c>
      <c r="F10659" s="3" t="s">
        <v>30328</v>
      </c>
      <c r="G10659" s="3">
        <v>0.0</v>
      </c>
      <c r="H10659" s="3">
        <v>0.0</v>
      </c>
      <c r="I10659" s="3" t="s">
        <v>13</v>
      </c>
      <c r="J10659" s="3" t="s">
        <v>30329</v>
      </c>
      <c r="K10659" s="3" t="s">
        <v>1552</v>
      </c>
      <c r="L10659" s="3" t="str">
        <f>IFERROR(__xludf.DUMMYFUNCTION("GOOGLETRANSLATE(F10659,""id"",""en"")"),"Happy Argentina World Champion Tristan remains my heart champion Ciat Ciat")</f>
        <v>Happy Argentina World Champion Tristan remains my heart champion Ciat Ciat</v>
      </c>
    </row>
    <row r="10660" ht="15.75" customHeight="1">
      <c r="A10660" s="1">
        <v>11902.0</v>
      </c>
      <c r="B10660" s="3" t="s">
        <v>30330</v>
      </c>
      <c r="C10660" s="3">
        <v>0.0</v>
      </c>
      <c r="D10660" s="3">
        <v>0.0</v>
      </c>
      <c r="E10660" s="3">
        <v>0.0</v>
      </c>
      <c r="F10660" s="3" t="s">
        <v>30331</v>
      </c>
      <c r="G10660" s="3">
        <v>0.0</v>
      </c>
      <c r="H10660" s="3">
        <v>0.0</v>
      </c>
      <c r="I10660" s="3" t="s">
        <v>13</v>
      </c>
      <c r="J10660" s="3" t="s">
        <v>30332</v>
      </c>
      <c r="K10660" s="3" t="s">
        <v>127</v>
      </c>
      <c r="L10660" s="3" t="str">
        <f>IFERROR(__xludf.DUMMYFUNCTION("GOOGLETRANSLATE(F10660,""id"",""en"")"),"Messi New Legend Jagat Football Congratulations You have realized the waiting year of Argentina as a prestigious World Cup championship")</f>
        <v>Messi New Legend Jagat Football Congratulations You have realized the waiting year of Argentina as a prestigious World Cup championship</v>
      </c>
    </row>
    <row r="10661" ht="15.75" customHeight="1">
      <c r="A10661" s="1">
        <v>11903.0</v>
      </c>
      <c r="B10661" s="3" t="s">
        <v>30333</v>
      </c>
      <c r="C10661" s="3">
        <v>0.0</v>
      </c>
      <c r="D10661" s="3">
        <v>0.0</v>
      </c>
      <c r="E10661" s="3">
        <v>0.0</v>
      </c>
      <c r="F10661" s="3" t="s">
        <v>30334</v>
      </c>
      <c r="G10661" s="3">
        <v>0.0</v>
      </c>
      <c r="H10661" s="3">
        <v>0.0</v>
      </c>
      <c r="I10661" s="3" t="s">
        <v>13</v>
      </c>
      <c r="J10661" s="3" t="s">
        <v>30335</v>
      </c>
      <c r="K10661" s="3" t="s">
        <v>82</v>
      </c>
      <c r="L10661" s="3" t="str">
        <f>IFERROR(__xludf.DUMMYFUNCTION("GOOGLETRANSLATE(F10661,""id"",""en"")"),"Argentina World Champion Congratulations Watch Re -Broadcast")</f>
        <v>Argentina World Champion Congratulations Watch Re -Broadcast</v>
      </c>
    </row>
    <row r="10662" ht="15.75" customHeight="1">
      <c r="A10662" s="1">
        <v>11904.0</v>
      </c>
      <c r="B10662" s="3" t="s">
        <v>30336</v>
      </c>
      <c r="C10662" s="3">
        <v>1.0</v>
      </c>
      <c r="D10662" s="3">
        <v>1.0</v>
      </c>
      <c r="E10662" s="3">
        <v>3.0</v>
      </c>
      <c r="F10662" s="3" t="s">
        <v>30337</v>
      </c>
      <c r="G10662" s="3">
        <v>0.0</v>
      </c>
      <c r="H10662" s="3">
        <v>0.0</v>
      </c>
      <c r="I10662" s="3" t="s">
        <v>13</v>
      </c>
      <c r="J10662" s="3" t="s">
        <v>30338</v>
      </c>
      <c r="K10662" s="3" t="s">
        <v>123</v>
      </c>
      <c r="L10662" s="3" t="str">
        <f>IFERROR(__xludf.DUMMYFUNCTION("GOOGLETRANSLATE(F10662,""id"",""en"")"),"Good morning, let's start in the morning by laughing at Argentina World Cup champions for French fans try again")</f>
        <v>Good morning, let's start in the morning by laughing at Argentina World Cup champions for French fans try again</v>
      </c>
    </row>
    <row r="10663" ht="15.75" customHeight="1">
      <c r="A10663" s="1">
        <v>11905.0</v>
      </c>
      <c r="B10663" s="3" t="s">
        <v>30339</v>
      </c>
      <c r="C10663" s="3">
        <v>1.0</v>
      </c>
      <c r="D10663" s="3">
        <v>0.0</v>
      </c>
      <c r="E10663" s="3">
        <v>0.0</v>
      </c>
      <c r="F10663" s="3" t="s">
        <v>30340</v>
      </c>
      <c r="G10663" s="3">
        <v>0.5399999999999999</v>
      </c>
      <c r="H10663" s="3">
        <v>0.16</v>
      </c>
      <c r="I10663" s="3" t="s">
        <v>48</v>
      </c>
      <c r="J10663" s="3" t="s">
        <v>30341</v>
      </c>
      <c r="K10663" s="3" t="s">
        <v>127</v>
      </c>
      <c r="L10663" s="3" t="str">
        <f>IFERROR(__xludf.DUMMYFUNCTION("GOOGLETRANSLATE(F10663,""id"",""en"")"),"Argentina high pressing and finally stamina drained in the second half of Mbappe carrying the Gokil team to determine the champion until the penalty shootout")</f>
        <v>Argentina high pressing and finally stamina drained in the second half of Mbappe carrying the Gokil team to determine the champion until the penalty shootout</v>
      </c>
    </row>
    <row r="10664" ht="15.75" customHeight="1">
      <c r="A10664" s="1">
        <v>11906.0</v>
      </c>
      <c r="B10664" s="3" t="s">
        <v>30342</v>
      </c>
      <c r="C10664" s="3">
        <v>0.0</v>
      </c>
      <c r="D10664" s="3">
        <v>0.0</v>
      </c>
      <c r="E10664" s="3">
        <v>0.0</v>
      </c>
      <c r="F10664" s="3" t="s">
        <v>30343</v>
      </c>
      <c r="G10664" s="3">
        <v>0.0</v>
      </c>
      <c r="H10664" s="3">
        <v>0.0</v>
      </c>
      <c r="I10664" s="3" t="s">
        <v>13</v>
      </c>
      <c r="J10664" s="3" t="s">
        <v>30344</v>
      </c>
      <c r="K10664" s="3" t="s">
        <v>50</v>
      </c>
      <c r="L10664" s="3" t="str">
        <f>IFERROR(__xludf.DUMMYFUNCTION("GOOGLETRANSLATE(F10664,""id"",""en"")"),"Watch the French Argentina hot match fighting for the World Cup title")</f>
        <v>Watch the French Argentina hot match fighting for the World Cup title</v>
      </c>
    </row>
    <row r="10665" ht="15.75" customHeight="1">
      <c r="A10665" s="1">
        <v>11907.0</v>
      </c>
      <c r="B10665" s="3" t="s">
        <v>30345</v>
      </c>
      <c r="C10665" s="3">
        <v>0.0</v>
      </c>
      <c r="D10665" s="3">
        <v>0.0</v>
      </c>
      <c r="E10665" s="3">
        <v>0.0</v>
      </c>
      <c r="F10665" s="3" t="s">
        <v>30346</v>
      </c>
      <c r="G10665" s="3">
        <v>0.0</v>
      </c>
      <c r="H10665" s="3">
        <v>0.0</v>
      </c>
      <c r="I10665" s="3" t="s">
        <v>13</v>
      </c>
      <c r="J10665" s="3" t="s">
        <v>30347</v>
      </c>
      <c r="K10665" s="3" t="s">
        <v>19</v>
      </c>
      <c r="L10665" s="3" t="str">
        <f>IFERROR(__xludf.DUMMYFUNCTION("GOOGLETRANSLATE(F10665,""id"",""en"")"),"Argentina key champion because his team is a player of the Catalan Club Damager.")</f>
        <v>Argentina key champion because his team is a player of the Catalan Club Damager.</v>
      </c>
    </row>
    <row r="10666" ht="15.75" customHeight="1">
      <c r="A10666" s="1">
        <v>11908.0</v>
      </c>
      <c r="B10666" s="3" t="s">
        <v>30348</v>
      </c>
      <c r="C10666" s="3">
        <v>0.0</v>
      </c>
      <c r="D10666" s="3">
        <v>0.0</v>
      </c>
      <c r="E10666" s="3">
        <v>0.0</v>
      </c>
      <c r="F10666" s="3" t="s">
        <v>22928</v>
      </c>
      <c r="G10666" s="3">
        <v>0.0</v>
      </c>
      <c r="H10666" s="3">
        <v>0.0</v>
      </c>
      <c r="I10666" s="3" t="s">
        <v>13</v>
      </c>
      <c r="J10666" s="3" t="s">
        <v>22929</v>
      </c>
      <c r="K10666" s="3" t="s">
        <v>19</v>
      </c>
      <c r="L10666" s="3" t="str">
        <f>IFERROR(__xludf.DUMMYFUNCTION("GOOGLETRANSLATE(F10666,""id"",""en"")"),"Ronaldo Puji Lionel Messi After Argentina World Cup Champion Called Pulga Jenius")</f>
        <v>Ronaldo Puji Lionel Messi After Argentina World Cup Champion Called Pulga Jenius</v>
      </c>
    </row>
    <row r="10667" ht="15.75" customHeight="1">
      <c r="A10667" s="1">
        <v>11909.0</v>
      </c>
      <c r="B10667" s="3" t="s">
        <v>30349</v>
      </c>
      <c r="C10667" s="3">
        <v>0.0</v>
      </c>
      <c r="D10667" s="3">
        <v>0.0</v>
      </c>
      <c r="E10667" s="3">
        <v>0.0</v>
      </c>
      <c r="F10667" s="3" t="s">
        <v>30350</v>
      </c>
      <c r="G10667" s="3">
        <v>0.0</v>
      </c>
      <c r="H10667" s="3">
        <v>0.0</v>
      </c>
      <c r="I10667" s="3" t="s">
        <v>13</v>
      </c>
      <c r="J10667" s="3" t="s">
        <v>16104</v>
      </c>
      <c r="K10667" s="3" t="s">
        <v>14571</v>
      </c>
      <c r="L10667" s="3" t="str">
        <f>IFERROR(__xludf.DUMMYFUNCTION("GOOGLETRANSLATE(F10667,""id"",""en"")"),"Argentina because of the champion")</f>
        <v>Argentina because of the champion</v>
      </c>
    </row>
    <row r="10668" ht="15.75" customHeight="1">
      <c r="A10668" s="1">
        <v>11910.0</v>
      </c>
      <c r="B10668" s="3" t="s">
        <v>30351</v>
      </c>
      <c r="C10668" s="3">
        <v>1.0</v>
      </c>
      <c r="D10668" s="3">
        <v>0.0</v>
      </c>
      <c r="E10668" s="3">
        <v>0.0</v>
      </c>
      <c r="F10668" s="3" t="s">
        <v>30352</v>
      </c>
      <c r="G10668" s="3">
        <v>0.0</v>
      </c>
      <c r="H10668" s="3">
        <v>0.0</v>
      </c>
      <c r="I10668" s="3" t="s">
        <v>13</v>
      </c>
      <c r="J10668" s="3" t="s">
        <v>30353</v>
      </c>
      <c r="K10668" s="3" t="s">
        <v>50</v>
      </c>
      <c r="L10668" s="3" t="str">
        <f>IFERROR(__xludf.DUMMYFUNCTION("GOOGLETRANSLATE(F10668,""id"",""en"")"),"Brazil Argentina Needs a Njir Year for South American Deputy Champion World Cup")</f>
        <v>Brazil Argentina Needs a Njir Year for South American Deputy Champion World Cup</v>
      </c>
    </row>
    <row r="10669" ht="15.75" customHeight="1">
      <c r="A10669" s="1">
        <v>11911.0</v>
      </c>
      <c r="B10669" s="3" t="s">
        <v>30354</v>
      </c>
      <c r="C10669" s="3">
        <v>0.0</v>
      </c>
      <c r="D10669" s="3">
        <v>0.0</v>
      </c>
      <c r="E10669" s="3">
        <v>0.0</v>
      </c>
      <c r="F10669" s="3" t="s">
        <v>30355</v>
      </c>
      <c r="G10669" s="3">
        <v>0.0</v>
      </c>
      <c r="H10669" s="3">
        <v>0.0</v>
      </c>
      <c r="I10669" s="3" t="s">
        <v>13</v>
      </c>
      <c r="J10669" s="3" t="s">
        <v>30356</v>
      </c>
      <c r="K10669" s="3" t="s">
        <v>86</v>
      </c>
      <c r="L10669" s="3" t="str">
        <f>IFERROR(__xludf.DUMMYFUNCTION("GOOGLETRANSLATE(F10669,""id"",""en"")"),"Give me thousands of parents, I will surely shock Mount Fitz Roy from the roots, give me a young man to shock the world last year we are champions not through a penalty and now we are champions through the penalty we are Argentina who are Argentina")</f>
        <v>Give me thousands of parents, I will surely shock Mount Fitz Roy from the roots, give me a young man to shock the world last year we are champions not through a penalty and now we are champions through the penalty we are Argentina who are Argentina</v>
      </c>
    </row>
    <row r="10670" ht="15.75" customHeight="1">
      <c r="A10670" s="1">
        <v>11912.0</v>
      </c>
      <c r="B10670" s="3" t="s">
        <v>30357</v>
      </c>
      <c r="C10670" s="3">
        <v>0.0</v>
      </c>
      <c r="D10670" s="3">
        <v>0.0</v>
      </c>
      <c r="E10670" s="3">
        <v>0.0</v>
      </c>
      <c r="F10670" s="3" t="s">
        <v>30358</v>
      </c>
      <c r="G10670" s="3">
        <v>0.0</v>
      </c>
      <c r="H10670" s="3">
        <v>0.0</v>
      </c>
      <c r="I10670" s="3" t="s">
        <v>13</v>
      </c>
      <c r="J10670" s="3" t="s">
        <v>30359</v>
      </c>
      <c r="K10670" s="3" t="s">
        <v>240</v>
      </c>
      <c r="L10670" s="3" t="str">
        <f>IFERROR(__xludf.DUMMYFUNCTION("GOOGLETRANSLATE(F10670,""id"",""en"")"),"Argentina succeeded in championing the World Cup that proved that Mbappe's talk was one of the South America football not at the top level")</f>
        <v>Argentina succeeded in championing the World Cup that proved that Mbappe's talk was one of the South America football not at the top level</v>
      </c>
    </row>
    <row r="10671" ht="15.75" customHeight="1">
      <c r="A10671" s="1">
        <v>11913.0</v>
      </c>
      <c r="B10671" s="3" t="s">
        <v>30360</v>
      </c>
      <c r="C10671" s="3">
        <v>1.0</v>
      </c>
      <c r="D10671" s="3">
        <v>0.0</v>
      </c>
      <c r="E10671" s="3">
        <v>0.0</v>
      </c>
      <c r="F10671" s="3" t="s">
        <v>30361</v>
      </c>
      <c r="G10671" s="3">
        <v>1.0</v>
      </c>
      <c r="H10671" s="3">
        <v>0.0</v>
      </c>
      <c r="I10671" s="3" t="s">
        <v>13</v>
      </c>
      <c r="J10671" s="3" t="s">
        <v>30362</v>
      </c>
      <c r="K10671" s="3" t="s">
        <v>19</v>
      </c>
      <c r="L10671" s="3" t="str">
        <f>IFERROR(__xludf.DUMMYFUNCTION("GOOGLETRANSLATE(F10671,""id"",""en"")"),"Just like during the World Cup final I championed France to become a champion but bets holding Argentina")</f>
        <v>Just like during the World Cup final I championed France to become a champion but bets holding Argentina</v>
      </c>
    </row>
    <row r="10672" ht="15.75" customHeight="1">
      <c r="A10672" s="1">
        <v>11914.0</v>
      </c>
      <c r="B10672" s="3" t="s">
        <v>30363</v>
      </c>
      <c r="C10672" s="3">
        <v>0.0</v>
      </c>
      <c r="D10672" s="3">
        <v>0.0</v>
      </c>
      <c r="E10672" s="3">
        <v>1.0</v>
      </c>
      <c r="F10672" s="3" t="s">
        <v>30364</v>
      </c>
      <c r="G10672" s="3">
        <v>0.0</v>
      </c>
      <c r="H10672" s="3">
        <v>0.0</v>
      </c>
      <c r="I10672" s="3" t="s">
        <v>13</v>
      </c>
      <c r="J10672" s="3" t="s">
        <v>30365</v>
      </c>
      <c r="K10672" s="3" t="s">
        <v>2215</v>
      </c>
      <c r="L10672" s="3" t="str">
        <f>IFERROR(__xludf.DUMMYFUNCTION("GOOGLETRANSLATE(F10672,""id"",""en"")"),"Argentina The World Cup Champion defeated France Lionel Messi became the main star of the world's concern")</f>
        <v>Argentina The World Cup Champion defeated France Lionel Messi became the main star of the world's concern</v>
      </c>
    </row>
    <row r="10673" ht="15.75" customHeight="1">
      <c r="A10673" s="1">
        <v>11915.0</v>
      </c>
      <c r="B10673" s="3" t="s">
        <v>30366</v>
      </c>
      <c r="C10673" s="3">
        <v>1.0</v>
      </c>
      <c r="D10673" s="3">
        <v>1.0</v>
      </c>
      <c r="E10673" s="3">
        <v>0.0</v>
      </c>
      <c r="F10673" s="3" t="s">
        <v>30367</v>
      </c>
      <c r="G10673" s="3">
        <v>0.0</v>
      </c>
      <c r="H10673" s="3">
        <v>0.0</v>
      </c>
      <c r="I10673" s="3" t="s">
        <v>13</v>
      </c>
      <c r="J10673" s="3" t="s">
        <v>30368</v>
      </c>
      <c r="K10673" s="3" t="s">
        <v>715</v>
      </c>
      <c r="L10673" s="3" t="str">
        <f>IFERROR(__xludf.DUMMYFUNCTION("GOOGLETRANSLATE(F10673,""id"",""en"")"),"Support Tundra Champion Supports Argentina Champion World Cup Is it told to support Milan just to treable winner this season wkwkwk")</f>
        <v>Support Tundra Champion Supports Argentina Champion World Cup Is it told to support Milan just to treable winner this season wkwkwk</v>
      </c>
    </row>
    <row r="10674" ht="15.75" customHeight="1">
      <c r="A10674" s="1">
        <v>11916.0</v>
      </c>
      <c r="B10674" s="3" t="s">
        <v>30369</v>
      </c>
      <c r="C10674" s="3">
        <v>0.0</v>
      </c>
      <c r="D10674" s="3">
        <v>0.0</v>
      </c>
      <c r="E10674" s="3">
        <v>0.0</v>
      </c>
      <c r="F10674" s="3" t="s">
        <v>30214</v>
      </c>
      <c r="G10674" s="3">
        <v>0.0</v>
      </c>
      <c r="H10674" s="3">
        <v>0.0</v>
      </c>
      <c r="I10674" s="3" t="s">
        <v>13</v>
      </c>
      <c r="J10674" s="3" t="s">
        <v>30215</v>
      </c>
      <c r="K10674" s="3" t="s">
        <v>75</v>
      </c>
      <c r="L10674" s="3" t="str">
        <f>IFERROR(__xludf.DUMMYFUNCTION("GOOGLETRANSLATE(F10674,""id"",""en"")"),"Messi Bringing Argentina World Champion will be a Honda rider")</f>
        <v>Messi Bringing Argentina World Champion will be a Honda rider</v>
      </c>
    </row>
    <row r="10675" ht="15.75" customHeight="1">
      <c r="A10675" s="1">
        <v>11917.0</v>
      </c>
      <c r="B10675" s="3" t="s">
        <v>30370</v>
      </c>
      <c r="C10675" s="3">
        <v>0.0</v>
      </c>
      <c r="D10675" s="3">
        <v>4.0</v>
      </c>
      <c r="E10675" s="3">
        <v>34.0</v>
      </c>
      <c r="F10675" s="3" t="s">
        <v>22847</v>
      </c>
      <c r="G10675" s="3">
        <v>0.0</v>
      </c>
      <c r="H10675" s="3">
        <v>0.0</v>
      </c>
      <c r="I10675" s="3" t="s">
        <v>13</v>
      </c>
      <c r="J10675" s="3" t="s">
        <v>22848</v>
      </c>
      <c r="K10675" s="3" t="s">
        <v>50</v>
      </c>
      <c r="L10675" s="3" t="str">
        <f>IFERROR(__xludf.DUMMYFUNCTION("GOOGLETRANSLATE(F10675,""id"",""en"")"),"French President Emmanuel Macron congratulated Argentina who had won the World Cup")</f>
        <v>French President Emmanuel Macron congratulated Argentina who had won the World Cup</v>
      </c>
    </row>
    <row r="10676" ht="15.75" customHeight="1">
      <c r="A10676" s="1">
        <v>11918.0</v>
      </c>
      <c r="B10676" s="3" t="s">
        <v>30371</v>
      </c>
      <c r="C10676" s="3">
        <v>1.0</v>
      </c>
      <c r="D10676" s="3">
        <v>0.0</v>
      </c>
      <c r="E10676" s="3">
        <v>10.0</v>
      </c>
      <c r="F10676" s="3" t="s">
        <v>30372</v>
      </c>
      <c r="G10676" s="3">
        <v>0.65</v>
      </c>
      <c r="H10676" s="3">
        <v>0.5</v>
      </c>
      <c r="I10676" s="3" t="s">
        <v>48</v>
      </c>
      <c r="J10676" s="3" t="s">
        <v>30373</v>
      </c>
      <c r="K10676" s="3" t="s">
        <v>41</v>
      </c>
      <c r="L10676" s="3" t="str">
        <f>IFERROR(__xludf.DUMMYFUNCTION("GOOGLETRANSLATE(F10676,""id"",""en"")"),"Best World Cup Argentina Final Champion Watching Inland West Kalimantan")</f>
        <v>Best World Cup Argentina Final Champion Watching Inland West Kalimantan</v>
      </c>
    </row>
    <row r="10677" ht="15.75" customHeight="1">
      <c r="A10677" s="1">
        <v>11919.0</v>
      </c>
      <c r="B10677" s="3" t="s">
        <v>30374</v>
      </c>
      <c r="C10677" s="3">
        <v>0.0</v>
      </c>
      <c r="D10677" s="3">
        <v>0.0</v>
      </c>
      <c r="E10677" s="3">
        <v>0.0</v>
      </c>
      <c r="F10677" s="3" t="s">
        <v>30375</v>
      </c>
      <c r="G10677" s="3">
        <v>0.0</v>
      </c>
      <c r="H10677" s="3">
        <v>0.0</v>
      </c>
      <c r="I10677" s="3" t="s">
        <v>13</v>
      </c>
      <c r="J10677" s="3" t="s">
        <v>30376</v>
      </c>
      <c r="K10677" s="3" t="s">
        <v>41</v>
      </c>
      <c r="L10677" s="3" t="str">
        <f>IFERROR(__xludf.DUMMYFUNCTION("GOOGLETRANSLATE(F10677,""id"",""en"")"),"Only the era of Pak Lionel Messi Argentina became a world champion")</f>
        <v>Only the era of Pak Lionel Messi Argentina became a world champion</v>
      </c>
    </row>
    <row r="10678" ht="15.75" customHeight="1">
      <c r="A10678" s="1">
        <v>11920.0</v>
      </c>
      <c r="B10678" s="3" t="s">
        <v>30377</v>
      </c>
      <c r="C10678" s="3">
        <v>0.0</v>
      </c>
      <c r="D10678" s="3">
        <v>0.0</v>
      </c>
      <c r="E10678" s="3">
        <v>4.0</v>
      </c>
      <c r="F10678" s="3" t="s">
        <v>28578</v>
      </c>
      <c r="G10678" s="3">
        <v>0.0</v>
      </c>
      <c r="H10678" s="3">
        <v>0.0</v>
      </c>
      <c r="I10678" s="3" t="s">
        <v>13</v>
      </c>
      <c r="J10678" s="3" t="s">
        <v>28579</v>
      </c>
      <c r="K10678" s="3" t="s">
        <v>15</v>
      </c>
      <c r="L10678" s="3" t="str">
        <f>IFERROR(__xludf.DUMMYFUNCTION("GOOGLETRANSLATE(F10678,""id"",""en"")"),"Without sweat, these two players won the World Cup with Argentina")</f>
        <v>Without sweat, these two players won the World Cup with Argentina</v>
      </c>
    </row>
    <row r="10679" ht="15.75" customHeight="1">
      <c r="A10679" s="1">
        <v>11921.0</v>
      </c>
      <c r="B10679" s="3" t="s">
        <v>30378</v>
      </c>
      <c r="C10679" s="3">
        <v>1.0</v>
      </c>
      <c r="D10679" s="3">
        <v>0.0</v>
      </c>
      <c r="E10679" s="3">
        <v>0.0</v>
      </c>
      <c r="F10679" s="3" t="s">
        <v>30379</v>
      </c>
      <c r="G10679" s="3">
        <v>1.0</v>
      </c>
      <c r="H10679" s="3">
        <v>0.0</v>
      </c>
      <c r="I10679" s="3" t="s">
        <v>13</v>
      </c>
      <c r="J10679" s="3" t="s">
        <v>30380</v>
      </c>
      <c r="K10679" s="3" t="s">
        <v>348</v>
      </c>
      <c r="L10679" s="3" t="str">
        <f>IFERROR(__xludf.DUMMYFUNCTION("GOOGLETRANSLATE(F10679,""id"",""en"")"),"Lionel Messi was chosen to win the golden ball that was the best world cup player after helping Argentina appeared champions by killing France in the final action")</f>
        <v>Lionel Messi was chosen to win the golden ball that was the best world cup player after helping Argentina appeared champions by killing France in the final action</v>
      </c>
    </row>
    <row r="10680" ht="15.75" customHeight="1">
      <c r="A10680" s="1">
        <v>11922.0</v>
      </c>
      <c r="B10680" s="3" t="s">
        <v>30381</v>
      </c>
      <c r="C10680" s="3">
        <v>0.0</v>
      </c>
      <c r="D10680" s="3">
        <v>0.0</v>
      </c>
      <c r="E10680" s="3">
        <v>0.0</v>
      </c>
      <c r="F10680" s="3" t="s">
        <v>30382</v>
      </c>
      <c r="G10680" s="3">
        <v>0.0</v>
      </c>
      <c r="H10680" s="3">
        <v>0.0</v>
      </c>
      <c r="I10680" s="3" t="s">
        <v>13</v>
      </c>
      <c r="J10680" s="3" t="s">
        <v>30383</v>
      </c>
      <c r="K10680" s="3" t="s">
        <v>644</v>
      </c>
      <c r="L10680" s="3" t="str">
        <f>IFERROR(__xludf.DUMMYFUNCTION("GOOGLETRANSLATE(F10680,""id"",""en"")"),"leaving the trail of Argentina Champion")</f>
        <v>leaving the trail of Argentina Champion</v>
      </c>
    </row>
    <row r="10681" ht="15.75" customHeight="1">
      <c r="A10681" s="1">
        <v>11923.0</v>
      </c>
      <c r="B10681" s="3" t="s">
        <v>30384</v>
      </c>
      <c r="C10681" s="3">
        <v>1.0</v>
      </c>
      <c r="D10681" s="3">
        <v>5.0</v>
      </c>
      <c r="E10681" s="3">
        <v>12.0</v>
      </c>
      <c r="F10681" s="3" t="s">
        <v>30385</v>
      </c>
      <c r="G10681" s="3">
        <v>0.0</v>
      </c>
      <c r="H10681" s="3">
        <v>0.0</v>
      </c>
      <c r="I10681" s="3" t="s">
        <v>13</v>
      </c>
      <c r="J10681" s="3" t="s">
        <v>30386</v>
      </c>
      <c r="K10681" s="3" t="s">
        <v>1493</v>
      </c>
      <c r="L10681" s="3" t="str">
        <f>IFERROR(__xludf.DUMMYFUNCTION("GOOGLETRANSLATE(F10681,""id"",""en"")"),"The Lord is different in the first class of the country that defeated the Argentine champion was Saudi Arabia the achievement of God Arabs only until there defeated the beginning only to show its existence while the Lord Argentina existed until he became "&amp;"a champion of different classes of God")</f>
        <v>The Lord is different in the first class of the country that defeated the Argentine champion was Saudi Arabia the achievement of God Arabs only until there defeated the beginning only to show its existence while the Lord Argentina existed until he became a champion of different classes of God</v>
      </c>
    </row>
    <row r="10682" ht="15.75" customHeight="1">
      <c r="A10682" s="1">
        <v>11924.0</v>
      </c>
      <c r="B10682" s="3" t="s">
        <v>30387</v>
      </c>
      <c r="C10682" s="3">
        <v>0.0</v>
      </c>
      <c r="D10682" s="3">
        <v>0.0</v>
      </c>
      <c r="E10682" s="3">
        <v>0.0</v>
      </c>
      <c r="F10682" s="3" t="s">
        <v>30388</v>
      </c>
      <c r="G10682" s="3">
        <v>0.0</v>
      </c>
      <c r="H10682" s="3">
        <v>0.0</v>
      </c>
      <c r="I10682" s="3" t="s">
        <v>13</v>
      </c>
      <c r="J10682" s="3" t="s">
        <v>30389</v>
      </c>
      <c r="K10682" s="3" t="s">
        <v>1656</v>
      </c>
      <c r="L10682" s="3" t="str">
        <f>IFERROR(__xludf.DUMMYFUNCTION("GOOGLETRANSLATE(F10682,""id"",""en"")"),"Congratulation for Argentina who won the World Cup after defeating the defending champions of France in a penalty shootout with an extraordinary year waiting score and the first World Cup trophy Lionel Messi was extraordinary fantast")</f>
        <v>Congratulation for Argentina who won the World Cup after defeating the defending champions of France in a penalty shootout with an extraordinary year waiting score and the first World Cup trophy Lionel Messi was extraordinary fantast</v>
      </c>
    </row>
    <row r="10683" ht="15.75" customHeight="1">
      <c r="A10683" s="1">
        <v>11925.0</v>
      </c>
      <c r="B10683" s="3" t="s">
        <v>30390</v>
      </c>
      <c r="C10683" s="3">
        <v>1.0</v>
      </c>
      <c r="D10683" s="3">
        <v>0.0</v>
      </c>
      <c r="E10683" s="3">
        <v>0.0</v>
      </c>
      <c r="F10683" s="3" t="s">
        <v>30391</v>
      </c>
      <c r="G10683" s="3">
        <v>0.0</v>
      </c>
      <c r="H10683" s="3">
        <v>0.0</v>
      </c>
      <c r="I10683" s="3" t="s">
        <v>13</v>
      </c>
      <c r="J10683" s="3" t="s">
        <v>30392</v>
      </c>
      <c r="K10683" s="3" t="s">
        <v>644</v>
      </c>
      <c r="L10683" s="3" t="str">
        <f>IFERROR(__xludf.DUMMYFUNCTION("GOOGLETRANSLATE(F10683,""id"",""en"")"),"cheerful spirit because of Argentina Champion")</f>
        <v>cheerful spirit because of Argentina Champion</v>
      </c>
    </row>
    <row r="10684" ht="15.75" customHeight="1">
      <c r="A10684" s="1">
        <v>11926.0</v>
      </c>
      <c r="B10684" s="3" t="s">
        <v>30393</v>
      </c>
      <c r="C10684" s="3">
        <v>1.0</v>
      </c>
      <c r="D10684" s="3">
        <v>0.0</v>
      </c>
      <c r="E10684" s="3">
        <v>2.0</v>
      </c>
      <c r="F10684" s="3" t="s">
        <v>30394</v>
      </c>
      <c r="G10684" s="3">
        <v>0.0</v>
      </c>
      <c r="H10684" s="3">
        <v>0.0</v>
      </c>
      <c r="I10684" s="3" t="s">
        <v>13</v>
      </c>
      <c r="J10684" s="3" t="s">
        <v>30395</v>
      </c>
      <c r="K10684" s="3" t="s">
        <v>1414</v>
      </c>
      <c r="L10684" s="3" t="str">
        <f>IFERROR(__xludf.DUMMYFUNCTION("GOOGLETRANSLATE(F10684,""id"",""en"")"),"Give me thousands of parents will surely be shaken Mount Fitz Roy from the roots, give me a young man to shake the world last year we are champions not through a penalty and now we are champions through the penalty we are")</f>
        <v>Give me thousands of parents will surely be shaken Mount Fitz Roy from the roots, give me a young man to shake the world last year we are champions not through a penalty and now we are champions through the penalty we are</v>
      </c>
    </row>
    <row r="10685" ht="15.75" customHeight="1">
      <c r="A10685" s="1">
        <v>11927.0</v>
      </c>
      <c r="B10685" s="3" t="s">
        <v>30396</v>
      </c>
      <c r="C10685" s="3">
        <v>0.0</v>
      </c>
      <c r="D10685" s="3">
        <v>0.0</v>
      </c>
      <c r="E10685" s="3">
        <v>0.0</v>
      </c>
      <c r="F10685" s="3" t="s">
        <v>30397</v>
      </c>
      <c r="G10685" s="3">
        <v>0.0</v>
      </c>
      <c r="H10685" s="3">
        <v>0.0</v>
      </c>
      <c r="I10685" s="3" t="s">
        <v>13</v>
      </c>
      <c r="J10685" s="3" t="s">
        <v>30398</v>
      </c>
      <c r="K10685" s="3" t="s">
        <v>82</v>
      </c>
      <c r="L10685" s="3" t="str">
        <f>IFERROR(__xludf.DUMMYFUNCTION("GOOGLETRANSLATE(F10685,""id"",""en"")"),"Argentina World Cup Champion After Waiting for Year")</f>
        <v>Argentina World Cup Champion After Waiting for Year</v>
      </c>
    </row>
    <row r="10686" ht="15.75" customHeight="1">
      <c r="A10686" s="1">
        <v>11928.0</v>
      </c>
      <c r="B10686" s="3" t="s">
        <v>30399</v>
      </c>
      <c r="C10686" s="3">
        <v>57.0</v>
      </c>
      <c r="D10686" s="3">
        <v>42.0</v>
      </c>
      <c r="E10686" s="3">
        <v>415.0</v>
      </c>
      <c r="F10686" s="3" t="s">
        <v>30400</v>
      </c>
      <c r="G10686" s="3">
        <v>0.0</v>
      </c>
      <c r="H10686" s="3">
        <v>0.0</v>
      </c>
      <c r="I10686" s="3" t="s">
        <v>13</v>
      </c>
      <c r="J10686" s="3" t="s">
        <v>30401</v>
      </c>
      <c r="K10686" s="3" t="s">
        <v>910</v>
      </c>
      <c r="L10686" s="3" t="str">
        <f>IFERROR(__xludf.DUMMYFUNCTION("GOOGLETRANSLATE(F10686,""id"",""en"")"),"France reported FIFA related to Argentina indications relented from Arabic to avoid Brazil if it was really involved in match fixing, the Argentine title will be revoked this is an example of a tweet that has the potential")</f>
        <v>France reported FIFA related to Argentina indications relented from Arabic to avoid Brazil if it was really involved in match fixing, the Argentine title will be revoked this is an example of a tweet that has the potential</v>
      </c>
    </row>
    <row r="10687" ht="15.75" customHeight="1">
      <c r="A10687" s="1">
        <v>11929.0</v>
      </c>
      <c r="B10687" s="3" t="s">
        <v>30402</v>
      </c>
      <c r="C10687" s="3">
        <v>0.0</v>
      </c>
      <c r="D10687" s="3">
        <v>0.0</v>
      </c>
      <c r="E10687" s="3">
        <v>0.0</v>
      </c>
      <c r="F10687" s="3" t="s">
        <v>30403</v>
      </c>
      <c r="G10687" s="3">
        <v>0.0</v>
      </c>
      <c r="H10687" s="3">
        <v>0.0</v>
      </c>
      <c r="I10687" s="3" t="s">
        <v>13</v>
      </c>
      <c r="J10687" s="3" t="s">
        <v>30404</v>
      </c>
      <c r="K10687" s="3" t="s">
        <v>657</v>
      </c>
      <c r="L10687" s="3" t="str">
        <f>IFERROR(__xludf.DUMMYFUNCTION("GOOGLETRANSLATE(F10687,""id"",""en"")"),"Bangsaat yes, it looks like Higuain in the main chance of a good opportunity first should be able to win the Argentina because the striker is bapuk")</f>
        <v>Bangsaat yes, it looks like Higuain in the main chance of a good opportunity first should be able to win the Argentina because the striker is bapuk</v>
      </c>
    </row>
    <row r="10688" ht="15.75" customHeight="1">
      <c r="A10688" s="1">
        <v>11930.0</v>
      </c>
      <c r="B10688" s="3" t="s">
        <v>30405</v>
      </c>
      <c r="C10688" s="3">
        <v>0.0</v>
      </c>
      <c r="D10688" s="3">
        <v>0.0</v>
      </c>
      <c r="E10688" s="3">
        <v>0.0</v>
      </c>
      <c r="F10688" s="3" t="s">
        <v>30406</v>
      </c>
      <c r="G10688" s="3">
        <v>0.0</v>
      </c>
      <c r="H10688" s="3">
        <v>0.0</v>
      </c>
      <c r="I10688" s="3" t="s">
        <v>13</v>
      </c>
      <c r="J10688" s="3" t="s">
        <v>30407</v>
      </c>
      <c r="K10688" s="3" t="s">
        <v>127</v>
      </c>
      <c r="L10688" s="3" t="str">
        <f>IFERROR(__xludf.DUMMYFUNCTION("GOOGLETRANSLATE(F10688,""id"",""en"")"),"Through the penalties with Argentina's score to win the World Cup after crushing France, the Lusail Qatar Stadium Sunday night December")</f>
        <v>Through the penalties with Argentina's score to win the World Cup after crushing France, the Lusail Qatar Stadium Sunday night December</v>
      </c>
    </row>
    <row r="10689" ht="15.75" customHeight="1">
      <c r="A10689" s="1">
        <v>11931.0</v>
      </c>
      <c r="B10689" s="3" t="s">
        <v>30408</v>
      </c>
      <c r="C10689" s="3">
        <v>0.0</v>
      </c>
      <c r="D10689" s="3">
        <v>0.0</v>
      </c>
      <c r="E10689" s="3">
        <v>1.0</v>
      </c>
      <c r="F10689" s="3" t="s">
        <v>30409</v>
      </c>
      <c r="G10689" s="3">
        <v>0.0</v>
      </c>
      <c r="H10689" s="3">
        <v>0.0</v>
      </c>
      <c r="I10689" s="3" t="s">
        <v>13</v>
      </c>
      <c r="J10689" s="3" t="s">
        <v>30410</v>
      </c>
      <c r="K10689" s="3" t="s">
        <v>50</v>
      </c>
      <c r="L10689" s="3" t="str">
        <f>IFERROR(__xludf.DUMMYFUNCTION("GOOGLETRANSLATE(F10689,""id"",""en"")"),"Lionel Messi brought Argentina to the World Cup championship, the advantages of the Tango team")</f>
        <v>Lionel Messi brought Argentina to the World Cup championship, the advantages of the Tango team</v>
      </c>
    </row>
    <row r="10690" ht="15.75" customHeight="1">
      <c r="A10690" s="1">
        <v>11932.0</v>
      </c>
      <c r="B10690" s="3" t="s">
        <v>30411</v>
      </c>
      <c r="C10690" s="3">
        <v>0.0</v>
      </c>
      <c r="D10690" s="3">
        <v>0.0</v>
      </c>
      <c r="E10690" s="3">
        <v>1.0</v>
      </c>
      <c r="F10690" s="3" t="s">
        <v>30412</v>
      </c>
      <c r="G10690" s="3">
        <v>0.5</v>
      </c>
      <c r="H10690" s="3">
        <v>0.2</v>
      </c>
      <c r="I10690" s="3" t="s">
        <v>48</v>
      </c>
      <c r="J10690" s="3" t="s">
        <v>30413</v>
      </c>
      <c r="K10690" s="3" t="s">
        <v>71</v>
      </c>
      <c r="L10690" s="3" t="str">
        <f>IFERROR(__xludf.DUMMYFUNCTION("GOOGLETRANSLATE(F10690,""id"",""en"")"),"hahahaha the ranks are hurt because the champion has returned home first unable to accept the fact that Argentina is champions")</f>
        <v>hahahaha the ranks are hurt because the champion has returned home first unable to accept the fact that Argentina is champions</v>
      </c>
    </row>
    <row r="10691" ht="15.75" customHeight="1">
      <c r="A10691" s="1">
        <v>11933.0</v>
      </c>
      <c r="B10691" s="3" t="s">
        <v>30414</v>
      </c>
      <c r="C10691" s="3">
        <v>0.0</v>
      </c>
      <c r="D10691" s="3">
        <v>0.0</v>
      </c>
      <c r="E10691" s="3">
        <v>1.0</v>
      </c>
      <c r="F10691" s="3" t="s">
        <v>30415</v>
      </c>
      <c r="G10691" s="3">
        <v>0.0</v>
      </c>
      <c r="H10691" s="3">
        <v>0.0</v>
      </c>
      <c r="I10691" s="3" t="s">
        <v>13</v>
      </c>
      <c r="J10691" s="3" t="s">
        <v>30416</v>
      </c>
      <c r="K10691" s="3" t="s">
        <v>41</v>
      </c>
      <c r="L10691" s="3" t="str">
        <f>IFERROR(__xludf.DUMMYFUNCTION("GOOGLETRANSLATE(F10691,""id"",""en"")"),"who is the key figure behind the success of Argentina in the world champion is clear")</f>
        <v>who is the key figure behind the success of Argentina in the world champion is clear</v>
      </c>
    </row>
    <row r="10692" ht="15.75" customHeight="1">
      <c r="A10692" s="1">
        <v>11934.0</v>
      </c>
      <c r="B10692" s="3" t="s">
        <v>30417</v>
      </c>
      <c r="C10692" s="3">
        <v>1.0</v>
      </c>
      <c r="D10692" s="3">
        <v>0.0</v>
      </c>
      <c r="E10692" s="3">
        <v>1.0</v>
      </c>
      <c r="F10692" s="3" t="s">
        <v>30418</v>
      </c>
      <c r="G10692" s="3">
        <v>0.2666666666666667</v>
      </c>
      <c r="H10692" s="3">
        <v>0.03333333333333333</v>
      </c>
      <c r="I10692" s="3" t="s">
        <v>48</v>
      </c>
      <c r="J10692" s="3" t="s">
        <v>30419</v>
      </c>
      <c r="K10692" s="3" t="s">
        <v>94</v>
      </c>
      <c r="L10692" s="3" t="str">
        <f>IFERROR(__xludf.DUMMYFUNCTION("GOOGLETRANSLATE(F10692,""id"",""en"")"),"Yes, the brother made a heart for the sister after France, I got the rhythm of the game, Mbappe was also enthusiastic about playing because the Argentina mental title was tested since the Dutch LWN penalties yesterday and worthy of this year's championshi"&amp;"p")</f>
        <v>Yes, the brother made a heart for the sister after France, I got the rhythm of the game, Mbappe was also enthusiastic about playing because the Argentina mental title was tested since the Dutch LWN penalties yesterday and worthy of this year's championship</v>
      </c>
    </row>
    <row r="10693" ht="15.75" customHeight="1">
      <c r="A10693" s="1">
        <v>11935.0</v>
      </c>
      <c r="B10693" s="3" t="s">
        <v>30420</v>
      </c>
      <c r="C10693" s="3">
        <v>1.0</v>
      </c>
      <c r="D10693" s="3">
        <v>0.0</v>
      </c>
      <c r="E10693" s="3">
        <v>0.0</v>
      </c>
      <c r="F10693" s="3" t="s">
        <v>30421</v>
      </c>
      <c r="G10693" s="3">
        <v>0.0</v>
      </c>
      <c r="H10693" s="3">
        <v>0.0</v>
      </c>
      <c r="I10693" s="3" t="s">
        <v>13</v>
      </c>
      <c r="J10693" s="3" t="s">
        <v>30422</v>
      </c>
      <c r="K10693" s="3" t="s">
        <v>71</v>
      </c>
      <c r="L10693" s="3" t="str">
        <f>IFERROR(__xludf.DUMMYFUNCTION("GOOGLETRANSLATE(F10693,""id"",""en"")"),"Today is off to social media, it seems that the Argentina champion is stuck in the champion, there is only two lipa tags")</f>
        <v>Today is off to social media, it seems that the Argentina champion is stuck in the champion, there is only two lipa tags</v>
      </c>
    </row>
    <row r="10694" ht="15.75" customHeight="1">
      <c r="A10694" s="1">
        <v>11936.0</v>
      </c>
      <c r="B10694" s="3" t="s">
        <v>30423</v>
      </c>
      <c r="C10694" s="3">
        <v>1.0</v>
      </c>
      <c r="D10694" s="3">
        <v>0.0</v>
      </c>
      <c r="E10694" s="3">
        <v>0.0</v>
      </c>
      <c r="F10694" s="3" t="s">
        <v>30424</v>
      </c>
      <c r="G10694" s="3">
        <v>0.0</v>
      </c>
      <c r="H10694" s="3">
        <v>0.0</v>
      </c>
      <c r="I10694" s="3" t="s">
        <v>13</v>
      </c>
      <c r="J10694" s="3" t="s">
        <v>30425</v>
      </c>
      <c r="K10694" s="3" t="s">
        <v>974</v>
      </c>
      <c r="L10694" s="3" t="str">
        <f>IFERROR(__xludf.DUMMYFUNCTION("GOOGLETRANSLATE(F10694,""id"",""en"")"),"Argentina World Champion Debate because the decision has been made, there are several evaluations for French games as well as for French round referees to play without vision to get the ball always pass the back line even though the ball is given mbappe p"&amp;"roblem solved cont")</f>
        <v>Argentina World Champion Debate because the decision has been made, there are several evaluations for French games as well as for French round referees to play without vision to get the ball always pass the back line even though the ball is given mbappe problem solved cont</v>
      </c>
    </row>
    <row r="10695" ht="15.75" customHeight="1">
      <c r="A10695" s="1">
        <v>11937.0</v>
      </c>
      <c r="B10695" s="3" t="s">
        <v>30426</v>
      </c>
      <c r="C10695" s="3">
        <v>1.0</v>
      </c>
      <c r="D10695" s="3">
        <v>0.0</v>
      </c>
      <c r="E10695" s="3">
        <v>0.0</v>
      </c>
      <c r="F10695" s="3" t="s">
        <v>30427</v>
      </c>
      <c r="G10695" s="3">
        <v>1.0</v>
      </c>
      <c r="H10695" s="3">
        <v>0.0</v>
      </c>
      <c r="I10695" s="3" t="s">
        <v>13</v>
      </c>
      <c r="J10695" s="3" t="s">
        <v>30428</v>
      </c>
      <c r="K10695" s="3" t="s">
        <v>603</v>
      </c>
      <c r="L10695" s="3" t="str">
        <f>IFERROR(__xludf.DUMMYFUNCTION("GOOGLETRANSLATE(F10695,""id"",""en"")"),"Zulkifli but Saudi Arabia The Only Team beating Argentina means that Saudi Arabia is a real champion in the debate.")</f>
        <v>Zulkifli but Saudi Arabia The Only Team beating Argentina means that Saudi Arabia is a real champion in the debate.</v>
      </c>
    </row>
    <row r="10696" ht="15.75" customHeight="1">
      <c r="A10696" s="1">
        <v>11938.0</v>
      </c>
      <c r="B10696" s="3" t="s">
        <v>30429</v>
      </c>
      <c r="C10696" s="3">
        <v>1.0</v>
      </c>
      <c r="D10696" s="3">
        <v>0.0</v>
      </c>
      <c r="E10696" s="3">
        <v>0.0</v>
      </c>
      <c r="F10696" s="3" t="s">
        <v>30430</v>
      </c>
      <c r="G10696" s="3">
        <v>0.0</v>
      </c>
      <c r="H10696" s="3">
        <v>0.0</v>
      </c>
      <c r="I10696" s="3" t="s">
        <v>13</v>
      </c>
      <c r="J10696" s="3" t="s">
        <v>30431</v>
      </c>
      <c r="K10696" s="3" t="s">
        <v>993</v>
      </c>
      <c r="L10696" s="3" t="str">
        <f>IFERROR(__xludf.DUMMYFUNCTION("GOOGLETRANSLATE(F10696,""id"",""en"")"),"From the beginning of the Aston Villa match, I already invited the attention of my people, when he knew that he was from Argentina, I got a feeling of Sabi, the champion of the Pilduun added that there was Licha Messi Dybala Enzo Lautaro, I was really opt"&amp;"imistic that he would just win the incident.")</f>
        <v>From the beginning of the Aston Villa match, I already invited the attention of my people, when he knew that he was from Argentina, I got a feeling of Sabi, the champion of the Pilduun added that there was Licha Messi Dybala Enzo Lautaro, I was really optimistic that he would just win the incident.</v>
      </c>
    </row>
    <row r="10697" ht="15.75" customHeight="1">
      <c r="A10697" s="1">
        <v>11939.0</v>
      </c>
      <c r="B10697" s="3" t="s">
        <v>30432</v>
      </c>
      <c r="C10697" s="3">
        <v>0.0</v>
      </c>
      <c r="D10697" s="3">
        <v>0.0</v>
      </c>
      <c r="E10697" s="3">
        <v>1.0</v>
      </c>
      <c r="F10697" s="3" t="s">
        <v>30433</v>
      </c>
      <c r="G10697" s="3">
        <v>0.0</v>
      </c>
      <c r="H10697" s="3">
        <v>0.0</v>
      </c>
      <c r="I10697" s="3" t="s">
        <v>13</v>
      </c>
      <c r="J10697" s="3" t="s">
        <v>30434</v>
      </c>
      <c r="K10697" s="3" t="s">
        <v>15</v>
      </c>
      <c r="L10697" s="3" t="str">
        <f>IFERROR(__xludf.DUMMYFUNCTION("GOOGLETRANSLATE(F10697,""id"",""en"")"),"Messi after champion Argentina is ready to move PSMS Medan")</f>
        <v>Messi after champion Argentina is ready to move PSMS Medan</v>
      </c>
    </row>
    <row r="10698" ht="15.75" customHeight="1">
      <c r="A10698" s="1">
        <v>11940.0</v>
      </c>
      <c r="B10698" s="3" t="s">
        <v>30435</v>
      </c>
      <c r="C10698" s="3">
        <v>0.0</v>
      </c>
      <c r="D10698" s="3">
        <v>0.0</v>
      </c>
      <c r="E10698" s="3">
        <v>1.0</v>
      </c>
      <c r="F10698" s="3" t="s">
        <v>30436</v>
      </c>
      <c r="G10698" s="3">
        <v>0.0</v>
      </c>
      <c r="H10698" s="3">
        <v>0.0</v>
      </c>
      <c r="I10698" s="3" t="s">
        <v>13</v>
      </c>
      <c r="J10698" s="3" t="s">
        <v>30437</v>
      </c>
      <c r="K10698" s="3" t="s">
        <v>27</v>
      </c>
      <c r="L10698" s="3" t="str">
        <f>IFERROR(__xludf.DUMMYFUNCTION("GOOGLETRANSLATE(F10698,""id"",""en"")"),"Because Argentina is very happy, God supports them from the twists and turns to be able to win the world cup crazy and finally Messi can bring his team to lift the trophy possibly the last year")</f>
        <v>Because Argentina is very happy, God supports them from the twists and turns to be able to win the world cup crazy and finally Messi can bring his team to lift the trophy possibly the last year</v>
      </c>
    </row>
    <row r="10699" ht="15.75" customHeight="1">
      <c r="A10699" s="1">
        <v>11941.0</v>
      </c>
      <c r="B10699" s="3" t="s">
        <v>30438</v>
      </c>
      <c r="C10699" s="3">
        <v>0.0</v>
      </c>
      <c r="D10699" s="3">
        <v>0.0</v>
      </c>
      <c r="E10699" s="3">
        <v>0.0</v>
      </c>
      <c r="F10699" s="3" t="s">
        <v>30439</v>
      </c>
      <c r="G10699" s="3">
        <v>1.0</v>
      </c>
      <c r="H10699" s="3">
        <v>0.0</v>
      </c>
      <c r="I10699" s="3" t="s">
        <v>13</v>
      </c>
      <c r="J10699" s="3" t="s">
        <v>30440</v>
      </c>
      <c r="K10699" s="3" t="s">
        <v>236</v>
      </c>
      <c r="L10699" s="3" t="str">
        <f>IFERROR(__xludf.DUMMYFUNCTION("GOOGLETRANSLATE(F10699,""id"",""en"")"),"The Argentine World Cup Final Champion Lionel Messi Best in History")</f>
        <v>The Argentine World Cup Final Champion Lionel Messi Best in History</v>
      </c>
    </row>
    <row r="10700" ht="15.75" customHeight="1">
      <c r="A10700" s="1">
        <v>11942.0</v>
      </c>
      <c r="B10700" s="3" t="s">
        <v>30441</v>
      </c>
      <c r="C10700" s="3">
        <v>0.0</v>
      </c>
      <c r="D10700" s="3">
        <v>4.0</v>
      </c>
      <c r="E10700" s="3">
        <v>10.0</v>
      </c>
      <c r="F10700" s="3" t="s">
        <v>29132</v>
      </c>
      <c r="G10700" s="3">
        <v>0.0</v>
      </c>
      <c r="H10700" s="3">
        <v>0.0</v>
      </c>
      <c r="I10700" s="3" t="s">
        <v>13</v>
      </c>
      <c r="J10700" s="3" t="s">
        <v>29133</v>
      </c>
      <c r="K10700" s="3" t="s">
        <v>437</v>
      </c>
      <c r="L10700" s="3" t="str">
        <f>IFERROR(__xludf.DUMMYFUNCTION("GOOGLETRANSLATE(F10700,""id"",""en"")"),"The Argentine people gathered the heart of Buenos Aires they partyed to celebrate the Argentine national team who won the Qatar World Cup championship")</f>
        <v>The Argentine people gathered the heart of Buenos Aires they partyed to celebrate the Argentine national team who won the Qatar World Cup championship</v>
      </c>
    </row>
    <row r="10701" ht="15.75" customHeight="1">
      <c r="A10701" s="1">
        <v>11943.0</v>
      </c>
      <c r="B10701" s="3" t="s">
        <v>30442</v>
      </c>
      <c r="C10701" s="3">
        <v>0.0</v>
      </c>
      <c r="D10701" s="3">
        <v>0.0</v>
      </c>
      <c r="E10701" s="3">
        <v>0.0</v>
      </c>
      <c r="F10701" s="3" t="s">
        <v>30443</v>
      </c>
      <c r="G10701" s="3">
        <v>0.0</v>
      </c>
      <c r="H10701" s="3">
        <v>0.0</v>
      </c>
      <c r="I10701" s="3" t="s">
        <v>13</v>
      </c>
      <c r="J10701" s="3" t="s">
        <v>30444</v>
      </c>
      <c r="K10701" s="3" t="s">
        <v>82</v>
      </c>
      <c r="L10701" s="3" t="str">
        <f>IFERROR(__xludf.DUMMYFUNCTION("GOOGLETRANSLATE(F10701,""id"",""en"")"),"Happy Argentina Champion World Cup Qatar Trophy")</f>
        <v>Happy Argentina Champion World Cup Qatar Trophy</v>
      </c>
    </row>
    <row r="10702" ht="15.75" customHeight="1">
      <c r="A10702" s="1">
        <v>11944.0</v>
      </c>
      <c r="B10702" s="3" t="s">
        <v>30445</v>
      </c>
      <c r="C10702" s="3">
        <v>2.0</v>
      </c>
      <c r="D10702" s="3">
        <v>0.0</v>
      </c>
      <c r="E10702" s="3">
        <v>3.0</v>
      </c>
      <c r="F10702" s="3" t="s">
        <v>30446</v>
      </c>
      <c r="G10702" s="3">
        <v>0.0</v>
      </c>
      <c r="H10702" s="3">
        <v>0.0</v>
      </c>
      <c r="I10702" s="3" t="s">
        <v>13</v>
      </c>
      <c r="J10702" s="3" t="s">
        <v>30447</v>
      </c>
      <c r="K10702" s="3" t="s">
        <v>437</v>
      </c>
      <c r="L10702" s="3" t="str">
        <f>IFERROR(__xludf.DUMMYFUNCTION("GOOGLETRANSLATE(F10702,""id"",""en"")"),"I am not happy, it's just a bapuk, but France and Argentina are worthy of champion because they are all cool")</f>
        <v>I am not happy, it's just a bapuk, but France and Argentina are worthy of champion because they are all cool</v>
      </c>
    </row>
    <row r="10703" ht="15.75" customHeight="1">
      <c r="A10703" s="1">
        <v>11945.0</v>
      </c>
      <c r="B10703" s="3" t="s">
        <v>30448</v>
      </c>
      <c r="C10703" s="3">
        <v>0.0</v>
      </c>
      <c r="D10703" s="3">
        <v>0.0</v>
      </c>
      <c r="E10703" s="3">
        <v>0.0</v>
      </c>
      <c r="F10703" s="3" t="s">
        <v>30449</v>
      </c>
      <c r="G10703" s="3">
        <v>0.0</v>
      </c>
      <c r="H10703" s="3">
        <v>0.0</v>
      </c>
      <c r="I10703" s="3" t="s">
        <v>13</v>
      </c>
      <c r="J10703" s="3" t="s">
        <v>30450</v>
      </c>
      <c r="K10703" s="3" t="s">
        <v>510</v>
      </c>
      <c r="L10703" s="3" t="str">
        <f>IFERROR(__xludf.DUMMYFUNCTION("GOOGLETRANSLATE(F10703,""id"",""en"")"),"Moment of Haru Lionel Messi with his mother after delivering Argentina World Cup champions via")</f>
        <v>Moment of Haru Lionel Messi with his mother after delivering Argentina World Cup champions via</v>
      </c>
    </row>
    <row r="10704" ht="15.75" customHeight="1">
      <c r="A10704" s="1">
        <v>11946.0</v>
      </c>
      <c r="B10704" s="3" t="s">
        <v>30451</v>
      </c>
      <c r="C10704" s="3">
        <v>0.0</v>
      </c>
      <c r="D10704" s="3">
        <v>0.0</v>
      </c>
      <c r="E10704" s="3">
        <v>0.0</v>
      </c>
      <c r="F10704" s="3" t="s">
        <v>30452</v>
      </c>
      <c r="G10704" s="3">
        <v>0.0</v>
      </c>
      <c r="H10704" s="3">
        <v>0.0</v>
      </c>
      <c r="I10704" s="3" t="s">
        <v>13</v>
      </c>
      <c r="J10704" s="3" t="s">
        <v>30453</v>
      </c>
      <c r="K10704" s="3" t="s">
        <v>58</v>
      </c>
      <c r="L10704" s="3" t="str">
        <f>IFERROR(__xludf.DUMMYFUNCTION("GOOGLETRANSLATE(F10704,""id"",""en"")"),"Happy Defending Country for Argentine supporters who are celebrating the title and for French supporters who are still crying")</f>
        <v>Happy Defending Country for Argentine supporters who are celebrating the title and for French supporters who are still crying</v>
      </c>
    </row>
    <row r="10705" ht="15.75" customHeight="1">
      <c r="A10705" s="1">
        <v>11947.0</v>
      </c>
      <c r="B10705" s="3" t="s">
        <v>30454</v>
      </c>
      <c r="C10705" s="3">
        <v>0.0</v>
      </c>
      <c r="D10705" s="3">
        <v>0.0</v>
      </c>
      <c r="E10705" s="3">
        <v>0.0</v>
      </c>
      <c r="F10705" s="3" t="s">
        <v>30455</v>
      </c>
      <c r="G10705" s="3">
        <v>0.0</v>
      </c>
      <c r="H10705" s="3">
        <v>0.0</v>
      </c>
      <c r="I10705" s="3" t="s">
        <v>13</v>
      </c>
      <c r="J10705" s="3" t="s">
        <v>30456</v>
      </c>
      <c r="K10705" s="3" t="s">
        <v>1656</v>
      </c>
      <c r="L10705" s="3" t="str">
        <f>IFERROR(__xludf.DUMMYFUNCTION("GOOGLETRANSLATE(F10705,""id"",""en"")"),"Gamau Argentina champions because of personal alesale but on the other hand honest from the beginning Argentina the strongest candidate champion never like this group before starting Argentina champion Messkor almost Licha Redcard knows gamain")</f>
        <v>Gamau Argentina champions because of personal alesale but on the other hand honest from the beginning Argentina the strongest candidate champion never like this group before starting Argentina champion Messkor almost Licha Redcard knows gamain</v>
      </c>
    </row>
    <row r="10706" ht="15.75" customHeight="1">
      <c r="A10706" s="1">
        <v>11948.0</v>
      </c>
      <c r="B10706" s="3" t="s">
        <v>30457</v>
      </c>
      <c r="C10706" s="3">
        <v>0.0</v>
      </c>
      <c r="D10706" s="3">
        <v>0.0</v>
      </c>
      <c r="E10706" s="3">
        <v>0.0</v>
      </c>
      <c r="F10706" s="3" t="s">
        <v>30458</v>
      </c>
      <c r="G10706" s="3">
        <v>0.0</v>
      </c>
      <c r="H10706" s="3">
        <v>0.0</v>
      </c>
      <c r="I10706" s="3" t="s">
        <v>13</v>
      </c>
      <c r="J10706" s="3" t="s">
        <v>30459</v>
      </c>
      <c r="K10706" s="3" t="s">
        <v>15</v>
      </c>
      <c r="L10706" s="3" t="str">
        <f>IFERROR(__xludf.DUMMYFUNCTION("GOOGLETRANSLATE(F10706,""id"",""en"")"),"Wash a lot of clothes happy because Argentina is champion wkwkwk")</f>
        <v>Wash a lot of clothes happy because Argentina is champion wkwkwk</v>
      </c>
    </row>
    <row r="10707" ht="15.75" customHeight="1">
      <c r="A10707" s="1">
        <v>11949.0</v>
      </c>
      <c r="B10707" s="3" t="s">
        <v>30460</v>
      </c>
      <c r="C10707" s="3">
        <v>1.0</v>
      </c>
      <c r="D10707" s="3">
        <v>0.0</v>
      </c>
      <c r="E10707" s="3">
        <v>0.0</v>
      </c>
      <c r="F10707" s="3" t="s">
        <v>30461</v>
      </c>
      <c r="G10707" s="3">
        <v>0.0</v>
      </c>
      <c r="H10707" s="3">
        <v>0.0</v>
      </c>
      <c r="I10707" s="3" t="s">
        <v>13</v>
      </c>
      <c r="J10707" s="3" t="s">
        <v>30462</v>
      </c>
      <c r="K10707" s="3" t="s">
        <v>495</v>
      </c>
      <c r="L10707" s="3" t="str">
        <f>IFERROR(__xludf.DUMMYFUNCTION("GOOGLETRANSLATE(F10707,""id"",""en"")"),"Actually Argentina can immediately win without a penalty shootout if only scaloni is not overthinking replace Mary and play acuna even though it's still too fast to survive")</f>
        <v>Actually Argentina can immediately win without a penalty shootout if only scaloni is not overthinking replace Mary and play acuna even though it's still too fast to survive</v>
      </c>
    </row>
    <row r="10708" ht="15.75" customHeight="1">
      <c r="A10708" s="1">
        <v>11950.0</v>
      </c>
      <c r="B10708" s="3" t="s">
        <v>30463</v>
      </c>
      <c r="C10708" s="3">
        <v>0.0</v>
      </c>
      <c r="D10708" s="3">
        <v>0.0</v>
      </c>
      <c r="E10708" s="3">
        <v>0.0</v>
      </c>
      <c r="F10708" s="3" t="s">
        <v>30464</v>
      </c>
      <c r="G10708" s="3">
        <v>0.0</v>
      </c>
      <c r="H10708" s="3">
        <v>0.0</v>
      </c>
      <c r="I10708" s="3" t="s">
        <v>13</v>
      </c>
      <c r="J10708" s="3" t="s">
        <v>30465</v>
      </c>
      <c r="K10708" s="3" t="s">
        <v>2117</v>
      </c>
      <c r="L10708" s="3" t="str">
        <f>IFERROR(__xludf.DUMMYFUNCTION("GOOGLETRANSLATE(F10708,""id"",""en"")"),"Argentina Champion Thanks to Me")</f>
        <v>Argentina Champion Thanks to Me</v>
      </c>
    </row>
    <row r="10709" ht="15.75" customHeight="1">
      <c r="A10709" s="1">
        <v>11951.0</v>
      </c>
      <c r="B10709" s="3" t="s">
        <v>30466</v>
      </c>
      <c r="C10709" s="3">
        <v>0.0</v>
      </c>
      <c r="D10709" s="3">
        <v>4.0</v>
      </c>
      <c r="E10709" s="3">
        <v>0.0</v>
      </c>
      <c r="F10709" s="3" t="s">
        <v>30467</v>
      </c>
      <c r="G10709" s="3">
        <v>0.0</v>
      </c>
      <c r="H10709" s="3">
        <v>0.0</v>
      </c>
      <c r="I10709" s="3" t="s">
        <v>13</v>
      </c>
      <c r="J10709" s="3" t="s">
        <v>30468</v>
      </c>
      <c r="K10709" s="3" t="s">
        <v>15</v>
      </c>
      <c r="L10709" s="3" t="str">
        <f>IFERROR(__xludf.DUMMYFUNCTION("GOOGLETRANSLATE(F10709,""id"",""en"")"),"Suitable Tokcer Netizens accompanying Argentina World Cup Champion")</f>
        <v>Suitable Tokcer Netizens accompanying Argentina World Cup Champion</v>
      </c>
    </row>
    <row r="10710" ht="15.75" customHeight="1">
      <c r="A10710" s="1">
        <v>11952.0</v>
      </c>
      <c r="B10710" s="3" t="s">
        <v>30469</v>
      </c>
      <c r="C10710" s="3">
        <v>0.0</v>
      </c>
      <c r="D10710" s="3">
        <v>4.0</v>
      </c>
      <c r="E10710" s="3">
        <v>0.0</v>
      </c>
      <c r="F10710" s="3" t="s">
        <v>30470</v>
      </c>
      <c r="G10710" s="3">
        <v>0.0</v>
      </c>
      <c r="H10710" s="3">
        <v>0.0</v>
      </c>
      <c r="I10710" s="3" t="s">
        <v>13</v>
      </c>
      <c r="J10710" s="3" t="s">
        <v>30471</v>
      </c>
      <c r="K10710" s="3" t="s">
        <v>510</v>
      </c>
      <c r="L10710" s="3" t="str">
        <f>IFERROR(__xludf.DUMMYFUNCTION("GOOGLETRANSLATE(F10710,""id"",""en"")"),"Roy Keane, Emiliano Mart Nez's attitude after Argentina won the World Cup")</f>
        <v>Roy Keane, Emiliano Mart Nez's attitude after Argentina won the World Cup</v>
      </c>
    </row>
    <row r="10711" ht="15.75" customHeight="1">
      <c r="A10711" s="1">
        <v>11953.0</v>
      </c>
      <c r="B10711" s="3" t="s">
        <v>30472</v>
      </c>
      <c r="C10711" s="3">
        <v>0.0</v>
      </c>
      <c r="D10711" s="3">
        <v>0.0</v>
      </c>
      <c r="E10711" s="3">
        <v>1.0</v>
      </c>
      <c r="F10711" s="3" t="s">
        <v>30473</v>
      </c>
      <c r="G10711" s="3">
        <v>0.0</v>
      </c>
      <c r="H10711" s="3">
        <v>0.0</v>
      </c>
      <c r="I10711" s="3" t="s">
        <v>13</v>
      </c>
      <c r="J10711" s="3" t="s">
        <v>30474</v>
      </c>
      <c r="K10711" s="3" t="s">
        <v>232</v>
      </c>
      <c r="L10711" s="3" t="str">
        <f>IFERROR(__xludf.DUMMYFUNCTION("GOOGLETRANSLATE(F10711,""id"",""en"")"),"Steady Messi retired achievement perfectly without Messi Argentina not going to champion France almost champions in succession if there was no Messi in the year Argentina would not win the World Cup anymore without a player like Messi")</f>
        <v>Steady Messi retired achievement perfectly without Messi Argentina not going to champion France almost champions in succession if there was no Messi in the year Argentina would not win the World Cup anymore without a player like Messi</v>
      </c>
    </row>
    <row r="10712" ht="15.75" customHeight="1">
      <c r="A10712" s="1">
        <v>11954.0</v>
      </c>
      <c r="B10712" s="3" t="s">
        <v>30475</v>
      </c>
      <c r="C10712" s="3">
        <v>0.0</v>
      </c>
      <c r="D10712" s="3">
        <v>0.0</v>
      </c>
      <c r="E10712" s="3">
        <v>0.0</v>
      </c>
      <c r="F10712" s="3" t="s">
        <v>30476</v>
      </c>
      <c r="G10712" s="3">
        <v>0.0</v>
      </c>
      <c r="H10712" s="3">
        <v>0.0</v>
      </c>
      <c r="I10712" s="3" t="s">
        <v>13</v>
      </c>
      <c r="J10712" s="3" t="s">
        <v>30477</v>
      </c>
      <c r="K10712" s="3" t="s">
        <v>467</v>
      </c>
      <c r="L10712" s="3" t="str">
        <f>IFERROR(__xludf.DUMMYFUNCTION("GOOGLETRANSLATE(F10712,""id"",""en"")"),"Argentina Champion Copa America Conmebol UEFA Cup Argentina Champion Argentina Champion World Cup Qatar Messi Trophy")</f>
        <v>Argentina Champion Copa America Conmebol UEFA Cup Argentina Champion Argentina Champion World Cup Qatar Messi Trophy</v>
      </c>
    </row>
    <row r="10713" ht="15.75" customHeight="1">
      <c r="A10713" s="1">
        <v>11955.0</v>
      </c>
      <c r="B10713" s="3" t="s">
        <v>30478</v>
      </c>
      <c r="C10713" s="3">
        <v>0.0</v>
      </c>
      <c r="D10713" s="3">
        <v>0.0</v>
      </c>
      <c r="E10713" s="3">
        <v>1.0</v>
      </c>
      <c r="F10713" s="3" t="s">
        <v>30479</v>
      </c>
      <c r="G10713" s="3">
        <v>0.0</v>
      </c>
      <c r="H10713" s="3">
        <v>0.0</v>
      </c>
      <c r="I10713" s="3" t="s">
        <v>13</v>
      </c>
      <c r="J10713" s="3" t="s">
        <v>30480</v>
      </c>
      <c r="K10713" s="3" t="s">
        <v>41</v>
      </c>
      <c r="L10713" s="3" t="str">
        <f>IFERROR(__xludf.DUMMYFUNCTION("GOOGLETRANSLATE(F10713,""id"",""en"")"),"France failed to win the World Cup Deschamps said Argentina Lucky")</f>
        <v>France failed to win the World Cup Deschamps said Argentina Lucky</v>
      </c>
    </row>
    <row r="10714" ht="15.75" customHeight="1">
      <c r="A10714" s="1">
        <v>11956.0</v>
      </c>
      <c r="B10714" s="3" t="s">
        <v>30481</v>
      </c>
      <c r="C10714" s="3">
        <v>1.0</v>
      </c>
      <c r="D10714" s="3">
        <v>1.0</v>
      </c>
      <c r="E10714" s="3">
        <v>33.0</v>
      </c>
      <c r="F10714" s="3" t="s">
        <v>30482</v>
      </c>
      <c r="G10714" s="3">
        <v>0.0</v>
      </c>
      <c r="H10714" s="3">
        <v>0.0</v>
      </c>
      <c r="I10714" s="3" t="s">
        <v>13</v>
      </c>
      <c r="J10714" s="3" t="s">
        <v>30483</v>
      </c>
      <c r="K10714" s="3" t="s">
        <v>127</v>
      </c>
      <c r="L10714" s="3" t="str">
        <f>IFERROR(__xludf.DUMMYFUNCTION("GOOGLETRANSLATE(F10714,""id"",""en"")"),"Emiliano Martinez and Angle Maria Two footballers whose names should be remembered both of them play a role in bringing Argentina World Cup champions besides Messi")</f>
        <v>Emiliano Martinez and Angle Maria Two footballers whose names should be remembered both of them play a role in bringing Argentina World Cup champions besides Messi</v>
      </c>
    </row>
    <row r="10715" ht="15.75" customHeight="1">
      <c r="A10715" s="1">
        <v>11957.0</v>
      </c>
      <c r="B10715" s="3" t="s">
        <v>30484</v>
      </c>
      <c r="C10715" s="3">
        <v>0.0</v>
      </c>
      <c r="D10715" s="3">
        <v>0.0</v>
      </c>
      <c r="E10715" s="3">
        <v>0.0</v>
      </c>
      <c r="F10715" s="3" t="s">
        <v>30485</v>
      </c>
      <c r="G10715" s="3">
        <v>0.0</v>
      </c>
      <c r="H10715" s="3">
        <v>0.0</v>
      </c>
      <c r="I10715" s="3" t="s">
        <v>13</v>
      </c>
      <c r="J10715" s="3" t="s">
        <v>30486</v>
      </c>
      <c r="K10715" s="3" t="s">
        <v>75</v>
      </c>
      <c r="L10715" s="3" t="str">
        <f>IFERROR(__xludf.DUMMYFUNCTION("GOOGLETRANSLATE(F10715,""id"",""en"")"),"The report card not yet finished is not the most important problem of Argentina World Cup champions")</f>
        <v>The report card not yet finished is not the most important problem of Argentina World Cup champions</v>
      </c>
    </row>
    <row r="10716" ht="15.75" customHeight="1">
      <c r="A10716" s="1">
        <v>11958.0</v>
      </c>
      <c r="B10716" s="3" t="s">
        <v>30487</v>
      </c>
      <c r="C10716" s="3">
        <v>1.0</v>
      </c>
      <c r="D10716" s="3">
        <v>0.0</v>
      </c>
      <c r="E10716" s="3">
        <v>1.0</v>
      </c>
      <c r="F10716" s="3" t="s">
        <v>30488</v>
      </c>
      <c r="G10716" s="3">
        <v>0.0</v>
      </c>
      <c r="H10716" s="3">
        <v>0.0</v>
      </c>
      <c r="I10716" s="3" t="s">
        <v>13</v>
      </c>
      <c r="J10716" s="3" t="s">
        <v>30489</v>
      </c>
      <c r="K10716" s="3" t="s">
        <v>54</v>
      </c>
      <c r="L10716" s="3" t="str">
        <f>IFERROR(__xludf.DUMMYFUNCTION("GOOGLETRANSLATE(F10716,""id"",""en"")"),"World Cup Pantun Ends Argentina Champion")</f>
        <v>World Cup Pantun Ends Argentina Champion</v>
      </c>
    </row>
    <row r="10717" ht="15.75" customHeight="1">
      <c r="A10717" s="1">
        <v>11959.0</v>
      </c>
      <c r="B10717" s="3" t="s">
        <v>30490</v>
      </c>
      <c r="C10717" s="3">
        <v>0.0</v>
      </c>
      <c r="D10717" s="3">
        <v>4.0</v>
      </c>
      <c r="E10717" s="3">
        <v>19.0</v>
      </c>
      <c r="F10717" s="3" t="s">
        <v>30491</v>
      </c>
      <c r="G10717" s="3">
        <v>0.0</v>
      </c>
      <c r="H10717" s="3">
        <v>0.0</v>
      </c>
      <c r="I10717" s="3" t="s">
        <v>13</v>
      </c>
      <c r="J10717" s="3" t="s">
        <v>30492</v>
      </c>
      <c r="K10717" s="3" t="s">
        <v>82</v>
      </c>
      <c r="L10717" s="3" t="str">
        <f>IFERROR(__xludf.DUMMYFUNCTION("GOOGLETRANSLATE(F10717,""id"",""en"")"),"Argentine national team champion Saudi Arabia's victory is again highlighted")</f>
        <v>Argentine national team champion Saudi Arabia's victory is again highlighted</v>
      </c>
    </row>
    <row r="10718" ht="15.75" customHeight="1">
      <c r="A10718" s="1">
        <v>11960.0</v>
      </c>
      <c r="B10718" s="3" t="s">
        <v>30493</v>
      </c>
      <c r="C10718" s="3">
        <v>0.0</v>
      </c>
      <c r="D10718" s="3">
        <v>0.0</v>
      </c>
      <c r="E10718" s="3">
        <v>0.0</v>
      </c>
      <c r="F10718" s="3" t="s">
        <v>30494</v>
      </c>
      <c r="G10718" s="3">
        <v>0.0</v>
      </c>
      <c r="H10718" s="3">
        <v>0.0</v>
      </c>
      <c r="I10718" s="3" t="s">
        <v>13</v>
      </c>
      <c r="J10718" s="3" t="s">
        <v>30495</v>
      </c>
      <c r="K10718" s="3" t="s">
        <v>75</v>
      </c>
      <c r="L10718" s="3" t="str">
        <f>IFERROR(__xludf.DUMMYFUNCTION("GOOGLETRANSLATE(F10718,""id"",""en"")"),"waiting for Argentina World Cup champions in the middle of the economic crisis that hit the country")</f>
        <v>waiting for Argentina World Cup champions in the middle of the economic crisis that hit the country</v>
      </c>
    </row>
    <row r="10719" ht="15.75" customHeight="1">
      <c r="A10719" s="1">
        <v>11961.0</v>
      </c>
      <c r="B10719" s="3" t="s">
        <v>30496</v>
      </c>
      <c r="C10719" s="3">
        <v>0.0</v>
      </c>
      <c r="D10719" s="3">
        <v>0.0</v>
      </c>
      <c r="E10719" s="3">
        <v>0.0</v>
      </c>
      <c r="F10719" s="3" t="s">
        <v>30497</v>
      </c>
      <c r="G10719" s="3">
        <v>0.0</v>
      </c>
      <c r="H10719" s="3">
        <v>0.0</v>
      </c>
      <c r="I10719" s="3" t="s">
        <v>13</v>
      </c>
      <c r="J10719" s="3" t="s">
        <v>30498</v>
      </c>
      <c r="K10719" s="3" t="s">
        <v>31</v>
      </c>
      <c r="L10719" s="3" t="str">
        <f>IFERROR(__xludf.DUMMYFUNCTION("GOOGLETRANSLATE(F10719,""id"",""en"")"),"Argentina Jagoin from finally feeling the championship")</f>
        <v>Argentina Jagoin from finally feeling the championship</v>
      </c>
    </row>
    <row r="10720" ht="15.75" customHeight="1">
      <c r="A10720" s="1">
        <v>11962.0</v>
      </c>
      <c r="B10720" s="3" t="s">
        <v>30499</v>
      </c>
      <c r="C10720" s="3">
        <v>0.0</v>
      </c>
      <c r="D10720" s="3">
        <v>0.0</v>
      </c>
      <c r="E10720" s="3">
        <v>0.0</v>
      </c>
      <c r="F10720" s="3" t="s">
        <v>30500</v>
      </c>
      <c r="G10720" s="3">
        <v>0.0</v>
      </c>
      <c r="H10720" s="3">
        <v>0.0</v>
      </c>
      <c r="I10720" s="3" t="s">
        <v>13</v>
      </c>
      <c r="J10720" s="3" t="s">
        <v>30501</v>
      </c>
      <c r="K10720" s="3" t="s">
        <v>15</v>
      </c>
      <c r="L10720" s="3" t="str">
        <f>IFERROR(__xludf.DUMMYFUNCTION("GOOGLETRANSLATE(F10720,""id"",""en"")"),"FIA Argentina FIFA's Offset Goal must announce its world champion")</f>
        <v>FIA Argentina FIFA's Offset Goal must announce its world champion</v>
      </c>
    </row>
    <row r="10721" ht="15.75" customHeight="1">
      <c r="A10721" s="1">
        <v>11963.0</v>
      </c>
      <c r="B10721" s="3" t="s">
        <v>30502</v>
      </c>
      <c r="C10721" s="3">
        <v>0.0</v>
      </c>
      <c r="D10721" s="3">
        <v>0.0</v>
      </c>
      <c r="E10721" s="3">
        <v>0.0</v>
      </c>
      <c r="F10721" s="3" t="s">
        <v>30488</v>
      </c>
      <c r="G10721" s="3">
        <v>0.0</v>
      </c>
      <c r="H10721" s="3">
        <v>0.0</v>
      </c>
      <c r="I10721" s="3" t="s">
        <v>13</v>
      </c>
      <c r="J10721" s="3" t="s">
        <v>30489</v>
      </c>
      <c r="K10721" s="3" t="s">
        <v>54</v>
      </c>
      <c r="L10721" s="3" t="str">
        <f>IFERROR(__xludf.DUMMYFUNCTION("GOOGLETRANSLATE(F10721,""id"",""en"")"),"World Cup Pantun Ends Argentina Champion")</f>
        <v>World Cup Pantun Ends Argentina Champion</v>
      </c>
    </row>
    <row r="10722" ht="15.75" customHeight="1">
      <c r="A10722" s="1">
        <v>11964.0</v>
      </c>
      <c r="B10722" s="3" t="s">
        <v>30503</v>
      </c>
      <c r="C10722" s="3">
        <v>0.0</v>
      </c>
      <c r="D10722" s="3">
        <v>3.0</v>
      </c>
      <c r="E10722" s="3">
        <v>1.0</v>
      </c>
      <c r="F10722" s="3" t="s">
        <v>30504</v>
      </c>
      <c r="G10722" s="3">
        <v>0.0</v>
      </c>
      <c r="H10722" s="3">
        <v>0.0</v>
      </c>
      <c r="I10722" s="3" t="s">
        <v>13</v>
      </c>
      <c r="J10722" s="3" t="s">
        <v>30505</v>
      </c>
      <c r="K10722" s="3" t="s">
        <v>499</v>
      </c>
      <c r="L10722" s="3" t="str">
        <f>IFERROR(__xludf.DUMMYFUNCTION("GOOGLETRANSLATE(F10722,""id"",""en"")"),"Argentina killed the defending champion France accepted the penalty kick after the final rival was bound along with the additional period of the Lusail Stadium Get the Latest News")</f>
        <v>Argentina killed the defending champion France accepted the penalty kick after the final rival was bound along with the additional period of the Lusail Stadium Get the Latest News</v>
      </c>
    </row>
    <row r="10723" ht="15.75" customHeight="1">
      <c r="A10723" s="1">
        <v>11965.0</v>
      </c>
      <c r="B10723" s="3" t="s">
        <v>30506</v>
      </c>
      <c r="C10723" s="3">
        <v>0.0</v>
      </c>
      <c r="D10723" s="3">
        <v>0.0</v>
      </c>
      <c r="E10723" s="3">
        <v>0.0</v>
      </c>
      <c r="F10723" s="3" t="s">
        <v>30507</v>
      </c>
      <c r="G10723" s="3">
        <v>0.0</v>
      </c>
      <c r="H10723" s="3">
        <v>0.0</v>
      </c>
      <c r="I10723" s="3" t="s">
        <v>13</v>
      </c>
      <c r="J10723" s="3" t="s">
        <v>30508</v>
      </c>
      <c r="K10723" s="3" t="s">
        <v>236</v>
      </c>
      <c r="L10723" s="3" t="str">
        <f>IFERROR(__xludf.DUMMYFUNCTION("GOOGLETRANSLATE(F10723,""id"",""en"")"),"I dreamed of Argentina last night, the world cup champion was a strange dream")</f>
        <v>I dreamed of Argentina last night, the world cup champion was a strange dream</v>
      </c>
    </row>
    <row r="10724" ht="15.75" customHeight="1">
      <c r="A10724" s="1">
        <v>11966.0</v>
      </c>
      <c r="B10724" s="3" t="s">
        <v>30509</v>
      </c>
      <c r="C10724" s="3">
        <v>1.0</v>
      </c>
      <c r="D10724" s="3">
        <v>0.0</v>
      </c>
      <c r="E10724" s="3">
        <v>1.0</v>
      </c>
      <c r="F10724" s="3" t="s">
        <v>30510</v>
      </c>
      <c r="G10724" s="3">
        <v>0.0</v>
      </c>
      <c r="H10724" s="3">
        <v>0.0</v>
      </c>
      <c r="I10724" s="3" t="s">
        <v>13</v>
      </c>
      <c r="J10724" s="3" t="s">
        <v>30511</v>
      </c>
      <c r="K10724" s="3" t="s">
        <v>2117</v>
      </c>
      <c r="L10724" s="3" t="str">
        <f>IFERROR(__xludf.DUMMYFUNCTION("GOOGLETRANSLATE(F10724,""id"",""en"")"),"Great Argentina Champion")</f>
        <v>Great Argentina Champion</v>
      </c>
    </row>
    <row r="10725" ht="15.75" customHeight="1">
      <c r="A10725" s="1">
        <v>11967.0</v>
      </c>
      <c r="B10725" s="3" t="s">
        <v>30512</v>
      </c>
      <c r="C10725" s="3">
        <v>0.0</v>
      </c>
      <c r="D10725" s="3">
        <v>0.0</v>
      </c>
      <c r="E10725" s="3">
        <v>1.0</v>
      </c>
      <c r="F10725" s="3" t="s">
        <v>30513</v>
      </c>
      <c r="G10725" s="3">
        <v>0.0</v>
      </c>
      <c r="H10725" s="3">
        <v>0.0</v>
      </c>
      <c r="I10725" s="3" t="s">
        <v>13</v>
      </c>
      <c r="J10725" s="3" t="s">
        <v>30514</v>
      </c>
      <c r="K10725" s="3" t="s">
        <v>19</v>
      </c>
      <c r="L10725" s="3" t="str">
        <f>IFERROR(__xludf.DUMMYFUNCTION("GOOGLETRANSLATE(F10725,""id"",""en"")"),"Congratulations Argentina World Cup Champion Defeat France Lionel Messi Legitimate So Goat")</f>
        <v>Congratulations Argentina World Cup Champion Defeat France Lionel Messi Legitimate So Goat</v>
      </c>
    </row>
    <row r="10726" ht="15.75" customHeight="1">
      <c r="A10726" s="1">
        <v>11968.0</v>
      </c>
      <c r="B10726" s="3" t="s">
        <v>30515</v>
      </c>
      <c r="C10726" s="3">
        <v>0.0</v>
      </c>
      <c r="D10726" s="3">
        <v>0.0</v>
      </c>
      <c r="E10726" s="3">
        <v>0.0</v>
      </c>
      <c r="F10726" s="3" t="s">
        <v>21783</v>
      </c>
      <c r="G10726" s="3">
        <v>0.0</v>
      </c>
      <c r="H10726" s="3">
        <v>0.0</v>
      </c>
      <c r="I10726" s="3" t="s">
        <v>13</v>
      </c>
      <c r="J10726" s="3" t="s">
        <v>21784</v>
      </c>
      <c r="K10726" s="3" t="s">
        <v>41</v>
      </c>
      <c r="L10726" s="3" t="str">
        <f>IFERROR(__xludf.DUMMYFUNCTION("GOOGLETRANSLATE(F10726,""id"",""en"")"),"Winning a penalty shootout over France Argentina Champion World Cup")</f>
        <v>Winning a penalty shootout over France Argentina Champion World Cup</v>
      </c>
    </row>
    <row r="10727" ht="15.75" customHeight="1">
      <c r="A10727" s="1">
        <v>11969.0</v>
      </c>
      <c r="B10727" s="3" t="s">
        <v>30516</v>
      </c>
      <c r="C10727" s="3">
        <v>0.0</v>
      </c>
      <c r="D10727" s="3">
        <v>0.0</v>
      </c>
      <c r="E10727" s="3">
        <v>0.0</v>
      </c>
      <c r="F10727" s="3" t="s">
        <v>29951</v>
      </c>
      <c r="G10727" s="3">
        <v>0.0</v>
      </c>
      <c r="H10727" s="3">
        <v>0.0</v>
      </c>
      <c r="I10727" s="3" t="s">
        <v>13</v>
      </c>
      <c r="J10727" s="3" t="s">
        <v>29952</v>
      </c>
      <c r="K10727" s="3" t="s">
        <v>899</v>
      </c>
      <c r="L10727" s="3" t="str">
        <f>IFERROR(__xludf.DUMMYFUNCTION("GOOGLETRANSLATE(F10727,""id"",""en"")"),"Win the World Cup Lionel Messi does not want to retire from Argentine national team Amanda Amelia Argentina national team managed to embrace the title of World Cup champion after overcoming the resistance")</f>
        <v>Win the World Cup Lionel Messi does not want to retire from Argentine national team Amanda Amelia Argentina national team managed to embrace the title of World Cup champion after overcoming the resistance</v>
      </c>
    </row>
    <row r="10728" ht="15.75" customHeight="1">
      <c r="A10728" s="1">
        <v>11970.0</v>
      </c>
      <c r="B10728" s="3" t="s">
        <v>30517</v>
      </c>
      <c r="C10728" s="3">
        <v>1.0</v>
      </c>
      <c r="D10728" s="3">
        <v>0.0</v>
      </c>
      <c r="E10728" s="3">
        <v>0.0</v>
      </c>
      <c r="F10728" s="3" t="s">
        <v>30518</v>
      </c>
      <c r="G10728" s="3">
        <v>0.0</v>
      </c>
      <c r="H10728" s="3">
        <v>0.0</v>
      </c>
      <c r="I10728" s="3" t="s">
        <v>13</v>
      </c>
      <c r="J10728" s="3" t="s">
        <v>30519</v>
      </c>
      <c r="K10728" s="3" t="s">
        <v>15</v>
      </c>
      <c r="L10728" s="3" t="str">
        <f>IFERROR(__xludf.DUMMYFUNCTION("GOOGLETRANSLATE(F10728,""id"",""en"")"),"Argentina Champion But Indonesia Remains Unbeaten World Cup")</f>
        <v>Argentina Champion But Indonesia Remains Unbeaten World Cup</v>
      </c>
    </row>
    <row r="10729" ht="15.75" customHeight="1">
      <c r="A10729" s="1">
        <v>11971.0</v>
      </c>
      <c r="B10729" s="3" t="s">
        <v>30520</v>
      </c>
      <c r="C10729" s="3">
        <v>3.0</v>
      </c>
      <c r="D10729" s="3">
        <v>169.0</v>
      </c>
      <c r="E10729" s="3">
        <v>433.0</v>
      </c>
      <c r="F10729" s="3" t="s">
        <v>30521</v>
      </c>
      <c r="G10729" s="3">
        <v>0.0</v>
      </c>
      <c r="H10729" s="3">
        <v>0.0</v>
      </c>
      <c r="I10729" s="3" t="s">
        <v>13</v>
      </c>
      <c r="J10729" s="3" t="s">
        <v>30522</v>
      </c>
      <c r="K10729" s="3" t="s">
        <v>358</v>
      </c>
      <c r="L10729" s="3" t="str">
        <f>IFERROR(__xludf.DUMMYFUNCTION("GOOGLETRANSLATE(F10729,""id"",""en"")"),"Image of the Chairman of the Argentine World Cup Squad Lionel Scaloni towering the World Cup Champion Stadium Shah Alam")</f>
        <v>Image of the Chairman of the Argentine World Cup Squad Lionel Scaloni towering the World Cup Champion Stadium Shah Alam</v>
      </c>
    </row>
    <row r="10730" ht="15.75" customHeight="1">
      <c r="A10730" s="1">
        <v>11972.0</v>
      </c>
      <c r="B10730" s="3" t="s">
        <v>30523</v>
      </c>
      <c r="C10730" s="3">
        <v>0.0</v>
      </c>
      <c r="D10730" s="3">
        <v>0.0</v>
      </c>
      <c r="E10730" s="3">
        <v>0.0</v>
      </c>
      <c r="F10730" s="3" t="s">
        <v>30524</v>
      </c>
      <c r="G10730" s="3">
        <v>0.0</v>
      </c>
      <c r="H10730" s="3">
        <v>0.0</v>
      </c>
      <c r="I10730" s="3" t="s">
        <v>13</v>
      </c>
      <c r="J10730" s="3" t="s">
        <v>30525</v>
      </c>
      <c r="K10730" s="3" t="s">
        <v>15</v>
      </c>
      <c r="L10730" s="3" t="str">
        <f>IFERROR(__xludf.DUMMYFUNCTION("GOOGLETRANSLATE(F10730,""id"",""en"")"),"It turned out that the success of Argentina was tucked in the name of Bang Ibul")</f>
        <v>It turned out that the success of Argentina was tucked in the name of Bang Ibul</v>
      </c>
    </row>
    <row r="10731" ht="15.75" customHeight="1">
      <c r="A10731" s="1">
        <v>11973.0</v>
      </c>
      <c r="B10731" s="3" t="s">
        <v>30526</v>
      </c>
      <c r="C10731" s="3">
        <v>0.0</v>
      </c>
      <c r="D10731" s="3">
        <v>0.0</v>
      </c>
      <c r="E10731" s="3">
        <v>0.0</v>
      </c>
      <c r="F10731" s="3" t="s">
        <v>30527</v>
      </c>
      <c r="G10731" s="3">
        <v>0.0</v>
      </c>
      <c r="H10731" s="3">
        <v>0.0</v>
      </c>
      <c r="I10731" s="3" t="s">
        <v>13</v>
      </c>
      <c r="J10731" s="3" t="s">
        <v>30528</v>
      </c>
      <c r="K10731" s="3" t="s">
        <v>1335</v>
      </c>
      <c r="L10731" s="3" t="str">
        <f>IFERROR(__xludf.DUMMYFUNCTION("GOOGLETRANSLATE(F10731,""id"",""en"")"),"Argentina is champion but turtles ninja steady pisan")</f>
        <v>Argentina is champion but turtles ninja steady pisan</v>
      </c>
    </row>
    <row r="10732" ht="15.75" customHeight="1">
      <c r="A10732" s="1">
        <v>11974.0</v>
      </c>
      <c r="B10732" s="3" t="s">
        <v>30529</v>
      </c>
      <c r="C10732" s="3">
        <v>0.0</v>
      </c>
      <c r="D10732" s="3">
        <v>0.0</v>
      </c>
      <c r="E10732" s="3">
        <v>0.0</v>
      </c>
      <c r="F10732" s="3" t="s">
        <v>30530</v>
      </c>
      <c r="G10732" s="3">
        <v>0.0</v>
      </c>
      <c r="H10732" s="3">
        <v>0.0</v>
      </c>
      <c r="I10732" s="3" t="s">
        <v>13</v>
      </c>
      <c r="J10732" s="3" t="s">
        <v>30531</v>
      </c>
      <c r="K10732" s="3" t="s">
        <v>82</v>
      </c>
      <c r="L10732" s="3" t="str">
        <f>IFERROR(__xludf.DUMMYFUNCTION("GOOGLETRANSLATE(F10732,""id"",""en"")"),"Good morning everyone, especially those who support Argentina for champions")</f>
        <v>Good morning everyone, especially those who support Argentina for champions</v>
      </c>
    </row>
    <row r="10733" ht="15.75" customHeight="1">
      <c r="A10733" s="1">
        <v>11975.0</v>
      </c>
      <c r="B10733" s="3" t="s">
        <v>30532</v>
      </c>
      <c r="C10733" s="3">
        <v>0.0</v>
      </c>
      <c r="D10733" s="3">
        <v>0.0</v>
      </c>
      <c r="E10733" s="3">
        <v>2.0</v>
      </c>
      <c r="F10733" s="3" t="s">
        <v>30533</v>
      </c>
      <c r="G10733" s="3">
        <v>0.0</v>
      </c>
      <c r="H10733" s="3">
        <v>0.0</v>
      </c>
      <c r="I10733" s="3" t="s">
        <v>13</v>
      </c>
      <c r="J10733" s="3" t="s">
        <v>30534</v>
      </c>
      <c r="K10733" s="3" t="s">
        <v>82</v>
      </c>
      <c r="L10733" s="3" t="str">
        <f>IFERROR(__xludf.DUMMYFUNCTION("GOOGLETRANSLATE(F10733,""id"",""en"")"),"Argentina World Cup Champion Got to Prize Money this much")</f>
        <v>Argentina World Cup Champion Got to Prize Money this much</v>
      </c>
    </row>
    <row r="10734" ht="15.75" customHeight="1">
      <c r="A10734" s="1">
        <v>11976.0</v>
      </c>
      <c r="B10734" s="3" t="s">
        <v>30535</v>
      </c>
      <c r="C10734" s="3">
        <v>0.0</v>
      </c>
      <c r="D10734" s="3">
        <v>0.0</v>
      </c>
      <c r="E10734" s="3">
        <v>0.0</v>
      </c>
      <c r="F10734" s="3" t="s">
        <v>30536</v>
      </c>
      <c r="G10734" s="3">
        <v>0.0</v>
      </c>
      <c r="H10734" s="3">
        <v>0.0</v>
      </c>
      <c r="I10734" s="3" t="s">
        <v>13</v>
      </c>
      <c r="J10734" s="3" t="s">
        <v>30537</v>
      </c>
      <c r="K10734" s="3" t="s">
        <v>75</v>
      </c>
      <c r="L10734" s="3" t="str">
        <f>IFERROR(__xludf.DUMMYFUNCTION("GOOGLETRANSLATE(F10734,""id"",""en"")"),"also say what if Argentina who won the timeline contained comparison between Messi and Ronaldo")</f>
        <v>also say what if Argentina who won the timeline contained comparison between Messi and Ronaldo</v>
      </c>
    </row>
    <row r="10735" ht="15.75" customHeight="1">
      <c r="A10735" s="1">
        <v>11977.0</v>
      </c>
      <c r="B10735" s="3" t="s">
        <v>30538</v>
      </c>
      <c r="C10735" s="3">
        <v>0.0</v>
      </c>
      <c r="D10735" s="3">
        <v>0.0</v>
      </c>
      <c r="E10735" s="3">
        <v>0.0</v>
      </c>
      <c r="F10735" s="3" t="s">
        <v>30539</v>
      </c>
      <c r="G10735" s="3">
        <v>0.0</v>
      </c>
      <c r="H10735" s="3">
        <v>0.0</v>
      </c>
      <c r="I10735" s="3" t="s">
        <v>13</v>
      </c>
      <c r="J10735" s="3" t="s">
        <v>30540</v>
      </c>
      <c r="K10735" s="3" t="s">
        <v>2117</v>
      </c>
      <c r="L10735" s="3" t="str">
        <f>IFERROR(__xludf.DUMMYFUNCTION("GOOGLETRANSLATE(F10735,""id"",""en"")"),"there can be proud if Argentina is champion")</f>
        <v>there can be proud if Argentina is champion</v>
      </c>
    </row>
    <row r="10736" ht="15.75" customHeight="1">
      <c r="A10736" s="1">
        <v>11978.0</v>
      </c>
      <c r="B10736" s="3" t="s">
        <v>30541</v>
      </c>
      <c r="C10736" s="3">
        <v>0.0</v>
      </c>
      <c r="D10736" s="3">
        <v>0.0</v>
      </c>
      <c r="E10736" s="3">
        <v>0.0</v>
      </c>
      <c r="F10736" s="3" t="s">
        <v>30482</v>
      </c>
      <c r="G10736" s="3">
        <v>0.0</v>
      </c>
      <c r="H10736" s="3">
        <v>0.0</v>
      </c>
      <c r="I10736" s="3" t="s">
        <v>13</v>
      </c>
      <c r="J10736" s="3" t="s">
        <v>30483</v>
      </c>
      <c r="K10736" s="3" t="s">
        <v>127</v>
      </c>
      <c r="L10736" s="3" t="str">
        <f>IFERROR(__xludf.DUMMYFUNCTION("GOOGLETRANSLATE(F10736,""id"",""en"")"),"Emiliano Martinez and Angle Maria Two footballers whose names should be remembered both of them play a role in bringing Argentina World Cup champions besides Messi")</f>
        <v>Emiliano Martinez and Angle Maria Two footballers whose names should be remembered both of them play a role in bringing Argentina World Cup champions besides Messi</v>
      </c>
    </row>
    <row r="10737" ht="15.75" customHeight="1">
      <c r="A10737" s="1">
        <v>11979.0</v>
      </c>
      <c r="B10737" s="3" t="s">
        <v>30542</v>
      </c>
      <c r="C10737" s="3">
        <v>0.0</v>
      </c>
      <c r="D10737" s="3">
        <v>0.0</v>
      </c>
      <c r="E10737" s="3">
        <v>0.0</v>
      </c>
      <c r="F10737" s="3" t="s">
        <v>27389</v>
      </c>
      <c r="G10737" s="3">
        <v>0.0</v>
      </c>
      <c r="H10737" s="3">
        <v>0.0</v>
      </c>
      <c r="I10737" s="3" t="s">
        <v>13</v>
      </c>
      <c r="J10737" s="3" t="s">
        <v>27390</v>
      </c>
      <c r="K10737" s="3" t="s">
        <v>50</v>
      </c>
      <c r="L10737" s="3" t="str">
        <f>IFERROR(__xludf.DUMMYFUNCTION("GOOGLETRANSLATE(F10737,""id"",""en"")"),"Argentina's shocking facts champion World Cup Lionel Messi Dewa Soccer")</f>
        <v>Argentina's shocking facts champion World Cup Lionel Messi Dewa Soccer</v>
      </c>
    </row>
    <row r="10738" ht="15.75" customHeight="1">
      <c r="A10738" s="1">
        <v>11980.0</v>
      </c>
      <c r="B10738" s="3" t="s">
        <v>30543</v>
      </c>
      <c r="C10738" s="3">
        <v>0.0</v>
      </c>
      <c r="D10738" s="3">
        <v>0.0</v>
      </c>
      <c r="E10738" s="3">
        <v>0.0</v>
      </c>
      <c r="F10738" s="3" t="s">
        <v>30544</v>
      </c>
      <c r="G10738" s="3">
        <v>0.0</v>
      </c>
      <c r="H10738" s="3">
        <v>0.0</v>
      </c>
      <c r="I10738" s="3" t="s">
        <v>13</v>
      </c>
      <c r="J10738" s="3" t="s">
        <v>30545</v>
      </c>
      <c r="K10738" s="3" t="s">
        <v>75</v>
      </c>
      <c r="L10738" s="3" t="str">
        <f>IFERROR(__xludf.DUMMYFUNCTION("GOOGLETRANSLATE(F10738,""id"",""en"")"),"already finished Argentina champions of the best players but this long debate")</f>
        <v>already finished Argentina champions of the best players but this long debate</v>
      </c>
    </row>
    <row r="10739" ht="15.75" customHeight="1">
      <c r="A10739" s="1">
        <v>11981.0</v>
      </c>
      <c r="B10739" s="3" t="s">
        <v>30546</v>
      </c>
      <c r="C10739" s="3">
        <v>0.0</v>
      </c>
      <c r="D10739" s="3">
        <v>0.0</v>
      </c>
      <c r="E10739" s="3">
        <v>0.0</v>
      </c>
      <c r="F10739" s="3" t="s">
        <v>30547</v>
      </c>
      <c r="G10739" s="3">
        <v>0.65</v>
      </c>
      <c r="H10739" s="3">
        <v>0.1</v>
      </c>
      <c r="I10739" s="3" t="s">
        <v>48</v>
      </c>
      <c r="J10739" s="3" t="s">
        <v>30548</v>
      </c>
      <c r="K10739" s="3" t="s">
        <v>903</v>
      </c>
      <c r="L10739" s="3" t="str">
        <f>IFERROR(__xludf.DUMMYFUNCTION("GOOGLETRANSLATE(F10739,""id"",""en"")"),"One of the most dramatic finals in modern history occurred in the Qatar World Cup Argentina finally defeated France with a score in penalties and became the World Cup champion for the time")</f>
        <v>One of the most dramatic finals in modern history occurred in the Qatar World Cup Argentina finally defeated France with a score in penalties and became the World Cup champion for the time</v>
      </c>
    </row>
    <row r="10740" ht="15.75" customHeight="1">
      <c r="A10740" s="1">
        <v>11982.0</v>
      </c>
      <c r="B10740" s="3" t="s">
        <v>30549</v>
      </c>
      <c r="C10740" s="3">
        <v>0.0</v>
      </c>
      <c r="D10740" s="3">
        <v>0.0</v>
      </c>
      <c r="E10740" s="3">
        <v>0.0</v>
      </c>
      <c r="F10740" s="3" t="s">
        <v>30550</v>
      </c>
      <c r="G10740" s="3">
        <v>0.0</v>
      </c>
      <c r="H10740" s="3">
        <v>0.0</v>
      </c>
      <c r="I10740" s="3" t="s">
        <v>13</v>
      </c>
      <c r="J10740" s="3" t="s">
        <v>30551</v>
      </c>
      <c r="K10740" s="3" t="s">
        <v>19</v>
      </c>
      <c r="L10740" s="3" t="str">
        <f>IFERROR(__xludf.DUMMYFUNCTION("GOOGLETRANSLATE(F10740,""id"",""en"")"),"Radar Bogor brought Argentina World Cup champion Messi broke any latest record")</f>
        <v>Radar Bogor brought Argentina World Cup champion Messi broke any latest record</v>
      </c>
    </row>
    <row r="10741" ht="15.75" customHeight="1">
      <c r="A10741" s="1">
        <v>11983.0</v>
      </c>
      <c r="B10741" s="3" t="s">
        <v>30552</v>
      </c>
      <c r="C10741" s="3">
        <v>0.0</v>
      </c>
      <c r="D10741" s="3">
        <v>0.0</v>
      </c>
      <c r="E10741" s="3">
        <v>0.0</v>
      </c>
      <c r="F10741" s="3" t="s">
        <v>17024</v>
      </c>
      <c r="G10741" s="3">
        <v>0.0</v>
      </c>
      <c r="H10741" s="3">
        <v>0.0</v>
      </c>
      <c r="I10741" s="3" t="s">
        <v>13</v>
      </c>
      <c r="J10741" s="3" t="s">
        <v>17025</v>
      </c>
      <c r="K10741" s="3" t="s">
        <v>510</v>
      </c>
      <c r="L10741" s="3" t="str">
        <f>IFERROR(__xludf.DUMMYFUNCTION("GOOGLETRANSLATE(F10741,""id"",""en"")"),"Lionel's jealous footballer Messi brought Argentina World Cup Champion Numbers the most hurt")</f>
        <v>Lionel's jealous footballer Messi brought Argentina World Cup Champion Numbers the most hurt</v>
      </c>
    </row>
    <row r="10742" ht="15.75" customHeight="1">
      <c r="A10742" s="1">
        <v>11984.0</v>
      </c>
      <c r="B10742" s="3" t="s">
        <v>30553</v>
      </c>
      <c r="C10742" s="3">
        <v>1.0</v>
      </c>
      <c r="D10742" s="3">
        <v>12.0</v>
      </c>
      <c r="E10742" s="3">
        <v>67.0</v>
      </c>
      <c r="F10742" s="3" t="s">
        <v>30554</v>
      </c>
      <c r="G10742" s="3">
        <v>0.0</v>
      </c>
      <c r="H10742" s="3">
        <v>0.0</v>
      </c>
      <c r="I10742" s="3" t="s">
        <v>13</v>
      </c>
      <c r="J10742" s="3" t="s">
        <v>30555</v>
      </c>
      <c r="K10742" s="3" t="s">
        <v>358</v>
      </c>
      <c r="L10742" s="3" t="str">
        <f>IFERROR(__xludf.DUMMYFUNCTION("GOOGLETRANSLATE(F10742,""id"",""en"")"),"After failing four previous editions Messi was finally able to bring Argentina to make sure he would not retire from international football after bringing the Tango Champion team")</f>
        <v>After failing four previous editions Messi was finally able to bring Argentina to make sure he would not retire from international football after bringing the Tango Champion team</v>
      </c>
    </row>
    <row r="10743" ht="15.75" customHeight="1">
      <c r="A10743" s="1">
        <v>11986.0</v>
      </c>
      <c r="B10743" s="3" t="s">
        <v>30556</v>
      </c>
      <c r="C10743" s="3">
        <v>0.0</v>
      </c>
      <c r="D10743" s="3">
        <v>0.0</v>
      </c>
      <c r="E10743" s="3">
        <v>1.0</v>
      </c>
      <c r="F10743" s="3" t="s">
        <v>30557</v>
      </c>
      <c r="G10743" s="3">
        <v>0.0</v>
      </c>
      <c r="H10743" s="3">
        <v>0.0</v>
      </c>
      <c r="I10743" s="3" t="s">
        <v>13</v>
      </c>
      <c r="J10743" s="3" t="s">
        <v>30558</v>
      </c>
      <c r="K10743" s="3" t="s">
        <v>633</v>
      </c>
      <c r="L10743" s="3" t="str">
        <f>IFERROR(__xludf.DUMMYFUNCTION("GOOGLETRANSLATE(F10743,""id"",""en"")"),"EMANE REC DO NOT YOUR France Seng Dadi Champion Adakno Argentina Wes Is Not Popo Opo Soale Karim Benzema Gak Maen Dadi Losing")</f>
        <v>EMANE REC DO NOT YOUR France Seng Dadi Champion Adakno Argentina Wes Is Not Popo Opo Soale Karim Benzema Gak Maen Dadi Losing</v>
      </c>
    </row>
    <row r="10744" ht="15.75" customHeight="1">
      <c r="A10744" s="1">
        <v>11987.0</v>
      </c>
      <c r="B10744" s="3" t="s">
        <v>30559</v>
      </c>
      <c r="C10744" s="3">
        <v>6.0</v>
      </c>
      <c r="D10744" s="3">
        <v>98.0</v>
      </c>
      <c r="E10744" s="3">
        <v>548.0</v>
      </c>
      <c r="F10744" s="3" t="s">
        <v>30560</v>
      </c>
      <c r="G10744" s="3">
        <v>0.0</v>
      </c>
      <c r="H10744" s="3">
        <v>0.0</v>
      </c>
      <c r="I10744" s="3" t="s">
        <v>13</v>
      </c>
      <c r="J10744" s="3" t="s">
        <v>30561</v>
      </c>
      <c r="K10744" s="3" t="s">
        <v>426</v>
      </c>
      <c r="L10744" s="3" t="str">
        <f>IFERROR(__xludf.DUMMYFUNCTION("GOOGLETRANSLATE(F10744,""id"",""en"")"),"This is called Carlos Bilardo coach who brought Argentina champion Year coach who made Diego Maradona the world champion he was still given a long life now watching Lionel Messi kissed the third World Cup for his country Doctor")</f>
        <v>This is called Carlos Bilardo coach who brought Argentina champion Year coach who made Diego Maradona the world champion he was still given a long life now watching Lionel Messi kissed the third World Cup for his country Doctor</v>
      </c>
    </row>
    <row r="10745" ht="15.75" customHeight="1">
      <c r="A10745" s="1">
        <v>11988.0</v>
      </c>
      <c r="B10745" s="3" t="s">
        <v>30562</v>
      </c>
      <c r="C10745" s="3">
        <v>0.0</v>
      </c>
      <c r="D10745" s="3">
        <v>0.0</v>
      </c>
      <c r="E10745" s="3">
        <v>0.0</v>
      </c>
      <c r="F10745" s="3" t="s">
        <v>30563</v>
      </c>
      <c r="G10745" s="3">
        <v>0.0</v>
      </c>
      <c r="H10745" s="3">
        <v>0.0</v>
      </c>
      <c r="I10745" s="3" t="s">
        <v>13</v>
      </c>
      <c r="J10745" s="3" t="s">
        <v>30564</v>
      </c>
      <c r="K10745" s="3" t="s">
        <v>2117</v>
      </c>
      <c r="L10745" s="3" t="str">
        <f>IFERROR(__xludf.DUMMYFUNCTION("GOOGLETRANSLATE(F10745,""id"",""en"")"),"Argentina became champion")</f>
        <v>Argentina became champion</v>
      </c>
    </row>
    <row r="10746" ht="15.75" customHeight="1">
      <c r="A10746" s="1">
        <v>11989.0</v>
      </c>
      <c r="B10746" s="3" t="s">
        <v>30565</v>
      </c>
      <c r="C10746" s="3">
        <v>0.0</v>
      </c>
      <c r="D10746" s="3">
        <v>0.0</v>
      </c>
      <c r="E10746" s="3">
        <v>1.0</v>
      </c>
      <c r="F10746" s="3" t="s">
        <v>30566</v>
      </c>
      <c r="G10746" s="3">
        <v>0.0</v>
      </c>
      <c r="H10746" s="3">
        <v>0.0</v>
      </c>
      <c r="I10746" s="3" t="s">
        <v>13</v>
      </c>
      <c r="J10746" s="3" t="s">
        <v>30567</v>
      </c>
      <c r="K10746" s="3" t="s">
        <v>2907</v>
      </c>
      <c r="L10746" s="3" t="str">
        <f>IFERROR(__xludf.DUMMYFUNCTION("GOOGLETRANSLATE(F10746,""id"",""en"")"),"Argentina champions were complained of only Messi even though Argentina won because of the work of team Sakno Koncokonco")</f>
        <v>Argentina champions were complained of only Messi even though Argentina won because of the work of team Sakno Koncokonco</v>
      </c>
    </row>
    <row r="10747" ht="15.75" customHeight="1">
      <c r="A10747" s="1">
        <v>11990.0</v>
      </c>
      <c r="B10747" s="3" t="s">
        <v>30568</v>
      </c>
      <c r="C10747" s="3">
        <v>1.0</v>
      </c>
      <c r="D10747" s="3">
        <v>0.0</v>
      </c>
      <c r="E10747" s="3">
        <v>4.0</v>
      </c>
      <c r="F10747" s="3" t="s">
        <v>30569</v>
      </c>
      <c r="G10747" s="3">
        <v>0.0</v>
      </c>
      <c r="H10747" s="3">
        <v>0.0</v>
      </c>
      <c r="I10747" s="3" t="s">
        <v>13</v>
      </c>
      <c r="J10747" s="3" t="s">
        <v>30570</v>
      </c>
      <c r="K10747" s="3" t="s">
        <v>35</v>
      </c>
      <c r="L10747" s="3" t="str">
        <f>IFERROR(__xludf.DUMMYFUNCTION("GOOGLETRANSLATE(F10747,""id"",""en"")"),"For Argentina and fans, the enthusiasm for France is that you're already champions beforehand")</f>
        <v>For Argentina and fans, the enthusiasm for France is that you're already champions beforehand</v>
      </c>
    </row>
    <row r="10748" ht="15.75" customHeight="1">
      <c r="A10748" s="1">
        <v>11991.0</v>
      </c>
      <c r="B10748" s="3" t="s">
        <v>30571</v>
      </c>
      <c r="C10748" s="3">
        <v>2.0</v>
      </c>
      <c r="D10748" s="3">
        <v>4.0</v>
      </c>
      <c r="E10748" s="3">
        <v>39.0</v>
      </c>
      <c r="F10748" s="3" t="s">
        <v>30572</v>
      </c>
      <c r="G10748" s="3">
        <v>0.0</v>
      </c>
      <c r="H10748" s="3">
        <v>0.0</v>
      </c>
      <c r="I10748" s="3" t="s">
        <v>13</v>
      </c>
      <c r="J10748" s="3" t="s">
        <v>30573</v>
      </c>
      <c r="K10748" s="3" t="s">
        <v>15</v>
      </c>
      <c r="L10748" s="3" t="str">
        <f>IFERROR(__xludf.DUMMYFUNCTION("GOOGLETRANSLATE(F10748,""id"",""en"")"),"where is the Argentina GOOOOL Jagoin World Champion World Cup")</f>
        <v>where is the Argentina GOOOOL Jagoin World Champion World Cup</v>
      </c>
    </row>
    <row r="10749" ht="15.75" customHeight="1">
      <c r="A10749" s="1">
        <v>11992.0</v>
      </c>
      <c r="B10749" s="3" t="s">
        <v>30574</v>
      </c>
      <c r="C10749" s="3">
        <v>2.0</v>
      </c>
      <c r="D10749" s="3">
        <v>0.0</v>
      </c>
      <c r="E10749" s="3">
        <v>0.0</v>
      </c>
      <c r="F10749" s="3" t="s">
        <v>30575</v>
      </c>
      <c r="G10749" s="3">
        <v>0.0</v>
      </c>
      <c r="H10749" s="3">
        <v>0.0</v>
      </c>
      <c r="I10749" s="3" t="s">
        <v>13</v>
      </c>
      <c r="J10749" s="3" t="s">
        <v>30576</v>
      </c>
      <c r="K10749" s="3" t="s">
        <v>58</v>
      </c>
      <c r="L10749" s="3" t="str">
        <f>IFERROR(__xludf.DUMMYFUNCTION("GOOGLETRANSLATE(F10749,""id"",""en"")"),"Fakboi Hafidz already Pilduun Emank's turn to Argentina Champion The results of the gathering beaters like that")</f>
        <v>Fakboi Hafidz already Pilduun Emank's turn to Argentina Champion The results of the gathering beaters like that</v>
      </c>
    </row>
    <row r="10750" ht="15.75" customHeight="1">
      <c r="A10750" s="1">
        <v>11993.0</v>
      </c>
      <c r="B10750" s="3" t="s">
        <v>30577</v>
      </c>
      <c r="C10750" s="3">
        <v>0.0</v>
      </c>
      <c r="D10750" s="3">
        <v>0.0</v>
      </c>
      <c r="E10750" s="3">
        <v>1.0</v>
      </c>
      <c r="F10750" s="3" t="s">
        <v>30578</v>
      </c>
      <c r="G10750" s="3">
        <v>0.0</v>
      </c>
      <c r="H10750" s="3">
        <v>0.0</v>
      </c>
      <c r="I10750" s="3" t="s">
        <v>13</v>
      </c>
      <c r="J10750" s="3" t="s">
        <v>30579</v>
      </c>
      <c r="K10750" s="3" t="s">
        <v>644</v>
      </c>
      <c r="L10750" s="3" t="str">
        <f>IFERROR(__xludf.DUMMYFUNCTION("GOOGLETRANSLATE(F10750,""id"",""en"")"),"Argentine Supporter Congratulations")</f>
        <v>Argentine Supporter Congratulations</v>
      </c>
    </row>
    <row r="10751" ht="15.75" customHeight="1">
      <c r="A10751" s="1">
        <v>11994.0</v>
      </c>
      <c r="B10751" s="3" t="s">
        <v>30580</v>
      </c>
      <c r="C10751" s="3">
        <v>0.0</v>
      </c>
      <c r="D10751" s="3">
        <v>0.0</v>
      </c>
      <c r="E10751" s="3">
        <v>0.0</v>
      </c>
      <c r="F10751" s="3" t="s">
        <v>30581</v>
      </c>
      <c r="G10751" s="3">
        <v>0.0</v>
      </c>
      <c r="H10751" s="3">
        <v>0.0</v>
      </c>
      <c r="I10751" s="3" t="s">
        <v>13</v>
      </c>
      <c r="J10751" s="3" t="s">
        <v>30582</v>
      </c>
      <c r="K10751" s="3" t="s">
        <v>610</v>
      </c>
      <c r="L10751" s="3" t="str">
        <f>IFERROR(__xludf.DUMMYFUNCTION("GOOGLETRANSLATE(F10751,""id"",""en"")"),"finally the champion also after the Argentina jagoin since the long wait was finally realized the same as our story since the long wait to end it finally manifested the same time as a long time it was different")</f>
        <v>finally the champion also after the Argentina jagoin since the long wait was finally realized the same as our story since the long wait to end it finally manifested the same time as a long time it was different</v>
      </c>
    </row>
    <row r="10752" ht="15.75" customHeight="1">
      <c r="A10752" s="1">
        <v>11995.0</v>
      </c>
      <c r="B10752" s="3" t="s">
        <v>30583</v>
      </c>
      <c r="C10752" s="3">
        <v>0.0</v>
      </c>
      <c r="D10752" s="3">
        <v>0.0</v>
      </c>
      <c r="E10752" s="3">
        <v>0.0</v>
      </c>
      <c r="F10752" s="3" t="s">
        <v>30584</v>
      </c>
      <c r="G10752" s="3">
        <v>0.0</v>
      </c>
      <c r="H10752" s="3">
        <v>0.0</v>
      </c>
      <c r="I10752" s="3" t="s">
        <v>13</v>
      </c>
      <c r="J10752" s="3" t="s">
        <v>30585</v>
      </c>
      <c r="K10752" s="3" t="s">
        <v>205</v>
      </c>
      <c r="L10752" s="3" t="str">
        <f>IFERROR(__xludf.DUMMYFUNCTION("GOOGLETRANSLATE(F10752,""id"",""en"")"),"This opa seems to be a witness to Argentina to get two stars two and three sssiioo long life can feel the world champion in the maradona era era era Messi")</f>
        <v>This opa seems to be a witness to Argentina to get two stars two and three sssiioo long life can feel the world champion in the maradona era era era Messi</v>
      </c>
    </row>
    <row r="10753" ht="15.75" customHeight="1">
      <c r="A10753" s="1">
        <v>11996.0</v>
      </c>
      <c r="B10753" s="3" t="s">
        <v>30586</v>
      </c>
      <c r="C10753" s="3">
        <v>1.0</v>
      </c>
      <c r="D10753" s="3">
        <v>0.0</v>
      </c>
      <c r="E10753" s="3">
        <v>0.0</v>
      </c>
      <c r="F10753" s="3" t="s">
        <v>30587</v>
      </c>
      <c r="G10753" s="3">
        <v>0.0</v>
      </c>
      <c r="H10753" s="3">
        <v>0.0</v>
      </c>
      <c r="I10753" s="3" t="s">
        <v>13</v>
      </c>
      <c r="J10753" s="3" t="s">
        <v>30588</v>
      </c>
      <c r="K10753" s="3" t="s">
        <v>75</v>
      </c>
      <c r="L10753" s="3" t="str">
        <f>IFERROR(__xludf.DUMMYFUNCTION("GOOGLETRANSLATE(F10753,""id"",""en"")"),"Congratulations to have contributed to Argentina so that last night you can win all blessings")</f>
        <v>Congratulations to have contributed to Argentina so that last night you can win all blessings</v>
      </c>
    </row>
    <row r="10754" ht="15.75" customHeight="1">
      <c r="A10754" s="1">
        <v>11997.0</v>
      </c>
      <c r="B10754" s="3" t="s">
        <v>30589</v>
      </c>
      <c r="C10754" s="3">
        <v>0.0</v>
      </c>
      <c r="D10754" s="3">
        <v>0.0</v>
      </c>
      <c r="E10754" s="3">
        <v>0.0</v>
      </c>
      <c r="F10754" s="3" t="s">
        <v>30590</v>
      </c>
      <c r="G10754" s="3">
        <v>0.0</v>
      </c>
      <c r="H10754" s="3">
        <v>0.0</v>
      </c>
      <c r="I10754" s="3" t="s">
        <v>13</v>
      </c>
      <c r="J10754" s="3" t="s">
        <v>30591</v>
      </c>
      <c r="K10754" s="3" t="s">
        <v>82</v>
      </c>
      <c r="L10754" s="3" t="str">
        <f>IFERROR(__xludf.DUMMYFUNCTION("GOOGLETRANSLATE(F10754,""id"",""en"")"),"Messi can win because there are no enemies in the blanket in Argentina squad")</f>
        <v>Messi can win because there are no enemies in the blanket in Argentina squad</v>
      </c>
    </row>
    <row r="10755" ht="15.75" customHeight="1">
      <c r="A10755" s="1">
        <v>11998.0</v>
      </c>
      <c r="B10755" s="3" t="s">
        <v>30592</v>
      </c>
      <c r="C10755" s="3">
        <v>0.0</v>
      </c>
      <c r="D10755" s="3">
        <v>0.0</v>
      </c>
      <c r="E10755" s="3">
        <v>1.0</v>
      </c>
      <c r="F10755" s="3" t="s">
        <v>30593</v>
      </c>
      <c r="G10755" s="3">
        <v>0.0</v>
      </c>
      <c r="H10755" s="3">
        <v>0.0</v>
      </c>
      <c r="I10755" s="3" t="s">
        <v>13</v>
      </c>
      <c r="J10755" s="3" t="s">
        <v>30594</v>
      </c>
      <c r="K10755" s="3" t="s">
        <v>15</v>
      </c>
      <c r="L10755" s="3" t="str">
        <f>IFERROR(__xludf.DUMMYFUNCTION("GOOGLETRANSLATE(F10755,""id"",""en"")"),"I know that when Argen Argentina's inflation champions jumped")</f>
        <v>I know that when Argen Argentina's inflation champions jumped</v>
      </c>
    </row>
    <row r="10756" ht="15.75" customHeight="1">
      <c r="A10756" s="1">
        <v>11999.0</v>
      </c>
      <c r="B10756" s="3" t="s">
        <v>30595</v>
      </c>
      <c r="C10756" s="3">
        <v>0.0</v>
      </c>
      <c r="D10756" s="3">
        <v>0.0</v>
      </c>
      <c r="E10756" s="3">
        <v>0.0</v>
      </c>
      <c r="F10756" s="3" t="s">
        <v>30596</v>
      </c>
      <c r="G10756" s="3">
        <v>0.0</v>
      </c>
      <c r="H10756" s="3">
        <v>0.0</v>
      </c>
      <c r="I10756" s="3" t="s">
        <v>13</v>
      </c>
      <c r="J10756" s="3" t="s">
        <v>30597</v>
      </c>
      <c r="K10756" s="3" t="s">
        <v>54</v>
      </c>
      <c r="L10756" s="3" t="str">
        <f>IFERROR(__xludf.DUMMYFUNCTION("GOOGLETRANSLATE(F10756,""id"",""en"")"),"the leak of the IKI Argentina office champion terimo")</f>
        <v>the leak of the IKI Argentina office champion terimo</v>
      </c>
    </row>
    <row r="10757" ht="15.75" customHeight="1">
      <c r="A10757" s="1">
        <v>12000.0</v>
      </c>
      <c r="B10757" s="3" t="s">
        <v>30598</v>
      </c>
      <c r="C10757" s="3">
        <v>0.0</v>
      </c>
      <c r="D10757" s="3">
        <v>0.0</v>
      </c>
      <c r="E10757" s="3">
        <v>0.0</v>
      </c>
      <c r="F10757" s="3" t="s">
        <v>30599</v>
      </c>
      <c r="G10757" s="3">
        <v>0.0</v>
      </c>
      <c r="H10757" s="3">
        <v>0.0</v>
      </c>
      <c r="I10757" s="3" t="s">
        <v>13</v>
      </c>
      <c r="J10757" s="3" t="s">
        <v>30600</v>
      </c>
      <c r="K10757" s="3" t="s">
        <v>149</v>
      </c>
      <c r="L10757" s="3" t="str">
        <f>IFERROR(__xludf.DUMMYFUNCTION("GOOGLETRANSLATE(F10757,""id"",""en"")"),"Argentina Champion World Cup Qatar Lionel Messi Waiting for the Cup he Idened for a long time this title was like ending the debate who was the best and Cristiano Ronaldo")</f>
        <v>Argentina Champion World Cup Qatar Lionel Messi Waiting for the Cup he Idened for a long time this title was like ending the debate who was the best and Cristiano Ronaldo</v>
      </c>
    </row>
    <row r="10758" ht="15.75" customHeight="1">
      <c r="A10758" s="1">
        <v>12001.0</v>
      </c>
      <c r="B10758" s="3" t="s">
        <v>30601</v>
      </c>
      <c r="C10758" s="3">
        <v>0.0</v>
      </c>
      <c r="D10758" s="3">
        <v>0.0</v>
      </c>
      <c r="E10758" s="3">
        <v>0.0</v>
      </c>
      <c r="F10758" s="3" t="s">
        <v>30602</v>
      </c>
      <c r="G10758" s="3">
        <v>0.0</v>
      </c>
      <c r="H10758" s="3">
        <v>0.0</v>
      </c>
      <c r="I10758" s="3" t="s">
        <v>13</v>
      </c>
      <c r="J10758" s="3" t="s">
        <v>30603</v>
      </c>
      <c r="K10758" s="3" t="s">
        <v>2117</v>
      </c>
      <c r="L10758" s="3" t="str">
        <f>IFERROR(__xludf.DUMMYFUNCTION("GOOGLETRANSLATE(F10758,""id"",""en"")"),"Argentina Champion Congrats")</f>
        <v>Argentina Champion Congrats</v>
      </c>
    </row>
    <row r="10759" ht="15.75" customHeight="1">
      <c r="A10759" s="1">
        <v>12002.0</v>
      </c>
      <c r="B10759" s="3" t="s">
        <v>30604</v>
      </c>
      <c r="C10759" s="3">
        <v>0.0</v>
      </c>
      <c r="D10759" s="3">
        <v>0.0</v>
      </c>
      <c r="E10759" s="3">
        <v>0.0</v>
      </c>
      <c r="F10759" s="3" t="s">
        <v>30605</v>
      </c>
      <c r="G10759" s="3">
        <v>0.0</v>
      </c>
      <c r="H10759" s="3">
        <v>0.0</v>
      </c>
      <c r="I10759" s="3" t="s">
        <v>13</v>
      </c>
      <c r="J10759" s="3" t="s">
        <v>19270</v>
      </c>
      <c r="K10759" s="3" t="s">
        <v>644</v>
      </c>
      <c r="L10759" s="3" t="str">
        <f>IFERROR(__xludf.DUMMYFUNCTION("GOOGLETRANSLATE(F10759,""id"",""en"")"),"Cuy Argentina Champion World Cup")</f>
        <v>Cuy Argentina Champion World Cup</v>
      </c>
    </row>
    <row r="10760" ht="15.75" customHeight="1">
      <c r="A10760" s="1">
        <v>12003.0</v>
      </c>
      <c r="B10760" s="3" t="s">
        <v>30606</v>
      </c>
      <c r="C10760" s="3">
        <v>0.0</v>
      </c>
      <c r="D10760" s="3">
        <v>0.0</v>
      </c>
      <c r="E10760" s="3">
        <v>3.0</v>
      </c>
      <c r="F10760" s="3" t="s">
        <v>30607</v>
      </c>
      <c r="G10760" s="3">
        <v>1.0</v>
      </c>
      <c r="H10760" s="3">
        <v>0.0</v>
      </c>
      <c r="I10760" s="3" t="s">
        <v>13</v>
      </c>
      <c r="J10760" s="3" t="s">
        <v>30608</v>
      </c>
      <c r="K10760" s="3" t="s">
        <v>19</v>
      </c>
      <c r="L10760" s="3" t="str">
        <f>IFERROR(__xludf.DUMMYFUNCTION("GOOGLETRANSLATE(F10760,""id"",""en"")"),"What Final Argentina Champion World Cup made Messi Tegelan until Dateng Sort Drake")</f>
        <v>What Final Argentina Champion World Cup made Messi Tegelan until Dateng Sort Drake</v>
      </c>
    </row>
    <row r="10761" ht="15.75" customHeight="1">
      <c r="A10761" s="1">
        <v>12004.0</v>
      </c>
      <c r="B10761" s="3" t="s">
        <v>30609</v>
      </c>
      <c r="C10761" s="3">
        <v>0.0</v>
      </c>
      <c r="D10761" s="3">
        <v>0.0</v>
      </c>
      <c r="E10761" s="3">
        <v>0.0</v>
      </c>
      <c r="F10761" s="3" t="s">
        <v>30610</v>
      </c>
      <c r="G10761" s="3">
        <v>0.2</v>
      </c>
      <c r="H10761" s="3">
        <v>0.3</v>
      </c>
      <c r="I10761" s="3" t="s">
        <v>48</v>
      </c>
      <c r="J10761" s="3" t="s">
        <v>30611</v>
      </c>
      <c r="K10761" s="3" t="s">
        <v>484</v>
      </c>
      <c r="L10761" s="3" t="str">
        <f>IFERROR(__xludf.DUMMYFUNCTION("GOOGLETRANSLATE(F10761,""id"",""en"")"),"Fun fact about the wait after the year of the Argentine national team ended the waiting for their year to win the third title after and they also became runners on and")</f>
        <v>Fun fact about the wait after the year of the Argentine national team ended the waiting for their year to win the third title after and they also became runners on and</v>
      </c>
    </row>
    <row r="10762" ht="15.75" customHeight="1">
      <c r="A10762" s="1">
        <v>12005.0</v>
      </c>
      <c r="B10762" s="3" t="s">
        <v>30612</v>
      </c>
      <c r="C10762" s="3">
        <v>0.0</v>
      </c>
      <c r="D10762" s="3">
        <v>1.0</v>
      </c>
      <c r="E10762" s="3">
        <v>0.0</v>
      </c>
      <c r="F10762" s="3" t="s">
        <v>30613</v>
      </c>
      <c r="G10762" s="3">
        <v>0.0</v>
      </c>
      <c r="H10762" s="3">
        <v>0.0</v>
      </c>
      <c r="I10762" s="3" t="s">
        <v>13</v>
      </c>
      <c r="J10762" s="3" t="s">
        <v>30614</v>
      </c>
      <c r="K10762" s="3" t="s">
        <v>15</v>
      </c>
      <c r="L10762" s="3" t="str">
        <f>IFERROR(__xludf.DUMMYFUNCTION("GOOGLETRANSLATE(F10762,""id"",""en"")"),"The game is very extraordinary entertaining and tense Argentina deserves to win")</f>
        <v>The game is very extraordinary entertaining and tense Argentina deserves to win</v>
      </c>
    </row>
    <row r="10763" ht="15.75" customHeight="1">
      <c r="A10763" s="1">
        <v>12006.0</v>
      </c>
      <c r="B10763" s="3" t="s">
        <v>30615</v>
      </c>
      <c r="C10763" s="3">
        <v>0.0</v>
      </c>
      <c r="D10763" s="3">
        <v>0.0</v>
      </c>
      <c r="E10763" s="3">
        <v>0.0</v>
      </c>
      <c r="F10763" s="3" t="s">
        <v>30616</v>
      </c>
      <c r="G10763" s="3">
        <v>0.4</v>
      </c>
      <c r="H10763" s="3">
        <v>0.0</v>
      </c>
      <c r="I10763" s="3" t="s">
        <v>13</v>
      </c>
      <c r="J10763" s="3" t="s">
        <v>30617</v>
      </c>
      <c r="K10763" s="3" t="s">
        <v>228</v>
      </c>
      <c r="L10763" s="3" t="str">
        <f>IFERROR(__xludf.DUMMYFUNCTION("GOOGLETRANSLATE(F10763,""id"",""en"")"),"In addition to the Argentine world champion, there are also three individual trophies of the extraordinary appearance of the Argentine players from the first party to the final match of the World Cup.")</f>
        <v>In addition to the Argentine world champion, there are also three individual trophies of the extraordinary appearance of the Argentine players from the first party to the final match of the World Cup.</v>
      </c>
    </row>
    <row r="10764" ht="15.75" customHeight="1">
      <c r="A10764" s="1">
        <v>12007.0</v>
      </c>
      <c r="B10764" s="3" t="s">
        <v>30618</v>
      </c>
      <c r="C10764" s="3">
        <v>0.0</v>
      </c>
      <c r="D10764" s="3">
        <v>0.0</v>
      </c>
      <c r="E10764" s="3">
        <v>0.0</v>
      </c>
      <c r="F10764" s="3" t="s">
        <v>30619</v>
      </c>
      <c r="G10764" s="3">
        <v>0.0</v>
      </c>
      <c r="H10764" s="3">
        <v>0.0</v>
      </c>
      <c r="I10764" s="3" t="s">
        <v>13</v>
      </c>
      <c r="J10764" s="3" t="s">
        <v>30620</v>
      </c>
      <c r="K10764" s="3" t="s">
        <v>322</v>
      </c>
      <c r="L10764" s="3" t="str">
        <f>IFERROR(__xludf.DUMMYFUNCTION("GOOGLETRANSLATE(F10764,""id"",""en"")"),"Ever realized that Argentina was once an AFF champion")</f>
        <v>Ever realized that Argentina was once an AFF champion</v>
      </c>
    </row>
    <row r="10765" ht="15.75" customHeight="1">
      <c r="A10765" s="1">
        <v>12008.0</v>
      </c>
      <c r="B10765" s="3" t="s">
        <v>30621</v>
      </c>
      <c r="C10765" s="3">
        <v>0.0</v>
      </c>
      <c r="D10765" s="3">
        <v>0.0</v>
      </c>
      <c r="E10765" s="3">
        <v>0.0</v>
      </c>
      <c r="F10765" s="3" t="s">
        <v>30622</v>
      </c>
      <c r="G10765" s="3">
        <v>0.0</v>
      </c>
      <c r="H10765" s="3">
        <v>0.0</v>
      </c>
      <c r="I10765" s="3" t="s">
        <v>13</v>
      </c>
      <c r="J10765" s="3" t="s">
        <v>30623</v>
      </c>
      <c r="K10765" s="3" t="s">
        <v>1335</v>
      </c>
      <c r="L10765" s="3" t="str">
        <f>IFERROR(__xludf.DUMMYFUNCTION("GOOGLETRANSLATE(F10765,""id"",""en"")"),"delicious eating good sleep cak pkb win")</f>
        <v>delicious eating good sleep cak pkb win</v>
      </c>
    </row>
    <row r="10766" ht="15.75" customHeight="1">
      <c r="A10766" s="1">
        <v>12009.0</v>
      </c>
      <c r="B10766" s="3" t="s">
        <v>30624</v>
      </c>
      <c r="C10766" s="3">
        <v>0.0</v>
      </c>
      <c r="D10766" s="3">
        <v>0.0</v>
      </c>
      <c r="E10766" s="3">
        <v>0.0</v>
      </c>
      <c r="F10766" s="3" t="s">
        <v>30625</v>
      </c>
      <c r="G10766" s="3">
        <v>0.0</v>
      </c>
      <c r="H10766" s="3">
        <v>0.0</v>
      </c>
      <c r="I10766" s="3" t="s">
        <v>13</v>
      </c>
      <c r="J10766" s="3" t="s">
        <v>30626</v>
      </c>
      <c r="K10766" s="3" t="s">
        <v>54</v>
      </c>
      <c r="L10766" s="3" t="str">
        <f>IFERROR(__xludf.DUMMYFUNCTION("GOOGLETRANSLATE(F10766,""id"",""en"")"),"Still laughing at the Argentina lift the title")</f>
        <v>Still laughing at the Argentina lift the title</v>
      </c>
    </row>
    <row r="10767" ht="15.75" customHeight="1">
      <c r="A10767" s="1">
        <v>12010.0</v>
      </c>
      <c r="B10767" s="3" t="s">
        <v>30627</v>
      </c>
      <c r="C10767" s="3">
        <v>0.0</v>
      </c>
      <c r="D10767" s="3">
        <v>0.0</v>
      </c>
      <c r="E10767" s="3">
        <v>1.0</v>
      </c>
      <c r="F10767" s="3" t="s">
        <v>30628</v>
      </c>
      <c r="G10767" s="3">
        <v>0.0</v>
      </c>
      <c r="H10767" s="3">
        <v>0.0</v>
      </c>
      <c r="I10767" s="3" t="s">
        <v>13</v>
      </c>
      <c r="J10767" s="3" t="s">
        <v>30629</v>
      </c>
      <c r="K10767" s="3" t="s">
        <v>5404</v>
      </c>
      <c r="L10767" s="3" t="str">
        <f>IFERROR(__xludf.DUMMYFUNCTION("GOOGLETRANSLATE(F10767,""id"",""en"")"),"Argentina World Champion likes Inter Milan because Zanetti likes Argentina because Zanetti even though Zanetti has retired still likes clubs and this country and is fun when Argentina managed to become world champion")</f>
        <v>Argentina World Champion likes Inter Milan because Zanetti likes Argentina because Zanetti even though Zanetti has retired still likes clubs and this country and is fun when Argentina managed to become world champion</v>
      </c>
    </row>
    <row r="10768" ht="15.75" customHeight="1">
      <c r="A10768" s="1">
        <v>12011.0</v>
      </c>
      <c r="B10768" s="3" t="s">
        <v>30630</v>
      </c>
      <c r="C10768" s="3">
        <v>0.0</v>
      </c>
      <c r="D10768" s="3">
        <v>0.0</v>
      </c>
      <c r="E10768" s="3">
        <v>0.0</v>
      </c>
      <c r="F10768" s="3" t="s">
        <v>30631</v>
      </c>
      <c r="G10768" s="3">
        <v>0.0</v>
      </c>
      <c r="H10768" s="3">
        <v>0.0</v>
      </c>
      <c r="I10768" s="3" t="s">
        <v>13</v>
      </c>
      <c r="J10768" s="3" t="s">
        <v>30632</v>
      </c>
      <c r="K10768" s="3" t="s">
        <v>15</v>
      </c>
      <c r="L10768" s="3" t="str">
        <f>IFERROR(__xludf.DUMMYFUNCTION("GOOGLETRANSLATE(F10768,""id"",""en"")"),"Martinez's obscene celebration was highlighted by the title of the Argentine champion polluted")</f>
        <v>Martinez's obscene celebration was highlighted by the title of the Argentine champion polluted</v>
      </c>
    </row>
    <row r="10769" ht="15.75" customHeight="1">
      <c r="A10769" s="1">
        <v>12012.0</v>
      </c>
      <c r="B10769" s="3" t="s">
        <v>30633</v>
      </c>
      <c r="C10769" s="3">
        <v>0.0</v>
      </c>
      <c r="D10769" s="3">
        <v>0.0</v>
      </c>
      <c r="E10769" s="3">
        <v>0.0</v>
      </c>
      <c r="F10769" s="3" t="s">
        <v>30634</v>
      </c>
      <c r="G10769" s="3">
        <v>0.0</v>
      </c>
      <c r="H10769" s="3">
        <v>0.0</v>
      </c>
      <c r="I10769" s="3" t="s">
        <v>13</v>
      </c>
      <c r="J10769" s="3" t="s">
        <v>30635</v>
      </c>
      <c r="K10769" s="3" t="s">
        <v>41</v>
      </c>
      <c r="L10769" s="3" t="str">
        <f>IFERROR(__xludf.DUMMYFUNCTION("GOOGLETRANSLATE(F10769,""id"",""en"")"),"Skip a penalty of Messi Bring Argentina World Cup Champion")</f>
        <v>Skip a penalty of Messi Bring Argentina World Cup Champion</v>
      </c>
    </row>
    <row r="10770" ht="15.75" customHeight="1">
      <c r="A10770" s="1">
        <v>12013.0</v>
      </c>
      <c r="B10770" s="3" t="s">
        <v>30636</v>
      </c>
      <c r="C10770" s="3">
        <v>0.0</v>
      </c>
      <c r="D10770" s="3">
        <v>0.0</v>
      </c>
      <c r="E10770" s="3">
        <v>0.0</v>
      </c>
      <c r="F10770" s="3" t="s">
        <v>30637</v>
      </c>
      <c r="G10770" s="3">
        <v>0.0</v>
      </c>
      <c r="H10770" s="3">
        <v>0.0</v>
      </c>
      <c r="I10770" s="3" t="s">
        <v>13</v>
      </c>
      <c r="J10770" s="3" t="s">
        <v>30638</v>
      </c>
      <c r="K10770" s="3" t="s">
        <v>1265</v>
      </c>
      <c r="L10770" s="3" t="str">
        <f>IFERROR(__xludf.DUMMYFUNCTION("GOOGLETRANSLATE(F10770,""id"",""en"")"),"Argentina World Cup Champion Yoh Saki Wayahne Indonesia Yoh Iso Yoh")</f>
        <v>Argentina World Cup Champion Yoh Saki Wayahne Indonesia Yoh Iso Yoh</v>
      </c>
    </row>
    <row r="10771" ht="15.75" customHeight="1">
      <c r="A10771" s="1">
        <v>12014.0</v>
      </c>
      <c r="B10771" s="3" t="s">
        <v>30639</v>
      </c>
      <c r="C10771" s="3">
        <v>0.0</v>
      </c>
      <c r="D10771" s="3">
        <v>0.0</v>
      </c>
      <c r="E10771" s="3">
        <v>0.0</v>
      </c>
      <c r="F10771" s="3" t="s">
        <v>30640</v>
      </c>
      <c r="G10771" s="3">
        <v>0.5</v>
      </c>
      <c r="H10771" s="3">
        <v>0.5</v>
      </c>
      <c r="I10771" s="3" t="s">
        <v>48</v>
      </c>
      <c r="J10771" s="3" t="s">
        <v>30641</v>
      </c>
      <c r="K10771" s="3" t="s">
        <v>510</v>
      </c>
      <c r="L10771" s="3" t="str">
        <f>IFERROR(__xludf.DUMMYFUNCTION("GOOGLETRANSLATE(F10771,""id"",""en"")"),"Argentina Champion World Cup Defeat France through Kylian Mbappe Top Score penalties")</f>
        <v>Argentina Champion World Cup Defeat France through Kylian Mbappe Top Score penalties</v>
      </c>
    </row>
    <row r="10772" ht="15.75" customHeight="1">
      <c r="A10772" s="1">
        <v>12015.0</v>
      </c>
      <c r="B10772" s="3" t="s">
        <v>30642</v>
      </c>
      <c r="C10772" s="3">
        <v>1.0</v>
      </c>
      <c r="D10772" s="3">
        <v>0.0</v>
      </c>
      <c r="E10772" s="3">
        <v>0.0</v>
      </c>
      <c r="F10772" s="3" t="s">
        <v>30643</v>
      </c>
      <c r="G10772" s="3">
        <v>0.0</v>
      </c>
      <c r="H10772" s="3">
        <v>0.0</v>
      </c>
      <c r="I10772" s="3" t="s">
        <v>13</v>
      </c>
      <c r="J10772" s="3" t="s">
        <v>30644</v>
      </c>
      <c r="K10772" s="3" t="s">
        <v>41</v>
      </c>
      <c r="L10772" s="3" t="str">
        <f>IFERROR(__xludf.DUMMYFUNCTION("GOOGLETRANSLATE(F10772,""id"",""en"")"),"The champion for Argentina is a realistic thing coming out of Bacotan yesterday")</f>
        <v>The champion for Argentina is a realistic thing coming out of Bacotan yesterday</v>
      </c>
    </row>
    <row r="10773" ht="15.75" customHeight="1">
      <c r="A10773" s="1">
        <v>12016.0</v>
      </c>
      <c r="B10773" s="3" t="s">
        <v>30645</v>
      </c>
      <c r="C10773" s="3">
        <v>0.0</v>
      </c>
      <c r="D10773" s="3">
        <v>0.0</v>
      </c>
      <c r="E10773" s="3">
        <v>4.0</v>
      </c>
      <c r="F10773" s="3" t="s">
        <v>30646</v>
      </c>
      <c r="G10773" s="3">
        <v>0.0</v>
      </c>
      <c r="H10773" s="3">
        <v>0.0</v>
      </c>
      <c r="I10773" s="3" t="s">
        <v>13</v>
      </c>
      <c r="J10773" s="3" t="s">
        <v>30647</v>
      </c>
      <c r="K10773" s="3" t="s">
        <v>75</v>
      </c>
      <c r="L10773" s="3" t="str">
        <f>IFERROR(__xludf.DUMMYFUNCTION("GOOGLETRANSLATE(F10773,""id"",""en"")"),"Really Blessing Mr. Jokowi Argentina World Champion Messi Best Player")</f>
        <v>Really Blessing Mr. Jokowi Argentina World Champion Messi Best Player</v>
      </c>
    </row>
    <row r="10774" ht="15.75" customHeight="1">
      <c r="A10774" s="1">
        <v>12017.0</v>
      </c>
      <c r="B10774" s="3" t="s">
        <v>30648</v>
      </c>
      <c r="C10774" s="3">
        <v>0.0</v>
      </c>
      <c r="D10774" s="3">
        <v>0.0</v>
      </c>
      <c r="E10774" s="3">
        <v>0.0</v>
      </c>
      <c r="F10774" s="3" t="s">
        <v>30649</v>
      </c>
      <c r="G10774" s="3">
        <v>0.0</v>
      </c>
      <c r="H10774" s="3">
        <v>0.0</v>
      </c>
      <c r="I10774" s="3" t="s">
        <v>13</v>
      </c>
      <c r="J10774" s="3" t="s">
        <v>30650</v>
      </c>
      <c r="K10774" s="3" t="s">
        <v>433</v>
      </c>
      <c r="L10774" s="3" t="str">
        <f>IFERROR(__xludf.DUMMYFUNCTION("GOOGLETRANSLATE(F10774,""id"",""en"")"),"Argentina The champion has been predicted by my laptop from the first time I worked anywhere so far, I just had an Argentine flag")</f>
        <v>Argentina The champion has been predicted by my laptop from the first time I worked anywhere so far, I just had an Argentine flag</v>
      </c>
    </row>
    <row r="10775" ht="15.75" customHeight="1">
      <c r="A10775" s="1">
        <v>12018.0</v>
      </c>
      <c r="B10775" s="3" t="s">
        <v>30651</v>
      </c>
      <c r="C10775" s="3">
        <v>0.0</v>
      </c>
      <c r="D10775" s="3">
        <v>0.0</v>
      </c>
      <c r="E10775" s="3">
        <v>0.0</v>
      </c>
      <c r="F10775" s="3" t="s">
        <v>30652</v>
      </c>
      <c r="G10775" s="3">
        <v>0.0</v>
      </c>
      <c r="H10775" s="3">
        <v>0.0</v>
      </c>
      <c r="I10775" s="3" t="s">
        <v>13</v>
      </c>
      <c r="J10775" s="3" t="s">
        <v>30653</v>
      </c>
      <c r="K10775" s="3" t="s">
        <v>19</v>
      </c>
      <c r="L10775" s="3" t="str">
        <f>IFERROR(__xludf.DUMMYFUNCTION("GOOGLETRANSLATE(F10775,""id"",""en"")"),"Actually I support Argentina only forced to choose France but still happy because the championship")</f>
        <v>Actually I support Argentina only forced to choose France but still happy because the championship</v>
      </c>
    </row>
    <row r="10776" ht="15.75" customHeight="1">
      <c r="A10776" s="1">
        <v>12019.0</v>
      </c>
      <c r="B10776" s="3" t="s">
        <v>30654</v>
      </c>
      <c r="C10776" s="3">
        <v>0.0</v>
      </c>
      <c r="D10776" s="3">
        <v>0.0</v>
      </c>
      <c r="E10776" s="3">
        <v>0.0</v>
      </c>
      <c r="F10776" s="3" t="s">
        <v>30655</v>
      </c>
      <c r="G10776" s="3">
        <v>0.0</v>
      </c>
      <c r="H10776" s="3">
        <v>0.0</v>
      </c>
      <c r="I10776" s="3" t="s">
        <v>13</v>
      </c>
      <c r="J10776" s="3" t="s">
        <v>30656</v>
      </c>
      <c r="K10776" s="3" t="s">
        <v>82</v>
      </c>
      <c r="L10776" s="3" t="str">
        <f>IFERROR(__xludf.DUMMYFUNCTION("GOOGLETRANSLATE(F10776,""id"",""en"")"),"woi fuck out, still laughing at Argentina Champion")</f>
        <v>woi fuck out, still laughing at Argentina Champion</v>
      </c>
    </row>
    <row r="10777" ht="15.75" customHeight="1">
      <c r="A10777" s="1">
        <v>12020.0</v>
      </c>
      <c r="B10777" s="3" t="s">
        <v>30657</v>
      </c>
      <c r="C10777" s="3">
        <v>0.0</v>
      </c>
      <c r="D10777" s="3">
        <v>0.0</v>
      </c>
      <c r="E10777" s="3">
        <v>0.0</v>
      </c>
      <c r="F10777" s="3" t="s">
        <v>30658</v>
      </c>
      <c r="G10777" s="3">
        <v>0.0</v>
      </c>
      <c r="H10777" s="3">
        <v>0.0</v>
      </c>
      <c r="I10777" s="3" t="s">
        <v>13</v>
      </c>
      <c r="J10777" s="3" t="s">
        <v>30659</v>
      </c>
      <c r="K10777" s="3" t="s">
        <v>35</v>
      </c>
      <c r="L10777" s="3" t="str">
        <f>IFERROR(__xludf.DUMMYFUNCTION("GOOGLETRANSLATE(F10777,""id"",""en"")"),"Poetis and Magical Words Peter Drury between Argentina World Cup Champion Day")</f>
        <v>Poetis and Magical Words Peter Drury between Argentina World Cup Champion Day</v>
      </c>
    </row>
    <row r="10778" ht="15.75" customHeight="1">
      <c r="A10778" s="1">
        <v>12021.0</v>
      </c>
      <c r="B10778" s="3" t="s">
        <v>30660</v>
      </c>
      <c r="C10778" s="3">
        <v>0.0</v>
      </c>
      <c r="D10778" s="3">
        <v>0.0</v>
      </c>
      <c r="E10778" s="3">
        <v>0.0</v>
      </c>
      <c r="F10778" s="3" t="s">
        <v>30661</v>
      </c>
      <c r="G10778" s="3">
        <v>0.0</v>
      </c>
      <c r="H10778" s="3">
        <v>0.0</v>
      </c>
      <c r="I10778" s="3" t="s">
        <v>13</v>
      </c>
      <c r="J10778" s="3" t="s">
        <v>30662</v>
      </c>
      <c r="K10778" s="3" t="s">
        <v>82</v>
      </c>
      <c r="L10778" s="3" t="str">
        <f>IFERROR(__xludf.DUMMYFUNCTION("GOOGLETRANSLATE(F10778,""id"",""en"")"),"Because Argentina is the champion, I have to learn Spanish")</f>
        <v>Because Argentina is the champion, I have to learn Spanish</v>
      </c>
    </row>
    <row r="10779" ht="15.75" customHeight="1">
      <c r="A10779" s="1">
        <v>12022.0</v>
      </c>
      <c r="B10779" s="3" t="s">
        <v>30663</v>
      </c>
      <c r="C10779" s="3">
        <v>0.0</v>
      </c>
      <c r="D10779" s="3">
        <v>0.0</v>
      </c>
      <c r="E10779" s="3">
        <v>0.0</v>
      </c>
      <c r="F10779" s="3" t="s">
        <v>30664</v>
      </c>
      <c r="G10779" s="3">
        <v>0.0</v>
      </c>
      <c r="H10779" s="3">
        <v>0.0</v>
      </c>
      <c r="I10779" s="3" t="s">
        <v>13</v>
      </c>
      <c r="J10779" s="3" t="s">
        <v>30665</v>
      </c>
      <c r="K10779" s="3" t="s">
        <v>19</v>
      </c>
      <c r="L10779" s="3" t="str">
        <f>IFERROR(__xludf.DUMMYFUNCTION("GOOGLETRANSLATE(F10779,""id"",""en"")"),"Argentina French for info, who champions the World Cup because One who won Prabowo")</f>
        <v>Argentina French for info, who champions the World Cup because One who won Prabowo</v>
      </c>
    </row>
    <row r="10780" ht="15.75" customHeight="1">
      <c r="A10780" s="1">
        <v>12023.0</v>
      </c>
      <c r="B10780" s="3" t="s">
        <v>30666</v>
      </c>
      <c r="C10780" s="3">
        <v>0.0</v>
      </c>
      <c r="D10780" s="3">
        <v>0.0</v>
      </c>
      <c r="E10780" s="3">
        <v>0.0</v>
      </c>
      <c r="F10780" s="3" t="s">
        <v>30667</v>
      </c>
      <c r="G10780" s="3">
        <v>0.3333333333333333</v>
      </c>
      <c r="H10780" s="3">
        <v>0.1666666666666667</v>
      </c>
      <c r="I10780" s="3" t="s">
        <v>48</v>
      </c>
      <c r="J10780" s="3" t="s">
        <v>30668</v>
      </c>
      <c r="K10780" s="3" t="s">
        <v>286</v>
      </c>
      <c r="L10780" s="3" t="str">
        <f>IFERROR(__xludf.DUMMYFUNCTION("GOOGLETRANSLATE(F10780,""id"",""en"")"),"Maybe if Benzema plays Messi and Argentina is easily conquered because Benzema also has an urgency for champions as Messi, but the coach is French, arrogant to Mbappe is still young and the surrounding mediocre players")</f>
        <v>Maybe if Benzema plays Messi and Argentina is easily conquered because Benzema also has an urgency for champions as Messi, but the coach is French, arrogant to Mbappe is still young and the surrounding mediocre players</v>
      </c>
    </row>
    <row r="10781" ht="15.75" customHeight="1">
      <c r="A10781" s="1">
        <v>12024.0</v>
      </c>
      <c r="B10781" s="3" t="s">
        <v>30669</v>
      </c>
      <c r="C10781" s="3">
        <v>0.0</v>
      </c>
      <c r="D10781" s="3">
        <v>1.0</v>
      </c>
      <c r="E10781" s="3">
        <v>2.0</v>
      </c>
      <c r="F10781" s="3" t="s">
        <v>30670</v>
      </c>
      <c r="G10781" s="3">
        <v>0.0</v>
      </c>
      <c r="H10781" s="3">
        <v>0.0</v>
      </c>
      <c r="I10781" s="3" t="s">
        <v>13</v>
      </c>
      <c r="J10781" s="3" t="s">
        <v>30671</v>
      </c>
      <c r="K10781" s="3" t="s">
        <v>574</v>
      </c>
      <c r="L10781" s="3" t="str">
        <f>IFERROR(__xludf.DUMMYFUNCTION("GOOGLETRANSLATE(F10781,""id"",""en"")"),"Work turns out that Argentina has always accompanied the day to work, a sign of the new world champion, who slept so happy and finally sleepy in front of the laptop now")</f>
        <v>Work turns out that Argentina has always accompanied the day to work, a sign of the new world champion, who slept so happy and finally sleepy in front of the laptop now</v>
      </c>
    </row>
    <row r="10782" ht="15.75" customHeight="1">
      <c r="A10782" s="1">
        <v>12025.0</v>
      </c>
      <c r="B10782" s="3" t="s">
        <v>30672</v>
      </c>
      <c r="C10782" s="3">
        <v>0.0</v>
      </c>
      <c r="D10782" s="3">
        <v>0.0</v>
      </c>
      <c r="E10782" s="3">
        <v>0.0</v>
      </c>
      <c r="F10782" s="3" t="s">
        <v>30673</v>
      </c>
      <c r="G10782" s="3">
        <v>0.0</v>
      </c>
      <c r="H10782" s="3">
        <v>0.0</v>
      </c>
      <c r="I10782" s="3" t="s">
        <v>13</v>
      </c>
      <c r="J10782" s="3" t="s">
        <v>30674</v>
      </c>
      <c r="K10782" s="3" t="s">
        <v>437</v>
      </c>
      <c r="L10782" s="3" t="str">
        <f>IFERROR(__xludf.DUMMYFUNCTION("GOOGLETRANSLATE(F10782,""id"",""en"")"),"Saudi Arabia national team is quite satisfying and boasting me a real fact can beat the Argentine national team champion")</f>
        <v>Saudi Arabia national team is quite satisfying and boasting me a real fact can beat the Argentine national team champion</v>
      </c>
    </row>
    <row r="10783" ht="15.75" customHeight="1">
      <c r="A10783" s="1">
        <v>12026.0</v>
      </c>
      <c r="B10783" s="3" t="s">
        <v>30675</v>
      </c>
      <c r="C10783" s="3">
        <v>0.0</v>
      </c>
      <c r="D10783" s="3">
        <v>0.0</v>
      </c>
      <c r="E10783" s="3">
        <v>0.0</v>
      </c>
      <c r="F10783" s="3" t="s">
        <v>30676</v>
      </c>
      <c r="G10783" s="3">
        <v>0.0</v>
      </c>
      <c r="H10783" s="3">
        <v>0.0</v>
      </c>
      <c r="I10783" s="3" t="s">
        <v>13</v>
      </c>
      <c r="J10783" s="3" t="s">
        <v>30677</v>
      </c>
      <c r="K10783" s="3" t="s">
        <v>31</v>
      </c>
      <c r="L10783" s="3" t="str">
        <f>IFERROR(__xludf.DUMMYFUNCTION("GOOGLETRANSLATE(F10783,""id"",""en"")"),"the Argentina champion but the tranding mbpee kelazzz")</f>
        <v>the Argentina champion but the tranding mbpee kelazzz</v>
      </c>
    </row>
    <row r="10784" ht="15.75" customHeight="1">
      <c r="A10784" s="1">
        <v>12027.0</v>
      </c>
      <c r="B10784" s="3" t="s">
        <v>30678</v>
      </c>
      <c r="C10784" s="3">
        <v>0.0</v>
      </c>
      <c r="D10784" s="3">
        <v>0.0</v>
      </c>
      <c r="E10784" s="3">
        <v>0.0</v>
      </c>
      <c r="F10784" s="3" t="s">
        <v>30679</v>
      </c>
      <c r="G10784" s="3">
        <v>0.0</v>
      </c>
      <c r="H10784" s="3">
        <v>0.0</v>
      </c>
      <c r="I10784" s="3" t="s">
        <v>13</v>
      </c>
      <c r="J10784" s="3" t="s">
        <v>30680</v>
      </c>
      <c r="K10784" s="3" t="s">
        <v>322</v>
      </c>
      <c r="L10784" s="3" t="str">
        <f>IFERROR(__xludf.DUMMYFUNCTION("GOOGLETRANSLATE(F10784,""id"",""en"")"),"Argentina Really Champion Euy Congrats Congrats")</f>
        <v>Argentina Really Champion Euy Congrats Congrats</v>
      </c>
    </row>
    <row r="10785" ht="15.75" customHeight="1">
      <c r="A10785" s="1">
        <v>12028.0</v>
      </c>
      <c r="B10785" s="3" t="s">
        <v>30681</v>
      </c>
      <c r="C10785" s="3">
        <v>0.0</v>
      </c>
      <c r="D10785" s="3">
        <v>0.0</v>
      </c>
      <c r="E10785" s="3">
        <v>0.0</v>
      </c>
      <c r="F10785" s="3" t="s">
        <v>30682</v>
      </c>
      <c r="G10785" s="3">
        <v>0.0</v>
      </c>
      <c r="H10785" s="3">
        <v>0.0</v>
      </c>
      <c r="I10785" s="3" t="s">
        <v>13</v>
      </c>
      <c r="J10785" s="3" t="s">
        <v>30683</v>
      </c>
      <c r="K10785" s="3" t="s">
        <v>30684</v>
      </c>
      <c r="L10785" s="3" t="str">
        <f>IFERROR(__xludf.DUMMYFUNCTION("GOOGLETRANSLATE(F10785,""id"",""en"")"),"The era of Mr. Harto Argentina Champion World Cup Jokowi Argentina World Champion Hmmm seems like the era of Mr. Harto is better than the Jokowi Factos era")</f>
        <v>The era of Mr. Harto Argentina Champion World Cup Jokowi Argentina World Champion Hmmm seems like the era of Mr. Harto is better than the Jokowi Factos era</v>
      </c>
    </row>
    <row r="10786" ht="15.75" customHeight="1">
      <c r="A10786" s="1">
        <v>12029.0</v>
      </c>
      <c r="B10786" s="3" t="s">
        <v>30685</v>
      </c>
      <c r="C10786" s="3">
        <v>0.0</v>
      </c>
      <c r="D10786" s="3">
        <v>0.0</v>
      </c>
      <c r="E10786" s="3">
        <v>1.0</v>
      </c>
      <c r="F10786" s="3" t="s">
        <v>30686</v>
      </c>
      <c r="G10786" s="3">
        <v>0.0</v>
      </c>
      <c r="H10786" s="3">
        <v>0.0</v>
      </c>
      <c r="I10786" s="3" t="s">
        <v>13</v>
      </c>
      <c r="J10786" s="3" t="s">
        <v>30687</v>
      </c>
      <c r="K10786" s="3" t="s">
        <v>495</v>
      </c>
      <c r="L10786" s="3" t="str">
        <f>IFERROR(__xludf.DUMMYFUNCTION("GOOGLETRANSLATE(F10786,""id"",""en"")"),"Argentina won the World Cup after winning a penalty shootout for France, the following is the reaction of the social media timeline about the exciting match")</f>
        <v>Argentina won the World Cup after winning a penalty shootout for France, the following is the reaction of the social media timeline about the exciting match</v>
      </c>
    </row>
    <row r="10787" ht="15.75" customHeight="1">
      <c r="A10787" s="1">
        <v>12030.0</v>
      </c>
      <c r="B10787" s="3" t="s">
        <v>30688</v>
      </c>
      <c r="C10787" s="3">
        <v>0.0</v>
      </c>
      <c r="D10787" s="3">
        <v>0.0</v>
      </c>
      <c r="E10787" s="3">
        <v>5.0</v>
      </c>
      <c r="F10787" s="3" t="s">
        <v>30689</v>
      </c>
      <c r="G10787" s="3">
        <v>0.5714285714285714</v>
      </c>
      <c r="H10787" s="3">
        <v>0.3571428571428572</v>
      </c>
      <c r="I10787" s="3" t="s">
        <v>48</v>
      </c>
      <c r="J10787" s="3" t="s">
        <v>30690</v>
      </c>
      <c r="K10787" s="3" t="s">
        <v>27</v>
      </c>
      <c r="L10787" s="3" t="str">
        <f>IFERROR(__xludf.DUMMYFUNCTION("GOOGLETRANSLATE(F10787,""id"",""en"")"),"Harini Special for Deborah who is an Argentine fan we bring a Kompang Group Kompang Children of the Cheras Series to describe the Argentine victory to become the World Cup champion ready for Manggar again")</f>
        <v>Harini Special for Deborah who is an Argentine fan we bring a Kompang Group Kompang Children of the Cheras Series to describe the Argentine victory to become the World Cup champion ready for Manggar again</v>
      </c>
    </row>
    <row r="10788" ht="15.75" customHeight="1">
      <c r="A10788" s="1">
        <v>12031.0</v>
      </c>
      <c r="B10788" s="3" t="s">
        <v>30691</v>
      </c>
      <c r="C10788" s="3">
        <v>0.0</v>
      </c>
      <c r="D10788" s="3">
        <v>0.0</v>
      </c>
      <c r="E10788" s="3">
        <v>0.0</v>
      </c>
      <c r="F10788" s="3" t="s">
        <v>30692</v>
      </c>
      <c r="G10788" s="3">
        <v>0.0</v>
      </c>
      <c r="H10788" s="3">
        <v>0.0</v>
      </c>
      <c r="I10788" s="3" t="s">
        <v>13</v>
      </c>
      <c r="J10788" s="3" t="s">
        <v>30693</v>
      </c>
      <c r="K10788" s="3" t="s">
        <v>41</v>
      </c>
      <c r="L10788" s="3" t="str">
        <f>IFERROR(__xludf.DUMMYFUNCTION("GOOGLETRANSLATE(F10788,""id"",""en"")"),"World Cup Champion Lionel Messi doesn't want to retire from the Argentine national team")</f>
        <v>World Cup Champion Lionel Messi doesn't want to retire from the Argentine national team</v>
      </c>
    </row>
    <row r="10789" ht="15.75" customHeight="1">
      <c r="A10789" s="1">
        <v>12032.0</v>
      </c>
      <c r="B10789" s="3" t="s">
        <v>30694</v>
      </c>
      <c r="C10789" s="3">
        <v>0.0</v>
      </c>
      <c r="D10789" s="3">
        <v>0.0</v>
      </c>
      <c r="E10789" s="3">
        <v>0.0</v>
      </c>
      <c r="F10789" s="3" t="s">
        <v>30695</v>
      </c>
      <c r="G10789" s="3">
        <v>0.0</v>
      </c>
      <c r="H10789" s="3">
        <v>0.0</v>
      </c>
      <c r="I10789" s="3" t="s">
        <v>13</v>
      </c>
      <c r="J10789" s="3" t="s">
        <v>30696</v>
      </c>
      <c r="K10789" s="3" t="s">
        <v>41</v>
      </c>
      <c r="L10789" s="3" t="str">
        <f>IFERROR(__xludf.DUMMYFUNCTION("GOOGLETRANSLATE(F10789,""id"",""en"")"),"Build a body fresh, right Argentina is champion hehehe")</f>
        <v>Build a body fresh, right Argentina is champion hehehe</v>
      </c>
    </row>
    <row r="10790" ht="15.75" customHeight="1">
      <c r="A10790" s="1">
        <v>12033.0</v>
      </c>
      <c r="B10790" s="3" t="s">
        <v>30697</v>
      </c>
      <c r="C10790" s="3">
        <v>0.0</v>
      </c>
      <c r="D10790" s="3">
        <v>0.0</v>
      </c>
      <c r="E10790" s="3">
        <v>0.0</v>
      </c>
      <c r="F10790" s="3" t="s">
        <v>30698</v>
      </c>
      <c r="G10790" s="3">
        <v>0.0</v>
      </c>
      <c r="H10790" s="3">
        <v>0.0</v>
      </c>
      <c r="I10790" s="3" t="s">
        <v>13</v>
      </c>
      <c r="J10790" s="3" t="s">
        <v>30699</v>
      </c>
      <c r="K10790" s="3" t="s">
        <v>82</v>
      </c>
      <c r="L10790" s="3" t="str">
        <f>IFERROR(__xludf.DUMMYFUNCTION("GOOGLETRANSLATE(F10790,""id"",""en"")"),"Behind Deshcamps and Argentine World Championship")</f>
        <v>Behind Deshcamps and Argentine World Championship</v>
      </c>
    </row>
    <row r="10791" ht="15.75" customHeight="1">
      <c r="A10791" s="1">
        <v>12034.0</v>
      </c>
      <c r="B10791" s="3" t="s">
        <v>30700</v>
      </c>
      <c r="C10791" s="3">
        <v>0.0</v>
      </c>
      <c r="D10791" s="3">
        <v>0.0</v>
      </c>
      <c r="E10791" s="3">
        <v>0.0</v>
      </c>
      <c r="F10791" s="3" t="s">
        <v>30701</v>
      </c>
      <c r="G10791" s="3">
        <v>0.3333333333333333</v>
      </c>
      <c r="H10791" s="3">
        <v>0.1666666666666667</v>
      </c>
      <c r="I10791" s="3" t="s">
        <v>48</v>
      </c>
      <c r="J10791" s="3" t="s">
        <v>30702</v>
      </c>
      <c r="K10791" s="3" t="s">
        <v>942</v>
      </c>
      <c r="L10791" s="3" t="str">
        <f>IFERROR(__xludf.DUMMYFUNCTION("GOOGLETRANSLATE(F10791,""id"",""en"")"),"Scaloni asked Lionel Messi to keep playing until the World Cup because of Argentina World Cup champions")</f>
        <v>Scaloni asked Lionel Messi to keep playing until the World Cup because of Argentina World Cup champions</v>
      </c>
    </row>
    <row r="10792" ht="15.75" customHeight="1">
      <c r="A10792" s="1">
        <v>12035.0</v>
      </c>
      <c r="B10792" s="3" t="s">
        <v>30703</v>
      </c>
      <c r="C10792" s="3">
        <v>0.0</v>
      </c>
      <c r="D10792" s="3">
        <v>0.0</v>
      </c>
      <c r="E10792" s="3">
        <v>1.0</v>
      </c>
      <c r="F10792" s="3" t="s">
        <v>30704</v>
      </c>
      <c r="G10792" s="3">
        <v>0.0</v>
      </c>
      <c r="H10792" s="3">
        <v>0.0</v>
      </c>
      <c r="I10792" s="3" t="s">
        <v>13</v>
      </c>
      <c r="J10792" s="3" t="s">
        <v>30705</v>
      </c>
      <c r="K10792" s="3" t="s">
        <v>484</v>
      </c>
      <c r="L10792" s="3" t="str">
        <f>IFERROR(__xludf.DUMMYFUNCTION("GOOGLETRANSLATE(F10792,""id"",""en"")"),"Our prediction is indeed Joss Cak Messi Argentina is indeed worthy of being a Jooss champion winning a lot like this cak")</f>
        <v>Our prediction is indeed Joss Cak Messi Argentina is indeed worthy of being a Jooss champion winning a lot like this cak</v>
      </c>
    </row>
    <row r="10793" ht="15.75" customHeight="1">
      <c r="A10793" s="1">
        <v>12036.0</v>
      </c>
      <c r="B10793" s="3" t="s">
        <v>30706</v>
      </c>
      <c r="C10793" s="3">
        <v>0.0</v>
      </c>
      <c r="D10793" s="3">
        <v>0.0</v>
      </c>
      <c r="E10793" s="3">
        <v>0.0</v>
      </c>
      <c r="F10793" s="3" t="s">
        <v>30707</v>
      </c>
      <c r="G10793" s="3">
        <v>0.0</v>
      </c>
      <c r="H10793" s="3">
        <v>0.0</v>
      </c>
      <c r="I10793" s="3" t="s">
        <v>13</v>
      </c>
      <c r="J10793" s="3" t="s">
        <v>30708</v>
      </c>
      <c r="K10793" s="3" t="s">
        <v>123</v>
      </c>
      <c r="L10793" s="3" t="str">
        <f>IFERROR(__xludf.DUMMYFUNCTION("GOOGLETRANSLATE(F10793,""id"",""en"")"),"Argentina won the Qatar World Cup title at the same time ending Lionel Messi's long wait")</f>
        <v>Argentina won the Qatar World Cup title at the same time ending Lionel Messi's long wait</v>
      </c>
    </row>
    <row r="10794" ht="15.75" customHeight="1">
      <c r="A10794" s="1">
        <v>12037.0</v>
      </c>
      <c r="B10794" s="3" t="s">
        <v>30709</v>
      </c>
      <c r="C10794" s="3">
        <v>0.0</v>
      </c>
      <c r="D10794" s="3">
        <v>0.0</v>
      </c>
      <c r="E10794" s="3">
        <v>0.0</v>
      </c>
      <c r="F10794" s="3" t="s">
        <v>30710</v>
      </c>
      <c r="G10794" s="3">
        <v>0.0</v>
      </c>
      <c r="H10794" s="3">
        <v>0.0</v>
      </c>
      <c r="I10794" s="3" t="s">
        <v>13</v>
      </c>
      <c r="J10794" s="3" t="s">
        <v>30711</v>
      </c>
      <c r="K10794" s="3" t="s">
        <v>244</v>
      </c>
      <c r="L10794" s="3" t="str">
        <f>IFERROR(__xludf.DUMMYFUNCTION("GOOGLETRANSLATE(F10794,""id"",""en"")"),"Congratulations to Argentina Cool has won the World Cup World Champion in History")</f>
        <v>Congratulations to Argentina Cool has won the World Cup World Champion in History</v>
      </c>
    </row>
    <row r="10795" ht="15.75" customHeight="1">
      <c r="A10795" s="1">
        <v>12038.0</v>
      </c>
      <c r="B10795" s="3" t="s">
        <v>30712</v>
      </c>
      <c r="C10795" s="3">
        <v>0.0</v>
      </c>
      <c r="D10795" s="3">
        <v>0.0</v>
      </c>
      <c r="E10795" s="3">
        <v>1.0</v>
      </c>
      <c r="F10795" s="3" t="s">
        <v>30713</v>
      </c>
      <c r="G10795" s="3">
        <v>0.0</v>
      </c>
      <c r="H10795" s="3">
        <v>0.0</v>
      </c>
      <c r="I10795" s="3" t="s">
        <v>13</v>
      </c>
      <c r="J10795" s="3" t="s">
        <v>30714</v>
      </c>
      <c r="K10795" s="3" t="s">
        <v>75</v>
      </c>
      <c r="L10795" s="3" t="str">
        <f>IFERROR(__xludf.DUMMYFUNCTION("GOOGLETRANSLATE(F10795,""id"",""en"")"),"Even though the World Cup champion was Argentina, instead of Messi, Ronaldo was trending")</f>
        <v>Even though the World Cup champion was Argentina, instead of Messi, Ronaldo was trending</v>
      </c>
    </row>
    <row r="10796" ht="15.75" customHeight="1">
      <c r="A10796" s="1">
        <v>12039.0</v>
      </c>
      <c r="B10796" s="3" t="s">
        <v>30715</v>
      </c>
      <c r="C10796" s="3">
        <v>0.0</v>
      </c>
      <c r="D10796" s="3">
        <v>0.0</v>
      </c>
      <c r="E10796" s="3">
        <v>0.0</v>
      </c>
      <c r="F10796" s="3" t="s">
        <v>30716</v>
      </c>
      <c r="G10796" s="3">
        <v>0.0</v>
      </c>
      <c r="H10796" s="3">
        <v>0.0</v>
      </c>
      <c r="I10796" s="3" t="s">
        <v>13</v>
      </c>
      <c r="J10796" s="3" t="s">
        <v>30717</v>
      </c>
      <c r="K10796" s="3" t="s">
        <v>348</v>
      </c>
      <c r="L10796" s="3" t="str">
        <f>IFERROR(__xludf.DUMMYFUNCTION("GOOGLETRANSLATE(F10796,""id"",""en"")"),"Heavy replacement in Dimaria and Messi has no dybala still does not look like the national team's gacor needs a few more Argentina back to the current most favored French Spanish and Brazil with players")</f>
        <v>Heavy replacement in Dimaria and Messi has no dybala still does not look like the national team's gacor needs a few more Argentina back to the current most favored French Spanish and Brazil with players</v>
      </c>
    </row>
    <row r="10797" ht="15.75" customHeight="1">
      <c r="A10797" s="1">
        <v>12040.0</v>
      </c>
      <c r="B10797" s="3" t="s">
        <v>30718</v>
      </c>
      <c r="C10797" s="3">
        <v>1.0</v>
      </c>
      <c r="D10797" s="3">
        <v>0.0</v>
      </c>
      <c r="E10797" s="3">
        <v>3.0</v>
      </c>
      <c r="F10797" s="3" t="s">
        <v>30719</v>
      </c>
      <c r="G10797" s="3">
        <v>0.0</v>
      </c>
      <c r="H10797" s="3">
        <v>0.0</v>
      </c>
      <c r="I10797" s="3" t="s">
        <v>13</v>
      </c>
      <c r="J10797" s="3" t="s">
        <v>30720</v>
      </c>
      <c r="K10797" s="3" t="s">
        <v>15</v>
      </c>
      <c r="L10797" s="3" t="str">
        <f>IFERROR(__xludf.DUMMYFUNCTION("GOOGLETRANSLATE(F10797,""id"",""en"")"),"Argentina is indeed a champion but Qatar and the Arab world are also winners")</f>
        <v>Argentina is indeed a champion but Qatar and the Arab world are also winners</v>
      </c>
    </row>
    <row r="10798" ht="15.75" customHeight="1">
      <c r="A10798" s="1">
        <v>12041.0</v>
      </c>
      <c r="B10798" s="3" t="s">
        <v>30721</v>
      </c>
      <c r="C10798" s="3">
        <v>0.0</v>
      </c>
      <c r="D10798" s="3">
        <v>0.0</v>
      </c>
      <c r="E10798" s="3">
        <v>0.0</v>
      </c>
      <c r="F10798" s="3" t="s">
        <v>30722</v>
      </c>
      <c r="G10798" s="3">
        <v>0.0</v>
      </c>
      <c r="H10798" s="3">
        <v>0.0</v>
      </c>
      <c r="I10798" s="3" t="s">
        <v>13</v>
      </c>
      <c r="J10798" s="3" t="s">
        <v>30723</v>
      </c>
      <c r="K10798" s="3" t="s">
        <v>54</v>
      </c>
      <c r="L10798" s="3" t="str">
        <f>IFERROR(__xludf.DUMMYFUNCTION("GOOGLETRANSLATE(F10798,""id"",""en"")"),"Argentina and Messi's champions but Trending remains Ronaldo")</f>
        <v>Argentina and Messi's champions but Trending remains Ronaldo</v>
      </c>
    </row>
    <row r="10799" ht="15.75" customHeight="1">
      <c r="A10799" s="1">
        <v>12042.0</v>
      </c>
      <c r="B10799" s="3" t="s">
        <v>30724</v>
      </c>
      <c r="C10799" s="3">
        <v>2.0</v>
      </c>
      <c r="D10799" s="3">
        <v>1.0</v>
      </c>
      <c r="E10799" s="3">
        <v>7.0</v>
      </c>
      <c r="F10799" s="3" t="s">
        <v>30725</v>
      </c>
      <c r="G10799" s="3">
        <v>0.0</v>
      </c>
      <c r="H10799" s="3">
        <v>0.0</v>
      </c>
      <c r="I10799" s="3" t="s">
        <v>13</v>
      </c>
      <c r="J10799" s="3" t="s">
        <v>30726</v>
      </c>
      <c r="K10799" s="3" t="s">
        <v>50</v>
      </c>
      <c r="L10799" s="3" t="str">
        <f>IFERROR(__xludf.DUMMYFUNCTION("GOOGLETRANSLATE(F10799,""id"",""en"")"),"Messi and Argentina World Cup Champion Name Ronaldo Join Social Media Trending")</f>
        <v>Messi and Argentina World Cup Champion Name Ronaldo Join Social Media Trending</v>
      </c>
    </row>
    <row r="10800" ht="15.75" customHeight="1">
      <c r="A10800" s="1">
        <v>12043.0</v>
      </c>
      <c r="B10800" s="3" t="s">
        <v>30727</v>
      </c>
      <c r="C10800" s="3">
        <v>0.0</v>
      </c>
      <c r="D10800" s="3">
        <v>0.0</v>
      </c>
      <c r="E10800" s="3">
        <v>0.0</v>
      </c>
      <c r="F10800" s="3" t="s">
        <v>30728</v>
      </c>
      <c r="G10800" s="3">
        <v>0.0</v>
      </c>
      <c r="H10800" s="3">
        <v>0.0</v>
      </c>
      <c r="I10800" s="3" t="s">
        <v>13</v>
      </c>
      <c r="J10800" s="3" t="s">
        <v>30729</v>
      </c>
      <c r="K10800" s="3" t="s">
        <v>54</v>
      </c>
      <c r="L10800" s="3" t="str">
        <f>IFERROR(__xludf.DUMMYFUNCTION("GOOGLETRANSLATE(F10800,""id"",""en"")"),"Before there was EMI Argentina, it was hard to win the RISPEKK")</f>
        <v>Before there was EMI Argentina, it was hard to win the RISPEKK</v>
      </c>
    </row>
    <row r="10801" ht="15.75" customHeight="1">
      <c r="A10801" s="1">
        <v>12044.0</v>
      </c>
      <c r="B10801" s="3" t="s">
        <v>30730</v>
      </c>
      <c r="C10801" s="3">
        <v>0.0</v>
      </c>
      <c r="D10801" s="3">
        <v>0.0</v>
      </c>
      <c r="E10801" s="3">
        <v>0.0</v>
      </c>
      <c r="F10801" s="3" t="s">
        <v>30731</v>
      </c>
      <c r="G10801" s="3">
        <v>0.0</v>
      </c>
      <c r="H10801" s="3">
        <v>0.0</v>
      </c>
      <c r="I10801" s="3" t="s">
        <v>13</v>
      </c>
      <c r="J10801" s="3" t="s">
        <v>30732</v>
      </c>
      <c r="K10801" s="3" t="s">
        <v>510</v>
      </c>
      <c r="L10801" s="3" t="str">
        <f>IFERROR(__xludf.DUMMYFUNCTION("GOOGLETRANSLATE(F10801,""id"",""en"")"),"The final result of the Qatar Argentina FIFA World Cup won after the penalty of the score")</f>
        <v>The final result of the Qatar Argentina FIFA World Cup won after the penalty of the score</v>
      </c>
    </row>
    <row r="10802" ht="15.75" customHeight="1">
      <c r="A10802" s="1">
        <v>12045.0</v>
      </c>
      <c r="B10802" s="3" t="s">
        <v>30733</v>
      </c>
      <c r="C10802" s="3">
        <v>0.0</v>
      </c>
      <c r="D10802" s="3">
        <v>0.0</v>
      </c>
      <c r="E10802" s="3">
        <v>0.0</v>
      </c>
      <c r="F10802" s="3" t="s">
        <v>30719</v>
      </c>
      <c r="G10802" s="3">
        <v>0.0</v>
      </c>
      <c r="H10802" s="3">
        <v>0.0</v>
      </c>
      <c r="I10802" s="3" t="s">
        <v>13</v>
      </c>
      <c r="J10802" s="3" t="s">
        <v>30720</v>
      </c>
      <c r="K10802" s="3" t="s">
        <v>15</v>
      </c>
      <c r="L10802" s="3" t="str">
        <f>IFERROR(__xludf.DUMMYFUNCTION("GOOGLETRANSLATE(F10802,""id"",""en"")"),"Argentina is indeed a champion but Qatar and the Arab world are also winners")</f>
        <v>Argentina is indeed a champion but Qatar and the Arab world are also winners</v>
      </c>
    </row>
    <row r="10803" ht="15.75" customHeight="1">
      <c r="A10803" s="1">
        <v>12046.0</v>
      </c>
      <c r="B10803" s="3" t="s">
        <v>30734</v>
      </c>
      <c r="C10803" s="3">
        <v>0.0</v>
      </c>
      <c r="D10803" s="3">
        <v>0.0</v>
      </c>
      <c r="E10803" s="3">
        <v>0.0</v>
      </c>
      <c r="F10803" s="3" t="s">
        <v>30735</v>
      </c>
      <c r="G10803" s="3">
        <v>0.0</v>
      </c>
      <c r="H10803" s="3">
        <v>0.0</v>
      </c>
      <c r="I10803" s="3" t="s">
        <v>13</v>
      </c>
      <c r="J10803" s="3" t="s">
        <v>30736</v>
      </c>
      <c r="K10803" s="3" t="s">
        <v>644</v>
      </c>
      <c r="L10803" s="3" t="str">
        <f>IFERROR(__xludf.DUMMYFUNCTION("GOOGLETRANSLATE(F10803,""id"",""en"")"),"he said Argentina is the real champion")</f>
        <v>he said Argentina is the real champion</v>
      </c>
    </row>
    <row r="10804" ht="15.75" customHeight="1">
      <c r="A10804" s="1">
        <v>12047.0</v>
      </c>
      <c r="B10804" s="3" t="s">
        <v>30737</v>
      </c>
      <c r="C10804" s="3">
        <v>0.0</v>
      </c>
      <c r="D10804" s="3">
        <v>0.0</v>
      </c>
      <c r="E10804" s="3">
        <v>0.0</v>
      </c>
      <c r="F10804" s="3" t="s">
        <v>30738</v>
      </c>
      <c r="G10804" s="3">
        <v>0.0</v>
      </c>
      <c r="H10804" s="3">
        <v>0.0</v>
      </c>
      <c r="I10804" s="3" t="s">
        <v>13</v>
      </c>
      <c r="J10804" s="3" t="s">
        <v>30739</v>
      </c>
      <c r="K10804" s="3" t="s">
        <v>54</v>
      </c>
      <c r="L10804" s="3" t="str">
        <f>IFERROR(__xludf.DUMMYFUNCTION("GOOGLETRANSLATE(F10804,""id"",""en"")"),"History for Argentina World Champion has been three times")</f>
        <v>History for Argentina World Champion has been three times</v>
      </c>
    </row>
    <row r="10805" ht="15.75" customHeight="1">
      <c r="A10805" s="1">
        <v>12048.0</v>
      </c>
      <c r="B10805" s="3" t="s">
        <v>30740</v>
      </c>
      <c r="C10805" s="3">
        <v>0.0</v>
      </c>
      <c r="D10805" s="3">
        <v>0.0</v>
      </c>
      <c r="E10805" s="3">
        <v>0.0</v>
      </c>
      <c r="F10805" s="3" t="s">
        <v>25875</v>
      </c>
      <c r="G10805" s="3">
        <v>0.0</v>
      </c>
      <c r="H10805" s="3">
        <v>0.0</v>
      </c>
      <c r="I10805" s="3" t="s">
        <v>13</v>
      </c>
      <c r="J10805" s="3" t="s">
        <v>25876</v>
      </c>
      <c r="K10805" s="3" t="s">
        <v>31</v>
      </c>
      <c r="L10805" s="3" t="str">
        <f>IFERROR(__xludf.DUMMYFUNCTION("GOOGLETRANSLATE(F10805,""id"",""en"")"),"Happy Argentina World Cup Champion")</f>
        <v>Happy Argentina World Cup Champion</v>
      </c>
    </row>
    <row r="10806" ht="15.75" customHeight="1">
      <c r="A10806" s="1">
        <v>12049.0</v>
      </c>
      <c r="B10806" s="3" t="s">
        <v>30741</v>
      </c>
      <c r="C10806" s="3">
        <v>0.0</v>
      </c>
      <c r="D10806" s="3">
        <v>0.0</v>
      </c>
      <c r="E10806" s="3">
        <v>0.0</v>
      </c>
      <c r="F10806" s="3" t="s">
        <v>30742</v>
      </c>
      <c r="G10806" s="3">
        <v>0.0</v>
      </c>
      <c r="H10806" s="3">
        <v>0.0</v>
      </c>
      <c r="I10806" s="3" t="s">
        <v>13</v>
      </c>
      <c r="J10806" s="3" t="s">
        <v>30743</v>
      </c>
      <c r="K10806" s="3" t="s">
        <v>495</v>
      </c>
      <c r="L10806" s="3" t="str">
        <f>IFERROR(__xludf.DUMMYFUNCTION("GOOGLETRANSLATE(F10806,""id"",""en"")"),"The Argentine national team won the World Cup title from France after conquering Les Bleus through the penalty shootout round")</f>
        <v>The Argentine national team won the World Cup title from France after conquering Les Bleus through the penalty shootout round</v>
      </c>
    </row>
    <row r="10807" ht="15.75" customHeight="1">
      <c r="A10807" s="1">
        <v>12050.0</v>
      </c>
      <c r="B10807" s="3" t="s">
        <v>30744</v>
      </c>
      <c r="C10807" s="3">
        <v>0.0</v>
      </c>
      <c r="D10807" s="3">
        <v>0.0</v>
      </c>
      <c r="E10807" s="3">
        <v>1.0</v>
      </c>
      <c r="F10807" s="3" t="s">
        <v>30745</v>
      </c>
      <c r="G10807" s="3">
        <v>0.0</v>
      </c>
      <c r="H10807" s="3">
        <v>0.0</v>
      </c>
      <c r="I10807" s="3" t="s">
        <v>13</v>
      </c>
      <c r="J10807" s="3" t="s">
        <v>30746</v>
      </c>
      <c r="K10807" s="3" t="s">
        <v>725</v>
      </c>
      <c r="L10807" s="3" t="str">
        <f>IFERROR(__xludf.DUMMYFUNCTION("GOOGLETRANSLATE(F10807,""id"",""en"")"),"Only last night I cried to watch the early bullies because they were losing Saudi Arabia out of Qatar as the champion of waiting since he always followed Argentina because he wanted to see Messi lifting the World Cup and now paid off")</f>
        <v>Only last night I cried to watch the early bullies because they were losing Saudi Arabia out of Qatar as the champion of waiting since he always followed Argentina because he wanted to see Messi lifting the World Cup and now paid off</v>
      </c>
    </row>
    <row r="10808" ht="15.75" customHeight="1">
      <c r="A10808" s="1">
        <v>12051.0</v>
      </c>
      <c r="B10808" s="3" t="s">
        <v>30747</v>
      </c>
      <c r="C10808" s="3">
        <v>0.0</v>
      </c>
      <c r="D10808" s="3">
        <v>0.0</v>
      </c>
      <c r="E10808" s="3">
        <v>0.0</v>
      </c>
      <c r="F10808" s="3" t="s">
        <v>30748</v>
      </c>
      <c r="G10808" s="3">
        <v>0.0</v>
      </c>
      <c r="H10808" s="3">
        <v>0.0</v>
      </c>
      <c r="I10808" s="3" t="s">
        <v>13</v>
      </c>
      <c r="J10808" s="3" t="s">
        <v>30749</v>
      </c>
      <c r="K10808" s="3" t="s">
        <v>19</v>
      </c>
      <c r="L10808" s="3" t="str">
        <f>IFERROR(__xludf.DUMMYFUNCTION("GOOGLETRANSLATE(F10808,""id"",""en"")"),"Argentina won the World Cup championship title Lionel Messi was predicted last year")</f>
        <v>Argentina won the World Cup championship title Lionel Messi was predicted last year</v>
      </c>
    </row>
    <row r="10809" ht="15.75" customHeight="1">
      <c r="A10809" s="1">
        <v>12052.0</v>
      </c>
      <c r="B10809" s="3" t="s">
        <v>30750</v>
      </c>
      <c r="C10809" s="3">
        <v>0.0</v>
      </c>
      <c r="D10809" s="3">
        <v>0.0</v>
      </c>
      <c r="E10809" s="3">
        <v>1.0</v>
      </c>
      <c r="F10809" s="3" t="s">
        <v>25875</v>
      </c>
      <c r="G10809" s="3">
        <v>0.0</v>
      </c>
      <c r="H10809" s="3">
        <v>0.0</v>
      </c>
      <c r="I10809" s="3" t="s">
        <v>13</v>
      </c>
      <c r="J10809" s="3" t="s">
        <v>25876</v>
      </c>
      <c r="K10809" s="3" t="s">
        <v>31</v>
      </c>
      <c r="L10809" s="3" t="str">
        <f>IFERROR(__xludf.DUMMYFUNCTION("GOOGLETRANSLATE(F10809,""id"",""en"")"),"Happy Argentina World Cup Champion")</f>
        <v>Happy Argentina World Cup Champion</v>
      </c>
    </row>
    <row r="10810" ht="15.75" customHeight="1">
      <c r="A10810" s="1">
        <v>12053.0</v>
      </c>
      <c r="B10810" s="3" t="s">
        <v>30751</v>
      </c>
      <c r="C10810" s="3">
        <v>0.0</v>
      </c>
      <c r="D10810" s="3">
        <v>0.0</v>
      </c>
      <c r="E10810" s="3">
        <v>0.0</v>
      </c>
      <c r="F10810" s="3" t="s">
        <v>30752</v>
      </c>
      <c r="G10810" s="3">
        <v>0.0</v>
      </c>
      <c r="H10810" s="3">
        <v>0.0</v>
      </c>
      <c r="I10810" s="3" t="s">
        <v>13</v>
      </c>
      <c r="J10810" s="3" t="s">
        <v>30753</v>
      </c>
      <c r="K10810" s="3" t="s">
        <v>54</v>
      </c>
      <c r="L10810" s="3" t="str">
        <f>IFERROR(__xludf.DUMMYFUNCTION("GOOGLETRANSLATE(F10810,""id"",""en"")"),"Argentina's World Cup Champion Permanent Francis")</f>
        <v>Argentina's World Cup Champion Permanent Francis</v>
      </c>
    </row>
    <row r="10811" ht="15.75" customHeight="1">
      <c r="A10811" s="1">
        <v>12054.0</v>
      </c>
      <c r="B10811" s="3" t="s">
        <v>30754</v>
      </c>
      <c r="C10811" s="3">
        <v>0.0</v>
      </c>
      <c r="D10811" s="3">
        <v>0.0</v>
      </c>
      <c r="E10811" s="3">
        <v>0.0</v>
      </c>
      <c r="F10811" s="3" t="s">
        <v>30755</v>
      </c>
      <c r="G10811" s="3">
        <v>0.0</v>
      </c>
      <c r="H10811" s="3">
        <v>0.0</v>
      </c>
      <c r="I10811" s="3" t="s">
        <v>13</v>
      </c>
      <c r="J10811" s="3" t="s">
        <v>30756</v>
      </c>
      <c r="K10811" s="3" t="s">
        <v>644</v>
      </c>
      <c r="L10811" s="3" t="str">
        <f>IFERROR(__xludf.DUMMYFUNCTION("GOOGLETRANSLATE(F10811,""id"",""en"")"),"Disono Argentina Baru Champion")</f>
        <v>Disono Argentina Baru Champion</v>
      </c>
    </row>
    <row r="10812" ht="15.75" customHeight="1">
      <c r="A10812" s="1">
        <v>12055.0</v>
      </c>
      <c r="B10812" s="3" t="s">
        <v>30757</v>
      </c>
      <c r="C10812" s="3">
        <v>0.0</v>
      </c>
      <c r="D10812" s="3">
        <v>0.0</v>
      </c>
      <c r="E10812" s="3">
        <v>0.0</v>
      </c>
      <c r="F10812" s="3" t="s">
        <v>30758</v>
      </c>
      <c r="G10812" s="3">
        <v>1.0</v>
      </c>
      <c r="H10812" s="3">
        <v>0.0</v>
      </c>
      <c r="I10812" s="3" t="s">
        <v>13</v>
      </c>
      <c r="J10812" s="3" t="s">
        <v>30759</v>
      </c>
      <c r="K10812" s="3" t="s">
        <v>165</v>
      </c>
      <c r="L10812" s="3" t="str">
        <f>IFERROR(__xludf.DUMMYFUNCTION("GOOGLETRANSLATE(F10812,""id"",""en"")"),"Wrong Messi Changing Back Number So Again Numbers There Many Save Many Extraordinary Secrets Messi Bringing Argentina The World Cup Champion The Final Party with his son's score as well as Congrats Argentina Congrats Messi")</f>
        <v>Wrong Messi Changing Back Number So Again Numbers There Many Save Many Extraordinary Secrets Messi Bringing Argentina The World Cup Champion The Final Party with his son's score as well as Congrats Argentina Congrats Messi</v>
      </c>
    </row>
    <row r="10813" ht="15.75" customHeight="1">
      <c r="A10813" s="1">
        <v>12056.0</v>
      </c>
      <c r="B10813" s="3" t="s">
        <v>30760</v>
      </c>
      <c r="C10813" s="3">
        <v>0.0</v>
      </c>
      <c r="D10813" s="3">
        <v>0.0</v>
      </c>
      <c r="E10813" s="3">
        <v>0.0</v>
      </c>
      <c r="F10813" s="3" t="s">
        <v>30761</v>
      </c>
      <c r="G10813" s="3">
        <v>0.0</v>
      </c>
      <c r="H10813" s="3">
        <v>0.0</v>
      </c>
      <c r="I10813" s="3" t="s">
        <v>13</v>
      </c>
      <c r="J10813" s="3" t="s">
        <v>30762</v>
      </c>
      <c r="K10813" s="3" t="s">
        <v>82</v>
      </c>
      <c r="L10813" s="3" t="str">
        <f>IFERROR(__xludf.DUMMYFUNCTION("GOOGLETRANSLATE(F10813,""id"",""en"")"),"a little sad Argentina Champion I hope Messi doesn't want to retire")</f>
        <v>a little sad Argentina Champion I hope Messi doesn't want to retire</v>
      </c>
    </row>
    <row r="10814" ht="15.75" customHeight="1">
      <c r="A10814" s="1">
        <v>12057.0</v>
      </c>
      <c r="B10814" s="3" t="s">
        <v>30763</v>
      </c>
      <c r="C10814" s="3">
        <v>0.0</v>
      </c>
      <c r="D10814" s="3">
        <v>0.0</v>
      </c>
      <c r="E10814" s="3">
        <v>0.0</v>
      </c>
      <c r="F10814" s="3" t="s">
        <v>30764</v>
      </c>
      <c r="G10814" s="3">
        <v>0.0</v>
      </c>
      <c r="H10814" s="3">
        <v>0.0</v>
      </c>
      <c r="I10814" s="3" t="s">
        <v>13</v>
      </c>
      <c r="J10814" s="3" t="s">
        <v>30765</v>
      </c>
      <c r="K10814" s="3" t="s">
        <v>54</v>
      </c>
      <c r="L10814" s="3" t="str">
        <f>IFERROR(__xludf.DUMMYFUNCTION("GOOGLETRANSLATE(F10814,""id"",""en"")"),"Ophset is the goal of two Argentina champions of the world")</f>
        <v>Ophset is the goal of two Argentina champions of the world</v>
      </c>
    </row>
    <row r="10815" ht="15.75" customHeight="1">
      <c r="A10815" s="1">
        <v>12058.0</v>
      </c>
      <c r="B10815" s="3" t="s">
        <v>30766</v>
      </c>
      <c r="C10815" s="3">
        <v>0.0</v>
      </c>
      <c r="D10815" s="3">
        <v>0.0</v>
      </c>
      <c r="E10815" s="3">
        <v>0.0</v>
      </c>
      <c r="F10815" s="3" t="s">
        <v>30767</v>
      </c>
      <c r="G10815" s="3">
        <v>0.3</v>
      </c>
      <c r="H10815" s="3">
        <v>0.2</v>
      </c>
      <c r="I10815" s="3" t="s">
        <v>48</v>
      </c>
      <c r="J10815" s="3" t="s">
        <v>30768</v>
      </c>
      <c r="K10815" s="3" t="s">
        <v>1045</v>
      </c>
      <c r="L10815" s="3" t="str">
        <f>IFERROR(__xludf.DUMMYFUNCTION("GOOGLETRANSLATE(F10815,""id"",""en"")"),"Look at Argentina, winning the pildun first forgot to forget where the Bokap TBTB SMS asiikk there was Argentina champion PDHL, not yet starting to match haha, because I like Argentina")</f>
        <v>Look at Argentina, winning the pildun first forgot to forget where the Bokap TBTB SMS asiikk there was Argentina champion PDHL, not yet starting to match haha, because I like Argentina</v>
      </c>
    </row>
    <row r="10816" ht="15.75" customHeight="1">
      <c r="A10816" s="1">
        <v>12059.0</v>
      </c>
      <c r="B10816" s="3" t="s">
        <v>30769</v>
      </c>
      <c r="C10816" s="3">
        <v>0.0</v>
      </c>
      <c r="D10816" s="3">
        <v>0.0</v>
      </c>
      <c r="E10816" s="3">
        <v>0.0</v>
      </c>
      <c r="F10816" s="3" t="s">
        <v>30770</v>
      </c>
      <c r="G10816" s="3">
        <v>0.0</v>
      </c>
      <c r="H10816" s="3">
        <v>0.0</v>
      </c>
      <c r="I10816" s="3" t="s">
        <v>13</v>
      </c>
      <c r="J10816" s="3" t="s">
        <v>30771</v>
      </c>
      <c r="K10816" s="3" t="s">
        <v>644</v>
      </c>
      <c r="L10816" s="3" t="str">
        <f>IFERROR(__xludf.DUMMYFUNCTION("GOOGLETRANSLATE(F10816,""id"",""en"")"),"finally can be world champion also Argentina")</f>
        <v>finally can be world champion also Argentina</v>
      </c>
    </row>
    <row r="10817" ht="15.75" customHeight="1">
      <c r="A10817" s="1">
        <v>12060.0</v>
      </c>
      <c r="B10817" s="3" t="s">
        <v>30772</v>
      </c>
      <c r="C10817" s="3">
        <v>0.0</v>
      </c>
      <c r="D10817" s="3">
        <v>0.0</v>
      </c>
      <c r="E10817" s="3">
        <v>22.0</v>
      </c>
      <c r="F10817" s="3" t="s">
        <v>25463</v>
      </c>
      <c r="G10817" s="3">
        <v>0.0</v>
      </c>
      <c r="H10817" s="3">
        <v>0.0</v>
      </c>
      <c r="I10817" s="3" t="s">
        <v>13</v>
      </c>
      <c r="J10817" s="3" t="s">
        <v>25464</v>
      </c>
      <c r="K10817" s="3" t="s">
        <v>15</v>
      </c>
      <c r="L10817" s="3" t="str">
        <f>IFERROR(__xludf.DUMMYFUNCTION("GOOGLETRANSLATE(F10817,""id"",""en"")"),"Messi's record after carrying Argentina World Cup champions")</f>
        <v>Messi's record after carrying Argentina World Cup champions</v>
      </c>
    </row>
    <row r="10818" ht="15.75" customHeight="1">
      <c r="A10818" s="1">
        <v>12061.0</v>
      </c>
      <c r="B10818" s="3" t="s">
        <v>30773</v>
      </c>
      <c r="C10818" s="3">
        <v>0.0</v>
      </c>
      <c r="D10818" s="3">
        <v>0.0</v>
      </c>
      <c r="E10818" s="3">
        <v>0.0</v>
      </c>
      <c r="F10818" s="3" t="s">
        <v>30774</v>
      </c>
      <c r="G10818" s="3">
        <v>0.0</v>
      </c>
      <c r="H10818" s="3">
        <v>0.0</v>
      </c>
      <c r="I10818" s="3" t="s">
        <v>13</v>
      </c>
      <c r="J10818" s="3" t="s">
        <v>30775</v>
      </c>
      <c r="K10818" s="3" t="s">
        <v>50</v>
      </c>
      <c r="L10818" s="3" t="str">
        <f>IFERROR(__xludf.DUMMYFUNCTION("GOOGLETRANSLATE(F10818,""id"",""en"")"),"But look at the French team, it's true that Argentina is better prepared")</f>
        <v>But look at the French team, it's true that Argentina is better prepared</v>
      </c>
    </row>
    <row r="10819" ht="15.75" customHeight="1">
      <c r="A10819" s="1">
        <v>12062.0</v>
      </c>
      <c r="B10819" s="3" t="s">
        <v>30776</v>
      </c>
      <c r="C10819" s="3">
        <v>0.0</v>
      </c>
      <c r="D10819" s="3">
        <v>0.0</v>
      </c>
      <c r="E10819" s="3">
        <v>0.0</v>
      </c>
      <c r="F10819" s="3" t="s">
        <v>30777</v>
      </c>
      <c r="G10819" s="3">
        <v>0.0</v>
      </c>
      <c r="H10819" s="3">
        <v>0.0</v>
      </c>
      <c r="I10819" s="3" t="s">
        <v>13</v>
      </c>
      <c r="J10819" s="3" t="s">
        <v>30778</v>
      </c>
      <c r="K10819" s="3" t="s">
        <v>2117</v>
      </c>
      <c r="L10819" s="3" t="str">
        <f>IFERROR(__xludf.DUMMYFUNCTION("GOOGLETRANSLATE(F10819,""id"",""en"")"),"Congratulations to the championship time")</f>
        <v>Congratulations to the championship time</v>
      </c>
    </row>
    <row r="10820" ht="15.75" customHeight="1">
      <c r="A10820" s="1">
        <v>12063.0</v>
      </c>
      <c r="B10820" s="3" t="s">
        <v>30779</v>
      </c>
      <c r="C10820" s="3">
        <v>0.0</v>
      </c>
      <c r="D10820" s="3">
        <v>0.0</v>
      </c>
      <c r="E10820" s="3">
        <v>0.0</v>
      </c>
      <c r="F10820" s="3" t="s">
        <v>30780</v>
      </c>
      <c r="G10820" s="3">
        <v>0.0</v>
      </c>
      <c r="H10820" s="3">
        <v>0.0</v>
      </c>
      <c r="I10820" s="3" t="s">
        <v>13</v>
      </c>
      <c r="J10820" s="3" t="s">
        <v>30781</v>
      </c>
      <c r="K10820" s="3" t="s">
        <v>2117</v>
      </c>
      <c r="L10820" s="3" t="str">
        <f>IFERROR(__xludf.DUMMYFUNCTION("GOOGLETRANSLATE(F10820,""id"",""en"")"),"After Argentina Champion Returns Habitat")</f>
        <v>After Argentina Champion Returns Habitat</v>
      </c>
    </row>
    <row r="10821" ht="15.75" customHeight="1">
      <c r="A10821" s="1">
        <v>12064.0</v>
      </c>
      <c r="B10821" s="3" t="s">
        <v>30782</v>
      </c>
      <c r="C10821" s="3">
        <v>0.0</v>
      </c>
      <c r="D10821" s="3">
        <v>0.0</v>
      </c>
      <c r="E10821" s="3">
        <v>0.0</v>
      </c>
      <c r="F10821" s="3" t="s">
        <v>30783</v>
      </c>
      <c r="G10821" s="3">
        <v>0.0</v>
      </c>
      <c r="H10821" s="3">
        <v>0.0</v>
      </c>
      <c r="I10821" s="3" t="s">
        <v>13</v>
      </c>
      <c r="J10821" s="3" t="s">
        <v>30784</v>
      </c>
      <c r="K10821" s="3" t="s">
        <v>54</v>
      </c>
      <c r="L10821" s="3" t="str">
        <f>IFERROR(__xludf.DUMMYFUNCTION("GOOGLETRANSLATE(F10821,""id"",""en"")"),"After the champion of the PSSI Chairperson Argentina Messi")</f>
        <v>After the champion of the PSSI Chairperson Argentina Messi</v>
      </c>
    </row>
    <row r="10822" ht="15.75" customHeight="1">
      <c r="A10822" s="1">
        <v>12065.0</v>
      </c>
      <c r="B10822" s="3" t="s">
        <v>30785</v>
      </c>
      <c r="C10822" s="3">
        <v>1.0</v>
      </c>
      <c r="D10822" s="3">
        <v>0.0</v>
      </c>
      <c r="E10822" s="3">
        <v>0.0</v>
      </c>
      <c r="F10822" s="3" t="s">
        <v>30786</v>
      </c>
      <c r="G10822" s="3">
        <v>0.0</v>
      </c>
      <c r="H10822" s="3">
        <v>0.0</v>
      </c>
      <c r="I10822" s="3" t="s">
        <v>13</v>
      </c>
      <c r="J10822" s="3" t="s">
        <v>25876</v>
      </c>
      <c r="K10822" s="3" t="s">
        <v>31</v>
      </c>
      <c r="L10822" s="3" t="str">
        <f>IFERROR(__xludf.DUMMYFUNCTION("GOOGLETRANSLATE(F10822,""id"",""en"")"),"Congratulations to Argentina World Cup Champion")</f>
        <v>Congratulations to Argentina World Cup Champion</v>
      </c>
    </row>
    <row r="10823" ht="15.75" customHeight="1">
      <c r="A10823" s="1">
        <v>12066.0</v>
      </c>
      <c r="B10823" s="3" t="s">
        <v>30787</v>
      </c>
      <c r="C10823" s="3">
        <v>0.0</v>
      </c>
      <c r="D10823" s="3">
        <v>0.0</v>
      </c>
      <c r="E10823" s="3">
        <v>0.0</v>
      </c>
      <c r="F10823" s="3" t="s">
        <v>30788</v>
      </c>
      <c r="G10823" s="3">
        <v>0.0</v>
      </c>
      <c r="H10823" s="3">
        <v>0.0</v>
      </c>
      <c r="I10823" s="3" t="s">
        <v>13</v>
      </c>
      <c r="J10823" s="3" t="s">
        <v>30789</v>
      </c>
      <c r="K10823" s="3" t="s">
        <v>54</v>
      </c>
      <c r="L10823" s="3" t="str">
        <f>IFERROR(__xludf.DUMMYFUNCTION("GOOGLETRANSLATE(F10823,""id"",""en"")"),"Interesting Facts of Argentina World Cup Champion")</f>
        <v>Interesting Facts of Argentina World Cup Champion</v>
      </c>
    </row>
    <row r="10824" ht="15.75" customHeight="1">
      <c r="A10824" s="1">
        <v>12067.0</v>
      </c>
      <c r="B10824" s="3" t="s">
        <v>30790</v>
      </c>
      <c r="C10824" s="3">
        <v>0.0</v>
      </c>
      <c r="D10824" s="3">
        <v>0.0</v>
      </c>
      <c r="E10824" s="3">
        <v>0.0</v>
      </c>
      <c r="F10824" s="3" t="s">
        <v>30791</v>
      </c>
      <c r="G10824" s="3">
        <v>0.0</v>
      </c>
      <c r="H10824" s="3">
        <v>0.0</v>
      </c>
      <c r="I10824" s="3" t="s">
        <v>13</v>
      </c>
      <c r="J10824" s="3" t="s">
        <v>30792</v>
      </c>
      <c r="K10824" s="3" t="s">
        <v>240</v>
      </c>
      <c r="L10824" s="3" t="str">
        <f>IFERROR(__xludf.DUMMYFUNCTION("GOOGLETRANSLATE(F10824,""id"",""en"")"),"Portrait of Human Ocean Celebrating Argentina World Cup Champion Ronaldo Emi Martinez Maradona Maria Dybala Aguero Dembele")</f>
        <v>Portrait of Human Ocean Celebrating Argentina World Cup Champion Ronaldo Emi Martinez Maradona Maria Dybala Aguero Dembele</v>
      </c>
    </row>
    <row r="10825" ht="15.75" customHeight="1">
      <c r="A10825" s="1">
        <v>12068.0</v>
      </c>
      <c r="B10825" s="3" t="s">
        <v>30793</v>
      </c>
      <c r="C10825" s="3">
        <v>0.0</v>
      </c>
      <c r="D10825" s="3">
        <v>0.0</v>
      </c>
      <c r="E10825" s="3">
        <v>8.0</v>
      </c>
      <c r="F10825" s="3" t="s">
        <v>30794</v>
      </c>
      <c r="G10825" s="3">
        <v>0.0</v>
      </c>
      <c r="H10825" s="3">
        <v>0.0</v>
      </c>
      <c r="I10825" s="3" t="s">
        <v>13</v>
      </c>
      <c r="J10825" s="3" t="s">
        <v>30795</v>
      </c>
      <c r="K10825" s="3" t="s">
        <v>3612</v>
      </c>
      <c r="L10825" s="3" t="str">
        <f>IFERROR(__xludf.DUMMYFUNCTION("GOOGLETRANSLATE(F10825,""id"",""en"")"),"Congratulations to Argentina as the world champion of the soccer congratulations and success is also for Gus Minister because his idol team he became a world champion even though he was not champion but my idol was still")</f>
        <v>Congratulations to Argentina as the world champion of the soccer congratulations and success is also for Gus Minister because his idol team he became a world champion even though he was not champion but my idol was still</v>
      </c>
    </row>
    <row r="10826" ht="15.75" customHeight="1">
      <c r="A10826" s="1">
        <v>12069.0</v>
      </c>
      <c r="B10826" s="3" t="s">
        <v>30796</v>
      </c>
      <c r="C10826" s="3">
        <v>1.0</v>
      </c>
      <c r="D10826" s="3">
        <v>1.0</v>
      </c>
      <c r="E10826" s="3">
        <v>4.0</v>
      </c>
      <c r="F10826" s="3" t="s">
        <v>30797</v>
      </c>
      <c r="G10826" s="3">
        <v>0.0</v>
      </c>
      <c r="H10826" s="3">
        <v>0.0</v>
      </c>
      <c r="I10826" s="3" t="s">
        <v>13</v>
      </c>
      <c r="J10826" s="3" t="s">
        <v>30798</v>
      </c>
      <c r="K10826" s="3" t="s">
        <v>15</v>
      </c>
      <c r="L10826" s="3" t="str">
        <f>IFERROR(__xludf.DUMMYFUNCTION("GOOGLETRANSLATE(F10826,""id"",""en"")"),"Argentina Champion Lionel Messi Hugged Mother who cried emotion")</f>
        <v>Argentina Champion Lionel Messi Hugged Mother who cried emotion</v>
      </c>
    </row>
    <row r="10827" ht="15.75" customHeight="1">
      <c r="A10827" s="1">
        <v>12070.0</v>
      </c>
      <c r="B10827" s="3" t="s">
        <v>30799</v>
      </c>
      <c r="C10827" s="3">
        <v>0.0</v>
      </c>
      <c r="D10827" s="3">
        <v>0.0</v>
      </c>
      <c r="E10827" s="3">
        <v>1.0</v>
      </c>
      <c r="F10827" s="3" t="s">
        <v>30800</v>
      </c>
      <c r="G10827" s="3">
        <v>0.0</v>
      </c>
      <c r="H10827" s="3">
        <v>0.0</v>
      </c>
      <c r="I10827" s="3" t="s">
        <v>13</v>
      </c>
      <c r="J10827" s="3" t="s">
        <v>30801</v>
      </c>
      <c r="K10827" s="3" t="s">
        <v>50</v>
      </c>
      <c r="L10827" s="3" t="str">
        <f>IFERROR(__xludf.DUMMYFUNCTION("GOOGLETRANSLATE(F10827,""id"",""en"")"),"Vamos Argentina Champion World Cup Qatar King Leo Messi Sequat Albiceleste")</f>
        <v>Vamos Argentina Champion World Cup Qatar King Leo Messi Sequat Albiceleste</v>
      </c>
    </row>
    <row r="10828" ht="15.75" customHeight="1">
      <c r="A10828" s="1">
        <v>12071.0</v>
      </c>
      <c r="B10828" s="3" t="s">
        <v>30802</v>
      </c>
      <c r="C10828" s="3">
        <v>0.0</v>
      </c>
      <c r="D10828" s="3">
        <v>1.0</v>
      </c>
      <c r="E10828" s="3">
        <v>2.0</v>
      </c>
      <c r="F10828" s="3" t="s">
        <v>30803</v>
      </c>
      <c r="G10828" s="3">
        <v>0.0</v>
      </c>
      <c r="H10828" s="3">
        <v>0.0</v>
      </c>
      <c r="I10828" s="3" t="s">
        <v>13</v>
      </c>
      <c r="J10828" s="3" t="s">
        <v>30804</v>
      </c>
      <c r="K10828" s="3" t="s">
        <v>477</v>
      </c>
      <c r="L10828" s="3" t="str">
        <f>IFERROR(__xludf.DUMMYFUNCTION("GOOGLETRANSLATE(F10828,""id"",""en"")"),"suddenly there was Aguero in the middle of the field during Argentina Champion Party")</f>
        <v>suddenly there was Aguero in the middle of the field during Argentina Champion Party</v>
      </c>
    </row>
    <row r="10829" ht="15.75" customHeight="1">
      <c r="A10829" s="1">
        <v>12072.0</v>
      </c>
      <c r="B10829" s="3" t="s">
        <v>30805</v>
      </c>
      <c r="C10829" s="3">
        <v>0.0</v>
      </c>
      <c r="D10829" s="3">
        <v>0.0</v>
      </c>
      <c r="E10829" s="3">
        <v>0.0</v>
      </c>
      <c r="F10829" s="3" t="s">
        <v>30806</v>
      </c>
      <c r="G10829" s="3">
        <v>0.6</v>
      </c>
      <c r="H10829" s="3">
        <v>-0.3</v>
      </c>
      <c r="I10829" s="3" t="s">
        <v>179</v>
      </c>
      <c r="J10829" s="3" t="s">
        <v>30807</v>
      </c>
      <c r="K10829" s="3" t="s">
        <v>31</v>
      </c>
      <c r="L10829" s="3" t="str">
        <f>IFERROR(__xludf.DUMMYFUNCTION("GOOGLETRANSLATE(F10829,""id"",""en"")"),"Argentina Champion Duh Bobo Gakuad")</f>
        <v>Argentina Champion Duh Bobo Gakuad</v>
      </c>
    </row>
    <row r="10830" ht="15.75" customHeight="1">
      <c r="A10830" s="1">
        <v>12073.0</v>
      </c>
      <c r="B10830" s="3" t="s">
        <v>30808</v>
      </c>
      <c r="C10830" s="3">
        <v>0.0</v>
      </c>
      <c r="D10830" s="3">
        <v>0.0</v>
      </c>
      <c r="E10830" s="3">
        <v>0.0</v>
      </c>
      <c r="F10830" s="3" t="s">
        <v>30809</v>
      </c>
      <c r="G10830" s="3">
        <v>0.3333333333333333</v>
      </c>
      <c r="H10830" s="3">
        <v>0.1666666666666667</v>
      </c>
      <c r="I10830" s="3" t="s">
        <v>48</v>
      </c>
      <c r="J10830" s="3" t="s">
        <v>30810</v>
      </c>
      <c r="K10830" s="3" t="s">
        <v>2907</v>
      </c>
      <c r="L10830" s="3" t="str">
        <f>IFERROR(__xludf.DUMMYFUNCTION("GOOGLETRANSLATE(F10830,""id"",""en"")"),"Indonesians the country IKT Main Argentina wins happy if Indonesia is a new world champion")</f>
        <v>Indonesians the country IKT Main Argentina wins happy if Indonesia is a new world champion</v>
      </c>
    </row>
    <row r="10831" ht="15.75" customHeight="1">
      <c r="A10831" s="1">
        <v>12074.0</v>
      </c>
      <c r="B10831" s="3" t="s">
        <v>30811</v>
      </c>
      <c r="C10831" s="3">
        <v>1.0</v>
      </c>
      <c r="D10831" s="3">
        <v>0.0</v>
      </c>
      <c r="E10831" s="3">
        <v>0.0</v>
      </c>
      <c r="F10831" s="3" t="s">
        <v>30812</v>
      </c>
      <c r="G10831" s="3">
        <v>0.0</v>
      </c>
      <c r="H10831" s="3">
        <v>0.0</v>
      </c>
      <c r="I10831" s="3" t="s">
        <v>13</v>
      </c>
      <c r="J10831" s="3" t="s">
        <v>30813</v>
      </c>
      <c r="K10831" s="3" t="s">
        <v>437</v>
      </c>
      <c r="L10831" s="3" t="str">
        <f>IFERROR(__xludf.DUMMYFUNCTION("GOOGLETRANSLATE(F10831,""id"",""en"")"),"The success of Messi to become a World Cup champion with Argentina should be a major blow for Cristiano Ronaldo Team and also his fanclub")</f>
        <v>The success of Messi to become a World Cup champion with Argentina should be a major blow for Cristiano Ronaldo Team and also his fanclub</v>
      </c>
    </row>
    <row r="10832" ht="15.75" customHeight="1">
      <c r="A10832" s="1">
        <v>12075.0</v>
      </c>
      <c r="B10832" s="3" t="s">
        <v>30814</v>
      </c>
      <c r="C10832" s="3">
        <v>1.0</v>
      </c>
      <c r="D10832" s="3">
        <v>0.0</v>
      </c>
      <c r="E10832" s="3">
        <v>4.0</v>
      </c>
      <c r="F10832" s="3" t="s">
        <v>30815</v>
      </c>
      <c r="G10832" s="3">
        <v>0.1666666666666667</v>
      </c>
      <c r="H10832" s="3">
        <v>0.0611111111111111</v>
      </c>
      <c r="I10832" s="3" t="s">
        <v>48</v>
      </c>
      <c r="J10832" s="3" t="s">
        <v>30816</v>
      </c>
      <c r="K10832" s="3" t="s">
        <v>510</v>
      </c>
      <c r="L10832" s="3" t="str">
        <f>IFERROR(__xludf.DUMMYFUNCTION("GOOGLETRANSLATE(F10832,""id"",""en"")"),"Handling Failure and Success Makes You Legend and Bright Morning After and World Champion Thanks Messi")</f>
        <v>Handling Failure and Success Makes You Legend and Bright Morning After and World Champion Thanks Messi</v>
      </c>
    </row>
    <row r="10833" ht="15.75" customHeight="1">
      <c r="A10833" s="1">
        <v>12076.0</v>
      </c>
      <c r="B10833" s="3" t="s">
        <v>30817</v>
      </c>
      <c r="C10833" s="3">
        <v>0.0</v>
      </c>
      <c r="D10833" s="3">
        <v>0.0</v>
      </c>
      <c r="E10833" s="3">
        <v>0.0</v>
      </c>
      <c r="F10833" s="3" t="s">
        <v>30818</v>
      </c>
      <c r="G10833" s="3">
        <v>0.2</v>
      </c>
      <c r="H10833" s="3">
        <v>-0.1</v>
      </c>
      <c r="I10833" s="3" t="s">
        <v>179</v>
      </c>
      <c r="J10833" s="3" t="s">
        <v>30819</v>
      </c>
      <c r="K10833" s="3" t="s">
        <v>244</v>
      </c>
      <c r="L10833" s="3" t="str">
        <f>IFERROR(__xludf.DUMMYFUNCTION("GOOGLETRANSLATE(F10833,""id"",""en"")"),"the one who champions Argentina who lost France but the bully still Ronaldo respected the mental Ronaldo")</f>
        <v>the one who champions Argentina who lost France but the bully still Ronaldo respected the mental Ronaldo</v>
      </c>
    </row>
    <row r="10834" ht="15.75" customHeight="1">
      <c r="A10834" s="1">
        <v>12077.0</v>
      </c>
      <c r="B10834" s="3" t="s">
        <v>30820</v>
      </c>
      <c r="C10834" s="3">
        <v>1.0</v>
      </c>
      <c r="D10834" s="3">
        <v>0.0</v>
      </c>
      <c r="E10834" s="3">
        <v>2.0</v>
      </c>
      <c r="F10834" s="3" t="s">
        <v>30821</v>
      </c>
      <c r="G10834" s="3">
        <v>0.0</v>
      </c>
      <c r="H10834" s="3">
        <v>0.0</v>
      </c>
      <c r="I10834" s="3" t="s">
        <v>13</v>
      </c>
      <c r="J10834" s="3" t="s">
        <v>30822</v>
      </c>
      <c r="K10834" s="3" t="s">
        <v>437</v>
      </c>
      <c r="L10834" s="3" t="str">
        <f>IFERROR(__xludf.DUMMYFUNCTION("GOOGLETRANSLATE(F10834,""id"",""en"")"),"Morning Bestie Belle, how about Monday morning, you're excited, of course, especially if you see Argentina, champions this time")</f>
        <v>Morning Bestie Belle, how about Monday morning, you're excited, of course, especially if you see Argentina, champions this time</v>
      </c>
    </row>
    <row r="10835" ht="15.75" customHeight="1">
      <c r="A10835" s="1">
        <v>12078.0</v>
      </c>
      <c r="B10835" s="3" t="s">
        <v>30823</v>
      </c>
      <c r="C10835" s="3">
        <v>0.0</v>
      </c>
      <c r="D10835" s="3">
        <v>0.0</v>
      </c>
      <c r="E10835" s="3">
        <v>0.0</v>
      </c>
      <c r="F10835" s="3" t="s">
        <v>30824</v>
      </c>
      <c r="G10835" s="3">
        <v>1.0</v>
      </c>
      <c r="H10835" s="3">
        <v>0.0</v>
      </c>
      <c r="I10835" s="3" t="s">
        <v>13</v>
      </c>
      <c r="J10835" s="3" t="s">
        <v>30825</v>
      </c>
      <c r="K10835" s="3" t="s">
        <v>71</v>
      </c>
      <c r="L10835" s="3" t="str">
        <f>IFERROR(__xludf.DUMMYFUNCTION("GOOGLETRANSLATE(F10835,""id"",""en"")"),"The French Argentine World Cup final results won the penalty shootout Messi and colleagues won the title")</f>
        <v>The French Argentine World Cup final results won the penalty shootout Messi and colleagues won the title</v>
      </c>
    </row>
    <row r="10836" ht="15.75" customHeight="1">
      <c r="A10836" s="1">
        <v>12079.0</v>
      </c>
      <c r="B10836" s="3" t="s">
        <v>30826</v>
      </c>
      <c r="C10836" s="3">
        <v>0.0</v>
      </c>
      <c r="D10836" s="3">
        <v>0.0</v>
      </c>
      <c r="E10836" s="3">
        <v>0.0</v>
      </c>
      <c r="F10836" s="3" t="s">
        <v>25226</v>
      </c>
      <c r="G10836" s="3">
        <v>0.0</v>
      </c>
      <c r="H10836" s="3">
        <v>0.0</v>
      </c>
      <c r="I10836" s="3" t="s">
        <v>13</v>
      </c>
      <c r="J10836" s="3" t="s">
        <v>25227</v>
      </c>
      <c r="K10836" s="3" t="s">
        <v>41</v>
      </c>
      <c r="L10836" s="3" t="str">
        <f>IFERROR(__xludf.DUMMYFUNCTION("GOOGLETRANSLATE(F10836,""id"",""en"")"),"Scaloni invited the Argentine people to enjoy the success of the World Cup championship")</f>
        <v>Scaloni invited the Argentine people to enjoy the success of the World Cup championship</v>
      </c>
    </row>
    <row r="10837" ht="15.75" customHeight="1">
      <c r="A10837" s="1">
        <v>12080.0</v>
      </c>
      <c r="B10837" s="3" t="s">
        <v>30827</v>
      </c>
      <c r="C10837" s="3">
        <v>0.0</v>
      </c>
      <c r="D10837" s="3">
        <v>0.0</v>
      </c>
      <c r="E10837" s="3">
        <v>5.0</v>
      </c>
      <c r="F10837" s="3" t="s">
        <v>30828</v>
      </c>
      <c r="G10837" s="3">
        <v>0.0</v>
      </c>
      <c r="H10837" s="3">
        <v>0.0</v>
      </c>
      <c r="I10837" s="3" t="s">
        <v>13</v>
      </c>
      <c r="J10837" s="3" t="s">
        <v>30829</v>
      </c>
      <c r="K10837" s="3" t="s">
        <v>50</v>
      </c>
      <c r="L10837" s="3" t="str">
        <f>IFERROR(__xludf.DUMMYFUNCTION("GOOGLETRANSLATE(F10837,""id"",""en"")"),"between Argentina this championship is a series of records printed by Lionel Messi throughout the World Cup")</f>
        <v>between Argentina this championship is a series of records printed by Lionel Messi throughout the World Cup</v>
      </c>
    </row>
    <row r="10838" ht="15.75" customHeight="1">
      <c r="A10838" s="1">
        <v>12081.0</v>
      </c>
      <c r="B10838" s="3" t="s">
        <v>30830</v>
      </c>
      <c r="C10838" s="3">
        <v>0.0</v>
      </c>
      <c r="D10838" s="3">
        <v>0.0</v>
      </c>
      <c r="E10838" s="3">
        <v>1.0</v>
      </c>
      <c r="F10838" s="3" t="s">
        <v>30831</v>
      </c>
      <c r="G10838" s="3">
        <v>0.825</v>
      </c>
      <c r="H10838" s="3">
        <v>0.075</v>
      </c>
      <c r="I10838" s="3" t="s">
        <v>48</v>
      </c>
      <c r="J10838" s="3" t="s">
        <v>30832</v>
      </c>
      <c r="K10838" s="3" t="s">
        <v>584</v>
      </c>
      <c r="L10838" s="3" t="str">
        <f>IFERROR(__xludf.DUMMYFUNCTION("GOOGLETRANSLATE(F10838,""id"",""en"")"),"According to Mimin, one of the best and excited finals during the World Cup event after a chance to draw normal time and Argentina's time extension came out as champions after defeating France through a penalty shootout drama")</f>
        <v>According to Mimin, one of the best and excited finals during the World Cup event after a chance to draw normal time and Argentina's time extension came out as champions after defeating France through a penalty shootout drama</v>
      </c>
    </row>
    <row r="10839" ht="15.75" customHeight="1">
      <c r="A10839" s="1">
        <v>12082.0</v>
      </c>
      <c r="B10839" s="3" t="s">
        <v>30833</v>
      </c>
      <c r="C10839" s="3">
        <v>0.0</v>
      </c>
      <c r="D10839" s="3">
        <v>0.0</v>
      </c>
      <c r="E10839" s="3">
        <v>0.0</v>
      </c>
      <c r="F10839" s="3" t="s">
        <v>30834</v>
      </c>
      <c r="G10839" s="3">
        <v>0.0</v>
      </c>
      <c r="H10839" s="3">
        <v>0.0</v>
      </c>
      <c r="I10839" s="3" t="s">
        <v>13</v>
      </c>
      <c r="J10839" s="3" t="s">
        <v>30835</v>
      </c>
      <c r="K10839" s="3" t="s">
        <v>1970</v>
      </c>
      <c r="L10839" s="3" t="str">
        <f>IFERROR(__xludf.DUMMYFUNCTION("GOOGLETRANSLATE(F10839,""id"",""en"")"),"Cool predictions dude by supporting the Argentine team proved to be safe for the Argentine team with her best squad to be able to bring the Messi Team to become the Doha Qatar champion")</f>
        <v>Cool predictions dude by supporting the Argentine team proved to be safe for the Argentine team with her best squad to be able to bring the Messi Team to become the Doha Qatar champion</v>
      </c>
    </row>
    <row r="10840" ht="15.75" customHeight="1">
      <c r="A10840" s="1">
        <v>12083.0</v>
      </c>
      <c r="B10840" s="3" t="s">
        <v>30836</v>
      </c>
      <c r="C10840" s="3">
        <v>0.0</v>
      </c>
      <c r="D10840" s="3">
        <v>0.0</v>
      </c>
      <c r="E10840" s="3">
        <v>1.0</v>
      </c>
      <c r="F10840" s="3" t="s">
        <v>30837</v>
      </c>
      <c r="G10840" s="3">
        <v>0.0</v>
      </c>
      <c r="H10840" s="3">
        <v>0.0</v>
      </c>
      <c r="I10840" s="3" t="s">
        <v>13</v>
      </c>
      <c r="J10840" s="3" t="s">
        <v>30838</v>
      </c>
      <c r="K10840" s="3" t="s">
        <v>657</v>
      </c>
      <c r="L10840" s="3" t="str">
        <f>IFERROR(__xludf.DUMMYFUNCTION("GOOGLETRANSLATE(F10840,""id"",""en"")"),"Lionel Messi led Argentina to win the World Cup by defeating the defending champions of France through penalties")</f>
        <v>Lionel Messi led Argentina to win the World Cup by defeating the defending champions of France through penalties</v>
      </c>
    </row>
    <row r="10841" ht="15.75" customHeight="1">
      <c r="A10841" s="1">
        <v>12084.0</v>
      </c>
      <c r="B10841" s="3" t="s">
        <v>30839</v>
      </c>
      <c r="C10841" s="3">
        <v>0.0</v>
      </c>
      <c r="D10841" s="3">
        <v>0.0</v>
      </c>
      <c r="E10841" s="3">
        <v>0.0</v>
      </c>
      <c r="F10841" s="3" t="s">
        <v>30840</v>
      </c>
      <c r="G10841" s="3">
        <v>0.0</v>
      </c>
      <c r="H10841" s="3">
        <v>0.0</v>
      </c>
      <c r="I10841" s="3" t="s">
        <v>13</v>
      </c>
      <c r="J10841" s="3" t="s">
        <v>30841</v>
      </c>
      <c r="K10841" s="3" t="s">
        <v>644</v>
      </c>
      <c r="L10841" s="3" t="str">
        <f>IFERROR(__xludf.DUMMYFUNCTION("GOOGLETRANSLATE(F10841,""id"",""en"")"),"The more sincere Argentina Champion")</f>
        <v>The more sincere Argentina Champion</v>
      </c>
    </row>
    <row r="10842" ht="15.75" customHeight="1">
      <c r="A10842" s="1">
        <v>12085.0</v>
      </c>
      <c r="B10842" s="3" t="s">
        <v>30842</v>
      </c>
      <c r="C10842" s="3">
        <v>0.0</v>
      </c>
      <c r="D10842" s="3">
        <v>0.0</v>
      </c>
      <c r="E10842" s="3">
        <v>0.0</v>
      </c>
      <c r="F10842" s="3" t="s">
        <v>30843</v>
      </c>
      <c r="G10842" s="3">
        <v>0.0</v>
      </c>
      <c r="H10842" s="3">
        <v>0.0</v>
      </c>
      <c r="I10842" s="3" t="s">
        <v>13</v>
      </c>
      <c r="J10842" s="3" t="s">
        <v>30844</v>
      </c>
      <c r="K10842" s="3" t="s">
        <v>19</v>
      </c>
      <c r="L10842" s="3" t="str">
        <f>IFERROR(__xludf.DUMMYFUNCTION("GOOGLETRANSLATE(F10842,""id"",""en"")"),"Congratulations to Lionel Messi Marc Marquez to be happy Argentina Champion World Cup")</f>
        <v>Congratulations to Lionel Messi Marc Marquez to be happy Argentina Champion World Cup</v>
      </c>
    </row>
    <row r="10843" ht="15.75" customHeight="1">
      <c r="A10843" s="1">
        <v>12086.0</v>
      </c>
      <c r="B10843" s="3" t="s">
        <v>30845</v>
      </c>
      <c r="C10843" s="3">
        <v>0.0</v>
      </c>
      <c r="D10843" s="3">
        <v>0.0</v>
      </c>
      <c r="E10843" s="3">
        <v>0.0</v>
      </c>
      <c r="F10843" s="3" t="s">
        <v>30846</v>
      </c>
      <c r="G10843" s="3">
        <v>0.0</v>
      </c>
      <c r="H10843" s="3">
        <v>0.0</v>
      </c>
      <c r="I10843" s="3" t="s">
        <v>13</v>
      </c>
      <c r="J10843" s="3" t="s">
        <v>30847</v>
      </c>
      <c r="K10843" s="3" t="s">
        <v>6117</v>
      </c>
      <c r="L10843" s="3" t="str">
        <f>IFERROR(__xludf.DUMMYFUNCTION("GOOGLETRANSLATE(F10843,""id"",""en"")"),"Alhamdulillah, it started with France Champion World Cup, Argentina Cup America, yesterday and added a world cup champion, fantastic waiting, from Cuy, waiting for when the champion was left, I just left it, hopefully after this Amin")</f>
        <v>Alhamdulillah, it started with France Champion World Cup, Argentina Cup America, yesterday and added a world cup champion, fantastic waiting, from Cuy, waiting for when the champion was left, I just left it, hopefully after this Amin</v>
      </c>
    </row>
    <row r="10844" ht="15.75" customHeight="1">
      <c r="A10844" s="1">
        <v>12087.0</v>
      </c>
      <c r="B10844" s="3" t="s">
        <v>30848</v>
      </c>
      <c r="C10844" s="3">
        <v>2.0</v>
      </c>
      <c r="D10844" s="3">
        <v>0.0</v>
      </c>
      <c r="E10844" s="3">
        <v>0.0</v>
      </c>
      <c r="F10844" s="3" t="s">
        <v>30849</v>
      </c>
      <c r="G10844" s="3">
        <v>0.0</v>
      </c>
      <c r="H10844" s="3">
        <v>0.0</v>
      </c>
      <c r="I10844" s="3" t="s">
        <v>13</v>
      </c>
      <c r="J10844" s="3" t="s">
        <v>30850</v>
      </c>
      <c r="K10844" s="3" t="s">
        <v>31</v>
      </c>
      <c r="L10844" s="3" t="str">
        <f>IFERROR(__xludf.DUMMYFUNCTION("GOOGLETRANSLATE(F10844,""id"",""en"")"),"if there is a Messi Kans Argentina champion there is a worthy")</f>
        <v>if there is a Messi Kans Argentina champion there is a worthy</v>
      </c>
    </row>
    <row r="10845" ht="15.75" customHeight="1">
      <c r="A10845" s="1">
        <v>12088.0</v>
      </c>
      <c r="B10845" s="3" t="s">
        <v>30851</v>
      </c>
      <c r="C10845" s="3">
        <v>0.0</v>
      </c>
      <c r="D10845" s="3">
        <v>0.0</v>
      </c>
      <c r="E10845" s="3">
        <v>0.0</v>
      </c>
      <c r="F10845" s="3" t="s">
        <v>30852</v>
      </c>
      <c r="G10845" s="3">
        <v>0.0</v>
      </c>
      <c r="H10845" s="3">
        <v>0.0</v>
      </c>
      <c r="I10845" s="3" t="s">
        <v>13</v>
      </c>
      <c r="J10845" s="3" t="s">
        <v>30853</v>
      </c>
      <c r="K10845" s="3" t="s">
        <v>82</v>
      </c>
      <c r="L10845" s="3" t="str">
        <f>IFERROR(__xludf.DUMMYFUNCTION("GOOGLETRANSLATE(F10845,""id"",""en"")"),"Still thinking that Argentina failed to win the bully.")</f>
        <v>Still thinking that Argentina failed to win the bully.</v>
      </c>
    </row>
    <row r="10846" ht="15.75" customHeight="1">
      <c r="A10846" s="1">
        <v>12089.0</v>
      </c>
      <c r="B10846" s="3" t="s">
        <v>30854</v>
      </c>
      <c r="C10846" s="3">
        <v>1.0</v>
      </c>
      <c r="D10846" s="3">
        <v>0.0</v>
      </c>
      <c r="E10846" s="3">
        <v>0.0</v>
      </c>
      <c r="F10846" s="3" t="s">
        <v>30855</v>
      </c>
      <c r="G10846" s="3">
        <v>1.0</v>
      </c>
      <c r="H10846" s="3">
        <v>0.0</v>
      </c>
      <c r="I10846" s="3" t="s">
        <v>13</v>
      </c>
      <c r="J10846" s="3" t="s">
        <v>30856</v>
      </c>
      <c r="K10846" s="3" t="s">
        <v>127</v>
      </c>
      <c r="L10846" s="3" t="str">
        <f>IFERROR(__xludf.DUMMYFUNCTION("GOOGLETRANSLATE(F10846,""id"",""en"")"),"Things that need to enjoy and be grateful besides Argentina to become champions are still able to watch the final world cup at this age by standing more or less hours")</f>
        <v>Things that need to enjoy and be grateful besides Argentina to become champions are still able to watch the final world cup at this age by standing more or less hours</v>
      </c>
    </row>
    <row r="10847" ht="15.75" customHeight="1">
      <c r="A10847" s="1">
        <v>12090.0</v>
      </c>
      <c r="B10847" s="3" t="s">
        <v>30857</v>
      </c>
      <c r="C10847" s="3">
        <v>0.0</v>
      </c>
      <c r="D10847" s="3">
        <v>0.0</v>
      </c>
      <c r="E10847" s="3">
        <v>0.0</v>
      </c>
      <c r="F10847" s="3" t="s">
        <v>16103</v>
      </c>
      <c r="G10847" s="3">
        <v>0.0</v>
      </c>
      <c r="H10847" s="3">
        <v>0.0</v>
      </c>
      <c r="I10847" s="3" t="s">
        <v>13</v>
      </c>
      <c r="J10847" s="3" t="s">
        <v>16104</v>
      </c>
      <c r="K10847" s="3" t="s">
        <v>14571</v>
      </c>
      <c r="L10847" s="3" t="str">
        <f>IFERROR(__xludf.DUMMYFUNCTION("GOOGLETRANSLATE(F10847,""id"",""en"")"),"Argentina Champion")</f>
        <v>Argentina Champion</v>
      </c>
    </row>
    <row r="10848" ht="15.75" customHeight="1">
      <c r="A10848" s="1">
        <v>12091.0</v>
      </c>
      <c r="B10848" s="3" t="s">
        <v>30858</v>
      </c>
      <c r="C10848" s="3">
        <v>0.0</v>
      </c>
      <c r="D10848" s="3">
        <v>0.0</v>
      </c>
      <c r="E10848" s="3">
        <v>0.0</v>
      </c>
      <c r="F10848" s="3" t="s">
        <v>30859</v>
      </c>
      <c r="G10848" s="3">
        <v>1.0</v>
      </c>
      <c r="H10848" s="3">
        <v>0.0</v>
      </c>
      <c r="I10848" s="3" t="s">
        <v>13</v>
      </c>
      <c r="J10848" s="3" t="s">
        <v>30860</v>
      </c>
      <c r="K10848" s="3" t="s">
        <v>1699</v>
      </c>
      <c r="L10848" s="3" t="str">
        <f>IFERROR(__xludf.DUMMYFUNCTION("GOOGLETRANSLATE(F10848,""id"",""en"")"),"Argentina Champion Emiliano Martinez became the best goalkeeper of the World Cup World Cup between Argentina and France presented a very fierce spectacle to play with a score")</f>
        <v>Argentina Champion Emiliano Martinez became the best goalkeeper of the World Cup World Cup between Argentina and France presented a very fierce spectacle to play with a score</v>
      </c>
    </row>
    <row r="10849" ht="15.75" customHeight="1">
      <c r="A10849" s="1">
        <v>12092.0</v>
      </c>
      <c r="B10849" s="3" t="s">
        <v>30861</v>
      </c>
      <c r="C10849" s="3">
        <v>0.0</v>
      </c>
      <c r="D10849" s="3">
        <v>0.0</v>
      </c>
      <c r="E10849" s="3">
        <v>0.0</v>
      </c>
      <c r="F10849" s="3" t="s">
        <v>30862</v>
      </c>
      <c r="G10849" s="3">
        <v>0.3333333333333333</v>
      </c>
      <c r="H10849" s="3">
        <v>0.1666666666666667</v>
      </c>
      <c r="I10849" s="3" t="s">
        <v>48</v>
      </c>
      <c r="J10849" s="3" t="s">
        <v>30863</v>
      </c>
      <c r="K10849" s="3" t="s">
        <v>510</v>
      </c>
      <c r="L10849" s="3" t="str">
        <f>IFERROR(__xludf.DUMMYFUNCTION("GOOGLETRANSLATE(F10849,""id"",""en"")"),"After Argentina the champion must face the reality that Barca must play UEL again and just remind the first match against Emyu")</f>
        <v>After Argentina the champion must face the reality that Barca must play UEL again and just remind the first match against Emyu</v>
      </c>
    </row>
    <row r="10850" ht="15.75" customHeight="1">
      <c r="A10850" s="1">
        <v>12093.0</v>
      </c>
      <c r="B10850" s="3" t="s">
        <v>30864</v>
      </c>
      <c r="C10850" s="3">
        <v>0.0</v>
      </c>
      <c r="D10850" s="3">
        <v>0.0</v>
      </c>
      <c r="E10850" s="3">
        <v>1.0</v>
      </c>
      <c r="F10850" s="3" t="s">
        <v>30865</v>
      </c>
      <c r="G10850" s="3">
        <v>0.0</v>
      </c>
      <c r="H10850" s="3">
        <v>0.0</v>
      </c>
      <c r="I10850" s="3" t="s">
        <v>13</v>
      </c>
      <c r="J10850" s="3" t="s">
        <v>30866</v>
      </c>
      <c r="K10850" s="3" t="s">
        <v>205</v>
      </c>
      <c r="L10850" s="3" t="str">
        <f>IFERROR(__xludf.DUMMYFUNCTION("GOOGLETRANSLATE(F10850,""id"",""en"")"),"France was unable to win the World Cup after defeating from Argentina to draw during the minute France finally fell from Argentina in a penalty shootout drama")</f>
        <v>France was unable to win the World Cup after defeating from Argentina to draw during the minute France finally fell from Argentina in a penalty shootout drama</v>
      </c>
    </row>
    <row r="10851" ht="15.75" customHeight="1">
      <c r="A10851" s="1">
        <v>12094.0</v>
      </c>
      <c r="B10851" s="3" t="s">
        <v>30867</v>
      </c>
      <c r="C10851" s="3">
        <v>0.0</v>
      </c>
      <c r="D10851" s="3">
        <v>0.0</v>
      </c>
      <c r="E10851" s="3">
        <v>0.0</v>
      </c>
      <c r="F10851" s="3" t="s">
        <v>30868</v>
      </c>
      <c r="G10851" s="3">
        <v>0.55</v>
      </c>
      <c r="H10851" s="3">
        <v>0.35</v>
      </c>
      <c r="I10851" s="3" t="s">
        <v>48</v>
      </c>
      <c r="J10851" s="3" t="s">
        <v>30869</v>
      </c>
      <c r="K10851" s="3" t="s">
        <v>614</v>
      </c>
      <c r="L10851" s="3" t="str">
        <f>IFERROR(__xludf.DUMMYFUNCTION("GOOGLETRANSLATE(F10851,""id"",""en"")"),"The list of Argentina World Cup champions is the champion and who is the most collection of Maradona Emi Martinez Dybala Maria Messi and Mac Allister full smile")</f>
        <v>The list of Argentina World Cup champions is the champion and who is the most collection of Maradona Emi Martinez Dybala Maria Messi and Mac Allister full smile</v>
      </c>
    </row>
    <row r="10852" ht="15.75" customHeight="1">
      <c r="A10852" s="1">
        <v>12095.0</v>
      </c>
      <c r="B10852" s="3" t="s">
        <v>30870</v>
      </c>
      <c r="C10852" s="3">
        <v>0.0</v>
      </c>
      <c r="D10852" s="3">
        <v>1.0</v>
      </c>
      <c r="E10852" s="3">
        <v>8.0</v>
      </c>
      <c r="F10852" s="3" t="s">
        <v>30871</v>
      </c>
      <c r="G10852" s="3">
        <v>0.0</v>
      </c>
      <c r="H10852" s="3">
        <v>0.0</v>
      </c>
      <c r="I10852" s="3" t="s">
        <v>13</v>
      </c>
      <c r="J10852" s="3" t="s">
        <v>30872</v>
      </c>
      <c r="K10852" s="3" t="s">
        <v>15</v>
      </c>
      <c r="L10852" s="3" t="str">
        <f>IFERROR(__xludf.DUMMYFUNCTION("GOOGLETRANSLATE(F10852,""id"",""en"")"),"Emi Martinez Calling Argentina World Cup Champion is Destiny")</f>
        <v>Emi Martinez Calling Argentina World Cup Champion is Destiny</v>
      </c>
    </row>
    <row r="10853" ht="15.75" customHeight="1">
      <c r="A10853" s="1">
        <v>12096.0</v>
      </c>
      <c r="B10853" s="3" t="s">
        <v>30873</v>
      </c>
      <c r="C10853" s="3">
        <v>0.0</v>
      </c>
      <c r="D10853" s="3">
        <v>0.0</v>
      </c>
      <c r="E10853" s="3">
        <v>0.0</v>
      </c>
      <c r="F10853" s="3" t="s">
        <v>30874</v>
      </c>
      <c r="G10853" s="3">
        <v>0.0</v>
      </c>
      <c r="H10853" s="3">
        <v>0.0</v>
      </c>
      <c r="I10853" s="3" t="s">
        <v>13</v>
      </c>
      <c r="J10853" s="3" t="s">
        <v>30875</v>
      </c>
      <c r="K10853" s="3" t="s">
        <v>495</v>
      </c>
      <c r="L10853" s="3" t="str">
        <f>IFERROR(__xludf.DUMMYFUNCTION("GOOGLETRANSLATE(F10853,""id"",""en"")"),"Emiliano Martnez Enzo Fernandez Paul Mac Allister Romere and Messi is the mastermind behind Argentina to become a very good champion they play agree")</f>
        <v>Emiliano Martnez Enzo Fernandez Paul Mac Allister Romere and Messi is the mastermind behind Argentina to become a very good champion they play agree</v>
      </c>
    </row>
    <row r="10854" ht="15.75" customHeight="1">
      <c r="A10854" s="1">
        <v>12097.0</v>
      </c>
      <c r="B10854" s="3" t="s">
        <v>30876</v>
      </c>
      <c r="C10854" s="3">
        <v>0.0</v>
      </c>
      <c r="D10854" s="3">
        <v>0.0</v>
      </c>
      <c r="E10854" s="3">
        <v>0.0</v>
      </c>
      <c r="F10854" s="3" t="s">
        <v>30877</v>
      </c>
      <c r="G10854" s="3">
        <v>0.0</v>
      </c>
      <c r="H10854" s="3">
        <v>0.0</v>
      </c>
      <c r="I10854" s="3" t="s">
        <v>13</v>
      </c>
      <c r="J10854" s="3" t="s">
        <v>30878</v>
      </c>
      <c r="K10854" s="3" t="s">
        <v>82</v>
      </c>
      <c r="L10854" s="3" t="str">
        <f>IFERROR(__xludf.DUMMYFUNCTION("GOOGLETRANSLATE(F10854,""id"",""en"")"),"Argentine World Cup Champion Messi Echo Social Media")</f>
        <v>Argentine World Cup Champion Messi Echo Social Media</v>
      </c>
    </row>
    <row r="10855" ht="15.75" customHeight="1">
      <c r="A10855" s="1">
        <v>12098.0</v>
      </c>
      <c r="B10855" s="3" t="s">
        <v>30879</v>
      </c>
      <c r="C10855" s="3">
        <v>0.0</v>
      </c>
      <c r="D10855" s="3">
        <v>0.0</v>
      </c>
      <c r="E10855" s="3">
        <v>0.0</v>
      </c>
      <c r="F10855" s="3" t="s">
        <v>30877</v>
      </c>
      <c r="G10855" s="3">
        <v>0.0</v>
      </c>
      <c r="H10855" s="3">
        <v>0.0</v>
      </c>
      <c r="I10855" s="3" t="s">
        <v>13</v>
      </c>
      <c r="J10855" s="3" t="s">
        <v>30878</v>
      </c>
      <c r="K10855" s="3" t="s">
        <v>82</v>
      </c>
      <c r="L10855" s="3" t="str">
        <f>IFERROR(__xludf.DUMMYFUNCTION("GOOGLETRANSLATE(F10855,""id"",""en"")"),"Argentine World Cup Champion Messi Echo Social Media")</f>
        <v>Argentine World Cup Champion Messi Echo Social Media</v>
      </c>
    </row>
    <row r="10856" ht="15.75" customHeight="1">
      <c r="A10856" s="1">
        <v>12099.0</v>
      </c>
      <c r="B10856" s="3" t="s">
        <v>30880</v>
      </c>
      <c r="C10856" s="3">
        <v>0.0</v>
      </c>
      <c r="D10856" s="3">
        <v>0.0</v>
      </c>
      <c r="E10856" s="3">
        <v>0.0</v>
      </c>
      <c r="F10856" s="3" t="s">
        <v>30881</v>
      </c>
      <c r="G10856" s="3">
        <v>0.0</v>
      </c>
      <c r="H10856" s="3">
        <v>0.0</v>
      </c>
      <c r="I10856" s="3" t="s">
        <v>13</v>
      </c>
      <c r="J10856" s="3" t="s">
        <v>30882</v>
      </c>
      <c r="K10856" s="3" t="s">
        <v>2215</v>
      </c>
      <c r="L10856" s="3" t="str">
        <f>IFERROR(__xludf.DUMMYFUNCTION("GOOGLETRANSLATE(F10856,""id"",""en"")"),"If Argentina succeeds in becoming a world champion I just want to be your heart champion")</f>
        <v>If Argentina succeeds in becoming a world champion I just want to be your heart champion</v>
      </c>
    </row>
    <row r="10857" ht="15.75" customHeight="1">
      <c r="A10857" s="1">
        <v>12100.0</v>
      </c>
      <c r="B10857" s="3" t="s">
        <v>30883</v>
      </c>
      <c r="C10857" s="3">
        <v>0.0</v>
      </c>
      <c r="D10857" s="3">
        <v>0.0</v>
      </c>
      <c r="E10857" s="3">
        <v>0.0</v>
      </c>
      <c r="F10857" s="3" t="s">
        <v>30884</v>
      </c>
      <c r="G10857" s="3">
        <v>0.0</v>
      </c>
      <c r="H10857" s="3">
        <v>0.0</v>
      </c>
      <c r="I10857" s="3" t="s">
        <v>13</v>
      </c>
      <c r="J10857" s="3" t="s">
        <v>30885</v>
      </c>
      <c r="K10857" s="3" t="s">
        <v>50</v>
      </c>
      <c r="L10857" s="3" t="str">
        <f>IFERROR(__xludf.DUMMYFUNCTION("GOOGLETRANSLATE(F10857,""id"",""en"")"),"Argentina won the World Cup after defeating France through the penalty shootout round")</f>
        <v>Argentina won the World Cup after defeating France through the penalty shootout round</v>
      </c>
    </row>
    <row r="10858" ht="15.75" customHeight="1">
      <c r="A10858" s="1">
        <v>12101.0</v>
      </c>
      <c r="B10858" s="3" t="s">
        <v>30886</v>
      </c>
      <c r="C10858" s="3">
        <v>1.0</v>
      </c>
      <c r="D10858" s="3">
        <v>3.0</v>
      </c>
      <c r="E10858" s="3">
        <v>1.0</v>
      </c>
      <c r="F10858" s="3" t="s">
        <v>30887</v>
      </c>
      <c r="G10858" s="3">
        <v>0.75</v>
      </c>
      <c r="H10858" s="3">
        <v>0.375</v>
      </c>
      <c r="I10858" s="3" t="s">
        <v>48</v>
      </c>
      <c r="J10858" s="3" t="s">
        <v>30888</v>
      </c>
      <c r="K10858" s="3" t="s">
        <v>240</v>
      </c>
      <c r="L10858" s="3" t="str">
        <f>IFERROR(__xludf.DUMMYFUNCTION("GOOGLETRANSLATE(F10858,""id"",""en"")"),"Anyone Help Friends Argentina Home Champion Player NNS Messi Original Bnwt XXL Europe Size Negotiable")</f>
        <v>Anyone Help Friends Argentina Home Champion Player NNS Messi Original Bnwt XXL Europe Size Negotiable</v>
      </c>
    </row>
    <row r="10859" ht="15.75" customHeight="1">
      <c r="A10859" s="1">
        <v>12102.0</v>
      </c>
      <c r="B10859" s="3" t="s">
        <v>30889</v>
      </c>
      <c r="C10859" s="3">
        <v>0.0</v>
      </c>
      <c r="D10859" s="3">
        <v>0.0</v>
      </c>
      <c r="E10859" s="3">
        <v>0.0</v>
      </c>
      <c r="F10859" s="3" t="s">
        <v>30890</v>
      </c>
      <c r="G10859" s="3">
        <v>0.0</v>
      </c>
      <c r="H10859" s="3">
        <v>0.0</v>
      </c>
      <c r="I10859" s="3" t="s">
        <v>13</v>
      </c>
      <c r="J10859" s="3" t="s">
        <v>30891</v>
      </c>
      <c r="K10859" s="3" t="s">
        <v>1280</v>
      </c>
      <c r="L10859" s="3" t="str">
        <f>IFERROR(__xludf.DUMMYFUNCTION("GOOGLETRANSLATE(F10859,""id"",""en"")"),"Monday is usually concerned with mager annoying but how come this Monday is fun, Oiyaa Argentina champion Messi raising the World Cup Ronaldo has never lifted the World Cup, just be patient next year, I want to try it again next year")</f>
        <v>Monday is usually concerned with mager annoying but how come this Monday is fun, Oiyaa Argentina champion Messi raising the World Cup Ronaldo has never lifted the World Cup, just be patient next year, I want to try it again next year</v>
      </c>
    </row>
    <row r="10860" ht="15.75" customHeight="1">
      <c r="A10860" s="1">
        <v>12103.0</v>
      </c>
      <c r="B10860" s="3" t="s">
        <v>30892</v>
      </c>
      <c r="C10860" s="3">
        <v>0.0</v>
      </c>
      <c r="D10860" s="3">
        <v>0.0</v>
      </c>
      <c r="E10860" s="3">
        <v>0.0</v>
      </c>
      <c r="F10860" s="3" t="s">
        <v>30893</v>
      </c>
      <c r="G10860" s="3">
        <v>0.0</v>
      </c>
      <c r="H10860" s="3">
        <v>0.0</v>
      </c>
      <c r="I10860" s="3" t="s">
        <v>13</v>
      </c>
      <c r="J10860" s="3" t="s">
        <v>30894</v>
      </c>
      <c r="K10860" s="3" t="s">
        <v>35</v>
      </c>
      <c r="L10860" s="3" t="str">
        <f>IFERROR(__xludf.DUMMYFUNCTION("GOOGLETRANSLATE(F10860,""id"",""en"")"),"Argentina EVOS champion champion Mobile Legends graduated even though there is one thing lacking but still can smile")</f>
        <v>Argentina EVOS champion champion Mobile Legends graduated even though there is one thing lacking but still can smile</v>
      </c>
    </row>
    <row r="10861" ht="15.75" customHeight="1">
      <c r="A10861" s="1">
        <v>12104.0</v>
      </c>
      <c r="B10861" s="3" t="s">
        <v>30895</v>
      </c>
      <c r="C10861" s="3">
        <v>0.0</v>
      </c>
      <c r="D10861" s="3">
        <v>0.0</v>
      </c>
      <c r="E10861" s="3">
        <v>0.0</v>
      </c>
      <c r="F10861" s="3" t="s">
        <v>30896</v>
      </c>
      <c r="G10861" s="3">
        <v>0.0</v>
      </c>
      <c r="H10861" s="3">
        <v>0.0</v>
      </c>
      <c r="I10861" s="3" t="s">
        <v>13</v>
      </c>
      <c r="J10861" s="3" t="s">
        <v>30897</v>
      </c>
      <c r="K10861" s="3" t="s">
        <v>657</v>
      </c>
      <c r="L10861" s="3" t="str">
        <f>IFERROR(__xludf.DUMMYFUNCTION("GOOGLETRANSLATE(F10861,""id"",""en"")"),"both are worthy")</f>
        <v>both are worthy</v>
      </c>
    </row>
    <row r="10862" ht="15.75" customHeight="1">
      <c r="A10862" s="1">
        <v>12105.0</v>
      </c>
      <c r="B10862" s="3" t="s">
        <v>30898</v>
      </c>
      <c r="C10862" s="3">
        <v>0.0</v>
      </c>
      <c r="D10862" s="3">
        <v>0.0</v>
      </c>
      <c r="E10862" s="3">
        <v>0.0</v>
      </c>
      <c r="F10862" s="3" t="s">
        <v>30899</v>
      </c>
      <c r="G10862" s="3">
        <v>0.0</v>
      </c>
      <c r="H10862" s="3">
        <v>0.0</v>
      </c>
      <c r="I10862" s="3" t="s">
        <v>13</v>
      </c>
      <c r="J10862" s="3" t="s">
        <v>30900</v>
      </c>
      <c r="K10862" s="3" t="s">
        <v>1293</v>
      </c>
      <c r="L10862" s="3" t="str">
        <f>IFERROR(__xludf.DUMMYFUNCTION("GOOGLETRANSLATE(F10862,""id"",""en"")"),"Argentina national team won the World Cup after conquering French national team Lionel Messi legally Goat with plenary")</f>
        <v>Argentina national team won the World Cup after conquering French national team Lionel Messi legally Goat with plenary</v>
      </c>
    </row>
    <row r="10863" ht="15.75" customHeight="1">
      <c r="A10863" s="1">
        <v>12106.0</v>
      </c>
      <c r="B10863" s="3" t="s">
        <v>30901</v>
      </c>
      <c r="C10863" s="3">
        <v>0.0</v>
      </c>
      <c r="D10863" s="3">
        <v>1.0</v>
      </c>
      <c r="E10863" s="3">
        <v>0.0</v>
      </c>
      <c r="F10863" s="3" t="s">
        <v>30899</v>
      </c>
      <c r="G10863" s="3">
        <v>0.0</v>
      </c>
      <c r="H10863" s="3">
        <v>0.0</v>
      </c>
      <c r="I10863" s="3" t="s">
        <v>13</v>
      </c>
      <c r="J10863" s="3" t="s">
        <v>30900</v>
      </c>
      <c r="K10863" s="3" t="s">
        <v>1293</v>
      </c>
      <c r="L10863" s="3" t="str">
        <f>IFERROR(__xludf.DUMMYFUNCTION("GOOGLETRANSLATE(F10863,""id"",""en"")"),"Argentina national team won the World Cup after conquering French national team Lionel Messi legally Goat with plenary")</f>
        <v>Argentina national team won the World Cup after conquering French national team Lionel Messi legally Goat with plenary</v>
      </c>
    </row>
    <row r="10864" ht="15.75" customHeight="1">
      <c r="A10864" s="1">
        <v>12107.0</v>
      </c>
      <c r="B10864" s="3" t="s">
        <v>30902</v>
      </c>
      <c r="C10864" s="3">
        <v>0.0</v>
      </c>
      <c r="D10864" s="3">
        <v>0.0</v>
      </c>
      <c r="E10864" s="3">
        <v>0.0</v>
      </c>
      <c r="F10864" s="3" t="s">
        <v>30899</v>
      </c>
      <c r="G10864" s="3">
        <v>0.0</v>
      </c>
      <c r="H10864" s="3">
        <v>0.0</v>
      </c>
      <c r="I10864" s="3" t="s">
        <v>13</v>
      </c>
      <c r="J10864" s="3" t="s">
        <v>30900</v>
      </c>
      <c r="K10864" s="3" t="s">
        <v>1293</v>
      </c>
      <c r="L10864" s="3" t="str">
        <f>IFERROR(__xludf.DUMMYFUNCTION("GOOGLETRANSLATE(F10864,""id"",""en"")"),"Argentina national team won the World Cup after conquering French national team Lionel Messi legally Goat with plenary")</f>
        <v>Argentina national team won the World Cup after conquering French national team Lionel Messi legally Goat with plenary</v>
      </c>
    </row>
    <row r="10865" ht="15.75" customHeight="1">
      <c r="A10865" s="1">
        <v>12108.0</v>
      </c>
      <c r="B10865" s="3" t="s">
        <v>30903</v>
      </c>
      <c r="C10865" s="3">
        <v>0.0</v>
      </c>
      <c r="D10865" s="3">
        <v>0.0</v>
      </c>
      <c r="E10865" s="3">
        <v>0.0</v>
      </c>
      <c r="F10865" s="3" t="s">
        <v>30904</v>
      </c>
      <c r="G10865" s="3">
        <v>0.2</v>
      </c>
      <c r="H10865" s="3">
        <v>0.05</v>
      </c>
      <c r="I10865" s="3" t="s">
        <v>48</v>
      </c>
      <c r="J10865" s="3" t="s">
        <v>30905</v>
      </c>
      <c r="K10865" s="3" t="s">
        <v>75</v>
      </c>
      <c r="L10865" s="3" t="str">
        <f>IFERROR(__xludf.DUMMYFUNCTION("GOOGLETRANSLATE(F10865,""id"",""en"")"),"Wiii Argentina Champion Well Messi has already completed the title next generation has mbappe now")</f>
        <v>Wiii Argentina Champion Well Messi has already completed the title next generation has mbappe now</v>
      </c>
    </row>
    <row r="10866" ht="15.75" customHeight="1">
      <c r="A10866" s="1">
        <v>12109.0</v>
      </c>
      <c r="B10866" s="3" t="s">
        <v>30906</v>
      </c>
      <c r="C10866" s="3">
        <v>1.0</v>
      </c>
      <c r="D10866" s="3">
        <v>3.0</v>
      </c>
      <c r="E10866" s="3">
        <v>16.0</v>
      </c>
      <c r="F10866" s="3" t="s">
        <v>30907</v>
      </c>
      <c r="G10866" s="3">
        <v>0.0</v>
      </c>
      <c r="H10866" s="3">
        <v>0.0</v>
      </c>
      <c r="I10866" s="3" t="s">
        <v>13</v>
      </c>
      <c r="J10866" s="3" t="s">
        <v>30908</v>
      </c>
      <c r="K10866" s="3" t="s">
        <v>499</v>
      </c>
      <c r="L10866" s="3" t="str">
        <f>IFERROR(__xludf.DUMMYFUNCTION("GOOGLETRANSLATE(F10866,""id"",""en"")"),"Messi retired calmly Argentina Champion World Cup for the third time Saudi Arabia Ronaldo Raul Lemos Emi Martinez Maria Dybala Maradona Camavinga")</f>
        <v>Messi retired calmly Argentina Champion World Cup for the third time Saudi Arabia Ronaldo Raul Lemos Emi Martinez Maria Dybala Maradona Camavinga</v>
      </c>
    </row>
    <row r="10867" ht="15.75" customHeight="1">
      <c r="A10867" s="1">
        <v>12110.0</v>
      </c>
      <c r="B10867" s="3" t="s">
        <v>30909</v>
      </c>
      <c r="C10867" s="3">
        <v>1.0</v>
      </c>
      <c r="D10867" s="3">
        <v>0.0</v>
      </c>
      <c r="E10867" s="3">
        <v>0.0</v>
      </c>
      <c r="F10867" s="3" t="s">
        <v>30910</v>
      </c>
      <c r="G10867" s="3">
        <v>0.2</v>
      </c>
      <c r="H10867" s="3">
        <v>0.1</v>
      </c>
      <c r="I10867" s="3" t="s">
        <v>48</v>
      </c>
      <c r="J10867" s="3" t="s">
        <v>30911</v>
      </c>
      <c r="K10867" s="3" t="s">
        <v>71</v>
      </c>
      <c r="L10867" s="3" t="str">
        <f>IFERROR(__xludf.DUMMYFUNCTION("GOOGLETRANSLATE(F10867,""id"",""en"")"),"so that more complete Messi Mbalek Newells Old Boys continue to win the Argentine League and Copa Libertadores")</f>
        <v>so that more complete Messi Mbalek Newells Old Boys continue to win the Argentine League and Copa Libertadores</v>
      </c>
    </row>
    <row r="10868" ht="15.75" customHeight="1">
      <c r="A10868" s="1">
        <v>12111.0</v>
      </c>
      <c r="B10868" s="3" t="s">
        <v>30912</v>
      </c>
      <c r="C10868" s="3">
        <v>0.0</v>
      </c>
      <c r="D10868" s="3">
        <v>1.0</v>
      </c>
      <c r="E10868" s="3">
        <v>4.0</v>
      </c>
      <c r="F10868" s="3" t="s">
        <v>30913</v>
      </c>
      <c r="G10868" s="3">
        <v>0.0</v>
      </c>
      <c r="H10868" s="3">
        <v>0.0</v>
      </c>
      <c r="I10868" s="3" t="s">
        <v>13</v>
      </c>
      <c r="J10868" s="3" t="s">
        <v>30914</v>
      </c>
      <c r="K10868" s="3" t="s">
        <v>7160</v>
      </c>
      <c r="L10868" s="3" t="str">
        <f>IFERROR(__xludf.DUMMYFUNCTION("GOOGLETRANSLATE(F10868,""id"",""en"")"),"Unexpectedly")</f>
        <v>Unexpectedly</v>
      </c>
    </row>
    <row r="10869" ht="15.75" customHeight="1">
      <c r="A10869" s="1">
        <v>12112.0</v>
      </c>
      <c r="B10869" s="3" t="s">
        <v>30915</v>
      </c>
      <c r="C10869" s="3">
        <v>0.0</v>
      </c>
      <c r="D10869" s="3">
        <v>0.0</v>
      </c>
      <c r="E10869" s="3">
        <v>0.0</v>
      </c>
      <c r="F10869" s="3" t="s">
        <v>30916</v>
      </c>
      <c r="G10869" s="3">
        <v>1.0</v>
      </c>
      <c r="H10869" s="3">
        <v>0.0</v>
      </c>
      <c r="I10869" s="3" t="s">
        <v>13</v>
      </c>
      <c r="J10869" s="3" t="s">
        <v>30917</v>
      </c>
      <c r="K10869" s="3" t="s">
        <v>58</v>
      </c>
      <c r="L10869" s="3" t="str">
        <f>IFERROR(__xludf.DUMMYFUNCTION("GOOGLETRANSLATE(F10869,""id"",""en"")"),"I don't really just know, but just before the final of Argentina French, I don't know sure that Argentina will win the incident")</f>
        <v>I don't really just know, but just before the final of Argentina French, I don't know sure that Argentina will win the incident</v>
      </c>
    </row>
    <row r="10870" ht="15.75" customHeight="1">
      <c r="A10870" s="1">
        <v>12113.0</v>
      </c>
      <c r="B10870" s="3" t="s">
        <v>30918</v>
      </c>
      <c r="C10870" s="3">
        <v>0.0</v>
      </c>
      <c r="D10870" s="3">
        <v>0.0</v>
      </c>
      <c r="E10870" s="3">
        <v>0.0</v>
      </c>
      <c r="F10870" s="3" t="s">
        <v>30919</v>
      </c>
      <c r="G10870" s="3">
        <v>0.0</v>
      </c>
      <c r="H10870" s="3">
        <v>0.0</v>
      </c>
      <c r="I10870" s="3" t="s">
        <v>13</v>
      </c>
      <c r="J10870" s="3" t="s">
        <v>30920</v>
      </c>
      <c r="K10870" s="3" t="s">
        <v>286</v>
      </c>
      <c r="L10870" s="3" t="str">
        <f>IFERROR(__xludf.DUMMYFUNCTION("GOOGLETRANSLATE(F10870,""id"",""en"")"),"Good morning the world even though only drinking water is sweet enough to remember the champion and for the morning alarm sounds the sound of the rooster crowing is not heard anymore, hopefully it will not be served with a bitter reality")</f>
        <v>Good morning the world even though only drinking water is sweet enough to remember the champion and for the morning alarm sounds the sound of the rooster crowing is not heard anymore, hopefully it will not be served with a bitter reality</v>
      </c>
    </row>
    <row r="10871" ht="15.75" customHeight="1">
      <c r="A10871" s="1">
        <v>12114.0</v>
      </c>
      <c r="B10871" s="3" t="s">
        <v>30921</v>
      </c>
      <c r="C10871" s="3">
        <v>0.0</v>
      </c>
      <c r="D10871" s="3">
        <v>0.0</v>
      </c>
      <c r="E10871" s="3">
        <v>0.0</v>
      </c>
      <c r="F10871" s="3" t="s">
        <v>30922</v>
      </c>
      <c r="G10871" s="3">
        <v>0.0</v>
      </c>
      <c r="H10871" s="3">
        <v>0.0</v>
      </c>
      <c r="I10871" s="3" t="s">
        <v>13</v>
      </c>
      <c r="J10871" s="3" t="s">
        <v>30923</v>
      </c>
      <c r="K10871" s="3" t="s">
        <v>82</v>
      </c>
      <c r="L10871" s="3" t="str">
        <f>IFERROR(__xludf.DUMMYFUNCTION("GOOGLETRANSLATE(F10871,""id"",""en"")"),"Argentina Champion World Cup Ronaldo Happy Messi")</f>
        <v>Argentina Champion World Cup Ronaldo Happy Messi</v>
      </c>
    </row>
    <row r="10872" ht="15.75" customHeight="1">
      <c r="A10872" s="1">
        <v>12115.0</v>
      </c>
      <c r="B10872" s="3" t="s">
        <v>30924</v>
      </c>
      <c r="C10872" s="3">
        <v>0.0</v>
      </c>
      <c r="D10872" s="3">
        <v>0.0</v>
      </c>
      <c r="E10872" s="3">
        <v>0.0</v>
      </c>
      <c r="F10872" s="3" t="s">
        <v>30925</v>
      </c>
      <c r="G10872" s="3">
        <v>0.0</v>
      </c>
      <c r="H10872" s="3">
        <v>0.0</v>
      </c>
      <c r="I10872" s="3" t="s">
        <v>13</v>
      </c>
      <c r="J10872" s="3" t="s">
        <v>30926</v>
      </c>
      <c r="K10872" s="3" t="s">
        <v>286</v>
      </c>
      <c r="L10872" s="3" t="str">
        <f>IFERROR(__xludf.DUMMYFUNCTION("GOOGLETRANSLATE(F10872,""id"",""en"")"),"The Argentine national team officially won the Qatar World Cup after conquering the French national team through penalties with a score after playing during the end with the skir Sunday night WIB")</f>
        <v>The Argentine national team officially won the Qatar World Cup after conquering the French national team through penalties with a score after playing during the end with the skir Sunday night WIB</v>
      </c>
    </row>
    <row r="10873" ht="15.75" customHeight="1">
      <c r="A10873" s="1">
        <v>12116.0</v>
      </c>
      <c r="B10873" s="3" t="s">
        <v>30927</v>
      </c>
      <c r="C10873" s="3">
        <v>0.0</v>
      </c>
      <c r="D10873" s="3">
        <v>0.0</v>
      </c>
      <c r="E10873" s="3">
        <v>0.0</v>
      </c>
      <c r="F10873" s="3" t="s">
        <v>30922</v>
      </c>
      <c r="G10873" s="3">
        <v>0.0</v>
      </c>
      <c r="H10873" s="3">
        <v>0.0</v>
      </c>
      <c r="I10873" s="3" t="s">
        <v>13</v>
      </c>
      <c r="J10873" s="3" t="s">
        <v>30923</v>
      </c>
      <c r="K10873" s="3" t="s">
        <v>82</v>
      </c>
      <c r="L10873" s="3" t="str">
        <f>IFERROR(__xludf.DUMMYFUNCTION("GOOGLETRANSLATE(F10873,""id"",""en"")"),"Argentina Champion World Cup Ronaldo Happy Messi")</f>
        <v>Argentina Champion World Cup Ronaldo Happy Messi</v>
      </c>
    </row>
    <row r="10874" ht="15.75" customHeight="1">
      <c r="A10874" s="1">
        <v>12117.0</v>
      </c>
      <c r="B10874" s="3" t="s">
        <v>30928</v>
      </c>
      <c r="C10874" s="3">
        <v>0.0</v>
      </c>
      <c r="D10874" s="3">
        <v>0.0</v>
      </c>
      <c r="E10874" s="3">
        <v>0.0</v>
      </c>
      <c r="F10874" s="3" t="s">
        <v>30929</v>
      </c>
      <c r="G10874" s="3">
        <v>0.0</v>
      </c>
      <c r="H10874" s="3">
        <v>0.0</v>
      </c>
      <c r="I10874" s="3" t="s">
        <v>13</v>
      </c>
      <c r="J10874" s="3" t="s">
        <v>30930</v>
      </c>
      <c r="K10874" s="3" t="s">
        <v>484</v>
      </c>
      <c r="L10874" s="3" t="str">
        <f>IFERROR(__xludf.DUMMYFUNCTION("GOOGLETRANSLATE(F10874,""id"",""en"")"),"For example, he is a heart, then you will play in the world, surely Argentina will be a champion to become Argentina.")</f>
        <v>For example, he is a heart, then you will play in the world, surely Argentina will be a champion to become Argentina.</v>
      </c>
    </row>
    <row r="10875" ht="15.75" customHeight="1">
      <c r="A10875" s="1">
        <v>12118.0</v>
      </c>
      <c r="B10875" s="3" t="s">
        <v>30931</v>
      </c>
      <c r="C10875" s="3">
        <v>0.0</v>
      </c>
      <c r="D10875" s="3">
        <v>0.0</v>
      </c>
      <c r="E10875" s="3">
        <v>0.0</v>
      </c>
      <c r="F10875" s="3" t="s">
        <v>30932</v>
      </c>
      <c r="G10875" s="3">
        <v>0.0</v>
      </c>
      <c r="H10875" s="3">
        <v>0.0</v>
      </c>
      <c r="I10875" s="3" t="s">
        <v>13</v>
      </c>
      <c r="J10875" s="3" t="s">
        <v>30933</v>
      </c>
      <c r="K10875" s="3" t="s">
        <v>30934</v>
      </c>
      <c r="L10875" s="3" t="str">
        <f>IFERROR(__xludf.DUMMYFUNCTION("GOOGLETRANSLATE(F10875,""id"",""en"")"),"Saudi Arabia has just defeated Argentina the group stage and can be a rolls royce applies, germany Japanese can get the semifinals of the Moroccan semifinals can be half -dozen Argentina Auto champion opening the Rolls Royce Royce")</f>
        <v>Saudi Arabia has just defeated Argentina the group stage and can be a rolls royce applies, germany Japanese can get the semifinals of the Moroccan semifinals can be half -dozen Argentina Auto champion opening the Rolls Royce Royce</v>
      </c>
    </row>
    <row r="10876" ht="15.75" customHeight="1">
      <c r="A10876" s="1">
        <v>12119.0</v>
      </c>
      <c r="B10876" s="3" t="s">
        <v>30935</v>
      </c>
      <c r="C10876" s="3">
        <v>0.0</v>
      </c>
      <c r="D10876" s="3">
        <v>0.0</v>
      </c>
      <c r="E10876" s="3">
        <v>0.0</v>
      </c>
      <c r="F10876" s="3" t="s">
        <v>30936</v>
      </c>
      <c r="G10876" s="3">
        <v>0.0</v>
      </c>
      <c r="H10876" s="3">
        <v>0.0</v>
      </c>
      <c r="I10876" s="3" t="s">
        <v>13</v>
      </c>
      <c r="J10876" s="3" t="s">
        <v>30937</v>
      </c>
      <c r="K10876" s="3" t="s">
        <v>54</v>
      </c>
      <c r="L10876" s="3" t="str">
        <f>IFERROR(__xludf.DUMMYFUNCTION("GOOGLETRANSLATE(F10876,""id"",""en"")"),"Salute Argentina Champion Indonesia When")</f>
        <v>Salute Argentina Champion Indonesia When</v>
      </c>
    </row>
    <row r="10877" ht="15.75" customHeight="1">
      <c r="A10877" s="1">
        <v>12120.0</v>
      </c>
      <c r="B10877" s="3" t="s">
        <v>30938</v>
      </c>
      <c r="C10877" s="3">
        <v>0.0</v>
      </c>
      <c r="D10877" s="3">
        <v>0.0</v>
      </c>
      <c r="E10877" s="3">
        <v>4.0</v>
      </c>
      <c r="F10877" s="3" t="s">
        <v>30939</v>
      </c>
      <c r="G10877" s="3">
        <v>0.0</v>
      </c>
      <c r="H10877" s="3">
        <v>0.0</v>
      </c>
      <c r="I10877" s="3" t="s">
        <v>13</v>
      </c>
      <c r="J10877" s="3" t="s">
        <v>30940</v>
      </c>
      <c r="K10877" s="3" t="s">
        <v>1317</v>
      </c>
      <c r="L10877" s="3" t="str">
        <f>IFERROR(__xludf.DUMMYFUNCTION("GOOGLETRANSLATE(F10877,""id"",""en"")"),"said Argentina Champion Want to Minutes Kek Want to Adu Pinal of Penalty until Entering Persib Kek Kekan Argentina Champion wkwkwk marriage sono and monkey")</f>
        <v>said Argentina Champion Want to Minutes Kek Want to Adu Pinal of Penalty until Entering Persib Kek Kekan Argentina Champion wkwkwk marriage sono and monkey</v>
      </c>
    </row>
    <row r="10878" ht="15.75" customHeight="1">
      <c r="A10878" s="1">
        <v>12121.0</v>
      </c>
      <c r="B10878" s="3" t="s">
        <v>30941</v>
      </c>
      <c r="C10878" s="3">
        <v>0.0</v>
      </c>
      <c r="D10878" s="3">
        <v>0.0</v>
      </c>
      <c r="E10878" s="3">
        <v>0.0</v>
      </c>
      <c r="F10878" s="3" t="s">
        <v>30942</v>
      </c>
      <c r="G10878" s="3">
        <v>0.0</v>
      </c>
      <c r="H10878" s="3">
        <v>0.0</v>
      </c>
      <c r="I10878" s="3" t="s">
        <v>13</v>
      </c>
      <c r="J10878" s="3" t="s">
        <v>30943</v>
      </c>
      <c r="K10878" s="3" t="s">
        <v>82</v>
      </c>
      <c r="L10878" s="3" t="str">
        <f>IFERROR(__xludf.DUMMYFUNCTION("GOOGLETRANSLATE(F10878,""id"",""en"")"),"Winning Argentine Penalty Champion World Cup Champion")</f>
        <v>Winning Argentine Penalty Champion World Cup Champion</v>
      </c>
    </row>
    <row r="10879" ht="15.75" customHeight="1">
      <c r="A10879" s="1">
        <v>12122.0</v>
      </c>
      <c r="B10879" s="3" t="s">
        <v>30944</v>
      </c>
      <c r="C10879" s="3">
        <v>3.0</v>
      </c>
      <c r="D10879" s="3">
        <v>0.0</v>
      </c>
      <c r="E10879" s="3">
        <v>2.0</v>
      </c>
      <c r="F10879" s="3" t="s">
        <v>30945</v>
      </c>
      <c r="G10879" s="3">
        <v>0.0</v>
      </c>
      <c r="H10879" s="3">
        <v>0.0</v>
      </c>
      <c r="I10879" s="3" t="s">
        <v>13</v>
      </c>
      <c r="J10879" s="3" t="s">
        <v>30946</v>
      </c>
      <c r="K10879" s="3" t="s">
        <v>82</v>
      </c>
      <c r="L10879" s="3" t="str">
        <f>IFERROR(__xludf.DUMMYFUNCTION("GOOGLETRANSLATE(F10879,""id"",""en"")"),"Prozal Only the Jokowi Era Argentina National Team Can Champion")</f>
        <v>Prozal Only the Jokowi Era Argentina National Team Can Champion</v>
      </c>
    </row>
    <row r="10880" ht="15.75" customHeight="1">
      <c r="A10880" s="1">
        <v>12123.0</v>
      </c>
      <c r="B10880" s="3" t="s">
        <v>30947</v>
      </c>
      <c r="C10880" s="3">
        <v>1.0</v>
      </c>
      <c r="D10880" s="3">
        <v>1.0</v>
      </c>
      <c r="E10880" s="3">
        <v>2.0</v>
      </c>
      <c r="F10880" s="3" t="s">
        <v>30948</v>
      </c>
      <c r="G10880" s="3">
        <v>0.0</v>
      </c>
      <c r="H10880" s="3">
        <v>0.0</v>
      </c>
      <c r="I10880" s="3" t="s">
        <v>13</v>
      </c>
      <c r="J10880" s="3" t="s">
        <v>30949</v>
      </c>
      <c r="K10880" s="3" t="s">
        <v>82</v>
      </c>
      <c r="L10880" s="3" t="str">
        <f>IFERROR(__xludf.DUMMYFUNCTION("GOOGLETRANSLATE(F10880,""id"",""en"")"),"Because I already know the earlier Argentina champion akak")</f>
        <v>Because I already know the earlier Argentina champion akak</v>
      </c>
    </row>
    <row r="10881" ht="15.75" customHeight="1">
      <c r="A10881" s="1">
        <v>12124.0</v>
      </c>
      <c r="B10881" s="3" t="s">
        <v>30950</v>
      </c>
      <c r="C10881" s="3">
        <v>1.0</v>
      </c>
      <c r="D10881" s="3">
        <v>0.0</v>
      </c>
      <c r="E10881" s="3">
        <v>11.0</v>
      </c>
      <c r="F10881" s="3" t="s">
        <v>30951</v>
      </c>
      <c r="G10881" s="3">
        <v>0.0</v>
      </c>
      <c r="H10881" s="3">
        <v>0.0</v>
      </c>
      <c r="I10881" s="3" t="s">
        <v>13</v>
      </c>
      <c r="J10881" s="3" t="s">
        <v>30952</v>
      </c>
      <c r="K10881" s="3" t="s">
        <v>75</v>
      </c>
      <c r="L10881" s="3" t="str">
        <f>IFERROR(__xludf.DUMMYFUNCTION("GOOGLETRANSLATE(F10881,""id"",""en"")"),"World Cup World Champion Qatar Argentina only lost against Saudi Arabia")</f>
        <v>World Cup World Champion Qatar Argentina only lost against Saudi Arabia</v>
      </c>
    </row>
    <row r="10882" ht="15.75" customHeight="1">
      <c r="A10882" s="1">
        <v>12125.0</v>
      </c>
      <c r="B10882" s="3" t="s">
        <v>30953</v>
      </c>
      <c r="C10882" s="3">
        <v>0.0</v>
      </c>
      <c r="D10882" s="3">
        <v>0.0</v>
      </c>
      <c r="E10882" s="3">
        <v>0.0</v>
      </c>
      <c r="F10882" s="3" t="s">
        <v>25470</v>
      </c>
      <c r="G10882" s="3">
        <v>0.0</v>
      </c>
      <c r="H10882" s="3">
        <v>0.0</v>
      </c>
      <c r="I10882" s="3" t="s">
        <v>13</v>
      </c>
      <c r="J10882" s="3" t="s">
        <v>25471</v>
      </c>
      <c r="K10882" s="3" t="s">
        <v>510</v>
      </c>
      <c r="L10882" s="3" t="str">
        <f>IFERROR(__xludf.DUMMYFUNCTION("GOOGLETRANSLATE(F10882,""id"",""en"")"),"Amazing the hometown of Lionel Messi became a sea of ​​people after Argentina Champion World Cup")</f>
        <v>Amazing the hometown of Lionel Messi became a sea of ​​people after Argentina Champion World Cup</v>
      </c>
    </row>
    <row r="10883" ht="15.75" customHeight="1">
      <c r="A10883" s="1">
        <v>12126.0</v>
      </c>
      <c r="B10883" s="3" t="s">
        <v>30954</v>
      </c>
      <c r="C10883" s="3">
        <v>0.0</v>
      </c>
      <c r="D10883" s="3">
        <v>0.0</v>
      </c>
      <c r="E10883" s="3">
        <v>0.0</v>
      </c>
      <c r="F10883" s="3" t="s">
        <v>25470</v>
      </c>
      <c r="G10883" s="3">
        <v>0.0</v>
      </c>
      <c r="H10883" s="3">
        <v>0.0</v>
      </c>
      <c r="I10883" s="3" t="s">
        <v>13</v>
      </c>
      <c r="J10883" s="3" t="s">
        <v>25471</v>
      </c>
      <c r="K10883" s="3" t="s">
        <v>510</v>
      </c>
      <c r="L10883" s="3" t="str">
        <f>IFERROR(__xludf.DUMMYFUNCTION("GOOGLETRANSLATE(F10883,""id"",""en"")"),"Amazing the hometown of Lionel Messi became a sea of ​​people after Argentina Champion World Cup")</f>
        <v>Amazing the hometown of Lionel Messi became a sea of ​​people after Argentina Champion World Cup</v>
      </c>
    </row>
    <row r="10884" ht="15.75" customHeight="1">
      <c r="A10884" s="1">
        <v>12127.0</v>
      </c>
      <c r="B10884" s="3" t="s">
        <v>30955</v>
      </c>
      <c r="C10884" s="3">
        <v>0.0</v>
      </c>
      <c r="D10884" s="3">
        <v>0.0</v>
      </c>
      <c r="E10884" s="3">
        <v>0.0</v>
      </c>
      <c r="F10884" s="3" t="s">
        <v>30956</v>
      </c>
      <c r="G10884" s="3">
        <v>0.0</v>
      </c>
      <c r="H10884" s="3">
        <v>0.0</v>
      </c>
      <c r="I10884" s="3" t="s">
        <v>13</v>
      </c>
      <c r="J10884" s="3" t="s">
        <v>30957</v>
      </c>
      <c r="K10884" s="3" t="s">
        <v>2117</v>
      </c>
      <c r="L10884" s="3" t="str">
        <f>IFERROR(__xludf.DUMMYFUNCTION("GOOGLETRANSLATE(F10884,""id"",""en"")"),"Argentina Cook Champion")</f>
        <v>Argentina Cook Champion</v>
      </c>
    </row>
    <row r="10885" ht="15.75" customHeight="1">
      <c r="A10885" s="1">
        <v>12128.0</v>
      </c>
      <c r="B10885" s="3" t="s">
        <v>30958</v>
      </c>
      <c r="C10885" s="3">
        <v>1.0</v>
      </c>
      <c r="D10885" s="3">
        <v>0.0</v>
      </c>
      <c r="E10885" s="3">
        <v>1.0</v>
      </c>
      <c r="F10885" s="3" t="s">
        <v>30959</v>
      </c>
      <c r="G10885" s="3">
        <v>0.0</v>
      </c>
      <c r="H10885" s="3">
        <v>0.0</v>
      </c>
      <c r="I10885" s="3" t="s">
        <v>13</v>
      </c>
      <c r="J10885" s="3" t="s">
        <v>30960</v>
      </c>
      <c r="K10885" s="3" t="s">
        <v>633</v>
      </c>
      <c r="L10885" s="3" t="str">
        <f>IFERROR(__xludf.DUMMYFUNCTION("GOOGLETRANSLATE(F10885,""id"",""en"")"),"Argentina emerged champions of the Qatar World Cup after beating the defending champions of France through the determination of the Kick of Stadium Lusail Doha for a while earlier")</f>
        <v>Argentina emerged champions of the Qatar World Cup after beating the defending champions of France through the determination of the Kick of Stadium Lusail Doha for a while earlier</v>
      </c>
    </row>
    <row r="10886" ht="15.75" customHeight="1">
      <c r="A10886" s="1">
        <v>12129.0</v>
      </c>
      <c r="B10886" s="3" t="s">
        <v>30961</v>
      </c>
      <c r="C10886" s="3">
        <v>0.0</v>
      </c>
      <c r="D10886" s="3">
        <v>0.0</v>
      </c>
      <c r="E10886" s="3">
        <v>0.0</v>
      </c>
      <c r="F10886" s="3" t="s">
        <v>30962</v>
      </c>
      <c r="G10886" s="3">
        <v>0.4</v>
      </c>
      <c r="H10886" s="3">
        <v>0.8</v>
      </c>
      <c r="I10886" s="3" t="s">
        <v>48</v>
      </c>
      <c r="J10886" s="3" t="s">
        <v>30963</v>
      </c>
      <c r="K10886" s="3" t="s">
        <v>244</v>
      </c>
      <c r="L10886" s="3" t="str">
        <f>IFERROR(__xludf.DUMMYFUNCTION("GOOGLETRANSLATE(F10886,""id"",""en"")"),"Want Argentina who champions French champions still weh who lost to the win")</f>
        <v>Want Argentina who champions French champions still weh who lost to the win</v>
      </c>
    </row>
    <row r="10887" ht="15.75" customHeight="1">
      <c r="A10887" s="1">
        <v>12130.0</v>
      </c>
      <c r="B10887" s="3" t="s">
        <v>30964</v>
      </c>
      <c r="C10887" s="3">
        <v>0.0</v>
      </c>
      <c r="D10887" s="3">
        <v>0.0</v>
      </c>
      <c r="E10887" s="3">
        <v>1.0</v>
      </c>
      <c r="F10887" s="3" t="s">
        <v>30965</v>
      </c>
      <c r="G10887" s="3">
        <v>0.0</v>
      </c>
      <c r="H10887" s="3">
        <v>0.0</v>
      </c>
      <c r="I10887" s="3" t="s">
        <v>13</v>
      </c>
      <c r="J10887" s="3" t="s">
        <v>30966</v>
      </c>
      <c r="K10887" s="3" t="s">
        <v>30967</v>
      </c>
      <c r="L10887" s="3" t="str">
        <f>IFERROR(__xludf.DUMMYFUNCTION("GOOGLETRANSLATE(F10887,""id"",""en"")"),"The bang happened after Argentina champions Pilduun if the champion of the pildun fans Ronaldo continued the bully of Messi Messiun will continue to be attached to this wheel Bang now many Messi Bully Ronaldo fans a little too.")</f>
        <v>The bang happened after Argentina champions Pilduun if the champion of the pildun fans Ronaldo continued the bully of Messi Messiun will continue to be attached to this wheel Bang now many Messi Bully Ronaldo fans a little too.</v>
      </c>
    </row>
    <row r="10888" ht="15.75" customHeight="1">
      <c r="A10888" s="1">
        <v>12131.0</v>
      </c>
      <c r="B10888" s="3" t="s">
        <v>30968</v>
      </c>
      <c r="C10888" s="3">
        <v>0.0</v>
      </c>
      <c r="D10888" s="3">
        <v>0.0</v>
      </c>
      <c r="E10888" s="3">
        <v>0.0</v>
      </c>
      <c r="F10888" s="3" t="s">
        <v>30969</v>
      </c>
      <c r="G10888" s="3">
        <v>0.0</v>
      </c>
      <c r="H10888" s="3">
        <v>0.0</v>
      </c>
      <c r="I10888" s="3" t="s">
        <v>13</v>
      </c>
      <c r="J10888" s="3" t="s">
        <v>30970</v>
      </c>
      <c r="K10888" s="3" t="s">
        <v>1335</v>
      </c>
      <c r="L10888" s="3" t="str">
        <f>IFERROR(__xludf.DUMMYFUNCTION("GOOGLETRANSLATE(F10888,""id"",""en"")"),"Rarely Mosting Skali Status Mosting Argentina Champion wkwk")</f>
        <v>Rarely Mosting Skali Status Mosting Argentina Champion wkwk</v>
      </c>
    </row>
    <row r="10889" ht="15.75" customHeight="1">
      <c r="A10889" s="1">
        <v>12132.0</v>
      </c>
      <c r="B10889" s="3" t="s">
        <v>30971</v>
      </c>
      <c r="C10889" s="3">
        <v>0.0</v>
      </c>
      <c r="D10889" s="3">
        <v>2.0</v>
      </c>
      <c r="E10889" s="3">
        <v>22.0</v>
      </c>
      <c r="F10889" s="3" t="s">
        <v>30686</v>
      </c>
      <c r="G10889" s="3">
        <v>0.0</v>
      </c>
      <c r="H10889" s="3">
        <v>0.0</v>
      </c>
      <c r="I10889" s="3" t="s">
        <v>13</v>
      </c>
      <c r="J10889" s="3" t="s">
        <v>30687</v>
      </c>
      <c r="K10889" s="3" t="s">
        <v>495</v>
      </c>
      <c r="L10889" s="3" t="str">
        <f>IFERROR(__xludf.DUMMYFUNCTION("GOOGLETRANSLATE(F10889,""id"",""en"")"),"Argentina won the World Cup after winning a penalty shootout for France, the following is the reaction of the social media timeline about the exciting match")</f>
        <v>Argentina won the World Cup after winning a penalty shootout for France, the following is the reaction of the social media timeline about the exciting match</v>
      </c>
    </row>
    <row r="10890" ht="15.75" customHeight="1">
      <c r="A10890" s="1">
        <v>12133.0</v>
      </c>
      <c r="B10890" s="3" t="s">
        <v>30972</v>
      </c>
      <c r="C10890" s="3">
        <v>0.0</v>
      </c>
      <c r="D10890" s="3">
        <v>14.0</v>
      </c>
      <c r="E10890" s="3">
        <v>19.0</v>
      </c>
      <c r="F10890" s="3" t="s">
        <v>30973</v>
      </c>
      <c r="G10890" s="3">
        <v>0.0</v>
      </c>
      <c r="H10890" s="3">
        <v>0.0</v>
      </c>
      <c r="I10890" s="3" t="s">
        <v>13</v>
      </c>
      <c r="J10890" s="3" t="s">
        <v>30974</v>
      </c>
      <c r="K10890" s="3" t="s">
        <v>1147</v>
      </c>
      <c r="L10890" s="3" t="str">
        <f>IFERROR(__xludf.DUMMYFUNCTION("GOOGLETRANSLATE(F10890,""id"",""en"")"),"Bravo Pak Erick Thohir his predictions were right and his hopes were achieved by Argentina to become champions and Messi would also be the best player now, hopefully my predictions were right and his hopes were also achieved for sir to become the Vice Pre"&amp;"sident")</f>
        <v>Bravo Pak Erick Thohir his predictions were right and his hopes were achieved by Argentina to become champions and Messi would also be the best player now, hopefully my predictions were right and his hopes were also achieved for sir to become the Vice President</v>
      </c>
    </row>
    <row r="10891" ht="15.75" customHeight="1">
      <c r="A10891" s="1">
        <v>12134.0</v>
      </c>
      <c r="B10891" s="3" t="s">
        <v>30975</v>
      </c>
      <c r="C10891" s="3">
        <v>0.0</v>
      </c>
      <c r="D10891" s="3">
        <v>0.0</v>
      </c>
      <c r="E10891" s="3">
        <v>3.0</v>
      </c>
      <c r="F10891" s="3" t="s">
        <v>30976</v>
      </c>
      <c r="G10891" s="3">
        <v>0.0</v>
      </c>
      <c r="H10891" s="3">
        <v>0.0</v>
      </c>
      <c r="I10891" s="3" t="s">
        <v>13</v>
      </c>
      <c r="J10891" s="3" t="s">
        <v>30977</v>
      </c>
      <c r="K10891" s="3" t="s">
        <v>695</v>
      </c>
      <c r="L10891" s="3" t="str">
        <f>IFERROR(__xludf.DUMMYFUNCTION("GOOGLETRANSLATE(F10891,""id"",""en"")"),"Proud of Indonesia Argentina, the world champion has never won against the Indonesian national team, lives Iwan Bule Bismillah, Chair of the Competition Division")</f>
        <v>Proud of Indonesia Argentina, the world champion has never won against the Indonesian national team, lives Iwan Bule Bismillah, Chair of the Competition Division</v>
      </c>
    </row>
    <row r="10892" ht="15.75" customHeight="1">
      <c r="A10892" s="1">
        <v>12135.0</v>
      </c>
      <c r="B10892" s="3" t="s">
        <v>30978</v>
      </c>
      <c r="C10892" s="3">
        <v>0.0</v>
      </c>
      <c r="D10892" s="3">
        <v>0.0</v>
      </c>
      <c r="E10892" s="3">
        <v>0.0</v>
      </c>
      <c r="F10892" s="3" t="s">
        <v>30979</v>
      </c>
      <c r="G10892" s="3">
        <v>0.0</v>
      </c>
      <c r="H10892" s="3">
        <v>0.0</v>
      </c>
      <c r="I10892" s="3" t="s">
        <v>13</v>
      </c>
      <c r="J10892" s="3" t="s">
        <v>30980</v>
      </c>
      <c r="K10892" s="3" t="s">
        <v>75</v>
      </c>
      <c r="L10892" s="3" t="str">
        <f>IFERROR(__xludf.DUMMYFUNCTION("GOOGLETRANSLATE(F10892,""id"",""en"")"),"Messi Bring Argentina World Cup Champion Raul Lemos Trending Twitter")</f>
        <v>Messi Bring Argentina World Cup Champion Raul Lemos Trending Twitter</v>
      </c>
    </row>
    <row r="10893" ht="15.75" customHeight="1">
      <c r="A10893" s="1">
        <v>12136.0</v>
      </c>
      <c r="B10893" s="3" t="s">
        <v>30981</v>
      </c>
      <c r="C10893" s="3">
        <v>0.0</v>
      </c>
      <c r="D10893" s="3">
        <v>0.0</v>
      </c>
      <c r="E10893" s="3">
        <v>0.0</v>
      </c>
      <c r="F10893" s="3" t="s">
        <v>30982</v>
      </c>
      <c r="G10893" s="3">
        <v>0.0</v>
      </c>
      <c r="H10893" s="3">
        <v>0.0</v>
      </c>
      <c r="I10893" s="3" t="s">
        <v>13</v>
      </c>
      <c r="J10893" s="3" t="s">
        <v>30983</v>
      </c>
      <c r="K10893" s="3" t="s">
        <v>54</v>
      </c>
      <c r="L10893" s="3" t="str">
        <f>IFERROR(__xludf.DUMMYFUNCTION("GOOGLETRANSLATE(F10893,""id"",""en"")"),"Argentina Champion World Cup FIFA Qatar")</f>
        <v>Argentina Champion World Cup FIFA Qatar</v>
      </c>
    </row>
    <row r="10894" ht="15.75" customHeight="1">
      <c r="A10894" s="1">
        <v>12137.0</v>
      </c>
      <c r="B10894" s="3" t="s">
        <v>30984</v>
      </c>
      <c r="C10894" s="3">
        <v>0.0</v>
      </c>
      <c r="D10894" s="3">
        <v>0.0</v>
      </c>
      <c r="E10894" s="3">
        <v>0.0</v>
      </c>
      <c r="F10894" s="3" t="s">
        <v>30985</v>
      </c>
      <c r="G10894" s="3">
        <v>0.0</v>
      </c>
      <c r="H10894" s="3">
        <v>0.0</v>
      </c>
      <c r="I10894" s="3" t="s">
        <v>13</v>
      </c>
      <c r="J10894" s="3" t="s">
        <v>30986</v>
      </c>
      <c r="K10894" s="3" t="s">
        <v>322</v>
      </c>
      <c r="L10894" s="3" t="str">
        <f>IFERROR(__xludf.DUMMYFUNCTION("GOOGLETRANSLATE(F10894,""id"",""en"")"),"Argentina World Champion You Champion My Heart")</f>
        <v>Argentina World Champion You Champion My Heart</v>
      </c>
    </row>
    <row r="10895" ht="15.75" customHeight="1">
      <c r="A10895" s="1">
        <v>12138.0</v>
      </c>
      <c r="B10895" s="3" t="s">
        <v>30987</v>
      </c>
      <c r="C10895" s="3">
        <v>0.0</v>
      </c>
      <c r="D10895" s="3">
        <v>0.0</v>
      </c>
      <c r="E10895" s="3">
        <v>0.0</v>
      </c>
      <c r="F10895" s="3" t="s">
        <v>30988</v>
      </c>
      <c r="G10895" s="3">
        <v>0.0</v>
      </c>
      <c r="H10895" s="3">
        <v>0.0</v>
      </c>
      <c r="I10895" s="3" t="s">
        <v>13</v>
      </c>
      <c r="J10895" s="3" t="s">
        <v>30989</v>
      </c>
      <c r="K10895" s="3" t="s">
        <v>1265</v>
      </c>
      <c r="L10895" s="3" t="str">
        <f>IFERROR(__xludf.DUMMYFUNCTION("GOOGLETRANSLATE(F10895,""id"",""en"")"),"Finally, Mr. Jokowi Argentina returned to the champion of Pildun, thank you, Mr. Jokowi")</f>
        <v>Finally, Mr. Jokowi Argentina returned to the champion of Pildun, thank you, Mr. Jokowi</v>
      </c>
    </row>
    <row r="10896" ht="15.75" customHeight="1">
      <c r="A10896" s="1">
        <v>12139.0</v>
      </c>
      <c r="B10896" s="3" t="s">
        <v>30990</v>
      </c>
      <c r="C10896" s="3">
        <v>0.0</v>
      </c>
      <c r="D10896" s="3">
        <v>0.0</v>
      </c>
      <c r="E10896" s="3">
        <v>3.0</v>
      </c>
      <c r="F10896" s="3" t="s">
        <v>30991</v>
      </c>
      <c r="G10896" s="3">
        <v>0.0</v>
      </c>
      <c r="H10896" s="3">
        <v>0.0</v>
      </c>
      <c r="I10896" s="3" t="s">
        <v>13</v>
      </c>
      <c r="J10896" s="3" t="s">
        <v>30992</v>
      </c>
      <c r="K10896" s="3" t="s">
        <v>50</v>
      </c>
      <c r="L10896" s="3" t="str">
        <f>IFERROR(__xludf.DUMMYFUNCTION("GOOGLETRANSLATE(F10896,""id"",""en"")"),"Messi Champion World Cup President Argentina Macron Macron Team Best Win")</f>
        <v>Messi Champion World Cup President Argentina Macron Macron Team Best Win</v>
      </c>
    </row>
    <row r="10897" ht="15.75" customHeight="1">
      <c r="A10897" s="1">
        <v>12140.0</v>
      </c>
      <c r="B10897" s="3" t="s">
        <v>30993</v>
      </c>
      <c r="C10897" s="3">
        <v>0.0</v>
      </c>
      <c r="D10897" s="3">
        <v>0.0</v>
      </c>
      <c r="E10897" s="3">
        <v>0.0</v>
      </c>
      <c r="F10897" s="3" t="s">
        <v>30994</v>
      </c>
      <c r="G10897" s="3">
        <v>0.0</v>
      </c>
      <c r="H10897" s="3">
        <v>0.0</v>
      </c>
      <c r="I10897" s="3" t="s">
        <v>13</v>
      </c>
      <c r="J10897" s="3" t="s">
        <v>30995</v>
      </c>
      <c r="K10897" s="3" t="s">
        <v>2610</v>
      </c>
      <c r="L10897" s="3" t="str">
        <f>IFERROR(__xludf.DUMMYFUNCTION("GOOGLETRANSLATE(F10897,""id"",""en"")"),"There has been no words I as the Chairperson of the All Argentine Football Association and the ranks congratulate the World Cup champion, hopefully this moment will be a whip of success for my nomination later")</f>
        <v>There has been no words I as the Chairperson of the All Argentine Football Association and the ranks congratulate the World Cup champion, hopefully this moment will be a whip of success for my nomination later</v>
      </c>
    </row>
    <row r="10898" ht="15.75" customHeight="1">
      <c r="A10898" s="1">
        <v>12141.0</v>
      </c>
      <c r="B10898" s="3" t="s">
        <v>30996</v>
      </c>
      <c r="C10898" s="3">
        <v>0.0</v>
      </c>
      <c r="D10898" s="3">
        <v>0.0</v>
      </c>
      <c r="E10898" s="3">
        <v>0.0</v>
      </c>
      <c r="F10898" s="3" t="s">
        <v>30997</v>
      </c>
      <c r="G10898" s="3">
        <v>0.0</v>
      </c>
      <c r="H10898" s="3">
        <v>0.0</v>
      </c>
      <c r="I10898" s="3" t="s">
        <v>13</v>
      </c>
      <c r="J10898" s="3" t="s">
        <v>30998</v>
      </c>
      <c r="K10898" s="3" t="s">
        <v>50</v>
      </c>
      <c r="L10898" s="3" t="str">
        <f>IFERROR(__xludf.DUMMYFUNCTION("GOOGLETRANSLATE(F10898,""id"",""en"")"),"Some of the factors causing Argentina can win the World Cup Messi and Emi Martinez Fantastic")</f>
        <v>Some of the factors causing Argentina can win the World Cup Messi and Emi Martinez Fantastic</v>
      </c>
    </row>
    <row r="10899" ht="15.75" customHeight="1">
      <c r="A10899" s="1">
        <v>12142.0</v>
      </c>
      <c r="B10899" s="3" t="s">
        <v>30999</v>
      </c>
      <c r="C10899" s="3">
        <v>0.0</v>
      </c>
      <c r="D10899" s="3">
        <v>0.0</v>
      </c>
      <c r="E10899" s="3">
        <v>0.0</v>
      </c>
      <c r="F10899" s="3" t="s">
        <v>31000</v>
      </c>
      <c r="G10899" s="3">
        <v>0.0</v>
      </c>
      <c r="H10899" s="3">
        <v>0.0</v>
      </c>
      <c r="I10899" s="3" t="s">
        <v>13</v>
      </c>
      <c r="J10899" s="3" t="s">
        <v>31001</v>
      </c>
      <c r="K10899" s="3" t="s">
        <v>75</v>
      </c>
      <c r="L10899" s="3" t="str">
        <f>IFERROR(__xludf.DUMMYFUNCTION("GOOGLETRANSLATE(F10899,""id"",""en"")"),"Bringing Argentina to Champion World Cup Messi claimed not to want to retire via")</f>
        <v>Bringing Argentina to Champion World Cup Messi claimed not to want to retire via</v>
      </c>
    </row>
    <row r="10900" ht="15.75" customHeight="1">
      <c r="A10900" s="1">
        <v>12143.0</v>
      </c>
      <c r="B10900" s="3" t="s">
        <v>31002</v>
      </c>
      <c r="C10900" s="3">
        <v>0.0</v>
      </c>
      <c r="D10900" s="3">
        <v>0.0</v>
      </c>
      <c r="E10900" s="3">
        <v>0.0</v>
      </c>
      <c r="F10900" s="3" t="s">
        <v>31003</v>
      </c>
      <c r="G10900" s="3">
        <v>0.0</v>
      </c>
      <c r="H10900" s="3">
        <v>0.0</v>
      </c>
      <c r="I10900" s="3" t="s">
        <v>13</v>
      </c>
      <c r="J10900" s="3" t="s">
        <v>31004</v>
      </c>
      <c r="K10900" s="3" t="s">
        <v>15</v>
      </c>
      <c r="L10900" s="3" t="str">
        <f>IFERROR(__xludf.DUMMYFUNCTION("GOOGLETRANSLATE(F10900,""id"",""en"")"),"hbd sis, I hope Argentina is the World Cup champion this year")</f>
        <v>hbd sis, I hope Argentina is the World Cup champion this year</v>
      </c>
    </row>
    <row r="10901" ht="15.75" customHeight="1">
      <c r="A10901" s="1">
        <v>12144.0</v>
      </c>
      <c r="B10901" s="3" t="s">
        <v>31005</v>
      </c>
      <c r="C10901" s="3">
        <v>0.0</v>
      </c>
      <c r="D10901" s="3">
        <v>0.0</v>
      </c>
      <c r="E10901" s="3">
        <v>0.0</v>
      </c>
      <c r="F10901" s="3" t="s">
        <v>31006</v>
      </c>
      <c r="G10901" s="3">
        <v>0.0</v>
      </c>
      <c r="H10901" s="3">
        <v>0.0</v>
      </c>
      <c r="I10901" s="3" t="s">
        <v>13</v>
      </c>
      <c r="J10901" s="3" t="s">
        <v>31007</v>
      </c>
      <c r="K10901" s="3" t="s">
        <v>54</v>
      </c>
      <c r="L10901" s="3" t="str">
        <f>IFERROR(__xludf.DUMMYFUNCTION("GOOGLETRANSLATE(F10901,""id"",""en"")"),"Argentina Champion and MotoGP hit by Messi Fever")</f>
        <v>Argentina Champion and MotoGP hit by Messi Fever</v>
      </c>
    </row>
    <row r="10902" ht="15.75" customHeight="1">
      <c r="A10902" s="1">
        <v>12145.0</v>
      </c>
      <c r="B10902" s="3" t="s">
        <v>31008</v>
      </c>
      <c r="C10902" s="3">
        <v>0.0</v>
      </c>
      <c r="D10902" s="3">
        <v>0.0</v>
      </c>
      <c r="E10902" s="3">
        <v>0.0</v>
      </c>
      <c r="F10902" s="3" t="s">
        <v>31009</v>
      </c>
      <c r="G10902" s="3">
        <v>1.0</v>
      </c>
      <c r="H10902" s="3">
        <v>0.0</v>
      </c>
      <c r="I10902" s="3" t="s">
        <v>13</v>
      </c>
      <c r="J10902" s="3" t="s">
        <v>31010</v>
      </c>
      <c r="K10902" s="3" t="s">
        <v>15</v>
      </c>
      <c r="L10902" s="3" t="str">
        <f>IFERROR(__xludf.DUMMYFUNCTION("GOOGLETRANSLATE(F10902,""id"",""en"")"),"There are still those who believe the World Cup final settings so that Argentina is champion")</f>
        <v>There are still those who believe the World Cup final settings so that Argentina is champion</v>
      </c>
    </row>
    <row r="10903" ht="15.75" customHeight="1">
      <c r="A10903" s="1">
        <v>12146.0</v>
      </c>
      <c r="B10903" s="3" t="s">
        <v>31011</v>
      </c>
      <c r="C10903" s="3">
        <v>1.0</v>
      </c>
      <c r="D10903" s="3">
        <v>0.0</v>
      </c>
      <c r="E10903" s="3">
        <v>0.0</v>
      </c>
      <c r="F10903" s="3" t="s">
        <v>31012</v>
      </c>
      <c r="G10903" s="3">
        <v>0.5</v>
      </c>
      <c r="H10903" s="3">
        <v>0.5</v>
      </c>
      <c r="I10903" s="3" t="s">
        <v>48</v>
      </c>
      <c r="J10903" s="3" t="s">
        <v>31013</v>
      </c>
      <c r="K10903" s="3" t="s">
        <v>903</v>
      </c>
      <c r="L10903" s="3" t="str">
        <f>IFERROR(__xludf.DUMMYFUNCTION("GOOGLETRANSLATE(F10903,""id"",""en"")"),"The event was over and named Argentina as the champion for the third time and there was an award that was entitled to be carried by several SBB players Lionel Messi Argentina Top Kylian Mbappe France France")</f>
        <v>The event was over and named Argentina as the champion for the third time and there was an award that was entitled to be carried by several SBB players Lionel Messi Argentina Top Kylian Mbappe France France</v>
      </c>
    </row>
    <row r="10904" ht="15.75" customHeight="1">
      <c r="A10904" s="1">
        <v>12147.0</v>
      </c>
      <c r="B10904" s="3" t="s">
        <v>31014</v>
      </c>
      <c r="C10904" s="3">
        <v>0.0</v>
      </c>
      <c r="D10904" s="3">
        <v>0.0</v>
      </c>
      <c r="E10904" s="3">
        <v>1.0</v>
      </c>
      <c r="F10904" s="3" t="s">
        <v>31015</v>
      </c>
      <c r="G10904" s="3">
        <v>0.0</v>
      </c>
      <c r="H10904" s="3">
        <v>0.0</v>
      </c>
      <c r="I10904" s="3" t="s">
        <v>13</v>
      </c>
      <c r="J10904" s="3" t="s">
        <v>31016</v>
      </c>
      <c r="K10904" s="3" t="s">
        <v>35</v>
      </c>
      <c r="L10904" s="3" t="str">
        <f>IFERROR(__xludf.DUMMYFUNCTION("GOOGLETRANSLATE(F10904,""id"",""en"")"),"Want Argentina or France to the most important champion I still become a champion to get you")</f>
        <v>Want Argentina or France to the most important champion I still become a champion to get you</v>
      </c>
    </row>
    <row r="10905" ht="15.75" customHeight="1">
      <c r="A10905" s="1">
        <v>12148.0</v>
      </c>
      <c r="B10905" s="3" t="s">
        <v>31017</v>
      </c>
      <c r="C10905" s="3">
        <v>0.0</v>
      </c>
      <c r="D10905" s="3">
        <v>0.0</v>
      </c>
      <c r="E10905" s="3">
        <v>0.0</v>
      </c>
      <c r="F10905" s="3" t="s">
        <v>31018</v>
      </c>
      <c r="G10905" s="3">
        <v>0.0</v>
      </c>
      <c r="H10905" s="3">
        <v>0.0</v>
      </c>
      <c r="I10905" s="3" t="s">
        <v>13</v>
      </c>
      <c r="J10905" s="3" t="s">
        <v>31019</v>
      </c>
      <c r="K10905" s="3" t="s">
        <v>644</v>
      </c>
      <c r="L10905" s="3" t="str">
        <f>IFERROR(__xludf.DUMMYFUNCTION("GOOGLETRANSLATE(F10905,""id"",""en"")"),"Hooray finally Argentina Champion")</f>
        <v>Hooray finally Argentina Champion</v>
      </c>
    </row>
    <row r="10906" ht="15.75" customHeight="1">
      <c r="A10906" s="1">
        <v>12149.0</v>
      </c>
      <c r="B10906" s="3" t="s">
        <v>31020</v>
      </c>
      <c r="C10906" s="3">
        <v>0.0</v>
      </c>
      <c r="D10906" s="3">
        <v>0.0</v>
      </c>
      <c r="E10906" s="3">
        <v>0.0</v>
      </c>
      <c r="F10906" s="3" t="s">
        <v>31021</v>
      </c>
      <c r="G10906" s="3">
        <v>0.0</v>
      </c>
      <c r="H10906" s="3">
        <v>0.0</v>
      </c>
      <c r="I10906" s="3" t="s">
        <v>13</v>
      </c>
      <c r="J10906" s="3" t="s">
        <v>31022</v>
      </c>
      <c r="K10906" s="3" t="s">
        <v>633</v>
      </c>
      <c r="L10906" s="3" t="str">
        <f>IFERROR(__xludf.DUMMYFUNCTION("GOOGLETRANSLATE(F10906,""id"",""en"")"),"Hafidz Champion Champion TRAINT Drama Behind It Jagoin French know why the initial playing is different when against Marocco Congrats for Argentina")</f>
        <v>Hafidz Champion Champion TRAINT Drama Behind It Jagoin French know why the initial playing is different when against Marocco Congrats for Argentina</v>
      </c>
    </row>
    <row r="10907" ht="15.75" customHeight="1">
      <c r="A10907" s="1">
        <v>12150.0</v>
      </c>
      <c r="B10907" s="3" t="s">
        <v>31023</v>
      </c>
      <c r="C10907" s="3">
        <v>1.0</v>
      </c>
      <c r="D10907" s="3">
        <v>0.0</v>
      </c>
      <c r="E10907" s="3">
        <v>0.0</v>
      </c>
      <c r="F10907" s="3" t="s">
        <v>31024</v>
      </c>
      <c r="G10907" s="3">
        <v>0.0</v>
      </c>
      <c r="H10907" s="3">
        <v>0.0</v>
      </c>
      <c r="I10907" s="3" t="s">
        <v>13</v>
      </c>
      <c r="J10907" s="3" t="s">
        <v>31025</v>
      </c>
      <c r="K10907" s="3" t="s">
        <v>50</v>
      </c>
      <c r="L10907" s="3" t="str">
        <f>IFERROR(__xludf.DUMMYFUNCTION("GOOGLETRANSLATE(F10907,""id"",""en"")"),"Found a tweet contents of the forecast of Argentina world champions have been predicted since last year")</f>
        <v>Found a tweet contents of the forecast of Argentina world champions have been predicted since last year</v>
      </c>
    </row>
    <row r="10908" ht="15.75" customHeight="1">
      <c r="A10908" s="1">
        <v>12151.0</v>
      </c>
      <c r="B10908" s="3" t="s">
        <v>31026</v>
      </c>
      <c r="C10908" s="3">
        <v>0.0</v>
      </c>
      <c r="D10908" s="3">
        <v>0.0</v>
      </c>
      <c r="E10908" s="3">
        <v>0.0</v>
      </c>
      <c r="F10908" s="3" t="s">
        <v>22584</v>
      </c>
      <c r="G10908" s="3">
        <v>0.0</v>
      </c>
      <c r="H10908" s="3">
        <v>0.0</v>
      </c>
      <c r="I10908" s="3" t="s">
        <v>13</v>
      </c>
      <c r="J10908" s="3" t="s">
        <v>22585</v>
      </c>
      <c r="K10908" s="3" t="s">
        <v>31</v>
      </c>
      <c r="L10908" s="3" t="str">
        <f>IFERROR(__xludf.DUMMYFUNCTION("GOOGLETRANSLATE(F10908,""id"",""en"")"),"Argentina Champion World Cup Qatar")</f>
        <v>Argentina Champion World Cup Qatar</v>
      </c>
    </row>
    <row r="10909" ht="15.75" customHeight="1">
      <c r="A10909" s="1">
        <v>12152.0</v>
      </c>
      <c r="B10909" s="3" t="s">
        <v>31027</v>
      </c>
      <c r="C10909" s="3">
        <v>0.0</v>
      </c>
      <c r="D10909" s="3">
        <v>2.0</v>
      </c>
      <c r="E10909" s="3">
        <v>1.0</v>
      </c>
      <c r="F10909" s="3" t="s">
        <v>31028</v>
      </c>
      <c r="G10909" s="3">
        <v>0.0</v>
      </c>
      <c r="H10909" s="3">
        <v>0.0</v>
      </c>
      <c r="I10909" s="3" t="s">
        <v>13</v>
      </c>
      <c r="J10909" s="3" t="s">
        <v>31029</v>
      </c>
      <c r="K10909" s="3" t="s">
        <v>19</v>
      </c>
      <c r="L10909" s="3" t="str">
        <f>IFERROR(__xludf.DUMMYFUNCTION("GOOGLETRANSLATE(F10909,""id"",""en"")"),"Only in the era of leadership can become the World Cup champion heheheheje Ketum PSSI Argentina has posted")</f>
        <v>Only in the era of leadership can become the World Cup champion heheheheje Ketum PSSI Argentina has posted</v>
      </c>
    </row>
    <row r="10910" ht="15.75" customHeight="1">
      <c r="A10910" s="1">
        <v>12153.0</v>
      </c>
      <c r="B10910" s="3" t="s">
        <v>31030</v>
      </c>
      <c r="C10910" s="3">
        <v>0.0</v>
      </c>
      <c r="D10910" s="3">
        <v>0.0</v>
      </c>
      <c r="E10910" s="3">
        <v>0.0</v>
      </c>
      <c r="F10910" s="3" t="s">
        <v>31031</v>
      </c>
      <c r="G10910" s="3">
        <v>0.0</v>
      </c>
      <c r="H10910" s="3">
        <v>0.0</v>
      </c>
      <c r="I10910" s="3" t="s">
        <v>13</v>
      </c>
      <c r="J10910" s="3" t="s">
        <v>18491</v>
      </c>
      <c r="K10910" s="3" t="s">
        <v>2117</v>
      </c>
      <c r="L10910" s="3" t="str">
        <f>IFERROR(__xludf.DUMMYFUNCTION("GOOGLETRANSLATE(F10910,""id"",""en"")"),"Argentina Champion Pilduun")</f>
        <v>Argentina Champion Pilduun</v>
      </c>
    </row>
    <row r="10911" ht="15.75" customHeight="1">
      <c r="A10911" s="1">
        <v>12154.0</v>
      </c>
      <c r="B10911" s="3" t="s">
        <v>31032</v>
      </c>
      <c r="C10911" s="3">
        <v>1.0</v>
      </c>
      <c r="D10911" s="3">
        <v>2.0</v>
      </c>
      <c r="E10911" s="3">
        <v>9.0</v>
      </c>
      <c r="F10911" s="3" t="s">
        <v>31033</v>
      </c>
      <c r="G10911" s="3">
        <v>0.0</v>
      </c>
      <c r="H10911" s="3">
        <v>0.0</v>
      </c>
      <c r="I10911" s="3" t="s">
        <v>13</v>
      </c>
      <c r="J10911" s="3" t="s">
        <v>31034</v>
      </c>
      <c r="K10911" s="3" t="s">
        <v>35</v>
      </c>
      <c r="L10911" s="3" t="str">
        <f>IFERROR(__xludf.DUMMYFUNCTION("GOOGLETRANSLATE(F10911,""id"",""en"")"),"The following nominal prizes obtained by Argentina as the World Cup champion are approximately how much")</f>
        <v>The following nominal prizes obtained by Argentina as the World Cup champion are approximately how much</v>
      </c>
    </row>
    <row r="10912" ht="15.75" customHeight="1">
      <c r="A10912" s="1">
        <v>12155.0</v>
      </c>
      <c r="B10912" s="3" t="s">
        <v>31035</v>
      </c>
      <c r="C10912" s="3">
        <v>0.0</v>
      </c>
      <c r="D10912" s="3">
        <v>0.0</v>
      </c>
      <c r="E10912" s="3">
        <v>0.0</v>
      </c>
      <c r="F10912" s="3" t="s">
        <v>31036</v>
      </c>
      <c r="G10912" s="3">
        <v>0.0</v>
      </c>
      <c r="H10912" s="3">
        <v>0.0</v>
      </c>
      <c r="I10912" s="3" t="s">
        <v>13</v>
      </c>
      <c r="J10912" s="3" t="s">
        <v>31037</v>
      </c>
      <c r="K10912" s="3" t="s">
        <v>3346</v>
      </c>
      <c r="L10912" s="3" t="str">
        <f>IFERROR(__xludf.DUMMYFUNCTION("GOOGLETRANSLATE(F10912,""id"",""en"")"),"After changing the leadership of the new federation, Bpk Claudio Tapia Argentina's championship, thank you, Mr. Claudio")</f>
        <v>After changing the leadership of the new federation, Bpk Claudio Tapia Argentina's championship, thank you, Mr. Claudio</v>
      </c>
    </row>
    <row r="10913" ht="15.75" customHeight="1">
      <c r="A10913" s="1">
        <v>12156.0</v>
      </c>
      <c r="B10913" s="3" t="s">
        <v>31038</v>
      </c>
      <c r="C10913" s="3">
        <v>0.0</v>
      </c>
      <c r="D10913" s="3">
        <v>0.0</v>
      </c>
      <c r="E10913" s="3">
        <v>0.0</v>
      </c>
      <c r="F10913" s="3" t="s">
        <v>31039</v>
      </c>
      <c r="G10913" s="3">
        <v>0.0</v>
      </c>
      <c r="H10913" s="3">
        <v>0.0</v>
      </c>
      <c r="I10913" s="3" t="s">
        <v>13</v>
      </c>
      <c r="J10913" s="3" t="s">
        <v>31040</v>
      </c>
      <c r="K10913" s="3" t="s">
        <v>82</v>
      </c>
      <c r="L10913" s="3" t="str">
        <f>IFERROR(__xludf.DUMMYFUNCTION("GOOGLETRANSLATE(F10913,""id"",""en"")"),"Originally World Champion is Saudi Arabia because only those who can beat Argentina")</f>
        <v>Originally World Champion is Saudi Arabia because only those who can beat Argentina</v>
      </c>
    </row>
    <row r="10914" ht="15.75" customHeight="1">
      <c r="A10914" s="1">
        <v>12157.0</v>
      </c>
      <c r="B10914" s="3" t="s">
        <v>31041</v>
      </c>
      <c r="C10914" s="3">
        <v>0.0</v>
      </c>
      <c r="D10914" s="3">
        <v>0.0</v>
      </c>
      <c r="E10914" s="3">
        <v>0.0</v>
      </c>
      <c r="F10914" s="3" t="s">
        <v>31042</v>
      </c>
      <c r="G10914" s="3">
        <v>0.0</v>
      </c>
      <c r="H10914" s="3">
        <v>0.0</v>
      </c>
      <c r="I10914" s="3" t="s">
        <v>13</v>
      </c>
      <c r="J10914" s="3" t="s">
        <v>31043</v>
      </c>
      <c r="K10914" s="3" t="s">
        <v>54</v>
      </c>
      <c r="L10914" s="3" t="str">
        <f>IFERROR(__xludf.DUMMYFUNCTION("GOOGLETRANSLATE(F10914,""id"",""en"")"),"Already Sis, the important debate is Argentina Champion")</f>
        <v>Already Sis, the important debate is Argentina Champion</v>
      </c>
    </row>
    <row r="10915" ht="15.75" customHeight="1">
      <c r="A10915" s="1">
        <v>12158.0</v>
      </c>
      <c r="B10915" s="3" t="s">
        <v>31044</v>
      </c>
      <c r="C10915" s="3">
        <v>1.0</v>
      </c>
      <c r="D10915" s="3">
        <v>0.0</v>
      </c>
      <c r="E10915" s="3">
        <v>0.0</v>
      </c>
      <c r="F10915" s="3" t="s">
        <v>31045</v>
      </c>
      <c r="G10915" s="3">
        <v>0.0</v>
      </c>
      <c r="H10915" s="3">
        <v>0.0</v>
      </c>
      <c r="I10915" s="3" t="s">
        <v>13</v>
      </c>
      <c r="J10915" s="3" t="s">
        <v>31046</v>
      </c>
      <c r="K10915" s="3" t="s">
        <v>19</v>
      </c>
      <c r="L10915" s="3" t="str">
        <f>IFERROR(__xludf.DUMMYFUNCTION("GOOGLETRANSLATE(F10915,""id"",""en"")"),"Argentina once got a good goalkeeper immediately championed South America and the World Cup")</f>
        <v>Argentina once got a good goalkeeper immediately championed South America and the World Cup</v>
      </c>
    </row>
    <row r="10916" ht="15.75" customHeight="1">
      <c r="A10916" s="1">
        <v>12159.0</v>
      </c>
      <c r="B10916" s="3" t="s">
        <v>31047</v>
      </c>
      <c r="C10916" s="3">
        <v>0.0</v>
      </c>
      <c r="D10916" s="3">
        <v>0.0</v>
      </c>
      <c r="E10916" s="3">
        <v>0.0</v>
      </c>
      <c r="F10916" s="3" t="s">
        <v>31048</v>
      </c>
      <c r="G10916" s="3">
        <v>0.0</v>
      </c>
      <c r="H10916" s="3">
        <v>0.0</v>
      </c>
      <c r="I10916" s="3" t="s">
        <v>13</v>
      </c>
      <c r="J10916" s="3" t="s">
        <v>31049</v>
      </c>
      <c r="K10916" s="3" t="s">
        <v>41</v>
      </c>
      <c r="L10916" s="3" t="str">
        <f>IFERROR(__xludf.DUMMYFUNCTION("GOOGLETRANSLATE(F10916,""id"",""en"")"),"goalkeeper Emliano Martinez said Argentina has been destined for the World Cup championship")</f>
        <v>goalkeeper Emliano Martinez said Argentina has been destined for the World Cup championship</v>
      </c>
    </row>
    <row r="10917" ht="15.75" customHeight="1">
      <c r="A10917" s="1">
        <v>12160.0</v>
      </c>
      <c r="B10917" s="3" t="s">
        <v>31050</v>
      </c>
      <c r="C10917" s="3">
        <v>0.0</v>
      </c>
      <c r="D10917" s="3">
        <v>0.0</v>
      </c>
      <c r="E10917" s="3">
        <v>0.0</v>
      </c>
      <c r="F10917" s="3" t="s">
        <v>31051</v>
      </c>
      <c r="G10917" s="3">
        <v>0.0</v>
      </c>
      <c r="H10917" s="3">
        <v>0.0</v>
      </c>
      <c r="I10917" s="3" t="s">
        <v>13</v>
      </c>
      <c r="J10917" s="3" t="s">
        <v>31052</v>
      </c>
      <c r="K10917" s="3" t="s">
        <v>322</v>
      </c>
      <c r="L10917" s="3" t="str">
        <f>IFERROR(__xludf.DUMMYFUNCTION("GOOGLETRANSLATE(F10917,""id"",""en"")"),"Happy Argentina as a Happy French champion as runner")</f>
        <v>Happy Argentina as a Happy French champion as runner</v>
      </c>
    </row>
    <row r="10918" ht="15.75" customHeight="1">
      <c r="A10918" s="1">
        <v>12161.0</v>
      </c>
      <c r="B10918" s="3" t="s">
        <v>31053</v>
      </c>
      <c r="C10918" s="3">
        <v>1.0</v>
      </c>
      <c r="D10918" s="3">
        <v>0.0</v>
      </c>
      <c r="E10918" s="3">
        <v>0.0</v>
      </c>
      <c r="F10918" s="3" t="s">
        <v>31054</v>
      </c>
      <c r="G10918" s="3">
        <v>0.0</v>
      </c>
      <c r="H10918" s="3">
        <v>0.0</v>
      </c>
      <c r="I10918" s="3" t="s">
        <v>13</v>
      </c>
      <c r="J10918" s="3" t="s">
        <v>31055</v>
      </c>
      <c r="K10918" s="3" t="s">
        <v>240</v>
      </c>
      <c r="L10918" s="3" t="str">
        <f>IFERROR(__xludf.DUMMYFUNCTION("GOOGLETRANSLATE(F10918,""id"",""en"")"),"Iki Argentina Champion Hawanae Dino Monday continues pwanas nylekit neng leather ngene mene genderone image of the sun")</f>
        <v>Iki Argentina Champion Hawanae Dino Monday continues pwanas nylekit neng leather ngene mene genderone image of the sun</v>
      </c>
    </row>
    <row r="10919" ht="15.75" customHeight="1">
      <c r="A10919" s="1">
        <v>12162.0</v>
      </c>
      <c r="B10919" s="3" t="s">
        <v>31056</v>
      </c>
      <c r="C10919" s="3">
        <v>0.0</v>
      </c>
      <c r="D10919" s="3">
        <v>0.0</v>
      </c>
      <c r="E10919" s="3">
        <v>0.0</v>
      </c>
      <c r="F10919" s="3" t="s">
        <v>31057</v>
      </c>
      <c r="G10919" s="3">
        <v>0.0</v>
      </c>
      <c r="H10919" s="3">
        <v>0.0</v>
      </c>
      <c r="I10919" s="3" t="s">
        <v>13</v>
      </c>
      <c r="J10919" s="3" t="s">
        <v>31058</v>
      </c>
      <c r="K10919" s="3" t="s">
        <v>75</v>
      </c>
      <c r="L10919" s="3" t="str">
        <f>IFERROR(__xludf.DUMMYFUNCTION("GOOGLETRANSLATE(F10919,""id"",""en"")"),"Lift the trophy of the World Cup champion Messi I will not retire from the Argentine national team")</f>
        <v>Lift the trophy of the World Cup champion Messi I will not retire from the Argentine national team</v>
      </c>
    </row>
    <row r="10920" ht="15.75" customHeight="1">
      <c r="A10920" s="1">
        <v>12163.0</v>
      </c>
      <c r="B10920" s="3" t="s">
        <v>31059</v>
      </c>
      <c r="C10920" s="3">
        <v>1.0</v>
      </c>
      <c r="D10920" s="3">
        <v>0.0</v>
      </c>
      <c r="E10920" s="3">
        <v>0.0</v>
      </c>
      <c r="F10920" s="3" t="s">
        <v>31060</v>
      </c>
      <c r="G10920" s="3">
        <v>0.0</v>
      </c>
      <c r="H10920" s="3">
        <v>0.0</v>
      </c>
      <c r="I10920" s="3" t="s">
        <v>13</v>
      </c>
      <c r="J10920" s="3" t="s">
        <v>31061</v>
      </c>
      <c r="K10920" s="3" t="s">
        <v>54</v>
      </c>
      <c r="L10920" s="3" t="str">
        <f>IFERROR(__xludf.DUMMYFUNCTION("GOOGLETRANSLATE(F10920,""id"",""en"")"),"Congratulations to Argentina who has become a world champion")</f>
        <v>Congratulations to Argentina who has become a world champion</v>
      </c>
    </row>
    <row r="10921" ht="15.75" customHeight="1">
      <c r="A10921" s="1">
        <v>12164.0</v>
      </c>
      <c r="B10921" s="3" t="s">
        <v>31062</v>
      </c>
      <c r="C10921" s="3">
        <v>0.0</v>
      </c>
      <c r="D10921" s="3">
        <v>0.0</v>
      </c>
      <c r="E10921" s="3">
        <v>0.0</v>
      </c>
      <c r="F10921" s="3" t="s">
        <v>31063</v>
      </c>
      <c r="G10921" s="3">
        <v>0.0</v>
      </c>
      <c r="H10921" s="3">
        <v>0.0</v>
      </c>
      <c r="I10921" s="3" t="s">
        <v>13</v>
      </c>
      <c r="J10921" s="3" t="s">
        <v>31064</v>
      </c>
      <c r="K10921" s="3" t="s">
        <v>31</v>
      </c>
      <c r="L10921" s="3" t="str">
        <f>IFERROR(__xludf.DUMMYFUNCTION("GOOGLETRANSLATE(F10921,""id"",""en"")"),"Martinez Argentina World Champion is Destiny")</f>
        <v>Martinez Argentina World Champion is Destiny</v>
      </c>
    </row>
    <row r="10922" ht="15.75" customHeight="1">
      <c r="A10922" s="1">
        <v>12165.0</v>
      </c>
      <c r="B10922" s="3" t="s">
        <v>31065</v>
      </c>
      <c r="C10922" s="3">
        <v>0.0</v>
      </c>
      <c r="D10922" s="3">
        <v>0.0</v>
      </c>
      <c r="E10922" s="3">
        <v>0.0</v>
      </c>
      <c r="F10922" s="3" t="s">
        <v>31066</v>
      </c>
      <c r="G10922" s="3">
        <v>1.0</v>
      </c>
      <c r="H10922" s="3">
        <v>0.0</v>
      </c>
      <c r="I10922" s="3" t="s">
        <v>13</v>
      </c>
      <c r="J10922" s="3" t="s">
        <v>31067</v>
      </c>
      <c r="K10922" s="3" t="s">
        <v>90</v>
      </c>
      <c r="L10922" s="3" t="str">
        <f>IFERROR(__xludf.DUMMYFUNCTION("GOOGLETRANSLATE(F10922,""id"",""en"")"),"The success of Argentina to become the champion of the Qatar World Cup is also more complete when they succeeded in buying three of the four individual awards given by the end of the final party")</f>
        <v>The success of Argentina to become the champion of the Qatar World Cup is also more complete when they succeeded in buying three of the four individual awards given by the end of the final party</v>
      </c>
    </row>
    <row r="10923" ht="15.75" customHeight="1">
      <c r="A10923" s="1">
        <v>12166.0</v>
      </c>
      <c r="B10923" s="3" t="s">
        <v>31068</v>
      </c>
      <c r="C10923" s="3">
        <v>0.0</v>
      </c>
      <c r="D10923" s="3">
        <v>0.0</v>
      </c>
      <c r="E10923" s="3">
        <v>2.0</v>
      </c>
      <c r="F10923" s="3" t="s">
        <v>31069</v>
      </c>
      <c r="G10923" s="3">
        <v>0.0</v>
      </c>
      <c r="H10923" s="3">
        <v>0.0</v>
      </c>
      <c r="I10923" s="3" t="s">
        <v>13</v>
      </c>
      <c r="J10923" s="3" t="s">
        <v>31070</v>
      </c>
      <c r="K10923" s="3" t="s">
        <v>3612</v>
      </c>
      <c r="L10923" s="3" t="str">
        <f>IFERROR(__xludf.DUMMYFUNCTION("GOOGLETRANSLATE(F10923,""id"",""en"")"),"Argentina The Argentine World Cup champion defeated France with a penalty shootout after the match was running with the score of Argentina winning the World Cup")</f>
        <v>Argentina The Argentine World Cup champion defeated France with a penalty shootout after the match was running with the score of Argentina winning the World Cup</v>
      </c>
    </row>
    <row r="10924" ht="15.75" customHeight="1">
      <c r="A10924" s="1">
        <v>12167.0</v>
      </c>
      <c r="B10924" s="3" t="s">
        <v>31071</v>
      </c>
      <c r="C10924" s="3">
        <v>0.0</v>
      </c>
      <c r="D10924" s="3">
        <v>0.0</v>
      </c>
      <c r="E10924" s="3">
        <v>0.0</v>
      </c>
      <c r="F10924" s="3" t="s">
        <v>31072</v>
      </c>
      <c r="G10924" s="3">
        <v>1.0</v>
      </c>
      <c r="H10924" s="3">
        <v>1.0</v>
      </c>
      <c r="I10924" s="3" t="s">
        <v>48</v>
      </c>
      <c r="J10924" s="3" t="s">
        <v>31073</v>
      </c>
      <c r="K10924" s="3" t="s">
        <v>240</v>
      </c>
      <c r="L10924" s="3" t="str">
        <f>IFERROR(__xludf.DUMMYFUNCTION("GOOGLETRANSLATE(F10924,""id"",""en"")"),"happy to be a witness to the history of Messi The Greatest All Time brought Argentina to the Qatar World Cup champion Congratulations")</f>
        <v>happy to be a witness to the history of Messi The Greatest All Time brought Argentina to the Qatar World Cup champion Congratulations</v>
      </c>
    </row>
    <row r="10925" ht="15.75" customHeight="1">
      <c r="A10925" s="1">
        <v>12168.0</v>
      </c>
      <c r="B10925" s="3" t="s">
        <v>31074</v>
      </c>
      <c r="C10925" s="3">
        <v>0.0</v>
      </c>
      <c r="D10925" s="3">
        <v>0.0</v>
      </c>
      <c r="E10925" s="3">
        <v>1.0</v>
      </c>
      <c r="F10925" s="3" t="s">
        <v>31075</v>
      </c>
      <c r="G10925" s="3">
        <v>0.0</v>
      </c>
      <c r="H10925" s="3">
        <v>0.0</v>
      </c>
      <c r="I10925" s="3" t="s">
        <v>13</v>
      </c>
      <c r="J10925" s="3" t="s">
        <v>31076</v>
      </c>
      <c r="K10925" s="3" t="s">
        <v>75</v>
      </c>
      <c r="L10925" s="3" t="str">
        <f>IFERROR(__xludf.DUMMYFUNCTION("GOOGLETRANSLATE(F10925,""id"",""en"")"),"Finally, Messi brought Argentina in the world last night as expected")</f>
        <v>Finally, Messi brought Argentina in the world last night as expected</v>
      </c>
    </row>
    <row r="10926" ht="15.75" customHeight="1">
      <c r="A10926" s="1">
        <v>12169.0</v>
      </c>
      <c r="B10926" s="3" t="s">
        <v>31077</v>
      </c>
      <c r="C10926" s="3">
        <v>0.0</v>
      </c>
      <c r="D10926" s="3">
        <v>2.0</v>
      </c>
      <c r="E10926" s="3">
        <v>6.0</v>
      </c>
      <c r="F10926" s="3" t="s">
        <v>31078</v>
      </c>
      <c r="G10926" s="3">
        <v>0.0</v>
      </c>
      <c r="H10926" s="3">
        <v>0.0</v>
      </c>
      <c r="I10926" s="3" t="s">
        <v>13</v>
      </c>
      <c r="J10926" s="3" t="s">
        <v>31079</v>
      </c>
      <c r="K10926" s="3" t="s">
        <v>23</v>
      </c>
      <c r="L10926" s="3" t="str">
        <f>IFERROR(__xludf.DUMMYFUNCTION("GOOGLETRANSLATE(F10926,""id"",""en"")"),"Since Mr. Iwan Bule has served as Chairman of PSSI and Mr. Jokowi as President of Indonesia Argentina has finally returned to the world champion, thank you all")</f>
        <v>Since Mr. Iwan Bule has served as Chairman of PSSI and Mr. Jokowi as President of Indonesia Argentina has finally returned to the world champion, thank you all</v>
      </c>
    </row>
    <row r="10927" ht="15.75" customHeight="1">
      <c r="A10927" s="1">
        <v>12170.0</v>
      </c>
      <c r="B10927" s="3" t="s">
        <v>31080</v>
      </c>
      <c r="C10927" s="3">
        <v>0.0</v>
      </c>
      <c r="D10927" s="3">
        <v>0.0</v>
      </c>
      <c r="E10927" s="3">
        <v>0.0</v>
      </c>
      <c r="F10927" s="3" t="s">
        <v>31081</v>
      </c>
      <c r="G10927" s="3">
        <v>0.0</v>
      </c>
      <c r="H10927" s="3">
        <v>0.0</v>
      </c>
      <c r="I10927" s="3" t="s">
        <v>13</v>
      </c>
      <c r="J10927" s="3" t="s">
        <v>31082</v>
      </c>
      <c r="K10927" s="3" t="s">
        <v>1265</v>
      </c>
      <c r="L10927" s="3" t="str">
        <f>IFERROR(__xludf.DUMMYFUNCTION("GOOGLETRANSLATE(F10927,""id"",""en"")"),"Argentina BLH became the champion but TTP became a champion in my heart uwuuu")</f>
        <v>Argentina BLH became the champion but TTP became a champion in my heart uwuuu</v>
      </c>
    </row>
    <row r="10928" ht="15.75" customHeight="1">
      <c r="A10928" s="1">
        <v>12171.0</v>
      </c>
      <c r="B10928" s="3" t="s">
        <v>31083</v>
      </c>
      <c r="C10928" s="3">
        <v>0.0</v>
      </c>
      <c r="D10928" s="3">
        <v>1.0</v>
      </c>
      <c r="E10928" s="3">
        <v>2.0</v>
      </c>
      <c r="F10928" s="3" t="s">
        <v>31084</v>
      </c>
      <c r="G10928" s="3">
        <v>0.0</v>
      </c>
      <c r="H10928" s="3">
        <v>0.0</v>
      </c>
      <c r="I10928" s="3" t="s">
        <v>13</v>
      </c>
      <c r="J10928" s="3" t="s">
        <v>31085</v>
      </c>
      <c r="K10928" s="3" t="s">
        <v>1887</v>
      </c>
      <c r="L10928" s="3" t="str">
        <f>IFERROR(__xludf.DUMMYFUNCTION("GOOGLETRANSLATE(F10928,""id"",""en"")"),"Last night France was stunned by the tango dance shown by Messi et al for more than minutes and ended with a penalty shootout for Argentina who won the World Cup Thank you for comforting us with your dance Green field")</f>
        <v>Last night France was stunned by the tango dance shown by Messi et al for more than minutes and ended with a penalty shootout for Argentina who won the World Cup Thank you for comforting us with your dance Green field</v>
      </c>
    </row>
    <row r="10929" ht="15.75" customHeight="1">
      <c r="A10929" s="1">
        <v>12172.0</v>
      </c>
      <c r="B10929" s="3" t="s">
        <v>31086</v>
      </c>
      <c r="C10929" s="3">
        <v>0.0</v>
      </c>
      <c r="D10929" s="3">
        <v>0.0</v>
      </c>
      <c r="E10929" s="3">
        <v>0.0</v>
      </c>
      <c r="F10929" s="3" t="s">
        <v>31087</v>
      </c>
      <c r="G10929" s="3">
        <v>0.0</v>
      </c>
      <c r="H10929" s="3">
        <v>0.0</v>
      </c>
      <c r="I10929" s="3" t="s">
        <v>13</v>
      </c>
      <c r="J10929" s="3" t="s">
        <v>31088</v>
      </c>
      <c r="K10929" s="3" t="s">
        <v>58</v>
      </c>
      <c r="L10929" s="3" t="str">
        <f>IFERROR(__xludf.DUMMYFUNCTION("GOOGLETRANSLATE(F10929,""id"",""en"")"),"the champion of Pilduun Messi with his Argentina but still became the trending of Ronaldo Ronaldo's talks sometimes")</f>
        <v>the champion of Pilduun Messi with his Argentina but still became the trending of Ronaldo Ronaldo's talks sometimes</v>
      </c>
    </row>
    <row r="10930" ht="15.75" customHeight="1">
      <c r="A10930" s="1">
        <v>12173.0</v>
      </c>
      <c r="B10930" s="3" t="s">
        <v>31089</v>
      </c>
      <c r="C10930" s="3">
        <v>0.0</v>
      </c>
      <c r="D10930" s="3">
        <v>0.0</v>
      </c>
      <c r="E10930" s="3">
        <v>0.0</v>
      </c>
      <c r="F10930" s="3" t="s">
        <v>31090</v>
      </c>
      <c r="G10930" s="3">
        <v>0.0</v>
      </c>
      <c r="H10930" s="3">
        <v>0.0</v>
      </c>
      <c r="I10930" s="3" t="s">
        <v>13</v>
      </c>
      <c r="J10930" s="3" t="s">
        <v>31091</v>
      </c>
      <c r="K10930" s="3" t="s">
        <v>1349</v>
      </c>
      <c r="L10930" s="3" t="str">
        <f>IFERROR(__xludf.DUMMYFUNCTION("GOOGLETRANSLATE(F10930,""id"",""en"")"),"Argentina has ended the thirst for the World Cup title, now it is Indonesia's turn to end the fasting of the Southeast Asian title")</f>
        <v>Argentina has ended the thirst for the World Cup title, now it is Indonesia's turn to end the fasting of the Southeast Asian title</v>
      </c>
    </row>
    <row r="10931" ht="15.75" customHeight="1">
      <c r="A10931" s="1">
        <v>12174.0</v>
      </c>
      <c r="B10931" s="3" t="s">
        <v>31092</v>
      </c>
      <c r="C10931" s="3">
        <v>1.0</v>
      </c>
      <c r="D10931" s="3">
        <v>0.0</v>
      </c>
      <c r="E10931" s="3">
        <v>0.0</v>
      </c>
      <c r="F10931" s="3" t="s">
        <v>31093</v>
      </c>
      <c r="G10931" s="3">
        <v>0.0</v>
      </c>
      <c r="H10931" s="3">
        <v>0.0</v>
      </c>
      <c r="I10931" s="3" t="s">
        <v>13</v>
      </c>
      <c r="J10931" s="3" t="s">
        <v>31094</v>
      </c>
      <c r="K10931" s="3" t="s">
        <v>41</v>
      </c>
      <c r="L10931" s="3" t="str">
        <f>IFERROR(__xludf.DUMMYFUNCTION("GOOGLETRANSLATE(F10931,""id"",""en"")"),"Oiya Argentina last night than at the time of the Copa America championship")</f>
        <v>Oiya Argentina last night than at the time of the Copa America championship</v>
      </c>
    </row>
    <row r="10932" ht="15.75" customHeight="1">
      <c r="A10932" s="1">
        <v>12175.0</v>
      </c>
      <c r="B10932" s="3" t="s">
        <v>31095</v>
      </c>
      <c r="C10932" s="3">
        <v>0.0</v>
      </c>
      <c r="D10932" s="3">
        <v>0.0</v>
      </c>
      <c r="E10932" s="3">
        <v>0.0</v>
      </c>
      <c r="F10932" s="3" t="s">
        <v>31096</v>
      </c>
      <c r="G10932" s="3">
        <v>0.0</v>
      </c>
      <c r="H10932" s="3">
        <v>0.0</v>
      </c>
      <c r="I10932" s="3" t="s">
        <v>13</v>
      </c>
      <c r="J10932" s="3" t="s">
        <v>31097</v>
      </c>
      <c r="K10932" s="3" t="s">
        <v>75</v>
      </c>
      <c r="L10932" s="3" t="str">
        <f>IFERROR(__xludf.DUMMYFUNCTION("GOOGLETRANSLATE(F10932,""id"",""en"")"),"Conquering France through the Argentina Penalti Fighting Drama for the third time")</f>
        <v>Conquering France through the Argentina Penalti Fighting Drama for the third time</v>
      </c>
    </row>
    <row r="10933" ht="15.75" customHeight="1">
      <c r="A10933" s="1">
        <v>12176.0</v>
      </c>
      <c r="B10933" s="3" t="s">
        <v>31098</v>
      </c>
      <c r="C10933" s="3">
        <v>0.0</v>
      </c>
      <c r="D10933" s="3">
        <v>0.0</v>
      </c>
      <c r="E10933" s="3">
        <v>0.0</v>
      </c>
      <c r="F10933" s="3" t="s">
        <v>31099</v>
      </c>
      <c r="G10933" s="3">
        <v>0.0</v>
      </c>
      <c r="H10933" s="3">
        <v>0.0</v>
      </c>
      <c r="I10933" s="3" t="s">
        <v>13</v>
      </c>
      <c r="J10933" s="3" t="s">
        <v>31100</v>
      </c>
      <c r="K10933" s="3" t="s">
        <v>6674</v>
      </c>
      <c r="L10933" s="3" t="str">
        <f>IFERROR(__xludf.DUMMYFUNCTION("GOOGLETRANSLATE(F10933,""id"",""en"")"),"Argentina may win the World Cup BLM, of course the AFF Cup champion is inserted")</f>
        <v>Argentina may win the World Cup BLM, of course the AFF Cup champion is inserted</v>
      </c>
    </row>
    <row r="10934" ht="15.75" customHeight="1">
      <c r="A10934" s="1">
        <v>12177.0</v>
      </c>
      <c r="B10934" s="3" t="s">
        <v>31101</v>
      </c>
      <c r="C10934" s="3">
        <v>0.0</v>
      </c>
      <c r="D10934" s="3">
        <v>0.0</v>
      </c>
      <c r="E10934" s="3">
        <v>0.0</v>
      </c>
      <c r="F10934" s="3" t="s">
        <v>31102</v>
      </c>
      <c r="G10934" s="3">
        <v>0.0</v>
      </c>
      <c r="H10934" s="3">
        <v>0.0</v>
      </c>
      <c r="I10934" s="3" t="s">
        <v>13</v>
      </c>
      <c r="J10934" s="3" t="s">
        <v>31103</v>
      </c>
      <c r="K10934" s="3" t="s">
        <v>75</v>
      </c>
      <c r="L10934" s="3" t="str">
        <f>IFERROR(__xludf.DUMMYFUNCTION("GOOGLETRANSLATE(F10934,""id"",""en"")"),"Congratulations Argentina You deserve to be champions for not being successful")</f>
        <v>Congratulations Argentina You deserve to be champions for not being successful</v>
      </c>
    </row>
    <row r="10935" ht="15.75" customHeight="1">
      <c r="A10935" s="1">
        <v>12178.0</v>
      </c>
      <c r="B10935" s="3" t="s">
        <v>31104</v>
      </c>
      <c r="C10935" s="3">
        <v>0.0</v>
      </c>
      <c r="D10935" s="3">
        <v>0.0</v>
      </c>
      <c r="E10935" s="3">
        <v>1.0</v>
      </c>
      <c r="F10935" s="3" t="s">
        <v>31048</v>
      </c>
      <c r="G10935" s="3">
        <v>0.0</v>
      </c>
      <c r="H10935" s="3">
        <v>0.0</v>
      </c>
      <c r="I10935" s="3" t="s">
        <v>13</v>
      </c>
      <c r="J10935" s="3" t="s">
        <v>31049</v>
      </c>
      <c r="K10935" s="3" t="s">
        <v>41</v>
      </c>
      <c r="L10935" s="3" t="str">
        <f>IFERROR(__xludf.DUMMYFUNCTION("GOOGLETRANSLATE(F10935,""id"",""en"")"),"goalkeeper Emliano Martinez said Argentina has been destined for the World Cup championship")</f>
        <v>goalkeeper Emliano Martinez said Argentina has been destined for the World Cup championship</v>
      </c>
    </row>
    <row r="10936" ht="15.75" customHeight="1">
      <c r="A10936" s="1">
        <v>12179.0</v>
      </c>
      <c r="B10936" s="3" t="s">
        <v>31105</v>
      </c>
      <c r="C10936" s="3">
        <v>0.0</v>
      </c>
      <c r="D10936" s="3">
        <v>0.0</v>
      </c>
      <c r="E10936" s="3">
        <v>0.0</v>
      </c>
      <c r="F10936" s="3" t="s">
        <v>31106</v>
      </c>
      <c r="G10936" s="3">
        <v>0.0</v>
      </c>
      <c r="H10936" s="3">
        <v>0.0</v>
      </c>
      <c r="I10936" s="3" t="s">
        <v>13</v>
      </c>
      <c r="J10936" s="3" t="s">
        <v>31107</v>
      </c>
      <c r="K10936" s="3" t="s">
        <v>31</v>
      </c>
      <c r="L10936" s="3" t="str">
        <f>IFERROR(__xludf.DUMMYFUNCTION("GOOGLETRANSLATE(F10936,""id"",""en"")"),"Jongjon Argentina Ges Champion mah")</f>
        <v>Jongjon Argentina Ges Champion mah</v>
      </c>
    </row>
    <row r="10937" ht="15.75" customHeight="1">
      <c r="A10937" s="1">
        <v>12180.0</v>
      </c>
      <c r="B10937" s="3" t="s">
        <v>31108</v>
      </c>
      <c r="C10937" s="3">
        <v>0.0</v>
      </c>
      <c r="D10937" s="3">
        <v>0.0</v>
      </c>
      <c r="E10937" s="3">
        <v>0.0</v>
      </c>
      <c r="F10937" s="3" t="s">
        <v>31109</v>
      </c>
      <c r="G10937" s="3">
        <v>0.0</v>
      </c>
      <c r="H10937" s="3">
        <v>0.0</v>
      </c>
      <c r="I10937" s="3" t="s">
        <v>13</v>
      </c>
      <c r="J10937" s="3" t="s">
        <v>31110</v>
      </c>
      <c r="K10937" s="3" t="s">
        <v>35</v>
      </c>
      <c r="L10937" s="3" t="str">
        <f>IFERROR(__xludf.DUMMYFUNCTION("GOOGLETRANSLATE(F10937,""id"",""en"")"),"Raline Blouse Ronaldo Messi Raul Lemos Argentina French World Champion World Champion")</f>
        <v>Raline Blouse Ronaldo Messi Raul Lemos Argentina French World Champion World Champion</v>
      </c>
    </row>
    <row r="10938" ht="15.75" customHeight="1">
      <c r="A10938" s="1">
        <v>12181.0</v>
      </c>
      <c r="B10938" s="3" t="s">
        <v>31111</v>
      </c>
      <c r="C10938" s="3">
        <v>0.0</v>
      </c>
      <c r="D10938" s="3">
        <v>0.0</v>
      </c>
      <c r="E10938" s="3">
        <v>0.0</v>
      </c>
      <c r="F10938" s="3" t="s">
        <v>31112</v>
      </c>
      <c r="G10938" s="3">
        <v>1.0</v>
      </c>
      <c r="H10938" s="3">
        <v>0.85</v>
      </c>
      <c r="I10938" s="3" t="s">
        <v>48</v>
      </c>
      <c r="J10938" s="3" t="s">
        <v>31113</v>
      </c>
      <c r="K10938" s="3" t="s">
        <v>15</v>
      </c>
      <c r="L10938" s="3" t="str">
        <f>IFERROR(__xludf.DUMMYFUNCTION("GOOGLETRANSLATE(F10938,""id"",""en"")"),"What Beautiful Morning Argentina Champion World Cup Cok")</f>
        <v>What Beautiful Morning Argentina Champion World Cup Cok</v>
      </c>
    </row>
    <row r="10939" ht="15.75" customHeight="1">
      <c r="A10939" s="1">
        <v>12182.0</v>
      </c>
      <c r="B10939" s="3" t="s">
        <v>31114</v>
      </c>
      <c r="C10939" s="3">
        <v>0.0</v>
      </c>
      <c r="D10939" s="3">
        <v>0.0</v>
      </c>
      <c r="E10939" s="3">
        <v>0.0</v>
      </c>
      <c r="F10939" s="3" t="s">
        <v>31115</v>
      </c>
      <c r="G10939" s="3">
        <v>0.0</v>
      </c>
      <c r="H10939" s="3">
        <v>0.0</v>
      </c>
      <c r="I10939" s="3" t="s">
        <v>13</v>
      </c>
      <c r="J10939" s="3" t="s">
        <v>31116</v>
      </c>
      <c r="K10939" s="3" t="s">
        <v>15</v>
      </c>
      <c r="L10939" s="3" t="str">
        <f>IFERROR(__xludf.DUMMYFUNCTION("GOOGLETRANSLATE(F10939,""id"",""en"")"),"Argentina Rampas World Cup rather than the defending champions of France via")</f>
        <v>Argentina Rampas World Cup rather than the defending champions of France via</v>
      </c>
    </row>
    <row r="10940" ht="15.75" customHeight="1">
      <c r="A10940" s="1">
        <v>12183.0</v>
      </c>
      <c r="B10940" s="3" t="s">
        <v>31117</v>
      </c>
      <c r="C10940" s="3">
        <v>0.0</v>
      </c>
      <c r="D10940" s="3">
        <v>0.0</v>
      </c>
      <c r="E10940" s="3">
        <v>0.0</v>
      </c>
      <c r="F10940" s="3" t="s">
        <v>31118</v>
      </c>
      <c r="G10940" s="3">
        <v>0.0</v>
      </c>
      <c r="H10940" s="3">
        <v>0.0</v>
      </c>
      <c r="I10940" s="3" t="s">
        <v>13</v>
      </c>
      <c r="J10940" s="3" t="s">
        <v>31119</v>
      </c>
      <c r="K10940" s="3" t="s">
        <v>15</v>
      </c>
      <c r="L10940" s="3" t="str">
        <f>IFERROR(__xludf.DUMMYFUNCTION("GOOGLETRANSLATE(F10940,""id"",""en"")"),"A series of happy expressions of Messi after Argentina world champion")</f>
        <v>A series of happy expressions of Messi after Argentina world champion</v>
      </c>
    </row>
    <row r="10941" ht="15.75" customHeight="1">
      <c r="A10941" s="1">
        <v>12184.0</v>
      </c>
      <c r="B10941" s="3" t="s">
        <v>31120</v>
      </c>
      <c r="C10941" s="3">
        <v>0.0</v>
      </c>
      <c r="D10941" s="3">
        <v>1.0</v>
      </c>
      <c r="E10941" s="3">
        <v>8.0</v>
      </c>
      <c r="F10941" s="3" t="s">
        <v>28505</v>
      </c>
      <c r="G10941" s="3">
        <v>0.0</v>
      </c>
      <c r="H10941" s="3">
        <v>0.0</v>
      </c>
      <c r="I10941" s="3" t="s">
        <v>13</v>
      </c>
      <c r="J10941" s="3" t="s">
        <v>28506</v>
      </c>
      <c r="K10941" s="3" t="s">
        <v>358</v>
      </c>
      <c r="L10941" s="3" t="str">
        <f>IFERROR(__xludf.DUMMYFUNCTION("GOOGLETRANSLATE(F10941,""id"",""en"")"),"Argentina Champion World Cup After silencing France through a penalty shootout after the victory the Argentine national team was paraded on the bus")</f>
        <v>Argentina Champion World Cup After silencing France through a penalty shootout after the victory the Argentine national team was paraded on the bus</v>
      </c>
    </row>
    <row r="10942" ht="15.75" customHeight="1">
      <c r="A10942" s="1">
        <v>12185.0</v>
      </c>
      <c r="B10942" s="3" t="s">
        <v>31121</v>
      </c>
      <c r="C10942" s="3">
        <v>0.0</v>
      </c>
      <c r="D10942" s="3">
        <v>0.0</v>
      </c>
      <c r="E10942" s="3">
        <v>0.0</v>
      </c>
      <c r="F10942" s="3" t="s">
        <v>31122</v>
      </c>
      <c r="G10942" s="3">
        <v>0.6</v>
      </c>
      <c r="H10942" s="3">
        <v>0.35</v>
      </c>
      <c r="I10942" s="3" t="s">
        <v>48</v>
      </c>
      <c r="J10942" s="3" t="s">
        <v>31123</v>
      </c>
      <c r="K10942" s="3" t="s">
        <v>192</v>
      </c>
      <c r="L10942" s="3" t="str">
        <f>IFERROR(__xludf.DUMMYFUNCTION("GOOGLETRANSLATE(F10942,""id"",""en"")"),"Argentina champions even though at the beginning of losing to Saudi Arabia because he has a mental champion, finally Gooll's world champion Messi ended his career because he was happy, hopefully he could motivate in life.")</f>
        <v>Argentina champions even though at the beginning of losing to Saudi Arabia because he has a mental champion, finally Gooll's world champion Messi ended his career because he was happy, hopefully he could motivate in life.</v>
      </c>
    </row>
    <row r="10943" ht="15.75" customHeight="1">
      <c r="A10943" s="1">
        <v>12186.0</v>
      </c>
      <c r="B10943" s="3" t="s">
        <v>31124</v>
      </c>
      <c r="C10943" s="3">
        <v>0.0</v>
      </c>
      <c r="D10943" s="3">
        <v>0.0</v>
      </c>
      <c r="E10943" s="3">
        <v>1.0</v>
      </c>
      <c r="F10943" s="3" t="s">
        <v>31125</v>
      </c>
      <c r="G10943" s="3">
        <v>1.0</v>
      </c>
      <c r="H10943" s="3">
        <v>1.0</v>
      </c>
      <c r="I10943" s="3" t="s">
        <v>48</v>
      </c>
      <c r="J10943" s="3" t="s">
        <v>31126</v>
      </c>
      <c r="K10943" s="3" t="s">
        <v>149</v>
      </c>
      <c r="L10943" s="3" t="str">
        <f>IFERROR(__xludf.DUMMYFUNCTION("GOOGLETRANSLATE(F10943,""id"",""en"")"),"Lionel Messi succeeded in completing his career by delivering Argentina to become the Champion of the World Cup, making Messi legitimately one of the Greatest All Time")</f>
        <v>Lionel Messi succeeded in completing his career by delivering Argentina to become the Champion of the World Cup, making Messi legitimately one of the Greatest All Time</v>
      </c>
    </row>
    <row r="10944" ht="15.75" customHeight="1">
      <c r="A10944" s="1">
        <v>12187.0</v>
      </c>
      <c r="B10944" s="3" t="s">
        <v>31127</v>
      </c>
      <c r="C10944" s="3">
        <v>0.0</v>
      </c>
      <c r="D10944" s="3">
        <v>0.0</v>
      </c>
      <c r="E10944" s="3">
        <v>0.0</v>
      </c>
      <c r="F10944" s="3" t="s">
        <v>31128</v>
      </c>
      <c r="G10944" s="3">
        <v>0.0</v>
      </c>
      <c r="H10944" s="3">
        <v>0.0</v>
      </c>
      <c r="I10944" s="3" t="s">
        <v>13</v>
      </c>
      <c r="J10944" s="3" t="s">
        <v>31129</v>
      </c>
      <c r="K10944" s="3" t="s">
        <v>54</v>
      </c>
      <c r="L10944" s="3" t="str">
        <f>IFERROR(__xludf.DUMMYFUNCTION("GOOGLETRANSLATE(F10944,""id"",""en"")"),"Arek Iki was monitored by Argentina Champion")</f>
        <v>Arek Iki was monitored by Argentina Champion</v>
      </c>
    </row>
    <row r="10945" ht="15.75" customHeight="1">
      <c r="A10945" s="1">
        <v>12188.0</v>
      </c>
      <c r="B10945" s="3" t="s">
        <v>31130</v>
      </c>
      <c r="C10945" s="3">
        <v>0.0</v>
      </c>
      <c r="D10945" s="3">
        <v>0.0</v>
      </c>
      <c r="E10945" s="3">
        <v>0.0</v>
      </c>
      <c r="F10945" s="3" t="s">
        <v>31131</v>
      </c>
      <c r="G10945" s="3">
        <v>0.0</v>
      </c>
      <c r="H10945" s="3">
        <v>0.0</v>
      </c>
      <c r="I10945" s="3" t="s">
        <v>13</v>
      </c>
      <c r="J10945" s="3" t="s">
        <v>31132</v>
      </c>
      <c r="K10945" s="3" t="s">
        <v>41</v>
      </c>
      <c r="L10945" s="3" t="str">
        <f>IFERROR(__xludf.DUMMYFUNCTION("GOOGLETRANSLATE(F10945,""id"",""en"")"),"This is clearly a conspiracy to eliminate evidence of who brought Argentina champions")</f>
        <v>This is clearly a conspiracy to eliminate evidence of who brought Argentina champions</v>
      </c>
    </row>
    <row r="10946" ht="15.75" customHeight="1">
      <c r="A10946" s="1">
        <v>12189.0</v>
      </c>
      <c r="B10946" s="3" t="s">
        <v>31133</v>
      </c>
      <c r="C10946" s="3">
        <v>0.0</v>
      </c>
      <c r="D10946" s="3">
        <v>0.0</v>
      </c>
      <c r="E10946" s="3">
        <v>1.0</v>
      </c>
      <c r="F10946" s="3" t="s">
        <v>31134</v>
      </c>
      <c r="G10946" s="3">
        <v>0.0</v>
      </c>
      <c r="H10946" s="3">
        <v>0.0</v>
      </c>
      <c r="I10946" s="3" t="s">
        <v>13</v>
      </c>
      <c r="J10946" s="3" t="s">
        <v>31135</v>
      </c>
      <c r="K10946" s="3" t="s">
        <v>54</v>
      </c>
      <c r="L10946" s="3" t="str">
        <f>IFERROR(__xludf.DUMMYFUNCTION("GOOGLETRANSLATE(F10946,""id"",""en"")"),"Langite ngetsokne Eluh Nyawang Argentina Champion")</f>
        <v>Langite ngetsokne Eluh Nyawang Argentina Champion</v>
      </c>
    </row>
    <row r="10947" ht="15.75" customHeight="1">
      <c r="A10947" s="1">
        <v>12190.0</v>
      </c>
      <c r="B10947" s="3" t="s">
        <v>31136</v>
      </c>
      <c r="C10947" s="3">
        <v>0.0</v>
      </c>
      <c r="D10947" s="3">
        <v>0.0</v>
      </c>
      <c r="E10947" s="3">
        <v>0.0</v>
      </c>
      <c r="F10947" s="3" t="s">
        <v>31137</v>
      </c>
      <c r="G10947" s="3">
        <v>0.0</v>
      </c>
      <c r="H10947" s="3">
        <v>0.0</v>
      </c>
      <c r="I10947" s="3" t="s">
        <v>13</v>
      </c>
      <c r="J10947" s="3" t="s">
        <v>31138</v>
      </c>
      <c r="K10947" s="3" t="s">
        <v>54</v>
      </c>
      <c r="L10947" s="3" t="str">
        <f>IFERROR(__xludf.DUMMYFUNCTION("GOOGLETRANSLATE(F10947,""id"",""en"")"),"Make sure Argentina champions after the Pinalty shootout round")</f>
        <v>Make sure Argentina champions after the Pinalty shootout round</v>
      </c>
    </row>
    <row r="10948" ht="15.75" customHeight="1">
      <c r="A10948" s="1">
        <v>12191.0</v>
      </c>
      <c r="B10948" s="3" t="s">
        <v>31139</v>
      </c>
      <c r="C10948" s="3">
        <v>0.0</v>
      </c>
      <c r="D10948" s="3">
        <v>1.0</v>
      </c>
      <c r="E10948" s="3">
        <v>8.0</v>
      </c>
      <c r="F10948" s="3" t="s">
        <v>31140</v>
      </c>
      <c r="G10948" s="3">
        <v>0.0</v>
      </c>
      <c r="H10948" s="3">
        <v>0.0</v>
      </c>
      <c r="I10948" s="3" t="s">
        <v>13</v>
      </c>
      <c r="J10948" s="3" t="s">
        <v>31141</v>
      </c>
      <c r="K10948" s="3" t="s">
        <v>15</v>
      </c>
      <c r="L10948" s="3" t="str">
        <f>IFERROR(__xludf.DUMMYFUNCTION("GOOGLETRANSLATE(F10948,""id"",""en"")"),"Photo of Party like Ria Argentina World Cup Champion")</f>
        <v>Photo of Party like Ria Argentina World Cup Champion</v>
      </c>
    </row>
    <row r="10949" ht="15.75" customHeight="1">
      <c r="A10949" s="1">
        <v>12192.0</v>
      </c>
      <c r="B10949" s="3" t="s">
        <v>31142</v>
      </c>
      <c r="C10949" s="3">
        <v>0.0</v>
      </c>
      <c r="D10949" s="3">
        <v>0.0</v>
      </c>
      <c r="E10949" s="3">
        <v>0.0</v>
      </c>
      <c r="F10949" s="3" t="s">
        <v>31143</v>
      </c>
      <c r="G10949" s="3">
        <v>1.0</v>
      </c>
      <c r="H10949" s="3">
        <v>0.0</v>
      </c>
      <c r="I10949" s="3" t="s">
        <v>13</v>
      </c>
      <c r="J10949" s="3" t="s">
        <v>31144</v>
      </c>
      <c r="K10949" s="3" t="s">
        <v>910</v>
      </c>
      <c r="L10949" s="3" t="str">
        <f>IFERROR(__xludf.DUMMYFUNCTION("GOOGLETRANSLATE(F10949,""id"",""en"")"),"The final world last night reminded the final Thomas Cup Taun, France Indonesia Champion Eventually HRS was willing to hold the Argentina Indian trophy after years of waiting for finally being able to also mbappe Gokil mvp really pgnujuuk")</f>
        <v>The final world last night reminded the final Thomas Cup Taun, France Indonesia Champion Eventually HRS was willing to hold the Argentina Indian trophy after years of waiting for finally being able to also mbappe Gokil mvp really pgnujuuk</v>
      </c>
    </row>
    <row r="10950" ht="15.75" customHeight="1">
      <c r="A10950" s="1">
        <v>12193.0</v>
      </c>
      <c r="B10950" s="3" t="s">
        <v>31145</v>
      </c>
      <c r="C10950" s="3">
        <v>0.0</v>
      </c>
      <c r="D10950" s="3">
        <v>0.0</v>
      </c>
      <c r="E10950" s="3">
        <v>0.0</v>
      </c>
      <c r="F10950" s="3" t="s">
        <v>31146</v>
      </c>
      <c r="G10950" s="3">
        <v>1.0</v>
      </c>
      <c r="H10950" s="3">
        <v>0.0</v>
      </c>
      <c r="I10950" s="3" t="s">
        <v>13</v>
      </c>
      <c r="J10950" s="3" t="s">
        <v>31147</v>
      </c>
      <c r="K10950" s="3" t="s">
        <v>1854</v>
      </c>
      <c r="L10950" s="3" t="str">
        <f>IFERROR(__xludf.DUMMYFUNCTION("GOOGLETRANSLATE(F10950,""id"",""en"")"),"Since France, according to me, the team that was supposed to be the qibla of European football even though the LIGE was good but the team continued to regenerate from the final champion of Italy Spain Holland Croatia Brazilian Final Argentina Germany Fina"&amp;"l")</f>
        <v>Since France, according to me, the team that was supposed to be the qibla of European football even though the LIGE was good but the team continued to regenerate from the final champion of Italy Spain Holland Croatia Brazilian Final Argentina Germany Final</v>
      </c>
    </row>
    <row r="10951" ht="15.75" customHeight="1">
      <c r="A10951" s="1">
        <v>12194.0</v>
      </c>
      <c r="B10951" s="3" t="s">
        <v>31148</v>
      </c>
      <c r="C10951" s="3">
        <v>1.0</v>
      </c>
      <c r="D10951" s="3">
        <v>0.0</v>
      </c>
      <c r="E10951" s="3">
        <v>1.0</v>
      </c>
      <c r="F10951" s="3" t="s">
        <v>30467</v>
      </c>
      <c r="G10951" s="3">
        <v>0.0</v>
      </c>
      <c r="H10951" s="3">
        <v>0.0</v>
      </c>
      <c r="I10951" s="3" t="s">
        <v>13</v>
      </c>
      <c r="J10951" s="3" t="s">
        <v>30468</v>
      </c>
      <c r="K10951" s="3" t="s">
        <v>15</v>
      </c>
      <c r="L10951" s="3" t="str">
        <f>IFERROR(__xludf.DUMMYFUNCTION("GOOGLETRANSLATE(F10951,""id"",""en"")"),"Suitable Tokcer Netizens accompanying Argentina World Cup Champion")</f>
        <v>Suitable Tokcer Netizens accompanying Argentina World Cup Champion</v>
      </c>
    </row>
    <row r="10952" ht="15.75" customHeight="1">
      <c r="A10952" s="1">
        <v>12195.0</v>
      </c>
      <c r="B10952" s="3" t="s">
        <v>31149</v>
      </c>
      <c r="C10952" s="3">
        <v>0.0</v>
      </c>
      <c r="D10952" s="3">
        <v>0.0</v>
      </c>
      <c r="E10952" s="3">
        <v>0.0</v>
      </c>
      <c r="F10952" s="3" t="s">
        <v>30470</v>
      </c>
      <c r="G10952" s="3">
        <v>0.0</v>
      </c>
      <c r="H10952" s="3">
        <v>0.0</v>
      </c>
      <c r="I10952" s="3" t="s">
        <v>13</v>
      </c>
      <c r="J10952" s="3" t="s">
        <v>30471</v>
      </c>
      <c r="K10952" s="3" t="s">
        <v>510</v>
      </c>
      <c r="L10952" s="3" t="str">
        <f>IFERROR(__xludf.DUMMYFUNCTION("GOOGLETRANSLATE(F10952,""id"",""en"")"),"Roy Keane, Emiliano Mart Nez's attitude after Argentina won the World Cup")</f>
        <v>Roy Keane, Emiliano Mart Nez's attitude after Argentina won the World Cup</v>
      </c>
    </row>
    <row r="10953" ht="15.75" customHeight="1">
      <c r="A10953" s="1">
        <v>12196.0</v>
      </c>
      <c r="B10953" s="3" t="s">
        <v>31150</v>
      </c>
      <c r="C10953" s="3">
        <v>0.0</v>
      </c>
      <c r="D10953" s="3">
        <v>0.0</v>
      </c>
      <c r="E10953" s="3">
        <v>1.0</v>
      </c>
      <c r="F10953" s="3" t="s">
        <v>31151</v>
      </c>
      <c r="G10953" s="3">
        <v>0.0</v>
      </c>
      <c r="H10953" s="3">
        <v>0.0</v>
      </c>
      <c r="I10953" s="3" t="s">
        <v>13</v>
      </c>
      <c r="J10953" s="3" t="s">
        <v>31152</v>
      </c>
      <c r="K10953" s="3" t="s">
        <v>54</v>
      </c>
      <c r="L10953" s="3" t="str">
        <f>IFERROR(__xludf.DUMMYFUNCTION("GOOGLETRANSLATE(F10953,""id"",""en"")"),"Argentina World Champion Scaloni I feel free")</f>
        <v>Argentina World Champion Scaloni I feel free</v>
      </c>
    </row>
    <row r="10954" ht="15.75" customHeight="1">
      <c r="A10954" s="1">
        <v>12197.0</v>
      </c>
      <c r="B10954" s="3" t="s">
        <v>31153</v>
      </c>
      <c r="C10954" s="3">
        <v>0.0</v>
      </c>
      <c r="D10954" s="3">
        <v>0.0</v>
      </c>
      <c r="E10954" s="3">
        <v>0.0</v>
      </c>
      <c r="F10954" s="3" t="s">
        <v>31154</v>
      </c>
      <c r="G10954" s="3">
        <v>0.0</v>
      </c>
      <c r="H10954" s="3">
        <v>0.0</v>
      </c>
      <c r="I10954" s="3" t="s">
        <v>13</v>
      </c>
      <c r="J10954" s="3" t="s">
        <v>31155</v>
      </c>
      <c r="K10954" s="3" t="s">
        <v>71</v>
      </c>
      <c r="L10954" s="3" t="str">
        <f>IFERROR(__xludf.DUMMYFUNCTION("GOOGLETRANSLATE(F10954,""id"",""en"")"),"Argentina World Champion Is the Politicians There Install a big Flyer Congratulations whose face is left by the players")</f>
        <v>Argentina World Champion Is the Politicians There Install a big Flyer Congratulations whose face is left by the players</v>
      </c>
    </row>
    <row r="10955" ht="15.75" customHeight="1">
      <c r="A10955" s="1">
        <v>12198.0</v>
      </c>
      <c r="B10955" s="3" t="s">
        <v>31156</v>
      </c>
      <c r="C10955" s="3">
        <v>1.0</v>
      </c>
      <c r="D10955" s="3">
        <v>1.0</v>
      </c>
      <c r="E10955" s="3">
        <v>0.0</v>
      </c>
      <c r="F10955" s="3" t="s">
        <v>31157</v>
      </c>
      <c r="G10955" s="3">
        <v>0.0</v>
      </c>
      <c r="H10955" s="3">
        <v>0.0</v>
      </c>
      <c r="I10955" s="3" t="s">
        <v>13</v>
      </c>
      <c r="J10955" s="3" t="s">
        <v>31158</v>
      </c>
      <c r="K10955" s="3" t="s">
        <v>1421</v>
      </c>
      <c r="L10955" s="3" t="str">
        <f>IFERROR(__xludf.DUMMYFUNCTION("GOOGLETRANSLATE(F10955,""id"",""en"")"),"Argentina Arogan Argentina Argentina Rasis Argentina World Champion")</f>
        <v>Argentina Arogan Argentina Argentina Rasis Argentina World Champion</v>
      </c>
    </row>
    <row r="10956" ht="15.75" customHeight="1">
      <c r="A10956" s="1">
        <v>12199.0</v>
      </c>
      <c r="B10956" s="3" t="s">
        <v>31159</v>
      </c>
      <c r="C10956" s="3">
        <v>0.0</v>
      </c>
      <c r="D10956" s="3">
        <v>0.0</v>
      </c>
      <c r="E10956" s="3">
        <v>0.0</v>
      </c>
      <c r="F10956" s="3" t="s">
        <v>31160</v>
      </c>
      <c r="G10956" s="3">
        <v>0.0</v>
      </c>
      <c r="H10956" s="3">
        <v>0.0</v>
      </c>
      <c r="I10956" s="3" t="s">
        <v>13</v>
      </c>
      <c r="J10956" s="3" t="s">
        <v>31161</v>
      </c>
      <c r="K10956" s="3" t="s">
        <v>50</v>
      </c>
      <c r="L10956" s="3" t="str">
        <f>IFERROR(__xludf.DUMMYFUNCTION("GOOGLETRANSLATE(F10956,""id"",""en"")"),"Although last night Argentina was champion but only Italy never lost this World Cup Viva Azzuri")</f>
        <v>Although last night Argentina was champion but only Italy never lost this World Cup Viva Azzuri</v>
      </c>
    </row>
    <row r="10957" ht="15.75" customHeight="1">
      <c r="A10957" s="1">
        <v>12200.0</v>
      </c>
      <c r="B10957" s="3" t="s">
        <v>31162</v>
      </c>
      <c r="C10957" s="3">
        <v>0.0</v>
      </c>
      <c r="D10957" s="3">
        <v>0.0</v>
      </c>
      <c r="E10957" s="3">
        <v>0.0</v>
      </c>
      <c r="F10957" s="3" t="s">
        <v>20542</v>
      </c>
      <c r="G10957" s="3">
        <v>0.0</v>
      </c>
      <c r="H10957" s="3">
        <v>0.0</v>
      </c>
      <c r="I10957" s="3" t="s">
        <v>13</v>
      </c>
      <c r="J10957" s="3" t="s">
        <v>20543</v>
      </c>
      <c r="K10957" s="3" t="s">
        <v>2117</v>
      </c>
      <c r="L10957" s="3" t="str">
        <f>IFERROR(__xludf.DUMMYFUNCTION("GOOGLETRANSLATE(F10957,""id"",""en"")"),"Argentina World Champion")</f>
        <v>Argentina World Champion</v>
      </c>
    </row>
    <row r="10958" ht="15.75" customHeight="1">
      <c r="A10958" s="1">
        <v>12201.0</v>
      </c>
      <c r="B10958" s="3" t="s">
        <v>31163</v>
      </c>
      <c r="C10958" s="3">
        <v>4.0</v>
      </c>
      <c r="D10958" s="3">
        <v>20.0</v>
      </c>
      <c r="E10958" s="3">
        <v>121.0</v>
      </c>
      <c r="F10958" s="3" t="s">
        <v>31164</v>
      </c>
      <c r="G10958" s="3">
        <v>0.0</v>
      </c>
      <c r="H10958" s="3">
        <v>0.0</v>
      </c>
      <c r="I10958" s="3" t="s">
        <v>13</v>
      </c>
      <c r="J10958" s="3" t="s">
        <v>31165</v>
      </c>
      <c r="K10958" s="3" t="s">
        <v>574</v>
      </c>
      <c r="L10958" s="3" t="str">
        <f>IFERROR(__xludf.DUMMYFUNCTION("GOOGLETRANSLATE(F10958,""id"",""en"")"),"After five World Cup Lionel Messi led Argentina to win albiceleste defeating the defending champion France through penalties after playing as strong")</f>
        <v>After five World Cup Lionel Messi led Argentina to win albiceleste defeating the defending champion France through penalties after playing as strong</v>
      </c>
    </row>
    <row r="10959" ht="15.75" customHeight="1">
      <c r="A10959" s="1">
        <v>12202.0</v>
      </c>
      <c r="B10959" s="3" t="s">
        <v>31166</v>
      </c>
      <c r="C10959" s="3">
        <v>0.0</v>
      </c>
      <c r="D10959" s="3">
        <v>0.0</v>
      </c>
      <c r="E10959" s="3">
        <v>0.0</v>
      </c>
      <c r="F10959" s="3" t="s">
        <v>31167</v>
      </c>
      <c r="G10959" s="3">
        <v>0.0</v>
      </c>
      <c r="H10959" s="3">
        <v>0.0</v>
      </c>
      <c r="I10959" s="3" t="s">
        <v>13</v>
      </c>
      <c r="J10959" s="3" t="s">
        <v>31168</v>
      </c>
      <c r="K10959" s="3" t="s">
        <v>90</v>
      </c>
      <c r="L10959" s="3" t="str">
        <f>IFERROR(__xludf.DUMMYFUNCTION("GOOGLETRANSLATE(F10959,""id"",""en"")"),"Following are a series of happy expressions of Lionel Messi who can now ordain himself as the greatest alias alias after Argentina Champion World Cup")</f>
        <v>Following are a series of happy expressions of Lionel Messi who can now ordain himself as the greatest alias alias after Argentina Champion World Cup</v>
      </c>
    </row>
    <row r="10960" ht="15.75" customHeight="1">
      <c r="A10960" s="1">
        <v>12203.0</v>
      </c>
      <c r="B10960" s="3" t="s">
        <v>31169</v>
      </c>
      <c r="C10960" s="3">
        <v>0.0</v>
      </c>
      <c r="D10960" s="3">
        <v>0.0</v>
      </c>
      <c r="E10960" s="3">
        <v>0.0</v>
      </c>
      <c r="F10960" s="3" t="s">
        <v>31170</v>
      </c>
      <c r="G10960" s="3">
        <v>0.0</v>
      </c>
      <c r="H10960" s="3">
        <v>0.0</v>
      </c>
      <c r="I10960" s="3" t="s">
        <v>13</v>
      </c>
      <c r="J10960" s="3" t="s">
        <v>31171</v>
      </c>
      <c r="K10960" s="3" t="s">
        <v>942</v>
      </c>
      <c r="L10960" s="3" t="str">
        <f>IFERROR(__xludf.DUMMYFUNCTION("GOOGLETRANSLATE(F10960,""id"",""en"")"),"Star players who retired from the World Cup Messi brought Argentina World Cup Champion Day")</f>
        <v>Star players who retired from the World Cup Messi brought Argentina World Cup Champion Day</v>
      </c>
    </row>
    <row r="10961" ht="15.75" customHeight="1">
      <c r="A10961" s="1">
        <v>12204.0</v>
      </c>
      <c r="B10961" s="3" t="s">
        <v>31172</v>
      </c>
      <c r="C10961" s="3">
        <v>0.0</v>
      </c>
      <c r="D10961" s="3">
        <v>1.0</v>
      </c>
      <c r="E10961" s="3">
        <v>5.0</v>
      </c>
      <c r="F10961" s="3" t="s">
        <v>31173</v>
      </c>
      <c r="G10961" s="3">
        <v>0.0</v>
      </c>
      <c r="H10961" s="3">
        <v>0.0</v>
      </c>
      <c r="I10961" s="3" t="s">
        <v>13</v>
      </c>
      <c r="J10961" s="3" t="s">
        <v>31174</v>
      </c>
      <c r="K10961" s="3" t="s">
        <v>75</v>
      </c>
      <c r="L10961" s="3" t="str">
        <f>IFERROR(__xludf.DUMMYFUNCTION("GOOGLETRANSLATE(F10961,""id"",""en"")"),"Apart from the word winning penalty they are still the world champion Congrats Argentina")</f>
        <v>Apart from the word winning penalty they are still the world champion Congrats Argentina</v>
      </c>
    </row>
    <row r="10962" ht="15.75" customHeight="1">
      <c r="A10962" s="1">
        <v>12205.0</v>
      </c>
      <c r="B10962" s="3" t="s">
        <v>31175</v>
      </c>
      <c r="C10962" s="3">
        <v>0.0</v>
      </c>
      <c r="D10962" s="3">
        <v>3.0</v>
      </c>
      <c r="E10962" s="3">
        <v>11.0</v>
      </c>
      <c r="F10962" s="3" t="s">
        <v>31176</v>
      </c>
      <c r="G10962" s="3">
        <v>0.0</v>
      </c>
      <c r="H10962" s="3">
        <v>0.0</v>
      </c>
      <c r="I10962" s="3" t="s">
        <v>13</v>
      </c>
      <c r="J10962" s="3" t="s">
        <v>31177</v>
      </c>
      <c r="K10962" s="3" t="s">
        <v>499</v>
      </c>
      <c r="L10962" s="3" t="str">
        <f>IFERROR(__xludf.DUMMYFUNCTION("GOOGLETRANSLATE(F10962,""id"",""en"")"),"Lionel Messi successfully won the World Cup with his team Argentina Bench audience there is a figure of his wife Antonela Roccuzzo who is tense until happy with his portrait")</f>
        <v>Lionel Messi successfully won the World Cup with his team Argentina Bench audience there is a figure of his wife Antonela Roccuzzo who is tense until happy with his portrait</v>
      </c>
    </row>
    <row r="10963" ht="15.75" customHeight="1">
      <c r="A10963" s="1">
        <v>12206.0</v>
      </c>
      <c r="B10963" s="3" t="s">
        <v>31178</v>
      </c>
      <c r="C10963" s="3">
        <v>0.0</v>
      </c>
      <c r="D10963" s="3">
        <v>2.0</v>
      </c>
      <c r="E10963" s="3">
        <v>0.0</v>
      </c>
      <c r="F10963" s="3" t="s">
        <v>31179</v>
      </c>
      <c r="G10963" s="3">
        <v>0.0</v>
      </c>
      <c r="H10963" s="3">
        <v>0.0</v>
      </c>
      <c r="I10963" s="3" t="s">
        <v>13</v>
      </c>
      <c r="J10963" s="3" t="s">
        <v>31180</v>
      </c>
      <c r="K10963" s="3" t="s">
        <v>15</v>
      </c>
      <c r="L10963" s="3" t="str">
        <f>IFERROR(__xludf.DUMMYFUNCTION("GOOGLETRANSLATE(F10963,""id"",""en"")"),"Argentina World Champion No More Messi Debate or Ronaldo")</f>
        <v>Argentina World Champion No More Messi Debate or Ronaldo</v>
      </c>
    </row>
    <row r="10964" ht="15.75" customHeight="1">
      <c r="A10964" s="1">
        <v>12207.0</v>
      </c>
      <c r="B10964" s="3" t="s">
        <v>31181</v>
      </c>
      <c r="C10964" s="3">
        <v>0.0</v>
      </c>
      <c r="D10964" s="3">
        <v>0.0</v>
      </c>
      <c r="E10964" s="3">
        <v>0.0</v>
      </c>
      <c r="F10964" s="3" t="s">
        <v>31182</v>
      </c>
      <c r="G10964" s="3">
        <v>0.0</v>
      </c>
      <c r="H10964" s="3">
        <v>0.0</v>
      </c>
      <c r="I10964" s="3" t="s">
        <v>13</v>
      </c>
      <c r="J10964" s="3" t="s">
        <v>31183</v>
      </c>
      <c r="K10964" s="3" t="s">
        <v>437</v>
      </c>
      <c r="L10964" s="3" t="str">
        <f>IFERROR(__xludf.DUMMYFUNCTION("GOOGLETRANSLATE(F10964,""id"",""en"")"),"Argentina won the World Cup Lionel Messi Shoe Cup to be a fortune to have the name of the wife and child of Huhu Switt")</f>
        <v>Argentina won the World Cup Lionel Messi Shoe Cup to be a fortune to have the name of the wife and child of Huhu Switt</v>
      </c>
    </row>
    <row r="10965" ht="15.75" customHeight="1">
      <c r="A10965" s="1">
        <v>12208.0</v>
      </c>
      <c r="B10965" s="3" t="s">
        <v>31184</v>
      </c>
      <c r="C10965" s="3">
        <v>0.0</v>
      </c>
      <c r="D10965" s="3">
        <v>0.0</v>
      </c>
      <c r="E10965" s="3">
        <v>0.0</v>
      </c>
      <c r="F10965" s="3" t="s">
        <v>31167</v>
      </c>
      <c r="G10965" s="3">
        <v>0.0</v>
      </c>
      <c r="H10965" s="3">
        <v>0.0</v>
      </c>
      <c r="I10965" s="3" t="s">
        <v>13</v>
      </c>
      <c r="J10965" s="3" t="s">
        <v>31168</v>
      </c>
      <c r="K10965" s="3" t="s">
        <v>90</v>
      </c>
      <c r="L10965" s="3" t="str">
        <f>IFERROR(__xludf.DUMMYFUNCTION("GOOGLETRANSLATE(F10965,""id"",""en"")"),"Following are a series of happy expressions of Lionel Messi who can now ordain himself as the greatest alias alias after Argentina Champion World Cup")</f>
        <v>Following are a series of happy expressions of Lionel Messi who can now ordain himself as the greatest alias alias after Argentina Champion World Cup</v>
      </c>
    </row>
    <row r="10966" ht="15.75" customHeight="1">
      <c r="A10966" s="1">
        <v>12209.0</v>
      </c>
      <c r="B10966" s="3" t="s">
        <v>31185</v>
      </c>
      <c r="C10966" s="3">
        <v>0.0</v>
      </c>
      <c r="D10966" s="3">
        <v>0.0</v>
      </c>
      <c r="E10966" s="3">
        <v>0.0</v>
      </c>
      <c r="F10966" s="3" t="s">
        <v>30843</v>
      </c>
      <c r="G10966" s="3">
        <v>0.0</v>
      </c>
      <c r="H10966" s="3">
        <v>0.0</v>
      </c>
      <c r="I10966" s="3" t="s">
        <v>13</v>
      </c>
      <c r="J10966" s="3" t="s">
        <v>30844</v>
      </c>
      <c r="K10966" s="3" t="s">
        <v>19</v>
      </c>
      <c r="L10966" s="3" t="str">
        <f>IFERROR(__xludf.DUMMYFUNCTION("GOOGLETRANSLATE(F10966,""id"",""en"")"),"Congratulations to Lionel Messi Marc Marquez to be happy Argentina Champion World Cup")</f>
        <v>Congratulations to Lionel Messi Marc Marquez to be happy Argentina Champion World Cup</v>
      </c>
    </row>
    <row r="10967" ht="15.75" customHeight="1">
      <c r="A10967" s="1">
        <v>12210.0</v>
      </c>
      <c r="B10967" s="3" t="s">
        <v>31186</v>
      </c>
      <c r="C10967" s="3">
        <v>0.0</v>
      </c>
      <c r="D10967" s="3">
        <v>0.0</v>
      </c>
      <c r="E10967" s="3">
        <v>0.0</v>
      </c>
      <c r="F10967" s="3" t="s">
        <v>31187</v>
      </c>
      <c r="G10967" s="3">
        <v>0.0</v>
      </c>
      <c r="H10967" s="3">
        <v>0.0</v>
      </c>
      <c r="I10967" s="3" t="s">
        <v>13</v>
      </c>
      <c r="J10967" s="3" t="s">
        <v>31188</v>
      </c>
      <c r="K10967" s="3" t="s">
        <v>50</v>
      </c>
      <c r="L10967" s="3" t="str">
        <f>IFERROR(__xludf.DUMMYFUNCTION("GOOGLETRANSLATE(F10967,""id"",""en"")"),"Argentina French Tango Team Champion after executing Les Blues Lewas Adu Penalty")</f>
        <v>Argentina French Tango Team Champion after executing Les Blues Lewas Adu Penalty</v>
      </c>
    </row>
    <row r="10968" ht="15.75" customHeight="1">
      <c r="A10968" s="1">
        <v>12211.0</v>
      </c>
      <c r="B10968" s="3" t="s">
        <v>31189</v>
      </c>
      <c r="C10968" s="3">
        <v>1.0</v>
      </c>
      <c r="D10968" s="3">
        <v>0.0</v>
      </c>
      <c r="E10968" s="3">
        <v>2.0</v>
      </c>
      <c r="F10968" s="3" t="s">
        <v>31190</v>
      </c>
      <c r="G10968" s="3">
        <v>0.0</v>
      </c>
      <c r="H10968" s="3">
        <v>0.0</v>
      </c>
      <c r="I10968" s="3" t="s">
        <v>13</v>
      </c>
      <c r="J10968" s="3" t="s">
        <v>31191</v>
      </c>
      <c r="K10968" s="3" t="s">
        <v>633</v>
      </c>
      <c r="L10968" s="3" t="str">
        <f>IFERROR(__xludf.DUMMYFUNCTION("GOOGLETRANSLATE(F10968,""id"",""en"")"),"Messi is born for football to his talent far above other players because it is Cristiano chasing their distance by work harder so he deserves to be juxtaposed with Messi, just admit")</f>
        <v>Messi is born for football to his talent far above other players because it is Cristiano chasing their distance by work harder so he deserves to be juxtaposed with Messi, just admit</v>
      </c>
    </row>
    <row r="10969" ht="15.75" customHeight="1">
      <c r="A10969" s="1">
        <v>12212.0</v>
      </c>
      <c r="B10969" s="3" t="s">
        <v>31192</v>
      </c>
      <c r="C10969" s="3">
        <v>0.0</v>
      </c>
      <c r="D10969" s="3">
        <v>0.0</v>
      </c>
      <c r="E10969" s="3">
        <v>0.0</v>
      </c>
      <c r="F10969" s="3" t="s">
        <v>31193</v>
      </c>
      <c r="G10969" s="3">
        <v>1.0</v>
      </c>
      <c r="H10969" s="3">
        <v>-0.875</v>
      </c>
      <c r="I10969" s="3" t="s">
        <v>179</v>
      </c>
      <c r="J10969" s="3" t="s">
        <v>31194</v>
      </c>
      <c r="K10969" s="3" t="s">
        <v>41</v>
      </c>
      <c r="L10969" s="3" t="str">
        <f>IFERROR(__xludf.DUMMYFUNCTION("GOOGLETRANSLATE(F10969,""id"",""en"")"),"Argentina Champion Emiliano Martinez Send Brutal Kylian Mbappe's Brutal Mockery")</f>
        <v>Argentina Champion Emiliano Martinez Send Brutal Kylian Mbappe's Brutal Mockery</v>
      </c>
    </row>
    <row r="10970" ht="15.75" customHeight="1">
      <c r="A10970" s="1">
        <v>12213.0</v>
      </c>
      <c r="B10970" s="3" t="s">
        <v>31195</v>
      </c>
      <c r="C10970" s="3">
        <v>0.0</v>
      </c>
      <c r="D10970" s="3">
        <v>0.0</v>
      </c>
      <c r="E10970" s="3">
        <v>0.0</v>
      </c>
      <c r="F10970" s="3" t="s">
        <v>31196</v>
      </c>
      <c r="G10970" s="3">
        <v>0.0</v>
      </c>
      <c r="H10970" s="3">
        <v>0.0</v>
      </c>
      <c r="I10970" s="3" t="s">
        <v>13</v>
      </c>
      <c r="J10970" s="3" t="s">
        <v>31197</v>
      </c>
      <c r="K10970" s="3" t="s">
        <v>510</v>
      </c>
      <c r="L10970" s="3" t="str">
        <f>IFERROR(__xludf.DUMMYFUNCTION("GOOGLETRANSLATE(F10970,""id"",""en"")"),"Wake up with a happy and cheerful mood as happy as Messi and Argentina Champion World Cup")</f>
        <v>Wake up with a happy and cheerful mood as happy as Messi and Argentina Champion World Cup</v>
      </c>
    </row>
    <row r="10971" ht="15.75" customHeight="1">
      <c r="A10971" s="1">
        <v>12214.0</v>
      </c>
      <c r="B10971" s="3" t="s">
        <v>31198</v>
      </c>
      <c r="C10971" s="3">
        <v>0.0</v>
      </c>
      <c r="D10971" s="3">
        <v>0.0</v>
      </c>
      <c r="E10971" s="3">
        <v>7.0</v>
      </c>
      <c r="F10971" s="3" t="s">
        <v>31199</v>
      </c>
      <c r="G10971" s="3">
        <v>0.0</v>
      </c>
      <c r="H10971" s="3">
        <v>0.0</v>
      </c>
      <c r="I10971" s="3" t="s">
        <v>13</v>
      </c>
      <c r="J10971" s="3" t="s">
        <v>31200</v>
      </c>
      <c r="K10971" s="3" t="s">
        <v>1699</v>
      </c>
      <c r="L10971" s="3" t="str">
        <f>IFERROR(__xludf.DUMMYFUNCTION("GOOGLETRANSLATE(F10971,""id"",""en"")"),"Portrait of Argentina Citizens Celebrate their national team victory to win the World Cup by gathering Plaza Republica Buenos Aires Argentina Photo between Reuters Photo Agustin Marcarian Other Photos")</f>
        <v>Portrait of Argentina Citizens Celebrate their national team victory to win the World Cup by gathering Plaza Republica Buenos Aires Argentina Photo between Reuters Photo Agustin Marcarian Other Photos</v>
      </c>
    </row>
    <row r="10972" ht="15.75" customHeight="1">
      <c r="A10972" s="1">
        <v>12215.0</v>
      </c>
      <c r="B10972" s="3" t="s">
        <v>31201</v>
      </c>
      <c r="C10972" s="3">
        <v>0.0</v>
      </c>
      <c r="D10972" s="3">
        <v>0.0</v>
      </c>
      <c r="E10972" s="3">
        <v>0.0</v>
      </c>
      <c r="F10972" s="3" t="s">
        <v>31202</v>
      </c>
      <c r="G10972" s="3">
        <v>0.0</v>
      </c>
      <c r="H10972" s="3">
        <v>0.0</v>
      </c>
      <c r="I10972" s="3" t="s">
        <v>13</v>
      </c>
      <c r="J10972" s="3" t="s">
        <v>31203</v>
      </c>
      <c r="K10972" s="3" t="s">
        <v>1345</v>
      </c>
      <c r="L10972" s="3" t="str">
        <f>IFERROR(__xludf.DUMMYFUNCTION("GOOGLETRANSLATE(F10972,""id"",""en"")"),"Argentina is champion and I'm very proud but I'm also proud of mbapee seriously she is really cool")</f>
        <v>Argentina is champion and I'm very proud but I'm also proud of mbapee seriously she is really cool</v>
      </c>
    </row>
    <row r="10973" ht="15.75" customHeight="1">
      <c r="A10973" s="1">
        <v>12216.0</v>
      </c>
      <c r="B10973" s="3" t="s">
        <v>31204</v>
      </c>
      <c r="C10973" s="3">
        <v>1.0</v>
      </c>
      <c r="D10973" s="3">
        <v>0.0</v>
      </c>
      <c r="E10973" s="3">
        <v>1.0</v>
      </c>
      <c r="F10973" s="3" t="s">
        <v>31205</v>
      </c>
      <c r="G10973" s="3">
        <v>0.0</v>
      </c>
      <c r="H10973" s="3">
        <v>0.0</v>
      </c>
      <c r="I10973" s="3" t="s">
        <v>13</v>
      </c>
      <c r="J10973" s="3" t="s">
        <v>31206</v>
      </c>
      <c r="K10973" s="3" t="s">
        <v>644</v>
      </c>
      <c r="L10973" s="3" t="str">
        <f>IFERROR(__xludf.DUMMYFUNCTION("GOOGLETRANSLATE(F10973,""id"",""en"")"),"has been said from the beginning Argentina who won this year")</f>
        <v>has been said from the beginning Argentina who won this year</v>
      </c>
    </row>
    <row r="10974" ht="15.75" customHeight="1">
      <c r="A10974" s="1">
        <v>12217.0</v>
      </c>
      <c r="B10974" s="3" t="s">
        <v>31207</v>
      </c>
      <c r="C10974" s="3">
        <v>0.0</v>
      </c>
      <c r="D10974" s="3">
        <v>0.0</v>
      </c>
      <c r="E10974" s="3">
        <v>0.0</v>
      </c>
      <c r="F10974" s="3" t="s">
        <v>30273</v>
      </c>
      <c r="G10974" s="3">
        <v>0.0</v>
      </c>
      <c r="H10974" s="3">
        <v>0.0</v>
      </c>
      <c r="I10974" s="3" t="s">
        <v>13</v>
      </c>
      <c r="J10974" s="3" t="s">
        <v>30274</v>
      </c>
      <c r="K10974" s="3" t="s">
        <v>15</v>
      </c>
      <c r="L10974" s="3" t="str">
        <f>IFERROR(__xludf.DUMMYFUNCTION("GOOGLETRANSLATE(F10974,""id"",""en"")"),"Through the Argentine Penalty Drama Champion World Cup")</f>
        <v>Through the Argentine Penalty Drama Champion World Cup</v>
      </c>
    </row>
    <row r="10975" ht="15.75" customHeight="1">
      <c r="A10975" s="1">
        <v>12218.0</v>
      </c>
      <c r="B10975" s="3" t="s">
        <v>31208</v>
      </c>
      <c r="C10975" s="3">
        <v>0.0</v>
      </c>
      <c r="D10975" s="3">
        <v>3.0</v>
      </c>
      <c r="E10975" s="3">
        <v>10.0</v>
      </c>
      <c r="F10975" s="3" t="s">
        <v>31209</v>
      </c>
      <c r="G10975" s="3">
        <v>0.0</v>
      </c>
      <c r="H10975" s="3">
        <v>0.0</v>
      </c>
      <c r="I10975" s="3" t="s">
        <v>13</v>
      </c>
      <c r="J10975" s="3" t="s">
        <v>31210</v>
      </c>
      <c r="K10975" s="3" t="s">
        <v>54</v>
      </c>
      <c r="L10975" s="3" t="str">
        <f>IFERROR(__xludf.DUMMYFUNCTION("GOOGLETRANSLATE(F10975,""id"",""en"")"),"Rodrigo Paul Argentina national team deserves champions")</f>
        <v>Rodrigo Paul Argentina national team deserves champions</v>
      </c>
    </row>
    <row r="10976" ht="15.75" customHeight="1">
      <c r="A10976" s="1">
        <v>12219.0</v>
      </c>
      <c r="B10976" s="3" t="s">
        <v>31211</v>
      </c>
      <c r="C10976" s="3">
        <v>1.0</v>
      </c>
      <c r="D10976" s="3">
        <v>2.0</v>
      </c>
      <c r="E10976" s="3">
        <v>15.0</v>
      </c>
      <c r="F10976" s="3" t="s">
        <v>21058</v>
      </c>
      <c r="G10976" s="3">
        <v>0.0</v>
      </c>
      <c r="H10976" s="3">
        <v>0.0</v>
      </c>
      <c r="I10976" s="3" t="s">
        <v>13</v>
      </c>
      <c r="J10976" s="3" t="s">
        <v>21059</v>
      </c>
      <c r="K10976" s="3" t="s">
        <v>2117</v>
      </c>
      <c r="L10976" s="3" t="str">
        <f>IFERROR(__xludf.DUMMYFUNCTION("GOOGLETRANSLATE(F10976,""id"",""en"")"),"Happy Argentina Champion")</f>
        <v>Happy Argentina Champion</v>
      </c>
    </row>
    <row r="10977" ht="15.75" customHeight="1">
      <c r="A10977" s="1">
        <v>12220.0</v>
      </c>
      <c r="B10977" s="3" t="s">
        <v>31212</v>
      </c>
      <c r="C10977" s="3">
        <v>0.0</v>
      </c>
      <c r="D10977" s="3">
        <v>0.0</v>
      </c>
      <c r="E10977" s="3">
        <v>0.0</v>
      </c>
      <c r="F10977" s="3" t="s">
        <v>31213</v>
      </c>
      <c r="G10977" s="3">
        <v>0.0</v>
      </c>
      <c r="H10977" s="3">
        <v>0.0</v>
      </c>
      <c r="I10977" s="3" t="s">
        <v>13</v>
      </c>
      <c r="J10977" s="3" t="s">
        <v>31214</v>
      </c>
      <c r="K10977" s="3" t="s">
        <v>644</v>
      </c>
      <c r="L10977" s="3" t="str">
        <f>IFERROR(__xludf.DUMMYFUNCTION("GOOGLETRANSLATE(F10977,""id"",""en"")"),"Argentina World Champion Dance")</f>
        <v>Argentina World Champion Dance</v>
      </c>
    </row>
    <row r="10978" ht="15.75" customHeight="1">
      <c r="A10978" s="1">
        <v>12221.0</v>
      </c>
      <c r="B10978" s="3" t="s">
        <v>31215</v>
      </c>
      <c r="C10978" s="3">
        <v>2.0</v>
      </c>
      <c r="D10978" s="3">
        <v>0.0</v>
      </c>
      <c r="E10978" s="3">
        <v>0.0</v>
      </c>
      <c r="F10978" s="3" t="s">
        <v>31216</v>
      </c>
      <c r="G10978" s="3">
        <v>0.0</v>
      </c>
      <c r="H10978" s="3">
        <v>0.0</v>
      </c>
      <c r="I10978" s="3" t="s">
        <v>13</v>
      </c>
      <c r="J10978" s="3" t="s">
        <v>31217</v>
      </c>
      <c r="K10978" s="3" t="s">
        <v>54</v>
      </c>
      <c r="L10978" s="3" t="str">
        <f>IFERROR(__xludf.DUMMYFUNCTION("GOOGLETRANSLATE(F10978,""id"",""en"")"),"why is the Argentina champion koar fans decul")</f>
        <v>why is the Argentina champion koar fans decul</v>
      </c>
    </row>
    <row r="10979" ht="15.75" customHeight="1">
      <c r="A10979" s="1">
        <v>12222.0</v>
      </c>
      <c r="B10979" s="3" t="s">
        <v>31218</v>
      </c>
      <c r="C10979" s="3">
        <v>0.0</v>
      </c>
      <c r="D10979" s="3">
        <v>0.0</v>
      </c>
      <c r="E10979" s="3">
        <v>0.0</v>
      </c>
      <c r="F10979" s="3" t="s">
        <v>31151</v>
      </c>
      <c r="G10979" s="3">
        <v>0.0</v>
      </c>
      <c r="H10979" s="3">
        <v>0.0</v>
      </c>
      <c r="I10979" s="3" t="s">
        <v>13</v>
      </c>
      <c r="J10979" s="3" t="s">
        <v>31152</v>
      </c>
      <c r="K10979" s="3" t="s">
        <v>54</v>
      </c>
      <c r="L10979" s="3" t="str">
        <f>IFERROR(__xludf.DUMMYFUNCTION("GOOGLETRANSLATE(F10979,""id"",""en"")"),"Argentina World Champion Scaloni I feel free")</f>
        <v>Argentina World Champion Scaloni I feel free</v>
      </c>
    </row>
    <row r="10980" ht="15.75" customHeight="1">
      <c r="A10980" s="1">
        <v>12223.0</v>
      </c>
      <c r="B10980" s="3" t="s">
        <v>31219</v>
      </c>
      <c r="C10980" s="3">
        <v>0.0</v>
      </c>
      <c r="D10980" s="3">
        <v>0.0</v>
      </c>
      <c r="E10980" s="3">
        <v>0.0</v>
      </c>
      <c r="F10980" s="3" t="s">
        <v>19019</v>
      </c>
      <c r="G10980" s="3">
        <v>0.0</v>
      </c>
      <c r="H10980" s="3">
        <v>0.0</v>
      </c>
      <c r="I10980" s="3" t="s">
        <v>13</v>
      </c>
      <c r="J10980" s="3" t="s">
        <v>19020</v>
      </c>
      <c r="K10980" s="3" t="s">
        <v>82</v>
      </c>
      <c r="L10980" s="3" t="str">
        <f>IFERROR(__xludf.DUMMYFUNCTION("GOOGLETRANSLATE(F10980,""id"",""en"")"),"Argentina Champion World Cup Lionel Messi Perfect")</f>
        <v>Argentina Champion World Cup Lionel Messi Perfect</v>
      </c>
    </row>
    <row r="10981" ht="15.75" customHeight="1">
      <c r="A10981" s="1">
        <v>12224.0</v>
      </c>
      <c r="B10981" s="3" t="s">
        <v>31220</v>
      </c>
      <c r="C10981" s="3">
        <v>0.0</v>
      </c>
      <c r="D10981" s="3">
        <v>0.0</v>
      </c>
      <c r="E10981" s="3">
        <v>0.0</v>
      </c>
      <c r="F10981" s="3" t="s">
        <v>31221</v>
      </c>
      <c r="G10981" s="3">
        <v>0.0</v>
      </c>
      <c r="H10981" s="3">
        <v>0.0</v>
      </c>
      <c r="I10981" s="3" t="s">
        <v>13</v>
      </c>
      <c r="J10981" s="3" t="s">
        <v>31222</v>
      </c>
      <c r="K10981" s="3" t="s">
        <v>41</v>
      </c>
      <c r="L10981" s="3" t="str">
        <f>IFERROR(__xludf.DUMMYFUNCTION("GOOGLETRANSLATE(F10981,""id"",""en"")"),"Masio Argentina Champion Sing Winning Wong Wedok Mbah")</f>
        <v>Masio Argentina Champion Sing Winning Wong Wedok Mbah</v>
      </c>
    </row>
    <row r="10982" ht="15.75" customHeight="1">
      <c r="A10982" s="1">
        <v>12225.0</v>
      </c>
      <c r="B10982" s="3" t="s">
        <v>31223</v>
      </c>
      <c r="C10982" s="3">
        <v>0.0</v>
      </c>
      <c r="D10982" s="3">
        <v>0.0</v>
      </c>
      <c r="E10982" s="3">
        <v>0.0</v>
      </c>
      <c r="F10982" s="3" t="s">
        <v>31224</v>
      </c>
      <c r="G10982" s="3">
        <v>0.0</v>
      </c>
      <c r="H10982" s="3">
        <v>0.0</v>
      </c>
      <c r="I10982" s="3" t="s">
        <v>13</v>
      </c>
      <c r="J10982" s="3" t="s">
        <v>31225</v>
      </c>
      <c r="K10982" s="3" t="s">
        <v>467</v>
      </c>
      <c r="L10982" s="3" t="str">
        <f>IFERROR(__xludf.DUMMYFUNCTION("GOOGLETRANSLATE(F10982,""id"",""en"")"),"During staying up late because this year's World Cup finally woke up in the morning because of the victory of Argentina this year's World Cup championship")</f>
        <v>During staying up late because this year's World Cup finally woke up in the morning because of the victory of Argentina this year's World Cup championship</v>
      </c>
    </row>
    <row r="10983" ht="15.75" customHeight="1">
      <c r="A10983" s="1">
        <v>12226.0</v>
      </c>
      <c r="B10983" s="3" t="s">
        <v>31226</v>
      </c>
      <c r="C10983" s="3">
        <v>0.0</v>
      </c>
      <c r="D10983" s="3">
        <v>0.0</v>
      </c>
      <c r="E10983" s="3">
        <v>1.0</v>
      </c>
      <c r="F10983" s="3" t="s">
        <v>31227</v>
      </c>
      <c r="G10983" s="3">
        <v>0.0</v>
      </c>
      <c r="H10983" s="3">
        <v>0.0</v>
      </c>
      <c r="I10983" s="3" t="s">
        <v>13</v>
      </c>
      <c r="J10983" s="3" t="s">
        <v>31228</v>
      </c>
      <c r="K10983" s="3" t="s">
        <v>31</v>
      </c>
      <c r="L10983" s="3" t="str">
        <f>IFERROR(__xludf.DUMMYFUNCTION("GOOGLETRANSLATE(F10983,""id"",""en"")"),"Already good closing Argentina with champions")</f>
        <v>Already good closing Argentina with champions</v>
      </c>
    </row>
    <row r="10984" ht="15.75" customHeight="1">
      <c r="A10984" s="1">
        <v>12227.0</v>
      </c>
      <c r="B10984" s="3" t="s">
        <v>31229</v>
      </c>
      <c r="C10984" s="3">
        <v>0.0</v>
      </c>
      <c r="D10984" s="3">
        <v>0.0</v>
      </c>
      <c r="E10984" s="3">
        <v>2.0</v>
      </c>
      <c r="F10984" s="3" t="s">
        <v>31230</v>
      </c>
      <c r="G10984" s="3">
        <v>0.0</v>
      </c>
      <c r="H10984" s="3">
        <v>0.0</v>
      </c>
      <c r="I10984" s="3" t="s">
        <v>13</v>
      </c>
      <c r="J10984" s="3" t="s">
        <v>31231</v>
      </c>
      <c r="K10984" s="3" t="s">
        <v>27</v>
      </c>
      <c r="L10984" s="3" t="str">
        <f>IFERROR(__xludf.DUMMYFUNCTION("GOOGLETRANSLATE(F10984,""id"",""en"")"),"Until the Argentina Champion Copa Fans Ronaldo always demeaning Messi Heroes Chile was Messiun Lah Tai Bapak Dogs now they can take refuge again from the name of the International Trophi")</f>
        <v>Until the Argentina Champion Copa Fans Ronaldo always demeaning Messi Heroes Chile was Messiun Lah Tai Bapak Dogs now they can take refuge again from the name of the International Trophi</v>
      </c>
    </row>
    <row r="10985" ht="15.75" customHeight="1">
      <c r="A10985" s="1">
        <v>12228.0</v>
      </c>
      <c r="B10985" s="3" t="s">
        <v>31232</v>
      </c>
      <c r="C10985" s="3">
        <v>0.0</v>
      </c>
      <c r="D10985" s="3">
        <v>1.0</v>
      </c>
      <c r="E10985" s="3">
        <v>6.0</v>
      </c>
      <c r="F10985" s="3" t="s">
        <v>31233</v>
      </c>
      <c r="G10985" s="3">
        <v>0.0</v>
      </c>
      <c r="H10985" s="3">
        <v>0.0</v>
      </c>
      <c r="I10985" s="3" t="s">
        <v>13</v>
      </c>
      <c r="J10985" s="3" t="s">
        <v>31234</v>
      </c>
      <c r="K10985" s="3" t="s">
        <v>41</v>
      </c>
      <c r="L10985" s="3" t="str">
        <f>IFERROR(__xludf.DUMMYFUNCTION("GOOGLETRANSLATE(F10985,""id"",""en"")"),"Bring Argentina World Cup Champion Messi has no intention of retiring")</f>
        <v>Bring Argentina World Cup Champion Messi has no intention of retiring</v>
      </c>
    </row>
    <row r="10986" ht="15.75" customHeight="1">
      <c r="A10986" s="1">
        <v>12229.0</v>
      </c>
      <c r="B10986" s="3" t="s">
        <v>31235</v>
      </c>
      <c r="C10986" s="3">
        <v>1.0</v>
      </c>
      <c r="D10986" s="3">
        <v>0.0</v>
      </c>
      <c r="E10986" s="3">
        <v>1.0</v>
      </c>
      <c r="F10986" s="3" t="s">
        <v>31236</v>
      </c>
      <c r="G10986" s="3">
        <v>0.5111111111111111</v>
      </c>
      <c r="H10986" s="3">
        <v>-0.07777777777777777</v>
      </c>
      <c r="I10986" s="3" t="s">
        <v>179</v>
      </c>
      <c r="J10986" s="3" t="s">
        <v>31237</v>
      </c>
      <c r="K10986" s="3" t="s">
        <v>2146</v>
      </c>
      <c r="L10986" s="3" t="str">
        <f>IFERROR(__xludf.DUMMYFUNCTION("GOOGLETRANSLATE(F10986,""id"",""en"")"),"Imagine Emi Martinez did not get the opportunity to play here The Real Blessing Disguise also Kasian also Leno injured the displaced position and now the other teams were thrown behind it Emi and Argentina who took his blessing until the world champion Cr"&amp;"azy see how")</f>
        <v>Imagine Emi Martinez did not get the opportunity to play here The Real Blessing Disguise also Kasian also Leno injured the displaced position and now the other teams were thrown behind it Emi and Argentina who took his blessing until the world champion Crazy see how</v>
      </c>
    </row>
    <row r="10987" ht="15.75" customHeight="1">
      <c r="A10987" s="1">
        <v>12230.0</v>
      </c>
      <c r="B10987" s="3" t="s">
        <v>31238</v>
      </c>
      <c r="C10987" s="3">
        <v>0.0</v>
      </c>
      <c r="D10987" s="3">
        <v>0.0</v>
      </c>
      <c r="E10987" s="3">
        <v>0.0</v>
      </c>
      <c r="F10987" s="3" t="s">
        <v>31239</v>
      </c>
      <c r="G10987" s="3">
        <v>0.0</v>
      </c>
      <c r="H10987" s="3">
        <v>0.0</v>
      </c>
      <c r="I10987" s="3" t="s">
        <v>13</v>
      </c>
      <c r="J10987" s="3" t="s">
        <v>31240</v>
      </c>
      <c r="K10987" s="3" t="s">
        <v>82</v>
      </c>
      <c r="L10987" s="3" t="str">
        <f>IFERROR(__xludf.DUMMYFUNCTION("GOOGLETRANSLATE(F10987,""id"",""en"")"),"Through Argentine Penalties World Cup Champion")</f>
        <v>Through Argentine Penalties World Cup Champion</v>
      </c>
    </row>
    <row r="10988" ht="15.75" customHeight="1">
      <c r="A10988" s="1">
        <v>12231.0</v>
      </c>
      <c r="B10988" s="3" t="s">
        <v>31241</v>
      </c>
      <c r="C10988" s="3">
        <v>0.0</v>
      </c>
      <c r="D10988" s="3">
        <v>0.0</v>
      </c>
      <c r="E10988" s="3">
        <v>0.0</v>
      </c>
      <c r="F10988" s="3" t="s">
        <v>31242</v>
      </c>
      <c r="G10988" s="3">
        <v>0.0</v>
      </c>
      <c r="H10988" s="3">
        <v>0.0</v>
      </c>
      <c r="I10988" s="3" t="s">
        <v>13</v>
      </c>
      <c r="J10988" s="3" t="s">
        <v>31243</v>
      </c>
      <c r="K10988" s="3" t="s">
        <v>1097</v>
      </c>
      <c r="L10988" s="3" t="str">
        <f>IFERROR(__xludf.DUMMYFUNCTION("GOOGLETRANSLATE(F10988,""id"",""en"")"),"Argentina Argentina Champion World Cup with Messi Happy Happy")</f>
        <v>Argentina Argentina Champion World Cup with Messi Happy Happy</v>
      </c>
    </row>
    <row r="10989" ht="15.75" customHeight="1">
      <c r="A10989" s="1">
        <v>12232.0</v>
      </c>
      <c r="B10989" s="3" t="s">
        <v>31244</v>
      </c>
      <c r="C10989" s="3">
        <v>0.0</v>
      </c>
      <c r="D10989" s="3">
        <v>0.0</v>
      </c>
      <c r="E10989" s="3">
        <v>0.0</v>
      </c>
      <c r="F10989" s="3" t="s">
        <v>31245</v>
      </c>
      <c r="G10989" s="3">
        <v>0.0</v>
      </c>
      <c r="H10989" s="3">
        <v>0.0</v>
      </c>
      <c r="I10989" s="3" t="s">
        <v>13</v>
      </c>
      <c r="J10989" s="3" t="s">
        <v>31246</v>
      </c>
      <c r="K10989" s="3" t="s">
        <v>644</v>
      </c>
      <c r="L10989" s="3" t="str">
        <f>IFERROR(__xludf.DUMMYFUNCTION("GOOGLETRANSLATE(F10989,""id"",""en"")"),"Happy Argentina World Champion")</f>
        <v>Happy Argentina World Champion</v>
      </c>
    </row>
    <row r="10990" ht="15.75" customHeight="1">
      <c r="A10990" s="1">
        <v>12233.0</v>
      </c>
      <c r="B10990" s="3" t="s">
        <v>31247</v>
      </c>
      <c r="C10990" s="3">
        <v>0.0</v>
      </c>
      <c r="D10990" s="3">
        <v>0.0</v>
      </c>
      <c r="E10990" s="3">
        <v>0.0</v>
      </c>
      <c r="F10990" s="3" t="s">
        <v>31248</v>
      </c>
      <c r="G10990" s="3">
        <v>0.0</v>
      </c>
      <c r="H10990" s="3">
        <v>0.0</v>
      </c>
      <c r="I10990" s="3" t="s">
        <v>13</v>
      </c>
      <c r="J10990" s="3" t="s">
        <v>31249</v>
      </c>
      <c r="K10990" s="3" t="s">
        <v>510</v>
      </c>
      <c r="L10990" s="3" t="str">
        <f>IFERROR(__xludf.DUMMYFUNCTION("GOOGLETRANSLATE(F10990,""id"",""en"")"),"Lionel Messi carved a variety of special records after helping Argentina Champion of the Qatar World Cup")</f>
        <v>Lionel Messi carved a variety of special records after helping Argentina Champion of the Qatar World Cup</v>
      </c>
    </row>
    <row r="10991" ht="15.75" customHeight="1">
      <c r="A10991" s="1">
        <v>12234.0</v>
      </c>
      <c r="B10991" s="3" t="s">
        <v>31250</v>
      </c>
      <c r="C10991" s="3">
        <v>1.0</v>
      </c>
      <c r="D10991" s="3">
        <v>0.0</v>
      </c>
      <c r="E10991" s="3">
        <v>16.0</v>
      </c>
      <c r="F10991" s="3" t="s">
        <v>31251</v>
      </c>
      <c r="G10991" s="3">
        <v>1.0</v>
      </c>
      <c r="H10991" s="3">
        <v>0.0</v>
      </c>
      <c r="I10991" s="3" t="s">
        <v>13</v>
      </c>
      <c r="J10991" s="3" t="s">
        <v>31252</v>
      </c>
      <c r="K10991" s="3" t="s">
        <v>273</v>
      </c>
      <c r="L10991" s="3" t="str">
        <f>IFERROR(__xludf.DUMMYFUNCTION("GOOGLETRANSLATE(F10991,""id"",""en"")"),"There is a Couch that still does not accept Argentina entering the final and the champion said Francis and Argentina are not worthy")</f>
        <v>There is a Couch that still does not accept Argentina entering the final and the champion said Francis and Argentina are not worthy</v>
      </c>
    </row>
    <row r="10992" ht="15.75" customHeight="1">
      <c r="A10992" s="1">
        <v>12235.0</v>
      </c>
      <c r="B10992" s="3" t="s">
        <v>31253</v>
      </c>
      <c r="C10992" s="3">
        <v>0.0</v>
      </c>
      <c r="D10992" s="3">
        <v>0.0</v>
      </c>
      <c r="E10992" s="3">
        <v>0.0</v>
      </c>
      <c r="F10992" s="3" t="s">
        <v>31254</v>
      </c>
      <c r="G10992" s="3">
        <v>0.6166666666666667</v>
      </c>
      <c r="H10992" s="3">
        <v>0.01666666666666666</v>
      </c>
      <c r="I10992" s="3" t="s">
        <v>48</v>
      </c>
      <c r="J10992" s="3" t="s">
        <v>31255</v>
      </c>
      <c r="K10992" s="3" t="s">
        <v>192</v>
      </c>
      <c r="L10992" s="3" t="str">
        <f>IFERROR(__xludf.DUMMYFUNCTION("GOOGLETRANSLATE(F10992,""id"",""en"")"),"The Argentina game last night EMG deserves to be the World Cup champion but what is hated by Argentina's most victory Messi Come Bro Messi Udh Maen Become Legend Game FIFA level Easy level")</f>
        <v>The Argentina game last night EMG deserves to be the World Cup champion but what is hated by Argentina's most victory Messi Come Bro Messi Udh Maen Become Legend Game FIFA level Easy level</v>
      </c>
    </row>
    <row r="10993" ht="15.75" customHeight="1">
      <c r="A10993" s="1">
        <v>12236.0</v>
      </c>
      <c r="B10993" s="3" t="s">
        <v>31256</v>
      </c>
      <c r="C10993" s="3">
        <v>0.0</v>
      </c>
      <c r="D10993" s="3">
        <v>0.0</v>
      </c>
      <c r="E10993" s="3">
        <v>0.0</v>
      </c>
      <c r="F10993" s="3" t="s">
        <v>31257</v>
      </c>
      <c r="G10993" s="3">
        <v>0.0</v>
      </c>
      <c r="H10993" s="3">
        <v>0.0</v>
      </c>
      <c r="I10993" s="3" t="s">
        <v>13</v>
      </c>
      <c r="J10993" s="3" t="s">
        <v>31258</v>
      </c>
      <c r="K10993" s="3" t="s">
        <v>15</v>
      </c>
      <c r="L10993" s="3" t="str">
        <f>IFERROR(__xludf.DUMMYFUNCTION("GOOGLETRANSLATE(F10993,""id"",""en"")"),"Through Argentine penalties Champion World Cup Qatar")</f>
        <v>Through Argentine penalties Champion World Cup Qatar</v>
      </c>
    </row>
    <row r="10994" ht="15.75" customHeight="1">
      <c r="A10994" s="1">
        <v>12237.0</v>
      </c>
      <c r="B10994" s="3" t="s">
        <v>31259</v>
      </c>
      <c r="C10994" s="3">
        <v>1.0</v>
      </c>
      <c r="D10994" s="3">
        <v>0.0</v>
      </c>
      <c r="E10994" s="3">
        <v>0.0</v>
      </c>
      <c r="F10994" s="3" t="s">
        <v>31260</v>
      </c>
      <c r="G10994" s="3">
        <v>0.0</v>
      </c>
      <c r="H10994" s="3">
        <v>0.0</v>
      </c>
      <c r="I10994" s="3" t="s">
        <v>13</v>
      </c>
      <c r="J10994" s="3" t="s">
        <v>31261</v>
      </c>
      <c r="K10994" s="3" t="s">
        <v>997</v>
      </c>
      <c r="L10994" s="3" t="str">
        <f>IFERROR(__xludf.DUMMYFUNCTION("GOOGLETRANSLATE(F10994,""id"",""en"")"),"The World Cup has finished its convoy and fireworks celebrate the happiness of Argentina as a soccer world champion and how long it is to sink in frenetic over the victory of other countries more than live")</f>
        <v>The World Cup has finished its convoy and fireworks celebrate the happiness of Argentina as a soccer world champion and how long it is to sink in frenetic over the victory of other countries more than live</v>
      </c>
    </row>
    <row r="10995" ht="15.75" customHeight="1">
      <c r="A10995" s="1">
        <v>12238.0</v>
      </c>
      <c r="B10995" s="3" t="s">
        <v>31262</v>
      </c>
      <c r="C10995" s="3">
        <v>0.0</v>
      </c>
      <c r="D10995" s="3">
        <v>0.0</v>
      </c>
      <c r="E10995" s="3">
        <v>0.0</v>
      </c>
      <c r="F10995" s="3" t="s">
        <v>31263</v>
      </c>
      <c r="G10995" s="3">
        <v>0.5</v>
      </c>
      <c r="H10995" s="3">
        <v>0.5</v>
      </c>
      <c r="I10995" s="3" t="s">
        <v>48</v>
      </c>
      <c r="J10995" s="3" t="s">
        <v>31264</v>
      </c>
      <c r="K10995" s="3" t="s">
        <v>2146</v>
      </c>
      <c r="L10995" s="3" t="str">
        <f>IFERROR(__xludf.DUMMYFUNCTION("GOOGLETRANSLATE(F10995,""id"",""en"")"),"Media Monitoring Top Figure Des Jokowi Mbappe Anies Baswedan Ganjar Pranowo Luka Modric Erick Thohir Ferdy Sambo Didier Deschamps Sandiaga Uno News Awaiting Messi Bringing Argentina World Cup Champion Qatar")</f>
        <v>Media Monitoring Top Figure Des Jokowi Mbappe Anies Baswedan Ganjar Pranowo Luka Modric Erick Thohir Ferdy Sambo Didier Deschamps Sandiaga Uno News Awaiting Messi Bringing Argentina World Cup Champion Qatar</v>
      </c>
    </row>
    <row r="10996" ht="15.75" customHeight="1">
      <c r="A10996" s="1">
        <v>12239.0</v>
      </c>
      <c r="B10996" s="3" t="s">
        <v>31265</v>
      </c>
      <c r="C10996" s="3">
        <v>0.0</v>
      </c>
      <c r="D10996" s="3">
        <v>0.0</v>
      </c>
      <c r="E10996" s="3">
        <v>0.0</v>
      </c>
      <c r="F10996" s="3" t="s">
        <v>31266</v>
      </c>
      <c r="G10996" s="3">
        <v>0.0</v>
      </c>
      <c r="H10996" s="3">
        <v>0.0</v>
      </c>
      <c r="I10996" s="3" t="s">
        <v>13</v>
      </c>
      <c r="J10996" s="3" t="s">
        <v>31267</v>
      </c>
      <c r="K10996" s="3" t="s">
        <v>15</v>
      </c>
      <c r="L10996" s="3" t="str">
        <f>IFERROR(__xludf.DUMMYFUNCTION("GOOGLETRANSLATE(F10996,""id"",""en"")"),"Argentina Champion World Cup Scaloni Answering Maradona Doubts")</f>
        <v>Argentina Champion World Cup Scaloni Answering Maradona Doubts</v>
      </c>
    </row>
    <row r="10997" ht="15.75" customHeight="1">
      <c r="A10997" s="1">
        <v>12240.0</v>
      </c>
      <c r="B10997" s="3" t="s">
        <v>31268</v>
      </c>
      <c r="C10997" s="3">
        <v>0.0</v>
      </c>
      <c r="D10997" s="3">
        <v>0.0</v>
      </c>
      <c r="E10997" s="3">
        <v>0.0</v>
      </c>
      <c r="F10997" s="3" t="s">
        <v>31248</v>
      </c>
      <c r="G10997" s="3">
        <v>0.0</v>
      </c>
      <c r="H10997" s="3">
        <v>0.0</v>
      </c>
      <c r="I10997" s="3" t="s">
        <v>13</v>
      </c>
      <c r="J10997" s="3" t="s">
        <v>31249</v>
      </c>
      <c r="K10997" s="3" t="s">
        <v>510</v>
      </c>
      <c r="L10997" s="3" t="str">
        <f>IFERROR(__xludf.DUMMYFUNCTION("GOOGLETRANSLATE(F10997,""id"",""en"")"),"Lionel Messi carved a variety of special records after helping Argentina Champion of the Qatar World Cup")</f>
        <v>Lionel Messi carved a variety of special records after helping Argentina Champion of the Qatar World Cup</v>
      </c>
    </row>
    <row r="10998" ht="15.75" customHeight="1">
      <c r="A10998" s="1">
        <v>12241.0</v>
      </c>
      <c r="B10998" s="3" t="s">
        <v>31269</v>
      </c>
      <c r="C10998" s="3">
        <v>0.0</v>
      </c>
      <c r="D10998" s="3">
        <v>0.0</v>
      </c>
      <c r="E10998" s="3">
        <v>2.0</v>
      </c>
      <c r="F10998" s="3" t="s">
        <v>31270</v>
      </c>
      <c r="G10998" s="3">
        <v>0.0</v>
      </c>
      <c r="H10998" s="3">
        <v>0.0</v>
      </c>
      <c r="I10998" s="3" t="s">
        <v>13</v>
      </c>
      <c r="J10998" s="3" t="s">
        <v>31271</v>
      </c>
      <c r="K10998" s="3" t="s">
        <v>240</v>
      </c>
      <c r="L10998" s="3" t="str">
        <f>IFERROR(__xludf.DUMMYFUNCTION("GOOGLETRANSLATE(F10998,""id"",""en"")"),"After the world title of Muter European Muluk German Italy, French Spanish could finally be captured by South American Argentina")</f>
        <v>After the world title of Muter European Muluk German Italy, French Spanish could finally be captured by South American Argentina</v>
      </c>
    </row>
    <row r="10999" ht="15.75" customHeight="1">
      <c r="A10999" s="1">
        <v>12242.0</v>
      </c>
      <c r="B10999" s="3" t="s">
        <v>31272</v>
      </c>
      <c r="C10999" s="3">
        <v>0.0</v>
      </c>
      <c r="D10999" s="3">
        <v>0.0</v>
      </c>
      <c r="E10999" s="3">
        <v>0.0</v>
      </c>
      <c r="F10999" s="3" t="s">
        <v>31273</v>
      </c>
      <c r="G10999" s="3">
        <v>0.0</v>
      </c>
      <c r="H10999" s="3">
        <v>0.0</v>
      </c>
      <c r="I10999" s="3" t="s">
        <v>13</v>
      </c>
      <c r="J10999" s="3" t="s">
        <v>31274</v>
      </c>
      <c r="K10999" s="3" t="s">
        <v>520</v>
      </c>
      <c r="L10999" s="3" t="str">
        <f>IFERROR(__xludf.DUMMYFUNCTION("GOOGLETRANSLATE(F10999,""id"",""en"")"),"Thank you Argentina and Messi of God's Son All of this thanks to the prayers of all Christians Praise God Haleluya Christian Champion for other versions")</f>
        <v>Thank you Argentina and Messi of God's Son All of this thanks to the prayers of all Christians Praise God Haleluya Christian Champion for other versions</v>
      </c>
    </row>
    <row r="11000" ht="15.75" customHeight="1">
      <c r="A11000" s="1">
        <v>12243.0</v>
      </c>
      <c r="B11000" s="3" t="s">
        <v>31275</v>
      </c>
      <c r="C11000" s="3">
        <v>0.0</v>
      </c>
      <c r="D11000" s="3">
        <v>0.0</v>
      </c>
      <c r="E11000" s="3">
        <v>0.0</v>
      </c>
      <c r="F11000" s="3" t="s">
        <v>31276</v>
      </c>
      <c r="G11000" s="3">
        <v>0.4333333333333333</v>
      </c>
      <c r="H11000" s="3">
        <v>-0.03333333333333333</v>
      </c>
      <c r="I11000" s="3" t="s">
        <v>179</v>
      </c>
      <c r="J11000" s="3" t="s">
        <v>31277</v>
      </c>
      <c r="K11000" s="3" t="s">
        <v>449</v>
      </c>
      <c r="L11000" s="3" t="str">
        <f>IFERROR(__xludf.DUMMYFUNCTION("GOOGLETRANSLATE(F11000,""id"",""en"")"),"From the final to extra time there are still those who think Argentina benefits until the end of the mental penalty shooting is what shows where worthy of champion as usual the winner will celebrate and who do not like will always look for reasons")</f>
        <v>From the final to extra time there are still those who think Argentina benefits until the end of the mental penalty shooting is what shows where worthy of champion as usual the winner will celebrate and who do not like will always look for reasons</v>
      </c>
    </row>
    <row r="11001" ht="15.75" customHeight="1">
      <c r="A11001" s="1">
        <v>12244.0</v>
      </c>
      <c r="B11001" s="3" t="s">
        <v>31278</v>
      </c>
      <c r="C11001" s="3">
        <v>0.0</v>
      </c>
      <c r="D11001" s="3">
        <v>0.0</v>
      </c>
      <c r="E11001" s="3">
        <v>0.0</v>
      </c>
      <c r="F11001" s="3" t="s">
        <v>31279</v>
      </c>
      <c r="G11001" s="3">
        <v>0.0</v>
      </c>
      <c r="H11001" s="3">
        <v>0.0</v>
      </c>
      <c r="I11001" s="3" t="s">
        <v>13</v>
      </c>
      <c r="J11001" s="3" t="s">
        <v>31280</v>
      </c>
      <c r="K11001" s="3" t="s">
        <v>54</v>
      </c>
      <c r="L11001" s="3" t="str">
        <f>IFERROR(__xludf.DUMMYFUNCTION("GOOGLETRANSLATE(F11001,""id"",""en"")"),"Indeed, the prediction of sports if Argentina is champion")</f>
        <v>Indeed, the prediction of sports if Argentina is champion</v>
      </c>
    </row>
    <row r="11002" ht="15.75" customHeight="1">
      <c r="A11002" s="1">
        <v>12245.0</v>
      </c>
      <c r="B11002" s="3" t="s">
        <v>31281</v>
      </c>
      <c r="C11002" s="3">
        <v>0.0</v>
      </c>
      <c r="D11002" s="3">
        <v>0.0</v>
      </c>
      <c r="E11002" s="3">
        <v>0.0</v>
      </c>
      <c r="F11002" s="3" t="s">
        <v>31282</v>
      </c>
      <c r="G11002" s="3">
        <v>0.0</v>
      </c>
      <c r="H11002" s="3">
        <v>0.0</v>
      </c>
      <c r="I11002" s="3" t="s">
        <v>13</v>
      </c>
      <c r="J11002" s="3" t="s">
        <v>31283</v>
      </c>
      <c r="K11002" s="3" t="s">
        <v>41</v>
      </c>
      <c r="L11002" s="3" t="str">
        <f>IFERROR(__xludf.DUMMYFUNCTION("GOOGLETRANSLATE(F11002,""id"",""en"")"),"Still waiting for the Argentine presidential poster to say congratulations on the World Cup championship")</f>
        <v>Still waiting for the Argentine presidential poster to say congratulations on the World Cup championship</v>
      </c>
    </row>
    <row r="11003" ht="15.75" customHeight="1">
      <c r="A11003" s="1">
        <v>12246.0</v>
      </c>
      <c r="B11003" s="3" t="s">
        <v>31284</v>
      </c>
      <c r="C11003" s="3">
        <v>4.0</v>
      </c>
      <c r="D11003" s="3">
        <v>16.0</v>
      </c>
      <c r="E11003" s="3">
        <v>18.0</v>
      </c>
      <c r="F11003" s="3" t="s">
        <v>31285</v>
      </c>
      <c r="G11003" s="3">
        <v>0.0</v>
      </c>
      <c r="H11003" s="3">
        <v>0.0</v>
      </c>
      <c r="I11003" s="3" t="s">
        <v>13</v>
      </c>
      <c r="J11003" s="3" t="s">
        <v>31286</v>
      </c>
      <c r="K11003" s="3" t="s">
        <v>657</v>
      </c>
      <c r="L11003" s="3" t="str">
        <f>IFERROR(__xludf.DUMMYFUNCTION("GOOGLETRANSLATE(F11003,""id"",""en"")"),"Argentina French champions are extraordinary living netizens indizens who are specially eternal twitwar")</f>
        <v>Argentina French champions are extraordinary living netizens indizens who are specially eternal twitwar</v>
      </c>
    </row>
    <row r="11004" ht="15.75" customHeight="1">
      <c r="A11004" s="1">
        <v>12247.0</v>
      </c>
      <c r="B11004" s="3" t="s">
        <v>31287</v>
      </c>
      <c r="C11004" s="3">
        <v>1.0</v>
      </c>
      <c r="D11004" s="3">
        <v>1.0</v>
      </c>
      <c r="E11004" s="3">
        <v>9.0</v>
      </c>
      <c r="F11004" s="3" t="s">
        <v>31176</v>
      </c>
      <c r="G11004" s="3">
        <v>0.0</v>
      </c>
      <c r="H11004" s="3">
        <v>0.0</v>
      </c>
      <c r="I11004" s="3" t="s">
        <v>13</v>
      </c>
      <c r="J11004" s="3" t="s">
        <v>31177</v>
      </c>
      <c r="K11004" s="3" t="s">
        <v>499</v>
      </c>
      <c r="L11004" s="3" t="str">
        <f>IFERROR(__xludf.DUMMYFUNCTION("GOOGLETRANSLATE(F11004,""id"",""en"")"),"Lionel Messi successfully won the World Cup with his team Argentina Bench audience there is a figure of his wife Antonela Roccuzzo who is tense until happy with his portrait")</f>
        <v>Lionel Messi successfully won the World Cup with his team Argentina Bench audience there is a figure of his wife Antonela Roccuzzo who is tense until happy with his portrait</v>
      </c>
    </row>
    <row r="11005" ht="15.75" customHeight="1">
      <c r="A11005" s="1">
        <v>12248.0</v>
      </c>
      <c r="B11005" s="3" t="s">
        <v>31288</v>
      </c>
      <c r="C11005" s="3">
        <v>0.0</v>
      </c>
      <c r="D11005" s="3">
        <v>0.0</v>
      </c>
      <c r="E11005" s="3">
        <v>0.0</v>
      </c>
      <c r="F11005" s="3" t="s">
        <v>31289</v>
      </c>
      <c r="G11005" s="3">
        <v>1.0</v>
      </c>
      <c r="H11005" s="3">
        <v>0.0</v>
      </c>
      <c r="I11005" s="3" t="s">
        <v>13</v>
      </c>
      <c r="J11005" s="3" t="s">
        <v>31290</v>
      </c>
      <c r="K11005" s="3" t="s">
        <v>725</v>
      </c>
      <c r="L11005" s="3" t="str">
        <f>IFERROR(__xludf.DUMMYFUNCTION("GOOGLETRANSLATE(F11005,""id"",""en"")"),"Messi until the achievements of Maradona Haru Biru hit the Argentine national team after ensuring themselves to become the World Cup champion after passing the final of the drama and tiring because this success ended their long wait during")</f>
        <v>Messi until the achievements of Maradona Haru Biru hit the Argentine national team after ensuring themselves to become the World Cup champion after passing the final of the drama and tiring because this success ended their long wait during</v>
      </c>
    </row>
    <row r="11006" ht="15.75" customHeight="1">
      <c r="A11006" s="1">
        <v>12249.0</v>
      </c>
      <c r="B11006" s="3" t="s">
        <v>31291</v>
      </c>
      <c r="C11006" s="3">
        <v>1.0</v>
      </c>
      <c r="D11006" s="3">
        <v>0.0</v>
      </c>
      <c r="E11006" s="3">
        <v>1.0</v>
      </c>
      <c r="F11006" s="3" t="s">
        <v>31292</v>
      </c>
      <c r="G11006" s="3">
        <v>0.0</v>
      </c>
      <c r="H11006" s="3">
        <v>0.0</v>
      </c>
      <c r="I11006" s="3" t="s">
        <v>13</v>
      </c>
      <c r="J11006" s="3" t="s">
        <v>31293</v>
      </c>
      <c r="K11006" s="3" t="s">
        <v>491</v>
      </c>
      <c r="L11006" s="3" t="str">
        <f>IFERROR(__xludf.DUMMYFUNCTION("GOOGLETRANSLATE(F11006,""id"",""en"")"),"It is true that if it is true that French citizens might win the original Argentina Fix of the residents themselves, French, even immigrants, instead")</f>
        <v>It is true that if it is true that French citizens might win the original Argentina Fix of the residents themselves, French, even immigrants, instead</v>
      </c>
    </row>
    <row r="11007" ht="15.75" customHeight="1">
      <c r="A11007" s="1">
        <v>12250.0</v>
      </c>
      <c r="B11007" s="3" t="s">
        <v>31294</v>
      </c>
      <c r="C11007" s="3">
        <v>2.0</v>
      </c>
      <c r="D11007" s="3">
        <v>0.0</v>
      </c>
      <c r="E11007" s="3">
        <v>0.0</v>
      </c>
      <c r="F11007" s="3" t="s">
        <v>31295</v>
      </c>
      <c r="G11007" s="3">
        <v>0.0</v>
      </c>
      <c r="H11007" s="3">
        <v>0.0</v>
      </c>
      <c r="I11007" s="3" t="s">
        <v>13</v>
      </c>
      <c r="J11007" s="3" t="s">
        <v>31296</v>
      </c>
      <c r="K11007" s="3" t="s">
        <v>5193</v>
      </c>
      <c r="L11007" s="3" t="str">
        <f>IFERROR(__xludf.DUMMYFUNCTION("GOOGLETRANSLATE(F11007,""id"",""en"")"),"Chopping Aya Tos Bangkit Kolayy Yes Yes Yes Argentina Champion Abi Nga Opor Hayam Bumi Yes Yes Yes")</f>
        <v>Chopping Aya Tos Bangkit Kolayy Yes Yes Yes Argentina Champion Abi Nga Opor Hayam Bumi Yes Yes Yes</v>
      </c>
    </row>
    <row r="11008" ht="15.75" customHeight="1">
      <c r="A11008" s="1">
        <v>12251.0</v>
      </c>
      <c r="B11008" s="3" t="s">
        <v>31297</v>
      </c>
      <c r="C11008" s="3">
        <v>0.0</v>
      </c>
      <c r="D11008" s="3">
        <v>0.0</v>
      </c>
      <c r="E11008" s="3">
        <v>2.0</v>
      </c>
      <c r="F11008" s="3" t="s">
        <v>31298</v>
      </c>
      <c r="G11008" s="3">
        <v>0.0</v>
      </c>
      <c r="H11008" s="3">
        <v>0.0</v>
      </c>
      <c r="I11008" s="3" t="s">
        <v>13</v>
      </c>
      <c r="J11008" s="3" t="s">
        <v>31299</v>
      </c>
      <c r="K11008" s="3" t="s">
        <v>510</v>
      </c>
      <c r="L11008" s="3" t="str">
        <f>IFERROR(__xludf.DUMMYFUNCTION("GOOGLETRANSLATE(F11008,""id"",""en"")"),"Lionel Messi said he would still play for the Argentine national team after successfully led to Albiceleste to win the World Cup")</f>
        <v>Lionel Messi said he would still play for the Argentine national team after successfully led to Albiceleste to win the World Cup</v>
      </c>
    </row>
    <row r="11009" ht="15.75" customHeight="1">
      <c r="A11009" s="1">
        <v>12252.0</v>
      </c>
      <c r="B11009" s="3" t="s">
        <v>31300</v>
      </c>
      <c r="C11009" s="3">
        <v>0.0</v>
      </c>
      <c r="D11009" s="3">
        <v>0.0</v>
      </c>
      <c r="E11009" s="3">
        <v>1.0</v>
      </c>
      <c r="F11009" s="3" t="s">
        <v>31301</v>
      </c>
      <c r="G11009" s="3">
        <v>0.0</v>
      </c>
      <c r="H11009" s="3">
        <v>0.0</v>
      </c>
      <c r="I11009" s="3" t="s">
        <v>13</v>
      </c>
      <c r="J11009" s="3" t="s">
        <v>31302</v>
      </c>
      <c r="K11009" s="3" t="s">
        <v>75</v>
      </c>
      <c r="L11009" s="3" t="str">
        <f>IFERROR(__xludf.DUMMYFUNCTION("GOOGLETRANSLATE(F11009,""id"",""en"")"),"Lionel Messi Bring Your Barcelona World Cup Champion Still the Best")</f>
        <v>Lionel Messi Bring Your Barcelona World Cup Champion Still the Best</v>
      </c>
    </row>
    <row r="11010" ht="15.75" customHeight="1">
      <c r="A11010" s="1">
        <v>12253.0</v>
      </c>
      <c r="B11010" s="3" t="s">
        <v>31303</v>
      </c>
      <c r="C11010" s="3">
        <v>1.0</v>
      </c>
      <c r="D11010" s="3">
        <v>1.0</v>
      </c>
      <c r="E11010" s="3">
        <v>0.0</v>
      </c>
      <c r="F11010" s="3" t="s">
        <v>31304</v>
      </c>
      <c r="G11010" s="3">
        <v>0.0</v>
      </c>
      <c r="H11010" s="3">
        <v>0.0</v>
      </c>
      <c r="I11010" s="3" t="s">
        <v>13</v>
      </c>
      <c r="J11010" s="3" t="s">
        <v>31305</v>
      </c>
      <c r="K11010" s="3" t="s">
        <v>54</v>
      </c>
      <c r="L11010" s="3" t="str">
        <f>IFERROR(__xludf.DUMMYFUNCTION("GOOGLETRANSLATE(F11010,""id"",""en"")"),"The important pillar of the champion for Argentina")</f>
        <v>The important pillar of the champion for Argentina</v>
      </c>
    </row>
    <row r="11011" ht="15.75" customHeight="1">
      <c r="A11011" s="1">
        <v>12254.0</v>
      </c>
      <c r="B11011" s="3" t="s">
        <v>31306</v>
      </c>
      <c r="C11011" s="3">
        <v>0.0</v>
      </c>
      <c r="D11011" s="3">
        <v>0.0</v>
      </c>
      <c r="E11011" s="3">
        <v>1.0</v>
      </c>
      <c r="F11011" s="3" t="s">
        <v>31307</v>
      </c>
      <c r="G11011" s="3">
        <v>0.0</v>
      </c>
      <c r="H11011" s="3">
        <v>0.0</v>
      </c>
      <c r="I11011" s="3" t="s">
        <v>13</v>
      </c>
      <c r="J11011" s="3" t="s">
        <v>31308</v>
      </c>
      <c r="K11011" s="3" t="s">
        <v>860</v>
      </c>
      <c r="L11011" s="3" t="str">
        <f>IFERROR(__xludf.DUMMYFUNCTION("GOOGLETRANSLATE(F11011,""id"",""en"")"),"Next Indonesia is infected with Argentina to win the AFF Cup Bismillah Come on, your national team can definitely really want to be able to see the Indonesian national team champion")</f>
        <v>Next Indonesia is infected with Argentina to win the AFF Cup Bismillah Come on, your national team can definitely really want to be able to see the Indonesian national team champion</v>
      </c>
    </row>
    <row r="11012" ht="15.75" customHeight="1">
      <c r="A11012" s="1">
        <v>12255.0</v>
      </c>
      <c r="B11012" s="3" t="s">
        <v>31309</v>
      </c>
      <c r="C11012" s="3">
        <v>0.0</v>
      </c>
      <c r="D11012" s="3">
        <v>0.0</v>
      </c>
      <c r="E11012" s="3">
        <v>0.0</v>
      </c>
      <c r="F11012" s="3" t="s">
        <v>31310</v>
      </c>
      <c r="G11012" s="3">
        <v>0.0</v>
      </c>
      <c r="H11012" s="3">
        <v>0.0</v>
      </c>
      <c r="I11012" s="3" t="s">
        <v>13</v>
      </c>
      <c r="J11012" s="3" t="s">
        <v>31311</v>
      </c>
      <c r="K11012" s="3" t="s">
        <v>16539</v>
      </c>
      <c r="L11012" s="3" t="str">
        <f>IFERROR(__xludf.DUMMYFUNCTION("GOOGLETRANSLATE(F11012,""id"",""en"")"),"Argentina World Cup Champion Argentina only lost to Saudi Arabia so it was clearly the champion was Saudi Arabia")</f>
        <v>Argentina World Cup Champion Argentina only lost to Saudi Arabia so it was clearly the champion was Saudi Arabia</v>
      </c>
    </row>
    <row r="11013" ht="15.75" customHeight="1">
      <c r="A11013" s="1">
        <v>12256.0</v>
      </c>
      <c r="B11013" s="3" t="s">
        <v>31312</v>
      </c>
      <c r="C11013" s="3">
        <v>0.0</v>
      </c>
      <c r="D11013" s="3">
        <v>0.0</v>
      </c>
      <c r="E11013" s="3">
        <v>0.0</v>
      </c>
      <c r="F11013" s="3" t="s">
        <v>31313</v>
      </c>
      <c r="G11013" s="3">
        <v>0.0</v>
      </c>
      <c r="H11013" s="3">
        <v>0.0</v>
      </c>
      <c r="I11013" s="3" t="s">
        <v>13</v>
      </c>
      <c r="J11013" s="3" t="s">
        <v>31314</v>
      </c>
      <c r="K11013" s="3" t="s">
        <v>41</v>
      </c>
      <c r="L11013" s="3" t="str">
        <f>IFERROR(__xludf.DUMMYFUNCTION("GOOGLETRANSLATE(F11013,""id"",""en"")"),"Congratulations to Argentina as World Cup and France world champions as runners")</f>
        <v>Congratulations to Argentina as World Cup and France world champions as runners</v>
      </c>
    </row>
    <row r="11014" ht="15.75" customHeight="1">
      <c r="A11014" s="1">
        <v>12257.0</v>
      </c>
      <c r="B11014" s="3" t="s">
        <v>31315</v>
      </c>
      <c r="C11014" s="3">
        <v>0.0</v>
      </c>
      <c r="D11014" s="3">
        <v>0.0</v>
      </c>
      <c r="E11014" s="3">
        <v>0.0</v>
      </c>
      <c r="F11014" s="3" t="s">
        <v>31316</v>
      </c>
      <c r="G11014" s="3">
        <v>0.0</v>
      </c>
      <c r="H11014" s="3">
        <v>0.0</v>
      </c>
      <c r="I11014" s="3" t="s">
        <v>13</v>
      </c>
      <c r="J11014" s="3" t="s">
        <v>31317</v>
      </c>
      <c r="K11014" s="3" t="s">
        <v>75</v>
      </c>
      <c r="L11014" s="3" t="str">
        <f>IFERROR(__xludf.DUMMYFUNCTION("GOOGLETRANSLATE(F11014,""id"",""en"")"),"Argentina Champion World Cup Ridwan Kamil delivered Lionel Messi's message")</f>
        <v>Argentina Champion World Cup Ridwan Kamil delivered Lionel Messi's message</v>
      </c>
    </row>
    <row r="11015" ht="15.75" customHeight="1">
      <c r="A11015" s="1">
        <v>12258.0</v>
      </c>
      <c r="B11015" s="3" t="s">
        <v>31318</v>
      </c>
      <c r="C11015" s="3">
        <v>0.0</v>
      </c>
      <c r="D11015" s="3">
        <v>0.0</v>
      </c>
      <c r="E11015" s="3">
        <v>0.0</v>
      </c>
      <c r="F11015" s="3" t="s">
        <v>31319</v>
      </c>
      <c r="G11015" s="3">
        <v>0.0</v>
      </c>
      <c r="H11015" s="3">
        <v>0.0</v>
      </c>
      <c r="I11015" s="3" t="s">
        <v>13</v>
      </c>
      <c r="J11015" s="3" t="s">
        <v>31320</v>
      </c>
      <c r="K11015" s="3" t="s">
        <v>1265</v>
      </c>
      <c r="L11015" s="3" t="str">
        <f>IFERROR(__xludf.DUMMYFUNCTION("GOOGLETRANSLATE(F11015,""id"",""en"")"),"List of World Cup champions from Argentina three times to be champions")</f>
        <v>List of World Cup champions from Argentina three times to be champions</v>
      </c>
    </row>
    <row r="11016" ht="15.75" customHeight="1">
      <c r="A11016" s="1">
        <v>12259.0</v>
      </c>
      <c r="B11016" s="3" t="s">
        <v>31321</v>
      </c>
      <c r="C11016" s="3">
        <v>0.0</v>
      </c>
      <c r="D11016" s="3">
        <v>0.0</v>
      </c>
      <c r="E11016" s="3">
        <v>0.0</v>
      </c>
      <c r="F11016" s="3" t="s">
        <v>31322</v>
      </c>
      <c r="G11016" s="3">
        <v>1.0</v>
      </c>
      <c r="H11016" s="3">
        <v>0.0</v>
      </c>
      <c r="I11016" s="3" t="s">
        <v>13</v>
      </c>
      <c r="J11016" s="3" t="s">
        <v>31323</v>
      </c>
      <c r="K11016" s="3" t="s">
        <v>286</v>
      </c>
      <c r="L11016" s="3" t="str">
        <f>IFERROR(__xludf.DUMMYFUNCTION("GOOGLETRANSLATE(F11016,""id"",""en"")"),"Maroco passed the quarter -finals of the Kadrun Nemframing the revival of Islam could defeat Andalusia now Argentina champions did not say the termination of Islam because this was purely sports for Kadrun but just confusing with religion not only poly")</f>
        <v>Maroco passed the quarter -finals of the Kadrun Nemframing the revival of Islam could defeat Andalusia now Argentina champions did not say the termination of Islam because this was purely sports for Kadrun but just confusing with religion not only poly</v>
      </c>
    </row>
    <row r="11017" ht="15.75" customHeight="1">
      <c r="A11017" s="1">
        <v>12260.0</v>
      </c>
      <c r="B11017" s="3" t="s">
        <v>31324</v>
      </c>
      <c r="C11017" s="3">
        <v>0.0</v>
      </c>
      <c r="D11017" s="3">
        <v>0.0</v>
      </c>
      <c r="E11017" s="3">
        <v>2.0</v>
      </c>
      <c r="F11017" s="3" t="s">
        <v>31325</v>
      </c>
      <c r="G11017" s="3">
        <v>0.0</v>
      </c>
      <c r="H11017" s="3">
        <v>0.0</v>
      </c>
      <c r="I11017" s="3" t="s">
        <v>13</v>
      </c>
      <c r="J11017" s="3" t="s">
        <v>31326</v>
      </c>
      <c r="K11017" s="3" t="s">
        <v>50</v>
      </c>
      <c r="L11017" s="3" t="str">
        <f>IFERROR(__xludf.DUMMYFUNCTION("GOOGLETRANSLATE(F11017,""id"",""en"")"),"Messi brought Argentina to the World Cup champion, Ronaldo Trending Twitter")</f>
        <v>Messi brought Argentina to the World Cup champion, Ronaldo Trending Twitter</v>
      </c>
    </row>
    <row r="11018" ht="15.75" customHeight="1">
      <c r="A11018" s="1">
        <v>12261.0</v>
      </c>
      <c r="B11018" s="3" t="s">
        <v>31327</v>
      </c>
      <c r="C11018" s="3">
        <v>0.0</v>
      </c>
      <c r="D11018" s="3">
        <v>0.0</v>
      </c>
      <c r="E11018" s="3">
        <v>0.0</v>
      </c>
      <c r="F11018" s="3" t="s">
        <v>31328</v>
      </c>
      <c r="G11018" s="3">
        <v>0.0</v>
      </c>
      <c r="H11018" s="3">
        <v>0.0</v>
      </c>
      <c r="I11018" s="3" t="s">
        <v>13</v>
      </c>
      <c r="J11018" s="3" t="s">
        <v>31329</v>
      </c>
      <c r="K11018" s="3" t="s">
        <v>31</v>
      </c>
      <c r="L11018" s="3" t="str">
        <f>IFERROR(__xludf.DUMMYFUNCTION("GOOGLETRANSLATE(F11018,""id"",""en"")"),"Congratulations Argentina is indeed worth champion")</f>
        <v>Congratulations Argentina is indeed worth champion</v>
      </c>
    </row>
    <row r="11019" ht="15.75" customHeight="1">
      <c r="A11019" s="1">
        <v>12262.0</v>
      </c>
      <c r="B11019" s="3" t="s">
        <v>31330</v>
      </c>
      <c r="C11019" s="3">
        <v>0.0</v>
      </c>
      <c r="D11019" s="3">
        <v>0.0</v>
      </c>
      <c r="E11019" s="3">
        <v>0.0</v>
      </c>
      <c r="F11019" s="3" t="s">
        <v>31331</v>
      </c>
      <c r="G11019" s="3">
        <v>0.0</v>
      </c>
      <c r="H11019" s="3">
        <v>0.0</v>
      </c>
      <c r="I11019" s="3" t="s">
        <v>13</v>
      </c>
      <c r="J11019" s="3" t="s">
        <v>31332</v>
      </c>
      <c r="K11019" s="3" t="s">
        <v>19</v>
      </c>
      <c r="L11019" s="3" t="str">
        <f>IFERROR(__xludf.DUMMYFUNCTION("GOOGLETRANSLATE(F11019,""id"",""en"")"),"Argentina won the Qatar World Cup, the price of the Arg Fan Tokens even collapsed")</f>
        <v>Argentina won the Qatar World Cup, the price of the Arg Fan Tokens even collapsed</v>
      </c>
    </row>
    <row r="11020" ht="15.75" customHeight="1">
      <c r="A11020" s="1">
        <v>12263.0</v>
      </c>
      <c r="B11020" s="3" t="s">
        <v>31333</v>
      </c>
      <c r="C11020" s="3">
        <v>1.0</v>
      </c>
      <c r="D11020" s="3">
        <v>0.0</v>
      </c>
      <c r="E11020" s="3">
        <v>2.0</v>
      </c>
      <c r="F11020" s="3" t="s">
        <v>31334</v>
      </c>
      <c r="G11020" s="3">
        <v>0.5</v>
      </c>
      <c r="H11020" s="3">
        <v>-0.5</v>
      </c>
      <c r="I11020" s="3" t="s">
        <v>179</v>
      </c>
      <c r="J11020" s="3" t="s">
        <v>31335</v>
      </c>
      <c r="K11020" s="3" t="s">
        <v>477</v>
      </c>
      <c r="L11020" s="3" t="str">
        <f>IFERROR(__xludf.DUMMYFUNCTION("GOOGLETRANSLATE(F11020,""id"",""en"")"),"with random fans the problem is Argentina's support in Argentina nation champions")</f>
        <v>with random fans the problem is Argentina's support in Argentina nation champions</v>
      </c>
    </row>
    <row r="11021" ht="15.75" customHeight="1">
      <c r="A11021" s="1">
        <v>12264.0</v>
      </c>
      <c r="B11021" s="3" t="s">
        <v>31336</v>
      </c>
      <c r="C11021" s="3">
        <v>0.0</v>
      </c>
      <c r="D11021" s="3">
        <v>0.0</v>
      </c>
      <c r="E11021" s="3">
        <v>0.0</v>
      </c>
      <c r="F11021" s="3" t="s">
        <v>31337</v>
      </c>
      <c r="G11021" s="3">
        <v>0.0</v>
      </c>
      <c r="H11021" s="3">
        <v>0.0</v>
      </c>
      <c r="I11021" s="3" t="s">
        <v>13</v>
      </c>
      <c r="J11021" s="3" t="s">
        <v>31338</v>
      </c>
      <c r="K11021" s="3" t="s">
        <v>2117</v>
      </c>
      <c r="L11021" s="3" t="str">
        <f>IFERROR(__xludf.DUMMYFUNCTION("GOOGLETRANSLATE(F11021,""id"",""en"")"),"Argentina Spoiler Champion")</f>
        <v>Argentina Spoiler Champion</v>
      </c>
    </row>
    <row r="11022" ht="15.75" customHeight="1">
      <c r="A11022" s="1">
        <v>12265.0</v>
      </c>
      <c r="B11022" s="3" t="s">
        <v>31339</v>
      </c>
      <c r="C11022" s="3">
        <v>0.0</v>
      </c>
      <c r="D11022" s="3">
        <v>0.0</v>
      </c>
      <c r="E11022" s="3">
        <v>4.0</v>
      </c>
      <c r="F11022" s="3" t="s">
        <v>31340</v>
      </c>
      <c r="G11022" s="3">
        <v>0.3</v>
      </c>
      <c r="H11022" s="3">
        <v>0.2</v>
      </c>
      <c r="I11022" s="3" t="s">
        <v>48</v>
      </c>
      <c r="J11022" s="3" t="s">
        <v>31341</v>
      </c>
      <c r="K11022" s="3" t="s">
        <v>1293</v>
      </c>
      <c r="L11022" s="3" t="str">
        <f>IFERROR(__xludf.DUMMYFUNCTION("GOOGLETRANSLATE(F11022,""id"",""en"")"),"said Helmi Yahya Half the People of Argentina hopes that Argentina will not win the president to take this opportunity to be like hepi all haha")</f>
        <v>said Helmi Yahya Half the People of Argentina hopes that Argentina will not win the president to take this opportunity to be like hepi all haha</v>
      </c>
    </row>
    <row r="11023" ht="15.75" customHeight="1">
      <c r="A11023" s="1">
        <v>12266.0</v>
      </c>
      <c r="B11023" s="3" t="s">
        <v>31342</v>
      </c>
      <c r="C11023" s="3">
        <v>0.0</v>
      </c>
      <c r="D11023" s="3">
        <v>0.0</v>
      </c>
      <c r="E11023" s="3">
        <v>1.0</v>
      </c>
      <c r="F11023" s="3" t="s">
        <v>31343</v>
      </c>
      <c r="G11023" s="3">
        <v>0.0</v>
      </c>
      <c r="H11023" s="3">
        <v>0.0</v>
      </c>
      <c r="I11023" s="3" t="s">
        <v>13</v>
      </c>
      <c r="J11023" s="3" t="s">
        <v>31344</v>
      </c>
      <c r="K11023" s="3" t="s">
        <v>82</v>
      </c>
      <c r="L11023" s="3" t="str">
        <f>IFERROR(__xludf.DUMMYFUNCTION("GOOGLETRANSLATE(F11023,""id"",""en"")"),"Argentina Prediction Champion from Teri Class Ball Pundit")</f>
        <v>Argentina Prediction Champion from Teri Class Ball Pundit</v>
      </c>
    </row>
    <row r="11024" ht="15.75" customHeight="1">
      <c r="A11024" s="1">
        <v>12267.0</v>
      </c>
      <c r="B11024" s="3" t="s">
        <v>31345</v>
      </c>
      <c r="C11024" s="3">
        <v>0.0</v>
      </c>
      <c r="D11024" s="3">
        <v>0.0</v>
      </c>
      <c r="E11024" s="3">
        <v>0.0</v>
      </c>
      <c r="F11024" s="3" t="s">
        <v>31346</v>
      </c>
      <c r="G11024" s="3">
        <v>0.0</v>
      </c>
      <c r="H11024" s="3">
        <v>0.0</v>
      </c>
      <c r="I11024" s="3" t="s">
        <v>13</v>
      </c>
      <c r="J11024" s="3" t="s">
        <v>31347</v>
      </c>
      <c r="K11024" s="3" t="s">
        <v>1421</v>
      </c>
      <c r="L11024" s="3" t="str">
        <f>IFERROR(__xludf.DUMMYFUNCTION("GOOGLETRANSLATE(F11024,""id"",""en"")"),"Argentina The champion is only Saudi who can beat Argentina so Saudi Arabia is the champion")</f>
        <v>Argentina The champion is only Saudi who can beat Argentina so Saudi Arabia is the champion</v>
      </c>
    </row>
    <row r="11025" ht="15.75" customHeight="1">
      <c r="A11025" s="1">
        <v>12268.0</v>
      </c>
      <c r="B11025" s="3" t="s">
        <v>31348</v>
      </c>
      <c r="C11025" s="3">
        <v>0.0</v>
      </c>
      <c r="D11025" s="3">
        <v>0.0</v>
      </c>
      <c r="E11025" s="3">
        <v>0.0</v>
      </c>
      <c r="F11025" s="3" t="s">
        <v>31349</v>
      </c>
      <c r="G11025" s="3">
        <v>0.0</v>
      </c>
      <c r="H11025" s="3">
        <v>0.0</v>
      </c>
      <c r="I11025" s="3" t="s">
        <v>13</v>
      </c>
      <c r="J11025" s="3" t="s">
        <v>31350</v>
      </c>
      <c r="K11025" s="3" t="s">
        <v>31</v>
      </c>
      <c r="L11025" s="3" t="str">
        <f>IFERROR(__xludf.DUMMYFUNCTION("GOOGLETRANSLATE(F11025,""id"",""en"")"),"It turned out to be true Argentina champion ustadz")</f>
        <v>It turned out to be true Argentina champion ustadz</v>
      </c>
    </row>
    <row r="11026" ht="15.75" customHeight="1">
      <c r="A11026" s="1">
        <v>12269.0</v>
      </c>
      <c r="B11026" s="3" t="s">
        <v>31351</v>
      </c>
      <c r="C11026" s="3">
        <v>0.0</v>
      </c>
      <c r="D11026" s="3">
        <v>0.0</v>
      </c>
      <c r="E11026" s="3">
        <v>0.0</v>
      </c>
      <c r="F11026" s="3" t="s">
        <v>31352</v>
      </c>
      <c r="G11026" s="3">
        <v>0.0</v>
      </c>
      <c r="H11026" s="3">
        <v>0.0</v>
      </c>
      <c r="I11026" s="3" t="s">
        <v>13</v>
      </c>
      <c r="J11026" s="3" t="s">
        <v>31353</v>
      </c>
      <c r="K11026" s="3" t="s">
        <v>426</v>
      </c>
      <c r="L11026" s="3" t="str">
        <f>IFERROR(__xludf.DUMMYFUNCTION("GOOGLETRANSLATE(F11026,""id"",""en"")"),"as strong as France is not in doubt there is mbappe and the previous pildun champions are they, but the potential of Argentina is also losing, especially if there is a Messi hmmm, I suspected that a lot of hesitant and want Argentina to lose because the c"&amp;"hampion has come home when I see it now")</f>
        <v>as strong as France is not in doubt there is mbappe and the previous pildun champions are they, but the potential of Argentina is also losing, especially if there is a Messi hmmm, I suspected that a lot of hesitant and want Argentina to lose because the champion has come home when I see it now</v>
      </c>
    </row>
    <row r="11027" ht="15.75" customHeight="1">
      <c r="A11027" s="1">
        <v>12270.0</v>
      </c>
      <c r="B11027" s="3" t="s">
        <v>31354</v>
      </c>
      <c r="C11027" s="3">
        <v>0.0</v>
      </c>
      <c r="D11027" s="3">
        <v>0.0</v>
      </c>
      <c r="E11027" s="3">
        <v>2.0</v>
      </c>
      <c r="F11027" s="3" t="s">
        <v>31355</v>
      </c>
      <c r="G11027" s="3">
        <v>0.0</v>
      </c>
      <c r="H11027" s="3">
        <v>0.0</v>
      </c>
      <c r="I11027" s="3" t="s">
        <v>13</v>
      </c>
      <c r="J11027" s="3" t="s">
        <v>31356</v>
      </c>
      <c r="K11027" s="3" t="s">
        <v>35</v>
      </c>
      <c r="L11027" s="3" t="str">
        <f>IFERROR(__xludf.DUMMYFUNCTION("GOOGLETRANSLATE(F11027,""id"",""en"")"),"Congratulations to Argentina as the champion of the Qatar Argentina World Cup won a penalty against France")</f>
        <v>Congratulations to Argentina as the champion of the Qatar Argentina World Cup won a penalty against France</v>
      </c>
    </row>
    <row r="11028" ht="15.75" customHeight="1">
      <c r="A11028" s="1">
        <v>12271.0</v>
      </c>
      <c r="B11028" s="3" t="s">
        <v>31357</v>
      </c>
      <c r="C11028" s="3">
        <v>0.0</v>
      </c>
      <c r="D11028" s="3">
        <v>0.0</v>
      </c>
      <c r="E11028" s="3">
        <v>0.0</v>
      </c>
      <c r="F11028" s="3" t="s">
        <v>31358</v>
      </c>
      <c r="G11028" s="3">
        <v>0.0</v>
      </c>
      <c r="H11028" s="3">
        <v>0.0</v>
      </c>
      <c r="I11028" s="3" t="s">
        <v>13</v>
      </c>
      <c r="J11028" s="3" t="s">
        <v>31359</v>
      </c>
      <c r="K11028" s="3" t="s">
        <v>6117</v>
      </c>
      <c r="L11028" s="3" t="str">
        <f>IFERROR(__xludf.DUMMYFUNCTION("GOOGLETRANSLATE(F11028,""id"",""en"")"),"Indonesia national team to become a Southeast Asian champion who took part in the PSSI Ketum Cup and the Menpora was strange and disgusting Argentina after the world champion there was a retired player to take the trophy.")</f>
        <v>Indonesia national team to become a Southeast Asian champion who took part in the PSSI Ketum Cup and the Menpora was strange and disgusting Argentina after the world champion there was a retired player to take the trophy.</v>
      </c>
    </row>
    <row r="11029" ht="15.75" customHeight="1">
      <c r="A11029" s="1">
        <v>12272.0</v>
      </c>
      <c r="B11029" s="3" t="s">
        <v>31360</v>
      </c>
      <c r="C11029" s="3">
        <v>0.0</v>
      </c>
      <c r="D11029" s="3">
        <v>0.0</v>
      </c>
      <c r="E11029" s="3">
        <v>0.0</v>
      </c>
      <c r="F11029" s="3" t="s">
        <v>31361</v>
      </c>
      <c r="G11029" s="3">
        <v>0.0</v>
      </c>
      <c r="H11029" s="3">
        <v>0.0</v>
      </c>
      <c r="I11029" s="3" t="s">
        <v>13</v>
      </c>
      <c r="J11029" s="3" t="s">
        <v>31362</v>
      </c>
      <c r="K11029" s="3" t="s">
        <v>510</v>
      </c>
      <c r="L11029" s="3" t="str">
        <f>IFERROR(__xludf.DUMMYFUNCTION("GOOGLETRANSLATE(F11029,""id"",""en"")"),"The greatest rescue of this century is an extraordinary turning point that Argentina is the world football champion")</f>
        <v>The greatest rescue of this century is an extraordinary turning point that Argentina is the world football champion</v>
      </c>
    </row>
    <row r="11030" ht="15.75" customHeight="1">
      <c r="A11030" s="1">
        <v>12273.0</v>
      </c>
      <c r="B11030" s="3" t="s">
        <v>31363</v>
      </c>
      <c r="C11030" s="3">
        <v>0.0</v>
      </c>
      <c r="D11030" s="3">
        <v>0.0</v>
      </c>
      <c r="E11030" s="3">
        <v>0.0</v>
      </c>
      <c r="F11030" s="3" t="s">
        <v>31364</v>
      </c>
      <c r="G11030" s="3">
        <v>0.0</v>
      </c>
      <c r="H11030" s="3">
        <v>0.0</v>
      </c>
      <c r="I11030" s="3" t="s">
        <v>13</v>
      </c>
      <c r="J11030" s="3" t="s">
        <v>31365</v>
      </c>
      <c r="K11030" s="3" t="s">
        <v>35</v>
      </c>
      <c r="L11030" s="3" t="str">
        <f>IFERROR(__xludf.DUMMYFUNCTION("GOOGLETRANSLATE(F11030,""id"",""en"")"),"I also support Messi champions and Argentina finally complete Messi's achievement as a soccer player")</f>
        <v>I also support Messi champions and Argentina finally complete Messi's achievement as a soccer player</v>
      </c>
    </row>
    <row r="11031" ht="15.75" customHeight="1">
      <c r="A11031" s="1">
        <v>12274.0</v>
      </c>
      <c r="B11031" s="3" t="s">
        <v>31366</v>
      </c>
      <c r="C11031" s="3">
        <v>1.0</v>
      </c>
      <c r="D11031" s="3">
        <v>0.0</v>
      </c>
      <c r="E11031" s="3">
        <v>0.0</v>
      </c>
      <c r="F11031" s="3" t="s">
        <v>31367</v>
      </c>
      <c r="G11031" s="3">
        <v>0.0</v>
      </c>
      <c r="H11031" s="3">
        <v>0.0</v>
      </c>
      <c r="I11031" s="3" t="s">
        <v>13</v>
      </c>
      <c r="J11031" s="3" t="s">
        <v>31368</v>
      </c>
      <c r="K11031" s="3" t="s">
        <v>1304</v>
      </c>
      <c r="L11031" s="3" t="str">
        <f>IFERROR(__xludf.DUMMYFUNCTION("GOOGLETRANSLATE(F11031,""id"",""en"")"),"There is a real Njir Iwan Bule, lifting the World Cup when Argentina champion Argentina Champion World Cup Ketum PSSI lifts the giant trophy click to read")</f>
        <v>There is a real Njir Iwan Bule, lifting the World Cup when Argentina champion Argentina Champion World Cup Ketum PSSI lifts the giant trophy click to read</v>
      </c>
    </row>
    <row r="11032" ht="15.75" customHeight="1">
      <c r="A11032" s="1">
        <v>12275.0</v>
      </c>
      <c r="B11032" s="3" t="s">
        <v>31369</v>
      </c>
      <c r="C11032" s="3">
        <v>0.0</v>
      </c>
      <c r="D11032" s="3">
        <v>0.0</v>
      </c>
      <c r="E11032" s="3">
        <v>0.0</v>
      </c>
      <c r="F11032" s="3" t="s">
        <v>31370</v>
      </c>
      <c r="G11032" s="3">
        <v>0.0</v>
      </c>
      <c r="H11032" s="3">
        <v>0.0</v>
      </c>
      <c r="I11032" s="3" t="s">
        <v>13</v>
      </c>
      <c r="J11032" s="3" t="s">
        <v>31371</v>
      </c>
      <c r="K11032" s="3" t="s">
        <v>82</v>
      </c>
      <c r="L11032" s="3" t="str">
        <f>IFERROR(__xludf.DUMMYFUNCTION("GOOGLETRANSLATE(F11032,""id"",""en"")"),"Argentina Helps Messi Become World Cup Champion")</f>
        <v>Argentina Helps Messi Become World Cup Champion</v>
      </c>
    </row>
    <row r="11033" ht="15.75" customHeight="1">
      <c r="A11033" s="1">
        <v>12276.0</v>
      </c>
      <c r="B11033" s="3" t="s">
        <v>31372</v>
      </c>
      <c r="C11033" s="3">
        <v>0.0</v>
      </c>
      <c r="D11033" s="3">
        <v>0.0</v>
      </c>
      <c r="E11033" s="3">
        <v>0.0</v>
      </c>
      <c r="F11033" s="3" t="s">
        <v>31373</v>
      </c>
      <c r="G11033" s="3">
        <v>1.0</v>
      </c>
      <c r="H11033" s="3">
        <v>0.0</v>
      </c>
      <c r="I11033" s="3" t="s">
        <v>13</v>
      </c>
      <c r="J11033" s="3" t="s">
        <v>31374</v>
      </c>
      <c r="K11033" s="3" t="s">
        <v>41</v>
      </c>
      <c r="L11033" s="3" t="str">
        <f>IFERROR(__xludf.DUMMYFUNCTION("GOOGLETRANSLATE(F11033,""id"",""en"")"),"The one who champions Argentina who lost the final of French Saudi Arabia joined trending")</f>
        <v>The one who champions Argentina who lost the final of French Saudi Arabia joined trending</v>
      </c>
    </row>
    <row r="11034" ht="15.75" customHeight="1">
      <c r="A11034" s="1">
        <v>12277.0</v>
      </c>
      <c r="B11034" s="3" t="s">
        <v>31375</v>
      </c>
      <c r="C11034" s="3">
        <v>0.0</v>
      </c>
      <c r="D11034" s="3">
        <v>0.0</v>
      </c>
      <c r="E11034" s="3">
        <v>0.0</v>
      </c>
      <c r="F11034" s="3" t="s">
        <v>31376</v>
      </c>
      <c r="G11034" s="3">
        <v>0.0</v>
      </c>
      <c r="H11034" s="3">
        <v>0.0</v>
      </c>
      <c r="I11034" s="3" t="s">
        <v>13</v>
      </c>
      <c r="J11034" s="3" t="s">
        <v>31377</v>
      </c>
      <c r="K11034" s="3" t="s">
        <v>54</v>
      </c>
      <c r="L11034" s="3" t="str">
        <f>IFERROR(__xludf.DUMMYFUNCTION("GOOGLETRANSLATE(F11034,""id"",""en"")"),"the one who champions Argentina who lost France who was bullied by Ronaldo")</f>
        <v>the one who champions Argentina who lost France who was bullied by Ronaldo</v>
      </c>
    </row>
    <row r="11035" ht="15.75" customHeight="1">
      <c r="A11035" s="1">
        <v>12278.0</v>
      </c>
      <c r="B11035" s="3" t="s">
        <v>31378</v>
      </c>
      <c r="C11035" s="3">
        <v>10.0</v>
      </c>
      <c r="D11035" s="3">
        <v>0.0</v>
      </c>
      <c r="E11035" s="3">
        <v>9.0</v>
      </c>
      <c r="F11035" s="3" t="s">
        <v>31379</v>
      </c>
      <c r="G11035" s="3">
        <v>0.0</v>
      </c>
      <c r="H11035" s="3">
        <v>0.0</v>
      </c>
      <c r="I11035" s="3" t="s">
        <v>13</v>
      </c>
      <c r="J11035" s="3" t="s">
        <v>31380</v>
      </c>
      <c r="K11035" s="3" t="s">
        <v>71</v>
      </c>
      <c r="L11035" s="3" t="str">
        <f>IFERROR(__xludf.DUMMYFUNCTION("GOOGLETRANSLATE(F11035,""id"",""en"")"),"tanyanyl I followed the pildun so winning the champion Argentina so I finished or how Salty hehe")</f>
        <v>tanyanyl I followed the pildun so winning the champion Argentina so I finished or how Salty hehe</v>
      </c>
    </row>
    <row r="11036" ht="15.75" customHeight="1">
      <c r="A11036" s="1">
        <v>12279.0</v>
      </c>
      <c r="B11036" s="3" t="s">
        <v>31381</v>
      </c>
      <c r="C11036" s="3">
        <v>1.0</v>
      </c>
      <c r="D11036" s="3">
        <v>0.0</v>
      </c>
      <c r="E11036" s="3">
        <v>0.0</v>
      </c>
      <c r="F11036" s="3" t="s">
        <v>31382</v>
      </c>
      <c r="G11036" s="3">
        <v>1.0</v>
      </c>
      <c r="H11036" s="3">
        <v>0.0</v>
      </c>
      <c r="I11036" s="3" t="s">
        <v>13</v>
      </c>
      <c r="J11036" s="3" t="s">
        <v>31383</v>
      </c>
      <c r="K11036" s="3" t="s">
        <v>1428</v>
      </c>
      <c r="L11036" s="3" t="str">
        <f>IFERROR(__xludf.DUMMYFUNCTION("GOOGLETRANSLATE(F11036,""id"",""en"")"),"Watching this original original World Cup Final ever before Argentina the penalty shootout they have been waiting for the year to end the champion of the extraordinary fierce year from Argentina Penan")</f>
        <v>Watching this original original World Cup Final ever before Argentina the penalty shootout they have been waiting for the year to end the champion of the extraordinary fierce year from Argentina Penan</v>
      </c>
    </row>
    <row r="11037" ht="15.75" customHeight="1">
      <c r="A11037" s="1">
        <v>12280.0</v>
      </c>
      <c r="B11037" s="3" t="s">
        <v>31384</v>
      </c>
      <c r="C11037" s="3">
        <v>0.0</v>
      </c>
      <c r="D11037" s="3">
        <v>0.0</v>
      </c>
      <c r="E11037" s="3">
        <v>1.0</v>
      </c>
      <c r="F11037" s="3" t="s">
        <v>31385</v>
      </c>
      <c r="G11037" s="3">
        <v>1.0</v>
      </c>
      <c r="H11037" s="3">
        <v>0.0</v>
      </c>
      <c r="I11037" s="3" t="s">
        <v>13</v>
      </c>
      <c r="J11037" s="3" t="s">
        <v>31386</v>
      </c>
      <c r="K11037" s="3" t="s">
        <v>910</v>
      </c>
      <c r="L11037" s="3" t="str">
        <f>IFERROR(__xludf.DUMMYFUNCTION("GOOGLETRANSLATE(F11037,""id"",""en"")"),"exciting, the final from the quarter -finals is sure that Argentina is the champion even though Messi Mbappe is more supportive of Mbappe, but as the final sports match including winning football loses so it's like a bonus because it competes using love")</f>
        <v>exciting, the final from the quarter -finals is sure that Argentina is the champion even though Messi Mbappe is more supportive of Mbappe, but as the final sports match including winning football loses so it's like a bonus because it competes using love</v>
      </c>
    </row>
    <row r="11038" ht="15.75" customHeight="1">
      <c r="A11038" s="1">
        <v>12281.0</v>
      </c>
      <c r="B11038" s="3" t="s">
        <v>31387</v>
      </c>
      <c r="C11038" s="3">
        <v>17.0</v>
      </c>
      <c r="D11038" s="3">
        <v>51.0</v>
      </c>
      <c r="E11038" s="3">
        <v>492.0</v>
      </c>
      <c r="F11038" s="3" t="s">
        <v>31388</v>
      </c>
      <c r="G11038" s="3">
        <v>0.5333333333333333</v>
      </c>
      <c r="H11038" s="3">
        <v>0.6666666666666666</v>
      </c>
      <c r="I11038" s="3" t="s">
        <v>48</v>
      </c>
      <c r="J11038" s="3" t="s">
        <v>31389</v>
      </c>
      <c r="K11038" s="3" t="s">
        <v>31390</v>
      </c>
      <c r="L11038" s="3" t="str">
        <f>IFERROR(__xludf.DUMMYFUNCTION("GOOGLETRANSLATE(F11038,""id"",""en"")"),"Congratulations to Saudi Arabia to be its one country to beat the World Cup champion this year Congratz Argentina Messi Mbape Qatar This Best World Cup Ever the Best World Cup Final Ever is why football will be about to unify the world at the same time as"&amp;" a unifying nation")</f>
        <v>Congratulations to Saudi Arabia to be its one country to beat the World Cup champion this year Congratz Argentina Messi Mbape Qatar This Best World Cup Ever the Best World Cup Final Ever is why football will be about to unify the world at the same time as a unifying nation</v>
      </c>
    </row>
    <row r="11039" ht="15.75" customHeight="1">
      <c r="A11039" s="1">
        <v>12282.0</v>
      </c>
      <c r="B11039" s="3" t="s">
        <v>31391</v>
      </c>
      <c r="C11039" s="3">
        <v>1.0</v>
      </c>
      <c r="D11039" s="3">
        <v>0.0</v>
      </c>
      <c r="E11039" s="3">
        <v>0.0</v>
      </c>
      <c r="F11039" s="3" t="s">
        <v>31392</v>
      </c>
      <c r="G11039" s="3">
        <v>0.0</v>
      </c>
      <c r="H11039" s="3">
        <v>0.0</v>
      </c>
      <c r="I11039" s="3" t="s">
        <v>13</v>
      </c>
      <c r="J11039" s="3" t="s">
        <v>31393</v>
      </c>
      <c r="K11039" s="3" t="s">
        <v>54</v>
      </c>
      <c r="L11039" s="3" t="str">
        <f>IFERROR(__xludf.DUMMYFUNCTION("GOOGLETRANSLATE(F11039,""id"",""en"")"),"Argentina LEK promise champion Time prayer")</f>
        <v>Argentina LEK promise champion Time prayer</v>
      </c>
    </row>
    <row r="11040" ht="15.75" customHeight="1">
      <c r="A11040" s="1">
        <v>12283.0</v>
      </c>
      <c r="B11040" s="3" t="s">
        <v>31394</v>
      </c>
      <c r="C11040" s="3">
        <v>1.0</v>
      </c>
      <c r="D11040" s="3">
        <v>0.0</v>
      </c>
      <c r="E11040" s="3">
        <v>1.0</v>
      </c>
      <c r="F11040" s="3" t="s">
        <v>31395</v>
      </c>
      <c r="G11040" s="3">
        <v>0.0</v>
      </c>
      <c r="H11040" s="3">
        <v>0.0</v>
      </c>
      <c r="I11040" s="3" t="s">
        <v>13</v>
      </c>
      <c r="J11040" s="3" t="s">
        <v>31396</v>
      </c>
      <c r="K11040" s="3" t="s">
        <v>54</v>
      </c>
      <c r="L11040" s="3" t="str">
        <f>IFERROR(__xludf.DUMMYFUNCTION("GOOGLETRANSLATE(F11040,""id"",""en"")"),"Argentina World Champion Forgot Follower First")</f>
        <v>Argentina World Champion Forgot Follower First</v>
      </c>
    </row>
    <row r="11041" ht="15.75" customHeight="1">
      <c r="A11041" s="1">
        <v>12284.0</v>
      </c>
      <c r="B11041" s="3" t="s">
        <v>31397</v>
      </c>
      <c r="C11041" s="3">
        <v>2.0</v>
      </c>
      <c r="D11041" s="3">
        <v>1.0</v>
      </c>
      <c r="E11041" s="3">
        <v>1.0</v>
      </c>
      <c r="F11041" s="3" t="s">
        <v>31398</v>
      </c>
      <c r="G11041" s="3">
        <v>0.0</v>
      </c>
      <c r="H11041" s="3">
        <v>0.0</v>
      </c>
      <c r="I11041" s="3" t="s">
        <v>13</v>
      </c>
      <c r="J11041" s="3" t="s">
        <v>31399</v>
      </c>
      <c r="K11041" s="3" t="s">
        <v>41</v>
      </c>
      <c r="L11041" s="3" t="str">
        <f>IFERROR(__xludf.DUMMYFUNCTION("GOOGLETRANSLATE(F11041,""id"",""en"")"),"sorry spam Argentina then the problem is touched to see Messi Champion")</f>
        <v>sorry spam Argentina then the problem is touched to see Messi Champion</v>
      </c>
    </row>
    <row r="11042" ht="15.75" customHeight="1">
      <c r="A11042" s="1">
        <v>12285.0</v>
      </c>
      <c r="B11042" s="3" t="s">
        <v>31400</v>
      </c>
      <c r="C11042" s="3">
        <v>0.0</v>
      </c>
      <c r="D11042" s="3">
        <v>1.0</v>
      </c>
      <c r="E11042" s="3">
        <v>2.0</v>
      </c>
      <c r="F11042" s="3" t="s">
        <v>31401</v>
      </c>
      <c r="G11042" s="3">
        <v>0.0</v>
      </c>
      <c r="H11042" s="3">
        <v>0.0</v>
      </c>
      <c r="I11042" s="3" t="s">
        <v>13</v>
      </c>
      <c r="J11042" s="3" t="s">
        <v>31402</v>
      </c>
      <c r="K11042" s="3" t="s">
        <v>82</v>
      </c>
      <c r="L11042" s="3" t="str">
        <f>IFERROR(__xludf.DUMMYFUNCTION("GOOGLETRANSLATE(F11042,""id"",""en"")"),"Argentina Champion World Cup Record Juventus Still Not Touched")</f>
        <v>Argentina Champion World Cup Record Juventus Still Not Touched</v>
      </c>
    </row>
    <row r="11043" ht="15.75" customHeight="1">
      <c r="A11043" s="1">
        <v>12286.0</v>
      </c>
      <c r="B11043" s="3" t="s">
        <v>31403</v>
      </c>
      <c r="C11043" s="3">
        <v>1.0</v>
      </c>
      <c r="D11043" s="3">
        <v>0.0</v>
      </c>
      <c r="E11043" s="3">
        <v>0.0</v>
      </c>
      <c r="F11043" s="3" t="s">
        <v>31404</v>
      </c>
      <c r="G11043" s="3">
        <v>0.0</v>
      </c>
      <c r="H11043" s="3">
        <v>0.0</v>
      </c>
      <c r="I11043" s="3" t="s">
        <v>13</v>
      </c>
      <c r="J11043" s="3" t="s">
        <v>31405</v>
      </c>
      <c r="K11043" s="3" t="s">
        <v>883</v>
      </c>
      <c r="L11043" s="3" t="str">
        <f>IFERROR(__xludf.DUMMYFUNCTION("GOOGLETRANSLATE(F11043,""id"",""en"")"),"The match followed by a penalty shootout, of course Lek Salimin hopes that Messi et al get good luck so that Argentina is a photo")</f>
        <v>The match followed by a penalty shootout, of course Lek Salimin hopes that Messi et al get good luck so that Argentina is a photo</v>
      </c>
    </row>
    <row r="11044" ht="15.75" customHeight="1">
      <c r="A11044" s="1">
        <v>12287.0</v>
      </c>
      <c r="B11044" s="3" t="s">
        <v>31406</v>
      </c>
      <c r="C11044" s="3">
        <v>0.0</v>
      </c>
      <c r="D11044" s="3">
        <v>2.0</v>
      </c>
      <c r="E11044" s="3">
        <v>5.0</v>
      </c>
      <c r="F11044" s="3" t="s">
        <v>31407</v>
      </c>
      <c r="G11044" s="3">
        <v>0.1</v>
      </c>
      <c r="H11044" s="3">
        <v>0.0</v>
      </c>
      <c r="I11044" s="3" t="s">
        <v>13</v>
      </c>
      <c r="J11044" s="3" t="s">
        <v>31408</v>
      </c>
      <c r="K11044" s="3" t="s">
        <v>1656</v>
      </c>
      <c r="L11044" s="3" t="str">
        <f>IFERROR(__xludf.DUMMYFUNCTION("GOOGLETRANSLATE(F11044,""id"",""en"")"),"Argentina Champion World Cup FIFA World Cup Hearing the Story last night that Join Malkat Big Screen Boisterous Mall Mall Tonight continued to attend mall malls every week and every month")</f>
        <v>Argentina Champion World Cup FIFA World Cup Hearing the Story last night that Join Malkat Big Screen Boisterous Mall Mall Tonight continued to attend mall malls every week and every month</v>
      </c>
    </row>
    <row r="11045" ht="15.75" customHeight="1">
      <c r="A11045" s="1">
        <v>12288.0</v>
      </c>
      <c r="B11045" s="3" t="s">
        <v>31409</v>
      </c>
      <c r="C11045" s="3">
        <v>0.0</v>
      </c>
      <c r="D11045" s="3">
        <v>0.0</v>
      </c>
      <c r="E11045" s="3">
        <v>0.0</v>
      </c>
      <c r="F11045" s="3" t="s">
        <v>31410</v>
      </c>
      <c r="G11045" s="3">
        <v>0.0</v>
      </c>
      <c r="H11045" s="3">
        <v>0.0</v>
      </c>
      <c r="I11045" s="3" t="s">
        <v>13</v>
      </c>
      <c r="J11045" s="3" t="s">
        <v>31411</v>
      </c>
      <c r="K11045" s="3" t="s">
        <v>54</v>
      </c>
      <c r="L11045" s="3" t="str">
        <f>IFERROR(__xludf.DUMMYFUNCTION("GOOGLETRANSLATE(F11045,""id"",""en"")"),"Messi Champion with Argentina Trending Ronaldo")</f>
        <v>Messi Champion with Argentina Trending Ronaldo</v>
      </c>
    </row>
    <row r="11046" ht="15.75" customHeight="1">
      <c r="A11046" s="1">
        <v>12289.0</v>
      </c>
      <c r="B11046" s="3" t="s">
        <v>31412</v>
      </c>
      <c r="C11046" s="3">
        <v>0.0</v>
      </c>
      <c r="D11046" s="3">
        <v>0.0</v>
      </c>
      <c r="E11046" s="3">
        <v>0.0</v>
      </c>
      <c r="F11046" s="3" t="s">
        <v>31413</v>
      </c>
      <c r="G11046" s="3">
        <v>0.0</v>
      </c>
      <c r="H11046" s="3">
        <v>0.0</v>
      </c>
      <c r="I11046" s="3" t="s">
        <v>13</v>
      </c>
      <c r="J11046" s="3" t="s">
        <v>31414</v>
      </c>
      <c r="K11046" s="3" t="s">
        <v>1628</v>
      </c>
      <c r="L11046" s="3" t="str">
        <f>IFERROR(__xludf.DUMMYFUNCTION("GOOGLETRANSLATE(F11046,""id"",""en"")"),"See Messi and Argentina World Champion feels the same as Italia world champion is not supported but is very feasible and it is time for Grosso and Del Piero Semifinal goals champions")</f>
        <v>See Messi and Argentina World Champion feels the same as Italia world champion is not supported but is very feasible and it is time for Grosso and Del Piero Semifinal goals champions</v>
      </c>
    </row>
    <row r="11047" ht="15.75" customHeight="1">
      <c r="A11047" s="1">
        <v>12290.0</v>
      </c>
      <c r="B11047" s="3" t="s">
        <v>31415</v>
      </c>
      <c r="C11047" s="3">
        <v>0.0</v>
      </c>
      <c r="D11047" s="3">
        <v>0.0</v>
      </c>
      <c r="E11047" s="3">
        <v>0.0</v>
      </c>
      <c r="F11047" s="3" t="s">
        <v>31416</v>
      </c>
      <c r="G11047" s="3">
        <v>0.0</v>
      </c>
      <c r="H11047" s="3">
        <v>0.0</v>
      </c>
      <c r="I11047" s="3" t="s">
        <v>13</v>
      </c>
      <c r="J11047" s="3" t="s">
        <v>31417</v>
      </c>
      <c r="K11047" s="3" t="s">
        <v>1293</v>
      </c>
      <c r="L11047" s="3" t="str">
        <f>IFERROR(__xludf.DUMMYFUNCTION("GOOGLETRANSLATE(F11047,""id"",""en"")"),"Yuntho Argentina Saudi Arabia The preliminary round in the end Argentina won the World Cup Extraordinary or Prime or GMNA")</f>
        <v>Yuntho Argentina Saudi Arabia The preliminary round in the end Argentina won the World Cup Extraordinary or Prime or GMNA</v>
      </c>
    </row>
    <row r="11048" ht="15.75" customHeight="1">
      <c r="A11048" s="1">
        <v>12291.0</v>
      </c>
      <c r="B11048" s="3" t="s">
        <v>31418</v>
      </c>
      <c r="C11048" s="3">
        <v>0.0</v>
      </c>
      <c r="D11048" s="3">
        <v>0.0</v>
      </c>
      <c r="E11048" s="3">
        <v>1.0</v>
      </c>
      <c r="F11048" s="3" t="s">
        <v>31419</v>
      </c>
      <c r="G11048" s="3">
        <v>0.55</v>
      </c>
      <c r="H11048" s="3">
        <v>0.0</v>
      </c>
      <c r="I11048" s="3" t="s">
        <v>13</v>
      </c>
      <c r="J11048" s="3" t="s">
        <v>31420</v>
      </c>
      <c r="K11048" s="3" t="s">
        <v>348</v>
      </c>
      <c r="L11048" s="3" t="str">
        <f>IFERROR(__xludf.DUMMYFUNCTION("GOOGLETRANSLATE(F11048,""id"",""en"")"),"Argentina won the Tango World Cup World Cup champion trophy to defeat France Final through penalties after playing draw until Extra Time")</f>
        <v>Argentina won the Tango World Cup World Cup champion trophy to defeat France Final through penalties after playing draw until Extra Time</v>
      </c>
    </row>
    <row r="11049" ht="15.75" customHeight="1">
      <c r="A11049" s="1">
        <v>12292.0</v>
      </c>
      <c r="B11049" s="3" t="s">
        <v>31421</v>
      </c>
      <c r="C11049" s="3">
        <v>2.0</v>
      </c>
      <c r="D11049" s="3">
        <v>0.0</v>
      </c>
      <c r="E11049" s="3">
        <v>0.0</v>
      </c>
      <c r="F11049" s="3" t="s">
        <v>31422</v>
      </c>
      <c r="G11049" s="3">
        <v>0.0</v>
      </c>
      <c r="H11049" s="3">
        <v>0.0</v>
      </c>
      <c r="I11049" s="3" t="s">
        <v>13</v>
      </c>
      <c r="J11049" s="3" t="s">
        <v>31423</v>
      </c>
      <c r="K11049" s="3" t="s">
        <v>1349</v>
      </c>
      <c r="L11049" s="3" t="str">
        <f>IFERROR(__xludf.DUMMYFUNCTION("GOOGLETRANSLATE(F11049,""id"",""en"")"),"it could be but clearly the opportunity for Argentina for world champions again has been a bigger world champion than Saudi Arabia beating Argentina again")</f>
        <v>it could be but clearly the opportunity for Argentina for world champions again has been a bigger world champion than Saudi Arabia beating Argentina again</v>
      </c>
    </row>
    <row r="11050" ht="15.75" customHeight="1">
      <c r="A11050" s="1">
        <v>12293.0</v>
      </c>
      <c r="B11050" s="3" t="s">
        <v>31424</v>
      </c>
      <c r="C11050" s="3">
        <v>0.0</v>
      </c>
      <c r="D11050" s="3">
        <v>3.0</v>
      </c>
      <c r="E11050" s="3">
        <v>7.0</v>
      </c>
      <c r="F11050" s="3" t="s">
        <v>31419</v>
      </c>
      <c r="G11050" s="3">
        <v>0.55</v>
      </c>
      <c r="H11050" s="3">
        <v>0.0</v>
      </c>
      <c r="I11050" s="3" t="s">
        <v>13</v>
      </c>
      <c r="J11050" s="3" t="s">
        <v>31420</v>
      </c>
      <c r="K11050" s="3" t="s">
        <v>348</v>
      </c>
      <c r="L11050" s="3" t="str">
        <f>IFERROR(__xludf.DUMMYFUNCTION("GOOGLETRANSLATE(F11050,""id"",""en"")"),"Argentina won the Tango World Cup World Cup champion trophy to defeat France Final through penalties after playing draw until Extra Time")</f>
        <v>Argentina won the Tango World Cup World Cup champion trophy to defeat France Final through penalties after playing draw until Extra Time</v>
      </c>
    </row>
    <row r="11051" ht="15.75" customHeight="1">
      <c r="A11051" s="1">
        <v>12294.0</v>
      </c>
      <c r="B11051" s="3" t="s">
        <v>31425</v>
      </c>
      <c r="C11051" s="3">
        <v>0.0</v>
      </c>
      <c r="D11051" s="3">
        <v>0.0</v>
      </c>
      <c r="E11051" s="3">
        <v>0.0</v>
      </c>
      <c r="F11051" s="3" t="s">
        <v>31426</v>
      </c>
      <c r="G11051" s="3">
        <v>0.0</v>
      </c>
      <c r="H11051" s="3">
        <v>0.0</v>
      </c>
      <c r="I11051" s="3" t="s">
        <v>13</v>
      </c>
      <c r="J11051" s="3" t="s">
        <v>31427</v>
      </c>
      <c r="K11051" s="3" t="s">
        <v>1359</v>
      </c>
      <c r="L11051" s="3" t="str">
        <f>IFERROR(__xludf.DUMMYFUNCTION("GOOGLETRANSLATE(F11051,""id"",""en"")"),"finished the champion is now back each job to carve out their respective fate")</f>
        <v>finished the champion is now back each job to carve out their respective fate</v>
      </c>
    </row>
    <row r="11052" ht="15.75" customHeight="1">
      <c r="A11052" s="1">
        <v>12295.0</v>
      </c>
      <c r="B11052" s="3" t="s">
        <v>31428</v>
      </c>
      <c r="C11052" s="3">
        <v>0.0</v>
      </c>
      <c r="D11052" s="3">
        <v>0.0</v>
      </c>
      <c r="E11052" s="3">
        <v>0.0</v>
      </c>
      <c r="F11052" s="3" t="s">
        <v>29196</v>
      </c>
      <c r="G11052" s="3">
        <v>0.0</v>
      </c>
      <c r="H11052" s="3">
        <v>0.0</v>
      </c>
      <c r="I11052" s="3" t="s">
        <v>13</v>
      </c>
      <c r="J11052" s="3" t="s">
        <v>25457</v>
      </c>
      <c r="K11052" s="3" t="s">
        <v>41</v>
      </c>
      <c r="L11052" s="3" t="str">
        <f>IFERROR(__xludf.DUMMYFUNCTION("GOOGLETRANSLATE(F11052,""id"",""en"")"),"Argentina Champion World Cup Defeated France through Penalties")</f>
        <v>Argentina Champion World Cup Defeated France through Penalties</v>
      </c>
    </row>
    <row r="11053" ht="15.75" customHeight="1">
      <c r="A11053" s="1">
        <v>12296.0</v>
      </c>
      <c r="B11053" s="3" t="s">
        <v>31429</v>
      </c>
      <c r="C11053" s="3">
        <v>0.0</v>
      </c>
      <c r="D11053" s="3">
        <v>0.0</v>
      </c>
      <c r="E11053" s="3">
        <v>0.0</v>
      </c>
      <c r="F11053" s="3" t="s">
        <v>31430</v>
      </c>
      <c r="G11053" s="3">
        <v>1.0</v>
      </c>
      <c r="H11053" s="3">
        <v>0.0</v>
      </c>
      <c r="I11053" s="3" t="s">
        <v>13</v>
      </c>
      <c r="J11053" s="3" t="s">
        <v>31431</v>
      </c>
      <c r="K11053" s="3" t="s">
        <v>715</v>
      </c>
      <c r="L11053" s="3" t="str">
        <f>IFERROR(__xludf.DUMMYFUNCTION("GOOGLETRANSLATE(F11053,""id"",""en"")"),"For example, God's plan is the final of Argentina Morocco and winning Argentina is definitely more Moroccan news and interesting than Argentina Champion")</f>
        <v>For example, God's plan is the final of Argentina Morocco and winning Argentina is definitely more Moroccan news and interesting than Argentina Champion</v>
      </c>
    </row>
    <row r="11054" ht="15.75" customHeight="1">
      <c r="A11054" s="1">
        <v>12297.0</v>
      </c>
      <c r="B11054" s="3" t="s">
        <v>31432</v>
      </c>
      <c r="C11054" s="3">
        <v>0.0</v>
      </c>
      <c r="D11054" s="3">
        <v>0.0</v>
      </c>
      <c r="E11054" s="3">
        <v>4.0</v>
      </c>
      <c r="F11054" s="3" t="s">
        <v>31433</v>
      </c>
      <c r="G11054" s="3">
        <v>0.0</v>
      </c>
      <c r="H11054" s="3">
        <v>0.0</v>
      </c>
      <c r="I11054" s="3" t="s">
        <v>13</v>
      </c>
      <c r="J11054" s="3" t="s">
        <v>31434</v>
      </c>
      <c r="K11054" s="3" t="s">
        <v>19</v>
      </c>
      <c r="L11054" s="3" t="str">
        <f>IFERROR(__xludf.DUMMYFUNCTION("GOOGLETRANSLATE(F11054,""id"",""en"")"),"After waiting for decades, finally in the reign of Jokowi Argentina, the world champion was truly auspicious")</f>
        <v>After waiting for decades, finally in the reign of Jokowi Argentina, the world champion was truly auspicious</v>
      </c>
    </row>
    <row r="11055" ht="15.75" customHeight="1">
      <c r="A11055" s="1">
        <v>12298.0</v>
      </c>
      <c r="B11055" s="3" t="s">
        <v>31435</v>
      </c>
      <c r="C11055" s="3">
        <v>0.0</v>
      </c>
      <c r="D11055" s="3">
        <v>0.0</v>
      </c>
      <c r="E11055" s="3">
        <v>1.0</v>
      </c>
      <c r="F11055" s="3" t="s">
        <v>31436</v>
      </c>
      <c r="G11055" s="3">
        <v>0.0</v>
      </c>
      <c r="H11055" s="3">
        <v>0.0</v>
      </c>
      <c r="I11055" s="3" t="s">
        <v>13</v>
      </c>
      <c r="J11055" s="3" t="s">
        <v>31437</v>
      </c>
      <c r="K11055" s="3" t="s">
        <v>2117</v>
      </c>
      <c r="L11055" s="3" t="str">
        <f>IFERROR(__xludf.DUMMYFUNCTION("GOOGLETRANSLATE(F11055,""id"",""en"")"),"Argentine penalty champion")</f>
        <v>Argentine penalty champion</v>
      </c>
    </row>
    <row r="11056" ht="15.75" customHeight="1">
      <c r="A11056" s="1">
        <v>12299.0</v>
      </c>
      <c r="B11056" s="3" t="s">
        <v>31438</v>
      </c>
      <c r="C11056" s="3">
        <v>0.0</v>
      </c>
      <c r="D11056" s="3">
        <v>4.0</v>
      </c>
      <c r="E11056" s="3">
        <v>0.0</v>
      </c>
      <c r="F11056" s="3" t="s">
        <v>31439</v>
      </c>
      <c r="G11056" s="3">
        <v>0.0</v>
      </c>
      <c r="H11056" s="3">
        <v>0.0</v>
      </c>
      <c r="I11056" s="3" t="s">
        <v>13</v>
      </c>
      <c r="J11056" s="3" t="s">
        <v>31440</v>
      </c>
      <c r="K11056" s="3" t="s">
        <v>41</v>
      </c>
      <c r="L11056" s="3" t="str">
        <f>IFERROR(__xludf.DUMMYFUNCTION("GOOGLETRANSLATE(F11056,""id"",""en"")"),"Lionel Messi's terrible record after Argentina Champion World Cup")</f>
        <v>Lionel Messi's terrible record after Argentina Champion World Cup</v>
      </c>
    </row>
    <row r="11057" ht="15.75" customHeight="1">
      <c r="A11057" s="1">
        <v>12300.0</v>
      </c>
      <c r="B11057" s="3" t="s">
        <v>31441</v>
      </c>
      <c r="C11057" s="3">
        <v>0.0</v>
      </c>
      <c r="D11057" s="3">
        <v>4.0</v>
      </c>
      <c r="E11057" s="3">
        <v>0.0</v>
      </c>
      <c r="F11057" s="3" t="s">
        <v>31442</v>
      </c>
      <c r="G11057" s="3">
        <v>0.0</v>
      </c>
      <c r="H11057" s="3">
        <v>0.0</v>
      </c>
      <c r="I11057" s="3" t="s">
        <v>13</v>
      </c>
      <c r="J11057" s="3" t="s">
        <v>31443</v>
      </c>
      <c r="K11057" s="3" t="s">
        <v>75</v>
      </c>
      <c r="L11057" s="3" t="str">
        <f>IFERROR(__xludf.DUMMYFUNCTION("GOOGLETRANSLATE(F11057,""id"",""en"")"),"List of World Cup Champions Add Argentine Stars Leave France and Uruguay")</f>
        <v>List of World Cup Champions Add Argentine Stars Leave France and Uruguay</v>
      </c>
    </row>
    <row r="11058" ht="15.75" customHeight="1">
      <c r="A11058" s="1">
        <v>12301.0</v>
      </c>
      <c r="B11058" s="3" t="s">
        <v>31444</v>
      </c>
      <c r="C11058" s="3">
        <v>0.0</v>
      </c>
      <c r="D11058" s="3">
        <v>0.0</v>
      </c>
      <c r="E11058" s="3">
        <v>0.0</v>
      </c>
      <c r="F11058" s="3" t="s">
        <v>31445</v>
      </c>
      <c r="G11058" s="3">
        <v>0.0</v>
      </c>
      <c r="H11058" s="3">
        <v>0.0</v>
      </c>
      <c r="I11058" s="3" t="s">
        <v>13</v>
      </c>
      <c r="J11058" s="3" t="s">
        <v>31446</v>
      </c>
      <c r="K11058" s="3" t="s">
        <v>41</v>
      </c>
      <c r="L11058" s="3" t="str">
        <f>IFERROR(__xludf.DUMMYFUNCTION("GOOGLETRANSLATE(F11058,""id"",""en"")"),"Congratulations to the Argentina team to become the World Cup Qatar World Champion")</f>
        <v>Congratulations to the Argentina team to become the World Cup Qatar World Champion</v>
      </c>
    </row>
    <row r="11059" ht="15.75" customHeight="1">
      <c r="A11059" s="1">
        <v>12302.0</v>
      </c>
      <c r="B11059" s="3" t="s">
        <v>31447</v>
      </c>
      <c r="C11059" s="3">
        <v>0.0</v>
      </c>
      <c r="D11059" s="3">
        <v>0.0</v>
      </c>
      <c r="E11059" s="3">
        <v>0.0</v>
      </c>
      <c r="F11059" s="3" t="s">
        <v>31448</v>
      </c>
      <c r="G11059" s="3">
        <v>0.0</v>
      </c>
      <c r="H11059" s="3">
        <v>0.0</v>
      </c>
      <c r="I11059" s="3" t="s">
        <v>13</v>
      </c>
      <c r="J11059" s="3" t="s">
        <v>31449</v>
      </c>
      <c r="K11059" s="3" t="s">
        <v>1147</v>
      </c>
      <c r="L11059" s="3" t="str">
        <f>IFERROR(__xludf.DUMMYFUNCTION("GOOGLETRANSLATE(F11059,""id"",""en"")"),"Aguero hadeh mes can be gout, I'm my back but his back but the back is gout all this time to carry Argentina and so it's okay, I am the important thing we won Mes Lopyu Bestie")</f>
        <v>Aguero hadeh mes can be gout, I'm my back but his back but the back is gout all this time to carry Argentina and so it's okay, I am the important thing we won Mes Lopyu Bestie</v>
      </c>
    </row>
    <row r="11060" ht="15.75" customHeight="1">
      <c r="A11060" s="1">
        <v>12303.0</v>
      </c>
      <c r="B11060" s="3" t="s">
        <v>31450</v>
      </c>
      <c r="C11060" s="3">
        <v>0.0</v>
      </c>
      <c r="D11060" s="3">
        <v>0.0</v>
      </c>
      <c r="E11060" s="3">
        <v>0.0</v>
      </c>
      <c r="F11060" s="3" t="s">
        <v>31451</v>
      </c>
      <c r="G11060" s="3">
        <v>0.0</v>
      </c>
      <c r="H11060" s="3">
        <v>0.0</v>
      </c>
      <c r="I11060" s="3" t="s">
        <v>13</v>
      </c>
      <c r="J11060" s="3" t="s">
        <v>31452</v>
      </c>
      <c r="K11060" s="3" t="s">
        <v>31</v>
      </c>
      <c r="L11060" s="3" t="str">
        <f>IFERROR(__xludf.DUMMYFUNCTION("GOOGLETRANSLATE(F11060,""id"",""en"")"),"Argentina may win but we've defeated them Arabsaudi")</f>
        <v>Argentina may win but we've defeated them Arabsaudi</v>
      </c>
    </row>
    <row r="11061" ht="15.75" customHeight="1">
      <c r="A11061" s="1">
        <v>12304.0</v>
      </c>
      <c r="B11061" s="3" t="s">
        <v>31453</v>
      </c>
      <c r="C11061" s="3">
        <v>0.0</v>
      </c>
      <c r="D11061" s="3">
        <v>0.0</v>
      </c>
      <c r="E11061" s="3">
        <v>0.0</v>
      </c>
      <c r="F11061" s="3" t="s">
        <v>31454</v>
      </c>
      <c r="G11061" s="3">
        <v>0.0</v>
      </c>
      <c r="H11061" s="3">
        <v>0.0</v>
      </c>
      <c r="I11061" s="3" t="s">
        <v>13</v>
      </c>
      <c r="J11061" s="3" t="s">
        <v>31455</v>
      </c>
      <c r="K11061" s="3" t="s">
        <v>236</v>
      </c>
      <c r="L11061" s="3" t="str">
        <f>IFERROR(__xludf.DUMMYFUNCTION("GOOGLETRANSLATE(F11061,""id"",""en"")"),"Argentina Champion Kota Bau Bau Buton Regency, Southeast Sulawesi Province")</f>
        <v>Argentina Champion Kota Bau Bau Buton Regency, Southeast Sulawesi Province</v>
      </c>
    </row>
    <row r="11062" ht="15.75" customHeight="1">
      <c r="A11062" s="1">
        <v>12305.0</v>
      </c>
      <c r="B11062" s="3" t="s">
        <v>31456</v>
      </c>
      <c r="C11062" s="3">
        <v>0.0</v>
      </c>
      <c r="D11062" s="3">
        <v>0.0</v>
      </c>
      <c r="E11062" s="3">
        <v>0.0</v>
      </c>
      <c r="F11062" s="3" t="s">
        <v>31457</v>
      </c>
      <c r="G11062" s="3">
        <v>0.0</v>
      </c>
      <c r="H11062" s="3">
        <v>0.0</v>
      </c>
      <c r="I11062" s="3" t="s">
        <v>13</v>
      </c>
      <c r="J11062" s="3" t="s">
        <v>31458</v>
      </c>
      <c r="K11062" s="3" t="s">
        <v>82</v>
      </c>
      <c r="L11062" s="3" t="str">
        <f>IFERROR(__xludf.DUMMYFUNCTION("GOOGLETRANSLATE(F11062,""id"",""en"")"),"Ababil Argentina What champion said Iwan Bule")</f>
        <v>Ababil Argentina What champion said Iwan Bule</v>
      </c>
    </row>
    <row r="11063" ht="15.75" customHeight="1">
      <c r="A11063" s="1">
        <v>12306.0</v>
      </c>
      <c r="B11063" s="3" t="s">
        <v>31459</v>
      </c>
      <c r="C11063" s="3">
        <v>0.0</v>
      </c>
      <c r="D11063" s="3">
        <v>0.0</v>
      </c>
      <c r="E11063" s="3">
        <v>0.0</v>
      </c>
      <c r="F11063" s="3" t="s">
        <v>31460</v>
      </c>
      <c r="G11063" s="3">
        <v>0.0</v>
      </c>
      <c r="H11063" s="3">
        <v>0.0</v>
      </c>
      <c r="I11063" s="3" t="s">
        <v>13</v>
      </c>
      <c r="J11063" s="3" t="s">
        <v>31461</v>
      </c>
      <c r="K11063" s="3" t="s">
        <v>54</v>
      </c>
      <c r="L11063" s="3" t="str">
        <f>IFERROR(__xludf.DUMMYFUNCTION("GOOGLETRANSLATE(F11063,""id"",""en"")"),"Year Waiting for Argentina World Cup Champion")</f>
        <v>Year Waiting for Argentina World Cup Champion</v>
      </c>
    </row>
    <row r="11064" ht="15.75" customHeight="1">
      <c r="A11064" s="1">
        <v>12307.0</v>
      </c>
      <c r="B11064" s="3" t="s">
        <v>31462</v>
      </c>
      <c r="C11064" s="3">
        <v>0.0</v>
      </c>
      <c r="D11064" s="3">
        <v>0.0</v>
      </c>
      <c r="E11064" s="3">
        <v>0.0</v>
      </c>
      <c r="F11064" s="3" t="s">
        <v>31463</v>
      </c>
      <c r="G11064" s="3">
        <v>0.0</v>
      </c>
      <c r="H11064" s="3">
        <v>0.0</v>
      </c>
      <c r="I11064" s="3" t="s">
        <v>13</v>
      </c>
      <c r="J11064" s="3" t="s">
        <v>31464</v>
      </c>
      <c r="K11064" s="3" t="s">
        <v>75</v>
      </c>
      <c r="L11064" s="3" t="str">
        <f>IFERROR(__xludf.DUMMYFUNCTION("GOOGLETRANSLATE(F11064,""id"",""en"")"),"FESS WKWKWKW Pillars Important Champion for Argentina, Iwan Bule")</f>
        <v>FESS WKWKWKW Pillars Important Champion for Argentina, Iwan Bule</v>
      </c>
    </row>
    <row r="11065" ht="15.75" customHeight="1">
      <c r="A11065" s="1">
        <v>12308.0</v>
      </c>
      <c r="B11065" s="3" t="s">
        <v>31465</v>
      </c>
      <c r="C11065" s="3">
        <v>0.0</v>
      </c>
      <c r="D11065" s="3">
        <v>0.0</v>
      </c>
      <c r="E11065" s="3">
        <v>0.0</v>
      </c>
      <c r="F11065" s="3" t="s">
        <v>31466</v>
      </c>
      <c r="G11065" s="3">
        <v>0.0</v>
      </c>
      <c r="H11065" s="3">
        <v>0.0</v>
      </c>
      <c r="I11065" s="3" t="s">
        <v>13</v>
      </c>
      <c r="J11065" s="3" t="s">
        <v>31467</v>
      </c>
      <c r="K11065" s="3" t="s">
        <v>19</v>
      </c>
      <c r="L11065" s="3" t="str">
        <f>IFERROR(__xludf.DUMMYFUNCTION("GOOGLETRANSLATE(F11065,""id"",""en"")"),"greater than Ronaldo Messi Goat actually after bringing Argentina World Cup champions")</f>
        <v>greater than Ronaldo Messi Goat actually after bringing Argentina World Cup champions</v>
      </c>
    </row>
    <row r="11066" ht="15.75" customHeight="1">
      <c r="A11066" s="1">
        <v>12309.0</v>
      </c>
      <c r="B11066" s="3" t="s">
        <v>31468</v>
      </c>
      <c r="C11066" s="3">
        <v>1.0</v>
      </c>
      <c r="D11066" s="3">
        <v>7.0</v>
      </c>
      <c r="E11066" s="3">
        <v>53.0</v>
      </c>
      <c r="F11066" s="3" t="s">
        <v>31469</v>
      </c>
      <c r="G11066" s="3">
        <v>0.0</v>
      </c>
      <c r="H11066" s="3">
        <v>0.0</v>
      </c>
      <c r="I11066" s="3" t="s">
        <v>13</v>
      </c>
      <c r="J11066" s="3" t="s">
        <v>31470</v>
      </c>
      <c r="K11066" s="3" t="s">
        <v>50</v>
      </c>
      <c r="L11066" s="3" t="str">
        <f>IFERROR(__xludf.DUMMYFUNCTION("GOOGLETRANSLATE(F11066,""id"",""en"")"),"The figure of Lionel Scaloni was considered trivial but brought Argentina World Cup champions")</f>
        <v>The figure of Lionel Scaloni was considered trivial but brought Argentina World Cup champions</v>
      </c>
    </row>
    <row r="11067" ht="15.75" customHeight="1">
      <c r="A11067" s="1">
        <v>12310.0</v>
      </c>
      <c r="B11067" s="3" t="s">
        <v>31471</v>
      </c>
      <c r="C11067" s="3">
        <v>0.0</v>
      </c>
      <c r="D11067" s="3">
        <v>0.0</v>
      </c>
      <c r="E11067" s="3">
        <v>0.0</v>
      </c>
      <c r="F11067" s="3" t="s">
        <v>31472</v>
      </c>
      <c r="G11067" s="3">
        <v>0.0</v>
      </c>
      <c r="H11067" s="3">
        <v>0.0</v>
      </c>
      <c r="I11067" s="3" t="s">
        <v>13</v>
      </c>
      <c r="J11067" s="3" t="s">
        <v>31473</v>
      </c>
      <c r="K11067" s="3" t="s">
        <v>31</v>
      </c>
      <c r="L11067" s="3" t="str">
        <f>IFERROR(__xludf.DUMMYFUNCTION("GOOGLETRANSLATE(F11067,""id"",""en"")"),"Only the era of Ibul Argentina world champion")</f>
        <v>Only the era of Ibul Argentina world champion</v>
      </c>
    </row>
    <row r="11068" ht="15.75" customHeight="1">
      <c r="A11068" s="1">
        <v>12311.0</v>
      </c>
      <c r="B11068" s="3" t="s">
        <v>31474</v>
      </c>
      <c r="C11068" s="3">
        <v>0.0</v>
      </c>
      <c r="D11068" s="3">
        <v>0.0</v>
      </c>
      <c r="E11068" s="3">
        <v>0.0</v>
      </c>
      <c r="F11068" s="3" t="s">
        <v>31475</v>
      </c>
      <c r="G11068" s="3">
        <v>0.0</v>
      </c>
      <c r="H11068" s="3">
        <v>0.0</v>
      </c>
      <c r="I11068" s="3" t="s">
        <v>13</v>
      </c>
      <c r="J11068" s="3" t="s">
        <v>31476</v>
      </c>
      <c r="K11068" s="3" t="s">
        <v>19</v>
      </c>
      <c r="L11068" s="3" t="str">
        <f>IFERROR(__xludf.DUMMYFUNCTION("GOOGLETRANSLATE(F11068,""id"",""en"")"),"Argentina Champion World Cup after defeating France finally Albiceleste Iftar Indonesian Diverse")</f>
        <v>Argentina Champion World Cup after defeating France finally Albiceleste Iftar Indonesian Diverse</v>
      </c>
    </row>
    <row r="11069" ht="15.75" customHeight="1">
      <c r="A11069" s="1">
        <v>12312.0</v>
      </c>
      <c r="B11069" s="3" t="s">
        <v>31477</v>
      </c>
      <c r="C11069" s="3">
        <v>0.0</v>
      </c>
      <c r="D11069" s="3">
        <v>0.0</v>
      </c>
      <c r="E11069" s="3">
        <v>0.0</v>
      </c>
      <c r="F11069" s="3" t="s">
        <v>31478</v>
      </c>
      <c r="G11069" s="3">
        <v>0.0</v>
      </c>
      <c r="H11069" s="3">
        <v>0.0</v>
      </c>
      <c r="I11069" s="3" t="s">
        <v>13</v>
      </c>
      <c r="J11069" s="3" t="s">
        <v>31479</v>
      </c>
      <c r="K11069" s="3" t="s">
        <v>433</v>
      </c>
      <c r="L11069" s="3" t="str">
        <f>IFERROR(__xludf.DUMMYFUNCTION("GOOGLETRANSLATE(F11069,""id"",""en"")"),"Before winning the Argentina World Cup also won the Copa America title in the following Argentina achievement records in full")</f>
        <v>Before winning the Argentina World Cup also won the Copa America title in the following Argentina achievement records in full</v>
      </c>
    </row>
    <row r="11070" ht="15.75" customHeight="1">
      <c r="A11070" s="1">
        <v>12313.0</v>
      </c>
      <c r="B11070" s="3" t="s">
        <v>31480</v>
      </c>
      <c r="C11070" s="3">
        <v>0.0</v>
      </c>
      <c r="D11070" s="3">
        <v>0.0</v>
      </c>
      <c r="E11070" s="3">
        <v>0.0</v>
      </c>
      <c r="F11070" s="3" t="s">
        <v>31481</v>
      </c>
      <c r="G11070" s="3">
        <v>0.0</v>
      </c>
      <c r="H11070" s="3">
        <v>0.0</v>
      </c>
      <c r="I11070" s="3" t="s">
        <v>13</v>
      </c>
      <c r="J11070" s="3" t="s">
        <v>31482</v>
      </c>
      <c r="K11070" s="3" t="s">
        <v>15</v>
      </c>
      <c r="L11070" s="3" t="str">
        <f>IFERROR(__xludf.DUMMYFUNCTION("GOOGLETRANSLATE(F11070,""id"",""en"")"),"Argentina World Cup Champion and End of Competition Ronaldo and Messi")</f>
        <v>Argentina World Cup Champion and End of Competition Ronaldo and Messi</v>
      </c>
    </row>
    <row r="11071" ht="15.75" customHeight="1">
      <c r="A11071" s="1">
        <v>12314.0</v>
      </c>
      <c r="B11071" s="3" t="s">
        <v>31483</v>
      </c>
      <c r="C11071" s="3">
        <v>0.0</v>
      </c>
      <c r="D11071" s="3">
        <v>0.0</v>
      </c>
      <c r="E11071" s="3">
        <v>0.0</v>
      </c>
      <c r="F11071" s="3" t="s">
        <v>31484</v>
      </c>
      <c r="G11071" s="3">
        <v>0.0</v>
      </c>
      <c r="H11071" s="3">
        <v>0.0</v>
      </c>
      <c r="I11071" s="3" t="s">
        <v>13</v>
      </c>
      <c r="J11071" s="3" t="s">
        <v>31485</v>
      </c>
      <c r="K11071" s="3" t="s">
        <v>54</v>
      </c>
      <c r="L11071" s="3" t="str">
        <f>IFERROR(__xludf.DUMMYFUNCTION("GOOGLETRANSLATE(F11071,""id"",""en"")"),"Tifal You're Team Dodo What Messi")</f>
        <v>Tifal You're Team Dodo What Messi</v>
      </c>
    </row>
    <row r="11072" ht="15.75" customHeight="1">
      <c r="A11072" s="1">
        <v>12315.0</v>
      </c>
      <c r="B11072" s="3" t="s">
        <v>31486</v>
      </c>
      <c r="C11072" s="3">
        <v>0.0</v>
      </c>
      <c r="D11072" s="3">
        <v>0.0</v>
      </c>
      <c r="E11072" s="3">
        <v>0.0</v>
      </c>
      <c r="F11072" s="3" t="s">
        <v>31487</v>
      </c>
      <c r="G11072" s="3">
        <v>0.0</v>
      </c>
      <c r="H11072" s="3">
        <v>0.0</v>
      </c>
      <c r="I11072" s="3" t="s">
        <v>13</v>
      </c>
      <c r="J11072" s="3" t="s">
        <v>31488</v>
      </c>
      <c r="K11072" s="3" t="s">
        <v>50</v>
      </c>
      <c r="L11072" s="3" t="str">
        <f>IFERROR(__xludf.DUMMYFUNCTION("GOOGLETRANSLATE(F11072,""id"",""en"")"),"The Argentine national team also received another billion prizes after becoming the World Cup championship")</f>
        <v>The Argentine national team also received another billion prizes after becoming the World Cup championship</v>
      </c>
    </row>
    <row r="11073" ht="15.75" customHeight="1">
      <c r="A11073" s="1">
        <v>12316.0</v>
      </c>
      <c r="B11073" s="3" t="s">
        <v>31489</v>
      </c>
      <c r="C11073" s="3">
        <v>0.0</v>
      </c>
      <c r="D11073" s="3">
        <v>1.0</v>
      </c>
      <c r="E11073" s="3">
        <v>7.0</v>
      </c>
      <c r="F11073" s="3" t="s">
        <v>31490</v>
      </c>
      <c r="G11073" s="3">
        <v>0.0</v>
      </c>
      <c r="H11073" s="3">
        <v>0.0</v>
      </c>
      <c r="I11073" s="3" t="s">
        <v>13</v>
      </c>
      <c r="J11073" s="3" t="s">
        <v>31491</v>
      </c>
      <c r="K11073" s="3" t="s">
        <v>58</v>
      </c>
      <c r="L11073" s="3" t="str">
        <f>IFERROR(__xludf.DUMMYFUNCTION("GOOGLETRANSLATE(F11073,""id"",""en"")"),"The World Cup has finished congratulations on Argentina to become a world champion, it is certain that this MRT is still loyal to serve the people of Jakarta")</f>
        <v>The World Cup has finished congratulations on Argentina to become a world champion, it is certain that this MRT is still loyal to serve the people of Jakarta</v>
      </c>
    </row>
    <row r="11074" ht="15.75" customHeight="1">
      <c r="A11074" s="1">
        <v>12317.0</v>
      </c>
      <c r="B11074" s="3" t="s">
        <v>31492</v>
      </c>
      <c r="C11074" s="3">
        <v>0.0</v>
      </c>
      <c r="D11074" s="3">
        <v>0.0</v>
      </c>
      <c r="E11074" s="3">
        <v>0.0</v>
      </c>
      <c r="F11074" s="3" t="s">
        <v>31493</v>
      </c>
      <c r="G11074" s="3">
        <v>0.0</v>
      </c>
      <c r="H11074" s="3">
        <v>0.0</v>
      </c>
      <c r="I11074" s="3" t="s">
        <v>13</v>
      </c>
      <c r="J11074" s="3" t="s">
        <v>31494</v>
      </c>
      <c r="K11074" s="3" t="s">
        <v>236</v>
      </c>
      <c r="L11074" s="3" t="str">
        <f>IFERROR(__xludf.DUMMYFUNCTION("GOOGLETRANSLATE(F11074,""id"",""en"")"),"Argentina Champion World Cup If you champions give disappointment and wound")</f>
        <v>Argentina Champion World Cup If you champions give disappointment and wound</v>
      </c>
    </row>
    <row r="11075" ht="15.75" customHeight="1">
      <c r="A11075" s="1">
        <v>12318.0</v>
      </c>
      <c r="B11075" s="3" t="s">
        <v>31495</v>
      </c>
      <c r="C11075" s="3">
        <v>0.0</v>
      </c>
      <c r="D11075" s="3">
        <v>0.0</v>
      </c>
      <c r="E11075" s="3">
        <v>0.0</v>
      </c>
      <c r="F11075" s="3" t="s">
        <v>31496</v>
      </c>
      <c r="G11075" s="3">
        <v>0.0</v>
      </c>
      <c r="H11075" s="3">
        <v>0.0</v>
      </c>
      <c r="I11075" s="3" t="s">
        <v>13</v>
      </c>
      <c r="J11075" s="3" t="s">
        <v>31497</v>
      </c>
      <c r="K11075" s="3" t="s">
        <v>1942</v>
      </c>
      <c r="L11075" s="3" t="str">
        <f>IFERROR(__xludf.DUMMYFUNCTION("GOOGLETRANSLATE(F11075,""id"",""en"")"),"Want to know how happy it is to imagine every world cup just holding a hero several times failed to champion and this year the pride is the only champion how to be very happy try every year to lose to support Argentina now")</f>
        <v>Want to know how happy it is to imagine every world cup just holding a hero several times failed to champion and this year the pride is the only champion how to be very happy try every year to lose to support Argentina now</v>
      </c>
    </row>
    <row r="11076" ht="15.75" customHeight="1">
      <c r="A11076" s="1">
        <v>12319.0</v>
      </c>
      <c r="B11076" s="3" t="s">
        <v>31498</v>
      </c>
      <c r="C11076" s="3">
        <v>0.0</v>
      </c>
      <c r="D11076" s="3">
        <v>0.0</v>
      </c>
      <c r="E11076" s="3">
        <v>0.0</v>
      </c>
      <c r="F11076" s="3" t="s">
        <v>31499</v>
      </c>
      <c r="G11076" s="3">
        <v>0.0</v>
      </c>
      <c r="H11076" s="3">
        <v>0.0</v>
      </c>
      <c r="I11076" s="3" t="s">
        <v>13</v>
      </c>
      <c r="J11076" s="3" t="s">
        <v>31500</v>
      </c>
      <c r="K11076" s="3" t="s">
        <v>1045</v>
      </c>
      <c r="L11076" s="3" t="str">
        <f>IFERROR(__xludf.DUMMYFUNCTION("GOOGLETRANSLATE(F11076,""id"",""en"")"),"Argentina gets the reward of champions pildun because it has made alms makes others happy Saudi Arabia even though for a moment, the group round match gave a happy smile throughout the Arabic Arabs Sanjur")</f>
        <v>Argentina gets the reward of champions pildun because it has made alms makes others happy Saudi Arabia even though for a moment, the group round match gave a happy smile throughout the Arabic Arabs Sanjur</v>
      </c>
    </row>
    <row r="11077" ht="15.75" customHeight="1">
      <c r="A11077" s="1">
        <v>12320.0</v>
      </c>
      <c r="B11077" s="3" t="s">
        <v>31501</v>
      </c>
      <c r="C11077" s="3">
        <v>0.0</v>
      </c>
      <c r="D11077" s="3">
        <v>0.0</v>
      </c>
      <c r="E11077" s="3">
        <v>10.0</v>
      </c>
      <c r="F11077" s="3" t="s">
        <v>31502</v>
      </c>
      <c r="G11077" s="3">
        <v>0.0</v>
      </c>
      <c r="H11077" s="3">
        <v>0.0</v>
      </c>
      <c r="I11077" s="3" t="s">
        <v>13</v>
      </c>
      <c r="J11077" s="3" t="s">
        <v>31503</v>
      </c>
      <c r="K11077" s="3" t="s">
        <v>2117</v>
      </c>
      <c r="L11077" s="3" t="str">
        <f>IFERROR(__xludf.DUMMYFUNCTION("GOOGLETRANSLATE(F11077,""id"",""en"")"),"Argentina Champion Bun")</f>
        <v>Argentina Champion Bun</v>
      </c>
    </row>
    <row r="11078" ht="15.75" customHeight="1">
      <c r="A11078" s="1">
        <v>12321.0</v>
      </c>
      <c r="B11078" s="3" t="s">
        <v>31504</v>
      </c>
      <c r="C11078" s="3">
        <v>1.0</v>
      </c>
      <c r="D11078" s="3">
        <v>2.0</v>
      </c>
      <c r="E11078" s="3">
        <v>15.0</v>
      </c>
      <c r="F11078" s="3" t="s">
        <v>31505</v>
      </c>
      <c r="G11078" s="3">
        <v>0.0</v>
      </c>
      <c r="H11078" s="3">
        <v>0.0</v>
      </c>
      <c r="I11078" s="3" t="s">
        <v>13</v>
      </c>
      <c r="J11078" s="3" t="s">
        <v>31506</v>
      </c>
      <c r="K11078" s="3" t="s">
        <v>236</v>
      </c>
      <c r="L11078" s="3" t="str">
        <f>IFERROR(__xludf.DUMMYFUNCTION("GOOGLETRANSLATE(F11078,""id"",""en"")"),"The moment of the procession of the handover of the Argentine championship trophy was handed over by Messi Happy Argentina")</f>
        <v>The moment of the procession of the handover of the Argentine championship trophy was handed over by Messi Happy Argentina</v>
      </c>
    </row>
    <row r="11079" ht="15.75" customHeight="1">
      <c r="A11079" s="1">
        <v>12322.0</v>
      </c>
      <c r="B11079" s="3" t="s">
        <v>31507</v>
      </c>
      <c r="C11079" s="3">
        <v>0.0</v>
      </c>
      <c r="D11079" s="3">
        <v>0.0</v>
      </c>
      <c r="E11079" s="3">
        <v>8.0</v>
      </c>
      <c r="F11079" s="3" t="s">
        <v>31508</v>
      </c>
      <c r="G11079" s="3">
        <v>0.0</v>
      </c>
      <c r="H11079" s="3">
        <v>0.0</v>
      </c>
      <c r="I11079" s="3" t="s">
        <v>13</v>
      </c>
      <c r="J11079" s="3" t="s">
        <v>31509</v>
      </c>
      <c r="K11079" s="3" t="s">
        <v>15</v>
      </c>
      <c r="L11079" s="3" t="str">
        <f>IFERROR(__xludf.DUMMYFUNCTION("GOOGLETRANSLATE(F11079,""id"",""en"")"),"Message Touching Aguero for Lionel Messi After Argentina Champion")</f>
        <v>Message Touching Aguero for Lionel Messi After Argentina Champion</v>
      </c>
    </row>
    <row r="11080" ht="15.75" customHeight="1">
      <c r="A11080" s="1">
        <v>12323.0</v>
      </c>
      <c r="B11080" s="3" t="s">
        <v>31510</v>
      </c>
      <c r="C11080" s="3">
        <v>1.0</v>
      </c>
      <c r="D11080" s="3">
        <v>0.0</v>
      </c>
      <c r="E11080" s="3">
        <v>6.0</v>
      </c>
      <c r="F11080" s="3" t="s">
        <v>18985</v>
      </c>
      <c r="G11080" s="3">
        <v>0.0</v>
      </c>
      <c r="H11080" s="3">
        <v>0.0</v>
      </c>
      <c r="I11080" s="3" t="s">
        <v>13</v>
      </c>
      <c r="J11080" s="3" t="s">
        <v>18986</v>
      </c>
      <c r="K11080" s="3" t="s">
        <v>19</v>
      </c>
      <c r="L11080" s="3" t="str">
        <f>IFERROR(__xludf.DUMMYFUNCTION("GOOGLETRANSLATE(F11080,""id"",""en"")"),"The moment of the penalty kick determining Argentina's victory by Montiel while bringing Messi et al Champion")</f>
        <v>The moment of the penalty kick determining Argentina's victory by Montiel while bringing Messi et al Champion</v>
      </c>
    </row>
    <row r="11081" ht="15.75" customHeight="1">
      <c r="A11081" s="1">
        <v>12324.0</v>
      </c>
      <c r="B11081" s="3" t="s">
        <v>31511</v>
      </c>
      <c r="C11081" s="3">
        <v>0.0</v>
      </c>
      <c r="D11081" s="3">
        <v>0.0</v>
      </c>
      <c r="E11081" s="3">
        <v>0.0</v>
      </c>
      <c r="F11081" s="3" t="s">
        <v>31512</v>
      </c>
      <c r="G11081" s="3">
        <v>0.0</v>
      </c>
      <c r="H11081" s="3">
        <v>0.0</v>
      </c>
      <c r="I11081" s="3" t="s">
        <v>13</v>
      </c>
      <c r="J11081" s="3" t="s">
        <v>31513</v>
      </c>
      <c r="K11081" s="3" t="s">
        <v>31</v>
      </c>
      <c r="L11081" s="3" t="str">
        <f>IFERROR(__xludf.DUMMYFUNCTION("GOOGLETRANSLATE(F11081,""id"",""en"")"),"hah Argentina JDI World Champion")</f>
        <v>hah Argentina JDI World Champion</v>
      </c>
    </row>
    <row r="11082" ht="15.75" customHeight="1">
      <c r="A11082" s="1">
        <v>12325.0</v>
      </c>
      <c r="B11082" s="3" t="s">
        <v>31514</v>
      </c>
      <c r="C11082" s="3">
        <v>0.0</v>
      </c>
      <c r="D11082" s="3">
        <v>0.0</v>
      </c>
      <c r="E11082" s="3">
        <v>0.0</v>
      </c>
      <c r="F11082" s="3" t="s">
        <v>31515</v>
      </c>
      <c r="G11082" s="3">
        <v>0.0</v>
      </c>
      <c r="H11082" s="3">
        <v>0.0</v>
      </c>
      <c r="I11082" s="3" t="s">
        <v>13</v>
      </c>
      <c r="J11082" s="3" t="s">
        <v>31516</v>
      </c>
      <c r="K11082" s="3" t="s">
        <v>31</v>
      </c>
      <c r="L11082" s="3" t="str">
        <f>IFERROR(__xludf.DUMMYFUNCTION("GOOGLETRANSLATE(F11082,""id"",""en"")"),"Argentina Champion French Crop again")</f>
        <v>Argentina Champion French Crop again</v>
      </c>
    </row>
    <row r="11083" ht="15.75" customHeight="1">
      <c r="A11083" s="1">
        <v>12326.0</v>
      </c>
      <c r="B11083" s="3" t="s">
        <v>31517</v>
      </c>
      <c r="C11083" s="3">
        <v>1.0</v>
      </c>
      <c r="D11083" s="3">
        <v>0.0</v>
      </c>
      <c r="E11083" s="3">
        <v>0.0</v>
      </c>
      <c r="F11083" s="3" t="s">
        <v>31518</v>
      </c>
      <c r="G11083" s="3">
        <v>0.0</v>
      </c>
      <c r="H11083" s="3">
        <v>0.0</v>
      </c>
      <c r="I11083" s="3" t="s">
        <v>13</v>
      </c>
      <c r="J11083" s="3" t="s">
        <v>31519</v>
      </c>
      <c r="K11083" s="3" t="s">
        <v>54</v>
      </c>
      <c r="L11083" s="3" t="str">
        <f>IFERROR(__xludf.DUMMYFUNCTION("GOOGLETRANSLATE(F11083,""id"",""en"")"),"Argentina Champion means to get Llaollao one")</f>
        <v>Argentina Champion means to get Llaollao one</v>
      </c>
    </row>
    <row r="11084" ht="15.75" customHeight="1">
      <c r="A11084" s="1">
        <v>12327.0</v>
      </c>
      <c r="B11084" s="3" t="s">
        <v>31520</v>
      </c>
      <c r="C11084" s="3">
        <v>0.0</v>
      </c>
      <c r="D11084" s="3">
        <v>0.0</v>
      </c>
      <c r="E11084" s="3">
        <v>0.0</v>
      </c>
      <c r="F11084" s="3" t="s">
        <v>31521</v>
      </c>
      <c r="G11084" s="3">
        <v>0.0</v>
      </c>
      <c r="H11084" s="3">
        <v>0.0</v>
      </c>
      <c r="I11084" s="3" t="s">
        <v>13</v>
      </c>
      <c r="J11084" s="3" t="s">
        <v>31522</v>
      </c>
      <c r="K11084" s="3" t="s">
        <v>41</v>
      </c>
      <c r="L11084" s="3" t="str">
        <f>IFERROR(__xludf.DUMMYFUNCTION("GOOGLETRANSLATE(F11084,""id"",""en"")"),"Thank you, Iwan Bule, thanks to him, Argentina became champion")</f>
        <v>Thank you, Iwan Bule, thanks to him, Argentina became champion</v>
      </c>
    </row>
    <row r="11085" ht="15.75" customHeight="1">
      <c r="A11085" s="1">
        <v>12328.0</v>
      </c>
      <c r="B11085" s="3" t="s">
        <v>31523</v>
      </c>
      <c r="C11085" s="3">
        <v>0.0</v>
      </c>
      <c r="D11085" s="3">
        <v>0.0</v>
      </c>
      <c r="E11085" s="3">
        <v>0.0</v>
      </c>
      <c r="F11085" s="3" t="s">
        <v>31487</v>
      </c>
      <c r="G11085" s="3">
        <v>0.0</v>
      </c>
      <c r="H11085" s="3">
        <v>0.0</v>
      </c>
      <c r="I11085" s="3" t="s">
        <v>13</v>
      </c>
      <c r="J11085" s="3" t="s">
        <v>31488</v>
      </c>
      <c r="K11085" s="3" t="s">
        <v>50</v>
      </c>
      <c r="L11085" s="3" t="str">
        <f>IFERROR(__xludf.DUMMYFUNCTION("GOOGLETRANSLATE(F11085,""id"",""en"")"),"The Argentine national team also received another billion prizes after becoming the World Cup championship")</f>
        <v>The Argentine national team also received another billion prizes after becoming the World Cup championship</v>
      </c>
    </row>
    <row r="11086" ht="15.75" customHeight="1">
      <c r="A11086" s="1">
        <v>12329.0</v>
      </c>
      <c r="B11086" s="3" t="s">
        <v>31524</v>
      </c>
      <c r="C11086" s="3">
        <v>0.0</v>
      </c>
      <c r="D11086" s="3">
        <v>0.0</v>
      </c>
      <c r="E11086" s="3">
        <v>0.0</v>
      </c>
      <c r="F11086" s="3" t="s">
        <v>31478</v>
      </c>
      <c r="G11086" s="3">
        <v>0.0</v>
      </c>
      <c r="H11086" s="3">
        <v>0.0</v>
      </c>
      <c r="I11086" s="3" t="s">
        <v>13</v>
      </c>
      <c r="J11086" s="3" t="s">
        <v>31479</v>
      </c>
      <c r="K11086" s="3" t="s">
        <v>433</v>
      </c>
      <c r="L11086" s="3" t="str">
        <f>IFERROR(__xludf.DUMMYFUNCTION("GOOGLETRANSLATE(F11086,""id"",""en"")"),"Before winning the Argentina World Cup also won the Copa America title in the following Argentina achievement records in full")</f>
        <v>Before winning the Argentina World Cup also won the Copa America title in the following Argentina achievement records in full</v>
      </c>
    </row>
    <row r="11087" ht="15.75" customHeight="1">
      <c r="A11087" s="1">
        <v>12330.0</v>
      </c>
      <c r="B11087" s="3" t="s">
        <v>31525</v>
      </c>
      <c r="C11087" s="3">
        <v>0.0</v>
      </c>
      <c r="D11087" s="3">
        <v>0.0</v>
      </c>
      <c r="E11087" s="3">
        <v>0.0</v>
      </c>
      <c r="F11087" s="3" t="s">
        <v>31526</v>
      </c>
      <c r="G11087" s="3">
        <v>0.0</v>
      </c>
      <c r="H11087" s="3">
        <v>0.0</v>
      </c>
      <c r="I11087" s="3" t="s">
        <v>13</v>
      </c>
      <c r="J11087" s="3" t="s">
        <v>31527</v>
      </c>
      <c r="K11087" s="3" t="s">
        <v>54</v>
      </c>
      <c r="L11087" s="3" t="str">
        <f>IFERROR(__xludf.DUMMYFUNCTION("GOOGLETRANSLATE(F11087,""id"",""en"")"),"Without Indonesia Argentina Gabisa World Champion Coy")</f>
        <v>Without Indonesia Argentina Gabisa World Champion Coy</v>
      </c>
    </row>
    <row r="11088" ht="15.75" customHeight="1">
      <c r="A11088" s="1">
        <v>12331.0</v>
      </c>
      <c r="B11088" s="3" t="s">
        <v>31528</v>
      </c>
      <c r="C11088" s="3">
        <v>0.0</v>
      </c>
      <c r="D11088" s="3">
        <v>0.0</v>
      </c>
      <c r="E11088" s="3">
        <v>0.0</v>
      </c>
      <c r="F11088" s="3" t="s">
        <v>31529</v>
      </c>
      <c r="G11088" s="3">
        <v>0.0</v>
      </c>
      <c r="H11088" s="3">
        <v>0.0</v>
      </c>
      <c r="I11088" s="3" t="s">
        <v>13</v>
      </c>
      <c r="J11088" s="3" t="s">
        <v>31530</v>
      </c>
      <c r="K11088" s="3" t="s">
        <v>19</v>
      </c>
      <c r="L11088" s="3" t="str">
        <f>IFERROR(__xludf.DUMMYFUNCTION("GOOGLETRANSLATE(F11088,""id"",""en"")"),"Piye Happy Argentina can win the national holiday will be paid debt")</f>
        <v>Piye Happy Argentina can win the national holiday will be paid debt</v>
      </c>
    </row>
    <row r="11089" ht="15.75" customHeight="1">
      <c r="A11089" s="1">
        <v>12332.0</v>
      </c>
      <c r="B11089" s="3" t="s">
        <v>31531</v>
      </c>
      <c r="C11089" s="3">
        <v>0.0</v>
      </c>
      <c r="D11089" s="3">
        <v>0.0</v>
      </c>
      <c r="E11089" s="3">
        <v>0.0</v>
      </c>
      <c r="F11089" s="3" t="s">
        <v>31532</v>
      </c>
      <c r="G11089" s="3">
        <v>0.0</v>
      </c>
      <c r="H11089" s="3">
        <v>0.0</v>
      </c>
      <c r="I11089" s="3" t="s">
        <v>13</v>
      </c>
      <c r="J11089" s="3" t="s">
        <v>31533</v>
      </c>
      <c r="K11089" s="3" t="s">
        <v>795</v>
      </c>
      <c r="L11089" s="3" t="str">
        <f>IFERROR(__xludf.DUMMYFUNCTION("GOOGLETRANSLATE(F11089,""id"",""en"")"),"If it is repeated again Argentina also hasn't been the champion of the Argentine World Cup, it hasn't been able to defeat France, even Croatia hasn't certainly been able to defeat the Morocco if you tell me that")</f>
        <v>If it is repeated again Argentina also hasn't been the champion of the Argentine World Cup, it hasn't been able to defeat France, even Croatia hasn't certainly been able to defeat the Morocco if you tell me that</v>
      </c>
    </row>
    <row r="11090" ht="15.75" customHeight="1">
      <c r="A11090" s="1">
        <v>12333.0</v>
      </c>
      <c r="B11090" s="3" t="s">
        <v>31534</v>
      </c>
      <c r="C11090" s="3">
        <v>0.0</v>
      </c>
      <c r="D11090" s="3">
        <v>0.0</v>
      </c>
      <c r="E11090" s="3">
        <v>0.0</v>
      </c>
      <c r="F11090" s="3" t="s">
        <v>31535</v>
      </c>
      <c r="G11090" s="3">
        <v>0.0</v>
      </c>
      <c r="H11090" s="3">
        <v>0.0</v>
      </c>
      <c r="I11090" s="3" t="s">
        <v>13</v>
      </c>
      <c r="J11090" s="3" t="s">
        <v>31536</v>
      </c>
      <c r="K11090" s="3" t="s">
        <v>2117</v>
      </c>
      <c r="L11090" s="3" t="str">
        <f>IFERROR(__xludf.DUMMYFUNCTION("GOOGLETRANSLATE(F11090,""id"",""en"")"),"Yash Argentina Champion")</f>
        <v>Yash Argentina Champion</v>
      </c>
    </row>
    <row r="11091" ht="15.75" customHeight="1">
      <c r="A11091" s="1">
        <v>12334.0</v>
      </c>
      <c r="B11091" s="3" t="s">
        <v>31537</v>
      </c>
      <c r="C11091" s="3">
        <v>0.0</v>
      </c>
      <c r="D11091" s="3">
        <v>0.0</v>
      </c>
      <c r="E11091" s="3">
        <v>0.0</v>
      </c>
      <c r="F11091" s="3" t="s">
        <v>31538</v>
      </c>
      <c r="G11091" s="3">
        <v>0.0</v>
      </c>
      <c r="H11091" s="3">
        <v>0.0</v>
      </c>
      <c r="I11091" s="3" t="s">
        <v>13</v>
      </c>
      <c r="J11091" s="3" t="s">
        <v>31539</v>
      </c>
      <c r="K11091" s="3" t="s">
        <v>19</v>
      </c>
      <c r="L11091" s="3" t="str">
        <f>IFERROR(__xludf.DUMMYFUNCTION("GOOGLETRANSLATE(F11091,""id"",""en"")"),"Lautaro has a clean chance to score goals but unfortunately failed to profit Argentina still championship")</f>
        <v>Lautaro has a clean chance to score goals but unfortunately failed to profit Argentina still championship</v>
      </c>
    </row>
    <row r="11092" ht="15.75" customHeight="1">
      <c r="A11092" s="1">
        <v>12335.0</v>
      </c>
      <c r="B11092" s="3" t="s">
        <v>31540</v>
      </c>
      <c r="C11092" s="3">
        <v>0.0</v>
      </c>
      <c r="D11092" s="3">
        <v>0.0</v>
      </c>
      <c r="E11092" s="3">
        <v>1.0</v>
      </c>
      <c r="F11092" s="3" t="s">
        <v>31541</v>
      </c>
      <c r="G11092" s="3">
        <v>0.4</v>
      </c>
      <c r="H11092" s="3">
        <v>0.2</v>
      </c>
      <c r="I11092" s="3" t="s">
        <v>48</v>
      </c>
      <c r="J11092" s="3" t="s">
        <v>31542</v>
      </c>
      <c r="K11092" s="3" t="s">
        <v>54</v>
      </c>
      <c r="L11092" s="3" t="str">
        <f>IFERROR(__xludf.DUMMYFUNCTION("GOOGLETRANSLATE(F11092,""id"",""en"")"),"Argentina who won even Ronaldo who is trending hahaha")</f>
        <v>Argentina who won even Ronaldo who is trending hahaha</v>
      </c>
    </row>
    <row r="11093" ht="15.75" customHeight="1">
      <c r="A11093" s="1">
        <v>12336.0</v>
      </c>
      <c r="B11093" s="3" t="s">
        <v>31543</v>
      </c>
      <c r="C11093" s="3">
        <v>0.0</v>
      </c>
      <c r="D11093" s="3">
        <v>0.0</v>
      </c>
      <c r="E11093" s="3">
        <v>0.0</v>
      </c>
      <c r="F11093" s="3" t="s">
        <v>31544</v>
      </c>
      <c r="G11093" s="3">
        <v>0.0</v>
      </c>
      <c r="H11093" s="3">
        <v>0.0</v>
      </c>
      <c r="I11093" s="3" t="s">
        <v>13</v>
      </c>
      <c r="J11093" s="3" t="s">
        <v>31545</v>
      </c>
      <c r="K11093" s="3" t="s">
        <v>82</v>
      </c>
      <c r="L11093" s="3" t="str">
        <f>IFERROR(__xludf.DUMMYFUNCTION("GOOGLETRANSLATE(F11093,""id"",""en"")"),"Argentina Champion thanks to the services of Want Boo Lie")</f>
        <v>Argentina Champion thanks to the services of Want Boo Lie</v>
      </c>
    </row>
    <row r="11094" ht="15.75" customHeight="1">
      <c r="A11094" s="1">
        <v>12337.0</v>
      </c>
      <c r="B11094" s="3" t="s">
        <v>31546</v>
      </c>
      <c r="C11094" s="3">
        <v>0.0</v>
      </c>
      <c r="D11094" s="3">
        <v>2.0</v>
      </c>
      <c r="E11094" s="3">
        <v>3.0</v>
      </c>
      <c r="F11094" s="3" t="s">
        <v>31547</v>
      </c>
      <c r="G11094" s="3">
        <v>0.0</v>
      </c>
      <c r="H11094" s="3">
        <v>0.0</v>
      </c>
      <c r="I11094" s="3" t="s">
        <v>13</v>
      </c>
      <c r="J11094" s="3" t="s">
        <v>31548</v>
      </c>
      <c r="K11094" s="3" t="s">
        <v>41</v>
      </c>
      <c r="L11094" s="3" t="str">
        <f>IFERROR(__xludf.DUMMYFUNCTION("GOOGLETRANSLATE(F11094,""id"",""en"")"),"Don Cry for Argentina Champion World Cup FIFA AFP")</f>
        <v>Don Cry for Argentina Champion World Cup FIFA AFP</v>
      </c>
    </row>
    <row r="11095" ht="15.75" customHeight="1">
      <c r="A11095" s="1">
        <v>12338.0</v>
      </c>
      <c r="B11095" s="3" t="s">
        <v>31549</v>
      </c>
      <c r="C11095" s="3">
        <v>0.0</v>
      </c>
      <c r="D11095" s="3">
        <v>0.0</v>
      </c>
      <c r="E11095" s="3">
        <v>0.0</v>
      </c>
      <c r="F11095" s="3" t="s">
        <v>31550</v>
      </c>
      <c r="G11095" s="3">
        <v>0.0</v>
      </c>
      <c r="H11095" s="3">
        <v>0.0</v>
      </c>
      <c r="I11095" s="3" t="s">
        <v>13</v>
      </c>
      <c r="J11095" s="3" t="s">
        <v>31551</v>
      </c>
      <c r="K11095" s="3" t="s">
        <v>50</v>
      </c>
      <c r="L11095" s="3" t="str">
        <f>IFERROR(__xludf.DUMMYFUNCTION("GOOGLETRANSLATE(F11095,""id"",""en"")"),"Argentina World Cup Champion Thank you Messi Fasting Title Year Ends Beautiful")</f>
        <v>Argentina World Cup Champion Thank you Messi Fasting Title Year Ends Beautiful</v>
      </c>
    </row>
    <row r="11096" ht="15.75" customHeight="1">
      <c r="A11096" s="1">
        <v>12339.0</v>
      </c>
      <c r="B11096" s="3" t="s">
        <v>31552</v>
      </c>
      <c r="C11096" s="3">
        <v>0.0</v>
      </c>
      <c r="D11096" s="3">
        <v>0.0</v>
      </c>
      <c r="E11096" s="3">
        <v>0.0</v>
      </c>
      <c r="F11096" s="3" t="s">
        <v>31550</v>
      </c>
      <c r="G11096" s="3">
        <v>0.0</v>
      </c>
      <c r="H11096" s="3">
        <v>0.0</v>
      </c>
      <c r="I11096" s="3" t="s">
        <v>13</v>
      </c>
      <c r="J11096" s="3" t="s">
        <v>31551</v>
      </c>
      <c r="K11096" s="3" t="s">
        <v>50</v>
      </c>
      <c r="L11096" s="3" t="str">
        <f>IFERROR(__xludf.DUMMYFUNCTION("GOOGLETRANSLATE(F11096,""id"",""en"")"),"Argentina World Cup Champion Thank you Messi Fasting Title Year Ends Beautiful")</f>
        <v>Argentina World Cup Champion Thank you Messi Fasting Title Year Ends Beautiful</v>
      </c>
    </row>
    <row r="11097" ht="15.75" customHeight="1">
      <c r="A11097" s="1">
        <v>12340.0</v>
      </c>
      <c r="B11097" s="3" t="s">
        <v>31553</v>
      </c>
      <c r="C11097" s="3">
        <v>0.0</v>
      </c>
      <c r="D11097" s="3">
        <v>0.0</v>
      </c>
      <c r="E11097" s="3">
        <v>0.0</v>
      </c>
      <c r="F11097" s="3" t="s">
        <v>31554</v>
      </c>
      <c r="G11097" s="3">
        <v>0.0</v>
      </c>
      <c r="H11097" s="3">
        <v>0.0</v>
      </c>
      <c r="I11097" s="3" t="s">
        <v>13</v>
      </c>
      <c r="J11097" s="3" t="s">
        <v>31555</v>
      </c>
      <c r="K11097" s="3" t="s">
        <v>75</v>
      </c>
      <c r="L11097" s="3" t="str">
        <f>IFERROR(__xludf.DUMMYFUNCTION("GOOGLETRANSLATE(F11097,""id"",""en"")"),"Argentina Champion World Cup Lloris feels empty Messi is really amazing")</f>
        <v>Argentina Champion World Cup Lloris feels empty Messi is really amazing</v>
      </c>
    </row>
    <row r="11098" ht="15.75" customHeight="1">
      <c r="A11098" s="1">
        <v>12341.0</v>
      </c>
      <c r="B11098" s="3" t="s">
        <v>31556</v>
      </c>
      <c r="C11098" s="3">
        <v>0.0</v>
      </c>
      <c r="D11098" s="3">
        <v>0.0</v>
      </c>
      <c r="E11098" s="3">
        <v>0.0</v>
      </c>
      <c r="F11098" s="3" t="s">
        <v>31557</v>
      </c>
      <c r="G11098" s="3">
        <v>0.5</v>
      </c>
      <c r="H11098" s="3">
        <v>0.5</v>
      </c>
      <c r="I11098" s="3" t="s">
        <v>48</v>
      </c>
      <c r="J11098" s="3" t="s">
        <v>31558</v>
      </c>
      <c r="K11098" s="3" t="s">
        <v>75</v>
      </c>
      <c r="L11098" s="3" t="str">
        <f>IFERROR(__xludf.DUMMYFUNCTION("GOOGLETRANSLATE(F11098,""id"",""en"")"),"Top News of Merdeka People's Newspaper Argentina Champion Messi Mbappe Winning Winners")</f>
        <v>Top News of Merdeka People's Newspaper Argentina Champion Messi Mbappe Winning Winners</v>
      </c>
    </row>
    <row r="11099" ht="15.75" customHeight="1">
      <c r="A11099" s="1">
        <v>12342.0</v>
      </c>
      <c r="B11099" s="3" t="s">
        <v>31559</v>
      </c>
      <c r="C11099" s="3">
        <v>0.0</v>
      </c>
      <c r="D11099" s="3">
        <v>0.0</v>
      </c>
      <c r="E11099" s="3">
        <v>0.0</v>
      </c>
      <c r="F11099" s="3" t="s">
        <v>31560</v>
      </c>
      <c r="G11099" s="3">
        <v>0.0</v>
      </c>
      <c r="H11099" s="3">
        <v>0.0</v>
      </c>
      <c r="I11099" s="3" t="s">
        <v>13</v>
      </c>
      <c r="J11099" s="3" t="s">
        <v>31561</v>
      </c>
      <c r="K11099" s="3" t="s">
        <v>31</v>
      </c>
      <c r="L11099" s="3" t="str">
        <f>IFERROR(__xludf.DUMMYFUNCTION("GOOGLETRANSLATE(F11099,""id"",""en"")"),"Happy Monday finally Argentina Champion")</f>
        <v>Happy Monday finally Argentina Champion</v>
      </c>
    </row>
    <row r="11100" ht="15.75" customHeight="1">
      <c r="A11100" s="1">
        <v>12343.0</v>
      </c>
      <c r="B11100" s="3" t="s">
        <v>31562</v>
      </c>
      <c r="C11100" s="3">
        <v>0.0</v>
      </c>
      <c r="D11100" s="3">
        <v>0.0</v>
      </c>
      <c r="E11100" s="3">
        <v>0.0</v>
      </c>
      <c r="F11100" s="3" t="s">
        <v>31563</v>
      </c>
      <c r="G11100" s="3">
        <v>0.5416666666666666</v>
      </c>
      <c r="H11100" s="3">
        <v>-0.04166666666666667</v>
      </c>
      <c r="I11100" s="3" t="s">
        <v>179</v>
      </c>
      <c r="J11100" s="3" t="s">
        <v>31564</v>
      </c>
      <c r="K11100" s="3" t="s">
        <v>3245</v>
      </c>
      <c r="L11100" s="3" t="str">
        <f>IFERROR(__xludf.DUMMYFUNCTION("GOOGLETRANSLATE(F11100,""id"",""en"")"),"Info Playing Lionel Messi Football Harvests Record After the World Cup Champion indeed alien Goat Patent Debate Lionel Messi finally realized his biggest ambition Pulga successfully brought Argentina World Cup champions after conquering France")</f>
        <v>Info Playing Lionel Messi Football Harvests Record After the World Cup Champion indeed alien Goat Patent Debate Lionel Messi finally realized his biggest ambition Pulga successfully brought Argentina World Cup champions after conquering France</v>
      </c>
    </row>
    <row r="11101" ht="15.75" customHeight="1">
      <c r="A11101" s="1">
        <v>12344.0</v>
      </c>
      <c r="B11101" s="3" t="s">
        <v>31565</v>
      </c>
      <c r="C11101" s="3">
        <v>0.0</v>
      </c>
      <c r="D11101" s="3">
        <v>0.0</v>
      </c>
      <c r="E11101" s="3">
        <v>0.0</v>
      </c>
      <c r="F11101" s="3" t="s">
        <v>31566</v>
      </c>
      <c r="G11101" s="3">
        <v>0.0</v>
      </c>
      <c r="H11101" s="3">
        <v>0.0</v>
      </c>
      <c r="I11101" s="3" t="s">
        <v>13</v>
      </c>
      <c r="J11101" s="3" t="s">
        <v>31567</v>
      </c>
      <c r="K11101" s="3" t="s">
        <v>657</v>
      </c>
      <c r="L11101" s="3" t="str">
        <f>IFERROR(__xludf.DUMMYFUNCTION("GOOGLETRANSLATE(F11101,""id"",""en"")"),"Happy Argentina champions because I only want to see Messi to get pildun but lazy with other players Anjir HoorayMM")</f>
        <v>Happy Argentina champions because I only want to see Messi to get pildun but lazy with other players Anjir HoorayMM</v>
      </c>
    </row>
    <row r="11102" ht="15.75" customHeight="1">
      <c r="A11102" s="1">
        <v>12345.0</v>
      </c>
      <c r="B11102" s="3" t="s">
        <v>31568</v>
      </c>
      <c r="C11102" s="3">
        <v>3.0</v>
      </c>
      <c r="D11102" s="3">
        <v>0.0</v>
      </c>
      <c r="E11102" s="3">
        <v>1.0</v>
      </c>
      <c r="F11102" s="3" t="s">
        <v>31569</v>
      </c>
      <c r="G11102" s="3">
        <v>0.0</v>
      </c>
      <c r="H11102" s="3">
        <v>0.0</v>
      </c>
      <c r="I11102" s="3" t="s">
        <v>13</v>
      </c>
      <c r="J11102" s="3" t="s">
        <v>31570</v>
      </c>
      <c r="K11102" s="3" t="s">
        <v>610</v>
      </c>
      <c r="L11102" s="3" t="str">
        <f>IFERROR(__xludf.DUMMYFUNCTION("GOOGLETRANSLATE(F11102,""id"",""en"")"),"world champion Brazilian soccer time Italy times Germany Kali Uruguay Kali Argentina Kali Kali English Kali Kali Spanish times Indonesia next time")</f>
        <v>world champion Brazilian soccer time Italy times Germany Kali Uruguay Kali Argentina Kali Kali English Kali Kali Spanish times Indonesia next time</v>
      </c>
    </row>
    <row r="11103" ht="15.75" customHeight="1">
      <c r="A11103" s="1">
        <v>12346.0</v>
      </c>
      <c r="B11103" s="3" t="s">
        <v>31571</v>
      </c>
      <c r="C11103" s="3">
        <v>0.0</v>
      </c>
      <c r="D11103" s="3">
        <v>0.0</v>
      </c>
      <c r="E11103" s="3">
        <v>0.0</v>
      </c>
      <c r="F11103" s="3" t="s">
        <v>23250</v>
      </c>
      <c r="G11103" s="3">
        <v>0.0</v>
      </c>
      <c r="H11103" s="3">
        <v>0.0</v>
      </c>
      <c r="I11103" s="3" t="s">
        <v>13</v>
      </c>
      <c r="J11103" s="3" t="s">
        <v>16104</v>
      </c>
      <c r="K11103" s="3" t="s">
        <v>14571</v>
      </c>
      <c r="L11103" s="3" t="str">
        <f>IFERROR(__xludf.DUMMYFUNCTION("GOOGLETRANSLATE(F11103,""id"",""en"")"),"Argentina is the champion")</f>
        <v>Argentina is the champion</v>
      </c>
    </row>
    <row r="11104" ht="15.75" customHeight="1">
      <c r="A11104" s="1">
        <v>12347.0</v>
      </c>
      <c r="B11104" s="3" t="s">
        <v>31572</v>
      </c>
      <c r="C11104" s="3">
        <v>0.0</v>
      </c>
      <c r="D11104" s="3">
        <v>1.0</v>
      </c>
      <c r="E11104" s="3">
        <v>5.0</v>
      </c>
      <c r="F11104" s="3" t="s">
        <v>31573</v>
      </c>
      <c r="G11104" s="3">
        <v>0.0</v>
      </c>
      <c r="H11104" s="3">
        <v>0.0</v>
      </c>
      <c r="I11104" s="3" t="s">
        <v>13</v>
      </c>
      <c r="J11104" s="3" t="s">
        <v>31574</v>
      </c>
      <c r="K11104" s="3" t="s">
        <v>82</v>
      </c>
      <c r="L11104" s="3" t="str">
        <f>IFERROR(__xludf.DUMMYFUNCTION("GOOGLETRANSLATE(F11104,""id"",""en"")"),"Argentina Year Wait for JDI World Cup Champion")</f>
        <v>Argentina Year Wait for JDI World Cup Champion</v>
      </c>
    </row>
    <row r="11105" ht="15.75" customHeight="1">
      <c r="A11105" s="1">
        <v>12348.0</v>
      </c>
      <c r="B11105" s="3" t="s">
        <v>31575</v>
      </c>
      <c r="C11105" s="3">
        <v>0.0</v>
      </c>
      <c r="D11105" s="3">
        <v>0.0</v>
      </c>
      <c r="E11105" s="3">
        <v>0.0</v>
      </c>
      <c r="F11105" s="3" t="s">
        <v>31576</v>
      </c>
      <c r="G11105" s="3">
        <v>0.0</v>
      </c>
      <c r="H11105" s="3">
        <v>0.0</v>
      </c>
      <c r="I11105" s="3" t="s">
        <v>13</v>
      </c>
      <c r="J11105" s="3" t="s">
        <v>31577</v>
      </c>
      <c r="K11105" s="3" t="s">
        <v>644</v>
      </c>
      <c r="L11105" s="3" t="str">
        <f>IFERROR(__xludf.DUMMYFUNCTION("GOOGLETRANSLATE(F11105,""id"",""en"")"),"Argentina who won Ronaldo who is trending wkwk")</f>
        <v>Argentina who won Ronaldo who is trending wkwk</v>
      </c>
    </row>
    <row r="11106" ht="15.75" customHeight="1">
      <c r="A11106" s="1">
        <v>12349.0</v>
      </c>
      <c r="B11106" s="3" t="s">
        <v>31578</v>
      </c>
      <c r="C11106" s="3">
        <v>0.0</v>
      </c>
      <c r="D11106" s="3">
        <v>0.0</v>
      </c>
      <c r="E11106" s="3">
        <v>1.0</v>
      </c>
      <c r="F11106" s="3" t="s">
        <v>31579</v>
      </c>
      <c r="G11106" s="3">
        <v>0.0</v>
      </c>
      <c r="H11106" s="3">
        <v>0.0</v>
      </c>
      <c r="I11106" s="3" t="s">
        <v>13</v>
      </c>
      <c r="J11106" s="3" t="s">
        <v>31580</v>
      </c>
      <c r="K11106" s="3" t="s">
        <v>41</v>
      </c>
      <c r="L11106" s="3" t="str">
        <f>IFERROR(__xludf.DUMMYFUNCTION("GOOGLETRANSLATE(F11106,""id"",""en"")"),"whether after Argentina the champion champion will affect the order of Komponeeen, hopefully it will be bursting")</f>
        <v>whether after Argentina the champion champion will affect the order of Komponeeen, hopefully it will be bursting</v>
      </c>
    </row>
    <row r="11107" ht="15.75" customHeight="1">
      <c r="A11107" s="1">
        <v>12350.0</v>
      </c>
      <c r="B11107" s="3" t="s">
        <v>31581</v>
      </c>
      <c r="C11107" s="3">
        <v>0.0</v>
      </c>
      <c r="D11107" s="3">
        <v>2.0</v>
      </c>
      <c r="E11107" s="3">
        <v>6.0</v>
      </c>
      <c r="F11107" s="3" t="s">
        <v>31582</v>
      </c>
      <c r="G11107" s="3">
        <v>0.0</v>
      </c>
      <c r="H11107" s="3">
        <v>0.0</v>
      </c>
      <c r="I11107" s="3" t="s">
        <v>13</v>
      </c>
      <c r="J11107" s="3" t="s">
        <v>31583</v>
      </c>
      <c r="K11107" s="3" t="s">
        <v>903</v>
      </c>
      <c r="L11107" s="3" t="str">
        <f>IFERROR(__xludf.DUMMYFUNCTION("GOOGLETRANSLATE(F11107,""id"",""en"")"),"Where at that time said that Rafathar was a carrier child when he was wearing an Argentine jersey, he happened to lose his team, right?")</f>
        <v>Where at that time said that Rafathar was a carrier child when he was wearing an Argentine jersey, he happened to lose his team, right?</v>
      </c>
    </row>
    <row r="11108" ht="15.75" customHeight="1">
      <c r="A11108" s="1">
        <v>12351.0</v>
      </c>
      <c r="B11108" s="3" t="s">
        <v>31584</v>
      </c>
      <c r="C11108" s="3">
        <v>0.0</v>
      </c>
      <c r="D11108" s="3">
        <v>0.0</v>
      </c>
      <c r="E11108" s="3">
        <v>1.0</v>
      </c>
      <c r="F11108" s="3" t="s">
        <v>31585</v>
      </c>
      <c r="G11108" s="3">
        <v>0.0</v>
      </c>
      <c r="H11108" s="3">
        <v>0.0</v>
      </c>
      <c r="I11108" s="3" t="s">
        <v>13</v>
      </c>
      <c r="J11108" s="3" t="s">
        <v>31586</v>
      </c>
      <c r="K11108" s="3" t="s">
        <v>1552</v>
      </c>
      <c r="L11108" s="3" t="str">
        <f>IFERROR(__xludf.DUMMYFUNCTION("GOOGLETRANSLATE(F11108,""id"",""en"")"),"Honestly, I will be happy to see Argentina champion in the Argentine deck champion, you know")</f>
        <v>Honestly, I will be happy to see Argentina champion in the Argentine deck champion, you know</v>
      </c>
    </row>
    <row r="11109" ht="15.75" customHeight="1">
      <c r="A11109" s="1">
        <v>12352.0</v>
      </c>
      <c r="B11109" s="3" t="s">
        <v>31587</v>
      </c>
      <c r="C11109" s="3">
        <v>0.0</v>
      </c>
      <c r="D11109" s="3">
        <v>2.0</v>
      </c>
      <c r="E11109" s="3">
        <v>6.0</v>
      </c>
      <c r="F11109" s="3" t="s">
        <v>31588</v>
      </c>
      <c r="G11109" s="3">
        <v>0.0</v>
      </c>
      <c r="H11109" s="3">
        <v>0.0</v>
      </c>
      <c r="I11109" s="3" t="s">
        <v>13</v>
      </c>
      <c r="J11109" s="3" t="s">
        <v>31589</v>
      </c>
      <c r="K11109" s="3" t="s">
        <v>15</v>
      </c>
      <c r="L11109" s="3" t="str">
        <f>IFERROR(__xludf.DUMMYFUNCTION("GOOGLETRANSLATE(F11109,""id"",""en"")"),"Argentina Champion of Messi's hometown world cup broke out")</f>
        <v>Argentina Champion of Messi's hometown world cup broke out</v>
      </c>
    </row>
    <row r="11110" ht="15.75" customHeight="1">
      <c r="A11110" s="1">
        <v>12353.0</v>
      </c>
      <c r="B11110" s="3" t="s">
        <v>31590</v>
      </c>
      <c r="C11110" s="3">
        <v>0.0</v>
      </c>
      <c r="D11110" s="3">
        <v>0.0</v>
      </c>
      <c r="E11110" s="3">
        <v>0.0</v>
      </c>
      <c r="F11110" s="3" t="s">
        <v>31591</v>
      </c>
      <c r="G11110" s="3">
        <v>0.0</v>
      </c>
      <c r="H11110" s="3">
        <v>0.0</v>
      </c>
      <c r="I11110" s="3" t="s">
        <v>13</v>
      </c>
      <c r="J11110" s="3" t="s">
        <v>31592</v>
      </c>
      <c r="K11110" s="3" t="s">
        <v>71</v>
      </c>
      <c r="L11110" s="3" t="str">
        <f>IFERROR(__xludf.DUMMYFUNCTION("GOOGLETRANSLATE(F11110,""id"",""en"")"),"Vice President and Inter World Champion Striker There are unique facts, Bang Lautaro and Zanetti, using Argentina")</f>
        <v>Vice President and Inter World Champion Striker There are unique facts, Bang Lautaro and Zanetti, using Argentina</v>
      </c>
    </row>
    <row r="11111" ht="15.75" customHeight="1">
      <c r="A11111" s="1">
        <v>12354.0</v>
      </c>
      <c r="B11111" s="3" t="s">
        <v>31593</v>
      </c>
      <c r="C11111" s="3">
        <v>1.0</v>
      </c>
      <c r="D11111" s="3">
        <v>0.0</v>
      </c>
      <c r="E11111" s="3">
        <v>0.0</v>
      </c>
      <c r="F11111" s="3" t="s">
        <v>16103</v>
      </c>
      <c r="G11111" s="3">
        <v>0.0</v>
      </c>
      <c r="H11111" s="3">
        <v>0.0</v>
      </c>
      <c r="I11111" s="3" t="s">
        <v>13</v>
      </c>
      <c r="J11111" s="3" t="s">
        <v>16104</v>
      </c>
      <c r="K11111" s="3" t="s">
        <v>14571</v>
      </c>
      <c r="L11111" s="3" t="str">
        <f>IFERROR(__xludf.DUMMYFUNCTION("GOOGLETRANSLATE(F11111,""id"",""en"")"),"Argentina Champion")</f>
        <v>Argentina Champion</v>
      </c>
    </row>
    <row r="11112" ht="15.75" customHeight="1">
      <c r="A11112" s="1">
        <v>12355.0</v>
      </c>
      <c r="B11112" s="3" t="s">
        <v>31594</v>
      </c>
      <c r="C11112" s="3">
        <v>2.0</v>
      </c>
      <c r="D11112" s="3">
        <v>0.0</v>
      </c>
      <c r="E11112" s="3">
        <v>0.0</v>
      </c>
      <c r="F11112" s="3" t="s">
        <v>31595</v>
      </c>
      <c r="G11112" s="3">
        <v>0.0</v>
      </c>
      <c r="H11112" s="3">
        <v>0.0</v>
      </c>
      <c r="I11112" s="3" t="s">
        <v>13</v>
      </c>
      <c r="J11112" s="3" t="s">
        <v>31596</v>
      </c>
      <c r="K11112" s="3" t="s">
        <v>1147</v>
      </c>
      <c r="L11112" s="3" t="str">
        <f>IFERROR(__xludf.DUMMYFUNCTION("GOOGLETRANSLATE(F11112,""id"",""en"")"),"The results of the Argentina Francis score of Francis PGT Mbappe Francis congratulations for those who won the quiz guess the score from the championship ball for those who are not lucky don't be discouraged, wait for the Guess Score quiz quiz")</f>
        <v>The results of the Argentina Francis score of Francis PGT Mbappe Francis congratulations for those who won the quiz guess the score from the championship ball for those who are not lucky don't be discouraged, wait for the Guess Score quiz quiz</v>
      </c>
    </row>
    <row r="11113" ht="15.75" customHeight="1">
      <c r="A11113" s="1">
        <v>12356.0</v>
      </c>
      <c r="B11113" s="3" t="s">
        <v>31597</v>
      </c>
      <c r="C11113" s="3">
        <v>0.0</v>
      </c>
      <c r="D11113" s="3">
        <v>1.0</v>
      </c>
      <c r="E11113" s="3">
        <v>9.0</v>
      </c>
      <c r="F11113" s="3" t="s">
        <v>31598</v>
      </c>
      <c r="G11113" s="3">
        <v>0.0</v>
      </c>
      <c r="H11113" s="3">
        <v>0.0</v>
      </c>
      <c r="I11113" s="3" t="s">
        <v>13</v>
      </c>
      <c r="J11113" s="3" t="s">
        <v>31599</v>
      </c>
      <c r="K11113" s="3" t="s">
        <v>31</v>
      </c>
      <c r="L11113" s="3" t="str">
        <f>IFERROR(__xludf.DUMMYFUNCTION("GOOGLETRANSLATE(F11113,""id"",""en"")"),"thanks to Iwan Bule Argentina Champion")</f>
        <v>thanks to Iwan Bule Argentina Champion</v>
      </c>
    </row>
    <row r="11114" ht="15.75" customHeight="1">
      <c r="A11114" s="1">
        <v>12357.0</v>
      </c>
      <c r="B11114" s="3" t="s">
        <v>31600</v>
      </c>
      <c r="C11114" s="3">
        <v>0.0</v>
      </c>
      <c r="D11114" s="3">
        <v>0.0</v>
      </c>
      <c r="E11114" s="3">
        <v>0.0</v>
      </c>
      <c r="F11114" s="3" t="s">
        <v>31601</v>
      </c>
      <c r="G11114" s="3">
        <v>0.0</v>
      </c>
      <c r="H11114" s="3">
        <v>0.0</v>
      </c>
      <c r="I11114" s="3" t="s">
        <v>13</v>
      </c>
      <c r="J11114" s="3" t="s">
        <v>31602</v>
      </c>
      <c r="K11114" s="3" t="s">
        <v>2610</v>
      </c>
      <c r="L11114" s="3" t="str">
        <f>IFERROR(__xludf.DUMMYFUNCTION("GOOGLETRANSLATE(F11114,""id"",""en"")"),"Skefo Bray Argentina defeated defending champion France in the FIFA Word Cup Messi's penalty shootout to be a star and ended the original goat debate in the end of his career")</f>
        <v>Skefo Bray Argentina defeated defending champion France in the FIFA Word Cup Messi's penalty shootout to be a star and ended the original goat debate in the end of his career</v>
      </c>
    </row>
    <row r="11115" ht="15.75" customHeight="1">
      <c r="A11115" s="1">
        <v>12358.0</v>
      </c>
      <c r="B11115" s="3" t="s">
        <v>31603</v>
      </c>
      <c r="C11115" s="3">
        <v>1.0</v>
      </c>
      <c r="D11115" s="3">
        <v>0.0</v>
      </c>
      <c r="E11115" s="3">
        <v>0.0</v>
      </c>
      <c r="F11115" s="3" t="s">
        <v>31604</v>
      </c>
      <c r="G11115" s="3">
        <v>0.0</v>
      </c>
      <c r="H11115" s="3">
        <v>0.0</v>
      </c>
      <c r="I11115" s="3" t="s">
        <v>13</v>
      </c>
      <c r="J11115" s="3" t="s">
        <v>31605</v>
      </c>
      <c r="K11115" s="3" t="s">
        <v>75</v>
      </c>
      <c r="L11115" s="3" t="str">
        <f>IFERROR(__xludf.DUMMYFUNCTION("GOOGLETRANSLATE(F11115,""id"",""en"")"),"wis bang not politically only society is still the euphoria of Argentina World Cup champions")</f>
        <v>wis bang not politically only society is still the euphoria of Argentina World Cup champions</v>
      </c>
    </row>
    <row r="11116" ht="15.75" customHeight="1">
      <c r="A11116" s="1">
        <v>12359.0</v>
      </c>
      <c r="B11116" s="3" t="s">
        <v>31606</v>
      </c>
      <c r="C11116" s="3">
        <v>0.0</v>
      </c>
      <c r="D11116" s="3">
        <v>0.0</v>
      </c>
      <c r="E11116" s="3">
        <v>1.0</v>
      </c>
      <c r="F11116" s="3" t="s">
        <v>31607</v>
      </c>
      <c r="G11116" s="3">
        <v>0.0</v>
      </c>
      <c r="H11116" s="3">
        <v>0.0</v>
      </c>
      <c r="I11116" s="3" t="s">
        <v>13</v>
      </c>
      <c r="J11116" s="3" t="s">
        <v>31608</v>
      </c>
      <c r="K11116" s="3" t="s">
        <v>358</v>
      </c>
      <c r="L11116" s="3" t="str">
        <f>IFERROR(__xludf.DUMMYFUNCTION("GOOGLETRANSLATE(F11116,""id"",""en"")"),"a lot says Argentina settings can be champions, right? The champion is champion if it is destined to tease or look for mistakes")</f>
        <v>a lot says Argentina settings can be champions, right? The champion is champion if it is destined to tease or look for mistakes</v>
      </c>
    </row>
    <row r="11117" ht="15.75" customHeight="1">
      <c r="A11117" s="1">
        <v>12360.0</v>
      </c>
      <c r="B11117" s="3" t="s">
        <v>31609</v>
      </c>
      <c r="C11117" s="3">
        <v>0.0</v>
      </c>
      <c r="D11117" s="3">
        <v>0.0</v>
      </c>
      <c r="E11117" s="3">
        <v>0.0</v>
      </c>
      <c r="F11117" s="3" t="s">
        <v>31610</v>
      </c>
      <c r="G11117" s="3">
        <v>0.0</v>
      </c>
      <c r="H11117" s="3">
        <v>0.0</v>
      </c>
      <c r="I11117" s="3" t="s">
        <v>13</v>
      </c>
      <c r="J11117" s="3" t="s">
        <v>31611</v>
      </c>
      <c r="K11117" s="3" t="s">
        <v>19</v>
      </c>
      <c r="L11117" s="3" t="str">
        <f>IFERROR(__xludf.DUMMYFUNCTION("GOOGLETRANSLATE(F11117,""id"",""en"")"),"Prank Lionel Messi did not retire from the Argentine national team after the World Cup championship")</f>
        <v>Prank Lionel Messi did not retire from the Argentine national team after the World Cup championship</v>
      </c>
    </row>
    <row r="11118" ht="15.75" customHeight="1">
      <c r="A11118" s="1">
        <v>12361.0</v>
      </c>
      <c r="B11118" s="3" t="s">
        <v>31612</v>
      </c>
      <c r="C11118" s="3">
        <v>0.0</v>
      </c>
      <c r="D11118" s="3">
        <v>0.0</v>
      </c>
      <c r="E11118" s="3">
        <v>0.0</v>
      </c>
      <c r="F11118" s="3" t="s">
        <v>31613</v>
      </c>
      <c r="G11118" s="3">
        <v>0.0</v>
      </c>
      <c r="H11118" s="3">
        <v>0.0</v>
      </c>
      <c r="I11118" s="3" t="s">
        <v>13</v>
      </c>
      <c r="J11118" s="3" t="s">
        <v>31614</v>
      </c>
      <c r="K11118" s="3" t="s">
        <v>15</v>
      </c>
      <c r="L11118" s="3" t="str">
        <f>IFERROR(__xludf.DUMMYFUNCTION("GOOGLETRANSLATE(F11118,""id"",""en"")"),"Amazon people are not happy to see Argentina World Cup champions")</f>
        <v>Amazon people are not happy to see Argentina World Cup champions</v>
      </c>
    </row>
    <row r="11119" ht="15.75" customHeight="1">
      <c r="A11119" s="1">
        <v>12362.0</v>
      </c>
      <c r="B11119" s="3" t="s">
        <v>31615</v>
      </c>
      <c r="C11119" s="3">
        <v>0.0</v>
      </c>
      <c r="D11119" s="3">
        <v>0.0</v>
      </c>
      <c r="E11119" s="3">
        <v>0.0</v>
      </c>
      <c r="F11119" s="3" t="s">
        <v>31616</v>
      </c>
      <c r="G11119" s="3">
        <v>0.0</v>
      </c>
      <c r="H11119" s="3">
        <v>0.0</v>
      </c>
      <c r="I11119" s="3" t="s">
        <v>13</v>
      </c>
      <c r="J11119" s="3" t="s">
        <v>31617</v>
      </c>
      <c r="K11119" s="3" t="s">
        <v>41</v>
      </c>
      <c r="L11119" s="3" t="str">
        <f>IFERROR(__xludf.DUMMYFUNCTION("GOOGLETRANSLATE(F11119,""id"",""en"")"),"Argentina Champion so remember the Indian film play loses first")</f>
        <v>Argentina Champion so remember the Indian film play loses first</v>
      </c>
    </row>
    <row r="11120" ht="15.75" customHeight="1">
      <c r="A11120" s="1">
        <v>12363.0</v>
      </c>
      <c r="B11120" s="3" t="s">
        <v>31618</v>
      </c>
      <c r="C11120" s="3">
        <v>0.0</v>
      </c>
      <c r="D11120" s="3">
        <v>3.0</v>
      </c>
      <c r="E11120" s="3">
        <v>13.0</v>
      </c>
      <c r="F11120" s="3" t="s">
        <v>31619</v>
      </c>
      <c r="G11120" s="3">
        <v>0.0</v>
      </c>
      <c r="H11120" s="3">
        <v>0.0</v>
      </c>
      <c r="I11120" s="3" t="s">
        <v>13</v>
      </c>
      <c r="J11120" s="3" t="s">
        <v>31620</v>
      </c>
      <c r="K11120" s="3" t="s">
        <v>15</v>
      </c>
      <c r="L11120" s="3" t="str">
        <f>IFERROR(__xludf.DUMMYFUNCTION("GOOGLETRANSLATE(F11120,""id"",""en"")"),"Argentina Saudi Arabian World Cup Champion may be proud")</f>
        <v>Argentina Saudi Arabian World Cup Champion may be proud</v>
      </c>
    </row>
    <row r="11121" ht="15.75" customHeight="1">
      <c r="A11121" s="1">
        <v>12364.0</v>
      </c>
      <c r="B11121" s="3" t="s">
        <v>31621</v>
      </c>
      <c r="C11121" s="3">
        <v>0.0</v>
      </c>
      <c r="D11121" s="3">
        <v>1.0</v>
      </c>
      <c r="E11121" s="3">
        <v>2.0</v>
      </c>
      <c r="F11121" s="3" t="s">
        <v>23612</v>
      </c>
      <c r="G11121" s="3">
        <v>0.0</v>
      </c>
      <c r="H11121" s="3">
        <v>0.0</v>
      </c>
      <c r="I11121" s="3" t="s">
        <v>13</v>
      </c>
      <c r="J11121" s="3" t="s">
        <v>23613</v>
      </c>
      <c r="K11121" s="3" t="s">
        <v>54</v>
      </c>
      <c r="L11121" s="3" t="str">
        <f>IFERROR(__xludf.DUMMYFUNCTION("GOOGLETRANSLATE(F11121,""id"",""en"")"),"Argentina Champion Messi broke the mbappe statement")</f>
        <v>Argentina Champion Messi broke the mbappe statement</v>
      </c>
    </row>
    <row r="11122" ht="15.75" customHeight="1">
      <c r="A11122" s="1">
        <v>12365.0</v>
      </c>
      <c r="B11122" s="3" t="s">
        <v>31622</v>
      </c>
      <c r="C11122" s="3">
        <v>0.0</v>
      </c>
      <c r="D11122" s="3">
        <v>0.0</v>
      </c>
      <c r="E11122" s="3">
        <v>2.0</v>
      </c>
      <c r="F11122" s="3" t="s">
        <v>31623</v>
      </c>
      <c r="G11122" s="3">
        <v>0.5</v>
      </c>
      <c r="H11122" s="3">
        <v>0.2</v>
      </c>
      <c r="I11122" s="3" t="s">
        <v>48</v>
      </c>
      <c r="J11122" s="3" t="s">
        <v>31624</v>
      </c>
      <c r="K11122" s="3" t="s">
        <v>50</v>
      </c>
      <c r="L11122" s="3" t="str">
        <f>IFERROR(__xludf.DUMMYFUNCTION("GOOGLETRANSLATE(F11122,""id"",""en"")"),"hahahaha who knows today France joined Argentina to become a world champion together")</f>
        <v>hahahaha who knows today France joined Argentina to become a world champion together</v>
      </c>
    </row>
    <row r="11123" ht="15.75" customHeight="1">
      <c r="A11123" s="1">
        <v>12366.0</v>
      </c>
      <c r="B11123" s="3" t="s">
        <v>31625</v>
      </c>
      <c r="C11123" s="3">
        <v>0.0</v>
      </c>
      <c r="D11123" s="3">
        <v>0.0</v>
      </c>
      <c r="E11123" s="3">
        <v>0.0</v>
      </c>
      <c r="F11123" s="3" t="s">
        <v>31626</v>
      </c>
      <c r="G11123" s="3">
        <v>0.0</v>
      </c>
      <c r="H11123" s="3">
        <v>0.0</v>
      </c>
      <c r="I11123" s="3" t="s">
        <v>13</v>
      </c>
      <c r="J11123" s="3" t="s">
        <v>31627</v>
      </c>
      <c r="K11123" s="3" t="s">
        <v>286</v>
      </c>
      <c r="L11123" s="3" t="str">
        <f>IFERROR(__xludf.DUMMYFUNCTION("GOOGLETRANSLATE(F11123,""id"",""en"")"),"I as ARMY likes to be happy balls, Masha Allah begins Jungkook given the opportunity to fill the world cup soundtrack this year then the ending of the Argentina World Cup champion")</f>
        <v>I as ARMY likes to be happy balls, Masha Allah begins Jungkook given the opportunity to fill the world cup soundtrack this year then the ending of the Argentina World Cup champion</v>
      </c>
    </row>
    <row r="11124" ht="15.75" customHeight="1">
      <c r="A11124" s="1">
        <v>12367.0</v>
      </c>
      <c r="B11124" s="3" t="s">
        <v>31628</v>
      </c>
      <c r="C11124" s="3">
        <v>0.0</v>
      </c>
      <c r="D11124" s="3">
        <v>0.0</v>
      </c>
      <c r="E11124" s="3">
        <v>29.0</v>
      </c>
      <c r="F11124" s="3" t="s">
        <v>31629</v>
      </c>
      <c r="G11124" s="3">
        <v>0.0</v>
      </c>
      <c r="H11124" s="3">
        <v>0.0</v>
      </c>
      <c r="I11124" s="3" t="s">
        <v>13</v>
      </c>
      <c r="J11124" s="3" t="s">
        <v>31630</v>
      </c>
      <c r="K11124" s="3" t="s">
        <v>644</v>
      </c>
      <c r="L11124" s="3" t="str">
        <f>IFERROR(__xludf.DUMMYFUNCTION("GOOGLETRANSLATE(F11124,""id"",""en"")"),"caretaker who made Argentina champion")</f>
        <v>caretaker who made Argentina champion</v>
      </c>
    </row>
    <row r="11125" ht="15.75" customHeight="1">
      <c r="A11125" s="1">
        <v>12368.0</v>
      </c>
      <c r="B11125" s="3" t="s">
        <v>31631</v>
      </c>
      <c r="C11125" s="3">
        <v>0.0</v>
      </c>
      <c r="D11125" s="3">
        <v>0.0</v>
      </c>
      <c r="E11125" s="3">
        <v>0.0</v>
      </c>
      <c r="F11125" s="3" t="s">
        <v>31632</v>
      </c>
      <c r="G11125" s="3">
        <v>0.0</v>
      </c>
      <c r="H11125" s="3">
        <v>0.0</v>
      </c>
      <c r="I11125" s="3" t="s">
        <v>13</v>
      </c>
      <c r="J11125" s="3" t="s">
        <v>31633</v>
      </c>
      <c r="K11125" s="3" t="s">
        <v>50</v>
      </c>
      <c r="L11125" s="3" t="str">
        <f>IFERROR(__xludf.DUMMYFUNCTION("GOOGLETRANSLATE(F11125,""id"",""en"")"),"Dahlah Bekoar Koar Gasuka Argentina Champion Fix Fans Portugal Taik Vamos")</f>
        <v>Dahlah Bekoar Koar Gasuka Argentina Champion Fix Fans Portugal Taik Vamos</v>
      </c>
    </row>
    <row r="11126" ht="15.75" customHeight="1">
      <c r="A11126" s="1">
        <v>12369.0</v>
      </c>
      <c r="B11126" s="3" t="s">
        <v>31634</v>
      </c>
      <c r="C11126" s="3">
        <v>1.0</v>
      </c>
      <c r="D11126" s="3">
        <v>0.0</v>
      </c>
      <c r="E11126" s="3">
        <v>0.0</v>
      </c>
      <c r="F11126" s="3" t="s">
        <v>31635</v>
      </c>
      <c r="G11126" s="3">
        <v>0.0</v>
      </c>
      <c r="H11126" s="3">
        <v>0.0</v>
      </c>
      <c r="I11126" s="3" t="s">
        <v>13</v>
      </c>
      <c r="J11126" s="3" t="s">
        <v>31636</v>
      </c>
      <c r="K11126" s="3" t="s">
        <v>16539</v>
      </c>
      <c r="L11126" s="3" t="str">
        <f>IFERROR(__xludf.DUMMYFUNCTION("GOOGLETRANSLATE(F11126,""id"",""en"")"),"The real World Cup champion is that Argentina Saudi Arabia can beat France and Saudi Arabia to beat Argentina")</f>
        <v>The real World Cup champion is that Argentina Saudi Arabia can beat France and Saudi Arabia to beat Argentina</v>
      </c>
    </row>
    <row r="11127" ht="15.75" customHeight="1">
      <c r="A11127" s="1">
        <v>12370.0</v>
      </c>
      <c r="B11127" s="3" t="s">
        <v>31637</v>
      </c>
      <c r="C11127" s="3">
        <v>0.0</v>
      </c>
      <c r="D11127" s="3">
        <v>0.0</v>
      </c>
      <c r="E11127" s="3">
        <v>0.0</v>
      </c>
      <c r="F11127" s="3" t="s">
        <v>31638</v>
      </c>
      <c r="G11127" s="3">
        <v>0.0</v>
      </c>
      <c r="H11127" s="3">
        <v>0.0</v>
      </c>
      <c r="I11127" s="3" t="s">
        <v>13</v>
      </c>
      <c r="J11127" s="3" t="s">
        <v>31639</v>
      </c>
      <c r="K11127" s="3" t="s">
        <v>1097</v>
      </c>
      <c r="L11127" s="3" t="str">
        <f>IFERROR(__xludf.DUMMYFUNCTION("GOOGLETRANSLATE(F11127,""id"",""en"")"),"Actually the champion is Saudi Arabia because only Arabic can beat Argentina")</f>
        <v>Actually the champion is Saudi Arabia because only Arabic can beat Argentina</v>
      </c>
    </row>
    <row r="11128" ht="15.75" customHeight="1">
      <c r="A11128" s="1">
        <v>12371.0</v>
      </c>
      <c r="B11128" s="3" t="s">
        <v>31640</v>
      </c>
      <c r="C11128" s="3">
        <v>0.0</v>
      </c>
      <c r="D11128" s="3">
        <v>0.0</v>
      </c>
      <c r="E11128" s="3">
        <v>1.0</v>
      </c>
      <c r="F11128" s="3" t="s">
        <v>30482</v>
      </c>
      <c r="G11128" s="3">
        <v>0.0</v>
      </c>
      <c r="H11128" s="3">
        <v>0.0</v>
      </c>
      <c r="I11128" s="3" t="s">
        <v>13</v>
      </c>
      <c r="J11128" s="3" t="s">
        <v>30483</v>
      </c>
      <c r="K11128" s="3" t="s">
        <v>127</v>
      </c>
      <c r="L11128" s="3" t="str">
        <f>IFERROR(__xludf.DUMMYFUNCTION("GOOGLETRANSLATE(F11128,""id"",""en"")"),"Emiliano Martinez and Angle Maria Two footballers whose names should be remembered both of them play a role in bringing Argentina World Cup champions besides Messi")</f>
        <v>Emiliano Martinez and Angle Maria Two footballers whose names should be remembered both of them play a role in bringing Argentina World Cup champions besides Messi</v>
      </c>
    </row>
    <row r="11129" ht="15.75" customHeight="1">
      <c r="A11129" s="1">
        <v>12372.0</v>
      </c>
      <c r="B11129" s="3" t="s">
        <v>31641</v>
      </c>
      <c r="C11129" s="3">
        <v>0.0</v>
      </c>
      <c r="D11129" s="3">
        <v>0.0</v>
      </c>
      <c r="E11129" s="3">
        <v>0.0</v>
      </c>
      <c r="F11129" s="3" t="s">
        <v>31642</v>
      </c>
      <c r="G11129" s="3">
        <v>0.0</v>
      </c>
      <c r="H11129" s="3">
        <v>0.0</v>
      </c>
      <c r="I11129" s="3" t="s">
        <v>13</v>
      </c>
      <c r="J11129" s="3" t="s">
        <v>31643</v>
      </c>
      <c r="K11129" s="3" t="s">
        <v>54</v>
      </c>
      <c r="L11129" s="3" t="str">
        <f>IFERROR(__xludf.DUMMYFUNCTION("GOOGLETRANSLATE(F11129,""id"",""en"")"),"how do you win the wong wong argentina mbappe")</f>
        <v>how do you win the wong wong argentina mbappe</v>
      </c>
    </row>
    <row r="11130" ht="15.75" customHeight="1">
      <c r="A11130" s="1">
        <v>12373.0</v>
      </c>
      <c r="B11130" s="3" t="s">
        <v>31644</v>
      </c>
      <c r="C11130" s="3">
        <v>0.0</v>
      </c>
      <c r="D11130" s="3">
        <v>0.0</v>
      </c>
      <c r="E11130" s="3">
        <v>0.0</v>
      </c>
      <c r="F11130" s="3" t="s">
        <v>31645</v>
      </c>
      <c r="G11130" s="3">
        <v>0.0</v>
      </c>
      <c r="H11130" s="3">
        <v>0.0</v>
      </c>
      <c r="I11130" s="3" t="s">
        <v>13</v>
      </c>
      <c r="J11130" s="3" t="s">
        <v>31646</v>
      </c>
      <c r="K11130" s="3" t="s">
        <v>75</v>
      </c>
      <c r="L11130" s="3" t="str">
        <f>IFERROR(__xludf.DUMMYFUNCTION("GOOGLETRANSLATE(F11130,""id"",""en"")"),"Starting the match with defeat ending with a happy victory the Argentine world champion")</f>
        <v>Starting the match with defeat ending with a happy victory the Argentine world champion</v>
      </c>
    </row>
    <row r="11131" ht="15.75" customHeight="1">
      <c r="A11131" s="1">
        <v>12374.0</v>
      </c>
      <c r="B11131" s="3" t="s">
        <v>31647</v>
      </c>
      <c r="C11131" s="3">
        <v>0.0</v>
      </c>
      <c r="D11131" s="3">
        <v>0.0</v>
      </c>
      <c r="E11131" s="3">
        <v>1.0</v>
      </c>
      <c r="F11131" s="3" t="s">
        <v>31648</v>
      </c>
      <c r="G11131" s="3">
        <v>0.0</v>
      </c>
      <c r="H11131" s="3">
        <v>0.0</v>
      </c>
      <c r="I11131" s="3" t="s">
        <v>13</v>
      </c>
      <c r="J11131" s="3" t="s">
        <v>31649</v>
      </c>
      <c r="K11131" s="3" t="s">
        <v>82</v>
      </c>
      <c r="L11131" s="3" t="str">
        <f>IFERROR(__xludf.DUMMYFUNCTION("GOOGLETRANSLATE(F11131,""id"",""en"")"),"Only the era of Ibul Argentina can champion the pildun with Messi")</f>
        <v>Only the era of Ibul Argentina can champion the pildun with Messi</v>
      </c>
    </row>
    <row r="11132" ht="15.75" customHeight="1">
      <c r="A11132" s="1">
        <v>12375.0</v>
      </c>
      <c r="B11132" s="3" t="s">
        <v>31650</v>
      </c>
      <c r="C11132" s="3">
        <v>0.0</v>
      </c>
      <c r="D11132" s="3">
        <v>0.0</v>
      </c>
      <c r="E11132" s="3">
        <v>0.0</v>
      </c>
      <c r="F11132" s="3" t="s">
        <v>31651</v>
      </c>
      <c r="G11132" s="3">
        <v>0.0</v>
      </c>
      <c r="H11132" s="3">
        <v>0.0</v>
      </c>
      <c r="I11132" s="3" t="s">
        <v>13</v>
      </c>
      <c r="J11132" s="3" t="s">
        <v>31652</v>
      </c>
      <c r="K11132" s="3" t="s">
        <v>510</v>
      </c>
      <c r="L11132" s="3" t="str">
        <f>IFERROR(__xludf.DUMMYFUNCTION("GOOGLETRANSLATE(F11132,""id"",""en"")"),"opening the status fesbuk almost discussing Argentina champions make tension naek soale I support France")</f>
        <v>opening the status fesbuk almost discussing Argentina champions make tension naek soale I support France</v>
      </c>
    </row>
    <row r="11133" ht="15.75" customHeight="1">
      <c r="A11133" s="1">
        <v>12376.0</v>
      </c>
      <c r="B11133" s="3" t="s">
        <v>31653</v>
      </c>
      <c r="C11133" s="3">
        <v>0.0</v>
      </c>
      <c r="D11133" s="3">
        <v>19.0</v>
      </c>
      <c r="E11133" s="3">
        <v>36.0</v>
      </c>
      <c r="F11133" s="3" t="s">
        <v>25485</v>
      </c>
      <c r="G11133" s="3">
        <v>0.0</v>
      </c>
      <c r="H11133" s="3">
        <v>0.0</v>
      </c>
      <c r="I11133" s="3" t="s">
        <v>13</v>
      </c>
      <c r="J11133" s="3" t="s">
        <v>25486</v>
      </c>
      <c r="K11133" s="3" t="s">
        <v>82</v>
      </c>
      <c r="L11133" s="3" t="str">
        <f>IFERROR(__xludf.DUMMYFUNCTION("GOOGLETRANSLATE(F11133,""id"",""en"")"),"Argentina World Champion Messi Samai Achievement Maradona")</f>
        <v>Argentina World Champion Messi Samai Achievement Maradona</v>
      </c>
    </row>
    <row r="11134" ht="15.75" customHeight="1">
      <c r="A11134" s="1">
        <v>12377.0</v>
      </c>
      <c r="B11134" s="3" t="s">
        <v>31654</v>
      </c>
      <c r="C11134" s="3">
        <v>0.0</v>
      </c>
      <c r="D11134" s="3">
        <v>0.0</v>
      </c>
      <c r="E11134" s="3">
        <v>0.0</v>
      </c>
      <c r="F11134" s="3" t="s">
        <v>31655</v>
      </c>
      <c r="G11134" s="3">
        <v>0.0</v>
      </c>
      <c r="H11134" s="3">
        <v>0.0</v>
      </c>
      <c r="I11134" s="3" t="s">
        <v>13</v>
      </c>
      <c r="J11134" s="3" t="s">
        <v>31656</v>
      </c>
      <c r="K11134" s="3" t="s">
        <v>82</v>
      </c>
      <c r="L11134" s="3" t="str">
        <f>IFERROR(__xludf.DUMMYFUNCTION("GOOGLETRANSLATE(F11134,""id"",""en"")"),"Argentina The prize trophy champion is kept by YHH School")</f>
        <v>Argentina The prize trophy champion is kept by YHH School</v>
      </c>
    </row>
    <row r="11135" ht="15.75" customHeight="1">
      <c r="A11135" s="1">
        <v>12378.0</v>
      </c>
      <c r="B11135" s="3" t="s">
        <v>31657</v>
      </c>
      <c r="C11135" s="3">
        <v>0.0</v>
      </c>
      <c r="D11135" s="3">
        <v>0.0</v>
      </c>
      <c r="E11135" s="3">
        <v>0.0</v>
      </c>
      <c r="F11135" s="3" t="s">
        <v>31658</v>
      </c>
      <c r="G11135" s="3">
        <v>0.0</v>
      </c>
      <c r="H11135" s="3">
        <v>0.0</v>
      </c>
      <c r="I11135" s="3" t="s">
        <v>13</v>
      </c>
      <c r="J11135" s="3" t="s">
        <v>31659</v>
      </c>
      <c r="K11135" s="3" t="s">
        <v>1518</v>
      </c>
      <c r="L11135" s="3" t="str">
        <f>IFERROR(__xludf.DUMMYFUNCTION("GOOGLETRANSLATE(F11135,""id"",""en"")"),"Didn't expect this morning to be able to celebrate the victory of the support team with Elder Brother for a long time to migrate after Argentina was declared champion we hugged huft incredible events of the right moment")</f>
        <v>Didn't expect this morning to be able to celebrate the victory of the support team with Elder Brother for a long time to migrate after Argentina was declared champion we hugged huft incredible events of the right moment</v>
      </c>
    </row>
    <row r="11136" ht="15.75" customHeight="1">
      <c r="A11136" s="1">
        <v>12379.0</v>
      </c>
      <c r="B11136" s="3" t="s">
        <v>31660</v>
      </c>
      <c r="C11136" s="3">
        <v>0.0</v>
      </c>
      <c r="D11136" s="3">
        <v>0.0</v>
      </c>
      <c r="E11136" s="3">
        <v>0.0</v>
      </c>
      <c r="F11136" s="3" t="s">
        <v>31661</v>
      </c>
      <c r="G11136" s="3">
        <v>0.0</v>
      </c>
      <c r="H11136" s="3">
        <v>0.0</v>
      </c>
      <c r="I11136" s="3" t="s">
        <v>13</v>
      </c>
      <c r="J11136" s="3" t="s">
        <v>31662</v>
      </c>
      <c r="K11136" s="3" t="s">
        <v>19</v>
      </c>
      <c r="L11136" s="3" t="str">
        <f>IFERROR(__xludf.DUMMYFUNCTION("GOOGLETRANSLATE(F11136,""id"",""en"")"),"Pele congratulated Argentina and Lionel Messi for the World Cup title")</f>
        <v>Pele congratulated Argentina and Lionel Messi for the World Cup title</v>
      </c>
    </row>
    <row r="11137" ht="15.75" customHeight="1">
      <c r="A11137" s="1">
        <v>12380.0</v>
      </c>
      <c r="B11137" s="3" t="s">
        <v>31663</v>
      </c>
      <c r="C11137" s="3">
        <v>0.0</v>
      </c>
      <c r="D11137" s="3">
        <v>0.0</v>
      </c>
      <c r="E11137" s="3">
        <v>0.0</v>
      </c>
      <c r="F11137" s="3" t="s">
        <v>31664</v>
      </c>
      <c r="G11137" s="3">
        <v>0.0</v>
      </c>
      <c r="H11137" s="3">
        <v>0.0</v>
      </c>
      <c r="I11137" s="3" t="s">
        <v>13</v>
      </c>
      <c r="J11137" s="3" t="s">
        <v>31665</v>
      </c>
      <c r="K11137" s="3" t="s">
        <v>244</v>
      </c>
      <c r="L11137" s="3" t="str">
        <f>IFERROR(__xludf.DUMMYFUNCTION("GOOGLETRANSLATE(F11137,""id"",""en"")"),"Almost Argentina champion wkwk like that right when the Dutch also made a heart")</f>
        <v>Almost Argentina champion wkwk like that right when the Dutch also made a heart</v>
      </c>
    </row>
    <row r="11138" ht="15.75" customHeight="1">
      <c r="A11138" s="1">
        <v>12381.0</v>
      </c>
      <c r="B11138" s="3" t="s">
        <v>31666</v>
      </c>
      <c r="C11138" s="3">
        <v>0.0</v>
      </c>
      <c r="D11138" s="3">
        <v>0.0</v>
      </c>
      <c r="E11138" s="3">
        <v>1.0</v>
      </c>
      <c r="F11138" s="3" t="s">
        <v>31667</v>
      </c>
      <c r="G11138" s="3">
        <v>0.0</v>
      </c>
      <c r="H11138" s="3">
        <v>0.0</v>
      </c>
      <c r="I11138" s="3" t="s">
        <v>13</v>
      </c>
      <c r="J11138" s="3" t="s">
        <v>31668</v>
      </c>
      <c r="K11138" s="3" t="s">
        <v>974</v>
      </c>
      <c r="L11138" s="3" t="str">
        <f>IFERROR(__xludf.DUMMYFUNCTION("GOOGLETRANSLATE(F11138,""id"",""en"")"),"I feel that the end of the year there are many opportunities for luck, the favorite team of Argentina, the shopping champion for the end of the year, the big promo from the gopaylatter, especially if you can install the gopaylatter challenge limit, the pr"&amp;"ize is millions of opportunities")</f>
        <v>I feel that the end of the year there are many opportunities for luck, the favorite team of Argentina, the shopping champion for the end of the year, the big promo from the gopaylatter, especially if you can install the gopaylatter challenge limit, the prize is millions of opportunities</v>
      </c>
    </row>
    <row r="11139" ht="15.75" customHeight="1">
      <c r="A11139" s="1">
        <v>12382.0</v>
      </c>
      <c r="B11139" s="3" t="s">
        <v>31669</v>
      </c>
      <c r="C11139" s="3">
        <v>0.0</v>
      </c>
      <c r="D11139" s="3">
        <v>0.0</v>
      </c>
      <c r="E11139" s="3">
        <v>0.0</v>
      </c>
      <c r="F11139" s="3" t="s">
        <v>31670</v>
      </c>
      <c r="G11139" s="3">
        <v>0.0</v>
      </c>
      <c r="H11139" s="3">
        <v>0.0</v>
      </c>
      <c r="I11139" s="3" t="s">
        <v>13</v>
      </c>
      <c r="J11139" s="3" t="s">
        <v>31671</v>
      </c>
      <c r="K11139" s="3" t="s">
        <v>15</v>
      </c>
      <c r="L11139" s="3" t="str">
        <f>IFERROR(__xludf.DUMMYFUNCTION("GOOGLETRANSLATE(F11139,""id"",""en"")"),"Argentina Sinar Video World Champion for Lusail Stadium")</f>
        <v>Argentina Sinar Video World Champion for Lusail Stadium</v>
      </c>
    </row>
    <row r="11140" ht="15.75" customHeight="1">
      <c r="A11140" s="1">
        <v>12383.0</v>
      </c>
      <c r="B11140" s="3" t="s">
        <v>31672</v>
      </c>
      <c r="C11140" s="3">
        <v>0.0</v>
      </c>
      <c r="D11140" s="3">
        <v>0.0</v>
      </c>
      <c r="E11140" s="3">
        <v>0.0</v>
      </c>
      <c r="F11140" s="3" t="s">
        <v>31673</v>
      </c>
      <c r="G11140" s="3">
        <v>0.0</v>
      </c>
      <c r="H11140" s="3">
        <v>0.0</v>
      </c>
      <c r="I11140" s="3" t="s">
        <v>13</v>
      </c>
      <c r="J11140" s="3" t="s">
        <v>31674</v>
      </c>
      <c r="K11140" s="3" t="s">
        <v>942</v>
      </c>
      <c r="L11140" s="3" t="str">
        <f>IFERROR(__xludf.DUMMYFUNCTION("GOOGLETRANSLATE(F11140,""id"",""en"")"),"The feeling of the champion is Argentina but the news is only Messi, the Argentine player is all the names")</f>
        <v>The feeling of the champion is Argentina but the news is only Messi, the Argentine player is all the names</v>
      </c>
    </row>
    <row r="11141" ht="15.75" customHeight="1">
      <c r="A11141" s="1">
        <v>12384.0</v>
      </c>
      <c r="B11141" s="3" t="s">
        <v>31675</v>
      </c>
      <c r="C11141" s="3">
        <v>0.0</v>
      </c>
      <c r="D11141" s="3">
        <v>0.0</v>
      </c>
      <c r="E11141" s="3">
        <v>0.0</v>
      </c>
      <c r="F11141" s="3" t="s">
        <v>31675</v>
      </c>
      <c r="G11141" s="3">
        <v>0.0</v>
      </c>
      <c r="H11141" s="3">
        <v>0.0</v>
      </c>
      <c r="I11141" s="3" t="s">
        <v>13</v>
      </c>
      <c r="J11141" s="3" t="s">
        <v>31676</v>
      </c>
      <c r="K11141" s="3" t="s">
        <v>54</v>
      </c>
      <c r="L11141" s="3" t="str">
        <f>IFERROR(__xludf.DUMMYFUNCTION("GOOGLETRANSLATE(F11141,""id"",""en"")"),"Think of Argentina, one of them is because of Arsenal")</f>
        <v>Think of Argentina, one of them is because of Arsenal</v>
      </c>
    </row>
    <row r="11142" ht="15.75" customHeight="1">
      <c r="A11142" s="1">
        <v>12385.0</v>
      </c>
      <c r="B11142" s="3" t="s">
        <v>31677</v>
      </c>
      <c r="C11142" s="3">
        <v>0.0</v>
      </c>
      <c r="D11142" s="3">
        <v>0.0</v>
      </c>
      <c r="E11142" s="3">
        <v>0.0</v>
      </c>
      <c r="F11142" s="3" t="s">
        <v>31678</v>
      </c>
      <c r="G11142" s="3">
        <v>0.0</v>
      </c>
      <c r="H11142" s="3">
        <v>0.0</v>
      </c>
      <c r="I11142" s="3" t="s">
        <v>13</v>
      </c>
      <c r="J11142" s="3" t="s">
        <v>31679</v>
      </c>
      <c r="K11142" s="3" t="s">
        <v>19</v>
      </c>
      <c r="L11142" s="3" t="str">
        <f>IFERROR(__xludf.DUMMYFUNCTION("GOOGLETRANSLATE(F11142,""id"",""en"")"),"Arrived at Dispam because I was happy Argentina champions even though I've fallen asleep aaa very excited")</f>
        <v>Arrived at Dispam because I was happy Argentina champions even though I've fallen asleep aaa very excited</v>
      </c>
    </row>
    <row r="11143" ht="15.75" customHeight="1">
      <c r="A11143" s="1">
        <v>12386.0</v>
      </c>
      <c r="B11143" s="3" t="s">
        <v>31680</v>
      </c>
      <c r="C11143" s="3">
        <v>16.0</v>
      </c>
      <c r="D11143" s="3">
        <v>8.0</v>
      </c>
      <c r="E11143" s="3">
        <v>57.0</v>
      </c>
      <c r="F11143" s="3" t="s">
        <v>31681</v>
      </c>
      <c r="G11143" s="3">
        <v>0.0</v>
      </c>
      <c r="H11143" s="3">
        <v>0.0</v>
      </c>
      <c r="I11143" s="3" t="s">
        <v>13</v>
      </c>
      <c r="J11143" s="3" t="s">
        <v>31682</v>
      </c>
      <c r="K11143" s="3" t="s">
        <v>1061</v>
      </c>
      <c r="L11143" s="3" t="str">
        <f>IFERROR(__xludf.DUMMYFUNCTION("GOOGLETRANSLATE(F11143,""id"",""en"")"),"Argentina champions of the World Cup and work must be sleepy but say there is no other country minister for almost two weeks a week left his job for the sake of watching the football well if other countries do not have Indonesia, let's know coffee")</f>
        <v>Argentina champions of the World Cup and work must be sleepy but say there is no other country minister for almost two weeks a week left his job for the sake of watching the football well if other countries do not have Indonesia, let's know coffee</v>
      </c>
    </row>
    <row r="11144" ht="15.75" customHeight="1">
      <c r="A11144" s="1">
        <v>12387.0</v>
      </c>
      <c r="B11144" s="3" t="s">
        <v>31683</v>
      </c>
      <c r="C11144" s="3">
        <v>0.0</v>
      </c>
      <c r="D11144" s="3">
        <v>0.0</v>
      </c>
      <c r="E11144" s="3">
        <v>3.0</v>
      </c>
      <c r="F11144" s="3" t="s">
        <v>31684</v>
      </c>
      <c r="G11144" s="3">
        <v>0.55</v>
      </c>
      <c r="H11144" s="3">
        <v>0.0</v>
      </c>
      <c r="I11144" s="3" t="s">
        <v>13</v>
      </c>
      <c r="J11144" s="3" t="s">
        <v>31685</v>
      </c>
      <c r="K11144" s="3" t="s">
        <v>149</v>
      </c>
      <c r="L11144" s="3" t="str">
        <f>IFERROR(__xludf.DUMMYFUNCTION("GOOGLETRANSLATE(F11144,""id"",""en"")"),"Finally Argentina became the World Cup champion after defeating France through the previous penalty shootout until the Extra Time was a young friend congratulations for Argentina")</f>
        <v>Finally Argentina became the World Cup champion after defeating France through the previous penalty shootout until the Extra Time was a young friend congratulations for Argentina</v>
      </c>
    </row>
    <row r="11145" ht="15.75" customHeight="1">
      <c r="A11145" s="1">
        <v>12388.0</v>
      </c>
      <c r="B11145" s="3" t="s">
        <v>31686</v>
      </c>
      <c r="C11145" s="3">
        <v>0.0</v>
      </c>
      <c r="D11145" s="3">
        <v>0.0</v>
      </c>
      <c r="E11145" s="3">
        <v>0.0</v>
      </c>
      <c r="F11145" s="3" t="s">
        <v>31687</v>
      </c>
      <c r="G11145" s="3">
        <v>0.0</v>
      </c>
      <c r="H11145" s="3">
        <v>0.0</v>
      </c>
      <c r="I11145" s="3" t="s">
        <v>13</v>
      </c>
      <c r="J11145" s="3" t="s">
        <v>31688</v>
      </c>
      <c r="K11145" s="3" t="s">
        <v>41</v>
      </c>
      <c r="L11145" s="3" t="str">
        <f>IFERROR(__xludf.DUMMYFUNCTION("GOOGLETRANSLATE(F11145,""id"",""en"")"),"Follow up, I know that Argentina is aaaa champion comeback after all this time")</f>
        <v>Follow up, I know that Argentina is aaaa champion comeback after all this time</v>
      </c>
    </row>
    <row r="11146" ht="15.75" customHeight="1">
      <c r="A11146" s="1">
        <v>12389.0</v>
      </c>
      <c r="B11146" s="3" t="s">
        <v>31689</v>
      </c>
      <c r="C11146" s="3">
        <v>0.0</v>
      </c>
      <c r="D11146" s="3">
        <v>0.0</v>
      </c>
      <c r="E11146" s="3">
        <v>0.0</v>
      </c>
      <c r="F11146" s="3" t="s">
        <v>31690</v>
      </c>
      <c r="G11146" s="3">
        <v>0.1</v>
      </c>
      <c r="H11146" s="3">
        <v>0.0</v>
      </c>
      <c r="I11146" s="3" t="s">
        <v>13</v>
      </c>
      <c r="J11146" s="3" t="s">
        <v>31691</v>
      </c>
      <c r="K11146" s="3" t="s">
        <v>1628</v>
      </c>
      <c r="L11146" s="3" t="str">
        <f>IFERROR(__xludf.DUMMYFUNCTION("GOOGLETRANSLATE(F11146,""id"",""en"")"),"If Dimaria was replaced, I was sure that I Argentina won without having to extra time because it appeared that the Argentine game was decreased when Dimaria was replaced, but it was only important champion")</f>
        <v>If Dimaria was replaced, I was sure that I Argentina won without having to extra time because it appeared that the Argentine game was decreased when Dimaria was replaced, but it was only important champion</v>
      </c>
    </row>
    <row r="11147" ht="15.75" customHeight="1">
      <c r="A11147" s="1">
        <v>12390.0</v>
      </c>
      <c r="B11147" s="3" t="s">
        <v>31692</v>
      </c>
      <c r="C11147" s="3">
        <v>0.0</v>
      </c>
      <c r="D11147" s="3">
        <v>0.0</v>
      </c>
      <c r="E11147" s="3">
        <v>0.0</v>
      </c>
      <c r="F11147" s="3" t="s">
        <v>31693</v>
      </c>
      <c r="G11147" s="3">
        <v>0.4</v>
      </c>
      <c r="H11147" s="3">
        <v>0.1</v>
      </c>
      <c r="I11147" s="3" t="s">
        <v>48</v>
      </c>
      <c r="J11147" s="3" t="s">
        <v>31694</v>
      </c>
      <c r="K11147" s="3" t="s">
        <v>244</v>
      </c>
      <c r="L11147" s="3" t="str">
        <f>IFERROR(__xludf.DUMMYFUNCTION("GOOGLETRANSLATE(F11147,""id"",""en"")"),"Mission Complete for Argentina Congratulations for Argentina to become world champion via")</f>
        <v>Mission Complete for Argentina Congratulations for Argentina to become world champion via</v>
      </c>
    </row>
    <row r="11148" ht="15.75" customHeight="1">
      <c r="A11148" s="1">
        <v>12391.0</v>
      </c>
      <c r="B11148" s="3" t="s">
        <v>31695</v>
      </c>
      <c r="C11148" s="3">
        <v>6.0</v>
      </c>
      <c r="D11148" s="3">
        <v>12.0</v>
      </c>
      <c r="E11148" s="3">
        <v>62.0</v>
      </c>
      <c r="F11148" s="3" t="s">
        <v>31696</v>
      </c>
      <c r="G11148" s="3">
        <v>0.0</v>
      </c>
      <c r="H11148" s="3">
        <v>0.0</v>
      </c>
      <c r="I11148" s="3" t="s">
        <v>13</v>
      </c>
      <c r="J11148" s="3" t="s">
        <v>31697</v>
      </c>
      <c r="K11148" s="3" t="s">
        <v>644</v>
      </c>
      <c r="L11148" s="3" t="str">
        <f>IFERROR(__xludf.DUMMYFUNCTION("GOOGLETRANSLATE(F11148,""id"",""en"")"),"Argentina Kupang Champion Party")</f>
        <v>Argentina Kupang Champion Party</v>
      </c>
    </row>
    <row r="11149" ht="15.75" customHeight="1">
      <c r="A11149" s="1">
        <v>12392.0</v>
      </c>
      <c r="B11149" s="3" t="s">
        <v>31698</v>
      </c>
      <c r="C11149" s="3">
        <v>8.0</v>
      </c>
      <c r="D11149" s="3">
        <v>134.0</v>
      </c>
      <c r="E11149" s="3">
        <v>547.0</v>
      </c>
      <c r="F11149" s="3" t="s">
        <v>31699</v>
      </c>
      <c r="G11149" s="3">
        <v>0.0</v>
      </c>
      <c r="H11149" s="3">
        <v>0.0</v>
      </c>
      <c r="I11149" s="3" t="s">
        <v>13</v>
      </c>
      <c r="J11149" s="3" t="s">
        <v>31700</v>
      </c>
      <c r="K11149" s="3" t="s">
        <v>1854</v>
      </c>
      <c r="L11149" s="3" t="str">
        <f>IFERROR(__xludf.DUMMYFUNCTION("GOOGLETRANSLATE(F11149,""id"",""en"")"),"Alhamdulillah, Monday, Monday was a reason for entering the office late with this video, sir, I want to go to the office, but the streets are blocked by millions of Messi who are celebrating Argentina, so I permission for WFH")</f>
        <v>Alhamdulillah, Monday, Monday was a reason for entering the office late with this video, sir, I want to go to the office, but the streets are blocked by millions of Messi who are celebrating Argentina, so I permission for WFH</v>
      </c>
    </row>
    <row r="11150" ht="15.75" customHeight="1">
      <c r="A11150" s="1">
        <v>12393.0</v>
      </c>
      <c r="B11150" s="3" t="s">
        <v>31701</v>
      </c>
      <c r="C11150" s="3">
        <v>1.0</v>
      </c>
      <c r="D11150" s="3">
        <v>0.0</v>
      </c>
      <c r="E11150" s="3">
        <v>0.0</v>
      </c>
      <c r="F11150" s="3" t="s">
        <v>31702</v>
      </c>
      <c r="G11150" s="3">
        <v>0.0</v>
      </c>
      <c r="H11150" s="3">
        <v>0.0</v>
      </c>
      <c r="I11150" s="3" t="s">
        <v>13</v>
      </c>
      <c r="J11150" s="3" t="s">
        <v>31703</v>
      </c>
      <c r="K11150" s="3" t="s">
        <v>15</v>
      </c>
      <c r="L11150" s="3" t="str">
        <f>IFERROR(__xludf.DUMMYFUNCTION("GOOGLETRANSLATE(F11150,""id"",""en"")"),"Important Francis or Argentina won when he became a champion in my heart deck")</f>
        <v>Important Francis or Argentina won when he became a champion in my heart deck</v>
      </c>
    </row>
    <row r="11151" ht="15.75" customHeight="1">
      <c r="A11151" s="1">
        <v>12394.0</v>
      </c>
      <c r="B11151" s="3" t="s">
        <v>31704</v>
      </c>
      <c r="C11151" s="3">
        <v>0.0</v>
      </c>
      <c r="D11151" s="3">
        <v>0.0</v>
      </c>
      <c r="E11151" s="3">
        <v>0.0</v>
      </c>
      <c r="F11151" s="3" t="s">
        <v>31705</v>
      </c>
      <c r="G11151" s="3">
        <v>0.65</v>
      </c>
      <c r="H11151" s="3">
        <v>0.9</v>
      </c>
      <c r="I11151" s="3" t="s">
        <v>48</v>
      </c>
      <c r="J11151" s="3" t="s">
        <v>31706</v>
      </c>
      <c r="K11151" s="3" t="s">
        <v>1086</v>
      </c>
      <c r="L11151" s="3" t="str">
        <f>IFERROR(__xludf.DUMMYFUNCTION("GOOGLETRANSLATE(F11151,""id"",""en"")"),"Happy for Mr. SBB Argentina he won.")</f>
        <v>Happy for Mr. SBB Argentina he won.</v>
      </c>
    </row>
    <row r="11152" ht="15.75" customHeight="1">
      <c r="A11152" s="1">
        <v>12395.0</v>
      </c>
      <c r="B11152" s="3" t="s">
        <v>31707</v>
      </c>
      <c r="C11152" s="3">
        <v>0.0</v>
      </c>
      <c r="D11152" s="3">
        <v>0.0</v>
      </c>
      <c r="E11152" s="3">
        <v>12.0</v>
      </c>
      <c r="F11152" s="3" t="s">
        <v>31708</v>
      </c>
      <c r="G11152" s="3">
        <v>0.0</v>
      </c>
      <c r="H11152" s="3">
        <v>0.0</v>
      </c>
      <c r="I11152" s="3" t="s">
        <v>13</v>
      </c>
      <c r="J11152" s="3" t="s">
        <v>31709</v>
      </c>
      <c r="K11152" s="3" t="s">
        <v>495</v>
      </c>
      <c r="L11152" s="3" t="str">
        <f>IFERROR(__xludf.DUMMYFUNCTION("GOOGLETRANSLATE(F11152,""id"",""en"")"),"Football is finished, no longer being debated Messi Winner for Cristiano Ronaldo World Cup is just a dream of Happy Argentina Champion World Cup Qatar")</f>
        <v>Football is finished, no longer being debated Messi Winner for Cristiano Ronaldo World Cup is just a dream of Happy Argentina Champion World Cup Qatar</v>
      </c>
    </row>
    <row r="11153" ht="15.75" customHeight="1">
      <c r="A11153" s="1">
        <v>12396.0</v>
      </c>
      <c r="B11153" s="3" t="s">
        <v>31710</v>
      </c>
      <c r="C11153" s="3">
        <v>1.0</v>
      </c>
      <c r="D11153" s="3">
        <v>0.0</v>
      </c>
      <c r="E11153" s="3">
        <v>0.0</v>
      </c>
      <c r="F11153" s="3" t="s">
        <v>31711</v>
      </c>
      <c r="G11153" s="3">
        <v>0.0</v>
      </c>
      <c r="H11153" s="3">
        <v>0.0</v>
      </c>
      <c r="I11153" s="3" t="s">
        <v>13</v>
      </c>
      <c r="J11153" s="3" t="s">
        <v>31712</v>
      </c>
      <c r="K11153" s="3" t="s">
        <v>75</v>
      </c>
      <c r="L11153" s="3" t="str">
        <f>IFERROR(__xludf.DUMMYFUNCTION("GOOGLETRANSLATE(F11153,""id"",""en"")"),"It's true that the Argentina dream of the champion helps Messi possessed by Maradona")</f>
        <v>It's true that the Argentina dream of the champion helps Messi possessed by Maradona</v>
      </c>
    </row>
    <row r="11154" ht="15.75" customHeight="1">
      <c r="A11154" s="1">
        <v>12397.0</v>
      </c>
      <c r="B11154" s="3" t="s">
        <v>31713</v>
      </c>
      <c r="C11154" s="3">
        <v>7.0</v>
      </c>
      <c r="D11154" s="3">
        <v>13.0</v>
      </c>
      <c r="E11154" s="3">
        <v>86.0</v>
      </c>
      <c r="F11154" s="3" t="s">
        <v>25875</v>
      </c>
      <c r="G11154" s="3">
        <v>0.0</v>
      </c>
      <c r="H11154" s="3">
        <v>0.0</v>
      </c>
      <c r="I11154" s="3" t="s">
        <v>13</v>
      </c>
      <c r="J11154" s="3" t="s">
        <v>25876</v>
      </c>
      <c r="K11154" s="3" t="s">
        <v>31</v>
      </c>
      <c r="L11154" s="3" t="str">
        <f>IFERROR(__xludf.DUMMYFUNCTION("GOOGLETRANSLATE(F11154,""id"",""en"")"),"Happy Argentina World Cup Champion")</f>
        <v>Happy Argentina World Cup Champion</v>
      </c>
    </row>
    <row r="11155" ht="15.75" customHeight="1">
      <c r="A11155" s="1">
        <v>12398.0</v>
      </c>
      <c r="B11155" s="3" t="s">
        <v>31714</v>
      </c>
      <c r="C11155" s="3">
        <v>0.0</v>
      </c>
      <c r="D11155" s="3">
        <v>0.0</v>
      </c>
      <c r="E11155" s="3">
        <v>2.0</v>
      </c>
      <c r="F11155" s="3" t="s">
        <v>31715</v>
      </c>
      <c r="G11155" s="3">
        <v>0.0</v>
      </c>
      <c r="H11155" s="3">
        <v>0.0</v>
      </c>
      <c r="I11155" s="3" t="s">
        <v>13</v>
      </c>
      <c r="J11155" s="3" t="s">
        <v>31716</v>
      </c>
      <c r="K11155" s="3" t="s">
        <v>31</v>
      </c>
      <c r="L11155" s="3" t="str">
        <f>IFERROR(__xludf.DUMMYFUNCTION("GOOGLETRANSLATE(F11155,""id"",""en"")"),"Indirectly France helps Argentina Champion")</f>
        <v>Indirectly France helps Argentina Champion</v>
      </c>
    </row>
    <row r="11156" ht="15.75" customHeight="1">
      <c r="A11156" s="1">
        <v>12399.0</v>
      </c>
      <c r="B11156" s="3" t="s">
        <v>31717</v>
      </c>
      <c r="C11156" s="3">
        <v>0.0</v>
      </c>
      <c r="D11156" s="3">
        <v>0.0</v>
      </c>
      <c r="E11156" s="3">
        <v>0.0</v>
      </c>
      <c r="F11156" s="3" t="s">
        <v>31718</v>
      </c>
      <c r="G11156" s="3">
        <v>0.0</v>
      </c>
      <c r="H11156" s="3">
        <v>0.0</v>
      </c>
      <c r="I11156" s="3" t="s">
        <v>13</v>
      </c>
      <c r="J11156" s="3" t="s">
        <v>31719</v>
      </c>
      <c r="K11156" s="3" t="s">
        <v>31</v>
      </c>
      <c r="L11156" s="3" t="str">
        <f>IFERROR(__xludf.DUMMYFUNCTION("GOOGLETRANSLATE(F11156,""id"",""en"")"),"Still believes Leo Messi and Argentina Champion")</f>
        <v>Still believes Leo Messi and Argentina Champion</v>
      </c>
    </row>
    <row r="11157" ht="15.75" customHeight="1">
      <c r="A11157" s="1">
        <v>12400.0</v>
      </c>
      <c r="B11157" s="3" t="s">
        <v>31720</v>
      </c>
      <c r="C11157" s="3">
        <v>0.0</v>
      </c>
      <c r="D11157" s="3">
        <v>0.0</v>
      </c>
      <c r="E11157" s="3">
        <v>0.0</v>
      </c>
      <c r="F11157" s="3" t="s">
        <v>31721</v>
      </c>
      <c r="G11157" s="3">
        <v>0.0</v>
      </c>
      <c r="H11157" s="3">
        <v>0.0</v>
      </c>
      <c r="I11157" s="3" t="s">
        <v>13</v>
      </c>
      <c r="J11157" s="3" t="s">
        <v>31722</v>
      </c>
      <c r="K11157" s="3" t="s">
        <v>2117</v>
      </c>
      <c r="L11157" s="3" t="str">
        <f>IFERROR(__xludf.DUMMYFUNCTION("GOOGLETRANSLATE(F11157,""id"",""en"")"),"Hooray Argentina Champion")</f>
        <v>Hooray Argentina Champion</v>
      </c>
    </row>
    <row r="11158" ht="15.75" customHeight="1">
      <c r="A11158" s="1">
        <v>12401.0</v>
      </c>
      <c r="B11158" s="3" t="s">
        <v>31723</v>
      </c>
      <c r="C11158" s="3">
        <v>6.0</v>
      </c>
      <c r="D11158" s="3">
        <v>28.0</v>
      </c>
      <c r="E11158" s="3">
        <v>241.0</v>
      </c>
      <c r="F11158" s="3" t="s">
        <v>31724</v>
      </c>
      <c r="G11158" s="3">
        <v>0.0</v>
      </c>
      <c r="H11158" s="3">
        <v>0.0</v>
      </c>
      <c r="I11158" s="3" t="s">
        <v>13</v>
      </c>
      <c r="J11158" s="3" t="s">
        <v>31725</v>
      </c>
      <c r="K11158" s="3" t="s">
        <v>1970</v>
      </c>
      <c r="L11158" s="3" t="str">
        <f>IFERROR(__xludf.DUMMYFUNCTION("GOOGLETRANSLATE(F11158,""id"",""en"")"),"Finally the World Cup closed its curtain with Argentina to become a champion even though the French troops lost to a penalty kick but the fighting spirit and did not know despair were shown by French troops")</f>
        <v>Finally the World Cup closed its curtain with Argentina to become a champion even though the French troops lost to a penalty kick but the fighting spirit and did not know despair were shown by French troops</v>
      </c>
    </row>
    <row r="11159" ht="15.75" customHeight="1">
      <c r="A11159" s="1">
        <v>12402.0</v>
      </c>
      <c r="B11159" s="3" t="s">
        <v>31726</v>
      </c>
      <c r="C11159" s="3">
        <v>0.0</v>
      </c>
      <c r="D11159" s="3">
        <v>0.0</v>
      </c>
      <c r="E11159" s="3">
        <v>1.0</v>
      </c>
      <c r="F11159" s="3" t="s">
        <v>31439</v>
      </c>
      <c r="G11159" s="3">
        <v>0.0</v>
      </c>
      <c r="H11159" s="3">
        <v>0.0</v>
      </c>
      <c r="I11159" s="3" t="s">
        <v>13</v>
      </c>
      <c r="J11159" s="3" t="s">
        <v>31440</v>
      </c>
      <c r="K11159" s="3" t="s">
        <v>41</v>
      </c>
      <c r="L11159" s="3" t="str">
        <f>IFERROR(__xludf.DUMMYFUNCTION("GOOGLETRANSLATE(F11159,""id"",""en"")"),"Lionel Messi's terrible record after Argentina Champion World Cup")</f>
        <v>Lionel Messi's terrible record after Argentina Champion World Cup</v>
      </c>
    </row>
    <row r="11160" ht="15.75" customHeight="1">
      <c r="A11160" s="1">
        <v>12403.0</v>
      </c>
      <c r="B11160" s="3" t="s">
        <v>31727</v>
      </c>
      <c r="C11160" s="3">
        <v>0.0</v>
      </c>
      <c r="D11160" s="3">
        <v>0.0</v>
      </c>
      <c r="E11160" s="3">
        <v>0.0</v>
      </c>
      <c r="F11160" s="3" t="s">
        <v>31728</v>
      </c>
      <c r="G11160" s="3">
        <v>0.0</v>
      </c>
      <c r="H11160" s="3">
        <v>0.0</v>
      </c>
      <c r="I11160" s="3" t="s">
        <v>13</v>
      </c>
      <c r="J11160" s="3" t="s">
        <v>31729</v>
      </c>
      <c r="K11160" s="3" t="s">
        <v>71</v>
      </c>
      <c r="L11160" s="3" t="str">
        <f>IFERROR(__xludf.DUMMYFUNCTION("GOOGLETRANSLATE(F11160,""id"",""en"")"),"yaaaahhhh it is not fair to champion the world of Saudi Arabia by beating Argentina Ntar Porsche told to return the kingdom")</f>
        <v>yaaaahhhh it is not fair to champion the world of Saudi Arabia by beating Argentina Ntar Porsche told to return the kingdom</v>
      </c>
    </row>
    <row r="11161" ht="15.75" customHeight="1">
      <c r="A11161" s="1">
        <v>12404.0</v>
      </c>
      <c r="B11161" s="3" t="s">
        <v>31730</v>
      </c>
      <c r="C11161" s="3">
        <v>0.0</v>
      </c>
      <c r="D11161" s="3">
        <v>0.0</v>
      </c>
      <c r="E11161" s="3">
        <v>0.0</v>
      </c>
      <c r="F11161" s="3" t="s">
        <v>31731</v>
      </c>
      <c r="G11161" s="3">
        <v>0.0</v>
      </c>
      <c r="H11161" s="3">
        <v>0.0</v>
      </c>
      <c r="I11161" s="3" t="s">
        <v>13</v>
      </c>
      <c r="J11161" s="3" t="s">
        <v>31732</v>
      </c>
      <c r="K11161" s="3" t="s">
        <v>31</v>
      </c>
      <c r="L11161" s="3" t="str">
        <f>IFERROR(__xludf.DUMMYFUNCTION("GOOGLETRANSLATE(F11161,""id"",""en"")"),"Finally, after the Maradona Argentina era can win again")</f>
        <v>Finally, after the Maradona Argentina era can win again</v>
      </c>
    </row>
    <row r="11162" ht="15.75" customHeight="1">
      <c r="A11162" s="1">
        <v>12405.0</v>
      </c>
      <c r="B11162" s="3" t="s">
        <v>31733</v>
      </c>
      <c r="C11162" s="3">
        <v>0.0</v>
      </c>
      <c r="D11162" s="3">
        <v>0.0</v>
      </c>
      <c r="E11162" s="3">
        <v>0.0</v>
      </c>
      <c r="F11162" s="3" t="s">
        <v>31734</v>
      </c>
      <c r="G11162" s="3">
        <v>0.0</v>
      </c>
      <c r="H11162" s="3">
        <v>0.0</v>
      </c>
      <c r="I11162" s="3" t="s">
        <v>13</v>
      </c>
      <c r="J11162" s="3" t="s">
        <v>31735</v>
      </c>
      <c r="K11162" s="3" t="s">
        <v>15</v>
      </c>
      <c r="L11162" s="3" t="str">
        <f>IFERROR(__xludf.DUMMYFUNCTION("GOOGLETRANSLATE(F11162,""id"",""en"")"),"Although disappointed France did not win SLMT for Argentina")</f>
        <v>Although disappointed France did not win SLMT for Argentina</v>
      </c>
    </row>
    <row r="11163" ht="15.75" customHeight="1">
      <c r="A11163" s="1">
        <v>12406.0</v>
      </c>
      <c r="B11163" s="3" t="s">
        <v>31736</v>
      </c>
      <c r="C11163" s="3">
        <v>0.0</v>
      </c>
      <c r="D11163" s="3">
        <v>0.0</v>
      </c>
      <c r="E11163" s="3">
        <v>0.0</v>
      </c>
      <c r="F11163" s="3" t="s">
        <v>31737</v>
      </c>
      <c r="G11163" s="3">
        <v>0.0</v>
      </c>
      <c r="H11163" s="3">
        <v>0.0</v>
      </c>
      <c r="I11163" s="3" t="s">
        <v>13</v>
      </c>
      <c r="J11163" s="3" t="s">
        <v>31738</v>
      </c>
      <c r="K11163" s="3" t="s">
        <v>2117</v>
      </c>
      <c r="L11163" s="3" t="str">
        <f>IFERROR(__xludf.DUMMYFUNCTION("GOOGLETRANSLATE(F11163,""id"",""en"")"),"Without this father, it is not necessarily Argentina to win")</f>
        <v>Without this father, it is not necessarily Argentina to win</v>
      </c>
    </row>
    <row r="11164" ht="15.75" customHeight="1">
      <c r="A11164" s="1">
        <v>12407.0</v>
      </c>
      <c r="B11164" s="3" t="s">
        <v>31739</v>
      </c>
      <c r="C11164" s="3">
        <v>0.0</v>
      </c>
      <c r="D11164" s="3">
        <v>0.0</v>
      </c>
      <c r="E11164" s="3">
        <v>0.0</v>
      </c>
      <c r="F11164" s="3" t="s">
        <v>31740</v>
      </c>
      <c r="G11164" s="3">
        <v>0.0</v>
      </c>
      <c r="H11164" s="3">
        <v>0.0</v>
      </c>
      <c r="I11164" s="3" t="s">
        <v>13</v>
      </c>
      <c r="J11164" s="3" t="s">
        <v>31741</v>
      </c>
      <c r="K11164" s="3" t="s">
        <v>2117</v>
      </c>
      <c r="L11164" s="3" t="str">
        <f>IFERROR(__xludf.DUMMYFUNCTION("GOOGLETRANSLATE(F11164,""id"",""en"")"),"Barack has decided")</f>
        <v>Barack has decided</v>
      </c>
    </row>
    <row r="11165" ht="15.75" customHeight="1">
      <c r="A11165" s="1">
        <v>12408.0</v>
      </c>
      <c r="B11165" s="3" t="s">
        <v>31742</v>
      </c>
      <c r="C11165" s="3">
        <v>0.0</v>
      </c>
      <c r="D11165" s="3">
        <v>0.0</v>
      </c>
      <c r="E11165" s="3">
        <v>0.0</v>
      </c>
      <c r="F11165" s="3" t="s">
        <v>31743</v>
      </c>
      <c r="G11165" s="3">
        <v>0.0</v>
      </c>
      <c r="H11165" s="3">
        <v>0.0</v>
      </c>
      <c r="I11165" s="3" t="s">
        <v>13</v>
      </c>
      <c r="J11165" s="3" t="s">
        <v>31744</v>
      </c>
      <c r="K11165" s="3" t="s">
        <v>75</v>
      </c>
      <c r="L11165" s="3" t="str">
        <f>IFERROR(__xludf.DUMMYFUNCTION("GOOGLETRANSLATE(F11165,""id"",""en"")"),"Emiliano Martinez brought the Argentine flag to the Qatar World Cup championship")</f>
        <v>Emiliano Martinez brought the Argentine flag to the Qatar World Cup championship</v>
      </c>
    </row>
    <row r="11166" ht="15.75" customHeight="1">
      <c r="A11166" s="1">
        <v>12409.0</v>
      </c>
      <c r="B11166" s="3" t="s">
        <v>31745</v>
      </c>
      <c r="C11166" s="3">
        <v>0.0</v>
      </c>
      <c r="D11166" s="3">
        <v>0.0</v>
      </c>
      <c r="E11166" s="3">
        <v>0.0</v>
      </c>
      <c r="F11166" s="3" t="s">
        <v>31746</v>
      </c>
      <c r="G11166" s="3">
        <v>0.0</v>
      </c>
      <c r="H11166" s="3">
        <v>0.0</v>
      </c>
      <c r="I11166" s="3" t="s">
        <v>13</v>
      </c>
      <c r="J11166" s="3" t="s">
        <v>31747</v>
      </c>
      <c r="K11166" s="3" t="s">
        <v>75</v>
      </c>
      <c r="L11166" s="3" t="str">
        <f>IFERROR(__xludf.DUMMYFUNCTION("GOOGLETRANSLATE(F11166,""id"",""en"")"),"So smart Jokowi and PSSI Argentina administrators were able to win the World Cup")</f>
        <v>So smart Jokowi and PSSI Argentina administrators were able to win the World Cup</v>
      </c>
    </row>
    <row r="11167" ht="15.75" customHeight="1">
      <c r="A11167" s="1">
        <v>12410.0</v>
      </c>
      <c r="B11167" s="3" t="s">
        <v>31748</v>
      </c>
      <c r="C11167" s="3">
        <v>0.0</v>
      </c>
      <c r="D11167" s="3">
        <v>0.0</v>
      </c>
      <c r="E11167" s="3">
        <v>0.0</v>
      </c>
      <c r="F11167" s="3" t="s">
        <v>31031</v>
      </c>
      <c r="G11167" s="3">
        <v>0.0</v>
      </c>
      <c r="H11167" s="3">
        <v>0.0</v>
      </c>
      <c r="I11167" s="3" t="s">
        <v>13</v>
      </c>
      <c r="J11167" s="3" t="s">
        <v>18491</v>
      </c>
      <c r="K11167" s="3" t="s">
        <v>2117</v>
      </c>
      <c r="L11167" s="3" t="str">
        <f>IFERROR(__xludf.DUMMYFUNCTION("GOOGLETRANSLATE(F11167,""id"",""en"")"),"Argentina Champion Pilduun")</f>
        <v>Argentina Champion Pilduun</v>
      </c>
    </row>
    <row r="11168" ht="15.75" customHeight="1">
      <c r="A11168" s="1">
        <v>12411.0</v>
      </c>
      <c r="B11168" s="3" t="s">
        <v>31749</v>
      </c>
      <c r="C11168" s="3">
        <v>2.0</v>
      </c>
      <c r="D11168" s="3">
        <v>0.0</v>
      </c>
      <c r="E11168" s="3">
        <v>0.0</v>
      </c>
      <c r="F11168" s="3" t="s">
        <v>31750</v>
      </c>
      <c r="G11168" s="3">
        <v>0.0</v>
      </c>
      <c r="H11168" s="3">
        <v>0.0</v>
      </c>
      <c r="I11168" s="3" t="s">
        <v>13</v>
      </c>
      <c r="J11168" s="3" t="s">
        <v>31751</v>
      </c>
      <c r="K11168" s="3" t="s">
        <v>82</v>
      </c>
      <c r="L11168" s="3" t="str">
        <f>IFERROR(__xludf.DUMMYFUNCTION("GOOGLETRANSLATE(F11168,""id"",""en"")"),"not supporting France but not willing to also Argentina champion mix feeling")</f>
        <v>not supporting France but not willing to also Argentina champion mix feeling</v>
      </c>
    </row>
    <row r="11169" ht="15.75" customHeight="1">
      <c r="A11169" s="1">
        <v>12412.0</v>
      </c>
      <c r="B11169" s="3" t="s">
        <v>31752</v>
      </c>
      <c r="C11169" s="3">
        <v>0.0</v>
      </c>
      <c r="D11169" s="3">
        <v>0.0</v>
      </c>
      <c r="E11169" s="3">
        <v>0.0</v>
      </c>
      <c r="F11169" s="3" t="s">
        <v>31753</v>
      </c>
      <c r="G11169" s="3">
        <v>0.0</v>
      </c>
      <c r="H11169" s="3">
        <v>0.0</v>
      </c>
      <c r="I11169" s="3" t="s">
        <v>13</v>
      </c>
      <c r="J11169" s="3" t="s">
        <v>31754</v>
      </c>
      <c r="K11169" s="3" t="s">
        <v>15</v>
      </c>
      <c r="L11169" s="3" t="str">
        <f>IFERROR(__xludf.DUMMYFUNCTION("GOOGLETRANSLATE(F11169,""id"",""en"")"),"Why is Argentina's happier champion than PASS UKMPPD yesterday")</f>
        <v>Why is Argentina's happier champion than PASS UKMPPD yesterday</v>
      </c>
    </row>
    <row r="11170" ht="15.75" customHeight="1">
      <c r="A11170" s="1">
        <v>12413.0</v>
      </c>
      <c r="B11170" s="3" t="s">
        <v>31755</v>
      </c>
      <c r="C11170" s="3">
        <v>0.0</v>
      </c>
      <c r="D11170" s="3">
        <v>0.0</v>
      </c>
      <c r="E11170" s="3">
        <v>0.0</v>
      </c>
      <c r="F11170" s="3" t="s">
        <v>31756</v>
      </c>
      <c r="G11170" s="3">
        <v>0.0</v>
      </c>
      <c r="H11170" s="3">
        <v>0.0</v>
      </c>
      <c r="I11170" s="3" t="s">
        <v>13</v>
      </c>
      <c r="J11170" s="3" t="s">
        <v>31757</v>
      </c>
      <c r="K11170" s="3" t="s">
        <v>82</v>
      </c>
      <c r="L11170" s="3" t="str">
        <f>IFERROR(__xludf.DUMMYFUNCTION("GOOGLETRANSLATE(F11170,""id"",""en"")"),"Many hope to pray for Argentina who won because of the Messi factor")</f>
        <v>Many hope to pray for Argentina who won because of the Messi factor</v>
      </c>
    </row>
    <row r="11171" ht="15.75" customHeight="1">
      <c r="A11171" s="1">
        <v>12414.0</v>
      </c>
      <c r="B11171" s="3" t="s">
        <v>31758</v>
      </c>
      <c r="C11171" s="3">
        <v>0.0</v>
      </c>
      <c r="D11171" s="3">
        <v>0.0</v>
      </c>
      <c r="E11171" s="3">
        <v>0.0</v>
      </c>
      <c r="F11171" s="3" t="s">
        <v>31759</v>
      </c>
      <c r="G11171" s="3">
        <v>0.0</v>
      </c>
      <c r="H11171" s="3">
        <v>0.0</v>
      </c>
      <c r="I11171" s="3" t="s">
        <v>13</v>
      </c>
      <c r="J11171" s="3" t="s">
        <v>31760</v>
      </c>
      <c r="K11171" s="3" t="s">
        <v>2117</v>
      </c>
      <c r="L11171" s="3" t="str">
        <f>IFERROR(__xludf.DUMMYFUNCTION("GOOGLETRANSLATE(F11171,""id"",""en"")"),"Argentina Champion Huehue")</f>
        <v>Argentina Champion Huehue</v>
      </c>
    </row>
    <row r="11172" ht="15.75" customHeight="1">
      <c r="A11172" s="1">
        <v>12415.0</v>
      </c>
      <c r="B11172" s="3" t="s">
        <v>31761</v>
      </c>
      <c r="C11172" s="3">
        <v>0.0</v>
      </c>
      <c r="D11172" s="3">
        <v>0.0</v>
      </c>
      <c r="E11172" s="3">
        <v>0.0</v>
      </c>
      <c r="F11172" s="3" t="s">
        <v>31762</v>
      </c>
      <c r="G11172" s="3">
        <v>0.0</v>
      </c>
      <c r="H11172" s="3">
        <v>0.0</v>
      </c>
      <c r="I11172" s="3" t="s">
        <v>13</v>
      </c>
      <c r="J11172" s="3" t="s">
        <v>31763</v>
      </c>
      <c r="K11172" s="3" t="s">
        <v>2117</v>
      </c>
      <c r="L11172" s="3" t="str">
        <f>IFERROR(__xludf.DUMMYFUNCTION("GOOGLETRANSLATE(F11172,""id"",""en"")"),"Still Argentina Champion")</f>
        <v>Still Argentina Champion</v>
      </c>
    </row>
    <row r="11173" ht="15.75" customHeight="1">
      <c r="A11173" s="1">
        <v>12416.0</v>
      </c>
      <c r="B11173" s="3" t="s">
        <v>31764</v>
      </c>
      <c r="C11173" s="3">
        <v>0.0</v>
      </c>
      <c r="D11173" s="3">
        <v>0.0</v>
      </c>
      <c r="E11173" s="3">
        <v>0.0</v>
      </c>
      <c r="F11173" s="3" t="s">
        <v>31765</v>
      </c>
      <c r="G11173" s="3">
        <v>0.0</v>
      </c>
      <c r="H11173" s="3">
        <v>0.0</v>
      </c>
      <c r="I11173" s="3" t="s">
        <v>13</v>
      </c>
      <c r="J11173" s="3" t="s">
        <v>31766</v>
      </c>
      <c r="K11173" s="3" t="s">
        <v>58</v>
      </c>
      <c r="L11173" s="3" t="str">
        <f>IFERROR(__xludf.DUMMYFUNCTION("GOOGLETRANSLATE(F11173,""id"",""en"")"),"Magical words Peter Drury who led Argentina to win the World Cup Messi shaking hands with Heaven")</f>
        <v>Magical words Peter Drury who led Argentina to win the World Cup Messi shaking hands with Heaven</v>
      </c>
    </row>
    <row r="11174" ht="15.75" customHeight="1">
      <c r="A11174" s="1">
        <v>12417.0</v>
      </c>
      <c r="B11174" s="3" t="s">
        <v>31767</v>
      </c>
      <c r="C11174" s="3">
        <v>0.0</v>
      </c>
      <c r="D11174" s="3">
        <v>0.0</v>
      </c>
      <c r="E11174" s="3">
        <v>0.0</v>
      </c>
      <c r="F11174" s="3" t="s">
        <v>31768</v>
      </c>
      <c r="G11174" s="3">
        <v>0.0</v>
      </c>
      <c r="H11174" s="3">
        <v>0.0</v>
      </c>
      <c r="I11174" s="3" t="s">
        <v>13</v>
      </c>
      <c r="J11174" s="3" t="s">
        <v>31769</v>
      </c>
      <c r="K11174" s="3" t="s">
        <v>75</v>
      </c>
      <c r="L11174" s="3" t="str">
        <f>IFERROR(__xludf.DUMMYFUNCTION("GOOGLETRANSLATE(F11174,""id"",""en"")"),"French brush and bring our Argentina World Cup champion Lionel Messi Success")</f>
        <v>French brush and bring our Argentina World Cup champion Lionel Messi Success</v>
      </c>
    </row>
    <row r="11175" ht="15.75" customHeight="1">
      <c r="A11175" s="1">
        <v>12418.0</v>
      </c>
      <c r="B11175" s="3" t="s">
        <v>31770</v>
      </c>
      <c r="C11175" s="3">
        <v>0.0</v>
      </c>
      <c r="D11175" s="3">
        <v>0.0</v>
      </c>
      <c r="E11175" s="3">
        <v>0.0</v>
      </c>
      <c r="F11175" s="3" t="s">
        <v>31771</v>
      </c>
      <c r="G11175" s="3">
        <v>0.0</v>
      </c>
      <c r="H11175" s="3">
        <v>0.0</v>
      </c>
      <c r="I11175" s="3" t="s">
        <v>13</v>
      </c>
      <c r="J11175" s="3" t="s">
        <v>31772</v>
      </c>
      <c r="K11175" s="3" t="s">
        <v>50</v>
      </c>
      <c r="L11175" s="3" t="str">
        <f>IFERROR(__xludf.DUMMYFUNCTION("GOOGLETRANSLATE(F11175,""id"",""en"")"),"Complete List of World Cup Champion Which is more than the Argentine national team")</f>
        <v>Complete List of World Cup Champion Which is more than the Argentine national team</v>
      </c>
    </row>
    <row r="11176" ht="15.75" customHeight="1">
      <c r="A11176" s="1">
        <v>12419.0</v>
      </c>
      <c r="B11176" s="3" t="s">
        <v>31773</v>
      </c>
      <c r="C11176" s="3">
        <v>0.0</v>
      </c>
      <c r="D11176" s="3">
        <v>0.0</v>
      </c>
      <c r="E11176" s="3">
        <v>0.0</v>
      </c>
      <c r="F11176" s="3" t="s">
        <v>31774</v>
      </c>
      <c r="G11176" s="3">
        <v>0.0</v>
      </c>
      <c r="H11176" s="3">
        <v>0.0</v>
      </c>
      <c r="I11176" s="3" t="s">
        <v>13</v>
      </c>
      <c r="J11176" s="3" t="s">
        <v>31775</v>
      </c>
      <c r="K11176" s="3" t="s">
        <v>50</v>
      </c>
      <c r="L11176" s="3" t="str">
        <f>IFERROR(__xludf.DUMMYFUNCTION("GOOGLETRANSLATE(F11176,""id"",""en"")"),"Not only Lionel Messi Argentina also harvested the record after the World Cup championship")</f>
        <v>Not only Lionel Messi Argentina also harvested the record after the World Cup championship</v>
      </c>
    </row>
    <row r="11177" ht="15.75" customHeight="1">
      <c r="A11177" s="1">
        <v>12420.0</v>
      </c>
      <c r="B11177" s="3" t="s">
        <v>31776</v>
      </c>
      <c r="C11177" s="3">
        <v>2.0</v>
      </c>
      <c r="D11177" s="3">
        <v>0.0</v>
      </c>
      <c r="E11177" s="3">
        <v>0.0</v>
      </c>
      <c r="F11177" s="3" t="s">
        <v>31777</v>
      </c>
      <c r="G11177" s="3">
        <v>0.1</v>
      </c>
      <c r="H11177" s="3">
        <v>0.0</v>
      </c>
      <c r="I11177" s="3" t="s">
        <v>13</v>
      </c>
      <c r="J11177" s="3" t="s">
        <v>31778</v>
      </c>
      <c r="K11177" s="3" t="s">
        <v>1280</v>
      </c>
      <c r="L11177" s="3" t="str">
        <f>IFERROR(__xludf.DUMMYFUNCTION("GOOGLETRANSLATE(F11177,""id"",""en"")"),"Argentina Champion World Cup Exciting Match For Heart Sports Dimaria When replaced by Argentina Games So Decreased If Dimaria Replaced It Is Argentina Winning Without Having Extra Time But Congratulations Argentina Messi Finally the Complete Woi's Champio"&amp;"n Title")</f>
        <v>Argentina Champion World Cup Exciting Match For Heart Sports Dimaria When replaced by Argentina Games So Decreased If Dimaria Replaced It Is Argentina Winning Without Having Extra Time But Congratulations Argentina Messi Finally the Complete Woi's Champion Title</v>
      </c>
    </row>
    <row r="11178" ht="15.75" customHeight="1">
      <c r="A11178" s="1">
        <v>12421.0</v>
      </c>
      <c r="B11178" s="3" t="s">
        <v>31779</v>
      </c>
      <c r="C11178" s="3">
        <v>0.0</v>
      </c>
      <c r="D11178" s="3">
        <v>0.0</v>
      </c>
      <c r="E11178" s="3">
        <v>0.0</v>
      </c>
      <c r="F11178" s="3" t="s">
        <v>31780</v>
      </c>
      <c r="G11178" s="3">
        <v>0.0</v>
      </c>
      <c r="H11178" s="3">
        <v>0.0</v>
      </c>
      <c r="I11178" s="3" t="s">
        <v>13</v>
      </c>
      <c r="J11178" s="3" t="s">
        <v>31781</v>
      </c>
      <c r="K11178" s="3" t="s">
        <v>27</v>
      </c>
      <c r="L11178" s="3" t="str">
        <f>IFERROR(__xludf.DUMMYFUNCTION("GOOGLETRANSLATE(F11178,""id"",""en"")"),"After the year Argentina appeared World Cup champion in the year after killing France accepting the determination of the past penalties last night, the two troops in action so fiercely that they were bound by the position so that it was finished")</f>
        <v>After the year Argentina appeared World Cup champion in the year after killing France accepting the determination of the past penalties last night, the two troops in action so fiercely that they were bound by the position so that it was finished</v>
      </c>
    </row>
    <row r="11179" ht="15.75" customHeight="1">
      <c r="A11179" s="1">
        <v>12422.0</v>
      </c>
      <c r="B11179" s="3" t="s">
        <v>31782</v>
      </c>
      <c r="C11179" s="3">
        <v>0.0</v>
      </c>
      <c r="D11179" s="3">
        <v>0.0</v>
      </c>
      <c r="E11179" s="3">
        <v>0.0</v>
      </c>
      <c r="F11179" s="3" t="s">
        <v>31783</v>
      </c>
      <c r="G11179" s="3">
        <v>0.0</v>
      </c>
      <c r="H11179" s="3">
        <v>0.0</v>
      </c>
      <c r="I11179" s="3" t="s">
        <v>13</v>
      </c>
      <c r="J11179" s="3" t="s">
        <v>31784</v>
      </c>
      <c r="K11179" s="3" t="s">
        <v>58</v>
      </c>
      <c r="L11179" s="3" t="str">
        <f>IFERROR(__xludf.DUMMYFUNCTION("GOOGLETRANSLATE(F11179,""id"",""en"")"),"Legitimate Lionel Messi World's Best Player in History After Bringing Argentina World Cup Champion")</f>
        <v>Legitimate Lionel Messi World's Best Player in History After Bringing Argentina World Cup Champion</v>
      </c>
    </row>
    <row r="11180" ht="15.75" customHeight="1">
      <c r="A11180" s="1">
        <v>12423.0</v>
      </c>
      <c r="B11180" s="3" t="s">
        <v>31785</v>
      </c>
      <c r="C11180" s="3">
        <v>0.0</v>
      </c>
      <c r="D11180" s="3">
        <v>0.0</v>
      </c>
      <c r="E11180" s="3">
        <v>0.0</v>
      </c>
      <c r="F11180" s="3" t="s">
        <v>31786</v>
      </c>
      <c r="G11180" s="3">
        <v>0.0</v>
      </c>
      <c r="H11180" s="3">
        <v>0.0</v>
      </c>
      <c r="I11180" s="3" t="s">
        <v>13</v>
      </c>
      <c r="J11180" s="3" t="s">
        <v>31787</v>
      </c>
      <c r="K11180" s="3" t="s">
        <v>19</v>
      </c>
      <c r="L11180" s="3" t="str">
        <f>IFERROR(__xludf.DUMMYFUNCTION("GOOGLETRANSLATE(F11180,""id"",""en"")"),"French brush and bring Argentina World Cup champion Lionel Messi we managed to read more")</f>
        <v>French brush and bring Argentina World Cup champion Lionel Messi we managed to read more</v>
      </c>
    </row>
    <row r="11181" ht="15.75" customHeight="1">
      <c r="A11181" s="1">
        <v>12424.0</v>
      </c>
      <c r="B11181" s="3" t="s">
        <v>31788</v>
      </c>
      <c r="C11181" s="3">
        <v>0.0</v>
      </c>
      <c r="D11181" s="3">
        <v>0.0</v>
      </c>
      <c r="E11181" s="3">
        <v>0.0</v>
      </c>
      <c r="F11181" s="3" t="s">
        <v>31789</v>
      </c>
      <c r="G11181" s="3">
        <v>0.0</v>
      </c>
      <c r="H11181" s="3">
        <v>0.0</v>
      </c>
      <c r="I11181" s="3" t="s">
        <v>13</v>
      </c>
      <c r="J11181" s="3" t="s">
        <v>31790</v>
      </c>
      <c r="K11181" s="3" t="s">
        <v>2013</v>
      </c>
      <c r="L11181" s="3" t="str">
        <f>IFERROR(__xludf.DUMMYFUNCTION("GOOGLETRANSLATE(F11181,""id"",""en"")"),"Exclusive from Qatar World Cup World Cup Champion Argentine national team cried proud of the Argentine national team champions of the World Cup after defeating France through a penalty shootout with a week's score")</f>
        <v>Exclusive from Qatar World Cup World Cup Champion Argentine national team cried proud of the Argentine national team champions of the World Cup after defeating France through a penalty shootout with a week's score</v>
      </c>
    </row>
    <row r="11182" ht="15.75" customHeight="1">
      <c r="A11182" s="1">
        <v>12425.0</v>
      </c>
      <c r="B11182" s="3" t="s">
        <v>31791</v>
      </c>
      <c r="C11182" s="3">
        <v>1.0</v>
      </c>
      <c r="D11182" s="3">
        <v>1.0</v>
      </c>
      <c r="E11182" s="3">
        <v>12.0</v>
      </c>
      <c r="F11182" s="3" t="s">
        <v>31792</v>
      </c>
      <c r="G11182" s="3">
        <v>0.0</v>
      </c>
      <c r="H11182" s="3">
        <v>0.0</v>
      </c>
      <c r="I11182" s="3" t="s">
        <v>13</v>
      </c>
      <c r="J11182" s="3" t="s">
        <v>25945</v>
      </c>
      <c r="K11182" s="3" t="s">
        <v>240</v>
      </c>
      <c r="L11182" s="3" t="str">
        <f>IFERROR(__xludf.DUMMYFUNCTION("GOOGLETRANSLATE(F11182,""id"",""en"")"),"Argentina won two titles in two years after the Copa America at the current Lionel Scaloni squad successfully won the World Cup")</f>
        <v>Argentina won two titles in two years after the Copa America at the current Lionel Scaloni squad successfully won the World Cup</v>
      </c>
    </row>
    <row r="11183" ht="15.75" customHeight="1">
      <c r="A11183" s="1">
        <v>12426.0</v>
      </c>
      <c r="B11183" s="3" t="s">
        <v>31793</v>
      </c>
      <c r="C11183" s="3">
        <v>0.0</v>
      </c>
      <c r="D11183" s="3">
        <v>7.0</v>
      </c>
      <c r="E11183" s="3">
        <v>12.0</v>
      </c>
      <c r="F11183" s="3" t="s">
        <v>31794</v>
      </c>
      <c r="G11183" s="3">
        <v>0.0</v>
      </c>
      <c r="H11183" s="3">
        <v>0.0</v>
      </c>
      <c r="I11183" s="3" t="s">
        <v>13</v>
      </c>
      <c r="J11183" s="3" t="s">
        <v>31795</v>
      </c>
      <c r="K11183" s="3" t="s">
        <v>3671</v>
      </c>
      <c r="L11183" s="3" t="str">
        <f>IFERROR(__xludf.DUMMYFUNCTION("GOOGLETRANSLATE(F11183,""id"",""en"")"),"Predictions of the Minister of SOEs Exactly Argentina won after beating France Qatar World Cup congratulations to Argentina Congratulations to Messi, you deserve to be a world champion")</f>
        <v>Predictions of the Minister of SOEs Exactly Argentina won after beating France Qatar World Cup congratulations to Argentina Congratulations to Messi, you deserve to be a world champion</v>
      </c>
    </row>
    <row r="11184" ht="15.75" customHeight="1">
      <c r="A11184" s="1">
        <v>12427.0</v>
      </c>
      <c r="B11184" s="3" t="s">
        <v>31796</v>
      </c>
      <c r="C11184" s="3">
        <v>0.0</v>
      </c>
      <c r="D11184" s="3">
        <v>0.0</v>
      </c>
      <c r="E11184" s="3">
        <v>0.0</v>
      </c>
      <c r="F11184" s="3" t="s">
        <v>31797</v>
      </c>
      <c r="G11184" s="3">
        <v>0.0</v>
      </c>
      <c r="H11184" s="3">
        <v>0.0</v>
      </c>
      <c r="I11184" s="3" t="s">
        <v>13</v>
      </c>
      <c r="J11184" s="3" t="s">
        <v>31798</v>
      </c>
      <c r="K11184" s="3" t="s">
        <v>82</v>
      </c>
      <c r="L11184" s="3" t="str">
        <f>IFERROR(__xludf.DUMMYFUNCTION("GOOGLETRANSLATE(F11184,""id"",""en"")"),"Congratulations to the Argentine country of the Qatar World Cup champion")</f>
        <v>Congratulations to the Argentine country of the Qatar World Cup champion</v>
      </c>
    </row>
    <row r="11185" ht="15.75" customHeight="1">
      <c r="A11185" s="1">
        <v>12428.0</v>
      </c>
      <c r="B11185" s="3" t="s">
        <v>31799</v>
      </c>
      <c r="C11185" s="3">
        <v>0.0</v>
      </c>
      <c r="D11185" s="3">
        <v>0.0</v>
      </c>
      <c r="E11185" s="3">
        <v>0.0</v>
      </c>
      <c r="F11185" s="3" t="s">
        <v>30979</v>
      </c>
      <c r="G11185" s="3">
        <v>0.0</v>
      </c>
      <c r="H11185" s="3">
        <v>0.0</v>
      </c>
      <c r="I11185" s="3" t="s">
        <v>13</v>
      </c>
      <c r="J11185" s="3" t="s">
        <v>30980</v>
      </c>
      <c r="K11185" s="3" t="s">
        <v>75</v>
      </c>
      <c r="L11185" s="3" t="str">
        <f>IFERROR(__xludf.DUMMYFUNCTION("GOOGLETRANSLATE(F11185,""id"",""en"")"),"Messi Bring Argentina World Cup Champion Raul Lemos Trending Twitter")</f>
        <v>Messi Bring Argentina World Cup Champion Raul Lemos Trending Twitter</v>
      </c>
    </row>
    <row r="11186" ht="15.75" customHeight="1">
      <c r="A11186" s="1">
        <v>12429.0</v>
      </c>
      <c r="B11186" s="3" t="s">
        <v>31800</v>
      </c>
      <c r="C11186" s="3">
        <v>29.0</v>
      </c>
      <c r="D11186" s="3">
        <v>33.0</v>
      </c>
      <c r="E11186" s="3">
        <v>234.0</v>
      </c>
      <c r="F11186" s="3" t="s">
        <v>31801</v>
      </c>
      <c r="G11186" s="3">
        <v>0.0</v>
      </c>
      <c r="H11186" s="3">
        <v>0.0</v>
      </c>
      <c r="I11186" s="3" t="s">
        <v>13</v>
      </c>
      <c r="J11186" s="3" t="s">
        <v>31802</v>
      </c>
      <c r="K11186" s="3" t="s">
        <v>75</v>
      </c>
      <c r="L11186" s="3" t="str">
        <f>IFERROR(__xludf.DUMMYFUNCTION("GOOGLETRANSLATE(F11186,""id"",""en"")"),"Sikontol Aguero Bacot doang join in helping Argentina champions but the number is number")</f>
        <v>Sikontol Aguero Bacot doang join in helping Argentina champions but the number is number</v>
      </c>
    </row>
    <row r="11187" ht="15.75" customHeight="1">
      <c r="A11187" s="1">
        <v>12430.0</v>
      </c>
      <c r="B11187" s="3" t="s">
        <v>31803</v>
      </c>
      <c r="C11187" s="3">
        <v>0.0</v>
      </c>
      <c r="D11187" s="3">
        <v>0.0</v>
      </c>
      <c r="E11187" s="3">
        <v>0.0</v>
      </c>
      <c r="F11187" s="3" t="s">
        <v>31804</v>
      </c>
      <c r="G11187" s="3">
        <v>0.0</v>
      </c>
      <c r="H11187" s="3">
        <v>0.0</v>
      </c>
      <c r="I11187" s="3" t="s">
        <v>13</v>
      </c>
      <c r="J11187" s="3" t="s">
        <v>31805</v>
      </c>
      <c r="K11187" s="3" t="s">
        <v>15</v>
      </c>
      <c r="L11187" s="3" t="str">
        <f>IFERROR(__xludf.DUMMYFUNCTION("GOOGLETRANSLATE(F11187,""id"",""en"")"),"before Pilduun already guess Argentina will win so watch")</f>
        <v>before Pilduun already guess Argentina will win so watch</v>
      </c>
    </row>
    <row r="11188" ht="15.75" customHeight="1">
      <c r="A11188" s="1">
        <v>12431.0</v>
      </c>
      <c r="B11188" s="3" t="s">
        <v>31806</v>
      </c>
      <c r="C11188" s="3">
        <v>0.0</v>
      </c>
      <c r="D11188" s="3">
        <v>1.0</v>
      </c>
      <c r="E11188" s="3">
        <v>0.0</v>
      </c>
      <c r="F11188" s="3" t="s">
        <v>31807</v>
      </c>
      <c r="G11188" s="3">
        <v>0.0</v>
      </c>
      <c r="H11188" s="3">
        <v>0.0</v>
      </c>
      <c r="I11188" s="3" t="s">
        <v>13</v>
      </c>
      <c r="J11188" s="3" t="s">
        <v>31808</v>
      </c>
      <c r="K11188" s="3" t="s">
        <v>1265</v>
      </c>
      <c r="L11188" s="3" t="str">
        <f>IFERROR(__xludf.DUMMYFUNCTION("GOOGLETRANSLATE(F11188,""id"",""en"")"),"Only the era of Dear Mr. Iwan Bule Argentina can return to the champion thank you Iwan Bule")</f>
        <v>Only the era of Dear Mr. Iwan Bule Argentina can return to the champion thank you Iwan Bule</v>
      </c>
    </row>
    <row r="11189" ht="15.75" customHeight="1">
      <c r="A11189" s="1">
        <v>12432.0</v>
      </c>
      <c r="B11189" s="3" t="s">
        <v>31809</v>
      </c>
      <c r="C11189" s="3">
        <v>0.0</v>
      </c>
      <c r="D11189" s="3">
        <v>0.0</v>
      </c>
      <c r="E11189" s="3">
        <v>0.0</v>
      </c>
      <c r="F11189" s="3" t="s">
        <v>31810</v>
      </c>
      <c r="G11189" s="3">
        <v>0.0</v>
      </c>
      <c r="H11189" s="3">
        <v>0.0</v>
      </c>
      <c r="I11189" s="3" t="s">
        <v>13</v>
      </c>
      <c r="J11189" s="3" t="s">
        <v>31811</v>
      </c>
      <c r="K11189" s="3" t="s">
        <v>510</v>
      </c>
      <c r="L11189" s="3" t="str">
        <f>IFERROR(__xludf.DUMMYFUNCTION("GOOGLETRANSLATE(F11189,""id"",""en"")"),"Lionel Messi Cristiano Ronaldo Debate Stamp Goat ended after Argentina World Cup Champion")</f>
        <v>Lionel Messi Cristiano Ronaldo Debate Stamp Goat ended after Argentina World Cup Champion</v>
      </c>
    </row>
    <row r="11190" ht="15.75" customHeight="1">
      <c r="A11190" s="1">
        <v>12433.0</v>
      </c>
      <c r="B11190" s="3" t="s">
        <v>31812</v>
      </c>
      <c r="C11190" s="3">
        <v>0.0</v>
      </c>
      <c r="D11190" s="3">
        <v>0.0</v>
      </c>
      <c r="E11190" s="3">
        <v>0.0</v>
      </c>
      <c r="F11190" s="3" t="s">
        <v>31813</v>
      </c>
      <c r="G11190" s="3">
        <v>0.0</v>
      </c>
      <c r="H11190" s="3">
        <v>0.0</v>
      </c>
      <c r="I11190" s="3" t="s">
        <v>13</v>
      </c>
      <c r="J11190" s="3" t="s">
        <v>31814</v>
      </c>
      <c r="K11190" s="3" t="s">
        <v>31</v>
      </c>
      <c r="L11190" s="3" t="str">
        <f>IFERROR(__xludf.DUMMYFUNCTION("GOOGLETRANSLATE(F11190,""id"",""en"")"),"Nethern Argentina Champion Congratsssss")</f>
        <v>Nethern Argentina Champion Congratsssss</v>
      </c>
    </row>
    <row r="11191" ht="15.75" customHeight="1">
      <c r="A11191" s="1">
        <v>12434.0</v>
      </c>
      <c r="B11191" s="3" t="s">
        <v>31815</v>
      </c>
      <c r="C11191" s="3">
        <v>0.0</v>
      </c>
      <c r="D11191" s="3">
        <v>0.0</v>
      </c>
      <c r="E11191" s="3">
        <v>3.0</v>
      </c>
      <c r="F11191" s="3" t="s">
        <v>31816</v>
      </c>
      <c r="G11191" s="3">
        <v>0.875</v>
      </c>
      <c r="H11191" s="3">
        <v>0.0</v>
      </c>
      <c r="I11191" s="3" t="s">
        <v>13</v>
      </c>
      <c r="J11191" s="3" t="s">
        <v>31817</v>
      </c>
      <c r="K11191" s="3" t="s">
        <v>1489</v>
      </c>
      <c r="L11191" s="3" t="str">
        <f>IFERROR(__xludf.DUMMYFUNCTION("GOOGLETRANSLATE(F11191,""id"",""en"")"),"Argentina as the World Cup champion will get a million cash prize for their football federation while France as a team that loses in the week will get millions of money obtained from the total FIFA Million Prize Funds")</f>
        <v>Argentina as the World Cup champion will get a million cash prize for their football federation while France as a team that loses in the week will get millions of money obtained from the total FIFA Million Prize Funds</v>
      </c>
    </row>
    <row r="11192" ht="15.75" customHeight="1">
      <c r="A11192" s="1">
        <v>12435.0</v>
      </c>
      <c r="B11192" s="3" t="s">
        <v>31818</v>
      </c>
      <c r="C11192" s="3">
        <v>0.0</v>
      </c>
      <c r="D11192" s="3">
        <v>0.0</v>
      </c>
      <c r="E11192" s="3">
        <v>1.0</v>
      </c>
      <c r="F11192" s="3" t="s">
        <v>31819</v>
      </c>
      <c r="G11192" s="3">
        <v>0.0</v>
      </c>
      <c r="H11192" s="3">
        <v>0.0</v>
      </c>
      <c r="I11192" s="3" t="s">
        <v>13</v>
      </c>
      <c r="J11192" s="3" t="s">
        <v>31820</v>
      </c>
      <c r="K11192" s="3" t="s">
        <v>31</v>
      </c>
      <c r="L11192" s="3" t="str">
        <f>IFERROR(__xludf.DUMMYFUNCTION("GOOGLETRANSLATE(F11192,""id"",""en"")"),"Argentina world champion but the winner of my heart is still him")</f>
        <v>Argentina world champion but the winner of my heart is still him</v>
      </c>
    </row>
    <row r="11193" ht="15.75" customHeight="1">
      <c r="A11193" s="1">
        <v>12436.0</v>
      </c>
      <c r="B11193" s="3" t="s">
        <v>31821</v>
      </c>
      <c r="C11193" s="3">
        <v>1.0</v>
      </c>
      <c r="D11193" s="3">
        <v>0.0</v>
      </c>
      <c r="E11193" s="3">
        <v>0.0</v>
      </c>
      <c r="F11193" s="3" t="s">
        <v>31822</v>
      </c>
      <c r="G11193" s="3">
        <v>0.0</v>
      </c>
      <c r="H11193" s="3">
        <v>0.0</v>
      </c>
      <c r="I11193" s="3" t="s">
        <v>13</v>
      </c>
      <c r="J11193" s="3" t="s">
        <v>31823</v>
      </c>
      <c r="K11193" s="3" t="s">
        <v>574</v>
      </c>
      <c r="L11193" s="3" t="str">
        <f>IFERROR(__xludf.DUMMYFUNCTION("GOOGLETRANSLATE(F11193,""id"",""en"")"),"Congratulations Bro and Argentina's brothers just don't be ashamed and forget to thank Saudi Arabia because they are the champions really still remember your first round")</f>
        <v>Congratulations Bro and Argentina's brothers just don't be ashamed and forget to thank Saudi Arabia because they are the champions really still remember your first round</v>
      </c>
    </row>
    <row r="11194" ht="15.75" customHeight="1">
      <c r="A11194" s="1">
        <v>12437.0</v>
      </c>
      <c r="B11194" s="3" t="s">
        <v>31824</v>
      </c>
      <c r="C11194" s="3">
        <v>1.0</v>
      </c>
      <c r="D11194" s="3">
        <v>12.0</v>
      </c>
      <c r="E11194" s="3">
        <v>122.0</v>
      </c>
      <c r="F11194" s="3" t="s">
        <v>31670</v>
      </c>
      <c r="G11194" s="3">
        <v>0.0</v>
      </c>
      <c r="H11194" s="3">
        <v>0.0</v>
      </c>
      <c r="I11194" s="3" t="s">
        <v>13</v>
      </c>
      <c r="J11194" s="3" t="s">
        <v>31671</v>
      </c>
      <c r="K11194" s="3" t="s">
        <v>15</v>
      </c>
      <c r="L11194" s="3" t="str">
        <f>IFERROR(__xludf.DUMMYFUNCTION("GOOGLETRANSLATE(F11194,""id"",""en"")"),"Argentina Sinar Video World Champion for Lusail Stadium")</f>
        <v>Argentina Sinar Video World Champion for Lusail Stadium</v>
      </c>
    </row>
    <row r="11195" ht="15.75" customHeight="1">
      <c r="A11195" s="1">
        <v>12438.0</v>
      </c>
      <c r="B11195" s="3" t="s">
        <v>31825</v>
      </c>
      <c r="C11195" s="3">
        <v>0.0</v>
      </c>
      <c r="D11195" s="3">
        <v>0.0</v>
      </c>
      <c r="E11195" s="3">
        <v>0.0</v>
      </c>
      <c r="F11195" s="3" t="s">
        <v>31826</v>
      </c>
      <c r="G11195" s="3">
        <v>0.5</v>
      </c>
      <c r="H11195" s="3">
        <v>0.5</v>
      </c>
      <c r="I11195" s="3" t="s">
        <v>48</v>
      </c>
      <c r="J11195" s="3" t="s">
        <v>31827</v>
      </c>
      <c r="K11195" s="3" t="s">
        <v>16803</v>
      </c>
      <c r="L11195" s="3" t="str">
        <f>IFERROR(__xludf.DUMMYFUNCTION("GOOGLETRANSLATE(F11195,""id"",""en"")"),"Argentina Champion Lifting World Cup Tropy Messi lifted the best trophy Mbappe Lifting Trophy Top Scorer Ronaldo left foot from")</f>
        <v>Argentina Champion Lifting World Cup Tropy Messi lifted the best trophy Mbappe Lifting Trophy Top Scorer Ronaldo left foot from</v>
      </c>
    </row>
    <row r="11196" ht="15.75" customHeight="1">
      <c r="A11196" s="1">
        <v>12439.0</v>
      </c>
      <c r="B11196" s="3" t="s">
        <v>31828</v>
      </c>
      <c r="C11196" s="3">
        <v>0.0</v>
      </c>
      <c r="D11196" s="3">
        <v>0.0</v>
      </c>
      <c r="E11196" s="3">
        <v>0.0</v>
      </c>
      <c r="F11196" s="3" t="s">
        <v>31829</v>
      </c>
      <c r="G11196" s="3">
        <v>0.0</v>
      </c>
      <c r="H11196" s="3">
        <v>0.0</v>
      </c>
      <c r="I11196" s="3" t="s">
        <v>13</v>
      </c>
      <c r="J11196" s="3" t="s">
        <v>31830</v>
      </c>
      <c r="K11196" s="3" t="s">
        <v>15</v>
      </c>
      <c r="L11196" s="3" t="str">
        <f>IFERROR(__xludf.DUMMYFUNCTION("GOOGLETRANSLATE(F11196,""id"",""en"")"),"Argentina is a good world champion for Messi to retire")</f>
        <v>Argentina is a good world champion for Messi to retire</v>
      </c>
    </row>
    <row r="11197" ht="15.75" customHeight="1">
      <c r="A11197" s="1">
        <v>12440.0</v>
      </c>
      <c r="B11197" s="3" t="s">
        <v>31831</v>
      </c>
      <c r="C11197" s="3">
        <v>0.0</v>
      </c>
      <c r="D11197" s="3">
        <v>0.0</v>
      </c>
      <c r="E11197" s="3">
        <v>0.0</v>
      </c>
      <c r="F11197" s="3" t="s">
        <v>31832</v>
      </c>
      <c r="G11197" s="3">
        <v>0.0</v>
      </c>
      <c r="H11197" s="3">
        <v>0.0</v>
      </c>
      <c r="I11197" s="3" t="s">
        <v>13</v>
      </c>
      <c r="J11197" s="3" t="s">
        <v>31833</v>
      </c>
      <c r="K11197" s="3" t="s">
        <v>437</v>
      </c>
      <c r="L11197" s="3" t="str">
        <f>IFERROR(__xludf.DUMMYFUNCTION("GOOGLETRANSLATE(F11197,""id"",""en"")"),"The celebration of Argentina did not know the manners thanks to the sports material and the chairman of the Argentine Football Federation became champions")</f>
        <v>The celebration of Argentina did not know the manners thanks to the sports material and the chairman of the Argentine Football Federation became champions</v>
      </c>
    </row>
    <row r="11198" ht="15.75" customHeight="1">
      <c r="A11198" s="1">
        <v>12441.0</v>
      </c>
      <c r="B11198" s="3" t="s">
        <v>31834</v>
      </c>
      <c r="C11198" s="3">
        <v>0.0</v>
      </c>
      <c r="D11198" s="3">
        <v>0.0</v>
      </c>
      <c r="E11198" s="3">
        <v>0.0</v>
      </c>
      <c r="F11198" s="3" t="s">
        <v>28288</v>
      </c>
      <c r="G11198" s="3">
        <v>0.0</v>
      </c>
      <c r="H11198" s="3">
        <v>0.0</v>
      </c>
      <c r="I11198" s="3" t="s">
        <v>13</v>
      </c>
      <c r="J11198" s="3" t="s">
        <v>28289</v>
      </c>
      <c r="K11198" s="3" t="s">
        <v>71</v>
      </c>
      <c r="L11198" s="3" t="str">
        <f>IFERROR(__xludf.DUMMYFUNCTION("GOOGLETRANSLATE(F11198,""id"",""en"")"),"Messi scored half a goal from Argentina World Cup Qatar brought back the FIFA World Cup championship")</f>
        <v>Messi scored half a goal from Argentina World Cup Qatar brought back the FIFA World Cup championship</v>
      </c>
    </row>
    <row r="11199" ht="15.75" customHeight="1">
      <c r="A11199" s="1">
        <v>12442.0</v>
      </c>
      <c r="B11199" s="3" t="s">
        <v>31835</v>
      </c>
      <c r="C11199" s="3">
        <v>0.0</v>
      </c>
      <c r="D11199" s="3">
        <v>0.0</v>
      </c>
      <c r="E11199" s="3">
        <v>0.0</v>
      </c>
      <c r="F11199" s="3" t="s">
        <v>28288</v>
      </c>
      <c r="G11199" s="3">
        <v>0.0</v>
      </c>
      <c r="H11199" s="3">
        <v>0.0</v>
      </c>
      <c r="I11199" s="3" t="s">
        <v>13</v>
      </c>
      <c r="J11199" s="3" t="s">
        <v>28289</v>
      </c>
      <c r="K11199" s="3" t="s">
        <v>71</v>
      </c>
      <c r="L11199" s="3" t="str">
        <f>IFERROR(__xludf.DUMMYFUNCTION("GOOGLETRANSLATE(F11199,""id"",""en"")"),"Messi scored half a goal from Argentina World Cup Qatar brought back the FIFA World Cup championship")</f>
        <v>Messi scored half a goal from Argentina World Cup Qatar brought back the FIFA World Cup championship</v>
      </c>
    </row>
    <row r="11200" ht="15.75" customHeight="1">
      <c r="A11200" s="1">
        <v>12443.0</v>
      </c>
      <c r="B11200" s="3" t="s">
        <v>31836</v>
      </c>
      <c r="C11200" s="3">
        <v>0.0</v>
      </c>
      <c r="D11200" s="3">
        <v>0.0</v>
      </c>
      <c r="E11200" s="3">
        <v>1.0</v>
      </c>
      <c r="F11200" s="3" t="s">
        <v>31837</v>
      </c>
      <c r="G11200" s="3">
        <v>1.0</v>
      </c>
      <c r="H11200" s="3">
        <v>0.0</v>
      </c>
      <c r="I11200" s="3" t="s">
        <v>13</v>
      </c>
      <c r="J11200" s="3" t="s">
        <v>31838</v>
      </c>
      <c r="K11200" s="3" t="s">
        <v>54</v>
      </c>
      <c r="L11200" s="3" t="str">
        <f>IFERROR(__xludf.DUMMYFUNCTION("GOOGLETRANSLATE(F11200,""id"",""en"")"),"Argentina won the World Cup final")</f>
        <v>Argentina won the World Cup final</v>
      </c>
    </row>
    <row r="11201" ht="15.75" customHeight="1">
      <c r="A11201" s="1">
        <v>12444.0</v>
      </c>
      <c r="B11201" s="3" t="s">
        <v>31839</v>
      </c>
      <c r="C11201" s="3">
        <v>0.0</v>
      </c>
      <c r="D11201" s="3">
        <v>0.0</v>
      </c>
      <c r="E11201" s="3">
        <v>0.0</v>
      </c>
      <c r="F11201" s="3" t="s">
        <v>28288</v>
      </c>
      <c r="G11201" s="3">
        <v>0.0</v>
      </c>
      <c r="H11201" s="3">
        <v>0.0</v>
      </c>
      <c r="I11201" s="3" t="s">
        <v>13</v>
      </c>
      <c r="J11201" s="3" t="s">
        <v>28289</v>
      </c>
      <c r="K11201" s="3" t="s">
        <v>71</v>
      </c>
      <c r="L11201" s="3" t="str">
        <f>IFERROR(__xludf.DUMMYFUNCTION("GOOGLETRANSLATE(F11201,""id"",""en"")"),"Messi scored half a goal from Argentina World Cup Qatar brought back the FIFA World Cup championship")</f>
        <v>Messi scored half a goal from Argentina World Cup Qatar brought back the FIFA World Cup championship</v>
      </c>
    </row>
    <row r="11202" ht="15.75" customHeight="1">
      <c r="A11202" s="1">
        <v>12445.0</v>
      </c>
      <c r="B11202" s="3" t="s">
        <v>31840</v>
      </c>
      <c r="C11202" s="3">
        <v>1.0</v>
      </c>
      <c r="D11202" s="3">
        <v>0.0</v>
      </c>
      <c r="E11202" s="3">
        <v>1.0</v>
      </c>
      <c r="F11202" s="3" t="s">
        <v>31841</v>
      </c>
      <c r="G11202" s="3">
        <v>0.0</v>
      </c>
      <c r="H11202" s="3">
        <v>0.0</v>
      </c>
      <c r="I11202" s="3" t="s">
        <v>13</v>
      </c>
      <c r="J11202" s="3" t="s">
        <v>31842</v>
      </c>
      <c r="K11202" s="3" t="s">
        <v>75</v>
      </c>
      <c r="L11202" s="3" t="str">
        <f>IFERROR(__xludf.DUMMYFUNCTION("GOOGLETRANSLATE(F11202,""id"",""en"")"),"Congratulations to the Argentine national team who officially became world champion in FIFA history of the year")</f>
        <v>Congratulations to the Argentine national team who officially became world champion in FIFA history of the year</v>
      </c>
    </row>
    <row r="11203" ht="15.75" customHeight="1">
      <c r="A11203" s="1">
        <v>12446.0</v>
      </c>
      <c r="B11203" s="3" t="s">
        <v>31843</v>
      </c>
      <c r="C11203" s="3">
        <v>0.0</v>
      </c>
      <c r="D11203" s="3">
        <v>0.0</v>
      </c>
      <c r="E11203" s="3">
        <v>0.0</v>
      </c>
      <c r="F11203" s="3" t="s">
        <v>28288</v>
      </c>
      <c r="G11203" s="3">
        <v>0.0</v>
      </c>
      <c r="H11203" s="3">
        <v>0.0</v>
      </c>
      <c r="I11203" s="3" t="s">
        <v>13</v>
      </c>
      <c r="J11203" s="3" t="s">
        <v>28289</v>
      </c>
      <c r="K11203" s="3" t="s">
        <v>71</v>
      </c>
      <c r="L11203" s="3" t="str">
        <f>IFERROR(__xludf.DUMMYFUNCTION("GOOGLETRANSLATE(F11203,""id"",""en"")"),"Messi scored half a goal from Argentina World Cup Qatar brought back the FIFA World Cup championship")</f>
        <v>Messi scored half a goal from Argentina World Cup Qatar brought back the FIFA World Cup championship</v>
      </c>
    </row>
    <row r="11204" ht="15.75" customHeight="1">
      <c r="A11204" s="1">
        <v>12447.0</v>
      </c>
      <c r="B11204" s="3" t="s">
        <v>31844</v>
      </c>
      <c r="C11204" s="3">
        <v>0.0</v>
      </c>
      <c r="D11204" s="3">
        <v>0.0</v>
      </c>
      <c r="E11204" s="3">
        <v>0.0</v>
      </c>
      <c r="F11204" s="3" t="s">
        <v>28288</v>
      </c>
      <c r="G11204" s="3">
        <v>0.0</v>
      </c>
      <c r="H11204" s="3">
        <v>0.0</v>
      </c>
      <c r="I11204" s="3" t="s">
        <v>13</v>
      </c>
      <c r="J11204" s="3" t="s">
        <v>28289</v>
      </c>
      <c r="K11204" s="3" t="s">
        <v>71</v>
      </c>
      <c r="L11204" s="3" t="str">
        <f>IFERROR(__xludf.DUMMYFUNCTION("GOOGLETRANSLATE(F11204,""id"",""en"")"),"Messi scored half a goal from Argentina World Cup Qatar brought back the FIFA World Cup championship")</f>
        <v>Messi scored half a goal from Argentina World Cup Qatar brought back the FIFA World Cup championship</v>
      </c>
    </row>
    <row r="11205" ht="15.75" customHeight="1">
      <c r="A11205" s="1">
        <v>12448.0</v>
      </c>
      <c r="B11205" s="3" t="s">
        <v>31845</v>
      </c>
      <c r="C11205" s="3">
        <v>0.0</v>
      </c>
      <c r="D11205" s="3">
        <v>0.0</v>
      </c>
      <c r="E11205" s="3">
        <v>0.0</v>
      </c>
      <c r="F11205" s="3" t="s">
        <v>28288</v>
      </c>
      <c r="G11205" s="3">
        <v>0.0</v>
      </c>
      <c r="H11205" s="3">
        <v>0.0</v>
      </c>
      <c r="I11205" s="3" t="s">
        <v>13</v>
      </c>
      <c r="J11205" s="3" t="s">
        <v>28289</v>
      </c>
      <c r="K11205" s="3" t="s">
        <v>71</v>
      </c>
      <c r="L11205" s="3" t="str">
        <f>IFERROR(__xludf.DUMMYFUNCTION("GOOGLETRANSLATE(F11205,""id"",""en"")"),"Messi scored half a goal from Argentina World Cup Qatar brought back the FIFA World Cup championship")</f>
        <v>Messi scored half a goal from Argentina World Cup Qatar brought back the FIFA World Cup championship</v>
      </c>
    </row>
    <row r="11206" ht="15.75" customHeight="1">
      <c r="A11206" s="1">
        <v>12449.0</v>
      </c>
      <c r="B11206" s="3" t="s">
        <v>31846</v>
      </c>
      <c r="C11206" s="3">
        <v>0.0</v>
      </c>
      <c r="D11206" s="3">
        <v>0.0</v>
      </c>
      <c r="E11206" s="3">
        <v>0.0</v>
      </c>
      <c r="F11206" s="3" t="s">
        <v>31847</v>
      </c>
      <c r="G11206" s="3">
        <v>0.0</v>
      </c>
      <c r="H11206" s="3">
        <v>0.0</v>
      </c>
      <c r="I11206" s="3" t="s">
        <v>13</v>
      </c>
      <c r="J11206" s="3" t="s">
        <v>31848</v>
      </c>
      <c r="K11206" s="3" t="s">
        <v>41</v>
      </c>
      <c r="L11206" s="3" t="str">
        <f>IFERROR(__xludf.DUMMYFUNCTION("GOOGLETRANSLATE(F11206,""id"",""en"")"),"Good morning for Argentina to win the Qatar World Cup")</f>
        <v>Good morning for Argentina to win the Qatar World Cup</v>
      </c>
    </row>
    <row r="11207" ht="15.75" customHeight="1">
      <c r="A11207" s="1">
        <v>12450.0</v>
      </c>
      <c r="B11207" s="3" t="s">
        <v>31849</v>
      </c>
      <c r="C11207" s="3">
        <v>1.0</v>
      </c>
      <c r="D11207" s="3">
        <v>0.0</v>
      </c>
      <c r="E11207" s="3">
        <v>1.0</v>
      </c>
      <c r="F11207" s="3" t="s">
        <v>31850</v>
      </c>
      <c r="G11207" s="3">
        <v>0.0</v>
      </c>
      <c r="H11207" s="3">
        <v>0.0</v>
      </c>
      <c r="I11207" s="3" t="s">
        <v>13</v>
      </c>
      <c r="J11207" s="3" t="s">
        <v>31851</v>
      </c>
      <c r="K11207" s="3" t="s">
        <v>477</v>
      </c>
      <c r="L11207" s="3" t="str">
        <f>IFERROR(__xludf.DUMMYFUNCTION("GOOGLETRANSLATE(F11207,""id"",""en"")"),"Argentina became champion when Jokowi became president salute")</f>
        <v>Argentina became champion when Jokowi became president salute</v>
      </c>
    </row>
    <row r="11208" ht="15.75" customHeight="1">
      <c r="A11208" s="1">
        <v>12451.0</v>
      </c>
      <c r="B11208" s="3" t="s">
        <v>31852</v>
      </c>
      <c r="C11208" s="3">
        <v>0.0</v>
      </c>
      <c r="D11208" s="3">
        <v>0.0</v>
      </c>
      <c r="E11208" s="3">
        <v>4.0</v>
      </c>
      <c r="F11208" s="3" t="s">
        <v>31853</v>
      </c>
      <c r="G11208" s="3">
        <v>0.0</v>
      </c>
      <c r="H11208" s="3">
        <v>0.0</v>
      </c>
      <c r="I11208" s="3" t="s">
        <v>13</v>
      </c>
      <c r="J11208" s="3" t="s">
        <v>31854</v>
      </c>
      <c r="K11208" s="3" t="s">
        <v>41</v>
      </c>
      <c r="L11208" s="3" t="str">
        <f>IFERROR(__xludf.DUMMYFUNCTION("GOOGLETRANSLATE(F11208,""id"",""en"")"),"Conclusion World Champion is Saudi Arabia because only that country can defeat Argentina")</f>
        <v>Conclusion World Champion is Saudi Arabia because only that country can defeat Argentina</v>
      </c>
    </row>
    <row r="11209" ht="15.75" customHeight="1">
      <c r="A11209" s="1">
        <v>12452.0</v>
      </c>
      <c r="B11209" s="3" t="s">
        <v>31855</v>
      </c>
      <c r="C11209" s="3">
        <v>0.0</v>
      </c>
      <c r="D11209" s="3">
        <v>0.0</v>
      </c>
      <c r="E11209" s="3">
        <v>1.0</v>
      </c>
      <c r="F11209" s="3" t="s">
        <v>31856</v>
      </c>
      <c r="G11209" s="3">
        <v>1.0</v>
      </c>
      <c r="H11209" s="3">
        <v>0.0</v>
      </c>
      <c r="I11209" s="3" t="s">
        <v>13</v>
      </c>
      <c r="J11209" s="3" t="s">
        <v>31857</v>
      </c>
      <c r="K11209" s="3" t="s">
        <v>510</v>
      </c>
      <c r="L11209" s="3" t="str">
        <f>IFERROR(__xludf.DUMMYFUNCTION("GOOGLETRANSLATE(F11209,""id"",""en"")"),"French World Cup Final Betting Agent is the defending champion but Argentina is now dangerous")</f>
        <v>French World Cup Final Betting Agent is the defending champion but Argentina is now dangerous</v>
      </c>
    </row>
    <row r="11210" ht="15.75" customHeight="1">
      <c r="A11210" s="1">
        <v>12453.0</v>
      </c>
      <c r="B11210" s="3" t="s">
        <v>31858</v>
      </c>
      <c r="C11210" s="3">
        <v>0.0</v>
      </c>
      <c r="D11210" s="3">
        <v>0.0</v>
      </c>
      <c r="E11210" s="3">
        <v>0.0</v>
      </c>
      <c r="F11210" s="3" t="s">
        <v>31859</v>
      </c>
      <c r="G11210" s="3">
        <v>0.0</v>
      </c>
      <c r="H11210" s="3">
        <v>0.0</v>
      </c>
      <c r="I11210" s="3" t="s">
        <v>13</v>
      </c>
      <c r="J11210" s="3" t="s">
        <v>31860</v>
      </c>
      <c r="K11210" s="3" t="s">
        <v>127</v>
      </c>
      <c r="L11210" s="3" t="str">
        <f>IFERROR(__xludf.DUMMYFUNCTION("GOOGLETRANSLATE(F11210,""id"",""en"")"),"The title presented by Messi with the first Argentina was to win the gold gold Olympics of the Copa America Finnalima and the World Cup")</f>
        <v>The title presented by Messi with the first Argentina was to win the gold gold Olympics of the Copa America Finnalima and the World Cup</v>
      </c>
    </row>
    <row r="11211" ht="15.75" customHeight="1">
      <c r="A11211" s="1">
        <v>12454.0</v>
      </c>
      <c r="B11211" s="3" t="s">
        <v>31861</v>
      </c>
      <c r="C11211" s="3">
        <v>0.0</v>
      </c>
      <c r="D11211" s="3">
        <v>0.0</v>
      </c>
      <c r="E11211" s="3">
        <v>0.0</v>
      </c>
      <c r="F11211" s="3" t="s">
        <v>31862</v>
      </c>
      <c r="G11211" s="3">
        <v>0.0</v>
      </c>
      <c r="H11211" s="3">
        <v>0.0</v>
      </c>
      <c r="I11211" s="3" t="s">
        <v>13</v>
      </c>
      <c r="J11211" s="3" t="s">
        <v>31863</v>
      </c>
      <c r="K11211" s="3" t="s">
        <v>942</v>
      </c>
      <c r="L11211" s="3" t="str">
        <f>IFERROR(__xludf.DUMMYFUNCTION("GOOGLETRANSLATE(F11211,""id"",""en"")"),"If Arabic can defeat Argentina, it means it's not the Arabic Boss champion but the champion is ahaha")</f>
        <v>If Arabic can defeat Argentina, it means it's not the Arabic Boss champion but the champion is ahaha</v>
      </c>
    </row>
    <row r="11212" ht="15.75" customHeight="1">
      <c r="A11212" s="1">
        <v>12455.0</v>
      </c>
      <c r="B11212" s="3" t="s">
        <v>31864</v>
      </c>
      <c r="C11212" s="3">
        <v>0.0</v>
      </c>
      <c r="D11212" s="3">
        <v>0.0</v>
      </c>
      <c r="E11212" s="3">
        <v>0.0</v>
      </c>
      <c r="F11212" s="3" t="s">
        <v>31865</v>
      </c>
      <c r="G11212" s="3">
        <v>0.0</v>
      </c>
      <c r="H11212" s="3">
        <v>0.0</v>
      </c>
      <c r="I11212" s="3" t="s">
        <v>13</v>
      </c>
      <c r="J11212" s="3" t="s">
        <v>31866</v>
      </c>
      <c r="K11212" s="3" t="s">
        <v>41</v>
      </c>
      <c r="L11212" s="3" t="str">
        <f>IFERROR(__xludf.DUMMYFUNCTION("GOOGLETRANSLATE(F11212,""id"",""en"")"),"When Diego made a story using Argentina jersey finally champion too Vamos")</f>
        <v>When Diego made a story using Argentina jersey finally champion too Vamos</v>
      </c>
    </row>
    <row r="11213" ht="15.75" customHeight="1">
      <c r="A11213" s="1">
        <v>12456.0</v>
      </c>
      <c r="B11213" s="3" t="s">
        <v>31867</v>
      </c>
      <c r="C11213" s="3">
        <v>0.0</v>
      </c>
      <c r="D11213" s="3">
        <v>0.0</v>
      </c>
      <c r="E11213" s="3">
        <v>0.0</v>
      </c>
      <c r="F11213" s="3" t="s">
        <v>31868</v>
      </c>
      <c r="G11213" s="3">
        <v>0.0</v>
      </c>
      <c r="H11213" s="3">
        <v>0.0</v>
      </c>
      <c r="I11213" s="3" t="s">
        <v>13</v>
      </c>
      <c r="J11213" s="3" t="s">
        <v>31869</v>
      </c>
      <c r="K11213" s="3" t="s">
        <v>41</v>
      </c>
      <c r="L11213" s="3" t="str">
        <f>IFERROR(__xludf.DUMMYFUNCTION("GOOGLETRANSLATE(F11213,""id"",""en"")"),"Wake up in surprise there's in, I forgot Argentina champion wkwk")</f>
        <v>Wake up in surprise there's in, I forgot Argentina champion wkwk</v>
      </c>
    </row>
    <row r="11214" ht="15.75" customHeight="1">
      <c r="A11214" s="1">
        <v>12457.0</v>
      </c>
      <c r="B11214" s="3" t="s">
        <v>31870</v>
      </c>
      <c r="C11214" s="3">
        <v>0.0</v>
      </c>
      <c r="D11214" s="3">
        <v>0.0</v>
      </c>
      <c r="E11214" s="3">
        <v>0.0</v>
      </c>
      <c r="F11214" s="3" t="s">
        <v>31871</v>
      </c>
      <c r="G11214" s="3">
        <v>0.0</v>
      </c>
      <c r="H11214" s="3">
        <v>0.0</v>
      </c>
      <c r="I11214" s="3" t="s">
        <v>13</v>
      </c>
      <c r="J11214" s="3" t="s">
        <v>31872</v>
      </c>
      <c r="K11214" s="3" t="s">
        <v>644</v>
      </c>
      <c r="L11214" s="3" t="str">
        <f>IFERROR(__xludf.DUMMYFUNCTION("GOOGLETRANSLATE(F11214,""id"",""en"")"),"the day the Argentina championship")</f>
        <v>the day the Argentina championship</v>
      </c>
    </row>
    <row r="11215" ht="15.75" customHeight="1">
      <c r="A11215" s="1">
        <v>12458.0</v>
      </c>
      <c r="B11215" s="3" t="s">
        <v>31873</v>
      </c>
      <c r="C11215" s="3">
        <v>0.0</v>
      </c>
      <c r="D11215" s="3">
        <v>0.0</v>
      </c>
      <c r="E11215" s="3">
        <v>0.0</v>
      </c>
      <c r="F11215" s="3" t="s">
        <v>31874</v>
      </c>
      <c r="G11215" s="3">
        <v>1.0</v>
      </c>
      <c r="H11215" s="3">
        <v>0.0</v>
      </c>
      <c r="I11215" s="3" t="s">
        <v>13</v>
      </c>
      <c r="J11215" s="3" t="s">
        <v>31875</v>
      </c>
      <c r="K11215" s="3" t="s">
        <v>75</v>
      </c>
      <c r="L11215" s="3" t="str">
        <f>IFERROR(__xludf.DUMMYFUNCTION("GOOGLETRANSLATE(F11215,""id"",""en"")"),"Argentina won the Qatar World Cup final, Messi broke the record")</f>
        <v>Argentina won the Qatar World Cup final, Messi broke the record</v>
      </c>
    </row>
    <row r="11216" ht="15.75" customHeight="1">
      <c r="A11216" s="1">
        <v>12459.0</v>
      </c>
      <c r="B11216" s="3" t="s">
        <v>31876</v>
      </c>
      <c r="C11216" s="3">
        <v>0.0</v>
      </c>
      <c r="D11216" s="3">
        <v>0.0</v>
      </c>
      <c r="E11216" s="3">
        <v>0.0</v>
      </c>
      <c r="F11216" s="3" t="s">
        <v>31877</v>
      </c>
      <c r="G11216" s="3">
        <v>0.06666666666666667</v>
      </c>
      <c r="H11216" s="3">
        <v>0.0</v>
      </c>
      <c r="I11216" s="3" t="s">
        <v>13</v>
      </c>
      <c r="J11216" s="3" t="s">
        <v>31878</v>
      </c>
      <c r="K11216" s="3" t="s">
        <v>510</v>
      </c>
      <c r="L11216" s="3" t="str">
        <f>IFERROR(__xludf.DUMMYFUNCTION("GOOGLETRANSLATE(F11216,""id"",""en"")"),"It used to be crowded with Argentina back to the beginning to lose to Saudi Arabia Last Last Team Champion")</f>
        <v>It used to be crowded with Argentina back to the beginning to lose to Saudi Arabia Last Last Team Champion</v>
      </c>
    </row>
    <row r="11217" ht="15.75" customHeight="1">
      <c r="A11217" s="1">
        <v>12460.0</v>
      </c>
      <c r="B11217" s="3" t="s">
        <v>31879</v>
      </c>
      <c r="C11217" s="3">
        <v>0.0</v>
      </c>
      <c r="D11217" s="3">
        <v>0.0</v>
      </c>
      <c r="E11217" s="3">
        <v>1.0</v>
      </c>
      <c r="F11217" s="3" t="s">
        <v>31880</v>
      </c>
      <c r="G11217" s="3">
        <v>0.0</v>
      </c>
      <c r="H11217" s="3">
        <v>0.0</v>
      </c>
      <c r="I11217" s="3" t="s">
        <v>13</v>
      </c>
      <c r="J11217" s="3" t="s">
        <v>31881</v>
      </c>
      <c r="K11217" s="3" t="s">
        <v>75</v>
      </c>
      <c r="L11217" s="3" t="str">
        <f>IFERROR(__xludf.DUMMYFUNCTION("GOOGLETRANSLATE(F11217,""id"",""en"")"),"Respect the same as Argentina because of the champion but the liet is really like this")</f>
        <v>Respect the same as Argentina because of the champion but the liet is really like this</v>
      </c>
    </row>
    <row r="11218" ht="15.75" customHeight="1">
      <c r="A11218" s="1">
        <v>12461.0</v>
      </c>
      <c r="B11218" s="3" t="s">
        <v>31882</v>
      </c>
      <c r="C11218" s="3">
        <v>0.0</v>
      </c>
      <c r="D11218" s="3">
        <v>0.0</v>
      </c>
      <c r="E11218" s="3">
        <v>0.0</v>
      </c>
      <c r="F11218" s="3" t="s">
        <v>31883</v>
      </c>
      <c r="G11218" s="3">
        <v>0.0</v>
      </c>
      <c r="H11218" s="3">
        <v>0.0</v>
      </c>
      <c r="I11218" s="3" t="s">
        <v>13</v>
      </c>
      <c r="J11218" s="3" t="s">
        <v>31884</v>
      </c>
      <c r="K11218" s="3" t="s">
        <v>574</v>
      </c>
      <c r="L11218" s="3" t="str">
        <f>IFERROR(__xludf.DUMMYFUNCTION("GOOGLETRANSLATE(F11218,""id"",""en"")"),"It's sad to see his struggle to hold France and it turns out that the ending of Argentina is the GPP champion for this time, I have had Messi Officially the Goat Allez Les Blues Allez")</f>
        <v>It's sad to see his struggle to hold France and it turns out that the ending of Argentina is the GPP champion for this time, I have had Messi Officially the Goat Allez Les Blues Allez</v>
      </c>
    </row>
    <row r="11219" ht="15.75" customHeight="1">
      <c r="A11219" s="1">
        <v>12462.0</v>
      </c>
      <c r="B11219" s="3" t="s">
        <v>31885</v>
      </c>
      <c r="C11219" s="3">
        <v>0.0</v>
      </c>
      <c r="D11219" s="3">
        <v>0.0</v>
      </c>
      <c r="E11219" s="3">
        <v>0.0</v>
      </c>
      <c r="F11219" s="3" t="s">
        <v>31886</v>
      </c>
      <c r="G11219" s="3">
        <v>1.0</v>
      </c>
      <c r="H11219" s="3">
        <v>0.0</v>
      </c>
      <c r="I11219" s="3" t="s">
        <v>13</v>
      </c>
      <c r="J11219" s="3" t="s">
        <v>31887</v>
      </c>
      <c r="K11219" s="3" t="s">
        <v>236</v>
      </c>
      <c r="L11219" s="3" t="str">
        <f>IFERROR(__xludf.DUMMYFUNCTION("GOOGLETRANSLATE(F11219,""id"",""en"")"),"who entered the final of Argentina with France who won Argentina but why Ronaldo was highlighted by the media")</f>
        <v>who entered the final of Argentina with France who won Argentina but why Ronaldo was highlighted by the media</v>
      </c>
    </row>
    <row r="11220" ht="15.75" customHeight="1">
      <c r="A11220" s="1">
        <v>12463.0</v>
      </c>
      <c r="B11220" s="3" t="s">
        <v>31888</v>
      </c>
      <c r="C11220" s="3">
        <v>0.0</v>
      </c>
      <c r="D11220" s="3">
        <v>0.0</v>
      </c>
      <c r="E11220" s="3">
        <v>0.0</v>
      </c>
      <c r="F11220" s="3" t="s">
        <v>31889</v>
      </c>
      <c r="G11220" s="3">
        <v>0.9</v>
      </c>
      <c r="H11220" s="3">
        <v>0.6000000000000001</v>
      </c>
      <c r="I11220" s="3" t="s">
        <v>48</v>
      </c>
      <c r="J11220" s="3" t="s">
        <v>31890</v>
      </c>
      <c r="K11220" s="3" t="s">
        <v>644</v>
      </c>
      <c r="L11220" s="3" t="str">
        <f>IFERROR(__xludf.DUMMYFUNCTION("GOOGLETRANSLATE(F11220,""id"",""en"")"),"Happy champion for amazing")</f>
        <v>Happy champion for amazing</v>
      </c>
    </row>
    <row r="11221" ht="15.75" customHeight="1">
      <c r="A11221" s="1">
        <v>12464.0</v>
      </c>
      <c r="B11221" s="3" t="s">
        <v>31891</v>
      </c>
      <c r="C11221" s="3">
        <v>0.0</v>
      </c>
      <c r="D11221" s="3">
        <v>0.0</v>
      </c>
      <c r="E11221" s="3">
        <v>0.0</v>
      </c>
      <c r="F11221" s="3" t="s">
        <v>31892</v>
      </c>
      <c r="G11221" s="3">
        <v>0.0</v>
      </c>
      <c r="H11221" s="3">
        <v>0.0</v>
      </c>
      <c r="I11221" s="3" t="s">
        <v>13</v>
      </c>
      <c r="J11221" s="3" t="s">
        <v>31893</v>
      </c>
      <c r="K11221" s="3" t="s">
        <v>15</v>
      </c>
      <c r="L11221" s="3" t="str">
        <f>IFERROR(__xludf.DUMMYFUNCTION("GOOGLETRANSLATE(F11221,""id"",""en"")"),"Argentina The World Cup Champion defeated France Adu penalty")</f>
        <v>Argentina The World Cup Champion defeated France Adu penalty</v>
      </c>
    </row>
    <row r="11222" ht="15.75" customHeight="1">
      <c r="A11222" s="1">
        <v>12465.0</v>
      </c>
      <c r="B11222" s="3" t="s">
        <v>31894</v>
      </c>
      <c r="C11222" s="3">
        <v>0.0</v>
      </c>
      <c r="D11222" s="3">
        <v>0.0</v>
      </c>
      <c r="E11222" s="3">
        <v>2.0</v>
      </c>
      <c r="F11222" s="3" t="s">
        <v>31895</v>
      </c>
      <c r="G11222" s="3">
        <v>0.0</v>
      </c>
      <c r="H11222" s="3">
        <v>0.0</v>
      </c>
      <c r="I11222" s="3" t="s">
        <v>13</v>
      </c>
      <c r="J11222" s="3" t="s">
        <v>31896</v>
      </c>
      <c r="K11222" s="3" t="s">
        <v>75</v>
      </c>
      <c r="L11222" s="3" t="str">
        <f>IFERROR(__xludf.DUMMYFUNCTION("GOOGLETRANSLATE(F11222,""id"",""en"")"),"Lionel Scaloni's Profile The Youngest Coach Bring Argentina World Cup Champion")</f>
        <v>Lionel Scaloni's Profile The Youngest Coach Bring Argentina World Cup Champion</v>
      </c>
    </row>
    <row r="11223" ht="15.75" customHeight="1">
      <c r="A11223" s="1">
        <v>12466.0</v>
      </c>
      <c r="B11223" s="3" t="s">
        <v>31897</v>
      </c>
      <c r="C11223" s="3">
        <v>0.0</v>
      </c>
      <c r="D11223" s="3">
        <v>0.0</v>
      </c>
      <c r="E11223" s="3">
        <v>0.0</v>
      </c>
      <c r="F11223" s="3" t="s">
        <v>31898</v>
      </c>
      <c r="G11223" s="3">
        <v>0.0</v>
      </c>
      <c r="H11223" s="3">
        <v>0.0</v>
      </c>
      <c r="I11223" s="3" t="s">
        <v>13</v>
      </c>
      <c r="J11223" s="3" t="s">
        <v>31899</v>
      </c>
      <c r="K11223" s="3" t="s">
        <v>54</v>
      </c>
      <c r="L11223" s="3" t="str">
        <f>IFERROR(__xludf.DUMMYFUNCTION("GOOGLETRANSLATE(F11223,""id"",""en"")"),"Also said what Argentina was the World Cup champion")</f>
        <v>Also said what Argentina was the World Cup champion</v>
      </c>
    </row>
    <row r="11224" ht="15.75" customHeight="1">
      <c r="A11224" s="1">
        <v>12467.0</v>
      </c>
      <c r="B11224" s="3" t="s">
        <v>31900</v>
      </c>
      <c r="C11224" s="3">
        <v>0.0</v>
      </c>
      <c r="D11224" s="3">
        <v>0.0</v>
      </c>
      <c r="E11224" s="3">
        <v>0.0</v>
      </c>
      <c r="F11224" s="3" t="s">
        <v>31901</v>
      </c>
      <c r="G11224" s="3">
        <v>0.0</v>
      </c>
      <c r="H11224" s="3">
        <v>0.0</v>
      </c>
      <c r="I11224" s="3" t="s">
        <v>13</v>
      </c>
      <c r="J11224" s="3" t="s">
        <v>31902</v>
      </c>
      <c r="K11224" s="3" t="s">
        <v>75</v>
      </c>
      <c r="L11224" s="3" t="str">
        <f>IFERROR(__xludf.DUMMYFUNCTION("GOOGLETRANSLATE(F11224,""id"",""en"")"),"Argentina Champion World Cup Bima Call Lionel Messi Best Player")</f>
        <v>Argentina Champion World Cup Bima Call Lionel Messi Best Player</v>
      </c>
    </row>
    <row r="11225" ht="15.75" customHeight="1">
      <c r="A11225" s="1">
        <v>12468.0</v>
      </c>
      <c r="B11225" s="3" t="s">
        <v>31903</v>
      </c>
      <c r="C11225" s="3">
        <v>4.0</v>
      </c>
      <c r="D11225" s="3">
        <v>0.0</v>
      </c>
      <c r="E11225" s="3">
        <v>0.0</v>
      </c>
      <c r="F11225" s="3" t="s">
        <v>31904</v>
      </c>
      <c r="G11225" s="3">
        <v>0.0</v>
      </c>
      <c r="H11225" s="3">
        <v>0.0</v>
      </c>
      <c r="I11225" s="3" t="s">
        <v>13</v>
      </c>
      <c r="J11225" s="3" t="s">
        <v>31905</v>
      </c>
      <c r="K11225" s="3" t="s">
        <v>433</v>
      </c>
      <c r="L11225" s="3" t="str">
        <f>IFERROR(__xludf.DUMMYFUNCTION("GOOGLETRANSLATE(F11225,""id"",""en"")"),"Lawas indeed brought bad luck he did not give a big contribution to bring Argentina to the long champion compared to Alvarez too")</f>
        <v>Lawas indeed brought bad luck he did not give a big contribution to bring Argentina to the long champion compared to Alvarez too</v>
      </c>
    </row>
    <row r="11226" ht="15.75" customHeight="1">
      <c r="A11226" s="1">
        <v>12469.0</v>
      </c>
      <c r="B11226" s="3" t="s">
        <v>31906</v>
      </c>
      <c r="C11226" s="3">
        <v>0.0</v>
      </c>
      <c r="D11226" s="3">
        <v>0.0</v>
      </c>
      <c r="E11226" s="3">
        <v>0.0</v>
      </c>
      <c r="F11226" s="3" t="s">
        <v>31907</v>
      </c>
      <c r="G11226" s="3">
        <v>0.0</v>
      </c>
      <c r="H11226" s="3">
        <v>0.0</v>
      </c>
      <c r="I11226" s="3" t="s">
        <v>13</v>
      </c>
      <c r="J11226" s="3" t="s">
        <v>31908</v>
      </c>
      <c r="K11226" s="3" t="s">
        <v>41</v>
      </c>
      <c r="L11226" s="3" t="str">
        <f>IFERROR(__xludf.DUMMYFUNCTION("GOOGLETRANSLATE(F11226,""id"",""en"")"),"Bringing Argentina to Champion World Cup Messi claimed not to want to retire")</f>
        <v>Bringing Argentina to Champion World Cup Messi claimed not to want to retire</v>
      </c>
    </row>
    <row r="11227" ht="15.75" customHeight="1">
      <c r="A11227" s="1">
        <v>12470.0</v>
      </c>
      <c r="B11227" s="3" t="s">
        <v>31909</v>
      </c>
      <c r="C11227" s="3">
        <v>0.0</v>
      </c>
      <c r="D11227" s="3">
        <v>0.0</v>
      </c>
      <c r="E11227" s="3">
        <v>0.0</v>
      </c>
      <c r="F11227" s="3" t="s">
        <v>31910</v>
      </c>
      <c r="G11227" s="3">
        <v>0.0</v>
      </c>
      <c r="H11227" s="3">
        <v>0.0</v>
      </c>
      <c r="I11227" s="3" t="s">
        <v>13</v>
      </c>
      <c r="J11227" s="3" t="s">
        <v>31911</v>
      </c>
      <c r="K11227" s="3" t="s">
        <v>75</v>
      </c>
      <c r="L11227" s="3" t="str">
        <f>IFERROR(__xludf.DUMMYFUNCTION("GOOGLETRANSLATE(F11227,""id"",""en"")"),"Argentina prize champion World Cup can eat meatballs in West Java Province")</f>
        <v>Argentina prize champion World Cup can eat meatballs in West Java Province</v>
      </c>
    </row>
    <row r="11228" ht="15.75" customHeight="1">
      <c r="A11228" s="1">
        <v>12471.0</v>
      </c>
      <c r="B11228" s="3" t="s">
        <v>31912</v>
      </c>
      <c r="C11228" s="3">
        <v>0.0</v>
      </c>
      <c r="D11228" s="3">
        <v>0.0</v>
      </c>
      <c r="E11228" s="3">
        <v>0.0</v>
      </c>
      <c r="F11228" s="3" t="s">
        <v>31913</v>
      </c>
      <c r="G11228" s="3">
        <v>0.0</v>
      </c>
      <c r="H11228" s="3">
        <v>0.0</v>
      </c>
      <c r="I11228" s="3" t="s">
        <v>13</v>
      </c>
      <c r="J11228" s="3" t="s">
        <v>31914</v>
      </c>
      <c r="K11228" s="3" t="s">
        <v>644</v>
      </c>
      <c r="L11228" s="3" t="str">
        <f>IFERROR(__xludf.DUMMYFUNCTION("GOOGLETRANSLATE(F11228,""id"",""en"")"),"Argentina Mbappe World Champion")</f>
        <v>Argentina Mbappe World Champion</v>
      </c>
    </row>
    <row r="11229" ht="15.75" customHeight="1">
      <c r="A11229" s="1">
        <v>12472.0</v>
      </c>
      <c r="B11229" s="3" t="s">
        <v>31915</v>
      </c>
      <c r="C11229" s="3">
        <v>0.0</v>
      </c>
      <c r="D11229" s="3">
        <v>0.0</v>
      </c>
      <c r="E11229" s="3">
        <v>0.0</v>
      </c>
      <c r="F11229" s="3" t="s">
        <v>31916</v>
      </c>
      <c r="G11229" s="3">
        <v>0.0</v>
      </c>
      <c r="H11229" s="3">
        <v>0.0</v>
      </c>
      <c r="I11229" s="3" t="s">
        <v>13</v>
      </c>
      <c r="J11229" s="3" t="s">
        <v>31917</v>
      </c>
      <c r="K11229" s="3" t="s">
        <v>633</v>
      </c>
      <c r="L11229" s="3" t="str">
        <f>IFERROR(__xludf.DUMMYFUNCTION("GOOGLETRANSLATE(F11229,""id"",""en"")"),"Argentina's husband is very happy to win, I know that his wife is holding France in the eighth of the eighth")</f>
        <v>Argentina's husband is very happy to win, I know that his wife is holding France in the eighth of the eighth</v>
      </c>
    </row>
    <row r="11230" ht="15.75" customHeight="1">
      <c r="A11230" s="1">
        <v>12473.0</v>
      </c>
      <c r="B11230" s="3" t="s">
        <v>31918</v>
      </c>
      <c r="C11230" s="3">
        <v>0.0</v>
      </c>
      <c r="D11230" s="3">
        <v>0.0</v>
      </c>
      <c r="E11230" s="3">
        <v>0.0</v>
      </c>
      <c r="F11230" s="3" t="s">
        <v>31919</v>
      </c>
      <c r="G11230" s="3">
        <v>1.0</v>
      </c>
      <c r="H11230" s="3">
        <v>0.0</v>
      </c>
      <c r="I11230" s="3" t="s">
        <v>13</v>
      </c>
      <c r="J11230" s="3" t="s">
        <v>31920</v>
      </c>
      <c r="K11230" s="3" t="s">
        <v>715</v>
      </c>
      <c r="L11230" s="3" t="str">
        <f>IFERROR(__xludf.DUMMYFUNCTION("GOOGLETRANSLATE(F11230,""id"",""en"")"),"Apart from Argentina's journey to the final which I think Awagan wkwk but both France and Agegen deserve to be final and Argentina is indeed worthy of championship")</f>
        <v>Apart from Argentina's journey to the final which I think Awagan wkwk but both France and Agegen deserve to be final and Argentina is indeed worthy of championship</v>
      </c>
    </row>
    <row r="11231" ht="15.75" customHeight="1">
      <c r="A11231" s="1">
        <v>12474.0</v>
      </c>
      <c r="B11231" s="3" t="s">
        <v>31921</v>
      </c>
      <c r="C11231" s="3">
        <v>1.0</v>
      </c>
      <c r="D11231" s="3">
        <v>0.0</v>
      </c>
      <c r="E11231" s="3">
        <v>1.0</v>
      </c>
      <c r="F11231" s="3" t="s">
        <v>31922</v>
      </c>
      <c r="G11231" s="3">
        <v>0.0</v>
      </c>
      <c r="H11231" s="3">
        <v>0.0</v>
      </c>
      <c r="I11231" s="3" t="s">
        <v>13</v>
      </c>
      <c r="J11231" s="3" t="s">
        <v>31923</v>
      </c>
      <c r="K11231" s="3" t="s">
        <v>54</v>
      </c>
      <c r="L11231" s="3" t="str">
        <f>IFERROR(__xludf.DUMMYFUNCTION("GOOGLETRANSLATE(F11231,""id"",""en"")"),"Monday morning and still carried away by the Argentine atmosphere of the championship")</f>
        <v>Monday morning and still carried away by the Argentine atmosphere of the championship</v>
      </c>
    </row>
    <row r="11232" ht="15.75" customHeight="1">
      <c r="A11232" s="1">
        <v>12475.0</v>
      </c>
      <c r="B11232" s="3" t="s">
        <v>31924</v>
      </c>
      <c r="C11232" s="3">
        <v>0.0</v>
      </c>
      <c r="D11232" s="3">
        <v>0.0</v>
      </c>
      <c r="E11232" s="3">
        <v>0.0</v>
      </c>
      <c r="F11232" s="3" t="s">
        <v>31925</v>
      </c>
      <c r="G11232" s="3">
        <v>0.55</v>
      </c>
      <c r="H11232" s="3">
        <v>0.35</v>
      </c>
      <c r="I11232" s="3" t="s">
        <v>48</v>
      </c>
      <c r="J11232" s="3" t="s">
        <v>31926</v>
      </c>
      <c r="K11232" s="3" t="s">
        <v>2454</v>
      </c>
      <c r="L11232" s="3" t="str">
        <f>IFERROR(__xludf.DUMMYFUNCTION("GOOGLETRANSLATE(F11232,""id"",""en"")"),"Spotify Promo Price Full Link Guarantee There is Bio Maria Deschamps YOUNG DAY AGENTINA MESSI World Cup Ronaldo Maradona Lloris Strong holding Shari'a So Mark Lee's Da'wah Attack")</f>
        <v>Spotify Promo Price Full Link Guarantee There is Bio Maria Deschamps YOUNG DAY AGENTINA MESSI World Cup Ronaldo Maradona Lloris Strong holding Shari'a So Mark Lee's Da'wah Attack</v>
      </c>
    </row>
    <row r="11233" ht="15.75" customHeight="1">
      <c r="A11233" s="1">
        <v>12476.0</v>
      </c>
      <c r="B11233" s="3" t="s">
        <v>31927</v>
      </c>
      <c r="C11233" s="3">
        <v>0.0</v>
      </c>
      <c r="D11233" s="3">
        <v>0.0</v>
      </c>
      <c r="E11233" s="3">
        <v>0.0</v>
      </c>
      <c r="F11233" s="3" t="s">
        <v>31928</v>
      </c>
      <c r="G11233" s="3">
        <v>0.6</v>
      </c>
      <c r="H11233" s="3">
        <v>-0.3</v>
      </c>
      <c r="I11233" s="3" t="s">
        <v>179</v>
      </c>
      <c r="J11233" s="3" t="s">
        <v>31929</v>
      </c>
      <c r="K11233" s="3" t="s">
        <v>695</v>
      </c>
      <c r="L11233" s="3" t="str">
        <f>IFERROR(__xludf.DUMMYFUNCTION("GOOGLETRANSLATE(F11233,""id"",""en"")"),"duh last night, how come the chairman of PSSI and the Menpora Argentina adopted the trophy, what the heck even though the world cup champion but didn't take the opportunity")</f>
        <v>duh last night, how come the chairman of PSSI and the Menpora Argentina adopted the trophy, what the heck even though the world cup champion but didn't take the opportunity</v>
      </c>
    </row>
    <row r="11234" ht="15.75" customHeight="1">
      <c r="A11234" s="1">
        <v>12477.0</v>
      </c>
      <c r="B11234" s="3" t="s">
        <v>31930</v>
      </c>
      <c r="C11234" s="3">
        <v>0.0</v>
      </c>
      <c r="D11234" s="3">
        <v>0.0</v>
      </c>
      <c r="E11234" s="3">
        <v>0.0</v>
      </c>
      <c r="F11234" s="3" t="s">
        <v>31931</v>
      </c>
      <c r="G11234" s="3">
        <v>0.0</v>
      </c>
      <c r="H11234" s="3">
        <v>0.0</v>
      </c>
      <c r="I11234" s="3" t="s">
        <v>13</v>
      </c>
      <c r="J11234" s="3" t="s">
        <v>31932</v>
      </c>
      <c r="K11234" s="3" t="s">
        <v>41</v>
      </c>
      <c r="L11234" s="3" t="str">
        <f>IFERROR(__xludf.DUMMYFUNCTION("GOOGLETRANSLATE(F11234,""id"",""en"")"),"Argentina Champion World Cup Lionel Messi Flood Praise from Citizens")</f>
        <v>Argentina Champion World Cup Lionel Messi Flood Praise from Citizens</v>
      </c>
    </row>
    <row r="11235" ht="15.75" customHeight="1">
      <c r="A11235" s="1">
        <v>12478.0</v>
      </c>
      <c r="B11235" s="3" t="s">
        <v>31933</v>
      </c>
      <c r="C11235" s="3">
        <v>0.0</v>
      </c>
      <c r="D11235" s="3">
        <v>0.0</v>
      </c>
      <c r="E11235" s="3">
        <v>0.0</v>
      </c>
      <c r="F11235" s="3" t="s">
        <v>31934</v>
      </c>
      <c r="G11235" s="3">
        <v>0.0</v>
      </c>
      <c r="H11235" s="3">
        <v>0.0</v>
      </c>
      <c r="I11235" s="3" t="s">
        <v>13</v>
      </c>
      <c r="J11235" s="3" t="s">
        <v>31935</v>
      </c>
      <c r="K11235" s="3" t="s">
        <v>82</v>
      </c>
      <c r="L11235" s="3" t="str">
        <f>IFERROR(__xludf.DUMMYFUNCTION("GOOGLETRANSLATE(F11235,""id"",""en"")"),"Happy Football World Champion for Argentina")</f>
        <v>Happy Football World Champion for Argentina</v>
      </c>
    </row>
    <row r="11236" ht="15.75" customHeight="1">
      <c r="A11236" s="1">
        <v>12479.0</v>
      </c>
      <c r="B11236" s="3" t="s">
        <v>31936</v>
      </c>
      <c r="C11236" s="3">
        <v>0.0</v>
      </c>
      <c r="D11236" s="3">
        <v>0.0</v>
      </c>
      <c r="E11236" s="3">
        <v>0.0</v>
      </c>
      <c r="F11236" s="3" t="s">
        <v>31937</v>
      </c>
      <c r="G11236" s="3">
        <v>0.0</v>
      </c>
      <c r="H11236" s="3">
        <v>0.0</v>
      </c>
      <c r="I11236" s="3" t="s">
        <v>13</v>
      </c>
      <c r="J11236" s="3" t="s">
        <v>31938</v>
      </c>
      <c r="K11236" s="3" t="s">
        <v>15</v>
      </c>
      <c r="L11236" s="3" t="str">
        <f>IFERROR(__xludf.DUMMYFUNCTION("GOOGLETRANSLATE(F11236,""id"",""en"")"),"Argentina Champion World Cup Messi Lapped The Goat")</f>
        <v>Argentina Champion World Cup Messi Lapped The Goat</v>
      </c>
    </row>
    <row r="11237" ht="15.75" customHeight="1">
      <c r="A11237" s="1">
        <v>12480.0</v>
      </c>
      <c r="B11237" s="3" t="s">
        <v>31939</v>
      </c>
      <c r="C11237" s="3">
        <v>0.0</v>
      </c>
      <c r="D11237" s="3">
        <v>0.0</v>
      </c>
      <c r="E11237" s="3">
        <v>0.0</v>
      </c>
      <c r="F11237" s="3" t="s">
        <v>31940</v>
      </c>
      <c r="G11237" s="3">
        <v>0.0</v>
      </c>
      <c r="H11237" s="3">
        <v>0.0</v>
      </c>
      <c r="I11237" s="3" t="s">
        <v>13</v>
      </c>
      <c r="J11237" s="3" t="s">
        <v>31941</v>
      </c>
      <c r="K11237" s="3" t="s">
        <v>75</v>
      </c>
      <c r="L11237" s="3" t="str">
        <f>IFERROR(__xludf.DUMMYFUNCTION("GOOGLETRANSLATE(F11237,""id"",""en"")"),"Argentina Champion World Cup Pele sentence for Messi Mbappe please compare")</f>
        <v>Argentina Champion World Cup Pele sentence for Messi Mbappe please compare</v>
      </c>
    </row>
    <row r="11238" ht="15.75" customHeight="1">
      <c r="A11238" s="1">
        <v>12481.0</v>
      </c>
      <c r="B11238" s="3" t="s">
        <v>31942</v>
      </c>
      <c r="C11238" s="3">
        <v>0.0</v>
      </c>
      <c r="D11238" s="3">
        <v>0.0</v>
      </c>
      <c r="E11238" s="3">
        <v>0.0</v>
      </c>
      <c r="F11238" s="3" t="s">
        <v>31943</v>
      </c>
      <c r="G11238" s="3">
        <v>0.0</v>
      </c>
      <c r="H11238" s="3">
        <v>0.0</v>
      </c>
      <c r="I11238" s="3" t="s">
        <v>13</v>
      </c>
      <c r="J11238" s="3" t="s">
        <v>31944</v>
      </c>
      <c r="K11238" s="3" t="s">
        <v>437</v>
      </c>
      <c r="L11238" s="3" t="str">
        <f>IFERROR(__xludf.DUMMYFUNCTION("GOOGLETRANSLATE(F11238,""id"",""en"")"),"Before Mbappre print the first penalty goals the game was entirely for Messi and Argentina they dominated Argentina MMG deserved to be superior and champions")</f>
        <v>Before Mbappre print the first penalty goals the game was entirely for Messi and Argentina they dominated Argentina MMG deserved to be superior and champions</v>
      </c>
    </row>
    <row r="11239" ht="15.75" customHeight="1">
      <c r="A11239" s="1">
        <v>12482.0</v>
      </c>
      <c r="B11239" s="3" t="s">
        <v>31945</v>
      </c>
      <c r="C11239" s="3">
        <v>0.0</v>
      </c>
      <c r="D11239" s="3">
        <v>0.0</v>
      </c>
      <c r="E11239" s="3">
        <v>0.0</v>
      </c>
      <c r="F11239" s="3" t="s">
        <v>31946</v>
      </c>
      <c r="G11239" s="3">
        <v>0.0</v>
      </c>
      <c r="H11239" s="3">
        <v>0.0</v>
      </c>
      <c r="I11239" s="3" t="s">
        <v>13</v>
      </c>
      <c r="J11239" s="3" t="s">
        <v>31947</v>
      </c>
      <c r="K11239" s="3" t="s">
        <v>41</v>
      </c>
      <c r="L11239" s="3" t="str">
        <f>IFERROR(__xludf.DUMMYFUNCTION("GOOGLETRANSLATE(F11239,""id"",""en"")"),"Hands of Tesilahu, Mehantam Wall because of the happy Argentina championship")</f>
        <v>Hands of Tesilahu, Mehantam Wall because of the happy Argentina championship</v>
      </c>
    </row>
    <row r="11240" ht="15.75" customHeight="1">
      <c r="A11240" s="1">
        <v>12483.0</v>
      </c>
      <c r="B11240" s="3" t="s">
        <v>31948</v>
      </c>
      <c r="C11240" s="3">
        <v>0.0</v>
      </c>
      <c r="D11240" s="3">
        <v>0.0</v>
      </c>
      <c r="E11240" s="3">
        <v>0.0</v>
      </c>
      <c r="F11240" s="3" t="s">
        <v>31949</v>
      </c>
      <c r="G11240" s="3">
        <v>0.0</v>
      </c>
      <c r="H11240" s="3">
        <v>0.0</v>
      </c>
      <c r="I11240" s="3" t="s">
        <v>13</v>
      </c>
      <c r="J11240" s="3" t="s">
        <v>31950</v>
      </c>
      <c r="K11240" s="3" t="s">
        <v>82</v>
      </c>
      <c r="L11240" s="3" t="str">
        <f>IFERROR(__xludf.DUMMYFUNCTION("GOOGLETRANSLATE(F11240,""id"",""en"")"),"Argentina is champion but mbappee is really crazy about agreeing")</f>
        <v>Argentina is champion but mbappee is really crazy about agreeing</v>
      </c>
    </row>
    <row r="11241" ht="15.75" customHeight="1">
      <c r="A11241" s="1">
        <v>12484.0</v>
      </c>
      <c r="B11241" s="3" t="s">
        <v>31951</v>
      </c>
      <c r="C11241" s="3">
        <v>53.0</v>
      </c>
      <c r="D11241" s="3">
        <v>37.0</v>
      </c>
      <c r="E11241" s="3">
        <v>403.0</v>
      </c>
      <c r="F11241" s="3" t="s">
        <v>31952</v>
      </c>
      <c r="G11241" s="3">
        <v>0.0</v>
      </c>
      <c r="H11241" s="3">
        <v>0.0</v>
      </c>
      <c r="I11241" s="3" t="s">
        <v>13</v>
      </c>
      <c r="J11241" s="3" t="s">
        <v>31953</v>
      </c>
      <c r="K11241" s="3" t="s">
        <v>19</v>
      </c>
      <c r="L11241" s="3" t="str">
        <f>IFERROR(__xludf.DUMMYFUNCTION("GOOGLETRANSLATE(F11241,""id"",""en"")"),"long wait during the new year era Pak Jokowi Argentina Champion World Cup again")</f>
        <v>long wait during the new year era Pak Jokowi Argentina Champion World Cup again</v>
      </c>
    </row>
    <row r="11242" ht="15.75" customHeight="1">
      <c r="A11242" s="1">
        <v>12485.0</v>
      </c>
      <c r="B11242" s="3" t="s">
        <v>31954</v>
      </c>
      <c r="C11242" s="3">
        <v>1.0</v>
      </c>
      <c r="D11242" s="3">
        <v>3.0</v>
      </c>
      <c r="E11242" s="3">
        <v>10.0</v>
      </c>
      <c r="F11242" s="3" t="s">
        <v>31955</v>
      </c>
      <c r="G11242" s="3">
        <v>0.5333333333333333</v>
      </c>
      <c r="H11242" s="3">
        <v>0.3</v>
      </c>
      <c r="I11242" s="3" t="s">
        <v>48</v>
      </c>
      <c r="J11242" s="3" t="s">
        <v>31956</v>
      </c>
      <c r="K11242" s="3" t="s">
        <v>71</v>
      </c>
      <c r="L11242" s="3" t="str">
        <f>IFERROR(__xludf.DUMMYFUNCTION("GOOGLETRANSLATE(F11242,""id"",""en"")"),"Good Morningg All Monday we serve the special ready open check bio Argentina World Champion Wins")</f>
        <v>Good Morningg All Monday we serve the special ready open check bio Argentina World Champion Wins</v>
      </c>
    </row>
    <row r="11243" ht="15.75" customHeight="1">
      <c r="A11243" s="1">
        <v>12486.0</v>
      </c>
      <c r="B11243" s="3" t="s">
        <v>31957</v>
      </c>
      <c r="C11243" s="3">
        <v>0.0</v>
      </c>
      <c r="D11243" s="3">
        <v>1.0</v>
      </c>
      <c r="E11243" s="3">
        <v>0.0</v>
      </c>
      <c r="F11243" s="3" t="s">
        <v>31958</v>
      </c>
      <c r="G11243" s="3">
        <v>0.0</v>
      </c>
      <c r="H11243" s="3">
        <v>0.0</v>
      </c>
      <c r="I11243" s="3" t="s">
        <v>13</v>
      </c>
      <c r="J11243" s="3" t="s">
        <v>31959</v>
      </c>
      <c r="K11243" s="3" t="s">
        <v>41</v>
      </c>
      <c r="L11243" s="3" t="str">
        <f>IFERROR(__xludf.DUMMYFUNCTION("GOOGLETRANSLATE(F11243,""id"",""en"")"),"Argentina Ball Always Champion When Wearing White Blue Jersey")</f>
        <v>Argentina Ball Always Champion When Wearing White Blue Jersey</v>
      </c>
    </row>
    <row r="11244" ht="15.75" customHeight="1">
      <c r="A11244" s="1">
        <v>12487.0</v>
      </c>
      <c r="B11244" s="3" t="s">
        <v>31960</v>
      </c>
      <c r="C11244" s="3">
        <v>1.0</v>
      </c>
      <c r="D11244" s="3">
        <v>0.0</v>
      </c>
      <c r="E11244" s="3">
        <v>3.0</v>
      </c>
      <c r="F11244" s="3" t="s">
        <v>31961</v>
      </c>
      <c r="G11244" s="3">
        <v>0.0</v>
      </c>
      <c r="H11244" s="3">
        <v>0.0</v>
      </c>
      <c r="I11244" s="3" t="s">
        <v>13</v>
      </c>
      <c r="J11244" s="3" t="s">
        <v>31962</v>
      </c>
      <c r="K11244" s="3" t="s">
        <v>71</v>
      </c>
      <c r="L11244" s="3" t="str">
        <f>IFERROR(__xludf.DUMMYFUNCTION("GOOGLETRANSLATE(F11244,""id"",""en"")"),"Argentina The third world champion when Jokowi served as president was a hard code for three periods of time")</f>
        <v>Argentina The third world champion when Jokowi served as president was a hard code for three periods of time</v>
      </c>
    </row>
    <row r="11245" ht="15.75" customHeight="1">
      <c r="A11245" s="1">
        <v>12488.0</v>
      </c>
      <c r="B11245" s="3" t="s">
        <v>31963</v>
      </c>
      <c r="C11245" s="3">
        <v>0.0</v>
      </c>
      <c r="D11245" s="3">
        <v>0.0</v>
      </c>
      <c r="E11245" s="3">
        <v>0.0</v>
      </c>
      <c r="F11245" s="3" t="s">
        <v>31964</v>
      </c>
      <c r="G11245" s="3">
        <v>0.0</v>
      </c>
      <c r="H11245" s="3">
        <v>0.0</v>
      </c>
      <c r="I11245" s="3" t="s">
        <v>13</v>
      </c>
      <c r="J11245" s="3" t="s">
        <v>31965</v>
      </c>
      <c r="K11245" s="3" t="s">
        <v>54</v>
      </c>
      <c r="L11245" s="3" t="str">
        <f>IFERROR(__xludf.DUMMYFUNCTION("GOOGLETRANSLATE(F11245,""id"",""en"")"),"Still ringing Singing Sangking, the happy Argentina Champion")</f>
        <v>Still ringing Singing Sangking, the happy Argentina Champion</v>
      </c>
    </row>
    <row r="11246" ht="15.75" customHeight="1">
      <c r="A11246" s="1">
        <v>12489.0</v>
      </c>
      <c r="B11246" s="3" t="s">
        <v>31966</v>
      </c>
      <c r="C11246" s="3">
        <v>0.0</v>
      </c>
      <c r="D11246" s="3">
        <v>0.0</v>
      </c>
      <c r="E11246" s="3">
        <v>0.0</v>
      </c>
      <c r="F11246" s="3" t="s">
        <v>31967</v>
      </c>
      <c r="G11246" s="3">
        <v>0.0</v>
      </c>
      <c r="H11246" s="3">
        <v>0.0</v>
      </c>
      <c r="I11246" s="3" t="s">
        <v>13</v>
      </c>
      <c r="J11246" s="3" t="s">
        <v>31968</v>
      </c>
      <c r="K11246" s="3" t="s">
        <v>510</v>
      </c>
      <c r="L11246" s="3" t="str">
        <f>IFERROR(__xludf.DUMMYFUNCTION("GOOGLETRANSLATE(F11246,""id"",""en"")"),"Only the Argentine era returned to the world cup champion was true positive energy and a beautiful wedding gift for mas")</f>
        <v>Only the Argentine era returned to the world cup champion was true positive energy and a beautiful wedding gift for mas</v>
      </c>
    </row>
    <row r="11247" ht="15.75" customHeight="1">
      <c r="A11247" s="1">
        <v>12490.0</v>
      </c>
      <c r="B11247" s="3" t="s">
        <v>31969</v>
      </c>
      <c r="C11247" s="3">
        <v>0.0</v>
      </c>
      <c r="D11247" s="3">
        <v>0.0</v>
      </c>
      <c r="E11247" s="3">
        <v>0.0</v>
      </c>
      <c r="F11247" s="3" t="s">
        <v>31970</v>
      </c>
      <c r="G11247" s="3">
        <v>0.0</v>
      </c>
      <c r="H11247" s="3">
        <v>0.0</v>
      </c>
      <c r="I11247" s="3" t="s">
        <v>13</v>
      </c>
      <c r="J11247" s="3" t="s">
        <v>31971</v>
      </c>
      <c r="K11247" s="3" t="s">
        <v>15</v>
      </c>
      <c r="L11247" s="3" t="str">
        <f>IFERROR(__xludf.DUMMYFUNCTION("GOOGLETRANSLATE(F11247,""id"",""en"")"),"Argentina Champion World Cup Lionel Messi's Record")</f>
        <v>Argentina Champion World Cup Lionel Messi's Record</v>
      </c>
    </row>
    <row r="11248" ht="15.75" customHeight="1">
      <c r="A11248" s="1">
        <v>12491.0</v>
      </c>
      <c r="B11248" s="3" t="s">
        <v>31972</v>
      </c>
      <c r="C11248" s="3">
        <v>0.0</v>
      </c>
      <c r="D11248" s="3">
        <v>0.0</v>
      </c>
      <c r="E11248" s="3">
        <v>0.0</v>
      </c>
      <c r="F11248" s="3" t="s">
        <v>31973</v>
      </c>
      <c r="G11248" s="3">
        <v>0.0</v>
      </c>
      <c r="H11248" s="3">
        <v>0.0</v>
      </c>
      <c r="I11248" s="3" t="s">
        <v>13</v>
      </c>
      <c r="J11248" s="3" t="s">
        <v>31974</v>
      </c>
      <c r="K11248" s="3" t="s">
        <v>657</v>
      </c>
      <c r="L11248" s="3" t="str">
        <f>IFERROR(__xludf.DUMMYFUNCTION("GOOGLETRANSLATE(F11248,""id"",""en"")"),"Gajadi was buried in Argentina better than all the curses of France Bapuk after the champion continued to the decade of coming")</f>
        <v>Gajadi was buried in Argentina better than all the curses of France Bapuk after the champion continued to the decade of coming</v>
      </c>
    </row>
    <row r="11249" ht="15.75" customHeight="1">
      <c r="A11249" s="1">
        <v>12492.0</v>
      </c>
      <c r="B11249" s="3" t="s">
        <v>31975</v>
      </c>
      <c r="C11249" s="3">
        <v>0.0</v>
      </c>
      <c r="D11249" s="3">
        <v>1.0</v>
      </c>
      <c r="E11249" s="3">
        <v>1.0</v>
      </c>
      <c r="F11249" s="3" t="s">
        <v>31976</v>
      </c>
      <c r="G11249" s="3">
        <v>0.0</v>
      </c>
      <c r="H11249" s="3">
        <v>0.0</v>
      </c>
      <c r="I11249" s="3" t="s">
        <v>13</v>
      </c>
      <c r="J11249" s="3" t="s">
        <v>31977</v>
      </c>
      <c r="K11249" s="3" t="s">
        <v>228</v>
      </c>
      <c r="L11249" s="3" t="str">
        <f>IFERROR(__xludf.DUMMYFUNCTION("GOOGLETRANSLATE(F11249,""id"",""en"")"),"Argentina has been fasting for a long time the last time the team nicknamed Albiceleste won the World Cup on and now it is time for Messi et al")</f>
        <v>Argentina has been fasting for a long time the last time the team nicknamed Albiceleste won the World Cup on and now it is time for Messi et al</v>
      </c>
    </row>
    <row r="11250" ht="15.75" customHeight="1">
      <c r="A11250" s="1">
        <v>12493.0</v>
      </c>
      <c r="B11250" s="3" t="s">
        <v>31978</v>
      </c>
      <c r="C11250" s="3">
        <v>0.0</v>
      </c>
      <c r="D11250" s="3">
        <v>1.0</v>
      </c>
      <c r="E11250" s="3">
        <v>4.0</v>
      </c>
      <c r="F11250" s="3" t="s">
        <v>31979</v>
      </c>
      <c r="G11250" s="3">
        <v>0.0</v>
      </c>
      <c r="H11250" s="3">
        <v>0.0</v>
      </c>
      <c r="I11250" s="3" t="s">
        <v>13</v>
      </c>
      <c r="J11250" s="3" t="s">
        <v>31980</v>
      </c>
      <c r="K11250" s="3" t="s">
        <v>15</v>
      </c>
      <c r="L11250" s="3" t="str">
        <f>IFERROR(__xludf.DUMMYFUNCTION("GOOGLETRANSLATE(F11250,""id"",""en"")"),"World Cup Champion Messi does not want to retire from the Argentine national team")</f>
        <v>World Cup Champion Messi does not want to retire from the Argentine national team</v>
      </c>
    </row>
    <row r="11251" ht="15.75" customHeight="1">
      <c r="A11251" s="1">
        <v>12494.0</v>
      </c>
      <c r="B11251" s="3" t="s">
        <v>31981</v>
      </c>
      <c r="C11251" s="3">
        <v>0.0</v>
      </c>
      <c r="D11251" s="3">
        <v>0.0</v>
      </c>
      <c r="E11251" s="3">
        <v>0.0</v>
      </c>
      <c r="F11251" s="3" t="s">
        <v>31982</v>
      </c>
      <c r="G11251" s="3">
        <v>0.0</v>
      </c>
      <c r="H11251" s="3">
        <v>0.0</v>
      </c>
      <c r="I11251" s="3" t="s">
        <v>13</v>
      </c>
      <c r="J11251" s="3" t="s">
        <v>31983</v>
      </c>
      <c r="K11251" s="3" t="s">
        <v>50</v>
      </c>
      <c r="L11251" s="3" t="str">
        <f>IFERROR(__xludf.DUMMYFUNCTION("GOOGLETRANSLATE(F11251,""id"",""en"")"),"Short Solid Message for Everyone I Tell Argentina Champion Even Stone")</f>
        <v>Short Solid Message for Everyone I Tell Argentina Champion Even Stone</v>
      </c>
    </row>
    <row r="11252" ht="15.75" customHeight="1">
      <c r="A11252" s="1">
        <v>12495.0</v>
      </c>
      <c r="B11252" s="3" t="s">
        <v>31984</v>
      </c>
      <c r="C11252" s="3">
        <v>1.0</v>
      </c>
      <c r="D11252" s="3">
        <v>0.0</v>
      </c>
      <c r="E11252" s="3">
        <v>0.0</v>
      </c>
      <c r="F11252" s="3" t="s">
        <v>31985</v>
      </c>
      <c r="G11252" s="3">
        <v>0.0</v>
      </c>
      <c r="H11252" s="3">
        <v>0.0</v>
      </c>
      <c r="I11252" s="3" t="s">
        <v>13</v>
      </c>
      <c r="J11252" s="3" t="s">
        <v>31986</v>
      </c>
      <c r="K11252" s="3" t="s">
        <v>19</v>
      </c>
      <c r="L11252" s="3" t="str">
        <f>IFERROR(__xludf.DUMMYFUNCTION("GOOGLETRANSLATE(F11252,""id"",""en"")"),"I am very happy to see Messi champions, just champions who make other Argentina kronco lazy that makes resentful")</f>
        <v>I am very happy to see Messi champions, just champions who make other Argentina kronco lazy that makes resentful</v>
      </c>
    </row>
    <row r="11253" ht="15.75" customHeight="1">
      <c r="A11253" s="1">
        <v>12496.0</v>
      </c>
      <c r="B11253" s="3" t="s">
        <v>31987</v>
      </c>
      <c r="C11253" s="3">
        <v>0.0</v>
      </c>
      <c r="D11253" s="3">
        <v>0.0</v>
      </c>
      <c r="E11253" s="3">
        <v>1.0</v>
      </c>
      <c r="F11253" s="3" t="s">
        <v>31988</v>
      </c>
      <c r="G11253" s="3">
        <v>0.0</v>
      </c>
      <c r="H11253" s="3">
        <v>0.0</v>
      </c>
      <c r="I11253" s="3" t="s">
        <v>13</v>
      </c>
      <c r="J11253" s="3" t="s">
        <v>31989</v>
      </c>
      <c r="K11253" s="3" t="s">
        <v>71</v>
      </c>
      <c r="L11253" s="3" t="str">
        <f>IFERROR(__xludf.DUMMYFUNCTION("GOOGLETRANSLATE(F11253,""id"",""en"")"),"Been like a god after the World Cup champion Lionel Messi belongs to the team and everyone Argentina")</f>
        <v>Been like a god after the World Cup champion Lionel Messi belongs to the team and everyone Argentina</v>
      </c>
    </row>
    <row r="11254" ht="15.75" customHeight="1">
      <c r="A11254" s="1">
        <v>12497.0</v>
      </c>
      <c r="B11254" s="3" t="s">
        <v>31990</v>
      </c>
      <c r="C11254" s="3">
        <v>0.0</v>
      </c>
      <c r="D11254" s="3">
        <v>0.0</v>
      </c>
      <c r="E11254" s="3">
        <v>0.0</v>
      </c>
      <c r="F11254" s="3" t="s">
        <v>31991</v>
      </c>
      <c r="G11254" s="3">
        <v>0.0</v>
      </c>
      <c r="H11254" s="3">
        <v>0.0</v>
      </c>
      <c r="I11254" s="3" t="s">
        <v>13</v>
      </c>
      <c r="J11254" s="3" t="s">
        <v>31992</v>
      </c>
      <c r="K11254" s="3" t="s">
        <v>2117</v>
      </c>
      <c r="L11254" s="3" t="str">
        <f>IFERROR(__xludf.DUMMYFUNCTION("GOOGLETRANSLATE(F11254,""id"",""en"")"),"This is Argentina or Messi's champion")</f>
        <v>This is Argentina or Messi's champion</v>
      </c>
    </row>
    <row r="11255" ht="15.75" customHeight="1">
      <c r="A11255" s="1">
        <v>12498.0</v>
      </c>
      <c r="B11255" s="3" t="s">
        <v>31993</v>
      </c>
      <c r="C11255" s="3">
        <v>1.0</v>
      </c>
      <c r="D11255" s="3">
        <v>0.0</v>
      </c>
      <c r="E11255" s="3">
        <v>0.0</v>
      </c>
      <c r="F11255" s="3" t="s">
        <v>31994</v>
      </c>
      <c r="G11255" s="3">
        <v>0.3166666666666667</v>
      </c>
      <c r="H11255" s="3">
        <v>0.1833333333333333</v>
      </c>
      <c r="I11255" s="3" t="s">
        <v>48</v>
      </c>
      <c r="J11255" s="3" t="s">
        <v>31995</v>
      </c>
      <c r="K11255" s="3" t="s">
        <v>765</v>
      </c>
      <c r="L11255" s="3" t="str">
        <f>IFERROR(__xludf.DUMMYFUNCTION("GOOGLETRANSLATE(F11255,""id"",""en"")"),"Already read the statement of religious drunkenness when Argentina champions wkwkwkw really unique this person is precisely with Argentina to open his eyes whether the real victory yesterday or the dollar get playing rgentin to make it ngal")</f>
        <v>Already read the statement of religious drunkenness when Argentina champions wkwkwkw really unique this person is precisely with Argentina to open his eyes whether the real victory yesterday or the dollar get playing rgentin to make it ngal</v>
      </c>
    </row>
    <row r="11256" ht="15.75" customHeight="1">
      <c r="A11256" s="1">
        <v>12499.0</v>
      </c>
      <c r="B11256" s="3" t="s">
        <v>31996</v>
      </c>
      <c r="C11256" s="3">
        <v>0.0</v>
      </c>
      <c r="D11256" s="3">
        <v>0.0</v>
      </c>
      <c r="E11256" s="3">
        <v>0.0</v>
      </c>
      <c r="F11256" s="3" t="s">
        <v>31997</v>
      </c>
      <c r="G11256" s="3">
        <v>0.0</v>
      </c>
      <c r="H11256" s="3">
        <v>0.0</v>
      </c>
      <c r="I11256" s="3" t="s">
        <v>13</v>
      </c>
      <c r="J11256" s="3" t="s">
        <v>31998</v>
      </c>
      <c r="K11256" s="3" t="s">
        <v>41</v>
      </c>
      <c r="L11256" s="3" t="str">
        <f>IFERROR(__xludf.DUMMYFUNCTION("GOOGLETRANSLATE(F11256,""id"",""en"")"),"Argentina deliberately lost to Arabic opponents so that praying for the Munim Word Champion")</f>
        <v>Argentina deliberately lost to Arabic opponents so that praying for the Munim Word Champion</v>
      </c>
    </row>
    <row r="11257" ht="15.75" customHeight="1">
      <c r="A11257" s="1">
        <v>12501.0</v>
      </c>
      <c r="B11257" s="3" t="s">
        <v>31999</v>
      </c>
      <c r="C11257" s="3">
        <v>0.0</v>
      </c>
      <c r="D11257" s="3">
        <v>0.0</v>
      </c>
      <c r="E11257" s="3">
        <v>0.0</v>
      </c>
      <c r="F11257" s="3" t="s">
        <v>32000</v>
      </c>
      <c r="G11257" s="3">
        <v>0.0</v>
      </c>
      <c r="H11257" s="3">
        <v>0.0</v>
      </c>
      <c r="I11257" s="3" t="s">
        <v>13</v>
      </c>
      <c r="J11257" s="3" t="s">
        <v>32001</v>
      </c>
      <c r="K11257" s="3" t="s">
        <v>75</v>
      </c>
      <c r="L11257" s="3" t="str">
        <f>IFERROR(__xludf.DUMMYFUNCTION("GOOGLETRANSLATE(F11257,""id"",""en"")"),"After decades of waiting for the end only the Jokowi Argentina championship was easy for Commissioners")</f>
        <v>After decades of waiting for the end only the Jokowi Argentina championship was easy for Commissioners</v>
      </c>
    </row>
    <row r="11258" ht="15.75" customHeight="1">
      <c r="A11258" s="1">
        <v>12502.0</v>
      </c>
      <c r="B11258" s="3" t="s">
        <v>32002</v>
      </c>
      <c r="C11258" s="3">
        <v>0.0</v>
      </c>
      <c r="D11258" s="3">
        <v>0.0</v>
      </c>
      <c r="E11258" s="3">
        <v>0.0</v>
      </c>
      <c r="F11258" s="3" t="s">
        <v>32003</v>
      </c>
      <c r="G11258" s="3">
        <v>0.0</v>
      </c>
      <c r="H11258" s="3">
        <v>0.0</v>
      </c>
      <c r="I11258" s="3" t="s">
        <v>13</v>
      </c>
      <c r="J11258" s="3" t="s">
        <v>32004</v>
      </c>
      <c r="K11258" s="3" t="s">
        <v>41</v>
      </c>
      <c r="L11258" s="3" t="str">
        <f>IFERROR(__xludf.DUMMYFUNCTION("GOOGLETRANSLATE(F11258,""id"",""en"")"),"Bring Argentina World Cup Champion Lionel Messi Affirms Not Retired")</f>
        <v>Bring Argentina World Cup Champion Lionel Messi Affirms Not Retired</v>
      </c>
    </row>
    <row r="11259" ht="15.75" customHeight="1">
      <c r="A11259" s="1">
        <v>12503.0</v>
      </c>
      <c r="B11259" s="3" t="s">
        <v>32005</v>
      </c>
      <c r="C11259" s="3">
        <v>0.0</v>
      </c>
      <c r="D11259" s="3">
        <v>0.0</v>
      </c>
      <c r="E11259" s="3">
        <v>0.0</v>
      </c>
      <c r="F11259" s="3" t="s">
        <v>32006</v>
      </c>
      <c r="G11259" s="3">
        <v>0.0</v>
      </c>
      <c r="H11259" s="3">
        <v>0.0</v>
      </c>
      <c r="I11259" s="3" t="s">
        <v>13</v>
      </c>
      <c r="J11259" s="3" t="s">
        <v>32007</v>
      </c>
      <c r="K11259" s="3" t="s">
        <v>1394</v>
      </c>
      <c r="L11259" s="3" t="str">
        <f>IFERROR(__xludf.DUMMYFUNCTION("GOOGLETRANSLATE(F11259,""id"",""en"")"),"yes last night I nobar coffee shop blok wah anjir turned out to be the average there in the support of France when the score was balanced and continued to be inner pressure but I prayed and was sure Argentina was champion and it turned out to be true to a"&amp;"ccept God's ksih")</f>
        <v>yes last night I nobar coffee shop blok wah anjir turned out to be the average there in the support of France when the score was balanced and continued to be inner pressure but I prayed and was sure Argentina was champion and it turned out to be true to accept God's ksih</v>
      </c>
    </row>
    <row r="11260" ht="15.75" customHeight="1">
      <c r="A11260" s="1">
        <v>12504.0</v>
      </c>
      <c r="B11260" s="3" t="s">
        <v>32008</v>
      </c>
      <c r="C11260" s="3">
        <v>0.0</v>
      </c>
      <c r="D11260" s="3">
        <v>0.0</v>
      </c>
      <c r="E11260" s="3">
        <v>0.0</v>
      </c>
      <c r="F11260" s="3" t="s">
        <v>32009</v>
      </c>
      <c r="G11260" s="3">
        <v>1.0</v>
      </c>
      <c r="H11260" s="3">
        <v>1.0</v>
      </c>
      <c r="I11260" s="3" t="s">
        <v>48</v>
      </c>
      <c r="J11260" s="3" t="s">
        <v>32010</v>
      </c>
      <c r="K11260" s="3" t="s">
        <v>149</v>
      </c>
      <c r="L11260" s="3" t="str">
        <f>IFERROR(__xludf.DUMMYFUNCTION("GOOGLETRANSLATE(F11260,""id"",""en"")"),"The debate over Messi Greatest All Time Goat Double Maradona must smile and very proud of you Leo Argentina is very worthy of the world champion Aguero Dybala")</f>
        <v>The debate over Messi Greatest All Time Goat Double Maradona must smile and very proud of you Leo Argentina is very worthy of the world champion Aguero Dybala</v>
      </c>
    </row>
    <row r="11261" ht="15.75" customHeight="1">
      <c r="A11261" s="1">
        <v>12505.0</v>
      </c>
      <c r="B11261" s="3" t="s">
        <v>32011</v>
      </c>
      <c r="C11261" s="3">
        <v>0.0</v>
      </c>
      <c r="D11261" s="3">
        <v>0.0</v>
      </c>
      <c r="E11261" s="3">
        <v>0.0</v>
      </c>
      <c r="F11261" s="3" t="s">
        <v>32012</v>
      </c>
      <c r="G11261" s="3">
        <v>0.0</v>
      </c>
      <c r="H11261" s="3">
        <v>0.0</v>
      </c>
      <c r="I11261" s="3" t="s">
        <v>13</v>
      </c>
      <c r="J11261" s="3" t="s">
        <v>32013</v>
      </c>
      <c r="K11261" s="3" t="s">
        <v>437</v>
      </c>
      <c r="L11261" s="3" t="str">
        <f>IFERROR(__xludf.DUMMYFUNCTION("GOOGLETRANSLATE(F11261,""id"",""en"")"),"Remember that there is a lot of tweet when Argentina loses against Saudi Arabia, in essence, Argentina can even become a champion later")</f>
        <v>Remember that there is a lot of tweet when Argentina loses against Saudi Arabia, in essence, Argentina can even become a champion later</v>
      </c>
    </row>
    <row r="11262" ht="15.75" customHeight="1">
      <c r="A11262" s="1">
        <v>12506.0</v>
      </c>
      <c r="B11262" s="3" t="s">
        <v>32014</v>
      </c>
      <c r="C11262" s="3">
        <v>0.0</v>
      </c>
      <c r="D11262" s="3">
        <v>0.0</v>
      </c>
      <c r="E11262" s="3">
        <v>0.0</v>
      </c>
      <c r="F11262" s="3" t="s">
        <v>32015</v>
      </c>
      <c r="G11262" s="3">
        <v>0.0</v>
      </c>
      <c r="H11262" s="3">
        <v>0.0</v>
      </c>
      <c r="I11262" s="3" t="s">
        <v>13</v>
      </c>
      <c r="J11262" s="3" t="s">
        <v>32016</v>
      </c>
      <c r="K11262" s="3" t="s">
        <v>644</v>
      </c>
      <c r="L11262" s="3" t="str">
        <f>IFERROR(__xludf.DUMMYFUNCTION("GOOGLETRANSLATE(F11262,""id"",""en"")"),"Argentina Champion Wallet Sejahtera")</f>
        <v>Argentina Champion Wallet Sejahtera</v>
      </c>
    </row>
    <row r="11263" ht="15.75" customHeight="1">
      <c r="A11263" s="1">
        <v>12507.0</v>
      </c>
      <c r="B11263" s="3" t="s">
        <v>32017</v>
      </c>
      <c r="C11263" s="3">
        <v>0.0</v>
      </c>
      <c r="D11263" s="3">
        <v>0.0</v>
      </c>
      <c r="E11263" s="3">
        <v>0.0</v>
      </c>
      <c r="F11263" s="3" t="s">
        <v>32018</v>
      </c>
      <c r="G11263" s="3">
        <v>0.0</v>
      </c>
      <c r="H11263" s="3">
        <v>0.0</v>
      </c>
      <c r="I11263" s="3" t="s">
        <v>13</v>
      </c>
      <c r="J11263" s="3" t="s">
        <v>32019</v>
      </c>
      <c r="K11263" s="3" t="s">
        <v>19</v>
      </c>
      <c r="L11263" s="3" t="str">
        <f>IFERROR(__xludf.DUMMYFUNCTION("GOOGLETRANSLATE(F11263,""id"",""en"")"),"Leo Messi's biodata information complete with the Argentine core team champions of the Qatar World Cup")</f>
        <v>Leo Messi's biodata information complete with the Argentine core team champions of the Qatar World Cup</v>
      </c>
    </row>
    <row r="11264" ht="15.75" customHeight="1">
      <c r="A11264" s="1">
        <v>12508.0</v>
      </c>
      <c r="B11264" s="3" t="s">
        <v>32020</v>
      </c>
      <c r="C11264" s="3">
        <v>1.0</v>
      </c>
      <c r="D11264" s="3">
        <v>0.0</v>
      </c>
      <c r="E11264" s="3">
        <v>0.0</v>
      </c>
      <c r="F11264" s="3" t="s">
        <v>32021</v>
      </c>
      <c r="G11264" s="3">
        <v>0.0</v>
      </c>
      <c r="H11264" s="3">
        <v>0.0</v>
      </c>
      <c r="I11264" s="3" t="s">
        <v>13</v>
      </c>
      <c r="J11264" s="3" t="s">
        <v>32022</v>
      </c>
      <c r="K11264" s="3" t="s">
        <v>437</v>
      </c>
      <c r="L11264" s="3" t="str">
        <f>IFERROR(__xludf.DUMMYFUNCTION("GOOGLETRANSLATE(F11264,""id"",""en"")"),"Argentina won Messi lift the work trophy wearing new shoes and just added to my list of madness this morning the Oppenheimer trailer")</f>
        <v>Argentina won Messi lift the work trophy wearing new shoes and just added to my list of madness this morning the Oppenheimer trailer</v>
      </c>
    </row>
    <row r="11265" ht="15.75" customHeight="1">
      <c r="A11265" s="1">
        <v>12509.0</v>
      </c>
      <c r="B11265" s="3" t="s">
        <v>32023</v>
      </c>
      <c r="C11265" s="3">
        <v>0.0</v>
      </c>
      <c r="D11265" s="3">
        <v>3.0</v>
      </c>
      <c r="E11265" s="3">
        <v>1.0</v>
      </c>
      <c r="F11265" s="3" t="s">
        <v>29845</v>
      </c>
      <c r="G11265" s="3">
        <v>0.5</v>
      </c>
      <c r="H11265" s="3">
        <v>0.3</v>
      </c>
      <c r="I11265" s="3" t="s">
        <v>48</v>
      </c>
      <c r="J11265" s="3" t="s">
        <v>29846</v>
      </c>
      <c r="K11265" s="3" t="s">
        <v>86</v>
      </c>
      <c r="L11265" s="3" t="str">
        <f>IFERROR(__xludf.DUMMYFUNCTION("GOOGLETRANSLATE(F11265,""id"",""en"")"),"Congratulations Argentina won the World Cup Successful Qatar to be the most beautiful gift for Lionel Messi who has performed the World Cup five times since Messi also won the Golden Ball or a gold ball which has been a symbol of awards for the best world"&amp;" cup players")</f>
        <v>Congratulations Argentina won the World Cup Successful Qatar to be the most beautiful gift for Lionel Messi who has performed the World Cup five times since Messi also won the Golden Ball or a gold ball which has been a symbol of awards for the best world cup players</v>
      </c>
    </row>
    <row r="11266" ht="15.75" customHeight="1">
      <c r="A11266" s="1">
        <v>12510.0</v>
      </c>
      <c r="B11266" s="3" t="s">
        <v>32024</v>
      </c>
      <c r="C11266" s="3">
        <v>0.0</v>
      </c>
      <c r="D11266" s="3">
        <v>0.0</v>
      </c>
      <c r="E11266" s="3">
        <v>2.0</v>
      </c>
      <c r="F11266" s="3" t="s">
        <v>32025</v>
      </c>
      <c r="G11266" s="3">
        <v>0.0</v>
      </c>
      <c r="H11266" s="3">
        <v>0.0</v>
      </c>
      <c r="I11266" s="3" t="s">
        <v>13</v>
      </c>
      <c r="J11266" s="3" t="s">
        <v>32026</v>
      </c>
      <c r="K11266" s="3" t="s">
        <v>50</v>
      </c>
      <c r="L11266" s="3" t="str">
        <f>IFERROR(__xludf.DUMMYFUNCTION("GOOGLETRANSLATE(F11266,""id"",""en"")"),"The feeling of Lionel Messi brought Argentina to the World Cup champion alluded to God's gift")</f>
        <v>The feeling of Lionel Messi brought Argentina to the World Cup champion alluded to God's gift</v>
      </c>
    </row>
    <row r="11267" ht="15.75" customHeight="1">
      <c r="A11267" s="1">
        <v>12511.0</v>
      </c>
      <c r="B11267" s="3" t="s">
        <v>32027</v>
      </c>
      <c r="C11267" s="3">
        <v>0.0</v>
      </c>
      <c r="D11267" s="3">
        <v>0.0</v>
      </c>
      <c r="E11267" s="3">
        <v>2.0</v>
      </c>
      <c r="F11267" s="3" t="s">
        <v>32028</v>
      </c>
      <c r="G11267" s="3">
        <v>0.0</v>
      </c>
      <c r="H11267" s="3">
        <v>0.0</v>
      </c>
      <c r="I11267" s="3" t="s">
        <v>13</v>
      </c>
      <c r="J11267" s="3" t="s">
        <v>32029</v>
      </c>
      <c r="K11267" s="3" t="s">
        <v>41</v>
      </c>
      <c r="L11267" s="3" t="str">
        <f>IFERROR(__xludf.DUMMYFUNCTION("GOOGLETRANSLATE(F11267,""id"",""en"")"),"IDN once said Messi would win with Argentina if he left Barca")</f>
        <v>IDN once said Messi would win with Argentina if he left Barca</v>
      </c>
    </row>
    <row r="11268" ht="15.75" customHeight="1">
      <c r="A11268" s="1">
        <v>12512.0</v>
      </c>
      <c r="B11268" s="3" t="s">
        <v>32030</v>
      </c>
      <c r="C11268" s="3">
        <v>0.0</v>
      </c>
      <c r="D11268" s="3">
        <v>1.0</v>
      </c>
      <c r="E11268" s="3">
        <v>0.0</v>
      </c>
      <c r="F11268" s="3" t="s">
        <v>32031</v>
      </c>
      <c r="G11268" s="3">
        <v>0.06666666666666667</v>
      </c>
      <c r="H11268" s="3">
        <v>0.0</v>
      </c>
      <c r="I11268" s="3" t="s">
        <v>13</v>
      </c>
      <c r="J11268" s="3" t="s">
        <v>32032</v>
      </c>
      <c r="K11268" s="3" t="s">
        <v>35</v>
      </c>
      <c r="L11268" s="3" t="str">
        <f>IFERROR(__xludf.DUMMYFUNCTION("GOOGLETRANSLATE(F11268,""id"",""en"")"),"Many Argentine Forecast Champion like Public Figure Famous for Narohin All for Argentina FIFA for Messi")</f>
        <v>Many Argentine Forecast Champion like Public Figure Famous for Narohin All for Argentina FIFA for Messi</v>
      </c>
    </row>
    <row r="11269" ht="15.75" customHeight="1">
      <c r="A11269" s="1">
        <v>12513.0</v>
      </c>
      <c r="B11269" s="3" t="s">
        <v>32033</v>
      </c>
      <c r="C11269" s="3">
        <v>0.0</v>
      </c>
      <c r="D11269" s="3">
        <v>0.0</v>
      </c>
      <c r="E11269" s="3">
        <v>4.0</v>
      </c>
      <c r="F11269" s="3" t="s">
        <v>32034</v>
      </c>
      <c r="G11269" s="3">
        <v>0.0</v>
      </c>
      <c r="H11269" s="3">
        <v>0.0</v>
      </c>
      <c r="I11269" s="3" t="s">
        <v>13</v>
      </c>
      <c r="J11269" s="3" t="s">
        <v>32035</v>
      </c>
      <c r="K11269" s="3" t="s">
        <v>1293</v>
      </c>
      <c r="L11269" s="3" t="str">
        <f>IFERROR(__xludf.DUMMYFUNCTION("GOOGLETRANSLATE(F11269,""id"",""en"")"),"Aet Argentina French Messi Maria Mbappe Pen Possessions Shots Tackles Drama Penalties between Argentina World Cup Champion")</f>
        <v>Aet Argentina French Messi Maria Mbappe Pen Possessions Shots Tackles Drama Penalties between Argentina World Cup Champion</v>
      </c>
    </row>
    <row r="11270" ht="15.75" customHeight="1">
      <c r="A11270" s="1">
        <v>12514.0</v>
      </c>
      <c r="B11270" s="3" t="s">
        <v>32036</v>
      </c>
      <c r="C11270" s="3">
        <v>0.0</v>
      </c>
      <c r="D11270" s="3">
        <v>0.0</v>
      </c>
      <c r="E11270" s="3">
        <v>0.0</v>
      </c>
      <c r="F11270" s="3" t="s">
        <v>32037</v>
      </c>
      <c r="G11270" s="3">
        <v>0.0</v>
      </c>
      <c r="H11270" s="3">
        <v>0.0</v>
      </c>
      <c r="I11270" s="3" t="s">
        <v>13</v>
      </c>
      <c r="J11270" s="3" t="s">
        <v>32038</v>
      </c>
      <c r="K11270" s="3" t="s">
        <v>35</v>
      </c>
      <c r="L11270" s="3" t="str">
        <f>IFERROR(__xludf.DUMMYFUNCTION("GOOGLETRANSLATE(F11270,""id"",""en"")"),"It turned out that Saudi Arabia was the most champion because it could beat Argentina the world champion was full of struggle")</f>
        <v>It turned out that Saudi Arabia was the most champion because it could beat Argentina the world champion was full of struggle</v>
      </c>
    </row>
    <row r="11271" ht="15.75" customHeight="1">
      <c r="A11271" s="1">
        <v>12515.0</v>
      </c>
      <c r="B11271" s="3" t="s">
        <v>32039</v>
      </c>
      <c r="C11271" s="3">
        <v>0.0</v>
      </c>
      <c r="D11271" s="3">
        <v>0.0</v>
      </c>
      <c r="E11271" s="3">
        <v>0.0</v>
      </c>
      <c r="F11271" s="3" t="s">
        <v>31970</v>
      </c>
      <c r="G11271" s="3">
        <v>0.0</v>
      </c>
      <c r="H11271" s="3">
        <v>0.0</v>
      </c>
      <c r="I11271" s="3" t="s">
        <v>13</v>
      </c>
      <c r="J11271" s="3" t="s">
        <v>31971</v>
      </c>
      <c r="K11271" s="3" t="s">
        <v>15</v>
      </c>
      <c r="L11271" s="3" t="str">
        <f>IFERROR(__xludf.DUMMYFUNCTION("GOOGLETRANSLATE(F11271,""id"",""en"")"),"Argentina Champion World Cup Lionel Messi's Record")</f>
        <v>Argentina Champion World Cup Lionel Messi's Record</v>
      </c>
    </row>
    <row r="11272" ht="15.75" customHeight="1">
      <c r="A11272" s="1">
        <v>12516.0</v>
      </c>
      <c r="B11272" s="3" t="s">
        <v>32040</v>
      </c>
      <c r="C11272" s="3">
        <v>0.0</v>
      </c>
      <c r="D11272" s="3">
        <v>0.0</v>
      </c>
      <c r="E11272" s="3">
        <v>0.0</v>
      </c>
      <c r="F11272" s="3" t="s">
        <v>32041</v>
      </c>
      <c r="G11272" s="3">
        <v>0.0</v>
      </c>
      <c r="H11272" s="3">
        <v>0.0</v>
      </c>
      <c r="I11272" s="3" t="s">
        <v>13</v>
      </c>
      <c r="J11272" s="3" t="s">
        <v>32042</v>
      </c>
      <c r="K11272" s="3" t="s">
        <v>19</v>
      </c>
      <c r="L11272" s="3" t="str">
        <f>IFERROR(__xludf.DUMMYFUNCTION("GOOGLETRANSLATE(F11272,""id"",""en"")"),"Sitorus is indeed more happy Argentina champions if France is like that")</f>
        <v>Sitorus is indeed more happy Argentina champions if France is like that</v>
      </c>
    </row>
    <row r="11273" ht="15.75" customHeight="1">
      <c r="A11273" s="1">
        <v>12517.0</v>
      </c>
      <c r="B11273" s="3" t="s">
        <v>32043</v>
      </c>
      <c r="C11273" s="3">
        <v>0.0</v>
      </c>
      <c r="D11273" s="3">
        <v>0.0</v>
      </c>
      <c r="E11273" s="3">
        <v>0.0</v>
      </c>
      <c r="F11273" s="3" t="s">
        <v>32044</v>
      </c>
      <c r="G11273" s="3">
        <v>0.0</v>
      </c>
      <c r="H11273" s="3">
        <v>0.0</v>
      </c>
      <c r="I11273" s="3" t="s">
        <v>13</v>
      </c>
      <c r="J11273" s="3" t="s">
        <v>32045</v>
      </c>
      <c r="K11273" s="3" t="s">
        <v>942</v>
      </c>
      <c r="L11273" s="3" t="str">
        <f>IFERROR(__xludf.DUMMYFUNCTION("GOOGLETRANSLATE(F11273,""id"",""en"")"),"The champion is really Saudi Arabia because Saudi Arabia is a country that defeated Argentina Pilduun Qatar")</f>
        <v>The champion is really Saudi Arabia because Saudi Arabia is a country that defeated Argentina Pilduun Qatar</v>
      </c>
    </row>
    <row r="11274" ht="15.75" customHeight="1">
      <c r="A11274" s="1">
        <v>12518.0</v>
      </c>
      <c r="B11274" s="3" t="s">
        <v>32046</v>
      </c>
      <c r="C11274" s="3">
        <v>0.0</v>
      </c>
      <c r="D11274" s="3">
        <v>0.0</v>
      </c>
      <c r="E11274" s="3">
        <v>1.0</v>
      </c>
      <c r="F11274" s="3" t="s">
        <v>4323</v>
      </c>
      <c r="G11274" s="3">
        <v>1.0</v>
      </c>
      <c r="H11274" s="3">
        <v>0.0</v>
      </c>
      <c r="I11274" s="3" t="s">
        <v>13</v>
      </c>
      <c r="J11274" s="3" t="s">
        <v>4324</v>
      </c>
      <c r="K11274" s="3" t="s">
        <v>1970</v>
      </c>
      <c r="L11274" s="3" t="str">
        <f>IFERROR(__xludf.DUMMYFUNCTION("GOOGLETRANSLATE(F11274,""id"",""en"")"),"Congratulations Argentina World Cup Champion Fierce match presented by the World Cup Final Tango Tango was able to score through goals from the feet of Lionel Messi and Maria")</f>
        <v>Congratulations Argentina World Cup Champion Fierce match presented by the World Cup Final Tango Tango was able to score through goals from the feet of Lionel Messi and Maria</v>
      </c>
    </row>
    <row r="11275" ht="15.75" customHeight="1">
      <c r="A11275" s="1">
        <v>12519.0</v>
      </c>
      <c r="B11275" s="3" t="s">
        <v>32047</v>
      </c>
      <c r="C11275" s="3">
        <v>0.0</v>
      </c>
      <c r="D11275" s="3">
        <v>0.0</v>
      </c>
      <c r="E11275" s="3">
        <v>1.0</v>
      </c>
      <c r="F11275" s="3" t="s">
        <v>32048</v>
      </c>
      <c r="G11275" s="3">
        <v>0.3</v>
      </c>
      <c r="H11275" s="3">
        <v>0.2</v>
      </c>
      <c r="I11275" s="3" t="s">
        <v>48</v>
      </c>
      <c r="J11275" s="3" t="s">
        <v>32049</v>
      </c>
      <c r="K11275" s="3" t="s">
        <v>2013</v>
      </c>
      <c r="L11275" s="3" t="str">
        <f>IFERROR(__xludf.DUMMYFUNCTION("GOOGLETRANSLATE(F11275,""id"",""en"")"),"My sister really likes Messi if there is a World Cup he supports Brazil or Argentina Hiyaaa Argentina World Champion Messi lifts the trophy I can guess how his expression is if there is still haha")</f>
        <v>My sister really likes Messi if there is a World Cup he supports Brazil or Argentina Hiyaaa Argentina World Champion Messi lifts the trophy I can guess how his expression is if there is still haha</v>
      </c>
    </row>
    <row r="11276" ht="15.75" customHeight="1">
      <c r="A11276" s="1">
        <v>12520.0</v>
      </c>
      <c r="B11276" s="3" t="s">
        <v>32050</v>
      </c>
      <c r="C11276" s="3">
        <v>0.0</v>
      </c>
      <c r="D11276" s="3">
        <v>0.0</v>
      </c>
      <c r="E11276" s="3">
        <v>0.0</v>
      </c>
      <c r="F11276" s="3" t="s">
        <v>32051</v>
      </c>
      <c r="G11276" s="3">
        <v>0.0</v>
      </c>
      <c r="H11276" s="3">
        <v>0.0</v>
      </c>
      <c r="I11276" s="3" t="s">
        <v>13</v>
      </c>
      <c r="J11276" s="3" t="s">
        <v>32052</v>
      </c>
      <c r="K11276" s="3" t="s">
        <v>510</v>
      </c>
      <c r="L11276" s="3" t="str">
        <f>IFERROR(__xludf.DUMMYFUNCTION("GOOGLETRANSLATE(F11276,""id"",""en"")"),"Where is the account that used to share USD money if Argentina champions World Cup wkwk why is it disappearing")</f>
        <v>Where is the account that used to share USD money if Argentina champions World Cup wkwk why is it disappearing</v>
      </c>
    </row>
    <row r="11277" ht="15.75" customHeight="1">
      <c r="A11277" s="1">
        <v>12521.0</v>
      </c>
      <c r="B11277" s="3" t="s">
        <v>32053</v>
      </c>
      <c r="C11277" s="3">
        <v>0.0</v>
      </c>
      <c r="D11277" s="3">
        <v>2.0</v>
      </c>
      <c r="E11277" s="3">
        <v>18.0</v>
      </c>
      <c r="F11277" s="3" t="s">
        <v>31792</v>
      </c>
      <c r="G11277" s="3">
        <v>0.0</v>
      </c>
      <c r="H11277" s="3">
        <v>0.0</v>
      </c>
      <c r="I11277" s="3" t="s">
        <v>13</v>
      </c>
      <c r="J11277" s="3" t="s">
        <v>25945</v>
      </c>
      <c r="K11277" s="3" t="s">
        <v>240</v>
      </c>
      <c r="L11277" s="3" t="str">
        <f>IFERROR(__xludf.DUMMYFUNCTION("GOOGLETRANSLATE(F11277,""id"",""en"")"),"Argentina won two titles in two years after the Copa America at the current Lionel Scaloni squad successfully won the World Cup")</f>
        <v>Argentina won two titles in two years after the Copa America at the current Lionel Scaloni squad successfully won the World Cup</v>
      </c>
    </row>
    <row r="11278" ht="15.75" customHeight="1">
      <c r="A11278" s="1">
        <v>12522.0</v>
      </c>
      <c r="B11278" s="3" t="s">
        <v>32054</v>
      </c>
      <c r="C11278" s="3">
        <v>1.0</v>
      </c>
      <c r="D11278" s="3">
        <v>0.0</v>
      </c>
      <c r="E11278" s="3">
        <v>1.0</v>
      </c>
      <c r="F11278" s="3" t="s">
        <v>32055</v>
      </c>
      <c r="G11278" s="3">
        <v>1.0</v>
      </c>
      <c r="H11278" s="3">
        <v>0.0</v>
      </c>
      <c r="I11278" s="3" t="s">
        <v>13</v>
      </c>
      <c r="J11278" s="3" t="s">
        <v>32056</v>
      </c>
      <c r="K11278" s="3" t="s">
        <v>71</v>
      </c>
      <c r="L11278" s="3" t="str">
        <f>IFERROR(__xludf.DUMMYFUNCTION("GOOGLETRANSLATE(F11278,""id"",""en"")"),"So this is the Final World Cup very spectacular France and Argentina are as great as they deserve to be world champions")</f>
        <v>So this is the Final World Cup very spectacular France and Argentina are as great as they deserve to be world champions</v>
      </c>
    </row>
    <row r="11279" ht="15.75" customHeight="1">
      <c r="A11279" s="1">
        <v>12523.0</v>
      </c>
      <c r="B11279" s="3" t="s">
        <v>32057</v>
      </c>
      <c r="C11279" s="3">
        <v>0.0</v>
      </c>
      <c r="D11279" s="3">
        <v>0.0</v>
      </c>
      <c r="E11279" s="3">
        <v>0.0</v>
      </c>
      <c r="F11279" s="3" t="s">
        <v>32058</v>
      </c>
      <c r="G11279" s="3">
        <v>0.0</v>
      </c>
      <c r="H11279" s="3">
        <v>0.0</v>
      </c>
      <c r="I11279" s="3" t="s">
        <v>13</v>
      </c>
      <c r="J11279" s="3" t="s">
        <v>32059</v>
      </c>
      <c r="K11279" s="3" t="s">
        <v>149</v>
      </c>
      <c r="L11279" s="3" t="str">
        <f>IFERROR(__xludf.DUMMYFUNCTION("GOOGLETRANSLATE(F11279,""id"",""en"")"),"Both of them are very quality teams not cans of French cans proven to be able to follow until the extension is not losing staying up late to watch Congrats for the Argentina team to become champions again after the year")</f>
        <v>Both of them are very quality teams not cans of French cans proven to be able to follow until the extension is not losing staying up late to watch Congrats for the Argentina team to become champions again after the year</v>
      </c>
    </row>
    <row r="11280" ht="15.75" customHeight="1">
      <c r="A11280" s="1">
        <v>12524.0</v>
      </c>
      <c r="B11280" s="3" t="s">
        <v>32060</v>
      </c>
      <c r="C11280" s="3">
        <v>0.0</v>
      </c>
      <c r="D11280" s="3">
        <v>0.0</v>
      </c>
      <c r="E11280" s="3">
        <v>0.0</v>
      </c>
      <c r="F11280" s="3" t="s">
        <v>32061</v>
      </c>
      <c r="G11280" s="3">
        <v>0.0</v>
      </c>
      <c r="H11280" s="3">
        <v>0.0</v>
      </c>
      <c r="I11280" s="3" t="s">
        <v>13</v>
      </c>
      <c r="J11280" s="3" t="s">
        <v>32062</v>
      </c>
      <c r="K11280" s="3" t="s">
        <v>1628</v>
      </c>
      <c r="L11280" s="3" t="str">
        <f>IFERROR(__xludf.DUMMYFUNCTION("GOOGLETRANSLATE(F11280,""id"",""en"")"),"indeed said the settings that were paired, bro, after all, I was ashamed, sir, so, what did you not affect the life that got the champion too, Argentina wasn't I'm just an entertainment football")</f>
        <v>indeed said the settings that were paired, bro, after all, I was ashamed, sir, so, what did you not affect the life that got the champion too, Argentina wasn't I'm just an entertainment football</v>
      </c>
    </row>
    <row r="11281" ht="15.75" customHeight="1">
      <c r="A11281" s="1">
        <v>12525.0</v>
      </c>
      <c r="B11281" s="3" t="s">
        <v>32063</v>
      </c>
      <c r="C11281" s="3">
        <v>0.0</v>
      </c>
      <c r="D11281" s="3">
        <v>0.0</v>
      </c>
      <c r="E11281" s="3">
        <v>0.0</v>
      </c>
      <c r="F11281" s="3" t="s">
        <v>32064</v>
      </c>
      <c r="G11281" s="3">
        <v>0.0</v>
      </c>
      <c r="H11281" s="3">
        <v>0.0</v>
      </c>
      <c r="I11281" s="3" t="s">
        <v>13</v>
      </c>
      <c r="J11281" s="3" t="s">
        <v>32065</v>
      </c>
      <c r="K11281" s="3" t="s">
        <v>3346</v>
      </c>
      <c r="L11281" s="3" t="str">
        <f>IFERROR(__xludf.DUMMYFUNCTION("GOOGLETRANSLATE(F11281,""id"",""en"")"),"Dec Argentina Champion Pildun Dec trusting Bday with Taejin and ARMY which is Bday the month of DEC too")</f>
        <v>Dec Argentina Champion Pildun Dec trusting Bday with Taejin and ARMY which is Bday the month of DEC too</v>
      </c>
    </row>
    <row r="11282" ht="15.75" customHeight="1">
      <c r="A11282" s="1">
        <v>12526.0</v>
      </c>
      <c r="B11282" s="3" t="s">
        <v>32066</v>
      </c>
      <c r="C11282" s="3">
        <v>0.0</v>
      </c>
      <c r="D11282" s="3">
        <v>0.0</v>
      </c>
      <c r="E11282" s="3">
        <v>0.0</v>
      </c>
      <c r="F11282" s="3" t="s">
        <v>32067</v>
      </c>
      <c r="G11282" s="3">
        <v>1.0</v>
      </c>
      <c r="H11282" s="3">
        <v>0.1</v>
      </c>
      <c r="I11282" s="3" t="s">
        <v>48</v>
      </c>
      <c r="J11282" s="3" t="s">
        <v>32068</v>
      </c>
      <c r="K11282" s="3" t="s">
        <v>41</v>
      </c>
      <c r="L11282" s="3" t="str">
        <f>IFERROR(__xludf.DUMMYFUNCTION("GOOGLETRANSLATE(F11282,""id"",""en"")"),"wow following Messi's record after Argentina World Cup champions")</f>
        <v>wow following Messi's record after Argentina World Cup champions</v>
      </c>
    </row>
    <row r="11283" ht="15.75" customHeight="1">
      <c r="A11283" s="1">
        <v>12527.0</v>
      </c>
      <c r="B11283" s="3" t="s">
        <v>32069</v>
      </c>
      <c r="C11283" s="3">
        <v>0.0</v>
      </c>
      <c r="D11283" s="3">
        <v>0.0</v>
      </c>
      <c r="E11283" s="3">
        <v>0.0</v>
      </c>
      <c r="F11283" s="3" t="s">
        <v>32070</v>
      </c>
      <c r="G11283" s="3">
        <v>0.0</v>
      </c>
      <c r="H11283" s="3">
        <v>0.0</v>
      </c>
      <c r="I11283" s="3" t="s">
        <v>13</v>
      </c>
      <c r="J11283" s="3" t="s">
        <v>32071</v>
      </c>
      <c r="K11283" s="3" t="s">
        <v>82</v>
      </c>
      <c r="L11283" s="3" t="str">
        <f>IFERROR(__xludf.DUMMYFUNCTION("GOOGLETRANSLATE(F11283,""id"",""en"")"),"Argentina Champion No one wants to say pretty good for bekel")</f>
        <v>Argentina Champion No one wants to say pretty good for bekel</v>
      </c>
    </row>
    <row r="11284" ht="15.75" customHeight="1">
      <c r="A11284" s="1">
        <v>12528.0</v>
      </c>
      <c r="B11284" s="3" t="s">
        <v>32072</v>
      </c>
      <c r="C11284" s="3">
        <v>0.0</v>
      </c>
      <c r="D11284" s="3">
        <v>0.0</v>
      </c>
      <c r="E11284" s="3">
        <v>0.0</v>
      </c>
      <c r="F11284" s="3" t="s">
        <v>32073</v>
      </c>
      <c r="G11284" s="3">
        <v>0.0</v>
      </c>
      <c r="H11284" s="3">
        <v>0.0</v>
      </c>
      <c r="I11284" s="3" t="s">
        <v>13</v>
      </c>
      <c r="J11284" s="3" t="s">
        <v>32074</v>
      </c>
      <c r="K11284" s="3" t="s">
        <v>491</v>
      </c>
      <c r="L11284" s="3" t="str">
        <f>IFERROR(__xludf.DUMMYFUNCTION("GOOGLETRANSLATE(F11284,""id"",""en"")"),"Argentina won the World Cup thank you to my parabolamate who has trusted us to fill in the Qatar World Cup voucher package")</f>
        <v>Argentina won the World Cup thank you to my parabolamate who has trusted us to fill in the Qatar World Cup voucher package</v>
      </c>
    </row>
    <row r="11285" ht="15.75" customHeight="1">
      <c r="A11285" s="1">
        <v>12529.0</v>
      </c>
      <c r="B11285" s="3" t="s">
        <v>32075</v>
      </c>
      <c r="C11285" s="3">
        <v>0.0</v>
      </c>
      <c r="D11285" s="3">
        <v>0.0</v>
      </c>
      <c r="E11285" s="3">
        <v>0.0</v>
      </c>
      <c r="F11285" s="3" t="s">
        <v>32076</v>
      </c>
      <c r="G11285" s="3">
        <v>0.0</v>
      </c>
      <c r="H11285" s="3">
        <v>0.0</v>
      </c>
      <c r="I11285" s="3" t="s">
        <v>13</v>
      </c>
      <c r="J11285" s="3" t="s">
        <v>32077</v>
      </c>
      <c r="K11285" s="3" t="s">
        <v>997</v>
      </c>
      <c r="L11285" s="3" t="str">
        <f>IFERROR(__xludf.DUMMYFUNCTION("GOOGLETRANSLATE(F11285,""id"",""en"")"),"History records that Argentina will only become a World Cup champion if he has a player with a back numbered with the world's best left foot qualification Mario deflated Diego Maradona Lionel Messi congratulations for the Tango team to add to the Done")</f>
        <v>History records that Argentina will only become a World Cup champion if he has a player with a back numbered with the world's best left foot qualification Mario deflated Diego Maradona Lionel Messi congratulations for the Tango team to add to the Done</v>
      </c>
    </row>
    <row r="11286" ht="15.75" customHeight="1">
      <c r="A11286" s="1">
        <v>12530.0</v>
      </c>
      <c r="B11286" s="3" t="s">
        <v>32078</v>
      </c>
      <c r="C11286" s="3">
        <v>0.0</v>
      </c>
      <c r="D11286" s="3">
        <v>0.0</v>
      </c>
      <c r="E11286" s="3">
        <v>0.0</v>
      </c>
      <c r="F11286" s="3" t="s">
        <v>32079</v>
      </c>
      <c r="G11286" s="3">
        <v>0.0</v>
      </c>
      <c r="H11286" s="3">
        <v>0.0</v>
      </c>
      <c r="I11286" s="3" t="s">
        <v>13</v>
      </c>
      <c r="J11286" s="3" t="s">
        <v>32080</v>
      </c>
      <c r="K11286" s="3" t="s">
        <v>2117</v>
      </c>
      <c r="L11286" s="3" t="str">
        <f>IFERROR(__xludf.DUMMYFUNCTION("GOOGLETRANSLATE(F11286,""id"",""en"")"),"Finally Argentina won")</f>
        <v>Finally Argentina won</v>
      </c>
    </row>
    <row r="11287" ht="15.75" customHeight="1">
      <c r="A11287" s="1">
        <v>12531.0</v>
      </c>
      <c r="B11287" s="3" t="s">
        <v>32081</v>
      </c>
      <c r="C11287" s="3">
        <v>0.0</v>
      </c>
      <c r="D11287" s="3">
        <v>0.0</v>
      </c>
      <c r="E11287" s="3">
        <v>0.0</v>
      </c>
      <c r="F11287" s="3" t="s">
        <v>32082</v>
      </c>
      <c r="G11287" s="3">
        <v>0.0</v>
      </c>
      <c r="H11287" s="3">
        <v>0.0</v>
      </c>
      <c r="I11287" s="3" t="s">
        <v>13</v>
      </c>
      <c r="J11287" s="3" t="s">
        <v>32083</v>
      </c>
      <c r="K11287" s="3" t="s">
        <v>35</v>
      </c>
      <c r="L11287" s="3" t="str">
        <f>IFERROR(__xludf.DUMMYFUNCTION("GOOGLETRANSLATE(F11287,""id"",""en"")"),"Yes Argentina, the champion is just waiting for the national team now, hopefully the AFF champion")</f>
        <v>Yes Argentina, the champion is just waiting for the national team now, hopefully the AFF champion</v>
      </c>
    </row>
    <row r="11288" ht="15.75" customHeight="1">
      <c r="A11288" s="1">
        <v>12532.0</v>
      </c>
      <c r="B11288" s="3" t="s">
        <v>32084</v>
      </c>
      <c r="C11288" s="3">
        <v>0.0</v>
      </c>
      <c r="D11288" s="3">
        <v>0.0</v>
      </c>
      <c r="E11288" s="3">
        <v>0.0</v>
      </c>
      <c r="F11288" s="3" t="s">
        <v>32085</v>
      </c>
      <c r="G11288" s="3">
        <v>0.0</v>
      </c>
      <c r="H11288" s="3">
        <v>0.0</v>
      </c>
      <c r="I11288" s="3" t="s">
        <v>13</v>
      </c>
      <c r="J11288" s="3" t="s">
        <v>32086</v>
      </c>
      <c r="K11288" s="3" t="s">
        <v>82</v>
      </c>
      <c r="L11288" s="3" t="str">
        <f>IFERROR(__xludf.DUMMYFUNCTION("GOOGLETRANSLATE(F11288,""id"",""en"")"),"Congratulations to Argentina Champion World Cup Qatar")</f>
        <v>Congratulations to Argentina Champion World Cup Qatar</v>
      </c>
    </row>
    <row r="11289" ht="15.75" customHeight="1">
      <c r="A11289" s="1">
        <v>12533.0</v>
      </c>
      <c r="B11289" s="3" t="s">
        <v>32087</v>
      </c>
      <c r="C11289" s="3">
        <v>1.0</v>
      </c>
      <c r="D11289" s="3">
        <v>2.0</v>
      </c>
      <c r="E11289" s="3">
        <v>30.0</v>
      </c>
      <c r="F11289" s="3" t="s">
        <v>32088</v>
      </c>
      <c r="G11289" s="3">
        <v>1.0</v>
      </c>
      <c r="H11289" s="3">
        <v>1.0</v>
      </c>
      <c r="I11289" s="3" t="s">
        <v>48</v>
      </c>
      <c r="J11289" s="3" t="s">
        <v>32089</v>
      </c>
      <c r="K11289" s="3" t="s">
        <v>165</v>
      </c>
      <c r="L11289" s="3" t="str">
        <f>IFERROR(__xludf.DUMMYFUNCTION("GOOGLETRANSLATE(F11289,""id"",""en"")"),"The era of Messi Ronaldo Done Messi Greatest Off All Time Argentina World Cup Champion But Cristiano Ronaldo is always in the heart always boasting always inspire and one of the best players all time respect")</f>
        <v>The era of Messi Ronaldo Done Messi Greatest Off All Time Argentina World Cup Champion But Cristiano Ronaldo is always in the heart always boasting always inspire and one of the best players all time respect</v>
      </c>
    </row>
    <row r="11290" ht="15.75" customHeight="1">
      <c r="A11290" s="1">
        <v>12534.0</v>
      </c>
      <c r="B11290" s="3" t="s">
        <v>32090</v>
      </c>
      <c r="C11290" s="3">
        <v>0.0</v>
      </c>
      <c r="D11290" s="3">
        <v>0.0</v>
      </c>
      <c r="E11290" s="3">
        <v>1.0</v>
      </c>
      <c r="F11290" s="3" t="s">
        <v>32091</v>
      </c>
      <c r="G11290" s="3">
        <v>1.0</v>
      </c>
      <c r="H11290" s="3">
        <v>0.0</v>
      </c>
      <c r="I11290" s="3" t="s">
        <v>13</v>
      </c>
      <c r="J11290" s="3" t="s">
        <v>32092</v>
      </c>
      <c r="K11290" s="3" t="s">
        <v>860</v>
      </c>
      <c r="L11290" s="3" t="str">
        <f>IFERROR(__xludf.DUMMYFUNCTION("GOOGLETRANSLATE(F11290,""id"",""en"")"),"The Qatar World Cup is over Argentina to win after defeating France the final party became special because Argentine players were the best players of this event ehmm who they were")</f>
        <v>The Qatar World Cup is over Argentina to win after defeating France the final party became special because Argentine players were the best players of this event ehmm who they were</v>
      </c>
    </row>
    <row r="11291" ht="15.75" customHeight="1">
      <c r="A11291" s="1">
        <v>12535.0</v>
      </c>
      <c r="B11291" s="3" t="s">
        <v>32093</v>
      </c>
      <c r="C11291" s="3">
        <v>0.0</v>
      </c>
      <c r="D11291" s="3">
        <v>0.0</v>
      </c>
      <c r="E11291" s="3">
        <v>0.0</v>
      </c>
      <c r="F11291" s="3" t="s">
        <v>32094</v>
      </c>
      <c r="G11291" s="3">
        <v>0.0</v>
      </c>
      <c r="H11291" s="3">
        <v>0.0</v>
      </c>
      <c r="I11291" s="3" t="s">
        <v>13</v>
      </c>
      <c r="J11291" s="3" t="s">
        <v>32095</v>
      </c>
      <c r="K11291" s="3" t="s">
        <v>54</v>
      </c>
      <c r="L11291" s="3" t="str">
        <f>IFERROR(__xludf.DUMMYFUNCTION("GOOGLETRANSLATE(F11291,""id"",""en"")"),"Dramatic Argentina Champion Messi Perfect Title")</f>
        <v>Dramatic Argentina Champion Messi Perfect Title</v>
      </c>
    </row>
    <row r="11292" ht="15.75" customHeight="1">
      <c r="A11292" s="1">
        <v>12536.0</v>
      </c>
      <c r="B11292" s="3" t="s">
        <v>32096</v>
      </c>
      <c r="C11292" s="3">
        <v>0.0</v>
      </c>
      <c r="D11292" s="3">
        <v>0.0</v>
      </c>
      <c r="E11292" s="3">
        <v>0.0</v>
      </c>
      <c r="F11292" s="3" t="s">
        <v>22584</v>
      </c>
      <c r="G11292" s="3">
        <v>0.0</v>
      </c>
      <c r="H11292" s="3">
        <v>0.0</v>
      </c>
      <c r="I11292" s="3" t="s">
        <v>13</v>
      </c>
      <c r="J11292" s="3" t="s">
        <v>22585</v>
      </c>
      <c r="K11292" s="3" t="s">
        <v>31</v>
      </c>
      <c r="L11292" s="3" t="str">
        <f>IFERROR(__xludf.DUMMYFUNCTION("GOOGLETRANSLATE(F11292,""id"",""en"")"),"Argentina Champion World Cup Qatar")</f>
        <v>Argentina Champion World Cup Qatar</v>
      </c>
    </row>
    <row r="11293" ht="15.75" customHeight="1">
      <c r="A11293" s="1">
        <v>12537.0</v>
      </c>
      <c r="B11293" s="3" t="s">
        <v>32097</v>
      </c>
      <c r="C11293" s="3">
        <v>0.0</v>
      </c>
      <c r="D11293" s="3">
        <v>0.0</v>
      </c>
      <c r="E11293" s="3">
        <v>2.0</v>
      </c>
      <c r="F11293" s="3" t="s">
        <v>32098</v>
      </c>
      <c r="G11293" s="3">
        <v>0.0</v>
      </c>
      <c r="H11293" s="3">
        <v>0.0</v>
      </c>
      <c r="I11293" s="3" t="s">
        <v>13</v>
      </c>
      <c r="J11293" s="3" t="s">
        <v>32099</v>
      </c>
      <c r="K11293" s="3" t="s">
        <v>10085</v>
      </c>
      <c r="L11293" s="3" t="str">
        <f>IFERROR(__xludf.DUMMYFUNCTION("GOOGLETRANSLATE(F11293,""id"",""en"")"),"Viva Bravo for the Argentine national team and Lionel Andress Messi and Kawan succeeded in bringing Argentina to become the world champion of the year Qatar year Mario Kempes and the year Diego Maradona succeeded in bringing Argentina the world champion f"&amp;"ootball")</f>
        <v>Viva Bravo for the Argentine national team and Lionel Andress Messi and Kawan succeeded in bringing Argentina to become the world champion of the year Qatar year Mario Kempes and the year Diego Maradona succeeded in bringing Argentina the world champion football</v>
      </c>
    </row>
    <row r="11294" ht="15.75" customHeight="1">
      <c r="A11294" s="1">
        <v>12538.0</v>
      </c>
      <c r="B11294" s="3" t="s">
        <v>32100</v>
      </c>
      <c r="C11294" s="3">
        <v>0.0</v>
      </c>
      <c r="D11294" s="3">
        <v>0.0</v>
      </c>
      <c r="E11294" s="3">
        <v>1.0</v>
      </c>
      <c r="F11294" s="3" t="s">
        <v>32101</v>
      </c>
      <c r="G11294" s="3">
        <v>0.0</v>
      </c>
      <c r="H11294" s="3">
        <v>0.0</v>
      </c>
      <c r="I11294" s="3" t="s">
        <v>13</v>
      </c>
      <c r="J11294" s="3" t="s">
        <v>32102</v>
      </c>
      <c r="K11294" s="3" t="s">
        <v>75</v>
      </c>
      <c r="L11294" s="3" t="str">
        <f>IFERROR(__xludf.DUMMYFUNCTION("GOOGLETRANSLATE(F11294,""id"",""en"")"),"Lionel Scaloni between Argentina World Cup Champion Profile and Career Journey")</f>
        <v>Lionel Scaloni between Argentina World Cup Champion Profile and Career Journey</v>
      </c>
    </row>
    <row r="11295" ht="15.75" customHeight="1">
      <c r="A11295" s="1">
        <v>12539.0</v>
      </c>
      <c r="B11295" s="3" t="s">
        <v>32103</v>
      </c>
      <c r="C11295" s="3">
        <v>0.0</v>
      </c>
      <c r="D11295" s="3">
        <v>0.0</v>
      </c>
      <c r="E11295" s="3">
        <v>3.0</v>
      </c>
      <c r="F11295" s="3" t="s">
        <v>32104</v>
      </c>
      <c r="G11295" s="3">
        <v>0.0</v>
      </c>
      <c r="H11295" s="3">
        <v>0.0</v>
      </c>
      <c r="I11295" s="3" t="s">
        <v>13</v>
      </c>
      <c r="J11295" s="3" t="s">
        <v>32105</v>
      </c>
      <c r="K11295" s="3" t="s">
        <v>11862</v>
      </c>
      <c r="L11295" s="3" t="str">
        <f>IFERROR(__xludf.DUMMYFUNCTION("GOOGLETRANSLATE(F11295,""id"",""en"")"),"national team and favorite player late father we used to nobar together when Pilduun or if Argentina is a daddy's match this year Argentina is also happy, right there, see Argentina, Father's champion, I also champion my heart, miss you Miss You Dad")</f>
        <v>national team and favorite player late father we used to nobar together when Pilduun or if Argentina is a daddy's match this year Argentina is also happy, right there, see Argentina, Father's champion, I also champion my heart, miss you Miss You Dad</v>
      </c>
    </row>
    <row r="11296" ht="15.75" customHeight="1">
      <c r="A11296" s="1">
        <v>12540.0</v>
      </c>
      <c r="B11296" s="3" t="s">
        <v>32106</v>
      </c>
      <c r="C11296" s="3">
        <v>0.0</v>
      </c>
      <c r="D11296" s="3">
        <v>0.0</v>
      </c>
      <c r="E11296" s="3">
        <v>0.0</v>
      </c>
      <c r="F11296" s="3" t="s">
        <v>32107</v>
      </c>
      <c r="G11296" s="3">
        <v>0.0</v>
      </c>
      <c r="H11296" s="3">
        <v>0.0</v>
      </c>
      <c r="I11296" s="3" t="s">
        <v>13</v>
      </c>
      <c r="J11296" s="3" t="s">
        <v>32108</v>
      </c>
      <c r="K11296" s="3" t="s">
        <v>123</v>
      </c>
      <c r="L11296" s="3" t="str">
        <f>IFERROR(__xludf.DUMMYFUNCTION("GOOGLETRANSLATE(F11296,""id"",""en"")"),"The time is really predicted to predict VIVA champion when you use it like Argentina who is the champion")</f>
        <v>The time is really predicted to predict VIVA champion when you use it like Argentina who is the champion</v>
      </c>
    </row>
    <row r="11297" ht="15.75" customHeight="1">
      <c r="A11297" s="1">
        <v>12541.0</v>
      </c>
      <c r="B11297" s="3" t="s">
        <v>32109</v>
      </c>
      <c r="C11297" s="3">
        <v>1.0</v>
      </c>
      <c r="D11297" s="3">
        <v>0.0</v>
      </c>
      <c r="E11297" s="3">
        <v>0.0</v>
      </c>
      <c r="F11297" s="3" t="s">
        <v>32110</v>
      </c>
      <c r="G11297" s="3">
        <v>0.0</v>
      </c>
      <c r="H11297" s="3">
        <v>0.0</v>
      </c>
      <c r="I11297" s="3" t="s">
        <v>13</v>
      </c>
      <c r="J11297" s="3" t="s">
        <v>32111</v>
      </c>
      <c r="K11297" s="3" t="s">
        <v>644</v>
      </c>
      <c r="L11297" s="3" t="str">
        <f>IFERROR(__xludf.DUMMYFUNCTION("GOOGLETRANSLATE(F11297,""id"",""en"")"),"But Argentina is still champion")</f>
        <v>But Argentina is still champion</v>
      </c>
    </row>
    <row r="11298" ht="15.75" customHeight="1">
      <c r="A11298" s="1">
        <v>12542.0</v>
      </c>
      <c r="B11298" s="3" t="s">
        <v>32112</v>
      </c>
      <c r="C11298" s="3">
        <v>0.0</v>
      </c>
      <c r="D11298" s="3">
        <v>0.0</v>
      </c>
      <c r="E11298" s="3">
        <v>0.0</v>
      </c>
      <c r="F11298" s="3" t="s">
        <v>32113</v>
      </c>
      <c r="G11298" s="3">
        <v>0.0</v>
      </c>
      <c r="H11298" s="3">
        <v>0.0</v>
      </c>
      <c r="I11298" s="3" t="s">
        <v>13</v>
      </c>
      <c r="J11298" s="3" t="s">
        <v>32114</v>
      </c>
      <c r="K11298" s="3" t="s">
        <v>19</v>
      </c>
      <c r="L11298" s="3" t="str">
        <f>IFERROR(__xludf.DUMMYFUNCTION("GOOGLETRANSLATE(F11298,""id"",""en"")"),"Argentina Champion World Cup after defeating France through this penalty shootout summary of the match")</f>
        <v>Argentina Champion World Cup after defeating France through this penalty shootout summary of the match</v>
      </c>
    </row>
    <row r="11299" ht="15.75" customHeight="1">
      <c r="A11299" s="1">
        <v>12543.0</v>
      </c>
      <c r="B11299" s="3" t="s">
        <v>32115</v>
      </c>
      <c r="C11299" s="3">
        <v>0.0</v>
      </c>
      <c r="D11299" s="3">
        <v>0.0</v>
      </c>
      <c r="E11299" s="3">
        <v>0.0</v>
      </c>
      <c r="F11299" s="3" t="s">
        <v>32116</v>
      </c>
      <c r="G11299" s="3">
        <v>0.0</v>
      </c>
      <c r="H11299" s="3">
        <v>0.0</v>
      </c>
      <c r="I11299" s="3" t="s">
        <v>13</v>
      </c>
      <c r="J11299" s="3" t="s">
        <v>32117</v>
      </c>
      <c r="K11299" s="3" t="s">
        <v>19</v>
      </c>
      <c r="L11299" s="3" t="str">
        <f>IFERROR(__xludf.DUMMYFUNCTION("GOOGLETRANSLATE(F11299,""id"",""en"")"),"Argentina has champions World Cup many times France is also Portugal when Akwowkwowko")</f>
        <v>Argentina has champions World Cup many times France is also Portugal when Akwowkwowko</v>
      </c>
    </row>
    <row r="11300" ht="15.75" customHeight="1">
      <c r="A11300" s="1">
        <v>12544.0</v>
      </c>
      <c r="B11300" s="3" t="s">
        <v>32118</v>
      </c>
      <c r="C11300" s="3">
        <v>1.0</v>
      </c>
      <c r="D11300" s="3">
        <v>0.0</v>
      </c>
      <c r="E11300" s="3">
        <v>0.0</v>
      </c>
      <c r="F11300" s="3" t="s">
        <v>32119</v>
      </c>
      <c r="G11300" s="3">
        <v>0.6</v>
      </c>
      <c r="H11300" s="3">
        <v>0.5</v>
      </c>
      <c r="I11300" s="3" t="s">
        <v>48</v>
      </c>
      <c r="J11300" s="3" t="s">
        <v>32120</v>
      </c>
      <c r="K11300" s="3" t="s">
        <v>236</v>
      </c>
      <c r="L11300" s="3" t="str">
        <f>IFERROR(__xludf.DUMMYFUNCTION("GOOGLETRANSLATE(F11300,""id"",""en"")"),"Argentina Champion But Mbappe is cool, you can't waver, you have to love Neymar until anytime")</f>
        <v>Argentina Champion But Mbappe is cool, you can't waver, you have to love Neymar until anytime</v>
      </c>
    </row>
    <row r="11301" ht="15.75" customHeight="1">
      <c r="A11301" s="1">
        <v>12545.0</v>
      </c>
      <c r="B11301" s="3" t="s">
        <v>32121</v>
      </c>
      <c r="C11301" s="3">
        <v>0.0</v>
      </c>
      <c r="D11301" s="3">
        <v>0.0</v>
      </c>
      <c r="E11301" s="3">
        <v>0.0</v>
      </c>
      <c r="F11301" s="3" t="s">
        <v>32122</v>
      </c>
      <c r="G11301" s="3">
        <v>0.0</v>
      </c>
      <c r="H11301" s="3">
        <v>0.0</v>
      </c>
      <c r="I11301" s="3" t="s">
        <v>13</v>
      </c>
      <c r="J11301" s="3" t="s">
        <v>32123</v>
      </c>
      <c r="K11301" s="3" t="s">
        <v>15</v>
      </c>
      <c r="L11301" s="3" t="str">
        <f>IFERROR(__xludf.DUMMYFUNCTION("GOOGLETRANSLATE(F11301,""id"",""en"")"),"This Indonesia got a national holiday because Argentina was a lazy championship")</f>
        <v>This Indonesia got a national holiday because Argentina was a lazy championship</v>
      </c>
    </row>
    <row r="11302" ht="15.75" customHeight="1">
      <c r="A11302" s="1">
        <v>12546.0</v>
      </c>
      <c r="B11302" s="3" t="s">
        <v>32124</v>
      </c>
      <c r="C11302" s="3">
        <v>0.0</v>
      </c>
      <c r="D11302" s="3">
        <v>0.0</v>
      </c>
      <c r="E11302" s="3">
        <v>0.0</v>
      </c>
      <c r="F11302" s="3" t="s">
        <v>32125</v>
      </c>
      <c r="G11302" s="3">
        <v>0.0</v>
      </c>
      <c r="H11302" s="3">
        <v>0.0</v>
      </c>
      <c r="I11302" s="3" t="s">
        <v>13</v>
      </c>
      <c r="J11302" s="3" t="s">
        <v>32126</v>
      </c>
      <c r="K11302" s="3" t="s">
        <v>19</v>
      </c>
      <c r="L11302" s="3" t="str">
        <f>IFERROR(__xludf.DUMMYFUNCTION("GOOGLETRANSLATE(F11302,""id"",""en"")"),"World Cup Champion Messi still continues to play for Argentina CNN Indonesia Google Sports News")</f>
        <v>World Cup Champion Messi still continues to play for Argentina CNN Indonesia Google Sports News</v>
      </c>
    </row>
    <row r="11303" ht="15.75" customHeight="1">
      <c r="A11303" s="1">
        <v>12547.0</v>
      </c>
      <c r="B11303" s="3" t="s">
        <v>32127</v>
      </c>
      <c r="C11303" s="3">
        <v>0.0</v>
      </c>
      <c r="D11303" s="3">
        <v>0.0</v>
      </c>
      <c r="E11303" s="3">
        <v>0.0</v>
      </c>
      <c r="F11303" s="3" t="s">
        <v>32128</v>
      </c>
      <c r="G11303" s="3">
        <v>0.0</v>
      </c>
      <c r="H11303" s="3">
        <v>0.0</v>
      </c>
      <c r="I11303" s="3" t="s">
        <v>13</v>
      </c>
      <c r="J11303" s="3" t="s">
        <v>32129</v>
      </c>
      <c r="K11303" s="3" t="s">
        <v>82</v>
      </c>
      <c r="L11303" s="3" t="str">
        <f>IFERROR(__xludf.DUMMYFUNCTION("GOOGLETRANSLATE(F11303,""id"",""en"")"),"Only Saudi Arabia can lose Argentina the champion")</f>
        <v>Only Saudi Arabia can lose Argentina the champion</v>
      </c>
    </row>
    <row r="11304" ht="15.75" customHeight="1">
      <c r="A11304" s="1">
        <v>12548.0</v>
      </c>
      <c r="B11304" s="3" t="s">
        <v>32130</v>
      </c>
      <c r="C11304" s="3">
        <v>0.0</v>
      </c>
      <c r="D11304" s="3">
        <v>0.0</v>
      </c>
      <c r="E11304" s="3">
        <v>0.0</v>
      </c>
      <c r="F11304" s="3" t="s">
        <v>32131</v>
      </c>
      <c r="G11304" s="3">
        <v>0.3</v>
      </c>
      <c r="H11304" s="3">
        <v>0.2</v>
      </c>
      <c r="I11304" s="3" t="s">
        <v>48</v>
      </c>
      <c r="J11304" s="3" t="s">
        <v>32132</v>
      </c>
      <c r="K11304" s="3" t="s">
        <v>1293</v>
      </c>
      <c r="L11304" s="3" t="str">
        <f>IFERROR(__xludf.DUMMYFUNCTION("GOOGLETRANSLATE(F11304,""id"",""en"")"),"Nie Team Defeating Argentina is a Saudi Arabia MMG deserves the SORGE train haha ​​to defeat the world championship")</f>
        <v>Nie Team Defeating Argentina is a Saudi Arabia MMG deserves the SORGE train haha ​​to defeat the world championship</v>
      </c>
    </row>
    <row r="11305" ht="15.75" customHeight="1">
      <c r="A11305" s="1">
        <v>12549.0</v>
      </c>
      <c r="B11305" s="3" t="s">
        <v>32133</v>
      </c>
      <c r="C11305" s="3">
        <v>0.0</v>
      </c>
      <c r="D11305" s="3">
        <v>0.0</v>
      </c>
      <c r="E11305" s="3">
        <v>0.0</v>
      </c>
      <c r="F11305" s="3" t="s">
        <v>32134</v>
      </c>
      <c r="G11305" s="3">
        <v>1.0</v>
      </c>
      <c r="H11305" s="3">
        <v>0.0</v>
      </c>
      <c r="I11305" s="3" t="s">
        <v>13</v>
      </c>
      <c r="J11305" s="3" t="s">
        <v>32135</v>
      </c>
      <c r="K11305" s="3" t="s">
        <v>27</v>
      </c>
      <c r="L11305" s="3" t="str">
        <f>IFERROR(__xludf.DUMMYFUNCTION("GOOGLETRANSLATE(F11305,""id"",""en"")"),"Yok already my hero entered all the final and real Argentina according to the predictions of the champion seeing the previous tweet and back to the fans setting fans again yok bismillah season lifting the trophy")</f>
        <v>Yok already my hero entered all the final and real Argentina according to the predictions of the champion seeing the previous tweet and back to the fans setting fans again yok bismillah season lifting the trophy</v>
      </c>
    </row>
    <row r="11306" ht="15.75" customHeight="1">
      <c r="A11306" s="1">
        <v>12550.0</v>
      </c>
      <c r="B11306" s="3" t="s">
        <v>32136</v>
      </c>
      <c r="C11306" s="3">
        <v>3.0</v>
      </c>
      <c r="D11306" s="3">
        <v>0.0</v>
      </c>
      <c r="E11306" s="3">
        <v>7.0</v>
      </c>
      <c r="F11306" s="3" t="s">
        <v>32137</v>
      </c>
      <c r="G11306" s="3">
        <v>1.0</v>
      </c>
      <c r="H11306" s="3">
        <v>0.0</v>
      </c>
      <c r="I11306" s="3" t="s">
        <v>13</v>
      </c>
      <c r="J11306" s="3" t="s">
        <v>32138</v>
      </c>
      <c r="K11306" s="3" t="s">
        <v>1489</v>
      </c>
      <c r="L11306" s="3" t="str">
        <f>IFERROR(__xludf.DUMMYFUNCTION("GOOGLETRANSLATE(F11306,""id"",""en"")"),"The final match of Maeng Bengi Iso Bangkitno my passion to watch Bal but the League Sek Gak Iso Happy Argentina Wes Iso Champion World Cup Maneh Congratulations Saudi Arabia Wes Ngalahno Argentina")</f>
        <v>The final match of Maeng Bengi Iso Bangkitno my passion to watch Bal but the League Sek Gak Iso Happy Argentina Wes Iso Champion World Cup Maneh Congratulations Saudi Arabia Wes Ngalahno Argentina</v>
      </c>
    </row>
    <row r="11307" ht="15.75" customHeight="1">
      <c r="A11307" s="1">
        <v>12551.0</v>
      </c>
      <c r="B11307" s="3" t="s">
        <v>32139</v>
      </c>
      <c r="C11307" s="3">
        <v>0.0</v>
      </c>
      <c r="D11307" s="3">
        <v>1.0</v>
      </c>
      <c r="E11307" s="3">
        <v>0.0</v>
      </c>
      <c r="F11307" s="3" t="s">
        <v>32140</v>
      </c>
      <c r="G11307" s="3">
        <v>0.0</v>
      </c>
      <c r="H11307" s="3">
        <v>0.0</v>
      </c>
      <c r="I11307" s="3" t="s">
        <v>13</v>
      </c>
      <c r="J11307" s="3" t="s">
        <v>32141</v>
      </c>
      <c r="K11307" s="3" t="s">
        <v>41</v>
      </c>
      <c r="L11307" s="3" t="str">
        <f>IFERROR(__xludf.DUMMYFUNCTION("GOOGLETRANSLATE(F11307,""id"",""en"")"),"Habib Jafar showed off the video of the Argentine national team champion Messi Log")</f>
        <v>Habib Jafar showed off the video of the Argentine national team champion Messi Log</v>
      </c>
    </row>
    <row r="11308" ht="15.75" customHeight="1">
      <c r="A11308" s="1">
        <v>12552.0</v>
      </c>
      <c r="B11308" s="3" t="s">
        <v>32142</v>
      </c>
      <c r="C11308" s="3">
        <v>0.0</v>
      </c>
      <c r="D11308" s="3">
        <v>0.0</v>
      </c>
      <c r="E11308" s="3">
        <v>0.0</v>
      </c>
      <c r="F11308" s="3" t="s">
        <v>32143</v>
      </c>
      <c r="G11308" s="3">
        <v>0.0</v>
      </c>
      <c r="H11308" s="3">
        <v>0.0</v>
      </c>
      <c r="I11308" s="3" t="s">
        <v>13</v>
      </c>
      <c r="J11308" s="3" t="s">
        <v>32144</v>
      </c>
      <c r="K11308" s="3" t="s">
        <v>644</v>
      </c>
      <c r="L11308" s="3" t="str">
        <f>IFERROR(__xludf.DUMMYFUNCTION("GOOGLETRANSLATE(F11308,""id"",""en"")"),"Argentina World Cup Champion")</f>
        <v>Argentina World Cup Champion</v>
      </c>
    </row>
    <row r="11309" ht="15.75" customHeight="1">
      <c r="A11309" s="1">
        <v>12553.0</v>
      </c>
      <c r="B11309" s="3" t="s">
        <v>32145</v>
      </c>
      <c r="C11309" s="3">
        <v>0.0</v>
      </c>
      <c r="D11309" s="3">
        <v>0.0</v>
      </c>
      <c r="E11309" s="3">
        <v>0.0</v>
      </c>
      <c r="F11309" s="3" t="s">
        <v>32146</v>
      </c>
      <c r="G11309" s="3">
        <v>0.0</v>
      </c>
      <c r="H11309" s="3">
        <v>0.0</v>
      </c>
      <c r="I11309" s="3" t="s">
        <v>13</v>
      </c>
      <c r="J11309" s="3" t="s">
        <v>32147</v>
      </c>
      <c r="K11309" s="3" t="s">
        <v>19</v>
      </c>
      <c r="L11309" s="3" t="str">
        <f>IFERROR(__xludf.DUMMYFUNCTION("GOOGLETRANSLATE(F11309,""id"",""en"")"),"Reverend Gke Sakatik Palangkaraya Cebur Church Pool After Argentina World Cup Champion")</f>
        <v>Reverend Gke Sakatik Palangkaraya Cebur Church Pool After Argentina World Cup Champion</v>
      </c>
    </row>
    <row r="11310" ht="15.75" customHeight="1">
      <c r="A11310" s="1">
        <v>12554.0</v>
      </c>
      <c r="B11310" s="3" t="s">
        <v>32148</v>
      </c>
      <c r="C11310" s="3">
        <v>0.0</v>
      </c>
      <c r="D11310" s="3">
        <v>0.0</v>
      </c>
      <c r="E11310" s="3">
        <v>0.0</v>
      </c>
      <c r="F11310" s="3" t="s">
        <v>31768</v>
      </c>
      <c r="G11310" s="3">
        <v>0.0</v>
      </c>
      <c r="H11310" s="3">
        <v>0.0</v>
      </c>
      <c r="I11310" s="3" t="s">
        <v>13</v>
      </c>
      <c r="J11310" s="3" t="s">
        <v>31769</v>
      </c>
      <c r="K11310" s="3" t="s">
        <v>75</v>
      </c>
      <c r="L11310" s="3" t="str">
        <f>IFERROR(__xludf.DUMMYFUNCTION("GOOGLETRANSLATE(F11310,""id"",""en"")"),"French brush and bring our Argentina World Cup champion Lionel Messi Success")</f>
        <v>French brush and bring our Argentina World Cup champion Lionel Messi Success</v>
      </c>
    </row>
    <row r="11311" ht="15.75" customHeight="1">
      <c r="A11311" s="1">
        <v>12555.0</v>
      </c>
      <c r="B11311" s="3" t="s">
        <v>32149</v>
      </c>
      <c r="C11311" s="3">
        <v>0.0</v>
      </c>
      <c r="D11311" s="3">
        <v>0.0</v>
      </c>
      <c r="E11311" s="3">
        <v>0.0</v>
      </c>
      <c r="F11311" s="3" t="s">
        <v>32150</v>
      </c>
      <c r="G11311" s="3">
        <v>0.0</v>
      </c>
      <c r="H11311" s="3">
        <v>0.0</v>
      </c>
      <c r="I11311" s="3" t="s">
        <v>13</v>
      </c>
      <c r="J11311" s="3" t="s">
        <v>32151</v>
      </c>
      <c r="K11311" s="3" t="s">
        <v>127</v>
      </c>
      <c r="L11311" s="3" t="str">
        <f>IFERROR(__xludf.DUMMYFUNCTION("GOOGLETRANSLATE(F11311,""id"",""en"")"),"Congratulations to the Argentine national team after champions and now that made the Goat debate ended see You World Cup Canada United States and Mexico")</f>
        <v>Congratulations to the Argentine national team after champions and now that made the Goat debate ended see You World Cup Canada United States and Mexico</v>
      </c>
    </row>
    <row r="11312" ht="15.75" customHeight="1">
      <c r="A11312" s="1">
        <v>12556.0</v>
      </c>
      <c r="B11312" s="3" t="s">
        <v>32152</v>
      </c>
      <c r="C11312" s="3">
        <v>0.0</v>
      </c>
      <c r="D11312" s="3">
        <v>0.0</v>
      </c>
      <c r="E11312" s="3">
        <v>0.0</v>
      </c>
      <c r="F11312" s="3" t="s">
        <v>32153</v>
      </c>
      <c r="G11312" s="3">
        <v>0.3333333333333333</v>
      </c>
      <c r="H11312" s="3">
        <v>0.1666666666666667</v>
      </c>
      <c r="I11312" s="3" t="s">
        <v>48</v>
      </c>
      <c r="J11312" s="3" t="s">
        <v>32154</v>
      </c>
      <c r="K11312" s="3" t="s">
        <v>19</v>
      </c>
      <c r="L11312" s="3" t="str">
        <f>IFERROR(__xludf.DUMMYFUNCTION("GOOGLETRANSLATE(F11312,""id"",""en"")"),"Successful World Cup Champion Argentina national team coach asked Lionel Messi to play again edition")</f>
        <v>Successful World Cup Champion Argentina national team coach asked Lionel Messi to play again edition</v>
      </c>
    </row>
    <row r="11313" ht="15.75" customHeight="1">
      <c r="A11313" s="1">
        <v>12557.0</v>
      </c>
      <c r="B11313" s="3" t="s">
        <v>32155</v>
      </c>
      <c r="C11313" s="3">
        <v>1.0</v>
      </c>
      <c r="D11313" s="3">
        <v>0.0</v>
      </c>
      <c r="E11313" s="3">
        <v>0.0</v>
      </c>
      <c r="F11313" s="3" t="s">
        <v>32156</v>
      </c>
      <c r="G11313" s="3">
        <v>0.0</v>
      </c>
      <c r="H11313" s="3">
        <v>0.0</v>
      </c>
      <c r="I11313" s="3" t="s">
        <v>13</v>
      </c>
      <c r="J11313" s="3" t="s">
        <v>32157</v>
      </c>
      <c r="K11313" s="3" t="s">
        <v>54</v>
      </c>
      <c r="L11313" s="3" t="str">
        <f>IFERROR(__xludf.DUMMYFUNCTION("GOOGLETRANSLATE(F11313,""id"",""en"")"),"Sobi Argentina is the champion who is the ARGEN team")</f>
        <v>Sobi Argentina is the champion who is the ARGEN team</v>
      </c>
    </row>
    <row r="11314" ht="15.75" customHeight="1">
      <c r="A11314" s="1">
        <v>12558.0</v>
      </c>
      <c r="B11314" s="3" t="s">
        <v>32158</v>
      </c>
      <c r="C11314" s="3">
        <v>1.0</v>
      </c>
      <c r="D11314" s="3">
        <v>0.0</v>
      </c>
      <c r="E11314" s="3">
        <v>0.0</v>
      </c>
      <c r="F11314" s="3" t="s">
        <v>32159</v>
      </c>
      <c r="G11314" s="3">
        <v>0.0</v>
      </c>
      <c r="H11314" s="3">
        <v>0.0</v>
      </c>
      <c r="I11314" s="3" t="s">
        <v>13</v>
      </c>
      <c r="J11314" s="3" t="s">
        <v>32160</v>
      </c>
      <c r="K11314" s="3" t="s">
        <v>41</v>
      </c>
      <c r="L11314" s="3" t="str">
        <f>IFERROR(__xludf.DUMMYFUNCTION("GOOGLETRANSLATE(F11314,""id"",""en"")"),"I already said that if Argentina the champion people are not bothering to be invited")</f>
        <v>I already said that if Argentina the champion people are not bothering to be invited</v>
      </c>
    </row>
    <row r="11315" ht="15.75" customHeight="1">
      <c r="A11315" s="1">
        <v>12559.0</v>
      </c>
      <c r="B11315" s="3" t="s">
        <v>32161</v>
      </c>
      <c r="C11315" s="3">
        <v>0.0</v>
      </c>
      <c r="D11315" s="3">
        <v>0.0</v>
      </c>
      <c r="E11315" s="3">
        <v>0.0</v>
      </c>
      <c r="F11315" s="3" t="s">
        <v>32162</v>
      </c>
      <c r="G11315" s="3">
        <v>0.0</v>
      </c>
      <c r="H11315" s="3">
        <v>0.0</v>
      </c>
      <c r="I11315" s="3" t="s">
        <v>13</v>
      </c>
      <c r="J11315" s="3" t="s">
        <v>32163</v>
      </c>
      <c r="K11315" s="3" t="s">
        <v>244</v>
      </c>
      <c r="L11315" s="3" t="str">
        <f>IFERROR(__xludf.DUMMYFUNCTION("GOOGLETRANSLATE(F11315,""id"",""en"")"),"Argentina Champion World Cup I think how long the national holiday")</f>
        <v>Argentina Champion World Cup I think how long the national holiday</v>
      </c>
    </row>
    <row r="11316" ht="15.75" customHeight="1">
      <c r="A11316" s="1">
        <v>12560.0</v>
      </c>
      <c r="B11316" s="3" t="s">
        <v>32164</v>
      </c>
      <c r="C11316" s="3">
        <v>0.0</v>
      </c>
      <c r="D11316" s="3">
        <v>0.0</v>
      </c>
      <c r="E11316" s="3">
        <v>0.0</v>
      </c>
      <c r="F11316" s="3" t="s">
        <v>32165</v>
      </c>
      <c r="G11316" s="3">
        <v>0.0</v>
      </c>
      <c r="H11316" s="3">
        <v>0.0</v>
      </c>
      <c r="I11316" s="3" t="s">
        <v>13</v>
      </c>
      <c r="J11316" s="3" t="s">
        <v>32166</v>
      </c>
      <c r="K11316" s="3" t="s">
        <v>41</v>
      </c>
      <c r="L11316" s="3" t="str">
        <f>IFERROR(__xludf.DUMMYFUNCTION("GOOGLETRANSLATE(F11316,""id"",""en"")"),"the Argentina champion who is thanksgiving PSG Achraf Hakimi Messi Mbappe Varane")</f>
        <v>the Argentina champion who is thanksgiving PSG Achraf Hakimi Messi Mbappe Varane</v>
      </c>
    </row>
    <row r="11317" ht="15.75" customHeight="1">
      <c r="A11317" s="1">
        <v>12561.0</v>
      </c>
      <c r="B11317" s="3" t="s">
        <v>32167</v>
      </c>
      <c r="C11317" s="3">
        <v>0.0</v>
      </c>
      <c r="D11317" s="3">
        <v>0.0</v>
      </c>
      <c r="E11317" s="3">
        <v>0.0</v>
      </c>
      <c r="F11317" s="3" t="s">
        <v>32168</v>
      </c>
      <c r="G11317" s="3">
        <v>1.0</v>
      </c>
      <c r="H11317" s="3">
        <v>0.0</v>
      </c>
      <c r="I11317" s="3" t="s">
        <v>13</v>
      </c>
      <c r="J11317" s="3" t="s">
        <v>32169</v>
      </c>
      <c r="K11317" s="3" t="s">
        <v>19</v>
      </c>
      <c r="L11317" s="3" t="str">
        <f>IFERROR(__xludf.DUMMYFUNCTION("GOOGLETRANSLATE(F11317,""id"",""en"")"),"The failure of France to become the World Cup Final World Champion was caused by Argentina's victory")</f>
        <v>The failure of France to become the World Cup Final World Champion was caused by Argentina's victory</v>
      </c>
    </row>
    <row r="11318" ht="15.75" customHeight="1">
      <c r="A11318" s="1">
        <v>12562.0</v>
      </c>
      <c r="B11318" s="3" t="s">
        <v>32170</v>
      </c>
      <c r="C11318" s="3">
        <v>0.0</v>
      </c>
      <c r="D11318" s="3">
        <v>1.0</v>
      </c>
      <c r="E11318" s="3">
        <v>6.0</v>
      </c>
      <c r="F11318" s="3" t="s">
        <v>28584</v>
      </c>
      <c r="G11318" s="3">
        <v>0.0</v>
      </c>
      <c r="H11318" s="3">
        <v>0.0</v>
      </c>
      <c r="I11318" s="3" t="s">
        <v>13</v>
      </c>
      <c r="J11318" s="3" t="s">
        <v>28585</v>
      </c>
      <c r="K11318" s="3" t="s">
        <v>19</v>
      </c>
      <c r="L11318" s="3" t="str">
        <f>IFERROR(__xludf.DUMMYFUNCTION("GOOGLETRANSLATE(F11318,""id"",""en"")"),"between Argentina World Cup champion Paulo Dybala ended a bad shadow of a penalty shootout")</f>
        <v>between Argentina World Cup champion Paulo Dybala ended a bad shadow of a penalty shootout</v>
      </c>
    </row>
    <row r="11319" ht="15.75" customHeight="1">
      <c r="A11319" s="1">
        <v>12563.0</v>
      </c>
      <c r="B11319" s="3" t="s">
        <v>32171</v>
      </c>
      <c r="C11319" s="3">
        <v>0.0</v>
      </c>
      <c r="D11319" s="3">
        <v>0.0</v>
      </c>
      <c r="E11319" s="3">
        <v>0.0</v>
      </c>
      <c r="F11319" s="3" t="s">
        <v>31970</v>
      </c>
      <c r="G11319" s="3">
        <v>0.0</v>
      </c>
      <c r="H11319" s="3">
        <v>0.0</v>
      </c>
      <c r="I11319" s="3" t="s">
        <v>13</v>
      </c>
      <c r="J11319" s="3" t="s">
        <v>31971</v>
      </c>
      <c r="K11319" s="3" t="s">
        <v>15</v>
      </c>
      <c r="L11319" s="3" t="str">
        <f>IFERROR(__xludf.DUMMYFUNCTION("GOOGLETRANSLATE(F11319,""id"",""en"")"),"Argentina Champion World Cup Lionel Messi's Record")</f>
        <v>Argentina Champion World Cup Lionel Messi's Record</v>
      </c>
    </row>
    <row r="11320" ht="15.75" customHeight="1">
      <c r="A11320" s="1">
        <v>12564.0</v>
      </c>
      <c r="B11320" s="3" t="s">
        <v>32172</v>
      </c>
      <c r="C11320" s="3">
        <v>0.0</v>
      </c>
      <c r="D11320" s="3">
        <v>0.0</v>
      </c>
      <c r="E11320" s="3">
        <v>0.0</v>
      </c>
      <c r="F11320" s="3" t="s">
        <v>32173</v>
      </c>
      <c r="G11320" s="3">
        <v>0.0</v>
      </c>
      <c r="H11320" s="3">
        <v>0.0</v>
      </c>
      <c r="I11320" s="3" t="s">
        <v>13</v>
      </c>
      <c r="J11320" s="3" t="s">
        <v>32174</v>
      </c>
      <c r="K11320" s="3" t="s">
        <v>1097</v>
      </c>
      <c r="L11320" s="3" t="str">
        <f>IFERROR(__xludf.DUMMYFUNCTION("GOOGLETRANSLATE(F11320,""id"",""en"")"),"Jedam Allah Damm Argentina won the Pilduun Champion First Damm")</f>
        <v>Jedam Allah Damm Argentina won the Pilduun Champion First Damm</v>
      </c>
    </row>
    <row r="11321" ht="15.75" customHeight="1">
      <c r="A11321" s="1">
        <v>12565.0</v>
      </c>
      <c r="B11321" s="3" t="s">
        <v>32175</v>
      </c>
      <c r="C11321" s="3">
        <v>0.0</v>
      </c>
      <c r="D11321" s="3">
        <v>0.0</v>
      </c>
      <c r="E11321" s="3">
        <v>0.0</v>
      </c>
      <c r="F11321" s="3" t="s">
        <v>32176</v>
      </c>
      <c r="G11321" s="3">
        <v>0.0</v>
      </c>
      <c r="H11321" s="3">
        <v>0.0</v>
      </c>
      <c r="I11321" s="3" t="s">
        <v>13</v>
      </c>
      <c r="J11321" s="3" t="s">
        <v>32177</v>
      </c>
      <c r="K11321" s="3" t="s">
        <v>54</v>
      </c>
      <c r="L11321" s="3" t="str">
        <f>IFERROR(__xludf.DUMMYFUNCTION("GOOGLETRANSLATE(F11321,""id"",""en"")"),"still shudder seeing Argentina video celebration champions")</f>
        <v>still shudder seeing Argentina video celebration champions</v>
      </c>
    </row>
    <row r="11322" ht="15.75" customHeight="1">
      <c r="A11322" s="1">
        <v>12566.0</v>
      </c>
      <c r="B11322" s="3" t="s">
        <v>32178</v>
      </c>
      <c r="C11322" s="3">
        <v>0.0</v>
      </c>
      <c r="D11322" s="3">
        <v>0.0</v>
      </c>
      <c r="E11322" s="3">
        <v>0.0</v>
      </c>
      <c r="F11322" s="3" t="s">
        <v>32179</v>
      </c>
      <c r="G11322" s="3">
        <v>0.4</v>
      </c>
      <c r="H11322" s="3">
        <v>0.4</v>
      </c>
      <c r="I11322" s="3" t="s">
        <v>48</v>
      </c>
      <c r="J11322" s="3" t="s">
        <v>32180</v>
      </c>
      <c r="K11322" s="3" t="s">
        <v>50</v>
      </c>
      <c r="L11322" s="3" t="str">
        <f>IFERROR(__xludf.DUMMYFUNCTION("GOOGLETRANSLATE(F11322,""id"",""en"")"),"because filling the sound music fifa, so Argentina is the champion, but I fit my")</f>
        <v>because filling the sound music fifa, so Argentina is the champion, but I fit my</v>
      </c>
    </row>
    <row r="11323" ht="15.75" customHeight="1">
      <c r="A11323" s="1">
        <v>12567.0</v>
      </c>
      <c r="B11323" s="3" t="s">
        <v>32181</v>
      </c>
      <c r="C11323" s="3">
        <v>0.0</v>
      </c>
      <c r="D11323" s="3">
        <v>0.0</v>
      </c>
      <c r="E11323" s="3">
        <v>0.0</v>
      </c>
      <c r="F11323" s="3" t="s">
        <v>32182</v>
      </c>
      <c r="G11323" s="3">
        <v>0.0</v>
      </c>
      <c r="H11323" s="3">
        <v>0.0</v>
      </c>
      <c r="I11323" s="3" t="s">
        <v>13</v>
      </c>
      <c r="J11323" s="3" t="s">
        <v>32183</v>
      </c>
      <c r="K11323" s="3" t="s">
        <v>15</v>
      </c>
      <c r="L11323" s="3" t="str">
        <f>IFERROR(__xludf.DUMMYFUNCTION("GOOGLETRANSLATE(F11323,""id"",""en"")"),"Alhamdulillah, during the reign of Jokowi Argentina, he became world champion again")</f>
        <v>Alhamdulillah, during the reign of Jokowi Argentina, he became world champion again</v>
      </c>
    </row>
    <row r="11324" ht="15.75" customHeight="1">
      <c r="A11324" s="1">
        <v>12568.0</v>
      </c>
      <c r="B11324" s="3" t="s">
        <v>32184</v>
      </c>
      <c r="C11324" s="3">
        <v>0.0</v>
      </c>
      <c r="D11324" s="3">
        <v>0.0</v>
      </c>
      <c r="E11324" s="3">
        <v>0.0</v>
      </c>
      <c r="F11324" s="3" t="s">
        <v>32185</v>
      </c>
      <c r="G11324" s="3">
        <v>0.0</v>
      </c>
      <c r="H11324" s="3">
        <v>0.0</v>
      </c>
      <c r="I11324" s="3" t="s">
        <v>13</v>
      </c>
      <c r="J11324" s="3" t="s">
        <v>32186</v>
      </c>
      <c r="K11324" s="3" t="s">
        <v>31</v>
      </c>
      <c r="L11324" s="3" t="str">
        <f>IFERROR(__xludf.DUMMYFUNCTION("GOOGLETRANSLATE(F11324,""id"",""en"")"),"worth Argentina champion there is a jeksi there")</f>
        <v>worth Argentina champion there is a jeksi there</v>
      </c>
    </row>
    <row r="11325" ht="15.75" customHeight="1">
      <c r="A11325" s="1">
        <v>12569.0</v>
      </c>
      <c r="B11325" s="3" t="s">
        <v>32187</v>
      </c>
      <c r="C11325" s="3">
        <v>0.0</v>
      </c>
      <c r="D11325" s="3">
        <v>0.0</v>
      </c>
      <c r="E11325" s="3">
        <v>0.0</v>
      </c>
      <c r="F11325" s="3" t="s">
        <v>32188</v>
      </c>
      <c r="G11325" s="3">
        <v>0.0</v>
      </c>
      <c r="H11325" s="3">
        <v>0.0</v>
      </c>
      <c r="I11325" s="3" t="s">
        <v>13</v>
      </c>
      <c r="J11325" s="3" t="s">
        <v>32189</v>
      </c>
      <c r="K11325" s="3" t="s">
        <v>82</v>
      </c>
      <c r="L11325" s="3" t="str">
        <f>IFERROR(__xludf.DUMMYFUNCTION("GOOGLETRANSLATE(F11325,""id"",""en"")"),"Argentina won the World Cup championship because her referee was paid")</f>
        <v>Argentina won the World Cup championship because her referee was paid</v>
      </c>
    </row>
    <row r="11326" ht="15.75" customHeight="1">
      <c r="A11326" s="1">
        <v>12570.0</v>
      </c>
      <c r="B11326" s="3" t="s">
        <v>32190</v>
      </c>
      <c r="C11326" s="3">
        <v>0.0</v>
      </c>
      <c r="D11326" s="3">
        <v>0.0</v>
      </c>
      <c r="E11326" s="3">
        <v>1.0</v>
      </c>
      <c r="F11326" s="3" t="s">
        <v>32191</v>
      </c>
      <c r="G11326" s="3">
        <v>0.0</v>
      </c>
      <c r="H11326" s="3">
        <v>0.0</v>
      </c>
      <c r="I11326" s="3" t="s">
        <v>13</v>
      </c>
      <c r="J11326" s="3" t="s">
        <v>32192</v>
      </c>
      <c r="K11326" s="3" t="s">
        <v>27</v>
      </c>
      <c r="L11326" s="3" t="str">
        <f>IFERROR(__xludf.DUMMYFUNCTION("GOOGLETRANSLATE(F11326,""id"",""en"")"),"Omnia Merita Argentina Messi Sunt Specialius Muri Defensionist Argentiniani Emi Martinez Gratias Agimus Tibi Domine Hactenus Argentina or Mum Leonellus Scaloni The King")</f>
        <v>Omnia Merita Argentina Messi Sunt Specialius Muri Defensionist Argentiniani Emi Martinez Gratias Agimus Tibi Domine Hactenus Argentina or Mum Leonellus Scaloni The King</v>
      </c>
    </row>
    <row r="11327" ht="15.75" customHeight="1">
      <c r="A11327" s="1">
        <v>12571.0</v>
      </c>
      <c r="B11327" s="3" t="s">
        <v>32193</v>
      </c>
      <c r="C11327" s="3">
        <v>0.0</v>
      </c>
      <c r="D11327" s="3">
        <v>0.0</v>
      </c>
      <c r="E11327" s="3">
        <v>0.0</v>
      </c>
      <c r="F11327" s="3" t="s">
        <v>22394</v>
      </c>
      <c r="G11327" s="3">
        <v>0.0</v>
      </c>
      <c r="H11327" s="3">
        <v>0.0</v>
      </c>
      <c r="I11327" s="3" t="s">
        <v>13</v>
      </c>
      <c r="J11327" s="3" t="s">
        <v>22395</v>
      </c>
      <c r="K11327" s="3" t="s">
        <v>82</v>
      </c>
      <c r="L11327" s="3" t="str">
        <f>IFERROR(__xludf.DUMMYFUNCTION("GOOGLETRANSLATE(F11327,""id"",""en"")"),"Argentina World Cup Champion End waiting for the year")</f>
        <v>Argentina World Cup Champion End waiting for the year</v>
      </c>
    </row>
    <row r="11328" ht="15.75" customHeight="1">
      <c r="A11328" s="1">
        <v>12572.0</v>
      </c>
      <c r="B11328" s="3" t="s">
        <v>32194</v>
      </c>
      <c r="C11328" s="3">
        <v>1.0</v>
      </c>
      <c r="D11328" s="3">
        <v>0.0</v>
      </c>
      <c r="E11328" s="3">
        <v>0.0</v>
      </c>
      <c r="F11328" s="3" t="s">
        <v>32195</v>
      </c>
      <c r="G11328" s="3">
        <v>0.0</v>
      </c>
      <c r="H11328" s="3">
        <v>0.0</v>
      </c>
      <c r="I11328" s="3" t="s">
        <v>13</v>
      </c>
      <c r="J11328" s="3" t="s">
        <v>32196</v>
      </c>
      <c r="K11328" s="3" t="s">
        <v>510</v>
      </c>
      <c r="L11328" s="3" t="str">
        <f>IFERROR(__xludf.DUMMYFUNCTION("GOOGLETRANSLATE(F11328,""id"",""en"")"),"Argentina is champion because it prioritizes the first permit if you want to do what to do, what is the Messi hitching a ride")</f>
        <v>Argentina is champion because it prioritizes the first permit if you want to do what to do, what is the Messi hitching a ride</v>
      </c>
    </row>
    <row r="11329" ht="15.75" customHeight="1">
      <c r="A11329" s="1">
        <v>12573.0</v>
      </c>
      <c r="B11329" s="3" t="s">
        <v>32197</v>
      </c>
      <c r="C11329" s="3">
        <v>0.0</v>
      </c>
      <c r="D11329" s="3">
        <v>0.0</v>
      </c>
      <c r="E11329" s="3">
        <v>3.0</v>
      </c>
      <c r="F11329" s="3" t="s">
        <v>32198</v>
      </c>
      <c r="G11329" s="3">
        <v>0.0</v>
      </c>
      <c r="H11329" s="3">
        <v>0.0</v>
      </c>
      <c r="I11329" s="3" t="s">
        <v>13</v>
      </c>
      <c r="J11329" s="3" t="s">
        <v>32199</v>
      </c>
      <c r="K11329" s="3" t="s">
        <v>644</v>
      </c>
      <c r="L11329" s="3" t="str">
        <f>IFERROR(__xludf.DUMMYFUNCTION("GOOGLETRANSLATE(F11329,""id"",""en"")"),"Good morning world champion")</f>
        <v>Good morning world champion</v>
      </c>
    </row>
    <row r="11330" ht="15.75" customHeight="1">
      <c r="A11330" s="1">
        <v>12574.0</v>
      </c>
      <c r="B11330" s="3" t="s">
        <v>32200</v>
      </c>
      <c r="C11330" s="3">
        <v>0.0</v>
      </c>
      <c r="D11330" s="3">
        <v>1.0</v>
      </c>
      <c r="E11330" s="3">
        <v>9.0</v>
      </c>
      <c r="F11330" s="3" t="s">
        <v>32201</v>
      </c>
      <c r="G11330" s="3">
        <v>1.0</v>
      </c>
      <c r="H11330" s="3">
        <v>0.0</v>
      </c>
      <c r="I11330" s="3" t="s">
        <v>13</v>
      </c>
      <c r="J11330" s="3" t="s">
        <v>32202</v>
      </c>
      <c r="K11330" s="3" t="s">
        <v>510</v>
      </c>
      <c r="L11330" s="3" t="str">
        <f>IFERROR(__xludf.DUMMYFUNCTION("GOOGLETRANSLATE(F11330,""id"",""en"")"),"There is still Indonesia, how come Argentina is the World Cup champion after defeating France the final party which took place very dramatically")</f>
        <v>There is still Indonesia, how come Argentina is the World Cup champion after defeating France the final party which took place very dramatically</v>
      </c>
    </row>
    <row r="11331" ht="15.75" customHeight="1">
      <c r="A11331" s="1">
        <v>12575.0</v>
      </c>
      <c r="B11331" s="3" t="s">
        <v>32203</v>
      </c>
      <c r="C11331" s="3">
        <v>0.0</v>
      </c>
      <c r="D11331" s="3">
        <v>0.0</v>
      </c>
      <c r="E11331" s="3">
        <v>0.0</v>
      </c>
      <c r="F11331" s="3" t="s">
        <v>32204</v>
      </c>
      <c r="G11331" s="3">
        <v>0.0</v>
      </c>
      <c r="H11331" s="3">
        <v>0.0</v>
      </c>
      <c r="I11331" s="3" t="s">
        <v>13</v>
      </c>
      <c r="J11331" s="3" t="s">
        <v>32205</v>
      </c>
      <c r="K11331" s="3" t="s">
        <v>433</v>
      </c>
      <c r="L11331" s="3" t="str">
        <f>IFERROR(__xludf.DUMMYFUNCTION("GOOGLETRANSLATE(F11331,""id"",""en"")"),"Since the Jokowilah Argentina government has only won the World Cup Jokowi live in the life of Ruhut Cebong Pnjilat")</f>
        <v>Since the Jokowilah Argentina government has only won the World Cup Jokowi live in the life of Ruhut Cebong Pnjilat</v>
      </c>
    </row>
    <row r="11332" ht="15.75" customHeight="1">
      <c r="A11332" s="1">
        <v>12576.0</v>
      </c>
      <c r="B11332" s="3" t="s">
        <v>32206</v>
      </c>
      <c r="C11332" s="3">
        <v>0.0</v>
      </c>
      <c r="D11332" s="3">
        <v>0.0</v>
      </c>
      <c r="E11332" s="3">
        <v>1.0</v>
      </c>
      <c r="F11332" s="3" t="s">
        <v>32207</v>
      </c>
      <c r="G11332" s="3">
        <v>0.0</v>
      </c>
      <c r="H11332" s="3">
        <v>0.0</v>
      </c>
      <c r="I11332" s="3" t="s">
        <v>13</v>
      </c>
      <c r="J11332" s="3" t="s">
        <v>32208</v>
      </c>
      <c r="K11332" s="3" t="s">
        <v>273</v>
      </c>
      <c r="L11332" s="3" t="str">
        <f>IFERROR(__xludf.DUMMYFUNCTION("GOOGLETRANSLATE(F11332,""id"",""en"")"),"After many plot twist and drama shootout of Argentina's official World Cup, despite reaching the dream of bringing the Argentine national team to win the World Cup Messi, he said he still did not want to retire, you know Aditya Audience")</f>
        <v>After many plot twist and drama shootout of Argentina's official World Cup, despite reaching the dream of bringing the Argentine national team to win the World Cup Messi, he said he still did not want to retire, you know Aditya Audience</v>
      </c>
    </row>
    <row r="11333" ht="15.75" customHeight="1">
      <c r="A11333" s="1">
        <v>12577.0</v>
      </c>
      <c r="B11333" s="3" t="s">
        <v>32209</v>
      </c>
      <c r="C11333" s="3">
        <v>0.0</v>
      </c>
      <c r="D11333" s="3">
        <v>13.0</v>
      </c>
      <c r="E11333" s="3">
        <v>12.0</v>
      </c>
      <c r="F11333" s="3" t="s">
        <v>32210</v>
      </c>
      <c r="G11333" s="3">
        <v>0.0</v>
      </c>
      <c r="H11333" s="3">
        <v>0.0</v>
      </c>
      <c r="I11333" s="3" t="s">
        <v>13</v>
      </c>
      <c r="J11333" s="3" t="s">
        <v>32211</v>
      </c>
      <c r="K11333" s="3" t="s">
        <v>35</v>
      </c>
      <c r="L11333" s="3" t="str">
        <f>IFERROR(__xludf.DUMMYFUNCTION("GOOGLETRANSLATE(F11333,""id"",""en"")"),"Congratulations to Argentina officially won the Qatar World Cup who is the Argentine Jagoin last night")</f>
        <v>Congratulations to Argentina officially won the Qatar World Cup who is the Argentine Jagoin last night</v>
      </c>
    </row>
    <row r="11334" ht="15.75" customHeight="1">
      <c r="A11334" s="1">
        <v>12578.0</v>
      </c>
      <c r="B11334" s="3" t="s">
        <v>32212</v>
      </c>
      <c r="C11334" s="3">
        <v>0.0</v>
      </c>
      <c r="D11334" s="3">
        <v>0.0</v>
      </c>
      <c r="E11334" s="3">
        <v>0.0</v>
      </c>
      <c r="F11334" s="3" t="s">
        <v>32213</v>
      </c>
      <c r="G11334" s="3">
        <v>0.0</v>
      </c>
      <c r="H11334" s="3">
        <v>0.0</v>
      </c>
      <c r="I11334" s="3" t="s">
        <v>13</v>
      </c>
      <c r="J11334" s="3" t="s">
        <v>32214</v>
      </c>
      <c r="K11334" s="3" t="s">
        <v>82</v>
      </c>
      <c r="L11334" s="3" t="str">
        <f>IFERROR(__xludf.DUMMYFUNCTION("GOOGLETRANSLATE(F11334,""id"",""en"")"),"Duo Lionel managed to bring Argentina in the world champion")</f>
        <v>Duo Lionel managed to bring Argentina in the world champion</v>
      </c>
    </row>
    <row r="11335" ht="15.75" customHeight="1">
      <c r="A11335" s="1">
        <v>12579.0</v>
      </c>
      <c r="B11335" s="3" t="s">
        <v>32215</v>
      </c>
      <c r="C11335" s="3">
        <v>0.0</v>
      </c>
      <c r="D11335" s="3">
        <v>0.0</v>
      </c>
      <c r="E11335" s="3">
        <v>0.0</v>
      </c>
      <c r="F11335" s="3" t="s">
        <v>32216</v>
      </c>
      <c r="G11335" s="3">
        <v>0.0</v>
      </c>
      <c r="H11335" s="3">
        <v>0.0</v>
      </c>
      <c r="I11335" s="3" t="s">
        <v>13</v>
      </c>
      <c r="J11335" s="3" t="s">
        <v>32217</v>
      </c>
      <c r="K11335" s="3" t="s">
        <v>82</v>
      </c>
      <c r="L11335" s="3" t="str">
        <f>IFERROR(__xludf.DUMMYFUNCTION("GOOGLETRANSLATE(F11335,""id"",""en"")"),"Mbappe Got World Champion Tropy Golden Shoes for Argentina")</f>
        <v>Mbappe Got World Champion Tropy Golden Shoes for Argentina</v>
      </c>
    </row>
    <row r="11336" ht="15.75" customHeight="1">
      <c r="A11336" s="1">
        <v>12580.0</v>
      </c>
      <c r="B11336" s="3" t="s">
        <v>32218</v>
      </c>
      <c r="C11336" s="3">
        <v>0.0</v>
      </c>
      <c r="D11336" s="3">
        <v>0.0</v>
      </c>
      <c r="E11336" s="3">
        <v>0.0</v>
      </c>
      <c r="F11336" s="3" t="s">
        <v>32219</v>
      </c>
      <c r="G11336" s="3">
        <v>0.0</v>
      </c>
      <c r="H11336" s="3">
        <v>0.0</v>
      </c>
      <c r="I11336" s="3" t="s">
        <v>13</v>
      </c>
      <c r="J11336" s="3" t="s">
        <v>32220</v>
      </c>
      <c r="K11336" s="3" t="s">
        <v>495</v>
      </c>
      <c r="L11336" s="3" t="str">
        <f>IFERROR(__xludf.DUMMYFUNCTION("GOOGLETRANSLATE(F11336,""id"",""en"")"),"It can't be like that we also have to respect them even though we supporters Argentina bullies when they lose Saudi opponents are sick, but the important thing is now that we are champions")</f>
        <v>It can't be like that we also have to respect them even though we supporters Argentina bullies when they lose Saudi opponents are sick, but the important thing is now that we are champions</v>
      </c>
    </row>
    <row r="11337" ht="15.75" customHeight="1">
      <c r="A11337" s="1">
        <v>12581.0</v>
      </c>
      <c r="B11337" s="3" t="s">
        <v>32221</v>
      </c>
      <c r="C11337" s="3">
        <v>1.0</v>
      </c>
      <c r="D11337" s="3">
        <v>1.0</v>
      </c>
      <c r="E11337" s="3">
        <v>3.0</v>
      </c>
      <c r="F11337" s="3" t="s">
        <v>32222</v>
      </c>
      <c r="G11337" s="3">
        <v>0.0</v>
      </c>
      <c r="H11337" s="3">
        <v>0.0</v>
      </c>
      <c r="I11337" s="3" t="s">
        <v>13</v>
      </c>
      <c r="J11337" s="3" t="s">
        <v>32223</v>
      </c>
      <c r="K11337" s="3" t="s">
        <v>75</v>
      </c>
      <c r="L11337" s="3" t="str">
        <f>IFERROR(__xludf.DUMMYFUNCTION("GOOGLETRANSLATE(F11337,""id"",""en"")"),"Buset there is a comment like this means that the world champion is Saudi Arabia they beat Argentina")</f>
        <v>Buset there is a comment like this means that the world champion is Saudi Arabia they beat Argentina</v>
      </c>
    </row>
    <row r="11338" ht="15.75" customHeight="1">
      <c r="A11338" s="1">
        <v>12582.0</v>
      </c>
      <c r="B11338" s="3" t="s">
        <v>32224</v>
      </c>
      <c r="C11338" s="3">
        <v>0.0</v>
      </c>
      <c r="D11338" s="3">
        <v>0.0</v>
      </c>
      <c r="E11338" s="3">
        <v>0.0</v>
      </c>
      <c r="F11338" s="3" t="s">
        <v>32225</v>
      </c>
      <c r="G11338" s="3">
        <v>0.0</v>
      </c>
      <c r="H11338" s="3">
        <v>0.0</v>
      </c>
      <c r="I11338" s="3" t="s">
        <v>13</v>
      </c>
      <c r="J11338" s="3" t="s">
        <v>32226</v>
      </c>
      <c r="K11338" s="3" t="s">
        <v>54</v>
      </c>
      <c r="L11338" s="3" t="str">
        <f>IFERROR(__xludf.DUMMYFUNCTION("GOOGLETRANSLATE(F11338,""id"",""en"")"),"There will be a lot of debate after Argentina and Messi World Champion")</f>
        <v>There will be a lot of debate after Argentina and Messi World Champion</v>
      </c>
    </row>
    <row r="11339" ht="15.75" customHeight="1">
      <c r="A11339" s="1">
        <v>12583.0</v>
      </c>
      <c r="B11339" s="3" t="s">
        <v>32227</v>
      </c>
      <c r="C11339" s="3">
        <v>0.0</v>
      </c>
      <c r="D11339" s="3">
        <v>0.0</v>
      </c>
      <c r="E11339" s="3">
        <v>0.0</v>
      </c>
      <c r="F11339" s="3" t="s">
        <v>30748</v>
      </c>
      <c r="G11339" s="3">
        <v>0.0</v>
      </c>
      <c r="H11339" s="3">
        <v>0.0</v>
      </c>
      <c r="I11339" s="3" t="s">
        <v>13</v>
      </c>
      <c r="J11339" s="3" t="s">
        <v>30749</v>
      </c>
      <c r="K11339" s="3" t="s">
        <v>19</v>
      </c>
      <c r="L11339" s="3" t="str">
        <f>IFERROR(__xludf.DUMMYFUNCTION("GOOGLETRANSLATE(F11339,""id"",""en"")"),"Argentina won the World Cup championship title Lionel Messi was predicted last year")</f>
        <v>Argentina won the World Cup championship title Lionel Messi was predicted last year</v>
      </c>
    </row>
    <row r="11340" ht="15.75" customHeight="1">
      <c r="A11340" s="1">
        <v>12584.0</v>
      </c>
      <c r="B11340" s="3" t="s">
        <v>32228</v>
      </c>
      <c r="C11340" s="3">
        <v>0.0</v>
      </c>
      <c r="D11340" s="3">
        <v>0.0</v>
      </c>
      <c r="E11340" s="3">
        <v>0.0</v>
      </c>
      <c r="F11340" s="3" t="s">
        <v>32229</v>
      </c>
      <c r="G11340" s="3">
        <v>0.0</v>
      </c>
      <c r="H11340" s="3">
        <v>0.0</v>
      </c>
      <c r="I11340" s="3" t="s">
        <v>13</v>
      </c>
      <c r="J11340" s="3" t="s">
        <v>32230</v>
      </c>
      <c r="K11340" s="3" t="s">
        <v>41</v>
      </c>
      <c r="L11340" s="3" t="str">
        <f>IFERROR(__xludf.DUMMYFUNCTION("GOOGLETRANSLATE(F11340,""id"",""en"")"),"I thought Morocco could be big but if Argentina champions had fling from the beginning before starting")</f>
        <v>I thought Morocco could be big but if Argentina champions had fling from the beginning before starting</v>
      </c>
    </row>
    <row r="11341" ht="15.75" customHeight="1">
      <c r="A11341" s="1">
        <v>12585.0</v>
      </c>
      <c r="B11341" s="3" t="s">
        <v>32231</v>
      </c>
      <c r="C11341" s="3">
        <v>0.0</v>
      </c>
      <c r="D11341" s="3">
        <v>0.0</v>
      </c>
      <c r="E11341" s="3">
        <v>1.0</v>
      </c>
      <c r="F11341" s="3" t="s">
        <v>32232</v>
      </c>
      <c r="G11341" s="3">
        <v>0.0</v>
      </c>
      <c r="H11341" s="3">
        <v>0.0</v>
      </c>
      <c r="I11341" s="3" t="s">
        <v>13</v>
      </c>
      <c r="J11341" s="3" t="s">
        <v>32233</v>
      </c>
      <c r="K11341" s="3" t="s">
        <v>19</v>
      </c>
      <c r="L11341" s="3" t="str">
        <f>IFERROR(__xludf.DUMMYFUNCTION("GOOGLETRANSLATE(F11341,""id"",""en"")"),"Argentina Champion World Cup Qatar Messi became the most complete soccer player")</f>
        <v>Argentina Champion World Cup Qatar Messi became the most complete soccer player</v>
      </c>
    </row>
    <row r="11342" ht="15.75" customHeight="1">
      <c r="A11342" s="1">
        <v>12586.0</v>
      </c>
      <c r="B11342" s="3" t="s">
        <v>32234</v>
      </c>
      <c r="C11342" s="3">
        <v>0.0</v>
      </c>
      <c r="D11342" s="3">
        <v>0.0</v>
      </c>
      <c r="E11342" s="3">
        <v>1.0</v>
      </c>
      <c r="F11342" s="3" t="s">
        <v>32235</v>
      </c>
      <c r="G11342" s="3">
        <v>0.0</v>
      </c>
      <c r="H11342" s="3">
        <v>0.0</v>
      </c>
      <c r="I11342" s="3" t="s">
        <v>13</v>
      </c>
      <c r="J11342" s="3" t="s">
        <v>32236</v>
      </c>
      <c r="K11342" s="3" t="s">
        <v>883</v>
      </c>
      <c r="L11342" s="3" t="str">
        <f>IFERROR(__xludf.DUMMYFUNCTION("GOOGLETRANSLATE(F11342,""id"",""en"")"),"Please Bang Bahas about his Argentin coach if it wasn't because Argentina coach chose the player ahead of the World Cup maybe Argentina would be a champion")</f>
        <v>Please Bang Bahas about his Argentin coach if it wasn't because Argentina coach chose the player ahead of the World Cup maybe Argentina would be a champion</v>
      </c>
    </row>
    <row r="11343" ht="15.75" customHeight="1">
      <c r="A11343" s="1">
        <v>12587.0</v>
      </c>
      <c r="B11343" s="3" t="s">
        <v>32237</v>
      </c>
      <c r="C11343" s="3">
        <v>0.0</v>
      </c>
      <c r="D11343" s="3">
        <v>0.0</v>
      </c>
      <c r="E11343" s="3">
        <v>0.0</v>
      </c>
      <c r="F11343" s="3" t="s">
        <v>32238</v>
      </c>
      <c r="G11343" s="3">
        <v>0.0</v>
      </c>
      <c r="H11343" s="3">
        <v>0.0</v>
      </c>
      <c r="I11343" s="3" t="s">
        <v>13</v>
      </c>
      <c r="J11343" s="3" t="s">
        <v>32239</v>
      </c>
      <c r="K11343" s="3" t="s">
        <v>510</v>
      </c>
      <c r="L11343" s="3" t="str">
        <f>IFERROR(__xludf.DUMMYFUNCTION("GOOGLETRANSLATE(F11343,""id"",""en"")"),"Only the leadership of Mr. Nawi Elub Messi succeeded in bringing Argentina to win the World Cup")</f>
        <v>Only the leadership of Mr. Nawi Elub Messi succeeded in bringing Argentina to win the World Cup</v>
      </c>
    </row>
    <row r="11344" ht="15.75" customHeight="1">
      <c r="A11344" s="1">
        <v>12588.0</v>
      </c>
      <c r="B11344" s="3" t="s">
        <v>32240</v>
      </c>
      <c r="C11344" s="3">
        <v>0.0</v>
      </c>
      <c r="D11344" s="3">
        <v>1.0</v>
      </c>
      <c r="E11344" s="3">
        <v>4.0</v>
      </c>
      <c r="F11344" s="3" t="s">
        <v>32241</v>
      </c>
      <c r="G11344" s="3">
        <v>1.0</v>
      </c>
      <c r="H11344" s="3">
        <v>0.0</v>
      </c>
      <c r="I11344" s="3" t="s">
        <v>13</v>
      </c>
      <c r="J11344" s="3" t="s">
        <v>32242</v>
      </c>
      <c r="K11344" s="3" t="s">
        <v>75</v>
      </c>
      <c r="L11344" s="3" t="str">
        <f>IFERROR(__xludf.DUMMYFUNCTION("GOOGLETRANSLATE(F11344,""id"",""en"")"),"before the final it turned out that Rayyanza had a prediction of Argentina to become the World Cup championship")</f>
        <v>before the final it turned out that Rayyanza had a prediction of Argentina to become the World Cup championship</v>
      </c>
    </row>
    <row r="11345" ht="15.75" customHeight="1">
      <c r="A11345" s="1">
        <v>12589.0</v>
      </c>
      <c r="B11345" s="3" t="s">
        <v>32243</v>
      </c>
      <c r="C11345" s="3">
        <v>0.0</v>
      </c>
      <c r="D11345" s="3">
        <v>0.0</v>
      </c>
      <c r="E11345" s="3">
        <v>0.0</v>
      </c>
      <c r="F11345" s="3" t="s">
        <v>31792</v>
      </c>
      <c r="G11345" s="3">
        <v>0.0</v>
      </c>
      <c r="H11345" s="3">
        <v>0.0</v>
      </c>
      <c r="I11345" s="3" t="s">
        <v>13</v>
      </c>
      <c r="J11345" s="3" t="s">
        <v>25945</v>
      </c>
      <c r="K11345" s="3" t="s">
        <v>240</v>
      </c>
      <c r="L11345" s="3" t="str">
        <f>IFERROR(__xludf.DUMMYFUNCTION("GOOGLETRANSLATE(F11345,""id"",""en"")"),"Argentina won two titles in two years after the Copa America at the current Lionel Scaloni squad successfully won the World Cup")</f>
        <v>Argentina won two titles in two years after the Copa America at the current Lionel Scaloni squad successfully won the World Cup</v>
      </c>
    </row>
    <row r="11346" ht="15.75" customHeight="1">
      <c r="A11346" s="1">
        <v>12590.0</v>
      </c>
      <c r="B11346" s="3" t="s">
        <v>32244</v>
      </c>
      <c r="C11346" s="3">
        <v>0.0</v>
      </c>
      <c r="D11346" s="3">
        <v>1.0</v>
      </c>
      <c r="E11346" s="3">
        <v>17.0</v>
      </c>
      <c r="F11346" s="3" t="s">
        <v>32245</v>
      </c>
      <c r="G11346" s="3">
        <v>0.0</v>
      </c>
      <c r="H11346" s="3">
        <v>0.0</v>
      </c>
      <c r="I11346" s="3" t="s">
        <v>13</v>
      </c>
      <c r="J11346" s="3" t="s">
        <v>32246</v>
      </c>
      <c r="K11346" s="3" t="s">
        <v>1970</v>
      </c>
      <c r="L11346" s="3" t="str">
        <f>IFERROR(__xludf.DUMMYFUNCTION("GOOGLETRANSLATE(F11346,""id"",""en"")"),"The World Cup title became a legacy that Messi inscribed for Argentina Trophi during his professional career as well as being the most beautiful separation that was scratched by Messi before withdrawing from Albiceleste")</f>
        <v>The World Cup title became a legacy that Messi inscribed for Argentina Trophi during his professional career as well as being the most beautiful separation that was scratched by Messi before withdrawing from Albiceleste</v>
      </c>
    </row>
    <row r="11347" ht="15.75" customHeight="1">
      <c r="A11347" s="1">
        <v>12591.0</v>
      </c>
      <c r="B11347" s="3" t="s">
        <v>32247</v>
      </c>
      <c r="C11347" s="3">
        <v>0.0</v>
      </c>
      <c r="D11347" s="3">
        <v>0.0</v>
      </c>
      <c r="E11347" s="3">
        <v>0.0</v>
      </c>
      <c r="F11347" s="3" t="s">
        <v>21729</v>
      </c>
      <c r="G11347" s="3">
        <v>0.0</v>
      </c>
      <c r="H11347" s="3">
        <v>0.0</v>
      </c>
      <c r="I11347" s="3" t="s">
        <v>13</v>
      </c>
      <c r="J11347" s="3" t="s">
        <v>21730</v>
      </c>
      <c r="K11347" s="3" t="s">
        <v>58</v>
      </c>
      <c r="L11347" s="3" t="str">
        <f>IFERROR(__xludf.DUMMYFUNCTION("GOOGLETRANSLATE(F11347,""id"",""en"")"),"Alhamdulillah, Argentina, world champion and Messi is now officially the world's best player of all time")</f>
        <v>Alhamdulillah, Argentina, world champion and Messi is now officially the world's best player of all time</v>
      </c>
    </row>
    <row r="11348" ht="15.75" customHeight="1">
      <c r="A11348" s="1">
        <v>12592.0</v>
      </c>
      <c r="B11348" s="3" t="s">
        <v>32248</v>
      </c>
      <c r="C11348" s="3">
        <v>0.0</v>
      </c>
      <c r="D11348" s="3">
        <v>0.0</v>
      </c>
      <c r="E11348" s="3">
        <v>0.0</v>
      </c>
      <c r="F11348" s="3" t="s">
        <v>32249</v>
      </c>
      <c r="G11348" s="3">
        <v>0.0</v>
      </c>
      <c r="H11348" s="3">
        <v>0.0</v>
      </c>
      <c r="I11348" s="3" t="s">
        <v>13</v>
      </c>
      <c r="J11348" s="3" t="s">
        <v>32250</v>
      </c>
      <c r="K11348" s="3" t="s">
        <v>477</v>
      </c>
      <c r="L11348" s="3" t="str">
        <f>IFERROR(__xludf.DUMMYFUNCTION("GOOGLETRANSLATE(F11348,""id"",""en"")"),"Although Argentina is the World Cup champion but still you are the champion of my heart")</f>
        <v>Although Argentina is the World Cup champion but still you are the champion of my heart</v>
      </c>
    </row>
    <row r="11349" ht="15.75" customHeight="1">
      <c r="A11349" s="1">
        <v>12593.0</v>
      </c>
      <c r="B11349" s="3" t="s">
        <v>32251</v>
      </c>
      <c r="C11349" s="3">
        <v>0.0</v>
      </c>
      <c r="D11349" s="3">
        <v>0.0</v>
      </c>
      <c r="E11349" s="3">
        <v>0.0</v>
      </c>
      <c r="F11349" s="3" t="s">
        <v>32252</v>
      </c>
      <c r="G11349" s="3">
        <v>1.0</v>
      </c>
      <c r="H11349" s="3">
        <v>0.0</v>
      </c>
      <c r="I11349" s="3" t="s">
        <v>13</v>
      </c>
      <c r="J11349" s="3" t="s">
        <v>32253</v>
      </c>
      <c r="K11349" s="3" t="s">
        <v>2735</v>
      </c>
      <c r="L11349" s="3" t="str">
        <f>IFERROR(__xludf.DUMMYFUNCTION("GOOGLETRANSLATE(F11349,""id"",""en"")"),"Market Listening to Morning Chat Mr. about the World Cup Final last night there was a champion why Argentina even though France had led Mr. Laen, Mr.")</f>
        <v>Market Listening to Morning Chat Mr. about the World Cup Final last night there was a champion why Argentina even though France had led Mr. Laen, Mr.</v>
      </c>
    </row>
    <row r="11350" ht="15.75" customHeight="1">
      <c r="A11350" s="1">
        <v>12594.0</v>
      </c>
      <c r="B11350" s="3" t="s">
        <v>32254</v>
      </c>
      <c r="C11350" s="3">
        <v>0.0</v>
      </c>
      <c r="D11350" s="3">
        <v>0.0</v>
      </c>
      <c r="E11350" s="3">
        <v>0.0</v>
      </c>
      <c r="F11350" s="3" t="s">
        <v>32255</v>
      </c>
      <c r="G11350" s="3">
        <v>0.0</v>
      </c>
      <c r="H11350" s="3">
        <v>0.0</v>
      </c>
      <c r="I11350" s="3" t="s">
        <v>13</v>
      </c>
      <c r="J11350" s="3" t="s">
        <v>32256</v>
      </c>
      <c r="K11350" s="3" t="s">
        <v>15</v>
      </c>
      <c r="L11350" s="3" t="str">
        <f>IFERROR(__xludf.DUMMYFUNCTION("GOOGLETRANSLATE(F11350,""id"",""en"")"),"Argentina Champion World Cup Lionel Messi Cancel Retirement")</f>
        <v>Argentina Champion World Cup Lionel Messi Cancel Retirement</v>
      </c>
    </row>
    <row r="11351" ht="15.75" customHeight="1">
      <c r="A11351" s="1">
        <v>12595.0</v>
      </c>
      <c r="B11351" s="3" t="s">
        <v>32257</v>
      </c>
      <c r="C11351" s="3">
        <v>0.0</v>
      </c>
      <c r="D11351" s="3">
        <v>0.0</v>
      </c>
      <c r="E11351" s="3">
        <v>0.0</v>
      </c>
      <c r="F11351" s="3" t="s">
        <v>32258</v>
      </c>
      <c r="G11351" s="3">
        <v>0.75</v>
      </c>
      <c r="H11351" s="3">
        <v>0.25</v>
      </c>
      <c r="I11351" s="3" t="s">
        <v>48</v>
      </c>
      <c r="J11351" s="3" t="s">
        <v>32259</v>
      </c>
      <c r="K11351" s="3" t="s">
        <v>903</v>
      </c>
      <c r="L11351" s="3" t="str">
        <f>IFERROR(__xludf.DUMMYFUNCTION("GOOGLETRANSLATE(F11351,""id"",""en"")"),"The Argentine national team won the World Cup title after defeating France in a penalty kick in the Lusail Iconic Stadium World Cup final")</f>
        <v>The Argentine national team won the World Cup title after defeating France in a penalty kick in the Lusail Iconic Stadium World Cup final</v>
      </c>
    </row>
    <row r="11352" ht="15.75" customHeight="1">
      <c r="A11352" s="1">
        <v>12596.0</v>
      </c>
      <c r="B11352" s="3" t="s">
        <v>32260</v>
      </c>
      <c r="C11352" s="3">
        <v>0.0</v>
      </c>
      <c r="D11352" s="3">
        <v>1.0</v>
      </c>
      <c r="E11352" s="3">
        <v>0.0</v>
      </c>
      <c r="F11352" s="3" t="s">
        <v>32261</v>
      </c>
      <c r="G11352" s="3">
        <v>0.0</v>
      </c>
      <c r="H11352" s="3">
        <v>0.0</v>
      </c>
      <c r="I11352" s="3" t="s">
        <v>13</v>
      </c>
      <c r="J11352" s="3" t="s">
        <v>32262</v>
      </c>
      <c r="K11352" s="3" t="s">
        <v>215</v>
      </c>
      <c r="L11352" s="3" t="str">
        <f>IFERROR(__xludf.DUMMYFUNCTION("GOOGLETRANSLATE(F11352,""id"",""en"")"),"In the presence of uncertainty because the match last night I was still a child coming to a mother who was sleeping while holding her hand so that at least the heart that began to beat illegal could be a little happy to survive the Argentina world champio"&amp;"n congratulations to the Pulga")</f>
        <v>In the presence of uncertainty because the match last night I was still a child coming to a mother who was sleeping while holding her hand so that at least the heart that began to beat illegal could be a little happy to survive the Argentina world champion congratulations to the Pulga</v>
      </c>
    </row>
    <row r="11353" ht="15.75" customHeight="1">
      <c r="A11353" s="1">
        <v>12597.0</v>
      </c>
      <c r="B11353" s="3" t="s">
        <v>32263</v>
      </c>
      <c r="C11353" s="3">
        <v>0.0</v>
      </c>
      <c r="D11353" s="3">
        <v>0.0</v>
      </c>
      <c r="E11353" s="3">
        <v>4.0</v>
      </c>
      <c r="F11353" s="3" t="s">
        <v>32264</v>
      </c>
      <c r="G11353" s="3">
        <v>0.0</v>
      </c>
      <c r="H11353" s="3">
        <v>0.0</v>
      </c>
      <c r="I11353" s="3" t="s">
        <v>13</v>
      </c>
      <c r="J11353" s="3" t="s">
        <v>32265</v>
      </c>
      <c r="K11353" s="3" t="s">
        <v>27</v>
      </c>
      <c r="L11353" s="3" t="str">
        <f>IFERROR(__xludf.DUMMYFUNCTION("GOOGLETRANSLATE(F11353,""id"",""en"")"),"again enjoying Argentina's victory, there is just news about this, it's not about the champion, but a good spectacle is rarely easy, this country can win one day, I don't know when but the possibility of never knowing")</f>
        <v>again enjoying Argentina's victory, there is just news about this, it's not about the champion, but a good spectacle is rarely easy, this country can win one day, I don't know when but the possibility of never knowing</v>
      </c>
    </row>
    <row r="11354" ht="15.75" customHeight="1">
      <c r="A11354" s="1">
        <v>12598.0</v>
      </c>
      <c r="B11354" s="3" t="s">
        <v>32266</v>
      </c>
      <c r="C11354" s="3">
        <v>0.0</v>
      </c>
      <c r="D11354" s="3">
        <v>0.0</v>
      </c>
      <c r="E11354" s="3">
        <v>0.0</v>
      </c>
      <c r="F11354" s="3" t="s">
        <v>32267</v>
      </c>
      <c r="G11354" s="3">
        <v>0.0</v>
      </c>
      <c r="H11354" s="3">
        <v>0.0</v>
      </c>
      <c r="I11354" s="3" t="s">
        <v>13</v>
      </c>
      <c r="J11354" s="3" t="s">
        <v>32268</v>
      </c>
      <c r="K11354" s="3" t="s">
        <v>50</v>
      </c>
      <c r="L11354" s="3" t="str">
        <f>IFERROR(__xludf.DUMMYFUNCTION("GOOGLETRANSLATE(F11354,""id"",""en"")"),"Pele said after Argentina, the World Cup champion was touched on Messi and Mbappe")</f>
        <v>Pele said after Argentina, the World Cup champion was touched on Messi and Mbappe</v>
      </c>
    </row>
    <row r="11355" ht="15.75" customHeight="1">
      <c r="A11355" s="1">
        <v>12599.0</v>
      </c>
      <c r="B11355" s="3" t="s">
        <v>32269</v>
      </c>
      <c r="C11355" s="3">
        <v>2.0</v>
      </c>
      <c r="D11355" s="3">
        <v>3.0</v>
      </c>
      <c r="E11355" s="3">
        <v>15.0</v>
      </c>
      <c r="F11355" s="3" t="s">
        <v>32270</v>
      </c>
      <c r="G11355" s="3">
        <v>0.0</v>
      </c>
      <c r="H11355" s="3">
        <v>0.0</v>
      </c>
      <c r="I11355" s="3" t="s">
        <v>13</v>
      </c>
      <c r="J11355" s="3" t="s">
        <v>32271</v>
      </c>
      <c r="K11355" s="3" t="s">
        <v>19</v>
      </c>
      <c r="L11355" s="3" t="str">
        <f>IFERROR(__xludf.DUMMYFUNCTION("GOOGLETRANSLATE(F11355,""id"",""en"")"),"Meanwhile this is the expression of people who don't understand the ball to hear his office friend to talk about Argentina champions")</f>
        <v>Meanwhile this is the expression of people who don't understand the ball to hear his office friend to talk about Argentina champions</v>
      </c>
    </row>
    <row r="11356" ht="15.75" customHeight="1">
      <c r="A11356" s="1">
        <v>12600.0</v>
      </c>
      <c r="B11356" s="3" t="s">
        <v>32272</v>
      </c>
      <c r="C11356" s="3">
        <v>0.0</v>
      </c>
      <c r="D11356" s="3">
        <v>0.0</v>
      </c>
      <c r="E11356" s="3">
        <v>0.0</v>
      </c>
      <c r="F11356" s="3" t="s">
        <v>32273</v>
      </c>
      <c r="G11356" s="3">
        <v>0.0</v>
      </c>
      <c r="H11356" s="3">
        <v>0.0</v>
      </c>
      <c r="I11356" s="3" t="s">
        <v>13</v>
      </c>
      <c r="J11356" s="3" t="s">
        <v>32274</v>
      </c>
      <c r="K11356" s="3" t="s">
        <v>15</v>
      </c>
      <c r="L11356" s="3" t="str">
        <f>IFERROR(__xludf.DUMMYFUNCTION("GOOGLETRANSLATE(F11356,""id"",""en"")"),"Illuk again wkp mbokku talked Kae you know Argentina champions")</f>
        <v>Illuk again wkp mbokku talked Kae you know Argentina champions</v>
      </c>
    </row>
    <row r="11357" ht="15.75" customHeight="1">
      <c r="A11357" s="1">
        <v>12601.0</v>
      </c>
      <c r="B11357" s="3" t="s">
        <v>32275</v>
      </c>
      <c r="C11357" s="3">
        <v>0.0</v>
      </c>
      <c r="D11357" s="3">
        <v>0.0</v>
      </c>
      <c r="E11357" s="3">
        <v>0.0</v>
      </c>
      <c r="F11357" s="3" t="s">
        <v>32276</v>
      </c>
      <c r="G11357" s="3">
        <v>0.0</v>
      </c>
      <c r="H11357" s="3">
        <v>0.0</v>
      </c>
      <c r="I11357" s="3" t="s">
        <v>13</v>
      </c>
      <c r="J11357" s="3" t="s">
        <v>32277</v>
      </c>
      <c r="K11357" s="3" t="s">
        <v>16174</v>
      </c>
      <c r="L11357" s="3" t="str">
        <f>IFERROR(__xludf.DUMMYFUNCTION("GOOGLETRANSLATE(F11357,""id"",""en"")"),"champion")</f>
        <v>champion</v>
      </c>
    </row>
    <row r="11358" ht="15.75" customHeight="1">
      <c r="A11358" s="1">
        <v>12602.0</v>
      </c>
      <c r="B11358" s="3" t="s">
        <v>32278</v>
      </c>
      <c r="C11358" s="3">
        <v>0.0</v>
      </c>
      <c r="D11358" s="3">
        <v>0.0</v>
      </c>
      <c r="E11358" s="3">
        <v>3.0</v>
      </c>
      <c r="F11358" s="3" t="s">
        <v>32279</v>
      </c>
      <c r="G11358" s="3">
        <v>0.0</v>
      </c>
      <c r="H11358" s="3">
        <v>0.0</v>
      </c>
      <c r="I11358" s="3" t="s">
        <v>13</v>
      </c>
      <c r="J11358" s="3" t="s">
        <v>32280</v>
      </c>
      <c r="K11358" s="3" t="s">
        <v>1335</v>
      </c>
      <c r="L11358" s="3" t="str">
        <f>IFERROR(__xludf.DUMMYFUNCTION("GOOGLETRANSLATE(F11358,""id"",""en"")"),"So Argentina champions or cursed by champions")</f>
        <v>So Argentina champions or cursed by champions</v>
      </c>
    </row>
    <row r="11359" ht="15.75" customHeight="1">
      <c r="A11359" s="1">
        <v>12603.0</v>
      </c>
      <c r="B11359" s="3" t="s">
        <v>32281</v>
      </c>
      <c r="C11359" s="3">
        <v>0.0</v>
      </c>
      <c r="D11359" s="3">
        <v>0.0</v>
      </c>
      <c r="E11359" s="3">
        <v>0.0</v>
      </c>
      <c r="F11359" s="3" t="s">
        <v>32282</v>
      </c>
      <c r="G11359" s="3">
        <v>0.0</v>
      </c>
      <c r="H11359" s="3">
        <v>0.0</v>
      </c>
      <c r="I11359" s="3" t="s">
        <v>13</v>
      </c>
      <c r="J11359" s="3" t="s">
        <v>32283</v>
      </c>
      <c r="K11359" s="3" t="s">
        <v>31</v>
      </c>
      <c r="L11359" s="3" t="str">
        <f>IFERROR(__xludf.DUMMYFUNCTION("GOOGLETRANSLATE(F11359,""id"",""en"")"),"Argentina Champion Pak Answnkwlwkdndndndeikwkwlowlqlwndjekjekwlllqwkw hahahahhahaa")</f>
        <v>Argentina Champion Pak Answnkwlwkdndndndeikwkwlowlqlwndjekjekwlllqwkw hahahahhahaa</v>
      </c>
    </row>
    <row r="11360" ht="15.75" customHeight="1">
      <c r="A11360" s="1">
        <v>12604.0</v>
      </c>
      <c r="B11360" s="3" t="s">
        <v>32284</v>
      </c>
      <c r="C11360" s="3">
        <v>0.0</v>
      </c>
      <c r="D11360" s="3">
        <v>0.0</v>
      </c>
      <c r="E11360" s="3">
        <v>0.0</v>
      </c>
      <c r="F11360" s="3" t="s">
        <v>32285</v>
      </c>
      <c r="G11360" s="3">
        <v>0.0</v>
      </c>
      <c r="H11360" s="3">
        <v>0.0</v>
      </c>
      <c r="I11360" s="3" t="s">
        <v>13</v>
      </c>
      <c r="J11360" s="3" t="s">
        <v>32286</v>
      </c>
      <c r="K11360" s="3" t="s">
        <v>54</v>
      </c>
      <c r="L11360" s="3" t="str">
        <f>IFERROR(__xludf.DUMMYFUNCTION("GOOGLETRANSLATE(F11360,""id"",""en"")"),"Argentina Sah Champion French White Eyes")</f>
        <v>Argentina Sah Champion French White Eyes</v>
      </c>
    </row>
    <row r="11361" ht="15.75" customHeight="1">
      <c r="A11361" s="1">
        <v>12605.0</v>
      </c>
      <c r="B11361" s="3" t="s">
        <v>32287</v>
      </c>
      <c r="C11361" s="3">
        <v>0.0</v>
      </c>
      <c r="D11361" s="3">
        <v>1.0</v>
      </c>
      <c r="E11361" s="3">
        <v>1.0</v>
      </c>
      <c r="F11361" s="3" t="s">
        <v>32288</v>
      </c>
      <c r="G11361" s="3">
        <v>0.0</v>
      </c>
      <c r="H11361" s="3">
        <v>0.0</v>
      </c>
      <c r="I11361" s="3" t="s">
        <v>13</v>
      </c>
      <c r="J11361" s="3" t="s">
        <v>32289</v>
      </c>
      <c r="K11361" s="3" t="s">
        <v>75</v>
      </c>
      <c r="L11361" s="3" t="str">
        <f>IFERROR(__xludf.DUMMYFUNCTION("GOOGLETRANSLATE(F11361,""id"",""en"")"),"Argentina Champion World Cup French coach said it was really cruel virus")</f>
        <v>Argentina Champion World Cup French coach said it was really cruel virus</v>
      </c>
    </row>
    <row r="11362" ht="15.75" customHeight="1">
      <c r="A11362" s="1">
        <v>12606.0</v>
      </c>
      <c r="B11362" s="3" t="s">
        <v>32290</v>
      </c>
      <c r="C11362" s="3">
        <v>0.0</v>
      </c>
      <c r="D11362" s="3">
        <v>0.0</v>
      </c>
      <c r="E11362" s="3">
        <v>0.0</v>
      </c>
      <c r="F11362" s="3" t="s">
        <v>32291</v>
      </c>
      <c r="G11362" s="3">
        <v>0.0</v>
      </c>
      <c r="H11362" s="3">
        <v>0.0</v>
      </c>
      <c r="I11362" s="3" t="s">
        <v>13</v>
      </c>
      <c r="J11362" s="3" t="s">
        <v>32292</v>
      </c>
      <c r="K11362" s="3" t="s">
        <v>510</v>
      </c>
      <c r="L11362" s="3" t="str">
        <f>IFERROR(__xludf.DUMMYFUNCTION("GOOGLETRANSLATE(F11362,""id"",""en"")"),"Finally Argentina won the Qatar World Cup after defeating France with a penalty shootout")</f>
        <v>Finally Argentina won the Qatar World Cup after defeating France with a penalty shootout</v>
      </c>
    </row>
    <row r="11363" ht="15.75" customHeight="1">
      <c r="A11363" s="1">
        <v>12607.0</v>
      </c>
      <c r="B11363" s="3" t="s">
        <v>32293</v>
      </c>
      <c r="C11363" s="3">
        <v>0.0</v>
      </c>
      <c r="D11363" s="3">
        <v>0.0</v>
      </c>
      <c r="E11363" s="3">
        <v>0.0</v>
      </c>
      <c r="F11363" s="3" t="s">
        <v>32294</v>
      </c>
      <c r="G11363" s="3">
        <v>0.0</v>
      </c>
      <c r="H11363" s="3">
        <v>0.0</v>
      </c>
      <c r="I11363" s="3" t="s">
        <v>13</v>
      </c>
      <c r="J11363" s="3" t="s">
        <v>32295</v>
      </c>
      <c r="K11363" s="3" t="s">
        <v>31</v>
      </c>
      <c r="L11363" s="3" t="str">
        <f>IFERROR(__xludf.DUMMYFUNCTION("GOOGLETRANSLATE(F11363,""id"",""en"")"),"Messi can only bring Argentina Champion")</f>
        <v>Messi can only bring Argentina Champion</v>
      </c>
    </row>
    <row r="11364" ht="15.75" customHeight="1">
      <c r="A11364" s="1">
        <v>12608.0</v>
      </c>
      <c r="B11364" s="3" t="s">
        <v>32296</v>
      </c>
      <c r="C11364" s="3">
        <v>0.0</v>
      </c>
      <c r="D11364" s="3">
        <v>0.0</v>
      </c>
      <c r="E11364" s="3">
        <v>0.0</v>
      </c>
      <c r="F11364" s="3" t="s">
        <v>31810</v>
      </c>
      <c r="G11364" s="3">
        <v>0.0</v>
      </c>
      <c r="H11364" s="3">
        <v>0.0</v>
      </c>
      <c r="I11364" s="3" t="s">
        <v>13</v>
      </c>
      <c r="J11364" s="3" t="s">
        <v>31811</v>
      </c>
      <c r="K11364" s="3" t="s">
        <v>510</v>
      </c>
      <c r="L11364" s="3" t="str">
        <f>IFERROR(__xludf.DUMMYFUNCTION("GOOGLETRANSLATE(F11364,""id"",""en"")"),"Lionel Messi Cristiano Ronaldo Debate Stamp Goat ended after Argentina World Cup Champion")</f>
        <v>Lionel Messi Cristiano Ronaldo Debate Stamp Goat ended after Argentina World Cup Champion</v>
      </c>
    </row>
    <row r="11365" ht="15.75" customHeight="1">
      <c r="A11365" s="1">
        <v>12609.0</v>
      </c>
      <c r="B11365" s="3" t="s">
        <v>32297</v>
      </c>
      <c r="C11365" s="3">
        <v>0.0</v>
      </c>
      <c r="D11365" s="3">
        <v>0.0</v>
      </c>
      <c r="E11365" s="3">
        <v>0.0</v>
      </c>
      <c r="F11365" s="3" t="s">
        <v>32298</v>
      </c>
      <c r="G11365" s="3">
        <v>0.0</v>
      </c>
      <c r="H11365" s="3">
        <v>0.0</v>
      </c>
      <c r="I11365" s="3" t="s">
        <v>13</v>
      </c>
      <c r="J11365" s="3" t="s">
        <v>32299</v>
      </c>
      <c r="K11365" s="3" t="s">
        <v>510</v>
      </c>
      <c r="L11365" s="3" t="str">
        <f>IFERROR(__xludf.DUMMYFUNCTION("GOOGLETRANSLATE(F11365,""id"",""en"")"),"This is the Profile of Emiliano Martinez Best Goalkeeper Bringing Argentina World Cup Champion Beat France")</f>
        <v>This is the Profile of Emiliano Martinez Best Goalkeeper Bringing Argentina World Cup Champion Beat France</v>
      </c>
    </row>
    <row r="11366" ht="15.75" customHeight="1">
      <c r="A11366" s="1">
        <v>12610.0</v>
      </c>
      <c r="B11366" s="3" t="s">
        <v>32300</v>
      </c>
      <c r="C11366" s="3">
        <v>0.0</v>
      </c>
      <c r="D11366" s="3">
        <v>0.0</v>
      </c>
      <c r="E11366" s="3">
        <v>0.0</v>
      </c>
      <c r="F11366" s="3" t="s">
        <v>31792</v>
      </c>
      <c r="G11366" s="3">
        <v>0.0</v>
      </c>
      <c r="H11366" s="3">
        <v>0.0</v>
      </c>
      <c r="I11366" s="3" t="s">
        <v>13</v>
      </c>
      <c r="J11366" s="3" t="s">
        <v>25945</v>
      </c>
      <c r="K11366" s="3" t="s">
        <v>240</v>
      </c>
      <c r="L11366" s="3" t="str">
        <f>IFERROR(__xludf.DUMMYFUNCTION("GOOGLETRANSLATE(F11366,""id"",""en"")"),"Argentina won two titles in two years after the Copa America at the current Lionel Scaloni squad successfully won the World Cup")</f>
        <v>Argentina won two titles in two years after the Copa America at the current Lionel Scaloni squad successfully won the World Cup</v>
      </c>
    </row>
    <row r="11367" ht="15.75" customHeight="1">
      <c r="A11367" s="1">
        <v>12611.0</v>
      </c>
      <c r="B11367" s="3" t="s">
        <v>32301</v>
      </c>
      <c r="C11367" s="3">
        <v>1.0</v>
      </c>
      <c r="D11367" s="3">
        <v>0.0</v>
      </c>
      <c r="E11367" s="3">
        <v>1.0</v>
      </c>
      <c r="F11367" s="3" t="s">
        <v>32302</v>
      </c>
      <c r="G11367" s="3">
        <v>0.0</v>
      </c>
      <c r="H11367" s="3">
        <v>0.0</v>
      </c>
      <c r="I11367" s="3" t="s">
        <v>13</v>
      </c>
      <c r="J11367" s="3" t="s">
        <v>32303</v>
      </c>
      <c r="K11367" s="3" t="s">
        <v>715</v>
      </c>
      <c r="L11367" s="3" t="str">
        <f>IFERROR(__xludf.DUMMYFUNCTION("GOOGLETRANSLATE(F11367,""id"",""en"")"),"My conversation with Mama this morning Messi world champion Hah Messi Sopo Messi Wong Argentina Oalaaah doesn't think Wong Indonesia")</f>
        <v>My conversation with Mama this morning Messi world champion Hah Messi Sopo Messi Wong Argentina Oalaaah doesn't think Wong Indonesia</v>
      </c>
    </row>
    <row r="11368" ht="15.75" customHeight="1">
      <c r="A11368" s="1">
        <v>12612.0</v>
      </c>
      <c r="B11368" s="3" t="s">
        <v>32304</v>
      </c>
      <c r="C11368" s="3">
        <v>0.0</v>
      </c>
      <c r="D11368" s="3">
        <v>0.0</v>
      </c>
      <c r="E11368" s="3">
        <v>0.0</v>
      </c>
      <c r="F11368" s="3" t="s">
        <v>32305</v>
      </c>
      <c r="G11368" s="3">
        <v>0.0</v>
      </c>
      <c r="H11368" s="3">
        <v>0.0</v>
      </c>
      <c r="I11368" s="3" t="s">
        <v>13</v>
      </c>
      <c r="J11368" s="3" t="s">
        <v>32306</v>
      </c>
      <c r="K11368" s="3" t="s">
        <v>433</v>
      </c>
      <c r="L11368" s="3" t="str">
        <f>IFERROR(__xludf.DUMMYFUNCTION("GOOGLETRANSLATE(F11368,""id"",""en"")"),"Touched by Anjirr, although not Argentina fans, but ball fans would want to see one of the world champion goats")</f>
        <v>Touched by Anjirr, although not Argentina fans, but ball fans would want to see one of the world champion goats</v>
      </c>
    </row>
    <row r="11369" ht="15.75" customHeight="1">
      <c r="A11369" s="1">
        <v>12613.0</v>
      </c>
      <c r="B11369" s="3" t="s">
        <v>32307</v>
      </c>
      <c r="C11369" s="3">
        <v>0.0</v>
      </c>
      <c r="D11369" s="3">
        <v>0.0</v>
      </c>
      <c r="E11369" s="3">
        <v>0.0</v>
      </c>
      <c r="F11369" s="3" t="s">
        <v>32308</v>
      </c>
      <c r="G11369" s="3">
        <v>0.0</v>
      </c>
      <c r="H11369" s="3">
        <v>0.0</v>
      </c>
      <c r="I11369" s="3" t="s">
        <v>13</v>
      </c>
      <c r="J11369" s="3" t="s">
        <v>32309</v>
      </c>
      <c r="K11369" s="3" t="s">
        <v>477</v>
      </c>
      <c r="L11369" s="3" t="str">
        <f>IFERROR(__xludf.DUMMYFUNCTION("GOOGLETRANSLATE(F11369,""id"",""en"")"),"If you are happy with your babble, it is happy but Argentina world champion today")</f>
        <v>If you are happy with your babble, it is happy but Argentina world champion today</v>
      </c>
    </row>
    <row r="11370" ht="15.75" customHeight="1">
      <c r="A11370" s="1">
        <v>12614.0</v>
      </c>
      <c r="B11370" s="3" t="s">
        <v>32310</v>
      </c>
      <c r="C11370" s="3">
        <v>0.0</v>
      </c>
      <c r="D11370" s="3">
        <v>0.0</v>
      </c>
      <c r="E11370" s="3">
        <v>0.0</v>
      </c>
      <c r="F11370" s="3" t="s">
        <v>32311</v>
      </c>
      <c r="G11370" s="3">
        <v>0.3333333333333333</v>
      </c>
      <c r="H11370" s="3">
        <v>0.1666666666666667</v>
      </c>
      <c r="I11370" s="3" t="s">
        <v>48</v>
      </c>
      <c r="J11370" s="3" t="s">
        <v>32312</v>
      </c>
      <c r="K11370" s="3" t="s">
        <v>657</v>
      </c>
      <c r="L11370" s="3" t="str">
        <f>IFERROR(__xludf.DUMMYFUNCTION("GOOGLETRANSLATE(F11370,""id"",""en"")"),"Info Playing Soccer Not Only Lionel Messi Argentina also Harvest Record After World Cup Champion Link")</f>
        <v>Info Playing Soccer Not Only Lionel Messi Argentina also Harvest Record After World Cup Champion Link</v>
      </c>
    </row>
    <row r="11371" ht="15.75" customHeight="1">
      <c r="A11371" s="1">
        <v>12615.0</v>
      </c>
      <c r="B11371" s="3" t="s">
        <v>32313</v>
      </c>
      <c r="C11371" s="3">
        <v>0.0</v>
      </c>
      <c r="D11371" s="3">
        <v>0.0</v>
      </c>
      <c r="E11371" s="3">
        <v>1.0</v>
      </c>
      <c r="F11371" s="3" t="s">
        <v>32314</v>
      </c>
      <c r="G11371" s="3">
        <v>0.0</v>
      </c>
      <c r="H11371" s="3">
        <v>0.0</v>
      </c>
      <c r="I11371" s="3" t="s">
        <v>13</v>
      </c>
      <c r="J11371" s="3" t="s">
        <v>32315</v>
      </c>
      <c r="K11371" s="3" t="s">
        <v>14571</v>
      </c>
      <c r="L11371" s="3" t="str">
        <f>IFERROR(__xludf.DUMMYFUNCTION("GOOGLETRANSLATE(F11371,""id"",""en"")"),"Argentina Congratulation")</f>
        <v>Argentina Congratulation</v>
      </c>
    </row>
    <row r="11372" ht="15.75" customHeight="1">
      <c r="A11372" s="1">
        <v>12616.0</v>
      </c>
      <c r="B11372" s="3" t="s">
        <v>32316</v>
      </c>
      <c r="C11372" s="3">
        <v>0.0</v>
      </c>
      <c r="D11372" s="3">
        <v>0.0</v>
      </c>
      <c r="E11372" s="3">
        <v>0.0</v>
      </c>
      <c r="F11372" s="3" t="s">
        <v>32317</v>
      </c>
      <c r="G11372" s="3">
        <v>0.0</v>
      </c>
      <c r="H11372" s="3">
        <v>0.0</v>
      </c>
      <c r="I11372" s="3" t="s">
        <v>13</v>
      </c>
      <c r="J11372" s="3" t="s">
        <v>32318</v>
      </c>
      <c r="K11372" s="3" t="s">
        <v>15</v>
      </c>
      <c r="L11372" s="3" t="str">
        <f>IFERROR(__xludf.DUMMYFUNCTION("GOOGLETRANSLATE(F11372,""id"",""en"")"),"It's not important Argentina or France when you are the champion of my heart deck")</f>
        <v>It's not important Argentina or France when you are the champion of my heart deck</v>
      </c>
    </row>
    <row r="11373" ht="15.75" customHeight="1">
      <c r="A11373" s="1">
        <v>12617.0</v>
      </c>
      <c r="B11373" s="3" t="s">
        <v>32319</v>
      </c>
      <c r="C11373" s="3">
        <v>0.0</v>
      </c>
      <c r="D11373" s="3">
        <v>0.0</v>
      </c>
      <c r="E11373" s="3">
        <v>0.0</v>
      </c>
      <c r="F11373" s="3" t="s">
        <v>32320</v>
      </c>
      <c r="G11373" s="3">
        <v>0.0</v>
      </c>
      <c r="H11373" s="3">
        <v>0.0</v>
      </c>
      <c r="I11373" s="3" t="s">
        <v>13</v>
      </c>
      <c r="J11373" s="3" t="s">
        <v>32321</v>
      </c>
      <c r="K11373" s="3" t="s">
        <v>1912</v>
      </c>
      <c r="L11373" s="3" t="str">
        <f>IFERROR(__xludf.DUMMYFUNCTION("GOOGLETRANSLATE(F11373,""id"",""en"")"),"Argentina waited for the new year to be able to win the world again when the match was played as if there was hope to win and continued to break with France there was hope that he continued to be broken with France again equal the score was the name of th"&amp;"e Congratz struggle")</f>
        <v>Argentina waited for the new year to be able to win the world again when the match was played as if there was hope to win and continued to break with France there was hope that he continued to be broken with France again equal the score was the name of the Congratz struggle</v>
      </c>
    </row>
    <row r="11374" ht="15.75" customHeight="1">
      <c r="A11374" s="1">
        <v>12618.0</v>
      </c>
      <c r="B11374" s="3" t="s">
        <v>32322</v>
      </c>
      <c r="C11374" s="3">
        <v>1.0</v>
      </c>
      <c r="D11374" s="3">
        <v>1.0</v>
      </c>
      <c r="E11374" s="3">
        <v>2.0</v>
      </c>
      <c r="F11374" s="3" t="s">
        <v>32323</v>
      </c>
      <c r="G11374" s="3">
        <v>0.0</v>
      </c>
      <c r="H11374" s="3">
        <v>0.0</v>
      </c>
      <c r="I11374" s="3" t="s">
        <v>13</v>
      </c>
      <c r="J11374" s="3" t="s">
        <v>32324</v>
      </c>
      <c r="K11374" s="3" t="s">
        <v>15</v>
      </c>
      <c r="L11374" s="3" t="str">
        <f>IFERROR(__xludf.DUMMYFUNCTION("GOOGLETRANSLATE(F11374,""id"",""en"")"),"Argentina World Cup Champion Erick Thohir according to predictions")</f>
        <v>Argentina World Cup Champion Erick Thohir according to predictions</v>
      </c>
    </row>
    <row r="11375" ht="15.75" customHeight="1">
      <c r="A11375" s="1">
        <v>12619.0</v>
      </c>
      <c r="B11375" s="3" t="s">
        <v>32325</v>
      </c>
      <c r="C11375" s="3">
        <v>0.0</v>
      </c>
      <c r="D11375" s="3">
        <v>0.0</v>
      </c>
      <c r="E11375" s="3">
        <v>0.0</v>
      </c>
      <c r="F11375" s="3" t="s">
        <v>32326</v>
      </c>
      <c r="G11375" s="3">
        <v>0.0</v>
      </c>
      <c r="H11375" s="3">
        <v>0.0</v>
      </c>
      <c r="I11375" s="3" t="s">
        <v>13</v>
      </c>
      <c r="J11375" s="3" t="s">
        <v>32327</v>
      </c>
      <c r="K11375" s="3" t="s">
        <v>184</v>
      </c>
      <c r="L11375" s="3" t="str">
        <f>IFERROR(__xludf.DUMMYFUNCTION("GOOGLETRANSLATE(F11375,""id"",""en"")"),"Finally Argentina came out as the World Cup champion defeated the defending champion France through a penalty shootout for Messi and Team")</f>
        <v>Finally Argentina came out as the World Cup champion defeated the defending champion France through a penalty shootout for Messi and Team</v>
      </c>
    </row>
    <row r="11376" ht="15.75" customHeight="1">
      <c r="A11376" s="1">
        <v>12620.0</v>
      </c>
      <c r="B11376" s="3" t="s">
        <v>32328</v>
      </c>
      <c r="C11376" s="3">
        <v>0.0</v>
      </c>
      <c r="D11376" s="3">
        <v>0.0</v>
      </c>
      <c r="E11376" s="3">
        <v>0.0</v>
      </c>
      <c r="F11376" s="3" t="s">
        <v>32329</v>
      </c>
      <c r="G11376" s="3">
        <v>0.0</v>
      </c>
      <c r="H11376" s="3">
        <v>0.0</v>
      </c>
      <c r="I11376" s="3" t="s">
        <v>13</v>
      </c>
      <c r="J11376" s="3" t="s">
        <v>32330</v>
      </c>
      <c r="K11376" s="3" t="s">
        <v>50</v>
      </c>
      <c r="L11376" s="3" t="str">
        <f>IFERROR(__xludf.DUMMYFUNCTION("GOOGLETRANSLATE(F11376,""id"",""en"")"),"Sport Trio Messi Maria Aguero has been united since Argentina Olympic Gold Champion")</f>
        <v>Sport Trio Messi Maria Aguero has been united since Argentina Olympic Gold Champion</v>
      </c>
    </row>
    <row r="11377" ht="15.75" customHeight="1">
      <c r="A11377" s="1">
        <v>12621.0</v>
      </c>
      <c r="B11377" s="3" t="s">
        <v>32331</v>
      </c>
      <c r="C11377" s="3">
        <v>0.0</v>
      </c>
      <c r="D11377" s="3">
        <v>1.0</v>
      </c>
      <c r="E11377" s="3">
        <v>1.0</v>
      </c>
      <c r="F11377" s="3" t="s">
        <v>32332</v>
      </c>
      <c r="G11377" s="3">
        <v>0.0</v>
      </c>
      <c r="H11377" s="3">
        <v>0.0</v>
      </c>
      <c r="I11377" s="3" t="s">
        <v>13</v>
      </c>
      <c r="J11377" s="3" t="s">
        <v>32333</v>
      </c>
      <c r="K11377" s="3" t="s">
        <v>1300</v>
      </c>
      <c r="L11377" s="3" t="str">
        <f>IFERROR(__xludf.DUMMYFUNCTION("GOOGLETRANSLATE(F11377,""id"",""en"")"),"Argentina France because Brazil did not enter, finally Erick Thohir wanted the Latin American state to win because for a long time not champion Amentina AYO Messi Show your class World class prediction Erick Thohir Bangkit with Erick Thohir")</f>
        <v>Argentina France because Brazil did not enter, finally Erick Thohir wanted the Latin American state to win because for a long time not champion Amentina AYO Messi Show your class World class prediction Erick Thohir Bangkit with Erick Thohir</v>
      </c>
    </row>
    <row r="11378" ht="15.75" customHeight="1">
      <c r="A11378" s="1">
        <v>12622.0</v>
      </c>
      <c r="B11378" s="3" t="s">
        <v>32334</v>
      </c>
      <c r="C11378" s="3">
        <v>0.0</v>
      </c>
      <c r="D11378" s="3">
        <v>0.0</v>
      </c>
      <c r="E11378" s="3">
        <v>10.0</v>
      </c>
      <c r="F11378" s="3" t="s">
        <v>32335</v>
      </c>
      <c r="G11378" s="3">
        <v>0.0</v>
      </c>
      <c r="H11378" s="3">
        <v>0.0</v>
      </c>
      <c r="I11378" s="3" t="s">
        <v>13</v>
      </c>
      <c r="J11378" s="3" t="s">
        <v>32336</v>
      </c>
      <c r="K11378" s="3" t="s">
        <v>1414</v>
      </c>
      <c r="L11378" s="3" t="str">
        <f>IFERROR(__xludf.DUMMYFUNCTION("GOOGLETRANSLATE(F11378,""id"",""en"")"),"Remembering King Leo failed to bring his country to become a sad world champion, yes, cry, but King Leo immediately got up and finally the year later his dream was achieved to bring the Argentine state to become a world champion")</f>
        <v>Remembering King Leo failed to bring his country to become a sad world champion, yes, cry, but King Leo immediately got up and finally the year later his dream was achieved to bring the Argentine state to become a world champion</v>
      </c>
    </row>
    <row r="11379" ht="15.75" customHeight="1">
      <c r="A11379" s="1">
        <v>12623.0</v>
      </c>
      <c r="B11379" s="3" t="s">
        <v>32337</v>
      </c>
      <c r="C11379" s="3">
        <v>0.0</v>
      </c>
      <c r="D11379" s="3">
        <v>0.0</v>
      </c>
      <c r="E11379" s="3">
        <v>0.0</v>
      </c>
      <c r="F11379" s="3" t="s">
        <v>32338</v>
      </c>
      <c r="G11379" s="3">
        <v>0.6</v>
      </c>
      <c r="H11379" s="3">
        <v>0.5</v>
      </c>
      <c r="I11379" s="3" t="s">
        <v>48</v>
      </c>
      <c r="J11379" s="3" t="s">
        <v>32339</v>
      </c>
      <c r="K11379" s="3" t="s">
        <v>82</v>
      </c>
      <c r="L11379" s="3" t="str">
        <f>IFERROR(__xludf.DUMMYFUNCTION("GOOGLETRANSLATE(F11379,""id"",""en"")"),"Dun tired of Ngelove Love Post Argentina Champion")</f>
        <v>Dun tired of Ngelove Love Post Argentina Champion</v>
      </c>
    </row>
    <row r="11380" ht="15.75" customHeight="1">
      <c r="A11380" s="1">
        <v>12624.0</v>
      </c>
      <c r="B11380" s="3" t="s">
        <v>32340</v>
      </c>
      <c r="C11380" s="3">
        <v>0.0</v>
      </c>
      <c r="D11380" s="3">
        <v>0.0</v>
      </c>
      <c r="E11380" s="3">
        <v>0.0</v>
      </c>
      <c r="F11380" s="3" t="s">
        <v>32341</v>
      </c>
      <c r="G11380" s="3">
        <v>0.0</v>
      </c>
      <c r="H11380" s="3">
        <v>0.0</v>
      </c>
      <c r="I11380" s="3" t="s">
        <v>13</v>
      </c>
      <c r="J11380" s="3" t="s">
        <v>32342</v>
      </c>
      <c r="K11380" s="3" t="s">
        <v>54</v>
      </c>
      <c r="L11380" s="3" t="str">
        <f>IFERROR(__xludf.DUMMYFUNCTION("GOOGLETRANSLATE(F11380,""id"",""en"")"),"Argentina World Cup Soccer Champion")</f>
        <v>Argentina World Cup Soccer Champion</v>
      </c>
    </row>
    <row r="11381" ht="15.75" customHeight="1">
      <c r="A11381" s="1">
        <v>12625.0</v>
      </c>
      <c r="B11381" s="3" t="s">
        <v>32343</v>
      </c>
      <c r="C11381" s="3">
        <v>0.0</v>
      </c>
      <c r="D11381" s="3">
        <v>0.0</v>
      </c>
      <c r="E11381" s="3">
        <v>0.0</v>
      </c>
      <c r="F11381" s="3" t="s">
        <v>32344</v>
      </c>
      <c r="G11381" s="3">
        <v>0.0</v>
      </c>
      <c r="H11381" s="3">
        <v>0.0</v>
      </c>
      <c r="I11381" s="3" t="s">
        <v>13</v>
      </c>
      <c r="J11381" s="3" t="s">
        <v>32345</v>
      </c>
      <c r="K11381" s="3" t="s">
        <v>75</v>
      </c>
      <c r="L11381" s="3" t="str">
        <f>IFERROR(__xludf.DUMMYFUNCTION("GOOGLETRANSLATE(F11381,""id"",""en"")"),"Although Argentina has officially won the World Cup, but it is certain to go home too")</f>
        <v>Although Argentina has officially won the World Cup, but it is certain to go home too</v>
      </c>
    </row>
    <row r="11382" ht="15.75" customHeight="1">
      <c r="A11382" s="1">
        <v>12626.0</v>
      </c>
      <c r="B11382" s="3" t="s">
        <v>32346</v>
      </c>
      <c r="C11382" s="3">
        <v>0.0</v>
      </c>
      <c r="D11382" s="3">
        <v>0.0</v>
      </c>
      <c r="E11382" s="3">
        <v>0.0</v>
      </c>
      <c r="F11382" s="3" t="s">
        <v>32347</v>
      </c>
      <c r="G11382" s="3">
        <v>0.0</v>
      </c>
      <c r="H11382" s="3">
        <v>0.0</v>
      </c>
      <c r="I11382" s="3" t="s">
        <v>13</v>
      </c>
      <c r="J11382" s="3" t="s">
        <v>32348</v>
      </c>
      <c r="K11382" s="3" t="s">
        <v>6674</v>
      </c>
      <c r="L11382" s="3" t="str">
        <f>IFERROR(__xludf.DUMMYFUNCTION("GOOGLETRANSLATE(F11382,""id"",""en"")"),"Argentine Congratulations French Champion Champion Champion and Croatia Champion Qatar")</f>
        <v>Argentine Congratulations French Champion Champion Champion and Croatia Champion Qatar</v>
      </c>
    </row>
    <row r="11383" ht="15.75" customHeight="1">
      <c r="A11383" s="1">
        <v>12627.0</v>
      </c>
      <c r="B11383" s="3" t="s">
        <v>32349</v>
      </c>
      <c r="C11383" s="3">
        <v>2.0</v>
      </c>
      <c r="D11383" s="3">
        <v>13.0</v>
      </c>
      <c r="E11383" s="3">
        <v>17.0</v>
      </c>
      <c r="F11383" s="3" t="s">
        <v>32350</v>
      </c>
      <c r="G11383" s="3">
        <v>0.0</v>
      </c>
      <c r="H11383" s="3">
        <v>0.0</v>
      </c>
      <c r="I11383" s="3" t="s">
        <v>13</v>
      </c>
      <c r="J11383" s="3" t="s">
        <v>32351</v>
      </c>
      <c r="K11383" s="3" t="s">
        <v>286</v>
      </c>
      <c r="L11383" s="3" t="str">
        <f>IFERROR(__xludf.DUMMYFUNCTION("GOOGLETRANSLATE(F11383,""id"",""en"")"),"Motivator Like Who is the Champion of the Football World Cup Now Argentina knows that initially they were like what they lost unexpectedly but did they give up, of course they did not rise from that defeat they defeated the next opponent and the next")</f>
        <v>Motivator Like Who is the Champion of the Football World Cup Now Argentina knows that initially they were like what they lost unexpectedly but did they give up, of course they did not rise from that defeat they defeated the next opponent and the next</v>
      </c>
    </row>
    <row r="11384" ht="15.75" customHeight="1">
      <c r="A11384" s="1">
        <v>12628.0</v>
      </c>
      <c r="B11384" s="3" t="s">
        <v>32352</v>
      </c>
      <c r="C11384" s="3">
        <v>1.0</v>
      </c>
      <c r="D11384" s="3">
        <v>0.0</v>
      </c>
      <c r="E11384" s="3">
        <v>0.0</v>
      </c>
      <c r="F11384" s="3" t="s">
        <v>32353</v>
      </c>
      <c r="G11384" s="3">
        <v>0.0</v>
      </c>
      <c r="H11384" s="3">
        <v>0.0</v>
      </c>
      <c r="I11384" s="3" t="s">
        <v>13</v>
      </c>
      <c r="J11384" s="3" t="s">
        <v>32354</v>
      </c>
      <c r="K11384" s="3" t="s">
        <v>2117</v>
      </c>
      <c r="L11384" s="3" t="str">
        <f>IFERROR(__xludf.DUMMYFUNCTION("GOOGLETRANSLATE(F11384,""id"",""en"")"),"Thanks to Argentina champions")</f>
        <v>Thanks to Argentina champions</v>
      </c>
    </row>
    <row r="11385" ht="15.75" customHeight="1">
      <c r="A11385" s="1">
        <v>12629.0</v>
      </c>
      <c r="B11385" s="3" t="s">
        <v>32355</v>
      </c>
      <c r="C11385" s="3">
        <v>0.0</v>
      </c>
      <c r="D11385" s="3">
        <v>0.0</v>
      </c>
      <c r="E11385" s="3">
        <v>0.0</v>
      </c>
      <c r="F11385" s="3" t="s">
        <v>32356</v>
      </c>
      <c r="G11385" s="3">
        <v>0.0</v>
      </c>
      <c r="H11385" s="3">
        <v>0.0</v>
      </c>
      <c r="I11385" s="3" t="s">
        <v>13</v>
      </c>
      <c r="J11385" s="3" t="s">
        <v>32357</v>
      </c>
      <c r="K11385" s="3" t="s">
        <v>19</v>
      </c>
      <c r="L11385" s="3" t="str">
        <f>IFERROR(__xludf.DUMMYFUNCTION("GOOGLETRANSLATE(F11385,""id"",""en"")"),"Lionel Messi officially holds the title of Goat after helping Argentina Champion of the Qatar World Cup")</f>
        <v>Lionel Messi officially holds the title of Goat after helping Argentina Champion of the Qatar World Cup</v>
      </c>
    </row>
    <row r="11386" ht="15.75" customHeight="1">
      <c r="A11386" s="1">
        <v>12630.0</v>
      </c>
      <c r="B11386" s="3" t="s">
        <v>32358</v>
      </c>
      <c r="C11386" s="3">
        <v>0.0</v>
      </c>
      <c r="D11386" s="3">
        <v>0.0</v>
      </c>
      <c r="E11386" s="3">
        <v>0.0</v>
      </c>
      <c r="F11386" s="3" t="s">
        <v>32359</v>
      </c>
      <c r="G11386" s="3">
        <v>0.0</v>
      </c>
      <c r="H11386" s="3">
        <v>0.0</v>
      </c>
      <c r="I11386" s="3" t="s">
        <v>13</v>
      </c>
      <c r="J11386" s="3" t="s">
        <v>32360</v>
      </c>
      <c r="K11386" s="3" t="s">
        <v>15</v>
      </c>
      <c r="L11386" s="3" t="str">
        <f>IFERROR(__xludf.DUMMYFUNCTION("GOOGLETRANSLATE(F11386,""id"",""en"")"),"Argentina Champion After French Effects via Penalties")</f>
        <v>Argentina Champion After French Effects via Penalties</v>
      </c>
    </row>
    <row r="11387" ht="15.75" customHeight="1">
      <c r="A11387" s="1">
        <v>12631.0</v>
      </c>
      <c r="B11387" s="3" t="s">
        <v>32361</v>
      </c>
      <c r="C11387" s="3">
        <v>1.0</v>
      </c>
      <c r="D11387" s="3">
        <v>0.0</v>
      </c>
      <c r="E11387" s="3">
        <v>0.0</v>
      </c>
      <c r="F11387" s="3" t="s">
        <v>32362</v>
      </c>
      <c r="G11387" s="3">
        <v>0.0</v>
      </c>
      <c r="H11387" s="3">
        <v>0.0</v>
      </c>
      <c r="I11387" s="3" t="s">
        <v>13</v>
      </c>
      <c r="J11387" s="3" t="s">
        <v>32363</v>
      </c>
      <c r="K11387" s="3" t="s">
        <v>82</v>
      </c>
      <c r="L11387" s="3" t="str">
        <f>IFERROR(__xludf.DUMMYFUNCTION("GOOGLETRANSLATE(F11387,""id"",""en"")"),"Kannnn said Argentina Champion Mah Shaman Parlay")</f>
        <v>Kannnn said Argentina Champion Mah Shaman Parlay</v>
      </c>
    </row>
    <row r="11388" ht="15.75" customHeight="1">
      <c r="A11388" s="1">
        <v>12632.0</v>
      </c>
      <c r="B11388" s="3" t="s">
        <v>32364</v>
      </c>
      <c r="C11388" s="3">
        <v>0.0</v>
      </c>
      <c r="D11388" s="3">
        <v>0.0</v>
      </c>
      <c r="E11388" s="3">
        <v>0.0</v>
      </c>
      <c r="F11388" s="3" t="s">
        <v>32365</v>
      </c>
      <c r="G11388" s="3">
        <v>0.0</v>
      </c>
      <c r="H11388" s="3">
        <v>0.0</v>
      </c>
      <c r="I11388" s="3" t="s">
        <v>13</v>
      </c>
      <c r="J11388" s="3" t="s">
        <v>32366</v>
      </c>
      <c r="K11388" s="3" t="s">
        <v>765</v>
      </c>
      <c r="L11388" s="3" t="str">
        <f>IFERROR(__xludf.DUMMYFUNCTION("GOOGLETRANSLATE(F11388,""id"",""en"")"),"With its Argentina champion and its French runner, seeing that, the great Messi and Mbappe, the country should have seen them by seeing the pildun of Qatar, the PSG should be worthy")</f>
        <v>With its Argentina champion and its French runner, seeing that, the great Messi and Mbappe, the country should have seen them by seeing the pildun of Qatar, the PSG should be worthy</v>
      </c>
    </row>
    <row r="11389" ht="15.75" customHeight="1">
      <c r="A11389" s="1">
        <v>12633.0</v>
      </c>
      <c r="B11389" s="3" t="s">
        <v>32367</v>
      </c>
      <c r="C11389" s="3">
        <v>0.0</v>
      </c>
      <c r="D11389" s="3">
        <v>0.0</v>
      </c>
      <c r="E11389" s="3">
        <v>0.0</v>
      </c>
      <c r="F11389" s="3" t="s">
        <v>32368</v>
      </c>
      <c r="G11389" s="3">
        <v>0.0</v>
      </c>
      <c r="H11389" s="3">
        <v>0.0</v>
      </c>
      <c r="I11389" s="3" t="s">
        <v>13</v>
      </c>
      <c r="J11389" s="3" t="s">
        <v>32369</v>
      </c>
      <c r="K11389" s="3" t="s">
        <v>244</v>
      </c>
      <c r="L11389" s="3" t="str">
        <f>IFERROR(__xludf.DUMMYFUNCTION("GOOGLETRANSLATE(F11389,""id"",""en"")"),"FIFA handed over the World Cup to Argentina's best player Lionel Messi Argentina Champion")</f>
        <v>FIFA handed over the World Cup to Argentina's best player Lionel Messi Argentina Champion</v>
      </c>
    </row>
    <row r="11390" ht="15.75" customHeight="1">
      <c r="A11390" s="1">
        <v>12634.0</v>
      </c>
      <c r="B11390" s="3" t="s">
        <v>32370</v>
      </c>
      <c r="C11390" s="3">
        <v>0.0</v>
      </c>
      <c r="D11390" s="3">
        <v>0.0</v>
      </c>
      <c r="E11390" s="3">
        <v>1.0</v>
      </c>
      <c r="F11390" s="3" t="s">
        <v>32371</v>
      </c>
      <c r="G11390" s="3">
        <v>0.0</v>
      </c>
      <c r="H11390" s="3">
        <v>0.0</v>
      </c>
      <c r="I11390" s="3" t="s">
        <v>13</v>
      </c>
      <c r="J11390" s="3" t="s">
        <v>32372</v>
      </c>
      <c r="K11390" s="3" t="s">
        <v>942</v>
      </c>
      <c r="L11390" s="3" t="str">
        <f>IFERROR(__xludf.DUMMYFUNCTION("GOOGLETRANSLATE(F11390,""id"",""en"")"),"Argentina Cok Argentina Winner Deactivate Social Social Fill in Argentina All Champion")</f>
        <v>Argentina Cok Argentina Winner Deactivate Social Social Fill in Argentina All Champion</v>
      </c>
    </row>
    <row r="11391" ht="15.75" customHeight="1">
      <c r="A11391" s="1">
        <v>12635.0</v>
      </c>
      <c r="B11391" s="3" t="s">
        <v>32373</v>
      </c>
      <c r="C11391" s="3">
        <v>0.0</v>
      </c>
      <c r="D11391" s="3">
        <v>0.0</v>
      </c>
      <c r="E11391" s="3">
        <v>0.0</v>
      </c>
      <c r="F11391" s="3" t="s">
        <v>32374</v>
      </c>
      <c r="G11391" s="3">
        <v>0.0</v>
      </c>
      <c r="H11391" s="3">
        <v>0.0</v>
      </c>
      <c r="I11391" s="3" t="s">
        <v>13</v>
      </c>
      <c r="J11391" s="3" t="s">
        <v>32375</v>
      </c>
      <c r="K11391" s="3" t="s">
        <v>15</v>
      </c>
      <c r="L11391" s="3" t="str">
        <f>IFERROR(__xludf.DUMMYFUNCTION("GOOGLETRANSLATE(F11391,""id"",""en"")"),"mbappe mmg is good at MLM stars but this is the time for Argentina to Champion")</f>
        <v>mbappe mmg is good at MLM stars but this is the time for Argentina to Champion</v>
      </c>
    </row>
    <row r="11392" ht="15.75" customHeight="1">
      <c r="A11392" s="1">
        <v>12636.0</v>
      </c>
      <c r="B11392" s="3" t="s">
        <v>32376</v>
      </c>
      <c r="C11392" s="3">
        <v>0.0</v>
      </c>
      <c r="D11392" s="3">
        <v>0.0</v>
      </c>
      <c r="E11392" s="3">
        <v>0.0</v>
      </c>
      <c r="F11392" s="3" t="s">
        <v>32377</v>
      </c>
      <c r="G11392" s="3">
        <v>0.0</v>
      </c>
      <c r="H11392" s="3">
        <v>0.0</v>
      </c>
      <c r="I11392" s="3" t="s">
        <v>13</v>
      </c>
      <c r="J11392" s="3" t="s">
        <v>32378</v>
      </c>
      <c r="K11392" s="3" t="s">
        <v>644</v>
      </c>
      <c r="L11392" s="3" t="str">
        <f>IFERROR(__xludf.DUMMYFUNCTION("GOOGLETRANSLATE(F11392,""id"",""en"")"),"That's because Argentina has just champions")</f>
        <v>That's because Argentina has just champions</v>
      </c>
    </row>
    <row r="11393" ht="15.75" customHeight="1">
      <c r="A11393" s="1">
        <v>12637.0</v>
      </c>
      <c r="B11393" s="3" t="s">
        <v>32379</v>
      </c>
      <c r="C11393" s="3">
        <v>5.0</v>
      </c>
      <c r="D11393" s="3">
        <v>2.0</v>
      </c>
      <c r="E11393" s="3">
        <v>25.0</v>
      </c>
      <c r="F11393" s="3" t="s">
        <v>32380</v>
      </c>
      <c r="G11393" s="3">
        <v>0.0</v>
      </c>
      <c r="H11393" s="3">
        <v>0.0</v>
      </c>
      <c r="I11393" s="3" t="s">
        <v>13</v>
      </c>
      <c r="J11393" s="3" t="s">
        <v>32381</v>
      </c>
      <c r="K11393" s="3" t="s">
        <v>15</v>
      </c>
      <c r="L11393" s="3" t="str">
        <f>IFERROR(__xludf.DUMMYFUNCTION("GOOGLETRANSLATE(F11393,""id"",""en"")"),"Messi Between Argentina Champion Ronaldo Flood Social Media")</f>
        <v>Messi Between Argentina Champion Ronaldo Flood Social Media</v>
      </c>
    </row>
    <row r="11394" ht="15.75" customHeight="1">
      <c r="A11394" s="1">
        <v>12638.0</v>
      </c>
      <c r="B11394" s="3" t="s">
        <v>32382</v>
      </c>
      <c r="C11394" s="3">
        <v>0.0</v>
      </c>
      <c r="D11394" s="3">
        <v>0.0</v>
      </c>
      <c r="E11394" s="3">
        <v>0.0</v>
      </c>
      <c r="F11394" s="3" t="s">
        <v>32383</v>
      </c>
      <c r="G11394" s="3">
        <v>0.0</v>
      </c>
      <c r="H11394" s="3">
        <v>0.0</v>
      </c>
      <c r="I11394" s="3" t="s">
        <v>13</v>
      </c>
      <c r="J11394" s="3" t="s">
        <v>32384</v>
      </c>
      <c r="K11394" s="3" t="s">
        <v>54</v>
      </c>
      <c r="L11394" s="3" t="str">
        <f>IFERROR(__xludf.DUMMYFUNCTION("GOOGLETRANSLATE(F11394,""id"",""en"")"),"Saudi Arabia's General Champion because of defeating Argentina")</f>
        <v>Saudi Arabia's General Champion because of defeating Argentina</v>
      </c>
    </row>
    <row r="11395" ht="15.75" customHeight="1">
      <c r="A11395" s="1">
        <v>12639.0</v>
      </c>
      <c r="B11395" s="3" t="s">
        <v>32385</v>
      </c>
      <c r="C11395" s="3">
        <v>0.0</v>
      </c>
      <c r="D11395" s="3">
        <v>0.0</v>
      </c>
      <c r="E11395" s="3">
        <v>0.0</v>
      </c>
      <c r="F11395" s="3" t="s">
        <v>32386</v>
      </c>
      <c r="G11395" s="3">
        <v>0.0</v>
      </c>
      <c r="H11395" s="3">
        <v>0.0</v>
      </c>
      <c r="I11395" s="3" t="s">
        <v>13</v>
      </c>
      <c r="J11395" s="3" t="s">
        <v>32387</v>
      </c>
      <c r="K11395" s="3" t="s">
        <v>54</v>
      </c>
      <c r="L11395" s="3" t="str">
        <f>IFERROR(__xludf.DUMMYFUNCTION("GOOGLETRANSLATE(F11395,""id"",""en"")"),"Congratulations to Argentina Champions Champions Goat")</f>
        <v>Congratulations to Argentina Champions Champions Goat</v>
      </c>
    </row>
    <row r="11396" ht="15.75" customHeight="1">
      <c r="A11396" s="1">
        <v>12640.0</v>
      </c>
      <c r="B11396" s="3" t="s">
        <v>32388</v>
      </c>
      <c r="C11396" s="3">
        <v>0.0</v>
      </c>
      <c r="D11396" s="3">
        <v>0.0</v>
      </c>
      <c r="E11396" s="3">
        <v>0.0</v>
      </c>
      <c r="F11396" s="3" t="s">
        <v>32389</v>
      </c>
      <c r="G11396" s="3">
        <v>1.0</v>
      </c>
      <c r="H11396" s="3">
        <v>0.0</v>
      </c>
      <c r="I11396" s="3" t="s">
        <v>13</v>
      </c>
      <c r="J11396" s="3" t="s">
        <v>32390</v>
      </c>
      <c r="K11396" s="3" t="s">
        <v>603</v>
      </c>
      <c r="L11396" s="3" t="str">
        <f>IFERROR(__xludf.DUMMYFUNCTION("GOOGLETRANSLATE(F11396,""id"",""en"")"),"Although Ronaldo gamasukan the final final last night was very exciting besides Nangisin EXO and Sebong it turned out that I also cried the World Cup Final GRGR Argentina Champion")</f>
        <v>Although Ronaldo gamasukan the final final last night was very exciting besides Nangisin EXO and Sebong it turned out that I also cried the World Cup Final GRGR Argentina Champion</v>
      </c>
    </row>
    <row r="11397" ht="15.75" customHeight="1">
      <c r="A11397" s="1">
        <v>12641.0</v>
      </c>
      <c r="B11397" s="3" t="s">
        <v>32391</v>
      </c>
      <c r="C11397" s="3">
        <v>0.0</v>
      </c>
      <c r="D11397" s="3">
        <v>0.0</v>
      </c>
      <c r="E11397" s="3">
        <v>0.0</v>
      </c>
      <c r="F11397" s="3" t="s">
        <v>32392</v>
      </c>
      <c r="G11397" s="3">
        <v>0.0</v>
      </c>
      <c r="H11397" s="3">
        <v>0.0</v>
      </c>
      <c r="I11397" s="3" t="s">
        <v>13</v>
      </c>
      <c r="J11397" s="3" t="s">
        <v>32393</v>
      </c>
      <c r="K11397" s="3" t="s">
        <v>94</v>
      </c>
      <c r="L11397" s="3" t="str">
        <f>IFERROR(__xludf.DUMMYFUNCTION("GOOGLETRANSLATE(F11397,""id"",""en"")"),"Winning through Argentine penalties Champion World Cup Drama which is presented by Lusail Stadium Monday morning WIB really drained players even thousands of spectators in the stadium and millions who watched through the reading screen")</f>
        <v>Winning through Argentine penalties Champion World Cup Drama which is presented by Lusail Stadium Monday morning WIB really drained players even thousands of spectators in the stadium and millions who watched through the reading screen</v>
      </c>
    </row>
    <row r="11398" ht="15.75" customHeight="1">
      <c r="A11398" s="1">
        <v>12642.0</v>
      </c>
      <c r="B11398" s="3" t="s">
        <v>32394</v>
      </c>
      <c r="C11398" s="3">
        <v>0.0</v>
      </c>
      <c r="D11398" s="3">
        <v>1.0</v>
      </c>
      <c r="E11398" s="3">
        <v>2.0</v>
      </c>
      <c r="F11398" s="3" t="s">
        <v>32395</v>
      </c>
      <c r="G11398" s="3">
        <v>0.0</v>
      </c>
      <c r="H11398" s="3">
        <v>0.0</v>
      </c>
      <c r="I11398" s="3" t="s">
        <v>13</v>
      </c>
      <c r="J11398" s="3" t="s">
        <v>32396</v>
      </c>
      <c r="K11398" s="3" t="s">
        <v>54</v>
      </c>
      <c r="L11398" s="3" t="str">
        <f>IFERROR(__xludf.DUMMYFUNCTION("GOOGLETRANSLATE(F11398,""id"",""en"")"),"Argentina came out as the World Cup champion Congratulations")</f>
        <v>Argentina came out as the World Cup champion Congratulations</v>
      </c>
    </row>
    <row r="11399" ht="15.75" customHeight="1">
      <c r="A11399" s="1">
        <v>12643.0</v>
      </c>
      <c r="B11399" s="3" t="s">
        <v>32397</v>
      </c>
      <c r="C11399" s="3">
        <v>0.0</v>
      </c>
      <c r="D11399" s="3">
        <v>0.0</v>
      </c>
      <c r="E11399" s="3">
        <v>0.0</v>
      </c>
      <c r="F11399" s="3" t="s">
        <v>31550</v>
      </c>
      <c r="G11399" s="3">
        <v>0.0</v>
      </c>
      <c r="H11399" s="3">
        <v>0.0</v>
      </c>
      <c r="I11399" s="3" t="s">
        <v>13</v>
      </c>
      <c r="J11399" s="3" t="s">
        <v>31551</v>
      </c>
      <c r="K11399" s="3" t="s">
        <v>50</v>
      </c>
      <c r="L11399" s="3" t="str">
        <f>IFERROR(__xludf.DUMMYFUNCTION("GOOGLETRANSLATE(F11399,""id"",""en"")"),"Argentina World Cup Champion Thank you Messi Fasting Title Year Ends Beautiful")</f>
        <v>Argentina World Cup Champion Thank you Messi Fasting Title Year Ends Beautiful</v>
      </c>
    </row>
    <row r="11400" ht="15.75" customHeight="1">
      <c r="A11400" s="1">
        <v>12644.0</v>
      </c>
      <c r="B11400" s="3" t="s">
        <v>32398</v>
      </c>
      <c r="C11400" s="3">
        <v>0.0</v>
      </c>
      <c r="D11400" s="3">
        <v>0.0</v>
      </c>
      <c r="E11400" s="3">
        <v>0.0</v>
      </c>
      <c r="F11400" s="3" t="s">
        <v>32399</v>
      </c>
      <c r="G11400" s="3">
        <v>0.0</v>
      </c>
      <c r="H11400" s="3">
        <v>0.0</v>
      </c>
      <c r="I11400" s="3" t="s">
        <v>13</v>
      </c>
      <c r="J11400" s="3" t="s">
        <v>32400</v>
      </c>
      <c r="K11400" s="3" t="s">
        <v>123</v>
      </c>
      <c r="L11400" s="3" t="str">
        <f>IFERROR(__xludf.DUMMYFUNCTION("GOOGLETRANSLATE(F11400,""id"",""en"")"),"but still odd with Argentina's first goal should just be a penalty but Argentina is playing well but it is worth the championship just a bit of thought")</f>
        <v>but still odd with Argentina's first goal should just be a penalty but Argentina is playing well but it is worth the championship just a bit of thought</v>
      </c>
    </row>
    <row r="11401" ht="15.75" customHeight="1">
      <c r="A11401" s="1">
        <v>12645.0</v>
      </c>
      <c r="B11401" s="3" t="s">
        <v>32401</v>
      </c>
      <c r="C11401" s="3">
        <v>0.0</v>
      </c>
      <c r="D11401" s="3">
        <v>0.0</v>
      </c>
      <c r="E11401" s="3">
        <v>0.0</v>
      </c>
      <c r="F11401" s="3" t="s">
        <v>32402</v>
      </c>
      <c r="G11401" s="3">
        <v>0.0</v>
      </c>
      <c r="H11401" s="3">
        <v>0.0</v>
      </c>
      <c r="I11401" s="3" t="s">
        <v>13</v>
      </c>
      <c r="J11401" s="3" t="s">
        <v>32403</v>
      </c>
      <c r="K11401" s="3" t="s">
        <v>15</v>
      </c>
      <c r="L11401" s="3" t="str">
        <f>IFERROR(__xludf.DUMMYFUNCTION("GOOGLETRANSLATE(F11401,""id"",""en"")"),"Argentina Champion World Cup Messi This match is very strange")</f>
        <v>Argentina Champion World Cup Messi This match is very strange</v>
      </c>
    </row>
    <row r="11402" ht="15.75" customHeight="1">
      <c r="A11402" s="1">
        <v>12646.0</v>
      </c>
      <c r="B11402" s="3" t="s">
        <v>32404</v>
      </c>
      <c r="C11402" s="3">
        <v>0.0</v>
      </c>
      <c r="D11402" s="3">
        <v>0.0</v>
      </c>
      <c r="E11402" s="3">
        <v>0.0</v>
      </c>
      <c r="F11402" s="3" t="s">
        <v>32356</v>
      </c>
      <c r="G11402" s="3">
        <v>0.0</v>
      </c>
      <c r="H11402" s="3">
        <v>0.0</v>
      </c>
      <c r="I11402" s="3" t="s">
        <v>13</v>
      </c>
      <c r="J11402" s="3" t="s">
        <v>32357</v>
      </c>
      <c r="K11402" s="3" t="s">
        <v>19</v>
      </c>
      <c r="L11402" s="3" t="str">
        <f>IFERROR(__xludf.DUMMYFUNCTION("GOOGLETRANSLATE(F11402,""id"",""en"")"),"Lionel Messi officially holds the title of Goat after helping Argentina Champion of the Qatar World Cup")</f>
        <v>Lionel Messi officially holds the title of Goat after helping Argentina Champion of the Qatar World Cup</v>
      </c>
    </row>
    <row r="11403" ht="15.75" customHeight="1">
      <c r="A11403" s="1">
        <v>12647.0</v>
      </c>
      <c r="B11403" s="3" t="s">
        <v>32405</v>
      </c>
      <c r="C11403" s="3">
        <v>2.0</v>
      </c>
      <c r="D11403" s="3">
        <v>0.0</v>
      </c>
      <c r="E11403" s="3">
        <v>0.0</v>
      </c>
      <c r="F11403" s="3" t="s">
        <v>32406</v>
      </c>
      <c r="G11403" s="3">
        <v>0.0</v>
      </c>
      <c r="H11403" s="3">
        <v>0.0</v>
      </c>
      <c r="I11403" s="3" t="s">
        <v>13</v>
      </c>
      <c r="J11403" s="3" t="s">
        <v>32407</v>
      </c>
      <c r="K11403" s="3" t="s">
        <v>510</v>
      </c>
      <c r="L11403" s="3" t="str">
        <f>IFERROR(__xludf.DUMMYFUNCTION("GOOGLETRANSLATE(F11403,""id"",""en"")"),"I think that Argentine state officials will at pairs of billboards, happy world cup champions Messi Stad")</f>
        <v>I think that Argentine state officials will at pairs of billboards, happy world cup champions Messi Stad</v>
      </c>
    </row>
    <row r="11404" ht="15.75" customHeight="1">
      <c r="A11404" s="1">
        <v>12648.0</v>
      </c>
      <c r="B11404" s="3" t="s">
        <v>32408</v>
      </c>
      <c r="C11404" s="3">
        <v>0.0</v>
      </c>
      <c r="D11404" s="3">
        <v>0.0</v>
      </c>
      <c r="E11404" s="3">
        <v>0.0</v>
      </c>
      <c r="F11404" s="3" t="s">
        <v>32409</v>
      </c>
      <c r="G11404" s="3">
        <v>0.0</v>
      </c>
      <c r="H11404" s="3">
        <v>0.0</v>
      </c>
      <c r="I11404" s="3" t="s">
        <v>13</v>
      </c>
      <c r="J11404" s="3" t="s">
        <v>32410</v>
      </c>
      <c r="K11404" s="3" t="s">
        <v>244</v>
      </c>
      <c r="L11404" s="3" t="str">
        <f>IFERROR(__xludf.DUMMYFUNCTION("GOOGLETRANSLATE(F11404,""id"",""en"")"),"Dam Argentina Champion Watching Dongg Definitely Proof if watching updates keku like that")</f>
        <v>Dam Argentina Champion Watching Dongg Definitely Proof if watching updates keku like that</v>
      </c>
    </row>
    <row r="11405" ht="15.75" customHeight="1">
      <c r="A11405" s="1">
        <v>12649.0</v>
      </c>
      <c r="B11405" s="3" t="s">
        <v>32411</v>
      </c>
      <c r="C11405" s="3">
        <v>0.0</v>
      </c>
      <c r="D11405" s="3">
        <v>1.0</v>
      </c>
      <c r="E11405" s="3">
        <v>2.0</v>
      </c>
      <c r="F11405" s="3" t="s">
        <v>32412</v>
      </c>
      <c r="G11405" s="3">
        <v>0.0</v>
      </c>
      <c r="H11405" s="3">
        <v>0.0</v>
      </c>
      <c r="I11405" s="3" t="s">
        <v>13</v>
      </c>
      <c r="J11405" s="3" t="s">
        <v>32413</v>
      </c>
      <c r="K11405" s="3" t="s">
        <v>41</v>
      </c>
      <c r="L11405" s="3" t="str">
        <f>IFERROR(__xludf.DUMMYFUNCTION("GOOGLETRANSLATE(F11405,""id"",""en"")"),"Argentina's long journey won the Lombok Insider World Cup")</f>
        <v>Argentina's long journey won the Lombok Insider World Cup</v>
      </c>
    </row>
    <row r="11406" ht="15.75" customHeight="1">
      <c r="A11406" s="1">
        <v>12650.0</v>
      </c>
      <c r="B11406" s="3" t="s">
        <v>32414</v>
      </c>
      <c r="C11406" s="3">
        <v>0.0</v>
      </c>
      <c r="D11406" s="3">
        <v>0.0</v>
      </c>
      <c r="E11406" s="3">
        <v>1.0</v>
      </c>
      <c r="F11406" s="3" t="s">
        <v>32415</v>
      </c>
      <c r="G11406" s="3">
        <v>0.0</v>
      </c>
      <c r="H11406" s="3">
        <v>0.0</v>
      </c>
      <c r="I11406" s="3" t="s">
        <v>13</v>
      </c>
      <c r="J11406" s="3" t="s">
        <v>32416</v>
      </c>
      <c r="K11406" s="3" t="s">
        <v>50</v>
      </c>
      <c r="L11406" s="3" t="str">
        <f>IFERROR(__xludf.DUMMYFUNCTION("GOOGLETRANSLATE(F11406,""id"",""en"")"),"Argentina and Lionel Messi's jealousy world cup champions are the most sad number")</f>
        <v>Argentina and Lionel Messi's jealousy world cup champions are the most sad number</v>
      </c>
    </row>
    <row r="11407" ht="15.75" customHeight="1">
      <c r="A11407" s="1">
        <v>12651.0</v>
      </c>
      <c r="B11407" s="3" t="s">
        <v>32417</v>
      </c>
      <c r="C11407" s="3">
        <v>0.0</v>
      </c>
      <c r="D11407" s="3">
        <v>0.0</v>
      </c>
      <c r="E11407" s="3">
        <v>0.0</v>
      </c>
      <c r="F11407" s="3" t="s">
        <v>26173</v>
      </c>
      <c r="G11407" s="3">
        <v>0.0</v>
      </c>
      <c r="H11407" s="3">
        <v>0.0</v>
      </c>
      <c r="I11407" s="3" t="s">
        <v>13</v>
      </c>
      <c r="J11407" s="3" t="s">
        <v>26174</v>
      </c>
      <c r="K11407" s="3" t="s">
        <v>2117</v>
      </c>
      <c r="L11407" s="3" t="str">
        <f>IFERROR(__xludf.DUMMYFUNCTION("GOOGLETRANSLATE(F11407,""id"",""en"")"),"Alhamdulillah Argentina is champion")</f>
        <v>Alhamdulillah Argentina is champion</v>
      </c>
    </row>
    <row r="11408" ht="15.75" customHeight="1">
      <c r="A11408" s="1">
        <v>12652.0</v>
      </c>
      <c r="B11408" s="3" t="s">
        <v>32418</v>
      </c>
      <c r="C11408" s="3">
        <v>0.0</v>
      </c>
      <c r="D11408" s="3">
        <v>1.0</v>
      </c>
      <c r="E11408" s="3">
        <v>4.0</v>
      </c>
      <c r="F11408" s="3" t="s">
        <v>32419</v>
      </c>
      <c r="G11408" s="3">
        <v>0.0</v>
      </c>
      <c r="H11408" s="3">
        <v>0.0</v>
      </c>
      <c r="I11408" s="3" t="s">
        <v>13</v>
      </c>
      <c r="J11408" s="3" t="s">
        <v>32420</v>
      </c>
      <c r="K11408" s="3" t="s">
        <v>192</v>
      </c>
      <c r="L11408" s="3" t="str">
        <f>IFERROR(__xludf.DUMMYFUNCTION("GOOGLETRANSLATE(F11408,""id"",""en"")"),"Thousands of supporters of the national team celebrate the victory of the Tango team to win the Qatar World Cup Monument Obelisco City Buenos Aires Argentina Sunday Photo between Reuters photo Agustin Marcarian Seeing another photo")</f>
        <v>Thousands of supporters of the national team celebrate the victory of the Tango team to win the Qatar World Cup Monument Obelisco City Buenos Aires Argentina Sunday Photo between Reuters photo Agustin Marcarian Seeing another photo</v>
      </c>
    </row>
    <row r="11409" ht="15.75" customHeight="1">
      <c r="A11409" s="1">
        <v>12653.0</v>
      </c>
      <c r="B11409" s="3" t="s">
        <v>32421</v>
      </c>
      <c r="C11409" s="3">
        <v>0.0</v>
      </c>
      <c r="D11409" s="3">
        <v>0.0</v>
      </c>
      <c r="E11409" s="3">
        <v>0.0</v>
      </c>
      <c r="F11409" s="3" t="s">
        <v>32422</v>
      </c>
      <c r="G11409" s="3">
        <v>0.0</v>
      </c>
      <c r="H11409" s="3">
        <v>0.0</v>
      </c>
      <c r="I11409" s="3" t="s">
        <v>13</v>
      </c>
      <c r="J11409" s="3" t="s">
        <v>32423</v>
      </c>
      <c r="K11409" s="3" t="s">
        <v>974</v>
      </c>
      <c r="L11409" s="3" t="str">
        <f>IFERROR(__xludf.DUMMYFUNCTION("GOOGLETRANSLATE(F11409,""id"",""en"")"),"Ronaldo fans are not all stubborn to believe in smaa, so they are very like they are likely to be the same as Wahabi, let alone lose the series, I just want to be the important thing, Argentina is champion and Messi lifts the World Cup.")</f>
        <v>Ronaldo fans are not all stubborn to believe in smaa, so they are very like they are likely to be the same as Wahabi, let alone lose the series, I just want to be the important thing, Argentina is champion and Messi lifts the World Cup.</v>
      </c>
    </row>
    <row r="11410" ht="15.75" customHeight="1">
      <c r="A11410" s="1">
        <v>12654.0</v>
      </c>
      <c r="B11410" s="3" t="s">
        <v>32424</v>
      </c>
      <c r="C11410" s="3">
        <v>0.0</v>
      </c>
      <c r="D11410" s="3">
        <v>1.0</v>
      </c>
      <c r="E11410" s="3">
        <v>0.0</v>
      </c>
      <c r="F11410" s="3" t="s">
        <v>32425</v>
      </c>
      <c r="G11410" s="3">
        <v>0.0</v>
      </c>
      <c r="H11410" s="3">
        <v>0.0</v>
      </c>
      <c r="I11410" s="3" t="s">
        <v>13</v>
      </c>
      <c r="J11410" s="3" t="s">
        <v>32426</v>
      </c>
      <c r="K11410" s="3" t="s">
        <v>75</v>
      </c>
      <c r="L11410" s="3" t="str">
        <f>IFERROR(__xludf.DUMMYFUNCTION("GOOGLETRANSLATE(F11410,""id"",""en"")"),"Lionel Messi Jersey Star Argentina and Ambition after World Cup Champion")</f>
        <v>Lionel Messi Jersey Star Argentina and Ambition after World Cup Champion</v>
      </c>
    </row>
    <row r="11411" ht="15.75" customHeight="1">
      <c r="A11411" s="1">
        <v>12655.0</v>
      </c>
      <c r="B11411" s="3" t="s">
        <v>32427</v>
      </c>
      <c r="C11411" s="3">
        <v>0.0</v>
      </c>
      <c r="D11411" s="3">
        <v>0.0</v>
      </c>
      <c r="E11411" s="3">
        <v>0.0</v>
      </c>
      <c r="F11411" s="3" t="s">
        <v>32428</v>
      </c>
      <c r="G11411" s="3">
        <v>0.0</v>
      </c>
      <c r="H11411" s="3">
        <v>0.0</v>
      </c>
      <c r="I11411" s="3" t="s">
        <v>13</v>
      </c>
      <c r="J11411" s="3" t="s">
        <v>32429</v>
      </c>
      <c r="K11411" s="3" t="s">
        <v>433</v>
      </c>
      <c r="L11411" s="3" t="str">
        <f>IFERROR(__xludf.DUMMYFUNCTION("GOOGLETRANSLATE(F11411,""id"",""en"")"),"waiting finally Argentina could be the last world champion of God by God Diego Armando Maradona Congrats Argentina")</f>
        <v>waiting finally Argentina could be the last world champion of God by God Diego Armando Maradona Congrats Argentina</v>
      </c>
    </row>
    <row r="11412" ht="15.75" customHeight="1">
      <c r="A11412" s="1">
        <v>12656.0</v>
      </c>
      <c r="B11412" s="3" t="s">
        <v>32430</v>
      </c>
      <c r="C11412" s="3">
        <v>0.0</v>
      </c>
      <c r="D11412" s="3">
        <v>1.0</v>
      </c>
      <c r="E11412" s="3">
        <v>0.0</v>
      </c>
      <c r="F11412" s="3" t="s">
        <v>32431</v>
      </c>
      <c r="G11412" s="3">
        <v>0.0</v>
      </c>
      <c r="H11412" s="3">
        <v>0.0</v>
      </c>
      <c r="I11412" s="3" t="s">
        <v>13</v>
      </c>
      <c r="J11412" s="3" t="s">
        <v>32432</v>
      </c>
      <c r="K11412" s="3" t="s">
        <v>2117</v>
      </c>
      <c r="L11412" s="3" t="str">
        <f>IFERROR(__xludf.DUMMYFUNCTION("GOOGLETRANSLATE(F11412,""id"",""en"")"),"True Argentina Champion")</f>
        <v>True Argentina Champion</v>
      </c>
    </row>
    <row r="11413" ht="15.75" customHeight="1">
      <c r="A11413" s="1">
        <v>12657.0</v>
      </c>
      <c r="B11413" s="3" t="s">
        <v>32433</v>
      </c>
      <c r="C11413" s="3">
        <v>1.0</v>
      </c>
      <c r="D11413" s="3">
        <v>0.0</v>
      </c>
      <c r="E11413" s="3">
        <v>7.0</v>
      </c>
      <c r="F11413" s="3" t="s">
        <v>26077</v>
      </c>
      <c r="G11413" s="3">
        <v>0.0</v>
      </c>
      <c r="H11413" s="3">
        <v>0.0</v>
      </c>
      <c r="I11413" s="3" t="s">
        <v>13</v>
      </c>
      <c r="J11413" s="3" t="s">
        <v>26078</v>
      </c>
      <c r="K11413" s="3" t="s">
        <v>433</v>
      </c>
      <c r="L11413" s="3" t="str">
        <f>IFERROR(__xludf.DUMMYFUNCTION("GOOGLETRANSLATE(F11413,""id"",""en"")"),"Lionel Messi finally became the world champion of the Argentine national team brought by Pulga to become a World Cup champion")</f>
        <v>Lionel Messi finally became the world champion of the Argentine national team brought by Pulga to become a World Cup champion</v>
      </c>
    </row>
    <row r="11414" ht="15.75" customHeight="1">
      <c r="A11414" s="1">
        <v>12658.0</v>
      </c>
      <c r="B11414" s="3" t="s">
        <v>32434</v>
      </c>
      <c r="C11414" s="3">
        <v>0.0</v>
      </c>
      <c r="D11414" s="3">
        <v>0.0</v>
      </c>
      <c r="E11414" s="3">
        <v>0.0</v>
      </c>
      <c r="F11414" s="3" t="s">
        <v>32435</v>
      </c>
      <c r="G11414" s="3">
        <v>1.0</v>
      </c>
      <c r="H11414" s="3">
        <v>0.0</v>
      </c>
      <c r="I11414" s="3" t="s">
        <v>13</v>
      </c>
      <c r="J11414" s="3" t="s">
        <v>32436</v>
      </c>
      <c r="K11414" s="3" t="s">
        <v>614</v>
      </c>
      <c r="L11414" s="3" t="str">
        <f>IFERROR(__xludf.DUMMYFUNCTION("GOOGLETRANSLATE(F11414,""id"",""en"")"),"Argentine World Cup Final Lionel Messi only takes minutes to be the sharpest human since downloading the application for news access is easier and faster Android")</f>
        <v>Argentine World Cup Final Lionel Messi only takes minutes to be the sharpest human since downloading the application for news access is easier and faster Android</v>
      </c>
    </row>
    <row r="11415" ht="15.75" customHeight="1">
      <c r="A11415" s="1">
        <v>12659.0</v>
      </c>
      <c r="B11415" s="3" t="s">
        <v>32437</v>
      </c>
      <c r="C11415" s="3">
        <v>0.0</v>
      </c>
      <c r="D11415" s="3">
        <v>0.0</v>
      </c>
      <c r="E11415" s="3">
        <v>5.0</v>
      </c>
      <c r="F11415" s="3" t="s">
        <v>32438</v>
      </c>
      <c r="G11415" s="3">
        <v>1.0</v>
      </c>
      <c r="H11415" s="3">
        <v>0.8</v>
      </c>
      <c r="I11415" s="3" t="s">
        <v>48</v>
      </c>
      <c r="J11415" s="3" t="s">
        <v>32439</v>
      </c>
      <c r="K11415" s="3" t="s">
        <v>184</v>
      </c>
      <c r="L11415" s="3" t="str">
        <f>IFERROR(__xludf.DUMMYFUNCTION("GOOGLETRANSLATE(F11415,""id"",""en"")"),"Congratulations for the world champion Argentina French fans don't keep crying losing to win about the usual, anyway, it's made happy")</f>
        <v>Congratulations for the world champion Argentina French fans don't keep crying losing to win about the usual, anyway, it's made happy</v>
      </c>
    </row>
    <row r="11416" ht="15.75" customHeight="1">
      <c r="A11416" s="1">
        <v>12660.0</v>
      </c>
      <c r="B11416" s="3" t="s">
        <v>32440</v>
      </c>
      <c r="C11416" s="3">
        <v>0.0</v>
      </c>
      <c r="D11416" s="3">
        <v>0.0</v>
      </c>
      <c r="E11416" s="3">
        <v>0.0</v>
      </c>
      <c r="F11416" s="3" t="s">
        <v>32441</v>
      </c>
      <c r="G11416" s="3">
        <v>0.0</v>
      </c>
      <c r="H11416" s="3">
        <v>0.0</v>
      </c>
      <c r="I11416" s="3" t="s">
        <v>13</v>
      </c>
      <c r="J11416" s="3" t="s">
        <v>32442</v>
      </c>
      <c r="K11416" s="3" t="s">
        <v>75</v>
      </c>
      <c r="L11416" s="3" t="str">
        <f>IFERROR(__xludf.DUMMYFUNCTION("GOOGLETRANSLATE(F11416,""id"",""en"")"),"Congratulations Argentina World Cup Champion Turned France through penalties")</f>
        <v>Congratulations Argentina World Cup Champion Turned France through penalties</v>
      </c>
    </row>
    <row r="11417" ht="15.75" customHeight="1">
      <c r="A11417" s="1">
        <v>12661.0</v>
      </c>
      <c r="B11417" s="3" t="s">
        <v>32443</v>
      </c>
      <c r="C11417" s="3">
        <v>0.0</v>
      </c>
      <c r="D11417" s="3">
        <v>4.0</v>
      </c>
      <c r="E11417" s="3">
        <v>0.0</v>
      </c>
      <c r="F11417" s="3" t="s">
        <v>32444</v>
      </c>
      <c r="G11417" s="3">
        <v>0.0</v>
      </c>
      <c r="H11417" s="3">
        <v>0.0</v>
      </c>
      <c r="I11417" s="3" t="s">
        <v>13</v>
      </c>
      <c r="J11417" s="3" t="s">
        <v>32445</v>
      </c>
      <c r="K11417" s="3" t="s">
        <v>41</v>
      </c>
      <c r="L11417" s="3" t="str">
        <f>IFERROR(__xludf.DUMMYFUNCTION("GOOGLETRANSLATE(F11417,""id"",""en"")"),"Argentina World Champion Tango Borong Team Player Award Coverage")</f>
        <v>Argentina World Champion Tango Borong Team Player Award Coverage</v>
      </c>
    </row>
    <row r="11418" ht="15.75" customHeight="1">
      <c r="A11418" s="1">
        <v>12662.0</v>
      </c>
      <c r="B11418" s="3" t="s">
        <v>32446</v>
      </c>
      <c r="C11418" s="3">
        <v>0.0</v>
      </c>
      <c r="D11418" s="3">
        <v>0.0</v>
      </c>
      <c r="E11418" s="3">
        <v>0.0</v>
      </c>
      <c r="F11418" s="3" t="s">
        <v>32447</v>
      </c>
      <c r="G11418" s="3">
        <v>0.0</v>
      </c>
      <c r="H11418" s="3">
        <v>0.0</v>
      </c>
      <c r="I11418" s="3" t="s">
        <v>13</v>
      </c>
      <c r="J11418" s="3" t="s">
        <v>32448</v>
      </c>
      <c r="K11418" s="3" t="s">
        <v>2907</v>
      </c>
      <c r="L11418" s="3" t="str">
        <f>IFERROR(__xludf.DUMMYFUNCTION("GOOGLETRANSLATE(F11418,""id"",""en"")"),"After the champion, I felt like I was quite satisfied with the next pildun I wish there would be a new champion anyway")</f>
        <v>After the champion, I felt like I was quite satisfied with the next pildun I wish there would be a new champion anyway</v>
      </c>
    </row>
    <row r="11419" ht="15.75" customHeight="1">
      <c r="A11419" s="1">
        <v>12663.0</v>
      </c>
      <c r="B11419" s="3" t="s">
        <v>32449</v>
      </c>
      <c r="C11419" s="3">
        <v>0.0</v>
      </c>
      <c r="D11419" s="3">
        <v>3.0</v>
      </c>
      <c r="E11419" s="3">
        <v>3.0</v>
      </c>
      <c r="F11419" s="3" t="s">
        <v>32450</v>
      </c>
      <c r="G11419" s="3">
        <v>0.0</v>
      </c>
      <c r="H11419" s="3">
        <v>0.0</v>
      </c>
      <c r="I11419" s="3" t="s">
        <v>13</v>
      </c>
      <c r="J11419" s="3" t="s">
        <v>32451</v>
      </c>
      <c r="K11419" s="3" t="s">
        <v>644</v>
      </c>
      <c r="L11419" s="3" t="str">
        <f>IFERROR(__xludf.DUMMYFUNCTION("GOOGLETRANSLATE(F11419,""id"",""en"")"),"Argentina World Champion Sekaiichi")</f>
        <v>Argentina World Champion Sekaiichi</v>
      </c>
    </row>
    <row r="11420" ht="15.75" customHeight="1">
      <c r="A11420" s="1">
        <v>12664.0</v>
      </c>
      <c r="B11420" s="3" t="s">
        <v>32452</v>
      </c>
      <c r="C11420" s="3">
        <v>0.0</v>
      </c>
      <c r="D11420" s="3">
        <v>0.0</v>
      </c>
      <c r="E11420" s="3">
        <v>0.0</v>
      </c>
      <c r="F11420" s="3" t="s">
        <v>32453</v>
      </c>
      <c r="G11420" s="3">
        <v>0.0</v>
      </c>
      <c r="H11420" s="3">
        <v>0.0</v>
      </c>
      <c r="I11420" s="3" t="s">
        <v>13</v>
      </c>
      <c r="J11420" s="3" t="s">
        <v>32454</v>
      </c>
      <c r="K11420" s="3" t="s">
        <v>903</v>
      </c>
      <c r="L11420" s="3" t="str">
        <f>IFERROR(__xludf.DUMMYFUNCTION("GOOGLETRANSLATE(F11420,""id"",""en"")"),"It's up to the important thing Argentina champions like Portugal want to bacot anything until a broken finger will close the fact that Argentina champion Messi is the best player of all time")</f>
        <v>It's up to the important thing Argentina champions like Portugal want to bacot anything until a broken finger will close the fact that Argentina champion Messi is the best player of all time</v>
      </c>
    </row>
    <row r="11421" ht="15.75" customHeight="1">
      <c r="A11421" s="1">
        <v>12665.0</v>
      </c>
      <c r="B11421" s="3" t="s">
        <v>32455</v>
      </c>
      <c r="C11421" s="3">
        <v>0.0</v>
      </c>
      <c r="D11421" s="3">
        <v>1.0</v>
      </c>
      <c r="E11421" s="3">
        <v>0.0</v>
      </c>
      <c r="F11421" s="3" t="s">
        <v>32456</v>
      </c>
      <c r="G11421" s="3">
        <v>0.0</v>
      </c>
      <c r="H11421" s="3">
        <v>0.0</v>
      </c>
      <c r="I11421" s="3" t="s">
        <v>13</v>
      </c>
      <c r="J11421" s="3" t="s">
        <v>32457</v>
      </c>
      <c r="K11421" s="3" t="s">
        <v>205</v>
      </c>
      <c r="L11421" s="3" t="str">
        <f>IFERROR(__xludf.DUMMYFUNCTION("GOOGLETRANSLATE(F11421,""id"",""en"")"),"Morning Tweeps didn't expect that finally Argentina became the champion who supported Argentina last night now it's time for the activity again Tweeps let's drink coffee this morning happy day")</f>
        <v>Morning Tweeps didn't expect that finally Argentina became the champion who supported Argentina last night now it's time for the activity again Tweeps let's drink coffee this morning happy day</v>
      </c>
    </row>
    <row r="11422" ht="15.75" customHeight="1">
      <c r="A11422" s="1">
        <v>12666.0</v>
      </c>
      <c r="B11422" s="3" t="s">
        <v>32458</v>
      </c>
      <c r="C11422" s="3">
        <v>0.0</v>
      </c>
      <c r="D11422" s="3">
        <v>0.0</v>
      </c>
      <c r="E11422" s="3">
        <v>0.0</v>
      </c>
      <c r="F11422" s="3" t="s">
        <v>32459</v>
      </c>
      <c r="G11422" s="3">
        <v>0.0</v>
      </c>
      <c r="H11422" s="3">
        <v>0.0</v>
      </c>
      <c r="I11422" s="3" t="s">
        <v>13</v>
      </c>
      <c r="J11422" s="3" t="s">
        <v>32460</v>
      </c>
      <c r="K11422" s="3" t="s">
        <v>82</v>
      </c>
      <c r="L11422" s="3" t="str">
        <f>IFERROR(__xludf.DUMMYFUNCTION("GOOGLETRANSLATE(F11422,""id"",""en"")"),"I was so followed by Argentina Congrats champions of the World Cup")</f>
        <v>I was so followed by Argentina Congrats champions of the World Cup</v>
      </c>
    </row>
    <row r="11423" ht="15.75" customHeight="1">
      <c r="A11423" s="1">
        <v>12667.0</v>
      </c>
      <c r="B11423" s="3" t="s">
        <v>32461</v>
      </c>
      <c r="C11423" s="3">
        <v>0.0</v>
      </c>
      <c r="D11423" s="3">
        <v>0.0</v>
      </c>
      <c r="E11423" s="3">
        <v>0.0</v>
      </c>
      <c r="F11423" s="3" t="s">
        <v>32462</v>
      </c>
      <c r="G11423" s="3">
        <v>0.0</v>
      </c>
      <c r="H11423" s="3">
        <v>0.0</v>
      </c>
      <c r="I11423" s="3" t="s">
        <v>13</v>
      </c>
      <c r="J11423" s="3" t="s">
        <v>32463</v>
      </c>
      <c r="K11423" s="3" t="s">
        <v>2117</v>
      </c>
      <c r="L11423" s="3" t="str">
        <f>IFERROR(__xludf.DUMMYFUNCTION("GOOGLETRANSLATE(F11423,""id"",""en"")"),"Cool Argentina Champion")</f>
        <v>Cool Argentina Champion</v>
      </c>
    </row>
    <row r="11424" ht="15.75" customHeight="1">
      <c r="A11424" s="1">
        <v>12668.0</v>
      </c>
      <c r="B11424" s="3" t="s">
        <v>32464</v>
      </c>
      <c r="C11424" s="3">
        <v>0.0</v>
      </c>
      <c r="D11424" s="3">
        <v>1.0</v>
      </c>
      <c r="E11424" s="3">
        <v>14.0</v>
      </c>
      <c r="F11424" s="3" t="s">
        <v>32465</v>
      </c>
      <c r="G11424" s="3">
        <v>0.0</v>
      </c>
      <c r="H11424" s="3">
        <v>0.0</v>
      </c>
      <c r="I11424" s="3" t="s">
        <v>13</v>
      </c>
      <c r="J11424" s="3" t="s">
        <v>32466</v>
      </c>
      <c r="K11424" s="3" t="s">
        <v>3346</v>
      </c>
      <c r="L11424" s="3" t="str">
        <f>IFERROR(__xludf.DUMMYFUNCTION("GOOGLETRANSLATE(F11424,""id"",""en"")"),"Argentina Champion will be full of the chairman of AFA because Argentina can win thanks to the chairman of AFA")</f>
        <v>Argentina Champion will be full of the chairman of AFA because Argentina can win thanks to the chairman of AFA</v>
      </c>
    </row>
    <row r="11425" ht="15.75" customHeight="1">
      <c r="A11425" s="1">
        <v>12669.0</v>
      </c>
      <c r="B11425" s="3" t="s">
        <v>32467</v>
      </c>
      <c r="C11425" s="3">
        <v>0.0</v>
      </c>
      <c r="D11425" s="3">
        <v>0.0</v>
      </c>
      <c r="E11425" s="3">
        <v>1.0</v>
      </c>
      <c r="F11425" s="3" t="s">
        <v>32468</v>
      </c>
      <c r="G11425" s="3">
        <v>0.0</v>
      </c>
      <c r="H11425" s="3">
        <v>0.0</v>
      </c>
      <c r="I11425" s="3" t="s">
        <v>13</v>
      </c>
      <c r="J11425" s="3" t="s">
        <v>32469</v>
      </c>
      <c r="K11425" s="3" t="s">
        <v>82</v>
      </c>
      <c r="L11425" s="3" t="str">
        <f>IFERROR(__xludf.DUMMYFUNCTION("GOOGLETRANSLATE(F11425,""id"",""en"")"),"Argentina Cipung Guess Champion World Cup Bener")</f>
        <v>Argentina Cipung Guess Champion World Cup Bener</v>
      </c>
    </row>
    <row r="11426" ht="15.75" customHeight="1">
      <c r="A11426" s="1">
        <v>12670.0</v>
      </c>
      <c r="B11426" s="3" t="s">
        <v>32470</v>
      </c>
      <c r="C11426" s="3">
        <v>0.0</v>
      </c>
      <c r="D11426" s="3">
        <v>0.0</v>
      </c>
      <c r="E11426" s="3">
        <v>0.0</v>
      </c>
      <c r="F11426" s="3" t="s">
        <v>32471</v>
      </c>
      <c r="G11426" s="3">
        <v>0.0</v>
      </c>
      <c r="H11426" s="3">
        <v>0.0</v>
      </c>
      <c r="I11426" s="3" t="s">
        <v>13</v>
      </c>
      <c r="J11426" s="3" t="s">
        <v>32472</v>
      </c>
      <c r="K11426" s="3" t="s">
        <v>1335</v>
      </c>
      <c r="L11426" s="3" t="str">
        <f>IFERROR(__xludf.DUMMYFUNCTION("GOOGLETRANSLATE(F11426,""id"",""en"")"),"Jorge Bergoglio Argentine player who caused Argentina to Champion")</f>
        <v>Jorge Bergoglio Argentine player who caused Argentina to Champion</v>
      </c>
    </row>
    <row r="11427" ht="15.75" customHeight="1">
      <c r="A11427" s="1">
        <v>12671.0</v>
      </c>
      <c r="B11427" s="3" t="s">
        <v>32473</v>
      </c>
      <c r="C11427" s="3">
        <v>0.0</v>
      </c>
      <c r="D11427" s="3">
        <v>2.0</v>
      </c>
      <c r="E11427" s="3">
        <v>1.0</v>
      </c>
      <c r="F11427" s="3" t="s">
        <v>32474</v>
      </c>
      <c r="G11427" s="3">
        <v>0.0</v>
      </c>
      <c r="H11427" s="3">
        <v>0.0</v>
      </c>
      <c r="I11427" s="3" t="s">
        <v>13</v>
      </c>
      <c r="J11427" s="3" t="s">
        <v>32475</v>
      </c>
      <c r="K11427" s="3" t="s">
        <v>695</v>
      </c>
      <c r="L11427" s="3" t="str">
        <f>IFERROR(__xludf.DUMMYFUNCTION("GOOGLETRANSLATE(F11427,""id"",""en"")"),"Line Surdeal Squad actually becomes a drag of the opposite ambition from the Argentina Squad Ayok we bring the Messi champion if Portugal Come on Champion Carrying Cok")</f>
        <v>Line Surdeal Squad actually becomes a drag of the opposite ambition from the Argentina Squad Ayok we bring the Messi champion if Portugal Come on Champion Carrying Cok</v>
      </c>
    </row>
    <row r="11428" ht="15.75" customHeight="1">
      <c r="A11428" s="1">
        <v>12672.0</v>
      </c>
      <c r="B11428" s="3" t="s">
        <v>32476</v>
      </c>
      <c r="C11428" s="3">
        <v>0.0</v>
      </c>
      <c r="D11428" s="3">
        <v>0.0</v>
      </c>
      <c r="E11428" s="3">
        <v>0.0</v>
      </c>
      <c r="F11428" s="3" t="s">
        <v>32477</v>
      </c>
      <c r="G11428" s="3">
        <v>0.0</v>
      </c>
      <c r="H11428" s="3">
        <v>0.0</v>
      </c>
      <c r="I11428" s="3" t="s">
        <v>13</v>
      </c>
      <c r="J11428" s="3" t="s">
        <v>32478</v>
      </c>
      <c r="K11428" s="3" t="s">
        <v>1097</v>
      </c>
      <c r="L11428" s="3" t="str">
        <f>IFERROR(__xludf.DUMMYFUNCTION("GOOGLETRANSLATE(F11428,""id"",""en"")"),"Argentina Champion World Cup You still champion in your heart hahahaa")</f>
        <v>Argentina Champion World Cup You still champion in your heart hahahaa</v>
      </c>
    </row>
    <row r="11429" ht="15.75" customHeight="1">
      <c r="A11429" s="1">
        <v>12673.0</v>
      </c>
      <c r="B11429" s="3" t="s">
        <v>32479</v>
      </c>
      <c r="C11429" s="3">
        <v>0.0</v>
      </c>
      <c r="D11429" s="3">
        <v>4.0</v>
      </c>
      <c r="E11429" s="3">
        <v>12.0</v>
      </c>
      <c r="F11429" s="3" t="s">
        <v>31768</v>
      </c>
      <c r="G11429" s="3">
        <v>0.0</v>
      </c>
      <c r="H11429" s="3">
        <v>0.0</v>
      </c>
      <c r="I11429" s="3" t="s">
        <v>13</v>
      </c>
      <c r="J11429" s="3" t="s">
        <v>31769</v>
      </c>
      <c r="K11429" s="3" t="s">
        <v>75</v>
      </c>
      <c r="L11429" s="3" t="str">
        <f>IFERROR(__xludf.DUMMYFUNCTION("GOOGLETRANSLATE(F11429,""id"",""en"")"),"French brush and bring our Argentina World Cup champion Lionel Messi Success")</f>
        <v>French brush and bring our Argentina World Cup champion Lionel Messi Success</v>
      </c>
    </row>
    <row r="11430" ht="15.75" customHeight="1">
      <c r="A11430" s="1">
        <v>12674.0</v>
      </c>
      <c r="B11430" s="3" t="s">
        <v>32480</v>
      </c>
      <c r="C11430" s="3">
        <v>13.0</v>
      </c>
      <c r="D11430" s="3">
        <v>26.0</v>
      </c>
      <c r="E11430" s="3">
        <v>120.0</v>
      </c>
      <c r="F11430" s="3" t="s">
        <v>32481</v>
      </c>
      <c r="G11430" s="3">
        <v>0.0</v>
      </c>
      <c r="H11430" s="3">
        <v>0.0</v>
      </c>
      <c r="I11430" s="3" t="s">
        <v>13</v>
      </c>
      <c r="J11430" s="3" t="s">
        <v>32482</v>
      </c>
      <c r="K11430" s="3" t="s">
        <v>3612</v>
      </c>
      <c r="L11430" s="3" t="str">
        <f>IFERROR(__xludf.DUMMYFUNCTION("GOOGLETRANSLATE(F11430,""id"",""en"")"),"Saudi Arabia Morocco won the World Cup because the mother's prayer did not want to lose Argentina World Cup champions were also thanks to your support and prayers")</f>
        <v>Saudi Arabia Morocco won the World Cup because the mother's prayer did not want to lose Argentina World Cup champions were also thanks to your support and prayers</v>
      </c>
    </row>
    <row r="11431" ht="15.75" customHeight="1">
      <c r="A11431" s="1">
        <v>12675.0</v>
      </c>
      <c r="B11431" s="3" t="s">
        <v>32483</v>
      </c>
      <c r="C11431" s="3">
        <v>0.0</v>
      </c>
      <c r="D11431" s="3">
        <v>0.0</v>
      </c>
      <c r="E11431" s="3">
        <v>1.0</v>
      </c>
      <c r="F11431" s="3" t="s">
        <v>32484</v>
      </c>
      <c r="G11431" s="3">
        <v>0.75</v>
      </c>
      <c r="H11431" s="3">
        <v>0.15</v>
      </c>
      <c r="I11431" s="3" t="s">
        <v>48</v>
      </c>
      <c r="J11431" s="3" t="s">
        <v>32485</v>
      </c>
      <c r="K11431" s="3" t="s">
        <v>94</v>
      </c>
      <c r="L11431" s="3" t="str">
        <f>IFERROR(__xludf.DUMMYFUNCTION("GOOGLETRANSLATE(F11431,""id"",""en"")"),"Argentina's success in becoming a World Cup Champion is getting sweeter for Lionel Messi, Messi is entitled to the Golden Ball Golden Ball award after Argentina defeat France Final through Semanggi Suroboyo Jam Penalty shootout")</f>
        <v>Argentina's success in becoming a World Cup Champion is getting sweeter for Lionel Messi, Messi is entitled to the Golden Ball Golden Ball award after Argentina defeat France Final through Semanggi Suroboyo Jam Penalty shootout</v>
      </c>
    </row>
    <row r="11432" ht="15.75" customHeight="1">
      <c r="A11432" s="1">
        <v>12676.0</v>
      </c>
      <c r="B11432" s="3" t="s">
        <v>32486</v>
      </c>
      <c r="C11432" s="3">
        <v>0.0</v>
      </c>
      <c r="D11432" s="3">
        <v>0.0</v>
      </c>
      <c r="E11432" s="3">
        <v>0.0</v>
      </c>
      <c r="F11432" s="3" t="s">
        <v>32487</v>
      </c>
      <c r="G11432" s="3">
        <v>0.0</v>
      </c>
      <c r="H11432" s="3">
        <v>0.0</v>
      </c>
      <c r="I11432" s="3" t="s">
        <v>13</v>
      </c>
      <c r="J11432" s="3" t="s">
        <v>32488</v>
      </c>
      <c r="K11432" s="3" t="s">
        <v>82</v>
      </c>
      <c r="L11432" s="3" t="str">
        <f>IFERROR(__xludf.DUMMYFUNCTION("GOOGLETRANSLATE(F11432,""id"",""en"")"),"Argentina last time won world champion and")</f>
        <v>Argentina last time won world champion and</v>
      </c>
    </row>
    <row r="11433" ht="15.75" customHeight="1">
      <c r="A11433" s="1">
        <v>12677.0</v>
      </c>
      <c r="B11433" s="3" t="s">
        <v>32489</v>
      </c>
      <c r="C11433" s="3">
        <v>0.0</v>
      </c>
      <c r="D11433" s="3">
        <v>0.0</v>
      </c>
      <c r="E11433" s="3">
        <v>1.0</v>
      </c>
      <c r="F11433" s="3" t="s">
        <v>32490</v>
      </c>
      <c r="G11433" s="3">
        <v>0.0</v>
      </c>
      <c r="H11433" s="3">
        <v>0.0</v>
      </c>
      <c r="I11433" s="3" t="s">
        <v>13</v>
      </c>
      <c r="J11433" s="3" t="s">
        <v>32491</v>
      </c>
      <c r="K11433" s="3" t="s">
        <v>135</v>
      </c>
      <c r="L11433" s="3" t="str">
        <f>IFERROR(__xludf.DUMMYFUNCTION("GOOGLETRANSLATE(F11433,""id"",""en"")"),"Vamos Argentina Messi et al won the World Cup champion after defeating France, Sushimitra's penalty round")</f>
        <v>Vamos Argentina Messi et al won the World Cup champion after defeating France, Sushimitra's penalty round</v>
      </c>
    </row>
    <row r="11434" ht="15.75" customHeight="1">
      <c r="A11434" s="1">
        <v>12678.0</v>
      </c>
      <c r="B11434" s="3" t="s">
        <v>32492</v>
      </c>
      <c r="C11434" s="3">
        <v>0.0</v>
      </c>
      <c r="D11434" s="3">
        <v>0.0</v>
      </c>
      <c r="E11434" s="3">
        <v>0.0</v>
      </c>
      <c r="F11434" s="3" t="s">
        <v>32493</v>
      </c>
      <c r="G11434" s="3">
        <v>0.0</v>
      </c>
      <c r="H11434" s="3">
        <v>0.0</v>
      </c>
      <c r="I11434" s="3" t="s">
        <v>13</v>
      </c>
      <c r="J11434" s="3" t="s">
        <v>32494</v>
      </c>
      <c r="K11434" s="3" t="s">
        <v>50</v>
      </c>
      <c r="L11434" s="3" t="str">
        <f>IFERROR(__xludf.DUMMYFUNCTION("GOOGLETRANSLATE(F11434,""id"",""en"")"),"Lionel Messi brought Argentina Champion World Cup Chess Game Officially Completed")</f>
        <v>Lionel Messi brought Argentina Champion World Cup Chess Game Officially Completed</v>
      </c>
    </row>
    <row r="11435" ht="15.75" customHeight="1">
      <c r="A11435" s="1">
        <v>12679.0</v>
      </c>
      <c r="B11435" s="3" t="s">
        <v>32495</v>
      </c>
      <c r="C11435" s="3">
        <v>2.0</v>
      </c>
      <c r="D11435" s="3">
        <v>0.0</v>
      </c>
      <c r="E11435" s="3">
        <v>0.0</v>
      </c>
      <c r="F11435" s="3" t="s">
        <v>32496</v>
      </c>
      <c r="G11435" s="3">
        <v>0.0</v>
      </c>
      <c r="H11435" s="3">
        <v>0.0</v>
      </c>
      <c r="I11435" s="3" t="s">
        <v>13</v>
      </c>
      <c r="J11435" s="3" t="s">
        <v>32497</v>
      </c>
      <c r="K11435" s="3" t="s">
        <v>149</v>
      </c>
      <c r="L11435" s="3" t="str">
        <f>IFERROR(__xludf.DUMMYFUNCTION("GOOGLETRANSLATE(F11435,""id"",""en"")"),"Argentina Champion World Cup through a penalty shootout over France predictions miss this so today he is the one who supports if a pro friend, how about your prediction this time is true or not")</f>
        <v>Argentina Champion World Cup through a penalty shootout over France predictions miss this so today he is the one who supports if a pro friend, how about your prediction this time is true or not</v>
      </c>
    </row>
    <row r="11436" ht="15.75" customHeight="1">
      <c r="A11436" s="1">
        <v>12680.0</v>
      </c>
      <c r="B11436" s="3" t="s">
        <v>32498</v>
      </c>
      <c r="C11436" s="3">
        <v>0.0</v>
      </c>
      <c r="D11436" s="3">
        <v>2.0</v>
      </c>
      <c r="E11436" s="3">
        <v>3.0</v>
      </c>
      <c r="F11436" s="3" t="s">
        <v>32499</v>
      </c>
      <c r="G11436" s="3">
        <v>0.0</v>
      </c>
      <c r="H11436" s="3">
        <v>0.0</v>
      </c>
      <c r="I11436" s="3" t="s">
        <v>13</v>
      </c>
      <c r="J11436" s="3" t="s">
        <v>32500</v>
      </c>
      <c r="K11436" s="3" t="s">
        <v>75</v>
      </c>
      <c r="L11436" s="3" t="str">
        <f>IFERROR(__xludf.DUMMYFUNCTION("GOOGLETRANSLATE(F11436,""id"",""en"")"),"Argentina The French World Cup champions failed to follow the footsteps of Italy and Brazil")</f>
        <v>Argentina The French World Cup champions failed to follow the footsteps of Italy and Brazil</v>
      </c>
    </row>
    <row r="11437" ht="15.75" customHeight="1">
      <c r="A11437" s="1">
        <v>12681.0</v>
      </c>
      <c r="B11437" s="3" t="s">
        <v>32501</v>
      </c>
      <c r="C11437" s="3">
        <v>0.0</v>
      </c>
      <c r="D11437" s="3">
        <v>0.0</v>
      </c>
      <c r="E11437" s="3">
        <v>0.0</v>
      </c>
      <c r="F11437" s="3" t="s">
        <v>32213</v>
      </c>
      <c r="G11437" s="3">
        <v>0.0</v>
      </c>
      <c r="H11437" s="3">
        <v>0.0</v>
      </c>
      <c r="I11437" s="3" t="s">
        <v>13</v>
      </c>
      <c r="J11437" s="3" t="s">
        <v>32214</v>
      </c>
      <c r="K11437" s="3" t="s">
        <v>82</v>
      </c>
      <c r="L11437" s="3" t="str">
        <f>IFERROR(__xludf.DUMMYFUNCTION("GOOGLETRANSLATE(F11437,""id"",""en"")"),"Duo Lionel managed to bring Argentina in the world champion")</f>
        <v>Duo Lionel managed to bring Argentina in the world champion</v>
      </c>
    </row>
    <row r="11438" ht="15.75" customHeight="1">
      <c r="A11438" s="1">
        <v>12682.0</v>
      </c>
      <c r="B11438" s="3" t="s">
        <v>32502</v>
      </c>
      <c r="C11438" s="3">
        <v>4.0</v>
      </c>
      <c r="D11438" s="3">
        <v>4.0</v>
      </c>
      <c r="E11438" s="3">
        <v>35.0</v>
      </c>
      <c r="F11438" s="3" t="s">
        <v>32503</v>
      </c>
      <c r="G11438" s="3">
        <v>0.3</v>
      </c>
      <c r="H11438" s="3">
        <v>0.2</v>
      </c>
      <c r="I11438" s="3" t="s">
        <v>48</v>
      </c>
      <c r="J11438" s="3" t="s">
        <v>32504</v>
      </c>
      <c r="K11438" s="3" t="s">
        <v>82</v>
      </c>
      <c r="L11438" s="3" t="str">
        <f>IFERROR(__xludf.DUMMYFUNCTION("GOOGLETRANSLATE(F11438,""id"",""en"")"),"Argentina World Champion Lionel Messi The Real")</f>
        <v>Argentina World Champion Lionel Messi The Real</v>
      </c>
    </row>
    <row r="11439" ht="15.75" customHeight="1">
      <c r="A11439" s="1">
        <v>12683.0</v>
      </c>
      <c r="B11439" s="3" t="s">
        <v>32505</v>
      </c>
      <c r="C11439" s="3">
        <v>0.0</v>
      </c>
      <c r="D11439" s="3">
        <v>0.0</v>
      </c>
      <c r="E11439" s="3">
        <v>0.0</v>
      </c>
      <c r="F11439" s="3" t="s">
        <v>32506</v>
      </c>
      <c r="G11439" s="3">
        <v>0.3333333333333333</v>
      </c>
      <c r="H11439" s="3">
        <v>0.1666666666666667</v>
      </c>
      <c r="I11439" s="3" t="s">
        <v>48</v>
      </c>
      <c r="J11439" s="3" t="s">
        <v>32507</v>
      </c>
      <c r="K11439" s="3" t="s">
        <v>71</v>
      </c>
      <c r="L11439" s="3" t="str">
        <f>IFERROR(__xludf.DUMMYFUNCTION("GOOGLETRANSLATE(F11439,""id"",""en"")"),"Info playing soccer is not only Lionel Messi Argentina also harvesting the record after the World Cup championship")</f>
        <v>Info playing soccer is not only Lionel Messi Argentina also harvesting the record after the World Cup championship</v>
      </c>
    </row>
    <row r="11440" ht="15.75" customHeight="1">
      <c r="A11440" s="1">
        <v>12684.0</v>
      </c>
      <c r="B11440" s="3" t="s">
        <v>32508</v>
      </c>
      <c r="C11440" s="3">
        <v>0.0</v>
      </c>
      <c r="D11440" s="3">
        <v>0.0</v>
      </c>
      <c r="E11440" s="3">
        <v>0.0</v>
      </c>
      <c r="F11440" s="3" t="s">
        <v>32509</v>
      </c>
      <c r="G11440" s="3">
        <v>0.0</v>
      </c>
      <c r="H11440" s="3">
        <v>0.0</v>
      </c>
      <c r="I11440" s="3" t="s">
        <v>13</v>
      </c>
      <c r="J11440" s="3" t="s">
        <v>32510</v>
      </c>
      <c r="K11440" s="3" t="s">
        <v>15</v>
      </c>
      <c r="L11440" s="3" t="str">
        <f>IFERROR(__xludf.DUMMYFUNCTION("GOOGLETRANSLATE(F11440,""id"",""en"")"),"Argentina Prize Champion World Cup Can Get Wuling Air Unit")</f>
        <v>Argentina Prize Champion World Cup Can Get Wuling Air Unit</v>
      </c>
    </row>
    <row r="11441" ht="15.75" customHeight="1">
      <c r="A11441" s="1">
        <v>12685.0</v>
      </c>
      <c r="B11441" s="3" t="s">
        <v>32511</v>
      </c>
      <c r="C11441" s="3">
        <v>0.0</v>
      </c>
      <c r="D11441" s="3">
        <v>0.0</v>
      </c>
      <c r="E11441" s="3">
        <v>0.0</v>
      </c>
      <c r="G11441" s="3">
        <v>0.0</v>
      </c>
      <c r="H11441" s="3">
        <v>0.0</v>
      </c>
      <c r="I11441" s="3" t="s">
        <v>13</v>
      </c>
      <c r="J11441" s="3" t="s">
        <v>16049</v>
      </c>
      <c r="K11441" s="3" t="s">
        <v>16050</v>
      </c>
      <c r="L11441" s="3" t="str">
        <f>IFERROR(__xludf.DUMMYFUNCTION("GOOGLETRANSLATE(F11441,""id"",""en"")"),"#VALUE!")</f>
        <v>#VALUE!</v>
      </c>
    </row>
    <row r="11442" ht="15.75" customHeight="1">
      <c r="A11442" s="1">
        <v>12686.0</v>
      </c>
      <c r="B11442" s="3" t="s">
        <v>32512</v>
      </c>
      <c r="C11442" s="3">
        <v>0.0</v>
      </c>
      <c r="D11442" s="3">
        <v>0.0</v>
      </c>
      <c r="E11442" s="3">
        <v>0.0</v>
      </c>
      <c r="F11442" s="3" t="s">
        <v>32513</v>
      </c>
      <c r="G11442" s="3">
        <v>0.0</v>
      </c>
      <c r="H11442" s="3">
        <v>0.0</v>
      </c>
      <c r="I11442" s="3" t="s">
        <v>13</v>
      </c>
      <c r="J11442" s="3" t="s">
        <v>32514</v>
      </c>
      <c r="K11442" s="3" t="s">
        <v>31</v>
      </c>
      <c r="L11442" s="3" t="str">
        <f>IFERROR(__xludf.DUMMYFUNCTION("GOOGLETRANSLATE(F11442,""id"",""en"")"),"The beginning of Argentina could be world champion")</f>
        <v>The beginning of Argentina could be world champion</v>
      </c>
    </row>
    <row r="11443" ht="15.75" customHeight="1">
      <c r="A11443" s="1">
        <v>12687.0</v>
      </c>
      <c r="B11443" s="3" t="s">
        <v>32515</v>
      </c>
      <c r="C11443" s="3">
        <v>0.0</v>
      </c>
      <c r="D11443" s="3">
        <v>0.0</v>
      </c>
      <c r="E11443" s="3">
        <v>0.0</v>
      </c>
      <c r="F11443" s="3" t="s">
        <v>32516</v>
      </c>
      <c r="G11443" s="3">
        <v>0.0</v>
      </c>
      <c r="H11443" s="3">
        <v>0.0</v>
      </c>
      <c r="I11443" s="3" t="s">
        <v>13</v>
      </c>
      <c r="J11443" s="3" t="s">
        <v>32517</v>
      </c>
      <c r="K11443" s="3" t="s">
        <v>15</v>
      </c>
      <c r="L11443" s="3" t="str">
        <f>IFERROR(__xludf.DUMMYFUNCTION("GOOGLETRANSLATE(F11443,""id"",""en"")"),"Lionel Messi's record brought Argentina World Cup champions")</f>
        <v>Lionel Messi's record brought Argentina World Cup champions</v>
      </c>
    </row>
    <row r="11444" ht="15.75" customHeight="1">
      <c r="A11444" s="1">
        <v>12688.0</v>
      </c>
      <c r="B11444" s="3" t="s">
        <v>32518</v>
      </c>
      <c r="C11444" s="3">
        <v>0.0</v>
      </c>
      <c r="D11444" s="3">
        <v>0.0</v>
      </c>
      <c r="E11444" s="3">
        <v>0.0</v>
      </c>
      <c r="F11444" s="3" t="s">
        <v>32519</v>
      </c>
      <c r="G11444" s="3">
        <v>0.0</v>
      </c>
      <c r="H11444" s="3">
        <v>0.0</v>
      </c>
      <c r="I11444" s="3" t="s">
        <v>13</v>
      </c>
      <c r="J11444" s="3" t="s">
        <v>32520</v>
      </c>
      <c r="K11444" s="3" t="s">
        <v>644</v>
      </c>
      <c r="L11444" s="3" t="str">
        <f>IFERROR(__xludf.DUMMYFUNCTION("GOOGLETRANSLATE(F11444,""id"",""en"")"),"Yuhuuuy Argentina Champion Pildun")</f>
        <v>Yuhuuuy Argentina Champion Pildun</v>
      </c>
    </row>
    <row r="11445" ht="15.75" customHeight="1">
      <c r="A11445" s="1">
        <v>12689.0</v>
      </c>
      <c r="B11445" s="3" t="s">
        <v>32521</v>
      </c>
      <c r="C11445" s="3">
        <v>1.0</v>
      </c>
      <c r="D11445" s="3">
        <v>0.0</v>
      </c>
      <c r="E11445" s="3">
        <v>0.0</v>
      </c>
      <c r="F11445" s="3" t="s">
        <v>32522</v>
      </c>
      <c r="G11445" s="3">
        <v>0.0</v>
      </c>
      <c r="H11445" s="3">
        <v>0.0</v>
      </c>
      <c r="I11445" s="3" t="s">
        <v>13</v>
      </c>
      <c r="J11445" s="3" t="s">
        <v>32523</v>
      </c>
      <c r="K11445" s="3" t="s">
        <v>31</v>
      </c>
      <c r="L11445" s="3" t="str">
        <f>IFERROR(__xludf.DUMMYFUNCTION("GOOGLETRANSLATE(F11445,""id"",""en"")"),"Argentina The champion is recognized by the school")</f>
        <v>Argentina The champion is recognized by the school</v>
      </c>
    </row>
    <row r="11446" ht="15.75" customHeight="1">
      <c r="A11446" s="1">
        <v>12690.0</v>
      </c>
      <c r="B11446" s="3" t="s">
        <v>32524</v>
      </c>
      <c r="C11446" s="3">
        <v>0.0</v>
      </c>
      <c r="D11446" s="3">
        <v>0.0</v>
      </c>
      <c r="E11446" s="3">
        <v>5.0</v>
      </c>
      <c r="F11446" s="3" t="s">
        <v>32525</v>
      </c>
      <c r="G11446" s="3">
        <v>0.0</v>
      </c>
      <c r="H11446" s="3">
        <v>0.0</v>
      </c>
      <c r="I11446" s="3" t="s">
        <v>13</v>
      </c>
      <c r="J11446" s="3" t="s">
        <v>32526</v>
      </c>
      <c r="K11446" s="3" t="s">
        <v>236</v>
      </c>
      <c r="L11446" s="3" t="str">
        <f>IFERROR(__xludf.DUMMYFUNCTION("GOOGLETRANSLATE(F11446,""id"",""en"")"),"sorry for crying, work there, already champions Messi and Argentina")</f>
        <v>sorry for crying, work there, already champions Messi and Argentina</v>
      </c>
    </row>
    <row r="11447" ht="15.75" customHeight="1">
      <c r="A11447" s="1">
        <v>12691.0</v>
      </c>
      <c r="B11447" s="3" t="s">
        <v>32527</v>
      </c>
      <c r="C11447" s="3">
        <v>1.0</v>
      </c>
      <c r="D11447" s="3">
        <v>0.0</v>
      </c>
      <c r="E11447" s="3">
        <v>0.0</v>
      </c>
      <c r="F11447" s="3" t="s">
        <v>32528</v>
      </c>
      <c r="G11447" s="3">
        <v>0.0</v>
      </c>
      <c r="H11447" s="3">
        <v>0.0</v>
      </c>
      <c r="I11447" s="3" t="s">
        <v>13</v>
      </c>
      <c r="J11447" s="3" t="s">
        <v>32529</v>
      </c>
      <c r="K11447" s="3" t="s">
        <v>358</v>
      </c>
      <c r="L11447" s="3" t="str">
        <f>IFERROR(__xludf.DUMMYFUNCTION("GOOGLETRANSLATE(F11447,""id"",""en"")"),"We are the exciting world champion Messi Stadium Microphone after two goals and the penalty kick brought Argentina to win the title in the Qatar World Cup")</f>
        <v>We are the exciting world champion Messi Stadium Microphone after two goals and the penalty kick brought Argentina to win the title in the Qatar World Cup</v>
      </c>
    </row>
    <row r="11448" ht="15.75" customHeight="1">
      <c r="A11448" s="1">
        <v>12692.0</v>
      </c>
      <c r="B11448" s="3" t="s">
        <v>32530</v>
      </c>
      <c r="C11448" s="3">
        <v>0.0</v>
      </c>
      <c r="D11448" s="3">
        <v>0.0</v>
      </c>
      <c r="E11448" s="3">
        <v>0.0</v>
      </c>
      <c r="F11448" s="3" t="s">
        <v>32531</v>
      </c>
      <c r="G11448" s="3">
        <v>0.0</v>
      </c>
      <c r="H11448" s="3">
        <v>0.0</v>
      </c>
      <c r="I11448" s="3" t="s">
        <v>13</v>
      </c>
      <c r="J11448" s="3" t="s">
        <v>32532</v>
      </c>
      <c r="K11448" s="3" t="s">
        <v>41</v>
      </c>
      <c r="L11448" s="3" t="str">
        <f>IFERROR(__xludf.DUMMYFUNCTION("GOOGLETRANSLATE(F11448,""id"",""en"")"),"Argentina World Champion Messi Best Player This Long List")</f>
        <v>Argentina World Champion Messi Best Player This Long List</v>
      </c>
    </row>
    <row r="11449" ht="15.75" customHeight="1">
      <c r="A11449" s="1">
        <v>12693.0</v>
      </c>
      <c r="B11449" s="3" t="s">
        <v>32533</v>
      </c>
      <c r="C11449" s="3">
        <v>0.0</v>
      </c>
      <c r="D11449" s="3">
        <v>0.0</v>
      </c>
      <c r="E11449" s="3">
        <v>0.0</v>
      </c>
      <c r="F11449" s="3" t="s">
        <v>32533</v>
      </c>
      <c r="G11449" s="3">
        <v>0.0</v>
      </c>
      <c r="H11449" s="3">
        <v>0.0</v>
      </c>
      <c r="I11449" s="3" t="s">
        <v>13</v>
      </c>
      <c r="J11449" s="3" t="s">
        <v>32534</v>
      </c>
      <c r="K11449" s="3" t="s">
        <v>31</v>
      </c>
      <c r="L11449" s="3" t="str">
        <f>IFERROR(__xludf.DUMMYFUNCTION("GOOGLETRANSLATE(F11449,""id"",""en"")"),"I don't know, just ask, ask mbappe wkwkw")</f>
        <v>I don't know, just ask, ask mbappe wkwkw</v>
      </c>
    </row>
    <row r="11450" ht="15.75" customHeight="1">
      <c r="A11450" s="1">
        <v>12694.0</v>
      </c>
      <c r="B11450" s="3" t="s">
        <v>32535</v>
      </c>
      <c r="C11450" s="3">
        <v>0.0</v>
      </c>
      <c r="D11450" s="3">
        <v>3.0</v>
      </c>
      <c r="E11450" s="3">
        <v>5.0</v>
      </c>
      <c r="F11450" s="3" t="s">
        <v>32536</v>
      </c>
      <c r="G11450" s="3">
        <v>0.0</v>
      </c>
      <c r="H11450" s="3">
        <v>0.0</v>
      </c>
      <c r="I11450" s="3" t="s">
        <v>13</v>
      </c>
      <c r="J11450" s="3" t="s">
        <v>32537</v>
      </c>
      <c r="K11450" s="3" t="s">
        <v>41</v>
      </c>
      <c r="L11450" s="3" t="str">
        <f>IFERROR(__xludf.DUMMYFUNCTION("GOOGLETRANSLATE(F11450,""id"",""en"")"),"economic irony of the Argentine World Cup champion patient IMF subscription")</f>
        <v>economic irony of the Argentine World Cup champion patient IMF subscription</v>
      </c>
    </row>
    <row r="11451" ht="15.75" customHeight="1">
      <c r="A11451" s="1">
        <v>12695.0</v>
      </c>
      <c r="B11451" s="3" t="s">
        <v>32538</v>
      </c>
      <c r="C11451" s="3">
        <v>1.0</v>
      </c>
      <c r="D11451" s="3">
        <v>0.0</v>
      </c>
      <c r="E11451" s="3">
        <v>0.0</v>
      </c>
      <c r="F11451" s="3" t="s">
        <v>32539</v>
      </c>
      <c r="G11451" s="3">
        <v>0.3</v>
      </c>
      <c r="H11451" s="3">
        <v>0.2</v>
      </c>
      <c r="I11451" s="3" t="s">
        <v>48</v>
      </c>
      <c r="J11451" s="3" t="s">
        <v>32540</v>
      </c>
      <c r="K11451" s="3" t="s">
        <v>15</v>
      </c>
      <c r="L11451" s="3" t="str">
        <f>IFERROR(__xludf.DUMMYFUNCTION("GOOGLETRANSLATE(F11451,""id"",""en"")"),"Argentina Champion Messi Officially Becomes The Real Goat")</f>
        <v>Argentina Champion Messi Officially Becomes The Real Goat</v>
      </c>
    </row>
    <row r="11452" ht="15.75" customHeight="1">
      <c r="A11452" s="1">
        <v>12696.0</v>
      </c>
      <c r="B11452" s="3" t="s">
        <v>32541</v>
      </c>
      <c r="C11452" s="3">
        <v>0.0</v>
      </c>
      <c r="D11452" s="3">
        <v>1.0</v>
      </c>
      <c r="E11452" s="3">
        <v>1.0</v>
      </c>
      <c r="F11452" s="3" t="s">
        <v>32542</v>
      </c>
      <c r="G11452" s="3">
        <v>0.0</v>
      </c>
      <c r="H11452" s="3">
        <v>0.0</v>
      </c>
      <c r="I11452" s="3" t="s">
        <v>13</v>
      </c>
      <c r="J11452" s="3" t="s">
        <v>32543</v>
      </c>
      <c r="K11452" s="3" t="s">
        <v>31</v>
      </c>
      <c r="L11452" s="3" t="str">
        <f>IFERROR(__xludf.DUMMYFUNCTION("GOOGLETRANSLATE(F11452,""id"",""en"")"),"Argentina won the World Cup")</f>
        <v>Argentina won the World Cup</v>
      </c>
    </row>
    <row r="11453" ht="15.75" customHeight="1">
      <c r="A11453" s="1">
        <v>12697.0</v>
      </c>
      <c r="B11453" s="3" t="s">
        <v>32544</v>
      </c>
      <c r="C11453" s="3">
        <v>0.0</v>
      </c>
      <c r="D11453" s="3">
        <v>0.0</v>
      </c>
      <c r="E11453" s="3">
        <v>0.0</v>
      </c>
      <c r="F11453" s="3" t="s">
        <v>32545</v>
      </c>
      <c r="G11453" s="3">
        <v>0.0</v>
      </c>
      <c r="H11453" s="3">
        <v>0.0</v>
      </c>
      <c r="I11453" s="3" t="s">
        <v>13</v>
      </c>
      <c r="J11453" s="3" t="s">
        <v>32546</v>
      </c>
      <c r="K11453" s="3" t="s">
        <v>75</v>
      </c>
      <c r="L11453" s="3" t="str">
        <f>IFERROR(__xludf.DUMMYFUNCTION("GOOGLETRANSLATE(F11453,""id"",""en"")"),"Argentina won the World Cup Lionel Scaloni Moment must be enjoyed by the people")</f>
        <v>Argentina won the World Cup Lionel Scaloni Moment must be enjoyed by the people</v>
      </c>
    </row>
    <row r="11454" ht="15.75" customHeight="1">
      <c r="A11454" s="1">
        <v>12698.0</v>
      </c>
      <c r="B11454" s="3" t="s">
        <v>32547</v>
      </c>
      <c r="C11454" s="3">
        <v>1.0</v>
      </c>
      <c r="D11454" s="3">
        <v>2.0</v>
      </c>
      <c r="E11454" s="3">
        <v>24.0</v>
      </c>
      <c r="F11454" s="3" t="s">
        <v>32548</v>
      </c>
      <c r="G11454" s="3">
        <v>0.0</v>
      </c>
      <c r="H11454" s="3">
        <v>0.0</v>
      </c>
      <c r="I11454" s="3" t="s">
        <v>13</v>
      </c>
      <c r="J11454" s="3" t="s">
        <v>32549</v>
      </c>
      <c r="K11454" s="3" t="s">
        <v>75</v>
      </c>
      <c r="L11454" s="3" t="str">
        <f>IFERROR(__xludf.DUMMYFUNCTION("GOOGLETRANSLATE(F11454,""id"",""en"")"),"Samai is the way Spain like this Argentina's journey to become the World Cup championship")</f>
        <v>Samai is the way Spain like this Argentina's journey to become the World Cup championship</v>
      </c>
    </row>
    <row r="11455" ht="15.75" customHeight="1">
      <c r="A11455" s="1">
        <v>12699.0</v>
      </c>
      <c r="B11455" s="3" t="s">
        <v>32550</v>
      </c>
      <c r="C11455" s="3">
        <v>1.0</v>
      </c>
      <c r="D11455" s="3">
        <v>0.0</v>
      </c>
      <c r="E11455" s="3">
        <v>0.0</v>
      </c>
      <c r="F11455" s="3" t="s">
        <v>32551</v>
      </c>
      <c r="G11455" s="3">
        <v>0.0</v>
      </c>
      <c r="H11455" s="3">
        <v>0.0</v>
      </c>
      <c r="I11455" s="3" t="s">
        <v>13</v>
      </c>
      <c r="J11455" s="3" t="s">
        <v>32552</v>
      </c>
      <c r="K11455" s="3" t="s">
        <v>75</v>
      </c>
      <c r="L11455" s="3" t="str">
        <f>IFERROR(__xludf.DUMMYFUNCTION("GOOGLETRANSLATE(F11455,""id"",""en"")"),"Argentina Lan Messi Sing Champion Rasane Melu Bungah Karu Karauan")</f>
        <v>Argentina Lan Messi Sing Champion Rasane Melu Bungah Karu Karauan</v>
      </c>
    </row>
    <row r="11456" ht="15.75" customHeight="1">
      <c r="A11456" s="1">
        <v>12700.0</v>
      </c>
      <c r="B11456" s="3" t="s">
        <v>32553</v>
      </c>
      <c r="C11456" s="3">
        <v>1.0</v>
      </c>
      <c r="D11456" s="3">
        <v>0.0</v>
      </c>
      <c r="E11456" s="3">
        <v>0.0</v>
      </c>
      <c r="F11456" s="3" t="s">
        <v>32554</v>
      </c>
      <c r="G11456" s="3">
        <v>0.3</v>
      </c>
      <c r="H11456" s="3">
        <v>0.2</v>
      </c>
      <c r="I11456" s="3" t="s">
        <v>48</v>
      </c>
      <c r="J11456" s="3" t="s">
        <v>32555</v>
      </c>
      <c r="K11456" s="3" t="s">
        <v>41</v>
      </c>
      <c r="L11456" s="3" t="str">
        <f>IFERROR(__xludf.DUMMYFUNCTION("GOOGLETRANSLATE(F11456,""id"",""en"")"),"haha fortunately Argentina champion, for example, it is less than me")</f>
        <v>haha fortunately Argentina champion, for example, it is less than me</v>
      </c>
    </row>
    <row r="11457" ht="15.75" customHeight="1">
      <c r="A11457" s="1">
        <v>12701.0</v>
      </c>
      <c r="B11457" s="3" t="s">
        <v>32556</v>
      </c>
      <c r="C11457" s="3">
        <v>0.0</v>
      </c>
      <c r="D11457" s="3">
        <v>0.0</v>
      </c>
      <c r="E11457" s="3">
        <v>0.0</v>
      </c>
      <c r="F11457" s="3" t="s">
        <v>32557</v>
      </c>
      <c r="G11457" s="3">
        <v>0.0</v>
      </c>
      <c r="H11457" s="3">
        <v>0.0</v>
      </c>
      <c r="I11457" s="3" t="s">
        <v>13</v>
      </c>
      <c r="J11457" s="3" t="s">
        <v>32558</v>
      </c>
      <c r="K11457" s="3" t="s">
        <v>50</v>
      </c>
      <c r="L11457" s="3" t="str">
        <f>IFERROR(__xludf.DUMMYFUNCTION("GOOGLETRANSLATE(F11457,""id"",""en"")"),"Argentina Pilduun Champion Messi So Goat But Mom Still Tells About Ronaldo")</f>
        <v>Argentina Pilduun Champion Messi So Goat But Mom Still Tells About Ronaldo</v>
      </c>
    </row>
    <row r="11458" ht="15.75" customHeight="1">
      <c r="A11458" s="1">
        <v>12702.0</v>
      </c>
      <c r="B11458" s="3" t="s">
        <v>32559</v>
      </c>
      <c r="C11458" s="3">
        <v>0.0</v>
      </c>
      <c r="D11458" s="3">
        <v>0.0</v>
      </c>
      <c r="E11458" s="3">
        <v>0.0</v>
      </c>
      <c r="F11458" s="3" t="s">
        <v>32560</v>
      </c>
      <c r="G11458" s="3">
        <v>0.3333333333333333</v>
      </c>
      <c r="H11458" s="3">
        <v>0.1666666666666667</v>
      </c>
      <c r="I11458" s="3" t="s">
        <v>48</v>
      </c>
      <c r="J11458" s="3" t="s">
        <v>32561</v>
      </c>
      <c r="K11458" s="3" t="s">
        <v>184</v>
      </c>
      <c r="L11458" s="3" t="str">
        <f>IFERROR(__xludf.DUMMYFUNCTION("GOOGLETRANSLATE(F11458,""id"",""en"")"),"Remember the World Cup is really sorry for Messi the right choice to try to play the Argentine national team and retire with champions and complete titles")</f>
        <v>Remember the World Cup is really sorry for Messi the right choice to try to play the Argentine national team and retire with champions and complete titles</v>
      </c>
    </row>
    <row r="11459" ht="15.75" customHeight="1">
      <c r="A11459" s="1">
        <v>12703.0</v>
      </c>
      <c r="B11459" s="3" t="s">
        <v>32562</v>
      </c>
      <c r="C11459" s="3">
        <v>35.0</v>
      </c>
      <c r="D11459" s="3">
        <v>343.0</v>
      </c>
      <c r="E11459" s="3">
        <v>2317.0</v>
      </c>
      <c r="F11459" s="3" t="s">
        <v>32563</v>
      </c>
      <c r="G11459" s="3">
        <v>0.0</v>
      </c>
      <c r="H11459" s="3">
        <v>0.0</v>
      </c>
      <c r="I11459" s="3" t="s">
        <v>13</v>
      </c>
      <c r="J11459" s="3" t="s">
        <v>32564</v>
      </c>
      <c r="K11459" s="3" t="s">
        <v>50</v>
      </c>
      <c r="L11459" s="3" t="str">
        <f>IFERROR(__xludf.DUMMYFUNCTION("GOOGLETRANSLATE(F11459,""id"",""en"")"),"Lionel Messi celebrates his world champion BRRSama Argentina in the same way as Diego Maradona")</f>
        <v>Lionel Messi celebrates his world champion BRRSama Argentina in the same way as Diego Maradona</v>
      </c>
    </row>
    <row r="11460" ht="15.75" customHeight="1">
      <c r="A11460" s="1">
        <v>12704.0</v>
      </c>
      <c r="B11460" s="3" t="s">
        <v>32565</v>
      </c>
      <c r="C11460" s="3">
        <v>0.0</v>
      </c>
      <c r="D11460" s="3">
        <v>0.0</v>
      </c>
      <c r="E11460" s="3">
        <v>0.0</v>
      </c>
      <c r="F11460" s="3" t="s">
        <v>32566</v>
      </c>
      <c r="G11460" s="3">
        <v>0.0</v>
      </c>
      <c r="H11460" s="3">
        <v>0.0</v>
      </c>
      <c r="I11460" s="3" t="s">
        <v>13</v>
      </c>
      <c r="J11460" s="3" t="s">
        <v>32567</v>
      </c>
      <c r="K11460" s="3" t="s">
        <v>484</v>
      </c>
      <c r="L11460" s="3" t="str">
        <f>IFERROR(__xludf.DUMMYFUNCTION("GOOGLETRANSLATE(F11460,""id"",""en"")"),"Happy Argentina World Cup Champion Bravo King Leo Best Player of the World's Best Tournament of All Time")</f>
        <v>Happy Argentina World Cup Champion Bravo King Leo Best Player of the World's Best Tournament of All Time</v>
      </c>
    </row>
    <row r="11461" ht="15.75" customHeight="1">
      <c r="A11461" s="1">
        <v>12705.0</v>
      </c>
      <c r="B11461" s="3" t="s">
        <v>32568</v>
      </c>
      <c r="C11461" s="3">
        <v>1.0</v>
      </c>
      <c r="D11461" s="3">
        <v>0.0</v>
      </c>
      <c r="E11461" s="3">
        <v>0.0</v>
      </c>
      <c r="F11461" s="3" t="s">
        <v>32569</v>
      </c>
      <c r="G11461" s="3">
        <v>0.0</v>
      </c>
      <c r="H11461" s="3">
        <v>0.0</v>
      </c>
      <c r="I11461" s="3" t="s">
        <v>13</v>
      </c>
      <c r="J11461" s="3" t="s">
        <v>32570</v>
      </c>
      <c r="K11461" s="3" t="s">
        <v>75</v>
      </c>
      <c r="L11461" s="3" t="str">
        <f>IFERROR(__xludf.DUMMYFUNCTION("GOOGLETRANSLATE(F11461,""id"",""en"")"),"NDK thought that the support from last month finally broke through the Vamos Argentina championship")</f>
        <v>NDK thought that the support from last month finally broke through the Vamos Argentina championship</v>
      </c>
    </row>
    <row r="11462" ht="15.75" customHeight="1">
      <c r="A11462" s="1">
        <v>12706.0</v>
      </c>
      <c r="B11462" s="3" t="s">
        <v>32571</v>
      </c>
      <c r="C11462" s="3">
        <v>1.0</v>
      </c>
      <c r="D11462" s="3">
        <v>0.0</v>
      </c>
      <c r="E11462" s="3">
        <v>0.0</v>
      </c>
      <c r="F11462" s="3" t="s">
        <v>32572</v>
      </c>
      <c r="G11462" s="3">
        <v>0.55</v>
      </c>
      <c r="H11462" s="3">
        <v>0.35</v>
      </c>
      <c r="I11462" s="3" t="s">
        <v>48</v>
      </c>
      <c r="J11462" s="3" t="s">
        <v>32573</v>
      </c>
      <c r="K11462" s="3" t="s">
        <v>15</v>
      </c>
      <c r="L11462" s="3" t="str">
        <f>IFERROR(__xludf.DUMMYFUNCTION("GOOGLETRANSLATE(F11462,""id"",""en"")"),"Storyne Full Smile Mergo Deki Bengi Argentina Champion")</f>
        <v>Storyne Full Smile Mergo Deki Bengi Argentina Champion</v>
      </c>
    </row>
    <row r="11463" ht="15.75" customHeight="1">
      <c r="A11463" s="1">
        <v>12707.0</v>
      </c>
      <c r="B11463" s="3" t="s">
        <v>32574</v>
      </c>
      <c r="C11463" s="3">
        <v>0.0</v>
      </c>
      <c r="D11463" s="3">
        <v>0.0</v>
      </c>
      <c r="E11463" s="3">
        <v>3.0</v>
      </c>
      <c r="F11463" s="3" t="s">
        <v>32575</v>
      </c>
      <c r="G11463" s="3">
        <v>0.0</v>
      </c>
      <c r="H11463" s="3">
        <v>0.0</v>
      </c>
      <c r="I11463" s="3" t="s">
        <v>13</v>
      </c>
      <c r="J11463" s="3" t="s">
        <v>32576</v>
      </c>
      <c r="K11463" s="3" t="s">
        <v>82</v>
      </c>
      <c r="L11463" s="3" t="str">
        <f>IFERROR(__xludf.DUMMYFUNCTION("GOOGLETRANSLATE(F11463,""id"",""en"")"),"Felicidades Lionel Messi Argentina Champion World Cup")</f>
        <v>Felicidades Lionel Messi Argentina Champion World Cup</v>
      </c>
    </row>
    <row r="11464" ht="15.75" customHeight="1">
      <c r="A11464" s="1">
        <v>12708.0</v>
      </c>
      <c r="B11464" s="3" t="s">
        <v>32577</v>
      </c>
      <c r="C11464" s="3">
        <v>0.0</v>
      </c>
      <c r="D11464" s="3">
        <v>0.0</v>
      </c>
      <c r="E11464" s="3">
        <v>0.0</v>
      </c>
      <c r="F11464" s="3" t="s">
        <v>32578</v>
      </c>
      <c r="G11464" s="3">
        <v>0.0</v>
      </c>
      <c r="H11464" s="3">
        <v>0.0</v>
      </c>
      <c r="I11464" s="3" t="s">
        <v>13</v>
      </c>
      <c r="J11464" s="3" t="s">
        <v>32579</v>
      </c>
      <c r="K11464" s="3" t="s">
        <v>3977</v>
      </c>
      <c r="L11464" s="3" t="str">
        <f>IFERROR(__xludf.DUMMYFUNCTION("GOOGLETRANSLATE(F11464,""id"",""en"")"),"Congratulations to Argentina Copa America Champion Champion World Champion and Congratulations to Messi the best player enzo the best young player Martinez the best goalkeeper is complete the title of Messi World Soccer Hanging Shoes Proud")</f>
        <v>Congratulations to Argentina Copa America Champion Champion World Champion and Congratulations to Messi the best player enzo the best young player Martinez the best goalkeeper is complete the title of Messi World Soccer Hanging Shoes Proud</v>
      </c>
    </row>
    <row r="11465" ht="15.75" customHeight="1">
      <c r="A11465" s="1">
        <v>12709.0</v>
      </c>
      <c r="B11465" s="3" t="s">
        <v>32580</v>
      </c>
      <c r="C11465" s="3">
        <v>0.0</v>
      </c>
      <c r="D11465" s="3">
        <v>0.0</v>
      </c>
      <c r="E11465" s="3">
        <v>0.0</v>
      </c>
      <c r="F11465" s="3" t="s">
        <v>32581</v>
      </c>
      <c r="G11465" s="3">
        <v>0.0</v>
      </c>
      <c r="H11465" s="3">
        <v>0.0</v>
      </c>
      <c r="I11465" s="3" t="s">
        <v>13</v>
      </c>
      <c r="J11465" s="3" t="s">
        <v>32582</v>
      </c>
      <c r="K11465" s="3" t="s">
        <v>75</v>
      </c>
      <c r="L11465" s="3" t="str">
        <f>IFERROR(__xludf.DUMMYFUNCTION("GOOGLETRANSLATE(F11465,""id"",""en"")"),"Argentina The World Cup Champion is a ritual eccentric fans while competing against France")</f>
        <v>Argentina The World Cup Champion is a ritual eccentric fans while competing against France</v>
      </c>
    </row>
    <row r="11466" ht="15.75" customHeight="1">
      <c r="A11466" s="1">
        <v>12710.0</v>
      </c>
      <c r="B11466" s="3" t="s">
        <v>32583</v>
      </c>
      <c r="C11466" s="3">
        <v>0.0</v>
      </c>
      <c r="D11466" s="3">
        <v>0.0</v>
      </c>
      <c r="E11466" s="3">
        <v>0.0</v>
      </c>
      <c r="F11466" s="3" t="s">
        <v>32584</v>
      </c>
      <c r="G11466" s="3">
        <v>0.0</v>
      </c>
      <c r="H11466" s="3">
        <v>0.0</v>
      </c>
      <c r="I11466" s="3" t="s">
        <v>13</v>
      </c>
      <c r="J11466" s="3" t="s">
        <v>32585</v>
      </c>
      <c r="K11466" s="3" t="s">
        <v>41</v>
      </c>
      <c r="L11466" s="3" t="str">
        <f>IFERROR(__xludf.DUMMYFUNCTION("GOOGLETRANSLATE(F11466,""id"",""en"")"),"This is the words of Lionel Messi after Argentina certainly become world champion")</f>
        <v>This is the words of Lionel Messi after Argentina certainly become world champion</v>
      </c>
    </row>
    <row r="11467" ht="15.75" customHeight="1">
      <c r="A11467" s="1">
        <v>12711.0</v>
      </c>
      <c r="B11467" s="3" t="s">
        <v>32586</v>
      </c>
      <c r="C11467" s="3">
        <v>0.0</v>
      </c>
      <c r="D11467" s="3">
        <v>0.0</v>
      </c>
      <c r="E11467" s="3">
        <v>0.0</v>
      </c>
      <c r="F11467" s="3" t="s">
        <v>32587</v>
      </c>
      <c r="G11467" s="3">
        <v>1.0</v>
      </c>
      <c r="H11467" s="3">
        <v>1.0</v>
      </c>
      <c r="I11467" s="3" t="s">
        <v>48</v>
      </c>
      <c r="J11467" s="3" t="s">
        <v>32588</v>
      </c>
      <c r="K11467" s="3" t="s">
        <v>993</v>
      </c>
      <c r="L11467" s="3" t="str">
        <f>IFERROR(__xludf.DUMMYFUNCTION("GOOGLETRANSLATE(F11467,""id"",""en"")"),"Argentina champions are in the spotlight of Messi but Ronaldo joined in the conversation in the drag, but today is finished because Messi is legitimate to be The Goat Greatest All Time Valid Debate if there is still a Denial Fix Barisan hurt plus jealousy")</f>
        <v>Argentina champions are in the spotlight of Messi but Ronaldo joined in the conversation in the drag, but today is finished because Messi is legitimate to be The Goat Greatest All Time Valid Debate if there is still a Denial Fix Barisan hurt plus jealousy</v>
      </c>
    </row>
    <row r="11468" ht="15.75" customHeight="1">
      <c r="A11468" s="1">
        <v>12712.0</v>
      </c>
      <c r="B11468" s="3" t="s">
        <v>32589</v>
      </c>
      <c r="C11468" s="3">
        <v>0.0</v>
      </c>
      <c r="D11468" s="3">
        <v>0.0</v>
      </c>
      <c r="E11468" s="3">
        <v>0.0</v>
      </c>
      <c r="F11468" s="3" t="s">
        <v>25456</v>
      </c>
      <c r="G11468" s="3">
        <v>0.0</v>
      </c>
      <c r="H11468" s="3">
        <v>0.0</v>
      </c>
      <c r="I11468" s="3" t="s">
        <v>13</v>
      </c>
      <c r="J11468" s="3" t="s">
        <v>25457</v>
      </c>
      <c r="K11468" s="3" t="s">
        <v>41</v>
      </c>
      <c r="L11468" s="3" t="str">
        <f>IFERROR(__xludf.DUMMYFUNCTION("GOOGLETRANSLATE(F11468,""id"",""en"")"),"Argentina Champion World Cup after defeating France through penalties")</f>
        <v>Argentina Champion World Cup after defeating France through penalties</v>
      </c>
    </row>
    <row r="11469" ht="15.75" customHeight="1">
      <c r="A11469" s="1">
        <v>12713.0</v>
      </c>
      <c r="B11469" s="3" t="s">
        <v>32590</v>
      </c>
      <c r="C11469" s="3">
        <v>0.0</v>
      </c>
      <c r="D11469" s="3">
        <v>0.0</v>
      </c>
      <c r="E11469" s="3">
        <v>2.0</v>
      </c>
      <c r="F11469" s="3" t="s">
        <v>32591</v>
      </c>
      <c r="G11469" s="3">
        <v>0.0</v>
      </c>
      <c r="H11469" s="3">
        <v>0.0</v>
      </c>
      <c r="I11469" s="3" t="s">
        <v>13</v>
      </c>
      <c r="J11469" s="3" t="s">
        <v>32592</v>
      </c>
      <c r="K11469" s="3" t="s">
        <v>477</v>
      </c>
      <c r="L11469" s="3" t="str">
        <f>IFERROR(__xludf.DUMMYFUNCTION("GOOGLETRANSLATE(F11469,""id"",""en"")"),"because my futsal is the champion and the Argentina championship")</f>
        <v>because my futsal is the champion and the Argentina championship</v>
      </c>
    </row>
    <row r="11470" ht="15.75" customHeight="1">
      <c r="A11470" s="1">
        <v>12714.0</v>
      </c>
      <c r="B11470" s="3" t="s">
        <v>32593</v>
      </c>
      <c r="C11470" s="3">
        <v>0.0</v>
      </c>
      <c r="D11470" s="3">
        <v>0.0</v>
      </c>
      <c r="E11470" s="3">
        <v>2.0</v>
      </c>
      <c r="F11470" s="3" t="s">
        <v>32493</v>
      </c>
      <c r="G11470" s="3">
        <v>0.0</v>
      </c>
      <c r="H11470" s="3">
        <v>0.0</v>
      </c>
      <c r="I11470" s="3" t="s">
        <v>13</v>
      </c>
      <c r="J11470" s="3" t="s">
        <v>32494</v>
      </c>
      <c r="K11470" s="3" t="s">
        <v>50</v>
      </c>
      <c r="L11470" s="3" t="str">
        <f>IFERROR(__xludf.DUMMYFUNCTION("GOOGLETRANSLATE(F11470,""id"",""en"")"),"Lionel Messi brought Argentina Champion World Cup Chess Game Officially Completed")</f>
        <v>Lionel Messi brought Argentina Champion World Cup Chess Game Officially Completed</v>
      </c>
    </row>
    <row r="11471" ht="15.75" customHeight="1">
      <c r="A11471" s="1">
        <v>12715.0</v>
      </c>
      <c r="B11471" s="3" t="s">
        <v>32594</v>
      </c>
      <c r="C11471" s="3">
        <v>0.0</v>
      </c>
      <c r="D11471" s="3">
        <v>0.0</v>
      </c>
      <c r="E11471" s="3">
        <v>0.0</v>
      </c>
      <c r="F11471" s="3" t="s">
        <v>32595</v>
      </c>
      <c r="G11471" s="3">
        <v>0.0</v>
      </c>
      <c r="H11471" s="3">
        <v>0.0</v>
      </c>
      <c r="I11471" s="3" t="s">
        <v>13</v>
      </c>
      <c r="J11471" s="3" t="s">
        <v>32596</v>
      </c>
      <c r="K11471" s="3" t="s">
        <v>54</v>
      </c>
      <c r="L11471" s="3" t="str">
        <f>IFERROR(__xludf.DUMMYFUNCTION("GOOGLETRANSLATE(F11471,""id"",""en"")"),"Argentine goalkeeper doesn't get Avanza JDI Champion")</f>
        <v>Argentine goalkeeper doesn't get Avanza JDI Champion</v>
      </c>
    </row>
    <row r="11472" ht="15.75" customHeight="1">
      <c r="A11472" s="1">
        <v>12716.0</v>
      </c>
      <c r="B11472" s="3" t="s">
        <v>32597</v>
      </c>
      <c r="C11472" s="3">
        <v>0.0</v>
      </c>
      <c r="D11472" s="3">
        <v>0.0</v>
      </c>
      <c r="E11472" s="3">
        <v>0.0</v>
      </c>
      <c r="F11472" s="3" t="s">
        <v>32598</v>
      </c>
      <c r="G11472" s="3">
        <v>0.0</v>
      </c>
      <c r="H11472" s="3">
        <v>0.0</v>
      </c>
      <c r="I11472" s="3" t="s">
        <v>13</v>
      </c>
      <c r="J11472" s="3" t="s">
        <v>32599</v>
      </c>
      <c r="K11472" s="3" t="s">
        <v>9802</v>
      </c>
      <c r="L11472" s="3" t="str">
        <f>IFERROR(__xludf.DUMMYFUNCTION("GOOGLETRANSLATE(F11472,""id"",""en"")"),"Is it true that Argentina won even though he won through the penalty of Argentina France, but the score of the match was Argentina France was fortunate that it turned out that the lucky Argentine was the winner of the Qatar World Cup")</f>
        <v>Is it true that Argentina won even though he won through the penalty of Argentina France, but the score of the match was Argentina France was fortunate that it turned out that the lucky Argentine was the winner of the Qatar World Cup</v>
      </c>
    </row>
    <row r="11473" ht="15.75" customHeight="1">
      <c r="A11473" s="1">
        <v>12717.0</v>
      </c>
      <c r="B11473" s="3" t="s">
        <v>32600</v>
      </c>
      <c r="C11473" s="3">
        <v>0.0</v>
      </c>
      <c r="D11473" s="3">
        <v>0.0</v>
      </c>
      <c r="E11473" s="3">
        <v>2.0</v>
      </c>
      <c r="F11473" s="3" t="s">
        <v>32601</v>
      </c>
      <c r="G11473" s="3">
        <v>0.0</v>
      </c>
      <c r="H11473" s="3">
        <v>0.0</v>
      </c>
      <c r="I11473" s="3" t="s">
        <v>13</v>
      </c>
      <c r="J11473" s="3" t="s">
        <v>32602</v>
      </c>
      <c r="K11473" s="3" t="s">
        <v>19</v>
      </c>
      <c r="L11473" s="3" t="str">
        <f>IFERROR(__xludf.DUMMYFUNCTION("GOOGLETRANSLATE(F11473,""id"",""en"")"),"Thank you Jesus for Argentina champions and thank you for giving the best Christmas gift for Messi")</f>
        <v>Thank you Jesus for Argentina champions and thank you for giving the best Christmas gift for Messi</v>
      </c>
    </row>
    <row r="11474" ht="15.75" customHeight="1">
      <c r="A11474" s="1">
        <v>12718.0</v>
      </c>
      <c r="B11474" s="3" t="s">
        <v>32603</v>
      </c>
      <c r="C11474" s="3">
        <v>0.0</v>
      </c>
      <c r="D11474" s="3">
        <v>0.0</v>
      </c>
      <c r="E11474" s="3">
        <v>0.0</v>
      </c>
      <c r="F11474" s="3" t="s">
        <v>32604</v>
      </c>
      <c r="G11474" s="3">
        <v>0.0</v>
      </c>
      <c r="H11474" s="3">
        <v>0.0</v>
      </c>
      <c r="I11474" s="3" t="s">
        <v>13</v>
      </c>
      <c r="J11474" s="3" t="s">
        <v>32605</v>
      </c>
      <c r="K11474" s="3" t="s">
        <v>41</v>
      </c>
      <c r="L11474" s="3" t="str">
        <f>IFERROR(__xludf.DUMMYFUNCTION("GOOGLETRANSLATE(F11474,""id"",""en"")"),"Argentina Champion World Cup through French Runner Penalties")</f>
        <v>Argentina Champion World Cup through French Runner Penalties</v>
      </c>
    </row>
    <row r="11475" ht="15.75" customHeight="1">
      <c r="A11475" s="1">
        <v>12719.0</v>
      </c>
      <c r="B11475" s="3" t="s">
        <v>32606</v>
      </c>
      <c r="C11475" s="3">
        <v>0.0</v>
      </c>
      <c r="D11475" s="3">
        <v>1.0</v>
      </c>
      <c r="E11475" s="3">
        <v>0.0</v>
      </c>
      <c r="F11475" s="3" t="s">
        <v>32607</v>
      </c>
      <c r="G11475" s="3">
        <v>0.0</v>
      </c>
      <c r="H11475" s="3">
        <v>0.0</v>
      </c>
      <c r="I11475" s="3" t="s">
        <v>13</v>
      </c>
      <c r="J11475" s="3" t="s">
        <v>32608</v>
      </c>
      <c r="K11475" s="3" t="s">
        <v>41</v>
      </c>
      <c r="L11475" s="3" t="str">
        <f>IFERROR(__xludf.DUMMYFUNCTION("GOOGLETRANSLATE(F11475,""id"",""en"")"),"Messi brought Argentina champion Mbappe Print Hattrick History Since")</f>
        <v>Messi brought Argentina champion Mbappe Print Hattrick History Since</v>
      </c>
    </row>
    <row r="11476" ht="15.75" customHeight="1">
      <c r="A11476" s="1">
        <v>12720.0</v>
      </c>
      <c r="B11476" s="3" t="s">
        <v>32609</v>
      </c>
      <c r="C11476" s="3">
        <v>0.0</v>
      </c>
      <c r="D11476" s="3">
        <v>0.0</v>
      </c>
      <c r="E11476" s="3">
        <v>0.0</v>
      </c>
      <c r="F11476" s="3" t="s">
        <v>32610</v>
      </c>
      <c r="G11476" s="3">
        <v>0.0</v>
      </c>
      <c r="H11476" s="3">
        <v>0.0</v>
      </c>
      <c r="I11476" s="3" t="s">
        <v>13</v>
      </c>
      <c r="J11476" s="3" t="s">
        <v>32611</v>
      </c>
      <c r="K11476" s="3" t="s">
        <v>1345</v>
      </c>
      <c r="L11476" s="3" t="str">
        <f>IFERROR(__xludf.DUMMYFUNCTION("GOOGLETRANSLATE(F11476,""id"",""en"")"),"The results of the Qatar World Cup match last night Argentina champions of the Qatar World Cup")</f>
        <v>The results of the Qatar World Cup match last night Argentina champions of the Qatar World Cup</v>
      </c>
    </row>
    <row r="11477" ht="15.75" customHeight="1">
      <c r="A11477" s="1">
        <v>12721.0</v>
      </c>
      <c r="B11477" s="3" t="s">
        <v>32612</v>
      </c>
      <c r="C11477" s="3">
        <v>0.0</v>
      </c>
      <c r="D11477" s="3">
        <v>0.0</v>
      </c>
      <c r="E11477" s="3">
        <v>1.0</v>
      </c>
      <c r="F11477" s="3" t="s">
        <v>32613</v>
      </c>
      <c r="G11477" s="3">
        <v>0.0</v>
      </c>
      <c r="H11477" s="3">
        <v>0.0</v>
      </c>
      <c r="I11477" s="3" t="s">
        <v>13</v>
      </c>
      <c r="J11477" s="3" t="s">
        <v>32614</v>
      </c>
      <c r="K11477" s="3" t="s">
        <v>456</v>
      </c>
      <c r="L11477" s="3" t="str">
        <f>IFERROR(__xludf.DUMMYFUNCTION("GOOGLETRANSLATE(F11477,""id"",""en"")"),"once failed the Brazilian world cup Argentina Germany scores through Goal Mario Gotze a big failure against France Score made having to go home earlier Never Give Comeback did not give up motivas full spirit making them champion")</f>
        <v>once failed the Brazilian world cup Argentina Germany scores through Goal Mario Gotze a big failure against France Score made having to go home earlier Never Give Comeback did not give up motivas full spirit making them champion</v>
      </c>
    </row>
    <row r="11478" ht="15.75" customHeight="1">
      <c r="A11478" s="1">
        <v>12722.0</v>
      </c>
      <c r="B11478" s="3" t="s">
        <v>32615</v>
      </c>
      <c r="C11478" s="3">
        <v>0.0</v>
      </c>
      <c r="D11478" s="3">
        <v>12.0</v>
      </c>
      <c r="E11478" s="3">
        <v>13.0</v>
      </c>
      <c r="F11478" s="3" t="s">
        <v>32616</v>
      </c>
      <c r="G11478" s="3">
        <v>0.75</v>
      </c>
      <c r="H11478" s="3">
        <v>0.25</v>
      </c>
      <c r="I11478" s="3" t="s">
        <v>48</v>
      </c>
      <c r="J11478" s="3" t="s">
        <v>32617</v>
      </c>
      <c r="K11478" s="3" t="s">
        <v>1293</v>
      </c>
      <c r="L11478" s="3" t="str">
        <f>IFERROR(__xludf.DUMMYFUNCTION("GOOGLETRANSLATE(F11478,""id"",""en"")"),"Argentine Masmen Prediction Argentina Champion Final Round of French Qatar French Qatar has ended which took place which took place")</f>
        <v>Argentine Masmen Prediction Argentina Champion Final Round of French Qatar French Qatar has ended which took place which took place</v>
      </c>
    </row>
    <row r="11479" ht="15.75" customHeight="1">
      <c r="A11479" s="1">
        <v>12723.0</v>
      </c>
      <c r="B11479" s="3" t="s">
        <v>32618</v>
      </c>
      <c r="C11479" s="3">
        <v>1.0</v>
      </c>
      <c r="D11479" s="3">
        <v>0.0</v>
      </c>
      <c r="E11479" s="3">
        <v>1.0</v>
      </c>
      <c r="F11479" s="3" t="s">
        <v>32619</v>
      </c>
      <c r="G11479" s="3">
        <v>0.0</v>
      </c>
      <c r="H11479" s="3">
        <v>0.0</v>
      </c>
      <c r="I11479" s="3" t="s">
        <v>13</v>
      </c>
      <c r="J11479" s="3" t="s">
        <v>32620</v>
      </c>
      <c r="K11479" s="3" t="s">
        <v>32621</v>
      </c>
      <c r="L11479" s="3" t="str">
        <f>IFERROR(__xludf.DUMMYFUNCTION("GOOGLETRANSLATE(F11479,""id"",""en"")"),"Just waiting for the news of Messi, Messi champion, the feelings of his parents, the hunch of the neighbor of Messi the day before Messi champion Messi Bring Argentina, the Teacher's Teacher Buenos Aires was proud of his former student.")</f>
        <v>Just waiting for the news of Messi, Messi champion, the feelings of his parents, the hunch of the neighbor of Messi the day before Messi champion Messi Bring Argentina, the Teacher's Teacher Buenos Aires was proud of his former student.</v>
      </c>
    </row>
    <row r="11480" ht="15.75" customHeight="1">
      <c r="A11480" s="1">
        <v>12724.0</v>
      </c>
      <c r="B11480" s="3" t="s">
        <v>32622</v>
      </c>
      <c r="C11480" s="3">
        <v>0.0</v>
      </c>
      <c r="D11480" s="3">
        <v>0.0</v>
      </c>
      <c r="E11480" s="3">
        <v>1.0</v>
      </c>
      <c r="F11480" s="3" t="s">
        <v>32623</v>
      </c>
      <c r="G11480" s="3">
        <v>0.3</v>
      </c>
      <c r="H11480" s="3">
        <v>0.2</v>
      </c>
      <c r="I11480" s="3" t="s">
        <v>48</v>
      </c>
      <c r="J11480" s="3" t="s">
        <v>32624</v>
      </c>
      <c r="K11480" s="3" t="s">
        <v>1925</v>
      </c>
      <c r="L11480" s="3" t="str">
        <f>IFERROR(__xludf.DUMMYFUNCTION("GOOGLETRANSLATE(F11480,""id"",""en"")"),"I am a Real Madrid fan a little disappointed because this year's Madrid players failed to continue the world champion trend when champion champions but I am Argentine fans finally relieved")</f>
        <v>I am a Real Madrid fan a little disappointed because this year's Madrid players failed to continue the world champion trend when champion champions but I am Argentine fans finally relieved</v>
      </c>
    </row>
    <row r="11481" ht="15.75" customHeight="1">
      <c r="A11481" s="1">
        <v>12725.0</v>
      </c>
      <c r="B11481" s="3" t="s">
        <v>32625</v>
      </c>
      <c r="C11481" s="3">
        <v>0.0</v>
      </c>
      <c r="D11481" s="3">
        <v>0.0</v>
      </c>
      <c r="E11481" s="3">
        <v>0.0</v>
      </c>
      <c r="F11481" s="3" t="s">
        <v>32626</v>
      </c>
      <c r="G11481" s="3">
        <v>1.0</v>
      </c>
      <c r="H11481" s="3">
        <v>0.85</v>
      </c>
      <c r="I11481" s="3" t="s">
        <v>48</v>
      </c>
      <c r="J11481" s="3" t="s">
        <v>32627</v>
      </c>
      <c r="K11481" s="3" t="s">
        <v>903</v>
      </c>
      <c r="L11481" s="3" t="str">
        <f>IFERROR(__xludf.DUMMYFUNCTION("GOOGLETRANSLATE(F11481,""id"",""en"")"),"Have you ever read whose tweeds at the beginning of Argentina's pioneer lost to Saudi Arabia, then TSB said that this was Argentina, the champion of Qatar Laaahhh")</f>
        <v>Have you ever read whose tweeds at the beginning of Argentina's pioneer lost to Saudi Arabia, then TSB said that this was Argentina, the champion of Qatar Laaahhh</v>
      </c>
    </row>
    <row r="11482" ht="15.75" customHeight="1">
      <c r="A11482" s="1">
        <v>12726.0</v>
      </c>
      <c r="B11482" s="3" t="s">
        <v>32628</v>
      </c>
      <c r="C11482" s="3">
        <v>2.0</v>
      </c>
      <c r="D11482" s="3">
        <v>11.0</v>
      </c>
      <c r="E11482" s="3">
        <v>77.0</v>
      </c>
      <c r="F11482" s="3" t="s">
        <v>32629</v>
      </c>
      <c r="G11482" s="3">
        <v>0.0</v>
      </c>
      <c r="H11482" s="3">
        <v>0.0</v>
      </c>
      <c r="I11482" s="3" t="s">
        <v>13</v>
      </c>
      <c r="J11482" s="3" t="s">
        <v>32630</v>
      </c>
      <c r="K11482" s="3" t="s">
        <v>15</v>
      </c>
      <c r="L11482" s="3" t="str">
        <f>IFERROR(__xludf.DUMMYFUNCTION("GOOGLETRANSLATE(F11482,""id"",""en"")"),"Argentina World Champion finally Messi has a perfect title")</f>
        <v>Argentina World Champion finally Messi has a perfect title</v>
      </c>
    </row>
    <row r="11483" ht="15.75" customHeight="1">
      <c r="A11483" s="1">
        <v>12727.0</v>
      </c>
      <c r="B11483" s="3" t="s">
        <v>32631</v>
      </c>
      <c r="C11483" s="3">
        <v>1.0</v>
      </c>
      <c r="D11483" s="3">
        <v>0.0</v>
      </c>
      <c r="E11483" s="3">
        <v>0.0</v>
      </c>
      <c r="F11483" s="3" t="s">
        <v>32632</v>
      </c>
      <c r="G11483" s="3">
        <v>0.3</v>
      </c>
      <c r="H11483" s="3">
        <v>0.2</v>
      </c>
      <c r="I11483" s="3" t="s">
        <v>48</v>
      </c>
      <c r="J11483" s="3" t="s">
        <v>32633</v>
      </c>
      <c r="K11483" s="3" t="s">
        <v>41</v>
      </c>
      <c r="L11483" s="3" t="str">
        <f>IFERROR(__xludf.DUMMYFUNCTION("GOOGLETRANSLATE(F11483,""id"",""en"")"),"Still willing Argentina The champion of The Real Goat is a test not Messi")</f>
        <v>Still willing Argentina The champion of The Real Goat is a test not Messi</v>
      </c>
    </row>
    <row r="11484" ht="15.75" customHeight="1">
      <c r="A11484" s="1">
        <v>12728.0</v>
      </c>
      <c r="B11484" s="3" t="s">
        <v>32634</v>
      </c>
      <c r="C11484" s="3">
        <v>0.0</v>
      </c>
      <c r="D11484" s="3">
        <v>0.0</v>
      </c>
      <c r="E11484" s="3">
        <v>0.0</v>
      </c>
      <c r="F11484" s="3" t="s">
        <v>32635</v>
      </c>
      <c r="G11484" s="3">
        <v>0.0</v>
      </c>
      <c r="H11484" s="3">
        <v>0.0</v>
      </c>
      <c r="I11484" s="3" t="s">
        <v>13</v>
      </c>
      <c r="J11484" s="3" t="s">
        <v>32636</v>
      </c>
      <c r="K11484" s="3" t="s">
        <v>13921</v>
      </c>
      <c r="L11484" s="3" t="str">
        <f>IFERROR(__xludf.DUMMYFUNCTION("GOOGLETRANSLATE(F11484,""id"",""en"")"),"so remember when the RSCM while queuing was called to handle the prescription medicine while chatting with parents chatting in the World Cup when I was asked I was corned to Argentina Grandfather said that Argentina would be the champion for the prelimina"&amp;"ries yesterday I was lost to Arabic champions England champions.")</f>
        <v>so remember when the RSCM while queuing was called to handle the prescription medicine while chatting with parents chatting in the World Cup when I was asked I was corned to Argentina Grandfather said that Argentina would be the champion for the preliminaries yesterday I was lost to Arabic champions England champions.</v>
      </c>
    </row>
    <row r="11485" ht="15.75" customHeight="1">
      <c r="A11485" s="1">
        <v>12729.0</v>
      </c>
      <c r="B11485" s="3" t="s">
        <v>32637</v>
      </c>
      <c r="C11485" s="3">
        <v>0.0</v>
      </c>
      <c r="D11485" s="3">
        <v>0.0</v>
      </c>
      <c r="E11485" s="3">
        <v>0.0</v>
      </c>
      <c r="F11485" s="3" t="s">
        <v>32638</v>
      </c>
      <c r="G11485" s="3">
        <v>0.0</v>
      </c>
      <c r="H11485" s="3">
        <v>0.0</v>
      </c>
      <c r="I11485" s="3" t="s">
        <v>13</v>
      </c>
      <c r="J11485" s="3" t="s">
        <v>32639</v>
      </c>
      <c r="K11485" s="3" t="s">
        <v>510</v>
      </c>
      <c r="L11485" s="3" t="str">
        <f>IFERROR(__xludf.DUMMYFUNCTION("GOOGLETRANSLATE(F11485,""id"",""en"")"),"Argentina Champion World Cup Tango Most Beautiful Messi and Troops Dare to Death Google Sports News")</f>
        <v>Argentina Champion World Cup Tango Most Beautiful Messi and Troops Dare to Death Google Sports News</v>
      </c>
    </row>
    <row r="11486" ht="15.75" customHeight="1">
      <c r="A11486" s="1">
        <v>12730.0</v>
      </c>
      <c r="B11486" s="3" t="s">
        <v>32640</v>
      </c>
      <c r="C11486" s="3">
        <v>0.0</v>
      </c>
      <c r="D11486" s="3">
        <v>3.0</v>
      </c>
      <c r="E11486" s="3">
        <v>18.0</v>
      </c>
      <c r="F11486" s="3" t="s">
        <v>26077</v>
      </c>
      <c r="G11486" s="3">
        <v>0.0</v>
      </c>
      <c r="H11486" s="3">
        <v>0.0</v>
      </c>
      <c r="I11486" s="3" t="s">
        <v>13</v>
      </c>
      <c r="J11486" s="3" t="s">
        <v>26078</v>
      </c>
      <c r="K11486" s="3" t="s">
        <v>433</v>
      </c>
      <c r="L11486" s="3" t="str">
        <f>IFERROR(__xludf.DUMMYFUNCTION("GOOGLETRANSLATE(F11486,""id"",""en"")"),"Lionel Messi finally became the world champion of the Argentine national team brought by Pulga to become a World Cup champion")</f>
        <v>Lionel Messi finally became the world champion of the Argentine national team brought by Pulga to become a World Cup champion</v>
      </c>
    </row>
    <row r="11487" ht="15.75" customHeight="1">
      <c r="A11487" s="1">
        <v>12731.0</v>
      </c>
      <c r="B11487" s="3" t="s">
        <v>32641</v>
      </c>
      <c r="C11487" s="3">
        <v>0.0</v>
      </c>
      <c r="D11487" s="3">
        <v>0.0</v>
      </c>
      <c r="E11487" s="3">
        <v>1.0</v>
      </c>
      <c r="F11487" s="3" t="s">
        <v>32642</v>
      </c>
      <c r="G11487" s="3">
        <v>0.35</v>
      </c>
      <c r="H11487" s="3">
        <v>0.2</v>
      </c>
      <c r="I11487" s="3" t="s">
        <v>48</v>
      </c>
      <c r="J11487" s="3" t="s">
        <v>32643</v>
      </c>
      <c r="K11487" s="3" t="s">
        <v>358</v>
      </c>
      <c r="L11487" s="3" t="str">
        <f>IFERROR(__xludf.DUMMYFUNCTION("GOOGLETRANSLATE(F11487,""id"",""en"")"),"Finally, Argentina is a cool champion Messi, the backbone of Argentina football hahaha BTW next year still chooses Argentina haha")</f>
        <v>Finally, Argentina is a cool champion Messi, the backbone of Argentina football hahaha BTW next year still chooses Argentina haha</v>
      </c>
    </row>
    <row r="11488" ht="15.75" customHeight="1">
      <c r="A11488" s="1">
        <v>12732.0</v>
      </c>
      <c r="B11488" s="3" t="s">
        <v>32644</v>
      </c>
      <c r="C11488" s="3">
        <v>0.0</v>
      </c>
      <c r="D11488" s="3">
        <v>0.0</v>
      </c>
      <c r="E11488" s="3">
        <v>0.0</v>
      </c>
      <c r="F11488" s="3" t="s">
        <v>32645</v>
      </c>
      <c r="G11488" s="3">
        <v>0.0</v>
      </c>
      <c r="H11488" s="3">
        <v>0.0</v>
      </c>
      <c r="I11488" s="3" t="s">
        <v>13</v>
      </c>
      <c r="J11488" s="3" t="s">
        <v>32646</v>
      </c>
      <c r="K11488" s="3" t="s">
        <v>15</v>
      </c>
      <c r="L11488" s="3" t="str">
        <f>IFERROR(__xludf.DUMMYFUNCTION("GOOGLETRANSLATE(F11488,""id"",""en"")"),"Happy Argentina won the World Cup event")</f>
        <v>Happy Argentina won the World Cup event</v>
      </c>
    </row>
    <row r="11489" ht="15.75" customHeight="1">
      <c r="A11489" s="1">
        <v>12733.0</v>
      </c>
      <c r="B11489" s="3" t="s">
        <v>32647</v>
      </c>
      <c r="C11489" s="3">
        <v>0.0</v>
      </c>
      <c r="D11489" s="3">
        <v>0.0</v>
      </c>
      <c r="E11489" s="3">
        <v>0.0</v>
      </c>
      <c r="F11489" s="3" t="s">
        <v>32648</v>
      </c>
      <c r="G11489" s="3">
        <v>0.0</v>
      </c>
      <c r="H11489" s="3">
        <v>0.0</v>
      </c>
      <c r="I11489" s="3" t="s">
        <v>13</v>
      </c>
      <c r="J11489" s="3" t="s">
        <v>32649</v>
      </c>
      <c r="K11489" s="3" t="s">
        <v>15</v>
      </c>
      <c r="L11489" s="3" t="str">
        <f>IFERROR(__xludf.DUMMYFUNCTION("GOOGLETRANSLATE(F11489,""id"",""en"")"),"Happy Messi Argentina who came out as World Cup champions")</f>
        <v>Happy Messi Argentina who came out as World Cup champions</v>
      </c>
    </row>
    <row r="11490" ht="15.75" customHeight="1">
      <c r="A11490" s="1">
        <v>12734.0</v>
      </c>
      <c r="B11490" s="3" t="s">
        <v>32650</v>
      </c>
      <c r="C11490" s="3">
        <v>0.0</v>
      </c>
      <c r="D11490" s="3">
        <v>0.0</v>
      </c>
      <c r="E11490" s="3">
        <v>0.0</v>
      </c>
      <c r="F11490" s="3" t="s">
        <v>32651</v>
      </c>
      <c r="G11490" s="3">
        <v>0.0</v>
      </c>
      <c r="H11490" s="3">
        <v>0.0</v>
      </c>
      <c r="I11490" s="3" t="s">
        <v>13</v>
      </c>
      <c r="J11490" s="3" t="s">
        <v>32652</v>
      </c>
      <c r="K11490" s="3" t="s">
        <v>41</v>
      </c>
      <c r="L11490" s="3" t="str">
        <f>IFERROR(__xludf.DUMMYFUNCTION("GOOGLETRANSLATE(F11490,""id"",""en"")"),"Happy Argentina World Cup champions but unfortunately Messi has never been Aceh")</f>
        <v>Happy Argentina World Cup champions but unfortunately Messi has never been Aceh</v>
      </c>
    </row>
    <row r="11491" ht="15.75" customHeight="1">
      <c r="A11491" s="1">
        <v>12735.0</v>
      </c>
      <c r="B11491" s="3" t="s">
        <v>32653</v>
      </c>
      <c r="C11491" s="3">
        <v>0.0</v>
      </c>
      <c r="D11491" s="3">
        <v>0.0</v>
      </c>
      <c r="E11491" s="3">
        <v>0.0</v>
      </c>
      <c r="F11491" s="3" t="s">
        <v>32654</v>
      </c>
      <c r="G11491" s="3">
        <v>0.0</v>
      </c>
      <c r="H11491" s="3">
        <v>0.0</v>
      </c>
      <c r="I11491" s="3" t="s">
        <v>13</v>
      </c>
      <c r="J11491" s="3" t="s">
        <v>32655</v>
      </c>
      <c r="K11491" s="3" t="s">
        <v>491</v>
      </c>
      <c r="L11491" s="3" t="str">
        <f>IFERROR(__xludf.DUMMYFUNCTION("GOOGLETRANSLATE(F11491,""id"",""en"")"),"What is the impact of the Qatar World Sugar World Cup Raising Congratulations for Argentina as an extraordinary Qatar champion")</f>
        <v>What is the impact of the Qatar World Sugar World Cup Raising Congratulations for Argentina as an extraordinary Qatar champion</v>
      </c>
    </row>
    <row r="11492" ht="15.75" customHeight="1">
      <c r="A11492" s="1">
        <v>12736.0</v>
      </c>
      <c r="B11492" s="3" t="s">
        <v>32656</v>
      </c>
      <c r="C11492" s="3">
        <v>0.0</v>
      </c>
      <c r="D11492" s="3">
        <v>1.0</v>
      </c>
      <c r="E11492" s="3">
        <v>1.0</v>
      </c>
      <c r="F11492" s="3" t="s">
        <v>32657</v>
      </c>
      <c r="G11492" s="3">
        <v>0.0</v>
      </c>
      <c r="H11492" s="3">
        <v>0.0</v>
      </c>
      <c r="I11492" s="3" t="s">
        <v>13</v>
      </c>
      <c r="J11492" s="3" t="s">
        <v>32658</v>
      </c>
      <c r="K11492" s="3" t="s">
        <v>54</v>
      </c>
      <c r="L11492" s="3" t="str">
        <f>IFERROR(__xludf.DUMMYFUNCTION("GOOGLETRANSLATE(F11492,""id"",""en"")"),"Congratulations to Argentina to become a world champion")</f>
        <v>Congratulations to Argentina to become a world champion</v>
      </c>
    </row>
    <row r="11493" ht="15.75" customHeight="1">
      <c r="A11493" s="1">
        <v>12737.0</v>
      </c>
      <c r="B11493" s="3" t="s">
        <v>32659</v>
      </c>
      <c r="C11493" s="3">
        <v>0.0</v>
      </c>
      <c r="D11493" s="3">
        <v>0.0</v>
      </c>
      <c r="E11493" s="3">
        <v>0.0</v>
      </c>
      <c r="F11493" s="3" t="s">
        <v>32660</v>
      </c>
      <c r="G11493" s="3">
        <v>0.0</v>
      </c>
      <c r="H11493" s="3">
        <v>0.0</v>
      </c>
      <c r="I11493" s="3" t="s">
        <v>13</v>
      </c>
      <c r="J11493" s="3" t="s">
        <v>32661</v>
      </c>
      <c r="K11493" s="3" t="s">
        <v>1097</v>
      </c>
      <c r="L11493" s="3" t="str">
        <f>IFERROR(__xludf.DUMMYFUNCTION("GOOGLETRANSLATE(F11493,""id"",""en"")"),"The people who make their Argentine story champion are Ronaldo fans who hate Messi")</f>
        <v>The people who make their Argentine story champion are Ronaldo fans who hate Messi</v>
      </c>
    </row>
    <row r="11494" ht="15.75" customHeight="1">
      <c r="A11494" s="1">
        <v>12738.0</v>
      </c>
      <c r="B11494" s="3" t="s">
        <v>32662</v>
      </c>
      <c r="C11494" s="3">
        <v>0.0</v>
      </c>
      <c r="D11494" s="3">
        <v>0.0</v>
      </c>
      <c r="E11494" s="3">
        <v>0.0</v>
      </c>
      <c r="F11494" s="3" t="s">
        <v>32663</v>
      </c>
      <c r="G11494" s="3">
        <v>1.0</v>
      </c>
      <c r="H11494" s="3">
        <v>0.0</v>
      </c>
      <c r="I11494" s="3" t="s">
        <v>13</v>
      </c>
      <c r="J11494" s="3" t="s">
        <v>32664</v>
      </c>
      <c r="K11494" s="3" t="s">
        <v>71</v>
      </c>
      <c r="L11494" s="3" t="str">
        <f>IFERROR(__xludf.DUMMYFUNCTION("GOOGLETRANSLATE(F11494,""id"",""en"")"),"Thanks to Lionel Messi's prayer successfully brought the Argentine national team to the World Cup final champion after against France")</f>
        <v>Thanks to Lionel Messi's prayer successfully brought the Argentine national team to the World Cup final champion after against France</v>
      </c>
    </row>
    <row r="11495" ht="15.75" customHeight="1">
      <c r="A11495" s="1">
        <v>12739.0</v>
      </c>
      <c r="B11495" s="3" t="s">
        <v>32665</v>
      </c>
      <c r="C11495" s="3">
        <v>0.0</v>
      </c>
      <c r="D11495" s="3">
        <v>0.0</v>
      </c>
      <c r="E11495" s="3">
        <v>0.0</v>
      </c>
      <c r="F11495" s="3" t="s">
        <v>32666</v>
      </c>
      <c r="G11495" s="3">
        <v>0.0</v>
      </c>
      <c r="H11495" s="3">
        <v>0.0</v>
      </c>
      <c r="I11495" s="3" t="s">
        <v>13</v>
      </c>
      <c r="J11495" s="3" t="s">
        <v>32667</v>
      </c>
      <c r="K11495" s="3" t="s">
        <v>15</v>
      </c>
      <c r="L11495" s="3" t="str">
        <f>IFERROR(__xludf.DUMMYFUNCTION("GOOGLETRANSLATE(F11495,""id"",""en"")"),"Bright morning the sun shining Persib won Argentina Champion")</f>
        <v>Bright morning the sun shining Persib won Argentina Champion</v>
      </c>
    </row>
    <row r="11496" ht="15.75" customHeight="1">
      <c r="A11496" s="1">
        <v>12740.0</v>
      </c>
      <c r="B11496" s="3" t="s">
        <v>32668</v>
      </c>
      <c r="C11496" s="3">
        <v>0.0</v>
      </c>
      <c r="D11496" s="3">
        <v>0.0</v>
      </c>
      <c r="E11496" s="3">
        <v>0.0</v>
      </c>
      <c r="F11496" s="3" t="s">
        <v>32669</v>
      </c>
      <c r="G11496" s="3">
        <v>0.0</v>
      </c>
      <c r="H11496" s="3">
        <v>0.0</v>
      </c>
      <c r="I11496" s="3" t="s">
        <v>13</v>
      </c>
      <c r="J11496" s="3" t="s">
        <v>32670</v>
      </c>
      <c r="K11496" s="3" t="s">
        <v>236</v>
      </c>
      <c r="L11496" s="3" t="str">
        <f>IFERROR(__xludf.DUMMYFUNCTION("GOOGLETRANSLATE(F11496,""id"",""en"")"),"Tahniah Argentina Champion World Cup Great Player from France Argentina MCM")</f>
        <v>Tahniah Argentina Champion World Cup Great Player from France Argentina MCM</v>
      </c>
    </row>
    <row r="11497" ht="15.75" customHeight="1">
      <c r="A11497" s="1">
        <v>12741.0</v>
      </c>
      <c r="B11497" s="3" t="s">
        <v>32671</v>
      </c>
      <c r="C11497" s="3">
        <v>0.0</v>
      </c>
      <c r="D11497" s="3">
        <v>0.0</v>
      </c>
      <c r="E11497" s="3">
        <v>0.0</v>
      </c>
      <c r="F11497" s="3" t="s">
        <v>32672</v>
      </c>
      <c r="G11497" s="3">
        <v>0.0</v>
      </c>
      <c r="H11497" s="3">
        <v>0.0</v>
      </c>
      <c r="I11497" s="3" t="s">
        <v>13</v>
      </c>
      <c r="J11497" s="3" t="s">
        <v>32673</v>
      </c>
      <c r="K11497" s="3" t="s">
        <v>15</v>
      </c>
      <c r="L11497" s="3" t="str">
        <f>IFERROR(__xludf.DUMMYFUNCTION("GOOGLETRANSLATE(F11497,""id"",""en"")"),"Lionel Mesi brought Argentina to win the World Cup championship")</f>
        <v>Lionel Mesi brought Argentina to win the World Cup championship</v>
      </c>
    </row>
    <row r="11498" ht="15.75" customHeight="1">
      <c r="A11498" s="1">
        <v>12742.0</v>
      </c>
      <c r="B11498" s="3" t="s">
        <v>32674</v>
      </c>
      <c r="C11498" s="3">
        <v>0.0</v>
      </c>
      <c r="D11498" s="3">
        <v>0.0</v>
      </c>
      <c r="E11498" s="3">
        <v>0.0</v>
      </c>
      <c r="F11498" s="3" t="s">
        <v>32675</v>
      </c>
      <c r="G11498" s="3">
        <v>0.0</v>
      </c>
      <c r="H11498" s="3">
        <v>0.0</v>
      </c>
      <c r="I11498" s="3" t="s">
        <v>13</v>
      </c>
      <c r="J11498" s="3" t="s">
        <v>32676</v>
      </c>
      <c r="K11498" s="3" t="s">
        <v>1349</v>
      </c>
      <c r="L11498" s="3" t="str">
        <f>IFERROR(__xludf.DUMMYFUNCTION("GOOGLETRANSLATE(F11498,""id"",""en"")"),"Even though Argentina is now a world champion but he still lost to Saudi Arabia Saudi Arabia champions without crown and trophy")</f>
        <v>Even though Argentina is now a world champion but he still lost to Saudi Arabia Saudi Arabia champions without crown and trophy</v>
      </c>
    </row>
    <row r="11499" ht="15.75" customHeight="1">
      <c r="A11499" s="1">
        <v>12743.0</v>
      </c>
      <c r="B11499" s="3" t="s">
        <v>32677</v>
      </c>
      <c r="C11499" s="3">
        <v>0.0</v>
      </c>
      <c r="D11499" s="3">
        <v>0.0</v>
      </c>
      <c r="E11499" s="3">
        <v>0.0</v>
      </c>
      <c r="F11499" s="3" t="s">
        <v>32678</v>
      </c>
      <c r="G11499" s="3">
        <v>0.0</v>
      </c>
      <c r="H11499" s="3">
        <v>0.0</v>
      </c>
      <c r="I11499" s="3" t="s">
        <v>13</v>
      </c>
      <c r="J11499" s="3" t="s">
        <v>32679</v>
      </c>
      <c r="K11499" s="3" t="s">
        <v>358</v>
      </c>
      <c r="L11499" s="3" t="str">
        <f>IFERROR(__xludf.DUMMYFUNCTION("GOOGLETRANSLATE(F11499,""id"",""en"")"),"The match which ended with a penalty shootout was won by the Argentina team and confirmed his name as the Qatar World Cup champion again Congratulations Team Tango Argentina")</f>
        <v>The match which ended with a penalty shootout was won by the Argentina team and confirmed his name as the Qatar World Cup champion again Congratulations Team Tango Argentina</v>
      </c>
    </row>
    <row r="11500" ht="15.75" customHeight="1">
      <c r="A11500" s="1">
        <v>12744.0</v>
      </c>
      <c r="B11500" s="3" t="s">
        <v>32680</v>
      </c>
      <c r="C11500" s="3">
        <v>0.0</v>
      </c>
      <c r="D11500" s="3">
        <v>0.0</v>
      </c>
      <c r="E11500" s="3">
        <v>0.0</v>
      </c>
      <c r="F11500" s="3" t="s">
        <v>32681</v>
      </c>
      <c r="G11500" s="3">
        <v>0.0</v>
      </c>
      <c r="H11500" s="3">
        <v>0.0</v>
      </c>
      <c r="I11500" s="3" t="s">
        <v>13</v>
      </c>
      <c r="J11500" s="3" t="s">
        <v>32682</v>
      </c>
      <c r="K11500" s="3" t="s">
        <v>19</v>
      </c>
      <c r="L11500" s="3" t="str">
        <f>IFERROR(__xludf.DUMMYFUNCTION("GOOGLETRANSLATE(F11500,""id"",""en"")"),"Lionel Messi's record after bringing Argentina the number world cup champion is hard to pursue")</f>
        <v>Lionel Messi's record after bringing Argentina the number world cup champion is hard to pursue</v>
      </c>
    </row>
    <row r="11501" ht="15.75" customHeight="1">
      <c r="A11501" s="1">
        <v>12745.0</v>
      </c>
      <c r="B11501" s="3" t="s">
        <v>32683</v>
      </c>
      <c r="C11501" s="3">
        <v>0.0</v>
      </c>
      <c r="D11501" s="3">
        <v>0.0</v>
      </c>
      <c r="E11501" s="3">
        <v>0.0</v>
      </c>
      <c r="F11501" s="3" t="s">
        <v>32684</v>
      </c>
      <c r="G11501" s="3">
        <v>0.0</v>
      </c>
      <c r="H11501" s="3">
        <v>0.0</v>
      </c>
      <c r="I11501" s="3" t="s">
        <v>13</v>
      </c>
      <c r="J11501" s="3" t="s">
        <v>32685</v>
      </c>
      <c r="K11501" s="3" t="s">
        <v>15</v>
      </c>
      <c r="L11501" s="3" t="str">
        <f>IFERROR(__xludf.DUMMYFUNCTION("GOOGLETRANSLATE(F11501,""id"",""en"")"),"Argentina World Champion Messi passed the record of Lothar Mathaeus")</f>
        <v>Argentina World Champion Messi passed the record of Lothar Mathaeus</v>
      </c>
    </row>
    <row r="11502" ht="15.75" customHeight="1">
      <c r="A11502" s="1">
        <v>12746.0</v>
      </c>
      <c r="B11502" s="3" t="s">
        <v>32686</v>
      </c>
      <c r="C11502" s="3">
        <v>0.0</v>
      </c>
      <c r="D11502" s="3">
        <v>0.0</v>
      </c>
      <c r="E11502" s="3">
        <v>0.0</v>
      </c>
      <c r="F11502" s="3" t="s">
        <v>32687</v>
      </c>
      <c r="G11502" s="3">
        <v>0.0</v>
      </c>
      <c r="H11502" s="3">
        <v>0.0</v>
      </c>
      <c r="I11502" s="3" t="s">
        <v>13</v>
      </c>
      <c r="J11502" s="3" t="s">
        <v>32688</v>
      </c>
      <c r="K11502" s="3" t="s">
        <v>41</v>
      </c>
      <c r="L11502" s="3" t="str">
        <f>IFERROR(__xludf.DUMMYFUNCTION("GOOGLETRANSLATE(F11502,""id"",""en"")"),"The results of Indonesian training Emi Martinez delivering Argentina World Champion")</f>
        <v>The results of Indonesian training Emi Martinez delivering Argentina World Champion</v>
      </c>
    </row>
    <row r="11503" ht="15.75" customHeight="1">
      <c r="A11503" s="1">
        <v>12747.0</v>
      </c>
      <c r="B11503" s="3" t="s">
        <v>32689</v>
      </c>
      <c r="C11503" s="3">
        <v>0.0</v>
      </c>
      <c r="D11503" s="3">
        <v>0.0</v>
      </c>
      <c r="E11503" s="3">
        <v>0.0</v>
      </c>
      <c r="F11503" s="3" t="s">
        <v>32690</v>
      </c>
      <c r="G11503" s="3">
        <v>0.5</v>
      </c>
      <c r="H11503" s="3">
        <v>0.1363636363636364</v>
      </c>
      <c r="I11503" s="3" t="s">
        <v>48</v>
      </c>
      <c r="J11503" s="3" t="s">
        <v>32691</v>
      </c>
      <c r="K11503" s="3" t="s">
        <v>695</v>
      </c>
      <c r="L11503" s="3" t="str">
        <f>IFERROR(__xludf.DUMMYFUNCTION("GOOGLETRANSLATE(F11503,""id"",""en"")"),"Not finished Argentina is said to be the champion of the settings of blind eyes not to see them struggle keng which must be commented because only see live score right wkwkwkwk")</f>
        <v>Not finished Argentina is said to be the champion of the settings of blind eyes not to see them struggle keng which must be commented because only see live score right wkwkwkwk</v>
      </c>
    </row>
    <row r="11504" ht="15.75" customHeight="1">
      <c r="A11504" s="1">
        <v>12748.0</v>
      </c>
      <c r="B11504" s="3" t="s">
        <v>32692</v>
      </c>
      <c r="C11504" s="3">
        <v>0.0</v>
      </c>
      <c r="D11504" s="3">
        <v>0.0</v>
      </c>
      <c r="E11504" s="3">
        <v>0.0</v>
      </c>
      <c r="F11504" s="3" t="s">
        <v>32693</v>
      </c>
      <c r="G11504" s="3">
        <v>0.0</v>
      </c>
      <c r="H11504" s="3">
        <v>0.0</v>
      </c>
      <c r="I11504" s="3" t="s">
        <v>13</v>
      </c>
      <c r="J11504" s="3" t="s">
        <v>32694</v>
      </c>
      <c r="K11504" s="3" t="s">
        <v>322</v>
      </c>
      <c r="L11504" s="3" t="str">
        <f>IFERROR(__xludf.DUMMYFUNCTION("GOOGLETRANSLATE(F11504,""id"",""en"")"),"the Argentina champion ngamok ngamok milan fans")</f>
        <v>the Argentina champion ngamok ngamok milan fans</v>
      </c>
    </row>
    <row r="11505" ht="15.75" customHeight="1">
      <c r="A11505" s="1">
        <v>12749.0</v>
      </c>
      <c r="B11505" s="3" t="s">
        <v>32695</v>
      </c>
      <c r="C11505" s="3">
        <v>0.0</v>
      </c>
      <c r="D11505" s="3">
        <v>0.0</v>
      </c>
      <c r="E11505" s="3">
        <v>0.0</v>
      </c>
      <c r="F11505" s="3" t="s">
        <v>32696</v>
      </c>
      <c r="G11505" s="3">
        <v>1.0</v>
      </c>
      <c r="H11505" s="3">
        <v>0.0</v>
      </c>
      <c r="I11505" s="3" t="s">
        <v>13</v>
      </c>
      <c r="J11505" s="3" t="s">
        <v>32697</v>
      </c>
      <c r="K11505" s="3" t="s">
        <v>236</v>
      </c>
      <c r="L11505" s="3" t="str">
        <f>IFERROR(__xludf.DUMMYFUNCTION("GOOGLETRANSLATE(F11505,""id"",""en"")"),"Still unexpectedly Argentina champions after passing many sad finals Argentina deserves champion")</f>
        <v>Still unexpectedly Argentina champions after passing many sad finals Argentina deserves champion</v>
      </c>
    </row>
    <row r="11506" ht="15.75" customHeight="1">
      <c r="A11506" s="1">
        <v>12750.0</v>
      </c>
      <c r="B11506" s="3" t="s">
        <v>32698</v>
      </c>
      <c r="C11506" s="3">
        <v>0.0</v>
      </c>
      <c r="D11506" s="3">
        <v>0.0</v>
      </c>
      <c r="E11506" s="3">
        <v>0.0</v>
      </c>
      <c r="F11506" s="3" t="s">
        <v>32699</v>
      </c>
      <c r="G11506" s="3">
        <v>0.0</v>
      </c>
      <c r="H11506" s="3">
        <v>0.0</v>
      </c>
      <c r="I11506" s="3" t="s">
        <v>13</v>
      </c>
      <c r="J11506" s="3" t="s">
        <v>32700</v>
      </c>
      <c r="K11506" s="3" t="s">
        <v>54</v>
      </c>
      <c r="L11506" s="3" t="str">
        <f>IFERROR(__xludf.DUMMYFUNCTION("GOOGLETRANSLATE(F11506,""id"",""en"")"),"Happy Argentina World Champion for the third time")</f>
        <v>Happy Argentina World Champion for the third time</v>
      </c>
    </row>
    <row r="11507" ht="15.75" customHeight="1">
      <c r="A11507" s="1">
        <v>12751.0</v>
      </c>
      <c r="B11507" s="3" t="s">
        <v>32701</v>
      </c>
      <c r="C11507" s="3">
        <v>0.0</v>
      </c>
      <c r="D11507" s="3">
        <v>0.0</v>
      </c>
      <c r="E11507" s="3">
        <v>0.0</v>
      </c>
      <c r="F11507" s="3" t="s">
        <v>32702</v>
      </c>
      <c r="G11507" s="3">
        <v>0.55</v>
      </c>
      <c r="H11507" s="3">
        <v>0.35</v>
      </c>
      <c r="I11507" s="3" t="s">
        <v>48</v>
      </c>
      <c r="J11507" s="3" t="s">
        <v>32703</v>
      </c>
      <c r="K11507" s="3" t="s">
        <v>3721</v>
      </c>
      <c r="L11507" s="3" t="str">
        <f>IFERROR(__xludf.DUMMYFUNCTION("GOOGLETRANSLATE(F11507,""id"",""en"")"),"Grammarly Promo Price Full Link Guarantee There is Bio France Benzema Paul Maria Lloris YOUNG DAY RUNGKAD World Champion Argentina Saudi Arabia World Cup Giroud Strong Holding Shari'a Ball Deschamps")</f>
        <v>Grammarly Promo Price Full Link Guarantee There is Bio France Benzema Paul Maria Lloris YOUNG DAY RUNGKAD World Champion Argentina Saudi Arabia World Cup Giroud Strong Holding Shari'a Ball Deschamps</v>
      </c>
    </row>
    <row r="11508" ht="15.75" customHeight="1">
      <c r="A11508" s="1">
        <v>12752.0</v>
      </c>
      <c r="B11508" s="3" t="s">
        <v>32704</v>
      </c>
      <c r="C11508" s="3">
        <v>0.0</v>
      </c>
      <c r="D11508" s="3">
        <v>0.0</v>
      </c>
      <c r="E11508" s="3">
        <v>0.0</v>
      </c>
      <c r="F11508" s="3" t="s">
        <v>32705</v>
      </c>
      <c r="G11508" s="3">
        <v>0.0</v>
      </c>
      <c r="H11508" s="3">
        <v>0.0</v>
      </c>
      <c r="I11508" s="3" t="s">
        <v>13</v>
      </c>
      <c r="J11508" s="3" t="s">
        <v>32706</v>
      </c>
      <c r="K11508" s="3" t="s">
        <v>54</v>
      </c>
      <c r="L11508" s="3" t="str">
        <f>IFERROR(__xludf.DUMMYFUNCTION("GOOGLETRANSLATE(F11508,""id"",""en"")"),"The more enthusiastic wake up in the morning because of Argentina champions")</f>
        <v>The more enthusiastic wake up in the morning because of Argentina champions</v>
      </c>
    </row>
    <row r="11509" ht="15.75" customHeight="1">
      <c r="A11509" s="1">
        <v>12753.0</v>
      </c>
      <c r="B11509" s="3" t="s">
        <v>32707</v>
      </c>
      <c r="C11509" s="3">
        <v>0.0</v>
      </c>
      <c r="D11509" s="3">
        <v>0.0</v>
      </c>
      <c r="E11509" s="3">
        <v>0.0</v>
      </c>
      <c r="F11509" s="3" t="s">
        <v>32708</v>
      </c>
      <c r="G11509" s="3">
        <v>0.0</v>
      </c>
      <c r="H11509" s="3">
        <v>0.0</v>
      </c>
      <c r="I11509" s="3" t="s">
        <v>13</v>
      </c>
      <c r="J11509" s="3" t="s">
        <v>32709</v>
      </c>
      <c r="K11509" s="3" t="s">
        <v>41</v>
      </c>
      <c r="L11509" s="3" t="str">
        <f>IFERROR(__xludf.DUMMYFUNCTION("GOOGLETRANSLATE(F11509,""id"",""en"")"),"Too bad the prediction of the World Cup later champions between Brazil Uruguay or Argentina")</f>
        <v>Too bad the prediction of the World Cup later champions between Brazil Uruguay or Argentina</v>
      </c>
    </row>
    <row r="11510" ht="15.75" customHeight="1">
      <c r="A11510" s="1">
        <v>12754.0</v>
      </c>
      <c r="B11510" s="3" t="s">
        <v>32710</v>
      </c>
      <c r="C11510" s="3">
        <v>0.0</v>
      </c>
      <c r="D11510" s="3">
        <v>0.0</v>
      </c>
      <c r="E11510" s="3">
        <v>0.0</v>
      </c>
      <c r="F11510" s="3" t="s">
        <v>32711</v>
      </c>
      <c r="G11510" s="3">
        <v>0.0</v>
      </c>
      <c r="H11510" s="3">
        <v>0.0</v>
      </c>
      <c r="I11510" s="3" t="s">
        <v>13</v>
      </c>
      <c r="J11510" s="3" t="s">
        <v>32712</v>
      </c>
      <c r="K11510" s="3" t="s">
        <v>82</v>
      </c>
      <c r="L11510" s="3" t="str">
        <f>IFERROR(__xludf.DUMMYFUNCTION("GOOGLETRANSLATE(F11510,""id"",""en"")"),"Mbappe Argentina Suk Mben Year Ngkara Champion")</f>
        <v>Mbappe Argentina Suk Mben Year Ngkara Champion</v>
      </c>
    </row>
    <row r="11511" ht="15.75" customHeight="1">
      <c r="A11511" s="1">
        <v>12755.0</v>
      </c>
      <c r="B11511" s="3" t="s">
        <v>32713</v>
      </c>
      <c r="C11511" s="3">
        <v>0.0</v>
      </c>
      <c r="D11511" s="3">
        <v>0.0</v>
      </c>
      <c r="E11511" s="3">
        <v>0.0</v>
      </c>
      <c r="F11511" s="3" t="s">
        <v>32714</v>
      </c>
      <c r="G11511" s="3">
        <v>0.0</v>
      </c>
      <c r="H11511" s="3">
        <v>0.0</v>
      </c>
      <c r="I11511" s="3" t="s">
        <v>13</v>
      </c>
      <c r="J11511" s="3" t="s">
        <v>32715</v>
      </c>
      <c r="K11511" s="3" t="s">
        <v>71</v>
      </c>
      <c r="L11511" s="3" t="str">
        <f>IFERROR(__xludf.DUMMYFUNCTION("GOOGLETRANSLATE(F11511,""id"",""en"")"),"Messi and the team brought Argentina to win the FIFA World Cup Qatar French World Cup almost")</f>
        <v>Messi and the team brought Argentina to win the FIFA World Cup Qatar French World Cup almost</v>
      </c>
    </row>
    <row r="11512" ht="15.75" customHeight="1">
      <c r="A11512" s="1">
        <v>12756.0</v>
      </c>
      <c r="B11512" s="3" t="s">
        <v>32716</v>
      </c>
      <c r="C11512" s="3">
        <v>0.0</v>
      </c>
      <c r="D11512" s="3">
        <v>0.0</v>
      </c>
      <c r="E11512" s="3">
        <v>0.0</v>
      </c>
      <c r="F11512" s="3" t="s">
        <v>32584</v>
      </c>
      <c r="G11512" s="3">
        <v>0.0</v>
      </c>
      <c r="H11512" s="3">
        <v>0.0</v>
      </c>
      <c r="I11512" s="3" t="s">
        <v>13</v>
      </c>
      <c r="J11512" s="3" t="s">
        <v>32585</v>
      </c>
      <c r="K11512" s="3" t="s">
        <v>41</v>
      </c>
      <c r="L11512" s="3" t="str">
        <f>IFERROR(__xludf.DUMMYFUNCTION("GOOGLETRANSLATE(F11512,""id"",""en"")"),"This is the words of Lionel Messi after Argentina certainly become world champion")</f>
        <v>This is the words of Lionel Messi after Argentina certainly become world champion</v>
      </c>
    </row>
    <row r="11513" ht="15.75" customHeight="1">
      <c r="A11513" s="1">
        <v>12757.0</v>
      </c>
      <c r="B11513" s="3" t="s">
        <v>32717</v>
      </c>
      <c r="C11513" s="3">
        <v>0.0</v>
      </c>
      <c r="D11513" s="3">
        <v>1.0</v>
      </c>
      <c r="E11513" s="3">
        <v>1.0</v>
      </c>
      <c r="F11513" s="3" t="s">
        <v>32718</v>
      </c>
      <c r="G11513" s="3">
        <v>1.0</v>
      </c>
      <c r="H11513" s="3">
        <v>0.0</v>
      </c>
      <c r="I11513" s="3" t="s">
        <v>13</v>
      </c>
      <c r="J11513" s="3" t="s">
        <v>32719</v>
      </c>
      <c r="K11513" s="3" t="s">
        <v>82</v>
      </c>
      <c r="L11513" s="3" t="str">
        <f>IFERROR(__xludf.DUMMYFUNCTION("GOOGLETRANSLATE(F11513,""id"",""en"")"),"Argentina This champion is an important fact of the World Cup Final")</f>
        <v>Argentina This champion is an important fact of the World Cup Final</v>
      </c>
    </row>
    <row r="11514" ht="15.75" customHeight="1">
      <c r="A11514" s="1">
        <v>12758.0</v>
      </c>
      <c r="B11514" s="3" t="s">
        <v>32720</v>
      </c>
      <c r="C11514" s="3">
        <v>0.0</v>
      </c>
      <c r="D11514" s="3">
        <v>0.0</v>
      </c>
      <c r="E11514" s="3">
        <v>0.0</v>
      </c>
      <c r="F11514" s="3" t="s">
        <v>32721</v>
      </c>
      <c r="G11514" s="3">
        <v>0.5</v>
      </c>
      <c r="H11514" s="3">
        <v>0.5</v>
      </c>
      <c r="I11514" s="3" t="s">
        <v>48</v>
      </c>
      <c r="J11514" s="3" t="s">
        <v>32722</v>
      </c>
      <c r="K11514" s="3" t="s">
        <v>899</v>
      </c>
      <c r="L11514" s="3" t="str">
        <f>IFERROR(__xludf.DUMMYFUNCTION("GOOGLETRANSLATE(F11514,""id"",""en"")"),"Rarely people know that PSG is the Club shadows Kylian Mbape French player top scorer and Lionel Messi Argentina Bintang player becomes an idol of the universe in the universe if Argentina champions MBAPE top scorer who is the winner who is the winner")</f>
        <v>Rarely people know that PSG is the Club shadows Kylian Mbape French player top scorer and Lionel Messi Argentina Bintang player becomes an idol of the universe in the universe if Argentina champions MBAPE top scorer who is the winner who is the winner</v>
      </c>
    </row>
    <row r="11515" ht="15.75" customHeight="1">
      <c r="A11515" s="1">
        <v>12759.0</v>
      </c>
      <c r="B11515" s="3" t="s">
        <v>32723</v>
      </c>
      <c r="C11515" s="3">
        <v>0.0</v>
      </c>
      <c r="D11515" s="3">
        <v>0.0</v>
      </c>
      <c r="E11515" s="3">
        <v>0.0</v>
      </c>
      <c r="F11515" s="3" t="s">
        <v>32724</v>
      </c>
      <c r="G11515" s="3">
        <v>0.0</v>
      </c>
      <c r="H11515" s="3">
        <v>0.0</v>
      </c>
      <c r="I11515" s="3" t="s">
        <v>13</v>
      </c>
      <c r="J11515" s="3" t="s">
        <v>32725</v>
      </c>
      <c r="K11515" s="3" t="s">
        <v>82</v>
      </c>
      <c r="L11515" s="3" t="str">
        <f>IFERROR(__xludf.DUMMYFUNCTION("GOOGLETRANSLATE(F11515,""id"",""en"")"),"This is Argentina's kek win because of the setting because the problem must be the champion of Brazil")</f>
        <v>This is Argentina's kek win because of the setting because the problem must be the champion of Brazil</v>
      </c>
    </row>
    <row r="11516" ht="15.75" customHeight="1">
      <c r="A11516" s="1">
        <v>12760.0</v>
      </c>
      <c r="B11516" s="3" t="s">
        <v>32726</v>
      </c>
      <c r="C11516" s="3">
        <v>0.0</v>
      </c>
      <c r="D11516" s="3">
        <v>0.0</v>
      </c>
      <c r="E11516" s="3">
        <v>0.0</v>
      </c>
      <c r="F11516" s="3" t="s">
        <v>22241</v>
      </c>
      <c r="G11516" s="3">
        <v>0.0</v>
      </c>
      <c r="H11516" s="3">
        <v>0.0</v>
      </c>
      <c r="I11516" s="3" t="s">
        <v>13</v>
      </c>
      <c r="J11516" s="3" t="s">
        <v>16942</v>
      </c>
      <c r="K11516" s="3" t="s">
        <v>644</v>
      </c>
      <c r="L11516" s="3" t="str">
        <f>IFERROR(__xludf.DUMMYFUNCTION("GOOGLETRANSLATE(F11516,""id"",""en"")"),"Argentina Champion World Cup")</f>
        <v>Argentina Champion World Cup</v>
      </c>
    </row>
    <row r="11517" ht="15.75" customHeight="1">
      <c r="A11517" s="1">
        <v>12761.0</v>
      </c>
      <c r="B11517" s="3" t="s">
        <v>32727</v>
      </c>
      <c r="C11517" s="3">
        <v>0.0</v>
      </c>
      <c r="D11517" s="3">
        <v>0.0</v>
      </c>
      <c r="E11517" s="3">
        <v>0.0</v>
      </c>
      <c r="F11517" s="3" t="s">
        <v>32681</v>
      </c>
      <c r="G11517" s="3">
        <v>0.0</v>
      </c>
      <c r="H11517" s="3">
        <v>0.0</v>
      </c>
      <c r="I11517" s="3" t="s">
        <v>13</v>
      </c>
      <c r="J11517" s="3" t="s">
        <v>32682</v>
      </c>
      <c r="K11517" s="3" t="s">
        <v>19</v>
      </c>
      <c r="L11517" s="3" t="str">
        <f>IFERROR(__xludf.DUMMYFUNCTION("GOOGLETRANSLATE(F11517,""id"",""en"")"),"Lionel Messi's record after bringing Argentina the number world cup champion is hard to pursue")</f>
        <v>Lionel Messi's record after bringing Argentina the number world cup champion is hard to pursue</v>
      </c>
    </row>
    <row r="11518" ht="15.75" customHeight="1">
      <c r="A11518" s="1">
        <v>12762.0</v>
      </c>
      <c r="B11518" s="3" t="s">
        <v>32728</v>
      </c>
      <c r="C11518" s="3">
        <v>0.0</v>
      </c>
      <c r="D11518" s="3">
        <v>0.0</v>
      </c>
      <c r="E11518" s="3">
        <v>0.0</v>
      </c>
      <c r="F11518" s="3" t="s">
        <v>32729</v>
      </c>
      <c r="G11518" s="3">
        <v>0.55</v>
      </c>
      <c r="H11518" s="3">
        <v>0.35</v>
      </c>
      <c r="I11518" s="3" t="s">
        <v>48</v>
      </c>
      <c r="J11518" s="3" t="s">
        <v>32730</v>
      </c>
      <c r="K11518" s="3" t="s">
        <v>71</v>
      </c>
      <c r="L11518" s="3" t="str">
        <f>IFERROR(__xludf.DUMMYFUNCTION("GOOGLETRANSLATE(F11518,""id"",""en"")"),"Sleeping the second half because the body is not on Friday Saturday full staying up, Min, sure Argentina is champion")</f>
        <v>Sleeping the second half because the body is not on Friday Saturday full staying up, Min, sure Argentina is champion</v>
      </c>
    </row>
    <row r="11519" ht="15.75" customHeight="1">
      <c r="A11519" s="1">
        <v>12763.0</v>
      </c>
      <c r="B11519" s="3" t="s">
        <v>32731</v>
      </c>
      <c r="C11519" s="3">
        <v>0.0</v>
      </c>
      <c r="D11519" s="3">
        <v>3.0</v>
      </c>
      <c r="E11519" s="3">
        <v>4.0</v>
      </c>
      <c r="G11519" s="3">
        <v>0.0</v>
      </c>
      <c r="H11519" s="3">
        <v>0.0</v>
      </c>
      <c r="I11519" s="3" t="s">
        <v>13</v>
      </c>
      <c r="J11519" s="3" t="s">
        <v>16049</v>
      </c>
      <c r="K11519" s="3" t="s">
        <v>16050</v>
      </c>
      <c r="L11519" s="3" t="str">
        <f>IFERROR(__xludf.DUMMYFUNCTION("GOOGLETRANSLATE(F11519,""id"",""en"")"),"#VALUE!")</f>
        <v>#VALUE!</v>
      </c>
    </row>
    <row r="11520" ht="15.75" customHeight="1">
      <c r="A11520" s="1">
        <v>12764.0</v>
      </c>
      <c r="B11520" s="3" t="s">
        <v>32732</v>
      </c>
      <c r="C11520" s="3">
        <v>1.0</v>
      </c>
      <c r="D11520" s="3">
        <v>0.0</v>
      </c>
      <c r="E11520" s="3">
        <v>0.0</v>
      </c>
      <c r="F11520" s="3" t="s">
        <v>32733</v>
      </c>
      <c r="G11520" s="3">
        <v>0.0</v>
      </c>
      <c r="H11520" s="3">
        <v>0.0</v>
      </c>
      <c r="I11520" s="3" t="s">
        <v>13</v>
      </c>
      <c r="J11520" s="3" t="s">
        <v>32734</v>
      </c>
      <c r="K11520" s="3" t="s">
        <v>41</v>
      </c>
      <c r="L11520" s="3" t="str">
        <f>IFERROR(__xludf.DUMMYFUNCTION("GOOGLETRANSLATE(F11520,""id"",""en"")"),"How many friends have made my predictive status right the champion is Argentina Prut")</f>
        <v>How many friends have made my predictive status right the champion is Argentina Prut</v>
      </c>
    </row>
    <row r="11521" ht="15.75" customHeight="1">
      <c r="A11521" s="1">
        <v>12765.0</v>
      </c>
      <c r="B11521" s="3" t="s">
        <v>32735</v>
      </c>
      <c r="C11521" s="3">
        <v>1.0</v>
      </c>
      <c r="D11521" s="3">
        <v>0.0</v>
      </c>
      <c r="E11521" s="3">
        <v>0.0</v>
      </c>
      <c r="F11521" s="3" t="s">
        <v>32736</v>
      </c>
      <c r="G11521" s="3">
        <v>0.0</v>
      </c>
      <c r="H11521" s="3">
        <v>0.0</v>
      </c>
      <c r="I11521" s="3" t="s">
        <v>13</v>
      </c>
      <c r="J11521" s="3" t="s">
        <v>32737</v>
      </c>
      <c r="K11521" s="3" t="s">
        <v>19</v>
      </c>
      <c r="L11521" s="3" t="str">
        <f>IFERROR(__xludf.DUMMYFUNCTION("GOOGLETRANSLATE(F11521,""id"",""en"")"),"Argentina won the World Cup title approaching their rivals, this tournament was worthy")</f>
        <v>Argentina won the World Cup title approaching their rivals, this tournament was worthy</v>
      </c>
    </row>
    <row r="11522" ht="15.75" customHeight="1">
      <c r="A11522" s="1">
        <v>12766.0</v>
      </c>
      <c r="B11522" s="3" t="s">
        <v>32738</v>
      </c>
      <c r="C11522" s="3">
        <v>0.0</v>
      </c>
      <c r="D11522" s="3">
        <v>0.0</v>
      </c>
      <c r="E11522" s="3">
        <v>0.0</v>
      </c>
      <c r="F11522" s="3" t="s">
        <v>32739</v>
      </c>
      <c r="G11522" s="3">
        <v>0.0</v>
      </c>
      <c r="H11522" s="3">
        <v>0.0</v>
      </c>
      <c r="I11522" s="3" t="s">
        <v>13</v>
      </c>
      <c r="J11522" s="3" t="s">
        <v>32740</v>
      </c>
      <c r="K11522" s="3" t="s">
        <v>240</v>
      </c>
      <c r="L11522" s="3" t="str">
        <f>IFERROR(__xludf.DUMMYFUNCTION("GOOGLETRANSLATE(F11522,""id"",""en"")"),"Still confused how come Argentina champions Pilduun instead of losing until the teleged me Messi talent watching football")</f>
        <v>Still confused how come Argentina champions Pilduun instead of losing until the teleged me Messi talent watching football</v>
      </c>
    </row>
    <row r="11523" ht="15.75" customHeight="1">
      <c r="A11523" s="1">
        <v>12767.0</v>
      </c>
      <c r="B11523" s="3" t="s">
        <v>32741</v>
      </c>
      <c r="C11523" s="3">
        <v>2.0</v>
      </c>
      <c r="D11523" s="3">
        <v>1.0</v>
      </c>
      <c r="E11523" s="3">
        <v>30.0</v>
      </c>
      <c r="F11523" s="3" t="s">
        <v>32742</v>
      </c>
      <c r="G11523" s="3">
        <v>0.0</v>
      </c>
      <c r="H11523" s="3">
        <v>0.0</v>
      </c>
      <c r="I11523" s="3" t="s">
        <v>13</v>
      </c>
      <c r="J11523" s="3" t="s">
        <v>32743</v>
      </c>
      <c r="K11523" s="3" t="s">
        <v>54</v>
      </c>
      <c r="L11523" s="3" t="str">
        <f>IFERROR(__xludf.DUMMYFUNCTION("GOOGLETRANSLATE(F11523,""id"",""en"")"),"why so excited Argentina champions of the World Cup")</f>
        <v>why so excited Argentina champions of the World Cup</v>
      </c>
    </row>
    <row r="11524" ht="15.75" customHeight="1">
      <c r="A11524" s="1">
        <v>12768.0</v>
      </c>
      <c r="B11524" s="3" t="s">
        <v>32744</v>
      </c>
      <c r="C11524" s="3">
        <v>0.0</v>
      </c>
      <c r="D11524" s="3">
        <v>0.0</v>
      </c>
      <c r="E11524" s="3">
        <v>0.0</v>
      </c>
      <c r="F11524" s="3" t="s">
        <v>32745</v>
      </c>
      <c r="G11524" s="3">
        <v>0.0</v>
      </c>
      <c r="H11524" s="3">
        <v>0.0</v>
      </c>
      <c r="I11524" s="3" t="s">
        <v>13</v>
      </c>
      <c r="J11524" s="3" t="s">
        <v>32746</v>
      </c>
      <c r="K11524" s="3" t="s">
        <v>50</v>
      </c>
      <c r="L11524" s="3" t="str">
        <f>IFERROR(__xludf.DUMMYFUNCTION("GOOGLETRANSLATE(F11524,""id"",""en"")"),"Argentina Champion World Cup Lionel Messi Goat and Tango Qatar Team Travel")</f>
        <v>Argentina Champion World Cup Lionel Messi Goat and Tango Qatar Team Travel</v>
      </c>
    </row>
    <row r="11525" ht="15.75" customHeight="1">
      <c r="A11525" s="1">
        <v>12769.0</v>
      </c>
      <c r="B11525" s="3" t="s">
        <v>32747</v>
      </c>
      <c r="C11525" s="3">
        <v>0.0</v>
      </c>
      <c r="D11525" s="3">
        <v>0.0</v>
      </c>
      <c r="E11525" s="3">
        <v>0.0</v>
      </c>
      <c r="F11525" s="3" t="s">
        <v>32748</v>
      </c>
      <c r="G11525" s="3">
        <v>0.0</v>
      </c>
      <c r="H11525" s="3">
        <v>0.0</v>
      </c>
      <c r="I11525" s="3" t="s">
        <v>13</v>
      </c>
      <c r="J11525" s="3" t="s">
        <v>32749</v>
      </c>
      <c r="K11525" s="3" t="s">
        <v>31</v>
      </c>
      <c r="L11525" s="3" t="str">
        <f>IFERROR(__xludf.DUMMYFUNCTION("GOOGLETRANSLATE(F11525,""id"",""en"")"),"Argentina and Messi Champion Debate Ends")</f>
        <v>Argentina and Messi Champion Debate Ends</v>
      </c>
    </row>
    <row r="11526" ht="15.75" customHeight="1">
      <c r="A11526" s="1">
        <v>12770.0</v>
      </c>
      <c r="B11526" s="3" t="s">
        <v>32750</v>
      </c>
      <c r="C11526" s="3">
        <v>0.0</v>
      </c>
      <c r="D11526" s="3">
        <v>0.0</v>
      </c>
      <c r="E11526" s="3">
        <v>0.0</v>
      </c>
      <c r="F11526" s="3" t="s">
        <v>32681</v>
      </c>
      <c r="G11526" s="3">
        <v>0.0</v>
      </c>
      <c r="H11526" s="3">
        <v>0.0</v>
      </c>
      <c r="I11526" s="3" t="s">
        <v>13</v>
      </c>
      <c r="J11526" s="3" t="s">
        <v>32682</v>
      </c>
      <c r="K11526" s="3" t="s">
        <v>19</v>
      </c>
      <c r="L11526" s="3" t="str">
        <f>IFERROR(__xludf.DUMMYFUNCTION("GOOGLETRANSLATE(F11526,""id"",""en"")"),"Lionel Messi's record after bringing Argentina the number world cup champion is hard to pursue")</f>
        <v>Lionel Messi's record after bringing Argentina the number world cup champion is hard to pursue</v>
      </c>
    </row>
    <row r="11527" ht="15.75" customHeight="1">
      <c r="A11527" s="1">
        <v>12771.0</v>
      </c>
      <c r="B11527" s="3" t="s">
        <v>32751</v>
      </c>
      <c r="C11527" s="3">
        <v>0.0</v>
      </c>
      <c r="D11527" s="3">
        <v>0.0</v>
      </c>
      <c r="E11527" s="3">
        <v>0.0</v>
      </c>
      <c r="F11527" s="3" t="s">
        <v>32752</v>
      </c>
      <c r="G11527" s="3">
        <v>0.0</v>
      </c>
      <c r="H11527" s="3">
        <v>0.0</v>
      </c>
      <c r="I11527" s="3" t="s">
        <v>13</v>
      </c>
      <c r="J11527" s="3" t="s">
        <v>32753</v>
      </c>
      <c r="K11527" s="3" t="s">
        <v>1479</v>
      </c>
      <c r="L11527" s="3" t="str">
        <f>IFERROR(__xludf.DUMMYFUNCTION("GOOGLETRANSLATE(F11527,""id"",""en"")"),"World Cup World Champion only Argentina Harvests Award for the Best Player to the Best Goal Player")</f>
        <v>World Cup World Champion only Argentina Harvests Award for the Best Player to the Best Goal Player</v>
      </c>
    </row>
    <row r="11528" ht="15.75" customHeight="1">
      <c r="A11528" s="1">
        <v>12772.0</v>
      </c>
      <c r="B11528" s="3" t="s">
        <v>32754</v>
      </c>
      <c r="C11528" s="3">
        <v>1.0</v>
      </c>
      <c r="D11528" s="3">
        <v>0.0</v>
      </c>
      <c r="E11528" s="3">
        <v>1.0</v>
      </c>
      <c r="F11528" s="3" t="s">
        <v>32755</v>
      </c>
      <c r="G11528" s="3">
        <v>0.0</v>
      </c>
      <c r="H11528" s="3">
        <v>0.0</v>
      </c>
      <c r="I11528" s="3" t="s">
        <v>13</v>
      </c>
      <c r="J11528" s="3" t="s">
        <v>32756</v>
      </c>
      <c r="K11528" s="3" t="s">
        <v>657</v>
      </c>
      <c r="L11528" s="3" t="str">
        <f>IFERROR(__xludf.DUMMYFUNCTION("GOOGLETRANSLATE(F11528,""id"",""en"")"),"Messi was burdened with the previous star Ronaldo did not have that burden but that was distinguishing and maybe that was what could be called Argentina had a champion DNA while Portugal had not yet been")</f>
        <v>Messi was burdened with the previous star Ronaldo did not have that burden but that was distinguishing and maybe that was what could be called Argentina had a champion DNA while Portugal had not yet been</v>
      </c>
    </row>
    <row r="11529" ht="15.75" customHeight="1">
      <c r="A11529" s="1">
        <v>12773.0</v>
      </c>
      <c r="B11529" s="3" t="s">
        <v>32757</v>
      </c>
      <c r="C11529" s="3">
        <v>1.0</v>
      </c>
      <c r="D11529" s="3">
        <v>1.0</v>
      </c>
      <c r="E11529" s="3">
        <v>12.0</v>
      </c>
      <c r="F11529" s="3" t="s">
        <v>29132</v>
      </c>
      <c r="G11529" s="3">
        <v>0.0</v>
      </c>
      <c r="H11529" s="3">
        <v>0.0</v>
      </c>
      <c r="I11529" s="3" t="s">
        <v>13</v>
      </c>
      <c r="J11529" s="3" t="s">
        <v>29133</v>
      </c>
      <c r="K11529" s="3" t="s">
        <v>437</v>
      </c>
      <c r="L11529" s="3" t="str">
        <f>IFERROR(__xludf.DUMMYFUNCTION("GOOGLETRANSLATE(F11529,""id"",""en"")"),"The Argentine people gathered the heart of Buenos Aires they partyed to celebrate the Argentine national team who won the Qatar World Cup championship")</f>
        <v>The Argentine people gathered the heart of Buenos Aires they partyed to celebrate the Argentine national team who won the Qatar World Cup championship</v>
      </c>
    </row>
    <row r="11530" ht="15.75" customHeight="1">
      <c r="A11530" s="1">
        <v>12774.0</v>
      </c>
      <c r="B11530" s="3" t="s">
        <v>32758</v>
      </c>
      <c r="C11530" s="3">
        <v>1.0</v>
      </c>
      <c r="D11530" s="3">
        <v>1.0</v>
      </c>
      <c r="E11530" s="3">
        <v>1.0</v>
      </c>
      <c r="F11530" s="3" t="s">
        <v>32759</v>
      </c>
      <c r="G11530" s="3">
        <v>0.0</v>
      </c>
      <c r="H11530" s="3">
        <v>0.0</v>
      </c>
      <c r="I11530" s="3" t="s">
        <v>13</v>
      </c>
      <c r="J11530" s="3" t="s">
        <v>32760</v>
      </c>
      <c r="K11530" s="3" t="s">
        <v>41</v>
      </c>
      <c r="L11530" s="3" t="str">
        <f>IFERROR(__xludf.DUMMYFUNCTION("GOOGLETRANSLATE(F11530,""id"",""en"")"),"The account was suspended in the close time but Argentina GPP world champion")</f>
        <v>The account was suspended in the close time but Argentina GPP world champion</v>
      </c>
    </row>
    <row r="11531" ht="15.75" customHeight="1">
      <c r="A11531" s="1">
        <v>12775.0</v>
      </c>
      <c r="B11531" s="3" t="s">
        <v>32761</v>
      </c>
      <c r="C11531" s="3">
        <v>1.0</v>
      </c>
      <c r="D11531" s="3">
        <v>0.0</v>
      </c>
      <c r="E11531" s="3">
        <v>0.0</v>
      </c>
      <c r="F11531" s="3" t="s">
        <v>32762</v>
      </c>
      <c r="G11531" s="3">
        <v>0.0</v>
      </c>
      <c r="H11531" s="3">
        <v>0.0</v>
      </c>
      <c r="I11531" s="3" t="s">
        <v>13</v>
      </c>
      <c r="J11531" s="3" t="s">
        <v>32763</v>
      </c>
      <c r="K11531" s="3" t="s">
        <v>15</v>
      </c>
      <c r="L11531" s="3" t="str">
        <f>IFERROR(__xludf.DUMMYFUNCTION("GOOGLETRANSLATE(F11531,""id"",""en"")"),"Hellooww Makji I woke up Hepi because of Argentina champions")</f>
        <v>Hellooww Makji I woke up Hepi because of Argentina champions</v>
      </c>
    </row>
    <row r="11532" ht="15.75" customHeight="1">
      <c r="A11532" s="1">
        <v>12776.0</v>
      </c>
      <c r="B11532" s="3" t="s">
        <v>32764</v>
      </c>
      <c r="C11532" s="3">
        <v>0.0</v>
      </c>
      <c r="D11532" s="3">
        <v>0.0</v>
      </c>
      <c r="E11532" s="3">
        <v>0.0</v>
      </c>
      <c r="F11532" s="3" t="s">
        <v>32765</v>
      </c>
      <c r="G11532" s="3">
        <v>0.0</v>
      </c>
      <c r="H11532" s="3">
        <v>0.0</v>
      </c>
      <c r="I11532" s="3" t="s">
        <v>13</v>
      </c>
      <c r="J11532" s="3" t="s">
        <v>32766</v>
      </c>
      <c r="K11532" s="3" t="s">
        <v>19</v>
      </c>
      <c r="L11532" s="3" t="str">
        <f>IFERROR(__xludf.DUMMYFUNCTION("GOOGLETRANSLATE(F11532,""id"",""en"")"),"Argentina World Cup won after a fierce win over France with a pen score")</f>
        <v>Argentina World Cup won after a fierce win over France with a pen score</v>
      </c>
    </row>
    <row r="11533" ht="15.75" customHeight="1">
      <c r="A11533" s="1">
        <v>12777.0</v>
      </c>
      <c r="B11533" s="3" t="s">
        <v>32767</v>
      </c>
      <c r="C11533" s="3">
        <v>0.0</v>
      </c>
      <c r="D11533" s="3">
        <v>1.0</v>
      </c>
      <c r="E11533" s="3">
        <v>9.0</v>
      </c>
      <c r="F11533" s="3" t="s">
        <v>32768</v>
      </c>
      <c r="G11533" s="3">
        <v>0.0</v>
      </c>
      <c r="H11533" s="3">
        <v>0.0</v>
      </c>
      <c r="I11533" s="3" t="s">
        <v>13</v>
      </c>
      <c r="J11533" s="3" t="s">
        <v>32769</v>
      </c>
      <c r="K11533" s="3" t="s">
        <v>41</v>
      </c>
      <c r="L11533" s="3" t="str">
        <f>IFERROR(__xludf.DUMMYFUNCTION("GOOGLETRANSLATE(F11533,""id"",""en"")"),"Emiliano Martinez Calling Argentina World Cup Champion is the Fate of Destiny")</f>
        <v>Emiliano Martinez Calling Argentina World Cup Champion is the Fate of Destiny</v>
      </c>
    </row>
    <row r="11534" ht="15.75" customHeight="1">
      <c r="A11534" s="1">
        <v>12778.0</v>
      </c>
      <c r="B11534" s="3" t="s">
        <v>32770</v>
      </c>
      <c r="C11534" s="3">
        <v>0.0</v>
      </c>
      <c r="D11534" s="3">
        <v>0.0</v>
      </c>
      <c r="E11534" s="3">
        <v>0.0</v>
      </c>
      <c r="F11534" s="3" t="s">
        <v>32771</v>
      </c>
      <c r="G11534" s="3">
        <v>0.0</v>
      </c>
      <c r="H11534" s="3">
        <v>0.0</v>
      </c>
      <c r="I11534" s="3" t="s">
        <v>13</v>
      </c>
      <c r="J11534" s="3" t="s">
        <v>32772</v>
      </c>
      <c r="K11534" s="3" t="s">
        <v>477</v>
      </c>
      <c r="L11534" s="3" t="str">
        <f>IFERROR(__xludf.DUMMYFUNCTION("GOOGLETRANSLATE(F11534,""id"",""en"")"),"Yuik Ada Toro after Toro entered the Argentine national team champions first")</f>
        <v>Yuik Ada Toro after Toro entered the Argentine national team champions first</v>
      </c>
    </row>
    <row r="11535" ht="15.75" customHeight="1">
      <c r="A11535" s="1">
        <v>12779.0</v>
      </c>
      <c r="B11535" s="3" t="s">
        <v>32773</v>
      </c>
      <c r="C11535" s="3">
        <v>1.0</v>
      </c>
      <c r="D11535" s="3">
        <v>0.0</v>
      </c>
      <c r="E11535" s="3">
        <v>1.0</v>
      </c>
      <c r="F11535" s="3" t="s">
        <v>32774</v>
      </c>
      <c r="G11535" s="3">
        <v>0.0</v>
      </c>
      <c r="H11535" s="3">
        <v>0.0</v>
      </c>
      <c r="I11535" s="3" t="s">
        <v>13</v>
      </c>
      <c r="J11535" s="3" t="s">
        <v>32775</v>
      </c>
      <c r="K11535" s="3" t="s">
        <v>27</v>
      </c>
      <c r="L11535" s="3" t="str">
        <f>IFERROR(__xludf.DUMMYFUNCTION("GOOGLETRANSLATE(F11535,""id"",""en"")"),"The new reason is that this Dodo PENS is hilarious, History is discussed all the relationships with Argentina Cok Prnh champion Portugal has not been Argentina")</f>
        <v>The new reason is that this Dodo PENS is hilarious, History is discussed all the relationships with Argentina Cok Prnh champion Portugal has not been Argentina</v>
      </c>
    </row>
    <row r="11536" ht="15.75" customHeight="1">
      <c r="A11536" s="1">
        <v>12780.0</v>
      </c>
      <c r="B11536" s="3" t="s">
        <v>32776</v>
      </c>
      <c r="C11536" s="3">
        <v>0.0</v>
      </c>
      <c r="D11536" s="3">
        <v>2.0</v>
      </c>
      <c r="E11536" s="3">
        <v>10.0</v>
      </c>
      <c r="F11536" s="3" t="s">
        <v>32777</v>
      </c>
      <c r="G11536" s="3">
        <v>0.0</v>
      </c>
      <c r="H11536" s="3">
        <v>0.0</v>
      </c>
      <c r="I11536" s="3" t="s">
        <v>13</v>
      </c>
      <c r="J11536" s="3" t="s">
        <v>32778</v>
      </c>
      <c r="K11536" s="3" t="s">
        <v>41</v>
      </c>
      <c r="L11536" s="3" t="str">
        <f>IFERROR(__xludf.DUMMYFUNCTION("GOOGLETRANSLATE(F11536,""id"",""en"")"),"Betting Billion Holds Argentina Champion Drake Curse finally broke")</f>
        <v>Betting Billion Holds Argentina Champion Drake Curse finally broke</v>
      </c>
    </row>
    <row r="11537" ht="15.75" customHeight="1">
      <c r="A11537" s="1">
        <v>12781.0</v>
      </c>
      <c r="B11537" s="3" t="s">
        <v>32779</v>
      </c>
      <c r="C11537" s="3">
        <v>0.0</v>
      </c>
      <c r="D11537" s="3">
        <v>0.0</v>
      </c>
      <c r="E11537" s="3">
        <v>0.0</v>
      </c>
      <c r="F11537" s="3" t="s">
        <v>32780</v>
      </c>
      <c r="G11537" s="3">
        <v>0.6</v>
      </c>
      <c r="H11537" s="3">
        <v>-0.3</v>
      </c>
      <c r="I11537" s="3" t="s">
        <v>179</v>
      </c>
      <c r="J11537" s="3" t="s">
        <v>32781</v>
      </c>
      <c r="K11537" s="3" t="s">
        <v>699</v>
      </c>
      <c r="L11537" s="3" t="str">
        <f>IFERROR(__xludf.DUMMYFUNCTION("GOOGLETRANSLATE(F11537,""id"",""en"")"),"This is the first time Monday is happiness because what Argentina is a new world champion Argentina is already very happy to imagine if Indonesia is")</f>
        <v>This is the first time Monday is happiness because what Argentina is a new world champion Argentina is already very happy to imagine if Indonesia is</v>
      </c>
    </row>
    <row r="11538" ht="15.75" customHeight="1">
      <c r="A11538" s="1">
        <v>12782.0</v>
      </c>
      <c r="B11538" s="3" t="s">
        <v>32782</v>
      </c>
      <c r="C11538" s="3">
        <v>0.0</v>
      </c>
      <c r="D11538" s="3">
        <v>0.0</v>
      </c>
      <c r="E11538" s="3">
        <v>0.0</v>
      </c>
      <c r="F11538" s="3" t="s">
        <v>32783</v>
      </c>
      <c r="G11538" s="3">
        <v>0.0</v>
      </c>
      <c r="H11538" s="3">
        <v>0.0</v>
      </c>
      <c r="I11538" s="3" t="s">
        <v>13</v>
      </c>
      <c r="J11538" s="3" t="s">
        <v>32784</v>
      </c>
      <c r="K11538" s="3" t="s">
        <v>823</v>
      </c>
      <c r="L11538" s="3" t="str">
        <f>IFERROR(__xludf.DUMMYFUNCTION("GOOGLETRANSLATE(F11538,""id"",""en"")"),"The initial defeat does not mean that the failure to the end of the Spanish competition in the World Cup and Argentina World Cup has proven it to lose in the inaugural match but then smoothly advanced until the top party and then became champion")</f>
        <v>The initial defeat does not mean that the failure to the end of the Spanish competition in the World Cup and Argentina World Cup has proven it to lose in the inaugural match but then smoothly advanced until the top party and then became champion</v>
      </c>
    </row>
    <row r="11539" ht="15.75" customHeight="1">
      <c r="A11539" s="1">
        <v>12783.0</v>
      </c>
      <c r="B11539" s="3" t="s">
        <v>32785</v>
      </c>
      <c r="C11539" s="3">
        <v>0.0</v>
      </c>
      <c r="D11539" s="3">
        <v>0.0</v>
      </c>
      <c r="E11539" s="3">
        <v>6.0</v>
      </c>
      <c r="F11539" s="3" t="s">
        <v>32786</v>
      </c>
      <c r="G11539" s="3">
        <v>0.0</v>
      </c>
      <c r="H11539" s="3">
        <v>0.0</v>
      </c>
      <c r="I11539" s="3" t="s">
        <v>13</v>
      </c>
      <c r="J11539" s="3" t="s">
        <v>32787</v>
      </c>
      <c r="K11539" s="3" t="s">
        <v>13682</v>
      </c>
      <c r="L11539" s="3" t="str">
        <f>IFERROR(__xludf.DUMMYFUNCTION("GOOGLETRANSLATE(F11539,""id"",""en"")"),"Lionel Messi managed to bring his country Argentina to win the Qatar World Cup with all his achievements in the soccer world, it turns out that the Argentine player has several collections of luxury and expensive cars, see the most expensive car collectio"&amp;"n from Mega Bin")</f>
        <v>Lionel Messi managed to bring his country Argentina to win the Qatar World Cup with all his achievements in the soccer world, it turns out that the Argentine player has several collections of luxury and expensive cars, see the most expensive car collection from Mega Bin</v>
      </c>
    </row>
    <row r="11540" ht="15.75" customHeight="1">
      <c r="A11540" s="1">
        <v>12784.0</v>
      </c>
      <c r="B11540" s="3" t="s">
        <v>32788</v>
      </c>
      <c r="C11540" s="3">
        <v>39.0</v>
      </c>
      <c r="D11540" s="3">
        <v>4.0</v>
      </c>
      <c r="E11540" s="3">
        <v>35.0</v>
      </c>
      <c r="F11540" s="3" t="s">
        <v>32789</v>
      </c>
      <c r="G11540" s="3">
        <v>0.0</v>
      </c>
      <c r="H11540" s="3">
        <v>0.0</v>
      </c>
      <c r="I11540" s="3" t="s">
        <v>13</v>
      </c>
      <c r="J11540" s="3" t="s">
        <v>32790</v>
      </c>
      <c r="K11540" s="3" t="s">
        <v>1280</v>
      </c>
      <c r="L11540" s="3" t="str">
        <f>IFERROR(__xludf.DUMMYFUNCTION("GOOGLETRANSLATE(F11540,""id"",""en"")"),"Argentina's victory this time is normal because Argentina's past experience has been champion Messi champion is also ordinary because his squad is full of ambitions and full of different star players with Ronaldo the greatest players who have ever existed"&amp;" only Portugal's era began to score achievements")</f>
        <v>Argentina's victory this time is normal because Argentina's past experience has been champion Messi champion is also ordinary because his squad is full of ambitions and full of different star players with Ronaldo the greatest players who have ever existed only Portugal's era began to score achievements</v>
      </c>
    </row>
    <row r="11541" ht="15.75" customHeight="1">
      <c r="A11541" s="1">
        <v>12785.0</v>
      </c>
      <c r="B11541" s="3" t="s">
        <v>32791</v>
      </c>
      <c r="C11541" s="3">
        <v>0.0</v>
      </c>
      <c r="D11541" s="3">
        <v>0.0</v>
      </c>
      <c r="E11541" s="3">
        <v>0.0</v>
      </c>
      <c r="F11541" s="3" t="s">
        <v>32792</v>
      </c>
      <c r="G11541" s="3">
        <v>0.0</v>
      </c>
      <c r="H11541" s="3">
        <v>0.0</v>
      </c>
      <c r="I11541" s="3" t="s">
        <v>13</v>
      </c>
      <c r="J11541" s="3" t="s">
        <v>32793</v>
      </c>
      <c r="K11541" s="3" t="s">
        <v>50</v>
      </c>
      <c r="L11541" s="3" t="str">
        <f>IFERROR(__xludf.DUMMYFUNCTION("GOOGLETRANSLATE(F11541,""id"",""en"")"),"Actually from the beginning of the pildun there was also a feeling of Argentina that it will be a champion, not just tweet wkwkw")</f>
        <v>Actually from the beginning of the pildun there was also a feeling of Argentina that it will be a champion, not just tweet wkwkw</v>
      </c>
    </row>
    <row r="11542" ht="15.75" customHeight="1">
      <c r="A11542" s="1">
        <v>12786.0</v>
      </c>
      <c r="B11542" s="3" t="s">
        <v>32794</v>
      </c>
      <c r="C11542" s="3">
        <v>0.0</v>
      </c>
      <c r="D11542" s="3">
        <v>0.0</v>
      </c>
      <c r="E11542" s="3">
        <v>0.0</v>
      </c>
      <c r="F11542" s="3" t="s">
        <v>32795</v>
      </c>
      <c r="G11542" s="3">
        <v>0.0</v>
      </c>
      <c r="H11542" s="3">
        <v>0.0</v>
      </c>
      <c r="I11542" s="3" t="s">
        <v>13</v>
      </c>
      <c r="J11542" s="3" t="s">
        <v>32796</v>
      </c>
      <c r="K11542" s="3" t="s">
        <v>657</v>
      </c>
      <c r="L11542" s="3" t="str">
        <f>IFERROR(__xludf.DUMMYFUNCTION("GOOGLETRANSLATE(F11542,""id"",""en"")"),"Congratulations for Argentina successfully won the third world title of the Bahia route even though not Messi's fans")</f>
        <v>Congratulations for Argentina successfully won the third world title of the Bahia route even though not Messi's fans</v>
      </c>
    </row>
    <row r="11543" ht="15.75" customHeight="1">
      <c r="A11543" s="1">
        <v>12787.0</v>
      </c>
      <c r="B11543" s="3" t="s">
        <v>32797</v>
      </c>
      <c r="C11543" s="3">
        <v>4.0</v>
      </c>
      <c r="D11543" s="3">
        <v>0.0</v>
      </c>
      <c r="E11543" s="3">
        <v>5.0</v>
      </c>
      <c r="F11543" s="3" t="s">
        <v>32798</v>
      </c>
      <c r="G11543" s="3">
        <v>0.0</v>
      </c>
      <c r="H11543" s="3">
        <v>0.0</v>
      </c>
      <c r="I11543" s="3" t="s">
        <v>13</v>
      </c>
      <c r="J11543" s="3" t="s">
        <v>32799</v>
      </c>
      <c r="K11543" s="3" t="s">
        <v>6117</v>
      </c>
      <c r="L11543" s="3" t="str">
        <f>IFERROR(__xludf.DUMMYFUNCTION("GOOGLETRANSLATE(F11543,""id"",""en"")"),"It means compared to the Portuguese era before it was not compared to other countries in the Portuguese era before the high school pulp was very difficult to pass the World Cup while Argentina beforehand had stars and alternately")</f>
        <v>It means compared to the Portuguese era before it was not compared to other countries in the Portuguese era before the high school pulp was very difficult to pass the World Cup while Argentina beforehand had stars and alternately</v>
      </c>
    </row>
    <row r="11544" ht="15.75" customHeight="1">
      <c r="A11544" s="1">
        <v>12788.0</v>
      </c>
      <c r="B11544" s="3" t="s">
        <v>32800</v>
      </c>
      <c r="C11544" s="3">
        <v>0.0</v>
      </c>
      <c r="D11544" s="3">
        <v>0.0</v>
      </c>
      <c r="E11544" s="3">
        <v>0.0</v>
      </c>
      <c r="F11544" s="3" t="s">
        <v>32801</v>
      </c>
      <c r="G11544" s="3">
        <v>0.0</v>
      </c>
      <c r="H11544" s="3">
        <v>0.0</v>
      </c>
      <c r="I11544" s="3" t="s">
        <v>13</v>
      </c>
      <c r="J11544" s="3" t="s">
        <v>32802</v>
      </c>
      <c r="K11544" s="3" t="s">
        <v>244</v>
      </c>
      <c r="L11544" s="3" t="str">
        <f>IFERROR(__xludf.DUMMYFUNCTION("GOOGLETRANSLATE(F11544,""id"",""en"")"),"It is said that when Argentina became arrogant because their World Cup champion changed its name to arrogantine")</f>
        <v>It is said that when Argentina became arrogant because their World Cup champion changed its name to arrogantine</v>
      </c>
    </row>
    <row r="11545" ht="15.75" customHeight="1">
      <c r="A11545" s="1">
        <v>12789.0</v>
      </c>
      <c r="B11545" s="3" t="s">
        <v>32803</v>
      </c>
      <c r="C11545" s="3">
        <v>1.0</v>
      </c>
      <c r="D11545" s="3">
        <v>1.0</v>
      </c>
      <c r="E11545" s="3">
        <v>4.0</v>
      </c>
      <c r="F11545" s="3" t="s">
        <v>32804</v>
      </c>
      <c r="G11545" s="3">
        <v>0.0</v>
      </c>
      <c r="H11545" s="3">
        <v>0.0</v>
      </c>
      <c r="I11545" s="3" t="s">
        <v>13</v>
      </c>
      <c r="J11545" s="3" t="s">
        <v>32805</v>
      </c>
      <c r="K11545" s="3" t="s">
        <v>50</v>
      </c>
      <c r="L11545" s="3" t="str">
        <f>IFERROR(__xludf.DUMMYFUNCTION("GOOGLETRANSLATE(F11545,""id"",""en"")"),"Wonder is Argentina champion Messi Briefing Team as well as a ciamik strategy can")</f>
        <v>Wonder is Argentina champion Messi Briefing Team as well as a ciamik strategy can</v>
      </c>
    </row>
    <row r="11546" ht="15.75" customHeight="1">
      <c r="A11546" s="1">
        <v>12790.0</v>
      </c>
      <c r="B11546" s="3" t="s">
        <v>32806</v>
      </c>
      <c r="C11546" s="3">
        <v>0.0</v>
      </c>
      <c r="D11546" s="3">
        <v>0.0</v>
      </c>
      <c r="E11546" s="3">
        <v>1.0</v>
      </c>
      <c r="F11546" s="3" t="s">
        <v>32807</v>
      </c>
      <c r="G11546" s="3">
        <v>0.0</v>
      </c>
      <c r="H11546" s="3">
        <v>0.0</v>
      </c>
      <c r="I11546" s="3" t="s">
        <v>13</v>
      </c>
      <c r="J11546" s="3" t="s">
        <v>32808</v>
      </c>
      <c r="K11546" s="3" t="s">
        <v>3346</v>
      </c>
      <c r="L11546" s="3" t="str">
        <f>IFERROR(__xludf.DUMMYFUNCTION("GOOGLETRANSLATE(F11546,""id"",""en"")"),"Argentina Champion World Cup Tango Most Beautiful Messi and Troops dare to die of Argentina World Champion")</f>
        <v>Argentina Champion World Cup Tango Most Beautiful Messi and Troops dare to die of Argentina World Champion</v>
      </c>
    </row>
    <row r="11547" ht="15.75" customHeight="1">
      <c r="A11547" s="1">
        <v>12791.0</v>
      </c>
      <c r="B11547" s="3" t="s">
        <v>32809</v>
      </c>
      <c r="C11547" s="3">
        <v>0.0</v>
      </c>
      <c r="D11547" s="3">
        <v>0.0</v>
      </c>
      <c r="E11547" s="3">
        <v>0.0</v>
      </c>
      <c r="F11547" s="3" t="s">
        <v>32810</v>
      </c>
      <c r="G11547" s="3">
        <v>0.0</v>
      </c>
      <c r="H11547" s="3">
        <v>0.0</v>
      </c>
      <c r="I11547" s="3" t="s">
        <v>13</v>
      </c>
      <c r="J11547" s="3" t="s">
        <v>32811</v>
      </c>
      <c r="K11547" s="3" t="s">
        <v>41</v>
      </c>
      <c r="L11547" s="3" t="str">
        <f>IFERROR(__xludf.DUMMYFUNCTION("GOOGLETRANSLATE(F11547,""id"",""en"")"),"Argentina Champion World Cup French coach said it was really cruel virus")</f>
        <v>Argentina Champion World Cup French coach said it was really cruel virus</v>
      </c>
    </row>
    <row r="11548" ht="15.75" customHeight="1">
      <c r="A11548" s="1">
        <v>12792.0</v>
      </c>
      <c r="B11548" s="3" t="s">
        <v>32812</v>
      </c>
      <c r="C11548" s="3">
        <v>1.0</v>
      </c>
      <c r="D11548" s="3">
        <v>0.0</v>
      </c>
      <c r="E11548" s="3">
        <v>0.0</v>
      </c>
      <c r="F11548" s="3" t="s">
        <v>32813</v>
      </c>
      <c r="G11548" s="3">
        <v>0.0</v>
      </c>
      <c r="H11548" s="3">
        <v>0.0</v>
      </c>
      <c r="I11548" s="3" t="s">
        <v>13</v>
      </c>
      <c r="J11548" s="3" t="s">
        <v>32814</v>
      </c>
      <c r="K11548" s="3" t="s">
        <v>71</v>
      </c>
      <c r="L11548" s="3" t="str">
        <f>IFERROR(__xludf.DUMMYFUNCTION("GOOGLETRANSLATE(F11548,""id"",""en"")"),"Not willing Argentina champion Yee hahah you could say it's over who is the debate of who goat gaot wkwkw")</f>
        <v>Not willing Argentina champion Yee hahah you could say it's over who is the debate of who goat gaot wkwkw</v>
      </c>
    </row>
    <row r="11549" ht="15.75" customHeight="1">
      <c r="A11549" s="1">
        <v>12793.0</v>
      </c>
      <c r="B11549" s="3" t="s">
        <v>32815</v>
      </c>
      <c r="C11549" s="3">
        <v>0.0</v>
      </c>
      <c r="D11549" s="3">
        <v>0.0</v>
      </c>
      <c r="E11549" s="3">
        <v>0.0</v>
      </c>
      <c r="F11549" s="3" t="s">
        <v>32681</v>
      </c>
      <c r="G11549" s="3">
        <v>0.0</v>
      </c>
      <c r="H11549" s="3">
        <v>0.0</v>
      </c>
      <c r="I11549" s="3" t="s">
        <v>13</v>
      </c>
      <c r="J11549" s="3" t="s">
        <v>32682</v>
      </c>
      <c r="K11549" s="3" t="s">
        <v>19</v>
      </c>
      <c r="L11549" s="3" t="str">
        <f>IFERROR(__xludf.DUMMYFUNCTION("GOOGLETRANSLATE(F11549,""id"",""en"")"),"Lionel Messi's record after bringing Argentina the number world cup champion is hard to pursue")</f>
        <v>Lionel Messi's record after bringing Argentina the number world cup champion is hard to pursue</v>
      </c>
    </row>
    <row r="11550" ht="15.75" customHeight="1">
      <c r="A11550" s="1">
        <v>12794.0</v>
      </c>
      <c r="B11550" s="3" t="s">
        <v>32816</v>
      </c>
      <c r="C11550" s="3">
        <v>0.0</v>
      </c>
      <c r="D11550" s="3">
        <v>0.0</v>
      </c>
      <c r="E11550" s="3">
        <v>0.0</v>
      </c>
      <c r="F11550" s="3" t="s">
        <v>32817</v>
      </c>
      <c r="G11550" s="3">
        <v>0.0</v>
      </c>
      <c r="H11550" s="3">
        <v>0.0</v>
      </c>
      <c r="I11550" s="3" t="s">
        <v>13</v>
      </c>
      <c r="J11550" s="3" t="s">
        <v>32818</v>
      </c>
      <c r="K11550" s="3" t="s">
        <v>322</v>
      </c>
      <c r="L11550" s="3" t="str">
        <f>IFERROR(__xludf.DUMMYFUNCTION("GOOGLETRANSLATE(F11550,""id"",""en"")"),"Argentina Champion But You Still Champion My Heart")</f>
        <v>Argentina Champion But You Still Champion My Heart</v>
      </c>
    </row>
    <row r="11551" ht="15.75" customHeight="1">
      <c r="A11551" s="1">
        <v>12795.0</v>
      </c>
      <c r="B11551" s="3" t="s">
        <v>32819</v>
      </c>
      <c r="C11551" s="3">
        <v>0.0</v>
      </c>
      <c r="D11551" s="3">
        <v>1.0</v>
      </c>
      <c r="E11551" s="3">
        <v>1.0</v>
      </c>
      <c r="F11551" s="3" t="s">
        <v>28992</v>
      </c>
      <c r="G11551" s="3">
        <v>0.0</v>
      </c>
      <c r="H11551" s="3">
        <v>0.0</v>
      </c>
      <c r="I11551" s="3" t="s">
        <v>13</v>
      </c>
      <c r="J11551" s="3" t="s">
        <v>28993</v>
      </c>
      <c r="K11551" s="3" t="s">
        <v>82</v>
      </c>
      <c r="L11551" s="3" t="str">
        <f>IFERROR(__xludf.DUMMYFUNCTION("GOOGLETRANSLATE(F11551,""id"",""en"")"),"Bring Argentina The champion Messi wants to extend the national team's career")</f>
        <v>Bring Argentina The champion Messi wants to extend the national team's career</v>
      </c>
    </row>
    <row r="11552" ht="15.75" customHeight="1">
      <c r="A11552" s="1">
        <v>12796.0</v>
      </c>
      <c r="B11552" s="3" t="s">
        <v>32820</v>
      </c>
      <c r="C11552" s="3">
        <v>0.0</v>
      </c>
      <c r="D11552" s="3">
        <v>0.0</v>
      </c>
      <c r="E11552" s="3">
        <v>0.0</v>
      </c>
      <c r="F11552" s="3" t="s">
        <v>32821</v>
      </c>
      <c r="G11552" s="3">
        <v>0.0</v>
      </c>
      <c r="H11552" s="3">
        <v>0.0</v>
      </c>
      <c r="I11552" s="3" t="s">
        <v>13</v>
      </c>
      <c r="J11552" s="3" t="s">
        <v>32822</v>
      </c>
      <c r="K11552" s="3" t="s">
        <v>15</v>
      </c>
      <c r="L11552" s="3" t="str">
        <f>IFERROR(__xludf.DUMMYFUNCTION("GOOGLETRANSLATE(F11552,""id"",""en"")"),"Argentina The World Cup Champion Long Waiting Year Passing")</f>
        <v>Argentina The World Cup Champion Long Waiting Year Passing</v>
      </c>
    </row>
    <row r="11553" ht="15.75" customHeight="1">
      <c r="A11553" s="1">
        <v>12797.0</v>
      </c>
      <c r="B11553" s="3" t="s">
        <v>32823</v>
      </c>
      <c r="C11553" s="3">
        <v>0.0</v>
      </c>
      <c r="D11553" s="3">
        <v>0.0</v>
      </c>
      <c r="E11553" s="3">
        <v>1.0</v>
      </c>
      <c r="F11553" s="3" t="s">
        <v>32824</v>
      </c>
      <c r="G11553" s="3">
        <v>0.0</v>
      </c>
      <c r="H11553" s="3">
        <v>0.0</v>
      </c>
      <c r="I11553" s="3" t="s">
        <v>13</v>
      </c>
      <c r="J11553" s="3" t="s">
        <v>32825</v>
      </c>
      <c r="K11553" s="3" t="s">
        <v>54</v>
      </c>
      <c r="L11553" s="3" t="str">
        <f>IFERROR(__xludf.DUMMYFUNCTION("GOOGLETRANSLATE(F11553,""id"",""en"")"),"AFC Champion Bro Argentina France Croatia")</f>
        <v>AFC Champion Bro Argentina France Croatia</v>
      </c>
    </row>
    <row r="11554" ht="15.75" customHeight="1">
      <c r="A11554" s="1">
        <v>12798.0</v>
      </c>
      <c r="B11554" s="3" t="s">
        <v>32826</v>
      </c>
      <c r="C11554" s="3">
        <v>0.0</v>
      </c>
      <c r="D11554" s="3">
        <v>0.0</v>
      </c>
      <c r="E11554" s="3">
        <v>0.0</v>
      </c>
      <c r="F11554" s="3" t="s">
        <v>32827</v>
      </c>
      <c r="G11554" s="3">
        <v>0.0</v>
      </c>
      <c r="H11554" s="3">
        <v>0.0</v>
      </c>
      <c r="I11554" s="3" t="s">
        <v>13</v>
      </c>
      <c r="J11554" s="3" t="s">
        <v>32828</v>
      </c>
      <c r="K11554" s="3" t="s">
        <v>19</v>
      </c>
      <c r="L11554" s="3" t="str">
        <f>IFERROR(__xludf.DUMMYFUNCTION("GOOGLETRANSLATE(F11554,""id"",""en"")"),"This morning, if there is a dazed, it will definitely be Rungkad because France loses Greetings Argentina World Cup champions")</f>
        <v>This morning, if there is a dazed, it will definitely be Rungkad because France loses Greetings Argentina World Cup champions</v>
      </c>
    </row>
    <row r="11555" ht="15.75" customHeight="1">
      <c r="A11555" s="1">
        <v>12799.0</v>
      </c>
      <c r="B11555" s="3" t="s">
        <v>32829</v>
      </c>
      <c r="C11555" s="3">
        <v>0.0</v>
      </c>
      <c r="D11555" s="3">
        <v>0.0</v>
      </c>
      <c r="E11555" s="3">
        <v>0.0</v>
      </c>
      <c r="F11555" s="3" t="s">
        <v>32830</v>
      </c>
      <c r="G11555" s="3">
        <v>0.0</v>
      </c>
      <c r="H11555" s="3">
        <v>0.0</v>
      </c>
      <c r="I11555" s="3" t="s">
        <v>13</v>
      </c>
      <c r="J11555" s="3" t="s">
        <v>32831</v>
      </c>
      <c r="K11555" s="3" t="s">
        <v>82</v>
      </c>
      <c r="L11555" s="3" t="str">
        <f>IFERROR(__xludf.DUMMYFUNCTION("GOOGLETRANSLATE(F11555,""id"",""en"")"),"Argentina Seng Champion You Lose Piro Rek")</f>
        <v>Argentina Seng Champion You Lose Piro Rek</v>
      </c>
    </row>
    <row r="11556" ht="15.75" customHeight="1">
      <c r="A11556" s="1">
        <v>12800.0</v>
      </c>
      <c r="B11556" s="3" t="s">
        <v>32832</v>
      </c>
      <c r="C11556" s="3">
        <v>0.0</v>
      </c>
      <c r="D11556" s="3">
        <v>0.0</v>
      </c>
      <c r="E11556" s="3">
        <v>0.0</v>
      </c>
      <c r="F11556" s="3" t="s">
        <v>32833</v>
      </c>
      <c r="G11556" s="3">
        <v>0.0</v>
      </c>
      <c r="H11556" s="3">
        <v>0.0</v>
      </c>
      <c r="I11556" s="3" t="s">
        <v>13</v>
      </c>
      <c r="J11556" s="3" t="s">
        <v>32834</v>
      </c>
      <c r="K11556" s="3" t="s">
        <v>31</v>
      </c>
      <c r="L11556" s="3" t="str">
        <f>IFERROR(__xludf.DUMMYFUNCTION("GOOGLETRANSLATE(F11556,""id"",""en"")"),"Cucok Argentine Cow Prediction Champion")</f>
        <v>Cucok Argentine Cow Prediction Champion</v>
      </c>
    </row>
    <row r="11557" ht="15.75" customHeight="1">
      <c r="A11557" s="1">
        <v>12801.0</v>
      </c>
      <c r="B11557" s="3" t="s">
        <v>32835</v>
      </c>
      <c r="C11557" s="3">
        <v>0.0</v>
      </c>
      <c r="D11557" s="3">
        <v>0.0</v>
      </c>
      <c r="E11557" s="3">
        <v>0.0</v>
      </c>
      <c r="F11557" s="3" t="s">
        <v>32836</v>
      </c>
      <c r="G11557" s="3">
        <v>0.0</v>
      </c>
      <c r="H11557" s="3">
        <v>0.0</v>
      </c>
      <c r="I11557" s="3" t="s">
        <v>13</v>
      </c>
      <c r="J11557" s="3" t="s">
        <v>32837</v>
      </c>
      <c r="K11557" s="3" t="s">
        <v>644</v>
      </c>
      <c r="L11557" s="3" t="str">
        <f>IFERROR(__xludf.DUMMYFUNCTION("GOOGLETRANSLATE(F11557,""id"",""en"")"),"Today is Bright Argentina Champion")</f>
        <v>Today is Bright Argentina Champion</v>
      </c>
    </row>
    <row r="11558" ht="15.75" customHeight="1">
      <c r="A11558" s="1">
        <v>12802.0</v>
      </c>
      <c r="B11558" s="3" t="s">
        <v>32838</v>
      </c>
      <c r="C11558" s="3">
        <v>0.0</v>
      </c>
      <c r="D11558" s="3">
        <v>0.0</v>
      </c>
      <c r="E11558" s="3">
        <v>0.0</v>
      </c>
      <c r="F11558" s="3" t="s">
        <v>32839</v>
      </c>
      <c r="G11558" s="3">
        <v>0.0</v>
      </c>
      <c r="H11558" s="3">
        <v>0.0</v>
      </c>
      <c r="I11558" s="3" t="s">
        <v>13</v>
      </c>
      <c r="J11558" s="3" t="s">
        <v>32840</v>
      </c>
      <c r="K11558" s="3" t="s">
        <v>657</v>
      </c>
      <c r="L11558" s="3" t="str">
        <f>IFERROR(__xludf.DUMMYFUNCTION("GOOGLETRANSLATE(F11558,""id"",""en"")"),"I thought that with Argentina the champions of the pildun fans bang dodo in the next day will feel more difficult to live")</f>
        <v>I thought that with Argentina the champions of the pildun fans bang dodo in the next day will feel more difficult to live</v>
      </c>
    </row>
    <row r="11559" ht="15.75" customHeight="1">
      <c r="A11559" s="1">
        <v>12803.0</v>
      </c>
      <c r="B11559" s="3" t="s">
        <v>32841</v>
      </c>
      <c r="C11559" s="3">
        <v>0.0</v>
      </c>
      <c r="D11559" s="3">
        <v>2.0</v>
      </c>
      <c r="E11559" s="3">
        <v>8.0</v>
      </c>
      <c r="F11559" s="3" t="s">
        <v>22241</v>
      </c>
      <c r="G11559" s="3">
        <v>0.0</v>
      </c>
      <c r="H11559" s="3">
        <v>0.0</v>
      </c>
      <c r="I11559" s="3" t="s">
        <v>13</v>
      </c>
      <c r="J11559" s="3" t="s">
        <v>16942</v>
      </c>
      <c r="K11559" s="3" t="s">
        <v>644</v>
      </c>
      <c r="L11559" s="3" t="str">
        <f>IFERROR(__xludf.DUMMYFUNCTION("GOOGLETRANSLATE(F11559,""id"",""en"")"),"Argentina Champion World Cup")</f>
        <v>Argentina Champion World Cup</v>
      </c>
    </row>
    <row r="11560" ht="15.75" customHeight="1">
      <c r="A11560" s="1">
        <v>12804.0</v>
      </c>
      <c r="B11560" s="3" t="s">
        <v>32842</v>
      </c>
      <c r="C11560" s="3">
        <v>0.0</v>
      </c>
      <c r="D11560" s="3">
        <v>0.0</v>
      </c>
      <c r="E11560" s="3">
        <v>0.0</v>
      </c>
      <c r="F11560" s="3" t="s">
        <v>32843</v>
      </c>
      <c r="G11560" s="3">
        <v>0.0</v>
      </c>
      <c r="H11560" s="3">
        <v>0.0</v>
      </c>
      <c r="I11560" s="3" t="s">
        <v>13</v>
      </c>
      <c r="J11560" s="3" t="s">
        <v>32844</v>
      </c>
      <c r="K11560" s="3" t="s">
        <v>477</v>
      </c>
      <c r="L11560" s="3" t="str">
        <f>IFERROR(__xludf.DUMMYFUNCTION("GOOGLETRANSLATE(F11560,""id"",""en"")"),"there is a var varnya Argentina must win the word FIFA Conspiracy")</f>
        <v>there is a var varnya Argentina must win the word FIFA Conspiracy</v>
      </c>
    </row>
    <row r="11561" ht="15.75" customHeight="1">
      <c r="A11561" s="1">
        <v>12805.0</v>
      </c>
      <c r="B11561" s="3" t="s">
        <v>32845</v>
      </c>
      <c r="C11561" s="3">
        <v>0.0</v>
      </c>
      <c r="D11561" s="3">
        <v>0.0</v>
      </c>
      <c r="E11561" s="3">
        <v>0.0</v>
      </c>
      <c r="F11561" s="3" t="s">
        <v>32846</v>
      </c>
      <c r="G11561" s="3">
        <v>0.0</v>
      </c>
      <c r="H11561" s="3">
        <v>0.0</v>
      </c>
      <c r="I11561" s="3" t="s">
        <v>13</v>
      </c>
      <c r="J11561" s="3" t="s">
        <v>32847</v>
      </c>
      <c r="K11561" s="3" t="s">
        <v>75</v>
      </c>
      <c r="L11561" s="3" t="str">
        <f>IFERROR(__xludf.DUMMYFUNCTION("GOOGLETRANSLATE(F11561,""id"",""en"")"),"Bring Argentina Champion Lionel Messi Becomes the Best Player of the World Cup")</f>
        <v>Bring Argentina Champion Lionel Messi Becomes the Best Player of the World Cup</v>
      </c>
    </row>
    <row r="11562" ht="15.75" customHeight="1">
      <c r="A11562" s="1">
        <v>12806.0</v>
      </c>
      <c r="B11562" s="3" t="s">
        <v>32848</v>
      </c>
      <c r="C11562" s="3">
        <v>0.0</v>
      </c>
      <c r="D11562" s="3">
        <v>0.0</v>
      </c>
      <c r="E11562" s="3">
        <v>0.0</v>
      </c>
      <c r="F11562" s="3" t="s">
        <v>32849</v>
      </c>
      <c r="G11562" s="3">
        <v>0.0</v>
      </c>
      <c r="H11562" s="3">
        <v>0.0</v>
      </c>
      <c r="I11562" s="3" t="s">
        <v>13</v>
      </c>
      <c r="J11562" s="3" t="s">
        <v>32850</v>
      </c>
      <c r="K11562" s="3" t="s">
        <v>41</v>
      </c>
      <c r="L11562" s="3" t="str">
        <f>IFERROR(__xludf.DUMMYFUNCTION("GOOGLETRANSLATE(F11562,""id"",""en"")"),"Argentina is rich in the Pontang Team Panting Group is doubtful but champions")</f>
        <v>Argentina is rich in the Pontang Team Panting Group is doubtful but champions</v>
      </c>
    </row>
    <row r="11563" ht="15.75" customHeight="1">
      <c r="A11563" s="1">
        <v>12807.0</v>
      </c>
      <c r="B11563" s="3" t="s">
        <v>32851</v>
      </c>
      <c r="C11563" s="3">
        <v>0.0</v>
      </c>
      <c r="D11563" s="3">
        <v>0.0</v>
      </c>
      <c r="E11563" s="3">
        <v>0.0</v>
      </c>
      <c r="F11563" s="3" t="s">
        <v>32852</v>
      </c>
      <c r="G11563" s="3">
        <v>0.0</v>
      </c>
      <c r="H11563" s="3">
        <v>0.0</v>
      </c>
      <c r="I11563" s="3" t="s">
        <v>13</v>
      </c>
      <c r="J11563" s="3" t="s">
        <v>32853</v>
      </c>
      <c r="K11563" s="3" t="s">
        <v>82</v>
      </c>
      <c r="L11563" s="3" t="str">
        <f>IFERROR(__xludf.DUMMYFUNCTION("GOOGLETRANSLATE(F11563,""id"",""en"")"),"Only Jokowi Messi can bring Argentina in the world champion")</f>
        <v>Only Jokowi Messi can bring Argentina in the world champion</v>
      </c>
    </row>
    <row r="11564" ht="15.75" customHeight="1">
      <c r="A11564" s="1">
        <v>12808.0</v>
      </c>
      <c r="B11564" s="3" t="s">
        <v>32854</v>
      </c>
      <c r="C11564" s="3">
        <v>0.0</v>
      </c>
      <c r="D11564" s="3">
        <v>0.0</v>
      </c>
      <c r="E11564" s="3">
        <v>0.0</v>
      </c>
      <c r="F11564" s="3" t="s">
        <v>32855</v>
      </c>
      <c r="G11564" s="3">
        <v>0.0</v>
      </c>
      <c r="H11564" s="3">
        <v>0.0</v>
      </c>
      <c r="I11564" s="3" t="s">
        <v>13</v>
      </c>
      <c r="J11564" s="3" t="s">
        <v>32856</v>
      </c>
      <c r="K11564" s="3" t="s">
        <v>15</v>
      </c>
      <c r="L11564" s="3" t="str">
        <f>IFERROR(__xludf.DUMMYFUNCTION("GOOGLETRANSLATE(F11564,""id"",""en"")"),"Congratulations Argentina Champion World Cup Qatar Messi Goat")</f>
        <v>Congratulations Argentina Champion World Cup Qatar Messi Goat</v>
      </c>
    </row>
    <row r="11565" ht="15.75" customHeight="1">
      <c r="A11565" s="1">
        <v>12809.0</v>
      </c>
      <c r="B11565" s="3" t="s">
        <v>32857</v>
      </c>
      <c r="C11565" s="3">
        <v>6.0</v>
      </c>
      <c r="D11565" s="3">
        <v>77.0</v>
      </c>
      <c r="E11565" s="3">
        <v>429.0</v>
      </c>
      <c r="F11565" s="3" t="s">
        <v>32858</v>
      </c>
      <c r="G11565" s="3">
        <v>1.0</v>
      </c>
      <c r="H11565" s="3">
        <v>0.0</v>
      </c>
      <c r="I11565" s="3" t="s">
        <v>13</v>
      </c>
      <c r="J11565" s="3" t="s">
        <v>32859</v>
      </c>
      <c r="K11565" s="3" t="s">
        <v>1317</v>
      </c>
      <c r="L11565" s="3" t="str">
        <f>IFERROR(__xludf.DUMMYFUNCTION("GOOGLETRANSLATE(F11565,""id"",""en"")"),"Messi Maria has won the World Copa Olympiad World Cup in the second World Cup has an important role in the World Cup Final with each goal")</f>
        <v>Messi Maria has won the World Copa Olympiad World Cup in the second World Cup has an important role in the World Cup Final with each goal</v>
      </c>
    </row>
    <row r="11566" ht="15.75" customHeight="1">
      <c r="A11566" s="1">
        <v>12810.0</v>
      </c>
      <c r="B11566" s="3" t="s">
        <v>32860</v>
      </c>
      <c r="C11566" s="3">
        <v>1.0</v>
      </c>
      <c r="D11566" s="3">
        <v>9.0</v>
      </c>
      <c r="E11566" s="3">
        <v>29.0</v>
      </c>
      <c r="F11566" s="3" t="s">
        <v>32861</v>
      </c>
      <c r="G11566" s="3">
        <v>0.0</v>
      </c>
      <c r="H11566" s="3">
        <v>0.0</v>
      </c>
      <c r="I11566" s="3" t="s">
        <v>13</v>
      </c>
      <c r="J11566" s="3" t="s">
        <v>32862</v>
      </c>
      <c r="K11566" s="3" t="s">
        <v>437</v>
      </c>
      <c r="L11566" s="3" t="str">
        <f>IFERROR(__xludf.DUMMYFUNCTION("GOOGLETRANSLATE(F11566,""id"",""en"")"),"The first morning after Argentina champions turned out to be morning and football.")</f>
        <v>The first morning after Argentina champions turned out to be morning and football.</v>
      </c>
    </row>
    <row r="11567" ht="15.75" customHeight="1">
      <c r="A11567" s="1">
        <v>12811.0</v>
      </c>
      <c r="B11567" s="3" t="s">
        <v>32863</v>
      </c>
      <c r="C11567" s="3">
        <v>0.0</v>
      </c>
      <c r="D11567" s="3">
        <v>0.0</v>
      </c>
      <c r="E11567" s="3">
        <v>0.0</v>
      </c>
      <c r="F11567" s="3" t="s">
        <v>32864</v>
      </c>
      <c r="G11567" s="3">
        <v>0.0</v>
      </c>
      <c r="H11567" s="3">
        <v>0.0</v>
      </c>
      <c r="I11567" s="3" t="s">
        <v>13</v>
      </c>
      <c r="J11567" s="3" t="s">
        <v>32865</v>
      </c>
      <c r="K11567" s="3" t="s">
        <v>644</v>
      </c>
      <c r="L11567" s="3" t="str">
        <f>IFERROR(__xludf.DUMMYFUNCTION("GOOGLETRANSLATE(F11567,""id"",""en"")"),"Argentina Messi World Champion")</f>
        <v>Argentina Messi World Champion</v>
      </c>
    </row>
    <row r="11568" ht="15.75" customHeight="1">
      <c r="A11568" s="1">
        <v>12812.0</v>
      </c>
      <c r="B11568" s="3" t="s">
        <v>32866</v>
      </c>
      <c r="C11568" s="3">
        <v>0.0</v>
      </c>
      <c r="D11568" s="3">
        <v>1.0</v>
      </c>
      <c r="E11568" s="3">
        <v>0.0</v>
      </c>
      <c r="F11568" s="3" t="s">
        <v>32509</v>
      </c>
      <c r="G11568" s="3">
        <v>0.0</v>
      </c>
      <c r="H11568" s="3">
        <v>0.0</v>
      </c>
      <c r="I11568" s="3" t="s">
        <v>13</v>
      </c>
      <c r="J11568" s="3" t="s">
        <v>32510</v>
      </c>
      <c r="K11568" s="3" t="s">
        <v>15</v>
      </c>
      <c r="L11568" s="3" t="str">
        <f>IFERROR(__xludf.DUMMYFUNCTION("GOOGLETRANSLATE(F11568,""id"",""en"")"),"Argentina Prize Champion World Cup Can Get Wuling Air Unit")</f>
        <v>Argentina Prize Champion World Cup Can Get Wuling Air Unit</v>
      </c>
    </row>
    <row r="11569" ht="15.75" customHeight="1">
      <c r="A11569" s="1">
        <v>12813.0</v>
      </c>
      <c r="B11569" s="3" t="s">
        <v>32867</v>
      </c>
      <c r="C11569" s="3">
        <v>0.0</v>
      </c>
      <c r="D11569" s="3">
        <v>0.0</v>
      </c>
      <c r="E11569" s="3">
        <v>0.0</v>
      </c>
      <c r="F11569" s="3" t="s">
        <v>32868</v>
      </c>
      <c r="G11569" s="3">
        <v>0.0</v>
      </c>
      <c r="H11569" s="3">
        <v>0.0</v>
      </c>
      <c r="I11569" s="3" t="s">
        <v>13</v>
      </c>
      <c r="J11569" s="3" t="s">
        <v>32869</v>
      </c>
      <c r="K11569" s="3" t="s">
        <v>644</v>
      </c>
      <c r="L11569" s="3" t="str">
        <f>IFERROR(__xludf.DUMMYFUNCTION("GOOGLETRANSLATE(F11569,""id"",""en"")"),"Messi Argentina World Champion")</f>
        <v>Messi Argentina World Champion</v>
      </c>
    </row>
    <row r="11570" ht="15.75" customHeight="1">
      <c r="A11570" s="1">
        <v>12814.0</v>
      </c>
      <c r="B11570" s="3" t="s">
        <v>32870</v>
      </c>
      <c r="C11570" s="3">
        <v>0.0</v>
      </c>
      <c r="D11570" s="3">
        <v>1.0</v>
      </c>
      <c r="E11570" s="3">
        <v>4.0</v>
      </c>
      <c r="F11570" s="3" t="s">
        <v>32864</v>
      </c>
      <c r="G11570" s="3">
        <v>0.0</v>
      </c>
      <c r="H11570" s="3">
        <v>0.0</v>
      </c>
      <c r="I11570" s="3" t="s">
        <v>13</v>
      </c>
      <c r="J11570" s="3" t="s">
        <v>32865</v>
      </c>
      <c r="K11570" s="3" t="s">
        <v>644</v>
      </c>
      <c r="L11570" s="3" t="str">
        <f>IFERROR(__xludf.DUMMYFUNCTION("GOOGLETRANSLATE(F11570,""id"",""en"")"),"Argentina Messi World Champion")</f>
        <v>Argentina Messi World Champion</v>
      </c>
    </row>
    <row r="11571" ht="15.75" customHeight="1">
      <c r="A11571" s="1">
        <v>12815.0</v>
      </c>
      <c r="B11571" s="3" t="s">
        <v>32871</v>
      </c>
      <c r="C11571" s="3">
        <v>0.0</v>
      </c>
      <c r="D11571" s="3">
        <v>0.0</v>
      </c>
      <c r="E11571" s="3">
        <v>0.0</v>
      </c>
      <c r="F11571" s="3" t="s">
        <v>32872</v>
      </c>
      <c r="G11571" s="3">
        <v>0.0</v>
      </c>
      <c r="H11571" s="3">
        <v>0.0</v>
      </c>
      <c r="I11571" s="3" t="s">
        <v>13</v>
      </c>
      <c r="J11571" s="3" t="s">
        <v>32873</v>
      </c>
      <c r="K11571" s="3" t="s">
        <v>644</v>
      </c>
      <c r="L11571" s="3" t="str">
        <f>IFERROR(__xludf.DUMMYFUNCTION("GOOGLETRANSLATE(F11571,""id"",""en"")"),"World Champion Messi Argentina")</f>
        <v>World Champion Messi Argentina</v>
      </c>
    </row>
    <row r="11572" ht="15.75" customHeight="1">
      <c r="A11572" s="1">
        <v>12816.0</v>
      </c>
      <c r="B11572" s="3" t="s">
        <v>32874</v>
      </c>
      <c r="C11572" s="3">
        <v>0.0</v>
      </c>
      <c r="D11572" s="3">
        <v>0.0</v>
      </c>
      <c r="E11572" s="3">
        <v>0.0</v>
      </c>
      <c r="F11572" s="3" t="s">
        <v>32875</v>
      </c>
      <c r="G11572" s="3">
        <v>0.0</v>
      </c>
      <c r="H11572" s="3">
        <v>0.0</v>
      </c>
      <c r="I11572" s="3" t="s">
        <v>13</v>
      </c>
      <c r="J11572" s="3" t="s">
        <v>32876</v>
      </c>
      <c r="K11572" s="3" t="s">
        <v>82</v>
      </c>
      <c r="L11572" s="3" t="str">
        <f>IFERROR(__xludf.DUMMYFUNCTION("GOOGLETRANSLATE(F11572,""id"",""en"")"),"Interesting Facts After Argentina World Cup Champion")</f>
        <v>Interesting Facts After Argentina World Cup Champion</v>
      </c>
    </row>
    <row r="11573" ht="15.75" customHeight="1">
      <c r="A11573" s="1">
        <v>12817.0</v>
      </c>
      <c r="B11573" s="3" t="s">
        <v>32877</v>
      </c>
      <c r="C11573" s="3">
        <v>0.0</v>
      </c>
      <c r="D11573" s="3">
        <v>0.0</v>
      </c>
      <c r="E11573" s="3">
        <v>0.0</v>
      </c>
      <c r="F11573" s="3" t="s">
        <v>32878</v>
      </c>
      <c r="G11573" s="3">
        <v>0.0</v>
      </c>
      <c r="H11573" s="3">
        <v>0.0</v>
      </c>
      <c r="I11573" s="3" t="s">
        <v>13</v>
      </c>
      <c r="J11573" s="3" t="s">
        <v>32879</v>
      </c>
      <c r="K11573" s="3" t="s">
        <v>41</v>
      </c>
      <c r="L11573" s="3" t="str">
        <f>IFERROR(__xludf.DUMMYFUNCTION("GOOGLETRANSLATE(F11573,""id"",""en"")"),"After Argentina, the Presidential Cup champion for the front selfie photo")</f>
        <v>After Argentina, the Presidential Cup champion for the front selfie photo</v>
      </c>
    </row>
    <row r="11574" ht="15.75" customHeight="1">
      <c r="A11574" s="1">
        <v>12818.0</v>
      </c>
      <c r="B11574" s="3" t="s">
        <v>32880</v>
      </c>
      <c r="C11574" s="3">
        <v>0.0</v>
      </c>
      <c r="D11574" s="3">
        <v>0.0</v>
      </c>
      <c r="E11574" s="3">
        <v>0.0</v>
      </c>
      <c r="F11574" s="3" t="s">
        <v>32868</v>
      </c>
      <c r="G11574" s="3">
        <v>0.0</v>
      </c>
      <c r="H11574" s="3">
        <v>0.0</v>
      </c>
      <c r="I11574" s="3" t="s">
        <v>13</v>
      </c>
      <c r="J11574" s="3" t="s">
        <v>32869</v>
      </c>
      <c r="K11574" s="3" t="s">
        <v>644</v>
      </c>
      <c r="L11574" s="3" t="str">
        <f>IFERROR(__xludf.DUMMYFUNCTION("GOOGLETRANSLATE(F11574,""id"",""en"")"),"Messi Argentina World Champion")</f>
        <v>Messi Argentina World Champion</v>
      </c>
    </row>
    <row r="11575" ht="15.75" customHeight="1">
      <c r="A11575" s="1">
        <v>12819.0</v>
      </c>
      <c r="B11575" s="3" t="s">
        <v>32881</v>
      </c>
      <c r="C11575" s="3">
        <v>0.0</v>
      </c>
      <c r="D11575" s="3">
        <v>0.0</v>
      </c>
      <c r="E11575" s="3">
        <v>1.0</v>
      </c>
      <c r="F11575" s="3" t="s">
        <v>32882</v>
      </c>
      <c r="G11575" s="3">
        <v>1.0</v>
      </c>
      <c r="H11575" s="3">
        <v>0.0</v>
      </c>
      <c r="I11575" s="3" t="s">
        <v>13</v>
      </c>
      <c r="J11575" s="3" t="s">
        <v>32883</v>
      </c>
      <c r="K11575" s="3" t="s">
        <v>75</v>
      </c>
      <c r="L11575" s="3" t="str">
        <f>IFERROR(__xludf.DUMMYFUNCTION("GOOGLETRANSLATE(F11575,""id"",""en"")"),"Argentina World Cup Final Results Finally Champion After Fasting Year Via")</f>
        <v>Argentina World Cup Final Results Finally Champion After Fasting Year Via</v>
      </c>
    </row>
    <row r="11576" ht="15.75" customHeight="1">
      <c r="A11576" s="1">
        <v>12820.0</v>
      </c>
      <c r="B11576" s="3" t="s">
        <v>32884</v>
      </c>
      <c r="C11576" s="3">
        <v>0.0</v>
      </c>
      <c r="D11576" s="3">
        <v>0.0</v>
      </c>
      <c r="E11576" s="3">
        <v>1.0</v>
      </c>
      <c r="F11576" s="3" t="s">
        <v>32864</v>
      </c>
      <c r="G11576" s="3">
        <v>0.0</v>
      </c>
      <c r="H11576" s="3">
        <v>0.0</v>
      </c>
      <c r="I11576" s="3" t="s">
        <v>13</v>
      </c>
      <c r="J11576" s="3" t="s">
        <v>32865</v>
      </c>
      <c r="K11576" s="3" t="s">
        <v>644</v>
      </c>
      <c r="L11576" s="3" t="str">
        <f>IFERROR(__xludf.DUMMYFUNCTION("GOOGLETRANSLATE(F11576,""id"",""en"")"),"Argentina Messi World Champion")</f>
        <v>Argentina Messi World Champion</v>
      </c>
    </row>
    <row r="11577" ht="15.75" customHeight="1">
      <c r="A11577" s="1">
        <v>12821.0</v>
      </c>
      <c r="B11577" s="3" t="s">
        <v>32885</v>
      </c>
      <c r="C11577" s="3">
        <v>0.0</v>
      </c>
      <c r="D11577" s="3">
        <v>0.0</v>
      </c>
      <c r="E11577" s="3">
        <v>0.0</v>
      </c>
      <c r="F11577" s="3" t="s">
        <v>32886</v>
      </c>
      <c r="G11577" s="3">
        <v>0.0</v>
      </c>
      <c r="H11577" s="3">
        <v>0.0</v>
      </c>
      <c r="I11577" s="3" t="s">
        <v>13</v>
      </c>
      <c r="J11577" s="3" t="s">
        <v>32887</v>
      </c>
      <c r="K11577" s="3" t="s">
        <v>41</v>
      </c>
      <c r="L11577" s="3" t="str">
        <f>IFERROR(__xludf.DUMMYFUNCTION("GOOGLETRANSLATE(F11577,""id"",""en"")"),"well, the important thing is that the title is still Argentina WQWQWQ champion")</f>
        <v>well, the important thing is that the title is still Argentina WQWQWQ champion</v>
      </c>
    </row>
    <row r="11578" ht="15.75" customHeight="1">
      <c r="A11578" s="1">
        <v>12822.0</v>
      </c>
      <c r="B11578" s="3" t="s">
        <v>32888</v>
      </c>
      <c r="C11578" s="3">
        <v>0.0</v>
      </c>
      <c r="D11578" s="3">
        <v>0.0</v>
      </c>
      <c r="E11578" s="3">
        <v>0.0</v>
      </c>
      <c r="F11578" s="3" t="s">
        <v>32889</v>
      </c>
      <c r="G11578" s="3">
        <v>0.0</v>
      </c>
      <c r="H11578" s="3">
        <v>0.0</v>
      </c>
      <c r="I11578" s="3" t="s">
        <v>13</v>
      </c>
      <c r="J11578" s="3" t="s">
        <v>32890</v>
      </c>
      <c r="K11578" s="3" t="s">
        <v>54</v>
      </c>
      <c r="L11578" s="3" t="str">
        <f>IFERROR(__xludf.DUMMYFUNCTION("GOOGLETRANSLATE(F11578,""id"",""en"")"),"Argentine national team facts champions of the World Cup")</f>
        <v>Argentine national team facts champions of the World Cup</v>
      </c>
    </row>
    <row r="11579" ht="15.75" customHeight="1">
      <c r="A11579" s="1">
        <v>12823.0</v>
      </c>
      <c r="B11579" s="3" t="s">
        <v>32891</v>
      </c>
      <c r="C11579" s="3">
        <v>0.0</v>
      </c>
      <c r="D11579" s="3">
        <v>0.0</v>
      </c>
      <c r="E11579" s="3">
        <v>0.0</v>
      </c>
      <c r="F11579" s="3" t="s">
        <v>32892</v>
      </c>
      <c r="G11579" s="3">
        <v>0.0</v>
      </c>
      <c r="H11579" s="3">
        <v>0.0</v>
      </c>
      <c r="I11579" s="3" t="s">
        <v>13</v>
      </c>
      <c r="J11579" s="3" t="s">
        <v>32893</v>
      </c>
      <c r="K11579" s="3" t="s">
        <v>1656</v>
      </c>
      <c r="L11579" s="3" t="str">
        <f>IFERROR(__xludf.DUMMYFUNCTION("GOOGLETRANSLATE(F11579,""id"",""en"")"),"This year Messi and Argentina won the previous edition of Mbappe World Cup with France so that the next edition of Portugal's next edition with Ronaldo as a Portuguese legend who watched the VVIP Football Legends Tribune Wkwkwk")</f>
        <v>This year Messi and Argentina won the previous edition of Mbappe World Cup with France so that the next edition of Portugal's next edition with Ronaldo as a Portuguese legend who watched the VVIP Football Legends Tribune Wkwkwk</v>
      </c>
    </row>
    <row r="11580" ht="15.75" customHeight="1">
      <c r="A11580" s="1">
        <v>12824.0</v>
      </c>
      <c r="B11580" s="3" t="s">
        <v>32894</v>
      </c>
      <c r="C11580" s="3">
        <v>1.0</v>
      </c>
      <c r="D11580" s="3">
        <v>0.0</v>
      </c>
      <c r="E11580" s="3">
        <v>0.0</v>
      </c>
      <c r="F11580" s="3" t="s">
        <v>32895</v>
      </c>
      <c r="G11580" s="3">
        <v>0.0</v>
      </c>
      <c r="H11580" s="3">
        <v>0.0</v>
      </c>
      <c r="I11580" s="3" t="s">
        <v>13</v>
      </c>
      <c r="J11580" s="3" t="s">
        <v>32896</v>
      </c>
      <c r="K11580" s="3" t="s">
        <v>1970</v>
      </c>
      <c r="L11580" s="3" t="str">
        <f>IFERROR(__xludf.DUMMYFUNCTION("GOOGLETRANSLATE(F11580,""id"",""en"")"),"Champion in a match that team is not just one player even in football there is another element I agree that makes us unhappy if Argentina is a champion is a Messi fan like you even though the two goats")</f>
        <v>Champion in a match that team is not just one player even in football there is another element I agree that makes us unhappy if Argentina is a champion is a Messi fan like you even though the two goats</v>
      </c>
    </row>
    <row r="11581" ht="15.75" customHeight="1">
      <c r="A11581" s="1">
        <v>12825.0</v>
      </c>
      <c r="B11581" s="3" t="s">
        <v>32897</v>
      </c>
      <c r="C11581" s="3">
        <v>0.0</v>
      </c>
      <c r="D11581" s="3">
        <v>0.0</v>
      </c>
      <c r="E11581" s="3">
        <v>0.0</v>
      </c>
      <c r="F11581" s="3" t="s">
        <v>32898</v>
      </c>
      <c r="G11581" s="3">
        <v>1.0</v>
      </c>
      <c r="H11581" s="3">
        <v>0.8</v>
      </c>
      <c r="I11581" s="3" t="s">
        <v>48</v>
      </c>
      <c r="J11581" s="3" t="s">
        <v>32899</v>
      </c>
      <c r="K11581" s="3" t="s">
        <v>82</v>
      </c>
      <c r="L11581" s="3" t="str">
        <f>IFERROR(__xludf.DUMMYFUNCTION("GOOGLETRANSLATE(F11581,""id"",""en"")"),"who is happy bgt Argentina, my world champion is my bang")</f>
        <v>who is happy bgt Argentina, my world champion is my bang</v>
      </c>
    </row>
    <row r="11582" ht="15.75" customHeight="1">
      <c r="A11582" s="1">
        <v>12826.0</v>
      </c>
      <c r="B11582" s="3" t="s">
        <v>32900</v>
      </c>
      <c r="C11582" s="3">
        <v>0.0</v>
      </c>
      <c r="D11582" s="3">
        <v>0.0</v>
      </c>
      <c r="E11582" s="3">
        <v>2.0</v>
      </c>
      <c r="F11582" s="3" t="s">
        <v>32901</v>
      </c>
      <c r="G11582" s="3">
        <v>0.0</v>
      </c>
      <c r="H11582" s="3">
        <v>0.0</v>
      </c>
      <c r="I11582" s="3" t="s">
        <v>13</v>
      </c>
      <c r="J11582" s="3" t="s">
        <v>32902</v>
      </c>
      <c r="K11582" s="3" t="s">
        <v>41</v>
      </c>
      <c r="L11582" s="3" t="str">
        <f>IFERROR(__xludf.DUMMYFUNCTION("GOOGLETRANSLATE(F11582,""id"",""en"")"),"Early insulted but at the end of being a congratulations for Argentina")</f>
        <v>Early insulted but at the end of being a congratulations for Argentina</v>
      </c>
    </row>
    <row r="11583" ht="15.75" customHeight="1">
      <c r="A11583" s="1">
        <v>12827.0</v>
      </c>
      <c r="B11583" s="3" t="s">
        <v>21728</v>
      </c>
      <c r="C11583" s="3">
        <v>0.0</v>
      </c>
      <c r="D11583" s="3">
        <v>0.0</v>
      </c>
      <c r="E11583" s="3">
        <v>1.0</v>
      </c>
      <c r="F11583" s="3" t="s">
        <v>21729</v>
      </c>
      <c r="G11583" s="3">
        <v>0.0</v>
      </c>
      <c r="H11583" s="3">
        <v>0.0</v>
      </c>
      <c r="I11583" s="3" t="s">
        <v>13</v>
      </c>
      <c r="J11583" s="3" t="s">
        <v>21730</v>
      </c>
      <c r="K11583" s="3" t="s">
        <v>58</v>
      </c>
      <c r="L11583" s="3" t="str">
        <f>IFERROR(__xludf.DUMMYFUNCTION("GOOGLETRANSLATE(F11583,""id"",""en"")"),"Alhamdulillah, Argentina, world champion and Messi is now officially the world's best player of all time")</f>
        <v>Alhamdulillah, Argentina, world champion and Messi is now officially the world's best player of all time</v>
      </c>
    </row>
    <row r="11584" ht="15.75" customHeight="1">
      <c r="A11584" s="1">
        <v>12828.0</v>
      </c>
      <c r="B11584" s="3" t="s">
        <v>32903</v>
      </c>
      <c r="C11584" s="3">
        <v>0.0</v>
      </c>
      <c r="D11584" s="3">
        <v>0.0</v>
      </c>
      <c r="E11584" s="3">
        <v>0.0</v>
      </c>
      <c r="F11584" s="3" t="s">
        <v>21729</v>
      </c>
      <c r="G11584" s="3">
        <v>0.0</v>
      </c>
      <c r="H11584" s="3">
        <v>0.0</v>
      </c>
      <c r="I11584" s="3" t="s">
        <v>13</v>
      </c>
      <c r="J11584" s="3" t="s">
        <v>21730</v>
      </c>
      <c r="K11584" s="3" t="s">
        <v>58</v>
      </c>
      <c r="L11584" s="3" t="str">
        <f>IFERROR(__xludf.DUMMYFUNCTION("GOOGLETRANSLATE(F11584,""id"",""en"")"),"Alhamdulillah, Argentina, world champion and Messi is now officially the world's best player of all time")</f>
        <v>Alhamdulillah, Argentina, world champion and Messi is now officially the world's best player of all time</v>
      </c>
    </row>
    <row r="11585" ht="15.75" customHeight="1">
      <c r="A11585" s="1">
        <v>12829.0</v>
      </c>
      <c r="B11585" s="3" t="s">
        <v>32904</v>
      </c>
      <c r="C11585" s="3">
        <v>1.0</v>
      </c>
      <c r="D11585" s="3">
        <v>1.0</v>
      </c>
      <c r="E11585" s="3">
        <v>1.0</v>
      </c>
      <c r="F11585" s="3" t="s">
        <v>32905</v>
      </c>
      <c r="G11585" s="3">
        <v>0.0</v>
      </c>
      <c r="H11585" s="3">
        <v>0.0</v>
      </c>
      <c r="I11585" s="3" t="s">
        <v>13</v>
      </c>
      <c r="J11585" s="3" t="s">
        <v>32906</v>
      </c>
      <c r="K11585" s="3" t="s">
        <v>3346</v>
      </c>
      <c r="L11585" s="3" t="str">
        <f>IFERROR(__xludf.DUMMYFUNCTION("GOOGLETRANSLATE(F11585,""id"",""en"")"),"EVOS Argentine World Champion World Champion Lio Champion in the heart of Alfa is happy my life")</f>
        <v>EVOS Argentine World Champion World Champion Lio Champion in the heart of Alfa is happy my life</v>
      </c>
    </row>
    <row r="11586" ht="15.75" customHeight="1">
      <c r="A11586" s="1">
        <v>12830.0</v>
      </c>
      <c r="B11586" s="3" t="s">
        <v>32907</v>
      </c>
      <c r="C11586" s="3">
        <v>0.0</v>
      </c>
      <c r="D11586" s="3">
        <v>0.0</v>
      </c>
      <c r="E11586" s="3">
        <v>0.0</v>
      </c>
      <c r="F11586" s="3" t="s">
        <v>32908</v>
      </c>
      <c r="G11586" s="3">
        <v>0.0</v>
      </c>
      <c r="H11586" s="3">
        <v>0.0</v>
      </c>
      <c r="I11586" s="3" t="s">
        <v>13</v>
      </c>
      <c r="J11586" s="3" t="s">
        <v>32909</v>
      </c>
      <c r="K11586" s="3" t="s">
        <v>644</v>
      </c>
      <c r="L11586" s="3" t="str">
        <f>IFERROR(__xludf.DUMMYFUNCTION("GOOGLETRANSLATE(F11586,""id"",""en"")"),"Woy Argentina Champion YHH")</f>
        <v>Woy Argentina Champion YHH</v>
      </c>
    </row>
    <row r="11587" ht="15.75" customHeight="1">
      <c r="A11587" s="1">
        <v>12831.0</v>
      </c>
      <c r="B11587" s="3" t="s">
        <v>32910</v>
      </c>
      <c r="C11587" s="3">
        <v>0.0</v>
      </c>
      <c r="D11587" s="3">
        <v>0.0</v>
      </c>
      <c r="E11587" s="3">
        <v>0.0</v>
      </c>
      <c r="F11587" s="3" t="s">
        <v>16103</v>
      </c>
      <c r="G11587" s="3">
        <v>0.0</v>
      </c>
      <c r="H11587" s="3">
        <v>0.0</v>
      </c>
      <c r="I11587" s="3" t="s">
        <v>13</v>
      </c>
      <c r="J11587" s="3" t="s">
        <v>16104</v>
      </c>
      <c r="K11587" s="3" t="s">
        <v>14571</v>
      </c>
      <c r="L11587" s="3" t="str">
        <f>IFERROR(__xludf.DUMMYFUNCTION("GOOGLETRANSLATE(F11587,""id"",""en"")"),"Argentina Champion")</f>
        <v>Argentina Champion</v>
      </c>
    </row>
    <row r="11588" ht="15.75" customHeight="1">
      <c r="A11588" s="1">
        <v>12832.0</v>
      </c>
      <c r="B11588" s="3" t="s">
        <v>32911</v>
      </c>
      <c r="C11588" s="3">
        <v>5.0</v>
      </c>
      <c r="D11588" s="3">
        <v>13.0</v>
      </c>
      <c r="E11588" s="3">
        <v>402.0</v>
      </c>
      <c r="F11588" s="3" t="s">
        <v>32912</v>
      </c>
      <c r="G11588" s="3">
        <v>0.0</v>
      </c>
      <c r="H11588" s="3">
        <v>0.0</v>
      </c>
      <c r="I11588" s="3" t="s">
        <v>13</v>
      </c>
      <c r="J11588" s="3" t="s">
        <v>32913</v>
      </c>
      <c r="K11588" s="3" t="s">
        <v>433</v>
      </c>
      <c r="L11588" s="3" t="str">
        <f>IFERROR(__xludf.DUMMYFUNCTION("GOOGLETRANSLATE(F11588,""id"",""en"")"),"Fighting Spirit Argentine players they really want to realize the dream of Messi for the world champion in addition to their country")</f>
        <v>Fighting Spirit Argentine players they really want to realize the dream of Messi for the world champion in addition to their country</v>
      </c>
    </row>
    <row r="11589" ht="15.75" customHeight="1">
      <c r="A11589" s="1">
        <v>12833.0</v>
      </c>
      <c r="B11589" s="3" t="s">
        <v>32914</v>
      </c>
      <c r="C11589" s="3">
        <v>0.0</v>
      </c>
      <c r="D11589" s="3">
        <v>0.0</v>
      </c>
      <c r="E11589" s="3">
        <v>0.0</v>
      </c>
      <c r="F11589" s="3" t="s">
        <v>21729</v>
      </c>
      <c r="G11589" s="3">
        <v>0.0</v>
      </c>
      <c r="H11589" s="3">
        <v>0.0</v>
      </c>
      <c r="I11589" s="3" t="s">
        <v>13</v>
      </c>
      <c r="J11589" s="3" t="s">
        <v>21730</v>
      </c>
      <c r="K11589" s="3" t="s">
        <v>58</v>
      </c>
      <c r="L11589" s="3" t="str">
        <f>IFERROR(__xludf.DUMMYFUNCTION("GOOGLETRANSLATE(F11589,""id"",""en"")"),"Alhamdulillah, Argentina, world champion and Messi is now officially the world's best player of all time")</f>
        <v>Alhamdulillah, Argentina, world champion and Messi is now officially the world's best player of all time</v>
      </c>
    </row>
    <row r="11590" ht="15.75" customHeight="1">
      <c r="A11590" s="1">
        <v>12834.0</v>
      </c>
      <c r="B11590" s="3" t="s">
        <v>32915</v>
      </c>
      <c r="C11590" s="3">
        <v>0.0</v>
      </c>
      <c r="D11590" s="3">
        <v>0.0</v>
      </c>
      <c r="E11590" s="3">
        <v>0.0</v>
      </c>
      <c r="F11590" s="3" t="s">
        <v>21729</v>
      </c>
      <c r="G11590" s="3">
        <v>0.0</v>
      </c>
      <c r="H11590" s="3">
        <v>0.0</v>
      </c>
      <c r="I11590" s="3" t="s">
        <v>13</v>
      </c>
      <c r="J11590" s="3" t="s">
        <v>21730</v>
      </c>
      <c r="K11590" s="3" t="s">
        <v>58</v>
      </c>
      <c r="L11590" s="3" t="str">
        <f>IFERROR(__xludf.DUMMYFUNCTION("GOOGLETRANSLATE(F11590,""id"",""en"")"),"Alhamdulillah, Argentina, world champion and Messi is now officially the world's best player of all time")</f>
        <v>Alhamdulillah, Argentina, world champion and Messi is now officially the world's best player of all time</v>
      </c>
    </row>
    <row r="11591" ht="15.75" customHeight="1">
      <c r="A11591" s="1">
        <v>12835.0</v>
      </c>
      <c r="B11591" s="3" t="s">
        <v>32916</v>
      </c>
      <c r="C11591" s="3">
        <v>0.0</v>
      </c>
      <c r="D11591" s="3">
        <v>0.0</v>
      </c>
      <c r="E11591" s="3">
        <v>0.0</v>
      </c>
      <c r="F11591" s="3" t="s">
        <v>32917</v>
      </c>
      <c r="G11591" s="3">
        <v>0.0</v>
      </c>
      <c r="H11591" s="3">
        <v>0.0</v>
      </c>
      <c r="I11591" s="3" t="s">
        <v>13</v>
      </c>
      <c r="J11591" s="3" t="s">
        <v>32918</v>
      </c>
      <c r="K11591" s="3" t="s">
        <v>3896</v>
      </c>
      <c r="L11591" s="3" t="str">
        <f>IFERROR(__xludf.DUMMYFUNCTION("GOOGLETRANSLATE(F11591,""id"",""en"")"),"The world champion Argentina is the best player Messi Hatrick Mbappe Trending but Ronaldo Ronaldo does not need a world champion to be recognized by Goat but Messi must do it so that he is recognized by the debate over the debate is complete")</f>
        <v>The world champion Argentina is the best player Messi Hatrick Mbappe Trending but Ronaldo Ronaldo does not need a world champion to be recognized by Goat but Messi must do it so that he is recognized by the debate over the debate is complete</v>
      </c>
    </row>
    <row r="11592" ht="15.75" customHeight="1">
      <c r="A11592" s="1">
        <v>12836.0</v>
      </c>
      <c r="B11592" s="3" t="s">
        <v>32919</v>
      </c>
      <c r="C11592" s="3">
        <v>0.0</v>
      </c>
      <c r="D11592" s="3">
        <v>0.0</v>
      </c>
      <c r="E11592" s="3">
        <v>1.0</v>
      </c>
      <c r="F11592" s="3" t="s">
        <v>32920</v>
      </c>
      <c r="G11592" s="3">
        <v>0.0</v>
      </c>
      <c r="H11592" s="3">
        <v>0.0</v>
      </c>
      <c r="I11592" s="3" t="s">
        <v>13</v>
      </c>
      <c r="J11592" s="3" t="s">
        <v>32921</v>
      </c>
      <c r="K11592" s="3" t="s">
        <v>2117</v>
      </c>
      <c r="L11592" s="3" t="str">
        <f>IFERROR(__xludf.DUMMYFUNCTION("GOOGLETRANSLATE(F11592,""id"",""en"")"),"Argentine edition champion")</f>
        <v>Argentine edition champion</v>
      </c>
    </row>
    <row r="11593" ht="15.75" customHeight="1">
      <c r="A11593" s="1">
        <v>12837.0</v>
      </c>
      <c r="B11593" s="3" t="s">
        <v>32922</v>
      </c>
      <c r="C11593" s="3">
        <v>0.0</v>
      </c>
      <c r="D11593" s="3">
        <v>0.0</v>
      </c>
      <c r="E11593" s="3">
        <v>0.0</v>
      </c>
      <c r="F11593" s="3" t="s">
        <v>32923</v>
      </c>
      <c r="G11593" s="3">
        <v>0.0</v>
      </c>
      <c r="H11593" s="3">
        <v>0.0</v>
      </c>
      <c r="I11593" s="3" t="s">
        <v>13</v>
      </c>
      <c r="J11593" s="3" t="s">
        <v>32924</v>
      </c>
      <c r="K11593" s="3" t="s">
        <v>2117</v>
      </c>
      <c r="L11593" s="3" t="str">
        <f>IFERROR(__xludf.DUMMYFUNCTION("GOOGLETRANSLATE(F11593,""id"",""en"")"),"Argentina Champion COOO")</f>
        <v>Argentina Champion COOO</v>
      </c>
    </row>
    <row r="11594" ht="15.75" customHeight="1">
      <c r="A11594" s="1">
        <v>12838.0</v>
      </c>
      <c r="B11594" s="3" t="s">
        <v>32925</v>
      </c>
      <c r="C11594" s="3">
        <v>3.0</v>
      </c>
      <c r="D11594" s="3">
        <v>18.0</v>
      </c>
      <c r="E11594" s="3">
        <v>23.0</v>
      </c>
      <c r="F11594" s="3" t="s">
        <v>32926</v>
      </c>
      <c r="G11594" s="3">
        <v>0.0</v>
      </c>
      <c r="H11594" s="3">
        <v>0.0</v>
      </c>
      <c r="I11594" s="3" t="s">
        <v>13</v>
      </c>
      <c r="J11594" s="3" t="s">
        <v>32927</v>
      </c>
      <c r="K11594" s="3" t="s">
        <v>4784</v>
      </c>
      <c r="L11594" s="3" t="str">
        <f>IFERROR(__xludf.DUMMYFUNCTION("GOOGLETRANSLATE(F11594,""id"",""en"")"),"One thing it feels like to make Ronaldo more annoyed is this Argentina squad PGN champion because PGN Messi champion PGN Messi lifted the World Cup trophy PGN Messi completes his career achievement Ronaldo's friend celebrates a goal sometimes he follows")</f>
        <v>One thing it feels like to make Ronaldo more annoyed is this Argentina squad PGN champion because PGN Messi champion PGN Messi lifted the World Cup trophy PGN Messi completes his career achievement Ronaldo's friend celebrates a goal sometimes he follows</v>
      </c>
    </row>
    <row r="11595" ht="15.75" customHeight="1">
      <c r="A11595" s="1">
        <v>12839.0</v>
      </c>
      <c r="B11595" s="3" t="s">
        <v>32928</v>
      </c>
      <c r="C11595" s="3">
        <v>0.0</v>
      </c>
      <c r="D11595" s="3">
        <v>0.0</v>
      </c>
      <c r="E11595" s="3">
        <v>0.0</v>
      </c>
      <c r="F11595" s="3" t="s">
        <v>32929</v>
      </c>
      <c r="G11595" s="3">
        <v>0.0</v>
      </c>
      <c r="H11595" s="3">
        <v>0.0</v>
      </c>
      <c r="I11595" s="3" t="s">
        <v>13</v>
      </c>
      <c r="J11595" s="3" t="s">
        <v>32930</v>
      </c>
      <c r="K11595" s="3" t="s">
        <v>54</v>
      </c>
      <c r="L11595" s="3" t="str">
        <f>IFERROR(__xludf.DUMMYFUNCTION("GOOGLETRANSLATE(F11595,""id"",""en"")"),"This is the reason Argentina champion bekingan is really strong")</f>
        <v>This is the reason Argentina champion bekingan is really strong</v>
      </c>
    </row>
    <row r="11596" ht="15.75" customHeight="1">
      <c r="A11596" s="1">
        <v>12840.0</v>
      </c>
      <c r="B11596" s="3" t="s">
        <v>32931</v>
      </c>
      <c r="C11596" s="3">
        <v>0.0</v>
      </c>
      <c r="D11596" s="3">
        <v>0.0</v>
      </c>
      <c r="E11596" s="3">
        <v>0.0</v>
      </c>
      <c r="F11596" s="3" t="s">
        <v>32932</v>
      </c>
      <c r="G11596" s="3">
        <v>0.7999999999999999</v>
      </c>
      <c r="H11596" s="3">
        <v>0.7000000000000001</v>
      </c>
      <c r="I11596" s="3" t="s">
        <v>48</v>
      </c>
      <c r="J11596" s="3" t="s">
        <v>32933</v>
      </c>
      <c r="K11596" s="3" t="s">
        <v>644</v>
      </c>
      <c r="L11596" s="3" t="str">
        <f>IFERROR(__xludf.DUMMYFUNCTION("GOOGLETRANSLATE(F11596,""id"",""en"")"),"Argentina Champion because it was supported by Bright")</f>
        <v>Argentina Champion because it was supported by Bright</v>
      </c>
    </row>
    <row r="11597" ht="15.75" customHeight="1">
      <c r="A11597" s="1">
        <v>12841.0</v>
      </c>
      <c r="B11597" s="3" t="s">
        <v>32934</v>
      </c>
      <c r="C11597" s="3">
        <v>0.0</v>
      </c>
      <c r="D11597" s="3">
        <v>0.0</v>
      </c>
      <c r="E11597" s="3">
        <v>0.0</v>
      </c>
      <c r="F11597" s="3" t="s">
        <v>32935</v>
      </c>
      <c r="G11597" s="3">
        <v>0.0</v>
      </c>
      <c r="H11597" s="3">
        <v>0.0</v>
      </c>
      <c r="I11597" s="3" t="s">
        <v>13</v>
      </c>
      <c r="J11597" s="3" t="s">
        <v>32936</v>
      </c>
      <c r="K11597" s="3" t="s">
        <v>477</v>
      </c>
      <c r="L11597" s="3" t="str">
        <f>IFERROR(__xludf.DUMMYFUNCTION("GOOGLETRANSLATE(F11597,""id"",""en"")"),"Vamos Argentina Tahniah Argentina won the World Cup")</f>
        <v>Vamos Argentina Tahniah Argentina won the World Cup</v>
      </c>
    </row>
    <row r="11598" ht="15.75" customHeight="1">
      <c r="A11598" s="1">
        <v>12842.0</v>
      </c>
      <c r="B11598" s="3" t="s">
        <v>32937</v>
      </c>
      <c r="C11598" s="3">
        <v>0.0</v>
      </c>
      <c r="D11598" s="3">
        <v>0.0</v>
      </c>
      <c r="E11598" s="3">
        <v>1.0</v>
      </c>
      <c r="F11598" s="3" t="s">
        <v>32938</v>
      </c>
      <c r="G11598" s="3">
        <v>0.0</v>
      </c>
      <c r="H11598" s="3">
        <v>0.0</v>
      </c>
      <c r="I11598" s="3" t="s">
        <v>13</v>
      </c>
      <c r="J11598" s="3" t="s">
        <v>32939</v>
      </c>
      <c r="K11598" s="3" t="s">
        <v>31</v>
      </c>
      <c r="L11598" s="3" t="str">
        <f>IFERROR(__xludf.DUMMYFUNCTION("GOOGLETRANSLATE(F11598,""id"",""en"")"),"Widihh turned out to be Argentina's congratulations champions")</f>
        <v>Widihh turned out to be Argentina's congratulations champions</v>
      </c>
    </row>
    <row r="11599" ht="15.75" customHeight="1">
      <c r="A11599" s="1">
        <v>12843.0</v>
      </c>
      <c r="B11599" s="3" t="s">
        <v>32940</v>
      </c>
      <c r="C11599" s="3">
        <v>0.0</v>
      </c>
      <c r="D11599" s="3">
        <v>0.0</v>
      </c>
      <c r="E11599" s="3">
        <v>0.0</v>
      </c>
      <c r="F11599" s="3" t="s">
        <v>32941</v>
      </c>
      <c r="G11599" s="3">
        <v>0.0</v>
      </c>
      <c r="H11599" s="3">
        <v>0.0</v>
      </c>
      <c r="I11599" s="3" t="s">
        <v>13</v>
      </c>
      <c r="J11599" s="3" t="s">
        <v>32942</v>
      </c>
      <c r="K11599" s="3" t="s">
        <v>82</v>
      </c>
      <c r="L11599" s="3" t="str">
        <f>IFERROR(__xludf.DUMMYFUNCTION("GOOGLETRANSLATE(F11599,""id"",""en"")"),"Will Indonesia be like Argentina from Runner continue to be HMMM champions")</f>
        <v>Will Indonesia be like Argentina from Runner continue to be HMMM champions</v>
      </c>
    </row>
    <row r="11600" ht="15.75" customHeight="1">
      <c r="A11600" s="1">
        <v>12844.0</v>
      </c>
      <c r="B11600" s="3" t="s">
        <v>32943</v>
      </c>
      <c r="C11600" s="3">
        <v>0.0</v>
      </c>
      <c r="D11600" s="3">
        <v>0.0</v>
      </c>
      <c r="E11600" s="3">
        <v>27.0</v>
      </c>
      <c r="F11600" s="3" t="s">
        <v>32944</v>
      </c>
      <c r="G11600" s="3">
        <v>0.0</v>
      </c>
      <c r="H11600" s="3">
        <v>0.0</v>
      </c>
      <c r="I11600" s="3" t="s">
        <v>13</v>
      </c>
      <c r="J11600" s="3" t="s">
        <v>32945</v>
      </c>
      <c r="K11600" s="3" t="s">
        <v>41</v>
      </c>
      <c r="L11600" s="3" t="str">
        <f>IFERROR(__xludf.DUMMYFUNCTION("GOOGLETRANSLATE(F11600,""id"",""en"")"),"Good morning from the players who successfully embraced champions with the Argentine national team")</f>
        <v>Good morning from the players who successfully embraced champions with the Argentine national team</v>
      </c>
    </row>
    <row r="11601" ht="15.75" customHeight="1">
      <c r="A11601" s="1">
        <v>12845.0</v>
      </c>
      <c r="B11601" s="3" t="s">
        <v>32946</v>
      </c>
      <c r="C11601" s="3">
        <v>0.0</v>
      </c>
      <c r="D11601" s="3">
        <v>1.0</v>
      </c>
      <c r="E11601" s="3">
        <v>1.0</v>
      </c>
      <c r="F11601" s="3" t="s">
        <v>32947</v>
      </c>
      <c r="G11601" s="3">
        <v>0.0</v>
      </c>
      <c r="H11601" s="3">
        <v>0.0</v>
      </c>
      <c r="I11601" s="3" t="s">
        <v>13</v>
      </c>
      <c r="J11601" s="3" t="s">
        <v>32948</v>
      </c>
      <c r="K11601" s="3" t="s">
        <v>50</v>
      </c>
      <c r="L11601" s="3" t="str">
        <f>IFERROR(__xludf.DUMMYFUNCTION("GOOGLETRANSLATE(F11601,""id"",""en"")"),"Argentina Sabet The third title is a complete list of World Cup Champion all time")</f>
        <v>Argentina Sabet The third title is a complete list of World Cup Champion all time</v>
      </c>
    </row>
    <row r="11602" ht="15.75" customHeight="1">
      <c r="A11602" s="1">
        <v>12846.0</v>
      </c>
      <c r="B11602" s="3" t="s">
        <v>32949</v>
      </c>
      <c r="C11602" s="3">
        <v>1.0</v>
      </c>
      <c r="D11602" s="3">
        <v>0.0</v>
      </c>
      <c r="E11602" s="3">
        <v>0.0</v>
      </c>
      <c r="F11602" s="3" t="s">
        <v>32950</v>
      </c>
      <c r="G11602" s="3">
        <v>0.0</v>
      </c>
      <c r="H11602" s="3">
        <v>0.0</v>
      </c>
      <c r="I11602" s="3" t="s">
        <v>13</v>
      </c>
      <c r="J11602" s="3" t="s">
        <v>32951</v>
      </c>
      <c r="K11602" s="3" t="s">
        <v>657</v>
      </c>
      <c r="L11602" s="3" t="str">
        <f>IFERROR(__xludf.DUMMYFUNCTION("GOOGLETRANSLATE(F11602,""id"",""en"")"),"Argentina Kali Champion World Cup Name of the Letter of the World Cup Tropy Mario Kempes Maradona Mesi")</f>
        <v>Argentina Kali Champion World Cup Name of the Letter of the World Cup Tropy Mario Kempes Maradona Mesi</v>
      </c>
    </row>
    <row r="11603" ht="15.75" customHeight="1">
      <c r="A11603" s="1">
        <v>12847.0</v>
      </c>
      <c r="B11603" s="3" t="s">
        <v>32952</v>
      </c>
      <c r="C11603" s="3">
        <v>1.0</v>
      </c>
      <c r="D11603" s="3">
        <v>0.0</v>
      </c>
      <c r="E11603" s="3">
        <v>1.0</v>
      </c>
      <c r="F11603" s="3" t="s">
        <v>32499</v>
      </c>
      <c r="G11603" s="3">
        <v>0.0</v>
      </c>
      <c r="H11603" s="3">
        <v>0.0</v>
      </c>
      <c r="I11603" s="3" t="s">
        <v>13</v>
      </c>
      <c r="J11603" s="3" t="s">
        <v>32500</v>
      </c>
      <c r="K11603" s="3" t="s">
        <v>75</v>
      </c>
      <c r="L11603" s="3" t="str">
        <f>IFERROR(__xludf.DUMMYFUNCTION("GOOGLETRANSLATE(F11603,""id"",""en"")"),"Argentina The French World Cup champions failed to follow the footsteps of Italy and Brazil")</f>
        <v>Argentina The French World Cup champions failed to follow the footsteps of Italy and Brazil</v>
      </c>
    </row>
    <row r="11604" ht="15.75" customHeight="1">
      <c r="A11604" s="1">
        <v>12848.0</v>
      </c>
      <c r="B11604" s="3" t="s">
        <v>32953</v>
      </c>
      <c r="C11604" s="3">
        <v>0.0</v>
      </c>
      <c r="D11604" s="3">
        <v>0.0</v>
      </c>
      <c r="E11604" s="3">
        <v>1.0</v>
      </c>
      <c r="F11604" s="3" t="s">
        <v>32954</v>
      </c>
      <c r="G11604" s="3">
        <v>0.4333333333333333</v>
      </c>
      <c r="H11604" s="3">
        <v>-0.1666666666666667</v>
      </c>
      <c r="I11604" s="3" t="s">
        <v>179</v>
      </c>
      <c r="J11604" s="3" t="s">
        <v>32955</v>
      </c>
      <c r="K11604" s="3" t="s">
        <v>50</v>
      </c>
      <c r="L11604" s="3" t="str">
        <f>IFERROR(__xludf.DUMMYFUNCTION("GOOGLETRANSLATE(F11604,""id"",""en"")"),"Argentina World Champion And Hatred for Black Communities I think it will be an interesting title")</f>
        <v>Argentina World Champion And Hatred for Black Communities I think it will be an interesting title</v>
      </c>
    </row>
    <row r="11605" ht="15.75" customHeight="1">
      <c r="A11605" s="1">
        <v>12849.0</v>
      </c>
      <c r="B11605" s="3" t="s">
        <v>32956</v>
      </c>
      <c r="C11605" s="3">
        <v>0.0</v>
      </c>
      <c r="D11605" s="3">
        <v>0.0</v>
      </c>
      <c r="E11605" s="3">
        <v>0.0</v>
      </c>
      <c r="F11605" s="3" t="s">
        <v>32957</v>
      </c>
      <c r="G11605" s="3">
        <v>0.0</v>
      </c>
      <c r="H11605" s="3">
        <v>0.0</v>
      </c>
      <c r="I11605" s="3" t="s">
        <v>13</v>
      </c>
      <c r="J11605" s="3" t="s">
        <v>32958</v>
      </c>
      <c r="K11605" s="3" t="s">
        <v>35</v>
      </c>
      <c r="L11605" s="3" t="str">
        <f>IFERROR(__xludf.DUMMYFUNCTION("GOOGLETRANSLATE(F11605,""id"",""en"")"),"Morning Morning Getting Argentina News Champion So Gaenak with French Fans")</f>
        <v>Morning Morning Getting Argentina News Champion So Gaenak with French Fans</v>
      </c>
    </row>
    <row r="11606" ht="15.75" customHeight="1">
      <c r="A11606" s="1">
        <v>12850.0</v>
      </c>
      <c r="B11606" s="3" t="s">
        <v>32959</v>
      </c>
      <c r="C11606" s="3">
        <v>0.0</v>
      </c>
      <c r="D11606" s="3">
        <v>0.0</v>
      </c>
      <c r="E11606" s="3">
        <v>0.0</v>
      </c>
      <c r="F11606" s="3" t="s">
        <v>20413</v>
      </c>
      <c r="G11606" s="3">
        <v>0.0</v>
      </c>
      <c r="H11606" s="3">
        <v>0.0</v>
      </c>
      <c r="I11606" s="3" t="s">
        <v>13</v>
      </c>
      <c r="J11606" s="3" t="s">
        <v>20414</v>
      </c>
      <c r="K11606" s="3" t="s">
        <v>31</v>
      </c>
      <c r="L11606" s="3" t="str">
        <f>IFERROR(__xludf.DUMMYFUNCTION("GOOGLETRANSLATE(F11606,""id"",""en"")"),"SAH Argentina World Cup Champion")</f>
        <v>SAH Argentina World Cup Champion</v>
      </c>
    </row>
    <row r="11607" ht="15.75" customHeight="1">
      <c r="A11607" s="1">
        <v>12851.0</v>
      </c>
      <c r="B11607" s="3" t="s">
        <v>32960</v>
      </c>
      <c r="C11607" s="3">
        <v>0.0</v>
      </c>
      <c r="D11607" s="3">
        <v>0.0</v>
      </c>
      <c r="E11607" s="3">
        <v>0.0</v>
      </c>
      <c r="F11607" s="3" t="s">
        <v>32961</v>
      </c>
      <c r="G11607" s="3">
        <v>0.0</v>
      </c>
      <c r="H11607" s="3">
        <v>0.0</v>
      </c>
      <c r="I11607" s="3" t="s">
        <v>13</v>
      </c>
      <c r="J11607" s="3" t="s">
        <v>32962</v>
      </c>
      <c r="K11607" s="3" t="s">
        <v>184</v>
      </c>
      <c r="L11607" s="3" t="str">
        <f>IFERROR(__xludf.DUMMYFUNCTION("GOOGLETRANSLATE(F11607,""id"",""en"")"),"It turns out that the true predictions of Argentina World Cup champions last night believed France would win only Mamak himself who was holding Argentina")</f>
        <v>It turns out that the true predictions of Argentina World Cup champions last night believed France would win only Mamak himself who was holding Argentina</v>
      </c>
    </row>
    <row r="11608" ht="15.75" customHeight="1">
      <c r="A11608" s="1">
        <v>12852.0</v>
      </c>
      <c r="B11608" s="3" t="s">
        <v>32963</v>
      </c>
      <c r="C11608" s="3">
        <v>0.0</v>
      </c>
      <c r="D11608" s="3">
        <v>0.0</v>
      </c>
      <c r="E11608" s="3">
        <v>0.0</v>
      </c>
      <c r="F11608" s="3" t="s">
        <v>32964</v>
      </c>
      <c r="G11608" s="3">
        <v>0.0</v>
      </c>
      <c r="H11608" s="3">
        <v>0.0</v>
      </c>
      <c r="I11608" s="3" t="s">
        <v>13</v>
      </c>
      <c r="J11608" s="3" t="s">
        <v>29494</v>
      </c>
      <c r="K11608" s="3" t="s">
        <v>644</v>
      </c>
      <c r="L11608" s="3" t="str">
        <f>IFERROR(__xludf.DUMMYFUNCTION("GOOGLETRANSLATE(F11608,""id"",""en"")"),"Our Argentine President World Champion")</f>
        <v>Our Argentine President World Champion</v>
      </c>
    </row>
    <row r="11609" ht="15.75" customHeight="1">
      <c r="A11609" s="1">
        <v>12853.0</v>
      </c>
      <c r="B11609" s="3" t="s">
        <v>32965</v>
      </c>
      <c r="C11609" s="3">
        <v>0.0</v>
      </c>
      <c r="D11609" s="3">
        <v>0.0</v>
      </c>
      <c r="E11609" s="3">
        <v>0.0</v>
      </c>
      <c r="F11609" s="3" t="s">
        <v>32966</v>
      </c>
      <c r="G11609" s="3">
        <v>0.0</v>
      </c>
      <c r="H11609" s="3">
        <v>0.0</v>
      </c>
      <c r="I11609" s="3" t="s">
        <v>13</v>
      </c>
      <c r="J11609" s="3" t="s">
        <v>32967</v>
      </c>
      <c r="K11609" s="3" t="s">
        <v>31</v>
      </c>
      <c r="L11609" s="3" t="str">
        <f>IFERROR(__xludf.DUMMYFUNCTION("GOOGLETRANSLATE(F11609,""id"",""en"")"),"Drama Argentina World Cup Champion")</f>
        <v>Drama Argentina World Cup Champion</v>
      </c>
    </row>
    <row r="11610" ht="15.75" customHeight="1">
      <c r="A11610" s="1">
        <v>12854.0</v>
      </c>
      <c r="B11610" s="3" t="s">
        <v>32968</v>
      </c>
      <c r="C11610" s="3">
        <v>0.0</v>
      </c>
      <c r="D11610" s="3">
        <v>0.0</v>
      </c>
      <c r="E11610" s="3">
        <v>0.0</v>
      </c>
      <c r="F11610" s="3" t="s">
        <v>20413</v>
      </c>
      <c r="G11610" s="3">
        <v>0.0</v>
      </c>
      <c r="H11610" s="3">
        <v>0.0</v>
      </c>
      <c r="I11610" s="3" t="s">
        <v>13</v>
      </c>
      <c r="J11610" s="3" t="s">
        <v>20414</v>
      </c>
      <c r="K11610" s="3" t="s">
        <v>31</v>
      </c>
      <c r="L11610" s="3" t="str">
        <f>IFERROR(__xludf.DUMMYFUNCTION("GOOGLETRANSLATE(F11610,""id"",""en"")"),"SAH Argentina World Cup Champion")</f>
        <v>SAH Argentina World Cup Champion</v>
      </c>
    </row>
    <row r="11611" ht="15.75" customHeight="1">
      <c r="A11611" s="1">
        <v>12855.0</v>
      </c>
      <c r="B11611" s="3" t="s">
        <v>32969</v>
      </c>
      <c r="C11611" s="3">
        <v>0.0</v>
      </c>
      <c r="D11611" s="3">
        <v>0.0</v>
      </c>
      <c r="E11611" s="3">
        <v>0.0</v>
      </c>
      <c r="F11611" s="3" t="s">
        <v>32970</v>
      </c>
      <c r="G11611" s="3">
        <v>0.0</v>
      </c>
      <c r="H11611" s="3">
        <v>0.0</v>
      </c>
      <c r="I11611" s="3" t="s">
        <v>13</v>
      </c>
      <c r="J11611" s="3" t="s">
        <v>32971</v>
      </c>
      <c r="K11611" s="3" t="s">
        <v>322</v>
      </c>
      <c r="L11611" s="3" t="str">
        <f>IFERROR(__xludf.DUMMYFUNCTION("GOOGLETRANSLATE(F11611,""id"",""en"")"),"Saudi Arabia's champion because Argentina only lost to Saudi")</f>
        <v>Saudi Arabia's champion because Argentina only lost to Saudi</v>
      </c>
    </row>
    <row r="11612" ht="15.75" customHeight="1">
      <c r="A11612" s="1">
        <v>12856.0</v>
      </c>
      <c r="B11612" s="3" t="s">
        <v>32972</v>
      </c>
      <c r="C11612" s="3">
        <v>2.0</v>
      </c>
      <c r="D11612" s="3">
        <v>0.0</v>
      </c>
      <c r="E11612" s="3">
        <v>0.0</v>
      </c>
      <c r="F11612" s="3" t="s">
        <v>32973</v>
      </c>
      <c r="G11612" s="3">
        <v>1.0</v>
      </c>
      <c r="H11612" s="3">
        <v>0.1</v>
      </c>
      <c r="I11612" s="3" t="s">
        <v>48</v>
      </c>
      <c r="J11612" s="3" t="s">
        <v>32974</v>
      </c>
      <c r="K11612" s="3" t="s">
        <v>188</v>
      </c>
      <c r="L11612" s="3" t="str">
        <f>IFERROR(__xludf.DUMMYFUNCTION("GOOGLETRANSLATE(F11612,""id"",""en"")"),"I just followed when the world cup was just because this year this many people are unexpected from the preliminary round like the early Argentina was defeated by Saudi Arabia but Argentina who became a world champion and match that was exciting last night")</f>
        <v>I just followed when the world cup was just because this year this many people are unexpected from the preliminary round like the early Argentina was defeated by Saudi Arabia but Argentina who became a world champion and match that was exciting last night</v>
      </c>
    </row>
    <row r="11613" ht="15.75" customHeight="1">
      <c r="A11613" s="1">
        <v>12857.0</v>
      </c>
      <c r="B11613" s="3" t="s">
        <v>32975</v>
      </c>
      <c r="C11613" s="3">
        <v>0.0</v>
      </c>
      <c r="D11613" s="3">
        <v>1.0</v>
      </c>
      <c r="E11613" s="3">
        <v>1.0</v>
      </c>
      <c r="F11613" s="3" t="s">
        <v>32976</v>
      </c>
      <c r="G11613" s="3">
        <v>0.4</v>
      </c>
      <c r="H11613" s="3">
        <v>-0.4</v>
      </c>
      <c r="I11613" s="3" t="s">
        <v>179</v>
      </c>
      <c r="J11613" s="3" t="s">
        <v>32977</v>
      </c>
      <c r="K11613" s="3" t="s">
        <v>71</v>
      </c>
      <c r="L11613" s="3" t="str">
        <f>IFERROR(__xludf.DUMMYFUNCTION("GOOGLETRANSLATE(F11613,""id"",""en"")"),"Leo Messi Player The Match The Biggest Kembarabola Trusted Since the Most Complete Game Winning any if you must be paid")</f>
        <v>Leo Messi Player The Match The Biggest Kembarabola Trusted Since the Most Complete Game Winning any if you must be paid</v>
      </c>
    </row>
    <row r="11614" ht="15.75" customHeight="1">
      <c r="A11614" s="1">
        <v>12858.0</v>
      </c>
      <c r="B11614" s="3" t="s">
        <v>32978</v>
      </c>
      <c r="C11614" s="3">
        <v>0.0</v>
      </c>
      <c r="D11614" s="3">
        <v>0.0</v>
      </c>
      <c r="E11614" s="3">
        <v>0.0</v>
      </c>
      <c r="F11614" s="3" t="s">
        <v>32979</v>
      </c>
      <c r="G11614" s="3">
        <v>0.0</v>
      </c>
      <c r="H11614" s="3">
        <v>0.0</v>
      </c>
      <c r="I11614" s="3" t="s">
        <v>13</v>
      </c>
      <c r="J11614" s="3" t="s">
        <v>32980</v>
      </c>
      <c r="K11614" s="3" t="s">
        <v>644</v>
      </c>
      <c r="L11614" s="3" t="str">
        <f>IFERROR(__xludf.DUMMYFUNCTION("GOOGLETRANSLATE(F11614,""id"",""en"")"),"Argentina Pantes for Champion")</f>
        <v>Argentina Pantes for Champion</v>
      </c>
    </row>
    <row r="11615" ht="15.75" customHeight="1">
      <c r="A11615" s="1">
        <v>12859.0</v>
      </c>
      <c r="B11615" s="3" t="s">
        <v>32981</v>
      </c>
      <c r="C11615" s="3">
        <v>0.0</v>
      </c>
      <c r="D11615" s="3">
        <v>0.0</v>
      </c>
      <c r="E11615" s="3">
        <v>0.0</v>
      </c>
      <c r="F11615" s="3" t="s">
        <v>32982</v>
      </c>
      <c r="G11615" s="3">
        <v>0.0</v>
      </c>
      <c r="H11615" s="3">
        <v>0.0</v>
      </c>
      <c r="I11615" s="3" t="s">
        <v>13</v>
      </c>
      <c r="J11615" s="3" t="s">
        <v>32983</v>
      </c>
      <c r="K11615" s="3" t="s">
        <v>58</v>
      </c>
      <c r="L11615" s="3" t="str">
        <f>IFERROR(__xludf.DUMMYFUNCTION("GOOGLETRANSLATE(F11615,""id"",""en"")"),"guess whether Mr. Jokowi our President congratulates the Argentine President for the achievement of the World Cup championship")</f>
        <v>guess whether Mr. Jokowi our President congratulates the Argentine President for the achievement of the World Cup championship</v>
      </c>
    </row>
    <row r="11616" ht="15.75" customHeight="1">
      <c r="A11616" s="1">
        <v>12860.0</v>
      </c>
      <c r="B11616" s="3" t="s">
        <v>32984</v>
      </c>
      <c r="C11616" s="3">
        <v>0.0</v>
      </c>
      <c r="D11616" s="3">
        <v>0.0</v>
      </c>
      <c r="E11616" s="3">
        <v>0.0</v>
      </c>
      <c r="F11616" s="3" t="s">
        <v>32985</v>
      </c>
      <c r="G11616" s="3">
        <v>0.0</v>
      </c>
      <c r="H11616" s="3">
        <v>0.0</v>
      </c>
      <c r="I11616" s="3" t="s">
        <v>13</v>
      </c>
      <c r="J11616" s="3" t="s">
        <v>32986</v>
      </c>
      <c r="K11616" s="3" t="s">
        <v>41</v>
      </c>
      <c r="L11616" s="3" t="str">
        <f>IFERROR(__xludf.DUMMYFUNCTION("GOOGLETRANSLATE(F11616,""id"",""en"")"),"ASYYIIKKKK Argentina is indeed a champion every World Cup Huhuuuyy")</f>
        <v>ASYYIIKKKK Argentina is indeed a champion every World Cup Huhuuuyy</v>
      </c>
    </row>
    <row r="11617" ht="15.75" customHeight="1">
      <c r="A11617" s="1">
        <v>12861.0</v>
      </c>
      <c r="B11617" s="3" t="s">
        <v>32987</v>
      </c>
      <c r="C11617" s="3">
        <v>0.0</v>
      </c>
      <c r="D11617" s="3">
        <v>0.0</v>
      </c>
      <c r="E11617" s="3">
        <v>0.0</v>
      </c>
      <c r="F11617" s="3" t="s">
        <v>32988</v>
      </c>
      <c r="G11617" s="3">
        <v>0.0</v>
      </c>
      <c r="H11617" s="3">
        <v>0.0</v>
      </c>
      <c r="I11617" s="3" t="s">
        <v>13</v>
      </c>
      <c r="J11617" s="3" t="s">
        <v>32989</v>
      </c>
      <c r="K11617" s="3" t="s">
        <v>14571</v>
      </c>
      <c r="L11617" s="3" t="str">
        <f>IFERROR(__xludf.DUMMYFUNCTION("GOOGLETRANSLATE(F11617,""id"",""en"")"),"world champion")</f>
        <v>world champion</v>
      </c>
    </row>
    <row r="11618" ht="15.75" customHeight="1">
      <c r="A11618" s="1">
        <v>12862.0</v>
      </c>
      <c r="B11618" s="3" t="s">
        <v>32990</v>
      </c>
      <c r="C11618" s="3">
        <v>0.0</v>
      </c>
      <c r="D11618" s="3">
        <v>0.0</v>
      </c>
      <c r="E11618" s="3">
        <v>0.0</v>
      </c>
      <c r="F11618" s="3" t="s">
        <v>32991</v>
      </c>
      <c r="G11618" s="3">
        <v>0.0</v>
      </c>
      <c r="H11618" s="3">
        <v>0.0</v>
      </c>
      <c r="I11618" s="3" t="s">
        <v>13</v>
      </c>
      <c r="J11618" s="3" t="s">
        <v>32992</v>
      </c>
      <c r="K11618" s="3" t="s">
        <v>3896</v>
      </c>
      <c r="L11618" s="3" t="str">
        <f>IFERROR(__xludf.DUMMYFUNCTION("GOOGLETRANSLATE(F11618,""id"",""en"")"),"Congratulations for Argentina to become the World Cup champion, congratulations for Emi to be linked to Arsenal soon because it won the World Cup for the first time after moving from Arsenal")</f>
        <v>Congratulations for Argentina to become the World Cup champion, congratulations for Emi to be linked to Arsenal soon because it won the World Cup for the first time after moving from Arsenal</v>
      </c>
    </row>
    <row r="11619" ht="15.75" customHeight="1">
      <c r="A11619" s="1">
        <v>12863.0</v>
      </c>
      <c r="B11619" s="3" t="s">
        <v>32993</v>
      </c>
      <c r="C11619" s="3">
        <v>0.0</v>
      </c>
      <c r="D11619" s="3">
        <v>0.0</v>
      </c>
      <c r="E11619" s="3">
        <v>0.0</v>
      </c>
      <c r="F11619" s="3" t="s">
        <v>32994</v>
      </c>
      <c r="G11619" s="3">
        <v>0.3333333333333333</v>
      </c>
      <c r="H11619" s="3">
        <v>0.1833333333333333</v>
      </c>
      <c r="I11619" s="3" t="s">
        <v>48</v>
      </c>
      <c r="J11619" s="3" t="s">
        <v>32995</v>
      </c>
      <c r="K11619" s="3" t="s">
        <v>456</v>
      </c>
      <c r="L11619" s="3" t="str">
        <f>IFERROR(__xludf.DUMMYFUNCTION("GOOGLETRANSLATE(F11619,""id"",""en"")"),"FIRST HALF FRANCE EMPTY AGAIN SECOND HALF HAVE PLOT TWIST IS THE BEST TAKPE MBAPPE MUTH MORNING FLAWLESS LOSE MAK MAK WHICH WHAT IS SKINCARE APA MMG MBAPPE SORG IN FRANCE BTW BLUE PUTIH CHAMPION")</f>
        <v>FIRST HALF FRANCE EMPTY AGAIN SECOND HALF HAVE PLOT TWIST IS THE BEST TAKPE MBAPPE MUTH MORNING FLAWLESS LOSE MAK MAK WHICH WHAT IS SKINCARE APA MMG MBAPPE SORG IN FRANCE BTW BLUE PUTIH CHAMPION</v>
      </c>
    </row>
    <row r="11620" ht="15.75" customHeight="1">
      <c r="A11620" s="1">
        <v>12864.0</v>
      </c>
      <c r="B11620" s="3" t="s">
        <v>32996</v>
      </c>
      <c r="C11620" s="3">
        <v>4.0</v>
      </c>
      <c r="D11620" s="3">
        <v>0.0</v>
      </c>
      <c r="E11620" s="3">
        <v>25.0</v>
      </c>
      <c r="F11620" s="3" t="s">
        <v>32997</v>
      </c>
      <c r="G11620" s="3">
        <v>0.0</v>
      </c>
      <c r="H11620" s="3">
        <v>0.0</v>
      </c>
      <c r="I11620" s="3" t="s">
        <v>13</v>
      </c>
      <c r="J11620" s="3" t="s">
        <v>32998</v>
      </c>
      <c r="K11620" s="3" t="s">
        <v>1699</v>
      </c>
      <c r="L11620" s="3" t="str">
        <f>IFERROR(__xludf.DUMMYFUNCTION("GOOGLETRANSLATE(F11620,""id"",""en"")"),"Good morning and congratulations for Argentina supporters to become World Cup champions until they meet again where I will open the services of the taste, maaaak really see Messi kiss the Cup Maaaak")</f>
        <v>Good morning and congratulations for Argentina supporters to become World Cup champions until they meet again where I will open the services of the taste, maaaak really see Messi kiss the Cup Maaaak</v>
      </c>
    </row>
    <row r="11621" ht="15.75" customHeight="1">
      <c r="A11621" s="1">
        <v>12865.0</v>
      </c>
      <c r="B11621" s="3" t="s">
        <v>32999</v>
      </c>
      <c r="C11621" s="3">
        <v>0.0</v>
      </c>
      <c r="D11621" s="3">
        <v>0.0</v>
      </c>
      <c r="E11621" s="3">
        <v>0.0</v>
      </c>
      <c r="F11621" s="3" t="s">
        <v>33000</v>
      </c>
      <c r="G11621" s="3">
        <v>0.0</v>
      </c>
      <c r="H11621" s="3">
        <v>0.0</v>
      </c>
      <c r="I11621" s="3" t="s">
        <v>13</v>
      </c>
      <c r="J11621" s="3" t="s">
        <v>33001</v>
      </c>
      <c r="K11621" s="3" t="s">
        <v>15</v>
      </c>
      <c r="L11621" s="3" t="str">
        <f>IFERROR(__xludf.DUMMYFUNCTION("GOOGLETRANSLATE(F11621,""id"",""en"")"),"Through the final drama of Argentina Champion World Cup Qatar")</f>
        <v>Through the final drama of Argentina Champion World Cup Qatar</v>
      </c>
    </row>
    <row r="11622" ht="15.75" customHeight="1">
      <c r="A11622" s="1">
        <v>12866.0</v>
      </c>
      <c r="B11622" s="3" t="s">
        <v>33002</v>
      </c>
      <c r="C11622" s="3">
        <v>0.0</v>
      </c>
      <c r="D11622" s="3">
        <v>0.0</v>
      </c>
      <c r="E11622" s="3">
        <v>2.0</v>
      </c>
      <c r="F11622" s="3" t="s">
        <v>33003</v>
      </c>
      <c r="G11622" s="3">
        <v>0.0</v>
      </c>
      <c r="H11622" s="3">
        <v>0.0</v>
      </c>
      <c r="I11622" s="3" t="s">
        <v>13</v>
      </c>
      <c r="J11622" s="3" t="s">
        <v>33004</v>
      </c>
      <c r="K11622" s="3" t="s">
        <v>90</v>
      </c>
      <c r="L11622" s="3" t="str">
        <f>IFERROR(__xludf.DUMMYFUNCTION("GOOGLETRANSLATE(F11622,""id"",""en"")"),"Redsindo is still not able to sleep Alhamdulillah, Allah is waiting for the year as Argentina fans and Messi finally I can see the world champion, it's time to find a mate")</f>
        <v>Redsindo is still not able to sleep Alhamdulillah, Allah is waiting for the year as Argentina fans and Messi finally I can see the world champion, it's time to find a mate</v>
      </c>
    </row>
    <row r="11623" ht="15.75" customHeight="1">
      <c r="A11623" s="1">
        <v>12867.0</v>
      </c>
      <c r="B11623" s="3" t="s">
        <v>33005</v>
      </c>
      <c r="C11623" s="3">
        <v>1.0</v>
      </c>
      <c r="D11623" s="3">
        <v>0.0</v>
      </c>
      <c r="E11623" s="3">
        <v>6.0</v>
      </c>
      <c r="F11623" s="3" t="s">
        <v>33006</v>
      </c>
      <c r="G11623" s="3">
        <v>0.0</v>
      </c>
      <c r="H11623" s="3">
        <v>0.0</v>
      </c>
      <c r="I11623" s="3" t="s">
        <v>13</v>
      </c>
      <c r="J11623" s="3" t="s">
        <v>33007</v>
      </c>
      <c r="K11623" s="3" t="s">
        <v>54</v>
      </c>
      <c r="L11623" s="3" t="str">
        <f>IFERROR(__xludf.DUMMYFUNCTION("GOOGLETRANSLATE(F11623,""id"",""en"")"),"Argentine world champion Messi Raul Lemos")</f>
        <v>Argentine world champion Messi Raul Lemos</v>
      </c>
    </row>
    <row r="11624" ht="15.75" customHeight="1">
      <c r="A11624" s="1">
        <v>12868.0</v>
      </c>
      <c r="B11624" s="3" t="s">
        <v>33008</v>
      </c>
      <c r="C11624" s="3">
        <v>1.0</v>
      </c>
      <c r="D11624" s="3">
        <v>4.0</v>
      </c>
      <c r="E11624" s="3">
        <v>12.0</v>
      </c>
      <c r="F11624" s="3" t="s">
        <v>33009</v>
      </c>
      <c r="G11624" s="3">
        <v>0.0</v>
      </c>
      <c r="H11624" s="3">
        <v>0.0</v>
      </c>
      <c r="I11624" s="3" t="s">
        <v>13</v>
      </c>
      <c r="J11624" s="3" t="s">
        <v>33010</v>
      </c>
      <c r="K11624" s="3" t="s">
        <v>1359</v>
      </c>
      <c r="L11624" s="3" t="str">
        <f>IFERROR(__xludf.DUMMYFUNCTION("GOOGLETRANSLATE(F11624,""id"",""en"")"),"Argentina Champion World Cup Fever World Cup AFF Cup Fever")</f>
        <v>Argentina Champion World Cup Fever World Cup AFF Cup Fever</v>
      </c>
    </row>
    <row r="11625" ht="15.75" customHeight="1">
      <c r="A11625" s="1">
        <v>12869.0</v>
      </c>
      <c r="B11625" s="3" t="s">
        <v>33011</v>
      </c>
      <c r="C11625" s="3">
        <v>0.0</v>
      </c>
      <c r="D11625" s="3">
        <v>0.0</v>
      </c>
      <c r="E11625" s="3">
        <v>0.0</v>
      </c>
      <c r="F11625" s="3" t="s">
        <v>33012</v>
      </c>
      <c r="G11625" s="3">
        <v>0.0</v>
      </c>
      <c r="H11625" s="3">
        <v>0.0</v>
      </c>
      <c r="I11625" s="3" t="s">
        <v>13</v>
      </c>
      <c r="J11625" s="3" t="s">
        <v>33013</v>
      </c>
      <c r="K11625" s="3" t="s">
        <v>75</v>
      </c>
      <c r="L11625" s="3" t="str">
        <f>IFERROR(__xludf.DUMMYFUNCTION("GOOGLETRANSLATE(F11625,""id"",""en"")"),"The Argentine national team is now a three -star list of World Cup champions since")</f>
        <v>The Argentine national team is now a three -star list of World Cup champions since</v>
      </c>
    </row>
    <row r="11626" ht="15.75" customHeight="1">
      <c r="A11626" s="1">
        <v>12870.0</v>
      </c>
      <c r="B11626" s="3" t="s">
        <v>33014</v>
      </c>
      <c r="C11626" s="3">
        <v>0.0</v>
      </c>
      <c r="D11626" s="3">
        <v>0.0</v>
      </c>
      <c r="E11626" s="3">
        <v>0.0</v>
      </c>
      <c r="F11626" s="3" t="s">
        <v>33012</v>
      </c>
      <c r="G11626" s="3">
        <v>0.0</v>
      </c>
      <c r="H11626" s="3">
        <v>0.0</v>
      </c>
      <c r="I11626" s="3" t="s">
        <v>13</v>
      </c>
      <c r="J11626" s="3" t="s">
        <v>33013</v>
      </c>
      <c r="K11626" s="3" t="s">
        <v>75</v>
      </c>
      <c r="L11626" s="3" t="str">
        <f>IFERROR(__xludf.DUMMYFUNCTION("GOOGLETRANSLATE(F11626,""id"",""en"")"),"The Argentine national team is now a three -star list of World Cup champions since")</f>
        <v>The Argentine national team is now a three -star list of World Cup champions since</v>
      </c>
    </row>
    <row r="11627" ht="15.75" customHeight="1">
      <c r="A11627" s="1">
        <v>12871.0</v>
      </c>
      <c r="B11627" s="3" t="s">
        <v>33015</v>
      </c>
      <c r="C11627" s="3">
        <v>0.0</v>
      </c>
      <c r="D11627" s="3">
        <v>0.0</v>
      </c>
      <c r="E11627" s="3">
        <v>0.0</v>
      </c>
      <c r="F11627" s="3" t="s">
        <v>33016</v>
      </c>
      <c r="G11627" s="3">
        <v>0.0</v>
      </c>
      <c r="H11627" s="3">
        <v>0.0</v>
      </c>
      <c r="I11627" s="3" t="s">
        <v>13</v>
      </c>
      <c r="J11627" s="3" t="s">
        <v>33017</v>
      </c>
      <c r="K11627" s="3" t="s">
        <v>54</v>
      </c>
      <c r="L11627" s="3" t="str">
        <f>IFERROR(__xludf.DUMMYFUNCTION("GOOGLETRANSLATE(F11627,""id"",""en"")"),"football world champion between Argentina African")</f>
        <v>football world champion between Argentina African</v>
      </c>
    </row>
    <row r="11628" ht="15.75" customHeight="1">
      <c r="A11628" s="1">
        <v>12872.0</v>
      </c>
      <c r="B11628" s="3" t="s">
        <v>33018</v>
      </c>
      <c r="C11628" s="3">
        <v>0.0</v>
      </c>
      <c r="D11628" s="3">
        <v>0.0</v>
      </c>
      <c r="E11628" s="3">
        <v>0.0</v>
      </c>
      <c r="F11628" s="3" t="s">
        <v>33019</v>
      </c>
      <c r="G11628" s="3">
        <v>0.0</v>
      </c>
      <c r="H11628" s="3">
        <v>0.0</v>
      </c>
      <c r="I11628" s="3" t="s">
        <v>13</v>
      </c>
      <c r="J11628" s="3" t="s">
        <v>33020</v>
      </c>
      <c r="K11628" s="3" t="s">
        <v>19</v>
      </c>
      <c r="L11628" s="3" t="str">
        <f>IFERROR(__xludf.DUMMYFUNCTION("GOOGLETRANSLATE(F11628,""id"",""en"")"),"Argentina Happy Country Words World Cup Champion Numbers Shamed France Last Year")</f>
        <v>Argentina Happy Country Words World Cup Champion Numbers Shamed France Last Year</v>
      </c>
    </row>
    <row r="11629" ht="15.75" customHeight="1">
      <c r="A11629" s="1">
        <v>12873.0</v>
      </c>
      <c r="B11629" s="3" t="s">
        <v>33021</v>
      </c>
      <c r="C11629" s="3">
        <v>0.0</v>
      </c>
      <c r="D11629" s="3">
        <v>0.0</v>
      </c>
      <c r="E11629" s="3">
        <v>1.0</v>
      </c>
      <c r="F11629" s="3" t="s">
        <v>33022</v>
      </c>
      <c r="G11629" s="3">
        <v>0.0</v>
      </c>
      <c r="H11629" s="3">
        <v>0.0</v>
      </c>
      <c r="I11629" s="3" t="s">
        <v>13</v>
      </c>
      <c r="J11629" s="3" t="s">
        <v>33023</v>
      </c>
      <c r="K11629" s="3" t="s">
        <v>75</v>
      </c>
      <c r="L11629" s="3" t="str">
        <f>IFERROR(__xludf.DUMMYFUNCTION("GOOGLETRANSLATE(F11629,""id"",""en"")"),"Argentine national team champion World Cup Lionel Messi got praise from Rodrigo Paul")</f>
        <v>Argentine national team champion World Cup Lionel Messi got praise from Rodrigo Paul</v>
      </c>
    </row>
    <row r="11630" ht="15.75" customHeight="1">
      <c r="A11630" s="1">
        <v>12874.0</v>
      </c>
      <c r="B11630" s="3" t="s">
        <v>33024</v>
      </c>
      <c r="C11630" s="3">
        <v>0.0</v>
      </c>
      <c r="D11630" s="3">
        <v>0.0</v>
      </c>
      <c r="E11630" s="3">
        <v>0.0</v>
      </c>
      <c r="F11630" s="3" t="s">
        <v>32213</v>
      </c>
      <c r="G11630" s="3">
        <v>0.0</v>
      </c>
      <c r="H11630" s="3">
        <v>0.0</v>
      </c>
      <c r="I11630" s="3" t="s">
        <v>13</v>
      </c>
      <c r="J11630" s="3" t="s">
        <v>32214</v>
      </c>
      <c r="K11630" s="3" t="s">
        <v>82</v>
      </c>
      <c r="L11630" s="3" t="str">
        <f>IFERROR(__xludf.DUMMYFUNCTION("GOOGLETRANSLATE(F11630,""id"",""en"")"),"Duo Lionel managed to bring Argentina in the world champion")</f>
        <v>Duo Lionel managed to bring Argentina in the world champion</v>
      </c>
    </row>
    <row r="11631" ht="15.75" customHeight="1">
      <c r="A11631" s="1">
        <v>12875.0</v>
      </c>
      <c r="B11631" s="3" t="s">
        <v>33025</v>
      </c>
      <c r="C11631" s="3">
        <v>0.0</v>
      </c>
      <c r="D11631" s="3">
        <v>0.0</v>
      </c>
      <c r="E11631" s="3">
        <v>0.0</v>
      </c>
      <c r="F11631" s="3" t="s">
        <v>32079</v>
      </c>
      <c r="G11631" s="3">
        <v>0.0</v>
      </c>
      <c r="H11631" s="3">
        <v>0.0</v>
      </c>
      <c r="I11631" s="3" t="s">
        <v>13</v>
      </c>
      <c r="J11631" s="3" t="s">
        <v>32080</v>
      </c>
      <c r="K11631" s="3" t="s">
        <v>2117</v>
      </c>
      <c r="L11631" s="3" t="str">
        <f>IFERROR(__xludf.DUMMYFUNCTION("GOOGLETRANSLATE(F11631,""id"",""en"")"),"Finally Argentina won")</f>
        <v>Finally Argentina won</v>
      </c>
    </row>
    <row r="11632" ht="15.75" customHeight="1">
      <c r="A11632" s="1">
        <v>12876.0</v>
      </c>
      <c r="B11632" s="3" t="s">
        <v>33026</v>
      </c>
      <c r="C11632" s="3">
        <v>0.0</v>
      </c>
      <c r="D11632" s="3">
        <v>0.0</v>
      </c>
      <c r="E11632" s="3">
        <v>0.0</v>
      </c>
      <c r="F11632" s="3" t="s">
        <v>33027</v>
      </c>
      <c r="G11632" s="3">
        <v>0.0</v>
      </c>
      <c r="H11632" s="3">
        <v>0.0</v>
      </c>
      <c r="I11632" s="3" t="s">
        <v>13</v>
      </c>
      <c r="J11632" s="3" t="s">
        <v>33028</v>
      </c>
      <c r="K11632" s="3" t="s">
        <v>484</v>
      </c>
      <c r="L11632" s="3" t="str">
        <f>IFERROR(__xludf.DUMMYFUNCTION("GOOGLETRANSLATE(F11632,""id"",""en"")"),"Argentina Champion World Cup after defeating France finally Albiceleste Iftar ArgentinavsPra France World Champion What Match")</f>
        <v>Argentina Champion World Cup after defeating France finally Albiceleste Iftar ArgentinavsPra France World Champion What Match</v>
      </c>
    </row>
    <row r="11633" ht="15.75" customHeight="1">
      <c r="A11633" s="1">
        <v>12877.0</v>
      </c>
      <c r="B11633" s="3" t="s">
        <v>33029</v>
      </c>
      <c r="C11633" s="3">
        <v>1.0</v>
      </c>
      <c r="D11633" s="3">
        <v>0.0</v>
      </c>
      <c r="E11633" s="3">
        <v>0.0</v>
      </c>
      <c r="F11633" s="3" t="s">
        <v>33030</v>
      </c>
      <c r="G11633" s="3">
        <v>0.0</v>
      </c>
      <c r="H11633" s="3">
        <v>0.0</v>
      </c>
      <c r="I11633" s="3" t="s">
        <v>13</v>
      </c>
      <c r="J11633" s="3" t="s">
        <v>33031</v>
      </c>
      <c r="K11633" s="3" t="s">
        <v>228</v>
      </c>
      <c r="L11633" s="3" t="str">
        <f>IFERROR(__xludf.DUMMYFUNCTION("GOOGLETRANSLATE(F11633,""id"",""en"")"),"really can't see Messi lifting the Argentina Cup, the champion is why even though I failed to get a rebuu, so it could be a problem, I could not Argentina.")</f>
        <v>really can't see Messi lifting the Argentina Cup, the champion is why even though I failed to get a rebuu, so it could be a problem, I could not Argentina.</v>
      </c>
    </row>
    <row r="11634" ht="15.75" customHeight="1">
      <c r="A11634" s="1">
        <v>12878.0</v>
      </c>
      <c r="B11634" s="3" t="s">
        <v>33032</v>
      </c>
      <c r="C11634" s="3">
        <v>0.0</v>
      </c>
      <c r="D11634" s="3">
        <v>4.0</v>
      </c>
      <c r="E11634" s="3">
        <v>0.0</v>
      </c>
      <c r="F11634" s="3" t="s">
        <v>33033</v>
      </c>
      <c r="G11634" s="3">
        <v>1.0</v>
      </c>
      <c r="H11634" s="3">
        <v>0.0</v>
      </c>
      <c r="I11634" s="3" t="s">
        <v>13</v>
      </c>
      <c r="J11634" s="3" t="s">
        <v>33034</v>
      </c>
      <c r="K11634" s="3" t="s">
        <v>50</v>
      </c>
      <c r="L11634" s="3" t="str">
        <f>IFERROR(__xludf.DUMMYFUNCTION("GOOGLETRANSLATE(F11634,""id"",""en"")"),"The French Argentina Final won the penalty shootout and the world champion coverage")</f>
        <v>The French Argentina Final won the penalty shootout and the world champion coverage</v>
      </c>
    </row>
    <row r="11635" ht="15.75" customHeight="1">
      <c r="A11635" s="1">
        <v>12879.0</v>
      </c>
      <c r="B11635" s="3" t="s">
        <v>33035</v>
      </c>
      <c r="C11635" s="3">
        <v>2.0</v>
      </c>
      <c r="D11635" s="3">
        <v>0.0</v>
      </c>
      <c r="E11635" s="3">
        <v>6.0</v>
      </c>
      <c r="F11635" s="3" t="s">
        <v>33036</v>
      </c>
      <c r="G11635" s="3">
        <v>0.0</v>
      </c>
      <c r="H11635" s="3">
        <v>0.0</v>
      </c>
      <c r="I11635" s="3" t="s">
        <v>13</v>
      </c>
      <c r="J11635" s="3" t="s">
        <v>33037</v>
      </c>
      <c r="K11635" s="3" t="s">
        <v>903</v>
      </c>
      <c r="L11635" s="3" t="str">
        <f>IFERROR(__xludf.DUMMYFUNCTION("GOOGLETRANSLATE(F11635,""id"",""en"")"),"The World Cup is over and Argentina came out as champions after a long time through a series of dramas, Messi finally could lift the world's most prestigious gold cup for me this year the championship")</f>
        <v>The World Cup is over and Argentina came out as champions after a long time through a series of dramas, Messi finally could lift the world's most prestigious gold cup for me this year the championship</v>
      </c>
    </row>
    <row r="11636" ht="15.75" customHeight="1">
      <c r="A11636" s="1">
        <v>12880.0</v>
      </c>
      <c r="B11636" s="3" t="s">
        <v>33038</v>
      </c>
      <c r="C11636" s="3">
        <v>0.0</v>
      </c>
      <c r="D11636" s="3">
        <v>0.0</v>
      </c>
      <c r="E11636" s="3">
        <v>0.0</v>
      </c>
      <c r="F11636" s="3" t="s">
        <v>22241</v>
      </c>
      <c r="G11636" s="3">
        <v>0.0</v>
      </c>
      <c r="H11636" s="3">
        <v>0.0</v>
      </c>
      <c r="I11636" s="3" t="s">
        <v>13</v>
      </c>
      <c r="J11636" s="3" t="s">
        <v>16942</v>
      </c>
      <c r="K11636" s="3" t="s">
        <v>644</v>
      </c>
      <c r="L11636" s="3" t="str">
        <f>IFERROR(__xludf.DUMMYFUNCTION("GOOGLETRANSLATE(F11636,""id"",""en"")"),"Argentina Champion World Cup")</f>
        <v>Argentina Champion World Cup</v>
      </c>
    </row>
    <row r="11637" ht="15.75" customHeight="1">
      <c r="A11637" s="1">
        <v>12881.0</v>
      </c>
      <c r="B11637" s="3" t="s">
        <v>33039</v>
      </c>
      <c r="C11637" s="3">
        <v>1.0</v>
      </c>
      <c r="D11637" s="3">
        <v>0.0</v>
      </c>
      <c r="E11637" s="3">
        <v>0.0</v>
      </c>
      <c r="F11637" s="3" t="s">
        <v>33040</v>
      </c>
      <c r="G11637" s="3">
        <v>0.0</v>
      </c>
      <c r="H11637" s="3">
        <v>0.0</v>
      </c>
      <c r="I11637" s="3" t="s">
        <v>13</v>
      </c>
      <c r="J11637" s="3" t="s">
        <v>33041</v>
      </c>
      <c r="K11637" s="3" t="s">
        <v>90</v>
      </c>
      <c r="L11637" s="3" t="str">
        <f>IFERROR(__xludf.DUMMYFUNCTION("GOOGLETRANSLATE(F11637,""id"",""en"")"),"Argentina proves that Saudi Arabia players are indeed worthy")</f>
        <v>Argentina proves that Saudi Arabia players are indeed worthy</v>
      </c>
    </row>
    <row r="11638" ht="15.75" customHeight="1">
      <c r="A11638" s="1">
        <v>12882.0</v>
      </c>
      <c r="B11638" s="3" t="s">
        <v>33042</v>
      </c>
      <c r="C11638" s="3">
        <v>0.0</v>
      </c>
      <c r="D11638" s="3">
        <v>0.0</v>
      </c>
      <c r="E11638" s="3">
        <v>0.0</v>
      </c>
      <c r="F11638" s="3" t="s">
        <v>33043</v>
      </c>
      <c r="G11638" s="3">
        <v>0.0</v>
      </c>
      <c r="H11638" s="3">
        <v>0.0</v>
      </c>
      <c r="I11638" s="3" t="s">
        <v>13</v>
      </c>
      <c r="J11638" s="3" t="s">
        <v>33044</v>
      </c>
      <c r="K11638" s="3" t="s">
        <v>54</v>
      </c>
      <c r="L11638" s="3" t="str">
        <f>IFERROR(__xludf.DUMMYFUNCTION("GOOGLETRANSLATE(F11638,""id"",""en"")"),"Argentina World Champion Iwan Bule")</f>
        <v>Argentina World Champion Iwan Bule</v>
      </c>
    </row>
    <row r="11639" ht="15.75" customHeight="1">
      <c r="A11639" s="1">
        <v>12883.0</v>
      </c>
      <c r="B11639" s="3" t="s">
        <v>33045</v>
      </c>
      <c r="C11639" s="3">
        <v>0.0</v>
      </c>
      <c r="D11639" s="3">
        <v>0.0</v>
      </c>
      <c r="E11639" s="3">
        <v>0.0</v>
      </c>
      <c r="F11639" s="3" t="s">
        <v>33046</v>
      </c>
      <c r="G11639" s="3">
        <v>0.0</v>
      </c>
      <c r="H11639" s="3">
        <v>0.0</v>
      </c>
      <c r="I11639" s="3" t="s">
        <v>13</v>
      </c>
      <c r="J11639" s="3" t="s">
        <v>33047</v>
      </c>
      <c r="K11639" s="3" t="s">
        <v>286</v>
      </c>
      <c r="L11639" s="3" t="str">
        <f>IFERROR(__xludf.DUMMYFUNCTION("GOOGLETRANSLATE(F11639,""id"",""en"")"),"It's finished the ending World Cup which is fun for Messi and Argentina supporters after this will be the Chicky Cup as the AFF Cup by netizens who one of the participants cannot win at all but the community and the medium are always overproud")</f>
        <v>It's finished the ending World Cup which is fun for Messi and Argentina supporters after this will be the Chicky Cup as the AFF Cup by netizens who one of the participants cannot win at all but the community and the medium are always overproud</v>
      </c>
    </row>
    <row r="11640" ht="15.75" customHeight="1">
      <c r="A11640" s="1">
        <v>12884.0</v>
      </c>
      <c r="B11640" s="3" t="s">
        <v>33048</v>
      </c>
      <c r="C11640" s="3">
        <v>0.0</v>
      </c>
      <c r="D11640" s="3">
        <v>0.0</v>
      </c>
      <c r="E11640" s="3">
        <v>1.0</v>
      </c>
      <c r="F11640" s="3" t="s">
        <v>33049</v>
      </c>
      <c r="G11640" s="3">
        <v>0.0</v>
      </c>
      <c r="H11640" s="3">
        <v>0.0</v>
      </c>
      <c r="I11640" s="3" t="s">
        <v>13</v>
      </c>
      <c r="J11640" s="3" t="s">
        <v>33050</v>
      </c>
      <c r="K11640" s="3" t="s">
        <v>499</v>
      </c>
      <c r="L11640" s="3" t="str">
        <f>IFERROR(__xludf.DUMMYFUNCTION("GOOGLETRANSLATE(F11640,""id"",""en"")"),"History The Making Argentina won the World Cup after winning a penalty shootout over France, the following is the reaction of the social media timeline about the exciting match")</f>
        <v>History The Making Argentina won the World Cup after winning a penalty shootout over France, the following is the reaction of the social media timeline about the exciting match</v>
      </c>
    </row>
    <row r="11641" ht="15.75" customHeight="1">
      <c r="A11641" s="1">
        <v>12885.0</v>
      </c>
      <c r="B11641" s="3" t="s">
        <v>33051</v>
      </c>
      <c r="C11641" s="3">
        <v>0.0</v>
      </c>
      <c r="D11641" s="3">
        <v>0.0</v>
      </c>
      <c r="E11641" s="3">
        <v>0.0</v>
      </c>
      <c r="F11641" s="3" t="s">
        <v>33052</v>
      </c>
      <c r="G11641" s="3">
        <v>0.0</v>
      </c>
      <c r="H11641" s="3">
        <v>0.0</v>
      </c>
      <c r="I11641" s="3" t="s">
        <v>13</v>
      </c>
      <c r="J11641" s="3" t="s">
        <v>33053</v>
      </c>
      <c r="K11641" s="3" t="s">
        <v>54</v>
      </c>
      <c r="L11641" s="3" t="str">
        <f>IFERROR(__xludf.DUMMYFUNCTION("GOOGLETRANSLATE(F11641,""id"",""en"")"),"Argentina Champion Nnti Pajangi for Skolah")</f>
        <v>Argentina Champion Nnti Pajangi for Skolah</v>
      </c>
    </row>
    <row r="11642" ht="15.75" customHeight="1">
      <c r="A11642" s="1">
        <v>12886.0</v>
      </c>
      <c r="B11642" s="3" t="s">
        <v>33054</v>
      </c>
      <c r="C11642" s="3">
        <v>5.0</v>
      </c>
      <c r="D11642" s="3">
        <v>0.0</v>
      </c>
      <c r="E11642" s="3">
        <v>2.0</v>
      </c>
      <c r="F11642" s="3" t="s">
        <v>33055</v>
      </c>
      <c r="G11642" s="3">
        <v>0.0</v>
      </c>
      <c r="H11642" s="3">
        <v>0.0</v>
      </c>
      <c r="I11642" s="3" t="s">
        <v>13</v>
      </c>
      <c r="J11642" s="3" t="s">
        <v>33056</v>
      </c>
      <c r="K11642" s="3" t="s">
        <v>495</v>
      </c>
      <c r="L11642" s="3" t="str">
        <f>IFERROR(__xludf.DUMMYFUNCTION("GOOGLETRANSLATE(F11642,""id"",""en"")"),"Rek Sepurane does not understand football want to ask yesterday that Argentina was not WES lost Arabic, how come I could even win the championship")</f>
        <v>Rek Sepurane does not understand football want to ask yesterday that Argentina was not WES lost Arabic, how come I could even win the championship</v>
      </c>
    </row>
    <row r="11643" ht="15.75" customHeight="1">
      <c r="A11643" s="1">
        <v>12887.0</v>
      </c>
      <c r="B11643" s="3" t="s">
        <v>33057</v>
      </c>
      <c r="C11643" s="3">
        <v>0.0</v>
      </c>
      <c r="D11643" s="3">
        <v>0.0</v>
      </c>
      <c r="E11643" s="3">
        <v>0.0</v>
      </c>
      <c r="F11643" s="3" t="s">
        <v>33058</v>
      </c>
      <c r="G11643" s="3">
        <v>0.0</v>
      </c>
      <c r="H11643" s="3">
        <v>0.0</v>
      </c>
      <c r="I11643" s="3" t="s">
        <v>13</v>
      </c>
      <c r="J11643" s="3" t="s">
        <v>33059</v>
      </c>
      <c r="K11643" s="3" t="s">
        <v>433</v>
      </c>
      <c r="L11643" s="3" t="str">
        <f>IFERROR(__xludf.DUMMYFUNCTION("GOOGLETRANSLATE(F11643,""id"",""en"")"),"still attached to me when the waka waka pilduun is how Argentina is Pubuanan when the preliminary is very happy, finally the champion this year")</f>
        <v>still attached to me when the waka waka pilduun is how Argentina is Pubuanan when the preliminary is very happy, finally the champion this year</v>
      </c>
    </row>
    <row r="11644" ht="15.75" customHeight="1">
      <c r="A11644" s="1">
        <v>12888.0</v>
      </c>
      <c r="B11644" s="3" t="s">
        <v>33060</v>
      </c>
      <c r="C11644" s="3">
        <v>0.0</v>
      </c>
      <c r="D11644" s="3">
        <v>0.0</v>
      </c>
      <c r="E11644" s="3">
        <v>1.0</v>
      </c>
      <c r="F11644" s="3" t="s">
        <v>33061</v>
      </c>
      <c r="G11644" s="3">
        <v>0.0</v>
      </c>
      <c r="H11644" s="3">
        <v>0.0</v>
      </c>
      <c r="I11644" s="3" t="s">
        <v>13</v>
      </c>
      <c r="J11644" s="3" t="s">
        <v>33062</v>
      </c>
      <c r="K11644" s="3" t="s">
        <v>35</v>
      </c>
      <c r="L11644" s="3" t="str">
        <f>IFERROR(__xludf.DUMMYFUNCTION("GOOGLETRANSLATE(F11644,""id"",""en"")"),"Argentina is already Liverpool. It is time for the Indonesian national team to win the year of waiting for the year not to win the ASEAN level")</f>
        <v>Argentina is already Liverpool. It is time for the Indonesian national team to win the year of waiting for the year not to win the ASEAN level</v>
      </c>
    </row>
    <row r="11645" ht="15.75" customHeight="1">
      <c r="A11645" s="1">
        <v>12889.0</v>
      </c>
      <c r="B11645" s="3" t="s">
        <v>33063</v>
      </c>
      <c r="C11645" s="3">
        <v>0.0</v>
      </c>
      <c r="D11645" s="3">
        <v>0.0</v>
      </c>
      <c r="E11645" s="3">
        <v>0.0</v>
      </c>
      <c r="F11645" s="3" t="s">
        <v>33064</v>
      </c>
      <c r="G11645" s="3">
        <v>0.0</v>
      </c>
      <c r="H11645" s="3">
        <v>0.0</v>
      </c>
      <c r="I11645" s="3" t="s">
        <v>13</v>
      </c>
      <c r="J11645" s="3" t="s">
        <v>33065</v>
      </c>
      <c r="K11645" s="3" t="s">
        <v>123</v>
      </c>
      <c r="L11645" s="3" t="str">
        <f>IFERROR(__xludf.DUMMYFUNCTION("GOOGLETRANSLATE(F11645,""id"",""en"")"),"Starting from the Caretaker Jorge Sampaoli Scaloni Bring Argentina Copa America finalists and now Pilduun Scaloni Masterclass")</f>
        <v>Starting from the Caretaker Jorge Sampaoli Scaloni Bring Argentina Copa America finalists and now Pilduun Scaloni Masterclass</v>
      </c>
    </row>
    <row r="11646" ht="15.75" customHeight="1">
      <c r="A11646" s="1">
        <v>12890.0</v>
      </c>
      <c r="B11646" s="3" t="s">
        <v>33066</v>
      </c>
      <c r="C11646" s="3">
        <v>0.0</v>
      </c>
      <c r="D11646" s="3">
        <v>0.0</v>
      </c>
      <c r="E11646" s="3">
        <v>0.0</v>
      </c>
      <c r="F11646" s="3" t="s">
        <v>33067</v>
      </c>
      <c r="G11646" s="3">
        <v>0.0</v>
      </c>
      <c r="H11646" s="3">
        <v>0.0</v>
      </c>
      <c r="I11646" s="3" t="s">
        <v>13</v>
      </c>
      <c r="J11646" s="3" t="s">
        <v>33068</v>
      </c>
      <c r="K11646" s="3" t="s">
        <v>437</v>
      </c>
      <c r="L11646" s="3" t="str">
        <f>IFERROR(__xludf.DUMMYFUNCTION("GOOGLETRANSLATE(F11646,""id"",""en"")"),"Alpis Congratulations Argentina finally champions even though the beginning of the bully match after abisan finally Messi could retire with a complete trophy")</f>
        <v>Alpis Congratulations Argentina finally champions even though the beginning of the bully match after abisan finally Messi could retire with a complete trophy</v>
      </c>
    </row>
    <row r="11647" ht="15.75" customHeight="1">
      <c r="A11647" s="1">
        <v>12891.0</v>
      </c>
      <c r="B11647" s="3" t="s">
        <v>33069</v>
      </c>
      <c r="C11647" s="3">
        <v>0.0</v>
      </c>
      <c r="D11647" s="3">
        <v>0.0</v>
      </c>
      <c r="E11647" s="3">
        <v>0.0</v>
      </c>
      <c r="F11647" s="3" t="s">
        <v>33070</v>
      </c>
      <c r="G11647" s="3">
        <v>0.0</v>
      </c>
      <c r="H11647" s="3">
        <v>0.0</v>
      </c>
      <c r="I11647" s="3" t="s">
        <v>13</v>
      </c>
      <c r="J11647" s="3" t="s">
        <v>33071</v>
      </c>
      <c r="K11647" s="3" t="s">
        <v>510</v>
      </c>
      <c r="L11647" s="3" t="str">
        <f>IFERROR(__xludf.DUMMYFUNCTION("GOOGLETRANSLATE(F11647,""id"",""en"")"),"Details of the prize winner of the World Cup Champion Complete Argent Argentina Croatia Morocco France")</f>
        <v>Details of the prize winner of the World Cup Champion Complete Argent Argentina Croatia Morocco France</v>
      </c>
    </row>
    <row r="11648" ht="15.75" customHeight="1">
      <c r="A11648" s="1">
        <v>12892.0</v>
      </c>
      <c r="B11648" s="3" t="s">
        <v>33072</v>
      </c>
      <c r="C11648" s="3">
        <v>0.0</v>
      </c>
      <c r="D11648" s="3">
        <v>0.0</v>
      </c>
      <c r="E11648" s="3">
        <v>0.0</v>
      </c>
      <c r="F11648" s="3" t="s">
        <v>33073</v>
      </c>
      <c r="G11648" s="3">
        <v>0.0</v>
      </c>
      <c r="H11648" s="3">
        <v>0.0</v>
      </c>
      <c r="I11648" s="3" t="s">
        <v>13</v>
      </c>
      <c r="J11648" s="3" t="s">
        <v>33074</v>
      </c>
      <c r="K11648" s="3" t="s">
        <v>15</v>
      </c>
      <c r="L11648" s="3" t="str">
        <f>IFERROR(__xludf.DUMMYFUNCTION("GOOGLETRANSLATE(F11648,""id"",""en"")"),"Argentina Champion World Cup this time Lionel Messi's Comment")</f>
        <v>Argentina Champion World Cup this time Lionel Messi's Comment</v>
      </c>
    </row>
    <row r="11649" ht="15.75" customHeight="1">
      <c r="A11649" s="1">
        <v>12893.0</v>
      </c>
      <c r="B11649" s="3" t="s">
        <v>33075</v>
      </c>
      <c r="C11649" s="3">
        <v>0.0</v>
      </c>
      <c r="D11649" s="3">
        <v>0.0</v>
      </c>
      <c r="E11649" s="3">
        <v>0.0</v>
      </c>
      <c r="F11649" s="3" t="s">
        <v>33076</v>
      </c>
      <c r="G11649" s="3">
        <v>0.4</v>
      </c>
      <c r="H11649" s="3">
        <v>-0.4</v>
      </c>
      <c r="I11649" s="3" t="s">
        <v>179</v>
      </c>
      <c r="J11649" s="3" t="s">
        <v>33077</v>
      </c>
      <c r="K11649" s="3" t="s">
        <v>308</v>
      </c>
      <c r="L11649" s="3" t="str">
        <f>IFERROR(__xludf.DUMMYFUNCTION("GOOGLETRANSLATE(F11649,""id"",""en"")"),"Failing is not very mean to be a loser but rise and prove to the world we may also be a winner like Argentina losing the first game that does not mean to not be a world champion")</f>
        <v>Failing is not very mean to be a loser but rise and prove to the world we may also be a winner like Argentina losing the first game that does not mean to not be a world champion</v>
      </c>
    </row>
    <row r="11650" ht="15.75" customHeight="1">
      <c r="A11650" s="1">
        <v>12894.0</v>
      </c>
      <c r="B11650" s="3" t="s">
        <v>33078</v>
      </c>
      <c r="C11650" s="3">
        <v>0.0</v>
      </c>
      <c r="D11650" s="3">
        <v>0.0</v>
      </c>
      <c r="E11650" s="3">
        <v>0.0</v>
      </c>
      <c r="F11650" s="3" t="s">
        <v>33079</v>
      </c>
      <c r="G11650" s="3">
        <v>0.0</v>
      </c>
      <c r="H11650" s="3">
        <v>0.0</v>
      </c>
      <c r="I11650" s="3" t="s">
        <v>13</v>
      </c>
      <c r="J11650" s="3" t="s">
        <v>33080</v>
      </c>
      <c r="K11650" s="3" t="s">
        <v>75</v>
      </c>
      <c r="L11650" s="3" t="str">
        <f>IFERROR(__xludf.DUMMYFUNCTION("GOOGLETRANSLATE(F11650,""id"",""en"")"),"This is Lionel Messi's comment about his success in bringing Argentina to the World Cup championship")</f>
        <v>This is Lionel Messi's comment about his success in bringing Argentina to the World Cup championship</v>
      </c>
    </row>
    <row r="11651" ht="15.75" customHeight="1">
      <c r="A11651" s="1">
        <v>12896.0</v>
      </c>
      <c r="B11651" s="3" t="s">
        <v>33081</v>
      </c>
      <c r="C11651" s="3">
        <v>0.0</v>
      </c>
      <c r="D11651" s="3">
        <v>0.0</v>
      </c>
      <c r="E11651" s="3">
        <v>0.0</v>
      </c>
      <c r="F11651" s="3" t="s">
        <v>33082</v>
      </c>
      <c r="G11651" s="3">
        <v>0.0</v>
      </c>
      <c r="H11651" s="3">
        <v>0.0</v>
      </c>
      <c r="I11651" s="3" t="s">
        <v>13</v>
      </c>
      <c r="J11651" s="3" t="s">
        <v>33083</v>
      </c>
      <c r="K11651" s="3" t="s">
        <v>236</v>
      </c>
      <c r="L11651" s="3" t="str">
        <f>IFERROR(__xludf.DUMMYFUNCTION("GOOGLETRANSLATE(F11651,""id"",""en"")"),"Argentina has no longer crying Don Cry for Argentina Champion of the Qatar World Cup")</f>
        <v>Argentina has no longer crying Don Cry for Argentina Champion of the Qatar World Cup</v>
      </c>
    </row>
    <row r="11652" ht="15.75" customHeight="1">
      <c r="A11652" s="1">
        <v>12897.0</v>
      </c>
      <c r="B11652" s="3" t="s">
        <v>33084</v>
      </c>
      <c r="C11652" s="3">
        <v>0.0</v>
      </c>
      <c r="D11652" s="3">
        <v>0.0</v>
      </c>
      <c r="E11652" s="3">
        <v>0.0</v>
      </c>
      <c r="F11652" s="3" t="s">
        <v>33085</v>
      </c>
      <c r="G11652" s="3">
        <v>0.0</v>
      </c>
      <c r="H11652" s="3">
        <v>0.0</v>
      </c>
      <c r="I11652" s="3" t="s">
        <v>13</v>
      </c>
      <c r="J11652" s="3" t="s">
        <v>33086</v>
      </c>
      <c r="K11652" s="3" t="s">
        <v>31</v>
      </c>
      <c r="L11652" s="3" t="str">
        <f>IFERROR(__xludf.DUMMYFUNCTION("GOOGLETRANSLATE(F11652,""id"",""en"")"),"Yedam appeared Dam Argentina Champion")</f>
        <v>Yedam appeared Dam Argentina Champion</v>
      </c>
    </row>
    <row r="11653" ht="15.75" customHeight="1">
      <c r="A11653" s="1">
        <v>12898.0</v>
      </c>
      <c r="B11653" s="3" t="s">
        <v>33087</v>
      </c>
      <c r="C11653" s="3">
        <v>0.0</v>
      </c>
      <c r="D11653" s="3">
        <v>0.0</v>
      </c>
      <c r="E11653" s="3">
        <v>0.0</v>
      </c>
      <c r="F11653" s="3" t="s">
        <v>33088</v>
      </c>
      <c r="G11653" s="3">
        <v>0.0</v>
      </c>
      <c r="H11653" s="3">
        <v>0.0</v>
      </c>
      <c r="I11653" s="3" t="s">
        <v>13</v>
      </c>
      <c r="J11653" s="3" t="s">
        <v>33089</v>
      </c>
      <c r="K11653" s="3" t="s">
        <v>883</v>
      </c>
      <c r="L11653" s="3" t="str">
        <f>IFERROR(__xludf.DUMMYFUNCTION("GOOGLETRANSLATE(F11653,""id"",""en"")"),"In Argentina Messi Martinez one team, the team defeated the champion, just a calm diem bae juve when it makes a scene can champion UCL again still Sulid")</f>
        <v>In Argentina Messi Martinez one team, the team defeated the champion, just a calm diem bae juve when it makes a scene can champion UCL again still Sulid</v>
      </c>
    </row>
    <row r="11654" ht="15.75" customHeight="1">
      <c r="A11654" s="1">
        <v>12899.0</v>
      </c>
      <c r="B11654" s="3" t="s">
        <v>33090</v>
      </c>
      <c r="C11654" s="3">
        <v>1.0</v>
      </c>
      <c r="D11654" s="3">
        <v>1.0</v>
      </c>
      <c r="E11654" s="3">
        <v>7.0</v>
      </c>
      <c r="F11654" s="3" t="s">
        <v>32920</v>
      </c>
      <c r="G11654" s="3">
        <v>0.0</v>
      </c>
      <c r="H11654" s="3">
        <v>0.0</v>
      </c>
      <c r="I11654" s="3" t="s">
        <v>13</v>
      </c>
      <c r="J11654" s="3" t="s">
        <v>32921</v>
      </c>
      <c r="K11654" s="3" t="s">
        <v>2117</v>
      </c>
      <c r="L11654" s="3" t="str">
        <f>IFERROR(__xludf.DUMMYFUNCTION("GOOGLETRANSLATE(F11654,""id"",""en"")"),"Argentine edition champion")</f>
        <v>Argentine edition champion</v>
      </c>
    </row>
    <row r="11655" ht="15.75" customHeight="1">
      <c r="A11655" s="1">
        <v>12900.0</v>
      </c>
      <c r="B11655" s="3" t="s">
        <v>33091</v>
      </c>
      <c r="C11655" s="3">
        <v>0.0</v>
      </c>
      <c r="D11655" s="3">
        <v>0.0</v>
      </c>
      <c r="E11655" s="3">
        <v>0.0</v>
      </c>
      <c r="F11655" s="3" t="s">
        <v>33092</v>
      </c>
      <c r="G11655" s="3">
        <v>0.0</v>
      </c>
      <c r="H11655" s="3">
        <v>0.0</v>
      </c>
      <c r="I11655" s="3" t="s">
        <v>13</v>
      </c>
      <c r="J11655" s="3" t="s">
        <v>33093</v>
      </c>
      <c r="K11655" s="3" t="s">
        <v>2117</v>
      </c>
      <c r="L11655" s="3" t="str">
        <f>IFERROR(__xludf.DUMMYFUNCTION("GOOGLETRANSLATE(F11655,""id"",""en"")"),"Cieee Argentina Champion")</f>
        <v>Cieee Argentina Champion</v>
      </c>
    </row>
    <row r="11656" ht="15.75" customHeight="1">
      <c r="A11656" s="1">
        <v>12901.0</v>
      </c>
      <c r="B11656" s="3" t="s">
        <v>33094</v>
      </c>
      <c r="C11656" s="3">
        <v>1.0</v>
      </c>
      <c r="D11656" s="3">
        <v>0.0</v>
      </c>
      <c r="E11656" s="3">
        <v>0.0</v>
      </c>
      <c r="F11656" s="3" t="s">
        <v>33095</v>
      </c>
      <c r="G11656" s="3">
        <v>0.0</v>
      </c>
      <c r="H11656" s="3">
        <v>0.0</v>
      </c>
      <c r="I11656" s="3" t="s">
        <v>13</v>
      </c>
      <c r="J11656" s="3" t="s">
        <v>33096</v>
      </c>
      <c r="K11656" s="3" t="s">
        <v>2117</v>
      </c>
      <c r="L11656" s="3" t="str">
        <f>IFERROR(__xludf.DUMMYFUNCTION("GOOGLETRANSLATE(F11656,""id"",""en"")"),"The important thing is Argentina Champion")</f>
        <v>The important thing is Argentina Champion</v>
      </c>
    </row>
    <row r="11657" ht="15.75" customHeight="1">
      <c r="A11657" s="1">
        <v>12902.0</v>
      </c>
      <c r="B11657" s="3" t="s">
        <v>33097</v>
      </c>
      <c r="C11657" s="3">
        <v>0.0</v>
      </c>
      <c r="D11657" s="3">
        <v>0.0</v>
      </c>
      <c r="E11657" s="3">
        <v>0.0</v>
      </c>
      <c r="F11657" s="3" t="s">
        <v>33098</v>
      </c>
      <c r="G11657" s="3">
        <v>0.0</v>
      </c>
      <c r="H11657" s="3">
        <v>0.0</v>
      </c>
      <c r="I11657" s="3" t="s">
        <v>13</v>
      </c>
      <c r="J11657" s="3" t="s">
        <v>33099</v>
      </c>
      <c r="K11657" s="3" t="s">
        <v>23</v>
      </c>
      <c r="L11657" s="3" t="str">
        <f>IFERROR(__xludf.DUMMYFUNCTION("GOOGLETRANSLATE(F11657,""id"",""en"")"),"The player who brought Argentina to the World Cup champion all his calls began with the letters of Mario Kempes Maradona Messi Great Letters All Well Done Goat")</f>
        <v>The player who brought Argentina to the World Cup champion all his calls began with the letters of Mario Kempes Maradona Messi Great Letters All Well Done Goat</v>
      </c>
    </row>
    <row r="11658" ht="15.75" customHeight="1">
      <c r="A11658" s="1">
        <v>12903.0</v>
      </c>
      <c r="B11658" s="3" t="s">
        <v>33100</v>
      </c>
      <c r="C11658" s="3">
        <v>0.0</v>
      </c>
      <c r="D11658" s="3">
        <v>0.0</v>
      </c>
      <c r="E11658" s="3">
        <v>0.0</v>
      </c>
      <c r="F11658" s="3" t="s">
        <v>33092</v>
      </c>
      <c r="G11658" s="3">
        <v>0.0</v>
      </c>
      <c r="H11658" s="3">
        <v>0.0</v>
      </c>
      <c r="I11658" s="3" t="s">
        <v>13</v>
      </c>
      <c r="J11658" s="3" t="s">
        <v>33093</v>
      </c>
      <c r="K11658" s="3" t="s">
        <v>2117</v>
      </c>
      <c r="L11658" s="3" t="str">
        <f>IFERROR(__xludf.DUMMYFUNCTION("GOOGLETRANSLATE(F11658,""id"",""en"")"),"Cieee Argentina Champion")</f>
        <v>Cieee Argentina Champion</v>
      </c>
    </row>
    <row r="11659" ht="15.75" customHeight="1">
      <c r="A11659" s="1">
        <v>12904.0</v>
      </c>
      <c r="B11659" s="3" t="s">
        <v>33101</v>
      </c>
      <c r="C11659" s="3">
        <v>0.0</v>
      </c>
      <c r="D11659" s="3">
        <v>0.0</v>
      </c>
      <c r="E11659" s="3">
        <v>0.0</v>
      </c>
      <c r="F11659" s="3" t="s">
        <v>33102</v>
      </c>
      <c r="G11659" s="3">
        <v>0.0</v>
      </c>
      <c r="H11659" s="3">
        <v>0.0</v>
      </c>
      <c r="I11659" s="3" t="s">
        <v>13</v>
      </c>
      <c r="J11659" s="3" t="s">
        <v>33103</v>
      </c>
      <c r="K11659" s="3" t="s">
        <v>19</v>
      </c>
      <c r="L11659" s="3" t="str">
        <f>IFERROR(__xludf.DUMMYFUNCTION("GOOGLETRANSLATE(F11659,""id"",""en"")"),"Moment of Haru Lionel Messi with his mother after delivering Argentina World Cup champions")</f>
        <v>Moment of Haru Lionel Messi with his mother after delivering Argentina World Cup champions</v>
      </c>
    </row>
    <row r="11660" ht="15.75" customHeight="1">
      <c r="A11660" s="1">
        <v>12905.0</v>
      </c>
      <c r="B11660" s="3" t="s">
        <v>33104</v>
      </c>
      <c r="C11660" s="3">
        <v>0.0</v>
      </c>
      <c r="D11660" s="3">
        <v>0.0</v>
      </c>
      <c r="E11660" s="3">
        <v>0.0</v>
      </c>
      <c r="F11660" s="3" t="s">
        <v>33105</v>
      </c>
      <c r="G11660" s="3">
        <v>0.0</v>
      </c>
      <c r="H11660" s="3">
        <v>0.0</v>
      </c>
      <c r="I11660" s="3" t="s">
        <v>13</v>
      </c>
      <c r="J11660" s="3" t="s">
        <v>33106</v>
      </c>
      <c r="K11660" s="3" t="s">
        <v>1870</v>
      </c>
      <c r="L11660" s="3" t="str">
        <f>IFERROR(__xludf.DUMMYFUNCTION("GOOGLETRANSLATE(F11660,""id"",""en"")"),"Messi has received fame money and the world champion of football with Argentina One Football Team that has not been obtained by Islamic guidance, hopefully soon following Cassius Marcellus Clay Muhammad Ali and Ferdinand Lewis Alcindor Kareem Abdul Jabbar")</f>
        <v>Messi has received fame money and the world champion of football with Argentina One Football Team that has not been obtained by Islamic guidance, hopefully soon following Cassius Marcellus Clay Muhammad Ali and Ferdinand Lewis Alcindor Kareem Abdul Jabbar</v>
      </c>
    </row>
    <row r="11661" ht="15.75" customHeight="1">
      <c r="A11661" s="1">
        <v>12906.0</v>
      </c>
      <c r="B11661" s="3" t="s">
        <v>33107</v>
      </c>
      <c r="C11661" s="3">
        <v>0.0</v>
      </c>
      <c r="D11661" s="3">
        <v>0.0</v>
      </c>
      <c r="E11661" s="3">
        <v>0.0</v>
      </c>
      <c r="F11661" s="3" t="s">
        <v>33108</v>
      </c>
      <c r="G11661" s="3">
        <v>0.0</v>
      </c>
      <c r="H11661" s="3">
        <v>0.0</v>
      </c>
      <c r="I11661" s="3" t="s">
        <v>13</v>
      </c>
      <c r="J11661" s="3" t="s">
        <v>33109</v>
      </c>
      <c r="K11661" s="3" t="s">
        <v>644</v>
      </c>
      <c r="L11661" s="3" t="str">
        <f>IFERROR(__xludf.DUMMYFUNCTION("GOOGLETRANSLATE(F11661,""id"",""en"")"),"Argentina World Champion Uraaaaaaaaa")</f>
        <v>Argentina World Champion Uraaaaaaaaa</v>
      </c>
    </row>
    <row r="11662" ht="15.75" customHeight="1">
      <c r="A11662" s="1">
        <v>12907.0</v>
      </c>
      <c r="B11662" s="3" t="s">
        <v>33110</v>
      </c>
      <c r="C11662" s="3">
        <v>0.0</v>
      </c>
      <c r="D11662" s="3">
        <v>0.0</v>
      </c>
      <c r="E11662" s="3">
        <v>0.0</v>
      </c>
      <c r="F11662" s="3" t="s">
        <v>33111</v>
      </c>
      <c r="G11662" s="3">
        <v>0.0</v>
      </c>
      <c r="H11662" s="3">
        <v>0.0</v>
      </c>
      <c r="I11662" s="3" t="s">
        <v>13</v>
      </c>
      <c r="J11662" s="3" t="s">
        <v>33112</v>
      </c>
      <c r="K11662" s="3" t="s">
        <v>41</v>
      </c>
      <c r="L11662" s="3" t="str">
        <f>IFERROR(__xludf.DUMMYFUNCTION("GOOGLETRANSLATE(F11662,""id"",""en"")"),"Argentina Champion Pilduun thanks to the prayers of the mothers of the players finally Messi")</f>
        <v>Argentina Champion Pilduun thanks to the prayers of the mothers of the players finally Messi</v>
      </c>
    </row>
    <row r="11663" ht="15.75" customHeight="1">
      <c r="A11663" s="1">
        <v>12908.0</v>
      </c>
      <c r="B11663" s="3" t="s">
        <v>33113</v>
      </c>
      <c r="C11663" s="3">
        <v>0.0</v>
      </c>
      <c r="D11663" s="3">
        <v>0.0</v>
      </c>
      <c r="E11663" s="3">
        <v>0.0</v>
      </c>
      <c r="F11663" s="3" t="s">
        <v>33114</v>
      </c>
      <c r="G11663" s="3">
        <v>0.0</v>
      </c>
      <c r="H11663" s="3">
        <v>0.0</v>
      </c>
      <c r="I11663" s="3" t="s">
        <v>13</v>
      </c>
      <c r="J11663" s="3" t="s">
        <v>33115</v>
      </c>
      <c r="K11663" s="3" t="s">
        <v>2375</v>
      </c>
      <c r="L11663" s="3" t="str">
        <f>IFERROR(__xludf.DUMMYFUNCTION("GOOGLETRANSLATE(F11663,""id"",""en"")"),"Arguentina finally won the World Cup congratulations for the Argentine team Messi finally brought Argentina to its World Cup championship")</f>
        <v>Arguentina finally won the World Cup congratulations for the Argentine team Messi finally brought Argentina to its World Cup championship</v>
      </c>
    </row>
    <row r="11664" ht="15.75" customHeight="1">
      <c r="A11664" s="1">
        <v>12909.0</v>
      </c>
      <c r="B11664" s="3" t="s">
        <v>33116</v>
      </c>
      <c r="C11664" s="3">
        <v>0.0</v>
      </c>
      <c r="D11664" s="3">
        <v>0.0</v>
      </c>
      <c r="E11664" s="3">
        <v>0.0</v>
      </c>
      <c r="F11664" s="3" t="s">
        <v>33117</v>
      </c>
      <c r="G11664" s="3">
        <v>0.0</v>
      </c>
      <c r="H11664" s="3">
        <v>0.0</v>
      </c>
      <c r="I11664" s="3" t="s">
        <v>13</v>
      </c>
      <c r="J11664" s="3" t="s">
        <v>33118</v>
      </c>
      <c r="K11664" s="3" t="s">
        <v>19</v>
      </c>
      <c r="L11664" s="3" t="str">
        <f>IFERROR(__xludf.DUMMYFUNCTION("GOOGLETRANSLATE(F11664,""id"",""en"")"),"The dominance of the Indonesian World Cup Messi Ala Borong Individual Degree between Argentina Champion via")</f>
        <v>The dominance of the Indonesian World Cup Messi Ala Borong Individual Degree between Argentina Champion via</v>
      </c>
    </row>
    <row r="11665" ht="15.75" customHeight="1">
      <c r="A11665" s="1">
        <v>12910.0</v>
      </c>
      <c r="B11665" s="3" t="s">
        <v>33119</v>
      </c>
      <c r="C11665" s="3">
        <v>0.0</v>
      </c>
      <c r="D11665" s="3">
        <v>0.0</v>
      </c>
      <c r="E11665" s="3">
        <v>0.0</v>
      </c>
      <c r="F11665" s="3" t="s">
        <v>33120</v>
      </c>
      <c r="G11665" s="3">
        <v>0.0</v>
      </c>
      <c r="H11665" s="3">
        <v>0.0</v>
      </c>
      <c r="I11665" s="3" t="s">
        <v>13</v>
      </c>
      <c r="J11665" s="3" t="s">
        <v>33121</v>
      </c>
      <c r="K11665" s="3" t="s">
        <v>19</v>
      </c>
      <c r="L11665" s="3" t="str">
        <f>IFERROR(__xludf.DUMMYFUNCTION("GOOGLETRANSLATE(F11665,""id"",""en"")"),"Messi's shocking statement after the World Cup champion alluded to his future Argentina")</f>
        <v>Messi's shocking statement after the World Cup champion alluded to his future Argentina</v>
      </c>
    </row>
    <row r="11666" ht="15.75" customHeight="1">
      <c r="A11666" s="1">
        <v>12911.0</v>
      </c>
      <c r="B11666" s="3" t="s">
        <v>33122</v>
      </c>
      <c r="C11666" s="3">
        <v>0.0</v>
      </c>
      <c r="D11666" s="3">
        <v>0.0</v>
      </c>
      <c r="E11666" s="3">
        <v>0.0</v>
      </c>
      <c r="F11666" s="3" t="s">
        <v>33123</v>
      </c>
      <c r="G11666" s="3">
        <v>0.0</v>
      </c>
      <c r="H11666" s="3">
        <v>0.0</v>
      </c>
      <c r="I11666" s="3" t="s">
        <v>13</v>
      </c>
      <c r="J11666" s="3" t="s">
        <v>33124</v>
      </c>
      <c r="K11666" s="3" t="s">
        <v>510</v>
      </c>
      <c r="L11666" s="3" t="str">
        <f>IFERROR(__xludf.DUMMYFUNCTION("GOOGLETRANSLATE(F11666,""id"",""en"")"),"Bacaleg and Bacapres Argentina already made a banner congratulations on the world cup champion using their faces yet")</f>
        <v>Bacaleg and Bacapres Argentina already made a banner congratulations on the world cup champion using their faces yet</v>
      </c>
    </row>
    <row r="11667" ht="15.75" customHeight="1">
      <c r="A11667" s="1">
        <v>12912.0</v>
      </c>
      <c r="B11667" s="3" t="s">
        <v>33125</v>
      </c>
      <c r="C11667" s="3">
        <v>0.0</v>
      </c>
      <c r="D11667" s="3">
        <v>0.0</v>
      </c>
      <c r="E11667" s="3">
        <v>0.0</v>
      </c>
      <c r="F11667" s="3" t="s">
        <v>33126</v>
      </c>
      <c r="G11667" s="3">
        <v>0.0</v>
      </c>
      <c r="H11667" s="3">
        <v>0.0</v>
      </c>
      <c r="I11667" s="3" t="s">
        <v>13</v>
      </c>
      <c r="J11667" s="3" t="s">
        <v>33127</v>
      </c>
      <c r="K11667" s="3" t="s">
        <v>58</v>
      </c>
      <c r="L11667" s="3" t="str">
        <f>IFERROR(__xludf.DUMMYFUNCTION("GOOGLETRANSLATE(F11667,""id"",""en"")"),"Hopefully the history of Argentina again Anies will be losing by the slander of Anijng barking afterwards the champion hopefully")</f>
        <v>Hopefully the history of Argentina again Anies will be losing by the slander of Anijng barking afterwards the champion hopefully</v>
      </c>
    </row>
    <row r="11668" ht="15.75" customHeight="1">
      <c r="A11668" s="1">
        <v>12913.0</v>
      </c>
      <c r="B11668" s="3" t="s">
        <v>33128</v>
      </c>
      <c r="C11668" s="3">
        <v>0.0</v>
      </c>
      <c r="D11668" s="3">
        <v>0.0</v>
      </c>
      <c r="E11668" s="3">
        <v>5.0</v>
      </c>
      <c r="F11668" s="3" t="s">
        <v>21729</v>
      </c>
      <c r="G11668" s="3">
        <v>0.0</v>
      </c>
      <c r="H11668" s="3">
        <v>0.0</v>
      </c>
      <c r="I11668" s="3" t="s">
        <v>13</v>
      </c>
      <c r="J11668" s="3" t="s">
        <v>21730</v>
      </c>
      <c r="K11668" s="3" t="s">
        <v>58</v>
      </c>
      <c r="L11668" s="3" t="str">
        <f>IFERROR(__xludf.DUMMYFUNCTION("GOOGLETRANSLATE(F11668,""id"",""en"")"),"Alhamdulillah, Argentina, world champion and Messi is now officially the world's best player of all time")</f>
        <v>Alhamdulillah, Argentina, world champion and Messi is now officially the world's best player of all time</v>
      </c>
    </row>
    <row r="11669" ht="15.75" customHeight="1">
      <c r="A11669" s="1">
        <v>12915.0</v>
      </c>
      <c r="B11669" s="3" t="s">
        <v>33129</v>
      </c>
      <c r="C11669" s="3">
        <v>0.0</v>
      </c>
      <c r="D11669" s="3">
        <v>0.0</v>
      </c>
      <c r="E11669" s="3">
        <v>12.0</v>
      </c>
      <c r="F11669" s="3" t="s">
        <v>21729</v>
      </c>
      <c r="G11669" s="3">
        <v>0.0</v>
      </c>
      <c r="H11669" s="3">
        <v>0.0</v>
      </c>
      <c r="I11669" s="3" t="s">
        <v>13</v>
      </c>
      <c r="J11669" s="3" t="s">
        <v>21730</v>
      </c>
      <c r="K11669" s="3" t="s">
        <v>58</v>
      </c>
      <c r="L11669" s="3" t="str">
        <f>IFERROR(__xludf.DUMMYFUNCTION("GOOGLETRANSLATE(F11669,""id"",""en"")"),"Alhamdulillah, Argentina, world champion and Messi is now officially the world's best player of all time")</f>
        <v>Alhamdulillah, Argentina, world champion and Messi is now officially the world's best player of all time</v>
      </c>
    </row>
    <row r="11670" ht="15.75" customHeight="1">
      <c r="A11670" s="1">
        <v>12916.0</v>
      </c>
      <c r="B11670" s="3" t="s">
        <v>33130</v>
      </c>
      <c r="C11670" s="3">
        <v>0.0</v>
      </c>
      <c r="D11670" s="3">
        <v>0.0</v>
      </c>
      <c r="E11670" s="3">
        <v>0.0</v>
      </c>
      <c r="F11670" s="3" t="s">
        <v>21729</v>
      </c>
      <c r="G11670" s="3">
        <v>0.0</v>
      </c>
      <c r="H11670" s="3">
        <v>0.0</v>
      </c>
      <c r="I11670" s="3" t="s">
        <v>13</v>
      </c>
      <c r="J11670" s="3" t="s">
        <v>21730</v>
      </c>
      <c r="K11670" s="3" t="s">
        <v>58</v>
      </c>
      <c r="L11670" s="3" t="str">
        <f>IFERROR(__xludf.DUMMYFUNCTION("GOOGLETRANSLATE(F11670,""id"",""en"")"),"Alhamdulillah, Argentina, world champion and Messi is now officially the world's best player of all time")</f>
        <v>Alhamdulillah, Argentina, world champion and Messi is now officially the world's best player of all time</v>
      </c>
    </row>
    <row r="11671" ht="15.75" customHeight="1">
      <c r="A11671" s="1">
        <v>12917.0</v>
      </c>
      <c r="B11671" s="3" t="s">
        <v>33131</v>
      </c>
      <c r="C11671" s="3">
        <v>0.0</v>
      </c>
      <c r="D11671" s="3">
        <v>0.0</v>
      </c>
      <c r="E11671" s="3">
        <v>2.0</v>
      </c>
      <c r="F11671" s="3" t="s">
        <v>33132</v>
      </c>
      <c r="G11671" s="3">
        <v>0.0</v>
      </c>
      <c r="H11671" s="3">
        <v>0.0</v>
      </c>
      <c r="I11671" s="3" t="s">
        <v>13</v>
      </c>
      <c r="J11671" s="3" t="s">
        <v>33133</v>
      </c>
      <c r="K11671" s="3" t="s">
        <v>574</v>
      </c>
      <c r="L11671" s="3" t="str">
        <f>IFERROR(__xludf.DUMMYFUNCTION("GOOGLETRANSLATE(F11671,""id"",""en"")"),"Check out the BRSM review discussing the Headline of Kompas Monday, December Argentina, the champion of Messi's eternal World Cup for Argentina, Nataru Holidays, Nataru Mobility is not limited but must be kept streaming")</f>
        <v>Check out the BRSM review discussing the Headline of Kompas Monday, December Argentina, the champion of Messi's eternal World Cup for Argentina, Nataru Holidays, Nataru Mobility is not limited but must be kept streaming</v>
      </c>
    </row>
    <row r="11672" ht="15.75" customHeight="1">
      <c r="A11672" s="1">
        <v>12918.0</v>
      </c>
      <c r="B11672" s="3" t="s">
        <v>21771</v>
      </c>
      <c r="C11672" s="3">
        <v>0.0</v>
      </c>
      <c r="D11672" s="3">
        <v>2.0</v>
      </c>
      <c r="E11672" s="3">
        <v>22.0</v>
      </c>
      <c r="F11672" s="3" t="s">
        <v>21729</v>
      </c>
      <c r="G11672" s="3">
        <v>0.0</v>
      </c>
      <c r="H11672" s="3">
        <v>0.0</v>
      </c>
      <c r="I11672" s="3" t="s">
        <v>13</v>
      </c>
      <c r="J11672" s="3" t="s">
        <v>21730</v>
      </c>
      <c r="K11672" s="3" t="s">
        <v>58</v>
      </c>
      <c r="L11672" s="3" t="str">
        <f>IFERROR(__xludf.DUMMYFUNCTION("GOOGLETRANSLATE(F11672,""id"",""en"")"),"Alhamdulillah, Argentina, world champion and Messi is now officially the world's best player of all time")</f>
        <v>Alhamdulillah, Argentina, world champion and Messi is now officially the world's best player of all time</v>
      </c>
    </row>
    <row r="11673" ht="15.75" customHeight="1">
      <c r="A11673" s="1">
        <v>12919.0</v>
      </c>
      <c r="B11673" s="3" t="s">
        <v>33134</v>
      </c>
      <c r="C11673" s="3">
        <v>0.0</v>
      </c>
      <c r="D11673" s="3">
        <v>0.0</v>
      </c>
      <c r="E11673" s="3">
        <v>0.0</v>
      </c>
      <c r="F11673" s="3" t="s">
        <v>33135</v>
      </c>
      <c r="G11673" s="3">
        <v>0.0</v>
      </c>
      <c r="H11673" s="3">
        <v>0.0</v>
      </c>
      <c r="I11673" s="3" t="s">
        <v>13</v>
      </c>
      <c r="J11673" s="3" t="s">
        <v>33136</v>
      </c>
      <c r="K11673" s="3" t="s">
        <v>2117</v>
      </c>
      <c r="L11673" s="3" t="str">
        <f>IFERROR(__xludf.DUMMYFUNCTION("GOOGLETRANSLATE(F11673,""id"",""en"")"),"Argentina Champion Congratulation")</f>
        <v>Argentina Champion Congratulation</v>
      </c>
    </row>
    <row r="11674" ht="15.75" customHeight="1">
      <c r="A11674" s="1">
        <v>12920.0</v>
      </c>
      <c r="B11674" s="3" t="s">
        <v>33137</v>
      </c>
      <c r="C11674" s="3">
        <v>1.0</v>
      </c>
      <c r="D11674" s="3">
        <v>5.0</v>
      </c>
      <c r="E11674" s="3">
        <v>2.0</v>
      </c>
      <c r="F11674" s="3" t="s">
        <v>32245</v>
      </c>
      <c r="G11674" s="3">
        <v>0.0</v>
      </c>
      <c r="H11674" s="3">
        <v>0.0</v>
      </c>
      <c r="I11674" s="3" t="s">
        <v>13</v>
      </c>
      <c r="J11674" s="3" t="s">
        <v>32246</v>
      </c>
      <c r="K11674" s="3" t="s">
        <v>1970</v>
      </c>
      <c r="L11674" s="3" t="str">
        <f>IFERROR(__xludf.DUMMYFUNCTION("GOOGLETRANSLATE(F11674,""id"",""en"")"),"The World Cup title became a legacy that Messi inscribed for Argentina Trophi during his professional career as well as being the most beautiful separation that was scratched by Messi before withdrawing from Albiceleste")</f>
        <v>The World Cup title became a legacy that Messi inscribed for Argentina Trophi during his professional career as well as being the most beautiful separation that was scratched by Messi before withdrawing from Albiceleste</v>
      </c>
    </row>
    <row r="11675" ht="15.75" customHeight="1">
      <c r="A11675" s="1">
        <v>12921.0</v>
      </c>
      <c r="B11675" s="3" t="s">
        <v>33138</v>
      </c>
      <c r="C11675" s="3">
        <v>0.0</v>
      </c>
      <c r="D11675" s="3">
        <v>0.0</v>
      </c>
      <c r="E11675" s="3">
        <v>0.0</v>
      </c>
      <c r="F11675" s="3" t="s">
        <v>33139</v>
      </c>
      <c r="G11675" s="3">
        <v>0.0</v>
      </c>
      <c r="H11675" s="3">
        <v>0.0</v>
      </c>
      <c r="I11675" s="3" t="s">
        <v>13</v>
      </c>
      <c r="J11675" s="3" t="s">
        <v>33140</v>
      </c>
      <c r="K11675" s="3" t="s">
        <v>1293</v>
      </c>
      <c r="L11675" s="3" t="str">
        <f>IFERROR(__xludf.DUMMYFUNCTION("GOOGLETRANSLATE(F11675,""id"",""en"")"),"tar story, your son and mother and mother used to get married because Argentina champions Worldcup before the match we both watched together")</f>
        <v>tar story, your son and mother and mother used to get married because Argentina champions Worldcup before the match we both watched together</v>
      </c>
    </row>
    <row r="11676" ht="15.75" customHeight="1">
      <c r="A11676" s="1">
        <v>12922.0</v>
      </c>
      <c r="B11676" s="3" t="s">
        <v>33141</v>
      </c>
      <c r="C11676" s="3">
        <v>0.0</v>
      </c>
      <c r="D11676" s="3">
        <v>0.0</v>
      </c>
      <c r="E11676" s="3">
        <v>0.0</v>
      </c>
      <c r="F11676" s="3" t="s">
        <v>33142</v>
      </c>
      <c r="G11676" s="3">
        <v>0.0</v>
      </c>
      <c r="H11676" s="3">
        <v>0.0</v>
      </c>
      <c r="I11676" s="3" t="s">
        <v>13</v>
      </c>
      <c r="J11676" s="3" t="s">
        <v>33143</v>
      </c>
      <c r="K11676" s="3" t="s">
        <v>13682</v>
      </c>
      <c r="L11676" s="3" t="str">
        <f>IFERROR(__xludf.DUMMYFUNCTION("GOOGLETRANSLATE(F11676,""id"",""en"")"),"overslept the score wake up and it turns out that my guess is really the beginning of the worldcup already feeling the Argentina champion Brazil is fooled by the great Moroccan back the Argentina PST champion and won in the hearts of the public already PS"&amp;"T Morocco please")</f>
        <v>overslept the score wake up and it turns out that my guess is really the beginning of the worldcup already feeling the Argentina champion Brazil is fooled by the great Moroccan back the Argentina PST champion and won in the hearts of the public already PST Morocco please</v>
      </c>
    </row>
    <row r="11677" ht="15.75" customHeight="1">
      <c r="A11677" s="1">
        <v>12923.0</v>
      </c>
      <c r="B11677" s="3" t="s">
        <v>33144</v>
      </c>
      <c r="C11677" s="3">
        <v>0.0</v>
      </c>
      <c r="D11677" s="3">
        <v>0.0</v>
      </c>
      <c r="E11677" s="3">
        <v>0.0</v>
      </c>
      <c r="F11677" s="3" t="s">
        <v>33145</v>
      </c>
      <c r="G11677" s="3">
        <v>0.0</v>
      </c>
      <c r="H11677" s="3">
        <v>0.0</v>
      </c>
      <c r="I11677" s="3" t="s">
        <v>13</v>
      </c>
      <c r="J11677" s="3" t="s">
        <v>33146</v>
      </c>
      <c r="K11677" s="3" t="s">
        <v>322</v>
      </c>
      <c r="L11677" s="3" t="str">
        <f>IFERROR(__xludf.DUMMYFUNCTION("GOOGLETRANSLATE(F11677,""id"",""en"")"),"Gara Gara Aguero Pensi Argentina Champion")</f>
        <v>Gara Gara Aguero Pensi Argentina Champion</v>
      </c>
    </row>
    <row r="11678" ht="15.75" customHeight="1">
      <c r="A11678" s="1">
        <v>12924.0</v>
      </c>
      <c r="B11678" s="3" t="s">
        <v>33147</v>
      </c>
      <c r="C11678" s="3">
        <v>0.0</v>
      </c>
      <c r="D11678" s="3">
        <v>0.0</v>
      </c>
      <c r="E11678" s="3">
        <v>0.0</v>
      </c>
      <c r="F11678" s="3" t="s">
        <v>33148</v>
      </c>
      <c r="G11678" s="3">
        <v>0.0</v>
      </c>
      <c r="H11678" s="3">
        <v>0.0</v>
      </c>
      <c r="I11678" s="3" t="s">
        <v>13</v>
      </c>
      <c r="J11678" s="3" t="s">
        <v>33149</v>
      </c>
      <c r="K11678" s="3" t="s">
        <v>82</v>
      </c>
      <c r="L11678" s="3" t="str">
        <f>IFERROR(__xludf.DUMMYFUNCTION("GOOGLETRANSLATE(F11678,""id"",""en"")"),"tuh, my hunch is really the most champion Argentina")</f>
        <v>tuh, my hunch is really the most champion Argentina</v>
      </c>
    </row>
    <row r="11679" ht="15.75" customHeight="1">
      <c r="A11679" s="1">
        <v>12925.0</v>
      </c>
      <c r="B11679" s="3" t="s">
        <v>33150</v>
      </c>
      <c r="C11679" s="3">
        <v>0.0</v>
      </c>
      <c r="D11679" s="3">
        <v>0.0</v>
      </c>
      <c r="E11679" s="3">
        <v>4.0</v>
      </c>
      <c r="F11679" s="3" t="s">
        <v>33151</v>
      </c>
      <c r="G11679" s="3">
        <v>0.0</v>
      </c>
      <c r="H11679" s="3">
        <v>0.0</v>
      </c>
      <c r="I11679" s="3" t="s">
        <v>13</v>
      </c>
      <c r="J11679" s="3" t="s">
        <v>33152</v>
      </c>
      <c r="K11679" s="3" t="s">
        <v>54</v>
      </c>
      <c r="L11679" s="3" t="str">
        <f>IFERROR(__xludf.DUMMYFUNCTION("GOOGLETRANSLATE(F11679,""id"",""en"")"),"Argentina confirmed itself as the World Cup champion")</f>
        <v>Argentina confirmed itself as the World Cup champion</v>
      </c>
    </row>
    <row r="11680" ht="15.75" customHeight="1">
      <c r="A11680" s="1">
        <v>12926.0</v>
      </c>
      <c r="B11680" s="3" t="s">
        <v>33153</v>
      </c>
      <c r="C11680" s="3">
        <v>0.0</v>
      </c>
      <c r="D11680" s="3">
        <v>0.0</v>
      </c>
      <c r="E11680" s="3">
        <v>0.0</v>
      </c>
      <c r="F11680" s="3" t="s">
        <v>33154</v>
      </c>
      <c r="G11680" s="3">
        <v>0.0</v>
      </c>
      <c r="H11680" s="3">
        <v>0.0</v>
      </c>
      <c r="I11680" s="3" t="s">
        <v>13</v>
      </c>
      <c r="J11680" s="3" t="s">
        <v>33155</v>
      </c>
      <c r="K11680" s="3" t="s">
        <v>35</v>
      </c>
      <c r="L11680" s="3" t="str">
        <f>IFERROR(__xludf.DUMMYFUNCTION("GOOGLETRANSLATE(F11680,""id"",""en"")"),"PSSI Chairperson Argentina, a photo of a big billboard, isn't Argentina, let's win the time")</f>
        <v>PSSI Chairperson Argentina, a photo of a big billboard, isn't Argentina, let's win the time</v>
      </c>
    </row>
    <row r="11681" ht="15.75" customHeight="1">
      <c r="A11681" s="1">
        <v>12927.0</v>
      </c>
      <c r="B11681" s="3" t="s">
        <v>33156</v>
      </c>
      <c r="C11681" s="3">
        <v>1.0</v>
      </c>
      <c r="D11681" s="3">
        <v>0.0</v>
      </c>
      <c r="E11681" s="3">
        <v>0.0</v>
      </c>
      <c r="F11681" s="3" t="s">
        <v>33157</v>
      </c>
      <c r="G11681" s="3">
        <v>0.0</v>
      </c>
      <c r="H11681" s="3">
        <v>0.0</v>
      </c>
      <c r="I11681" s="3" t="s">
        <v>13</v>
      </c>
      <c r="J11681" s="3" t="s">
        <v>33158</v>
      </c>
      <c r="K11681" s="3" t="s">
        <v>993</v>
      </c>
      <c r="L11681" s="3" t="str">
        <f>IFERROR(__xludf.DUMMYFUNCTION("GOOGLETRANSLATE(F11681,""id"",""en"")"),"Thx Qatar smoothly successful and also a year -end world cup which according to some strange circles because the world cup is usually summer June July, my predictions are Argentina who won last year of Japan, the host of Brazil's champion")</f>
        <v>Thx Qatar smoothly successful and also a year -end world cup which according to some strange circles because the world cup is usually summer June July, my predictions are Argentina who won last year of Japan, the host of Brazil's champion</v>
      </c>
    </row>
    <row r="11682" ht="15.75" customHeight="1">
      <c r="A11682" s="1">
        <v>12928.0</v>
      </c>
      <c r="B11682" s="3" t="s">
        <v>33159</v>
      </c>
      <c r="C11682" s="3">
        <v>0.0</v>
      </c>
      <c r="D11682" s="3">
        <v>0.0</v>
      </c>
      <c r="E11682" s="3">
        <v>0.0</v>
      </c>
      <c r="F11682" s="3" t="s">
        <v>33160</v>
      </c>
      <c r="G11682" s="3">
        <v>0.0</v>
      </c>
      <c r="H11682" s="3">
        <v>0.0</v>
      </c>
      <c r="I11682" s="3" t="s">
        <v>13</v>
      </c>
      <c r="J11682" s="3" t="s">
        <v>33161</v>
      </c>
      <c r="K11682" s="3" t="s">
        <v>1097</v>
      </c>
      <c r="L11682" s="3" t="str">
        <f>IFERROR(__xludf.DUMMYFUNCTION("GOOGLETRANSLATE(F11682,""id"",""en"")"),"Messi just champions of your Qatar World Cup when his heart champion")</f>
        <v>Messi just champions of your Qatar World Cup when his heart champion</v>
      </c>
    </row>
    <row r="11683" ht="15.75" customHeight="1">
      <c r="A11683" s="1">
        <v>12929.0</v>
      </c>
      <c r="B11683" s="3" t="s">
        <v>33162</v>
      </c>
      <c r="C11683" s="3">
        <v>1.0</v>
      </c>
      <c r="D11683" s="3">
        <v>0.0</v>
      </c>
      <c r="E11683" s="3">
        <v>0.0</v>
      </c>
      <c r="F11683" s="3" t="s">
        <v>33163</v>
      </c>
      <c r="G11683" s="3">
        <v>0.0</v>
      </c>
      <c r="H11683" s="3">
        <v>0.0</v>
      </c>
      <c r="I11683" s="3" t="s">
        <v>13</v>
      </c>
      <c r="J11683" s="3" t="s">
        <v>33164</v>
      </c>
      <c r="K11683" s="3" t="s">
        <v>644</v>
      </c>
      <c r="L11683" s="3" t="str">
        <f>IFERROR(__xludf.DUMMYFUNCTION("GOOGLETRANSLATE(F11683,""id"",""en"")"),"The real champion is Saudi Arabia")</f>
        <v>The real champion is Saudi Arabia</v>
      </c>
    </row>
    <row r="11684" ht="15.75" customHeight="1">
      <c r="A11684" s="1">
        <v>12930.0</v>
      </c>
      <c r="B11684" s="3" t="s">
        <v>33165</v>
      </c>
      <c r="C11684" s="3">
        <v>1.0</v>
      </c>
      <c r="D11684" s="3">
        <v>0.0</v>
      </c>
      <c r="E11684" s="3">
        <v>0.0</v>
      </c>
      <c r="F11684" s="3" t="s">
        <v>33166</v>
      </c>
      <c r="G11684" s="3">
        <v>0.0</v>
      </c>
      <c r="H11684" s="3">
        <v>0.0</v>
      </c>
      <c r="I11684" s="3" t="s">
        <v>13</v>
      </c>
      <c r="J11684" s="3" t="s">
        <v>33167</v>
      </c>
      <c r="K11684" s="3" t="s">
        <v>14571</v>
      </c>
      <c r="L11684" s="3" t="str">
        <f>IFERROR(__xludf.DUMMYFUNCTION("GOOGLETRANSLATE(F11684,""id"",""en"")"),"He is Nder")</f>
        <v>He is Nder</v>
      </c>
    </row>
    <row r="11685" ht="15.75" customHeight="1">
      <c r="A11685" s="1">
        <v>12931.0</v>
      </c>
      <c r="B11685" s="3" t="s">
        <v>33168</v>
      </c>
      <c r="C11685" s="3">
        <v>0.0</v>
      </c>
      <c r="D11685" s="3">
        <v>0.0</v>
      </c>
      <c r="E11685" s="3">
        <v>1.0</v>
      </c>
      <c r="F11685" s="3" t="s">
        <v>33169</v>
      </c>
      <c r="G11685" s="3">
        <v>0.0</v>
      </c>
      <c r="H11685" s="3">
        <v>0.0</v>
      </c>
      <c r="I11685" s="3" t="s">
        <v>13</v>
      </c>
      <c r="J11685" s="3" t="s">
        <v>33170</v>
      </c>
      <c r="K11685" s="3" t="s">
        <v>2117</v>
      </c>
      <c r="L11685" s="3" t="str">
        <f>IFERROR(__xludf.DUMMYFUNCTION("GOOGLETRANSLATE(F11685,""id"",""en"")"),"Tengkyu ingfo, bro")</f>
        <v>Tengkyu ingfo, bro</v>
      </c>
    </row>
    <row r="11686" ht="15.75" customHeight="1">
      <c r="A11686" s="1">
        <v>12932.0</v>
      </c>
      <c r="B11686" s="3" t="s">
        <v>33171</v>
      </c>
      <c r="C11686" s="3">
        <v>0.0</v>
      </c>
      <c r="D11686" s="3">
        <v>0.0</v>
      </c>
      <c r="E11686" s="3">
        <v>1.0</v>
      </c>
      <c r="F11686" s="3" t="s">
        <v>33172</v>
      </c>
      <c r="G11686" s="3">
        <v>0.6</v>
      </c>
      <c r="H11686" s="3">
        <v>-0.1</v>
      </c>
      <c r="I11686" s="3" t="s">
        <v>179</v>
      </c>
      <c r="J11686" s="3" t="s">
        <v>33173</v>
      </c>
      <c r="K11686" s="3" t="s">
        <v>8160</v>
      </c>
      <c r="L11686" s="3" t="str">
        <f>IFERROR(__xludf.DUMMYFUNCTION("GOOGLETRANSLATE(F11686,""id"",""en"")"),"Yedam EMG is the most cool from March he said and now Argentina won the champion of the pildun huaaa yedaammm this was right to appear and release the minimum song Christmas Song Juseyo")</f>
        <v>Yedam EMG is the most cool from March he said and now Argentina won the champion of the pildun huaaa yedaammm this was right to appear and release the minimum song Christmas Song Juseyo</v>
      </c>
    </row>
    <row r="11687" ht="15.75" customHeight="1">
      <c r="A11687" s="1">
        <v>12933.0</v>
      </c>
      <c r="B11687" s="3" t="s">
        <v>33174</v>
      </c>
      <c r="C11687" s="3">
        <v>0.0</v>
      </c>
      <c r="D11687" s="3">
        <v>0.0</v>
      </c>
      <c r="E11687" s="3">
        <v>0.0</v>
      </c>
      <c r="F11687" s="3" t="s">
        <v>33175</v>
      </c>
      <c r="G11687" s="3">
        <v>0.0</v>
      </c>
      <c r="H11687" s="3">
        <v>0.0</v>
      </c>
      <c r="I11687" s="3" t="s">
        <v>13</v>
      </c>
      <c r="J11687" s="3" t="s">
        <v>33176</v>
      </c>
      <c r="K11687" s="3" t="s">
        <v>644</v>
      </c>
      <c r="L11687" s="3" t="str">
        <f>IFERROR(__xludf.DUMMYFUNCTION("GOOGLETRANSLATE(F11687,""id"",""en"")"),"Alhamdulillah Argentina won survived")</f>
        <v>Alhamdulillah Argentina won survived</v>
      </c>
    </row>
    <row r="11688" ht="15.75" customHeight="1">
      <c r="A11688" s="1">
        <v>12934.0</v>
      </c>
      <c r="B11688" s="3" t="s">
        <v>33177</v>
      </c>
      <c r="C11688" s="3">
        <v>0.0</v>
      </c>
      <c r="D11688" s="3">
        <v>0.0</v>
      </c>
      <c r="E11688" s="3">
        <v>0.0</v>
      </c>
      <c r="F11688" s="3" t="s">
        <v>33178</v>
      </c>
      <c r="G11688" s="3">
        <v>0.0</v>
      </c>
      <c r="H11688" s="3">
        <v>0.0</v>
      </c>
      <c r="I11688" s="3" t="s">
        <v>13</v>
      </c>
      <c r="J11688" s="3" t="s">
        <v>33179</v>
      </c>
      <c r="K11688" s="3" t="s">
        <v>50</v>
      </c>
      <c r="L11688" s="3" t="str">
        <f>IFERROR(__xludf.DUMMYFUNCTION("GOOGLETRANSLATE(F11688,""id"",""en"")"),"Argentina Champion World Cup Messi became the first player to win two gold balls")</f>
        <v>Argentina Champion World Cup Messi became the first player to win two gold balls</v>
      </c>
    </row>
    <row r="11689" ht="15.75" customHeight="1">
      <c r="A11689" s="1">
        <v>12935.0</v>
      </c>
      <c r="B11689" s="3" t="s">
        <v>33180</v>
      </c>
      <c r="C11689" s="3">
        <v>1.0</v>
      </c>
      <c r="D11689" s="3">
        <v>5.0</v>
      </c>
      <c r="E11689" s="3">
        <v>18.0</v>
      </c>
      <c r="F11689" s="3" t="s">
        <v>33181</v>
      </c>
      <c r="G11689" s="3">
        <v>0.0</v>
      </c>
      <c r="H11689" s="3">
        <v>0.0</v>
      </c>
      <c r="I11689" s="3" t="s">
        <v>13</v>
      </c>
      <c r="J11689" s="3" t="s">
        <v>33182</v>
      </c>
      <c r="K11689" s="3" t="s">
        <v>71</v>
      </c>
      <c r="L11689" s="3" t="str">
        <f>IFERROR(__xludf.DUMMYFUNCTION("GOOGLETRANSLATE(F11689,""id"",""en"")"),"If the Ronaldo Atitudes are lubricant like Messi, still Argentina, who won, is really hard, it's still difficult if the idol is yak")</f>
        <v>If the Ronaldo Atitudes are lubricant like Messi, still Argentina, who won, is really hard, it's still difficult if the idol is yak</v>
      </c>
    </row>
    <row r="11690" ht="15.75" customHeight="1">
      <c r="A11690" s="1">
        <v>12936.0</v>
      </c>
      <c r="B11690" s="3" t="s">
        <v>33183</v>
      </c>
      <c r="C11690" s="3">
        <v>0.0</v>
      </c>
      <c r="D11690" s="3">
        <v>0.0</v>
      </c>
      <c r="E11690" s="3">
        <v>1.0</v>
      </c>
      <c r="F11690" s="3" t="s">
        <v>33184</v>
      </c>
      <c r="G11690" s="3">
        <v>0.0</v>
      </c>
      <c r="H11690" s="3">
        <v>0.0</v>
      </c>
      <c r="I11690" s="3" t="s">
        <v>13</v>
      </c>
      <c r="J11690" s="3" t="s">
        <v>33185</v>
      </c>
      <c r="K11690" s="3" t="s">
        <v>795</v>
      </c>
      <c r="L11690" s="3" t="str">
        <f>IFERROR(__xludf.DUMMYFUNCTION("GOOGLETRANSLATE(F11690,""id"",""en"")"),"Argentina Last Champion means it takes time for the year to win the last Dutch championship, the champion will be when the euro will turn out later until here understand")</f>
        <v>Argentina Last Champion means it takes time for the year to win the last Dutch championship, the champion will be when the euro will turn out later until here understand</v>
      </c>
    </row>
    <row r="11691" ht="15.75" customHeight="1">
      <c r="A11691" s="1">
        <v>12937.0</v>
      </c>
      <c r="B11691" s="3" t="s">
        <v>33186</v>
      </c>
      <c r="C11691" s="3">
        <v>1.0</v>
      </c>
      <c r="D11691" s="3">
        <v>2.0</v>
      </c>
      <c r="E11691" s="3">
        <v>3.0</v>
      </c>
      <c r="F11691" s="3" t="s">
        <v>33187</v>
      </c>
      <c r="G11691" s="3">
        <v>0.0</v>
      </c>
      <c r="H11691" s="3">
        <v>0.0</v>
      </c>
      <c r="I11691" s="3" t="s">
        <v>13</v>
      </c>
      <c r="J11691" s="3" t="s">
        <v>33188</v>
      </c>
      <c r="K11691" s="3" t="s">
        <v>21284</v>
      </c>
      <c r="L11691" s="3" t="str">
        <f>IFERROR(__xludf.DUMMYFUNCTION("GOOGLETRANSLATE(F11691,""id"",""en"")"),"List of Countries for Won the FIFA Brazil World Cup Italy Kali Kali German Kali Kali Kali Argentina French Kali Kali Kali Spain times Indonesia next time")</f>
        <v>List of Countries for Won the FIFA Brazil World Cup Italy Kali Kali German Kali Kali Kali Argentina French Kali Kali Kali Spain times Indonesia next time</v>
      </c>
    </row>
    <row r="11692" ht="15.75" customHeight="1">
      <c r="A11692" s="1">
        <v>12938.0</v>
      </c>
      <c r="B11692" s="3" t="s">
        <v>33189</v>
      </c>
      <c r="C11692" s="3">
        <v>0.0</v>
      </c>
      <c r="D11692" s="3">
        <v>0.0</v>
      </c>
      <c r="E11692" s="3">
        <v>0.0</v>
      </c>
      <c r="F11692" s="3" t="s">
        <v>33190</v>
      </c>
      <c r="G11692" s="3">
        <v>0.0</v>
      </c>
      <c r="H11692" s="3">
        <v>0.0</v>
      </c>
      <c r="I11692" s="3" t="s">
        <v>13</v>
      </c>
      <c r="J11692" s="3" t="s">
        <v>33191</v>
      </c>
      <c r="K11692" s="3" t="s">
        <v>19</v>
      </c>
      <c r="L11692" s="3" t="str">
        <f>IFERROR(__xludf.DUMMYFUNCTION("GOOGLETRANSLATE(F11692,""id"",""en"")"),"A very long struggle of Argentina times is always the best love and finally world champion")</f>
        <v>A very long struggle of Argentina times is always the best love and finally world champion</v>
      </c>
    </row>
    <row r="11693" ht="15.75" customHeight="1">
      <c r="A11693" s="1">
        <v>12939.0</v>
      </c>
      <c r="B11693" s="3" t="s">
        <v>33192</v>
      </c>
      <c r="C11693" s="3">
        <v>0.0</v>
      </c>
      <c r="D11693" s="3">
        <v>0.0</v>
      </c>
      <c r="E11693" s="3">
        <v>0.0</v>
      </c>
      <c r="F11693" s="3" t="s">
        <v>33193</v>
      </c>
      <c r="G11693" s="3">
        <v>0.55</v>
      </c>
      <c r="H11693" s="3">
        <v>0.35</v>
      </c>
      <c r="I11693" s="3" t="s">
        <v>48</v>
      </c>
      <c r="J11693" s="3" t="s">
        <v>33194</v>
      </c>
      <c r="K11693" s="3" t="s">
        <v>15</v>
      </c>
      <c r="L11693" s="3" t="str">
        <f>IFERROR(__xludf.DUMMYFUNCTION("GOOGLETRANSLATE(F11693,""id"",""en"")"),"Thanks to Argentina the champion is confirmed that my Monday is cheerful full smile")</f>
        <v>Thanks to Argentina the champion is confirmed that my Monday is cheerful full smile</v>
      </c>
    </row>
    <row r="11694" ht="15.75" customHeight="1">
      <c r="A11694" s="1">
        <v>12940.0</v>
      </c>
      <c r="B11694" s="3" t="s">
        <v>33195</v>
      </c>
      <c r="C11694" s="3">
        <v>0.0</v>
      </c>
      <c r="D11694" s="3">
        <v>0.0</v>
      </c>
      <c r="E11694" s="3">
        <v>1.0</v>
      </c>
      <c r="F11694" s="3" t="s">
        <v>16103</v>
      </c>
      <c r="G11694" s="3">
        <v>0.0</v>
      </c>
      <c r="H11694" s="3">
        <v>0.0</v>
      </c>
      <c r="I11694" s="3" t="s">
        <v>13</v>
      </c>
      <c r="J11694" s="3" t="s">
        <v>16104</v>
      </c>
      <c r="K11694" s="3" t="s">
        <v>14571</v>
      </c>
      <c r="L11694" s="3" t="str">
        <f>IFERROR(__xludf.DUMMYFUNCTION("GOOGLETRANSLATE(F11694,""id"",""en"")"),"Argentina Champion")</f>
        <v>Argentina Champion</v>
      </c>
    </row>
    <row r="11695" ht="15.75" customHeight="1">
      <c r="A11695" s="1">
        <v>12941.0</v>
      </c>
      <c r="B11695" s="3" t="s">
        <v>33196</v>
      </c>
      <c r="C11695" s="3">
        <v>1.0</v>
      </c>
      <c r="D11695" s="3">
        <v>0.0</v>
      </c>
      <c r="E11695" s="3">
        <v>0.0</v>
      </c>
      <c r="F11695" s="3" t="s">
        <v>33197</v>
      </c>
      <c r="G11695" s="3">
        <v>0.0</v>
      </c>
      <c r="H11695" s="3">
        <v>0.0</v>
      </c>
      <c r="I11695" s="3" t="s">
        <v>13</v>
      </c>
      <c r="J11695" s="3" t="s">
        <v>33198</v>
      </c>
      <c r="K11695" s="3" t="s">
        <v>1097</v>
      </c>
      <c r="L11695" s="3" t="str">
        <f>IFERROR(__xludf.DUMMYFUNCTION("GOOGLETRANSLATE(F11695,""id"",""en"")"),"Argentina Champion World Cup if you still win my heart")</f>
        <v>Argentina Champion World Cup if you still win my heart</v>
      </c>
    </row>
    <row r="11696" ht="15.75" customHeight="1">
      <c r="A11696" s="1">
        <v>12942.0</v>
      </c>
      <c r="B11696" s="3" t="s">
        <v>33199</v>
      </c>
      <c r="C11696" s="3">
        <v>0.0</v>
      </c>
      <c r="D11696" s="3">
        <v>0.0</v>
      </c>
      <c r="E11696" s="3">
        <v>0.0</v>
      </c>
      <c r="F11696" s="3" t="s">
        <v>33200</v>
      </c>
      <c r="G11696" s="3">
        <v>0.0</v>
      </c>
      <c r="H11696" s="3">
        <v>0.0</v>
      </c>
      <c r="I11696" s="3" t="s">
        <v>13</v>
      </c>
      <c r="J11696" s="3" t="s">
        <v>33201</v>
      </c>
      <c r="K11696" s="3" t="s">
        <v>19</v>
      </c>
      <c r="L11696" s="3" t="str">
        <f>IFERROR(__xludf.DUMMYFUNCTION("GOOGLETRANSLATE(F11696,""id"",""en"")"),"The results of the French Argentina won the penalty shootout and the World Cup champion via")</f>
        <v>The results of the French Argentina won the penalty shootout and the World Cup champion via</v>
      </c>
    </row>
    <row r="11697" ht="15.75" customHeight="1">
      <c r="A11697" s="1">
        <v>12943.0</v>
      </c>
      <c r="B11697" s="3" t="s">
        <v>33202</v>
      </c>
      <c r="C11697" s="3">
        <v>0.0</v>
      </c>
      <c r="D11697" s="3">
        <v>0.0</v>
      </c>
      <c r="E11697" s="3">
        <v>0.0</v>
      </c>
      <c r="F11697" s="3" t="s">
        <v>22241</v>
      </c>
      <c r="G11697" s="3">
        <v>0.0</v>
      </c>
      <c r="H11697" s="3">
        <v>0.0</v>
      </c>
      <c r="I11697" s="3" t="s">
        <v>13</v>
      </c>
      <c r="J11697" s="3" t="s">
        <v>16942</v>
      </c>
      <c r="K11697" s="3" t="s">
        <v>644</v>
      </c>
      <c r="L11697" s="3" t="str">
        <f>IFERROR(__xludf.DUMMYFUNCTION("GOOGLETRANSLATE(F11697,""id"",""en"")"),"Argentina Champion World Cup")</f>
        <v>Argentina Champion World Cup</v>
      </c>
    </row>
    <row r="11698" ht="15.75" customHeight="1">
      <c r="A11698" s="1">
        <v>12944.0</v>
      </c>
      <c r="B11698" s="3" t="s">
        <v>33203</v>
      </c>
      <c r="C11698" s="3">
        <v>2.0</v>
      </c>
      <c r="D11698" s="3">
        <v>0.0</v>
      </c>
      <c r="E11698" s="3">
        <v>1.0</v>
      </c>
      <c r="F11698" s="3" t="s">
        <v>33204</v>
      </c>
      <c r="G11698" s="3">
        <v>0.0</v>
      </c>
      <c r="H11698" s="3">
        <v>0.0</v>
      </c>
      <c r="I11698" s="3" t="s">
        <v>13</v>
      </c>
      <c r="J11698" s="3" t="s">
        <v>33205</v>
      </c>
      <c r="K11698" s="3" t="s">
        <v>75</v>
      </c>
      <c r="L11698" s="3" t="str">
        <f>IFERROR(__xludf.DUMMYFUNCTION("GOOGLETRANSLATE(F11698,""id"",""en"")"),"I can go back and forth to the tiktok tweeting hours to see Argentina.")</f>
        <v>I can go back and forth to the tiktok tweeting hours to see Argentina.</v>
      </c>
    </row>
    <row r="11699" ht="15.75" customHeight="1">
      <c r="A11699" s="1">
        <v>12945.0</v>
      </c>
      <c r="B11699" s="3" t="s">
        <v>33206</v>
      </c>
      <c r="C11699" s="3">
        <v>0.0</v>
      </c>
      <c r="D11699" s="3">
        <v>0.0</v>
      </c>
      <c r="E11699" s="3">
        <v>0.0</v>
      </c>
      <c r="F11699" s="3" t="s">
        <v>33207</v>
      </c>
      <c r="G11699" s="3">
        <v>0.0</v>
      </c>
      <c r="H11699" s="3">
        <v>0.0</v>
      </c>
      <c r="I11699" s="3" t="s">
        <v>13</v>
      </c>
      <c r="J11699" s="3" t="s">
        <v>33208</v>
      </c>
      <c r="K11699" s="3" t="s">
        <v>15</v>
      </c>
      <c r="L11699" s="3" t="str">
        <f>IFERROR(__xludf.DUMMYFUNCTION("GOOGLETRANSLATE(F11699,""id"",""en"")"),"Messi's new record after Argentina Champion World Cup")</f>
        <v>Messi's new record after Argentina Champion World Cup</v>
      </c>
    </row>
    <row r="11700" ht="15.75" customHeight="1">
      <c r="A11700" s="1">
        <v>12946.0</v>
      </c>
      <c r="B11700" s="3" t="s">
        <v>33209</v>
      </c>
      <c r="C11700" s="3">
        <v>0.0</v>
      </c>
      <c r="D11700" s="3">
        <v>0.0</v>
      </c>
      <c r="E11700" s="3">
        <v>1.0</v>
      </c>
      <c r="F11700" s="3" t="s">
        <v>33210</v>
      </c>
      <c r="G11700" s="3">
        <v>0.0</v>
      </c>
      <c r="H11700" s="3">
        <v>0.0</v>
      </c>
      <c r="I11700" s="3" t="s">
        <v>13</v>
      </c>
      <c r="J11700" s="3" t="s">
        <v>33211</v>
      </c>
      <c r="K11700" s="3" t="s">
        <v>2117</v>
      </c>
      <c r="L11700" s="3" t="str">
        <f>IFERROR(__xludf.DUMMYFUNCTION("GOOGLETRANSLATE(F11700,""id"",""en"")"),"Tahniah Argentina Champion")</f>
        <v>Tahniah Argentina Champion</v>
      </c>
    </row>
    <row r="11701" ht="15.75" customHeight="1">
      <c r="A11701" s="1">
        <v>12947.0</v>
      </c>
      <c r="B11701" s="3" t="s">
        <v>33212</v>
      </c>
      <c r="C11701" s="3">
        <v>0.0</v>
      </c>
      <c r="D11701" s="3">
        <v>0.0</v>
      </c>
      <c r="E11701" s="3">
        <v>0.0</v>
      </c>
      <c r="F11701" s="3" t="s">
        <v>33213</v>
      </c>
      <c r="G11701" s="3">
        <v>0.0</v>
      </c>
      <c r="H11701" s="3">
        <v>0.0</v>
      </c>
      <c r="I11701" s="3" t="s">
        <v>13</v>
      </c>
      <c r="J11701" s="3" t="s">
        <v>33214</v>
      </c>
      <c r="K11701" s="3" t="s">
        <v>633</v>
      </c>
      <c r="L11701" s="3" t="str">
        <f>IFERROR(__xludf.DUMMYFUNCTION("GOOGLETRANSLATE(F11701,""id"",""en"")"),"finally the following champion champions of the Croatian French Argentina World Cup and it is not from a country that has its pet but there is a matter of which it seems good if you have understood")</f>
        <v>finally the following champion champions of the Croatian French Argentina World Cup and it is not from a country that has its pet but there is a matter of which it seems good if you have understood</v>
      </c>
    </row>
    <row r="11702" ht="15.75" customHeight="1">
      <c r="A11702" s="1">
        <v>12948.0</v>
      </c>
      <c r="B11702" s="3" t="s">
        <v>33215</v>
      </c>
      <c r="C11702" s="3">
        <v>0.0</v>
      </c>
      <c r="D11702" s="3">
        <v>0.0</v>
      </c>
      <c r="E11702" s="3">
        <v>0.0</v>
      </c>
      <c r="F11702" s="3" t="s">
        <v>33216</v>
      </c>
      <c r="G11702" s="3">
        <v>0.0</v>
      </c>
      <c r="H11702" s="3">
        <v>0.0</v>
      </c>
      <c r="I11702" s="3" t="s">
        <v>13</v>
      </c>
      <c r="J11702" s="3" t="s">
        <v>33217</v>
      </c>
      <c r="K11702" s="3" t="s">
        <v>644</v>
      </c>
      <c r="L11702" s="3" t="str">
        <f>IFERROR(__xludf.DUMMYFUNCTION("GOOGLETRANSLATE(F11702,""id"",""en"")"),"Argentina my champion can sleep")</f>
        <v>Argentina my champion can sleep</v>
      </c>
    </row>
    <row r="11703" ht="15.75" customHeight="1">
      <c r="A11703" s="1">
        <v>12949.0</v>
      </c>
      <c r="B11703" s="3" t="s">
        <v>33218</v>
      </c>
      <c r="C11703" s="3">
        <v>1.0</v>
      </c>
      <c r="D11703" s="3">
        <v>3.0</v>
      </c>
      <c r="E11703" s="3">
        <v>9.0</v>
      </c>
      <c r="F11703" s="3" t="s">
        <v>33219</v>
      </c>
      <c r="G11703" s="3">
        <v>0.4</v>
      </c>
      <c r="H11703" s="3">
        <v>-0.2</v>
      </c>
      <c r="I11703" s="3" t="s">
        <v>179</v>
      </c>
      <c r="J11703" s="3" t="s">
        <v>33220</v>
      </c>
      <c r="K11703" s="3" t="s">
        <v>1970</v>
      </c>
      <c r="L11703" s="3" t="str">
        <f>IFERROR(__xludf.DUMMYFUNCTION("GOOGLETRANSLATE(F11703,""id"",""en"")"),"Assalamualaikum Greetings All the spirit of the morning congratulations to Argentina the world of soccer world champions, especially for Kang Messy Tea, satisfied with a successful greeting for all")</f>
        <v>Assalamualaikum Greetings All the spirit of the morning congratulations to Argentina the world of soccer world champions, especially for Kang Messy Tea, satisfied with a successful greeting for all</v>
      </c>
    </row>
    <row r="11704" ht="15.75" customHeight="1">
      <c r="A11704" s="1">
        <v>12950.0</v>
      </c>
      <c r="B11704" s="3" t="s">
        <v>33221</v>
      </c>
      <c r="C11704" s="3">
        <v>0.0</v>
      </c>
      <c r="D11704" s="3">
        <v>0.0</v>
      </c>
      <c r="E11704" s="3">
        <v>1.0</v>
      </c>
      <c r="F11704" s="3" t="s">
        <v>20401</v>
      </c>
      <c r="G11704" s="3">
        <v>0.0</v>
      </c>
      <c r="H11704" s="3">
        <v>0.0</v>
      </c>
      <c r="I11704" s="3" t="s">
        <v>13</v>
      </c>
      <c r="J11704" s="3" t="s">
        <v>20402</v>
      </c>
      <c r="K11704" s="3" t="s">
        <v>2117</v>
      </c>
      <c r="L11704" s="3" t="str">
        <f>IFERROR(__xludf.DUMMYFUNCTION("GOOGLETRANSLATE(F11704,""id"",""en"")"),"Argentina Champion Bro")</f>
        <v>Argentina Champion Bro</v>
      </c>
    </row>
    <row r="11705" ht="15.75" customHeight="1">
      <c r="A11705" s="1">
        <v>12951.0</v>
      </c>
      <c r="B11705" s="3" t="s">
        <v>33222</v>
      </c>
      <c r="C11705" s="3">
        <v>0.0</v>
      </c>
      <c r="D11705" s="3">
        <v>0.0</v>
      </c>
      <c r="E11705" s="3">
        <v>0.0</v>
      </c>
      <c r="F11705" s="3" t="s">
        <v>33223</v>
      </c>
      <c r="G11705" s="3">
        <v>0.0</v>
      </c>
      <c r="H11705" s="3">
        <v>0.0</v>
      </c>
      <c r="I11705" s="3" t="s">
        <v>13</v>
      </c>
      <c r="J11705" s="3" t="s">
        <v>33224</v>
      </c>
      <c r="K11705" s="3" t="s">
        <v>50</v>
      </c>
      <c r="L11705" s="3" t="str">
        <f>IFERROR(__xludf.DUMMYFUNCTION("GOOGLETRANSLATE(F11705,""id"",""en"")"),"Argentine national team champion World Cup after defeating France through the drama shootout")</f>
        <v>Argentine national team champion World Cup after defeating France through the drama shootout</v>
      </c>
    </row>
    <row r="11706" ht="15.75" customHeight="1">
      <c r="A11706" s="1">
        <v>12952.0</v>
      </c>
      <c r="B11706" s="3" t="s">
        <v>33225</v>
      </c>
      <c r="C11706" s="3">
        <v>3.0</v>
      </c>
      <c r="D11706" s="3">
        <v>0.0</v>
      </c>
      <c r="E11706" s="3">
        <v>1.0</v>
      </c>
      <c r="F11706" s="3" t="s">
        <v>33226</v>
      </c>
      <c r="G11706" s="3">
        <v>0.0</v>
      </c>
      <c r="H11706" s="3">
        <v>0.0</v>
      </c>
      <c r="I11706" s="3" t="s">
        <v>13</v>
      </c>
      <c r="J11706" s="3" t="s">
        <v>33227</v>
      </c>
      <c r="K11706" s="3" t="s">
        <v>433</v>
      </c>
      <c r="L11706" s="3" t="str">
        <f>IFERROR(__xludf.DUMMYFUNCTION("GOOGLETRANSLATE(F11706,""id"",""en"")"),"Wes Tak Kandani Rek All Argentina doesn't work, I dream of Argentina.")</f>
        <v>Wes Tak Kandani Rek All Argentina doesn't work, I dream of Argentina.</v>
      </c>
    </row>
    <row r="11707" ht="15.75" customHeight="1">
      <c r="A11707" s="1">
        <v>12953.0</v>
      </c>
      <c r="B11707" s="3" t="s">
        <v>33228</v>
      </c>
      <c r="C11707" s="3">
        <v>1.0</v>
      </c>
      <c r="D11707" s="3">
        <v>0.0</v>
      </c>
      <c r="E11707" s="3">
        <v>0.0</v>
      </c>
      <c r="F11707" s="3" t="s">
        <v>33229</v>
      </c>
      <c r="G11707" s="3">
        <v>0.0</v>
      </c>
      <c r="H11707" s="3">
        <v>0.0</v>
      </c>
      <c r="I11707" s="3" t="s">
        <v>13</v>
      </c>
      <c r="J11707" s="3" t="s">
        <v>33230</v>
      </c>
      <c r="K11707" s="3" t="s">
        <v>41</v>
      </c>
      <c r="L11707" s="3" t="str">
        <f>IFERROR(__xludf.DUMMYFUNCTION("GOOGLETRANSLATE(F11707,""id"",""en"")"),"It must have been from the first time Messi and Argentina champion if it is rather difficult for the shoulder")</f>
        <v>It must have been from the first time Messi and Argentina champion if it is rather difficult for the shoulder</v>
      </c>
    </row>
    <row r="11708" ht="15.75" customHeight="1">
      <c r="A11708" s="1">
        <v>12954.0</v>
      </c>
      <c r="B11708" s="3" t="s">
        <v>33231</v>
      </c>
      <c r="C11708" s="3">
        <v>0.0</v>
      </c>
      <c r="D11708" s="3">
        <v>0.0</v>
      </c>
      <c r="E11708" s="3">
        <v>0.0</v>
      </c>
      <c r="F11708" s="3" t="s">
        <v>33232</v>
      </c>
      <c r="G11708" s="3">
        <v>0.0</v>
      </c>
      <c r="H11708" s="3">
        <v>0.0</v>
      </c>
      <c r="I11708" s="3" t="s">
        <v>13</v>
      </c>
      <c r="J11708" s="3" t="s">
        <v>33233</v>
      </c>
      <c r="K11708" s="3" t="s">
        <v>1293</v>
      </c>
      <c r="L11708" s="3" t="str">
        <f>IFERROR(__xludf.DUMMYFUNCTION("GOOGLETRANSLATE(F11708,""id"",""en"")"),"Congratulations Argentina World Soccer Champion Congratulations Messi got an additional World Cup Cup title at the end of his career because again he didn't join")</f>
        <v>Congratulations Argentina World Soccer Champion Congratulations Messi got an additional World Cup Cup title at the end of his career because again he didn't join</v>
      </c>
    </row>
    <row r="11709" ht="15.75" customHeight="1">
      <c r="A11709" s="1">
        <v>12955.0</v>
      </c>
      <c r="B11709" s="3" t="s">
        <v>33234</v>
      </c>
      <c r="C11709" s="3">
        <v>0.0</v>
      </c>
      <c r="D11709" s="3">
        <v>0.0</v>
      </c>
      <c r="E11709" s="3">
        <v>1.0</v>
      </c>
      <c r="F11709" s="3" t="s">
        <v>33235</v>
      </c>
      <c r="G11709" s="3">
        <v>0.0</v>
      </c>
      <c r="H11709" s="3">
        <v>0.0</v>
      </c>
      <c r="I11709" s="3" t="s">
        <v>13</v>
      </c>
      <c r="J11709" s="3" t="s">
        <v>33236</v>
      </c>
      <c r="K11709" s="3" t="s">
        <v>433</v>
      </c>
      <c r="L11709" s="3" t="str">
        <f>IFERROR(__xludf.DUMMYFUNCTION("GOOGLETRANSLATE(F11709,""id"",""en"")"),"You have to talk about Argentina, the champion doesn't look like a country can maintain that championship, how come there is still a French hold")</f>
        <v>You have to talk about Argentina, the champion doesn't look like a country can maintain that championship, how come there is still a French hold</v>
      </c>
    </row>
    <row r="11710" ht="15.75" customHeight="1">
      <c r="A11710" s="1">
        <v>12956.0</v>
      </c>
      <c r="B11710" s="3" t="s">
        <v>33237</v>
      </c>
      <c r="C11710" s="3">
        <v>0.0</v>
      </c>
      <c r="D11710" s="3">
        <v>0.0</v>
      </c>
      <c r="E11710" s="3">
        <v>0.0</v>
      </c>
      <c r="F11710" s="3" t="s">
        <v>33238</v>
      </c>
      <c r="G11710" s="3">
        <v>0.0</v>
      </c>
      <c r="H11710" s="3">
        <v>0.0</v>
      </c>
      <c r="I11710" s="3" t="s">
        <v>13</v>
      </c>
      <c r="J11710" s="3" t="s">
        <v>33239</v>
      </c>
      <c r="K11710" s="3" t="s">
        <v>244</v>
      </c>
      <c r="L11710" s="3" t="str">
        <f>IFERROR(__xludf.DUMMYFUNCTION("GOOGLETRANSLATE(F11710,""id"",""en"")"),"Defeated by Argentina France failed back back world cup champion Bee News")</f>
        <v>Defeated by Argentina France failed back back world cup champion Bee News</v>
      </c>
    </row>
    <row r="11711" ht="15.75" customHeight="1">
      <c r="A11711" s="1">
        <v>12957.0</v>
      </c>
      <c r="B11711" s="3" t="s">
        <v>33240</v>
      </c>
      <c r="C11711" s="3">
        <v>0.0</v>
      </c>
      <c r="D11711" s="3">
        <v>0.0</v>
      </c>
      <c r="E11711" s="3">
        <v>0.0</v>
      </c>
      <c r="F11711" s="3" t="s">
        <v>33241</v>
      </c>
      <c r="G11711" s="3">
        <v>0.5</v>
      </c>
      <c r="H11711" s="3">
        <v>0.3</v>
      </c>
      <c r="I11711" s="3" t="s">
        <v>48</v>
      </c>
      <c r="J11711" s="3" t="s">
        <v>33242</v>
      </c>
      <c r="K11711" s="3" t="s">
        <v>33243</v>
      </c>
      <c r="L11711" s="3" t="str">
        <f>IFERROR(__xludf.DUMMYFUNCTION("GOOGLETRANSLATE(F11711,""id"",""en"")"),"Argentina made France repeat what was experienced by Arg in the defending champion so Runner finally Messi got the world cup precisely the end of his career Mbappe got Golden Boot Extraordinary Achievement Young There were still many other chances of scor"&amp;"ing records")</f>
        <v>Argentina made France repeat what was experienced by Arg in the defending champion so Runner finally Messi got the world cup precisely the end of his career Mbappe got Golden Boot Extraordinary Achievement Young There were still many other chances of scoring records</v>
      </c>
    </row>
    <row r="11712" ht="15.75" customHeight="1">
      <c r="A11712" s="1">
        <v>12958.0</v>
      </c>
      <c r="B11712" s="3" t="s">
        <v>33244</v>
      </c>
      <c r="C11712" s="3">
        <v>0.0</v>
      </c>
      <c r="D11712" s="3">
        <v>1.0</v>
      </c>
      <c r="E11712" s="3">
        <v>8.0</v>
      </c>
      <c r="F11712" s="3" t="s">
        <v>33245</v>
      </c>
      <c r="G11712" s="3">
        <v>0.0</v>
      </c>
      <c r="H11712" s="3">
        <v>0.0</v>
      </c>
      <c r="I11712" s="3" t="s">
        <v>13</v>
      </c>
      <c r="J11712" s="3" t="s">
        <v>33246</v>
      </c>
      <c r="K11712" s="3" t="s">
        <v>1317</v>
      </c>
      <c r="L11712" s="3" t="str">
        <f>IFERROR(__xludf.DUMMYFUNCTION("GOOGLETRANSLATE(F11712,""id"",""en"")"),"Emi Martinez was chosen as the best goalkeeper of FIFA World Cup but also without Emi and Messi Argentina could not win the role of Emi for Argentina Messi for the rest of the teamwork")</f>
        <v>Emi Martinez was chosen as the best goalkeeper of FIFA World Cup but also without Emi and Messi Argentina could not win the role of Emi for Argentina Messi for the rest of the teamwork</v>
      </c>
    </row>
    <row r="11713" ht="15.75" customHeight="1">
      <c r="A11713" s="1">
        <v>12959.0</v>
      </c>
      <c r="B11713" s="3" t="s">
        <v>33247</v>
      </c>
      <c r="C11713" s="3">
        <v>1.0</v>
      </c>
      <c r="D11713" s="3">
        <v>0.0</v>
      </c>
      <c r="E11713" s="3">
        <v>1.0</v>
      </c>
      <c r="F11713" s="3" t="s">
        <v>33248</v>
      </c>
      <c r="G11713" s="3">
        <v>0.0</v>
      </c>
      <c r="H11713" s="3">
        <v>0.0</v>
      </c>
      <c r="I11713" s="3" t="s">
        <v>13</v>
      </c>
      <c r="J11713" s="3" t="s">
        <v>33249</v>
      </c>
      <c r="K11713" s="3" t="s">
        <v>699</v>
      </c>
      <c r="L11713" s="3" t="str">
        <f>IFERROR(__xludf.DUMMYFUNCTION("GOOGLETRANSLATE(F11713,""id"",""en"")"),"England France Argentina Argentina adds to the collection of trophy so there is no way France the defending champion will win again football is like that")</f>
        <v>England France Argentina Argentina adds to the collection of trophy so there is no way France the defending champion will win again football is like that</v>
      </c>
    </row>
    <row r="11714" ht="15.75" customHeight="1">
      <c r="A11714" s="1">
        <v>12960.0</v>
      </c>
      <c r="B11714" s="3" t="s">
        <v>33250</v>
      </c>
      <c r="C11714" s="3">
        <v>0.0</v>
      </c>
      <c r="D11714" s="3">
        <v>0.0</v>
      </c>
      <c r="E11714" s="3">
        <v>0.0</v>
      </c>
      <c r="F11714" s="3" t="s">
        <v>33251</v>
      </c>
      <c r="G11714" s="3">
        <v>0.6</v>
      </c>
      <c r="H11714" s="3">
        <v>0.5</v>
      </c>
      <c r="I11714" s="3" t="s">
        <v>48</v>
      </c>
      <c r="J11714" s="3" t="s">
        <v>33252</v>
      </c>
      <c r="K11714" s="3" t="s">
        <v>71</v>
      </c>
      <c r="L11714" s="3" t="str">
        <f>IFERROR(__xludf.DUMMYFUNCTION("GOOGLETRANSLATE(F11714,""id"",""en"")"),"still want to cry touched by the keinget Argentina champion World Cup last night Messiiii Love Moreeee")</f>
        <v>still want to cry touched by the keinget Argentina champion World Cup last night Messiiii Love Moreeee</v>
      </c>
    </row>
    <row r="11715" ht="15.75" customHeight="1">
      <c r="A11715" s="1">
        <v>12961.0</v>
      </c>
      <c r="B11715" s="3" t="s">
        <v>33253</v>
      </c>
      <c r="C11715" s="3">
        <v>0.0</v>
      </c>
      <c r="D11715" s="3">
        <v>0.0</v>
      </c>
      <c r="E11715" s="3">
        <v>1.0</v>
      </c>
      <c r="F11715" s="3" t="s">
        <v>33254</v>
      </c>
      <c r="G11715" s="3">
        <v>1.0</v>
      </c>
      <c r="H11715" s="3">
        <v>0.0</v>
      </c>
      <c r="I11715" s="3" t="s">
        <v>13</v>
      </c>
      <c r="J11715" s="3" t="s">
        <v>33255</v>
      </c>
      <c r="K11715" s="3" t="s">
        <v>35</v>
      </c>
      <c r="L11715" s="3" t="str">
        <f>IFERROR(__xludf.DUMMYFUNCTION("GOOGLETRANSLATE(F11715,""id"",""en"")"),"Prizes from FIFA to Messi from Semi -Final Udh thinking for sure Argentina is champion because of Messi's last pile")</f>
        <v>Prizes from FIFA to Messi from Semi -Final Udh thinking for sure Argentina is champion because of Messi's last pile</v>
      </c>
    </row>
    <row r="11716" ht="15.75" customHeight="1">
      <c r="A11716" s="1">
        <v>12962.0</v>
      </c>
      <c r="B11716" s="3" t="s">
        <v>33256</v>
      </c>
      <c r="C11716" s="3">
        <v>0.0</v>
      </c>
      <c r="D11716" s="3">
        <v>0.0</v>
      </c>
      <c r="E11716" s="3">
        <v>0.0</v>
      </c>
      <c r="F11716" s="3" t="s">
        <v>33257</v>
      </c>
      <c r="G11716" s="3">
        <v>0.0</v>
      </c>
      <c r="H11716" s="3">
        <v>0.0</v>
      </c>
      <c r="I11716" s="3" t="s">
        <v>13</v>
      </c>
      <c r="J11716" s="3" t="s">
        <v>33258</v>
      </c>
      <c r="K11716" s="3" t="s">
        <v>94</v>
      </c>
      <c r="L11716" s="3" t="str">
        <f>IFERROR(__xludf.DUMMYFUNCTION("GOOGLETRANSLATE(F11716,""id"",""en"")"),"I really remember the November when Argentina lost my Arabic opponent directly uninstall all social media twt line tiktok except the original grgr was ashamed before starting the Pildun already Koar Argentina will be champions")</f>
        <v>I really remember the November when Argentina lost my Arabic opponent directly uninstall all social media twt line tiktok except the original grgr was ashamed before starting the Pildun already Koar Argentina will be champions</v>
      </c>
    </row>
    <row r="11717" ht="15.75" customHeight="1">
      <c r="A11717" s="1">
        <v>12963.0</v>
      </c>
      <c r="B11717" s="3" t="s">
        <v>33259</v>
      </c>
      <c r="C11717" s="3">
        <v>0.0</v>
      </c>
      <c r="D11717" s="3">
        <v>0.0</v>
      </c>
      <c r="E11717" s="3">
        <v>0.0</v>
      </c>
      <c r="F11717" s="3" t="s">
        <v>33260</v>
      </c>
      <c r="G11717" s="3">
        <v>0.0</v>
      </c>
      <c r="H11717" s="3">
        <v>0.0</v>
      </c>
      <c r="I11717" s="3" t="s">
        <v>13</v>
      </c>
      <c r="J11717" s="3" t="s">
        <v>33261</v>
      </c>
      <c r="K11717" s="3" t="s">
        <v>50</v>
      </c>
      <c r="L11717" s="3" t="str">
        <f>IFERROR(__xludf.DUMMYFUNCTION("GOOGLETRANSLATE(F11717,""id"",""en"")"),"Through Argentina's penalties knowing yourself the world cup champion Bee News")</f>
        <v>Through Argentina's penalties knowing yourself the world cup champion Bee News</v>
      </c>
    </row>
    <row r="11718" ht="15.75" customHeight="1">
      <c r="A11718" s="1">
        <v>12964.0</v>
      </c>
      <c r="B11718" s="3" t="s">
        <v>33262</v>
      </c>
      <c r="C11718" s="3">
        <v>0.0</v>
      </c>
      <c r="D11718" s="3">
        <v>0.0</v>
      </c>
      <c r="E11718" s="3">
        <v>2.0</v>
      </c>
      <c r="F11718" s="3" t="s">
        <v>33263</v>
      </c>
      <c r="G11718" s="3">
        <v>0.0</v>
      </c>
      <c r="H11718" s="3">
        <v>0.0</v>
      </c>
      <c r="I11718" s="3" t="s">
        <v>13</v>
      </c>
      <c r="J11718" s="3" t="s">
        <v>33264</v>
      </c>
      <c r="K11718" s="3" t="s">
        <v>54</v>
      </c>
      <c r="L11718" s="3" t="str">
        <f>IFERROR(__xludf.DUMMYFUNCTION("GOOGLETRANSLATE(F11718,""id"",""en"")"),"Congratulations to Messi and Argentina who have won champions")</f>
        <v>Congratulations to Messi and Argentina who have won champions</v>
      </c>
    </row>
    <row r="11719" ht="15.75" customHeight="1">
      <c r="A11719" s="1">
        <v>12965.0</v>
      </c>
      <c r="B11719" s="3" t="s">
        <v>33265</v>
      </c>
      <c r="C11719" s="3">
        <v>1.0</v>
      </c>
      <c r="D11719" s="3">
        <v>0.0</v>
      </c>
      <c r="E11719" s="3">
        <v>0.0</v>
      </c>
      <c r="F11719" s="3" t="s">
        <v>33266</v>
      </c>
      <c r="G11719" s="3">
        <v>0.0</v>
      </c>
      <c r="H11719" s="3">
        <v>0.0</v>
      </c>
      <c r="I11719" s="3" t="s">
        <v>13</v>
      </c>
      <c r="J11719" s="3" t="s">
        <v>33267</v>
      </c>
      <c r="K11719" s="3" t="s">
        <v>695</v>
      </c>
      <c r="L11719" s="3" t="str">
        <f>IFERROR(__xludf.DUMMYFUNCTION("GOOGLETRANSLATE(F11719,""id"",""en"")"),"Saudi Arabian defender Mohamed Kano commented on Argentina World Cup champions and Argentina you lost greetings bahlul. All sources")</f>
        <v>Saudi Arabian defender Mohamed Kano commented on Argentina World Cup champions and Argentina you lost greetings bahlul. All sources</v>
      </c>
    </row>
    <row r="11720" ht="15.75" customHeight="1">
      <c r="A11720" s="1">
        <v>12966.0</v>
      </c>
      <c r="B11720" s="3" t="s">
        <v>33268</v>
      </c>
      <c r="C11720" s="3">
        <v>0.0</v>
      </c>
      <c r="D11720" s="3">
        <v>1.0</v>
      </c>
      <c r="E11720" s="3">
        <v>0.0</v>
      </c>
      <c r="F11720" s="3" t="s">
        <v>33269</v>
      </c>
      <c r="G11720" s="3">
        <v>0.5</v>
      </c>
      <c r="H11720" s="3">
        <v>0.5</v>
      </c>
      <c r="I11720" s="3" t="s">
        <v>48</v>
      </c>
      <c r="J11720" s="3" t="s">
        <v>33270</v>
      </c>
      <c r="K11720" s="3" t="s">
        <v>1086</v>
      </c>
      <c r="L11720" s="3" t="str">
        <f>IFERROR(__xludf.DUMMYFUNCTION("GOOGLETRANSLATE(F11720,""id"",""en"")"),"Apart from Argentina coming out as the world champion who had been defeated by Saudi Arabia Indonesian soccer fans were very militant seen from the euphoria from the beginning to the end to support the champion team and bully the team losing wkwkwk vamos "&amp;"Argentina Mbappe Top Scorer")</f>
        <v>Apart from Argentina coming out as the world champion who had been defeated by Saudi Arabia Indonesian soccer fans were very militant seen from the euphoria from the beginning to the end to support the champion team and bully the team losing wkwkwk vamos Argentina Mbappe Top Scorer</v>
      </c>
    </row>
    <row r="11721" ht="15.75" customHeight="1">
      <c r="A11721" s="1">
        <v>12967.0</v>
      </c>
      <c r="B11721" s="3" t="s">
        <v>33271</v>
      </c>
      <c r="C11721" s="3">
        <v>1.0</v>
      </c>
      <c r="D11721" s="3">
        <v>0.0</v>
      </c>
      <c r="E11721" s="3">
        <v>0.0</v>
      </c>
      <c r="F11721" s="3" t="s">
        <v>33272</v>
      </c>
      <c r="G11721" s="3">
        <v>0.0</v>
      </c>
      <c r="H11721" s="3">
        <v>0.0</v>
      </c>
      <c r="I11721" s="3" t="s">
        <v>13</v>
      </c>
      <c r="J11721" s="3" t="s">
        <v>33273</v>
      </c>
      <c r="K11721" s="3" t="s">
        <v>491</v>
      </c>
      <c r="L11721" s="3" t="str">
        <f>IFERROR(__xludf.DUMMYFUNCTION("GOOGLETRANSLATE(F11721,""id"",""en"")"),"When I was a child, I was disappointed that Argentina was inferior to Germany.")</f>
        <v>When I was a child, I was disappointed that Argentina was inferior to Germany.</v>
      </c>
    </row>
    <row r="11722" ht="15.75" customHeight="1">
      <c r="A11722" s="1">
        <v>12968.0</v>
      </c>
      <c r="B11722" s="3" t="s">
        <v>33274</v>
      </c>
      <c r="C11722" s="3">
        <v>0.0</v>
      </c>
      <c r="D11722" s="3">
        <v>0.0</v>
      </c>
      <c r="E11722" s="3">
        <v>1.0</v>
      </c>
      <c r="F11722" s="3" t="s">
        <v>33275</v>
      </c>
      <c r="G11722" s="3">
        <v>0.0</v>
      </c>
      <c r="H11722" s="3">
        <v>0.0</v>
      </c>
      <c r="I11722" s="3" t="s">
        <v>13</v>
      </c>
      <c r="J11722" s="3" t="s">
        <v>33276</v>
      </c>
      <c r="K11722" s="3" t="s">
        <v>1097</v>
      </c>
      <c r="L11722" s="3" t="str">
        <f>IFERROR(__xludf.DUMMYFUNCTION("GOOGLETRANSLATE(F11722,""id"",""en"")"),"Although Argentina champions World Cup to me the champion is still Dinda")</f>
        <v>Although Argentina champions World Cup to me the champion is still Dinda</v>
      </c>
    </row>
    <row r="11723" ht="15.75" customHeight="1">
      <c r="A11723" s="1">
        <v>12969.0</v>
      </c>
      <c r="B11723" s="3" t="s">
        <v>33277</v>
      </c>
      <c r="C11723" s="3">
        <v>0.0</v>
      </c>
      <c r="D11723" s="3">
        <v>1.0</v>
      </c>
      <c r="E11723" s="3">
        <v>12.0</v>
      </c>
      <c r="F11723" s="3" t="s">
        <v>33278</v>
      </c>
      <c r="G11723" s="3">
        <v>0.0</v>
      </c>
      <c r="H11723" s="3">
        <v>0.0</v>
      </c>
      <c r="I11723" s="3" t="s">
        <v>13</v>
      </c>
      <c r="J11723" s="3" t="s">
        <v>21143</v>
      </c>
      <c r="K11723" s="3" t="s">
        <v>82</v>
      </c>
      <c r="L11723" s="3" t="str">
        <f>IFERROR(__xludf.DUMMYFUNCTION("GOOGLETRANSLATE(F11723,""id"",""en"")"),"World Cup Champion Messi still continues to play for Argentina")</f>
        <v>World Cup Champion Messi still continues to play for Argentina</v>
      </c>
    </row>
    <row r="11724" ht="15.75" customHeight="1">
      <c r="A11724" s="1">
        <v>12971.0</v>
      </c>
      <c r="B11724" s="3" t="s">
        <v>33279</v>
      </c>
      <c r="C11724" s="3">
        <v>0.0</v>
      </c>
      <c r="D11724" s="3">
        <v>0.0</v>
      </c>
      <c r="E11724" s="3">
        <v>1.0</v>
      </c>
      <c r="F11724" s="3" t="s">
        <v>33280</v>
      </c>
      <c r="G11724" s="3">
        <v>0.0</v>
      </c>
      <c r="H11724" s="3">
        <v>0.0</v>
      </c>
      <c r="I11724" s="3" t="s">
        <v>13</v>
      </c>
      <c r="J11724" s="3" t="s">
        <v>33281</v>
      </c>
      <c r="K11724" s="3" t="s">
        <v>495</v>
      </c>
      <c r="L11724" s="3" t="str">
        <f>IFERROR(__xludf.DUMMYFUNCTION("GOOGLETRANSLATE(F11724,""id"",""en"")"),"Dreaming of becoming a World Cup champion is the way of Argentinians to escape when they suffer for years due to a high economic crisis and inflation")</f>
        <v>Dreaming of becoming a World Cup champion is the way of Argentinians to escape when they suffer for years due to a high economic crisis and inflation</v>
      </c>
    </row>
    <row r="11725" ht="15.75" customHeight="1">
      <c r="A11725" s="1">
        <v>12972.0</v>
      </c>
      <c r="B11725" s="3" t="s">
        <v>33282</v>
      </c>
      <c r="C11725" s="3">
        <v>0.0</v>
      </c>
      <c r="D11725" s="3">
        <v>0.0</v>
      </c>
      <c r="E11725" s="3">
        <v>0.0</v>
      </c>
      <c r="F11725" s="3" t="s">
        <v>33283</v>
      </c>
      <c r="G11725" s="3">
        <v>0.0</v>
      </c>
      <c r="H11725" s="3">
        <v>0.0</v>
      </c>
      <c r="I11725" s="3" t="s">
        <v>13</v>
      </c>
      <c r="J11725" s="3" t="s">
        <v>33284</v>
      </c>
      <c r="K11725" s="3" t="s">
        <v>41</v>
      </c>
      <c r="L11725" s="3" t="str">
        <f>IFERROR(__xludf.DUMMYFUNCTION("GOOGLETRANSLATE(F11725,""id"",""en"")"),"Argentina successfully won the World Cup Messi recorded a new history")</f>
        <v>Argentina successfully won the World Cup Messi recorded a new history</v>
      </c>
    </row>
    <row r="11726" ht="15.75" customHeight="1">
      <c r="A11726" s="1">
        <v>12973.0</v>
      </c>
      <c r="B11726" s="3" t="s">
        <v>33285</v>
      </c>
      <c r="C11726" s="3">
        <v>0.0</v>
      </c>
      <c r="D11726" s="3">
        <v>0.0</v>
      </c>
      <c r="E11726" s="3">
        <v>0.0</v>
      </c>
      <c r="F11726" s="3" t="s">
        <v>33286</v>
      </c>
      <c r="G11726" s="3">
        <v>0.0</v>
      </c>
      <c r="H11726" s="3">
        <v>0.0</v>
      </c>
      <c r="I11726" s="3" t="s">
        <v>13</v>
      </c>
      <c r="J11726" s="3" t="s">
        <v>33287</v>
      </c>
      <c r="K11726" s="3" t="s">
        <v>31</v>
      </c>
      <c r="L11726" s="3" t="str">
        <f>IFERROR(__xludf.DUMMYFUNCTION("GOOGLETRANSLATE(F11726,""id"",""en"")"),"Argentina Champion Because of Salah Harry Kane")</f>
        <v>Argentina Champion Because of Salah Harry Kane</v>
      </c>
    </row>
    <row r="11727" ht="15.75" customHeight="1">
      <c r="A11727" s="1">
        <v>12974.0</v>
      </c>
      <c r="B11727" s="3" t="s">
        <v>33288</v>
      </c>
      <c r="C11727" s="3">
        <v>0.0</v>
      </c>
      <c r="D11727" s="3">
        <v>0.0</v>
      </c>
      <c r="E11727" s="3">
        <v>0.0</v>
      </c>
      <c r="F11727" s="3" t="s">
        <v>33289</v>
      </c>
      <c r="G11727" s="3">
        <v>0.0</v>
      </c>
      <c r="H11727" s="3">
        <v>0.0</v>
      </c>
      <c r="I11727" s="3" t="s">
        <v>13</v>
      </c>
      <c r="J11727" s="3" t="s">
        <v>33290</v>
      </c>
      <c r="K11727" s="3" t="s">
        <v>15</v>
      </c>
      <c r="L11727" s="3" t="str">
        <f>IFERROR(__xludf.DUMMYFUNCTION("GOOGLETRANSLATE(F11727,""id"",""en"")"),"Argentina Fans of Tanah Papua Pawal after World Cup Champion")</f>
        <v>Argentina Fans of Tanah Papua Pawal after World Cup Champion</v>
      </c>
    </row>
    <row r="11728" ht="15.75" customHeight="1">
      <c r="A11728" s="1">
        <v>12975.0</v>
      </c>
      <c r="B11728" s="3" t="s">
        <v>33291</v>
      </c>
      <c r="C11728" s="3">
        <v>0.0</v>
      </c>
      <c r="D11728" s="3">
        <v>0.0</v>
      </c>
      <c r="E11728" s="3">
        <v>0.0</v>
      </c>
      <c r="F11728" s="3" t="s">
        <v>33292</v>
      </c>
      <c r="G11728" s="3">
        <v>0.55</v>
      </c>
      <c r="H11728" s="3">
        <v>0.35</v>
      </c>
      <c r="I11728" s="3" t="s">
        <v>48</v>
      </c>
      <c r="J11728" s="3" t="s">
        <v>33293</v>
      </c>
      <c r="K11728" s="3" t="s">
        <v>31</v>
      </c>
      <c r="L11728" s="3" t="str">
        <f>IFERROR(__xludf.DUMMYFUNCTION("GOOGLETRANSLATE(F11728,""id"",""en"")"),"Argentina Champion Drake Full Smile")</f>
        <v>Argentina Champion Drake Full Smile</v>
      </c>
    </row>
    <row r="11729" ht="15.75" customHeight="1">
      <c r="A11729" s="1">
        <v>12976.0</v>
      </c>
      <c r="B11729" s="3" t="s">
        <v>33294</v>
      </c>
      <c r="C11729" s="3">
        <v>0.0</v>
      </c>
      <c r="D11729" s="3">
        <v>1.0</v>
      </c>
      <c r="E11729" s="3">
        <v>3.0</v>
      </c>
      <c r="F11729" s="3" t="s">
        <v>32503</v>
      </c>
      <c r="G11729" s="3">
        <v>0.3</v>
      </c>
      <c r="H11729" s="3">
        <v>0.2</v>
      </c>
      <c r="I11729" s="3" t="s">
        <v>48</v>
      </c>
      <c r="J11729" s="3" t="s">
        <v>32504</v>
      </c>
      <c r="K11729" s="3" t="s">
        <v>82</v>
      </c>
      <c r="L11729" s="3" t="str">
        <f>IFERROR(__xludf.DUMMYFUNCTION("GOOGLETRANSLATE(F11729,""id"",""en"")"),"Argentina World Champion Lionel Messi The Real")</f>
        <v>Argentina World Champion Lionel Messi The Real</v>
      </c>
    </row>
    <row r="11730" ht="15.75" customHeight="1">
      <c r="A11730" s="1">
        <v>12977.0</v>
      </c>
      <c r="B11730" s="3" t="s">
        <v>33295</v>
      </c>
      <c r="C11730" s="3">
        <v>0.0</v>
      </c>
      <c r="D11730" s="3">
        <v>0.0</v>
      </c>
      <c r="E11730" s="3">
        <v>0.0</v>
      </c>
      <c r="F11730" s="3" t="s">
        <v>33296</v>
      </c>
      <c r="G11730" s="3">
        <v>0.0</v>
      </c>
      <c r="H11730" s="3">
        <v>0.0</v>
      </c>
      <c r="I11730" s="3" t="s">
        <v>13</v>
      </c>
      <c r="J11730" s="3" t="s">
        <v>33297</v>
      </c>
      <c r="K11730" s="3" t="s">
        <v>54</v>
      </c>
      <c r="L11730" s="3" t="str">
        <f>IFERROR(__xludf.DUMMYFUNCTION("GOOGLETRANSLATE(F11730,""id"",""en"")"),"Argentina's fierce champion after winning penalties")</f>
        <v>Argentina's fierce champion after winning penalties</v>
      </c>
    </row>
    <row r="11731" ht="15.75" customHeight="1">
      <c r="A11731" s="1">
        <v>12978.0</v>
      </c>
      <c r="B11731" s="3" t="s">
        <v>33298</v>
      </c>
      <c r="C11731" s="3">
        <v>1.0</v>
      </c>
      <c r="D11731" s="3">
        <v>6.0</v>
      </c>
      <c r="E11731" s="3">
        <v>10.0</v>
      </c>
      <c r="F11731" s="3" t="s">
        <v>21729</v>
      </c>
      <c r="G11731" s="3">
        <v>0.0</v>
      </c>
      <c r="H11731" s="3">
        <v>0.0</v>
      </c>
      <c r="I11731" s="3" t="s">
        <v>13</v>
      </c>
      <c r="J11731" s="3" t="s">
        <v>21730</v>
      </c>
      <c r="K11731" s="3" t="s">
        <v>58</v>
      </c>
      <c r="L11731" s="3" t="str">
        <f>IFERROR(__xludf.DUMMYFUNCTION("GOOGLETRANSLATE(F11731,""id"",""en"")"),"Alhamdulillah, Argentina, world champion and Messi is now officially the world's best player of all time")</f>
        <v>Alhamdulillah, Argentina, world champion and Messi is now officially the world's best player of all time</v>
      </c>
    </row>
    <row r="11732" ht="15.75" customHeight="1">
      <c r="A11732" s="1">
        <v>12979.0</v>
      </c>
      <c r="B11732" s="3" t="s">
        <v>33299</v>
      </c>
      <c r="C11732" s="3">
        <v>0.0</v>
      </c>
      <c r="D11732" s="3">
        <v>0.0</v>
      </c>
      <c r="E11732" s="3">
        <v>4.0</v>
      </c>
      <c r="F11732" s="3" t="s">
        <v>33300</v>
      </c>
      <c r="G11732" s="3">
        <v>0.0</v>
      </c>
      <c r="H11732" s="3">
        <v>0.0</v>
      </c>
      <c r="I11732" s="3" t="s">
        <v>13</v>
      </c>
      <c r="J11732" s="3" t="s">
        <v>33301</v>
      </c>
      <c r="K11732" s="3" t="s">
        <v>54</v>
      </c>
      <c r="L11732" s="3" t="str">
        <f>IFERROR(__xludf.DUMMYFUNCTION("GOOGLETRANSLATE(F11732,""id"",""en"")"),"Argentina The Messiah's Champion Has Arrived Equitance")</f>
        <v>Argentina The Messiah's Champion Has Arrived Equitance</v>
      </c>
    </row>
    <row r="11733" ht="15.75" customHeight="1">
      <c r="A11733" s="1">
        <v>12980.0</v>
      </c>
      <c r="B11733" s="3" t="s">
        <v>33302</v>
      </c>
      <c r="C11733" s="3">
        <v>0.0</v>
      </c>
      <c r="D11733" s="3">
        <v>0.0</v>
      </c>
      <c r="E11733" s="3">
        <v>0.0</v>
      </c>
      <c r="F11733" s="3" t="s">
        <v>33303</v>
      </c>
      <c r="G11733" s="3">
        <v>0.0</v>
      </c>
      <c r="H11733" s="3">
        <v>0.0</v>
      </c>
      <c r="I11733" s="3" t="s">
        <v>13</v>
      </c>
      <c r="J11733" s="3" t="s">
        <v>33304</v>
      </c>
      <c r="K11733" s="3" t="s">
        <v>41</v>
      </c>
      <c r="L11733" s="3" t="str">
        <f>IFERROR(__xludf.DUMMYFUNCTION("GOOGLETRANSLATE(F11733,""id"",""en"")"),"It should not be Argentina who won one of the referees revealed the facts of the field")</f>
        <v>It should not be Argentina who won one of the referees revealed the facts of the field</v>
      </c>
    </row>
    <row r="11734" ht="15.75" customHeight="1">
      <c r="A11734" s="1">
        <v>12981.0</v>
      </c>
      <c r="B11734" s="3" t="s">
        <v>33305</v>
      </c>
      <c r="C11734" s="3">
        <v>0.0</v>
      </c>
      <c r="D11734" s="3">
        <v>0.0</v>
      </c>
      <c r="E11734" s="3">
        <v>0.0</v>
      </c>
      <c r="F11734" s="3" t="s">
        <v>33306</v>
      </c>
      <c r="G11734" s="3">
        <v>1.0</v>
      </c>
      <c r="H11734" s="3">
        <v>0.8</v>
      </c>
      <c r="I11734" s="3" t="s">
        <v>48</v>
      </c>
      <c r="J11734" s="3" t="s">
        <v>33307</v>
      </c>
      <c r="K11734" s="3" t="s">
        <v>236</v>
      </c>
      <c r="L11734" s="3" t="str">
        <f>IFERROR(__xludf.DUMMYFUNCTION("GOOGLETRANSLATE(F11734,""id"",""en"")"),"yaaa the Argentina Argentina just proud youuuuu finally the world champion was touched")</f>
        <v>yaaa the Argentina Argentina just proud youuuuu finally the world champion was touched</v>
      </c>
    </row>
    <row r="11735" ht="15.75" customHeight="1">
      <c r="A11735" s="1">
        <v>12982.0</v>
      </c>
      <c r="B11735" s="3" t="s">
        <v>33308</v>
      </c>
      <c r="C11735" s="3">
        <v>0.0</v>
      </c>
      <c r="D11735" s="3">
        <v>0.0</v>
      </c>
      <c r="E11735" s="3">
        <v>0.0</v>
      </c>
      <c r="F11735" s="3" t="s">
        <v>33309</v>
      </c>
      <c r="G11735" s="3">
        <v>0.2</v>
      </c>
      <c r="H11735" s="3">
        <v>-0.1</v>
      </c>
      <c r="I11735" s="3" t="s">
        <v>179</v>
      </c>
      <c r="J11735" s="3" t="s">
        <v>33310</v>
      </c>
      <c r="K11735" s="3" t="s">
        <v>58</v>
      </c>
      <c r="L11735" s="3" t="str">
        <f>IFERROR(__xludf.DUMMYFUNCTION("GOOGLETRANSLATE(F11735,""id"",""en"")"),"Mental Argentine players when penalties are better than France Argentina deserves to be world champions")</f>
        <v>Mental Argentine players when penalties are better than France Argentina deserves to be world champions</v>
      </c>
    </row>
    <row r="11736" ht="15.75" customHeight="1">
      <c r="A11736" s="1">
        <v>12983.0</v>
      </c>
      <c r="B11736" s="3" t="s">
        <v>33311</v>
      </c>
      <c r="C11736" s="3">
        <v>0.0</v>
      </c>
      <c r="D11736" s="3">
        <v>1.0</v>
      </c>
      <c r="E11736" s="3">
        <v>2.0</v>
      </c>
      <c r="F11736" s="3" t="s">
        <v>33312</v>
      </c>
      <c r="G11736" s="3">
        <v>0.0</v>
      </c>
      <c r="H11736" s="3">
        <v>0.0</v>
      </c>
      <c r="I11736" s="3" t="s">
        <v>13</v>
      </c>
      <c r="J11736" s="3" t="s">
        <v>33313</v>
      </c>
      <c r="K11736" s="3" t="s">
        <v>348</v>
      </c>
      <c r="L11736" s="3" t="str">
        <f>IFERROR(__xludf.DUMMYFUNCTION("GOOGLETRANSLATE(F11736,""id"",""en"")"),"The Argentine national team finally champions of the dramatic and tense Qatar World Cup until the Mbappe Mbappe Martinez Penalty Adu Martinez Special Messi")</f>
        <v>The Argentine national team finally champions of the dramatic and tense Qatar World Cup until the Mbappe Mbappe Martinez Penalty Adu Martinez Special Messi</v>
      </c>
    </row>
    <row r="11737" ht="15.75" customHeight="1">
      <c r="A11737" s="1">
        <v>12984.0</v>
      </c>
      <c r="B11737" s="3" t="s">
        <v>33314</v>
      </c>
      <c r="C11737" s="3">
        <v>1.0</v>
      </c>
      <c r="D11737" s="3">
        <v>0.0</v>
      </c>
      <c r="E11737" s="3">
        <v>0.0</v>
      </c>
      <c r="F11737" s="3" t="s">
        <v>33315</v>
      </c>
      <c r="G11737" s="3">
        <v>1.0</v>
      </c>
      <c r="H11737" s="3">
        <v>0.0</v>
      </c>
      <c r="I11737" s="3" t="s">
        <v>13</v>
      </c>
      <c r="J11737" s="3" t="s">
        <v>33316</v>
      </c>
      <c r="K11737" s="3" t="s">
        <v>2117</v>
      </c>
      <c r="L11737" s="3" t="str">
        <f>IFERROR(__xludf.DUMMYFUNCTION("GOOGLETRANSLATE(F11737,""id"",""en"")"),"Finally Argentina Champion")</f>
        <v>Finally Argentina Champion</v>
      </c>
    </row>
    <row r="11738" ht="15.75" customHeight="1">
      <c r="A11738" s="1">
        <v>12985.0</v>
      </c>
      <c r="B11738" s="3" t="s">
        <v>33317</v>
      </c>
      <c r="C11738" s="3">
        <v>0.0</v>
      </c>
      <c r="D11738" s="3">
        <v>0.0</v>
      </c>
      <c r="E11738" s="3">
        <v>0.0</v>
      </c>
      <c r="F11738" s="3" t="s">
        <v>33318</v>
      </c>
      <c r="G11738" s="3">
        <v>0.0</v>
      </c>
      <c r="H11738" s="3">
        <v>0.0</v>
      </c>
      <c r="I11738" s="3" t="s">
        <v>13</v>
      </c>
      <c r="J11738" s="3" t="s">
        <v>33319</v>
      </c>
      <c r="K11738" s="3" t="s">
        <v>41</v>
      </c>
      <c r="L11738" s="3" t="str">
        <f>IFERROR(__xludf.DUMMYFUNCTION("GOOGLETRANSLATE(F11738,""id"",""en"")"),"finally Messi can retire calmly Congrats Argentina world champion has been handled")</f>
        <v>finally Messi can retire calmly Congrats Argentina world champion has been handled</v>
      </c>
    </row>
    <row r="11739" ht="15.75" customHeight="1">
      <c r="A11739" s="1">
        <v>12986.0</v>
      </c>
      <c r="B11739" s="3" t="s">
        <v>33320</v>
      </c>
      <c r="C11739" s="3">
        <v>0.0</v>
      </c>
      <c r="D11739" s="3">
        <v>1.0</v>
      </c>
      <c r="E11739" s="3">
        <v>2.0</v>
      </c>
      <c r="F11739" s="3" t="s">
        <v>33321</v>
      </c>
      <c r="G11739" s="3">
        <v>0.0</v>
      </c>
      <c r="H11739" s="3">
        <v>0.0</v>
      </c>
      <c r="I11739" s="3" t="s">
        <v>13</v>
      </c>
      <c r="J11739" s="3" t="s">
        <v>33322</v>
      </c>
      <c r="K11739" s="3" t="s">
        <v>15</v>
      </c>
      <c r="L11739" s="3" t="str">
        <f>IFERROR(__xludf.DUMMYFUNCTION("GOOGLETRANSLATE(F11739,""id"",""en"")"),"Bring Argentina The Champion of World Cup Scaloni for me is proud")</f>
        <v>Bring Argentina The Champion of World Cup Scaloni for me is proud</v>
      </c>
    </row>
    <row r="11740" ht="15.75" customHeight="1">
      <c r="A11740" s="1">
        <v>12987.0</v>
      </c>
      <c r="B11740" s="3" t="s">
        <v>33323</v>
      </c>
      <c r="C11740" s="3">
        <v>0.0</v>
      </c>
      <c r="D11740" s="3">
        <v>0.0</v>
      </c>
      <c r="E11740" s="3">
        <v>0.0</v>
      </c>
      <c r="F11740" s="3" t="s">
        <v>33324</v>
      </c>
      <c r="G11740" s="3">
        <v>0.0</v>
      </c>
      <c r="H11740" s="3">
        <v>0.0</v>
      </c>
      <c r="I11740" s="3" t="s">
        <v>13</v>
      </c>
      <c r="J11740" s="3" t="s">
        <v>33325</v>
      </c>
      <c r="K11740" s="3" t="s">
        <v>75</v>
      </c>
      <c r="L11740" s="3" t="str">
        <f>IFERROR(__xludf.DUMMYFUNCTION("GOOGLETRANSLATE(F11740,""id"",""en"")"),"Argentina Champion World Cup Dozens of Polewali Mandar residents walking")</f>
        <v>Argentina Champion World Cup Dozens of Polewali Mandar residents walking</v>
      </c>
    </row>
    <row r="11741" ht="15.75" customHeight="1">
      <c r="A11741" s="1">
        <v>12988.0</v>
      </c>
      <c r="B11741" s="3" t="s">
        <v>33326</v>
      </c>
      <c r="C11741" s="3">
        <v>0.0</v>
      </c>
      <c r="D11741" s="3">
        <v>0.0</v>
      </c>
      <c r="E11741" s="3">
        <v>0.0</v>
      </c>
      <c r="F11741" s="3" t="s">
        <v>33327</v>
      </c>
      <c r="G11741" s="3">
        <v>0.0</v>
      </c>
      <c r="H11741" s="3">
        <v>0.0</v>
      </c>
      <c r="I11741" s="3" t="s">
        <v>13</v>
      </c>
      <c r="J11741" s="3" t="s">
        <v>33328</v>
      </c>
      <c r="K11741" s="3" t="s">
        <v>244</v>
      </c>
      <c r="L11741" s="3" t="str">
        <f>IFERROR(__xludf.DUMMYFUNCTION("GOOGLETRANSLATE(F11741,""id"",""en"")"),"I just found out if Argentina loses Arabic at the beginning deserves many Arabic BLG Jokes Champion")</f>
        <v>I just found out if Argentina loses Arabic at the beginning deserves many Arabic BLG Jokes Champion</v>
      </c>
    </row>
    <row r="11742" ht="15.75" customHeight="1">
      <c r="A11742" s="1">
        <v>12989.0</v>
      </c>
      <c r="B11742" s="3" t="s">
        <v>33329</v>
      </c>
      <c r="C11742" s="3">
        <v>1.0</v>
      </c>
      <c r="D11742" s="3">
        <v>0.0</v>
      </c>
      <c r="E11742" s="3">
        <v>0.0</v>
      </c>
      <c r="F11742" s="3" t="s">
        <v>33330</v>
      </c>
      <c r="G11742" s="3">
        <v>0.0</v>
      </c>
      <c r="H11742" s="3">
        <v>0.0</v>
      </c>
      <c r="I11742" s="3" t="s">
        <v>13</v>
      </c>
      <c r="J11742" s="3" t="s">
        <v>33331</v>
      </c>
      <c r="K11742" s="3" t="s">
        <v>2117</v>
      </c>
      <c r="L11742" s="3" t="str">
        <f>IFERROR(__xludf.DUMMYFUNCTION("GOOGLETRANSLATE(F11742,""id"",""en"")"),"Argentina champion")</f>
        <v>Argentina champion</v>
      </c>
    </row>
    <row r="11743" ht="15.75" customHeight="1">
      <c r="A11743" s="1">
        <v>12990.0</v>
      </c>
      <c r="B11743" s="3" t="s">
        <v>33332</v>
      </c>
      <c r="C11743" s="3">
        <v>0.0</v>
      </c>
      <c r="D11743" s="3">
        <v>0.0</v>
      </c>
      <c r="E11743" s="3">
        <v>0.0</v>
      </c>
      <c r="F11743" s="3" t="s">
        <v>33333</v>
      </c>
      <c r="G11743" s="3">
        <v>0.0</v>
      </c>
      <c r="H11743" s="3">
        <v>0.0</v>
      </c>
      <c r="I11743" s="3" t="s">
        <v>13</v>
      </c>
      <c r="J11743" s="3" t="s">
        <v>33334</v>
      </c>
      <c r="K11743" s="3" t="s">
        <v>54</v>
      </c>
      <c r="L11743" s="3" t="str">
        <f>IFERROR(__xludf.DUMMYFUNCTION("GOOGLETRANSLATE(F11743,""id"",""en"")"),"FIFA World Cup Argentina World Champion")</f>
        <v>FIFA World Cup Argentina World Champion</v>
      </c>
    </row>
    <row r="11744" ht="15.75" customHeight="1">
      <c r="A11744" s="1">
        <v>12991.0</v>
      </c>
      <c r="B11744" s="3" t="s">
        <v>33335</v>
      </c>
      <c r="C11744" s="3">
        <v>0.0</v>
      </c>
      <c r="D11744" s="3">
        <v>0.0</v>
      </c>
      <c r="E11744" s="3">
        <v>0.0</v>
      </c>
      <c r="F11744" s="3" t="s">
        <v>33336</v>
      </c>
      <c r="G11744" s="3">
        <v>0.0</v>
      </c>
      <c r="H11744" s="3">
        <v>0.0</v>
      </c>
      <c r="I11744" s="3" t="s">
        <v>13</v>
      </c>
      <c r="J11744" s="3" t="s">
        <v>33337</v>
      </c>
      <c r="K11744" s="3" t="s">
        <v>2907</v>
      </c>
      <c r="L11744" s="3" t="str">
        <f>IFERROR(__xludf.DUMMYFUNCTION("GOOGLETRANSLATE(F11744,""id"",""en"")"),"So the champion gets a losing trophy, don't baper Argentina, pick up the French Cup lifting luggage")</f>
        <v>So the champion gets a losing trophy, don't baper Argentina, pick up the French Cup lifting luggage</v>
      </c>
    </row>
    <row r="11745" ht="15.75" customHeight="1">
      <c r="A11745" s="1">
        <v>12992.0</v>
      </c>
      <c r="B11745" s="3" t="s">
        <v>33338</v>
      </c>
      <c r="C11745" s="3">
        <v>0.0</v>
      </c>
      <c r="D11745" s="3">
        <v>0.0</v>
      </c>
      <c r="E11745" s="3">
        <v>0.0</v>
      </c>
      <c r="F11745" s="3" t="s">
        <v>33339</v>
      </c>
      <c r="G11745" s="3">
        <v>0.0</v>
      </c>
      <c r="H11745" s="3">
        <v>0.0</v>
      </c>
      <c r="I11745" s="3" t="s">
        <v>13</v>
      </c>
      <c r="J11745" s="3" t="s">
        <v>33340</v>
      </c>
      <c r="K11745" s="3" t="s">
        <v>82</v>
      </c>
      <c r="L11745" s="3" t="str">
        <f>IFERROR(__xludf.DUMMYFUNCTION("GOOGLETRANSLATE(F11745,""id"",""en"")"),"It is true that this year's grandmother said Argentina was the champion")</f>
        <v>It is true that this year's grandmother said Argentina was the champion</v>
      </c>
    </row>
    <row r="11746" ht="15.75" customHeight="1">
      <c r="A11746" s="1">
        <v>12993.0</v>
      </c>
      <c r="B11746" s="3" t="s">
        <v>33341</v>
      </c>
      <c r="C11746" s="3">
        <v>0.0</v>
      </c>
      <c r="D11746" s="3">
        <v>0.0</v>
      </c>
      <c r="E11746" s="3">
        <v>0.0</v>
      </c>
      <c r="F11746" s="3" t="s">
        <v>33342</v>
      </c>
      <c r="G11746" s="3">
        <v>0.0</v>
      </c>
      <c r="H11746" s="3">
        <v>0.0</v>
      </c>
      <c r="I11746" s="3" t="s">
        <v>13</v>
      </c>
      <c r="J11746" s="3" t="s">
        <v>33343</v>
      </c>
      <c r="K11746" s="3" t="s">
        <v>510</v>
      </c>
      <c r="L11746" s="3" t="str">
        <f>IFERROR(__xludf.DUMMYFUNCTION("GOOGLETRANSLATE(F11746,""id"",""en"")"),"Lionel Messi's sparkling record after carrying Argentina World Cup champions are hard to pursue")</f>
        <v>Lionel Messi's sparkling record after carrying Argentina World Cup champions are hard to pursue</v>
      </c>
    </row>
    <row r="11747" ht="15.75" customHeight="1">
      <c r="A11747" s="1">
        <v>12994.0</v>
      </c>
      <c r="B11747" s="3" t="s">
        <v>33344</v>
      </c>
      <c r="C11747" s="3">
        <v>0.0</v>
      </c>
      <c r="D11747" s="3">
        <v>0.0</v>
      </c>
      <c r="E11747" s="3">
        <v>0.0</v>
      </c>
      <c r="F11747" s="3" t="s">
        <v>33345</v>
      </c>
      <c r="G11747" s="3">
        <v>1.0</v>
      </c>
      <c r="H11747" s="3">
        <v>0.0</v>
      </c>
      <c r="I11747" s="3" t="s">
        <v>13</v>
      </c>
      <c r="J11747" s="3" t="s">
        <v>33346</v>
      </c>
      <c r="K11747" s="3" t="s">
        <v>1925</v>
      </c>
      <c r="L11747" s="3" t="str">
        <f>IFERROR(__xludf.DUMMYFUNCTION("GOOGLETRANSLATE(F11747,""id"",""en"")"),"For the age of following Argentina's first trip, see Albiceleste to enter the final round and the champion if the mom can be together, you will be happy to see Argentina.")</f>
        <v>For the age of following Argentina's first trip, see Albiceleste to enter the final round and the champion if the mom can be together, you will be happy to see Argentina.</v>
      </c>
    </row>
    <row r="11748" ht="15.75" customHeight="1">
      <c r="A11748" s="1">
        <v>12995.0</v>
      </c>
      <c r="B11748" s="3" t="s">
        <v>33347</v>
      </c>
      <c r="C11748" s="3">
        <v>0.0</v>
      </c>
      <c r="D11748" s="3">
        <v>0.0</v>
      </c>
      <c r="E11748" s="3">
        <v>0.0</v>
      </c>
      <c r="F11748" s="3" t="s">
        <v>33348</v>
      </c>
      <c r="G11748" s="3">
        <v>1.0</v>
      </c>
      <c r="H11748" s="3">
        <v>0.0</v>
      </c>
      <c r="I11748" s="3" t="s">
        <v>13</v>
      </c>
      <c r="J11748" s="3" t="s">
        <v>33349</v>
      </c>
      <c r="K11748" s="3" t="s">
        <v>1428</v>
      </c>
      <c r="L11748" s="3" t="str">
        <f>IFERROR(__xludf.DUMMYFUNCTION("GOOGLETRANSLATE(F11748,""id"",""en"")"),"Dah Feeling Argentina Wins Pildun because the class of Messi has not been reached to be a champion of the pildun, like it, I want to print history too because it's already Argentina yet until the CMIIW final")</f>
        <v>Dah Feeling Argentina Wins Pildun because the class of Messi has not been reached to be a champion of the pildun, like it, I want to print history too because it's already Argentina yet until the CMIIW final</v>
      </c>
    </row>
    <row r="11749" ht="15.75" customHeight="1">
      <c r="A11749" s="1">
        <v>12996.0</v>
      </c>
      <c r="B11749" s="3" t="s">
        <v>33350</v>
      </c>
      <c r="C11749" s="3">
        <v>0.0</v>
      </c>
      <c r="D11749" s="3">
        <v>0.0</v>
      </c>
      <c r="E11749" s="3">
        <v>0.0</v>
      </c>
      <c r="F11749" s="3" t="s">
        <v>33342</v>
      </c>
      <c r="G11749" s="3">
        <v>0.0</v>
      </c>
      <c r="H11749" s="3">
        <v>0.0</v>
      </c>
      <c r="I11749" s="3" t="s">
        <v>13</v>
      </c>
      <c r="J11749" s="3" t="s">
        <v>33343</v>
      </c>
      <c r="K11749" s="3" t="s">
        <v>510</v>
      </c>
      <c r="L11749" s="3" t="str">
        <f>IFERROR(__xludf.DUMMYFUNCTION("GOOGLETRANSLATE(F11749,""id"",""en"")"),"Lionel Messi's sparkling record after carrying Argentina World Cup champions are hard to pursue")</f>
        <v>Lionel Messi's sparkling record after carrying Argentina World Cup champions are hard to pursue</v>
      </c>
    </row>
    <row r="11750" ht="15.75" customHeight="1">
      <c r="A11750" s="1">
        <v>12998.0</v>
      </c>
      <c r="B11750" s="3" t="s">
        <v>33351</v>
      </c>
      <c r="C11750" s="3">
        <v>0.0</v>
      </c>
      <c r="D11750" s="3">
        <v>0.0</v>
      </c>
      <c r="E11750" s="3">
        <v>0.0</v>
      </c>
      <c r="F11750" s="3" t="s">
        <v>33352</v>
      </c>
      <c r="G11750" s="3">
        <v>0.0</v>
      </c>
      <c r="H11750" s="3">
        <v>0.0</v>
      </c>
      <c r="I11750" s="3" t="s">
        <v>13</v>
      </c>
      <c r="J11750" s="3" t="s">
        <v>33353</v>
      </c>
      <c r="K11750" s="3" t="s">
        <v>82</v>
      </c>
      <c r="L11750" s="3" t="str">
        <f>IFERROR(__xludf.DUMMYFUNCTION("GOOGLETRANSLATE(F11750,""id"",""en"")"),"Redsindo FIFA Cinta Messi Ngebetan Argentina Champion")</f>
        <v>Redsindo FIFA Cinta Messi Ngebetan Argentina Champion</v>
      </c>
    </row>
    <row r="11751" ht="15.75" customHeight="1">
      <c r="A11751" s="1">
        <v>13000.0</v>
      </c>
      <c r="B11751" s="3" t="s">
        <v>33354</v>
      </c>
      <c r="C11751" s="3">
        <v>0.0</v>
      </c>
      <c r="D11751" s="3">
        <v>0.0</v>
      </c>
      <c r="E11751" s="3">
        <v>0.0</v>
      </c>
      <c r="F11751" s="3" t="s">
        <v>33355</v>
      </c>
      <c r="G11751" s="3">
        <v>0.0</v>
      </c>
      <c r="H11751" s="3">
        <v>0.0</v>
      </c>
      <c r="I11751" s="3" t="s">
        <v>13</v>
      </c>
      <c r="J11751" s="3" t="s">
        <v>33356</v>
      </c>
      <c r="K11751" s="3" t="s">
        <v>1265</v>
      </c>
      <c r="L11751" s="3" t="str">
        <f>IFERROR(__xludf.DUMMYFUNCTION("GOOGLETRANSLATE(F11751,""id"",""en"")"),"World Champion Emilia Martinez Emiliano Martinez brought the Argentine flag to become champion")</f>
        <v>World Champion Emilia Martinez Emiliano Martinez brought the Argentine flag to become champion</v>
      </c>
    </row>
    <row r="11752" ht="15.75" customHeight="1">
      <c r="A11752" s="1">
        <v>13001.0</v>
      </c>
      <c r="B11752" s="3" t="s">
        <v>33357</v>
      </c>
      <c r="C11752" s="3">
        <v>0.0</v>
      </c>
      <c r="D11752" s="3">
        <v>1.0</v>
      </c>
      <c r="E11752" s="3">
        <v>115.0</v>
      </c>
      <c r="F11752" s="3" t="s">
        <v>33358</v>
      </c>
      <c r="G11752" s="3">
        <v>0.0</v>
      </c>
      <c r="H11752" s="3">
        <v>0.0</v>
      </c>
      <c r="I11752" s="3" t="s">
        <v>13</v>
      </c>
      <c r="J11752" s="3" t="s">
        <v>33359</v>
      </c>
      <c r="K11752" s="3" t="s">
        <v>244</v>
      </c>
      <c r="L11752" s="3" t="str">
        <f>IFERROR(__xludf.DUMMYFUNCTION("GOOGLETRANSLATE(F11752,""id"",""en"")"),"World champion is indeed Argentina but my heart champion is just you ellajkt adeljt")</f>
        <v>World champion is indeed Argentina but my heart champion is just you ellajkt adeljt</v>
      </c>
    </row>
    <row r="11753" ht="15.75" customHeight="1">
      <c r="A11753" s="1">
        <v>13002.0</v>
      </c>
      <c r="B11753" s="3" t="s">
        <v>33360</v>
      </c>
      <c r="C11753" s="3">
        <v>0.0</v>
      </c>
      <c r="D11753" s="3">
        <v>1.0</v>
      </c>
      <c r="E11753" s="3">
        <v>1.0</v>
      </c>
      <c r="F11753" s="3" t="s">
        <v>33361</v>
      </c>
      <c r="G11753" s="3">
        <v>0.0</v>
      </c>
      <c r="H11753" s="3">
        <v>0.0</v>
      </c>
      <c r="I11753" s="3" t="s">
        <v>13</v>
      </c>
      <c r="J11753" s="3" t="s">
        <v>33362</v>
      </c>
      <c r="K11753" s="3" t="s">
        <v>1265</v>
      </c>
      <c r="L11753" s="3" t="str">
        <f>IFERROR(__xludf.DUMMYFUNCTION("GOOGLETRANSLATE(F11753,""id"",""en"")"),"Argentina Deleted the Curse of the World Cup Losing the Opener of the World Cup Champion")</f>
        <v>Argentina Deleted the Curse of the World Cup Losing the Opener of the World Cup Champion</v>
      </c>
    </row>
    <row r="11754" ht="15.75" customHeight="1">
      <c r="A11754" s="1">
        <v>13003.0</v>
      </c>
      <c r="B11754" s="3" t="s">
        <v>33363</v>
      </c>
      <c r="C11754" s="3">
        <v>0.0</v>
      </c>
      <c r="D11754" s="3">
        <v>0.0</v>
      </c>
      <c r="E11754" s="3">
        <v>0.0</v>
      </c>
      <c r="F11754" s="3" t="s">
        <v>33364</v>
      </c>
      <c r="G11754" s="3">
        <v>0.0</v>
      </c>
      <c r="H11754" s="3">
        <v>0.0</v>
      </c>
      <c r="I11754" s="3" t="s">
        <v>13</v>
      </c>
      <c r="J11754" s="3" t="s">
        <v>33365</v>
      </c>
      <c r="K11754" s="3" t="s">
        <v>19</v>
      </c>
      <c r="L11754" s="3" t="str">
        <f>IFERROR(__xludf.DUMMYFUNCTION("GOOGLETRANSLATE(F11754,""id"",""en"")"),"Lionel Messi successfully brought Argentina to the World Cup champion for the third time after fasting")</f>
        <v>Lionel Messi successfully brought Argentina to the World Cup champion for the third time after fasting</v>
      </c>
    </row>
    <row r="11755" ht="15.75" customHeight="1">
      <c r="A11755" s="1">
        <v>13004.0</v>
      </c>
      <c r="B11755" s="3" t="s">
        <v>33366</v>
      </c>
      <c r="C11755" s="3">
        <v>0.0</v>
      </c>
      <c r="D11755" s="3">
        <v>0.0</v>
      </c>
      <c r="E11755" s="3">
        <v>0.0</v>
      </c>
      <c r="F11755" s="3" t="s">
        <v>33367</v>
      </c>
      <c r="G11755" s="3">
        <v>0.0</v>
      </c>
      <c r="H11755" s="3">
        <v>0.0</v>
      </c>
      <c r="I11755" s="3" t="s">
        <v>13</v>
      </c>
      <c r="J11755" s="3" t="s">
        <v>33368</v>
      </c>
      <c r="K11755" s="3" t="s">
        <v>15</v>
      </c>
      <c r="L11755" s="3" t="str">
        <f>IFERROR(__xludf.DUMMYFUNCTION("GOOGLETRANSLATE(F11755,""id"",""en"")"),"Messi World Champion Ronaldo Mbappe Rungkad Argentina France")</f>
        <v>Messi World Champion Ronaldo Mbappe Rungkad Argentina France</v>
      </c>
    </row>
    <row r="11756" ht="15.75" customHeight="1">
      <c r="A11756" s="1">
        <v>13005.0</v>
      </c>
      <c r="B11756" s="3" t="s">
        <v>33369</v>
      </c>
      <c r="C11756" s="3">
        <v>0.0</v>
      </c>
      <c r="D11756" s="3">
        <v>0.0</v>
      </c>
      <c r="E11756" s="3">
        <v>0.0</v>
      </c>
      <c r="F11756" s="3" t="s">
        <v>33370</v>
      </c>
      <c r="G11756" s="3">
        <v>0.0</v>
      </c>
      <c r="H11756" s="3">
        <v>0.0</v>
      </c>
      <c r="I11756" s="3" t="s">
        <v>13</v>
      </c>
      <c r="J11756" s="3" t="s">
        <v>33371</v>
      </c>
      <c r="K11756" s="3" t="s">
        <v>1097</v>
      </c>
      <c r="L11756" s="3" t="str">
        <f>IFERROR(__xludf.DUMMYFUNCTION("GOOGLETRANSLATE(F11756,""id"",""en"")"),"SNG Argentina Champion SNG Trending Ronaldo Iki Oppar")</f>
        <v>SNG Argentina Champion SNG Trending Ronaldo Iki Oppar</v>
      </c>
    </row>
    <row r="11757" ht="15.75" customHeight="1">
      <c r="A11757" s="1">
        <v>13006.0</v>
      </c>
      <c r="B11757" s="3" t="s">
        <v>33372</v>
      </c>
      <c r="C11757" s="3">
        <v>0.0</v>
      </c>
      <c r="D11757" s="3">
        <v>0.0</v>
      </c>
      <c r="E11757" s="3">
        <v>0.0</v>
      </c>
      <c r="F11757" s="3" t="s">
        <v>33373</v>
      </c>
      <c r="G11757" s="3">
        <v>0.0</v>
      </c>
      <c r="H11757" s="3">
        <v>0.0</v>
      </c>
      <c r="I11757" s="3" t="s">
        <v>13</v>
      </c>
      <c r="J11757" s="3" t="s">
        <v>33374</v>
      </c>
      <c r="K11757" s="3" t="s">
        <v>75</v>
      </c>
      <c r="L11757" s="3" t="str">
        <f>IFERROR(__xludf.DUMMYFUNCTION("GOOGLETRANSLATE(F11757,""id"",""en"")"),"Argentina France through the Tango World Cup championship team shootout")</f>
        <v>Argentina France through the Tango World Cup championship team shootout</v>
      </c>
    </row>
    <row r="11758" ht="15.75" customHeight="1">
      <c r="A11758" s="1">
        <v>13007.0</v>
      </c>
      <c r="B11758" s="3" t="s">
        <v>33375</v>
      </c>
      <c r="C11758" s="3">
        <v>0.0</v>
      </c>
      <c r="D11758" s="3">
        <v>0.0</v>
      </c>
      <c r="E11758" s="3">
        <v>0.0</v>
      </c>
      <c r="F11758" s="3" t="s">
        <v>33376</v>
      </c>
      <c r="G11758" s="3">
        <v>0.0</v>
      </c>
      <c r="H11758" s="3">
        <v>0.0</v>
      </c>
      <c r="I11758" s="3" t="s">
        <v>13</v>
      </c>
      <c r="J11758" s="3" t="s">
        <v>33377</v>
      </c>
      <c r="K11758" s="3" t="s">
        <v>82</v>
      </c>
      <c r="L11758" s="3" t="str">
        <f>IFERROR(__xludf.DUMMYFUNCTION("GOOGLETRANSLATE(F11758,""id"",""en"")"),"The debate between Messi and Ronaldo was finished after Argentina in the world champion")</f>
        <v>The debate between Messi and Ronaldo was finished after Argentina in the world champion</v>
      </c>
    </row>
    <row r="11759" ht="15.75" customHeight="1">
      <c r="A11759" s="1">
        <v>13008.0</v>
      </c>
      <c r="B11759" s="3" t="s">
        <v>33378</v>
      </c>
      <c r="C11759" s="3">
        <v>0.0</v>
      </c>
      <c r="D11759" s="3">
        <v>0.0</v>
      </c>
      <c r="E11759" s="3">
        <v>0.0</v>
      </c>
      <c r="F11759" s="3" t="s">
        <v>33379</v>
      </c>
      <c r="G11759" s="3">
        <v>0.0</v>
      </c>
      <c r="H11759" s="3">
        <v>0.0</v>
      </c>
      <c r="I11759" s="3" t="s">
        <v>13</v>
      </c>
      <c r="J11759" s="3" t="s">
        <v>33380</v>
      </c>
      <c r="K11759" s="3" t="s">
        <v>82</v>
      </c>
      <c r="L11759" s="3" t="str">
        <f>IFERROR(__xludf.DUMMYFUNCTION("GOOGLETRANSLATE(F11759,""id"",""en"")"),"Messi World Champion Ronaldo Rungkad Argentina France")</f>
        <v>Messi World Champion Ronaldo Rungkad Argentina France</v>
      </c>
    </row>
    <row r="11760" ht="15.75" customHeight="1">
      <c r="A11760" s="1">
        <v>13009.0</v>
      </c>
      <c r="B11760" s="3" t="s">
        <v>33381</v>
      </c>
      <c r="C11760" s="3">
        <v>0.0</v>
      </c>
      <c r="D11760" s="3">
        <v>0.0</v>
      </c>
      <c r="E11760" s="3">
        <v>0.0</v>
      </c>
      <c r="F11760" s="3" t="s">
        <v>33382</v>
      </c>
      <c r="G11760" s="3">
        <v>0.3333333333333333</v>
      </c>
      <c r="H11760" s="3">
        <v>0.1666666666666667</v>
      </c>
      <c r="I11760" s="3" t="s">
        <v>48</v>
      </c>
      <c r="J11760" s="3" t="s">
        <v>33383</v>
      </c>
      <c r="K11760" s="3" t="s">
        <v>520</v>
      </c>
      <c r="L11760" s="3" t="str">
        <f>IFERROR(__xludf.DUMMYFUNCTION("GOOGLETRANSLATE(F11760,""id"",""en"")"),"If wrong, he used to play with Messi in the world now coach trained Messi and managed to bring Argentina champions in the world budget")</f>
        <v>If wrong, he used to play with Messi in the world now coach trained Messi and managed to bring Argentina champions in the world budget</v>
      </c>
    </row>
    <row r="11761" ht="15.75" customHeight="1">
      <c r="A11761" s="1">
        <v>13010.0</v>
      </c>
      <c r="B11761" s="3" t="s">
        <v>33384</v>
      </c>
      <c r="C11761" s="3">
        <v>0.0</v>
      </c>
      <c r="D11761" s="3">
        <v>0.0</v>
      </c>
      <c r="E11761" s="3">
        <v>0.0</v>
      </c>
      <c r="F11761" s="3" t="s">
        <v>33385</v>
      </c>
      <c r="G11761" s="3">
        <v>0.6</v>
      </c>
      <c r="H11761" s="3">
        <v>-0.05</v>
      </c>
      <c r="I11761" s="3" t="s">
        <v>179</v>
      </c>
      <c r="J11761" s="3" t="s">
        <v>33386</v>
      </c>
      <c r="K11761" s="3" t="s">
        <v>433</v>
      </c>
      <c r="L11761" s="3" t="str">
        <f>IFERROR(__xludf.DUMMYFUNCTION("GOOGLETRANSLATE(F11761,""id"",""en"")"),"The final was excreted as long as watching the Congrats Goat and Argentina mental champion, the championship was the end of the championship")</f>
        <v>The final was excreted as long as watching the Congrats Goat and Argentina mental champion, the championship was the end of the championship</v>
      </c>
    </row>
    <row r="11762" ht="15.75" customHeight="1">
      <c r="A11762" s="1">
        <v>13011.0</v>
      </c>
      <c r="B11762" s="3" t="s">
        <v>33387</v>
      </c>
      <c r="C11762" s="3">
        <v>0.0</v>
      </c>
      <c r="D11762" s="3">
        <v>0.0</v>
      </c>
      <c r="E11762" s="3">
        <v>4.0</v>
      </c>
      <c r="F11762" s="3" t="s">
        <v>33388</v>
      </c>
      <c r="G11762" s="3">
        <v>0.0</v>
      </c>
      <c r="H11762" s="3">
        <v>0.0</v>
      </c>
      <c r="I11762" s="3" t="s">
        <v>13</v>
      </c>
      <c r="J11762" s="3" t="s">
        <v>33389</v>
      </c>
      <c r="K11762" s="3" t="s">
        <v>1887</v>
      </c>
      <c r="L11762" s="3" t="str">
        <f>IFERROR(__xludf.DUMMYFUNCTION("GOOGLETRANSLATE(F11762,""id"",""en"")"),"Even though he didn't have the chance to see some Argentine idol players, the champion was happy to be able to watch the debut match of Messi and embrace the trophy after the pre -pre -follows, especially late in debate because every person has a way to e"&amp;"njoy soccer")</f>
        <v>Even though he didn't have the chance to see some Argentine idol players, the champion was happy to be able to watch the debut match of Messi and embrace the trophy after the pre -pre -follows, especially late in debate because every person has a way to enjoy soccer</v>
      </c>
    </row>
    <row r="11763" ht="15.75" customHeight="1">
      <c r="A11763" s="1">
        <v>13012.0</v>
      </c>
      <c r="B11763" s="3" t="s">
        <v>33390</v>
      </c>
      <c r="C11763" s="3">
        <v>1.0</v>
      </c>
      <c r="D11763" s="3">
        <v>0.0</v>
      </c>
      <c r="E11763" s="3">
        <v>0.0</v>
      </c>
      <c r="F11763" s="3" t="s">
        <v>33379</v>
      </c>
      <c r="G11763" s="3">
        <v>0.0</v>
      </c>
      <c r="H11763" s="3">
        <v>0.0</v>
      </c>
      <c r="I11763" s="3" t="s">
        <v>13</v>
      </c>
      <c r="J11763" s="3" t="s">
        <v>33380</v>
      </c>
      <c r="K11763" s="3" t="s">
        <v>82</v>
      </c>
      <c r="L11763" s="3" t="str">
        <f>IFERROR(__xludf.DUMMYFUNCTION("GOOGLETRANSLATE(F11763,""id"",""en"")"),"Messi World Champion Ronaldo Rungkad Argentina France")</f>
        <v>Messi World Champion Ronaldo Rungkad Argentina France</v>
      </c>
    </row>
    <row r="11764" ht="15.75" customHeight="1">
      <c r="A11764" s="1">
        <v>13013.0</v>
      </c>
      <c r="B11764" s="3" t="s">
        <v>33391</v>
      </c>
      <c r="C11764" s="3">
        <v>0.0</v>
      </c>
      <c r="D11764" s="3">
        <v>0.0</v>
      </c>
      <c r="E11764" s="3">
        <v>0.0</v>
      </c>
      <c r="F11764" s="3" t="s">
        <v>33379</v>
      </c>
      <c r="G11764" s="3">
        <v>0.0</v>
      </c>
      <c r="H11764" s="3">
        <v>0.0</v>
      </c>
      <c r="I11764" s="3" t="s">
        <v>13</v>
      </c>
      <c r="J11764" s="3" t="s">
        <v>33380</v>
      </c>
      <c r="K11764" s="3" t="s">
        <v>82</v>
      </c>
      <c r="L11764" s="3" t="str">
        <f>IFERROR(__xludf.DUMMYFUNCTION("GOOGLETRANSLATE(F11764,""id"",""en"")"),"Messi World Champion Ronaldo Rungkad Argentina France")</f>
        <v>Messi World Champion Ronaldo Rungkad Argentina France</v>
      </c>
    </row>
    <row r="11765" ht="15.75" customHeight="1">
      <c r="A11765" s="1">
        <v>13014.0</v>
      </c>
      <c r="B11765" s="3" t="s">
        <v>33392</v>
      </c>
      <c r="C11765" s="3">
        <v>1.0</v>
      </c>
      <c r="D11765" s="3">
        <v>0.0</v>
      </c>
      <c r="E11765" s="3">
        <v>5.0</v>
      </c>
      <c r="F11765" s="3" t="s">
        <v>33393</v>
      </c>
      <c r="G11765" s="3">
        <v>0.0</v>
      </c>
      <c r="H11765" s="3">
        <v>0.0</v>
      </c>
      <c r="I11765" s="3" t="s">
        <v>13</v>
      </c>
      <c r="J11765" s="3" t="s">
        <v>33394</v>
      </c>
      <c r="K11765" s="3" t="s">
        <v>1970</v>
      </c>
      <c r="L11765" s="3" t="str">
        <f>IFERROR(__xludf.DUMMYFUNCTION("GOOGLETRANSLATE(F11765,""id"",""en"")"),"In BYK, it turns out that Rafatar is also the champion, the name is only the name of the lucky luck, supporting the Argentina LSG, the champion of his father, supports Jokowi as well as the winner if Densi is broken")</f>
        <v>In BYK, it turns out that Rafatar is also the champion, the name is only the name of the lucky luck, supporting the Argentina LSG, the champion of his father, supports Jokowi as well as the winner if Densi is broken</v>
      </c>
    </row>
    <row r="11766" ht="15.75" customHeight="1">
      <c r="A11766" s="1">
        <v>13015.0</v>
      </c>
      <c r="B11766" s="3" t="s">
        <v>33395</v>
      </c>
      <c r="C11766" s="3">
        <v>0.0</v>
      </c>
      <c r="D11766" s="3">
        <v>0.0</v>
      </c>
      <c r="E11766" s="3">
        <v>0.0</v>
      </c>
      <c r="F11766" s="3" t="s">
        <v>33396</v>
      </c>
      <c r="G11766" s="3">
        <v>0.3</v>
      </c>
      <c r="H11766" s="3">
        <v>0.2</v>
      </c>
      <c r="I11766" s="3" t="s">
        <v>48</v>
      </c>
      <c r="J11766" s="3" t="s">
        <v>33397</v>
      </c>
      <c r="K11766" s="3" t="s">
        <v>50</v>
      </c>
      <c r="L11766" s="3" t="str">
        <f>IFERROR(__xludf.DUMMYFUNCTION("GOOGLETRANSLATE(F11766,""id"",""en"")"),"Please feel that his friend Real Lifeagar reminds that this person wants to lick the admin ass if Argentina is champion")</f>
        <v>Please feel that his friend Real Lifeagar reminds that this person wants to lick the admin ass if Argentina is champion</v>
      </c>
    </row>
    <row r="11767" ht="15.75" customHeight="1">
      <c r="A11767" s="1">
        <v>13016.0</v>
      </c>
      <c r="B11767" s="3" t="s">
        <v>33398</v>
      </c>
      <c r="C11767" s="3">
        <v>9.0</v>
      </c>
      <c r="D11767" s="3">
        <v>12.0</v>
      </c>
      <c r="E11767" s="3">
        <v>70.0</v>
      </c>
      <c r="F11767" s="3" t="s">
        <v>33399</v>
      </c>
      <c r="G11767" s="3">
        <v>0.0</v>
      </c>
      <c r="H11767" s="3">
        <v>0.0</v>
      </c>
      <c r="I11767" s="3" t="s">
        <v>13</v>
      </c>
      <c r="J11767" s="3" t="s">
        <v>33400</v>
      </c>
      <c r="K11767" s="3" t="s">
        <v>19</v>
      </c>
      <c r="L11767" s="3" t="str">
        <f>IFERROR(__xludf.DUMMYFUNCTION("GOOGLETRANSLATE(F11767,""id"",""en"")"),"Buenos Aires vibrates Argentina successfully champions World Cup Source Ale Petra")</f>
        <v>Buenos Aires vibrates Argentina successfully champions World Cup Source Ale Petra</v>
      </c>
    </row>
    <row r="11768" ht="15.75" customHeight="1">
      <c r="A11768" s="1">
        <v>13017.0</v>
      </c>
      <c r="B11768" s="3" t="s">
        <v>33401</v>
      </c>
      <c r="C11768" s="3">
        <v>0.0</v>
      </c>
      <c r="D11768" s="3">
        <v>0.0</v>
      </c>
      <c r="E11768" s="3">
        <v>0.0</v>
      </c>
      <c r="F11768" s="3" t="s">
        <v>33379</v>
      </c>
      <c r="G11768" s="3">
        <v>0.0</v>
      </c>
      <c r="H11768" s="3">
        <v>0.0</v>
      </c>
      <c r="I11768" s="3" t="s">
        <v>13</v>
      </c>
      <c r="J11768" s="3" t="s">
        <v>33380</v>
      </c>
      <c r="K11768" s="3" t="s">
        <v>82</v>
      </c>
      <c r="L11768" s="3" t="str">
        <f>IFERROR(__xludf.DUMMYFUNCTION("GOOGLETRANSLATE(F11768,""id"",""en"")"),"Messi World Champion Ronaldo Rungkad Argentina France")</f>
        <v>Messi World Champion Ronaldo Rungkad Argentina France</v>
      </c>
    </row>
    <row r="11769" ht="15.75" customHeight="1">
      <c r="A11769" s="1">
        <v>13018.0</v>
      </c>
      <c r="B11769" s="3" t="s">
        <v>33402</v>
      </c>
      <c r="C11769" s="3">
        <v>0.0</v>
      </c>
      <c r="D11769" s="3">
        <v>0.0</v>
      </c>
      <c r="E11769" s="3">
        <v>5.0</v>
      </c>
      <c r="F11769" s="3" t="s">
        <v>33403</v>
      </c>
      <c r="G11769" s="3">
        <v>0.0</v>
      </c>
      <c r="H11769" s="3">
        <v>0.0</v>
      </c>
      <c r="I11769" s="3" t="s">
        <v>13</v>
      </c>
      <c r="J11769" s="3" t="s">
        <v>33404</v>
      </c>
      <c r="K11769" s="3" t="s">
        <v>644</v>
      </c>
      <c r="L11769" s="3" t="str">
        <f>IFERROR(__xludf.DUMMYFUNCTION("GOOGLETRANSLATE(F11769,""id"",""en"")"),"Argentina Champion because of Leno Ytta")</f>
        <v>Argentina Champion because of Leno Ytta</v>
      </c>
    </row>
    <row r="11770" ht="15.75" customHeight="1">
      <c r="A11770" s="1">
        <v>13019.0</v>
      </c>
      <c r="B11770" s="3" t="s">
        <v>33405</v>
      </c>
      <c r="C11770" s="3">
        <v>1.0</v>
      </c>
      <c r="D11770" s="3">
        <v>0.0</v>
      </c>
      <c r="E11770" s="3">
        <v>0.0</v>
      </c>
      <c r="F11770" s="3" t="s">
        <v>33406</v>
      </c>
      <c r="G11770" s="3">
        <v>0.0</v>
      </c>
      <c r="H11770" s="3">
        <v>0.0</v>
      </c>
      <c r="I11770" s="3" t="s">
        <v>13</v>
      </c>
      <c r="J11770" s="3" t="s">
        <v>33407</v>
      </c>
      <c r="K11770" s="3" t="s">
        <v>603</v>
      </c>
      <c r="L11770" s="3" t="str">
        <f>IFERROR(__xludf.DUMMYFUNCTION("GOOGLETRANSLATE(F11770,""id"",""en"")"),"After Argentina French defense failed to defend the Qatar World Cup title but Kylian Mbappe carved a golden ink as the sharpest player at the Qatar World Cup")</f>
        <v>After Argentina French defense failed to defend the Qatar World Cup title but Kylian Mbappe carved a golden ink as the sharpest player at the Qatar World Cup</v>
      </c>
    </row>
    <row r="11771" ht="15.75" customHeight="1">
      <c r="A11771" s="1">
        <v>13021.0</v>
      </c>
      <c r="B11771" s="3" t="s">
        <v>33408</v>
      </c>
      <c r="C11771" s="3">
        <v>0.0</v>
      </c>
      <c r="D11771" s="3">
        <v>0.0</v>
      </c>
      <c r="E11771" s="3">
        <v>0.0</v>
      </c>
      <c r="F11771" s="3" t="s">
        <v>33409</v>
      </c>
      <c r="G11771" s="3">
        <v>0.25</v>
      </c>
      <c r="H11771" s="3">
        <v>0.25</v>
      </c>
      <c r="I11771" s="3" t="s">
        <v>48</v>
      </c>
      <c r="J11771" s="3" t="s">
        <v>33410</v>
      </c>
      <c r="K11771" s="3" t="s">
        <v>437</v>
      </c>
      <c r="L11771" s="3" t="str">
        <f>IFERROR(__xludf.DUMMYFUNCTION("GOOGLETRANSLATE(F11771,""id"",""en"")"),"My prediction is the reality of Argentina champion Messi Best Player Martinez Best Goalkeeper Runner Third and Top Scorer Wrong")</f>
        <v>My prediction is the reality of Argentina champion Messi Best Player Martinez Best Goalkeeper Runner Third and Top Scorer Wrong</v>
      </c>
    </row>
    <row r="11772" ht="15.75" customHeight="1">
      <c r="A11772" s="1">
        <v>13023.0</v>
      </c>
      <c r="B11772" s="3" t="s">
        <v>33411</v>
      </c>
      <c r="C11772" s="3">
        <v>0.0</v>
      </c>
      <c r="D11772" s="3">
        <v>0.0</v>
      </c>
      <c r="E11772" s="3">
        <v>0.0</v>
      </c>
      <c r="F11772" s="3" t="s">
        <v>33364</v>
      </c>
      <c r="G11772" s="3">
        <v>0.0</v>
      </c>
      <c r="H11772" s="3">
        <v>0.0</v>
      </c>
      <c r="I11772" s="3" t="s">
        <v>13</v>
      </c>
      <c r="J11772" s="3" t="s">
        <v>33365</v>
      </c>
      <c r="K11772" s="3" t="s">
        <v>19</v>
      </c>
      <c r="L11772" s="3" t="str">
        <f>IFERROR(__xludf.DUMMYFUNCTION("GOOGLETRANSLATE(F11772,""id"",""en"")"),"Lionel Messi successfully brought Argentina to the World Cup champion for the third time after fasting")</f>
        <v>Lionel Messi successfully brought Argentina to the World Cup champion for the third time after fasting</v>
      </c>
    </row>
    <row r="11773" ht="15.75" customHeight="1">
      <c r="A11773" s="1">
        <v>13025.0</v>
      </c>
      <c r="B11773" s="3" t="s">
        <v>33412</v>
      </c>
      <c r="C11773" s="3">
        <v>0.0</v>
      </c>
      <c r="D11773" s="3">
        <v>0.0</v>
      </c>
      <c r="E11773" s="3">
        <v>0.0</v>
      </c>
      <c r="F11773" s="3" t="s">
        <v>22584</v>
      </c>
      <c r="G11773" s="3">
        <v>0.0</v>
      </c>
      <c r="H11773" s="3">
        <v>0.0</v>
      </c>
      <c r="I11773" s="3" t="s">
        <v>13</v>
      </c>
      <c r="J11773" s="3" t="s">
        <v>22585</v>
      </c>
      <c r="K11773" s="3" t="s">
        <v>31</v>
      </c>
      <c r="L11773" s="3" t="str">
        <f>IFERROR(__xludf.DUMMYFUNCTION("GOOGLETRANSLATE(F11773,""id"",""en"")"),"Argentina Champion World Cup Qatar")</f>
        <v>Argentina Champion World Cup Qatar</v>
      </c>
    </row>
    <row r="11774" ht="15.75" customHeight="1">
      <c r="A11774" s="1">
        <v>13026.0</v>
      </c>
      <c r="B11774" s="3" t="s">
        <v>33413</v>
      </c>
      <c r="C11774" s="3">
        <v>0.0</v>
      </c>
      <c r="D11774" s="3">
        <v>0.0</v>
      </c>
      <c r="E11774" s="3">
        <v>1.0</v>
      </c>
      <c r="F11774" s="3" t="s">
        <v>33414</v>
      </c>
      <c r="G11774" s="3">
        <v>0.0</v>
      </c>
      <c r="H11774" s="3">
        <v>0.0</v>
      </c>
      <c r="I11774" s="3" t="s">
        <v>13</v>
      </c>
      <c r="J11774" s="3" t="s">
        <v>33415</v>
      </c>
      <c r="K11774" s="3" t="s">
        <v>2023</v>
      </c>
      <c r="L11774" s="3" t="str">
        <f>IFERROR(__xludf.DUMMYFUNCTION("GOOGLETRANSLATE(F11774,""id"",""en"")"),"Although Argentina won the championship trophy but Saluut with the Argentine Saudi Arabian team defeated Olh Saudi Arabia Saudi Arabia deserves an award")</f>
        <v>Although Argentina won the championship trophy but Saluut with the Argentine Saudi Arabian team defeated Olh Saudi Arabia Saudi Arabia deserves an award</v>
      </c>
    </row>
    <row r="11775" ht="15.75" customHeight="1">
      <c r="A11775" s="1">
        <v>13027.0</v>
      </c>
      <c r="B11775" s="3" t="s">
        <v>33416</v>
      </c>
      <c r="C11775" s="3">
        <v>2.0</v>
      </c>
      <c r="D11775" s="3">
        <v>0.0</v>
      </c>
      <c r="E11775" s="3">
        <v>0.0</v>
      </c>
      <c r="F11775" s="3" t="s">
        <v>33417</v>
      </c>
      <c r="G11775" s="3">
        <v>0.0</v>
      </c>
      <c r="H11775" s="3">
        <v>0.0</v>
      </c>
      <c r="I11775" s="3" t="s">
        <v>13</v>
      </c>
      <c r="J11775" s="3" t="s">
        <v>33418</v>
      </c>
      <c r="K11775" s="3" t="s">
        <v>82</v>
      </c>
      <c r="L11775" s="3" t="str">
        <f>IFERROR(__xludf.DUMMYFUNCTION("GOOGLETRANSLATE(F11775,""id"",""en"")"),"Just happy Argentina, the morning champion is already upset")</f>
        <v>Just happy Argentina, the morning champion is already upset</v>
      </c>
    </row>
    <row r="11776" ht="15.75" customHeight="1">
      <c r="A11776" s="1">
        <v>13028.0</v>
      </c>
      <c r="B11776" s="3" t="s">
        <v>33419</v>
      </c>
      <c r="C11776" s="3">
        <v>0.0</v>
      </c>
      <c r="D11776" s="3">
        <v>0.0</v>
      </c>
      <c r="E11776" s="3">
        <v>0.0</v>
      </c>
      <c r="F11776" s="3" t="s">
        <v>33420</v>
      </c>
      <c r="G11776" s="3">
        <v>0.0</v>
      </c>
      <c r="H11776" s="3">
        <v>0.0</v>
      </c>
      <c r="I11776" s="3" t="s">
        <v>13</v>
      </c>
      <c r="J11776" s="3" t="s">
        <v>33421</v>
      </c>
      <c r="K11776" s="3" t="s">
        <v>883</v>
      </c>
      <c r="L11776" s="3" t="str">
        <f>IFERROR(__xludf.DUMMYFUNCTION("GOOGLETRANSLATE(F11776,""id"",""en"")"),"With the Argentina champion, the Qatar World Soon World Cup is ended in the year, hopefully the Indonesian national team can pass the playoffs even though it is impossible")</f>
        <v>With the Argentina champion, the Qatar World Soon World Cup is ended in the year, hopefully the Indonesian national team can pass the playoffs even though it is impossible</v>
      </c>
    </row>
    <row r="11777" ht="15.75" customHeight="1">
      <c r="A11777" s="1">
        <v>13029.0</v>
      </c>
      <c r="B11777" s="3" t="s">
        <v>33422</v>
      </c>
      <c r="C11777" s="3">
        <v>1.0</v>
      </c>
      <c r="D11777" s="3">
        <v>0.0</v>
      </c>
      <c r="E11777" s="3">
        <v>0.0</v>
      </c>
      <c r="F11777" s="3" t="s">
        <v>33423</v>
      </c>
      <c r="G11777" s="3">
        <v>0.0</v>
      </c>
      <c r="H11777" s="3">
        <v>0.0</v>
      </c>
      <c r="I11777" s="3" t="s">
        <v>13</v>
      </c>
      <c r="J11777" s="3" t="s">
        <v>33424</v>
      </c>
      <c r="K11777" s="3" t="s">
        <v>75</v>
      </c>
      <c r="L11777" s="3" t="str">
        <f>IFERROR(__xludf.DUMMYFUNCTION("GOOGLETRANSLATE(F11777,""id"",""en"")"),"I am really happy that he will know that Argentina is a world soccer party champion")</f>
        <v>I am really happy that he will know that Argentina is a world soccer party champion</v>
      </c>
    </row>
    <row r="11778" ht="15.75" customHeight="1">
      <c r="A11778" s="1">
        <v>13030.0</v>
      </c>
      <c r="B11778" s="3" t="s">
        <v>33425</v>
      </c>
      <c r="C11778" s="3">
        <v>2.0</v>
      </c>
      <c r="D11778" s="3">
        <v>0.0</v>
      </c>
      <c r="E11778" s="3">
        <v>4.0</v>
      </c>
      <c r="F11778" s="3" t="s">
        <v>33426</v>
      </c>
      <c r="G11778" s="3">
        <v>0.0</v>
      </c>
      <c r="H11778" s="3">
        <v>0.0</v>
      </c>
      <c r="I11778" s="3" t="s">
        <v>13</v>
      </c>
      <c r="J11778" s="3" t="s">
        <v>33427</v>
      </c>
      <c r="K11778" s="3" t="s">
        <v>58</v>
      </c>
      <c r="L11778" s="3" t="str">
        <f>IFERROR(__xludf.DUMMYFUNCTION("GOOGLETRANSLATE(F11778,""id"",""en"")"),"Messi is indeed the best and worthy of champion but Cristiano remains the one who always inspires Congrats Messi and Argentina")</f>
        <v>Messi is indeed the best and worthy of champion but Cristiano remains the one who always inspires Congrats Messi and Argentina</v>
      </c>
    </row>
    <row r="11779" ht="15.75" customHeight="1">
      <c r="A11779" s="1">
        <v>13031.0</v>
      </c>
      <c r="B11779" s="3" t="s">
        <v>33428</v>
      </c>
      <c r="C11779" s="3">
        <v>0.0</v>
      </c>
      <c r="D11779" s="3">
        <v>1.0</v>
      </c>
      <c r="E11779" s="3">
        <v>11.0</v>
      </c>
      <c r="F11779" s="3" t="s">
        <v>33429</v>
      </c>
      <c r="G11779" s="3">
        <v>0.0</v>
      </c>
      <c r="H11779" s="3">
        <v>0.0</v>
      </c>
      <c r="I11779" s="3" t="s">
        <v>13</v>
      </c>
      <c r="J11779" s="3" t="s">
        <v>33430</v>
      </c>
      <c r="K11779" s="3" t="s">
        <v>41</v>
      </c>
      <c r="L11779" s="3" t="str">
        <f>IFERROR(__xludf.DUMMYFUNCTION("GOOGLETRANSLATE(F11779,""id"",""en"")"),"The happy floods of Argentine players after the World Cup championship")</f>
        <v>The happy floods of Argentine players after the World Cup championship</v>
      </c>
    </row>
    <row r="11780" ht="15.75" customHeight="1">
      <c r="A11780" s="1">
        <v>13032.0</v>
      </c>
      <c r="B11780" s="3" t="s">
        <v>33431</v>
      </c>
      <c r="C11780" s="3">
        <v>0.0</v>
      </c>
      <c r="D11780" s="3">
        <v>0.0</v>
      </c>
      <c r="E11780" s="3">
        <v>3.0</v>
      </c>
      <c r="F11780" s="3" t="s">
        <v>33432</v>
      </c>
      <c r="G11780" s="3">
        <v>0.0</v>
      </c>
      <c r="H11780" s="3">
        <v>0.0</v>
      </c>
      <c r="I11780" s="3" t="s">
        <v>13</v>
      </c>
      <c r="J11780" s="3" t="s">
        <v>33433</v>
      </c>
      <c r="K11780" s="3" t="s">
        <v>50</v>
      </c>
      <c r="L11780" s="3" t="str">
        <f>IFERROR(__xludf.DUMMYFUNCTION("GOOGLETRANSLATE(F11780,""id"",""en"")"),"The dominance of Messi World Cup Borong Individual Degree between Argentina Champion")</f>
        <v>The dominance of Messi World Cup Borong Individual Degree between Argentina Champion</v>
      </c>
    </row>
    <row r="11781" ht="15.75" customHeight="1">
      <c r="A11781" s="1">
        <v>13033.0</v>
      </c>
      <c r="B11781" s="3" t="s">
        <v>33434</v>
      </c>
      <c r="C11781" s="3">
        <v>0.0</v>
      </c>
      <c r="D11781" s="3">
        <v>1.0</v>
      </c>
      <c r="E11781" s="3">
        <v>1.0</v>
      </c>
      <c r="F11781" s="3" t="s">
        <v>33435</v>
      </c>
      <c r="G11781" s="3">
        <v>0.0</v>
      </c>
      <c r="H11781" s="3">
        <v>0.0</v>
      </c>
      <c r="I11781" s="3" t="s">
        <v>13</v>
      </c>
      <c r="J11781" s="3" t="s">
        <v>33436</v>
      </c>
      <c r="K11781" s="3" t="s">
        <v>75</v>
      </c>
      <c r="L11781" s="3" t="str">
        <f>IFERROR(__xludf.DUMMYFUNCTION("GOOGLETRANSLATE(F11781,""id"",""en"")"),"Argentina Champion World Cup after defeating France through a penalty shootout via")</f>
        <v>Argentina Champion World Cup after defeating France through a penalty shootout via</v>
      </c>
    </row>
    <row r="11782" ht="15.75" customHeight="1">
      <c r="A11782" s="1">
        <v>13034.0</v>
      </c>
      <c r="B11782" s="3" t="s">
        <v>33437</v>
      </c>
      <c r="C11782" s="3">
        <v>0.0</v>
      </c>
      <c r="D11782" s="3">
        <v>0.0</v>
      </c>
      <c r="E11782" s="3">
        <v>0.0</v>
      </c>
      <c r="F11782" s="3" t="s">
        <v>33438</v>
      </c>
      <c r="G11782" s="3">
        <v>0.0</v>
      </c>
      <c r="H11782" s="3">
        <v>0.0</v>
      </c>
      <c r="I11782" s="3" t="s">
        <v>13</v>
      </c>
      <c r="J11782" s="3" t="s">
        <v>33439</v>
      </c>
      <c r="K11782" s="3" t="s">
        <v>19</v>
      </c>
      <c r="L11782" s="3" t="str">
        <f>IFERROR(__xludf.DUMMYFUNCTION("GOOGLETRANSLATE(F11782,""id"",""en"")"),"The next World Cup wants anyone who wins it's up to Argentina.")</f>
        <v>The next World Cup wants anyone who wins it's up to Argentina.</v>
      </c>
    </row>
    <row r="11783" ht="15.75" customHeight="1">
      <c r="A11783" s="1">
        <v>13035.0</v>
      </c>
      <c r="B11783" s="3" t="s">
        <v>33440</v>
      </c>
      <c r="C11783" s="3">
        <v>0.0</v>
      </c>
      <c r="D11783" s="3">
        <v>0.0</v>
      </c>
      <c r="E11783" s="3">
        <v>1.0</v>
      </c>
      <c r="F11783" s="3" t="s">
        <v>33441</v>
      </c>
      <c r="G11783" s="3">
        <v>0.0</v>
      </c>
      <c r="H11783" s="3">
        <v>0.0</v>
      </c>
      <c r="I11783" s="3" t="s">
        <v>13</v>
      </c>
      <c r="J11783" s="3" t="s">
        <v>33442</v>
      </c>
      <c r="K11783" s="3" t="s">
        <v>725</v>
      </c>
      <c r="L11783" s="3" t="str">
        <f>IFERROR(__xludf.DUMMYFUNCTION("GOOGLETRANSLATE(F11783,""id"",""en"")"),"Fortunately, the President of FIFA did not issue a statement later the champion of the Qatar jersey was blue and white and his hair was all if it happened could be canceled the champion of Argentina because it was protested by another contestant, consider"&amp;" the Bravo Argenti setting")</f>
        <v>Fortunately, the President of FIFA did not issue a statement later the champion of the Qatar jersey was blue and white and his hair was all if it happened could be canceled the champion of Argentina because it was protested by another contestant, consider the Bravo Argenti setting</v>
      </c>
    </row>
    <row r="11784" ht="15.75" customHeight="1">
      <c r="A11784" s="1">
        <v>13036.0</v>
      </c>
      <c r="B11784" s="3" t="s">
        <v>33443</v>
      </c>
      <c r="C11784" s="3">
        <v>1.0</v>
      </c>
      <c r="D11784" s="3">
        <v>0.0</v>
      </c>
      <c r="E11784" s="3">
        <v>1.0</v>
      </c>
      <c r="F11784" s="3" t="s">
        <v>33444</v>
      </c>
      <c r="G11784" s="3">
        <v>0.08333333333333333</v>
      </c>
      <c r="H11784" s="3">
        <v>0.0625</v>
      </c>
      <c r="I11784" s="3" t="s">
        <v>48</v>
      </c>
      <c r="J11784" s="3" t="s">
        <v>33445</v>
      </c>
      <c r="K11784" s="3" t="s">
        <v>1656</v>
      </c>
      <c r="L11784" s="3" t="str">
        <f>IFERROR(__xludf.DUMMYFUNCTION("GOOGLETRANSLATE(F11784,""id"",""en"")"),"From the beginning I didn't want this country to be a champion, there was something for the first, I was somewhat less willing if France championed back second if Argentina champion Messi would be praised as high as the sky and now right and it was real")</f>
        <v>From the beginning I didn't want this country to be a champion, there was something for the first, I was somewhat less willing if France championed back second if Argentina champion Messi would be praised as high as the sky and now right and it was real</v>
      </c>
    </row>
    <row r="11785" ht="15.75" customHeight="1">
      <c r="A11785" s="1">
        <v>13037.0</v>
      </c>
      <c r="B11785" s="3" t="s">
        <v>33446</v>
      </c>
      <c r="C11785" s="3">
        <v>0.0</v>
      </c>
      <c r="D11785" s="3">
        <v>0.0</v>
      </c>
      <c r="E11785" s="3">
        <v>0.0</v>
      </c>
      <c r="F11785" s="3" t="s">
        <v>33447</v>
      </c>
      <c r="G11785" s="3">
        <v>1.0</v>
      </c>
      <c r="H11785" s="3">
        <v>0.0</v>
      </c>
      <c r="I11785" s="3" t="s">
        <v>13</v>
      </c>
      <c r="J11785" s="3" t="s">
        <v>33448</v>
      </c>
      <c r="K11785" s="3" t="s">
        <v>123</v>
      </c>
      <c r="L11785" s="3" t="str">
        <f>IFERROR(__xludf.DUMMYFUNCTION("GOOGLETRANSLATE(F11785,""id"",""en"")"),"Completed Taniah made as a champion feeling also Messi Julang this Big Cup for France can make a react to the final final")</f>
        <v>Completed Taniah made as a champion feeling also Messi Julang this Big Cup for France can make a react to the final final</v>
      </c>
    </row>
    <row r="11786" ht="15.75" customHeight="1">
      <c r="A11786" s="1">
        <v>13038.0</v>
      </c>
      <c r="B11786" s="3" t="s">
        <v>33449</v>
      </c>
      <c r="C11786" s="3">
        <v>3.0</v>
      </c>
      <c r="D11786" s="3">
        <v>0.0</v>
      </c>
      <c r="E11786" s="3">
        <v>0.0</v>
      </c>
      <c r="F11786" s="3" t="s">
        <v>33450</v>
      </c>
      <c r="G11786" s="3">
        <v>0.0</v>
      </c>
      <c r="H11786" s="3">
        <v>0.0</v>
      </c>
      <c r="I11786" s="3" t="s">
        <v>13</v>
      </c>
      <c r="J11786" s="3" t="s">
        <v>33451</v>
      </c>
      <c r="K11786" s="3" t="s">
        <v>1335</v>
      </c>
      <c r="L11786" s="3" t="str">
        <f>IFERROR(__xludf.DUMMYFUNCTION("GOOGLETRANSLATE(F11786,""id"",""en"")"),"Want to post anything even though Argentina Champion")</f>
        <v>Want to post anything even though Argentina Champion</v>
      </c>
    </row>
    <row r="11787" ht="15.75" customHeight="1">
      <c r="A11787" s="1">
        <v>13039.0</v>
      </c>
      <c r="B11787" s="3" t="s">
        <v>33452</v>
      </c>
      <c r="C11787" s="3">
        <v>0.0</v>
      </c>
      <c r="D11787" s="3">
        <v>0.0</v>
      </c>
      <c r="E11787" s="3">
        <v>0.0</v>
      </c>
      <c r="F11787" s="3" t="s">
        <v>33453</v>
      </c>
      <c r="G11787" s="3">
        <v>0.0</v>
      </c>
      <c r="H11787" s="3">
        <v>0.0</v>
      </c>
      <c r="I11787" s="3" t="s">
        <v>13</v>
      </c>
      <c r="J11787" s="3" t="s">
        <v>33454</v>
      </c>
      <c r="K11787" s="3" t="s">
        <v>82</v>
      </c>
      <c r="L11787" s="3" t="str">
        <f>IFERROR(__xludf.DUMMYFUNCTION("GOOGLETRANSLATE(F11787,""id"",""en"")"),"Dramatic Beating France Argentina Champion World Cup")</f>
        <v>Dramatic Beating France Argentina Champion World Cup</v>
      </c>
    </row>
    <row r="11788" ht="15.75" customHeight="1">
      <c r="A11788" s="1">
        <v>13040.0</v>
      </c>
      <c r="B11788" s="3" t="s">
        <v>33455</v>
      </c>
      <c r="C11788" s="3">
        <v>0.0</v>
      </c>
      <c r="D11788" s="3">
        <v>0.0</v>
      </c>
      <c r="E11788" s="3">
        <v>0.0</v>
      </c>
      <c r="F11788" s="3" t="s">
        <v>33456</v>
      </c>
      <c r="G11788" s="3">
        <v>0.0</v>
      </c>
      <c r="H11788" s="3">
        <v>0.0</v>
      </c>
      <c r="I11788" s="3" t="s">
        <v>13</v>
      </c>
      <c r="J11788" s="3" t="s">
        <v>33457</v>
      </c>
      <c r="K11788" s="3" t="s">
        <v>1552</v>
      </c>
      <c r="L11788" s="3" t="str">
        <f>IFERROR(__xludf.DUMMYFUNCTION("GOOGLETRANSLATE(F11788,""id"",""en"")"),"Giroud French Gol Champion Lajangaro Matines Gol Argentina Champion Factos")</f>
        <v>Giroud French Gol Champion Lajangaro Matines Gol Argentina Champion Factos</v>
      </c>
    </row>
    <row r="11789" ht="15.75" customHeight="1">
      <c r="A11789" s="1">
        <v>13041.0</v>
      </c>
      <c r="B11789" s="3" t="s">
        <v>33458</v>
      </c>
      <c r="C11789" s="3">
        <v>0.0</v>
      </c>
      <c r="D11789" s="3">
        <v>0.0</v>
      </c>
      <c r="E11789" s="3">
        <v>0.0</v>
      </c>
      <c r="F11789" s="3" t="s">
        <v>33459</v>
      </c>
      <c r="G11789" s="3">
        <v>0.0</v>
      </c>
      <c r="H11789" s="3">
        <v>0.0</v>
      </c>
      <c r="I11789" s="3" t="s">
        <v>13</v>
      </c>
      <c r="J11789" s="3" t="s">
        <v>33460</v>
      </c>
      <c r="K11789" s="3" t="s">
        <v>41</v>
      </c>
      <c r="L11789" s="3" t="str">
        <f>IFERROR(__xludf.DUMMYFUNCTION("GOOGLETRANSLATE(F11789,""id"",""en"")"),"Last night was an exciting match finally made Argentina champion")</f>
        <v>Last night was an exciting match finally made Argentina champion</v>
      </c>
    </row>
    <row r="11790" ht="15.75" customHeight="1">
      <c r="A11790" s="1">
        <v>13042.0</v>
      </c>
      <c r="B11790" s="3" t="s">
        <v>33461</v>
      </c>
      <c r="C11790" s="3">
        <v>0.0</v>
      </c>
      <c r="D11790" s="3">
        <v>0.0</v>
      </c>
      <c r="E11790" s="3">
        <v>0.0</v>
      </c>
      <c r="F11790" s="3" t="s">
        <v>33462</v>
      </c>
      <c r="G11790" s="3">
        <v>0.0</v>
      </c>
      <c r="H11790" s="3">
        <v>0.0</v>
      </c>
      <c r="I11790" s="3" t="s">
        <v>13</v>
      </c>
      <c r="J11790" s="3" t="s">
        <v>33463</v>
      </c>
      <c r="K11790" s="3" t="s">
        <v>942</v>
      </c>
      <c r="L11790" s="3" t="str">
        <f>IFERROR(__xludf.DUMMYFUNCTION("GOOGLETRANSLATE(F11790,""id"",""en"")"),"Argentina Champion French Champion You Loo Champion Invited Huek Juh Wleowleo")</f>
        <v>Argentina Champion French Champion You Loo Champion Invited Huek Juh Wleowleo</v>
      </c>
    </row>
    <row r="11791" ht="15.75" customHeight="1">
      <c r="A11791" s="1">
        <v>13043.0</v>
      </c>
      <c r="B11791" s="3" t="s">
        <v>33464</v>
      </c>
      <c r="C11791" s="3">
        <v>0.0</v>
      </c>
      <c r="D11791" s="3">
        <v>0.0</v>
      </c>
      <c r="E11791" s="3">
        <v>0.0</v>
      </c>
      <c r="F11791" s="3" t="s">
        <v>33465</v>
      </c>
      <c r="G11791" s="3">
        <v>0.0</v>
      </c>
      <c r="H11791" s="3">
        <v>0.0</v>
      </c>
      <c r="I11791" s="3" t="s">
        <v>13</v>
      </c>
      <c r="J11791" s="3" t="s">
        <v>33466</v>
      </c>
      <c r="K11791" s="3" t="s">
        <v>15</v>
      </c>
      <c r="L11791" s="3" t="str">
        <f>IFERROR(__xludf.DUMMYFUNCTION("GOOGLETRANSLATE(F11791,""id"",""en"")"),"Argentina Hoki Doang Champion Pildun Worthy of French CMA")</f>
        <v>Argentina Hoki Doang Champion Pildun Worthy of French CMA</v>
      </c>
    </row>
    <row r="11792" ht="15.75" customHeight="1">
      <c r="A11792" s="1">
        <v>13044.0</v>
      </c>
      <c r="B11792" s="3" t="s">
        <v>33467</v>
      </c>
      <c r="C11792" s="3">
        <v>0.0</v>
      </c>
      <c r="D11792" s="3">
        <v>6.0</v>
      </c>
      <c r="E11792" s="3">
        <v>21.0</v>
      </c>
      <c r="F11792" s="3" t="s">
        <v>33468</v>
      </c>
      <c r="G11792" s="3">
        <v>0.0</v>
      </c>
      <c r="H11792" s="3">
        <v>0.0</v>
      </c>
      <c r="I11792" s="3" t="s">
        <v>13</v>
      </c>
      <c r="J11792" s="3" t="s">
        <v>33469</v>
      </c>
      <c r="K11792" s="3" t="s">
        <v>322</v>
      </c>
      <c r="L11792" s="3" t="str">
        <f>IFERROR(__xludf.DUMMYFUNCTION("GOOGLETRANSLATE(F11792,""id"",""en"")"),"Argentina Victory Messi World Champion Victory")</f>
        <v>Argentina Victory Messi World Champion Victory</v>
      </c>
    </row>
    <row r="11793" ht="15.75" customHeight="1">
      <c r="A11793" s="1">
        <v>13045.0</v>
      </c>
      <c r="B11793" s="3" t="s">
        <v>33470</v>
      </c>
      <c r="C11793" s="3">
        <v>1.0</v>
      </c>
      <c r="D11793" s="3">
        <v>10.0</v>
      </c>
      <c r="E11793" s="3">
        <v>190.0</v>
      </c>
      <c r="F11793" s="3" t="s">
        <v>33471</v>
      </c>
      <c r="G11793" s="3">
        <v>0.0</v>
      </c>
      <c r="H11793" s="3">
        <v>0.0</v>
      </c>
      <c r="I11793" s="3" t="s">
        <v>13</v>
      </c>
      <c r="J11793" s="3" t="s">
        <v>33472</v>
      </c>
      <c r="K11793" s="3" t="s">
        <v>1912</v>
      </c>
      <c r="L11793" s="3" t="str">
        <f>IFERROR(__xludf.DUMMYFUNCTION("GOOGLETRANSLATE(F11793,""id"",""en"")"),"Many hope that Argentina is a champion so that Messi can close his career national team with perfect now proven as not idolizing Messi congratulations to Argentina World Champion Achievement this time proves that you are more powerful Ronaldo")</f>
        <v>Many hope that Argentina is a champion so that Messi can close his career national team with perfect now proven as not idolizing Messi congratulations to Argentina World Champion Achievement this time proves that you are more powerful Ronaldo</v>
      </c>
    </row>
    <row r="11794" ht="15.75" customHeight="1">
      <c r="A11794" s="1">
        <v>13046.0</v>
      </c>
      <c r="B11794" s="3" t="s">
        <v>33473</v>
      </c>
      <c r="C11794" s="3">
        <v>0.0</v>
      </c>
      <c r="D11794" s="3">
        <v>0.0</v>
      </c>
      <c r="E11794" s="3">
        <v>0.0</v>
      </c>
      <c r="F11794" s="3" t="s">
        <v>22241</v>
      </c>
      <c r="G11794" s="3">
        <v>0.0</v>
      </c>
      <c r="H11794" s="3">
        <v>0.0</v>
      </c>
      <c r="I11794" s="3" t="s">
        <v>13</v>
      </c>
      <c r="J11794" s="3" t="s">
        <v>16942</v>
      </c>
      <c r="K11794" s="3" t="s">
        <v>644</v>
      </c>
      <c r="L11794" s="3" t="str">
        <f>IFERROR(__xludf.DUMMYFUNCTION("GOOGLETRANSLATE(F11794,""id"",""en"")"),"Argentina Champion World Cup")</f>
        <v>Argentina Champion World Cup</v>
      </c>
    </row>
    <row r="11795" ht="15.75" customHeight="1">
      <c r="A11795" s="1">
        <v>13047.0</v>
      </c>
      <c r="B11795" s="3" t="s">
        <v>33474</v>
      </c>
      <c r="C11795" s="3">
        <v>0.0</v>
      </c>
      <c r="D11795" s="3">
        <v>0.0</v>
      </c>
      <c r="E11795" s="3">
        <v>0.0</v>
      </c>
      <c r="F11795" s="3" t="s">
        <v>33475</v>
      </c>
      <c r="G11795" s="3">
        <v>0.0</v>
      </c>
      <c r="H11795" s="3">
        <v>0.0</v>
      </c>
      <c r="I11795" s="3" t="s">
        <v>13</v>
      </c>
      <c r="J11795" s="3" t="s">
        <v>33476</v>
      </c>
      <c r="K11795" s="3" t="s">
        <v>82</v>
      </c>
      <c r="L11795" s="3" t="str">
        <f>IFERROR(__xludf.DUMMYFUNCTION("GOOGLETRANSLATE(F11795,""id"",""en"")"),"Congratulations to Argentina to win the Qatar World Cup")</f>
        <v>Congratulations to Argentina to win the Qatar World Cup</v>
      </c>
    </row>
    <row r="11796" ht="15.75" customHeight="1">
      <c r="A11796" s="1">
        <v>13048.0</v>
      </c>
      <c r="B11796" s="3" t="s">
        <v>33477</v>
      </c>
      <c r="C11796" s="3">
        <v>0.0</v>
      </c>
      <c r="D11796" s="3">
        <v>0.0</v>
      </c>
      <c r="E11796" s="3">
        <v>1.0</v>
      </c>
      <c r="F11796" s="3" t="s">
        <v>32216</v>
      </c>
      <c r="G11796" s="3">
        <v>0.0</v>
      </c>
      <c r="H11796" s="3">
        <v>0.0</v>
      </c>
      <c r="I11796" s="3" t="s">
        <v>13</v>
      </c>
      <c r="J11796" s="3" t="s">
        <v>32217</v>
      </c>
      <c r="K11796" s="3" t="s">
        <v>82</v>
      </c>
      <c r="L11796" s="3" t="str">
        <f>IFERROR(__xludf.DUMMYFUNCTION("GOOGLETRANSLATE(F11796,""id"",""en"")"),"Mbappe Got World Champion Tropy Golden Shoes for Argentina")</f>
        <v>Mbappe Got World Champion Tropy Golden Shoes for Argentina</v>
      </c>
    </row>
    <row r="11797" ht="15.75" customHeight="1">
      <c r="A11797" s="1">
        <v>13050.0</v>
      </c>
      <c r="B11797" s="3" t="s">
        <v>33478</v>
      </c>
      <c r="C11797" s="3">
        <v>0.0</v>
      </c>
      <c r="D11797" s="3">
        <v>0.0</v>
      </c>
      <c r="E11797" s="3">
        <v>0.0</v>
      </c>
      <c r="F11797" s="3" t="s">
        <v>33479</v>
      </c>
      <c r="G11797" s="3">
        <v>0.0</v>
      </c>
      <c r="H11797" s="3">
        <v>0.0</v>
      </c>
      <c r="I11797" s="3" t="s">
        <v>13</v>
      </c>
      <c r="J11797" s="3" t="s">
        <v>33480</v>
      </c>
      <c r="K11797" s="3" t="s">
        <v>510</v>
      </c>
      <c r="L11797" s="3" t="str">
        <f>IFERROR(__xludf.DUMMYFUNCTION("GOOGLETRANSLATE(F11797,""id"",""en"")"),"Lionel Messi brought Argentina World Cup champions to emphasize Goat status and leave Cristiano Ronaldo")</f>
        <v>Lionel Messi brought Argentina World Cup champions to emphasize Goat status and leave Cristiano Ronaldo</v>
      </c>
    </row>
    <row r="11798" ht="15.75" customHeight="1">
      <c r="A11798" s="1">
        <v>13051.0</v>
      </c>
      <c r="B11798" s="3" t="s">
        <v>33481</v>
      </c>
      <c r="C11798" s="3">
        <v>1.0</v>
      </c>
      <c r="D11798" s="3">
        <v>3.0</v>
      </c>
      <c r="E11798" s="3">
        <v>19.0</v>
      </c>
      <c r="F11798" s="3" t="s">
        <v>33482</v>
      </c>
      <c r="G11798" s="3">
        <v>0.0</v>
      </c>
      <c r="H11798" s="3">
        <v>0.0</v>
      </c>
      <c r="I11798" s="3" t="s">
        <v>13</v>
      </c>
      <c r="J11798" s="3" t="s">
        <v>33483</v>
      </c>
      <c r="K11798" s="3" t="s">
        <v>15</v>
      </c>
      <c r="L11798" s="3" t="str">
        <f>IFERROR(__xludf.DUMMYFUNCTION("GOOGLETRANSLATE(F11798,""id"",""en"")"),"Argentina Sabet World Cup Rodrigo Paul we deserve to win")</f>
        <v>Argentina Sabet World Cup Rodrigo Paul we deserve to win</v>
      </c>
    </row>
    <row r="11799" ht="15.75" customHeight="1">
      <c r="A11799" s="1">
        <v>13052.0</v>
      </c>
      <c r="B11799" s="3" t="s">
        <v>33484</v>
      </c>
      <c r="C11799" s="3">
        <v>1.0</v>
      </c>
      <c r="D11799" s="3">
        <v>0.0</v>
      </c>
      <c r="E11799" s="3">
        <v>1.0</v>
      </c>
      <c r="F11799" s="3" t="s">
        <v>33485</v>
      </c>
      <c r="G11799" s="3">
        <v>0.4</v>
      </c>
      <c r="H11799" s="3">
        <v>-0.4</v>
      </c>
      <c r="I11799" s="3" t="s">
        <v>179</v>
      </c>
      <c r="J11799" s="3" t="s">
        <v>33486</v>
      </c>
      <c r="K11799" s="3" t="s">
        <v>244</v>
      </c>
      <c r="L11799" s="3" t="str">
        <f>IFERROR(__xludf.DUMMYFUNCTION("GOOGLETRANSLATE(F11799,""id"",""en"")"),"Argentina became a champion because there were Xbox game buyers who used pesos because of the peso visa rate")</f>
        <v>Argentina became a champion because there were Xbox game buyers who used pesos because of the peso visa rate</v>
      </c>
    </row>
    <row r="11800" ht="15.75" customHeight="1">
      <c r="A11800" s="1">
        <v>13053.0</v>
      </c>
      <c r="B11800" s="3" t="s">
        <v>33487</v>
      </c>
      <c r="C11800" s="3">
        <v>0.0</v>
      </c>
      <c r="D11800" s="3">
        <v>0.0</v>
      </c>
      <c r="E11800" s="3">
        <v>1.0</v>
      </c>
      <c r="F11800" s="3" t="s">
        <v>33488</v>
      </c>
      <c r="G11800" s="3">
        <v>0.0</v>
      </c>
      <c r="H11800" s="3">
        <v>0.0</v>
      </c>
      <c r="I11800" s="3" t="s">
        <v>13</v>
      </c>
      <c r="J11800" s="3" t="s">
        <v>33489</v>
      </c>
      <c r="K11800" s="3" t="s">
        <v>236</v>
      </c>
      <c r="L11800" s="3" t="str">
        <f>IFERROR(__xludf.DUMMYFUNCTION("GOOGLETRANSLATE(F11800,""id"",""en"")"),"Wih Argentina Champion Mimin Teu Watch Teu Strong Cape Gawe")</f>
        <v>Wih Argentina Champion Mimin Teu Watch Teu Strong Cape Gawe</v>
      </c>
    </row>
    <row r="11801" ht="15.75" customHeight="1">
      <c r="A11801" s="1">
        <v>13054.0</v>
      </c>
      <c r="B11801" s="3" t="s">
        <v>33490</v>
      </c>
      <c r="C11801" s="3">
        <v>0.0</v>
      </c>
      <c r="D11801" s="3">
        <v>0.0</v>
      </c>
      <c r="E11801" s="3">
        <v>0.0</v>
      </c>
      <c r="F11801" s="3" t="s">
        <v>33491</v>
      </c>
      <c r="G11801" s="3">
        <v>0.0</v>
      </c>
      <c r="H11801" s="3">
        <v>0.0</v>
      </c>
      <c r="I11801" s="3" t="s">
        <v>13</v>
      </c>
      <c r="J11801" s="3" t="s">
        <v>33492</v>
      </c>
      <c r="K11801" s="3" t="s">
        <v>15</v>
      </c>
      <c r="L11801" s="3" t="str">
        <f>IFERROR(__xludf.DUMMYFUNCTION("GOOGLETRANSLATE(F11801,""id"",""en"")"),"Met Morning Everyone Happy Argentina Can Champion World Cup")</f>
        <v>Met Morning Everyone Happy Argentina Can Champion World Cup</v>
      </c>
    </row>
    <row r="11802" ht="15.75" customHeight="1">
      <c r="A11802" s="1">
        <v>13055.0</v>
      </c>
      <c r="B11802" s="3" t="s">
        <v>33493</v>
      </c>
      <c r="C11802" s="3">
        <v>0.0</v>
      </c>
      <c r="D11802" s="3">
        <v>0.0</v>
      </c>
      <c r="E11802" s="3">
        <v>0.0</v>
      </c>
      <c r="F11802" s="3" t="s">
        <v>33494</v>
      </c>
      <c r="G11802" s="3">
        <v>0.0</v>
      </c>
      <c r="H11802" s="3">
        <v>0.0</v>
      </c>
      <c r="I11802" s="3" t="s">
        <v>13</v>
      </c>
      <c r="J11802" s="3" t="s">
        <v>33495</v>
      </c>
      <c r="K11802" s="3" t="s">
        <v>54</v>
      </c>
      <c r="L11802" s="3" t="str">
        <f>IFERROR(__xludf.DUMMYFUNCTION("GOOGLETRANSLATE(F11802,""id"",""en"")"),"Argentina World Cup Champion Check Link")</f>
        <v>Argentina World Cup Champion Check Link</v>
      </c>
    </row>
    <row r="11803" ht="15.75" customHeight="1">
      <c r="A11803" s="1">
        <v>13056.0</v>
      </c>
      <c r="B11803" s="3" t="s">
        <v>33496</v>
      </c>
      <c r="C11803" s="3">
        <v>0.0</v>
      </c>
      <c r="D11803" s="3">
        <v>0.0</v>
      </c>
      <c r="E11803" s="3">
        <v>2.0</v>
      </c>
      <c r="F11803" s="3" t="s">
        <v>33497</v>
      </c>
      <c r="G11803" s="3">
        <v>0.0</v>
      </c>
      <c r="H11803" s="3">
        <v>0.0</v>
      </c>
      <c r="I11803" s="3" t="s">
        <v>13</v>
      </c>
      <c r="J11803" s="3" t="s">
        <v>33498</v>
      </c>
      <c r="K11803" s="3" t="s">
        <v>286</v>
      </c>
      <c r="L11803" s="3" t="str">
        <f>IFERROR(__xludf.DUMMYFUNCTION("GOOGLETRANSLATE(F11803,""id"",""en"")"),"Lionel Messi not only led the Argentine national team to the World Cup champion but himself also created many new records throughout the rolling of this tournament not surprising if then Messi was lined up as the best player in the Dunua Cup")</f>
        <v>Lionel Messi not only led the Argentine national team to the World Cup champion but himself also created many new records throughout the rolling of this tournament not surprising if then Messi was lined up as the best player in the Dunua Cup</v>
      </c>
    </row>
    <row r="11804" ht="15.75" customHeight="1">
      <c r="A11804" s="1">
        <v>13057.0</v>
      </c>
      <c r="B11804" s="3" t="s">
        <v>33499</v>
      </c>
      <c r="C11804" s="3">
        <v>0.0</v>
      </c>
      <c r="D11804" s="3">
        <v>0.0</v>
      </c>
      <c r="E11804" s="3">
        <v>1.0</v>
      </c>
      <c r="F11804" s="3" t="s">
        <v>33500</v>
      </c>
      <c r="G11804" s="3">
        <v>0.5</v>
      </c>
      <c r="H11804" s="3">
        <v>0.5</v>
      </c>
      <c r="I11804" s="3" t="s">
        <v>48</v>
      </c>
      <c r="J11804" s="3" t="s">
        <v>33501</v>
      </c>
      <c r="K11804" s="3" t="s">
        <v>90</v>
      </c>
      <c r="L11804" s="3" t="str">
        <f>IFERROR(__xludf.DUMMYFUNCTION("GOOGLETRANSLATE(F11804,""id"",""en"")"),"Argentina came out as the Qatar World Cup champion after defeating the French national team through the Lusail Iconic Stadium Penalty Fighting Drama WIB Faz")</f>
        <v>Argentina came out as the Qatar World Cup champion after defeating the French national team through the Lusail Iconic Stadium Penalty Fighting Drama WIB Faz</v>
      </c>
    </row>
    <row r="11805" ht="15.75" customHeight="1">
      <c r="A11805" s="1">
        <v>13058.0</v>
      </c>
      <c r="B11805" s="3" t="s">
        <v>33502</v>
      </c>
      <c r="C11805" s="3">
        <v>0.0</v>
      </c>
      <c r="D11805" s="3">
        <v>0.0</v>
      </c>
      <c r="E11805" s="3">
        <v>1.0</v>
      </c>
      <c r="F11805" s="3" t="s">
        <v>33503</v>
      </c>
      <c r="G11805" s="3">
        <v>0.0</v>
      </c>
      <c r="H11805" s="3">
        <v>0.0</v>
      </c>
      <c r="I11805" s="3" t="s">
        <v>13</v>
      </c>
      <c r="J11805" s="3" t="s">
        <v>33504</v>
      </c>
      <c r="K11805" s="3" t="s">
        <v>1293</v>
      </c>
      <c r="L11805" s="3" t="str">
        <f>IFERROR(__xludf.DUMMYFUNCTION("GOOGLETRANSLATE(F11805,""id"",""en"")"),"Mesi followed in the footsteps of Mario Kempes and Maradona lifted the Bravo Argentina World Cup trophy for the third time MJD World Champion")</f>
        <v>Mesi followed in the footsteps of Mario Kempes and Maradona lifted the Bravo Argentina World Cup trophy for the third time MJD World Champion</v>
      </c>
    </row>
    <row r="11806" ht="15.75" customHeight="1">
      <c r="A11806" s="1">
        <v>13059.0</v>
      </c>
      <c r="B11806" s="3" t="s">
        <v>33505</v>
      </c>
      <c r="C11806" s="3">
        <v>0.0</v>
      </c>
      <c r="D11806" s="3">
        <v>0.0</v>
      </c>
      <c r="E11806" s="3">
        <v>0.0</v>
      </c>
      <c r="F11806" s="3" t="s">
        <v>33506</v>
      </c>
      <c r="G11806" s="3">
        <v>0.0</v>
      </c>
      <c r="H11806" s="3">
        <v>0.0</v>
      </c>
      <c r="I11806" s="3" t="s">
        <v>13</v>
      </c>
      <c r="J11806" s="3" t="s">
        <v>33507</v>
      </c>
      <c r="K11806" s="3" t="s">
        <v>510</v>
      </c>
      <c r="L11806" s="3" t="str">
        <f>IFERROR(__xludf.DUMMYFUNCTION("GOOGLETRANSLATE(F11806,""id"",""en"")"),"Argentina Champion Please Pzzi Editor to Immediately Design Ibul Segred Gaban Photos for Congratulations")</f>
        <v>Argentina Champion Please Pzzi Editor to Immediately Design Ibul Segred Gaban Photos for Congratulations</v>
      </c>
    </row>
    <row r="11807" ht="15.75" customHeight="1">
      <c r="A11807" s="1">
        <v>13060.0</v>
      </c>
      <c r="B11807" s="3" t="s">
        <v>33508</v>
      </c>
      <c r="C11807" s="3">
        <v>0.0</v>
      </c>
      <c r="D11807" s="3">
        <v>0.0</v>
      </c>
      <c r="E11807" s="3">
        <v>0.0</v>
      </c>
      <c r="F11807" s="3" t="s">
        <v>33509</v>
      </c>
      <c r="G11807" s="3">
        <v>0.0</v>
      </c>
      <c r="H11807" s="3">
        <v>0.0</v>
      </c>
      <c r="I11807" s="3" t="s">
        <v>13</v>
      </c>
      <c r="J11807" s="3" t="s">
        <v>33510</v>
      </c>
      <c r="K11807" s="3" t="s">
        <v>75</v>
      </c>
      <c r="L11807" s="3" t="str">
        <f>IFERROR(__xludf.DUMMYFUNCTION("GOOGLETRANSLATE(F11807,""id"",""en"")"),"Welcome to the Saudi Arabia national team have beaten Argentina World Cup champions")</f>
        <v>Welcome to the Saudi Arabia national team have beaten Argentina World Cup champions</v>
      </c>
    </row>
    <row r="11808" ht="15.75" customHeight="1">
      <c r="A11808" s="1">
        <v>13061.0</v>
      </c>
      <c r="B11808" s="3" t="s">
        <v>33511</v>
      </c>
      <c r="C11808" s="3">
        <v>1.0</v>
      </c>
      <c r="D11808" s="3">
        <v>0.0</v>
      </c>
      <c r="E11808" s="3">
        <v>3.0</v>
      </c>
      <c r="F11808" s="3" t="s">
        <v>33512</v>
      </c>
      <c r="G11808" s="3">
        <v>0.0</v>
      </c>
      <c r="H11808" s="3">
        <v>0.0</v>
      </c>
      <c r="I11808" s="3" t="s">
        <v>13</v>
      </c>
      <c r="J11808" s="3" t="s">
        <v>33513</v>
      </c>
      <c r="K11808" s="3" t="s">
        <v>41</v>
      </c>
      <c r="L11808" s="3" t="str">
        <f>IFERROR(__xludf.DUMMYFUNCTION("GOOGLETRANSLATE(F11808,""id"",""en"")"),"Help Argentina World Cup Champion This collection of Gonzalo Montiel cars")</f>
        <v>Help Argentina World Cup Champion This collection of Gonzalo Montiel cars</v>
      </c>
    </row>
    <row r="11809" ht="15.75" customHeight="1">
      <c r="A11809" s="1">
        <v>13062.0</v>
      </c>
      <c r="B11809" s="3" t="s">
        <v>33514</v>
      </c>
      <c r="C11809" s="3">
        <v>0.0</v>
      </c>
      <c r="D11809" s="3">
        <v>0.0</v>
      </c>
      <c r="E11809" s="3">
        <v>0.0</v>
      </c>
      <c r="F11809" s="3" t="s">
        <v>33515</v>
      </c>
      <c r="G11809" s="3">
        <v>0.0</v>
      </c>
      <c r="H11809" s="3">
        <v>0.0</v>
      </c>
      <c r="I11809" s="3" t="s">
        <v>13</v>
      </c>
      <c r="J11809" s="3" t="s">
        <v>33516</v>
      </c>
      <c r="K11809" s="3" t="s">
        <v>75</v>
      </c>
      <c r="L11809" s="3" t="str">
        <f>IFERROR(__xludf.DUMMYFUNCTION("GOOGLETRANSLATE(F11809,""id"",""en"")"),"Guardiola and fan predictions about Argentina World Cup champions became real")</f>
        <v>Guardiola and fan predictions about Argentina World Cup champions became real</v>
      </c>
    </row>
    <row r="11810" ht="15.75" customHeight="1">
      <c r="A11810" s="1">
        <v>13063.0</v>
      </c>
      <c r="B11810" s="3" t="s">
        <v>33517</v>
      </c>
      <c r="C11810" s="3">
        <v>0.0</v>
      </c>
      <c r="D11810" s="3">
        <v>0.0</v>
      </c>
      <c r="E11810" s="3">
        <v>2.0</v>
      </c>
      <c r="F11810" s="3" t="s">
        <v>33503</v>
      </c>
      <c r="G11810" s="3">
        <v>0.0</v>
      </c>
      <c r="H11810" s="3">
        <v>0.0</v>
      </c>
      <c r="I11810" s="3" t="s">
        <v>13</v>
      </c>
      <c r="J11810" s="3" t="s">
        <v>33504</v>
      </c>
      <c r="K11810" s="3" t="s">
        <v>1293</v>
      </c>
      <c r="L11810" s="3" t="str">
        <f>IFERROR(__xludf.DUMMYFUNCTION("GOOGLETRANSLATE(F11810,""id"",""en"")"),"Mesi followed in the footsteps of Mario Kempes and Maradona lifted the Bravo Argentina World Cup trophy for the third time MJD World Champion")</f>
        <v>Mesi followed in the footsteps of Mario Kempes and Maradona lifted the Bravo Argentina World Cup trophy for the third time MJD World Champion</v>
      </c>
    </row>
    <row r="11811" ht="15.75" customHeight="1">
      <c r="A11811" s="1">
        <v>13064.0</v>
      </c>
      <c r="B11811" s="3" t="s">
        <v>33518</v>
      </c>
      <c r="C11811" s="3">
        <v>0.0</v>
      </c>
      <c r="D11811" s="3">
        <v>0.0</v>
      </c>
      <c r="E11811" s="3">
        <v>1.0</v>
      </c>
      <c r="F11811" s="3" t="s">
        <v>22563</v>
      </c>
      <c r="G11811" s="3">
        <v>0.0</v>
      </c>
      <c r="H11811" s="3">
        <v>0.0</v>
      </c>
      <c r="I11811" s="3" t="s">
        <v>13</v>
      </c>
      <c r="J11811" s="3" t="s">
        <v>22564</v>
      </c>
      <c r="K11811" s="3" t="s">
        <v>90</v>
      </c>
      <c r="L11811" s="3" t="str">
        <f>IFERROR(__xludf.DUMMYFUNCTION("GOOGLETRANSLATE(F11811,""id"",""en"")"),"Lionel Messi successfully won the World Cup with his team Argentina Bench audience there is a figure of his wife Antonela Roccuzzo who is tense until happy")</f>
        <v>Lionel Messi successfully won the World Cup with his team Argentina Bench audience there is a figure of his wife Antonela Roccuzzo who is tense until happy</v>
      </c>
    </row>
    <row r="11812" ht="15.75" customHeight="1">
      <c r="A11812" s="1">
        <v>13065.0</v>
      </c>
      <c r="B11812" s="3" t="s">
        <v>33519</v>
      </c>
      <c r="C11812" s="3">
        <v>1.0</v>
      </c>
      <c r="D11812" s="3">
        <v>16.0</v>
      </c>
      <c r="E11812" s="3">
        <v>106.0</v>
      </c>
      <c r="F11812" s="3" t="s">
        <v>33520</v>
      </c>
      <c r="G11812" s="3">
        <v>0.0</v>
      </c>
      <c r="H11812" s="3">
        <v>0.0</v>
      </c>
      <c r="I11812" s="3" t="s">
        <v>13</v>
      </c>
      <c r="J11812" s="3" t="s">
        <v>33521</v>
      </c>
      <c r="K11812" s="3" t="s">
        <v>54</v>
      </c>
      <c r="L11812" s="3" t="str">
        <f>IFERROR(__xludf.DUMMYFUNCTION("GOOGLETRANSLATE(F11812,""id"",""en"")"),"Argentina bus when coming out of the stadium after world champion")</f>
        <v>Argentina bus when coming out of the stadium after world champion</v>
      </c>
    </row>
    <row r="11813" ht="15.75" customHeight="1">
      <c r="A11813" s="1">
        <v>13066.0</v>
      </c>
      <c r="B11813" s="3" t="s">
        <v>33522</v>
      </c>
      <c r="C11813" s="3">
        <v>0.0</v>
      </c>
      <c r="D11813" s="3">
        <v>0.0</v>
      </c>
      <c r="E11813" s="3">
        <v>1.0</v>
      </c>
      <c r="F11813" s="3" t="s">
        <v>33523</v>
      </c>
      <c r="G11813" s="3">
        <v>0.0</v>
      </c>
      <c r="H11813" s="3">
        <v>0.0</v>
      </c>
      <c r="I11813" s="3" t="s">
        <v>13</v>
      </c>
      <c r="J11813" s="3" t="s">
        <v>33524</v>
      </c>
      <c r="K11813" s="3" t="s">
        <v>15</v>
      </c>
      <c r="L11813" s="3" t="str">
        <f>IFERROR(__xludf.DUMMYFUNCTION("GOOGLETRANSLATE(F11813,""id"",""en"")"),"sure Argentina champions because ohmnon nobar agrees kti")</f>
        <v>sure Argentina champions because ohmnon nobar agrees kti</v>
      </c>
    </row>
    <row r="11814" ht="15.75" customHeight="1">
      <c r="A11814" s="1">
        <v>13069.0</v>
      </c>
      <c r="B11814" s="3" t="s">
        <v>33525</v>
      </c>
      <c r="C11814" s="3">
        <v>0.0</v>
      </c>
      <c r="D11814" s="3">
        <v>0.0</v>
      </c>
      <c r="E11814" s="3">
        <v>0.0</v>
      </c>
      <c r="F11814" s="3" t="s">
        <v>33526</v>
      </c>
      <c r="G11814" s="3">
        <v>0.0</v>
      </c>
      <c r="H11814" s="3">
        <v>0.0</v>
      </c>
      <c r="I11814" s="3" t="s">
        <v>13</v>
      </c>
      <c r="J11814" s="3" t="s">
        <v>33527</v>
      </c>
      <c r="K11814" s="3" t="s">
        <v>491</v>
      </c>
      <c r="L11814" s="3" t="str">
        <f>IFERROR(__xludf.DUMMYFUNCTION("GOOGLETRANSLATE(F11814,""id"",""en"")"),"And it turns out that it wasn't in vain after he was made a comeback he was finally able to bring Argentina to the champion even though there was a failure this time it was right until it was realized")</f>
        <v>And it turns out that it wasn't in vain after he was made a comeback he was finally able to bring Argentina to the champion even though there was a failure this time it was right until it was realized</v>
      </c>
    </row>
    <row r="11815" ht="15.75" customHeight="1">
      <c r="A11815" s="1">
        <v>13070.0</v>
      </c>
      <c r="B11815" s="3" t="s">
        <v>33528</v>
      </c>
      <c r="C11815" s="3">
        <v>0.0</v>
      </c>
      <c r="D11815" s="3">
        <v>0.0</v>
      </c>
      <c r="E11815" s="3">
        <v>0.0</v>
      </c>
      <c r="F11815" s="3" t="s">
        <v>33529</v>
      </c>
      <c r="G11815" s="3">
        <v>0.8</v>
      </c>
      <c r="H11815" s="3">
        <v>0.75</v>
      </c>
      <c r="I11815" s="3" t="s">
        <v>48</v>
      </c>
      <c r="J11815" s="3" t="s">
        <v>33530</v>
      </c>
      <c r="K11815" s="3" t="s">
        <v>50</v>
      </c>
      <c r="L11815" s="3" t="str">
        <f>IFERROR(__xludf.DUMMYFUNCTION("GOOGLETRANSLATE(F11815,""id"",""en"")"),"wake up in the morning immediately happy champion champion Congratulations Argentina Good Morning Guys")</f>
        <v>wake up in the morning immediately happy champion champion Congratulations Argentina Good Morning Guys</v>
      </c>
    </row>
    <row r="11816" ht="15.75" customHeight="1">
      <c r="A11816" s="1">
        <v>13071.0</v>
      </c>
      <c r="B11816" s="3" t="s">
        <v>33531</v>
      </c>
      <c r="C11816" s="3">
        <v>0.0</v>
      </c>
      <c r="D11816" s="3">
        <v>0.0</v>
      </c>
      <c r="E11816" s="3">
        <v>0.0</v>
      </c>
      <c r="F11816" s="3" t="s">
        <v>33532</v>
      </c>
      <c r="G11816" s="3">
        <v>0.0</v>
      </c>
      <c r="H11816" s="3">
        <v>0.0</v>
      </c>
      <c r="I11816" s="3" t="s">
        <v>13</v>
      </c>
      <c r="J11816" s="3" t="s">
        <v>33533</v>
      </c>
      <c r="K11816" s="3" t="s">
        <v>123</v>
      </c>
      <c r="L11816" s="3" t="str">
        <f>IFERROR(__xludf.DUMMYFUNCTION("GOOGLETRANSLATE(F11816,""id"",""en"")"),"Leonel Messi has been named the best player of the World Cup with the Argentine team in the third world champion, Lombok Insider")</f>
        <v>Leonel Messi has been named the best player of the World Cup with the Argentine team in the third world champion, Lombok Insider</v>
      </c>
    </row>
    <row r="11817" ht="15.75" customHeight="1">
      <c r="A11817" s="1">
        <v>13072.0</v>
      </c>
      <c r="B11817" s="3" t="s">
        <v>33534</v>
      </c>
      <c r="C11817" s="3">
        <v>0.0</v>
      </c>
      <c r="D11817" s="3">
        <v>0.0</v>
      </c>
      <c r="E11817" s="3">
        <v>0.0</v>
      </c>
      <c r="F11817" s="3" t="s">
        <v>33535</v>
      </c>
      <c r="G11817" s="3">
        <v>0.0</v>
      </c>
      <c r="H11817" s="3">
        <v>0.0</v>
      </c>
      <c r="I11817" s="3" t="s">
        <v>13</v>
      </c>
      <c r="J11817" s="3" t="s">
        <v>33536</v>
      </c>
      <c r="K11817" s="3" t="s">
        <v>19</v>
      </c>
      <c r="L11817" s="3" t="str">
        <f>IFERROR(__xludf.DUMMYFUNCTION("GOOGLETRANSLATE(F11817,""id"",""en"")"),"Lionel Messi Becomes Argentina's Best Player Champion World Cup Lombok Insider")</f>
        <v>Lionel Messi Becomes Argentina's Best Player Champion World Cup Lombok Insider</v>
      </c>
    </row>
    <row r="11818" ht="15.75" customHeight="1">
      <c r="A11818" s="1">
        <v>13073.0</v>
      </c>
      <c r="B11818" s="3" t="s">
        <v>33537</v>
      </c>
      <c r="C11818" s="3">
        <v>4.0</v>
      </c>
      <c r="D11818" s="3">
        <v>1.0</v>
      </c>
      <c r="E11818" s="3">
        <v>5.0</v>
      </c>
      <c r="F11818" s="3" t="s">
        <v>33538</v>
      </c>
      <c r="G11818" s="3">
        <v>0.0</v>
      </c>
      <c r="H11818" s="3">
        <v>0.0</v>
      </c>
      <c r="I11818" s="3" t="s">
        <v>13</v>
      </c>
      <c r="J11818" s="3" t="s">
        <v>33539</v>
      </c>
      <c r="K11818" s="3" t="s">
        <v>58</v>
      </c>
      <c r="L11818" s="3" t="str">
        <f>IFERROR(__xludf.DUMMYFUNCTION("GOOGLETRANSLATE(F11818,""id"",""en"")"),"This morning deg deg, I was waiting for the announcement of Adinda to go through after Argentina, the fav champion now")</f>
        <v>This morning deg deg, I was waiting for the announcement of Adinda to go through after Argentina, the fav champion now</v>
      </c>
    </row>
    <row r="11819" ht="15.75" customHeight="1">
      <c r="A11819" s="1">
        <v>13074.0</v>
      </c>
      <c r="B11819" s="3" t="s">
        <v>33540</v>
      </c>
      <c r="C11819" s="3">
        <v>0.0</v>
      </c>
      <c r="D11819" s="3">
        <v>0.0</v>
      </c>
      <c r="E11819" s="3">
        <v>0.0</v>
      </c>
      <c r="F11819" s="3" t="s">
        <v>33541</v>
      </c>
      <c r="G11819" s="3">
        <v>0.0</v>
      </c>
      <c r="H11819" s="3">
        <v>0.0</v>
      </c>
      <c r="I11819" s="3" t="s">
        <v>13</v>
      </c>
      <c r="J11819" s="3" t="s">
        <v>33542</v>
      </c>
      <c r="K11819" s="3" t="s">
        <v>31</v>
      </c>
      <c r="L11819" s="3" t="str">
        <f>IFERROR(__xludf.DUMMYFUNCTION("GOOGLETRANSLATE(F11819,""id"",""en"")"),"Argentine World Cup Champion Run")</f>
        <v>Argentine World Cup Champion Run</v>
      </c>
    </row>
    <row r="11820" ht="15.75" customHeight="1">
      <c r="A11820" s="1">
        <v>13075.0</v>
      </c>
      <c r="B11820" s="3" t="s">
        <v>33543</v>
      </c>
      <c r="C11820" s="3">
        <v>42.0</v>
      </c>
      <c r="D11820" s="3">
        <v>12.0</v>
      </c>
      <c r="E11820" s="3">
        <v>153.0</v>
      </c>
      <c r="F11820" s="3" t="s">
        <v>33544</v>
      </c>
      <c r="G11820" s="3">
        <v>0.0</v>
      </c>
      <c r="H11820" s="3">
        <v>0.0</v>
      </c>
      <c r="I11820" s="3" t="s">
        <v>13</v>
      </c>
      <c r="J11820" s="3" t="s">
        <v>33545</v>
      </c>
      <c r="K11820" s="3" t="s">
        <v>31</v>
      </c>
      <c r="L11820" s="3" t="str">
        <f>IFERROR(__xludf.DUMMYFUNCTION("GOOGLETRANSLATE(F11820,""id"",""en"")"),"Cung who is goodmood today because of Argentina Champion")</f>
        <v>Cung who is goodmood today because of Argentina Champion</v>
      </c>
    </row>
    <row r="11821" ht="15.75" customHeight="1">
      <c r="A11821" s="1">
        <v>13076.0</v>
      </c>
      <c r="B11821" s="3" t="s">
        <v>33546</v>
      </c>
      <c r="C11821" s="3">
        <v>0.0</v>
      </c>
      <c r="D11821" s="3">
        <v>0.0</v>
      </c>
      <c r="E11821" s="3">
        <v>0.0</v>
      </c>
      <c r="F11821" s="3" t="s">
        <v>33547</v>
      </c>
      <c r="G11821" s="3">
        <v>0.0</v>
      </c>
      <c r="H11821" s="3">
        <v>0.0</v>
      </c>
      <c r="I11821" s="3" t="s">
        <v>13</v>
      </c>
      <c r="J11821" s="3" t="s">
        <v>33548</v>
      </c>
      <c r="K11821" s="3" t="s">
        <v>19</v>
      </c>
      <c r="L11821" s="3" t="str">
        <f>IFERROR(__xludf.DUMMYFUNCTION("GOOGLETRANSLATE(F11821,""id"",""en"")"),"Congratulation for Argentina who is a world champion for Messi, finally able to retire calmly Emi Martinez, I will")</f>
        <v>Congratulation for Argentina who is a world champion for Messi, finally able to retire calmly Emi Martinez, I will</v>
      </c>
    </row>
    <row r="11822" ht="15.75" customHeight="1">
      <c r="A11822" s="1">
        <v>13077.0</v>
      </c>
      <c r="B11822" s="3" t="s">
        <v>33549</v>
      </c>
      <c r="C11822" s="3">
        <v>0.0</v>
      </c>
      <c r="D11822" s="3">
        <v>0.0</v>
      </c>
      <c r="E11822" s="3">
        <v>0.0</v>
      </c>
      <c r="F11822" s="3" t="s">
        <v>33550</v>
      </c>
      <c r="G11822" s="3">
        <v>0.0</v>
      </c>
      <c r="H11822" s="3">
        <v>0.0</v>
      </c>
      <c r="I11822" s="3" t="s">
        <v>13</v>
      </c>
      <c r="J11822" s="3" t="s">
        <v>33551</v>
      </c>
      <c r="K11822" s="3" t="s">
        <v>644</v>
      </c>
      <c r="L11822" s="3" t="str">
        <f>IFERROR(__xludf.DUMMYFUNCTION("GOOGLETRANSLATE(F11822,""id"",""en"")"),"Argentina Only Hockey Can Champion")</f>
        <v>Argentina Only Hockey Can Champion</v>
      </c>
    </row>
    <row r="11823" ht="15.75" customHeight="1">
      <c r="A11823" s="1">
        <v>13078.0</v>
      </c>
      <c r="B11823" s="3" t="s">
        <v>33552</v>
      </c>
      <c r="C11823" s="3">
        <v>1.0</v>
      </c>
      <c r="D11823" s="3">
        <v>1.0</v>
      </c>
      <c r="E11823" s="3">
        <v>2.0</v>
      </c>
      <c r="F11823" s="3" t="s">
        <v>33553</v>
      </c>
      <c r="G11823" s="3">
        <v>0.0</v>
      </c>
      <c r="H11823" s="3">
        <v>0.0</v>
      </c>
      <c r="I11823" s="3" t="s">
        <v>13</v>
      </c>
      <c r="J11823" s="3" t="s">
        <v>33554</v>
      </c>
      <c r="K11823" s="3" t="s">
        <v>50</v>
      </c>
      <c r="L11823" s="3" t="str">
        <f>IFERROR(__xludf.DUMMYFUNCTION("GOOGLETRANSLATE(F11823,""id"",""en"")"),"World champion is actually Saudi Arabia Ustazd because one of the teams is able to defeat Argentina")</f>
        <v>World champion is actually Saudi Arabia Ustazd because one of the teams is able to defeat Argentina</v>
      </c>
    </row>
    <row r="11824" ht="15.75" customHeight="1">
      <c r="A11824" s="1">
        <v>13080.0</v>
      </c>
      <c r="B11824" s="3" t="s">
        <v>33555</v>
      </c>
      <c r="C11824" s="3">
        <v>2.0</v>
      </c>
      <c r="D11824" s="3">
        <v>3.0</v>
      </c>
      <c r="E11824" s="3">
        <v>14.0</v>
      </c>
      <c r="F11824" s="3" t="s">
        <v>33556</v>
      </c>
      <c r="G11824" s="3">
        <v>0.0</v>
      </c>
      <c r="H11824" s="3">
        <v>0.0</v>
      </c>
      <c r="I11824" s="3" t="s">
        <v>13</v>
      </c>
      <c r="J11824" s="3" t="s">
        <v>33557</v>
      </c>
      <c r="K11824" s="3" t="s">
        <v>3502</v>
      </c>
      <c r="L11824" s="3" t="str">
        <f>IFERROR(__xludf.DUMMYFUNCTION("GOOGLETRANSLATE(F11824,""id"",""en"")"),"Argentina France via the Tango team shootout champion World Cup Argentina Champion World Cup after balanced during the minute Tango team defeated France through penalties")</f>
        <v>Argentina France via the Tango team shootout champion World Cup Argentina Champion World Cup after balanced during the minute Tango team defeated France through penalties</v>
      </c>
    </row>
    <row r="11825" ht="15.75" customHeight="1">
      <c r="A11825" s="1">
        <v>13081.0</v>
      </c>
      <c r="B11825" s="3" t="s">
        <v>33558</v>
      </c>
      <c r="C11825" s="3">
        <v>0.0</v>
      </c>
      <c r="D11825" s="3">
        <v>0.0</v>
      </c>
      <c r="E11825" s="3">
        <v>1.0</v>
      </c>
      <c r="F11825" s="3" t="s">
        <v>33559</v>
      </c>
      <c r="G11825" s="3">
        <v>0.0</v>
      </c>
      <c r="H11825" s="3">
        <v>0.0</v>
      </c>
      <c r="I11825" s="3" t="s">
        <v>13</v>
      </c>
      <c r="J11825" s="3" t="s">
        <v>33560</v>
      </c>
      <c r="K11825" s="3" t="s">
        <v>942</v>
      </c>
      <c r="L11825" s="3" t="str">
        <f>IFERROR(__xludf.DUMMYFUNCTION("GOOGLETRANSLATE(F11825,""id"",""en"")"),"Appear to dance off dancing when the Argentine goalkeeper penalty said Argentina has a championship takdik")</f>
        <v>Appear to dance off dancing when the Argentine goalkeeper penalty said Argentina has a championship takdik</v>
      </c>
    </row>
    <row r="11826" ht="15.75" customHeight="1">
      <c r="A11826" s="1">
        <v>13082.0</v>
      </c>
      <c r="B11826" s="3" t="s">
        <v>33561</v>
      </c>
      <c r="C11826" s="3">
        <v>0.0</v>
      </c>
      <c r="D11826" s="3">
        <v>0.0</v>
      </c>
      <c r="E11826" s="3">
        <v>0.0</v>
      </c>
      <c r="F11826" s="3" t="s">
        <v>33562</v>
      </c>
      <c r="G11826" s="3">
        <v>0.0</v>
      </c>
      <c r="H11826" s="3">
        <v>0.0</v>
      </c>
      <c r="I11826" s="3" t="s">
        <v>13</v>
      </c>
      <c r="J11826" s="3" t="s">
        <v>33563</v>
      </c>
      <c r="K11826" s="3" t="s">
        <v>15</v>
      </c>
      <c r="L11826" s="3" t="str">
        <f>IFERROR(__xludf.DUMMYFUNCTION("GOOGLETRANSLATE(F11826,""id"",""en"")"),"Congrats Argentina is indeed the best time to become the champion now")</f>
        <v>Congrats Argentina is indeed the best time to become the champion now</v>
      </c>
    </row>
    <row r="11827" ht="15.75" customHeight="1">
      <c r="A11827" s="1">
        <v>13083.0</v>
      </c>
      <c r="B11827" s="3" t="s">
        <v>33564</v>
      </c>
      <c r="C11827" s="3">
        <v>0.0</v>
      </c>
      <c r="D11827" s="3">
        <v>0.0</v>
      </c>
      <c r="E11827" s="3">
        <v>0.0</v>
      </c>
      <c r="F11827" s="3" t="s">
        <v>33565</v>
      </c>
      <c r="G11827" s="3">
        <v>0.0</v>
      </c>
      <c r="H11827" s="3">
        <v>0.0</v>
      </c>
      <c r="I11827" s="3" t="s">
        <v>13</v>
      </c>
      <c r="J11827" s="3" t="s">
        <v>33566</v>
      </c>
      <c r="K11827" s="3" t="s">
        <v>236</v>
      </c>
      <c r="L11827" s="3" t="str">
        <f>IFERROR(__xludf.DUMMYFUNCTION("GOOGLETRANSLATE(F11827,""id"",""en"")"),"Barcelona fans are very happy Argentina champions even though Argentina has no Barca players")</f>
        <v>Barcelona fans are very happy Argentina champions even though Argentina has no Barca players</v>
      </c>
    </row>
    <row r="11828" ht="15.75" customHeight="1">
      <c r="A11828" s="1">
        <v>13084.0</v>
      </c>
      <c r="B11828" s="3" t="s">
        <v>33567</v>
      </c>
      <c r="C11828" s="3">
        <v>2.0</v>
      </c>
      <c r="D11828" s="3">
        <v>2.0</v>
      </c>
      <c r="E11828" s="3">
        <v>7.0</v>
      </c>
      <c r="F11828" s="3" t="s">
        <v>33568</v>
      </c>
      <c r="G11828" s="3">
        <v>0.0</v>
      </c>
      <c r="H11828" s="3">
        <v>0.0</v>
      </c>
      <c r="I11828" s="3" t="s">
        <v>13</v>
      </c>
      <c r="J11828" s="3" t="s">
        <v>33569</v>
      </c>
      <c r="K11828" s="3" t="s">
        <v>90</v>
      </c>
      <c r="L11828" s="3" t="str">
        <f>IFERROR(__xludf.DUMMYFUNCTION("GOOGLETRANSLATE(F11828,""id"",""en"")"),"Argentina Champion World Cup Tango Most Beautiful Messi and Troops dare to die Click to read Download the Google Play Apple App Store application")</f>
        <v>Argentina Champion World Cup Tango Most Beautiful Messi and Troops dare to die Click to read Download the Google Play Apple App Store application</v>
      </c>
    </row>
    <row r="11829" ht="15.75" customHeight="1">
      <c r="A11829" s="1">
        <v>13085.0</v>
      </c>
      <c r="B11829" s="3" t="s">
        <v>33570</v>
      </c>
      <c r="C11829" s="3">
        <v>0.0</v>
      </c>
      <c r="D11829" s="3">
        <v>0.0</v>
      </c>
      <c r="E11829" s="3">
        <v>6.0</v>
      </c>
      <c r="F11829" s="3" t="s">
        <v>33571</v>
      </c>
      <c r="G11829" s="3">
        <v>0.4</v>
      </c>
      <c r="H11829" s="3">
        <v>0.2</v>
      </c>
      <c r="I11829" s="3" t="s">
        <v>48</v>
      </c>
      <c r="J11829" s="3" t="s">
        <v>33572</v>
      </c>
      <c r="K11829" s="3" t="s">
        <v>3977</v>
      </c>
      <c r="L11829" s="3" t="str">
        <f>IFERROR(__xludf.DUMMYFUNCTION("GOOGLETRANSLATE(F11829,""id"",""en"")"),"Ronaldo, so what do I do after this Argentina is slaughtered who else is the habit of always typing Argentina will be slaughtered by blah blah blah blah mulu yeah forgot Argentina already champions hahaha")</f>
        <v>Ronaldo, so what do I do after this Argentina is slaughtered who else is the habit of always typing Argentina will be slaughtered by blah blah blah blah mulu yeah forgot Argentina already champions hahaha</v>
      </c>
    </row>
    <row r="11830" ht="15.75" customHeight="1">
      <c r="A11830" s="1">
        <v>13086.0</v>
      </c>
      <c r="B11830" s="3" t="s">
        <v>33573</v>
      </c>
      <c r="C11830" s="3">
        <v>3.0</v>
      </c>
      <c r="D11830" s="3">
        <v>1.0</v>
      </c>
      <c r="E11830" s="3">
        <v>15.0</v>
      </c>
      <c r="F11830" s="3" t="s">
        <v>16496</v>
      </c>
      <c r="G11830" s="3">
        <v>0.0</v>
      </c>
      <c r="H11830" s="3">
        <v>0.0</v>
      </c>
      <c r="I11830" s="3" t="s">
        <v>13</v>
      </c>
      <c r="J11830" s="3" t="s">
        <v>16497</v>
      </c>
      <c r="K11830" s="3" t="s">
        <v>236</v>
      </c>
      <c r="L11830" s="3" t="str">
        <f>IFERROR(__xludf.DUMMYFUNCTION("GOOGLETRANSLATE(F11830,""id"",""en"")"),"Argentina The World Cup Champion President is busy replying to the Twit of World Leaders")</f>
        <v>Argentina The World Cup Champion President is busy replying to the Twit of World Leaders</v>
      </c>
    </row>
    <row r="11831" ht="15.75" customHeight="1">
      <c r="A11831" s="1">
        <v>13087.0</v>
      </c>
      <c r="B11831" s="3" t="s">
        <v>33574</v>
      </c>
      <c r="C11831" s="3">
        <v>0.0</v>
      </c>
      <c r="D11831" s="3">
        <v>0.0</v>
      </c>
      <c r="E11831" s="3">
        <v>1.0</v>
      </c>
      <c r="F11831" s="3" t="s">
        <v>22241</v>
      </c>
      <c r="G11831" s="3">
        <v>0.0</v>
      </c>
      <c r="H11831" s="3">
        <v>0.0</v>
      </c>
      <c r="I11831" s="3" t="s">
        <v>13</v>
      </c>
      <c r="J11831" s="3" t="s">
        <v>16942</v>
      </c>
      <c r="K11831" s="3" t="s">
        <v>644</v>
      </c>
      <c r="L11831" s="3" t="str">
        <f>IFERROR(__xludf.DUMMYFUNCTION("GOOGLETRANSLATE(F11831,""id"",""en"")"),"Argentina Champion World Cup")</f>
        <v>Argentina Champion World Cup</v>
      </c>
    </row>
    <row r="11832" ht="15.75" customHeight="1">
      <c r="A11832" s="1">
        <v>13088.0</v>
      </c>
      <c r="B11832" s="3" t="s">
        <v>33575</v>
      </c>
      <c r="C11832" s="3">
        <v>0.0</v>
      </c>
      <c r="D11832" s="3">
        <v>0.0</v>
      </c>
      <c r="E11832" s="3">
        <v>5.0</v>
      </c>
      <c r="F11832" s="3" t="s">
        <v>33576</v>
      </c>
      <c r="G11832" s="3">
        <v>0.3333333333333333</v>
      </c>
      <c r="H11832" s="3">
        <v>0.1666666666666667</v>
      </c>
      <c r="I11832" s="3" t="s">
        <v>48</v>
      </c>
      <c r="J11832" s="3" t="s">
        <v>33577</v>
      </c>
      <c r="K11832" s="3" t="s">
        <v>1086</v>
      </c>
      <c r="L11832" s="3" t="str">
        <f>IFERROR(__xludf.DUMMYFUNCTION("GOOGLETRANSLATE(F11832,""id"",""en"")"),"Pak World Cup Year Iki Gayeng Argentina World Champion Pas Messi Sih Play Morocco Press Semifinal Mbappe Hattrick Nek I Keturon Saiki Not Ana Sik Nguimah wkwk Dear Isoh Watch Together with Debate Sithik Sithik")</f>
        <v>Pak World Cup Year Iki Gayeng Argentina World Champion Pas Messi Sih Play Morocco Press Semifinal Mbappe Hattrick Nek I Keturon Saiki Not Ana Sik Nguimah wkwk Dear Isoh Watch Together with Debate Sithik Sithik</v>
      </c>
    </row>
    <row r="11833" ht="15.75" customHeight="1">
      <c r="A11833" s="1">
        <v>13089.0</v>
      </c>
      <c r="B11833" s="3" t="s">
        <v>33578</v>
      </c>
      <c r="C11833" s="3">
        <v>0.0</v>
      </c>
      <c r="D11833" s="3">
        <v>0.0</v>
      </c>
      <c r="E11833" s="3">
        <v>0.0</v>
      </c>
      <c r="F11833" s="3" t="s">
        <v>33579</v>
      </c>
      <c r="G11833" s="3">
        <v>0.0</v>
      </c>
      <c r="H11833" s="3">
        <v>0.0</v>
      </c>
      <c r="I11833" s="3" t="s">
        <v>13</v>
      </c>
      <c r="J11833" s="3" t="s">
        <v>33580</v>
      </c>
      <c r="K11833" s="3" t="s">
        <v>71</v>
      </c>
      <c r="L11833" s="3" t="str">
        <f>IFERROR(__xludf.DUMMYFUNCTION("GOOGLETRANSLATE(F11833,""id"",""en"")"),"Completed the debate of Goat Messi one step a step on the goal with Argentina Champion World Cup Lombok Insider")</f>
        <v>Completed the debate of Goat Messi one step a step on the goal with Argentina Champion World Cup Lombok Insider</v>
      </c>
    </row>
    <row r="11834" ht="15.75" customHeight="1">
      <c r="A11834" s="1">
        <v>13091.0</v>
      </c>
      <c r="B11834" s="3" t="s">
        <v>33581</v>
      </c>
      <c r="C11834" s="3">
        <v>0.0</v>
      </c>
      <c r="D11834" s="3">
        <v>0.0</v>
      </c>
      <c r="E11834" s="3">
        <v>1.0</v>
      </c>
      <c r="F11834" s="3" t="s">
        <v>33582</v>
      </c>
      <c r="G11834" s="3">
        <v>0.0</v>
      </c>
      <c r="H11834" s="3">
        <v>0.0</v>
      </c>
      <c r="I11834" s="3" t="s">
        <v>13</v>
      </c>
      <c r="J11834" s="3" t="s">
        <v>33583</v>
      </c>
      <c r="K11834" s="3" t="s">
        <v>71</v>
      </c>
      <c r="L11834" s="3" t="str">
        <f>IFERROR(__xludf.DUMMYFUNCTION("GOOGLETRANSLATE(F11834,""id"",""en"")"),"Argentina finally came out as the World Cup champion after winning a penalty shootout against France Lombok Insider")</f>
        <v>Argentina finally came out as the World Cup champion after winning a penalty shootout against France Lombok Insider</v>
      </c>
    </row>
    <row r="11835" ht="15.75" customHeight="1">
      <c r="A11835" s="1">
        <v>13092.0</v>
      </c>
      <c r="B11835" s="3" t="s">
        <v>33584</v>
      </c>
      <c r="C11835" s="3">
        <v>0.0</v>
      </c>
      <c r="D11835" s="3">
        <v>0.0</v>
      </c>
      <c r="E11835" s="3">
        <v>0.0</v>
      </c>
      <c r="F11835" s="3" t="s">
        <v>33585</v>
      </c>
      <c r="G11835" s="3">
        <v>0.0</v>
      </c>
      <c r="H11835" s="3">
        <v>0.0</v>
      </c>
      <c r="I11835" s="3" t="s">
        <v>13</v>
      </c>
      <c r="J11835" s="3" t="s">
        <v>33586</v>
      </c>
      <c r="K11835" s="3" t="s">
        <v>510</v>
      </c>
      <c r="L11835" s="3" t="str">
        <f>IFERROR(__xludf.DUMMYFUNCTION("GOOGLETRANSLATE(F11835,""id"",""en"")"),"Bring Argentina World Cup Champion Lionel Messi Sah passed Diego Maradona and Cristiano Ronaldo")</f>
        <v>Bring Argentina World Cup Champion Lionel Messi Sah passed Diego Maradona and Cristiano Ronaldo</v>
      </c>
    </row>
    <row r="11836" ht="15.75" customHeight="1">
      <c r="A11836" s="1">
        <v>13093.0</v>
      </c>
      <c r="B11836" s="3" t="s">
        <v>33587</v>
      </c>
      <c r="C11836" s="3">
        <v>0.0</v>
      </c>
      <c r="D11836" s="3">
        <v>0.0</v>
      </c>
      <c r="E11836" s="3">
        <v>0.0</v>
      </c>
      <c r="F11836" s="3" t="s">
        <v>33588</v>
      </c>
      <c r="G11836" s="3">
        <v>0.75</v>
      </c>
      <c r="H11836" s="3">
        <v>0.0</v>
      </c>
      <c r="I11836" s="3" t="s">
        <v>13</v>
      </c>
      <c r="J11836" s="3" t="s">
        <v>33589</v>
      </c>
      <c r="K11836" s="3" t="s">
        <v>41</v>
      </c>
      <c r="L11836" s="3" t="str">
        <f>IFERROR(__xludf.DUMMYFUNCTION("GOOGLETRANSLATE(F11836,""id"",""en"")"),"This is the total money brought by the Argentine national team after the World Cup championship")</f>
        <v>This is the total money brought by the Argentine national team after the World Cup championship</v>
      </c>
    </row>
    <row r="11837" ht="15.75" customHeight="1">
      <c r="A11837" s="1">
        <v>13094.0</v>
      </c>
      <c r="B11837" s="3" t="s">
        <v>33590</v>
      </c>
      <c r="C11837" s="3">
        <v>0.0</v>
      </c>
      <c r="D11837" s="3">
        <v>0.0</v>
      </c>
      <c r="E11837" s="3">
        <v>0.0</v>
      </c>
      <c r="F11837" s="3" t="s">
        <v>33591</v>
      </c>
      <c r="G11837" s="3">
        <v>0.0</v>
      </c>
      <c r="H11837" s="3">
        <v>0.0</v>
      </c>
      <c r="I11837" s="3" t="s">
        <v>13</v>
      </c>
      <c r="J11837" s="3" t="s">
        <v>33592</v>
      </c>
      <c r="K11837" s="3" t="s">
        <v>41</v>
      </c>
      <c r="L11837" s="3" t="str">
        <f>IFERROR(__xludf.DUMMYFUNCTION("GOOGLETRANSLATE(F11837,""id"",""en"")"),"Lionel Messi doesn't want to retire after delivering Argentina World Cup champions")</f>
        <v>Lionel Messi doesn't want to retire after delivering Argentina World Cup champions</v>
      </c>
    </row>
    <row r="11838" ht="15.75" customHeight="1">
      <c r="A11838" s="1">
        <v>13095.0</v>
      </c>
      <c r="B11838" s="3" t="s">
        <v>33593</v>
      </c>
      <c r="C11838" s="3">
        <v>5.0</v>
      </c>
      <c r="D11838" s="3">
        <v>10.0</v>
      </c>
      <c r="E11838" s="3">
        <v>135.0</v>
      </c>
      <c r="F11838" s="3" t="s">
        <v>33594</v>
      </c>
      <c r="G11838" s="3">
        <v>0.0</v>
      </c>
      <c r="H11838" s="3">
        <v>0.0</v>
      </c>
      <c r="I11838" s="3" t="s">
        <v>13</v>
      </c>
      <c r="J11838" s="3" t="s">
        <v>33595</v>
      </c>
      <c r="K11838" s="3" t="s">
        <v>205</v>
      </c>
      <c r="L11838" s="3" t="str">
        <f>IFERROR(__xludf.DUMMYFUNCTION("GOOGLETRANSLATE(F11838,""id"",""en"")"),"Basic soccer is indeed the initial round of Argentina lost to Saudi Arabia but Saudi did not enter the next round and now Argentina is the champion of Qatar making the world vibrate Futsallagiyuk")</f>
        <v>Basic soccer is indeed the initial round of Argentina lost to Saudi Arabia but Saudi did not enter the next round and now Argentina is the champion of Qatar making the world vibrate Futsallagiyuk</v>
      </c>
    </row>
    <row r="11839" ht="15.75" customHeight="1">
      <c r="A11839" s="1">
        <v>13097.0</v>
      </c>
      <c r="B11839" s="3" t="s">
        <v>33596</v>
      </c>
      <c r="C11839" s="3">
        <v>0.0</v>
      </c>
      <c r="D11839" s="3">
        <v>0.0</v>
      </c>
      <c r="E11839" s="3">
        <v>0.0</v>
      </c>
      <c r="F11839" s="3" t="s">
        <v>33597</v>
      </c>
      <c r="G11839" s="3">
        <v>0.0</v>
      </c>
      <c r="H11839" s="3">
        <v>0.0</v>
      </c>
      <c r="I11839" s="3" t="s">
        <v>13</v>
      </c>
      <c r="J11839" s="3" t="s">
        <v>33598</v>
      </c>
      <c r="K11839" s="3" t="s">
        <v>1518</v>
      </c>
      <c r="L11839" s="3" t="str">
        <f>IFERROR(__xludf.DUMMYFUNCTION("GOOGLETRANSLATE(F11839,""id"",""en"")"),"My morning is bright with a happy husband's smile when the story of Argentina wins and his favorite player Messi can complete the title of his eyes, there is a twinkle whatever you say, just saygirl")</f>
        <v>My morning is bright with a happy husband's smile when the story of Argentina wins and his favorite player Messi can complete the title of his eyes, there is a twinkle whatever you say, just saygirl</v>
      </c>
    </row>
    <row r="11840" ht="15.75" customHeight="1">
      <c r="A11840" s="1">
        <v>13098.0</v>
      </c>
      <c r="B11840" s="3" t="s">
        <v>33599</v>
      </c>
      <c r="C11840" s="3">
        <v>0.0</v>
      </c>
      <c r="D11840" s="3">
        <v>0.0</v>
      </c>
      <c r="E11840" s="3">
        <v>0.0</v>
      </c>
      <c r="F11840" s="3" t="s">
        <v>25875</v>
      </c>
      <c r="G11840" s="3">
        <v>0.0</v>
      </c>
      <c r="H11840" s="3">
        <v>0.0</v>
      </c>
      <c r="I11840" s="3" t="s">
        <v>13</v>
      </c>
      <c r="J11840" s="3" t="s">
        <v>25876</v>
      </c>
      <c r="K11840" s="3" t="s">
        <v>31</v>
      </c>
      <c r="L11840" s="3" t="str">
        <f>IFERROR(__xludf.DUMMYFUNCTION("GOOGLETRANSLATE(F11840,""id"",""en"")"),"Happy Argentina World Cup Champion")</f>
        <v>Happy Argentina World Cup Champion</v>
      </c>
    </row>
    <row r="11841" ht="15.75" customHeight="1">
      <c r="A11841" s="1">
        <v>13099.0</v>
      </c>
      <c r="B11841" s="3" t="s">
        <v>33600</v>
      </c>
      <c r="C11841" s="3">
        <v>0.0</v>
      </c>
      <c r="D11841" s="3">
        <v>0.0</v>
      </c>
      <c r="E11841" s="3">
        <v>0.0</v>
      </c>
      <c r="F11841" s="3" t="s">
        <v>33601</v>
      </c>
      <c r="G11841" s="3">
        <v>0.0</v>
      </c>
      <c r="H11841" s="3">
        <v>0.0</v>
      </c>
      <c r="I11841" s="3" t="s">
        <v>13</v>
      </c>
      <c r="J11841" s="3" t="s">
        <v>33602</v>
      </c>
      <c r="K11841" s="3" t="s">
        <v>82</v>
      </c>
      <c r="L11841" s="3" t="str">
        <f>IFERROR(__xludf.DUMMYFUNCTION("GOOGLETRANSLATE(F11841,""id"",""en"")"),"Wihhh Argentina became a world champion after all this time")</f>
        <v>Wihhh Argentina became a world champion after all this time</v>
      </c>
    </row>
    <row r="11842" ht="15.75" customHeight="1">
      <c r="A11842" s="1">
        <v>13100.0</v>
      </c>
      <c r="B11842" s="3" t="s">
        <v>33603</v>
      </c>
      <c r="C11842" s="3">
        <v>0.0</v>
      </c>
      <c r="D11842" s="3">
        <v>0.0</v>
      </c>
      <c r="E11842" s="3">
        <v>0.0</v>
      </c>
      <c r="F11842" s="3" t="s">
        <v>33604</v>
      </c>
      <c r="G11842" s="3">
        <v>0.0</v>
      </c>
      <c r="H11842" s="3">
        <v>0.0</v>
      </c>
      <c r="I11842" s="3" t="s">
        <v>13</v>
      </c>
      <c r="J11842" s="3" t="s">
        <v>33605</v>
      </c>
      <c r="K11842" s="3" t="s">
        <v>50</v>
      </c>
      <c r="L11842" s="3" t="str">
        <f>IFERROR(__xludf.DUMMYFUNCTION("GOOGLETRANSLATE(F11842,""id"",""en"")"),"France failed to win the World Cup after being subdued by Argentina through penalties")</f>
        <v>France failed to win the World Cup after being subdued by Argentina through penalties</v>
      </c>
    </row>
    <row r="11843" ht="15.75" customHeight="1">
      <c r="A11843" s="1">
        <v>13101.0</v>
      </c>
      <c r="B11843" s="3" t="s">
        <v>33606</v>
      </c>
      <c r="C11843" s="3">
        <v>0.0</v>
      </c>
      <c r="D11843" s="3">
        <v>0.0</v>
      </c>
      <c r="E11843" s="3">
        <v>0.0</v>
      </c>
      <c r="F11843" s="3" t="s">
        <v>33607</v>
      </c>
      <c r="G11843" s="3">
        <v>0.0</v>
      </c>
      <c r="H11843" s="3">
        <v>0.0</v>
      </c>
      <c r="I11843" s="3" t="s">
        <v>13</v>
      </c>
      <c r="J11843" s="3" t="s">
        <v>33608</v>
      </c>
      <c r="K11843" s="3" t="s">
        <v>15</v>
      </c>
      <c r="L11843" s="3" t="str">
        <f>IFERROR(__xludf.DUMMYFUNCTION("GOOGLETRANSLATE(F11843,""id"",""en"")"),"Dramatic Winning Argentina World Cup Champion Lombok Insider")</f>
        <v>Dramatic Winning Argentina World Cup Champion Lombok Insider</v>
      </c>
    </row>
    <row r="11844" ht="15.75" customHeight="1">
      <c r="A11844" s="1">
        <v>13102.0</v>
      </c>
      <c r="B11844" s="3" t="s">
        <v>33609</v>
      </c>
      <c r="C11844" s="3">
        <v>0.0</v>
      </c>
      <c r="D11844" s="3">
        <v>0.0</v>
      </c>
      <c r="E11844" s="3">
        <v>0.0</v>
      </c>
      <c r="F11844" s="3" t="s">
        <v>23029</v>
      </c>
      <c r="G11844" s="3">
        <v>0.0</v>
      </c>
      <c r="H11844" s="3">
        <v>0.0</v>
      </c>
      <c r="I11844" s="3" t="s">
        <v>13</v>
      </c>
      <c r="J11844" s="3" t="s">
        <v>23030</v>
      </c>
      <c r="K11844" s="3" t="s">
        <v>31</v>
      </c>
      <c r="L11844" s="3" t="str">
        <f>IFERROR(__xludf.DUMMYFUNCTION("GOOGLETRANSLATE(F11844,""id"",""en"")"),"Dramatic Argentina World Cup Champion")</f>
        <v>Dramatic Argentina World Cup Champion</v>
      </c>
    </row>
    <row r="11845" ht="15.75" customHeight="1">
      <c r="A11845" s="1">
        <v>13103.0</v>
      </c>
      <c r="B11845" s="3" t="s">
        <v>33610</v>
      </c>
      <c r="C11845" s="3">
        <v>0.0</v>
      </c>
      <c r="D11845" s="3">
        <v>0.0</v>
      </c>
      <c r="E11845" s="3">
        <v>2.0</v>
      </c>
      <c r="F11845" s="3" t="s">
        <v>33611</v>
      </c>
      <c r="G11845" s="3">
        <v>0.0</v>
      </c>
      <c r="H11845" s="3">
        <v>0.0</v>
      </c>
      <c r="I11845" s="3" t="s">
        <v>13</v>
      </c>
      <c r="J11845" s="3" t="s">
        <v>33612</v>
      </c>
      <c r="K11845" s="3" t="s">
        <v>495</v>
      </c>
      <c r="L11845" s="3" t="str">
        <f>IFERROR(__xludf.DUMMYFUNCTION("GOOGLETRANSLATE(F11845,""id"",""en"")"),"Argentina won the World Cup after winning a penalty shootout over France, the following social media reaction regarding that exciting match")</f>
        <v>Argentina won the World Cup after winning a penalty shootout over France, the following social media reaction regarding that exciting match</v>
      </c>
    </row>
    <row r="11846" ht="15.75" customHeight="1">
      <c r="A11846" s="1">
        <v>13104.0</v>
      </c>
      <c r="B11846" s="3" t="s">
        <v>33613</v>
      </c>
      <c r="C11846" s="3">
        <v>1.0</v>
      </c>
      <c r="D11846" s="3">
        <v>0.0</v>
      </c>
      <c r="E11846" s="3">
        <v>1.0</v>
      </c>
      <c r="F11846" s="3" t="s">
        <v>33614</v>
      </c>
      <c r="G11846" s="3">
        <v>0.0</v>
      </c>
      <c r="H11846" s="3">
        <v>0.0</v>
      </c>
      <c r="I11846" s="3" t="s">
        <v>13</v>
      </c>
      <c r="J11846" s="3" t="s">
        <v>33615</v>
      </c>
      <c r="K11846" s="3" t="s">
        <v>71</v>
      </c>
      <c r="L11846" s="3" t="str">
        <f>IFERROR(__xludf.DUMMYFUNCTION("GOOGLETRANSLATE(F11846,""id"",""en"")"),"Haaii Pagi Say Yes Argentina Champion Unfortunately the score is not guessed by the two teams and superior until")</f>
        <v>Haaii Pagi Say Yes Argentina Champion Unfortunately the score is not guessed by the two teams and superior until</v>
      </c>
    </row>
    <row r="11847" ht="15.75" customHeight="1">
      <c r="A11847" s="1">
        <v>13105.0</v>
      </c>
      <c r="B11847" s="3" t="s">
        <v>33616</v>
      </c>
      <c r="C11847" s="3">
        <v>0.0</v>
      </c>
      <c r="D11847" s="3">
        <v>0.0</v>
      </c>
      <c r="E11847" s="3">
        <v>1.0</v>
      </c>
      <c r="F11847" s="3" t="s">
        <v>33617</v>
      </c>
      <c r="G11847" s="3">
        <v>0.0</v>
      </c>
      <c r="H11847" s="3">
        <v>0.0</v>
      </c>
      <c r="I11847" s="3" t="s">
        <v>13</v>
      </c>
      <c r="J11847" s="3" t="s">
        <v>33618</v>
      </c>
      <c r="K11847" s="3" t="s">
        <v>1097</v>
      </c>
      <c r="L11847" s="3" t="str">
        <f>IFERROR(__xludf.DUMMYFUNCTION("GOOGLETRANSLATE(F11847,""id"",""en"")"),"This year, Argentina will be the champion next year.")</f>
        <v>This year, Argentina will be the champion next year.</v>
      </c>
    </row>
    <row r="11848" ht="15.75" customHeight="1">
      <c r="A11848" s="1">
        <v>13106.0</v>
      </c>
      <c r="B11848" s="3" t="s">
        <v>33619</v>
      </c>
      <c r="C11848" s="3">
        <v>0.0</v>
      </c>
      <c r="D11848" s="3">
        <v>0.0</v>
      </c>
      <c r="E11848" s="3">
        <v>0.0</v>
      </c>
      <c r="F11848" s="3" t="s">
        <v>33620</v>
      </c>
      <c r="G11848" s="3">
        <v>0.0</v>
      </c>
      <c r="H11848" s="3">
        <v>0.0</v>
      </c>
      <c r="I11848" s="3" t="s">
        <v>13</v>
      </c>
      <c r="J11848" s="3" t="s">
        <v>33621</v>
      </c>
      <c r="K11848" s="3" t="s">
        <v>477</v>
      </c>
      <c r="L11848" s="3" t="str">
        <f>IFERROR(__xludf.DUMMYFUNCTION("GOOGLETRANSLATE(F11848,""id"",""en"")"),"Congratulations to Argentina, the champion remains enthusiastic for mbappe")</f>
        <v>Congratulations to Argentina, the champion remains enthusiastic for mbappe</v>
      </c>
    </row>
    <row r="11849" ht="15.75" customHeight="1">
      <c r="A11849" s="1">
        <v>13107.0</v>
      </c>
      <c r="B11849" s="3" t="s">
        <v>33622</v>
      </c>
      <c r="C11849" s="3">
        <v>0.0</v>
      </c>
      <c r="D11849" s="3">
        <v>0.0</v>
      </c>
      <c r="E11849" s="3">
        <v>0.0</v>
      </c>
      <c r="F11849" s="3" t="s">
        <v>33623</v>
      </c>
      <c r="G11849" s="3">
        <v>0.0</v>
      </c>
      <c r="H11849" s="3">
        <v>0.0</v>
      </c>
      <c r="I11849" s="3" t="s">
        <v>13</v>
      </c>
      <c r="J11849" s="3" t="s">
        <v>33624</v>
      </c>
      <c r="K11849" s="3" t="s">
        <v>41</v>
      </c>
      <c r="L11849" s="3" t="str">
        <f>IFERROR(__xludf.DUMMYFUNCTION("GOOGLETRANSLATE(F11849,""id"",""en"")"),"Arya Assalamu Alaikum from the future of Argentina World Cup champions")</f>
        <v>Arya Assalamu Alaikum from the future of Argentina World Cup champions</v>
      </c>
    </row>
    <row r="11850" ht="15.75" customHeight="1">
      <c r="A11850" s="1">
        <v>13108.0</v>
      </c>
      <c r="B11850" s="3" t="s">
        <v>33625</v>
      </c>
      <c r="C11850" s="3">
        <v>1.0</v>
      </c>
      <c r="D11850" s="3">
        <v>0.0</v>
      </c>
      <c r="E11850" s="3">
        <v>6.0</v>
      </c>
      <c r="F11850" s="3" t="s">
        <v>33626</v>
      </c>
      <c r="G11850" s="3">
        <v>0.0</v>
      </c>
      <c r="H11850" s="3">
        <v>0.0</v>
      </c>
      <c r="I11850" s="3" t="s">
        <v>13</v>
      </c>
      <c r="J11850" s="3" t="s">
        <v>33627</v>
      </c>
      <c r="K11850" s="3" t="s">
        <v>75</v>
      </c>
      <c r="L11850" s="3" t="str">
        <f>IFERROR(__xludf.DUMMYFUNCTION("GOOGLETRANSLATE(F11850,""id"",""en"")"),"Congratulation Argentina and Lionel Messi Up to win the World Cup championship")</f>
        <v>Congratulation Argentina and Lionel Messi Up to win the World Cup championship</v>
      </c>
    </row>
    <row r="11851" ht="15.75" customHeight="1">
      <c r="A11851" s="1">
        <v>13109.0</v>
      </c>
      <c r="B11851" s="3" t="s">
        <v>33628</v>
      </c>
      <c r="C11851" s="3">
        <v>0.0</v>
      </c>
      <c r="D11851" s="3">
        <v>0.0</v>
      </c>
      <c r="E11851" s="3">
        <v>3.0</v>
      </c>
      <c r="F11851" s="3" t="s">
        <v>33629</v>
      </c>
      <c r="G11851" s="3">
        <v>0.0</v>
      </c>
      <c r="H11851" s="3">
        <v>0.0</v>
      </c>
      <c r="I11851" s="3" t="s">
        <v>13</v>
      </c>
      <c r="J11851" s="3" t="s">
        <v>33630</v>
      </c>
      <c r="K11851" s="3" t="s">
        <v>1887</v>
      </c>
      <c r="L11851" s="3" t="str">
        <f>IFERROR(__xludf.DUMMYFUNCTION("GOOGLETRANSLATE(F11851,""id"",""en"")"),"Cool Argentina finally Messi can bring home the World Cup Cup to become a world champion and the best Qatar organizer of the Worldcup until now fellow Muslim brothers I am proud of the characters they make are really funny to want to the people but it's h"&amp;"ard to find it")</f>
        <v>Cool Argentina finally Messi can bring home the World Cup Cup to become a world champion and the best Qatar organizer of the Worldcup until now fellow Muslim brothers I am proud of the characters they make are really funny to want to the people but it's hard to find it</v>
      </c>
    </row>
    <row r="11852" ht="15.75" customHeight="1">
      <c r="A11852" s="1">
        <v>13110.0</v>
      </c>
      <c r="B11852" s="3" t="s">
        <v>33631</v>
      </c>
      <c r="C11852" s="3">
        <v>2.0</v>
      </c>
      <c r="D11852" s="3">
        <v>0.0</v>
      </c>
      <c r="E11852" s="3">
        <v>1.0</v>
      </c>
      <c r="F11852" s="3" t="s">
        <v>33632</v>
      </c>
      <c r="G11852" s="3">
        <v>0.0</v>
      </c>
      <c r="H11852" s="3">
        <v>0.0</v>
      </c>
      <c r="I11852" s="3" t="s">
        <v>13</v>
      </c>
      <c r="J11852" s="3" t="s">
        <v>33633</v>
      </c>
      <c r="K11852" s="3" t="s">
        <v>644</v>
      </c>
      <c r="L11852" s="3" t="str">
        <f>IFERROR(__xludf.DUMMYFUNCTION("GOOGLETRANSLATE(F11852,""id"",""en"")"),"Tahniah Argentina World Champion")</f>
        <v>Tahniah Argentina World Champion</v>
      </c>
    </row>
    <row r="11853" ht="15.75" customHeight="1">
      <c r="A11853" s="1">
        <v>13111.0</v>
      </c>
      <c r="B11853" s="3" t="s">
        <v>33634</v>
      </c>
      <c r="C11853" s="3">
        <v>0.0</v>
      </c>
      <c r="D11853" s="3">
        <v>0.0</v>
      </c>
      <c r="E11853" s="3">
        <v>0.0</v>
      </c>
      <c r="F11853" s="3" t="s">
        <v>33635</v>
      </c>
      <c r="G11853" s="3">
        <v>0.3</v>
      </c>
      <c r="H11853" s="3">
        <v>0.0</v>
      </c>
      <c r="I11853" s="3" t="s">
        <v>13</v>
      </c>
      <c r="J11853" s="3" t="s">
        <v>33636</v>
      </c>
      <c r="K11853" s="3" t="s">
        <v>942</v>
      </c>
      <c r="L11853" s="3" t="str">
        <f>IFERROR(__xludf.DUMMYFUNCTION("GOOGLETRANSLATE(F11853,""id"",""en"")"),"Team likes Argentina for personal like to survive for Argentina World Cup champions")</f>
        <v>Team likes Argentina for personal like to survive for Argentina World Cup champions</v>
      </c>
    </row>
    <row r="11854" ht="15.75" customHeight="1">
      <c r="A11854" s="1">
        <v>13112.0</v>
      </c>
      <c r="B11854" s="3" t="s">
        <v>33637</v>
      </c>
      <c r="C11854" s="3">
        <v>0.0</v>
      </c>
      <c r="D11854" s="3">
        <v>0.0</v>
      </c>
      <c r="E11854" s="3">
        <v>0.0</v>
      </c>
      <c r="F11854" s="3" t="s">
        <v>33638</v>
      </c>
      <c r="G11854" s="3">
        <v>0.0</v>
      </c>
      <c r="H11854" s="3">
        <v>0.0</v>
      </c>
      <c r="I11854" s="3" t="s">
        <v>13</v>
      </c>
      <c r="J11854" s="3" t="s">
        <v>33639</v>
      </c>
      <c r="K11854" s="3" t="s">
        <v>644</v>
      </c>
      <c r="L11854" s="3" t="str">
        <f>IFERROR(__xludf.DUMMYFUNCTION("GOOGLETRANSLATE(F11854,""id"",""en"")"),"Argentina Congratulations for its world champion")</f>
        <v>Argentina Congratulations for its world champion</v>
      </c>
    </row>
    <row r="11855" ht="15.75" customHeight="1">
      <c r="A11855" s="1">
        <v>13113.0</v>
      </c>
      <c r="B11855" s="3" t="s">
        <v>33640</v>
      </c>
      <c r="C11855" s="3">
        <v>0.0</v>
      </c>
      <c r="D11855" s="3">
        <v>0.0</v>
      </c>
      <c r="E11855" s="3">
        <v>0.0</v>
      </c>
      <c r="F11855" s="3" t="s">
        <v>33641</v>
      </c>
      <c r="G11855" s="3">
        <v>0.0</v>
      </c>
      <c r="H11855" s="3">
        <v>0.0</v>
      </c>
      <c r="I11855" s="3" t="s">
        <v>13</v>
      </c>
      <c r="J11855" s="3" t="s">
        <v>33642</v>
      </c>
      <c r="K11855" s="3" t="s">
        <v>240</v>
      </c>
      <c r="L11855" s="3" t="str">
        <f>IFERROR(__xludf.DUMMYFUNCTION("GOOGLETRANSLATE(F11855,""id"",""en"")"),"Behind Argentina's victory to become champions there are many people who cry not because of the defeat of the pride team but because of losing gambling")</f>
        <v>Behind Argentina's victory to become champions there are many people who cry not because of the defeat of the pride team but because of losing gambling</v>
      </c>
    </row>
    <row r="11856" ht="15.75" customHeight="1">
      <c r="A11856" s="1">
        <v>13114.0</v>
      </c>
      <c r="B11856" s="3" t="s">
        <v>33643</v>
      </c>
      <c r="C11856" s="3">
        <v>0.0</v>
      </c>
      <c r="D11856" s="3">
        <v>0.0</v>
      </c>
      <c r="E11856" s="3">
        <v>0.0</v>
      </c>
      <c r="F11856" s="3" t="s">
        <v>33644</v>
      </c>
      <c r="G11856" s="3">
        <v>0.3333333333333333</v>
      </c>
      <c r="H11856" s="3">
        <v>0.1666666666666667</v>
      </c>
      <c r="I11856" s="3" t="s">
        <v>48</v>
      </c>
      <c r="J11856" s="3" t="s">
        <v>33645</v>
      </c>
      <c r="K11856" s="3" t="s">
        <v>71</v>
      </c>
      <c r="L11856" s="3" t="str">
        <f>IFERROR(__xludf.DUMMYFUNCTION("GOOGLETRANSLATE(F11856,""id"",""en"")"),"Congrats Argentina World Cup Champion Thank You Messi Already Playing and Winning So Kai Update")</f>
        <v>Congrats Argentina World Cup Champion Thank You Messi Already Playing and Winning So Kai Update</v>
      </c>
    </row>
    <row r="11857" ht="15.75" customHeight="1">
      <c r="A11857" s="1">
        <v>13115.0</v>
      </c>
      <c r="B11857" s="3" t="s">
        <v>33646</v>
      </c>
      <c r="C11857" s="3">
        <v>0.0</v>
      </c>
      <c r="D11857" s="3">
        <v>0.0</v>
      </c>
      <c r="E11857" s="3">
        <v>0.0</v>
      </c>
      <c r="F11857" s="3" t="s">
        <v>33647</v>
      </c>
      <c r="G11857" s="3">
        <v>0.0</v>
      </c>
      <c r="H11857" s="3">
        <v>0.0</v>
      </c>
      <c r="I11857" s="3" t="s">
        <v>13</v>
      </c>
      <c r="J11857" s="3" t="s">
        <v>33648</v>
      </c>
      <c r="K11857" s="3" t="s">
        <v>54</v>
      </c>
      <c r="L11857" s="3" t="str">
        <f>IFERROR(__xludf.DUMMYFUNCTION("GOOGLETRANSLATE(F11857,""id"",""en"")"),"Argentina World Champion Happy Messi and Team")</f>
        <v>Argentina World Champion Happy Messi and Team</v>
      </c>
    </row>
    <row r="11858" ht="15.75" customHeight="1">
      <c r="A11858" s="1">
        <v>13116.0</v>
      </c>
      <c r="B11858" s="3" t="s">
        <v>33649</v>
      </c>
      <c r="C11858" s="3">
        <v>0.0</v>
      </c>
      <c r="D11858" s="3">
        <v>0.0</v>
      </c>
      <c r="E11858" s="3">
        <v>0.0</v>
      </c>
      <c r="F11858" s="3" t="s">
        <v>33650</v>
      </c>
      <c r="G11858" s="3">
        <v>0.0</v>
      </c>
      <c r="H11858" s="3">
        <v>0.0</v>
      </c>
      <c r="I11858" s="3" t="s">
        <v>13</v>
      </c>
      <c r="J11858" s="3" t="s">
        <v>33651</v>
      </c>
      <c r="K11858" s="3" t="s">
        <v>15</v>
      </c>
      <c r="L11858" s="3" t="str">
        <f>IFERROR(__xludf.DUMMYFUNCTION("GOOGLETRANSLATE(F11858,""id"",""en"")"),"good morning for those who are on leave today because of Argentina champions pildun")</f>
        <v>good morning for those who are on leave today because of Argentina champions pildun</v>
      </c>
    </row>
    <row r="11859" ht="15.75" customHeight="1">
      <c r="A11859" s="1">
        <v>13117.0</v>
      </c>
      <c r="B11859" s="3" t="s">
        <v>33652</v>
      </c>
      <c r="C11859" s="3">
        <v>1.0</v>
      </c>
      <c r="D11859" s="3">
        <v>0.0</v>
      </c>
      <c r="E11859" s="3">
        <v>0.0</v>
      </c>
      <c r="F11859" s="3" t="s">
        <v>33653</v>
      </c>
      <c r="G11859" s="3">
        <v>0.75</v>
      </c>
      <c r="H11859" s="3">
        <v>-0.25</v>
      </c>
      <c r="I11859" s="3" t="s">
        <v>179</v>
      </c>
      <c r="J11859" s="3" t="s">
        <v>33654</v>
      </c>
      <c r="K11859" s="3" t="s">
        <v>348</v>
      </c>
      <c r="L11859" s="3" t="str">
        <f>IFERROR(__xludf.DUMMYFUNCTION("GOOGLETRANSLATE(F11859,""id"",""en"")"),"Apart from the theory of Pilduun settings, Argentina deserves to be a happy champion Messi has completed his Career Mode, especially if you want to find it, all of them have been obtained.")</f>
        <v>Apart from the theory of Pilduun settings, Argentina deserves to be a happy champion Messi has completed his Career Mode, especially if you want to find it, all of them have been obtained.</v>
      </c>
    </row>
    <row r="11860" ht="15.75" customHeight="1">
      <c r="A11860" s="1">
        <v>13118.0</v>
      </c>
      <c r="B11860" s="3" t="s">
        <v>33655</v>
      </c>
      <c r="C11860" s="3">
        <v>0.0</v>
      </c>
      <c r="D11860" s="3">
        <v>0.0</v>
      </c>
      <c r="E11860" s="3">
        <v>2.0</v>
      </c>
      <c r="F11860" s="3" t="s">
        <v>33656</v>
      </c>
      <c r="G11860" s="3">
        <v>0.0</v>
      </c>
      <c r="H11860" s="3">
        <v>0.0</v>
      </c>
      <c r="I11860" s="3" t="s">
        <v>13</v>
      </c>
      <c r="J11860" s="3" t="s">
        <v>33657</v>
      </c>
      <c r="K11860" s="3" t="s">
        <v>54</v>
      </c>
      <c r="L11860" s="3" t="str">
        <f>IFERROR(__xludf.DUMMYFUNCTION("GOOGLETRANSLATE(F11860,""id"",""en"")"),"the crazy with the Argentina gang the champion")</f>
        <v>the crazy with the Argentina gang the champion</v>
      </c>
    </row>
    <row r="11861" ht="15.75" customHeight="1">
      <c r="A11861" s="1">
        <v>13120.0</v>
      </c>
      <c r="B11861" s="3" t="s">
        <v>33658</v>
      </c>
      <c r="C11861" s="3">
        <v>0.0</v>
      </c>
      <c r="D11861" s="3">
        <v>0.0</v>
      </c>
      <c r="E11861" s="3">
        <v>0.0</v>
      </c>
      <c r="F11861" s="3" t="s">
        <v>33659</v>
      </c>
      <c r="G11861" s="3">
        <v>0.0</v>
      </c>
      <c r="H11861" s="3">
        <v>0.0</v>
      </c>
      <c r="I11861" s="3" t="s">
        <v>13</v>
      </c>
      <c r="J11861" s="3" t="s">
        <v>33660</v>
      </c>
      <c r="K11861" s="3" t="s">
        <v>82</v>
      </c>
      <c r="L11861" s="3" t="str">
        <f>IFERROR(__xludf.DUMMYFUNCTION("GOOGLETRANSLATE(F11861,""id"",""en"")"),"Argentina Champion of Mbappe Golden Shoe Via")</f>
        <v>Argentina Champion of Mbappe Golden Shoe Via</v>
      </c>
    </row>
    <row r="11862" ht="15.75" customHeight="1">
      <c r="A11862" s="1">
        <v>13121.0</v>
      </c>
      <c r="B11862" s="3" t="s">
        <v>33661</v>
      </c>
      <c r="C11862" s="3">
        <v>0.0</v>
      </c>
      <c r="D11862" s="3">
        <v>0.0</v>
      </c>
      <c r="E11862" s="3">
        <v>0.0</v>
      </c>
      <c r="F11862" s="3" t="s">
        <v>33662</v>
      </c>
      <c r="G11862" s="3">
        <v>0.0</v>
      </c>
      <c r="H11862" s="3">
        <v>0.0</v>
      </c>
      <c r="I11862" s="3" t="s">
        <v>13</v>
      </c>
      <c r="J11862" s="3" t="s">
        <v>33663</v>
      </c>
      <c r="K11862" s="3" t="s">
        <v>244</v>
      </c>
      <c r="L11862" s="3" t="str">
        <f>IFERROR(__xludf.DUMMYFUNCTION("GOOGLETRANSLATE(F11862,""id"",""en"")"),"Morning Morning Watching the Match earlier Vidio The results are Argentina but the champion")</f>
        <v>Morning Morning Watching the Match earlier Vidio The results are Argentina but the champion</v>
      </c>
    </row>
    <row r="11863" ht="15.75" customHeight="1">
      <c r="A11863" s="1">
        <v>13122.0</v>
      </c>
      <c r="B11863" s="3" t="s">
        <v>33664</v>
      </c>
      <c r="C11863" s="3">
        <v>0.0</v>
      </c>
      <c r="D11863" s="3">
        <v>0.0</v>
      </c>
      <c r="E11863" s="3">
        <v>0.0</v>
      </c>
      <c r="F11863" s="3" t="s">
        <v>33665</v>
      </c>
      <c r="G11863" s="3">
        <v>0.0</v>
      </c>
      <c r="H11863" s="3">
        <v>0.0</v>
      </c>
      <c r="I11863" s="3" t="s">
        <v>13</v>
      </c>
      <c r="J11863" s="3" t="s">
        <v>33666</v>
      </c>
      <c r="K11863" s="3" t="s">
        <v>75</v>
      </c>
      <c r="L11863" s="3" t="str">
        <f>IFERROR(__xludf.DUMMYFUNCTION("GOOGLETRANSLATE(F11863,""id"",""en"")"),"Argentina champions and charming faces that are always cheerful to see Kak Kanti again")</f>
        <v>Argentina champions and charming faces that are always cheerful to see Kak Kanti again</v>
      </c>
    </row>
    <row r="11864" ht="15.75" customHeight="1">
      <c r="A11864" s="1">
        <v>13123.0</v>
      </c>
      <c r="B11864" s="3" t="s">
        <v>33667</v>
      </c>
      <c r="C11864" s="3">
        <v>0.0</v>
      </c>
      <c r="D11864" s="3">
        <v>5.0</v>
      </c>
      <c r="E11864" s="3">
        <v>20.0</v>
      </c>
      <c r="F11864" s="3" t="s">
        <v>33668</v>
      </c>
      <c r="G11864" s="3">
        <v>0.0</v>
      </c>
      <c r="H11864" s="3">
        <v>0.0</v>
      </c>
      <c r="I11864" s="3" t="s">
        <v>13</v>
      </c>
      <c r="J11864" s="3" t="s">
        <v>33669</v>
      </c>
      <c r="K11864" s="3" t="s">
        <v>2117</v>
      </c>
      <c r="L11864" s="3" t="str">
        <f>IFERROR(__xludf.DUMMYFUNCTION("GOOGLETRANSLATE(F11864,""id"",""en"")"),"Argentina Champion Gus")</f>
        <v>Argentina Champion Gus</v>
      </c>
    </row>
    <row r="11865" ht="15.75" customHeight="1">
      <c r="A11865" s="1">
        <v>13124.0</v>
      </c>
      <c r="B11865" s="3" t="s">
        <v>33670</v>
      </c>
      <c r="C11865" s="3">
        <v>1.0</v>
      </c>
      <c r="D11865" s="3">
        <v>0.0</v>
      </c>
      <c r="E11865" s="3">
        <v>0.0</v>
      </c>
      <c r="F11865" s="3" t="s">
        <v>33671</v>
      </c>
      <c r="G11865" s="3">
        <v>0.0</v>
      </c>
      <c r="H11865" s="3">
        <v>0.0</v>
      </c>
      <c r="I11865" s="3" t="s">
        <v>13</v>
      </c>
      <c r="J11865" s="3" t="s">
        <v>33672</v>
      </c>
      <c r="K11865" s="3" t="s">
        <v>437</v>
      </c>
      <c r="L11865" s="3" t="str">
        <f>IFERROR(__xludf.DUMMYFUNCTION("GOOGLETRANSLATE(F11865,""id"",""en"")"),"Argentina The world champion is not a matter of football, the history of humanity turns out to be a superhero")</f>
        <v>Argentina The world champion is not a matter of football, the history of humanity turns out to be a superhero</v>
      </c>
    </row>
    <row r="11866" ht="15.75" customHeight="1">
      <c r="A11866" s="1">
        <v>13125.0</v>
      </c>
      <c r="B11866" s="3" t="s">
        <v>33673</v>
      </c>
      <c r="C11866" s="3">
        <v>0.0</v>
      </c>
      <c r="D11866" s="3">
        <v>0.0</v>
      </c>
      <c r="E11866" s="3">
        <v>2.0</v>
      </c>
      <c r="F11866" s="3" t="s">
        <v>33674</v>
      </c>
      <c r="G11866" s="3">
        <v>0.0</v>
      </c>
      <c r="H11866" s="3">
        <v>0.0</v>
      </c>
      <c r="I11866" s="3" t="s">
        <v>13</v>
      </c>
      <c r="J11866" s="3" t="s">
        <v>33675</v>
      </c>
      <c r="K11866" s="3" t="s">
        <v>31</v>
      </c>
      <c r="L11866" s="3" t="str">
        <f>IFERROR(__xludf.DUMMYFUNCTION("GOOGLETRANSLATE(F11866,""id"",""en"")"),"It must be very happy about Argentina's championship")</f>
        <v>It must be very happy about Argentina's championship</v>
      </c>
    </row>
    <row r="11867" ht="15.75" customHeight="1">
      <c r="A11867" s="1">
        <v>13126.0</v>
      </c>
      <c r="B11867" s="3" t="s">
        <v>33676</v>
      </c>
      <c r="C11867" s="3">
        <v>0.0</v>
      </c>
      <c r="D11867" s="3">
        <v>0.0</v>
      </c>
      <c r="E11867" s="3">
        <v>0.0</v>
      </c>
      <c r="F11867" s="3" t="s">
        <v>33677</v>
      </c>
      <c r="G11867" s="3">
        <v>0.65</v>
      </c>
      <c r="H11867" s="3">
        <v>0.1</v>
      </c>
      <c r="I11867" s="3" t="s">
        <v>48</v>
      </c>
      <c r="J11867" s="3" t="s">
        <v>33678</v>
      </c>
      <c r="K11867" s="3" t="s">
        <v>149</v>
      </c>
      <c r="L11867" s="3" t="str">
        <f>IFERROR(__xludf.DUMMYFUNCTION("GOOGLETRANSLATE(F11867,""id"",""en"")"),"Finally Congrats King Leo last offerings for your country before you retire this is the proof so far the public is looking for the real king argentina champion thank you Messi")</f>
        <v>Finally Congrats King Leo last offerings for your country before you retire this is the proof so far the public is looking for the real king argentina champion thank you Messi</v>
      </c>
    </row>
    <row r="11868" ht="15.75" customHeight="1">
      <c r="A11868" s="1">
        <v>13127.0</v>
      </c>
      <c r="B11868" s="3" t="s">
        <v>33679</v>
      </c>
      <c r="C11868" s="3">
        <v>0.0</v>
      </c>
      <c r="D11868" s="3">
        <v>0.0</v>
      </c>
      <c r="E11868" s="3">
        <v>0.0</v>
      </c>
      <c r="F11868" s="3" t="s">
        <v>33680</v>
      </c>
      <c r="G11868" s="3">
        <v>0.0</v>
      </c>
      <c r="H11868" s="3">
        <v>0.0</v>
      </c>
      <c r="I11868" s="3" t="s">
        <v>13</v>
      </c>
      <c r="J11868" s="3" t="s">
        <v>33681</v>
      </c>
      <c r="K11868" s="3" t="s">
        <v>54</v>
      </c>
      <c r="L11868" s="3" t="str">
        <f>IFERROR(__xludf.DUMMYFUNCTION("GOOGLETRANSLATE(F11868,""id"",""en"")"),"Happy Argentina Champion FIFA World Cup")</f>
        <v>Happy Argentina Champion FIFA World Cup</v>
      </c>
    </row>
    <row r="11869" ht="15.75" customHeight="1">
      <c r="A11869" s="1">
        <v>13128.0</v>
      </c>
      <c r="B11869" s="3" t="s">
        <v>33682</v>
      </c>
      <c r="C11869" s="3">
        <v>0.0</v>
      </c>
      <c r="D11869" s="3">
        <v>0.0</v>
      </c>
      <c r="E11869" s="3">
        <v>0.0</v>
      </c>
      <c r="F11869" s="3" t="s">
        <v>33683</v>
      </c>
      <c r="G11869" s="3">
        <v>0.0</v>
      </c>
      <c r="H11869" s="3">
        <v>0.0</v>
      </c>
      <c r="I11869" s="3" t="s">
        <v>13</v>
      </c>
      <c r="J11869" s="3" t="s">
        <v>33684</v>
      </c>
      <c r="K11869" s="3" t="s">
        <v>19</v>
      </c>
      <c r="L11869" s="3" t="str">
        <f>IFERROR(__xludf.DUMMYFUNCTION("GOOGLETRANSLATE(F11869,""id"",""en"")"),"If only Mary was replaced by Gabakal until the penalty was important, it was important that Messi Argentina was already champion hehe")</f>
        <v>If only Mary was replaced by Gabakal until the penalty was important, it was important that Messi Argentina was already champion hehe</v>
      </c>
    </row>
    <row r="11870" ht="15.75" customHeight="1">
      <c r="A11870" s="1">
        <v>13129.0</v>
      </c>
      <c r="B11870" s="3" t="s">
        <v>33685</v>
      </c>
      <c r="C11870" s="3">
        <v>0.0</v>
      </c>
      <c r="D11870" s="3">
        <v>0.0</v>
      </c>
      <c r="E11870" s="3">
        <v>0.0</v>
      </c>
      <c r="F11870" s="3" t="s">
        <v>33686</v>
      </c>
      <c r="G11870" s="3">
        <v>0.0</v>
      </c>
      <c r="H11870" s="3">
        <v>0.0</v>
      </c>
      <c r="I11870" s="3" t="s">
        <v>13</v>
      </c>
      <c r="J11870" s="3" t="s">
        <v>33687</v>
      </c>
      <c r="K11870" s="3" t="s">
        <v>54</v>
      </c>
      <c r="L11870" s="3" t="str">
        <f>IFERROR(__xludf.DUMMYFUNCTION("GOOGLETRANSLATE(F11870,""id"",""en"")"),"Want to know Jongin's reaction when Argentina Champion")</f>
        <v>Want to know Jongin's reaction when Argentina Champion</v>
      </c>
    </row>
    <row r="11871" ht="15.75" customHeight="1">
      <c r="A11871" s="1">
        <v>13130.0</v>
      </c>
      <c r="B11871" s="3" t="s">
        <v>33688</v>
      </c>
      <c r="C11871" s="3">
        <v>0.0</v>
      </c>
      <c r="D11871" s="3">
        <v>0.0</v>
      </c>
      <c r="E11871" s="3">
        <v>0.0</v>
      </c>
      <c r="F11871" s="3" t="s">
        <v>33689</v>
      </c>
      <c r="G11871" s="3">
        <v>1.0</v>
      </c>
      <c r="H11871" s="3">
        <v>0.0</v>
      </c>
      <c r="I11871" s="3" t="s">
        <v>13</v>
      </c>
      <c r="J11871" s="3" t="s">
        <v>33690</v>
      </c>
      <c r="K11871" s="3" t="s">
        <v>236</v>
      </c>
      <c r="L11871" s="3" t="str">
        <f>IFERROR(__xludf.DUMMYFUNCTION("GOOGLETRANSLATE(F11871,""id"",""en"")"),"The final is exciting deg deg when Argentina's penalty is worthy of championship")</f>
        <v>The final is exciting deg deg when Argentina's penalty is worthy of championship</v>
      </c>
    </row>
    <row r="11872" ht="15.75" customHeight="1">
      <c r="A11872" s="1">
        <v>13131.0</v>
      </c>
      <c r="B11872" s="3" t="s">
        <v>33691</v>
      </c>
      <c r="C11872" s="3">
        <v>0.0</v>
      </c>
      <c r="D11872" s="3">
        <v>0.0</v>
      </c>
      <c r="E11872" s="3">
        <v>0.0</v>
      </c>
      <c r="F11872" s="3" t="s">
        <v>33692</v>
      </c>
      <c r="G11872" s="3">
        <v>0.0</v>
      </c>
      <c r="H11872" s="3">
        <v>0.0</v>
      </c>
      <c r="I11872" s="3" t="s">
        <v>13</v>
      </c>
      <c r="J11872" s="3" t="s">
        <v>33693</v>
      </c>
      <c r="K11872" s="3" t="s">
        <v>75</v>
      </c>
      <c r="L11872" s="3" t="str">
        <f>IFERROR(__xludf.DUMMYFUNCTION("GOOGLETRANSLATE(F11872,""id"",""en"")"),"Everywhere euphoria is more Messi to take a title than Argentina champion hahah")</f>
        <v>Everywhere euphoria is more Messi to take a title than Argentina champion hahah</v>
      </c>
    </row>
    <row r="11873" ht="15.75" customHeight="1">
      <c r="A11873" s="1">
        <v>13132.0</v>
      </c>
      <c r="B11873" s="3" t="s">
        <v>33694</v>
      </c>
      <c r="C11873" s="3">
        <v>0.0</v>
      </c>
      <c r="D11873" s="3">
        <v>0.0</v>
      </c>
      <c r="E11873" s="3">
        <v>1.0</v>
      </c>
      <c r="F11873" s="3" t="s">
        <v>33695</v>
      </c>
      <c r="G11873" s="3">
        <v>0.0</v>
      </c>
      <c r="H11873" s="3">
        <v>0.0</v>
      </c>
      <c r="I11873" s="3" t="s">
        <v>13</v>
      </c>
      <c r="J11873" s="3" t="s">
        <v>33696</v>
      </c>
      <c r="K11873" s="3" t="s">
        <v>41</v>
      </c>
      <c r="L11873" s="3" t="str">
        <f>IFERROR(__xludf.DUMMYFUNCTION("GOOGLETRANSLATE(F11873,""id"",""en"")"),"Alexis Mac Allister revealed the secret of Argentina World Cup champions")</f>
        <v>Alexis Mac Allister revealed the secret of Argentina World Cup champions</v>
      </c>
    </row>
    <row r="11874" ht="15.75" customHeight="1">
      <c r="A11874" s="1">
        <v>13133.0</v>
      </c>
      <c r="B11874" s="3" t="s">
        <v>33697</v>
      </c>
      <c r="C11874" s="3">
        <v>0.0</v>
      </c>
      <c r="D11874" s="3">
        <v>0.0</v>
      </c>
      <c r="E11874" s="3">
        <v>0.0</v>
      </c>
      <c r="F11874" s="3" t="s">
        <v>33698</v>
      </c>
      <c r="G11874" s="3">
        <v>0.6000000000000001</v>
      </c>
      <c r="H11874" s="3">
        <v>0.7</v>
      </c>
      <c r="I11874" s="3" t="s">
        <v>48</v>
      </c>
      <c r="J11874" s="3" t="s">
        <v>33699</v>
      </c>
      <c r="K11874" s="3" t="s">
        <v>19</v>
      </c>
      <c r="L11874" s="3" t="str">
        <f>IFERROR(__xludf.DUMMYFUNCTION("GOOGLETRANSLATE(F11874,""id"",""en"")"),"Good Morning from who still thought that Argentina is the air champion today, it's really fresh")</f>
        <v>Good Morning from who still thought that Argentina is the air champion today, it's really fresh</v>
      </c>
    </row>
    <row r="11875" ht="15.75" customHeight="1">
      <c r="A11875" s="1">
        <v>13134.0</v>
      </c>
      <c r="B11875" s="3" t="s">
        <v>33700</v>
      </c>
      <c r="C11875" s="3">
        <v>0.0</v>
      </c>
      <c r="D11875" s="3">
        <v>0.0</v>
      </c>
      <c r="E11875" s="3">
        <v>0.0</v>
      </c>
      <c r="F11875" s="3" t="s">
        <v>33701</v>
      </c>
      <c r="G11875" s="3">
        <v>0.0</v>
      </c>
      <c r="H11875" s="3">
        <v>0.0</v>
      </c>
      <c r="I11875" s="3" t="s">
        <v>13</v>
      </c>
      <c r="J11875" s="3" t="s">
        <v>33702</v>
      </c>
      <c r="K11875" s="3" t="s">
        <v>54</v>
      </c>
      <c r="L11875" s="3" t="str">
        <f>IFERROR(__xludf.DUMMYFUNCTION("GOOGLETRANSLATE(F11875,""id"",""en"")"),"according to FIFA's prediction, he became Argentina champion")</f>
        <v>according to FIFA's prediction, he became Argentina champion</v>
      </c>
    </row>
    <row r="11876" ht="15.75" customHeight="1">
      <c r="A11876" s="1">
        <v>13135.0</v>
      </c>
      <c r="B11876" s="3" t="s">
        <v>33703</v>
      </c>
      <c r="C11876" s="3">
        <v>0.0</v>
      </c>
      <c r="D11876" s="3">
        <v>1.0</v>
      </c>
      <c r="E11876" s="3">
        <v>2.0</v>
      </c>
      <c r="F11876" s="3" t="s">
        <v>33704</v>
      </c>
      <c r="G11876" s="3">
        <v>0.0</v>
      </c>
      <c r="H11876" s="3">
        <v>0.0</v>
      </c>
      <c r="I11876" s="3" t="s">
        <v>13</v>
      </c>
      <c r="J11876" s="3" t="s">
        <v>33705</v>
      </c>
      <c r="K11876" s="3" t="s">
        <v>35</v>
      </c>
      <c r="L11876" s="3" t="str">
        <f>IFERROR(__xludf.DUMMYFUNCTION("GOOGLETRANSLATE(F11876,""id"",""en"")"),"Argentine Congratulation Messi Won the World Cup Argentina Champion World Cup after the year")</f>
        <v>Argentine Congratulation Messi Won the World Cup Argentina Champion World Cup after the year</v>
      </c>
    </row>
    <row r="11877" ht="15.75" customHeight="1">
      <c r="A11877" s="1">
        <v>13136.0</v>
      </c>
      <c r="B11877" s="3" t="s">
        <v>33706</v>
      </c>
      <c r="C11877" s="3">
        <v>0.0</v>
      </c>
      <c r="D11877" s="3">
        <v>0.0</v>
      </c>
      <c r="E11877" s="3">
        <v>1.0</v>
      </c>
      <c r="F11877" s="3" t="s">
        <v>33707</v>
      </c>
      <c r="G11877" s="3">
        <v>0.0</v>
      </c>
      <c r="H11877" s="3">
        <v>0.0</v>
      </c>
      <c r="I11877" s="3" t="s">
        <v>13</v>
      </c>
      <c r="J11877" s="3" t="s">
        <v>33708</v>
      </c>
      <c r="K11877" s="3" t="s">
        <v>71</v>
      </c>
      <c r="L11877" s="3" t="str">
        <f>IFERROR(__xludf.DUMMYFUNCTION("GOOGLETRANSLATE(F11877,""id"",""en"")"),"Viral Jose Miguel Polanco Ramal Messi and Argentina Champion World Cup seven years ago there was proof")</f>
        <v>Viral Jose Miguel Polanco Ramal Messi and Argentina Champion World Cup seven years ago there was proof</v>
      </c>
    </row>
    <row r="11878" ht="15.75" customHeight="1">
      <c r="A11878" s="1">
        <v>13137.0</v>
      </c>
      <c r="B11878" s="3" t="s">
        <v>33709</v>
      </c>
      <c r="C11878" s="3">
        <v>0.0</v>
      </c>
      <c r="D11878" s="3">
        <v>0.0</v>
      </c>
      <c r="E11878" s="3">
        <v>0.0</v>
      </c>
      <c r="F11878" s="3" t="s">
        <v>33704</v>
      </c>
      <c r="G11878" s="3">
        <v>0.0</v>
      </c>
      <c r="H11878" s="3">
        <v>0.0</v>
      </c>
      <c r="I11878" s="3" t="s">
        <v>13</v>
      </c>
      <c r="J11878" s="3" t="s">
        <v>33705</v>
      </c>
      <c r="K11878" s="3" t="s">
        <v>35</v>
      </c>
      <c r="L11878" s="3" t="str">
        <f>IFERROR(__xludf.DUMMYFUNCTION("GOOGLETRANSLATE(F11878,""id"",""en"")"),"Argentine Congratulation Messi Won the World Cup Argentina Champion World Cup after the year")</f>
        <v>Argentine Congratulation Messi Won the World Cup Argentina Champion World Cup after the year</v>
      </c>
    </row>
    <row r="11879" ht="15.75" customHeight="1">
      <c r="A11879" s="1">
        <v>13138.0</v>
      </c>
      <c r="B11879" s="3" t="s">
        <v>33710</v>
      </c>
      <c r="C11879" s="3">
        <v>0.0</v>
      </c>
      <c r="D11879" s="3">
        <v>0.0</v>
      </c>
      <c r="E11879" s="3">
        <v>1.0</v>
      </c>
      <c r="F11879" s="3" t="s">
        <v>33704</v>
      </c>
      <c r="G11879" s="3">
        <v>0.0</v>
      </c>
      <c r="H11879" s="3">
        <v>0.0</v>
      </c>
      <c r="I11879" s="3" t="s">
        <v>13</v>
      </c>
      <c r="J11879" s="3" t="s">
        <v>33705</v>
      </c>
      <c r="K11879" s="3" t="s">
        <v>35</v>
      </c>
      <c r="L11879" s="3" t="str">
        <f>IFERROR(__xludf.DUMMYFUNCTION("GOOGLETRANSLATE(F11879,""id"",""en"")"),"Argentine Congratulation Messi Won the World Cup Argentina Champion World Cup after the year")</f>
        <v>Argentine Congratulation Messi Won the World Cup Argentina Champion World Cup after the year</v>
      </c>
    </row>
    <row r="11880" ht="15.75" customHeight="1">
      <c r="A11880" s="1">
        <v>13139.0</v>
      </c>
      <c r="B11880" s="3" t="s">
        <v>33711</v>
      </c>
      <c r="C11880" s="3">
        <v>0.0</v>
      </c>
      <c r="D11880" s="3">
        <v>0.0</v>
      </c>
      <c r="E11880" s="3">
        <v>0.0</v>
      </c>
      <c r="F11880" s="3" t="s">
        <v>33712</v>
      </c>
      <c r="G11880" s="3">
        <v>0.0</v>
      </c>
      <c r="H11880" s="3">
        <v>0.0</v>
      </c>
      <c r="I11880" s="3" t="s">
        <v>13</v>
      </c>
      <c r="J11880" s="3" t="s">
        <v>33713</v>
      </c>
      <c r="K11880" s="3" t="s">
        <v>35</v>
      </c>
      <c r="L11880" s="3" t="str">
        <f>IFERROR(__xludf.DUMMYFUNCTION("GOOGLETRANSLATE(F11880,""id"",""en"")"),"Congratulations to Argentina after the last victory of Mexico's year, Argentina returned to the World Cup championship")</f>
        <v>Congratulations to Argentina after the last victory of Mexico's year, Argentina returned to the World Cup championship</v>
      </c>
    </row>
    <row r="11881" ht="15.75" customHeight="1">
      <c r="A11881" s="1">
        <v>13140.0</v>
      </c>
      <c r="B11881" s="3" t="s">
        <v>33714</v>
      </c>
      <c r="C11881" s="3">
        <v>0.0</v>
      </c>
      <c r="D11881" s="3">
        <v>0.0</v>
      </c>
      <c r="E11881" s="3">
        <v>2.0</v>
      </c>
      <c r="F11881" s="3" t="s">
        <v>33715</v>
      </c>
      <c r="G11881" s="3">
        <v>0.0</v>
      </c>
      <c r="H11881" s="3">
        <v>0.0</v>
      </c>
      <c r="I11881" s="3" t="s">
        <v>13</v>
      </c>
      <c r="J11881" s="3" t="s">
        <v>33716</v>
      </c>
      <c r="K11881" s="3" t="s">
        <v>41</v>
      </c>
      <c r="L11881" s="3" t="str">
        <f>IFERROR(__xludf.DUMMYFUNCTION("GOOGLETRANSLATE(F11881,""id"",""en"")"),"Argentina Champion World Cup Lionel Messi Best Player Passing")</f>
        <v>Argentina Champion World Cup Lionel Messi Best Player Passing</v>
      </c>
    </row>
    <row r="11882" ht="15.75" customHeight="1">
      <c r="A11882" s="1">
        <v>13141.0</v>
      </c>
      <c r="B11882" s="3" t="s">
        <v>33717</v>
      </c>
      <c r="C11882" s="3">
        <v>1.0</v>
      </c>
      <c r="D11882" s="3">
        <v>0.0</v>
      </c>
      <c r="E11882" s="3">
        <v>3.0</v>
      </c>
      <c r="F11882" s="3" t="s">
        <v>33718</v>
      </c>
      <c r="G11882" s="3">
        <v>0.0</v>
      </c>
      <c r="H11882" s="3">
        <v>0.0</v>
      </c>
      <c r="I11882" s="3" t="s">
        <v>13</v>
      </c>
      <c r="J11882" s="3" t="s">
        <v>33719</v>
      </c>
      <c r="K11882" s="3" t="s">
        <v>41</v>
      </c>
      <c r="L11882" s="3" t="str">
        <f>IFERROR(__xludf.DUMMYFUNCTION("GOOGLETRANSLATE(F11882,""id"",""en"")"),"The large crowd of Obelisk Monument after Argentina Champion World Cup")</f>
        <v>The large crowd of Obelisk Monument after Argentina Champion World Cup</v>
      </c>
    </row>
    <row r="11883" ht="15.75" customHeight="1">
      <c r="A11883" s="1">
        <v>13142.0</v>
      </c>
      <c r="B11883" s="3" t="s">
        <v>33720</v>
      </c>
      <c r="C11883" s="3">
        <v>0.0</v>
      </c>
      <c r="D11883" s="3">
        <v>0.0</v>
      </c>
      <c r="E11883" s="3">
        <v>1.0</v>
      </c>
      <c r="F11883" s="3" t="s">
        <v>33721</v>
      </c>
      <c r="G11883" s="3">
        <v>0.0</v>
      </c>
      <c r="H11883" s="3">
        <v>0.0</v>
      </c>
      <c r="I11883" s="3" t="s">
        <v>13</v>
      </c>
      <c r="J11883" s="3" t="s">
        <v>33722</v>
      </c>
      <c r="K11883" s="3" t="s">
        <v>477</v>
      </c>
      <c r="L11883" s="3" t="str">
        <f>IFERROR(__xludf.DUMMYFUNCTION("GOOGLETRANSLATE(F11883,""id"",""en"")"),"Congrats for Argentina to win Vamos Argentina's first prize")</f>
        <v>Congrats for Argentina to win Vamos Argentina's first prize</v>
      </c>
    </row>
    <row r="11884" ht="15.75" customHeight="1">
      <c r="A11884" s="1">
        <v>13143.0</v>
      </c>
      <c r="B11884" s="3" t="s">
        <v>33723</v>
      </c>
      <c r="C11884" s="3">
        <v>1.0</v>
      </c>
      <c r="D11884" s="3">
        <v>0.0</v>
      </c>
      <c r="E11884" s="3">
        <v>24.0</v>
      </c>
      <c r="F11884" s="3" t="s">
        <v>33724</v>
      </c>
      <c r="G11884" s="3">
        <v>0.0</v>
      </c>
      <c r="H11884" s="3">
        <v>0.0</v>
      </c>
      <c r="I11884" s="3" t="s">
        <v>13</v>
      </c>
      <c r="J11884" s="3" t="s">
        <v>33725</v>
      </c>
      <c r="K11884" s="3" t="s">
        <v>50</v>
      </c>
      <c r="L11884" s="3" t="str">
        <f>IFERROR(__xludf.DUMMYFUNCTION("GOOGLETRANSLATE(F11884,""id"",""en"")"),"Congratulations to support Argentina Messi to be a Kadrun but the champion in my heart remains Morocco")</f>
        <v>Congratulations to support Argentina Messi to be a Kadrun but the champion in my heart remains Morocco</v>
      </c>
    </row>
    <row r="11885" ht="15.75" customHeight="1">
      <c r="A11885" s="1">
        <v>13144.0</v>
      </c>
      <c r="B11885" s="3" t="s">
        <v>33726</v>
      </c>
      <c r="C11885" s="3">
        <v>0.0</v>
      </c>
      <c r="D11885" s="3">
        <v>0.0</v>
      </c>
      <c r="E11885" s="3">
        <v>0.0</v>
      </c>
      <c r="F11885" s="3" t="s">
        <v>33727</v>
      </c>
      <c r="G11885" s="3">
        <v>0.0</v>
      </c>
      <c r="H11885" s="3">
        <v>0.0</v>
      </c>
      <c r="I11885" s="3" t="s">
        <v>13</v>
      </c>
      <c r="J11885" s="3" t="s">
        <v>33728</v>
      </c>
      <c r="K11885" s="3" t="s">
        <v>50</v>
      </c>
      <c r="L11885" s="3" t="str">
        <f>IFERROR(__xludf.DUMMYFUNCTION("GOOGLETRANSLATE(F11885,""id"",""en"")"),"Congrats Argentina guess they are champions using feeling happy, finally Maria print goals")</f>
        <v>Congrats Argentina guess they are champions using feeling happy, finally Maria print goals</v>
      </c>
    </row>
    <row r="11886" ht="15.75" customHeight="1">
      <c r="A11886" s="1">
        <v>13145.0</v>
      </c>
      <c r="B11886" s="3" t="s">
        <v>33729</v>
      </c>
      <c r="C11886" s="3">
        <v>0.0</v>
      </c>
      <c r="D11886" s="3">
        <v>0.0</v>
      </c>
      <c r="E11886" s="3">
        <v>0.0</v>
      </c>
      <c r="F11886" s="3" t="s">
        <v>33730</v>
      </c>
      <c r="G11886" s="3">
        <v>0.0</v>
      </c>
      <c r="H11886" s="3">
        <v>0.0</v>
      </c>
      <c r="I11886" s="3" t="s">
        <v>13</v>
      </c>
      <c r="J11886" s="3" t="s">
        <v>33731</v>
      </c>
      <c r="K11886" s="3" t="s">
        <v>3882</v>
      </c>
      <c r="L11886" s="3" t="str">
        <f>IFERROR(__xludf.DUMMYFUNCTION("GOOGLETRANSLATE(F11886,""id"",""en"")"),"Like a rival Messi and Ronaldo in my football also have rivals in the life where rivals have reached all the goals in their lives and I have not yet just a similarity of important stories.")</f>
        <v>Like a rival Messi and Ronaldo in my football also have rivals in the life where rivals have reached all the goals in their lives and I have not yet just a similarity of important stories.</v>
      </c>
    </row>
    <row r="11887" ht="15.75" customHeight="1">
      <c r="A11887" s="1">
        <v>13146.0</v>
      </c>
      <c r="B11887" s="3" t="s">
        <v>33732</v>
      </c>
      <c r="C11887" s="3">
        <v>0.0</v>
      </c>
      <c r="D11887" s="3">
        <v>0.0</v>
      </c>
      <c r="E11887" s="3">
        <v>0.0</v>
      </c>
      <c r="F11887" s="3" t="s">
        <v>33733</v>
      </c>
      <c r="G11887" s="3">
        <v>0.0</v>
      </c>
      <c r="H11887" s="3">
        <v>0.0</v>
      </c>
      <c r="I11887" s="3" t="s">
        <v>13</v>
      </c>
      <c r="J11887" s="3" t="s">
        <v>33734</v>
      </c>
      <c r="K11887" s="3" t="s">
        <v>54</v>
      </c>
      <c r="L11887" s="3" t="str">
        <f>IFERROR(__xludf.DUMMYFUNCTION("GOOGLETRANSLATE(F11887,""id"",""en"")"),"Argentine player tattoos the championship champions are increasing")</f>
        <v>Argentine player tattoos the championship champions are increasing</v>
      </c>
    </row>
    <row r="11888" ht="15.75" customHeight="1">
      <c r="A11888" s="1">
        <v>13147.0</v>
      </c>
      <c r="B11888" s="3" t="s">
        <v>33735</v>
      </c>
      <c r="C11888" s="3">
        <v>0.0</v>
      </c>
      <c r="D11888" s="3">
        <v>0.0</v>
      </c>
      <c r="E11888" s="3">
        <v>0.0</v>
      </c>
      <c r="F11888" s="3" t="s">
        <v>33736</v>
      </c>
      <c r="G11888" s="3">
        <v>0.3333333333333333</v>
      </c>
      <c r="H11888" s="3">
        <v>0.1666666666666667</v>
      </c>
      <c r="I11888" s="3" t="s">
        <v>48</v>
      </c>
      <c r="J11888" s="3" t="s">
        <v>33737</v>
      </c>
      <c r="K11888" s="3" t="s">
        <v>33738</v>
      </c>
      <c r="L11888" s="3" t="str">
        <f>IFERROR(__xludf.DUMMYFUNCTION("GOOGLETRANSLATE(F11888,""id"",""en"")"),"Finally Argentina Winner in the world budget so remember the cipung predictions if he chose Argentina to become champion and finally the reality continues when Desta and Raffi Ahmad played a smile tennis when asked Raffi Ahmad won wah wah cipung really mi"&amp;"raculous baby")</f>
        <v>Finally Argentina Winner in the world budget so remember the cipung predictions if he chose Argentina to become champion and finally the reality continues when Desta and Raffi Ahmad played a smile tennis when asked Raffi Ahmad won wah wah cipung really miraculous baby</v>
      </c>
    </row>
    <row r="11889" ht="15.75" customHeight="1">
      <c r="A11889" s="1">
        <v>13148.0</v>
      </c>
      <c r="B11889" s="3" t="s">
        <v>33739</v>
      </c>
      <c r="C11889" s="3">
        <v>0.0</v>
      </c>
      <c r="D11889" s="3">
        <v>0.0</v>
      </c>
      <c r="E11889" s="3">
        <v>1.0</v>
      </c>
      <c r="F11889" s="3" t="s">
        <v>33740</v>
      </c>
      <c r="G11889" s="3">
        <v>0.0</v>
      </c>
      <c r="H11889" s="3">
        <v>0.0</v>
      </c>
      <c r="I11889" s="3" t="s">
        <v>13</v>
      </c>
      <c r="J11889" s="3" t="s">
        <v>33741</v>
      </c>
      <c r="K11889" s="3" t="s">
        <v>41</v>
      </c>
      <c r="L11889" s="3" t="str">
        <f>IFERROR(__xludf.DUMMYFUNCTION("GOOGLETRANSLATE(F11889,""id"",""en"")"),"Argentina Champion Cah Ayo Wayah Ngopi Kopi Black My Spirit")</f>
        <v>Argentina Champion Cah Ayo Wayah Ngopi Kopi Black My Spirit</v>
      </c>
    </row>
    <row r="11890" ht="15.75" customHeight="1">
      <c r="A11890" s="1">
        <v>13149.0</v>
      </c>
      <c r="B11890" s="3" t="s">
        <v>33742</v>
      </c>
      <c r="C11890" s="3">
        <v>0.0</v>
      </c>
      <c r="D11890" s="3">
        <v>0.0</v>
      </c>
      <c r="E11890" s="3">
        <v>0.0</v>
      </c>
      <c r="F11890" s="3" t="s">
        <v>33743</v>
      </c>
      <c r="G11890" s="3">
        <v>0.0</v>
      </c>
      <c r="H11890" s="3">
        <v>0.0</v>
      </c>
      <c r="I11890" s="3" t="s">
        <v>13</v>
      </c>
      <c r="J11890" s="3" t="s">
        <v>33744</v>
      </c>
      <c r="K11890" s="3" t="s">
        <v>633</v>
      </c>
      <c r="L11890" s="3" t="str">
        <f>IFERROR(__xludf.DUMMYFUNCTION("GOOGLETRANSLATE(F11890,""id"",""en"")"),"Finally Messi deserves to be called legend because finally able to win all the titles that have been achieved by the legend of the ball Diego Maradona who managed to bring Argentina to the championship")</f>
        <v>Finally Messi deserves to be called legend because finally able to win all the titles that have been achieved by the legend of the ball Diego Maradona who managed to bring Argentina to the championship</v>
      </c>
    </row>
    <row r="11891" ht="15.75" customHeight="1">
      <c r="A11891" s="1">
        <v>13150.0</v>
      </c>
      <c r="B11891" s="3" t="s">
        <v>33745</v>
      </c>
      <c r="C11891" s="3">
        <v>0.0</v>
      </c>
      <c r="D11891" s="3">
        <v>0.0</v>
      </c>
      <c r="E11891" s="3">
        <v>0.0</v>
      </c>
      <c r="F11891" s="3" t="s">
        <v>33746</v>
      </c>
      <c r="G11891" s="3">
        <v>0.0</v>
      </c>
      <c r="H11891" s="3">
        <v>0.0</v>
      </c>
      <c r="I11891" s="3" t="s">
        <v>13</v>
      </c>
      <c r="J11891" s="3" t="s">
        <v>33747</v>
      </c>
      <c r="K11891" s="3" t="s">
        <v>71</v>
      </c>
      <c r="L11891" s="3" t="str">
        <f>IFERROR(__xludf.DUMMYFUNCTION("GOOGLETRANSLATE(F11891,""id"",""en"")"),"Messi's crying video after Argentina finally champions of the CNN Indonesia World Cup Google News Sports News")</f>
        <v>Messi's crying video after Argentina finally champions of the CNN Indonesia World Cup Google News Sports News</v>
      </c>
    </row>
    <row r="11892" ht="15.75" customHeight="1">
      <c r="A11892" s="1">
        <v>13151.0</v>
      </c>
      <c r="B11892" s="3" t="s">
        <v>33748</v>
      </c>
      <c r="C11892" s="3">
        <v>0.0</v>
      </c>
      <c r="D11892" s="3">
        <v>0.0</v>
      </c>
      <c r="E11892" s="3">
        <v>0.0</v>
      </c>
      <c r="F11892" s="3" t="s">
        <v>33749</v>
      </c>
      <c r="G11892" s="3">
        <v>0.0</v>
      </c>
      <c r="H11892" s="3">
        <v>0.0</v>
      </c>
      <c r="I11892" s="3" t="s">
        <v>13</v>
      </c>
      <c r="J11892" s="3" t="s">
        <v>33750</v>
      </c>
      <c r="K11892" s="3" t="s">
        <v>31</v>
      </c>
      <c r="L11892" s="3" t="str">
        <f>IFERROR(__xludf.DUMMYFUNCTION("GOOGLETRANSLATE(F11892,""id"",""en"")"),"Thank you God Argentina Champion")</f>
        <v>Thank you God Argentina Champion</v>
      </c>
    </row>
    <row r="11893" ht="15.75" customHeight="1">
      <c r="A11893" s="1">
        <v>13152.0</v>
      </c>
      <c r="B11893" s="3" t="s">
        <v>33751</v>
      </c>
      <c r="C11893" s="3">
        <v>3.0</v>
      </c>
      <c r="D11893" s="3">
        <v>2.0</v>
      </c>
      <c r="E11893" s="3">
        <v>13.0</v>
      </c>
      <c r="F11893" s="3" t="s">
        <v>33752</v>
      </c>
      <c r="G11893" s="3">
        <v>0.0</v>
      </c>
      <c r="H11893" s="3">
        <v>0.0</v>
      </c>
      <c r="I11893" s="3" t="s">
        <v>13</v>
      </c>
      <c r="J11893" s="3" t="s">
        <v>33753</v>
      </c>
      <c r="K11893" s="3" t="s">
        <v>54</v>
      </c>
      <c r="L11893" s="3" t="str">
        <f>IFERROR(__xludf.DUMMYFUNCTION("GOOGLETRANSLATE(F11893,""id"",""en"")"),"Dramatic Videos Argentina World Cup Champion")</f>
        <v>Dramatic Videos Argentina World Cup Champion</v>
      </c>
    </row>
    <row r="11894" ht="15.75" customHeight="1">
      <c r="A11894" s="1">
        <v>13153.0</v>
      </c>
      <c r="B11894" s="3" t="s">
        <v>33754</v>
      </c>
      <c r="C11894" s="3">
        <v>0.0</v>
      </c>
      <c r="D11894" s="3">
        <v>0.0</v>
      </c>
      <c r="E11894" s="3">
        <v>0.0</v>
      </c>
      <c r="F11894" s="3" t="s">
        <v>33755</v>
      </c>
      <c r="G11894" s="3">
        <v>0.0</v>
      </c>
      <c r="H11894" s="3">
        <v>0.0</v>
      </c>
      <c r="I11894" s="3" t="s">
        <v>13</v>
      </c>
      <c r="J11894" s="3" t="s">
        <v>33756</v>
      </c>
      <c r="K11894" s="3" t="s">
        <v>942</v>
      </c>
      <c r="L11894" s="3" t="str">
        <f>IFERROR(__xludf.DUMMYFUNCTION("GOOGLETRANSLATE(F11894,""id"",""en"")"),"I'm waiting for Dodo's fans to say Argentina is champion because FIFA wkwk let's look for dodo fans gaps")</f>
        <v>I'm waiting for Dodo's fans to say Argentina is champion because FIFA wkwk let's look for dodo fans gaps</v>
      </c>
    </row>
    <row r="11895" ht="15.75" customHeight="1">
      <c r="A11895" s="1">
        <v>13154.0</v>
      </c>
      <c r="B11895" s="3" t="s">
        <v>33757</v>
      </c>
      <c r="C11895" s="3">
        <v>0.0</v>
      </c>
      <c r="D11895" s="3">
        <v>0.0</v>
      </c>
      <c r="E11895" s="3">
        <v>0.0</v>
      </c>
      <c r="F11895" s="3" t="s">
        <v>33758</v>
      </c>
      <c r="G11895" s="3">
        <v>0.3333333333333333</v>
      </c>
      <c r="H11895" s="3">
        <v>0.1666666666666667</v>
      </c>
      <c r="I11895" s="3" t="s">
        <v>48</v>
      </c>
      <c r="J11895" s="3" t="s">
        <v>33759</v>
      </c>
      <c r="K11895" s="3" t="s">
        <v>2013</v>
      </c>
      <c r="L11895" s="3" t="str">
        <f>IFERROR(__xludf.DUMMYFUNCTION("GOOGLETRANSLATE(F11895,""id"",""en"")"),"Messi Sunringah A desire that has not been achieved before last night was achieved by Argentina world champion even though Messi was a bit funny to retire after the World Cup back playing again and now became a world champion")</f>
        <v>Messi Sunringah A desire that has not been achieved before last night was achieved by Argentina world champion even though Messi was a bit funny to retire after the World Cup back playing again and now became a world champion</v>
      </c>
    </row>
    <row r="11896" ht="15.75" customHeight="1">
      <c r="A11896" s="1">
        <v>13155.0</v>
      </c>
      <c r="B11896" s="3" t="s">
        <v>33760</v>
      </c>
      <c r="C11896" s="3">
        <v>0.0</v>
      </c>
      <c r="D11896" s="3">
        <v>0.0</v>
      </c>
      <c r="E11896" s="3">
        <v>14.0</v>
      </c>
      <c r="F11896" s="3" t="s">
        <v>33761</v>
      </c>
      <c r="G11896" s="3">
        <v>0.0</v>
      </c>
      <c r="H11896" s="3">
        <v>0.0</v>
      </c>
      <c r="I11896" s="3" t="s">
        <v>13</v>
      </c>
      <c r="J11896" s="3" t="s">
        <v>33762</v>
      </c>
      <c r="K11896" s="3" t="s">
        <v>1317</v>
      </c>
      <c r="L11896" s="3" t="str">
        <f>IFERROR(__xludf.DUMMYFUNCTION("GOOGLETRANSLATE(F11896,""id"",""en"")"),"It is already the setting of Argentina champion but the setting is the same as the universe not the same as FIFA and one more thing finally Messi ended the debate of who would go because he was the only goat")</f>
        <v>It is already the setting of Argentina champion but the setting is the same as the universe not the same as FIFA and one more thing finally Messi ended the debate of who would go because he was the only goat</v>
      </c>
    </row>
    <row r="11897" ht="15.75" customHeight="1">
      <c r="A11897" s="1">
        <v>13156.0</v>
      </c>
      <c r="B11897" s="3" t="s">
        <v>33763</v>
      </c>
      <c r="C11897" s="3">
        <v>0.0</v>
      </c>
      <c r="D11897" s="3">
        <v>0.0</v>
      </c>
      <c r="E11897" s="3">
        <v>0.0</v>
      </c>
      <c r="F11897" s="3" t="s">
        <v>33764</v>
      </c>
      <c r="G11897" s="3">
        <v>0.0</v>
      </c>
      <c r="H11897" s="3">
        <v>0.0</v>
      </c>
      <c r="I11897" s="3" t="s">
        <v>13</v>
      </c>
      <c r="J11897" s="3" t="s">
        <v>33765</v>
      </c>
      <c r="K11897" s="3" t="s">
        <v>41</v>
      </c>
      <c r="L11897" s="3" t="str">
        <f>IFERROR(__xludf.DUMMYFUNCTION("GOOGLETRANSLATE(F11897,""id"",""en"")"),"Lionel Messi Incidences History for Argentina After our Fasting Year World Champion")</f>
        <v>Lionel Messi Incidences History for Argentina After our Fasting Year World Champion</v>
      </c>
    </row>
    <row r="11898" ht="15.75" customHeight="1">
      <c r="A11898" s="1">
        <v>13157.0</v>
      </c>
      <c r="B11898" s="3" t="s">
        <v>33766</v>
      </c>
      <c r="C11898" s="3">
        <v>1.0</v>
      </c>
      <c r="D11898" s="3">
        <v>0.0</v>
      </c>
      <c r="E11898" s="3">
        <v>0.0</v>
      </c>
      <c r="F11898" s="3" t="s">
        <v>33767</v>
      </c>
      <c r="G11898" s="3">
        <v>0.0</v>
      </c>
      <c r="H11898" s="3">
        <v>0.0</v>
      </c>
      <c r="I11898" s="3" t="s">
        <v>13</v>
      </c>
      <c r="J11898" s="3" t="s">
        <v>33768</v>
      </c>
      <c r="K11898" s="3" t="s">
        <v>1097</v>
      </c>
      <c r="L11898" s="3" t="str">
        <f>IFERROR(__xludf.DUMMYFUNCTION("GOOGLETRANSLATE(F11898,""id"",""en"")"),"Matursuwon Argentina France Rasido won the Lotsene Entek Tour")</f>
        <v>Matursuwon Argentina France Rasido won the Lotsene Entek Tour</v>
      </c>
    </row>
    <row r="11899" ht="15.75" customHeight="1">
      <c r="A11899" s="1">
        <v>13158.0</v>
      </c>
      <c r="B11899" s="3" t="s">
        <v>33769</v>
      </c>
      <c r="C11899" s="3">
        <v>0.0</v>
      </c>
      <c r="D11899" s="3">
        <v>0.0</v>
      </c>
      <c r="E11899" s="3">
        <v>0.0</v>
      </c>
      <c r="F11899" s="3" t="s">
        <v>33770</v>
      </c>
      <c r="G11899" s="3">
        <v>0.0</v>
      </c>
      <c r="H11899" s="3">
        <v>0.0</v>
      </c>
      <c r="I11899" s="3" t="s">
        <v>13</v>
      </c>
      <c r="J11899" s="3" t="s">
        <v>31246</v>
      </c>
      <c r="K11899" s="3" t="s">
        <v>644</v>
      </c>
      <c r="L11899" s="3" t="str">
        <f>IFERROR(__xludf.DUMMYFUNCTION("GOOGLETRANSLATE(F11899,""id"",""en"")"),"Congratulations to Argentina World Champion")</f>
        <v>Congratulations to Argentina World Champion</v>
      </c>
    </row>
    <row r="11900" ht="15.75" customHeight="1">
      <c r="A11900" s="1">
        <v>13159.0</v>
      </c>
      <c r="B11900" s="3" t="s">
        <v>33771</v>
      </c>
      <c r="C11900" s="3">
        <v>0.0</v>
      </c>
      <c r="D11900" s="3">
        <v>1.0</v>
      </c>
      <c r="E11900" s="3">
        <v>3.0</v>
      </c>
      <c r="F11900" s="3" t="s">
        <v>33772</v>
      </c>
      <c r="G11900" s="3">
        <v>0.0</v>
      </c>
      <c r="H11900" s="3">
        <v>0.0</v>
      </c>
      <c r="I11900" s="3" t="s">
        <v>13</v>
      </c>
      <c r="J11900" s="3" t="s">
        <v>33773</v>
      </c>
      <c r="K11900" s="3" t="s">
        <v>149</v>
      </c>
      <c r="L11900" s="3" t="str">
        <f>IFERROR(__xludf.DUMMYFUNCTION("GOOGLETRANSLATE(F11900,""id"",""en"")"),"God wants your ease and does not want difficulties for you Albaqarah, hopefully we are always facilitated in facing various Aamiin problems congratulations for the Argentine team as world champions")</f>
        <v>God wants your ease and does not want difficulties for you Albaqarah, hopefully we are always facilitated in facing various Aamiin problems congratulations for the Argentine team as world champions</v>
      </c>
    </row>
    <row r="11901" ht="15.75" customHeight="1">
      <c r="A11901" s="1">
        <v>13160.0</v>
      </c>
      <c r="B11901" s="3" t="s">
        <v>33774</v>
      </c>
      <c r="C11901" s="3">
        <v>22.0</v>
      </c>
      <c r="D11901" s="3">
        <v>28.0</v>
      </c>
      <c r="E11901" s="3">
        <v>57.0</v>
      </c>
      <c r="F11901" s="3" t="s">
        <v>33775</v>
      </c>
      <c r="G11901" s="3">
        <v>0.0</v>
      </c>
      <c r="H11901" s="3">
        <v>0.0</v>
      </c>
      <c r="I11901" s="3" t="s">
        <v>13</v>
      </c>
      <c r="J11901" s="3" t="s">
        <v>33776</v>
      </c>
      <c r="K11901" s="3" t="s">
        <v>41</v>
      </c>
      <c r="L11901" s="3" t="str">
        <f>IFERROR(__xludf.DUMMYFUNCTION("GOOGLETRANSLATE(F11901,""id"",""en"")"),"Argentina Champion World Cup Ketum PSSI lifts the giant trophy")</f>
        <v>Argentina Champion World Cup Ketum PSSI lifts the giant trophy</v>
      </c>
    </row>
    <row r="11902" ht="15.75" customHeight="1">
      <c r="A11902" s="1">
        <v>13161.0</v>
      </c>
      <c r="B11902" s="3" t="s">
        <v>33777</v>
      </c>
      <c r="C11902" s="3">
        <v>0.0</v>
      </c>
      <c r="D11902" s="3">
        <v>0.0</v>
      </c>
      <c r="E11902" s="3">
        <v>0.0</v>
      </c>
      <c r="F11902" s="3" t="s">
        <v>33778</v>
      </c>
      <c r="G11902" s="3">
        <v>0.0</v>
      </c>
      <c r="H11902" s="3">
        <v>0.0</v>
      </c>
      <c r="I11902" s="3" t="s">
        <v>13</v>
      </c>
      <c r="J11902" s="3" t="s">
        <v>33779</v>
      </c>
      <c r="K11902" s="3" t="s">
        <v>236</v>
      </c>
      <c r="L11902" s="3" t="str">
        <f>IFERROR(__xludf.DUMMYFUNCTION("GOOGLETRANSLATE(F11902,""id"",""en"")"),"Argentina World Champion This List of World Cup Awards There are names of Messi and Mbappe")</f>
        <v>Argentina World Champion This List of World Cup Awards There are names of Messi and Mbappe</v>
      </c>
    </row>
    <row r="11903" ht="15.75" customHeight="1">
      <c r="A11903" s="1">
        <v>13163.0</v>
      </c>
      <c r="B11903" s="3" t="s">
        <v>33780</v>
      </c>
      <c r="C11903" s="3">
        <v>0.0</v>
      </c>
      <c r="D11903" s="3">
        <v>0.0</v>
      </c>
      <c r="E11903" s="3">
        <v>0.0</v>
      </c>
      <c r="F11903" s="3" t="s">
        <v>33781</v>
      </c>
      <c r="G11903" s="3">
        <v>0.0</v>
      </c>
      <c r="H11903" s="3">
        <v>0.0</v>
      </c>
      <c r="I11903" s="3" t="s">
        <v>13</v>
      </c>
      <c r="J11903" s="3" t="s">
        <v>33782</v>
      </c>
      <c r="K11903" s="3" t="s">
        <v>15</v>
      </c>
      <c r="L11903" s="3" t="str">
        <f>IFERROR(__xludf.DUMMYFUNCTION("GOOGLETRANSLATE(F11903,""id"",""en"")"),"I said, if Argentina will be the World Cup champion")</f>
        <v>I said, if Argentina will be the World Cup champion</v>
      </c>
    </row>
    <row r="11904" ht="15.75" customHeight="1">
      <c r="A11904" s="1">
        <v>13164.0</v>
      </c>
      <c r="B11904" s="3" t="s">
        <v>33783</v>
      </c>
      <c r="C11904" s="3">
        <v>0.0</v>
      </c>
      <c r="D11904" s="3">
        <v>0.0</v>
      </c>
      <c r="E11904" s="3">
        <v>0.0</v>
      </c>
      <c r="F11904" s="3" t="s">
        <v>33784</v>
      </c>
      <c r="G11904" s="3">
        <v>0.0</v>
      </c>
      <c r="H11904" s="3">
        <v>0.0</v>
      </c>
      <c r="I11904" s="3" t="s">
        <v>13</v>
      </c>
      <c r="J11904" s="3" t="s">
        <v>33785</v>
      </c>
      <c r="K11904" s="3" t="s">
        <v>123</v>
      </c>
      <c r="L11904" s="3" t="str">
        <f>IFERROR(__xludf.DUMMYFUNCTION("GOOGLETRANSLATE(F11904,""id"",""en"")"),"Zeejkt Zee and his family support the Argentine national team until finally becoming a world champion really World Cup")</f>
        <v>Zeejkt Zee and his family support the Argentine national team until finally becoming a world champion really World Cup</v>
      </c>
    </row>
    <row r="11905" ht="15.75" customHeight="1">
      <c r="A11905" s="1">
        <v>13165.0</v>
      </c>
      <c r="B11905" s="3" t="s">
        <v>33786</v>
      </c>
      <c r="C11905" s="3">
        <v>0.0</v>
      </c>
      <c r="D11905" s="3">
        <v>0.0</v>
      </c>
      <c r="E11905" s="3">
        <v>0.0</v>
      </c>
      <c r="F11905" s="3" t="s">
        <v>33787</v>
      </c>
      <c r="G11905" s="3">
        <v>0.0</v>
      </c>
      <c r="H11905" s="3">
        <v>0.0</v>
      </c>
      <c r="I11905" s="3" t="s">
        <v>13</v>
      </c>
      <c r="J11905" s="3" t="s">
        <v>33788</v>
      </c>
      <c r="K11905" s="3" t="s">
        <v>644</v>
      </c>
      <c r="L11905" s="3" t="str">
        <f>IFERROR(__xludf.DUMMYFUNCTION("GOOGLETRANSLATE(F11905,""id"",""en"")"),"already said that the champion was Argentina")</f>
        <v>already said that the champion was Argentina</v>
      </c>
    </row>
    <row r="11906" ht="15.75" customHeight="1">
      <c r="A11906" s="1">
        <v>13166.0</v>
      </c>
      <c r="B11906" s="3" t="s">
        <v>33789</v>
      </c>
      <c r="C11906" s="3">
        <v>0.0</v>
      </c>
      <c r="D11906" s="3">
        <v>1.0</v>
      </c>
      <c r="E11906" s="3">
        <v>4.0</v>
      </c>
      <c r="F11906" s="3" t="s">
        <v>33790</v>
      </c>
      <c r="G11906" s="3">
        <v>0.0</v>
      </c>
      <c r="H11906" s="3">
        <v>0.0</v>
      </c>
      <c r="I11906" s="3" t="s">
        <v>13</v>
      </c>
      <c r="J11906" s="3" t="s">
        <v>33791</v>
      </c>
      <c r="K11906" s="3" t="s">
        <v>15</v>
      </c>
      <c r="L11906" s="3" t="str">
        <f>IFERROR(__xludf.DUMMYFUNCTION("GOOGLETRANSLATE(F11906,""id"",""en"")"),"Assalamualaikum and good morning Tahniah Argentina Champion World Cup")</f>
        <v>Assalamualaikum and good morning Tahniah Argentina Champion World Cup</v>
      </c>
    </row>
    <row r="11907" ht="15.75" customHeight="1">
      <c r="A11907" s="1">
        <v>13167.0</v>
      </c>
      <c r="B11907" s="3" t="s">
        <v>33792</v>
      </c>
      <c r="C11907" s="3">
        <v>0.0</v>
      </c>
      <c r="D11907" s="3">
        <v>0.0</v>
      </c>
      <c r="E11907" s="3">
        <v>3.0</v>
      </c>
      <c r="F11907" s="3" t="s">
        <v>33793</v>
      </c>
      <c r="G11907" s="3">
        <v>0.0</v>
      </c>
      <c r="H11907" s="3">
        <v>0.0</v>
      </c>
      <c r="I11907" s="3" t="s">
        <v>13</v>
      </c>
      <c r="J11907" s="3" t="s">
        <v>33794</v>
      </c>
      <c r="K11907" s="3" t="s">
        <v>41</v>
      </c>
      <c r="L11907" s="3" t="str">
        <f>IFERROR(__xludf.DUMMYFUNCTION("GOOGLETRANSLATE(F11907,""id"",""en"")"),"massage first after the champion was Argentina Champion")</f>
        <v>massage first after the champion was Argentina Champion</v>
      </c>
    </row>
    <row r="11908" ht="15.75" customHeight="1">
      <c r="A11908" s="1">
        <v>13168.0</v>
      </c>
      <c r="B11908" s="3" t="s">
        <v>33795</v>
      </c>
      <c r="C11908" s="3">
        <v>0.0</v>
      </c>
      <c r="D11908" s="3">
        <v>0.0</v>
      </c>
      <c r="E11908" s="3">
        <v>0.0</v>
      </c>
      <c r="F11908" s="3" t="s">
        <v>33796</v>
      </c>
      <c r="G11908" s="3">
        <v>0.0</v>
      </c>
      <c r="H11908" s="3">
        <v>0.0</v>
      </c>
      <c r="I11908" s="3" t="s">
        <v>13</v>
      </c>
      <c r="J11908" s="3" t="s">
        <v>33797</v>
      </c>
      <c r="K11908" s="3" t="s">
        <v>41</v>
      </c>
      <c r="L11908" s="3" t="str">
        <f>IFERROR(__xludf.DUMMYFUNCTION("GOOGLETRANSLATE(F11908,""id"",""en"")"),"Even though it's really happy that your champion is cool too")</f>
        <v>Even though it's really happy that your champion is cool too</v>
      </c>
    </row>
    <row r="11909" ht="15.75" customHeight="1">
      <c r="A11909" s="1">
        <v>13169.0</v>
      </c>
      <c r="B11909" s="3" t="s">
        <v>33798</v>
      </c>
      <c r="C11909" s="3">
        <v>0.0</v>
      </c>
      <c r="D11909" s="3">
        <v>0.0</v>
      </c>
      <c r="E11909" s="3">
        <v>1.0</v>
      </c>
      <c r="F11909" s="3" t="s">
        <v>33799</v>
      </c>
      <c r="G11909" s="3">
        <v>0.0</v>
      </c>
      <c r="H11909" s="3">
        <v>0.0</v>
      </c>
      <c r="I11909" s="3" t="s">
        <v>13</v>
      </c>
      <c r="J11909" s="3" t="s">
        <v>33800</v>
      </c>
      <c r="K11909" s="3" t="s">
        <v>31</v>
      </c>
      <c r="L11909" s="3" t="str">
        <f>IFERROR(__xludf.DUMMYFUNCTION("GOOGLETRANSLATE(F11909,""id"",""en"")"),"Argentina became world champion in the year")</f>
        <v>Argentina became world champion in the year</v>
      </c>
    </row>
    <row r="11910" ht="15.75" customHeight="1">
      <c r="A11910" s="1">
        <v>13170.0</v>
      </c>
      <c r="B11910" s="3" t="s">
        <v>33801</v>
      </c>
      <c r="C11910" s="3">
        <v>0.0</v>
      </c>
      <c r="D11910" s="3">
        <v>0.0</v>
      </c>
      <c r="E11910" s="3">
        <v>2.0</v>
      </c>
      <c r="F11910" s="3" t="s">
        <v>17024</v>
      </c>
      <c r="G11910" s="3">
        <v>0.0</v>
      </c>
      <c r="H11910" s="3">
        <v>0.0</v>
      </c>
      <c r="I11910" s="3" t="s">
        <v>13</v>
      </c>
      <c r="J11910" s="3" t="s">
        <v>17025</v>
      </c>
      <c r="K11910" s="3" t="s">
        <v>510</v>
      </c>
      <c r="L11910" s="3" t="str">
        <f>IFERROR(__xludf.DUMMYFUNCTION("GOOGLETRANSLATE(F11910,""id"",""en"")"),"Lionel's jealous footballer Messi brought Argentina World Cup Champion Numbers the most hurt")</f>
        <v>Lionel's jealous footballer Messi brought Argentina World Cup Champion Numbers the most hurt</v>
      </c>
    </row>
    <row r="11911" ht="15.75" customHeight="1">
      <c r="A11911" s="1">
        <v>13171.0</v>
      </c>
      <c r="B11911" s="3" t="s">
        <v>33802</v>
      </c>
      <c r="C11911" s="3">
        <v>1.0</v>
      </c>
      <c r="D11911" s="3">
        <v>0.0</v>
      </c>
      <c r="E11911" s="3">
        <v>0.0</v>
      </c>
      <c r="F11911" s="3" t="s">
        <v>33803</v>
      </c>
      <c r="G11911" s="3">
        <v>0.0</v>
      </c>
      <c r="H11911" s="3">
        <v>0.0</v>
      </c>
      <c r="I11911" s="3" t="s">
        <v>13</v>
      </c>
      <c r="J11911" s="3" t="s">
        <v>33804</v>
      </c>
      <c r="K11911" s="3" t="s">
        <v>1265</v>
      </c>
      <c r="L11911" s="3" t="str">
        <f>IFERROR(__xludf.DUMMYFUNCTION("GOOGLETRANSLATE(F11911,""id"",""en"")"),"Buzz Cut Soon Promise Argentina Champion Buzz Cut Learn to Apply PromiseIIII")</f>
        <v>Buzz Cut Soon Promise Argentina Champion Buzz Cut Learn to Apply PromiseIIII</v>
      </c>
    </row>
    <row r="11912" ht="15.75" customHeight="1">
      <c r="A11912" s="1">
        <v>13172.0</v>
      </c>
      <c r="B11912" s="3" t="s">
        <v>33805</v>
      </c>
      <c r="C11912" s="3">
        <v>1.0</v>
      </c>
      <c r="D11912" s="3">
        <v>25.0</v>
      </c>
      <c r="E11912" s="3">
        <v>183.0</v>
      </c>
      <c r="F11912" s="3" t="s">
        <v>33806</v>
      </c>
      <c r="G11912" s="3">
        <v>0.0</v>
      </c>
      <c r="H11912" s="3">
        <v>0.0</v>
      </c>
      <c r="I11912" s="3" t="s">
        <v>13</v>
      </c>
      <c r="J11912" s="3" t="s">
        <v>33807</v>
      </c>
      <c r="K11912" s="3" t="s">
        <v>699</v>
      </c>
      <c r="L11912" s="3" t="str">
        <f>IFERROR(__xludf.DUMMYFUNCTION("GOOGLETRANSLATE(F11912,""id"",""en"")"),"FTD for Taipei World Cup and Argentina who won World Cup Thank you for your Buddyness to get a sweet moment from Ohmnanon")</f>
        <v>FTD for Taipei World Cup and Argentina who won World Cup Thank you for your Buddyness to get a sweet moment from Ohmnanon</v>
      </c>
    </row>
    <row r="11913" ht="15.75" customHeight="1">
      <c r="A11913" s="1">
        <v>13173.0</v>
      </c>
      <c r="B11913" s="3" t="s">
        <v>33808</v>
      </c>
      <c r="C11913" s="3">
        <v>0.0</v>
      </c>
      <c r="D11913" s="3">
        <v>0.0</v>
      </c>
      <c r="E11913" s="3">
        <v>0.0</v>
      </c>
      <c r="F11913" s="3" t="s">
        <v>33809</v>
      </c>
      <c r="G11913" s="3">
        <v>0.0</v>
      </c>
      <c r="H11913" s="3">
        <v>0.0</v>
      </c>
      <c r="I11913" s="3" t="s">
        <v>13</v>
      </c>
      <c r="J11913" s="3" t="s">
        <v>33810</v>
      </c>
      <c r="K11913" s="3" t="s">
        <v>31</v>
      </c>
      <c r="L11913" s="3" t="str">
        <f>IFERROR(__xludf.DUMMYFUNCTION("GOOGLETRANSLATE(F11913,""id"",""en"")"),"very happy today Argentina champions")</f>
        <v>very happy today Argentina champions</v>
      </c>
    </row>
    <row r="11914" ht="15.75" customHeight="1">
      <c r="A11914" s="1">
        <v>13174.0</v>
      </c>
      <c r="B11914" s="3" t="s">
        <v>33811</v>
      </c>
      <c r="C11914" s="3">
        <v>0.0</v>
      </c>
      <c r="D11914" s="3">
        <v>0.0</v>
      </c>
      <c r="E11914" s="3">
        <v>0.0</v>
      </c>
      <c r="F11914" s="3" t="s">
        <v>33812</v>
      </c>
      <c r="G11914" s="3">
        <v>0.0</v>
      </c>
      <c r="H11914" s="3">
        <v>0.0</v>
      </c>
      <c r="I11914" s="3" t="s">
        <v>13</v>
      </c>
      <c r="J11914" s="3" t="s">
        <v>33813</v>
      </c>
      <c r="K11914" s="3" t="s">
        <v>240</v>
      </c>
      <c r="L11914" s="3" t="str">
        <f>IFERROR(__xludf.DUMMYFUNCTION("GOOGLETRANSLATE(F11914,""id"",""en"")"),"Ketum PSSI joined in fun after Argentina won the Qatar World Cup lifted the giant trophy in the watching event together")</f>
        <v>Ketum PSSI joined in fun after Argentina won the Qatar World Cup lifted the giant trophy in the watching event together</v>
      </c>
    </row>
    <row r="11915" ht="15.75" customHeight="1">
      <c r="A11915" s="1">
        <v>13175.0</v>
      </c>
      <c r="B11915" s="3" t="s">
        <v>33814</v>
      </c>
      <c r="C11915" s="3">
        <v>0.0</v>
      </c>
      <c r="D11915" s="3">
        <v>0.0</v>
      </c>
      <c r="E11915" s="3">
        <v>1.0</v>
      </c>
      <c r="F11915" s="3" t="s">
        <v>33815</v>
      </c>
      <c r="G11915" s="3">
        <v>0.0</v>
      </c>
      <c r="H11915" s="3">
        <v>0.0</v>
      </c>
      <c r="I11915" s="3" t="s">
        <v>13</v>
      </c>
      <c r="J11915" s="3" t="s">
        <v>33816</v>
      </c>
      <c r="K11915" s="3" t="s">
        <v>82</v>
      </c>
      <c r="L11915" s="3" t="str">
        <f>IFERROR(__xludf.DUMMYFUNCTION("GOOGLETRANSLATE(F11915,""id"",""en"")"),"Lionel Messi exclaimed our Argentine supporters")</f>
        <v>Lionel Messi exclaimed our Argentine supporters</v>
      </c>
    </row>
    <row r="11916" ht="15.75" customHeight="1">
      <c r="A11916" s="1">
        <v>13176.0</v>
      </c>
      <c r="B11916" s="3" t="s">
        <v>33817</v>
      </c>
      <c r="C11916" s="3">
        <v>3.0</v>
      </c>
      <c r="D11916" s="3">
        <v>0.0</v>
      </c>
      <c r="E11916" s="3">
        <v>3.0</v>
      </c>
      <c r="F11916" s="3" t="s">
        <v>33818</v>
      </c>
      <c r="G11916" s="3">
        <v>0.0</v>
      </c>
      <c r="H11916" s="3">
        <v>0.0</v>
      </c>
      <c r="I11916" s="3" t="s">
        <v>13</v>
      </c>
      <c r="J11916" s="3" t="s">
        <v>33819</v>
      </c>
      <c r="K11916" s="3" t="s">
        <v>82</v>
      </c>
      <c r="L11916" s="3" t="str">
        <f>IFERROR(__xludf.DUMMYFUNCTION("GOOGLETRANSLATE(F11916,""id"",""en"")"),"Buenos Aeros Celebrates Argentina as World Champion Gracias hehe")</f>
        <v>Buenos Aeros Celebrates Argentina as World Champion Gracias hehe</v>
      </c>
    </row>
    <row r="11917" ht="15.75" customHeight="1">
      <c r="A11917" s="1">
        <v>13177.0</v>
      </c>
      <c r="B11917" s="3" t="s">
        <v>33820</v>
      </c>
      <c r="C11917" s="3">
        <v>0.0</v>
      </c>
      <c r="D11917" s="3">
        <v>0.0</v>
      </c>
      <c r="E11917" s="3">
        <v>0.0</v>
      </c>
      <c r="F11917" s="3" t="s">
        <v>33821</v>
      </c>
      <c r="G11917" s="3">
        <v>0.0</v>
      </c>
      <c r="H11917" s="3">
        <v>0.0</v>
      </c>
      <c r="I11917" s="3" t="s">
        <v>13</v>
      </c>
      <c r="J11917" s="3" t="s">
        <v>33822</v>
      </c>
      <c r="K11917" s="3" t="s">
        <v>477</v>
      </c>
      <c r="L11917" s="3" t="str">
        <f>IFERROR(__xludf.DUMMYFUNCTION("GOOGLETRANSLATE(F11917,""id"",""en"")"),"the one who won Argentina trending Messi other players help Messi doang")</f>
        <v>the one who won Argentina trending Messi other players help Messi doang</v>
      </c>
    </row>
    <row r="11918" ht="15.75" customHeight="1">
      <c r="A11918" s="1">
        <v>13178.0</v>
      </c>
      <c r="B11918" s="3" t="s">
        <v>33823</v>
      </c>
      <c r="C11918" s="3">
        <v>0.0</v>
      </c>
      <c r="D11918" s="3">
        <v>0.0</v>
      </c>
      <c r="E11918" s="3">
        <v>0.0</v>
      </c>
      <c r="F11918" s="3" t="s">
        <v>33824</v>
      </c>
      <c r="G11918" s="3">
        <v>0.0</v>
      </c>
      <c r="H11918" s="3">
        <v>0.0</v>
      </c>
      <c r="I11918" s="3" t="s">
        <v>13</v>
      </c>
      <c r="J11918" s="3" t="s">
        <v>33825</v>
      </c>
      <c r="K11918" s="3" t="s">
        <v>322</v>
      </c>
      <c r="L11918" s="3" t="str">
        <f>IFERROR(__xludf.DUMMYFUNCTION("GOOGLETRANSLATE(F11918,""id"",""en"")"),"know why suddenly Argentina is so happy")</f>
        <v>know why suddenly Argentina is so happy</v>
      </c>
    </row>
    <row r="11919" ht="15.75" customHeight="1">
      <c r="A11919" s="1">
        <v>13179.0</v>
      </c>
      <c r="B11919" s="3" t="s">
        <v>33826</v>
      </c>
      <c r="C11919" s="3">
        <v>0.0</v>
      </c>
      <c r="D11919" s="3">
        <v>0.0</v>
      </c>
      <c r="E11919" s="3">
        <v>0.0</v>
      </c>
      <c r="F11919" s="3" t="s">
        <v>33827</v>
      </c>
      <c r="G11919" s="3">
        <v>0.0</v>
      </c>
      <c r="H11919" s="3">
        <v>0.0</v>
      </c>
      <c r="I11919" s="3" t="s">
        <v>13</v>
      </c>
      <c r="J11919" s="3" t="s">
        <v>33828</v>
      </c>
      <c r="K11919" s="3" t="s">
        <v>31</v>
      </c>
      <c r="L11919" s="3" t="str">
        <f>IFERROR(__xludf.DUMMYFUNCTION("GOOGLETRANSLATE(F11919,""id"",""en"")"),"Argentina won our Messi World Champion")</f>
        <v>Argentina won our Messi World Champion</v>
      </c>
    </row>
    <row r="11920" ht="15.75" customHeight="1">
      <c r="A11920" s="1">
        <v>13180.0</v>
      </c>
      <c r="B11920" s="3" t="s">
        <v>33829</v>
      </c>
      <c r="C11920" s="3">
        <v>0.0</v>
      </c>
      <c r="D11920" s="3">
        <v>0.0</v>
      </c>
      <c r="E11920" s="3">
        <v>0.0</v>
      </c>
      <c r="F11920" s="3" t="s">
        <v>33830</v>
      </c>
      <c r="G11920" s="3">
        <v>0.0</v>
      </c>
      <c r="H11920" s="3">
        <v>0.0</v>
      </c>
      <c r="I11920" s="3" t="s">
        <v>13</v>
      </c>
      <c r="J11920" s="3" t="s">
        <v>33831</v>
      </c>
      <c r="K11920" s="3" t="s">
        <v>31</v>
      </c>
      <c r="L11920" s="3" t="str">
        <f>IFERROR(__xludf.DUMMYFUNCTION("GOOGLETRANSLATE(F11920,""id"",""en"")"),"Congrats Argentina Degdegserrr finally champions too")</f>
        <v>Congrats Argentina Degdegserrr finally champions too</v>
      </c>
    </row>
    <row r="11921" ht="15.75" customHeight="1">
      <c r="A11921" s="1">
        <v>13181.0</v>
      </c>
      <c r="B11921" s="3" t="s">
        <v>33832</v>
      </c>
      <c r="C11921" s="3">
        <v>1.0</v>
      </c>
      <c r="D11921" s="3">
        <v>0.0</v>
      </c>
      <c r="E11921" s="3">
        <v>0.0</v>
      </c>
      <c r="F11921" s="3" t="s">
        <v>33833</v>
      </c>
      <c r="G11921" s="3">
        <v>0.0</v>
      </c>
      <c r="H11921" s="3">
        <v>0.0</v>
      </c>
      <c r="I11921" s="3" t="s">
        <v>13</v>
      </c>
      <c r="J11921" s="3" t="s">
        <v>33834</v>
      </c>
      <c r="K11921" s="3" t="s">
        <v>15</v>
      </c>
      <c r="L11921" s="3" t="str">
        <f>IFERROR(__xludf.DUMMYFUNCTION("GOOGLETRANSLATE(F11921,""id"",""en"")"),"Argentina Boss Senggol Dong, French Sleeping, just to dream of the championship")</f>
        <v>Argentina Boss Senggol Dong, French Sleeping, just to dream of the championship</v>
      </c>
    </row>
    <row r="11922" ht="15.75" customHeight="1">
      <c r="A11922" s="1">
        <v>13182.0</v>
      </c>
      <c r="B11922" s="3" t="s">
        <v>33835</v>
      </c>
      <c r="C11922" s="3">
        <v>0.0</v>
      </c>
      <c r="D11922" s="3">
        <v>0.0</v>
      </c>
      <c r="E11922" s="3">
        <v>0.0</v>
      </c>
      <c r="F11922" s="3" t="s">
        <v>33836</v>
      </c>
      <c r="G11922" s="3">
        <v>0.0</v>
      </c>
      <c r="H11922" s="3">
        <v>0.0</v>
      </c>
      <c r="I11922" s="3" t="s">
        <v>13</v>
      </c>
      <c r="J11922" s="3" t="s">
        <v>33837</v>
      </c>
      <c r="K11922" s="3" t="s">
        <v>71</v>
      </c>
      <c r="L11922" s="3" t="str">
        <f>IFERROR(__xludf.DUMMYFUNCTION("GOOGLETRANSLATE(F11922,""id"",""en"")"),"On their nobar calm, they support the French team while the World Cup world champion is Argentina Sing Sabar Maseeehhh")</f>
        <v>On their nobar calm, they support the French team while the World Cup world champion is Argentina Sing Sabar Maseeehhh</v>
      </c>
    </row>
    <row r="11923" ht="15.75" customHeight="1">
      <c r="A11923" s="1">
        <v>13183.0</v>
      </c>
      <c r="B11923" s="3" t="s">
        <v>33838</v>
      </c>
      <c r="C11923" s="3">
        <v>3.0</v>
      </c>
      <c r="D11923" s="3">
        <v>4.0</v>
      </c>
      <c r="E11923" s="3">
        <v>30.0</v>
      </c>
      <c r="F11923" s="3" t="s">
        <v>28898</v>
      </c>
      <c r="G11923" s="3">
        <v>0.0</v>
      </c>
      <c r="H11923" s="3">
        <v>0.0</v>
      </c>
      <c r="I11923" s="3" t="s">
        <v>13</v>
      </c>
      <c r="J11923" s="3" t="s">
        <v>28899</v>
      </c>
      <c r="K11923" s="3" t="s">
        <v>633</v>
      </c>
      <c r="L11923" s="3" t="str">
        <f>IFERROR(__xludf.DUMMYFUNCTION("GOOGLETRANSLATE(F11923,""id"",""en"")"),"France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1924" ht="15.75" customHeight="1">
      <c r="A11924" s="1">
        <v>13184.0</v>
      </c>
      <c r="B11924" s="3" t="s">
        <v>33839</v>
      </c>
      <c r="C11924" s="3">
        <v>0.0</v>
      </c>
      <c r="D11924" s="3">
        <v>1.0</v>
      </c>
      <c r="E11924" s="3">
        <v>1.0</v>
      </c>
      <c r="F11924" s="3" t="s">
        <v>33840</v>
      </c>
      <c r="G11924" s="3">
        <v>0.0</v>
      </c>
      <c r="H11924" s="3">
        <v>0.0</v>
      </c>
      <c r="I11924" s="3" t="s">
        <v>13</v>
      </c>
      <c r="J11924" s="3" t="s">
        <v>33841</v>
      </c>
      <c r="K11924" s="3" t="s">
        <v>1479</v>
      </c>
      <c r="L11924" s="3" t="str">
        <f>IFERROR(__xludf.DUMMYFUNCTION("GOOGLETRANSLATE(F11924,""id"",""en"")"),"Thank you, sir, only the regime of Mr. Argentina, the Presidential Cup champion before BPK, was able to thank you very much, sir")</f>
        <v>Thank you, sir, only the regime of Mr. Argentina, the Presidential Cup champion before BPK, was able to thank you very much, sir</v>
      </c>
    </row>
    <row r="11925" ht="15.75" customHeight="1">
      <c r="A11925" s="1">
        <v>13185.0</v>
      </c>
      <c r="B11925" s="3" t="s">
        <v>33842</v>
      </c>
      <c r="C11925" s="3">
        <v>1.0</v>
      </c>
      <c r="D11925" s="3">
        <v>0.0</v>
      </c>
      <c r="E11925" s="3">
        <v>3.0</v>
      </c>
      <c r="F11925" s="3" t="s">
        <v>33843</v>
      </c>
      <c r="G11925" s="3">
        <v>0.0</v>
      </c>
      <c r="H11925" s="3">
        <v>0.0</v>
      </c>
      <c r="I11925" s="3" t="s">
        <v>13</v>
      </c>
      <c r="J11925" s="3" t="s">
        <v>33844</v>
      </c>
      <c r="K11925" s="3" t="s">
        <v>495</v>
      </c>
      <c r="L11925" s="3" t="str">
        <f>IFERROR(__xludf.DUMMYFUNCTION("GOOGLETRANSLATE(F11925,""id"",""en"")"),"Argentina managed to come out as champions at the World Cup after defeating France through the winning penalty round.")</f>
        <v>Argentina managed to come out as champions at the World Cup after defeating France through the winning penalty round.</v>
      </c>
    </row>
    <row r="11926" ht="15.75" customHeight="1">
      <c r="A11926" s="1">
        <v>13186.0</v>
      </c>
      <c r="B11926" s="3" t="s">
        <v>33845</v>
      </c>
      <c r="C11926" s="3">
        <v>0.0</v>
      </c>
      <c r="D11926" s="3">
        <v>0.0</v>
      </c>
      <c r="E11926" s="3">
        <v>0.0</v>
      </c>
      <c r="F11926" s="3" t="s">
        <v>33846</v>
      </c>
      <c r="G11926" s="3">
        <v>0.0</v>
      </c>
      <c r="H11926" s="3">
        <v>0.0</v>
      </c>
      <c r="I11926" s="3" t="s">
        <v>13</v>
      </c>
      <c r="J11926" s="3" t="s">
        <v>33847</v>
      </c>
      <c r="K11926" s="3" t="s">
        <v>75</v>
      </c>
      <c r="L11926" s="3" t="str">
        <f>IFERROR(__xludf.DUMMYFUNCTION("GOOGLETRANSLATE(F11926,""id"",""en"")"),"Don't make a fuss for world champion actually Saudi Arabia for defeating Argentina Qatar")</f>
        <v>Don't make a fuss for world champion actually Saudi Arabia for defeating Argentina Qatar</v>
      </c>
    </row>
    <row r="11927" ht="15.75" customHeight="1">
      <c r="A11927" s="1">
        <v>13187.0</v>
      </c>
      <c r="B11927" s="3" t="s">
        <v>33848</v>
      </c>
      <c r="C11927" s="3">
        <v>2.0</v>
      </c>
      <c r="D11927" s="3">
        <v>0.0</v>
      </c>
      <c r="E11927" s="3">
        <v>0.0</v>
      </c>
      <c r="F11927" s="3" t="s">
        <v>33849</v>
      </c>
      <c r="G11927" s="3">
        <v>0.0</v>
      </c>
      <c r="H11927" s="3">
        <v>0.0</v>
      </c>
      <c r="I11927" s="3" t="s">
        <v>13</v>
      </c>
      <c r="J11927" s="3" t="s">
        <v>33850</v>
      </c>
      <c r="K11927" s="3" t="s">
        <v>31</v>
      </c>
      <c r="L11927" s="3" t="str">
        <f>IFERROR(__xludf.DUMMYFUNCTION("GOOGLETRANSLATE(F11927,""id"",""en"")"),"Argentina, how about the world champion now")</f>
        <v>Argentina, how about the world champion now</v>
      </c>
    </row>
    <row r="11928" ht="15.75" customHeight="1">
      <c r="A11928" s="1">
        <v>13188.0</v>
      </c>
      <c r="B11928" s="3" t="s">
        <v>33851</v>
      </c>
      <c r="C11928" s="3">
        <v>0.0</v>
      </c>
      <c r="D11928" s="3">
        <v>0.0</v>
      </c>
      <c r="E11928" s="3">
        <v>0.0</v>
      </c>
      <c r="F11928" s="3" t="s">
        <v>33852</v>
      </c>
      <c r="G11928" s="3">
        <v>0.0</v>
      </c>
      <c r="H11928" s="3">
        <v>0.0</v>
      </c>
      <c r="I11928" s="3" t="s">
        <v>13</v>
      </c>
      <c r="J11928" s="3" t="s">
        <v>33853</v>
      </c>
      <c r="K11928" s="3" t="s">
        <v>58</v>
      </c>
      <c r="L11928" s="3" t="str">
        <f>IFERROR(__xludf.DUMMYFUNCTION("GOOGLETRANSLATE(F11928,""id"",""en"")"),"followed the ball but I supported Argentina from the beginning of the pildun and it turned out that my champion was happy because there was Messi wkwkwk")</f>
        <v>followed the ball but I supported Argentina from the beginning of the pildun and it turned out that my champion was happy because there was Messi wkwkwk</v>
      </c>
    </row>
    <row r="11929" ht="15.75" customHeight="1">
      <c r="A11929" s="1">
        <v>13189.0</v>
      </c>
      <c r="B11929" s="3" t="s">
        <v>33854</v>
      </c>
      <c r="C11929" s="3">
        <v>0.0</v>
      </c>
      <c r="D11929" s="3">
        <v>0.0</v>
      </c>
      <c r="E11929" s="3">
        <v>1.0</v>
      </c>
      <c r="F11929" s="3" t="s">
        <v>33855</v>
      </c>
      <c r="G11929" s="3">
        <v>0.0</v>
      </c>
      <c r="H11929" s="3">
        <v>0.0</v>
      </c>
      <c r="I11929" s="3" t="s">
        <v>13</v>
      </c>
      <c r="J11929" s="3" t="s">
        <v>33856</v>
      </c>
      <c r="K11929" s="3" t="s">
        <v>75</v>
      </c>
      <c r="L11929" s="3" t="str">
        <f>IFERROR(__xludf.DUMMYFUNCTION("GOOGLETRANSLATE(F11929,""id"",""en"")"),"The key to the success of Argentina World Cup Champion Number Lionel Messi's greatness")</f>
        <v>The key to the success of Argentina World Cup Champion Number Lionel Messi's greatness</v>
      </c>
    </row>
    <row r="11930" ht="15.75" customHeight="1">
      <c r="A11930" s="1">
        <v>13190.0</v>
      </c>
      <c r="B11930" s="3" t="s">
        <v>33857</v>
      </c>
      <c r="C11930" s="3">
        <v>0.0</v>
      </c>
      <c r="D11930" s="3">
        <v>0.0</v>
      </c>
      <c r="E11930" s="3">
        <v>2.0</v>
      </c>
      <c r="F11930" s="3" t="s">
        <v>33858</v>
      </c>
      <c r="G11930" s="3">
        <v>0.0</v>
      </c>
      <c r="H11930" s="3">
        <v>0.0</v>
      </c>
      <c r="I11930" s="3" t="s">
        <v>13</v>
      </c>
      <c r="J11930" s="3" t="s">
        <v>33859</v>
      </c>
      <c r="K11930" s="3" t="s">
        <v>75</v>
      </c>
      <c r="L11930" s="3" t="str">
        <f>IFERROR(__xludf.DUMMYFUNCTION("GOOGLETRANSLATE(F11930,""id"",""en"")"),"Argentine national team facts champion world cup number makes Cristiano Ronaldo embarrassed")</f>
        <v>Argentine national team facts champion world cup number makes Cristiano Ronaldo embarrassed</v>
      </c>
    </row>
    <row r="11931" ht="15.75" customHeight="1">
      <c r="A11931" s="1">
        <v>13191.0</v>
      </c>
      <c r="B11931" s="3" t="s">
        <v>33860</v>
      </c>
      <c r="C11931" s="3">
        <v>1.0</v>
      </c>
      <c r="D11931" s="3">
        <v>0.0</v>
      </c>
      <c r="E11931" s="3">
        <v>0.0</v>
      </c>
      <c r="F11931" s="3" t="s">
        <v>33861</v>
      </c>
      <c r="G11931" s="3">
        <v>0.0</v>
      </c>
      <c r="H11931" s="3">
        <v>0.0</v>
      </c>
      <c r="I11931" s="3" t="s">
        <v>13</v>
      </c>
      <c r="J11931" s="3" t="s">
        <v>33862</v>
      </c>
      <c r="K11931" s="3" t="s">
        <v>15</v>
      </c>
      <c r="L11931" s="3" t="str">
        <f>IFERROR(__xludf.DUMMYFUNCTION("GOOGLETRANSLATE(F11931,""id"",""en"")"),"confused about what shopping for Niccc Argentina won soale")</f>
        <v>confused about what shopping for Niccc Argentina won soale</v>
      </c>
    </row>
    <row r="11932" ht="15.75" customHeight="1">
      <c r="A11932" s="1">
        <v>13192.0</v>
      </c>
      <c r="B11932" s="3" t="s">
        <v>33863</v>
      </c>
      <c r="C11932" s="3">
        <v>0.0</v>
      </c>
      <c r="D11932" s="3">
        <v>0.0</v>
      </c>
      <c r="E11932" s="3">
        <v>0.0</v>
      </c>
      <c r="F11932" s="3" t="s">
        <v>33864</v>
      </c>
      <c r="G11932" s="3">
        <v>0.0</v>
      </c>
      <c r="H11932" s="3">
        <v>0.0</v>
      </c>
      <c r="I11932" s="3" t="s">
        <v>13</v>
      </c>
      <c r="J11932" s="3" t="s">
        <v>33865</v>
      </c>
      <c r="K11932" s="3" t="s">
        <v>2117</v>
      </c>
      <c r="L11932" s="3" t="str">
        <f>IFERROR(__xludf.DUMMYFUNCTION("GOOGLETRANSLATE(F11932,""id"",""en"")"),"Really Argentina champions")</f>
        <v>Really Argentina champions</v>
      </c>
    </row>
    <row r="11933" ht="15.75" customHeight="1">
      <c r="A11933" s="1">
        <v>13193.0</v>
      </c>
      <c r="B11933" s="3" t="s">
        <v>33866</v>
      </c>
      <c r="C11933" s="3">
        <v>0.0</v>
      </c>
      <c r="D11933" s="3">
        <v>0.0</v>
      </c>
      <c r="E11933" s="3">
        <v>8.0</v>
      </c>
      <c r="F11933" s="3" t="s">
        <v>33867</v>
      </c>
      <c r="G11933" s="3">
        <v>0.0</v>
      </c>
      <c r="H11933" s="3">
        <v>0.0</v>
      </c>
      <c r="I11933" s="3" t="s">
        <v>13</v>
      </c>
      <c r="J11933" s="3" t="s">
        <v>33868</v>
      </c>
      <c r="K11933" s="3" t="s">
        <v>1157</v>
      </c>
      <c r="L11933" s="3" t="str">
        <f>IFERROR(__xludf.DUMMYFUNCTION("GOOGLETRANSLATE(F11933,""id"",""en"")"),"Argentina The World Cup Champion Resistance was forced to determine the penalty kick after the two two countries were bound until the additional minit period of the end of the most epic and dramatic world cup in the history of the triumphed goal was produ"&amp;"ced by Tahniah Argentina")</f>
        <v>Argentina The World Cup Champion Resistance was forced to determine the penalty kick after the two two countries were bound until the additional minit period of the end of the most epic and dramatic world cup in the history of the triumphed goal was produced by Tahniah Argentina</v>
      </c>
    </row>
    <row r="11934" ht="15.75" customHeight="1">
      <c r="A11934" s="1">
        <v>13194.0</v>
      </c>
      <c r="B11934" s="3" t="s">
        <v>33869</v>
      </c>
      <c r="C11934" s="3">
        <v>0.0</v>
      </c>
      <c r="D11934" s="3">
        <v>0.0</v>
      </c>
      <c r="E11934" s="3">
        <v>0.0</v>
      </c>
      <c r="F11934" s="3" t="s">
        <v>33870</v>
      </c>
      <c r="G11934" s="3">
        <v>0.0</v>
      </c>
      <c r="H11934" s="3">
        <v>0.0</v>
      </c>
      <c r="I11934" s="3" t="s">
        <v>13</v>
      </c>
      <c r="J11934" s="3" t="s">
        <v>33871</v>
      </c>
      <c r="K11934" s="3" t="s">
        <v>19</v>
      </c>
      <c r="L11934" s="3" t="str">
        <f>IFERROR(__xludf.DUMMYFUNCTION("GOOGLETRANSLATE(F11934,""id"",""en"")"),"Bring Argentina World Cup Champion Lionel Scaloni with tears I am proud of us suffering")</f>
        <v>Bring Argentina World Cup Champion Lionel Scaloni with tears I am proud of us suffering</v>
      </c>
    </row>
    <row r="11935" ht="15.75" customHeight="1">
      <c r="A11935" s="1">
        <v>13195.0</v>
      </c>
      <c r="B11935" s="3" t="s">
        <v>33872</v>
      </c>
      <c r="C11935" s="3">
        <v>0.0</v>
      </c>
      <c r="D11935" s="3">
        <v>1.0</v>
      </c>
      <c r="E11935" s="3">
        <v>2.0</v>
      </c>
      <c r="F11935" s="3" t="s">
        <v>33873</v>
      </c>
      <c r="G11935" s="3">
        <v>0.175</v>
      </c>
      <c r="H11935" s="3">
        <v>-0.175</v>
      </c>
      <c r="I11935" s="3" t="s">
        <v>179</v>
      </c>
      <c r="J11935" s="3" t="s">
        <v>33874</v>
      </c>
      <c r="K11935" s="3" t="s">
        <v>2735</v>
      </c>
      <c r="L11935" s="3" t="str">
        <f>IFERROR(__xludf.DUMMYFUNCTION("GOOGLETRANSLATE(F11935,""id"",""en"")"),"Congrats Mess Congrats Argentina Finally Yaakkk Remember I will be very like that when I followed the same as much as possible, how could this champion be difficult to get a Pilduun for the country to be happy Messi dear how could I do the Grgr.")</f>
        <v>Congrats Mess Congrats Argentina Finally Yaakkk Remember I will be very like that when I followed the same as much as possible, how could this champion be difficult to get a Pilduun for the country to be happy Messi dear how could I do the Grgr.</v>
      </c>
    </row>
    <row r="11936" ht="15.75" customHeight="1">
      <c r="A11936" s="1">
        <v>13196.0</v>
      </c>
      <c r="B11936" s="3" t="s">
        <v>33875</v>
      </c>
      <c r="C11936" s="3">
        <v>0.0</v>
      </c>
      <c r="D11936" s="3">
        <v>0.0</v>
      </c>
      <c r="E11936" s="3">
        <v>0.0</v>
      </c>
      <c r="F11936" s="3" t="s">
        <v>33876</v>
      </c>
      <c r="G11936" s="3">
        <v>0.0</v>
      </c>
      <c r="H11936" s="3">
        <v>0.0</v>
      </c>
      <c r="I11936" s="3" t="s">
        <v>13</v>
      </c>
      <c r="J11936" s="3" t="s">
        <v>33877</v>
      </c>
      <c r="K11936" s="3" t="s">
        <v>15</v>
      </c>
      <c r="L11936" s="3" t="str">
        <f>IFERROR(__xludf.DUMMYFUNCTION("GOOGLETRANSLATE(F11936,""id"",""en"")"),"If Brentford doesn't buy or Argentina will never be a world champion")</f>
        <v>If Brentford doesn't buy or Argentina will never be a world champion</v>
      </c>
    </row>
    <row r="11937" ht="15.75" customHeight="1">
      <c r="A11937" s="1">
        <v>13197.0</v>
      </c>
      <c r="B11937" s="3" t="s">
        <v>33878</v>
      </c>
      <c r="C11937" s="3">
        <v>0.0</v>
      </c>
      <c r="D11937" s="3">
        <v>0.0</v>
      </c>
      <c r="E11937" s="3">
        <v>0.0</v>
      </c>
      <c r="F11937" s="3" t="s">
        <v>33879</v>
      </c>
      <c r="G11937" s="3">
        <v>0.0</v>
      </c>
      <c r="H11937" s="3">
        <v>0.0</v>
      </c>
      <c r="I11937" s="3" t="s">
        <v>13</v>
      </c>
      <c r="J11937" s="3" t="s">
        <v>33880</v>
      </c>
      <c r="K11937" s="3" t="s">
        <v>50</v>
      </c>
      <c r="L11937" s="3" t="str">
        <f>IFERROR(__xludf.DUMMYFUNCTION("GOOGLETRANSLATE(F11937,""id"",""en"")"),"Even though I just eat white rice, it's really good")</f>
        <v>Even though I just eat white rice, it's really good</v>
      </c>
    </row>
    <row r="11938" ht="15.75" customHeight="1">
      <c r="A11938" s="1">
        <v>13198.0</v>
      </c>
      <c r="B11938" s="3" t="s">
        <v>33881</v>
      </c>
      <c r="C11938" s="3">
        <v>0.0</v>
      </c>
      <c r="D11938" s="3">
        <v>0.0</v>
      </c>
      <c r="E11938" s="3">
        <v>0.0</v>
      </c>
      <c r="F11938" s="3" t="s">
        <v>33882</v>
      </c>
      <c r="G11938" s="3">
        <v>0.0</v>
      </c>
      <c r="H11938" s="3">
        <v>0.0</v>
      </c>
      <c r="I11938" s="3" t="s">
        <v>13</v>
      </c>
      <c r="J11938" s="3" t="s">
        <v>33883</v>
      </c>
      <c r="K11938" s="3" t="s">
        <v>41</v>
      </c>
      <c r="L11938" s="3" t="str">
        <f>IFERROR(__xludf.DUMMYFUNCTION("GOOGLETRANSLATE(F11938,""id"",""en"")"),"Congratulations Argentina Winning World Cup Champion Messi Can Be Calm now")</f>
        <v>Congratulations Argentina Winning World Cup Champion Messi Can Be Calm now</v>
      </c>
    </row>
    <row r="11939" ht="15.75" customHeight="1">
      <c r="A11939" s="1">
        <v>13199.0</v>
      </c>
      <c r="B11939" s="3" t="s">
        <v>33884</v>
      </c>
      <c r="C11939" s="3">
        <v>1.0</v>
      </c>
      <c r="D11939" s="3">
        <v>20.0</v>
      </c>
      <c r="E11939" s="3">
        <v>157.0</v>
      </c>
      <c r="F11939" s="3" t="s">
        <v>33885</v>
      </c>
      <c r="G11939" s="3">
        <v>1.0</v>
      </c>
      <c r="H11939" s="3">
        <v>1.0</v>
      </c>
      <c r="I11939" s="3" t="s">
        <v>48</v>
      </c>
      <c r="J11939" s="3" t="s">
        <v>33886</v>
      </c>
      <c r="K11939" s="3" t="s">
        <v>503</v>
      </c>
      <c r="L11939" s="3" t="str">
        <f>IFERROR(__xludf.DUMMYFUNCTION("GOOGLETRANSLATE(F11939,""id"",""en"")"),"Messi was paraded around the field after bringing Argentina to win the World Cup as well as the third trophy for Albiceleste Arak, so it brought up when Maradona was paraded after bringing the Tango team Mexico Messi The Greatest All Time Champion")</f>
        <v>Messi was paraded around the field after bringing Argentina to win the World Cup as well as the third trophy for Albiceleste Arak, so it brought up when Maradona was paraded after bringing the Tango team Mexico Messi The Greatest All Time Champion</v>
      </c>
    </row>
    <row r="11940" ht="15.75" customHeight="1">
      <c r="A11940" s="1">
        <v>13200.0</v>
      </c>
      <c r="B11940" s="3" t="s">
        <v>33887</v>
      </c>
      <c r="C11940" s="3">
        <v>0.0</v>
      </c>
      <c r="D11940" s="3">
        <v>0.0</v>
      </c>
      <c r="E11940" s="3">
        <v>0.0</v>
      </c>
      <c r="F11940" s="3" t="s">
        <v>33888</v>
      </c>
      <c r="G11940" s="3">
        <v>0.1</v>
      </c>
      <c r="H11940" s="3">
        <v>0.1</v>
      </c>
      <c r="I11940" s="3" t="s">
        <v>48</v>
      </c>
      <c r="J11940" s="3" t="s">
        <v>33889</v>
      </c>
      <c r="K11940" s="3" t="s">
        <v>358</v>
      </c>
      <c r="L11940" s="3" t="str">
        <f>IFERROR(__xludf.DUMMYFUNCTION("GOOGLETRANSLATE(F11940,""id"",""en"")"),"Finally, Argentina Lionel Messi's long -waiting football world champion was also the end of his career he became a professional soccer player happy Messi")</f>
        <v>Finally, Argentina Lionel Messi's long -waiting football world champion was also the end of his career he became a professional soccer player happy Messi</v>
      </c>
    </row>
    <row r="11941" ht="15.75" customHeight="1">
      <c r="A11941" s="1">
        <v>13201.0</v>
      </c>
      <c r="B11941" s="3" t="s">
        <v>33890</v>
      </c>
      <c r="C11941" s="3">
        <v>0.0</v>
      </c>
      <c r="D11941" s="3">
        <v>2.0</v>
      </c>
      <c r="E11941" s="3">
        <v>26.0</v>
      </c>
      <c r="F11941" s="3" t="s">
        <v>33891</v>
      </c>
      <c r="G11941" s="3">
        <v>0.0</v>
      </c>
      <c r="H11941" s="3">
        <v>0.0</v>
      </c>
      <c r="I11941" s="3" t="s">
        <v>13</v>
      </c>
      <c r="J11941" s="3" t="s">
        <v>33892</v>
      </c>
      <c r="K11941" s="3" t="s">
        <v>31</v>
      </c>
      <c r="L11941" s="3" t="str">
        <f>IFERROR(__xludf.DUMMYFUNCTION("GOOGLETRANSLATE(F11941,""id"",""en"")"),"Argentina Champion World Cup FIFA")</f>
        <v>Argentina Champion World Cup FIFA</v>
      </c>
    </row>
    <row r="11942" ht="15.75" customHeight="1">
      <c r="A11942" s="1">
        <v>13202.0</v>
      </c>
      <c r="B11942" s="3" t="s">
        <v>33893</v>
      </c>
      <c r="C11942" s="3">
        <v>0.0</v>
      </c>
      <c r="D11942" s="3">
        <v>0.0</v>
      </c>
      <c r="E11942" s="3">
        <v>0.0</v>
      </c>
      <c r="F11942" s="3" t="s">
        <v>33894</v>
      </c>
      <c r="G11942" s="3">
        <v>0.6499999999999999</v>
      </c>
      <c r="H11942" s="3">
        <v>0.15</v>
      </c>
      <c r="I11942" s="3" t="s">
        <v>48</v>
      </c>
      <c r="J11942" s="3" t="s">
        <v>33895</v>
      </c>
      <c r="K11942" s="3" t="s">
        <v>510</v>
      </c>
      <c r="L11942" s="3" t="str">
        <f>IFERROR(__xludf.DUMMYFUNCTION("GOOGLETRANSLATE(F11942,""id"",""en"")"),"Congratulations Argentina Champion of the Qatar World Cup after defeating France through a penalty shootout of normal time")</f>
        <v>Congratulations Argentina Champion of the Qatar World Cup after defeating France through a penalty shootout of normal time</v>
      </c>
    </row>
    <row r="11943" ht="15.75" customHeight="1">
      <c r="A11943" s="1">
        <v>13203.0</v>
      </c>
      <c r="B11943" s="3" t="s">
        <v>33896</v>
      </c>
      <c r="C11943" s="3">
        <v>0.0</v>
      </c>
      <c r="D11943" s="3">
        <v>0.0</v>
      </c>
      <c r="E11943" s="3">
        <v>0.0</v>
      </c>
      <c r="F11943" s="3" t="s">
        <v>25875</v>
      </c>
      <c r="G11943" s="3">
        <v>0.0</v>
      </c>
      <c r="H11943" s="3">
        <v>0.0</v>
      </c>
      <c r="I11943" s="3" t="s">
        <v>13</v>
      </c>
      <c r="J11943" s="3" t="s">
        <v>25876</v>
      </c>
      <c r="K11943" s="3" t="s">
        <v>31</v>
      </c>
      <c r="L11943" s="3" t="str">
        <f>IFERROR(__xludf.DUMMYFUNCTION("GOOGLETRANSLATE(F11943,""id"",""en"")"),"Happy Argentina World Cup Champion")</f>
        <v>Happy Argentina World Cup Champion</v>
      </c>
    </row>
    <row r="11944" ht="15.75" customHeight="1">
      <c r="A11944" s="1">
        <v>13204.0</v>
      </c>
      <c r="B11944" s="3" t="s">
        <v>33897</v>
      </c>
      <c r="C11944" s="3">
        <v>0.0</v>
      </c>
      <c r="D11944" s="3">
        <v>0.0</v>
      </c>
      <c r="E11944" s="3">
        <v>0.0</v>
      </c>
      <c r="F11944" s="3" t="s">
        <v>33898</v>
      </c>
      <c r="G11944" s="3">
        <v>1.0</v>
      </c>
      <c r="H11944" s="3">
        <v>0.1</v>
      </c>
      <c r="I11944" s="3" t="s">
        <v>48</v>
      </c>
      <c r="J11944" s="3" t="s">
        <v>33899</v>
      </c>
      <c r="K11944" s="3" t="s">
        <v>2117</v>
      </c>
      <c r="L11944" s="3" t="str">
        <f>IFERROR(__xludf.DUMMYFUNCTION("GOOGLETRANSLATE(F11944,""id"",""en"")"),"Wow Argentina Champion")</f>
        <v>Wow Argentina Champion</v>
      </c>
    </row>
    <row r="11945" ht="15.75" customHeight="1">
      <c r="A11945" s="1">
        <v>13205.0</v>
      </c>
      <c r="B11945" s="3" t="s">
        <v>33900</v>
      </c>
      <c r="C11945" s="3">
        <v>0.0</v>
      </c>
      <c r="D11945" s="3">
        <v>0.0</v>
      </c>
      <c r="E11945" s="3">
        <v>0.0</v>
      </c>
      <c r="F11945" s="3" t="s">
        <v>33901</v>
      </c>
      <c r="G11945" s="3">
        <v>0.3</v>
      </c>
      <c r="H11945" s="3">
        <v>0.2</v>
      </c>
      <c r="I11945" s="3" t="s">
        <v>48</v>
      </c>
      <c r="J11945" s="3" t="s">
        <v>33902</v>
      </c>
      <c r="K11945" s="3" t="s">
        <v>491</v>
      </c>
      <c r="L11945" s="3" t="str">
        <f>IFERROR(__xludf.DUMMYFUNCTION("GOOGLETRANSLATE(F11945,""id"",""en"")"),"The Real Champion must proceed I am proud I love boong bgt so predicted Argentina champions for no reason there are many")</f>
        <v>The Real Champion must proceed I am proud I love boong bgt so predicted Argentina champions for no reason there are many</v>
      </c>
    </row>
    <row r="11946" ht="15.75" customHeight="1">
      <c r="A11946" s="1">
        <v>13206.0</v>
      </c>
      <c r="B11946" s="3" t="s">
        <v>33903</v>
      </c>
      <c r="C11946" s="3">
        <v>0.0</v>
      </c>
      <c r="D11946" s="3">
        <v>0.0</v>
      </c>
      <c r="E11946" s="3">
        <v>0.0</v>
      </c>
      <c r="F11946" s="3" t="s">
        <v>33904</v>
      </c>
      <c r="G11946" s="3">
        <v>0.0</v>
      </c>
      <c r="H11946" s="3">
        <v>0.0</v>
      </c>
      <c r="I11946" s="3" t="s">
        <v>13</v>
      </c>
      <c r="J11946" s="3" t="s">
        <v>33905</v>
      </c>
      <c r="K11946" s="3" t="s">
        <v>2633</v>
      </c>
      <c r="L11946" s="3" t="str">
        <f>IFERROR(__xludf.DUMMYFUNCTION("GOOGLETRANSLATE(F11946,""id"",""en"")"),"Argentina World Champion Messi Trending Ronaldo also joined the trending of Messi happy fans Ronaldo fans and I entered the cave forever")</f>
        <v>Argentina World Champion Messi Trending Ronaldo also joined the trending of Messi happy fans Ronaldo fans and I entered the cave forever</v>
      </c>
    </row>
    <row r="11947" ht="15.75" customHeight="1">
      <c r="A11947" s="1">
        <v>13207.0</v>
      </c>
      <c r="B11947" s="3" t="s">
        <v>33906</v>
      </c>
      <c r="C11947" s="3">
        <v>0.0</v>
      </c>
      <c r="D11947" s="3">
        <v>0.0</v>
      </c>
      <c r="E11947" s="3">
        <v>0.0</v>
      </c>
      <c r="F11947" s="3" t="s">
        <v>33907</v>
      </c>
      <c r="G11947" s="3">
        <v>0.0</v>
      </c>
      <c r="H11947" s="3">
        <v>0.0</v>
      </c>
      <c r="I11947" s="3" t="s">
        <v>13</v>
      </c>
      <c r="J11947" s="3" t="s">
        <v>33908</v>
      </c>
      <c r="K11947" s="3" t="s">
        <v>765</v>
      </c>
      <c r="L11947" s="3" t="str">
        <f>IFERROR(__xludf.DUMMYFUNCTION("GOOGLETRANSLATE(F11947,""id"",""en"")"),"Yuntho for me is not important all that I know Argentina wins a penalty shootout over Francis and become a world champion, hopefully the Indonesian national team can join the World Cup even though it's just a dream")</f>
        <v>Yuntho for me is not important all that I know Argentina wins a penalty shootout over Francis and become a world champion, hopefully the Indonesian national team can join the World Cup even though it's just a dream</v>
      </c>
    </row>
    <row r="11948" ht="15.75" customHeight="1">
      <c r="A11948" s="1">
        <v>13208.0</v>
      </c>
      <c r="B11948" s="3" t="s">
        <v>33909</v>
      </c>
      <c r="C11948" s="3">
        <v>0.0</v>
      </c>
      <c r="D11948" s="3">
        <v>4.0</v>
      </c>
      <c r="E11948" s="3">
        <v>0.0</v>
      </c>
      <c r="F11948" s="3" t="s">
        <v>33910</v>
      </c>
      <c r="G11948" s="3">
        <v>0.0</v>
      </c>
      <c r="H11948" s="3">
        <v>0.0</v>
      </c>
      <c r="I11948" s="3" t="s">
        <v>13</v>
      </c>
      <c r="J11948" s="3" t="s">
        <v>33911</v>
      </c>
      <c r="K11948" s="3" t="s">
        <v>75</v>
      </c>
      <c r="L11948" s="3" t="str">
        <f>IFERROR(__xludf.DUMMYFUNCTION("GOOGLETRANSLATE(F11948,""id"",""en"")"),"Argentine World Cup Highlights Video Champion After winning penalties")</f>
        <v>Argentine World Cup Highlights Video Champion After winning penalties</v>
      </c>
    </row>
    <row r="11949" ht="15.75" customHeight="1">
      <c r="A11949" s="1">
        <v>13209.0</v>
      </c>
      <c r="B11949" s="3" t="s">
        <v>33912</v>
      </c>
      <c r="C11949" s="3">
        <v>0.0</v>
      </c>
      <c r="D11949" s="3">
        <v>0.0</v>
      </c>
      <c r="E11949" s="3">
        <v>7.0</v>
      </c>
      <c r="F11949" s="3" t="s">
        <v>33913</v>
      </c>
      <c r="G11949" s="3">
        <v>1.0</v>
      </c>
      <c r="H11949" s="3">
        <v>0.0</v>
      </c>
      <c r="I11949" s="3" t="s">
        <v>13</v>
      </c>
      <c r="J11949" s="3" t="s">
        <v>33914</v>
      </c>
      <c r="K11949" s="3" t="s">
        <v>1045</v>
      </c>
      <c r="L11949" s="3" t="str">
        <f>IFERROR(__xludf.DUMMYFUNCTION("GOOGLETRANSLATE(F11949,""id"",""en"")"),"Congratulations to Argentina to become the World Cup champion defeating France with a final shootout, there must be a lot of world people entertained the final world cup congratulations Qatar has become a good host")</f>
        <v>Congratulations to Argentina to become the World Cup champion defeating France with a final shootout, there must be a lot of world people entertained the final world cup congratulations Qatar has become a good host</v>
      </c>
    </row>
    <row r="11950" ht="15.75" customHeight="1">
      <c r="A11950" s="1">
        <v>13210.0</v>
      </c>
      <c r="B11950" s="3" t="s">
        <v>33915</v>
      </c>
      <c r="C11950" s="3">
        <v>0.0</v>
      </c>
      <c r="D11950" s="3">
        <v>0.0</v>
      </c>
      <c r="E11950" s="3">
        <v>0.0</v>
      </c>
      <c r="F11950" s="3" t="s">
        <v>33916</v>
      </c>
      <c r="G11950" s="3">
        <v>0.0</v>
      </c>
      <c r="H11950" s="3">
        <v>0.0</v>
      </c>
      <c r="I11950" s="3" t="s">
        <v>13</v>
      </c>
      <c r="J11950" s="3" t="s">
        <v>33917</v>
      </c>
      <c r="K11950" s="3" t="s">
        <v>15</v>
      </c>
      <c r="L11950" s="3" t="str">
        <f>IFERROR(__xludf.DUMMYFUNCTION("GOOGLETRANSLATE(F11950,""id"",""en"")"),"So our Argentine World Cup champion is made suffering")</f>
        <v>So our Argentine World Cup champion is made suffering</v>
      </c>
    </row>
    <row r="11951" ht="15.75" customHeight="1">
      <c r="A11951" s="1">
        <v>13211.0</v>
      </c>
      <c r="B11951" s="3" t="s">
        <v>33918</v>
      </c>
      <c r="C11951" s="3">
        <v>0.0</v>
      </c>
      <c r="D11951" s="3">
        <v>0.0</v>
      </c>
      <c r="E11951" s="3">
        <v>2.0</v>
      </c>
      <c r="F11951" s="3" t="s">
        <v>33919</v>
      </c>
      <c r="G11951" s="3">
        <v>0.0</v>
      </c>
      <c r="H11951" s="3">
        <v>0.0</v>
      </c>
      <c r="I11951" s="3" t="s">
        <v>13</v>
      </c>
      <c r="J11951" s="3" t="s">
        <v>33920</v>
      </c>
      <c r="K11951" s="3" t="s">
        <v>15</v>
      </c>
      <c r="L11951" s="3" t="str">
        <f>IFERROR(__xludf.DUMMYFUNCTION("GOOGLETRANSLATE(F11951,""id"",""en"")"),"Argentina and Lionel Messi's record after the World Cup championship")</f>
        <v>Argentina and Lionel Messi's record after the World Cup championship</v>
      </c>
    </row>
    <row r="11952" ht="15.75" customHeight="1">
      <c r="A11952" s="1">
        <v>13212.0</v>
      </c>
      <c r="B11952" s="3" t="s">
        <v>33921</v>
      </c>
      <c r="C11952" s="3">
        <v>0.0</v>
      </c>
      <c r="D11952" s="3">
        <v>0.0</v>
      </c>
      <c r="E11952" s="3">
        <v>0.0</v>
      </c>
      <c r="F11952" s="3" t="s">
        <v>33922</v>
      </c>
      <c r="G11952" s="3">
        <v>0.0</v>
      </c>
      <c r="H11952" s="3">
        <v>0.0</v>
      </c>
      <c r="I11952" s="3" t="s">
        <v>13</v>
      </c>
      <c r="J11952" s="3" t="s">
        <v>33923</v>
      </c>
      <c r="K11952" s="3" t="s">
        <v>644</v>
      </c>
      <c r="L11952" s="3" t="str">
        <f>IFERROR(__xludf.DUMMYFUNCTION("GOOGLETRANSLATE(F11952,""id"",""en"")"),"Tahniah Argentina became champion")</f>
        <v>Tahniah Argentina became champion</v>
      </c>
    </row>
    <row r="11953" ht="15.75" customHeight="1">
      <c r="A11953" s="1">
        <v>13213.0</v>
      </c>
      <c r="B11953" s="3" t="s">
        <v>33924</v>
      </c>
      <c r="C11953" s="3">
        <v>0.0</v>
      </c>
      <c r="D11953" s="3">
        <v>0.0</v>
      </c>
      <c r="E11953" s="3">
        <v>0.0</v>
      </c>
      <c r="F11953" s="3" t="s">
        <v>33924</v>
      </c>
      <c r="G11953" s="3">
        <v>0.0</v>
      </c>
      <c r="H11953" s="3">
        <v>0.0</v>
      </c>
      <c r="I11953" s="3" t="s">
        <v>13</v>
      </c>
      <c r="J11953" s="3" t="s">
        <v>33925</v>
      </c>
      <c r="K11953" s="3" t="s">
        <v>3497</v>
      </c>
      <c r="L11953" s="3" t="str">
        <f>IFERROR(__xludf.DUMMYFUNCTION("GOOGLETRANSLATE(F11953,""id"",""en"")"),"If Argentina is champion then Saudi is more champion")</f>
        <v>If Argentina is champion then Saudi is more champion</v>
      </c>
    </row>
    <row r="11954" ht="15.75" customHeight="1">
      <c r="A11954" s="1">
        <v>13214.0</v>
      </c>
      <c r="B11954" s="3" t="s">
        <v>33926</v>
      </c>
      <c r="C11954" s="3">
        <v>0.0</v>
      </c>
      <c r="D11954" s="3">
        <v>1.0</v>
      </c>
      <c r="E11954" s="3">
        <v>48.0</v>
      </c>
      <c r="F11954" s="3" t="s">
        <v>33927</v>
      </c>
      <c r="G11954" s="3">
        <v>0.5</v>
      </c>
      <c r="H11954" s="3">
        <v>0.5</v>
      </c>
      <c r="I11954" s="3" t="s">
        <v>48</v>
      </c>
      <c r="J11954" s="3" t="s">
        <v>33928</v>
      </c>
      <c r="K11954" s="3" t="s">
        <v>94</v>
      </c>
      <c r="L11954" s="3" t="str">
        <f>IFERROR(__xludf.DUMMYFUNCTION("GOOGLETRANSLATE(F11954,""id"",""en"")"),"Emi Martinez the most contributing to help Lionel Messi won the glory with the national team of the goalkeeper's position so crucial Argentina did not have a top goalkeeper so that Emi the mainstay they won the Copa America and now the world champion")</f>
        <v>Emi Martinez the most contributing to help Lionel Messi won the glory with the national team of the goalkeeper's position so crucial Argentina did not have a top goalkeeper so that Emi the mainstay they won the Copa America and now the world champion</v>
      </c>
    </row>
    <row r="11955" ht="15.75" customHeight="1">
      <c r="A11955" s="1">
        <v>13215.0</v>
      </c>
      <c r="B11955" s="3" t="s">
        <v>33929</v>
      </c>
      <c r="C11955" s="3">
        <v>0.0</v>
      </c>
      <c r="D11955" s="3">
        <v>2.0</v>
      </c>
      <c r="E11955" s="3">
        <v>5.0</v>
      </c>
      <c r="F11955" s="3" t="s">
        <v>33930</v>
      </c>
      <c r="G11955" s="3">
        <v>0.0</v>
      </c>
      <c r="H11955" s="3">
        <v>0.0</v>
      </c>
      <c r="I11955" s="3" t="s">
        <v>13</v>
      </c>
      <c r="J11955" s="3" t="s">
        <v>33931</v>
      </c>
      <c r="K11955" s="3" t="s">
        <v>75</v>
      </c>
      <c r="L11955" s="3" t="str">
        <f>IFERROR(__xludf.DUMMYFUNCTION("GOOGLETRANSLATE(F11955,""id"",""en"")"),"Argentina Champion World Cup Messi Celebrates Victory with Children and Wives")</f>
        <v>Argentina Champion World Cup Messi Celebrates Victory with Children and Wives</v>
      </c>
    </row>
    <row r="11956" ht="15.75" customHeight="1">
      <c r="A11956" s="1">
        <v>13216.0</v>
      </c>
      <c r="B11956" s="3" t="s">
        <v>33932</v>
      </c>
      <c r="C11956" s="3">
        <v>0.0</v>
      </c>
      <c r="D11956" s="3">
        <v>0.0</v>
      </c>
      <c r="E11956" s="3">
        <v>3.0</v>
      </c>
      <c r="F11956" s="3" t="s">
        <v>25795</v>
      </c>
      <c r="G11956" s="3">
        <v>0.0</v>
      </c>
      <c r="H11956" s="3">
        <v>0.0</v>
      </c>
      <c r="I11956" s="3" t="s">
        <v>13</v>
      </c>
      <c r="J11956" s="3" t="s">
        <v>25796</v>
      </c>
      <c r="K11956" s="3" t="s">
        <v>240</v>
      </c>
      <c r="L11956" s="3" t="str">
        <f>IFERROR(__xludf.DUMMYFUNCTION("GOOGLETRANSLATE(F11956,""id"",""en"")"),"France failed to defend the World Cup title which was more painful Les Bleus had a hope before Argentina was thrown")</f>
        <v>France failed to defend the World Cup title which was more painful Les Bleus had a hope before Argentina was thrown</v>
      </c>
    </row>
    <row r="11957" ht="15.75" customHeight="1">
      <c r="A11957" s="1">
        <v>13217.0</v>
      </c>
      <c r="B11957" s="3" t="s">
        <v>33933</v>
      </c>
      <c r="C11957" s="3">
        <v>0.0</v>
      </c>
      <c r="D11957" s="3">
        <v>2.0</v>
      </c>
      <c r="E11957" s="3">
        <v>16.0</v>
      </c>
      <c r="F11957" s="3" t="s">
        <v>25795</v>
      </c>
      <c r="G11957" s="3">
        <v>0.0</v>
      </c>
      <c r="H11957" s="3">
        <v>0.0</v>
      </c>
      <c r="I11957" s="3" t="s">
        <v>13</v>
      </c>
      <c r="J11957" s="3" t="s">
        <v>25796</v>
      </c>
      <c r="K11957" s="3" t="s">
        <v>240</v>
      </c>
      <c r="L11957" s="3" t="str">
        <f>IFERROR(__xludf.DUMMYFUNCTION("GOOGLETRANSLATE(F11957,""id"",""en"")"),"France failed to defend the World Cup title which was more painful Les Bleus had a hope before Argentina was thrown")</f>
        <v>France failed to defend the World Cup title which was more painful Les Bleus had a hope before Argentina was thrown</v>
      </c>
    </row>
    <row r="11958" ht="15.75" customHeight="1">
      <c r="A11958" s="1">
        <v>13218.0</v>
      </c>
      <c r="B11958" s="3" t="s">
        <v>33934</v>
      </c>
      <c r="C11958" s="3">
        <v>0.0</v>
      </c>
      <c r="D11958" s="3">
        <v>1.0</v>
      </c>
      <c r="E11958" s="3">
        <v>2.0</v>
      </c>
      <c r="F11958" s="3" t="s">
        <v>33935</v>
      </c>
      <c r="G11958" s="3">
        <v>1.0</v>
      </c>
      <c r="H11958" s="3">
        <v>1.0</v>
      </c>
      <c r="I11958" s="3" t="s">
        <v>48</v>
      </c>
      <c r="J11958" s="3" t="s">
        <v>33936</v>
      </c>
      <c r="K11958" s="3" t="s">
        <v>1061</v>
      </c>
      <c r="L11958" s="3" t="str">
        <f>IFERROR(__xludf.DUMMYFUNCTION("GOOGLETRANSLATE(F11958,""id"",""en"")"),"I will miss the World Cup Vibes this year for Argentina, thank you for being a champion this year well deserved for Messi You Are the Greatest Football Player All Time")</f>
        <v>I will miss the World Cup Vibes this year for Argentina, thank you for being a champion this year well deserved for Messi You Are the Greatest Football Player All Time</v>
      </c>
    </row>
    <row r="11959" ht="15.75" customHeight="1">
      <c r="A11959" s="1">
        <v>13219.0</v>
      </c>
      <c r="B11959" s="3" t="s">
        <v>33937</v>
      </c>
      <c r="C11959" s="3">
        <v>0.0</v>
      </c>
      <c r="D11959" s="3">
        <v>0.0</v>
      </c>
      <c r="E11959" s="3">
        <v>0.0</v>
      </c>
      <c r="F11959" s="3" t="s">
        <v>33938</v>
      </c>
      <c r="G11959" s="3">
        <v>0.0</v>
      </c>
      <c r="H11959" s="3">
        <v>0.0</v>
      </c>
      <c r="I11959" s="3" t="s">
        <v>13</v>
      </c>
      <c r="J11959" s="3" t="s">
        <v>33939</v>
      </c>
      <c r="K11959" s="3" t="s">
        <v>348</v>
      </c>
      <c r="L11959" s="3" t="str">
        <f>IFERROR(__xludf.DUMMYFUNCTION("GOOGLETRANSLATE(F11959,""id"",""en"")"),"But now Argentina is already a world champion, just calling his voice, so wet, after crying, maybe this is the beauty of this football")</f>
        <v>But now Argentina is already a world champion, just calling his voice, so wet, after crying, maybe this is the beauty of this football</v>
      </c>
    </row>
    <row r="11960" ht="15.75" customHeight="1">
      <c r="A11960" s="1">
        <v>13220.0</v>
      </c>
      <c r="B11960" s="3" t="s">
        <v>33940</v>
      </c>
      <c r="C11960" s="3">
        <v>0.0</v>
      </c>
      <c r="D11960" s="3">
        <v>2.0</v>
      </c>
      <c r="E11960" s="3">
        <v>5.0</v>
      </c>
      <c r="F11960" s="3" t="s">
        <v>33941</v>
      </c>
      <c r="G11960" s="3">
        <v>0.0</v>
      </c>
      <c r="H11960" s="3">
        <v>0.0</v>
      </c>
      <c r="I11960" s="3" t="s">
        <v>13</v>
      </c>
      <c r="J11960" s="3" t="s">
        <v>33942</v>
      </c>
      <c r="K11960" s="3" t="s">
        <v>1552</v>
      </c>
      <c r="L11960" s="3" t="str">
        <f>IFERROR(__xludf.DUMMYFUNCTION("GOOGLETRANSLATE(F11960,""id"",""en"")"),"Argentina world soccer champion Tahniah Argentina Argentina's victory")</f>
        <v>Argentina world soccer champion Tahniah Argentina Argentina's victory</v>
      </c>
    </row>
    <row r="11961" ht="15.75" customHeight="1">
      <c r="A11961" s="1">
        <v>13221.0</v>
      </c>
      <c r="B11961" s="3" t="s">
        <v>33943</v>
      </c>
      <c r="C11961" s="3">
        <v>0.0</v>
      </c>
      <c r="D11961" s="3">
        <v>0.0</v>
      </c>
      <c r="E11961" s="3">
        <v>1.0</v>
      </c>
      <c r="F11961" s="3" t="s">
        <v>33944</v>
      </c>
      <c r="G11961" s="3">
        <v>0.3</v>
      </c>
      <c r="H11961" s="3">
        <v>0.2</v>
      </c>
      <c r="I11961" s="3" t="s">
        <v>48</v>
      </c>
      <c r="J11961" s="3" t="s">
        <v>33945</v>
      </c>
      <c r="K11961" s="3" t="s">
        <v>19</v>
      </c>
      <c r="L11961" s="3" t="str">
        <f>IFERROR(__xludf.DUMMYFUNCTION("GOOGLETRANSLATE(F11961,""id"",""en"")"),"cool if you see Argentina who champions there is no franing issue of religious state inil haha")</f>
        <v>cool if you see Argentina who champions there is no franing issue of religious state inil haha</v>
      </c>
    </row>
    <row r="11962" ht="15.75" customHeight="1">
      <c r="A11962" s="1">
        <v>13222.0</v>
      </c>
      <c r="B11962" s="3" t="s">
        <v>33946</v>
      </c>
      <c r="C11962" s="3">
        <v>0.0</v>
      </c>
      <c r="D11962" s="3">
        <v>2.0</v>
      </c>
      <c r="E11962" s="3">
        <v>7.0</v>
      </c>
      <c r="F11962" s="3" t="s">
        <v>32575</v>
      </c>
      <c r="G11962" s="3">
        <v>0.0</v>
      </c>
      <c r="H11962" s="3">
        <v>0.0</v>
      </c>
      <c r="I11962" s="3" t="s">
        <v>13</v>
      </c>
      <c r="J11962" s="3" t="s">
        <v>32576</v>
      </c>
      <c r="K11962" s="3" t="s">
        <v>82</v>
      </c>
      <c r="L11962" s="3" t="str">
        <f>IFERROR(__xludf.DUMMYFUNCTION("GOOGLETRANSLATE(F11962,""id"",""en"")"),"Felicidades Lionel Messi Argentina Champion World Cup")</f>
        <v>Felicidades Lionel Messi Argentina Champion World Cup</v>
      </c>
    </row>
    <row r="11963" ht="15.75" customHeight="1">
      <c r="A11963" s="1">
        <v>13223.0</v>
      </c>
      <c r="B11963" s="3" t="s">
        <v>33947</v>
      </c>
      <c r="C11963" s="3">
        <v>0.0</v>
      </c>
      <c r="D11963" s="3">
        <v>0.0</v>
      </c>
      <c r="E11963" s="3">
        <v>0.0</v>
      </c>
      <c r="F11963" s="3" t="s">
        <v>33948</v>
      </c>
      <c r="G11963" s="3">
        <v>0.4</v>
      </c>
      <c r="H11963" s="3">
        <v>0.1</v>
      </c>
      <c r="I11963" s="3" t="s">
        <v>48</v>
      </c>
      <c r="J11963" s="3" t="s">
        <v>33949</v>
      </c>
      <c r="K11963" s="3" t="s">
        <v>1854</v>
      </c>
      <c r="L11963" s="3" t="str">
        <f>IFERROR(__xludf.DUMMYFUNCTION("GOOGLETRANSLATE(F11963,""id"",""en"")"),"Complete for Messi finally Messi can retire calm whenever he wants to wait and a long struggle he succeeded in achieving even though he was not young who was safe for Messi to bring Argentina to the FIFA World Cup championship")</f>
        <v>Complete for Messi finally Messi can retire calm whenever he wants to wait and a long struggle he succeeded in achieving even though he was not young who was safe for Messi to bring Argentina to the FIFA World Cup championship</v>
      </c>
    </row>
    <row r="11964" ht="15.75" customHeight="1">
      <c r="A11964" s="1">
        <v>13224.0</v>
      </c>
      <c r="B11964" s="3" t="s">
        <v>33950</v>
      </c>
      <c r="C11964" s="3">
        <v>0.0</v>
      </c>
      <c r="D11964" s="3">
        <v>0.0</v>
      </c>
      <c r="E11964" s="3">
        <v>1.0</v>
      </c>
      <c r="F11964" s="3" t="s">
        <v>33951</v>
      </c>
      <c r="G11964" s="3">
        <v>0.0</v>
      </c>
      <c r="H11964" s="3">
        <v>0.0</v>
      </c>
      <c r="I11964" s="3" t="s">
        <v>13</v>
      </c>
      <c r="J11964" s="3" t="s">
        <v>33952</v>
      </c>
      <c r="K11964" s="3" t="s">
        <v>1970</v>
      </c>
      <c r="L11964" s="3" t="str">
        <f>IFERROR(__xludf.DUMMYFUNCTION("GOOGLETRANSLATE(F11964,""id"",""en"")"),"The biggest fear when Messi with Argentina champion Pilduun is a lot of Messi's photo mleeleli with all his titles plus kepsen joy is not the question of the question wage only this or rely on this it")</f>
        <v>The biggest fear when Messi with Argentina champion Pilduun is a lot of Messi's photo mleeleli with all his titles plus kepsen joy is not the question of the question wage only this or rely on this it</v>
      </c>
    </row>
    <row r="11965" ht="15.75" customHeight="1">
      <c r="A11965" s="1">
        <v>13225.0</v>
      </c>
      <c r="B11965" s="3" t="s">
        <v>33953</v>
      </c>
      <c r="C11965" s="3">
        <v>3.0</v>
      </c>
      <c r="D11965" s="3">
        <v>16.0</v>
      </c>
      <c r="E11965" s="3">
        <v>42.0</v>
      </c>
      <c r="F11965" s="3" t="s">
        <v>33954</v>
      </c>
      <c r="G11965" s="3">
        <v>0.0</v>
      </c>
      <c r="H11965" s="3">
        <v>0.0</v>
      </c>
      <c r="I11965" s="3" t="s">
        <v>13</v>
      </c>
      <c r="J11965" s="3" t="s">
        <v>33955</v>
      </c>
      <c r="K11965" s="3" t="s">
        <v>657</v>
      </c>
      <c r="L11965" s="3" t="str">
        <f>IFERROR(__xludf.DUMMYFUNCTION("GOOGLETRANSLATE(F11965,""id"",""en"")"),"The moment of Messi and his mother hugged each other shortly after Argentina became the world champion a mother's prayer always accompanied")</f>
        <v>The moment of Messi and his mother hugged each other shortly after Argentina became the world champion a mother's prayer always accompanied</v>
      </c>
    </row>
    <row r="11966" ht="15.75" customHeight="1">
      <c r="A11966" s="1">
        <v>13226.0</v>
      </c>
      <c r="B11966" s="3" t="s">
        <v>33956</v>
      </c>
      <c r="C11966" s="3">
        <v>0.0</v>
      </c>
      <c r="D11966" s="3">
        <v>0.0</v>
      </c>
      <c r="E11966" s="3">
        <v>0.0</v>
      </c>
      <c r="F11966" s="3" t="s">
        <v>33957</v>
      </c>
      <c r="G11966" s="3">
        <v>0.6</v>
      </c>
      <c r="H11966" s="3">
        <v>-0.3</v>
      </c>
      <c r="I11966" s="3" t="s">
        <v>179</v>
      </c>
      <c r="J11966" s="3" t="s">
        <v>33958</v>
      </c>
      <c r="K11966" s="3" t="s">
        <v>50</v>
      </c>
      <c r="L11966" s="3" t="str">
        <f>IFERROR(__xludf.DUMMYFUNCTION("GOOGLETRANSLATE(F11966,""id"",""en"")"),"duh since Argentina the champion wakes up directly to the spirit like this")</f>
        <v>duh since Argentina the champion wakes up directly to the spirit like this</v>
      </c>
    </row>
    <row r="11967" ht="15.75" customHeight="1">
      <c r="A11967" s="1">
        <v>13227.0</v>
      </c>
      <c r="B11967" s="3" t="s">
        <v>33959</v>
      </c>
      <c r="C11967" s="3">
        <v>0.0</v>
      </c>
      <c r="D11967" s="3">
        <v>0.0</v>
      </c>
      <c r="E11967" s="3">
        <v>0.0</v>
      </c>
      <c r="F11967" s="3" t="s">
        <v>33960</v>
      </c>
      <c r="G11967" s="3">
        <v>1.0</v>
      </c>
      <c r="H11967" s="3">
        <v>0.0</v>
      </c>
      <c r="I11967" s="3" t="s">
        <v>13</v>
      </c>
      <c r="J11967" s="3" t="s">
        <v>33961</v>
      </c>
      <c r="K11967" s="3" t="s">
        <v>90</v>
      </c>
      <c r="L11967" s="3" t="str">
        <f>IFERROR(__xludf.DUMMYFUNCTION("GOOGLETRANSLATE(F11967,""id"",""en"")"),"Gelo Nyak Retired Final Final Copa America Chile Ayeuna Champion Worldcup thanks to the prayers of millions of Argentina orphans")</f>
        <v>Gelo Nyak Retired Final Final Copa America Chile Ayeuna Champion Worldcup thanks to the prayers of millions of Argentina orphans</v>
      </c>
    </row>
    <row r="11968" ht="15.75" customHeight="1">
      <c r="A11968" s="1">
        <v>13228.0</v>
      </c>
      <c r="B11968" s="3" t="s">
        <v>33962</v>
      </c>
      <c r="C11968" s="3">
        <v>0.0</v>
      </c>
      <c r="D11968" s="3">
        <v>0.0</v>
      </c>
      <c r="E11968" s="3">
        <v>1.0</v>
      </c>
      <c r="F11968" s="3" t="s">
        <v>33963</v>
      </c>
      <c r="G11968" s="3">
        <v>0.0</v>
      </c>
      <c r="H11968" s="3">
        <v>0.0</v>
      </c>
      <c r="I11968" s="3" t="s">
        <v>13</v>
      </c>
      <c r="J11968" s="3" t="s">
        <v>33964</v>
      </c>
      <c r="K11968" s="3" t="s">
        <v>41</v>
      </c>
      <c r="L11968" s="3" t="str">
        <f>IFERROR(__xludf.DUMMYFUNCTION("GOOGLETRANSLATE(F11968,""id"",""en"")"),"Argentina Champion World Cup Scaloni is a moment to be enjoyed especially for the people")</f>
        <v>Argentina Champion World Cup Scaloni is a moment to be enjoyed especially for the people</v>
      </c>
    </row>
    <row r="11969" ht="15.75" customHeight="1">
      <c r="A11969" s="1">
        <v>13229.0</v>
      </c>
      <c r="B11969" s="3" t="s">
        <v>33965</v>
      </c>
      <c r="C11969" s="3">
        <v>0.0</v>
      </c>
      <c r="D11969" s="3">
        <v>0.0</v>
      </c>
      <c r="E11969" s="3">
        <v>0.0</v>
      </c>
      <c r="F11969" s="3" t="s">
        <v>33966</v>
      </c>
      <c r="G11969" s="3">
        <v>0.0</v>
      </c>
      <c r="H11969" s="3">
        <v>0.0</v>
      </c>
      <c r="I11969" s="3" t="s">
        <v>13</v>
      </c>
      <c r="J11969" s="3" t="s">
        <v>33967</v>
      </c>
      <c r="K11969" s="3" t="s">
        <v>127</v>
      </c>
      <c r="L11969" s="3" t="str">
        <f>IFERROR(__xludf.DUMMYFUNCTION("GOOGLETRANSLATE(F11969,""id"",""en"")"),"Because I don't know the ball of the goalkeeper I just sleep in the morning through Argentina, the World Cup champion Messi is retired, PSG")</f>
        <v>Because I don't know the ball of the goalkeeper I just sleep in the morning through Argentina, the World Cup champion Messi is retired, PSG</v>
      </c>
    </row>
    <row r="11970" ht="15.75" customHeight="1">
      <c r="A11970" s="1">
        <v>13230.0</v>
      </c>
      <c r="B11970" s="3" t="s">
        <v>33968</v>
      </c>
      <c r="C11970" s="3">
        <v>0.0</v>
      </c>
      <c r="D11970" s="3">
        <v>0.0</v>
      </c>
      <c r="E11970" s="3">
        <v>0.0</v>
      </c>
      <c r="F11970" s="3" t="s">
        <v>33969</v>
      </c>
      <c r="G11970" s="3">
        <v>0.0</v>
      </c>
      <c r="H11970" s="3">
        <v>0.0</v>
      </c>
      <c r="I11970" s="3" t="s">
        <v>13</v>
      </c>
      <c r="J11970" s="3" t="s">
        <v>33970</v>
      </c>
      <c r="K11970" s="3" t="s">
        <v>15</v>
      </c>
      <c r="L11970" s="3" t="str">
        <f>IFERROR(__xludf.DUMMYFUNCTION("GOOGLETRANSLATE(F11970,""id"",""en"")"),"Argentine Photo of World Champion Messi Paraked Around the Stadium")</f>
        <v>Argentine Photo of World Champion Messi Paraked Around the Stadium</v>
      </c>
    </row>
    <row r="11971" ht="15.75" customHeight="1">
      <c r="A11971" s="1">
        <v>13231.0</v>
      </c>
      <c r="B11971" s="3" t="s">
        <v>33971</v>
      </c>
      <c r="C11971" s="3">
        <v>1.0</v>
      </c>
      <c r="D11971" s="3">
        <v>0.0</v>
      </c>
      <c r="E11971" s="3">
        <v>0.0</v>
      </c>
      <c r="F11971" s="3" t="s">
        <v>33972</v>
      </c>
      <c r="G11971" s="3">
        <v>0.0</v>
      </c>
      <c r="H11971" s="3">
        <v>0.0</v>
      </c>
      <c r="I11971" s="3" t="s">
        <v>13</v>
      </c>
      <c r="J11971" s="3" t="s">
        <v>33973</v>
      </c>
      <c r="K11971" s="3" t="s">
        <v>2146</v>
      </c>
      <c r="L11971" s="3" t="str">
        <f>IFERROR(__xludf.DUMMYFUNCTION("GOOGLETRANSLATE(F11971,""id"",""en"")"),"Argentina The world champion of the nation will be tango all night since Mexico Maradona here finally the new nation that scaloni will be destined to be purified by him, this is written as a tribute to the legend of Diego Desde Cielo Podemos Ever")</f>
        <v>Argentina The world champion of the nation will be tango all night since Mexico Maradona here finally the new nation that scaloni will be destined to be purified by him, this is written as a tribute to the legend of Diego Desde Cielo Podemos Ever</v>
      </c>
    </row>
    <row r="11972" ht="15.75" customHeight="1">
      <c r="A11972" s="1">
        <v>13233.0</v>
      </c>
      <c r="B11972" s="3" t="s">
        <v>33974</v>
      </c>
      <c r="C11972" s="3">
        <v>0.0</v>
      </c>
      <c r="D11972" s="3">
        <v>0.0</v>
      </c>
      <c r="E11972" s="3">
        <v>0.0</v>
      </c>
      <c r="F11972" s="3" t="s">
        <v>33975</v>
      </c>
      <c r="G11972" s="3">
        <v>0.0</v>
      </c>
      <c r="H11972" s="3">
        <v>0.0</v>
      </c>
      <c r="I11972" s="3" t="s">
        <v>13</v>
      </c>
      <c r="J11972" s="3" t="s">
        <v>33976</v>
      </c>
      <c r="K11972" s="3" t="s">
        <v>41</v>
      </c>
      <c r="L11972" s="3" t="str">
        <f>IFERROR(__xludf.DUMMYFUNCTION("GOOGLETRANSLATE(F11972,""id"",""en"")"),"Argentina World Champion Wins over France Through Penalties")</f>
        <v>Argentina World Champion Wins over France Through Penalties</v>
      </c>
    </row>
    <row r="11973" ht="15.75" customHeight="1">
      <c r="A11973" s="1">
        <v>13234.0</v>
      </c>
      <c r="B11973" s="3" t="s">
        <v>33977</v>
      </c>
      <c r="C11973" s="3">
        <v>1.0</v>
      </c>
      <c r="D11973" s="3">
        <v>0.0</v>
      </c>
      <c r="E11973" s="3">
        <v>0.0</v>
      </c>
      <c r="F11973" s="3" t="s">
        <v>33978</v>
      </c>
      <c r="G11973" s="3">
        <v>0.3</v>
      </c>
      <c r="H11973" s="3">
        <v>0.2</v>
      </c>
      <c r="I11973" s="3" t="s">
        <v>48</v>
      </c>
      <c r="J11973" s="3" t="s">
        <v>33979</v>
      </c>
      <c r="K11973" s="3" t="s">
        <v>33980</v>
      </c>
      <c r="L11973" s="3" t="str">
        <f>IFERROR(__xludf.DUMMYFUNCTION("GOOGLETRANSLATE(F11973,""id"",""en"")"),"When Argentina champions Akeh's story, how come at the beginning of the Giono Suarane Stage group, I lost the new Arabic Arabs when I was a big example, the example")</f>
        <v>When Argentina champions Akeh's story, how come at the beginning of the Giono Suarane Stage group, I lost the new Arabic Arabs when I was a big example, the example</v>
      </c>
    </row>
    <row r="11974" ht="15.75" customHeight="1">
      <c r="A11974" s="1">
        <v>13235.0</v>
      </c>
      <c r="B11974" s="3" t="s">
        <v>33981</v>
      </c>
      <c r="C11974" s="3">
        <v>0.0</v>
      </c>
      <c r="D11974" s="3">
        <v>0.0</v>
      </c>
      <c r="E11974" s="3">
        <v>0.0</v>
      </c>
      <c r="F11974" s="3" t="s">
        <v>33982</v>
      </c>
      <c r="G11974" s="3">
        <v>0.0</v>
      </c>
      <c r="H11974" s="3">
        <v>0.0</v>
      </c>
      <c r="I11974" s="3" t="s">
        <v>13</v>
      </c>
      <c r="J11974" s="3" t="s">
        <v>33983</v>
      </c>
      <c r="K11974" s="3" t="s">
        <v>82</v>
      </c>
      <c r="L11974" s="3" t="str">
        <f>IFERROR(__xludf.DUMMYFUNCTION("GOOGLETRANSLATE(F11974,""id"",""en"")"),"Argentina Champion World Cup After French Brush")</f>
        <v>Argentina Champion World Cup After French Brush</v>
      </c>
    </row>
    <row r="11975" ht="15.75" customHeight="1">
      <c r="A11975" s="1">
        <v>13236.0</v>
      </c>
      <c r="B11975" s="3" t="s">
        <v>33984</v>
      </c>
      <c r="C11975" s="3">
        <v>0.0</v>
      </c>
      <c r="D11975" s="3">
        <v>0.0</v>
      </c>
      <c r="E11975" s="3">
        <v>5.0</v>
      </c>
      <c r="F11975" s="3" t="s">
        <v>33985</v>
      </c>
      <c r="G11975" s="3">
        <v>0.4</v>
      </c>
      <c r="H11975" s="3">
        <v>-0.4</v>
      </c>
      <c r="I11975" s="3" t="s">
        <v>179</v>
      </c>
      <c r="J11975" s="3" t="s">
        <v>33986</v>
      </c>
      <c r="K11975" s="3" t="s">
        <v>495</v>
      </c>
      <c r="L11975" s="3" t="str">
        <f>IFERROR(__xludf.DUMMYFUNCTION("GOOGLETRANSLATE(F11975,""id"",""en"")"),"Makes a cry from the beginning of the game until the champion loses bullies to win blasphemy saying settings but still Argentina is the best Vamoss")</f>
        <v>Makes a cry from the beginning of the game until the champion loses bullies to win blasphemy saying settings but still Argentina is the best Vamoss</v>
      </c>
    </row>
    <row r="11976" ht="15.75" customHeight="1">
      <c r="A11976" s="1">
        <v>13237.0</v>
      </c>
      <c r="B11976" s="3" t="s">
        <v>33987</v>
      </c>
      <c r="C11976" s="3">
        <v>4.0</v>
      </c>
      <c r="D11976" s="3">
        <v>31.0</v>
      </c>
      <c r="E11976" s="3">
        <v>214.0</v>
      </c>
      <c r="F11976" s="3" t="s">
        <v>25621</v>
      </c>
      <c r="G11976" s="3">
        <v>0.0</v>
      </c>
      <c r="H11976" s="3">
        <v>0.0</v>
      </c>
      <c r="I11976" s="3" t="s">
        <v>13</v>
      </c>
      <c r="J11976" s="3" t="s">
        <v>25622</v>
      </c>
      <c r="K11976" s="3" t="s">
        <v>1045</v>
      </c>
      <c r="L11976" s="3" t="str">
        <f>IFERROR(__xludf.DUMMYFUNCTION("GOOGLETRANSLATE(F11976,""id"",""en"")"),"Argentina officially won the World Cup after winning a penalty shootout with France Lionel Messi also became the best World Cup player succeeded in completing the series of trophies in this victory")</f>
        <v>Argentina officially won the World Cup after winning a penalty shootout with France Lionel Messi also became the best World Cup player succeeded in completing the series of trophies in this victory</v>
      </c>
    </row>
    <row r="11977" ht="15.75" customHeight="1">
      <c r="A11977" s="1">
        <v>13238.0</v>
      </c>
      <c r="B11977" s="3" t="s">
        <v>33988</v>
      </c>
      <c r="C11977" s="3">
        <v>0.0</v>
      </c>
      <c r="D11977" s="3">
        <v>0.0</v>
      </c>
      <c r="E11977" s="3">
        <v>0.0</v>
      </c>
      <c r="F11977" s="3" t="s">
        <v>16103</v>
      </c>
      <c r="G11977" s="3">
        <v>0.0</v>
      </c>
      <c r="H11977" s="3">
        <v>0.0</v>
      </c>
      <c r="I11977" s="3" t="s">
        <v>13</v>
      </c>
      <c r="J11977" s="3" t="s">
        <v>16104</v>
      </c>
      <c r="K11977" s="3" t="s">
        <v>14571</v>
      </c>
      <c r="L11977" s="3" t="str">
        <f>IFERROR(__xludf.DUMMYFUNCTION("GOOGLETRANSLATE(F11977,""id"",""en"")"),"Argentina Champion")</f>
        <v>Argentina Champion</v>
      </c>
    </row>
    <row r="11978" ht="15.75" customHeight="1">
      <c r="A11978" s="1">
        <v>13239.0</v>
      </c>
      <c r="B11978" s="3" t="s">
        <v>33989</v>
      </c>
      <c r="C11978" s="3">
        <v>0.0</v>
      </c>
      <c r="D11978" s="3">
        <v>0.0</v>
      </c>
      <c r="E11978" s="3">
        <v>0.0</v>
      </c>
      <c r="F11978" s="3" t="s">
        <v>33990</v>
      </c>
      <c r="G11978" s="3">
        <v>0.0</v>
      </c>
      <c r="H11978" s="3">
        <v>0.0</v>
      </c>
      <c r="I11978" s="3" t="s">
        <v>13</v>
      </c>
      <c r="J11978" s="3" t="s">
        <v>33991</v>
      </c>
      <c r="K11978" s="3" t="s">
        <v>75</v>
      </c>
      <c r="L11978" s="3" t="str">
        <f>IFERROR(__xludf.DUMMYFUNCTION("GOOGLETRANSLATE(F11978,""id"",""en"")"),"the same score when France became world champion last year Congrats")</f>
        <v>the same score when France became world champion last year Congrats</v>
      </c>
    </row>
    <row r="11979" ht="15.75" customHeight="1">
      <c r="A11979" s="1">
        <v>13240.0</v>
      </c>
      <c r="B11979" s="3" t="s">
        <v>33992</v>
      </c>
      <c r="C11979" s="3">
        <v>0.0</v>
      </c>
      <c r="D11979" s="3">
        <v>0.0</v>
      </c>
      <c r="E11979" s="3">
        <v>0.0</v>
      </c>
      <c r="F11979" s="3" t="s">
        <v>33993</v>
      </c>
      <c r="G11979" s="3">
        <v>0.0</v>
      </c>
      <c r="H11979" s="3">
        <v>0.0</v>
      </c>
      <c r="I11979" s="3" t="s">
        <v>13</v>
      </c>
      <c r="J11979" s="3" t="s">
        <v>33994</v>
      </c>
      <c r="K11979" s="3" t="s">
        <v>1293</v>
      </c>
      <c r="L11979" s="3" t="str">
        <f>IFERROR(__xludf.DUMMYFUNCTION("GOOGLETRANSLATE(F11979,""id"",""en"")"),"Argentina became a Qatar world champion I instead saw Argentine against the team from Africa only white French goalkeeper")</f>
        <v>Argentina became a Qatar world champion I instead saw Argentine against the team from Africa only white French goalkeeper</v>
      </c>
    </row>
    <row r="11980" ht="15.75" customHeight="1">
      <c r="A11980" s="1">
        <v>13241.0</v>
      </c>
      <c r="B11980" s="3" t="s">
        <v>33995</v>
      </c>
      <c r="C11980" s="3">
        <v>0.0</v>
      </c>
      <c r="D11980" s="3">
        <v>17.0</v>
      </c>
      <c r="E11980" s="3">
        <v>125.0</v>
      </c>
      <c r="F11980" s="3" t="s">
        <v>33969</v>
      </c>
      <c r="G11980" s="3">
        <v>0.0</v>
      </c>
      <c r="H11980" s="3">
        <v>0.0</v>
      </c>
      <c r="I11980" s="3" t="s">
        <v>13</v>
      </c>
      <c r="J11980" s="3" t="s">
        <v>33970</v>
      </c>
      <c r="K11980" s="3" t="s">
        <v>15</v>
      </c>
      <c r="L11980" s="3" t="str">
        <f>IFERROR(__xludf.DUMMYFUNCTION("GOOGLETRANSLATE(F11980,""id"",""en"")"),"Argentine Photo of World Champion Messi Paraked Around the Stadium")</f>
        <v>Argentine Photo of World Champion Messi Paraked Around the Stadium</v>
      </c>
    </row>
    <row r="11981" ht="15.75" customHeight="1">
      <c r="A11981" s="1">
        <v>13242.0</v>
      </c>
      <c r="B11981" s="3" t="s">
        <v>33996</v>
      </c>
      <c r="C11981" s="3">
        <v>0.0</v>
      </c>
      <c r="D11981" s="3">
        <v>0.0</v>
      </c>
      <c r="E11981" s="3">
        <v>0.0</v>
      </c>
      <c r="F11981" s="3" t="s">
        <v>33997</v>
      </c>
      <c r="G11981" s="3">
        <v>0.0</v>
      </c>
      <c r="H11981" s="3">
        <v>0.0</v>
      </c>
      <c r="I11981" s="3" t="s">
        <v>13</v>
      </c>
      <c r="J11981" s="3" t="s">
        <v>33998</v>
      </c>
      <c r="K11981" s="3" t="s">
        <v>2215</v>
      </c>
      <c r="L11981" s="3" t="str">
        <f>IFERROR(__xludf.DUMMYFUNCTION("GOOGLETRANSLATE(F11981,""id"",""en"")"),"Argentina lost at the beginning of the championship that all the teams that competed in the world had lost even though they were champions")</f>
        <v>Argentina lost at the beginning of the championship that all the teams that competed in the world had lost even though they were champions</v>
      </c>
    </row>
    <row r="11982" ht="15.75" customHeight="1">
      <c r="A11982" s="1">
        <v>13243.0</v>
      </c>
      <c r="B11982" s="3" t="s">
        <v>33999</v>
      </c>
      <c r="C11982" s="3">
        <v>0.0</v>
      </c>
      <c r="D11982" s="3">
        <v>0.0</v>
      </c>
      <c r="E11982" s="3">
        <v>3.0</v>
      </c>
      <c r="F11982" s="3" t="s">
        <v>34000</v>
      </c>
      <c r="G11982" s="3">
        <v>0.0</v>
      </c>
      <c r="H11982" s="3">
        <v>0.0</v>
      </c>
      <c r="I11982" s="3" t="s">
        <v>13</v>
      </c>
      <c r="J11982" s="3" t="s">
        <v>34001</v>
      </c>
      <c r="K11982" s="3" t="s">
        <v>495</v>
      </c>
      <c r="L11982" s="3" t="str">
        <f>IFERROR(__xludf.DUMMYFUNCTION("GOOGLETRANSLATE(F11982,""id"",""en"")"),"Supporters of the Argentina Manado national team immediately held a convoy along Jalan Boulevard after Lionel Messi confirmed to be the World Cup championship")</f>
        <v>Supporters of the Argentina Manado national team immediately held a convoy along Jalan Boulevard after Lionel Messi confirmed to be the World Cup championship</v>
      </c>
    </row>
    <row r="11983" ht="15.75" customHeight="1">
      <c r="A11983" s="1">
        <v>13244.0</v>
      </c>
      <c r="B11983" s="3" t="s">
        <v>34002</v>
      </c>
      <c r="C11983" s="3">
        <v>0.0</v>
      </c>
      <c r="D11983" s="3">
        <v>0.0</v>
      </c>
      <c r="E11983" s="3">
        <v>0.0</v>
      </c>
      <c r="F11983" s="3" t="s">
        <v>34003</v>
      </c>
      <c r="G11983" s="3">
        <v>0.0</v>
      </c>
      <c r="H11983" s="3">
        <v>0.0</v>
      </c>
      <c r="I11983" s="3" t="s">
        <v>13</v>
      </c>
      <c r="J11983" s="3" t="s">
        <v>34004</v>
      </c>
      <c r="K11983" s="3" t="s">
        <v>82</v>
      </c>
      <c r="L11983" s="3" t="str">
        <f>IFERROR(__xludf.DUMMYFUNCTION("GOOGLETRANSLATE(F11983,""id"",""en"")"),"if there is a borrowing money, don't borrow it")</f>
        <v>if there is a borrowing money, don't borrow it</v>
      </c>
    </row>
    <row r="11984" ht="15.75" customHeight="1">
      <c r="A11984" s="1">
        <v>13245.0</v>
      </c>
      <c r="B11984" s="3" t="s">
        <v>34005</v>
      </c>
      <c r="C11984" s="3">
        <v>0.0</v>
      </c>
      <c r="D11984" s="3">
        <v>0.0</v>
      </c>
      <c r="E11984" s="3">
        <v>0.0</v>
      </c>
      <c r="F11984" s="3" t="s">
        <v>34006</v>
      </c>
      <c r="G11984" s="3">
        <v>0.0</v>
      </c>
      <c r="H11984" s="3">
        <v>0.0</v>
      </c>
      <c r="I11984" s="3" t="s">
        <v>13</v>
      </c>
      <c r="J11984" s="3" t="s">
        <v>34007</v>
      </c>
      <c r="K11984" s="3" t="s">
        <v>240</v>
      </c>
      <c r="L11984" s="3" t="str">
        <f>IFERROR(__xludf.DUMMYFUNCTION("GOOGLETRANSLATE(F11984,""id"",""en"")"),"The Pamungkas Nan Indah tango dance was successfully staged by Lionel Messi with the dare to die of Argentina World Cup champions")</f>
        <v>The Pamungkas Nan Indah tango dance was successfully staged by Lionel Messi with the dare to die of Argentina World Cup champions</v>
      </c>
    </row>
    <row r="11985" ht="15.75" customHeight="1">
      <c r="A11985" s="1">
        <v>13246.0</v>
      </c>
      <c r="B11985" s="3" t="s">
        <v>34008</v>
      </c>
      <c r="C11985" s="3">
        <v>0.0</v>
      </c>
      <c r="D11985" s="3">
        <v>0.0</v>
      </c>
      <c r="E11985" s="3">
        <v>0.0</v>
      </c>
      <c r="F11985" s="3" t="s">
        <v>34009</v>
      </c>
      <c r="G11985" s="3">
        <v>0.0</v>
      </c>
      <c r="H11985" s="3">
        <v>0.0</v>
      </c>
      <c r="I11985" s="3" t="s">
        <v>13</v>
      </c>
      <c r="J11985" s="3" t="s">
        <v>34010</v>
      </c>
      <c r="K11985" s="3" t="s">
        <v>795</v>
      </c>
      <c r="L11985" s="3" t="str">
        <f>IFERROR(__xludf.DUMMYFUNCTION("GOOGLETRANSLATE(F11985,""id"",""en"")"),"finally answered who was bigger between Lionel Messi and Cristiano Ronaldo after Argentina won the Qatar World Cup Happy Argentina Lionel Messi")</f>
        <v>finally answered who was bigger between Lionel Messi and Cristiano Ronaldo after Argentina won the Qatar World Cup Happy Argentina Lionel Messi</v>
      </c>
    </row>
    <row r="11986" ht="15.75" customHeight="1">
      <c r="A11986" s="1">
        <v>13247.0</v>
      </c>
      <c r="B11986" s="3" t="s">
        <v>34011</v>
      </c>
      <c r="C11986" s="3">
        <v>0.0</v>
      </c>
      <c r="D11986" s="3">
        <v>0.0</v>
      </c>
      <c r="E11986" s="3">
        <v>4.0</v>
      </c>
      <c r="F11986" s="3" t="s">
        <v>34012</v>
      </c>
      <c r="G11986" s="3">
        <v>0.75</v>
      </c>
      <c r="H11986" s="3">
        <v>0.0</v>
      </c>
      <c r="I11986" s="3" t="s">
        <v>13</v>
      </c>
      <c r="J11986" s="3" t="s">
        <v>34013</v>
      </c>
      <c r="K11986" s="3" t="s">
        <v>15</v>
      </c>
      <c r="L11986" s="3" t="str">
        <f>IFERROR(__xludf.DUMMYFUNCTION("GOOGLETRANSLATE(F11986,""id"",""en"")"),"This World Cup Champion Total Money brought by the Argentine national team")</f>
        <v>This World Cup Champion Total Money brought by the Argentine national team</v>
      </c>
    </row>
    <row r="11987" ht="15.75" customHeight="1">
      <c r="A11987" s="1">
        <v>13248.0</v>
      </c>
      <c r="B11987" s="3" t="s">
        <v>34014</v>
      </c>
      <c r="C11987" s="3">
        <v>0.0</v>
      </c>
      <c r="D11987" s="3">
        <v>0.0</v>
      </c>
      <c r="E11987" s="3">
        <v>3.0</v>
      </c>
      <c r="F11987" s="3" t="s">
        <v>33585</v>
      </c>
      <c r="G11987" s="3">
        <v>0.0</v>
      </c>
      <c r="H11987" s="3">
        <v>0.0</v>
      </c>
      <c r="I11987" s="3" t="s">
        <v>13</v>
      </c>
      <c r="J11987" s="3" t="s">
        <v>33586</v>
      </c>
      <c r="K11987" s="3" t="s">
        <v>510</v>
      </c>
      <c r="L11987" s="3" t="str">
        <f>IFERROR(__xludf.DUMMYFUNCTION("GOOGLETRANSLATE(F11987,""id"",""en"")"),"Bring Argentina World Cup Champion Lionel Messi Sah passed Diego Maradona and Cristiano Ronaldo")</f>
        <v>Bring Argentina World Cup Champion Lionel Messi Sah passed Diego Maradona and Cristiano Ronaldo</v>
      </c>
    </row>
    <row r="11988" ht="15.75" customHeight="1">
      <c r="A11988" s="1">
        <v>13249.0</v>
      </c>
      <c r="B11988" s="3" t="s">
        <v>34015</v>
      </c>
      <c r="C11988" s="3">
        <v>0.0</v>
      </c>
      <c r="D11988" s="3">
        <v>0.0</v>
      </c>
      <c r="E11988" s="3">
        <v>0.0</v>
      </c>
      <c r="F11988" s="3" t="s">
        <v>34016</v>
      </c>
      <c r="G11988" s="3">
        <v>0.0</v>
      </c>
      <c r="H11988" s="3">
        <v>0.0</v>
      </c>
      <c r="I11988" s="3" t="s">
        <v>13</v>
      </c>
      <c r="J11988" s="3" t="s">
        <v>34017</v>
      </c>
      <c r="K11988" s="3" t="s">
        <v>75</v>
      </c>
      <c r="L11988" s="3" t="str">
        <f>IFERROR(__xludf.DUMMYFUNCTION("GOOGLETRANSLATE(F11988,""id"",""en"")"),"well, Argentina, even though the finals are lacking, the hypoclant is still a champion")</f>
        <v>well, Argentina, even though the finals are lacking, the hypoclant is still a champion</v>
      </c>
    </row>
    <row r="11989" ht="15.75" customHeight="1">
      <c r="A11989" s="1">
        <v>13250.0</v>
      </c>
      <c r="B11989" s="3" t="s">
        <v>34018</v>
      </c>
      <c r="C11989" s="3">
        <v>0.0</v>
      </c>
      <c r="D11989" s="3">
        <v>0.0</v>
      </c>
      <c r="E11989" s="3">
        <v>9.0</v>
      </c>
      <c r="F11989" s="3" t="s">
        <v>34019</v>
      </c>
      <c r="G11989" s="3">
        <v>0.0</v>
      </c>
      <c r="H11989" s="3">
        <v>0.0</v>
      </c>
      <c r="I11989" s="3" t="s">
        <v>13</v>
      </c>
      <c r="J11989" s="3" t="s">
        <v>34020</v>
      </c>
      <c r="K11989" s="3" t="s">
        <v>1489</v>
      </c>
      <c r="L11989" s="3" t="str">
        <f>IFERROR(__xludf.DUMMYFUNCTION("GOOGLETRANSLATE(F11989,""id"",""en"")"),"After waiting finally Argentina Champion World Cup Yang and Polemic Polemic Puzzle of the Best Player of Messi ended Argentina Champion because there was a supporter who was a convert to the host of the Qatar World Cup brought Argentina's luck")</f>
        <v>After waiting finally Argentina Champion World Cup Yang and Polemic Polemic Puzzle of the Best Player of Messi ended Argentina Champion because there was a supporter who was a convert to the host of the Qatar World Cup brought Argentina's luck</v>
      </c>
    </row>
    <row r="11990" ht="15.75" customHeight="1">
      <c r="A11990" s="1">
        <v>13251.0</v>
      </c>
      <c r="B11990" s="3" t="s">
        <v>34021</v>
      </c>
      <c r="C11990" s="3">
        <v>0.0</v>
      </c>
      <c r="D11990" s="3">
        <v>0.0</v>
      </c>
      <c r="E11990" s="3">
        <v>1.0</v>
      </c>
      <c r="F11990" s="3" t="s">
        <v>34022</v>
      </c>
      <c r="G11990" s="3">
        <v>0.0</v>
      </c>
      <c r="H11990" s="3">
        <v>0.0</v>
      </c>
      <c r="I11990" s="3" t="s">
        <v>13</v>
      </c>
      <c r="J11990" s="3" t="s">
        <v>34023</v>
      </c>
      <c r="K11990" s="3" t="s">
        <v>75</v>
      </c>
      <c r="L11990" s="3" t="str">
        <f>IFERROR(__xludf.DUMMYFUNCTION("GOOGLETRANSLATE(F11990,""id"",""en"")"),"Supporter ritual for Argentina World Cup Champion Behind Qatar Reject")</f>
        <v>Supporter ritual for Argentina World Cup Champion Behind Qatar Reject</v>
      </c>
    </row>
    <row r="11991" ht="15.75" customHeight="1">
      <c r="A11991" s="1">
        <v>13252.0</v>
      </c>
      <c r="B11991" s="3" t="s">
        <v>34024</v>
      </c>
      <c r="C11991" s="3">
        <v>0.0</v>
      </c>
      <c r="D11991" s="3">
        <v>0.0</v>
      </c>
      <c r="E11991" s="3">
        <v>0.0</v>
      </c>
      <c r="F11991" s="3" t="s">
        <v>34025</v>
      </c>
      <c r="G11991" s="3">
        <v>0.0</v>
      </c>
      <c r="H11991" s="3">
        <v>0.0</v>
      </c>
      <c r="I11991" s="3" t="s">
        <v>13</v>
      </c>
      <c r="J11991" s="3" t="s">
        <v>34026</v>
      </c>
      <c r="K11991" s="3" t="s">
        <v>15</v>
      </c>
      <c r="L11991" s="3" t="str">
        <f>IFERROR(__xludf.DUMMYFUNCTION("GOOGLETRANSLATE(F11991,""id"",""en"")"),"the champion of Messi Ama Argentina Barca Gausa joined in happy")</f>
        <v>the champion of Messi Ama Argentina Barca Gausa joined in happy</v>
      </c>
    </row>
    <row r="11992" ht="15.75" customHeight="1">
      <c r="A11992" s="1">
        <v>13253.0</v>
      </c>
      <c r="B11992" s="3" t="s">
        <v>34027</v>
      </c>
      <c r="C11992" s="3">
        <v>0.0</v>
      </c>
      <c r="D11992" s="3">
        <v>0.0</v>
      </c>
      <c r="E11992" s="3">
        <v>1.0</v>
      </c>
      <c r="F11992" s="3" t="s">
        <v>34028</v>
      </c>
      <c r="G11992" s="3">
        <v>0.0</v>
      </c>
      <c r="H11992" s="3">
        <v>0.0</v>
      </c>
      <c r="I11992" s="3" t="s">
        <v>13</v>
      </c>
      <c r="J11992" s="3" t="s">
        <v>34029</v>
      </c>
      <c r="K11992" s="3" t="s">
        <v>50</v>
      </c>
      <c r="L11992" s="3" t="str">
        <f>IFERROR(__xludf.DUMMYFUNCTION("GOOGLETRANSLATE(F11992,""id"",""en"")"),"finally Argentina champions and Messi completes a lot of throphy collections")</f>
        <v>finally Argentina champions and Messi completes a lot of throphy collections</v>
      </c>
    </row>
    <row r="11993" ht="15.75" customHeight="1">
      <c r="A11993" s="1">
        <v>13254.0</v>
      </c>
      <c r="B11993" s="3" t="s">
        <v>34030</v>
      </c>
      <c r="C11993" s="3">
        <v>0.0</v>
      </c>
      <c r="D11993" s="3">
        <v>0.0</v>
      </c>
      <c r="E11993" s="3">
        <v>0.0</v>
      </c>
      <c r="F11993" s="3" t="s">
        <v>34006</v>
      </c>
      <c r="G11993" s="3">
        <v>0.0</v>
      </c>
      <c r="H11993" s="3">
        <v>0.0</v>
      </c>
      <c r="I11993" s="3" t="s">
        <v>13</v>
      </c>
      <c r="J11993" s="3" t="s">
        <v>34007</v>
      </c>
      <c r="K11993" s="3" t="s">
        <v>240</v>
      </c>
      <c r="L11993" s="3" t="str">
        <f>IFERROR(__xludf.DUMMYFUNCTION("GOOGLETRANSLATE(F11993,""id"",""en"")"),"The Pamungkas Nan Indah tango dance was successfully staged by Lionel Messi with the dare to die of Argentina World Cup champions")</f>
        <v>The Pamungkas Nan Indah tango dance was successfully staged by Lionel Messi with the dare to die of Argentina World Cup champions</v>
      </c>
    </row>
    <row r="11994" ht="15.75" customHeight="1">
      <c r="A11994" s="1">
        <v>13255.0</v>
      </c>
      <c r="B11994" s="3" t="s">
        <v>34031</v>
      </c>
      <c r="C11994" s="3">
        <v>0.0</v>
      </c>
      <c r="D11994" s="3">
        <v>0.0</v>
      </c>
      <c r="E11994" s="3">
        <v>3.0</v>
      </c>
      <c r="F11994" s="3" t="s">
        <v>34032</v>
      </c>
      <c r="G11994" s="3">
        <v>0.0</v>
      </c>
      <c r="H11994" s="3">
        <v>0.0</v>
      </c>
      <c r="I11994" s="3" t="s">
        <v>13</v>
      </c>
      <c r="J11994" s="3" t="s">
        <v>34033</v>
      </c>
      <c r="K11994" s="3" t="s">
        <v>75</v>
      </c>
      <c r="L11994" s="3" t="str">
        <f>IFERROR(__xludf.DUMMYFUNCTION("GOOGLETRANSLATE(F11994,""id"",""en"")"),"Argentina Champion World Cup Tango Most Beautiful Messi and troops dare to die")</f>
        <v>Argentina Champion World Cup Tango Most Beautiful Messi and troops dare to die</v>
      </c>
    </row>
    <row r="11995" ht="15.75" customHeight="1">
      <c r="A11995" s="1">
        <v>13256.0</v>
      </c>
      <c r="B11995" s="3" t="s">
        <v>34034</v>
      </c>
      <c r="C11995" s="3">
        <v>0.0</v>
      </c>
      <c r="D11995" s="3">
        <v>0.0</v>
      </c>
      <c r="E11995" s="3">
        <v>0.0</v>
      </c>
      <c r="F11995" s="3" t="s">
        <v>34035</v>
      </c>
      <c r="G11995" s="3">
        <v>0.0</v>
      </c>
      <c r="H11995" s="3">
        <v>0.0</v>
      </c>
      <c r="I11995" s="3" t="s">
        <v>13</v>
      </c>
      <c r="J11995" s="3" t="s">
        <v>34036</v>
      </c>
      <c r="K11995" s="3" t="s">
        <v>71</v>
      </c>
      <c r="L11995" s="3" t="str">
        <f>IFERROR(__xludf.DUMMYFUNCTION("GOOGLETRANSLATE(F11995,""id"",""en"")"),"Argentina Champion World Cup Mbappe Meni Top Goals Messi won the best player equivalent to Maradona")</f>
        <v>Argentina Champion World Cup Mbappe Meni Top Goals Messi won the best player equivalent to Maradona</v>
      </c>
    </row>
    <row r="11996" ht="15.75" customHeight="1">
      <c r="A11996" s="1">
        <v>13257.0</v>
      </c>
      <c r="B11996" s="3" t="s">
        <v>34037</v>
      </c>
      <c r="C11996" s="3">
        <v>0.0</v>
      </c>
      <c r="D11996" s="3">
        <v>0.0</v>
      </c>
      <c r="E11996" s="3">
        <v>0.0</v>
      </c>
      <c r="F11996" s="3" t="s">
        <v>34038</v>
      </c>
      <c r="G11996" s="3">
        <v>0.0</v>
      </c>
      <c r="H11996" s="3">
        <v>0.0</v>
      </c>
      <c r="I11996" s="3" t="s">
        <v>13</v>
      </c>
      <c r="J11996" s="3" t="s">
        <v>34039</v>
      </c>
      <c r="K11996" s="3" t="s">
        <v>31</v>
      </c>
      <c r="L11996" s="3" t="str">
        <f>IFERROR(__xludf.DUMMYFUNCTION("GOOGLETRANSLATE(F11996,""id"",""en"")"),"Right Argentina World Cup Champion")</f>
        <v>Right Argentina World Cup Champion</v>
      </c>
    </row>
    <row r="11997" ht="15.75" customHeight="1">
      <c r="A11997" s="1">
        <v>13258.0</v>
      </c>
      <c r="B11997" s="3" t="s">
        <v>34040</v>
      </c>
      <c r="C11997" s="3">
        <v>0.0</v>
      </c>
      <c r="D11997" s="3">
        <v>0.0</v>
      </c>
      <c r="E11997" s="3">
        <v>0.0</v>
      </c>
      <c r="F11997" s="3" t="s">
        <v>34041</v>
      </c>
      <c r="G11997" s="3">
        <v>0.0</v>
      </c>
      <c r="H11997" s="3">
        <v>0.0</v>
      </c>
      <c r="I11997" s="3" t="s">
        <v>13</v>
      </c>
      <c r="J11997" s="3" t="s">
        <v>34042</v>
      </c>
      <c r="K11997" s="3" t="s">
        <v>54</v>
      </c>
      <c r="L11997" s="3" t="str">
        <f>IFERROR(__xludf.DUMMYFUNCTION("GOOGLETRANSLATE(F11997,""id"",""en"")"),"Congrats Argentina Messi is already champion")</f>
        <v>Congrats Argentina Messi is already champion</v>
      </c>
    </row>
    <row r="11998" ht="15.75" customHeight="1">
      <c r="A11998" s="1">
        <v>13259.0</v>
      </c>
      <c r="B11998" s="3" t="s">
        <v>34043</v>
      </c>
      <c r="C11998" s="3">
        <v>0.0</v>
      </c>
      <c r="D11998" s="3">
        <v>0.0</v>
      </c>
      <c r="E11998" s="3">
        <v>0.0</v>
      </c>
      <c r="F11998" s="3" t="s">
        <v>34044</v>
      </c>
      <c r="G11998" s="3">
        <v>0.0</v>
      </c>
      <c r="H11998" s="3">
        <v>0.0</v>
      </c>
      <c r="I11998" s="3" t="s">
        <v>13</v>
      </c>
      <c r="J11998" s="3" t="s">
        <v>34045</v>
      </c>
      <c r="K11998" s="3" t="s">
        <v>75</v>
      </c>
      <c r="L11998" s="3" t="str">
        <f>IFERROR(__xludf.DUMMYFUNCTION("GOOGLETRANSLATE(F11998,""id"",""en"")"),"Argentina Champion World Cup Through Hatrick Mbappe Forced Penalties")</f>
        <v>Argentina Champion World Cup Through Hatrick Mbappe Forced Penalties</v>
      </c>
    </row>
    <row r="11999" ht="15.75" customHeight="1">
      <c r="A11999" s="1">
        <v>13260.0</v>
      </c>
      <c r="B11999" s="3" t="s">
        <v>34046</v>
      </c>
      <c r="C11999" s="3">
        <v>0.0</v>
      </c>
      <c r="D11999" s="3">
        <v>0.0</v>
      </c>
      <c r="E11999" s="3">
        <v>0.0</v>
      </c>
      <c r="F11999" s="3" t="s">
        <v>33941</v>
      </c>
      <c r="G11999" s="3">
        <v>0.0</v>
      </c>
      <c r="H11999" s="3">
        <v>0.0</v>
      </c>
      <c r="I11999" s="3" t="s">
        <v>13</v>
      </c>
      <c r="J11999" s="3" t="s">
        <v>33942</v>
      </c>
      <c r="K11999" s="3" t="s">
        <v>1552</v>
      </c>
      <c r="L11999" s="3" t="str">
        <f>IFERROR(__xludf.DUMMYFUNCTION("GOOGLETRANSLATE(F11999,""id"",""en"")"),"Argentina world soccer champion Tahniah Argentina Argentina's victory")</f>
        <v>Argentina world soccer champion Tahniah Argentina Argentina's victory</v>
      </c>
    </row>
    <row r="12000" ht="15.75" customHeight="1">
      <c r="A12000" s="1">
        <v>13261.0</v>
      </c>
      <c r="B12000" s="3" t="s">
        <v>34047</v>
      </c>
      <c r="C12000" s="3">
        <v>0.0</v>
      </c>
      <c r="D12000" s="3">
        <v>1.0</v>
      </c>
      <c r="E12000" s="3">
        <v>2.0</v>
      </c>
      <c r="F12000" s="3" t="s">
        <v>34048</v>
      </c>
      <c r="G12000" s="3">
        <v>0.1</v>
      </c>
      <c r="H12000" s="3">
        <v>0.1</v>
      </c>
      <c r="I12000" s="3" t="s">
        <v>48</v>
      </c>
      <c r="J12000" s="3" t="s">
        <v>34049</v>
      </c>
      <c r="K12000" s="3" t="s">
        <v>510</v>
      </c>
      <c r="L12000" s="3" t="str">
        <f>IFERROR(__xludf.DUMMYFUNCTION("GOOGLETRANSLATE(F12000,""id"",""en"")"),"Action Figure Mbappe Messi Pildun World Champion Argentina French Penalty Qatar World Cup")</f>
        <v>Action Figure Mbappe Messi Pildun World Champion Argentina French Penalty Qatar World Cup</v>
      </c>
    </row>
    <row r="12001" ht="15.75" customHeight="1">
      <c r="A12001" s="1">
        <v>13262.0</v>
      </c>
      <c r="B12001" s="3" t="s">
        <v>34050</v>
      </c>
      <c r="C12001" s="3">
        <v>0.0</v>
      </c>
      <c r="D12001" s="3">
        <v>0.0</v>
      </c>
      <c r="E12001" s="3">
        <v>0.0</v>
      </c>
      <c r="F12001" s="3" t="s">
        <v>34051</v>
      </c>
      <c r="G12001" s="3">
        <v>0.0</v>
      </c>
      <c r="H12001" s="3">
        <v>0.0</v>
      </c>
      <c r="I12001" s="3" t="s">
        <v>13</v>
      </c>
      <c r="J12001" s="3" t="s">
        <v>34052</v>
      </c>
      <c r="K12001" s="3" t="s">
        <v>644</v>
      </c>
      <c r="L12001" s="3" t="str">
        <f>IFERROR(__xludf.DUMMYFUNCTION("GOOGLETRANSLATE(F12001,""id"",""en"")"),"Wehh who won Argentina Wehhh")</f>
        <v>Wehh who won Argentina Wehhh</v>
      </c>
    </row>
    <row r="12002" ht="15.75" customHeight="1">
      <c r="A12002" s="1">
        <v>13264.0</v>
      </c>
      <c r="B12002" s="3" t="s">
        <v>34053</v>
      </c>
      <c r="C12002" s="3">
        <v>0.0</v>
      </c>
      <c r="D12002" s="3">
        <v>0.0</v>
      </c>
      <c r="E12002" s="3">
        <v>1.0</v>
      </c>
      <c r="F12002" s="3" t="s">
        <v>34054</v>
      </c>
      <c r="G12002" s="3">
        <v>0.0</v>
      </c>
      <c r="H12002" s="3">
        <v>0.0</v>
      </c>
      <c r="I12002" s="3" t="s">
        <v>13</v>
      </c>
      <c r="J12002" s="3" t="s">
        <v>34055</v>
      </c>
      <c r="K12002" s="3" t="s">
        <v>15</v>
      </c>
      <c r="L12002" s="3" t="str">
        <f>IFERROR(__xludf.DUMMYFUNCTION("GOOGLETRANSLATE(F12002,""id"",""en"")"),"wkwkwk, I need to hurt Argentina deserves to be a champion")</f>
        <v>wkwkwk, I need to hurt Argentina deserves to be a champion</v>
      </c>
    </row>
    <row r="12003" ht="15.75" customHeight="1">
      <c r="A12003" s="1">
        <v>13265.0</v>
      </c>
      <c r="B12003" s="3" t="s">
        <v>34056</v>
      </c>
      <c r="C12003" s="3">
        <v>0.0</v>
      </c>
      <c r="D12003" s="3">
        <v>0.0</v>
      </c>
      <c r="E12003" s="3">
        <v>1.0</v>
      </c>
      <c r="F12003" s="3" t="s">
        <v>34057</v>
      </c>
      <c r="G12003" s="3">
        <v>0.0</v>
      </c>
      <c r="H12003" s="3">
        <v>0.0</v>
      </c>
      <c r="I12003" s="3" t="s">
        <v>13</v>
      </c>
      <c r="J12003" s="3" t="s">
        <v>34058</v>
      </c>
      <c r="K12003" s="3" t="s">
        <v>75</v>
      </c>
      <c r="L12003" s="3" t="str">
        <f>IFERROR(__xludf.DUMMYFUNCTION("GOOGLETRANSLATE(F12003,""id"",""en"")"),"After bringing Argentina the World Cup champion Lionel Messi emphasized that he did not want to retire")</f>
        <v>After bringing Argentina the World Cup champion Lionel Messi emphasized that he did not want to retire</v>
      </c>
    </row>
    <row r="12004" ht="15.75" customHeight="1">
      <c r="A12004" s="1">
        <v>13266.0</v>
      </c>
      <c r="B12004" s="3" t="s">
        <v>34059</v>
      </c>
      <c r="C12004" s="3">
        <v>1.0</v>
      </c>
      <c r="D12004" s="3">
        <v>0.0</v>
      </c>
      <c r="E12004" s="3">
        <v>0.0</v>
      </c>
      <c r="F12004" s="3" t="s">
        <v>34060</v>
      </c>
      <c r="G12004" s="3">
        <v>0.0</v>
      </c>
      <c r="H12004" s="3">
        <v>0.0</v>
      </c>
      <c r="I12004" s="3" t="s">
        <v>13</v>
      </c>
      <c r="J12004" s="3" t="s">
        <v>34061</v>
      </c>
      <c r="K12004" s="3" t="s">
        <v>82</v>
      </c>
      <c r="L12004" s="3" t="str">
        <f>IFERROR(__xludf.DUMMYFUNCTION("GOOGLETRANSLATE(F12004,""id"",""en"")"),"Hello is healthy Argentina already champions ngtdddddddd")</f>
        <v>Hello is healthy Argentina already champions ngtdddddddd</v>
      </c>
    </row>
    <row r="12005" ht="15.75" customHeight="1">
      <c r="A12005" s="1">
        <v>13267.0</v>
      </c>
      <c r="B12005" s="3" t="s">
        <v>34062</v>
      </c>
      <c r="C12005" s="3">
        <v>0.0</v>
      </c>
      <c r="D12005" s="3">
        <v>0.0</v>
      </c>
      <c r="E12005" s="3">
        <v>0.0</v>
      </c>
      <c r="F12005" s="3" t="s">
        <v>34063</v>
      </c>
      <c r="G12005" s="3">
        <v>0.0</v>
      </c>
      <c r="H12005" s="3">
        <v>0.0</v>
      </c>
      <c r="I12005" s="3" t="s">
        <v>13</v>
      </c>
      <c r="J12005" s="3" t="s">
        <v>34064</v>
      </c>
      <c r="K12005" s="3" t="s">
        <v>2610</v>
      </c>
      <c r="L12005" s="3" t="str">
        <f>IFERROR(__xludf.DUMMYFUNCTION("GOOGLETRANSLATE(F12005,""id"",""en"")"),"Taroan lost to the sea, fortunately the agreement is the minute so it will be plunged into the night BTW congratulations for Messi Argentina champions of the Bay Walk Mall World Cup")</f>
        <v>Taroan lost to the sea, fortunately the agreement is the minute so it will be plunged into the night BTW congratulations for Messi Argentina champions of the Bay Walk Mall World Cup</v>
      </c>
    </row>
    <row r="12006" ht="15.75" customHeight="1">
      <c r="A12006" s="1">
        <v>13268.0</v>
      </c>
      <c r="B12006" s="3" t="s">
        <v>34065</v>
      </c>
      <c r="C12006" s="3">
        <v>0.0</v>
      </c>
      <c r="D12006" s="3">
        <v>1.0</v>
      </c>
      <c r="E12006" s="3">
        <v>3.0</v>
      </c>
      <c r="F12006" s="3" t="s">
        <v>34066</v>
      </c>
      <c r="G12006" s="3">
        <v>0.0</v>
      </c>
      <c r="H12006" s="3">
        <v>0.0</v>
      </c>
      <c r="I12006" s="3" t="s">
        <v>13</v>
      </c>
      <c r="J12006" s="3" t="s">
        <v>34067</v>
      </c>
      <c r="K12006" s="3" t="s">
        <v>82</v>
      </c>
      <c r="L12006" s="3" t="str">
        <f>IFERROR(__xludf.DUMMYFUNCTION("GOOGLETRANSLATE(F12006,""id"",""en"")"),"Argentina This World Cup Champion Comments Lionel Messi")</f>
        <v>Argentina This World Cup Champion Comments Lionel Messi</v>
      </c>
    </row>
    <row r="12007" ht="15.75" customHeight="1">
      <c r="A12007" s="1">
        <v>13269.0</v>
      </c>
      <c r="B12007" s="3" t="s">
        <v>34068</v>
      </c>
      <c r="C12007" s="3">
        <v>0.0</v>
      </c>
      <c r="D12007" s="3">
        <v>0.0</v>
      </c>
      <c r="E12007" s="3">
        <v>0.0</v>
      </c>
      <c r="F12007" s="3" t="s">
        <v>34069</v>
      </c>
      <c r="G12007" s="3">
        <v>0.0</v>
      </c>
      <c r="H12007" s="3">
        <v>0.0</v>
      </c>
      <c r="I12007" s="3" t="s">
        <v>13</v>
      </c>
      <c r="J12007" s="3" t="s">
        <v>34070</v>
      </c>
      <c r="K12007" s="3" t="s">
        <v>71</v>
      </c>
      <c r="L12007" s="3" t="str">
        <f>IFERROR(__xludf.DUMMYFUNCTION("GOOGLETRANSLATE(F12007,""id"",""en"")"),"Congratulations Argentina BTW World Cup Champion Salute to Mas Mbappe scored for France")</f>
        <v>Congratulations Argentina BTW World Cup Champion Salute to Mas Mbappe scored for France</v>
      </c>
    </row>
    <row r="12008" ht="15.75" customHeight="1">
      <c r="A12008" s="1">
        <v>13270.0</v>
      </c>
      <c r="B12008" s="3" t="s">
        <v>34071</v>
      </c>
      <c r="C12008" s="3">
        <v>0.0</v>
      </c>
      <c r="D12008" s="3">
        <v>0.0</v>
      </c>
      <c r="E12008" s="3">
        <v>0.0</v>
      </c>
      <c r="F12008" s="3" t="s">
        <v>34072</v>
      </c>
      <c r="G12008" s="3">
        <v>0.0</v>
      </c>
      <c r="H12008" s="3">
        <v>0.0</v>
      </c>
      <c r="I12008" s="3" t="s">
        <v>13</v>
      </c>
      <c r="J12008" s="3" t="s">
        <v>34073</v>
      </c>
      <c r="K12008" s="3" t="s">
        <v>244</v>
      </c>
      <c r="L12008" s="3" t="str">
        <f>IFERROR(__xludf.DUMMYFUNCTION("GOOGLETRANSLATE(F12008,""id"",""en"")"),"Finally, finally after many debates we won, our champion is yuuhuuuuuuuu vamos Argentina we are world champions")</f>
        <v>Finally, finally after many debates we won, our champion is yuuhuuuuuuuu vamos Argentina we are world champions</v>
      </c>
    </row>
    <row r="12009" ht="15.75" customHeight="1">
      <c r="A12009" s="1">
        <v>13271.0</v>
      </c>
      <c r="B12009" s="3" t="s">
        <v>34074</v>
      </c>
      <c r="C12009" s="3">
        <v>0.0</v>
      </c>
      <c r="D12009" s="3">
        <v>135.0</v>
      </c>
      <c r="E12009" s="3">
        <v>501.0</v>
      </c>
      <c r="F12009" s="3" t="s">
        <v>34075</v>
      </c>
      <c r="G12009" s="3">
        <v>0.775</v>
      </c>
      <c r="H12009" s="3">
        <v>0.175</v>
      </c>
      <c r="I12009" s="3" t="s">
        <v>48</v>
      </c>
      <c r="J12009" s="3" t="s">
        <v>34076</v>
      </c>
      <c r="K12009" s="3" t="s">
        <v>358</v>
      </c>
      <c r="L12009" s="3" t="str">
        <f>IFERROR(__xludf.DUMMYFUNCTION("GOOGLETRANSLATE(F12009,""id"",""en"")"),"Full Finally Argentina Pranciy Congratulations Argentina Champion Qatar FIFA The last World Cup won the world championship during Diego Maradona")</f>
        <v>Full Finally Argentina Pranciy Congratulations Argentina Champion Qatar FIFA The last World Cup won the world championship during Diego Maradona</v>
      </c>
    </row>
    <row r="12010" ht="15.75" customHeight="1">
      <c r="A12010" s="1">
        <v>13272.0</v>
      </c>
      <c r="B12010" s="3" t="s">
        <v>34077</v>
      </c>
      <c r="C12010" s="3">
        <v>0.0</v>
      </c>
      <c r="D12010" s="3">
        <v>0.0</v>
      </c>
      <c r="E12010" s="3">
        <v>0.0</v>
      </c>
      <c r="F12010" s="3" t="s">
        <v>34078</v>
      </c>
      <c r="G12010" s="3">
        <v>0.0</v>
      </c>
      <c r="H12010" s="3">
        <v>0.0</v>
      </c>
      <c r="I12010" s="3" t="s">
        <v>13</v>
      </c>
      <c r="J12010" s="3" t="s">
        <v>34079</v>
      </c>
      <c r="K12010" s="3" t="s">
        <v>15</v>
      </c>
      <c r="L12010" s="3" t="str">
        <f>IFERROR(__xludf.DUMMYFUNCTION("GOOGLETRANSLATE(F12010,""id"",""en"")"),"Dumdum Happy Argentina finally French champions lost with respect")</f>
        <v>Dumdum Happy Argentina finally French champions lost with respect</v>
      </c>
    </row>
    <row r="12011" ht="15.75" customHeight="1">
      <c r="A12011" s="1">
        <v>13273.0</v>
      </c>
      <c r="B12011" s="3" t="s">
        <v>34080</v>
      </c>
      <c r="C12011" s="3">
        <v>0.0</v>
      </c>
      <c r="D12011" s="3">
        <v>0.0</v>
      </c>
      <c r="E12011" s="3">
        <v>0.0</v>
      </c>
      <c r="F12011" s="3" t="s">
        <v>34081</v>
      </c>
      <c r="G12011" s="3">
        <v>0.0</v>
      </c>
      <c r="H12011" s="3">
        <v>0.0</v>
      </c>
      <c r="I12011" s="3" t="s">
        <v>13</v>
      </c>
      <c r="J12011" s="3" t="s">
        <v>34082</v>
      </c>
      <c r="K12011" s="3" t="s">
        <v>2117</v>
      </c>
      <c r="L12011" s="3" t="str">
        <f>IFERROR(__xludf.DUMMYFUNCTION("GOOGLETRANSLATE(F12011,""id"",""en"")"),"Tangi Argentina Champion")</f>
        <v>Tangi Argentina Champion</v>
      </c>
    </row>
    <row r="12012" ht="15.75" customHeight="1">
      <c r="A12012" s="1">
        <v>13274.0</v>
      </c>
      <c r="B12012" s="3" t="s">
        <v>34083</v>
      </c>
      <c r="C12012" s="3">
        <v>0.0</v>
      </c>
      <c r="D12012" s="3">
        <v>0.0</v>
      </c>
      <c r="E12012" s="3">
        <v>0.0</v>
      </c>
      <c r="F12012" s="3" t="s">
        <v>34084</v>
      </c>
      <c r="G12012" s="3">
        <v>0.7857142857142857</v>
      </c>
      <c r="H12012" s="3">
        <v>0.2285714285714286</v>
      </c>
      <c r="I12012" s="3" t="s">
        <v>48</v>
      </c>
      <c r="J12012" s="3" t="s">
        <v>34085</v>
      </c>
      <c r="K12012" s="3" t="s">
        <v>2146</v>
      </c>
      <c r="L12012" s="3" t="str">
        <f>IFERROR(__xludf.DUMMYFUNCTION("GOOGLETRANSLATE(F12012,""id"",""en"")"),"But I think I want France or Argentina who wins Nothing Surprise and Nothing Special All like the champion of the champion is only America Southern Europe and the players have a good track, it is surprised if the Asia Africa champion will be very wow")</f>
        <v>But I think I want France or Argentina who wins Nothing Surprise and Nothing Special All like the champion of the champion is only America Southern Europe and the players have a good track, it is surprised if the Asia Africa champion will be very wow</v>
      </c>
    </row>
    <row r="12013" ht="15.75" customHeight="1">
      <c r="A12013" s="1">
        <v>13275.0</v>
      </c>
      <c r="B12013" s="3" t="s">
        <v>34086</v>
      </c>
      <c r="C12013" s="3">
        <v>0.0</v>
      </c>
      <c r="D12013" s="3">
        <v>0.0</v>
      </c>
      <c r="E12013" s="3">
        <v>0.0</v>
      </c>
      <c r="F12013" s="3" t="s">
        <v>34087</v>
      </c>
      <c r="G12013" s="3">
        <v>0.0</v>
      </c>
      <c r="H12013" s="3">
        <v>0.0</v>
      </c>
      <c r="I12013" s="3" t="s">
        <v>13</v>
      </c>
      <c r="J12013" s="3" t="s">
        <v>22746</v>
      </c>
      <c r="K12013" s="3" t="s">
        <v>2117</v>
      </c>
      <c r="L12013" s="3" t="str">
        <f>IFERROR(__xludf.DUMMYFUNCTION("GOOGLETRANSLATE(F12013,""id"",""en"")"),"Still believes Argentina Champion")</f>
        <v>Still believes Argentina Champion</v>
      </c>
    </row>
    <row r="12014" ht="15.75" customHeight="1">
      <c r="A12014" s="1">
        <v>13276.0</v>
      </c>
      <c r="B12014" s="3" t="s">
        <v>34088</v>
      </c>
      <c r="C12014" s="3">
        <v>0.0</v>
      </c>
      <c r="D12014" s="3">
        <v>0.0</v>
      </c>
      <c r="E12014" s="3">
        <v>0.0</v>
      </c>
      <c r="F12014" s="3" t="s">
        <v>34089</v>
      </c>
      <c r="G12014" s="3">
        <v>0.0</v>
      </c>
      <c r="H12014" s="3">
        <v>0.0</v>
      </c>
      <c r="I12014" s="3" t="s">
        <v>13</v>
      </c>
      <c r="J12014" s="3" t="s">
        <v>34090</v>
      </c>
      <c r="K12014" s="3" t="s">
        <v>644</v>
      </c>
      <c r="L12014" s="3" t="str">
        <f>IFERROR(__xludf.DUMMYFUNCTION("GOOGLETRANSLATE(F12014,""id"",""en"")"),"My morning my bright Argentina Champion")</f>
        <v>My morning my bright Argentina Champion</v>
      </c>
    </row>
    <row r="12015" ht="15.75" customHeight="1">
      <c r="A12015" s="1">
        <v>13277.0</v>
      </c>
      <c r="B12015" s="3" t="s">
        <v>34091</v>
      </c>
      <c r="C12015" s="3">
        <v>0.0</v>
      </c>
      <c r="D12015" s="3">
        <v>1.0</v>
      </c>
      <c r="E12015" s="3">
        <v>1.0</v>
      </c>
      <c r="F12015" s="3" t="s">
        <v>34092</v>
      </c>
      <c r="G12015" s="3">
        <v>0.5</v>
      </c>
      <c r="H12015" s="3">
        <v>0.1</v>
      </c>
      <c r="I12015" s="3" t="s">
        <v>48</v>
      </c>
      <c r="J12015" s="3" t="s">
        <v>34093</v>
      </c>
      <c r="K12015" s="3" t="s">
        <v>19</v>
      </c>
      <c r="L12015" s="3" t="str">
        <f>IFERROR(__xludf.DUMMYFUNCTION("GOOGLETRANSLATE(F12015,""id"",""en"")"),"haven't slept anymore, see the Argentine guy in the world champion, the bird is definitely ready open check bio")</f>
        <v>haven't slept anymore, see the Argentine guy in the world champion, the bird is definitely ready open check bio</v>
      </c>
    </row>
    <row r="12016" ht="15.75" customHeight="1">
      <c r="A12016" s="1">
        <v>13278.0</v>
      </c>
      <c r="B12016" s="3" t="s">
        <v>34094</v>
      </c>
      <c r="C12016" s="3">
        <v>0.0</v>
      </c>
      <c r="D12016" s="3">
        <v>0.0</v>
      </c>
      <c r="E12016" s="3">
        <v>0.0</v>
      </c>
      <c r="F12016" s="3" t="s">
        <v>34095</v>
      </c>
      <c r="G12016" s="3">
        <v>0.0</v>
      </c>
      <c r="H12016" s="3">
        <v>0.0</v>
      </c>
      <c r="I12016" s="3" t="s">
        <v>13</v>
      </c>
      <c r="J12016" s="3" t="s">
        <v>34096</v>
      </c>
      <c r="K12016" s="3" t="s">
        <v>499</v>
      </c>
      <c r="L12016" s="3" t="str">
        <f>IFERROR(__xludf.DUMMYFUNCTION("GOOGLETRANSLATE(F12016,""id"",""en"")"),"Interesting views were created after the Argentine national team was named the World Cup champion because Lionel Messi was immediately carried by Sergio Aguero and paraded around the field")</f>
        <v>Interesting views were created after the Argentine national team was named the World Cup champion because Lionel Messi was immediately carried by Sergio Aguero and paraded around the field</v>
      </c>
    </row>
    <row r="12017" ht="15.75" customHeight="1">
      <c r="A12017" s="1">
        <v>13279.0</v>
      </c>
      <c r="B12017" s="3" t="s">
        <v>34097</v>
      </c>
      <c r="C12017" s="3">
        <v>1.0</v>
      </c>
      <c r="D12017" s="3">
        <v>0.0</v>
      </c>
      <c r="E12017" s="3">
        <v>0.0</v>
      </c>
      <c r="F12017" s="3" t="s">
        <v>34098</v>
      </c>
      <c r="G12017" s="3">
        <v>0.0</v>
      </c>
      <c r="H12017" s="3">
        <v>0.0</v>
      </c>
      <c r="I12017" s="3" t="s">
        <v>13</v>
      </c>
      <c r="J12017" s="3" t="s">
        <v>34099</v>
      </c>
      <c r="K12017" s="3" t="s">
        <v>41</v>
      </c>
      <c r="L12017" s="3" t="str">
        <f>IFERROR(__xludf.DUMMYFUNCTION("GOOGLETRANSLATE(F12017,""id"",""en"")"),"managed to bring Argentina to the World Cup champion Lionel Messi I would not retire")</f>
        <v>managed to bring Argentina to the World Cup champion Lionel Messi I would not retire</v>
      </c>
    </row>
    <row r="12018" ht="15.75" customHeight="1">
      <c r="A12018" s="1">
        <v>13280.0</v>
      </c>
      <c r="B12018" s="3" t="s">
        <v>34100</v>
      </c>
      <c r="C12018" s="3">
        <v>0.0</v>
      </c>
      <c r="D12018" s="3">
        <v>0.0</v>
      </c>
      <c r="E12018" s="3">
        <v>0.0</v>
      </c>
      <c r="F12018" s="3" t="s">
        <v>34101</v>
      </c>
      <c r="G12018" s="3">
        <v>0.3</v>
      </c>
      <c r="H12018" s="3">
        <v>1.0</v>
      </c>
      <c r="I12018" s="3" t="s">
        <v>48</v>
      </c>
      <c r="J12018" s="3" t="s">
        <v>34102</v>
      </c>
      <c r="K12018" s="3" t="s">
        <v>657</v>
      </c>
      <c r="L12018" s="3" t="str">
        <f>IFERROR(__xludf.DUMMYFUNCTION("GOOGLETRANSLATE(F12018,""id"",""en"")"),"Without unraveling respect for Messi The Best Argentina like an Indian film police instead of the beginning and became a champion")</f>
        <v>Without unraveling respect for Messi The Best Argentina like an Indian film police instead of the beginning and became a champion</v>
      </c>
    </row>
    <row r="12019" ht="15.75" customHeight="1">
      <c r="A12019" s="1">
        <v>13281.0</v>
      </c>
      <c r="B12019" s="3" t="s">
        <v>34103</v>
      </c>
      <c r="C12019" s="3">
        <v>1.0</v>
      </c>
      <c r="D12019" s="3">
        <v>0.0</v>
      </c>
      <c r="E12019" s="3">
        <v>0.0</v>
      </c>
      <c r="F12019" s="3" t="s">
        <v>34104</v>
      </c>
      <c r="G12019" s="3">
        <v>0.55</v>
      </c>
      <c r="H12019" s="3">
        <v>0.35</v>
      </c>
      <c r="I12019" s="3" t="s">
        <v>48</v>
      </c>
      <c r="J12019" s="3" t="s">
        <v>34105</v>
      </c>
      <c r="K12019" s="3" t="s">
        <v>71</v>
      </c>
      <c r="L12019" s="3" t="str">
        <f>IFERROR(__xludf.DUMMYFUNCTION("GOOGLETRANSLATE(F12019,""id"",""en"")"),"Praise God Argentina champion so Mr. Zaki is full of smile today, hopefully our EGPP value is safe")</f>
        <v>Praise God Argentina champion so Mr. Zaki is full of smile today, hopefully our EGPP value is safe</v>
      </c>
    </row>
    <row r="12020" ht="15.75" customHeight="1">
      <c r="A12020" s="1">
        <v>13283.0</v>
      </c>
      <c r="B12020" s="3" t="s">
        <v>34106</v>
      </c>
      <c r="C12020" s="3">
        <v>0.0</v>
      </c>
      <c r="D12020" s="3">
        <v>0.0</v>
      </c>
      <c r="E12020" s="3">
        <v>0.0</v>
      </c>
      <c r="F12020" s="3" t="s">
        <v>34107</v>
      </c>
      <c r="G12020" s="3">
        <v>0.0</v>
      </c>
      <c r="H12020" s="3">
        <v>0.0</v>
      </c>
      <c r="I12020" s="3" t="s">
        <v>13</v>
      </c>
      <c r="J12020" s="3" t="s">
        <v>34108</v>
      </c>
      <c r="K12020" s="3" t="s">
        <v>644</v>
      </c>
      <c r="L12020" s="3" t="str">
        <f>IFERROR(__xludf.DUMMYFUNCTION("GOOGLETRANSLATE(F12020,""id"",""en"")"),"Argentina Yessssyessss Soccer Champion")</f>
        <v>Argentina Yessssyessss Soccer Champion</v>
      </c>
    </row>
    <row r="12021" ht="15.75" customHeight="1">
      <c r="A12021" s="1">
        <v>13284.0</v>
      </c>
      <c r="B12021" s="3" t="s">
        <v>34109</v>
      </c>
      <c r="C12021" s="3">
        <v>0.0</v>
      </c>
      <c r="D12021" s="3">
        <v>0.0</v>
      </c>
      <c r="E12021" s="3">
        <v>0.0</v>
      </c>
      <c r="F12021" s="3" t="s">
        <v>34110</v>
      </c>
      <c r="G12021" s="3">
        <v>0.0</v>
      </c>
      <c r="H12021" s="3">
        <v>0.0</v>
      </c>
      <c r="I12021" s="3" t="s">
        <v>13</v>
      </c>
      <c r="J12021" s="3" t="s">
        <v>34111</v>
      </c>
      <c r="K12021" s="3" t="s">
        <v>19</v>
      </c>
      <c r="L12021" s="3" t="str">
        <f>IFERROR(__xludf.DUMMYFUNCTION("GOOGLETRANSLATE(F12021,""id"",""en"")"),"Argentina finally the World Cup champion after the players brought my luck to my goalkeeper Martinez")</f>
        <v>Argentina finally the World Cup champion after the players brought my luck to my goalkeeper Martinez</v>
      </c>
    </row>
    <row r="12022" ht="15.75" customHeight="1">
      <c r="A12022" s="1">
        <v>13285.0</v>
      </c>
      <c r="B12022" s="3" t="s">
        <v>34112</v>
      </c>
      <c r="C12022" s="3">
        <v>0.0</v>
      </c>
      <c r="D12022" s="3">
        <v>2.0</v>
      </c>
      <c r="E12022" s="3">
        <v>46.0</v>
      </c>
      <c r="F12022" s="3" t="s">
        <v>34113</v>
      </c>
      <c r="G12022" s="3">
        <v>1.0</v>
      </c>
      <c r="H12022" s="3">
        <v>1.0</v>
      </c>
      <c r="I12022" s="3" t="s">
        <v>48</v>
      </c>
      <c r="J12022" s="3" t="s">
        <v>34114</v>
      </c>
      <c r="K12022" s="3" t="s">
        <v>240</v>
      </c>
      <c r="L12022" s="3" t="str">
        <f>IFERROR(__xludf.DUMMYFUNCTION("GOOGLETRANSLATE(F12022,""id"",""en"")"),"Argentine Parade players using the bus after won the World Cup Messi The Greatest All Time")</f>
        <v>Argentine Parade players using the bus after won the World Cup Messi The Greatest All Time</v>
      </c>
    </row>
    <row r="12023" ht="15.75" customHeight="1">
      <c r="A12023" s="1">
        <v>13286.0</v>
      </c>
      <c r="B12023" s="3" t="s">
        <v>34115</v>
      </c>
      <c r="C12023" s="3">
        <v>0.0</v>
      </c>
      <c r="D12023" s="3">
        <v>0.0</v>
      </c>
      <c r="E12023" s="3">
        <v>0.0</v>
      </c>
      <c r="F12023" s="3" t="s">
        <v>34116</v>
      </c>
      <c r="G12023" s="3">
        <v>0.0</v>
      </c>
      <c r="H12023" s="3">
        <v>0.0</v>
      </c>
      <c r="I12023" s="3" t="s">
        <v>13</v>
      </c>
      <c r="J12023" s="3" t="s">
        <v>34117</v>
      </c>
      <c r="K12023" s="3" t="s">
        <v>50</v>
      </c>
      <c r="L12023" s="3" t="str">
        <f>IFERROR(__xludf.DUMMYFUNCTION("GOOGLETRANSLATE(F12023,""id"",""en"")"),"Not only the Argentine champion also confirmed himself as the King of the World Cup Penalty Penalty")</f>
        <v>Not only the Argentine champion also confirmed himself as the King of the World Cup Penalty Penalty</v>
      </c>
    </row>
    <row r="12024" ht="15.75" customHeight="1">
      <c r="A12024" s="1">
        <v>13287.0</v>
      </c>
      <c r="B12024" s="3" t="s">
        <v>34118</v>
      </c>
      <c r="C12024" s="3">
        <v>0.0</v>
      </c>
      <c r="D12024" s="3">
        <v>0.0</v>
      </c>
      <c r="E12024" s="3">
        <v>0.0</v>
      </c>
      <c r="F12024" s="3" t="s">
        <v>34119</v>
      </c>
      <c r="G12024" s="3">
        <v>0.0</v>
      </c>
      <c r="H12024" s="3">
        <v>0.0</v>
      </c>
      <c r="I12024" s="3" t="s">
        <v>13</v>
      </c>
      <c r="J12024" s="3" t="s">
        <v>34120</v>
      </c>
      <c r="K12024" s="3" t="s">
        <v>15</v>
      </c>
      <c r="L12024" s="3" t="str">
        <f>IFERROR(__xludf.DUMMYFUNCTION("GOOGLETRANSLATE(F12024,""id"",""en"")"),"just woke up ehh arrived in Argentina world champion")</f>
        <v>just woke up ehh arrived in Argentina world champion</v>
      </c>
    </row>
    <row r="12025" ht="15.75" customHeight="1">
      <c r="A12025" s="1">
        <v>13288.0</v>
      </c>
      <c r="B12025" s="3" t="s">
        <v>34121</v>
      </c>
      <c r="C12025" s="3">
        <v>0.0</v>
      </c>
      <c r="D12025" s="3">
        <v>0.0</v>
      </c>
      <c r="E12025" s="3">
        <v>0.0</v>
      </c>
      <c r="F12025" s="3" t="s">
        <v>34122</v>
      </c>
      <c r="G12025" s="3">
        <v>0.5</v>
      </c>
      <c r="H12025" s="3">
        <v>-0.04999999999999999</v>
      </c>
      <c r="I12025" s="3" t="s">
        <v>179</v>
      </c>
      <c r="J12025" s="3" t="s">
        <v>34123</v>
      </c>
      <c r="K12025" s="3" t="s">
        <v>184</v>
      </c>
      <c r="L12025" s="3" t="str">
        <f>IFERROR(__xludf.DUMMYFUNCTION("GOOGLETRANSLATE(F12025,""id"",""en"")"),"Already feeling the time to lose Saudi Arabia duh when Vid Callan people were recorded when he said that if Argentina would win hahaha")</f>
        <v>Already feeling the time to lose Saudi Arabia duh when Vid Callan people were recorded when he said that if Argentina would win hahaha</v>
      </c>
    </row>
    <row r="12026" ht="15.75" customHeight="1">
      <c r="A12026" s="1">
        <v>13289.0</v>
      </c>
      <c r="B12026" s="3" t="s">
        <v>34124</v>
      </c>
      <c r="C12026" s="3">
        <v>0.0</v>
      </c>
      <c r="D12026" s="3">
        <v>0.0</v>
      </c>
      <c r="E12026" s="3">
        <v>0.0</v>
      </c>
      <c r="F12026" s="3" t="s">
        <v>34125</v>
      </c>
      <c r="G12026" s="3">
        <v>0.0</v>
      </c>
      <c r="H12026" s="3">
        <v>0.0</v>
      </c>
      <c r="I12026" s="3" t="s">
        <v>13</v>
      </c>
      <c r="J12026" s="3" t="s">
        <v>34126</v>
      </c>
      <c r="K12026" s="3" t="s">
        <v>82</v>
      </c>
      <c r="L12026" s="3" t="str">
        <f>IFERROR(__xludf.DUMMYFUNCTION("GOOGLETRANSLATE(F12026,""id"",""en"")"),"the prediction is true Argentina champion in the incarnation of God's hand")</f>
        <v>the prediction is true Argentina champion in the incarnation of God's hand</v>
      </c>
    </row>
    <row r="12027" ht="15.75" customHeight="1">
      <c r="A12027" s="1">
        <v>13290.0</v>
      </c>
      <c r="B12027" s="3" t="s">
        <v>34127</v>
      </c>
      <c r="C12027" s="3">
        <v>0.0</v>
      </c>
      <c r="D12027" s="3">
        <v>0.0</v>
      </c>
      <c r="E12027" s="3">
        <v>0.0</v>
      </c>
      <c r="F12027" s="3" t="s">
        <v>34128</v>
      </c>
      <c r="G12027" s="3">
        <v>0.0</v>
      </c>
      <c r="H12027" s="3">
        <v>0.0</v>
      </c>
      <c r="I12027" s="3" t="s">
        <v>13</v>
      </c>
      <c r="J12027" s="3" t="s">
        <v>34129</v>
      </c>
      <c r="K12027" s="3" t="s">
        <v>54</v>
      </c>
      <c r="L12027" s="3" t="str">
        <f>IFERROR(__xludf.DUMMYFUNCTION("GOOGLETRANSLATE(F12027,""id"",""en"")"),"Already becoming a champion Messi was finally able to go home too")</f>
        <v>Already becoming a champion Messi was finally able to go home too</v>
      </c>
    </row>
    <row r="12028" ht="15.75" customHeight="1">
      <c r="A12028" s="1">
        <v>13291.0</v>
      </c>
      <c r="B12028" s="3" t="s">
        <v>34130</v>
      </c>
      <c r="C12028" s="3">
        <v>0.0</v>
      </c>
      <c r="D12028" s="3">
        <v>0.0</v>
      </c>
      <c r="E12028" s="3">
        <v>0.0</v>
      </c>
      <c r="F12028" s="3" t="s">
        <v>34131</v>
      </c>
      <c r="G12028" s="3">
        <v>0.0</v>
      </c>
      <c r="H12028" s="3">
        <v>0.0</v>
      </c>
      <c r="I12028" s="3" t="s">
        <v>13</v>
      </c>
      <c r="J12028" s="3" t="s">
        <v>34132</v>
      </c>
      <c r="K12028" s="3" t="s">
        <v>82</v>
      </c>
      <c r="L12028" s="3" t="str">
        <f>IFERROR(__xludf.DUMMYFUNCTION("GOOGLETRANSLATE(F12028,""id"",""en"")"),"Life is getting heavier but the important thing is Argentina Champion Cooook")</f>
        <v>Life is getting heavier but the important thing is Argentina Champion Cooook</v>
      </c>
    </row>
    <row r="12029" ht="15.75" customHeight="1">
      <c r="A12029" s="1">
        <v>13292.0</v>
      </c>
      <c r="B12029" s="3" t="s">
        <v>34133</v>
      </c>
      <c r="C12029" s="3">
        <v>0.0</v>
      </c>
      <c r="D12029" s="3">
        <v>2.0</v>
      </c>
      <c r="E12029" s="3">
        <v>0.0</v>
      </c>
      <c r="F12029" s="3" t="s">
        <v>34134</v>
      </c>
      <c r="G12029" s="3">
        <v>0.0</v>
      </c>
      <c r="H12029" s="3">
        <v>0.0</v>
      </c>
      <c r="I12029" s="3" t="s">
        <v>13</v>
      </c>
      <c r="J12029" s="3" t="s">
        <v>34135</v>
      </c>
      <c r="K12029" s="3" t="s">
        <v>54</v>
      </c>
      <c r="L12029" s="3" t="str">
        <f>IFERROR(__xludf.DUMMYFUNCTION("GOOGLETRANSLATE(F12029,""id"",""en"")"),"Girang Argentina Champion President Selfie Front")</f>
        <v>Girang Argentina Champion President Selfie Front</v>
      </c>
    </row>
    <row r="12030" ht="15.75" customHeight="1">
      <c r="A12030" s="1">
        <v>13293.0</v>
      </c>
      <c r="B12030" s="3" t="s">
        <v>34136</v>
      </c>
      <c r="C12030" s="3">
        <v>0.0</v>
      </c>
      <c r="D12030" s="3">
        <v>2.0</v>
      </c>
      <c r="E12030" s="3">
        <v>0.0</v>
      </c>
      <c r="F12030" s="3" t="s">
        <v>32846</v>
      </c>
      <c r="G12030" s="3">
        <v>0.0</v>
      </c>
      <c r="H12030" s="3">
        <v>0.0</v>
      </c>
      <c r="I12030" s="3" t="s">
        <v>13</v>
      </c>
      <c r="J12030" s="3" t="s">
        <v>32847</v>
      </c>
      <c r="K12030" s="3" t="s">
        <v>75</v>
      </c>
      <c r="L12030" s="3" t="str">
        <f>IFERROR(__xludf.DUMMYFUNCTION("GOOGLETRANSLATE(F12030,""id"",""en"")"),"Bring Argentina Champion Lionel Messi Becomes the Best Player of the World Cup")</f>
        <v>Bring Argentina Champion Lionel Messi Becomes the Best Player of the World Cup</v>
      </c>
    </row>
    <row r="12031" ht="15.75" customHeight="1">
      <c r="A12031" s="1">
        <v>13294.0</v>
      </c>
      <c r="B12031" s="3" t="s">
        <v>34137</v>
      </c>
      <c r="C12031" s="3">
        <v>0.0</v>
      </c>
      <c r="D12031" s="3">
        <v>0.0</v>
      </c>
      <c r="E12031" s="3">
        <v>0.0</v>
      </c>
      <c r="F12031" s="3" t="s">
        <v>34138</v>
      </c>
      <c r="G12031" s="3">
        <v>0.0</v>
      </c>
      <c r="H12031" s="3">
        <v>0.0</v>
      </c>
      <c r="I12031" s="3" t="s">
        <v>13</v>
      </c>
      <c r="J12031" s="3" t="s">
        <v>34139</v>
      </c>
      <c r="K12031" s="3" t="s">
        <v>19</v>
      </c>
      <c r="L12031" s="3" t="str">
        <f>IFERROR(__xludf.DUMMYFUNCTION("GOOGLETRANSLATE(F12031,""id"",""en"")"),"Argentina World Champion Through Penalties Against French Messi And Mbappe Gol Party")</f>
        <v>Argentina World Champion Through Penalties Against French Messi And Mbappe Gol Party</v>
      </c>
    </row>
    <row r="12032" ht="15.75" customHeight="1">
      <c r="A12032" s="1">
        <v>13295.0</v>
      </c>
      <c r="B12032" s="3" t="s">
        <v>34140</v>
      </c>
      <c r="C12032" s="3">
        <v>0.0</v>
      </c>
      <c r="D12032" s="3">
        <v>0.0</v>
      </c>
      <c r="E12032" s="3">
        <v>0.0</v>
      </c>
      <c r="F12032" s="3" t="s">
        <v>34141</v>
      </c>
      <c r="G12032" s="3">
        <v>0.0</v>
      </c>
      <c r="H12032" s="3">
        <v>0.0</v>
      </c>
      <c r="I12032" s="3" t="s">
        <v>13</v>
      </c>
      <c r="J12032" s="3" t="s">
        <v>34142</v>
      </c>
      <c r="K12032" s="3" t="s">
        <v>644</v>
      </c>
      <c r="L12032" s="3" t="str">
        <f>IFERROR(__xludf.DUMMYFUNCTION("GOOGLETRANSLATE(F12032,""id"",""en"")"),"I thought I would have been Argentina world champion hehe")</f>
        <v>I thought I would have been Argentina world champion hehe</v>
      </c>
    </row>
    <row r="12033" ht="15.75" customHeight="1">
      <c r="A12033" s="1">
        <v>13296.0</v>
      </c>
      <c r="B12033" s="3" t="s">
        <v>34143</v>
      </c>
      <c r="C12033" s="3">
        <v>0.0</v>
      </c>
      <c r="D12033" s="3">
        <v>0.0</v>
      </c>
      <c r="E12033" s="3">
        <v>0.0</v>
      </c>
      <c r="F12033" s="3" t="s">
        <v>25226</v>
      </c>
      <c r="G12033" s="3">
        <v>0.0</v>
      </c>
      <c r="H12033" s="3">
        <v>0.0</v>
      </c>
      <c r="I12033" s="3" t="s">
        <v>13</v>
      </c>
      <c r="J12033" s="3" t="s">
        <v>25227</v>
      </c>
      <c r="K12033" s="3" t="s">
        <v>41</v>
      </c>
      <c r="L12033" s="3" t="str">
        <f>IFERROR(__xludf.DUMMYFUNCTION("GOOGLETRANSLATE(F12033,""id"",""en"")"),"Scaloni invited the Argentine people to enjoy the success of the World Cup championship")</f>
        <v>Scaloni invited the Argentine people to enjoy the success of the World Cup championship</v>
      </c>
    </row>
    <row r="12034" ht="15.75" customHeight="1">
      <c r="A12034" s="1">
        <v>13297.0</v>
      </c>
      <c r="B12034" s="3" t="s">
        <v>34144</v>
      </c>
      <c r="C12034" s="3">
        <v>1.0</v>
      </c>
      <c r="D12034" s="3">
        <v>0.0</v>
      </c>
      <c r="E12034" s="3">
        <v>1.0</v>
      </c>
      <c r="F12034" s="3" t="s">
        <v>34145</v>
      </c>
      <c r="G12034" s="3">
        <v>0.0</v>
      </c>
      <c r="H12034" s="3">
        <v>0.0</v>
      </c>
      <c r="I12034" s="3" t="s">
        <v>13</v>
      </c>
      <c r="J12034" s="3" t="s">
        <v>34146</v>
      </c>
      <c r="K12034" s="3" t="s">
        <v>15</v>
      </c>
      <c r="L12034" s="3" t="str">
        <f>IFERROR(__xludf.DUMMYFUNCTION("GOOGLETRANSLATE(F12034,""id"",""en"")"),"Have you ever been even though Argentina champions can't and will not be able to defeat the Indonesian national team")</f>
        <v>Have you ever been even though Argentina champions can't and will not be able to defeat the Indonesian national team</v>
      </c>
    </row>
    <row r="12035" ht="15.75" customHeight="1">
      <c r="A12035" s="1">
        <v>13298.0</v>
      </c>
      <c r="B12035" s="3" t="s">
        <v>34147</v>
      </c>
      <c r="C12035" s="3">
        <v>1.0</v>
      </c>
      <c r="D12035" s="3">
        <v>12.0</v>
      </c>
      <c r="E12035" s="3">
        <v>149.0</v>
      </c>
      <c r="F12035" s="3" t="s">
        <v>34148</v>
      </c>
      <c r="G12035" s="3">
        <v>0.0</v>
      </c>
      <c r="H12035" s="3">
        <v>0.0</v>
      </c>
      <c r="I12035" s="3" t="s">
        <v>13</v>
      </c>
      <c r="J12035" s="3" t="s">
        <v>34149</v>
      </c>
      <c r="K12035" s="3" t="s">
        <v>14571</v>
      </c>
      <c r="L12035" s="3" t="str">
        <f>IFERROR(__xludf.DUMMYFUNCTION("GOOGLETRANSLATE(F12035,""id"",""en"")"),"Also Paredes")</f>
        <v>Also Paredes</v>
      </c>
    </row>
    <row r="12036" ht="15.75" customHeight="1">
      <c r="A12036" s="1">
        <v>13299.0</v>
      </c>
      <c r="B12036" s="3" t="s">
        <v>34150</v>
      </c>
      <c r="C12036" s="3">
        <v>0.0</v>
      </c>
      <c r="D12036" s="3">
        <v>0.0</v>
      </c>
      <c r="E12036" s="3">
        <v>0.0</v>
      </c>
      <c r="F12036" s="3" t="s">
        <v>34151</v>
      </c>
      <c r="G12036" s="3">
        <v>0.55</v>
      </c>
      <c r="H12036" s="3">
        <v>0.35</v>
      </c>
      <c r="I12036" s="3" t="s">
        <v>48</v>
      </c>
      <c r="J12036" s="3" t="s">
        <v>34152</v>
      </c>
      <c r="K12036" s="3" t="s">
        <v>1090</v>
      </c>
      <c r="L12036" s="3" t="str">
        <f>IFERROR(__xludf.DUMMYFUNCTION("GOOGLETRANSLATE(F12036,""id"",""en"")"),"Spotify Promo Price Full Link Guarantee There is Bio Winning Copa America Allister Argentina Benzema Enzo Fernandez Raul Lemos Drake Aguero Heart World Cup Pildun World Champion Giroud Player King Leo Madrid Lloris Kolo Muani")</f>
        <v>Spotify Promo Price Full Link Guarantee There is Bio Winning Copa America Allister Argentina Benzema Enzo Fernandez Raul Lemos Drake Aguero Heart World Cup Pildun World Champion Giroud Player King Leo Madrid Lloris Kolo Muani</v>
      </c>
    </row>
    <row r="12037" ht="15.75" customHeight="1">
      <c r="A12037" s="1">
        <v>13300.0</v>
      </c>
      <c r="B12037" s="3" t="s">
        <v>34153</v>
      </c>
      <c r="C12037" s="3">
        <v>0.0</v>
      </c>
      <c r="D12037" s="3">
        <v>0.0</v>
      </c>
      <c r="E12037" s="3">
        <v>0.0</v>
      </c>
      <c r="F12037" s="3" t="s">
        <v>34154</v>
      </c>
      <c r="G12037" s="3">
        <v>1.0</v>
      </c>
      <c r="H12037" s="3">
        <v>0.0</v>
      </c>
      <c r="I12037" s="3" t="s">
        <v>13</v>
      </c>
      <c r="J12037" s="3" t="s">
        <v>34155</v>
      </c>
      <c r="K12037" s="3" t="s">
        <v>236</v>
      </c>
      <c r="L12037" s="3" t="str">
        <f>IFERROR(__xludf.DUMMYFUNCTION("GOOGLETRANSLATE(F12037,""id"",""en"")"),"The one who champions can be Argentina Champion Heart Mah only number One Kiwkiw")</f>
        <v>The one who champions can be Argentina Champion Heart Mah only number One Kiwkiw</v>
      </c>
    </row>
    <row r="12038" ht="15.75" customHeight="1">
      <c r="A12038" s="1">
        <v>13301.0</v>
      </c>
      <c r="B12038" s="3" t="s">
        <v>34156</v>
      </c>
      <c r="C12038" s="3">
        <v>0.0</v>
      </c>
      <c r="D12038" s="3">
        <v>0.0</v>
      </c>
      <c r="E12038" s="3">
        <v>0.0</v>
      </c>
      <c r="F12038" s="3" t="s">
        <v>34157</v>
      </c>
      <c r="G12038" s="3">
        <v>0.0</v>
      </c>
      <c r="H12038" s="3">
        <v>0.0</v>
      </c>
      <c r="I12038" s="3" t="s">
        <v>13</v>
      </c>
      <c r="J12038" s="3" t="s">
        <v>34158</v>
      </c>
      <c r="K12038" s="3" t="s">
        <v>54</v>
      </c>
      <c r="L12038" s="3" t="str">
        <f>IFERROR(__xludf.DUMMYFUNCTION("GOOGLETRANSLATE(F12038,""id"",""en"")"),"Bounding France Argentina Champion World Cup")</f>
        <v>Bounding France Argentina Champion World Cup</v>
      </c>
    </row>
    <row r="12039" ht="15.75" customHeight="1">
      <c r="A12039" s="1">
        <v>13302.0</v>
      </c>
      <c r="B12039" s="3" t="s">
        <v>34159</v>
      </c>
      <c r="C12039" s="3">
        <v>0.0</v>
      </c>
      <c r="D12039" s="3">
        <v>0.0</v>
      </c>
      <c r="E12039" s="3">
        <v>0.0</v>
      </c>
      <c r="F12039" s="3" t="s">
        <v>28898</v>
      </c>
      <c r="G12039" s="3">
        <v>0.0</v>
      </c>
      <c r="H12039" s="3">
        <v>0.0</v>
      </c>
      <c r="I12039" s="3" t="s">
        <v>13</v>
      </c>
      <c r="J12039" s="3" t="s">
        <v>28899</v>
      </c>
      <c r="K12039" s="3" t="s">
        <v>633</v>
      </c>
      <c r="L12039" s="3" t="str">
        <f>IFERROR(__xludf.DUMMYFUNCTION("GOOGLETRANSLATE(F12039,""id"",""en"")"),"France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2040" ht="15.75" customHeight="1">
      <c r="A12040" s="1">
        <v>13303.0</v>
      </c>
      <c r="B12040" s="3" t="s">
        <v>34160</v>
      </c>
      <c r="C12040" s="3">
        <v>0.0</v>
      </c>
      <c r="D12040" s="3">
        <v>0.0</v>
      </c>
      <c r="E12040" s="3">
        <v>0.0</v>
      </c>
      <c r="F12040" s="3" t="s">
        <v>34161</v>
      </c>
      <c r="G12040" s="3">
        <v>0.0</v>
      </c>
      <c r="H12040" s="3">
        <v>0.0</v>
      </c>
      <c r="I12040" s="3" t="s">
        <v>13</v>
      </c>
      <c r="J12040" s="3" t="s">
        <v>34162</v>
      </c>
      <c r="K12040" s="3" t="s">
        <v>41</v>
      </c>
      <c r="L12040" s="3" t="str">
        <f>IFERROR(__xludf.DUMMYFUNCTION("GOOGLETRANSLATE(F12040,""id"",""en"")"),"well, right, predicted to become Argentina's world champion hehee")</f>
        <v>well, right, predicted to become Argentina's world champion hehee</v>
      </c>
    </row>
    <row r="12041" ht="15.75" customHeight="1">
      <c r="A12041" s="1">
        <v>13304.0</v>
      </c>
      <c r="B12041" s="3" t="s">
        <v>34163</v>
      </c>
      <c r="C12041" s="3">
        <v>1.0</v>
      </c>
      <c r="D12041" s="3">
        <v>1.0</v>
      </c>
      <c r="E12041" s="3">
        <v>1.0</v>
      </c>
      <c r="F12041" s="3" t="s">
        <v>34164</v>
      </c>
      <c r="G12041" s="3">
        <v>0.0</v>
      </c>
      <c r="H12041" s="3">
        <v>0.0</v>
      </c>
      <c r="I12041" s="3" t="s">
        <v>13</v>
      </c>
      <c r="J12041" s="3" t="s">
        <v>34165</v>
      </c>
      <c r="K12041" s="3" t="s">
        <v>215</v>
      </c>
      <c r="L12041" s="3" t="str">
        <f>IFERROR(__xludf.DUMMYFUNCTION("GOOGLETRANSLATE(F12041,""id"",""en"")"),"In the end Messi brought Argentina to become the World Cup champion as the best player Pilduun once again happy leomessi you have the right to get it all thanks to your hard work of the national team from Messi we learn defeat is a delayed success")</f>
        <v>In the end Messi brought Argentina to become the World Cup champion as the best player Pilduun once again happy leomessi you have the right to get it all thanks to your hard work of the national team from Messi we learn defeat is a delayed success</v>
      </c>
    </row>
    <row r="12042" ht="15.75" customHeight="1">
      <c r="A12042" s="1">
        <v>13305.0</v>
      </c>
      <c r="B12042" s="3" t="s">
        <v>34166</v>
      </c>
      <c r="C12042" s="3">
        <v>0.0</v>
      </c>
      <c r="D12042" s="3">
        <v>0.0</v>
      </c>
      <c r="E12042" s="3">
        <v>0.0</v>
      </c>
      <c r="F12042" s="3" t="s">
        <v>34167</v>
      </c>
      <c r="G12042" s="3">
        <v>0.0</v>
      </c>
      <c r="H12042" s="3">
        <v>0.0</v>
      </c>
      <c r="I12042" s="3" t="s">
        <v>13</v>
      </c>
      <c r="J12042" s="3" t="s">
        <v>34168</v>
      </c>
      <c r="K12042" s="3" t="s">
        <v>1265</v>
      </c>
      <c r="L12042" s="3" t="str">
        <f>IFERROR(__xludf.DUMMYFUNCTION("GOOGLETRANSLATE(F12042,""id"",""en"")"),"Sing Lose France Sing won Argentina Sing Sing Champion Step Jenengan Hhh")</f>
        <v>Sing Lose France Sing won Argentina Sing Sing Champion Step Jenengan Hhh</v>
      </c>
    </row>
    <row r="12043" ht="15.75" customHeight="1">
      <c r="A12043" s="1">
        <v>13306.0</v>
      </c>
      <c r="B12043" s="3" t="s">
        <v>34169</v>
      </c>
      <c r="C12043" s="3">
        <v>1.0</v>
      </c>
      <c r="D12043" s="3">
        <v>0.0</v>
      </c>
      <c r="E12043" s="3">
        <v>1.0</v>
      </c>
      <c r="F12043" s="3" t="s">
        <v>34170</v>
      </c>
      <c r="G12043" s="3">
        <v>0.0</v>
      </c>
      <c r="H12043" s="3">
        <v>0.0</v>
      </c>
      <c r="I12043" s="3" t="s">
        <v>13</v>
      </c>
      <c r="J12043" s="3" t="s">
        <v>34171</v>
      </c>
      <c r="K12043" s="3" t="s">
        <v>31</v>
      </c>
      <c r="L12043" s="3" t="str">
        <f>IFERROR(__xludf.DUMMYFUNCTION("GOOGLETRANSLATE(F12043,""id"",""en"")"),"Ihiyyy Emi Martinez World Champion")</f>
        <v>Ihiyyy Emi Martinez World Champion</v>
      </c>
    </row>
    <row r="12044" ht="15.75" customHeight="1">
      <c r="A12044" s="1">
        <v>13307.0</v>
      </c>
      <c r="B12044" s="3" t="s">
        <v>34172</v>
      </c>
      <c r="C12044" s="3">
        <v>1.0</v>
      </c>
      <c r="D12044" s="3">
        <v>0.0</v>
      </c>
      <c r="E12044" s="3">
        <v>7.0</v>
      </c>
      <c r="F12044" s="3" t="s">
        <v>28898</v>
      </c>
      <c r="G12044" s="3">
        <v>0.0</v>
      </c>
      <c r="H12044" s="3">
        <v>0.0</v>
      </c>
      <c r="I12044" s="3" t="s">
        <v>13</v>
      </c>
      <c r="J12044" s="3" t="s">
        <v>28899</v>
      </c>
      <c r="K12044" s="3" t="s">
        <v>633</v>
      </c>
      <c r="L12044" s="3" t="str">
        <f>IFERROR(__xludf.DUMMYFUNCTION("GOOGLETRANSLATE(F12044,""id"",""en"")"),"France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2045" ht="15.75" customHeight="1">
      <c r="A12045" s="1">
        <v>13308.0</v>
      </c>
      <c r="B12045" s="3" t="s">
        <v>34173</v>
      </c>
      <c r="C12045" s="3">
        <v>0.0</v>
      </c>
      <c r="D12045" s="3">
        <v>1.0</v>
      </c>
      <c r="E12045" s="3">
        <v>0.0</v>
      </c>
      <c r="F12045" s="3" t="s">
        <v>34174</v>
      </c>
      <c r="G12045" s="3">
        <v>0.0</v>
      </c>
      <c r="H12045" s="3">
        <v>0.0</v>
      </c>
      <c r="I12045" s="3" t="s">
        <v>13</v>
      </c>
      <c r="J12045" s="3" t="s">
        <v>34175</v>
      </c>
      <c r="K12045" s="3" t="s">
        <v>215</v>
      </c>
      <c r="L12045" s="3" t="str">
        <f>IFERROR(__xludf.DUMMYFUNCTION("GOOGLETRANSLATE(F12045,""id"",""en"")"),"Jakarta CNBC Indonesia Argentina confirmed itself to win the FIFA World Cup, the certainty was obtained after Argentina conquered France through the penalty of the Qatar Lusail Stadium on Monday morning WIB")</f>
        <v>Jakarta CNBC Indonesia Argentina confirmed itself to win the FIFA World Cup, the certainty was obtained after Argentina conquered France through the penalty of the Qatar Lusail Stadium on Monday morning WIB</v>
      </c>
    </row>
    <row r="12046" ht="15.75" customHeight="1">
      <c r="A12046" s="1">
        <v>13309.0</v>
      </c>
      <c r="B12046" s="3" t="s">
        <v>34176</v>
      </c>
      <c r="C12046" s="3">
        <v>0.0</v>
      </c>
      <c r="D12046" s="3">
        <v>0.0</v>
      </c>
      <c r="E12046" s="3">
        <v>0.0</v>
      </c>
      <c r="F12046" s="3" t="s">
        <v>34177</v>
      </c>
      <c r="G12046" s="3">
        <v>0.0</v>
      </c>
      <c r="H12046" s="3">
        <v>0.0</v>
      </c>
      <c r="I12046" s="3" t="s">
        <v>13</v>
      </c>
      <c r="J12046" s="3" t="s">
        <v>34178</v>
      </c>
      <c r="K12046" s="3" t="s">
        <v>2633</v>
      </c>
      <c r="L12046" s="3" t="str">
        <f>IFERROR(__xludf.DUMMYFUNCTION("GOOGLETRANSLATE(F12046,""id"",""en"")"),"Male tears are more honest than women's tears and French tears are more painful to see Argentina World Cup champions")</f>
        <v>Male tears are more honest than women's tears and French tears are more painful to see Argentina World Cup champions</v>
      </c>
    </row>
    <row r="12047" ht="15.75" customHeight="1">
      <c r="A12047" s="1">
        <v>13310.0</v>
      </c>
      <c r="B12047" s="3" t="s">
        <v>34179</v>
      </c>
      <c r="C12047" s="3">
        <v>0.0</v>
      </c>
      <c r="D12047" s="3">
        <v>0.0</v>
      </c>
      <c r="E12047" s="3">
        <v>1.0</v>
      </c>
      <c r="F12047" s="3" t="s">
        <v>34180</v>
      </c>
      <c r="G12047" s="3">
        <v>0.0</v>
      </c>
      <c r="H12047" s="3">
        <v>0.0</v>
      </c>
      <c r="I12047" s="3" t="s">
        <v>13</v>
      </c>
      <c r="J12047" s="3" t="s">
        <v>34181</v>
      </c>
      <c r="K12047" s="3" t="s">
        <v>510</v>
      </c>
      <c r="L12047" s="3" t="str">
        <f>IFERROR(__xludf.DUMMYFUNCTION("GOOGLETRANSLATE(F12047,""id"",""en"")"),"Argentina finally came out as world champion after defeating France in a happy penalty shootout for Messi and Squad")</f>
        <v>Argentina finally came out as world champion after defeating France in a happy penalty shootout for Messi and Squad</v>
      </c>
    </row>
    <row r="12048" ht="15.75" customHeight="1">
      <c r="A12048" s="1">
        <v>13311.0</v>
      </c>
      <c r="B12048" s="3" t="s">
        <v>34182</v>
      </c>
      <c r="C12048" s="3">
        <v>0.0</v>
      </c>
      <c r="D12048" s="3">
        <v>0.0</v>
      </c>
      <c r="E12048" s="3">
        <v>0.0</v>
      </c>
      <c r="F12048" s="3" t="s">
        <v>34183</v>
      </c>
      <c r="G12048" s="3">
        <v>0.0</v>
      </c>
      <c r="H12048" s="3">
        <v>0.0</v>
      </c>
      <c r="I12048" s="3" t="s">
        <v>13</v>
      </c>
      <c r="J12048" s="3" t="s">
        <v>34184</v>
      </c>
      <c r="K12048" s="3" t="s">
        <v>15</v>
      </c>
      <c r="L12048" s="3" t="str">
        <f>IFERROR(__xludf.DUMMYFUNCTION("GOOGLETRANSLATE(F12048,""id"",""en"")"),"It turned out that Argentina won because of the Vidcall with Mr. Ibul")</f>
        <v>It turned out that Argentina won because of the Vidcall with Mr. Ibul</v>
      </c>
    </row>
    <row r="12049" ht="15.75" customHeight="1">
      <c r="A12049" s="1">
        <v>13312.0</v>
      </c>
      <c r="B12049" s="3" t="s">
        <v>34185</v>
      </c>
      <c r="C12049" s="3">
        <v>0.0</v>
      </c>
      <c r="D12049" s="3">
        <v>0.0</v>
      </c>
      <c r="E12049" s="3">
        <v>0.0</v>
      </c>
      <c r="F12049" s="3" t="s">
        <v>34186</v>
      </c>
      <c r="G12049" s="3">
        <v>0.0</v>
      </c>
      <c r="H12049" s="3">
        <v>0.0</v>
      </c>
      <c r="I12049" s="3" t="s">
        <v>13</v>
      </c>
      <c r="J12049" s="3" t="s">
        <v>34187</v>
      </c>
      <c r="K12049" s="3" t="s">
        <v>75</v>
      </c>
      <c r="L12049" s="3" t="str">
        <f>IFERROR(__xludf.DUMMYFUNCTION("GOOGLETRANSLATE(F12049,""id"",""en"")"),"Bring Argentina World Cup Champion Lionel Messi will not retire from the national team")</f>
        <v>Bring Argentina World Cup Champion Lionel Messi will not retire from the national team</v>
      </c>
    </row>
    <row r="12050" ht="15.75" customHeight="1">
      <c r="A12050" s="1">
        <v>13313.0</v>
      </c>
      <c r="B12050" s="3" t="s">
        <v>34188</v>
      </c>
      <c r="C12050" s="3">
        <v>0.0</v>
      </c>
      <c r="D12050" s="3">
        <v>0.0</v>
      </c>
      <c r="E12050" s="3">
        <v>0.0</v>
      </c>
      <c r="F12050" s="3" t="s">
        <v>34189</v>
      </c>
      <c r="G12050" s="3">
        <v>0.0</v>
      </c>
      <c r="H12050" s="3">
        <v>0.0</v>
      </c>
      <c r="I12050" s="3" t="s">
        <v>13</v>
      </c>
      <c r="J12050" s="3" t="s">
        <v>34190</v>
      </c>
      <c r="K12050" s="3" t="s">
        <v>149</v>
      </c>
      <c r="L12050" s="3" t="str">
        <f>IFERROR(__xludf.DUMMYFUNCTION("GOOGLETRANSLATE(F12050,""id"",""en"")"),"One of the reasons for Argentina is champion because many of the arrogant players are just not PAREDES PAUL ROMERO but the other side wants to see Messi World Cup champions")</f>
        <v>One of the reasons for Argentina is champion because many of the arrogant players are just not PAREDES PAUL ROMERO but the other side wants to see Messi World Cup champions</v>
      </c>
    </row>
    <row r="12051" ht="15.75" customHeight="1">
      <c r="A12051" s="1">
        <v>13314.0</v>
      </c>
      <c r="B12051" s="3" t="s">
        <v>34191</v>
      </c>
      <c r="C12051" s="3">
        <v>0.0</v>
      </c>
      <c r="D12051" s="3">
        <v>0.0</v>
      </c>
      <c r="E12051" s="3">
        <v>0.0</v>
      </c>
      <c r="F12051" s="3" t="s">
        <v>34192</v>
      </c>
      <c r="G12051" s="3">
        <v>0.0</v>
      </c>
      <c r="H12051" s="3">
        <v>0.0</v>
      </c>
      <c r="I12051" s="3" t="s">
        <v>13</v>
      </c>
      <c r="J12051" s="3" t="s">
        <v>34193</v>
      </c>
      <c r="K12051" s="3" t="s">
        <v>54</v>
      </c>
      <c r="L12051" s="3" t="str">
        <f>IFERROR(__xludf.DUMMYFUNCTION("GOOGLETRANSLATE(F12051,""id"",""en"")"),"Hooray Argentina Champion don't forget to choose me sir")</f>
        <v>Hooray Argentina Champion don't forget to choose me sir</v>
      </c>
    </row>
    <row r="12052" ht="15.75" customHeight="1">
      <c r="A12052" s="1">
        <v>13315.0</v>
      </c>
      <c r="B12052" s="3" t="s">
        <v>34194</v>
      </c>
      <c r="C12052" s="3">
        <v>0.0</v>
      </c>
      <c r="D12052" s="3">
        <v>0.0</v>
      </c>
      <c r="E12052" s="3">
        <v>0.0</v>
      </c>
      <c r="F12052" s="3" t="s">
        <v>34195</v>
      </c>
      <c r="G12052" s="3">
        <v>0.0</v>
      </c>
      <c r="H12052" s="3">
        <v>0.0</v>
      </c>
      <c r="I12052" s="3" t="s">
        <v>13</v>
      </c>
      <c r="J12052" s="3" t="s">
        <v>34196</v>
      </c>
      <c r="K12052" s="3" t="s">
        <v>54</v>
      </c>
      <c r="L12052" s="3" t="str">
        <f>IFERROR(__xludf.DUMMYFUNCTION("GOOGLETRANSLATE(F12052,""id"",""en"")"),"French silence Argentina Champion World Cup")</f>
        <v>French silence Argentina Champion World Cup</v>
      </c>
    </row>
    <row r="12053" ht="15.75" customHeight="1">
      <c r="A12053" s="1">
        <v>13316.0</v>
      </c>
      <c r="B12053" s="3" t="s">
        <v>34197</v>
      </c>
      <c r="C12053" s="3">
        <v>0.0</v>
      </c>
      <c r="D12053" s="3">
        <v>0.0</v>
      </c>
      <c r="E12053" s="3">
        <v>1.0</v>
      </c>
      <c r="F12053" s="3" t="s">
        <v>34198</v>
      </c>
      <c r="G12053" s="3">
        <v>0.0</v>
      </c>
      <c r="H12053" s="3">
        <v>0.0</v>
      </c>
      <c r="I12053" s="3" t="s">
        <v>13</v>
      </c>
      <c r="J12053" s="3" t="s">
        <v>34199</v>
      </c>
      <c r="K12053" s="3" t="s">
        <v>2117</v>
      </c>
      <c r="L12053" s="3" t="str">
        <f>IFERROR(__xludf.DUMMYFUNCTION("GOOGLETRANSLATE(F12053,""id"",""en"")"),"Argentina Champion Vamos")</f>
        <v>Argentina Champion Vamos</v>
      </c>
    </row>
    <row r="12054" ht="15.75" customHeight="1">
      <c r="A12054" s="1">
        <v>13317.0</v>
      </c>
      <c r="B12054" s="3" t="s">
        <v>34200</v>
      </c>
      <c r="C12054" s="3">
        <v>0.0</v>
      </c>
      <c r="D12054" s="3">
        <v>0.0</v>
      </c>
      <c r="E12054" s="3">
        <v>0.0</v>
      </c>
      <c r="F12054" s="3" t="s">
        <v>34201</v>
      </c>
      <c r="G12054" s="3">
        <v>0.0</v>
      </c>
      <c r="H12054" s="3">
        <v>0.0</v>
      </c>
      <c r="I12054" s="3" t="s">
        <v>13</v>
      </c>
      <c r="J12054" s="3" t="s">
        <v>34202</v>
      </c>
      <c r="K12054" s="3" t="s">
        <v>54</v>
      </c>
      <c r="L12054" s="3" t="str">
        <f>IFERROR(__xludf.DUMMYFUNCTION("GOOGLETRANSLATE(F12054,""id"",""en"")"),"Great World Cup France Champion Argentina")</f>
        <v>Great World Cup France Champion Argentina</v>
      </c>
    </row>
    <row r="12055" ht="15.75" customHeight="1">
      <c r="A12055" s="1">
        <v>13320.0</v>
      </c>
      <c r="B12055" s="3" t="s">
        <v>34203</v>
      </c>
      <c r="C12055" s="3">
        <v>0.0</v>
      </c>
      <c r="D12055" s="3">
        <v>0.0</v>
      </c>
      <c r="E12055" s="3">
        <v>0.0</v>
      </c>
      <c r="F12055" s="3" t="s">
        <v>34204</v>
      </c>
      <c r="G12055" s="3">
        <v>0.0</v>
      </c>
      <c r="H12055" s="3">
        <v>0.0</v>
      </c>
      <c r="I12055" s="3" t="s">
        <v>13</v>
      </c>
      <c r="J12055" s="3" t="s">
        <v>34205</v>
      </c>
      <c r="K12055" s="3" t="s">
        <v>131</v>
      </c>
      <c r="L12055" s="3" t="str">
        <f>IFERROR(__xludf.DUMMYFUNCTION("GOOGLETRANSLATE(F12055,""id"",""en"")"),"Argentina's victory is important for Messi, but there are also some Argentine people hoping that Argentina will not be champions because it is feared to be the subject of the transfer of the issue of the destruction of the current Argentine economy")</f>
        <v>Argentina's victory is important for Messi, but there are also some Argentine people hoping that Argentina will not be champions because it is feared to be the subject of the transfer of the issue of the destruction of the current Argentine economy</v>
      </c>
    </row>
    <row r="12056" ht="15.75" customHeight="1">
      <c r="A12056" s="1">
        <v>13321.0</v>
      </c>
      <c r="B12056" s="3" t="s">
        <v>34206</v>
      </c>
      <c r="C12056" s="3">
        <v>1.0</v>
      </c>
      <c r="D12056" s="3">
        <v>0.0</v>
      </c>
      <c r="E12056" s="3">
        <v>0.0</v>
      </c>
      <c r="F12056" s="3" t="s">
        <v>34207</v>
      </c>
      <c r="G12056" s="3">
        <v>0.3</v>
      </c>
      <c r="H12056" s="3">
        <v>0.2</v>
      </c>
      <c r="I12056" s="3" t="s">
        <v>48</v>
      </c>
      <c r="J12056" s="3" t="s">
        <v>34208</v>
      </c>
      <c r="K12056" s="3" t="s">
        <v>15</v>
      </c>
      <c r="L12056" s="3" t="str">
        <f>IFERROR(__xludf.DUMMYFUNCTION("GOOGLETRANSLATE(F12056,""id"",""en"")"),"The Real Factos Argentina Champion World Cup Qatar")</f>
        <v>The Real Factos Argentina Champion World Cup Qatar</v>
      </c>
    </row>
    <row r="12057" ht="15.75" customHeight="1">
      <c r="A12057" s="1">
        <v>13323.0</v>
      </c>
      <c r="B12057" s="3" t="s">
        <v>34209</v>
      </c>
      <c r="C12057" s="3">
        <v>1.0</v>
      </c>
      <c r="D12057" s="3">
        <v>0.0</v>
      </c>
      <c r="E12057" s="3">
        <v>0.0</v>
      </c>
      <c r="F12057" s="3" t="s">
        <v>34210</v>
      </c>
      <c r="G12057" s="3">
        <v>0.0</v>
      </c>
      <c r="H12057" s="3">
        <v>0.0</v>
      </c>
      <c r="I12057" s="3" t="s">
        <v>13</v>
      </c>
      <c r="J12057" s="3" t="s">
        <v>34211</v>
      </c>
      <c r="K12057" s="3" t="s">
        <v>997</v>
      </c>
      <c r="L12057" s="3" t="str">
        <f>IFERROR(__xludf.DUMMYFUNCTION("GOOGLETRANSLATE(F12057,""id"",""en"")"),"First know Messi from a magazine article may be a long time from he champion the World Cup article says he is a new wonderkid from Argentina, he makes me love my football like his playing style every morning watching doi sports news")</f>
        <v>First know Messi from a magazine article may be a long time from he champion the World Cup article says he is a new wonderkid from Argentina, he makes me love my football like his playing style every morning watching doi sports news</v>
      </c>
    </row>
    <row r="12058" ht="15.75" customHeight="1">
      <c r="A12058" s="1">
        <v>13324.0</v>
      </c>
      <c r="B12058" s="3" t="s">
        <v>34212</v>
      </c>
      <c r="C12058" s="3">
        <v>0.0</v>
      </c>
      <c r="D12058" s="3">
        <v>0.0</v>
      </c>
      <c r="E12058" s="3">
        <v>0.0</v>
      </c>
      <c r="F12058" s="3" t="s">
        <v>34213</v>
      </c>
      <c r="G12058" s="3">
        <v>0.0</v>
      </c>
      <c r="H12058" s="3">
        <v>0.0</v>
      </c>
      <c r="I12058" s="3" t="s">
        <v>13</v>
      </c>
      <c r="J12058" s="3" t="s">
        <v>34214</v>
      </c>
      <c r="K12058" s="3" t="s">
        <v>75</v>
      </c>
      <c r="L12058" s="3" t="str">
        <f>IFERROR(__xludf.DUMMYFUNCTION("GOOGLETRANSLATE(F12058,""id"",""en"")"),"Congratulations Argentina World Cup Champion Read More Register now Link")</f>
        <v>Congratulations Argentina World Cup Champion Read More Register now Link</v>
      </c>
    </row>
    <row r="12059" ht="15.75" customHeight="1">
      <c r="A12059" s="1">
        <v>13325.0</v>
      </c>
      <c r="B12059" s="3" t="s">
        <v>34215</v>
      </c>
      <c r="C12059" s="3">
        <v>0.0</v>
      </c>
      <c r="D12059" s="3">
        <v>0.0</v>
      </c>
      <c r="E12059" s="3">
        <v>1.0</v>
      </c>
      <c r="F12059" s="3" t="s">
        <v>34216</v>
      </c>
      <c r="G12059" s="3">
        <v>0.0</v>
      </c>
      <c r="H12059" s="3">
        <v>0.0</v>
      </c>
      <c r="I12059" s="3" t="s">
        <v>13</v>
      </c>
      <c r="J12059" s="3" t="s">
        <v>34217</v>
      </c>
      <c r="K12059" s="3" t="s">
        <v>19</v>
      </c>
      <c r="L12059" s="3" t="str">
        <f>IFERROR(__xludf.DUMMYFUNCTION("GOOGLETRANSLATE(F12059,""id"",""en"")"),"Proven Jose Miguel Polanco's prediction that Messi and Argentina champion FIFA World Cup Qatar")</f>
        <v>Proven Jose Miguel Polanco's prediction that Messi and Argentina champion FIFA World Cup Qatar</v>
      </c>
    </row>
    <row r="12060" ht="15.75" customHeight="1">
      <c r="A12060" s="1">
        <v>13326.0</v>
      </c>
      <c r="B12060" s="3" t="s">
        <v>34218</v>
      </c>
      <c r="C12060" s="3">
        <v>0.0</v>
      </c>
      <c r="D12060" s="3">
        <v>0.0</v>
      </c>
      <c r="E12060" s="3">
        <v>0.0</v>
      </c>
      <c r="F12060" s="3" t="s">
        <v>34219</v>
      </c>
      <c r="G12060" s="3">
        <v>0.0</v>
      </c>
      <c r="H12060" s="3">
        <v>0.0</v>
      </c>
      <c r="I12060" s="3" t="s">
        <v>13</v>
      </c>
      <c r="J12060" s="3" t="s">
        <v>34220</v>
      </c>
      <c r="K12060" s="3" t="s">
        <v>54</v>
      </c>
      <c r="L12060" s="3" t="str">
        <f>IFERROR(__xludf.DUMMYFUNCTION("GOOGLETRANSLATE(F12060,""id"",""en"")"),"Still in a smile at the Argentina Footage Champion")</f>
        <v>Still in a smile at the Argentina Footage Champion</v>
      </c>
    </row>
    <row r="12061" ht="15.75" customHeight="1">
      <c r="A12061" s="1">
        <v>13327.0</v>
      </c>
      <c r="B12061" s="3" t="s">
        <v>34221</v>
      </c>
      <c r="C12061" s="3">
        <v>1.0</v>
      </c>
      <c r="D12061" s="3">
        <v>0.0</v>
      </c>
      <c r="E12061" s="3">
        <v>0.0</v>
      </c>
      <c r="F12061" s="3" t="s">
        <v>34222</v>
      </c>
      <c r="G12061" s="3">
        <v>0.0</v>
      </c>
      <c r="H12061" s="3">
        <v>0.0</v>
      </c>
      <c r="I12061" s="3" t="s">
        <v>13</v>
      </c>
      <c r="J12061" s="3" t="s">
        <v>34223</v>
      </c>
      <c r="K12061" s="3" t="s">
        <v>54</v>
      </c>
      <c r="L12061" s="3" t="str">
        <f>IFERROR(__xludf.DUMMYFUNCTION("GOOGLETRANSLATE(F12061,""id"",""en"")"),"Stack Argentina last night champions of the World Cup")</f>
        <v>Stack Argentina last night champions of the World Cup</v>
      </c>
    </row>
    <row r="12062" ht="15.75" customHeight="1">
      <c r="A12062" s="1">
        <v>13328.0</v>
      </c>
      <c r="B12062" s="3" t="s">
        <v>34224</v>
      </c>
      <c r="C12062" s="3">
        <v>0.0</v>
      </c>
      <c r="D12062" s="3">
        <v>0.0</v>
      </c>
      <c r="E12062" s="3">
        <v>0.0</v>
      </c>
      <c r="F12062" s="3" t="s">
        <v>34225</v>
      </c>
      <c r="G12062" s="3">
        <v>0.0</v>
      </c>
      <c r="H12062" s="3">
        <v>0.0</v>
      </c>
      <c r="I12062" s="3" t="s">
        <v>13</v>
      </c>
      <c r="J12062" s="3" t="s">
        <v>34226</v>
      </c>
      <c r="K12062" s="3" t="s">
        <v>15</v>
      </c>
      <c r="L12062" s="3" t="str">
        <f>IFERROR(__xludf.DUMMYFUNCTION("GOOGLETRANSLATE(F12062,""id"",""en"")"),"Message Touching Argentina President After Messi Champion World Cup")</f>
        <v>Message Touching Argentina President After Messi Champion World Cup</v>
      </c>
    </row>
    <row r="12063" ht="15.75" customHeight="1">
      <c r="A12063" s="1">
        <v>13329.0</v>
      </c>
      <c r="B12063" s="3" t="s">
        <v>34227</v>
      </c>
      <c r="C12063" s="3">
        <v>0.0</v>
      </c>
      <c r="D12063" s="3">
        <v>0.0</v>
      </c>
      <c r="E12063" s="3">
        <v>1.0</v>
      </c>
      <c r="F12063" s="3" t="s">
        <v>34228</v>
      </c>
      <c r="G12063" s="3">
        <v>1.0</v>
      </c>
      <c r="H12063" s="3">
        <v>0.0</v>
      </c>
      <c r="I12063" s="3" t="s">
        <v>13</v>
      </c>
      <c r="J12063" s="3" t="s">
        <v>34229</v>
      </c>
      <c r="K12063" s="3" t="s">
        <v>1061</v>
      </c>
      <c r="L12063" s="3" t="str">
        <f>IFERROR(__xludf.DUMMYFUNCTION("GOOGLETRANSLATE(F12063,""id"",""en"")"),"Until finally the year Scaloni was appointed to train Argentina and many players have the same vision and mission and respect and play for Messi begins his success beating Brazil Final defeating Italy champion Euro Finalistsama")</f>
        <v>Until finally the year Scaloni was appointed to train Argentina and many players have the same vision and mission and respect and play for Messi begins his success beating Brazil Final defeating Italy champion Euro Finalistsama</v>
      </c>
    </row>
    <row r="12064" ht="15.75" customHeight="1">
      <c r="A12064" s="1">
        <v>13330.0</v>
      </c>
      <c r="B12064" s="3" t="s">
        <v>34230</v>
      </c>
      <c r="C12064" s="3">
        <v>0.0</v>
      </c>
      <c r="D12064" s="3">
        <v>0.0</v>
      </c>
      <c r="E12064" s="3">
        <v>0.0</v>
      </c>
      <c r="F12064" s="3" t="s">
        <v>20542</v>
      </c>
      <c r="G12064" s="3">
        <v>0.0</v>
      </c>
      <c r="H12064" s="3">
        <v>0.0</v>
      </c>
      <c r="I12064" s="3" t="s">
        <v>13</v>
      </c>
      <c r="J12064" s="3" t="s">
        <v>20543</v>
      </c>
      <c r="K12064" s="3" t="s">
        <v>2117</v>
      </c>
      <c r="L12064" s="3" t="str">
        <f>IFERROR(__xludf.DUMMYFUNCTION("GOOGLETRANSLATE(F12064,""id"",""en"")"),"Argentina World Champion")</f>
        <v>Argentina World Champion</v>
      </c>
    </row>
    <row r="12065" ht="15.75" customHeight="1">
      <c r="A12065" s="1">
        <v>13331.0</v>
      </c>
      <c r="B12065" s="3" t="s">
        <v>34231</v>
      </c>
      <c r="C12065" s="3">
        <v>0.0</v>
      </c>
      <c r="D12065" s="3">
        <v>0.0</v>
      </c>
      <c r="E12065" s="3">
        <v>0.0</v>
      </c>
      <c r="F12065" s="3" t="s">
        <v>34232</v>
      </c>
      <c r="G12065" s="3">
        <v>0.0</v>
      </c>
      <c r="H12065" s="3">
        <v>0.0</v>
      </c>
      <c r="I12065" s="3" t="s">
        <v>13</v>
      </c>
      <c r="J12065" s="3" t="s">
        <v>34233</v>
      </c>
      <c r="K12065" s="3" t="s">
        <v>477</v>
      </c>
      <c r="L12065" s="3" t="str">
        <f>IFERROR(__xludf.DUMMYFUNCTION("GOOGLETRANSLATE(F12065,""id"",""en"")"),"Argentina's dream of becoming a champion turned out to be true of Argentina's contrast")</f>
        <v>Argentina's dream of becoming a champion turned out to be true of Argentina's contrast</v>
      </c>
    </row>
    <row r="12066" ht="15.75" customHeight="1">
      <c r="A12066" s="1">
        <v>13332.0</v>
      </c>
      <c r="B12066" s="3" t="s">
        <v>34234</v>
      </c>
      <c r="C12066" s="3">
        <v>1.0</v>
      </c>
      <c r="D12066" s="3">
        <v>1.0</v>
      </c>
      <c r="E12066" s="3">
        <v>13.0</v>
      </c>
      <c r="F12066" s="3" t="s">
        <v>34235</v>
      </c>
      <c r="G12066" s="3">
        <v>1.0</v>
      </c>
      <c r="H12066" s="3">
        <v>1.0</v>
      </c>
      <c r="I12066" s="3" t="s">
        <v>48</v>
      </c>
      <c r="J12066" s="3" t="s">
        <v>34236</v>
      </c>
      <c r="K12066" s="3" t="s">
        <v>657</v>
      </c>
      <c r="L12066" s="3" t="str">
        <f>IFERROR(__xludf.DUMMYFUNCTION("GOOGLETRANSLATE(F12066,""id"",""en"")"),"whether the title won by Argentina can close the debate and declare the best All Time Goat Greatest All Time to Messi")</f>
        <v>whether the title won by Argentina can close the debate and declare the best All Time Goat Greatest All Time to Messi</v>
      </c>
    </row>
    <row r="12067" ht="15.75" customHeight="1">
      <c r="A12067" s="1">
        <v>13333.0</v>
      </c>
      <c r="B12067" s="3" t="s">
        <v>34237</v>
      </c>
      <c r="C12067" s="3">
        <v>0.0</v>
      </c>
      <c r="D12067" s="3">
        <v>0.0</v>
      </c>
      <c r="E12067" s="3">
        <v>1.0</v>
      </c>
      <c r="F12067" s="3" t="s">
        <v>34238</v>
      </c>
      <c r="G12067" s="3">
        <v>0.0</v>
      </c>
      <c r="H12067" s="3">
        <v>0.0</v>
      </c>
      <c r="I12067" s="3" t="s">
        <v>13</v>
      </c>
      <c r="J12067" s="3" t="s">
        <v>34239</v>
      </c>
      <c r="K12067" s="3" t="s">
        <v>31</v>
      </c>
      <c r="L12067" s="3" t="str">
        <f>IFERROR(__xludf.DUMMYFUNCTION("GOOGLETRANSLATE(F12067,""id"",""en"")"),"Pak Minister Cool Argentina Champion")</f>
        <v>Pak Minister Cool Argentina Champion</v>
      </c>
    </row>
    <row r="12068" ht="15.75" customHeight="1">
      <c r="A12068" s="1">
        <v>13334.0</v>
      </c>
      <c r="B12068" s="3" t="s">
        <v>34240</v>
      </c>
      <c r="C12068" s="3">
        <v>0.0</v>
      </c>
      <c r="D12068" s="3">
        <v>0.0</v>
      </c>
      <c r="E12068" s="3">
        <v>1.0</v>
      </c>
      <c r="F12068" s="3" t="s">
        <v>34241</v>
      </c>
      <c r="G12068" s="3">
        <v>1.0</v>
      </c>
      <c r="H12068" s="3">
        <v>1.0</v>
      </c>
      <c r="I12068" s="3" t="s">
        <v>48</v>
      </c>
      <c r="J12068" s="3" t="s">
        <v>34242</v>
      </c>
      <c r="K12068" s="3" t="s">
        <v>463</v>
      </c>
      <c r="L12068" s="3" t="str">
        <f>IFERROR(__xludf.DUMMYFUNCTION("GOOGLETRANSLATE(F12068,""id"",""en"")"),"The celebration of Maradona's victory when he brought Argentina to the World Cup champion Mexico and Messi's victory party after bringing Albiceleste won the third World Cup trophy Qatar Greatest All Time")</f>
        <v>The celebration of Maradona's victory when he brought Argentina to the World Cup champion Mexico and Messi's victory party after bringing Albiceleste won the third World Cup trophy Qatar Greatest All Time</v>
      </c>
    </row>
    <row r="12069" ht="15.75" customHeight="1">
      <c r="A12069" s="1">
        <v>13335.0</v>
      </c>
      <c r="B12069" s="3" t="s">
        <v>34243</v>
      </c>
      <c r="C12069" s="3">
        <v>1.0</v>
      </c>
      <c r="D12069" s="3">
        <v>0.0</v>
      </c>
      <c r="E12069" s="3">
        <v>11.0</v>
      </c>
      <c r="F12069" s="3" t="s">
        <v>34244</v>
      </c>
      <c r="G12069" s="3">
        <v>0.5</v>
      </c>
      <c r="H12069" s="3">
        <v>0.5</v>
      </c>
      <c r="I12069" s="3" t="s">
        <v>48</v>
      </c>
      <c r="J12069" s="3" t="s">
        <v>34245</v>
      </c>
      <c r="K12069" s="3" t="s">
        <v>993</v>
      </c>
      <c r="L12069" s="3" t="str">
        <f>IFERROR(__xludf.DUMMYFUNCTION("GOOGLETRANSLATE(F12069,""id"",""en"")"),"It's nice to pride from the beginning of Argentina won the world champion final score, especially if there is Mas Messi who is top care and we also have to be top care even though it's already in the old date, don't think about your needs while there is a"&amp;" gopaylater can always increase the limit")</f>
        <v>It's nice to pride from the beginning of Argentina won the world champion final score, especially if there is Mas Messi who is top care and we also have to be top care even though it's already in the old date, don't think about your needs while there is a gopaylater can always increase the limit</v>
      </c>
    </row>
    <row r="12070" ht="15.75" customHeight="1">
      <c r="A12070" s="1">
        <v>13336.0</v>
      </c>
      <c r="B12070" s="3" t="s">
        <v>34246</v>
      </c>
      <c r="C12070" s="3">
        <v>0.0</v>
      </c>
      <c r="D12070" s="3">
        <v>0.0</v>
      </c>
      <c r="E12070" s="3">
        <v>0.0</v>
      </c>
      <c r="F12070" s="3" t="s">
        <v>34247</v>
      </c>
      <c r="G12070" s="3">
        <v>0.0</v>
      </c>
      <c r="H12070" s="3">
        <v>0.0</v>
      </c>
      <c r="I12070" s="3" t="s">
        <v>13</v>
      </c>
      <c r="J12070" s="3" t="s">
        <v>34248</v>
      </c>
      <c r="K12070" s="3" t="s">
        <v>35</v>
      </c>
      <c r="L12070" s="3" t="str">
        <f>IFERROR(__xludf.DUMMYFUNCTION("GOOGLETRANSLATE(F12070,""id"",""en"")"),"Finally, Messi's ideals to bring the Argentine national team to become world champion in Congratulations")</f>
        <v>Finally, Messi's ideals to bring the Argentine national team to become world champion in Congratulations</v>
      </c>
    </row>
    <row r="12071" ht="15.75" customHeight="1">
      <c r="A12071" s="1">
        <v>13337.0</v>
      </c>
      <c r="B12071" s="3" t="s">
        <v>34249</v>
      </c>
      <c r="C12071" s="3">
        <v>0.0</v>
      </c>
      <c r="D12071" s="3">
        <v>0.0</v>
      </c>
      <c r="E12071" s="3">
        <v>0.0</v>
      </c>
      <c r="F12071" s="3" t="s">
        <v>34250</v>
      </c>
      <c r="G12071" s="3">
        <v>0.0</v>
      </c>
      <c r="H12071" s="3">
        <v>0.0</v>
      </c>
      <c r="I12071" s="3" t="s">
        <v>13</v>
      </c>
      <c r="J12071" s="3" t="s">
        <v>34251</v>
      </c>
      <c r="K12071" s="3" t="s">
        <v>75</v>
      </c>
      <c r="L12071" s="3" t="str">
        <f>IFERROR(__xludf.DUMMYFUNCTION("GOOGLETRANSLATE(F12071,""id"",""en"")"),"Argentina Wins World Cup Champion Neymar congratulates Lionel Messi")</f>
        <v>Argentina Wins World Cup Champion Neymar congratulates Lionel Messi</v>
      </c>
    </row>
    <row r="12072" ht="15.75" customHeight="1">
      <c r="A12072" s="1">
        <v>13338.0</v>
      </c>
      <c r="B12072" s="3" t="s">
        <v>34252</v>
      </c>
      <c r="C12072" s="3">
        <v>7.0</v>
      </c>
      <c r="D12072" s="3">
        <v>7.0</v>
      </c>
      <c r="E12072" s="3">
        <v>25.0</v>
      </c>
      <c r="F12072" s="3" t="s">
        <v>34253</v>
      </c>
      <c r="G12072" s="3">
        <v>0.0</v>
      </c>
      <c r="H12072" s="3">
        <v>0.0</v>
      </c>
      <c r="I12072" s="3" t="s">
        <v>13</v>
      </c>
      <c r="J12072" s="3" t="s">
        <v>34254</v>
      </c>
      <c r="K12072" s="3" t="s">
        <v>15</v>
      </c>
      <c r="L12072" s="3" t="str">
        <f>IFERROR(__xludf.DUMMYFUNCTION("GOOGLETRANSLATE(F12072,""id"",""en"")"),"Argentina World Cup Champion Center for the Purifier Crisis")</f>
        <v>Argentina World Cup Champion Center for the Purifier Crisis</v>
      </c>
    </row>
    <row r="12073" ht="15.75" customHeight="1">
      <c r="A12073" s="1">
        <v>13339.0</v>
      </c>
      <c r="B12073" s="3" t="s">
        <v>34255</v>
      </c>
      <c r="C12073" s="3">
        <v>0.0</v>
      </c>
      <c r="D12073" s="3">
        <v>0.0</v>
      </c>
      <c r="E12073" s="3">
        <v>0.0</v>
      </c>
      <c r="F12073" s="3" t="s">
        <v>34256</v>
      </c>
      <c r="G12073" s="3">
        <v>0.0</v>
      </c>
      <c r="H12073" s="3">
        <v>0.0</v>
      </c>
      <c r="I12073" s="3" t="s">
        <v>13</v>
      </c>
      <c r="J12073" s="3" t="s">
        <v>34257</v>
      </c>
      <c r="K12073" s="3" t="s">
        <v>1566</v>
      </c>
      <c r="L12073" s="3" t="str">
        <f>IFERROR(__xludf.DUMMYFUNCTION("GOOGLETRANSLATE(F12073,""id"",""en"")"),"Argentina continues to win unless Saudi Saudi opponents continue to lose unless Argentina's opponent is the conclusion of the Saudi championship")</f>
        <v>Argentina continues to win unless Saudi Saudi opponents continue to lose unless Argentina's opponent is the conclusion of the Saudi championship</v>
      </c>
    </row>
    <row r="12074" ht="15.75" customHeight="1">
      <c r="A12074" s="1">
        <v>13340.0</v>
      </c>
      <c r="B12074" s="3" t="s">
        <v>34258</v>
      </c>
      <c r="C12074" s="3">
        <v>0.0</v>
      </c>
      <c r="D12074" s="3">
        <v>0.0</v>
      </c>
      <c r="E12074" s="3">
        <v>0.0</v>
      </c>
      <c r="F12074" s="3" t="s">
        <v>34259</v>
      </c>
      <c r="G12074" s="3">
        <v>0.0</v>
      </c>
      <c r="H12074" s="3">
        <v>0.0</v>
      </c>
      <c r="I12074" s="3" t="s">
        <v>13</v>
      </c>
      <c r="J12074" s="3" t="s">
        <v>34260</v>
      </c>
      <c r="K12074" s="3" t="s">
        <v>50</v>
      </c>
      <c r="L12074" s="3" t="str">
        <f>IFERROR(__xludf.DUMMYFUNCTION("GOOGLETRANSLATE(F12074,""id"",""en"")"),"French supporters criticized the referee and underestimate Argentina but forgot to disburse Benzema from the national team squad")</f>
        <v>French supporters criticized the referee and underestimate Argentina but forgot to disburse Benzema from the national team squad</v>
      </c>
    </row>
    <row r="12075" ht="15.75" customHeight="1">
      <c r="A12075" s="1">
        <v>13341.0</v>
      </c>
      <c r="B12075" s="3" t="s">
        <v>34261</v>
      </c>
      <c r="C12075" s="3">
        <v>0.0</v>
      </c>
      <c r="D12075" s="3">
        <v>0.0</v>
      </c>
      <c r="E12075" s="3">
        <v>2.0</v>
      </c>
      <c r="F12075" s="3" t="s">
        <v>34262</v>
      </c>
      <c r="G12075" s="3">
        <v>0.0</v>
      </c>
      <c r="H12075" s="3">
        <v>0.0</v>
      </c>
      <c r="I12075" s="3" t="s">
        <v>13</v>
      </c>
      <c r="J12075" s="3" t="s">
        <v>34263</v>
      </c>
      <c r="K12075" s="3" t="s">
        <v>1912</v>
      </c>
      <c r="L12075" s="3" t="str">
        <f>IFERROR(__xludf.DUMMYFUNCTION("GOOGLETRANSLATE(F12075,""id"",""en"")"),"Argentina won the Qatar World Cup after overthrowing France through a penalty shootout along with Lionel Messi's journey from the group phase to succeed in bringing the World Cup trophy")</f>
        <v>Argentina won the Qatar World Cup after overthrowing France through a penalty shootout along with Lionel Messi's journey from the group phase to succeed in bringing the World Cup trophy</v>
      </c>
    </row>
    <row r="12076" ht="15.75" customHeight="1">
      <c r="A12076" s="1">
        <v>13342.0</v>
      </c>
      <c r="B12076" s="3" t="s">
        <v>34264</v>
      </c>
      <c r="C12076" s="3">
        <v>0.0</v>
      </c>
      <c r="D12076" s="3">
        <v>0.0</v>
      </c>
      <c r="E12076" s="3">
        <v>4.0</v>
      </c>
      <c r="F12076" s="3" t="s">
        <v>33910</v>
      </c>
      <c r="G12076" s="3">
        <v>0.0</v>
      </c>
      <c r="H12076" s="3">
        <v>0.0</v>
      </c>
      <c r="I12076" s="3" t="s">
        <v>13</v>
      </c>
      <c r="J12076" s="3" t="s">
        <v>33911</v>
      </c>
      <c r="K12076" s="3" t="s">
        <v>75</v>
      </c>
      <c r="L12076" s="3" t="str">
        <f>IFERROR(__xludf.DUMMYFUNCTION("GOOGLETRANSLATE(F12076,""id"",""en"")"),"Argentine World Cup Highlights Video Champion After winning penalties")</f>
        <v>Argentine World Cup Highlights Video Champion After winning penalties</v>
      </c>
    </row>
    <row r="12077" ht="15.75" customHeight="1">
      <c r="A12077" s="1">
        <v>13343.0</v>
      </c>
      <c r="B12077" s="3" t="s">
        <v>34265</v>
      </c>
      <c r="C12077" s="3">
        <v>1.0</v>
      </c>
      <c r="D12077" s="3">
        <v>0.0</v>
      </c>
      <c r="E12077" s="3">
        <v>0.0</v>
      </c>
      <c r="F12077" s="3" t="s">
        <v>34266</v>
      </c>
      <c r="G12077" s="3">
        <v>0.0</v>
      </c>
      <c r="H12077" s="3">
        <v>0.0</v>
      </c>
      <c r="I12077" s="3" t="s">
        <v>13</v>
      </c>
      <c r="J12077" s="3" t="s">
        <v>34267</v>
      </c>
      <c r="K12077" s="3" t="s">
        <v>123</v>
      </c>
      <c r="L12077" s="3" t="str">
        <f>IFERROR(__xludf.DUMMYFUNCTION("GOOGLETRANSLATE(F12077,""id"",""en"")"),"Finally, Argentina is really champion, but it's a prancia, it's really good, but it's not really good")</f>
        <v>Finally, Argentina is really champion, but it's a prancia, it's really good, but it's not really good</v>
      </c>
    </row>
    <row r="12078" ht="15.75" customHeight="1">
      <c r="A12078" s="1">
        <v>13344.0</v>
      </c>
      <c r="B12078" s="3" t="s">
        <v>34268</v>
      </c>
      <c r="C12078" s="3">
        <v>0.0</v>
      </c>
      <c r="D12078" s="3">
        <v>0.0</v>
      </c>
      <c r="E12078" s="3">
        <v>0.0</v>
      </c>
      <c r="F12078" s="3" t="s">
        <v>34269</v>
      </c>
      <c r="G12078" s="3">
        <v>0.0</v>
      </c>
      <c r="H12078" s="3">
        <v>0.0</v>
      </c>
      <c r="I12078" s="3" t="s">
        <v>13</v>
      </c>
      <c r="J12078" s="3" t="s">
        <v>34270</v>
      </c>
      <c r="K12078" s="3" t="s">
        <v>477</v>
      </c>
      <c r="L12078" s="3" t="str">
        <f>IFERROR(__xludf.DUMMYFUNCTION("GOOGLETRANSLATE(F12078,""id"",""en"")"),"Argentina The champion was taken away from flood flooded doh")</f>
        <v>Argentina The champion was taken away from flood flooded doh</v>
      </c>
    </row>
    <row r="12079" ht="15.75" customHeight="1">
      <c r="A12079" s="1">
        <v>13345.0</v>
      </c>
      <c r="B12079" s="3" t="s">
        <v>34271</v>
      </c>
      <c r="C12079" s="3">
        <v>0.0</v>
      </c>
      <c r="D12079" s="3">
        <v>0.0</v>
      </c>
      <c r="E12079" s="3">
        <v>0.0</v>
      </c>
      <c r="F12079" s="3" t="s">
        <v>34272</v>
      </c>
      <c r="G12079" s="3">
        <v>0.0</v>
      </c>
      <c r="H12079" s="3">
        <v>0.0</v>
      </c>
      <c r="I12079" s="3" t="s">
        <v>13</v>
      </c>
      <c r="J12079" s="3" t="s">
        <v>34273</v>
      </c>
      <c r="K12079" s="3" t="s">
        <v>34274</v>
      </c>
      <c r="L12079" s="3" t="str">
        <f>IFERROR(__xludf.DUMMYFUNCTION("GOOGLETRANSLATE(F12079,""id"",""en"")"),"Spain lost the first match of the Spanish group phase champion World Cup Argentina lost the first match of the Argentine group phase champions World Cup turned out to be Valid")</f>
        <v>Spain lost the first match of the Spanish group phase champion World Cup Argentina lost the first match of the Argentine group phase champions World Cup turned out to be Valid</v>
      </c>
    </row>
    <row r="12080" ht="15.75" customHeight="1">
      <c r="A12080" s="1">
        <v>13346.0</v>
      </c>
      <c r="B12080" s="3" t="s">
        <v>34275</v>
      </c>
      <c r="C12080" s="3">
        <v>0.0</v>
      </c>
      <c r="D12080" s="3">
        <v>0.0</v>
      </c>
      <c r="E12080" s="3">
        <v>0.0</v>
      </c>
      <c r="F12080" s="3" t="s">
        <v>34276</v>
      </c>
      <c r="G12080" s="3">
        <v>0.0</v>
      </c>
      <c r="H12080" s="3">
        <v>0.0</v>
      </c>
      <c r="I12080" s="3" t="s">
        <v>13</v>
      </c>
      <c r="J12080" s="3" t="s">
        <v>34277</v>
      </c>
      <c r="K12080" s="3" t="s">
        <v>82</v>
      </c>
      <c r="L12080" s="3" t="str">
        <f>IFERROR(__xludf.DUMMYFUNCTION("GOOGLETRANSLATE(F12080,""id"",""en"")"),"Wow, Argentina, my sister champion must be very happy")</f>
        <v>Wow, Argentina, my sister champion must be very happy</v>
      </c>
    </row>
    <row r="12081" ht="15.75" customHeight="1">
      <c r="A12081" s="1">
        <v>13347.0</v>
      </c>
      <c r="B12081" s="3" t="s">
        <v>34278</v>
      </c>
      <c r="C12081" s="3">
        <v>0.0</v>
      </c>
      <c r="D12081" s="3">
        <v>3.0</v>
      </c>
      <c r="E12081" s="3">
        <v>7.0</v>
      </c>
      <c r="F12081" s="3" t="s">
        <v>34279</v>
      </c>
      <c r="G12081" s="3">
        <v>0.5</v>
      </c>
      <c r="H12081" s="3">
        <v>0.0</v>
      </c>
      <c r="I12081" s="3" t="s">
        <v>13</v>
      </c>
      <c r="J12081" s="3" t="s">
        <v>34280</v>
      </c>
      <c r="K12081" s="3" t="s">
        <v>244</v>
      </c>
      <c r="L12081" s="3" t="str">
        <f>IFERROR(__xludf.DUMMYFUNCTION("GOOGLETRANSLATE(F12081,""id"",""en"")"),"Argentina World Champion You Champion in My Arms Open After Shampooing Nobar Nobar")</f>
        <v>Argentina World Champion You Champion in My Arms Open After Shampooing Nobar Nobar</v>
      </c>
    </row>
    <row r="12082" ht="15.75" customHeight="1">
      <c r="A12082" s="1">
        <v>13348.0</v>
      </c>
      <c r="B12082" s="3" t="s">
        <v>34281</v>
      </c>
      <c r="C12082" s="3">
        <v>0.0</v>
      </c>
      <c r="D12082" s="3">
        <v>0.0</v>
      </c>
      <c r="E12082" s="3">
        <v>0.0</v>
      </c>
      <c r="F12082" s="3" t="s">
        <v>34282</v>
      </c>
      <c r="G12082" s="3">
        <v>0.0</v>
      </c>
      <c r="H12082" s="3">
        <v>0.0</v>
      </c>
      <c r="I12082" s="3" t="s">
        <v>13</v>
      </c>
      <c r="J12082" s="3" t="s">
        <v>34283</v>
      </c>
      <c r="K12082" s="3" t="s">
        <v>41</v>
      </c>
      <c r="L12082" s="3" t="str">
        <f>IFERROR(__xludf.DUMMYFUNCTION("GOOGLETRANSLATE(F12082,""id"",""en"")"),"After the Dutch were excluded, I was happy that Argentina was the champion even though they had set aside Oranje")</f>
        <v>After the Dutch were excluded, I was happy that Argentina was the champion even though they had set aside Oranje</v>
      </c>
    </row>
    <row r="12083" ht="15.75" customHeight="1">
      <c r="A12083" s="1">
        <v>13349.0</v>
      </c>
      <c r="B12083" s="3" t="s">
        <v>34284</v>
      </c>
      <c r="C12083" s="3">
        <v>0.0</v>
      </c>
      <c r="D12083" s="3">
        <v>1.0</v>
      </c>
      <c r="E12083" s="3">
        <v>12.0</v>
      </c>
      <c r="F12083" s="3" t="s">
        <v>34285</v>
      </c>
      <c r="G12083" s="3">
        <v>1.0</v>
      </c>
      <c r="H12083" s="3">
        <v>1.0</v>
      </c>
      <c r="I12083" s="3" t="s">
        <v>48</v>
      </c>
      <c r="J12083" s="3" t="s">
        <v>34286</v>
      </c>
      <c r="K12083" s="3" t="s">
        <v>184</v>
      </c>
      <c r="L12083" s="3" t="str">
        <f>IFERROR(__xludf.DUMMYFUNCTION("GOOGLETRANSLATE(F12083,""id"",""en"")"),"Initially edited photos and bullied where Messi finally won the world champion of The Greatest All Time Goat from this this")</f>
        <v>Initially edited photos and bullied where Messi finally won the world champion of The Greatest All Time Goat from this this</v>
      </c>
    </row>
    <row r="12084" ht="15.75" customHeight="1">
      <c r="A12084" s="1">
        <v>13350.0</v>
      </c>
      <c r="B12084" s="3" t="s">
        <v>34287</v>
      </c>
      <c r="C12084" s="3">
        <v>0.0</v>
      </c>
      <c r="D12084" s="3">
        <v>0.0</v>
      </c>
      <c r="E12084" s="3">
        <v>0.0</v>
      </c>
      <c r="F12084" s="3" t="s">
        <v>34288</v>
      </c>
      <c r="G12084" s="3">
        <v>0.0</v>
      </c>
      <c r="H12084" s="3">
        <v>0.0</v>
      </c>
      <c r="I12084" s="3" t="s">
        <v>13</v>
      </c>
      <c r="J12084" s="3" t="s">
        <v>34289</v>
      </c>
      <c r="K12084" s="3" t="s">
        <v>1469</v>
      </c>
      <c r="L12084" s="3" t="str">
        <f>IFERROR(__xludf.DUMMYFUNCTION("GOOGLETRANSLATE(F12084,""id"",""en"")"),"Croatian players as champions received medals with a sense of joy of French receiving medals with a sense of disappointment while Argentina")</f>
        <v>Croatian players as champions received medals with a sense of joy of French receiving medals with a sense of disappointment while Argentina</v>
      </c>
    </row>
    <row r="12085" ht="15.75" customHeight="1">
      <c r="A12085" s="1">
        <v>13351.0</v>
      </c>
      <c r="B12085" s="3" t="s">
        <v>34290</v>
      </c>
      <c r="C12085" s="3">
        <v>0.0</v>
      </c>
      <c r="D12085" s="3">
        <v>0.0</v>
      </c>
      <c r="E12085" s="3">
        <v>0.0</v>
      </c>
      <c r="F12085" s="3" t="s">
        <v>34291</v>
      </c>
      <c r="G12085" s="3">
        <v>0.0</v>
      </c>
      <c r="H12085" s="3">
        <v>0.0</v>
      </c>
      <c r="I12085" s="3" t="s">
        <v>13</v>
      </c>
      <c r="J12085" s="3" t="s">
        <v>34292</v>
      </c>
      <c r="K12085" s="3" t="s">
        <v>657</v>
      </c>
      <c r="L12085" s="3" t="str">
        <f>IFERROR(__xludf.DUMMYFUNCTION("GOOGLETRANSLATE(F12085,""id"",""en"")"),"Argentina finally won the World Cup championship after defeating France through the Munggu Penalty Fighting Drama December")</f>
        <v>Argentina finally won the World Cup championship after defeating France through the Munggu Penalty Fighting Drama December</v>
      </c>
    </row>
    <row r="12086" ht="15.75" customHeight="1">
      <c r="A12086" s="1">
        <v>13352.0</v>
      </c>
      <c r="B12086" s="3" t="s">
        <v>34293</v>
      </c>
      <c r="C12086" s="3">
        <v>0.0</v>
      </c>
      <c r="D12086" s="3">
        <v>0.0</v>
      </c>
      <c r="E12086" s="3">
        <v>3.0</v>
      </c>
      <c r="F12086" s="3" t="s">
        <v>33910</v>
      </c>
      <c r="G12086" s="3">
        <v>0.0</v>
      </c>
      <c r="H12086" s="3">
        <v>0.0</v>
      </c>
      <c r="I12086" s="3" t="s">
        <v>13</v>
      </c>
      <c r="J12086" s="3" t="s">
        <v>33911</v>
      </c>
      <c r="K12086" s="3" t="s">
        <v>75</v>
      </c>
      <c r="L12086" s="3" t="str">
        <f>IFERROR(__xludf.DUMMYFUNCTION("GOOGLETRANSLATE(F12086,""id"",""en"")"),"Argentine World Cup Highlights Video Champion After winning penalties")</f>
        <v>Argentine World Cup Highlights Video Champion After winning penalties</v>
      </c>
    </row>
    <row r="12087" ht="15.75" customHeight="1">
      <c r="A12087" s="1">
        <v>13353.0</v>
      </c>
      <c r="B12087" s="3" t="s">
        <v>34294</v>
      </c>
      <c r="C12087" s="3">
        <v>0.0</v>
      </c>
      <c r="D12087" s="3">
        <v>0.0</v>
      </c>
      <c r="E12087" s="3">
        <v>0.0</v>
      </c>
      <c r="F12087" s="3" t="s">
        <v>34295</v>
      </c>
      <c r="G12087" s="3">
        <v>0.0</v>
      </c>
      <c r="H12087" s="3">
        <v>0.0</v>
      </c>
      <c r="I12087" s="3" t="s">
        <v>13</v>
      </c>
      <c r="J12087" s="3" t="s">
        <v>34296</v>
      </c>
      <c r="K12087" s="3" t="s">
        <v>322</v>
      </c>
      <c r="L12087" s="3" t="str">
        <f>IFERROR(__xludf.DUMMYFUNCTION("GOOGLETRANSLATE(F12087,""id"",""en"")"),"if Argentina world champion if Marshajkt champion in my heart")</f>
        <v>if Argentina world champion if Marshajkt champion in my heart</v>
      </c>
    </row>
    <row r="12088" ht="15.75" customHeight="1">
      <c r="A12088" s="1">
        <v>13354.0</v>
      </c>
      <c r="B12088" s="3" t="s">
        <v>34297</v>
      </c>
      <c r="C12088" s="3">
        <v>0.0</v>
      </c>
      <c r="D12088" s="3">
        <v>0.0</v>
      </c>
      <c r="E12088" s="3">
        <v>3.0</v>
      </c>
      <c r="F12088" s="3" t="s">
        <v>34298</v>
      </c>
      <c r="G12088" s="3">
        <v>0.0</v>
      </c>
      <c r="H12088" s="3">
        <v>0.0</v>
      </c>
      <c r="I12088" s="3" t="s">
        <v>13</v>
      </c>
      <c r="J12088" s="3" t="s">
        <v>34299</v>
      </c>
      <c r="K12088" s="3" t="s">
        <v>3612</v>
      </c>
      <c r="L12088" s="3" t="str">
        <f>IFERROR(__xludf.DUMMYFUNCTION("GOOGLETRANSLATE(F12088,""id"",""en"")"),"Congratulations to the Argentine national team to win the World Cup for the third time and this became the first World Cup for Lionel Messi and friends personally")</f>
        <v>Congratulations to the Argentine national team to win the World Cup for the third time and this became the first World Cup for Lionel Messi and friends personally</v>
      </c>
    </row>
    <row r="12089" ht="15.75" customHeight="1">
      <c r="A12089" s="1">
        <v>13355.0</v>
      </c>
      <c r="B12089" s="3" t="s">
        <v>34300</v>
      </c>
      <c r="C12089" s="3">
        <v>0.0</v>
      </c>
      <c r="D12089" s="3">
        <v>0.0</v>
      </c>
      <c r="E12089" s="3">
        <v>0.0</v>
      </c>
      <c r="F12089" s="3" t="s">
        <v>34301</v>
      </c>
      <c r="G12089" s="3">
        <v>0.0</v>
      </c>
      <c r="H12089" s="3">
        <v>0.0</v>
      </c>
      <c r="I12089" s="3" t="s">
        <v>13</v>
      </c>
      <c r="J12089" s="3" t="s">
        <v>34302</v>
      </c>
      <c r="K12089" s="3" t="s">
        <v>50</v>
      </c>
      <c r="L12089" s="3" t="str">
        <f>IFERROR(__xludf.DUMMYFUNCTION("GOOGLETRANSLATE(F12089,""id"",""en"")"),"Alhamdulillah Argentina champion Pilduun Angger Weh Teu down the price of endog mah")</f>
        <v>Alhamdulillah Argentina champion Pilduun Angger Weh Teu down the price of endog mah</v>
      </c>
    </row>
    <row r="12090" ht="15.75" customHeight="1">
      <c r="A12090" s="1">
        <v>13356.0</v>
      </c>
      <c r="B12090" s="3" t="s">
        <v>34303</v>
      </c>
      <c r="C12090" s="3">
        <v>0.0</v>
      </c>
      <c r="D12090" s="3">
        <v>1.0</v>
      </c>
      <c r="E12090" s="3">
        <v>1.0</v>
      </c>
      <c r="F12090" s="3" t="s">
        <v>34304</v>
      </c>
      <c r="G12090" s="3">
        <v>0.0</v>
      </c>
      <c r="H12090" s="3">
        <v>0.0</v>
      </c>
      <c r="I12090" s="3" t="s">
        <v>13</v>
      </c>
      <c r="J12090" s="3" t="s">
        <v>34305</v>
      </c>
      <c r="K12090" s="3" t="s">
        <v>31</v>
      </c>
      <c r="L12090" s="3" t="str">
        <f>IFERROR(__xludf.DUMMYFUNCTION("GOOGLETRANSLATE(F12090,""id"",""en"")"),"Too happy Celebration Argentina Champion")</f>
        <v>Too happy Celebration Argentina Champion</v>
      </c>
    </row>
    <row r="12091" ht="15.75" customHeight="1">
      <c r="A12091" s="1">
        <v>13357.0</v>
      </c>
      <c r="B12091" s="3" t="s">
        <v>34306</v>
      </c>
      <c r="C12091" s="3">
        <v>0.0</v>
      </c>
      <c r="D12091" s="3">
        <v>0.0</v>
      </c>
      <c r="E12091" s="3">
        <v>0.0</v>
      </c>
      <c r="F12091" s="3" t="s">
        <v>34306</v>
      </c>
      <c r="G12091" s="3">
        <v>0.0</v>
      </c>
      <c r="H12091" s="3">
        <v>0.0</v>
      </c>
      <c r="I12091" s="3" t="s">
        <v>13</v>
      </c>
      <c r="J12091" s="3" t="s">
        <v>34307</v>
      </c>
      <c r="K12091" s="3" t="s">
        <v>31</v>
      </c>
      <c r="L12091" s="3" t="str">
        <f>IFERROR(__xludf.DUMMYFUNCTION("GOOGLETRANSLATE(F12091,""id"",""en"")"),"Gokill, Argentina, became a world champion")</f>
        <v>Gokill, Argentina, became a world champion</v>
      </c>
    </row>
    <row r="12092" ht="15.75" customHeight="1">
      <c r="A12092" s="1">
        <v>13358.0</v>
      </c>
      <c r="B12092" s="3" t="s">
        <v>34308</v>
      </c>
      <c r="C12092" s="3">
        <v>0.0</v>
      </c>
      <c r="D12092" s="3">
        <v>0.0</v>
      </c>
      <c r="E12092" s="3">
        <v>3.0</v>
      </c>
      <c r="F12092" s="3" t="s">
        <v>34309</v>
      </c>
      <c r="G12092" s="3">
        <v>0.875</v>
      </c>
      <c r="H12092" s="3">
        <v>0.325</v>
      </c>
      <c r="I12092" s="3" t="s">
        <v>48</v>
      </c>
      <c r="J12092" s="3" t="s">
        <v>34310</v>
      </c>
      <c r="K12092" s="3" t="s">
        <v>3456</v>
      </c>
      <c r="L12092" s="3" t="str">
        <f>IFERROR(__xludf.DUMMYFUNCTION("GOOGLETRANSLATE(F12092,""id"",""en"")"),"Congratulations Argentina World Champion defeated France with a penalty shootout in The Greatest Final Ever Messi finally brought his country to become a world champion to end the debate about the biggest player in history despite losing Mbappe Hattrick F"&amp;"inal to win the Golden Boot")</f>
        <v>Congratulations Argentina World Champion defeated France with a penalty shootout in The Greatest Final Ever Messi finally brought his country to become a world champion to end the debate about the biggest player in history despite losing Mbappe Hattrick Final to win the Golden Boot</v>
      </c>
    </row>
    <row r="12093" ht="15.75" customHeight="1">
      <c r="A12093" s="1">
        <v>13359.0</v>
      </c>
      <c r="B12093" s="3" t="s">
        <v>34311</v>
      </c>
      <c r="C12093" s="3">
        <v>4.0</v>
      </c>
      <c r="D12093" s="3">
        <v>42.0</v>
      </c>
      <c r="E12093" s="3">
        <v>267.0</v>
      </c>
      <c r="F12093" s="3" t="s">
        <v>34312</v>
      </c>
      <c r="G12093" s="3">
        <v>1.0</v>
      </c>
      <c r="H12093" s="3">
        <v>1.0</v>
      </c>
      <c r="I12093" s="3" t="s">
        <v>48</v>
      </c>
      <c r="J12093" s="3" t="s">
        <v>34313</v>
      </c>
      <c r="K12093" s="3" t="s">
        <v>449</v>
      </c>
      <c r="L12093" s="3" t="str">
        <f>IFERROR(__xludf.DUMMYFUNCTION("GOOGLETRANSLATE(F12093,""id"",""en"")"),"Behind the success of a person there must be a mother always pray for and support him as well as her mother Messi cried emotion while hugging her beloved child after Argentina won the Greatest All Time World Cup championship")</f>
        <v>Behind the success of a person there must be a mother always pray for and support him as well as her mother Messi cried emotion while hugging her beloved child after Argentina won the Greatest All Time World Cup championship</v>
      </c>
    </row>
    <row r="12094" ht="15.75" customHeight="1">
      <c r="A12094" s="1">
        <v>13360.0</v>
      </c>
      <c r="B12094" s="3" t="s">
        <v>34314</v>
      </c>
      <c r="C12094" s="3">
        <v>0.0</v>
      </c>
      <c r="D12094" s="3">
        <v>0.0</v>
      </c>
      <c r="E12094" s="3">
        <v>3.0</v>
      </c>
      <c r="F12094" s="3" t="s">
        <v>34315</v>
      </c>
      <c r="G12094" s="3">
        <v>0.0</v>
      </c>
      <c r="H12094" s="3">
        <v>0.0</v>
      </c>
      <c r="I12094" s="3" t="s">
        <v>13</v>
      </c>
      <c r="J12094" s="3" t="s">
        <v>34316</v>
      </c>
      <c r="K12094" s="3" t="s">
        <v>41</v>
      </c>
      <c r="L12094" s="3" t="str">
        <f>IFERROR(__xludf.DUMMYFUNCTION("GOOGLETRANSLATE(F12094,""id"",""en"")"),"Lionel Messi Floods Records After Argentina World Cup Champion")</f>
        <v>Lionel Messi Floods Records After Argentina World Cup Champion</v>
      </c>
    </row>
    <row r="12095" ht="15.75" customHeight="1">
      <c r="A12095" s="1">
        <v>13361.0</v>
      </c>
      <c r="B12095" s="3" t="s">
        <v>34317</v>
      </c>
      <c r="C12095" s="3">
        <v>0.0</v>
      </c>
      <c r="D12095" s="3">
        <v>0.0</v>
      </c>
      <c r="E12095" s="3">
        <v>0.0</v>
      </c>
      <c r="F12095" s="3" t="s">
        <v>34318</v>
      </c>
      <c r="G12095" s="3">
        <v>0.0</v>
      </c>
      <c r="H12095" s="3">
        <v>0.0</v>
      </c>
      <c r="I12095" s="3" t="s">
        <v>13</v>
      </c>
      <c r="J12095" s="3" t="s">
        <v>34319</v>
      </c>
      <c r="K12095" s="3" t="s">
        <v>82</v>
      </c>
      <c r="L12095" s="3" t="str">
        <f>IFERROR(__xludf.DUMMYFUNCTION("GOOGLETRANSLATE(F12095,""id"",""en"")"),"Argentina Appears the World Cup Champion after the year")</f>
        <v>Argentina Appears the World Cup Champion after the year</v>
      </c>
    </row>
    <row r="12096" ht="15.75" customHeight="1">
      <c r="A12096" s="1">
        <v>13362.0</v>
      </c>
      <c r="B12096" s="3" t="s">
        <v>34320</v>
      </c>
      <c r="C12096" s="3">
        <v>1.0</v>
      </c>
      <c r="D12096" s="3">
        <v>1.0</v>
      </c>
      <c r="E12096" s="3">
        <v>31.0</v>
      </c>
      <c r="F12096" s="3" t="s">
        <v>34321</v>
      </c>
      <c r="G12096" s="3">
        <v>0.0</v>
      </c>
      <c r="H12096" s="3">
        <v>0.0</v>
      </c>
      <c r="I12096" s="3" t="s">
        <v>13</v>
      </c>
      <c r="J12096" s="3" t="s">
        <v>34322</v>
      </c>
      <c r="K12096" s="3" t="s">
        <v>510</v>
      </c>
      <c r="L12096" s="3" t="str">
        <f>IFERROR(__xludf.DUMMYFUNCTION("GOOGLETRANSLATE(F12096,""id"",""en"")"),"Qatar World Cup Neymar said Tahniah to Messi after Argentina appeared Stadium Astro champion")</f>
        <v>Qatar World Cup Neymar said Tahniah to Messi after Argentina appeared Stadium Astro champion</v>
      </c>
    </row>
    <row r="12097" ht="15.75" customHeight="1">
      <c r="A12097" s="1">
        <v>13363.0</v>
      </c>
      <c r="B12097" s="3" t="s">
        <v>34323</v>
      </c>
      <c r="C12097" s="3">
        <v>0.0</v>
      </c>
      <c r="D12097" s="3">
        <v>0.0</v>
      </c>
      <c r="E12097" s="3">
        <v>2.0</v>
      </c>
      <c r="F12097" s="3" t="s">
        <v>34324</v>
      </c>
      <c r="G12097" s="3">
        <v>0.0</v>
      </c>
      <c r="H12097" s="3">
        <v>0.0</v>
      </c>
      <c r="I12097" s="3" t="s">
        <v>13</v>
      </c>
      <c r="J12097" s="3" t="s">
        <v>34325</v>
      </c>
      <c r="K12097" s="3" t="s">
        <v>883</v>
      </c>
      <c r="L12097" s="3" t="str">
        <f>IFERROR(__xludf.DUMMYFUNCTION("GOOGLETRANSLATE(F12097,""id"",""en"")"),"Unique Facts Only Saudi Arabia can beat Argentina of the Qatar World Cup starting from the defeat and quote where Messi bless the champion and quote Messi here")</f>
        <v>Unique Facts Only Saudi Arabia can beat Argentina of the Qatar World Cup starting from the defeat and quote where Messi bless the champion and quote Messi here</v>
      </c>
    </row>
    <row r="12098" ht="15.75" customHeight="1">
      <c r="A12098" s="1">
        <v>13364.0</v>
      </c>
      <c r="B12098" s="3" t="s">
        <v>34326</v>
      </c>
      <c r="C12098" s="3">
        <v>0.0</v>
      </c>
      <c r="D12098" s="3">
        <v>0.0</v>
      </c>
      <c r="E12098" s="3">
        <v>0.0</v>
      </c>
      <c r="F12098" s="3" t="s">
        <v>34327</v>
      </c>
      <c r="G12098" s="3">
        <v>0.0</v>
      </c>
      <c r="H12098" s="3">
        <v>0.0</v>
      </c>
      <c r="I12098" s="3" t="s">
        <v>13</v>
      </c>
      <c r="J12098" s="3" t="s">
        <v>34328</v>
      </c>
      <c r="K12098" s="3" t="s">
        <v>123</v>
      </c>
      <c r="L12098" s="3" t="str">
        <f>IFERROR(__xludf.DUMMYFUNCTION("GOOGLETRANSLATE(F12098,""id"",""en"")"),"Buff Eva Elfie is the Dota Team Spirit Team and Tundra Champion and now Argentina wkwkw")</f>
        <v>Buff Eva Elfie is the Dota Team Spirit Team and Tundra Champion and now Argentina wkwkw</v>
      </c>
    </row>
    <row r="12099" ht="15.75" customHeight="1">
      <c r="A12099" s="1">
        <v>13365.0</v>
      </c>
      <c r="B12099" s="3" t="s">
        <v>34329</v>
      </c>
      <c r="C12099" s="3">
        <v>0.0</v>
      </c>
      <c r="D12099" s="3">
        <v>0.0</v>
      </c>
      <c r="E12099" s="3">
        <v>1.0</v>
      </c>
      <c r="F12099" s="3" t="s">
        <v>34330</v>
      </c>
      <c r="G12099" s="3">
        <v>0.0</v>
      </c>
      <c r="H12099" s="3">
        <v>0.0</v>
      </c>
      <c r="I12099" s="3" t="s">
        <v>13</v>
      </c>
      <c r="J12099" s="3" t="s">
        <v>34331</v>
      </c>
      <c r="K12099" s="3" t="s">
        <v>1265</v>
      </c>
      <c r="L12099" s="3" t="str">
        <f>IFERROR(__xludf.DUMMYFUNCTION("GOOGLETRANSLATE(F12099,""id"",""en"")"),"Is it crazy Argentina, this Copa America champion Champion Finalalizing Champion World Cup")</f>
        <v>Is it crazy Argentina, this Copa America champion Champion Finalalizing Champion World Cup</v>
      </c>
    </row>
    <row r="12100" ht="15.75" customHeight="1">
      <c r="A12100" s="1">
        <v>13366.0</v>
      </c>
      <c r="B12100" s="3" t="s">
        <v>34332</v>
      </c>
      <c r="C12100" s="3">
        <v>0.0</v>
      </c>
      <c r="D12100" s="3">
        <v>0.0</v>
      </c>
      <c r="E12100" s="3">
        <v>1.0</v>
      </c>
      <c r="F12100" s="3" t="s">
        <v>34333</v>
      </c>
      <c r="G12100" s="3">
        <v>0.0</v>
      </c>
      <c r="H12100" s="3">
        <v>0.0</v>
      </c>
      <c r="I12100" s="3" t="s">
        <v>13</v>
      </c>
      <c r="J12100" s="3" t="s">
        <v>34334</v>
      </c>
      <c r="K12100" s="3" t="s">
        <v>54</v>
      </c>
      <c r="L12100" s="3" t="str">
        <f>IFERROR(__xludf.DUMMYFUNCTION("GOOGLETRANSLATE(F12100,""id"",""en"")"),"Argentina Congratulation Champion Messi Retired Beautiful")</f>
        <v>Argentina Congratulation Champion Messi Retired Beautiful</v>
      </c>
    </row>
    <row r="12101" ht="15.75" customHeight="1">
      <c r="A12101" s="1">
        <v>13367.0</v>
      </c>
      <c r="B12101" s="3" t="s">
        <v>34335</v>
      </c>
      <c r="C12101" s="3">
        <v>1.0</v>
      </c>
      <c r="D12101" s="3">
        <v>4.0</v>
      </c>
      <c r="E12101" s="3">
        <v>56.0</v>
      </c>
      <c r="F12101" s="3" t="s">
        <v>34336</v>
      </c>
      <c r="G12101" s="3">
        <v>0.5</v>
      </c>
      <c r="H12101" s="3">
        <v>0.0</v>
      </c>
      <c r="I12101" s="3" t="s">
        <v>13</v>
      </c>
      <c r="J12101" s="3" t="s">
        <v>34337</v>
      </c>
      <c r="K12101" s="3" t="s">
        <v>71</v>
      </c>
      <c r="L12101" s="3" t="str">
        <f>IFERROR(__xludf.DUMMYFUNCTION("GOOGLETRANSLATE(F12101,""id"",""en"")"),"MORNINGGG MONDAY OPEN VCS PAID SERVE SERVICE AGNE AGNE WORLD WINS WINS")</f>
        <v>MORNINGGG MONDAY OPEN VCS PAID SERVE SERVICE AGNE AGNE WORLD WINS WINS</v>
      </c>
    </row>
    <row r="12102" ht="15.75" customHeight="1">
      <c r="A12102" s="1">
        <v>13369.0</v>
      </c>
      <c r="B12102" s="3" t="s">
        <v>34338</v>
      </c>
      <c r="C12102" s="3">
        <v>0.0</v>
      </c>
      <c r="D12102" s="3">
        <v>0.0</v>
      </c>
      <c r="E12102" s="3">
        <v>0.0</v>
      </c>
      <c r="F12102" s="3" t="s">
        <v>33435</v>
      </c>
      <c r="G12102" s="3">
        <v>0.0</v>
      </c>
      <c r="H12102" s="3">
        <v>0.0</v>
      </c>
      <c r="I12102" s="3" t="s">
        <v>13</v>
      </c>
      <c r="J12102" s="3" t="s">
        <v>33436</v>
      </c>
      <c r="K12102" s="3" t="s">
        <v>75</v>
      </c>
      <c r="L12102" s="3" t="str">
        <f>IFERROR(__xludf.DUMMYFUNCTION("GOOGLETRANSLATE(F12102,""id"",""en"")"),"Argentina Champion World Cup after defeating France through a penalty shootout via")</f>
        <v>Argentina Champion World Cup after defeating France through a penalty shootout via</v>
      </c>
    </row>
    <row r="12103" ht="15.75" customHeight="1">
      <c r="A12103" s="1">
        <v>13370.0</v>
      </c>
      <c r="B12103" s="3" t="s">
        <v>34339</v>
      </c>
      <c r="C12103" s="3">
        <v>0.0</v>
      </c>
      <c r="D12103" s="3">
        <v>0.0</v>
      </c>
      <c r="E12103" s="3">
        <v>0.0</v>
      </c>
      <c r="F12103" s="3" t="s">
        <v>34340</v>
      </c>
      <c r="G12103" s="3">
        <v>0.0</v>
      </c>
      <c r="H12103" s="3">
        <v>0.0</v>
      </c>
      <c r="I12103" s="3" t="s">
        <v>13</v>
      </c>
      <c r="J12103" s="3" t="s">
        <v>34341</v>
      </c>
      <c r="K12103" s="3" t="s">
        <v>236</v>
      </c>
      <c r="L12103" s="3" t="str">
        <f>IFERROR(__xludf.DUMMYFUNCTION("GOOGLETRANSLATE(F12103,""id"",""en"")"),"Where is the contents of the BTW Congrats Argentina World Cup as World Champion")</f>
        <v>Where is the contents of the BTW Congrats Argentina World Cup as World Champion</v>
      </c>
    </row>
    <row r="12104" ht="15.75" customHeight="1">
      <c r="A12104" s="1">
        <v>13371.0</v>
      </c>
      <c r="B12104" s="3" t="s">
        <v>34342</v>
      </c>
      <c r="C12104" s="3">
        <v>0.0</v>
      </c>
      <c r="D12104" s="3">
        <v>0.0</v>
      </c>
      <c r="E12104" s="3">
        <v>0.0</v>
      </c>
      <c r="F12104" s="3" t="s">
        <v>34343</v>
      </c>
      <c r="G12104" s="3">
        <v>0.0</v>
      </c>
      <c r="H12104" s="3">
        <v>0.0</v>
      </c>
      <c r="I12104" s="3" t="s">
        <v>13</v>
      </c>
      <c r="J12104" s="3" t="s">
        <v>34344</v>
      </c>
      <c r="K12104" s="3" t="s">
        <v>31</v>
      </c>
      <c r="L12104" s="3" t="str">
        <f>IFERROR(__xludf.DUMMYFUNCTION("GOOGLETRANSLATE(F12104,""id"",""en"")"),"Argentina Qatar World Cup Champion")</f>
        <v>Argentina Qatar World Cup Champion</v>
      </c>
    </row>
    <row r="12105" ht="15.75" customHeight="1">
      <c r="A12105" s="1">
        <v>13372.0</v>
      </c>
      <c r="B12105" s="3" t="s">
        <v>34345</v>
      </c>
      <c r="C12105" s="3">
        <v>0.0</v>
      </c>
      <c r="D12105" s="3">
        <v>0.0</v>
      </c>
      <c r="E12105" s="3">
        <v>1.0</v>
      </c>
      <c r="F12105" s="3" t="s">
        <v>34346</v>
      </c>
      <c r="G12105" s="3">
        <v>0.6499999999999999</v>
      </c>
      <c r="H12105" s="3">
        <v>0.15</v>
      </c>
      <c r="I12105" s="3" t="s">
        <v>48</v>
      </c>
      <c r="J12105" s="3" t="s">
        <v>34347</v>
      </c>
      <c r="K12105" s="3" t="s">
        <v>11161</v>
      </c>
      <c r="L12105" s="3" t="str">
        <f>IFERROR(__xludf.DUMMYFUNCTION("GOOGLETRANSLATE(F12105,""id"",""en"")"),"TLH World Cup After Argentina the champion won the penalty shootout after the normal round of Argentina got a prize of young players of the best French player to get the top scorer on a national scale.")</f>
        <v>TLH World Cup After Argentina the champion won the penalty shootout after the normal round of Argentina got a prize of young players of the best French player to get the top scorer on a national scale.</v>
      </c>
    </row>
    <row r="12106" ht="15.75" customHeight="1">
      <c r="A12106" s="1">
        <v>13373.0</v>
      </c>
      <c r="B12106" s="3" t="s">
        <v>34348</v>
      </c>
      <c r="C12106" s="3">
        <v>0.0</v>
      </c>
      <c r="D12106" s="3">
        <v>0.0</v>
      </c>
      <c r="E12106" s="3">
        <v>0.0</v>
      </c>
      <c r="F12106" s="3" t="s">
        <v>34349</v>
      </c>
      <c r="G12106" s="3">
        <v>0.0</v>
      </c>
      <c r="H12106" s="3">
        <v>0.0</v>
      </c>
      <c r="I12106" s="3" t="s">
        <v>13</v>
      </c>
      <c r="J12106" s="3" t="s">
        <v>34350</v>
      </c>
      <c r="K12106" s="3" t="s">
        <v>82</v>
      </c>
      <c r="L12106" s="3" t="str">
        <f>IFERROR(__xludf.DUMMYFUNCTION("GOOGLETRANSLATE(F12106,""id"",""en"")"),"Argentina Mbappe GPP France, but the champion of my heart")</f>
        <v>Argentina Mbappe GPP France, but the champion of my heart</v>
      </c>
    </row>
    <row r="12107" ht="15.75" customHeight="1">
      <c r="A12107" s="1">
        <v>13374.0</v>
      </c>
      <c r="B12107" s="3" t="s">
        <v>34351</v>
      </c>
      <c r="C12107" s="3">
        <v>0.0</v>
      </c>
      <c r="D12107" s="3">
        <v>0.0</v>
      </c>
      <c r="E12107" s="3">
        <v>0.0</v>
      </c>
      <c r="F12107" s="3" t="s">
        <v>34352</v>
      </c>
      <c r="G12107" s="3">
        <v>0.0</v>
      </c>
      <c r="H12107" s="3">
        <v>0.0</v>
      </c>
      <c r="I12107" s="3" t="s">
        <v>13</v>
      </c>
      <c r="J12107" s="3" t="s">
        <v>34353</v>
      </c>
      <c r="K12107" s="3" t="s">
        <v>82</v>
      </c>
      <c r="L12107" s="3" t="str">
        <f>IFERROR(__xludf.DUMMYFUNCTION("GOOGLETRANSLATE(F12107,""id"",""en"")"),"Argentina World Cup Champion Pocket Billion Prizes")</f>
        <v>Argentina World Cup Champion Pocket Billion Prizes</v>
      </c>
    </row>
    <row r="12108" ht="15.75" customHeight="1">
      <c r="A12108" s="1">
        <v>13375.0</v>
      </c>
      <c r="B12108" s="3" t="s">
        <v>34354</v>
      </c>
      <c r="C12108" s="3">
        <v>0.0</v>
      </c>
      <c r="D12108" s="3">
        <v>0.0</v>
      </c>
      <c r="E12108" s="3">
        <v>0.0</v>
      </c>
      <c r="F12108" s="3" t="s">
        <v>34355</v>
      </c>
      <c r="G12108" s="3">
        <v>0.3333333333333333</v>
      </c>
      <c r="H12108" s="3">
        <v>0.1666666666666667</v>
      </c>
      <c r="I12108" s="3" t="s">
        <v>48</v>
      </c>
      <c r="J12108" s="3" t="s">
        <v>34356</v>
      </c>
      <c r="K12108" s="3" t="s">
        <v>2146</v>
      </c>
      <c r="L12108" s="3" t="str">
        <f>IFERROR(__xludf.DUMMYFUNCTION("GOOGLETRANSLATE(F12108,""id"",""en"")"),"The responsibility of Woi because of France loses to be the problem because of the guesses of you Argentina to become the usual champion playing dolls and now suddenly Sipaling understands the ball like this, the results are better to find info selling sh"&amp;"y veins")</f>
        <v>The responsibility of Woi because of France loses to be the problem because of the guesses of you Argentina to become the usual champion playing dolls and now suddenly Sipaling understands the ball like this, the results are better to find info selling shy veins</v>
      </c>
    </row>
    <row r="12109" ht="15.75" customHeight="1">
      <c r="A12109" s="1">
        <v>13376.0</v>
      </c>
      <c r="B12109" s="3" t="s">
        <v>34357</v>
      </c>
      <c r="C12109" s="3">
        <v>0.0</v>
      </c>
      <c r="D12109" s="3">
        <v>0.0</v>
      </c>
      <c r="E12109" s="3">
        <v>0.0</v>
      </c>
      <c r="F12109" s="3" t="s">
        <v>34358</v>
      </c>
      <c r="G12109" s="3">
        <v>0.0</v>
      </c>
      <c r="H12109" s="3">
        <v>0.0</v>
      </c>
      <c r="I12109" s="3" t="s">
        <v>13</v>
      </c>
      <c r="J12109" s="3" t="s">
        <v>34359</v>
      </c>
      <c r="K12109" s="3" t="s">
        <v>15</v>
      </c>
      <c r="L12109" s="3" t="str">
        <f>IFERROR(__xludf.DUMMYFUNCTION("GOOGLETRANSLATE(F12109,""id"",""en"")"),"Argentina The champion actually became you like you like Messi")</f>
        <v>Argentina The champion actually became you like you like Messi</v>
      </c>
    </row>
    <row r="12110" ht="15.75" customHeight="1">
      <c r="A12110" s="1">
        <v>13377.0</v>
      </c>
      <c r="B12110" s="3" t="s">
        <v>34360</v>
      </c>
      <c r="C12110" s="3">
        <v>0.0</v>
      </c>
      <c r="D12110" s="3">
        <v>0.0</v>
      </c>
      <c r="E12110" s="3">
        <v>1.0</v>
      </c>
      <c r="F12110" s="3" t="s">
        <v>34361</v>
      </c>
      <c r="G12110" s="3">
        <v>0.0</v>
      </c>
      <c r="H12110" s="3">
        <v>0.0</v>
      </c>
      <c r="I12110" s="3" t="s">
        <v>13</v>
      </c>
      <c r="J12110" s="3" t="s">
        <v>34362</v>
      </c>
      <c r="K12110" s="3" t="s">
        <v>75</v>
      </c>
      <c r="L12110" s="3" t="str">
        <f>IFERROR(__xludf.DUMMYFUNCTION("GOOGLETRANSLATE(F12110,""id"",""en"")"),"Spain lost the first match finally the world champion was the same as Argentina")</f>
        <v>Spain lost the first match finally the world champion was the same as Argentina</v>
      </c>
    </row>
    <row r="12111" ht="15.75" customHeight="1">
      <c r="A12111" s="1">
        <v>13378.0</v>
      </c>
      <c r="B12111" s="3" t="s">
        <v>34363</v>
      </c>
      <c r="C12111" s="3">
        <v>0.0</v>
      </c>
      <c r="D12111" s="3">
        <v>0.0</v>
      </c>
      <c r="E12111" s="3">
        <v>0.0</v>
      </c>
      <c r="F12111" s="3" t="s">
        <v>34364</v>
      </c>
      <c r="G12111" s="3">
        <v>0.0</v>
      </c>
      <c r="H12111" s="3">
        <v>0.0</v>
      </c>
      <c r="I12111" s="3" t="s">
        <v>13</v>
      </c>
      <c r="J12111" s="3" t="s">
        <v>34365</v>
      </c>
      <c r="K12111" s="3" t="s">
        <v>510</v>
      </c>
      <c r="L12111" s="3" t="str">
        <f>IFERROR(__xludf.DUMMYFUNCTION("GOOGLETRANSLATE(F12111,""id"",""en"")"),"All countries want to be like Argentina World Cup champions are paraded on the road of Qatar and Dielu Eluukan")</f>
        <v>All countries want to be like Argentina World Cup champions are paraded on the road of Qatar and Dielu Eluukan</v>
      </c>
    </row>
    <row r="12112" ht="15.75" customHeight="1">
      <c r="A12112" s="1">
        <v>13379.0</v>
      </c>
      <c r="B12112" s="3" t="s">
        <v>34366</v>
      </c>
      <c r="C12112" s="3">
        <v>0.0</v>
      </c>
      <c r="D12112" s="3">
        <v>0.0</v>
      </c>
      <c r="E12112" s="3">
        <v>0.0</v>
      </c>
      <c r="F12112" s="3" t="s">
        <v>23405</v>
      </c>
      <c r="G12112" s="3">
        <v>0.0</v>
      </c>
      <c r="H12112" s="3">
        <v>0.0</v>
      </c>
      <c r="I12112" s="3" t="s">
        <v>13</v>
      </c>
      <c r="J12112" s="3" t="s">
        <v>23406</v>
      </c>
      <c r="K12112" s="3" t="s">
        <v>2117</v>
      </c>
      <c r="L12112" s="3" t="str">
        <f>IFERROR(__xludf.DUMMYFUNCTION("GOOGLETRANSLATE(F12112,""id"",""en"")"),"Argentine world champion")</f>
        <v>Argentine world champion</v>
      </c>
    </row>
    <row r="12113" ht="15.75" customHeight="1">
      <c r="A12113" s="1">
        <v>13380.0</v>
      </c>
      <c r="B12113" s="3" t="s">
        <v>34367</v>
      </c>
      <c r="C12113" s="3">
        <v>0.0</v>
      </c>
      <c r="D12113" s="3">
        <v>0.0</v>
      </c>
      <c r="E12113" s="3">
        <v>0.0</v>
      </c>
      <c r="F12113" s="3" t="s">
        <v>34368</v>
      </c>
      <c r="G12113" s="3">
        <v>0.0</v>
      </c>
      <c r="H12113" s="3">
        <v>0.0</v>
      </c>
      <c r="I12113" s="3" t="s">
        <v>13</v>
      </c>
      <c r="J12113" s="3" t="s">
        <v>34369</v>
      </c>
      <c r="K12113" s="3" t="s">
        <v>54</v>
      </c>
      <c r="L12113" s="3" t="str">
        <f>IFERROR(__xludf.DUMMYFUNCTION("GOOGLETRANSLATE(F12113,""id"",""en"")"),"I can't sleep, this is really Argentina.")</f>
        <v>I can't sleep, this is really Argentina.</v>
      </c>
    </row>
    <row r="12114" ht="15.75" customHeight="1">
      <c r="A12114" s="1">
        <v>13381.0</v>
      </c>
      <c r="B12114" s="3" t="s">
        <v>34370</v>
      </c>
      <c r="C12114" s="3">
        <v>0.0</v>
      </c>
      <c r="D12114" s="3">
        <v>0.0</v>
      </c>
      <c r="E12114" s="3">
        <v>0.0</v>
      </c>
      <c r="F12114" s="3" t="s">
        <v>34371</v>
      </c>
      <c r="G12114" s="3">
        <v>0.0</v>
      </c>
      <c r="H12114" s="3">
        <v>0.0</v>
      </c>
      <c r="I12114" s="3" t="s">
        <v>13</v>
      </c>
      <c r="J12114" s="3" t="s">
        <v>34372</v>
      </c>
      <c r="K12114" s="3" t="s">
        <v>15</v>
      </c>
      <c r="L12114" s="3" t="str">
        <f>IFERROR(__xludf.DUMMYFUNCTION("GOOGLETRANSLATE(F12114,""id"",""en"")"),"star players who made Argentina won the World Cup")</f>
        <v>star players who made Argentina won the World Cup</v>
      </c>
    </row>
    <row r="12115" ht="15.75" customHeight="1">
      <c r="A12115" s="1">
        <v>13382.0</v>
      </c>
      <c r="B12115" s="3" t="s">
        <v>34373</v>
      </c>
      <c r="C12115" s="3">
        <v>0.0</v>
      </c>
      <c r="D12115" s="3">
        <v>0.0</v>
      </c>
      <c r="E12115" s="3">
        <v>0.0</v>
      </c>
      <c r="F12115" s="3" t="s">
        <v>34374</v>
      </c>
      <c r="G12115" s="3">
        <v>0.0</v>
      </c>
      <c r="H12115" s="3">
        <v>0.0</v>
      </c>
      <c r="I12115" s="3" t="s">
        <v>13</v>
      </c>
      <c r="J12115" s="3" t="s">
        <v>34375</v>
      </c>
      <c r="K12115" s="3" t="s">
        <v>244</v>
      </c>
      <c r="L12115" s="3" t="str">
        <f>IFERROR(__xludf.DUMMYFUNCTION("GOOGLETRANSLATE(F12115,""id"",""en"")"),"No wonder from the beginning of the Argentina defense phase, the championship turned out to have been feeling the championship")</f>
        <v>No wonder from the beginning of the Argentina defense phase, the championship turned out to have been feeling the championship</v>
      </c>
    </row>
    <row r="12116" ht="15.75" customHeight="1">
      <c r="A12116" s="1">
        <v>13383.0</v>
      </c>
      <c r="B12116" s="3" t="s">
        <v>34376</v>
      </c>
      <c r="C12116" s="3">
        <v>0.0</v>
      </c>
      <c r="D12116" s="3">
        <v>0.0</v>
      </c>
      <c r="E12116" s="3">
        <v>0.0</v>
      </c>
      <c r="F12116" s="3" t="s">
        <v>34377</v>
      </c>
      <c r="G12116" s="3">
        <v>0.0</v>
      </c>
      <c r="H12116" s="3">
        <v>0.0</v>
      </c>
      <c r="I12116" s="3" t="s">
        <v>13</v>
      </c>
      <c r="J12116" s="3" t="s">
        <v>34378</v>
      </c>
      <c r="K12116" s="3" t="s">
        <v>1349</v>
      </c>
      <c r="L12116" s="3" t="str">
        <f>IFERROR(__xludf.DUMMYFUNCTION("GOOGLETRANSLATE(F12116,""id"",""en"")"),"Argentina's journey for the copy is not easy because they have to defeat the Copa America champion champion Uero and the champion of the Pilduun is not a can of cans")</f>
        <v>Argentina's journey for the copy is not easy because they have to defeat the Copa America champion champion Uero and the champion of the Pilduun is not a can of cans</v>
      </c>
    </row>
    <row r="12117" ht="15.75" customHeight="1">
      <c r="A12117" s="1">
        <v>13384.0</v>
      </c>
      <c r="B12117" s="3" t="s">
        <v>34379</v>
      </c>
      <c r="C12117" s="3">
        <v>0.0</v>
      </c>
      <c r="D12117" s="3">
        <v>0.0</v>
      </c>
      <c r="E12117" s="3">
        <v>0.0</v>
      </c>
      <c r="F12117" s="3" t="s">
        <v>34380</v>
      </c>
      <c r="G12117" s="3">
        <v>0.0</v>
      </c>
      <c r="H12117" s="3">
        <v>0.0</v>
      </c>
      <c r="I12117" s="3" t="s">
        <v>13</v>
      </c>
      <c r="J12117" s="3" t="s">
        <v>34381</v>
      </c>
      <c r="K12117" s="3" t="s">
        <v>41</v>
      </c>
      <c r="L12117" s="3" t="str">
        <f>IFERROR(__xludf.DUMMYFUNCTION("GOOGLETRANSLATE(F12117,""id"",""en"")"),"Proud of being able to defeat Argentina he means the champion of the Arabic pildun bang")</f>
        <v>Proud of being able to defeat Argentina he means the champion of the Arabic pildun bang</v>
      </c>
    </row>
    <row r="12118" ht="15.75" customHeight="1">
      <c r="A12118" s="1">
        <v>13385.0</v>
      </c>
      <c r="B12118" s="3" t="s">
        <v>34382</v>
      </c>
      <c r="C12118" s="3">
        <v>0.0</v>
      </c>
      <c r="D12118" s="3">
        <v>0.0</v>
      </c>
      <c r="E12118" s="3">
        <v>0.0</v>
      </c>
      <c r="F12118" s="3" t="s">
        <v>34383</v>
      </c>
      <c r="G12118" s="3">
        <v>0.0</v>
      </c>
      <c r="H12118" s="3">
        <v>0.0</v>
      </c>
      <c r="I12118" s="3" t="s">
        <v>13</v>
      </c>
      <c r="J12118" s="3" t="s">
        <v>34384</v>
      </c>
      <c r="K12118" s="3" t="s">
        <v>27669</v>
      </c>
      <c r="L12118" s="3" t="str">
        <f>IFERROR(__xludf.DUMMYFUNCTION("GOOGLETRANSLATE(F12118,""id"",""en"")"),"World Cup Champion World Cup Champion World Cup Champion Scores a New Record Hopefully But Promise Not Using Gas Tear Grows")</f>
        <v>World Cup Champion World Cup Champion World Cup Champion Scores a New Record Hopefully But Promise Not Using Gas Tear Grows</v>
      </c>
    </row>
    <row r="12119" ht="15.75" customHeight="1">
      <c r="A12119" s="1">
        <v>13386.0</v>
      </c>
      <c r="B12119" s="3" t="s">
        <v>34385</v>
      </c>
      <c r="C12119" s="3">
        <v>0.0</v>
      </c>
      <c r="D12119" s="3">
        <v>0.0</v>
      </c>
      <c r="E12119" s="3">
        <v>0.0</v>
      </c>
      <c r="F12119" s="3" t="s">
        <v>34386</v>
      </c>
      <c r="G12119" s="3">
        <v>0.0</v>
      </c>
      <c r="H12119" s="3">
        <v>0.0</v>
      </c>
      <c r="I12119" s="3" t="s">
        <v>13</v>
      </c>
      <c r="J12119" s="3" t="s">
        <v>34387</v>
      </c>
      <c r="K12119" s="3" t="s">
        <v>15</v>
      </c>
      <c r="L12119" s="3" t="str">
        <f>IFERROR(__xludf.DUMMYFUNCTION("GOOGLETRANSLATE(F12119,""id"",""en"")"),"Bete anyway France lost Argentina with the right to win with Messi")</f>
        <v>Bete anyway France lost Argentina with the right to win with Messi</v>
      </c>
    </row>
    <row r="12120" ht="15.75" customHeight="1">
      <c r="A12120" s="1">
        <v>13387.0</v>
      </c>
      <c r="B12120" s="3" t="s">
        <v>34388</v>
      </c>
      <c r="C12120" s="3">
        <v>2.0</v>
      </c>
      <c r="D12120" s="3">
        <v>0.0</v>
      </c>
      <c r="E12120" s="3">
        <v>2.0</v>
      </c>
      <c r="F12120" s="3" t="s">
        <v>34389</v>
      </c>
      <c r="G12120" s="3">
        <v>1.0</v>
      </c>
      <c r="H12120" s="3">
        <v>0.0</v>
      </c>
      <c r="I12120" s="3" t="s">
        <v>13</v>
      </c>
      <c r="J12120" s="3" t="s">
        <v>34390</v>
      </c>
      <c r="K12120" s="3" t="s">
        <v>467</v>
      </c>
      <c r="L12120" s="3" t="str">
        <f>IFERROR(__xludf.DUMMYFUNCTION("GOOGLETRANSLATE(F12120,""id"",""en"")"),"PILDUN SETTING So Messi Champion KNP Settings Let Ronaldo who Champion Let the Drama KNP Settings Argentina Portugal Meet Final")</f>
        <v>PILDUN SETTING So Messi Champion KNP Settings Let Ronaldo who Champion Let the Drama KNP Settings Argentina Portugal Meet Final</v>
      </c>
    </row>
    <row r="12121" ht="15.75" customHeight="1">
      <c r="A12121" s="1">
        <v>13388.0</v>
      </c>
      <c r="B12121" s="3" t="s">
        <v>34391</v>
      </c>
      <c r="C12121" s="3">
        <v>0.0</v>
      </c>
      <c r="D12121" s="3">
        <v>0.0</v>
      </c>
      <c r="E12121" s="3">
        <v>0.0</v>
      </c>
      <c r="F12121" s="3" t="s">
        <v>34392</v>
      </c>
      <c r="G12121" s="3">
        <v>0.0</v>
      </c>
      <c r="H12121" s="3">
        <v>0.0</v>
      </c>
      <c r="I12121" s="3" t="s">
        <v>13</v>
      </c>
      <c r="J12121" s="3" t="s">
        <v>34393</v>
      </c>
      <c r="K12121" s="3" t="s">
        <v>31</v>
      </c>
      <c r="L12121" s="3" t="str">
        <f>IFERROR(__xludf.DUMMYFUNCTION("GOOGLETRANSLATE(F12121,""id"",""en"")"),"the Argentina champion who was hot Ronaldo")</f>
        <v>the Argentina champion who was hot Ronaldo</v>
      </c>
    </row>
    <row r="12122" ht="15.75" customHeight="1">
      <c r="A12122" s="1">
        <v>13389.0</v>
      </c>
      <c r="B12122" s="3" t="s">
        <v>34394</v>
      </c>
      <c r="C12122" s="3">
        <v>0.0</v>
      </c>
      <c r="D12122" s="3">
        <v>0.0</v>
      </c>
      <c r="E12122" s="3">
        <v>0.0</v>
      </c>
      <c r="F12122" s="3" t="s">
        <v>34395</v>
      </c>
      <c r="G12122" s="3">
        <v>0.0</v>
      </c>
      <c r="H12122" s="3">
        <v>0.0</v>
      </c>
      <c r="I12122" s="3" t="s">
        <v>13</v>
      </c>
      <c r="J12122" s="3" t="s">
        <v>34396</v>
      </c>
      <c r="K12122" s="3" t="s">
        <v>82</v>
      </c>
      <c r="L12122" s="3" t="str">
        <f>IFERROR(__xludf.DUMMYFUNCTION("GOOGLETRANSLATE(F12122,""id"",""en"")"),"defeating Croatia Surely the French World Cup champion Argentina")</f>
        <v>defeating Croatia Surely the French World Cup champion Argentina</v>
      </c>
    </row>
    <row r="12123" ht="15.75" customHeight="1">
      <c r="A12123" s="1">
        <v>13390.0</v>
      </c>
      <c r="B12123" s="3" t="s">
        <v>34397</v>
      </c>
      <c r="C12123" s="3">
        <v>0.0</v>
      </c>
      <c r="D12123" s="3">
        <v>0.0</v>
      </c>
      <c r="E12123" s="3">
        <v>0.0</v>
      </c>
      <c r="F12123" s="3" t="s">
        <v>34398</v>
      </c>
      <c r="G12123" s="3">
        <v>0.0</v>
      </c>
      <c r="H12123" s="3">
        <v>0.0</v>
      </c>
      <c r="I12123" s="3" t="s">
        <v>13</v>
      </c>
      <c r="J12123" s="3" t="s">
        <v>34399</v>
      </c>
      <c r="K12123" s="3" t="s">
        <v>71</v>
      </c>
      <c r="L12123" s="3" t="str">
        <f>IFERROR(__xludf.DUMMYFUNCTION("GOOGLETRANSLATE(F12123,""id"",""en"")"),"Portuguese squad is more stars and expensive Darri Argentina but Messi is able to prove that he can lead his squad for champions")</f>
        <v>Portuguese squad is more stars and expensive Darri Argentina but Messi is able to prove that he can lead his squad for champions</v>
      </c>
    </row>
    <row r="12124" ht="15.75" customHeight="1">
      <c r="A12124" s="1">
        <v>13391.0</v>
      </c>
      <c r="B12124" s="3" t="s">
        <v>34400</v>
      </c>
      <c r="C12124" s="3">
        <v>0.0</v>
      </c>
      <c r="D12124" s="3">
        <v>0.0</v>
      </c>
      <c r="E12124" s="3">
        <v>0.0</v>
      </c>
      <c r="F12124" s="3" t="s">
        <v>34401</v>
      </c>
      <c r="G12124" s="3">
        <v>1.0</v>
      </c>
      <c r="H12124" s="3">
        <v>0.0</v>
      </c>
      <c r="I12124" s="3" t="s">
        <v>13</v>
      </c>
      <c r="J12124" s="3" t="s">
        <v>34402</v>
      </c>
      <c r="K12124" s="3" t="s">
        <v>910</v>
      </c>
      <c r="L12124" s="3" t="str">
        <f>IFERROR(__xludf.DUMMYFUNCTION("GOOGLETRANSLATE(F12124,""id"",""en"")"),"lost at the beginning of the champion at the end of Congratulation for Argentina Finally, one of my heroes despite Brazil's first choice, but in my heart I really wanted to be Argentina who might be a farewell gift for Messi if this was the last time")</f>
        <v>lost at the beginning of the champion at the end of Congratulation for Argentina Finally, one of my heroes despite Brazil's first choice, but in my heart I really wanted to be Argentina who might be a farewell gift for Messi if this was the last time</v>
      </c>
    </row>
    <row r="12125" ht="15.75" customHeight="1">
      <c r="A12125" s="1">
        <v>13392.0</v>
      </c>
      <c r="B12125" s="3" t="s">
        <v>34403</v>
      </c>
      <c r="C12125" s="3">
        <v>0.0</v>
      </c>
      <c r="D12125" s="3">
        <v>0.0</v>
      </c>
      <c r="E12125" s="3">
        <v>2.0</v>
      </c>
      <c r="F12125" s="3" t="s">
        <v>34404</v>
      </c>
      <c r="G12125" s="3">
        <v>0.0</v>
      </c>
      <c r="H12125" s="3">
        <v>0.0</v>
      </c>
      <c r="I12125" s="3" t="s">
        <v>13</v>
      </c>
      <c r="J12125" s="3" t="s">
        <v>34405</v>
      </c>
      <c r="K12125" s="3" t="s">
        <v>1366</v>
      </c>
      <c r="L12125" s="3" t="str">
        <f>IFERROR(__xludf.DUMMYFUNCTION("GOOGLETRANSLATE(F12125,""id"",""en"")"),"From the beginning the world championship formula was always the same as the golden gold SDG team no doubt Argentina was having the peak career of Messi Maria France had through its generation Welcome to the Italian golden generation, not to pass Argentin"&amp;"a again")</f>
        <v>From the beginning the world championship formula was always the same as the golden gold SDG team no doubt Argentina was having the peak career of Messi Maria France had through its generation Welcome to the Italian golden generation, not to pass Argentina again</v>
      </c>
    </row>
    <row r="12126" ht="15.75" customHeight="1">
      <c r="A12126" s="1">
        <v>13393.0</v>
      </c>
      <c r="B12126" s="3" t="s">
        <v>34406</v>
      </c>
      <c r="C12126" s="3">
        <v>0.0</v>
      </c>
      <c r="D12126" s="3">
        <v>0.0</v>
      </c>
      <c r="E12126" s="3">
        <v>1.0</v>
      </c>
      <c r="F12126" s="3" t="s">
        <v>33764</v>
      </c>
      <c r="G12126" s="3">
        <v>0.0</v>
      </c>
      <c r="H12126" s="3">
        <v>0.0</v>
      </c>
      <c r="I12126" s="3" t="s">
        <v>13</v>
      </c>
      <c r="J12126" s="3" t="s">
        <v>33765</v>
      </c>
      <c r="K12126" s="3" t="s">
        <v>41</v>
      </c>
      <c r="L12126" s="3" t="str">
        <f>IFERROR(__xludf.DUMMYFUNCTION("GOOGLETRANSLATE(F12126,""id"",""en"")"),"Lionel Messi Incidences History for Argentina After our Fasting Year World Champion")</f>
        <v>Lionel Messi Incidences History for Argentina After our Fasting Year World Champion</v>
      </c>
    </row>
    <row r="12127" ht="15.75" customHeight="1">
      <c r="A12127" s="1">
        <v>13394.0</v>
      </c>
      <c r="B12127" s="3" t="s">
        <v>34407</v>
      </c>
      <c r="C12127" s="3">
        <v>1.0</v>
      </c>
      <c r="D12127" s="3">
        <v>0.0</v>
      </c>
      <c r="E12127" s="3">
        <v>0.0</v>
      </c>
      <c r="F12127" s="3" t="s">
        <v>34408</v>
      </c>
      <c r="G12127" s="3">
        <v>0.0</v>
      </c>
      <c r="H12127" s="3">
        <v>0.0</v>
      </c>
      <c r="I12127" s="3" t="s">
        <v>13</v>
      </c>
      <c r="J12127" s="3" t="s">
        <v>34409</v>
      </c>
      <c r="K12127" s="3" t="s">
        <v>1265</v>
      </c>
      <c r="L12127" s="3" t="str">
        <f>IFERROR(__xludf.DUMMYFUNCTION("GOOGLETRANSLATE(F12127,""id"",""en"")"),"It was said that Argentina, who champions, there was a prediction from the sport from the beginning I already knew this prediction")</f>
        <v>It was said that Argentina, who champions, there was a prediction from the sport from the beginning I already knew this prediction</v>
      </c>
    </row>
    <row r="12128" ht="15.75" customHeight="1">
      <c r="A12128" s="1">
        <v>13395.0</v>
      </c>
      <c r="B12128" s="3" t="s">
        <v>34410</v>
      </c>
      <c r="C12128" s="3">
        <v>0.0</v>
      </c>
      <c r="D12128" s="3">
        <v>0.0</v>
      </c>
      <c r="E12128" s="3">
        <v>0.0</v>
      </c>
      <c r="F12128" s="3" t="s">
        <v>34411</v>
      </c>
      <c r="G12128" s="3">
        <v>0.0</v>
      </c>
      <c r="H12128" s="3">
        <v>0.0</v>
      </c>
      <c r="I12128" s="3" t="s">
        <v>13</v>
      </c>
      <c r="J12128" s="3" t="s">
        <v>34412</v>
      </c>
      <c r="K12128" s="3" t="s">
        <v>322</v>
      </c>
      <c r="L12128" s="3" t="str">
        <f>IFERROR(__xludf.DUMMYFUNCTION("GOOGLETRANSLATE(F12128,""id"",""en"")"),"that's not what it means that Argentina is champion")</f>
        <v>that's not what it means that Argentina is champion</v>
      </c>
    </row>
    <row r="12129" ht="15.75" customHeight="1">
      <c r="A12129" s="1">
        <v>13396.0</v>
      </c>
      <c r="B12129" s="3" t="s">
        <v>34413</v>
      </c>
      <c r="C12129" s="3">
        <v>1.0</v>
      </c>
      <c r="D12129" s="3">
        <v>0.0</v>
      </c>
      <c r="E12129" s="3">
        <v>0.0</v>
      </c>
      <c r="F12129" s="3" t="s">
        <v>34414</v>
      </c>
      <c r="G12129" s="3">
        <v>0.6000000000000001</v>
      </c>
      <c r="H12129" s="3">
        <v>0.7</v>
      </c>
      <c r="I12129" s="3" t="s">
        <v>48</v>
      </c>
      <c r="J12129" s="3" t="s">
        <v>34415</v>
      </c>
      <c r="K12129" s="3" t="s">
        <v>41</v>
      </c>
      <c r="L12129" s="3" t="str">
        <f>IFERROR(__xludf.DUMMYFUNCTION("GOOGLETRANSLATE(F12129,""id"",""en"")"),"Good Morning Monday congratulations for Argentina who won the World Cup")</f>
        <v>Good Morning Monday congratulations for Argentina who won the World Cup</v>
      </c>
    </row>
    <row r="12130" ht="15.75" customHeight="1">
      <c r="A12130" s="1">
        <v>13397.0</v>
      </c>
      <c r="B12130" s="3" t="s">
        <v>34416</v>
      </c>
      <c r="C12130" s="3">
        <v>0.0</v>
      </c>
      <c r="D12130" s="3">
        <v>0.0</v>
      </c>
      <c r="E12130" s="3">
        <v>0.0</v>
      </c>
      <c r="F12130" s="3" t="s">
        <v>34417</v>
      </c>
      <c r="G12130" s="3">
        <v>0.2</v>
      </c>
      <c r="H12130" s="3">
        <v>-0.1</v>
      </c>
      <c r="I12130" s="3" t="s">
        <v>179</v>
      </c>
      <c r="J12130" s="3" t="s">
        <v>34418</v>
      </c>
      <c r="K12130" s="3" t="s">
        <v>205</v>
      </c>
      <c r="L12130" s="3" t="str">
        <f>IFERROR(__xludf.DUMMYFUNCTION("GOOGLETRANSLATE(F12130,""id"",""en"")"),"Until this moment we could not join the soccer world cup like Argentina who became the champion this time not because we didn't have Lionnel Messi but that was what made the champion of the mental revolution, sir")</f>
        <v>Until this moment we could not join the soccer world cup like Argentina who became the champion this time not because we didn't have Lionnel Messi but that was what made the champion of the mental revolution, sir</v>
      </c>
    </row>
    <row r="12131" ht="15.75" customHeight="1">
      <c r="A12131" s="1">
        <v>13398.0</v>
      </c>
      <c r="B12131" s="3" t="s">
        <v>34419</v>
      </c>
      <c r="C12131" s="3">
        <v>0.0</v>
      </c>
      <c r="D12131" s="3">
        <v>0.0</v>
      </c>
      <c r="E12131" s="3">
        <v>0.0</v>
      </c>
      <c r="F12131" s="3" t="s">
        <v>34420</v>
      </c>
      <c r="G12131" s="3">
        <v>0.0</v>
      </c>
      <c r="H12131" s="3">
        <v>0.0</v>
      </c>
      <c r="I12131" s="3" t="s">
        <v>13</v>
      </c>
      <c r="J12131" s="3" t="s">
        <v>34421</v>
      </c>
      <c r="K12131" s="3" t="s">
        <v>236</v>
      </c>
      <c r="L12131" s="3" t="str">
        <f>IFERROR(__xludf.DUMMYFUNCTION("GOOGLETRANSLATE(F12131,""id"",""en"")"),"Argentina Champion Copa America and World Champion because Bernd Leno was injured")</f>
        <v>Argentina Champion Copa America and World Champion because Bernd Leno was injured</v>
      </c>
    </row>
    <row r="12132" ht="15.75" customHeight="1">
      <c r="A12132" s="1">
        <v>13399.0</v>
      </c>
      <c r="B12132" s="3" t="s">
        <v>34422</v>
      </c>
      <c r="C12132" s="3">
        <v>1.0</v>
      </c>
      <c r="D12132" s="3">
        <v>0.0</v>
      </c>
      <c r="E12132" s="3">
        <v>0.0</v>
      </c>
      <c r="F12132" s="3" t="s">
        <v>34423</v>
      </c>
      <c r="G12132" s="3">
        <v>1.0</v>
      </c>
      <c r="H12132" s="3">
        <v>0.0</v>
      </c>
      <c r="I12132" s="3" t="s">
        <v>13</v>
      </c>
      <c r="J12132" s="3" t="s">
        <v>34424</v>
      </c>
      <c r="K12132" s="3" t="s">
        <v>3245</v>
      </c>
      <c r="L12132" s="3" t="str">
        <f>IFERROR(__xludf.DUMMYFUNCTION("GOOGLETRANSLATE(F12132,""id"",""en"")"),"Initially watching Japanese games and then supporting the most big losing and then supporting Portugal into the final against Argentina lost when the final wanted France to win so that it was broken, he said the curse if the champion then couldn't be the "&amp;"champion again to lose")</f>
        <v>Initially watching Japanese games and then supporting the most big losing and then supporting Portugal into the final against Argentina lost when the final wanted France to win so that it was broken, he said the curse if the champion then couldn't be the champion again to lose</v>
      </c>
    </row>
    <row r="12133" ht="15.75" customHeight="1">
      <c r="A12133" s="1">
        <v>13400.0</v>
      </c>
      <c r="B12133" s="3" t="s">
        <v>34425</v>
      </c>
      <c r="C12133" s="3">
        <v>0.0</v>
      </c>
      <c r="D12133" s="3">
        <v>0.0</v>
      </c>
      <c r="E12133" s="3">
        <v>0.0</v>
      </c>
      <c r="F12133" s="3" t="s">
        <v>34426</v>
      </c>
      <c r="G12133" s="3">
        <v>0.0</v>
      </c>
      <c r="H12133" s="3">
        <v>0.0</v>
      </c>
      <c r="I12133" s="3" t="s">
        <v>13</v>
      </c>
      <c r="J12133" s="3" t="s">
        <v>34427</v>
      </c>
      <c r="K12133" s="3" t="s">
        <v>82</v>
      </c>
      <c r="L12133" s="3" t="str">
        <f>IFERROR(__xludf.DUMMYFUNCTION("GOOGLETRANSLATE(F12133,""id"",""en"")"),"Argentina Sleeping Sleep Champion was chased by Heuheuheu deadline")</f>
        <v>Argentina Sleeping Sleep Champion was chased by Heuheuheu deadline</v>
      </c>
    </row>
    <row r="12134" ht="15.75" customHeight="1">
      <c r="A12134" s="1">
        <v>13401.0</v>
      </c>
      <c r="B12134" s="3" t="s">
        <v>34428</v>
      </c>
      <c r="C12134" s="3">
        <v>1.0</v>
      </c>
      <c r="D12134" s="3">
        <v>1.0</v>
      </c>
      <c r="E12134" s="3">
        <v>6.0</v>
      </c>
      <c r="F12134" s="3" t="s">
        <v>34429</v>
      </c>
      <c r="G12134" s="3">
        <v>0.0</v>
      </c>
      <c r="H12134" s="3">
        <v>0.0</v>
      </c>
      <c r="I12134" s="3" t="s">
        <v>13</v>
      </c>
      <c r="J12134" s="3" t="s">
        <v>34430</v>
      </c>
      <c r="K12134" s="3" t="s">
        <v>348</v>
      </c>
      <c r="L12134" s="3" t="str">
        <f>IFERROR(__xludf.DUMMYFUNCTION("GOOGLETRANSLATE(F12134,""id"",""en"")"),"World Cup Recap Thread with Argentina came out as the official World Cup champion ended many stories that were kicked this edition here here are some things")</f>
        <v>World Cup Recap Thread with Argentina came out as the official World Cup champion ended many stories that were kicked this edition here here are some things</v>
      </c>
    </row>
    <row r="12135" ht="15.75" customHeight="1">
      <c r="A12135" s="1">
        <v>13402.0</v>
      </c>
      <c r="B12135" s="3" t="s">
        <v>34431</v>
      </c>
      <c r="C12135" s="3">
        <v>0.0</v>
      </c>
      <c r="D12135" s="3">
        <v>0.0</v>
      </c>
      <c r="E12135" s="3">
        <v>0.0</v>
      </c>
      <c r="F12135" s="3" t="s">
        <v>34432</v>
      </c>
      <c r="G12135" s="3">
        <v>0.0</v>
      </c>
      <c r="H12135" s="3">
        <v>0.0</v>
      </c>
      <c r="I12135" s="3" t="s">
        <v>13</v>
      </c>
      <c r="J12135" s="3" t="s">
        <v>34433</v>
      </c>
      <c r="K12135" s="3" t="s">
        <v>322</v>
      </c>
      <c r="L12135" s="3" t="str">
        <f>IFERROR(__xludf.DUMMYFUNCTION("GOOGLETRANSLATE(F12135,""id"",""en"")"),"Bangsad overslept suddenly Argentina champions")</f>
        <v>Bangsad overslept suddenly Argentina champions</v>
      </c>
    </row>
    <row r="12136" ht="15.75" customHeight="1">
      <c r="A12136" s="1">
        <v>13403.0</v>
      </c>
      <c r="B12136" s="3" t="s">
        <v>34434</v>
      </c>
      <c r="C12136" s="3">
        <v>0.0</v>
      </c>
      <c r="D12136" s="3">
        <v>0.0</v>
      </c>
      <c r="E12136" s="3">
        <v>0.0</v>
      </c>
      <c r="F12136" s="3" t="s">
        <v>34435</v>
      </c>
      <c r="G12136" s="3">
        <v>0.0</v>
      </c>
      <c r="H12136" s="3">
        <v>0.0</v>
      </c>
      <c r="I12136" s="3" t="s">
        <v>13</v>
      </c>
      <c r="J12136" s="3" t="s">
        <v>34436</v>
      </c>
      <c r="K12136" s="3" t="s">
        <v>31</v>
      </c>
      <c r="L12136" s="3" t="str">
        <f>IFERROR(__xludf.DUMMYFUNCTION("GOOGLETRANSLATE(F12136,""id"",""en"")"),"I swear still very happy Argentina Champion")</f>
        <v>I swear still very happy Argentina Champion</v>
      </c>
    </row>
    <row r="12137" ht="15.75" customHeight="1">
      <c r="A12137" s="1">
        <v>13404.0</v>
      </c>
      <c r="B12137" s="3" t="s">
        <v>34437</v>
      </c>
      <c r="C12137" s="3">
        <v>0.0</v>
      </c>
      <c r="D12137" s="3">
        <v>0.0</v>
      </c>
      <c r="E12137" s="3">
        <v>0.0</v>
      </c>
      <c r="F12137" s="3" t="s">
        <v>34438</v>
      </c>
      <c r="G12137" s="3">
        <v>0.0</v>
      </c>
      <c r="H12137" s="3">
        <v>0.0</v>
      </c>
      <c r="I12137" s="3" t="s">
        <v>13</v>
      </c>
      <c r="J12137" s="3" t="s">
        <v>34439</v>
      </c>
      <c r="K12137" s="3" t="s">
        <v>31</v>
      </c>
      <c r="L12137" s="3" t="str">
        <f>IFERROR(__xludf.DUMMYFUNCTION("GOOGLETRANSLATE(F12137,""id"",""en"")"),"Oiiiii Argentina, what do you want")</f>
        <v>Oiiiii Argentina, what do you want</v>
      </c>
    </row>
    <row r="12138" ht="15.75" customHeight="1">
      <c r="A12138" s="1">
        <v>13405.0</v>
      </c>
      <c r="B12138" s="3" t="s">
        <v>34440</v>
      </c>
      <c r="C12138" s="3">
        <v>0.0</v>
      </c>
      <c r="D12138" s="3">
        <v>0.0</v>
      </c>
      <c r="E12138" s="3">
        <v>0.0</v>
      </c>
      <c r="F12138" s="3" t="s">
        <v>34441</v>
      </c>
      <c r="G12138" s="3">
        <v>0.0</v>
      </c>
      <c r="H12138" s="3">
        <v>0.0</v>
      </c>
      <c r="I12138" s="3" t="s">
        <v>13</v>
      </c>
      <c r="J12138" s="3" t="s">
        <v>34442</v>
      </c>
      <c r="K12138" s="3" t="s">
        <v>31</v>
      </c>
      <c r="L12138" s="3" t="str">
        <f>IFERROR(__xludf.DUMMYFUNCTION("GOOGLETRANSLATE(F12138,""id"",""en"")"),"if Argentina is the World Cup champion today")</f>
        <v>if Argentina is the World Cup champion today</v>
      </c>
    </row>
    <row r="12139" ht="15.75" customHeight="1">
      <c r="A12139" s="1">
        <v>13406.0</v>
      </c>
      <c r="B12139" s="3" t="s">
        <v>34443</v>
      </c>
      <c r="C12139" s="3">
        <v>0.0</v>
      </c>
      <c r="D12139" s="3">
        <v>0.0</v>
      </c>
      <c r="E12139" s="3">
        <v>0.0</v>
      </c>
      <c r="F12139" s="3" t="s">
        <v>34444</v>
      </c>
      <c r="G12139" s="3">
        <v>0.5</v>
      </c>
      <c r="H12139" s="3">
        <v>0.3</v>
      </c>
      <c r="I12139" s="3" t="s">
        <v>48</v>
      </c>
      <c r="J12139" s="3" t="s">
        <v>34445</v>
      </c>
      <c r="K12139" s="3" t="s">
        <v>1317</v>
      </c>
      <c r="L12139" s="3" t="str">
        <f>IFERROR(__xludf.DUMMYFUNCTION("GOOGLETRANSLATE(F12139,""id"",""en"")"),"Lionel Messi became the best player of the World Cup and won the Golden Ball award a brilliant record won by Lionel Messi World Cup in addition to delivering Argentina to become the Cup Champion")</f>
        <v>Lionel Messi became the best player of the World Cup and won the Golden Ball award a brilliant record won by Lionel Messi World Cup in addition to delivering Argentina to become the Cup Champion</v>
      </c>
    </row>
    <row r="12140" ht="15.75" customHeight="1">
      <c r="A12140" s="1">
        <v>13407.0</v>
      </c>
      <c r="B12140" s="3" t="s">
        <v>34446</v>
      </c>
      <c r="C12140" s="3">
        <v>0.0</v>
      </c>
      <c r="D12140" s="3">
        <v>0.0</v>
      </c>
      <c r="E12140" s="3">
        <v>1.0</v>
      </c>
      <c r="F12140" s="3" t="s">
        <v>34447</v>
      </c>
      <c r="G12140" s="3">
        <v>0.0</v>
      </c>
      <c r="H12140" s="3">
        <v>0.0</v>
      </c>
      <c r="I12140" s="3" t="s">
        <v>13</v>
      </c>
      <c r="J12140" s="3" t="s">
        <v>34448</v>
      </c>
      <c r="K12140" s="3" t="s">
        <v>644</v>
      </c>
      <c r="L12140" s="3" t="str">
        <f>IFERROR(__xludf.DUMMYFUNCTION("GOOGLETRANSLATE(F12140,""id"",""en"")"),"Argentina Champion Yah Can Sleech My Father")</f>
        <v>Argentina Champion Yah Can Sleech My Father</v>
      </c>
    </row>
    <row r="12141" ht="15.75" customHeight="1">
      <c r="A12141" s="1">
        <v>13408.0</v>
      </c>
      <c r="B12141" s="3" t="s">
        <v>34449</v>
      </c>
      <c r="C12141" s="3">
        <v>0.0</v>
      </c>
      <c r="D12141" s="3">
        <v>0.0</v>
      </c>
      <c r="E12141" s="3">
        <v>0.0</v>
      </c>
      <c r="F12141" s="3" t="s">
        <v>34450</v>
      </c>
      <c r="G12141" s="3">
        <v>0.0</v>
      </c>
      <c r="H12141" s="3">
        <v>0.0</v>
      </c>
      <c r="I12141" s="3" t="s">
        <v>13</v>
      </c>
      <c r="J12141" s="3" t="s">
        <v>34451</v>
      </c>
      <c r="K12141" s="3" t="s">
        <v>31</v>
      </c>
      <c r="L12141" s="3" t="str">
        <f>IFERROR(__xludf.DUMMYFUNCTION("GOOGLETRANSLATE(F12141,""id"",""en"")"),"waiting for the year paid off the Argentina championship")</f>
        <v>waiting for the year paid off the Argentina championship</v>
      </c>
    </row>
    <row r="12142" ht="15.75" customHeight="1">
      <c r="A12142" s="1">
        <v>13409.0</v>
      </c>
      <c r="B12142" s="3" t="s">
        <v>34452</v>
      </c>
      <c r="C12142" s="3">
        <v>0.0</v>
      </c>
      <c r="D12142" s="3">
        <v>0.0</v>
      </c>
      <c r="E12142" s="3">
        <v>0.0</v>
      </c>
      <c r="F12142" s="3" t="s">
        <v>34453</v>
      </c>
      <c r="G12142" s="3">
        <v>0.0</v>
      </c>
      <c r="H12142" s="3">
        <v>0.0</v>
      </c>
      <c r="I12142" s="3" t="s">
        <v>13</v>
      </c>
      <c r="J12142" s="3" t="s">
        <v>34454</v>
      </c>
      <c r="K12142" s="3" t="s">
        <v>82</v>
      </c>
      <c r="L12142" s="3" t="str">
        <f>IFERROR(__xludf.DUMMYFUNCTION("GOOGLETRANSLATE(F12142,""id"",""en"")"),"Lionel Messi Bring Argentina World Cup Champion")</f>
        <v>Lionel Messi Bring Argentina World Cup Champion</v>
      </c>
    </row>
    <row r="12143" ht="15.75" customHeight="1">
      <c r="A12143" s="1">
        <v>13410.0</v>
      </c>
      <c r="B12143" s="3" t="s">
        <v>34455</v>
      </c>
      <c r="C12143" s="3">
        <v>0.0</v>
      </c>
      <c r="D12143" s="3">
        <v>0.0</v>
      </c>
      <c r="E12143" s="3">
        <v>1.0</v>
      </c>
      <c r="F12143" s="3" t="s">
        <v>34456</v>
      </c>
      <c r="G12143" s="3">
        <v>0.0</v>
      </c>
      <c r="H12143" s="3">
        <v>0.0</v>
      </c>
      <c r="I12143" s="3" t="s">
        <v>13</v>
      </c>
      <c r="J12143" s="3" t="s">
        <v>34457</v>
      </c>
      <c r="K12143" s="3" t="s">
        <v>15</v>
      </c>
      <c r="L12143" s="3" t="str">
        <f>IFERROR(__xludf.DUMMYFUNCTION("GOOGLETRANSLATE(F12143,""id"",""en"")"),"The first day of Argentina, PGN's champion, has a girlfriend")</f>
        <v>The first day of Argentina, PGN's champion, has a girlfriend</v>
      </c>
    </row>
    <row r="12144" ht="15.75" customHeight="1">
      <c r="A12144" s="1">
        <v>13412.0</v>
      </c>
      <c r="B12144" s="3" t="s">
        <v>34458</v>
      </c>
      <c r="C12144" s="3">
        <v>0.0</v>
      </c>
      <c r="D12144" s="3">
        <v>0.0</v>
      </c>
      <c r="E12144" s="3">
        <v>0.0</v>
      </c>
      <c r="F12144" s="3" t="s">
        <v>34459</v>
      </c>
      <c r="G12144" s="3">
        <v>0.0</v>
      </c>
      <c r="H12144" s="3">
        <v>0.0</v>
      </c>
      <c r="I12144" s="3" t="s">
        <v>13</v>
      </c>
      <c r="J12144" s="3" t="s">
        <v>34460</v>
      </c>
      <c r="K12144" s="3" t="s">
        <v>644</v>
      </c>
      <c r="L12144" s="3" t="str">
        <f>IFERROR(__xludf.DUMMYFUNCTION("GOOGLETRANSLATE(F12144,""id"",""en"")"),"lazy to think Argentina Champion")</f>
        <v>lazy to think Argentina Champion</v>
      </c>
    </row>
    <row r="12145" ht="15.75" customHeight="1">
      <c r="A12145" s="1">
        <v>13413.0</v>
      </c>
      <c r="B12145" s="3" t="s">
        <v>34461</v>
      </c>
      <c r="C12145" s="3">
        <v>0.0</v>
      </c>
      <c r="D12145" s="3">
        <v>0.0</v>
      </c>
      <c r="E12145" s="3">
        <v>0.0</v>
      </c>
      <c r="F12145" s="3" t="s">
        <v>34462</v>
      </c>
      <c r="G12145" s="3">
        <v>0.0</v>
      </c>
      <c r="H12145" s="3">
        <v>0.0</v>
      </c>
      <c r="I12145" s="3" t="s">
        <v>13</v>
      </c>
      <c r="J12145" s="3" t="s">
        <v>34463</v>
      </c>
      <c r="K12145" s="3" t="s">
        <v>244</v>
      </c>
      <c r="L12145" s="3" t="str">
        <f>IFERROR(__xludf.DUMMYFUNCTION("GOOGLETRANSLATE(F12145,""id"",""en"")"),"hehe gajadi who champions Argentina even though I want to buy you ipon if France champions")</f>
        <v>hehe gajadi who champions Argentina even though I want to buy you ipon if France champions</v>
      </c>
    </row>
    <row r="12146" ht="15.75" customHeight="1">
      <c r="A12146" s="1">
        <v>13414.0</v>
      </c>
      <c r="B12146" s="3" t="s">
        <v>34464</v>
      </c>
      <c r="C12146" s="3">
        <v>1.0</v>
      </c>
      <c r="D12146" s="3">
        <v>0.0</v>
      </c>
      <c r="E12146" s="3">
        <v>1.0</v>
      </c>
      <c r="F12146" s="3" t="s">
        <v>34465</v>
      </c>
      <c r="G12146" s="3">
        <v>0.3333333333333333</v>
      </c>
      <c r="H12146" s="3">
        <v>0.1666666666666667</v>
      </c>
      <c r="I12146" s="3" t="s">
        <v>48</v>
      </c>
      <c r="J12146" s="3" t="s">
        <v>34466</v>
      </c>
      <c r="K12146" s="3" t="s">
        <v>236</v>
      </c>
      <c r="L12146" s="3" t="str">
        <f>IFERROR(__xludf.DUMMYFUNCTION("GOOGLETRANSLATE(F12146,""id"",""en"")"),"Luckily Lisandro played if you play Argentina could fail to win because of the unfortunate club")</f>
        <v>Luckily Lisandro played if you play Argentina could fail to win because of the unfortunate club</v>
      </c>
    </row>
    <row r="12147" ht="15.75" customHeight="1">
      <c r="A12147" s="1">
        <v>13415.0</v>
      </c>
      <c r="B12147" s="3" t="s">
        <v>34467</v>
      </c>
      <c r="C12147" s="3">
        <v>0.0</v>
      </c>
      <c r="D12147" s="3">
        <v>0.0</v>
      </c>
      <c r="E12147" s="3">
        <v>0.0</v>
      </c>
      <c r="F12147" s="3" t="s">
        <v>34468</v>
      </c>
      <c r="G12147" s="3">
        <v>0.0</v>
      </c>
      <c r="H12147" s="3">
        <v>0.0</v>
      </c>
      <c r="I12147" s="3" t="s">
        <v>13</v>
      </c>
      <c r="J12147" s="3" t="s">
        <v>34469</v>
      </c>
      <c r="K12147" s="3" t="s">
        <v>15</v>
      </c>
      <c r="L12147" s="3" t="str">
        <f>IFERROR(__xludf.DUMMYFUNCTION("GOOGLETRANSLATE(F12147,""id"",""en"")"),"Argentina World Champion Defeated France Through Penalties")</f>
        <v>Argentina World Champion Defeated France Through Penalties</v>
      </c>
    </row>
    <row r="12148" ht="15.75" customHeight="1">
      <c r="A12148" s="1">
        <v>13416.0</v>
      </c>
      <c r="B12148" s="3" t="s">
        <v>34470</v>
      </c>
      <c r="C12148" s="3">
        <v>0.0</v>
      </c>
      <c r="D12148" s="3">
        <v>0.0</v>
      </c>
      <c r="E12148" s="3">
        <v>0.0</v>
      </c>
      <c r="F12148" s="3" t="s">
        <v>34471</v>
      </c>
      <c r="G12148" s="3">
        <v>0.0</v>
      </c>
      <c r="H12148" s="3">
        <v>0.0</v>
      </c>
      <c r="I12148" s="3" t="s">
        <v>13</v>
      </c>
      <c r="J12148" s="3" t="s">
        <v>34472</v>
      </c>
      <c r="K12148" s="3" t="s">
        <v>127</v>
      </c>
      <c r="L12148" s="3" t="str">
        <f>IFERROR(__xludf.DUMMYFUNCTION("GOOGLETRANSLATE(F12148,""id"",""en"")"),"From the series of happiness in the Argentina national team, it is certainly happier Saudi Arabians who get the ration of the team of the team of the team, defeat the championship team")</f>
        <v>From the series of happiness in the Argentina national team, it is certainly happier Saudi Arabians who get the ration of the team of the team of the team, defeat the championship team</v>
      </c>
    </row>
    <row r="12149" ht="15.75" customHeight="1">
      <c r="A12149" s="1">
        <v>13417.0</v>
      </c>
      <c r="B12149" s="3" t="s">
        <v>34473</v>
      </c>
      <c r="C12149" s="3">
        <v>0.0</v>
      </c>
      <c r="D12149" s="3">
        <v>0.0</v>
      </c>
      <c r="E12149" s="3">
        <v>0.0</v>
      </c>
      <c r="F12149" s="3" t="s">
        <v>34474</v>
      </c>
      <c r="G12149" s="3">
        <v>0.0</v>
      </c>
      <c r="H12149" s="3">
        <v>0.0</v>
      </c>
      <c r="I12149" s="3" t="s">
        <v>13</v>
      </c>
      <c r="J12149" s="3" t="s">
        <v>34475</v>
      </c>
      <c r="K12149" s="3" t="s">
        <v>1942</v>
      </c>
      <c r="L12149" s="3" t="str">
        <f>IFERROR(__xludf.DUMMYFUNCTION("GOOGLETRANSLATE(F12149,""id"",""en"")"),"Unique Football There is a know in the future how come when the field is pioneered now supporting any country because the sense of the state team passed the PILDUN now the players are Bagus NMUN I was implied by Argentina's thoughts about champions and tu"&amp;"rned out to be bner")</f>
        <v>Unique Football There is a know in the future how come when the field is pioneered now supporting any country because the sense of the state team passed the PILDUN now the players are Bagus NMUN I was implied by Argentina's thoughts about champions and turned out to be bner</v>
      </c>
    </row>
    <row r="12150" ht="15.75" customHeight="1">
      <c r="A12150" s="1">
        <v>13418.0</v>
      </c>
      <c r="B12150" s="3" t="s">
        <v>34476</v>
      </c>
      <c r="C12150" s="3">
        <v>0.0</v>
      </c>
      <c r="D12150" s="3">
        <v>0.0</v>
      </c>
      <c r="E12150" s="3">
        <v>1.0</v>
      </c>
      <c r="F12150" s="3" t="s">
        <v>34477</v>
      </c>
      <c r="G12150" s="3">
        <v>0.0</v>
      </c>
      <c r="H12150" s="3">
        <v>0.0</v>
      </c>
      <c r="I12150" s="3" t="s">
        <v>13</v>
      </c>
      <c r="J12150" s="3" t="s">
        <v>34478</v>
      </c>
      <c r="K12150" s="3" t="s">
        <v>31</v>
      </c>
      <c r="L12150" s="3" t="str">
        <f>IFERROR(__xludf.DUMMYFUNCTION("GOOGLETRANSLATE(F12150,""id"",""en"")"),"Argentina Champion FIFA World Cup")</f>
        <v>Argentina Champion FIFA World Cup</v>
      </c>
    </row>
    <row r="12151" ht="15.75" customHeight="1">
      <c r="A12151" s="1">
        <v>13419.0</v>
      </c>
      <c r="B12151" s="3" t="s">
        <v>34479</v>
      </c>
      <c r="C12151" s="3">
        <v>0.0</v>
      </c>
      <c r="D12151" s="3">
        <v>0.0</v>
      </c>
      <c r="E12151" s="3">
        <v>0.0</v>
      </c>
      <c r="F12151" s="3" t="s">
        <v>34480</v>
      </c>
      <c r="G12151" s="3">
        <v>0.0</v>
      </c>
      <c r="H12151" s="3">
        <v>0.0</v>
      </c>
      <c r="I12151" s="3" t="s">
        <v>13</v>
      </c>
      <c r="J12151" s="3" t="s">
        <v>34481</v>
      </c>
      <c r="K12151" s="3" t="s">
        <v>27669</v>
      </c>
      <c r="L12151" s="3" t="str">
        <f>IFERROR(__xludf.DUMMYFUNCTION("GOOGLETRANSLATE(F12151,""id"",""en"")"),"German Tok Sing Champion continues to lose SPAIN continues to lose Mane Change France continues to lose Mane Argentina.")</f>
        <v>German Tok Sing Champion continues to lose SPAIN continues to lose Mane Change France continues to lose Mane Argentina.</v>
      </c>
    </row>
    <row r="12152" ht="15.75" customHeight="1">
      <c r="A12152" s="1">
        <v>13420.0</v>
      </c>
      <c r="B12152" s="3" t="s">
        <v>34482</v>
      </c>
      <c r="C12152" s="3">
        <v>0.0</v>
      </c>
      <c r="D12152" s="3">
        <v>0.0</v>
      </c>
      <c r="E12152" s="3">
        <v>1.0</v>
      </c>
      <c r="F12152" s="3" t="s">
        <v>34483</v>
      </c>
      <c r="G12152" s="3">
        <v>1.0</v>
      </c>
      <c r="H12152" s="3">
        <v>1.0</v>
      </c>
      <c r="I12152" s="3" t="s">
        <v>48</v>
      </c>
      <c r="J12152" s="3" t="s">
        <v>34484</v>
      </c>
      <c r="K12152" s="3" t="s">
        <v>1897</v>
      </c>
      <c r="L12152" s="3" t="str">
        <f>IFERROR(__xludf.DUMMYFUNCTION("GOOGLETRANSLATE(F12152,""id"",""en"")"),"Dybala Fansclub World Champion Drake Aguero Saudi Saudi Arabia Haaland Dembele Maria Kolo Muani Heart Greatest All Time Lloris Madrid Penalty Higuain Mac Allister Coman Paul Argentina Mbappe Messi")</f>
        <v>Dybala Fansclub World Champion Drake Aguero Saudi Saudi Arabia Haaland Dembele Maria Kolo Muani Heart Greatest All Time Lloris Madrid Penalty Higuain Mac Allister Coman Paul Argentina Mbappe Messi</v>
      </c>
    </row>
    <row r="12153" ht="15.75" customHeight="1">
      <c r="A12153" s="1">
        <v>13421.0</v>
      </c>
      <c r="B12153" s="3" t="s">
        <v>34485</v>
      </c>
      <c r="C12153" s="3">
        <v>0.0</v>
      </c>
      <c r="D12153" s="3">
        <v>0.0</v>
      </c>
      <c r="E12153" s="3">
        <v>1.0</v>
      </c>
      <c r="F12153" s="3" t="s">
        <v>34486</v>
      </c>
      <c r="G12153" s="3">
        <v>0.0</v>
      </c>
      <c r="H12153" s="3">
        <v>0.0</v>
      </c>
      <c r="I12153" s="3" t="s">
        <v>13</v>
      </c>
      <c r="J12153" s="3" t="s">
        <v>34487</v>
      </c>
      <c r="K12153" s="3" t="s">
        <v>584</v>
      </c>
      <c r="L12153" s="3" t="str">
        <f>IFERROR(__xludf.DUMMYFUNCTION("GOOGLETRANSLATE(F12153,""id"",""en"")"),"We are accustomed to the arrangement of Indonesia until our thinking is also guessing FIFA has regulated Messi for the champion I like Germany Japan Early is sure Argentina besides Brazil who is champion because they are great with a series of unbeaten be"&amp;"fore losing Saudi Arabia")</f>
        <v>We are accustomed to the arrangement of Indonesia until our thinking is also guessing FIFA has regulated Messi for the champion I like Germany Japan Early is sure Argentina besides Brazil who is champion because they are great with a series of unbeaten before losing Saudi Arabia</v>
      </c>
    </row>
    <row r="12154" ht="15.75" customHeight="1">
      <c r="A12154" s="1">
        <v>13422.0</v>
      </c>
      <c r="B12154" s="3" t="s">
        <v>34488</v>
      </c>
      <c r="C12154" s="3">
        <v>0.0</v>
      </c>
      <c r="D12154" s="3">
        <v>0.0</v>
      </c>
      <c r="E12154" s="3">
        <v>0.0</v>
      </c>
      <c r="F12154" s="3" t="s">
        <v>34489</v>
      </c>
      <c r="G12154" s="3">
        <v>0.0</v>
      </c>
      <c r="H12154" s="3">
        <v>0.0</v>
      </c>
      <c r="I12154" s="3" t="s">
        <v>13</v>
      </c>
      <c r="J12154" s="3" t="s">
        <v>34490</v>
      </c>
      <c r="K12154" s="3" t="s">
        <v>41</v>
      </c>
      <c r="L12154" s="3" t="str">
        <f>IFERROR(__xludf.DUMMYFUNCTION("GOOGLETRANSLATE(F12154,""id"",""en"")"),"last last year's champion Argentina added World Cup Star")</f>
        <v>last last year's champion Argentina added World Cup Star</v>
      </c>
    </row>
    <row r="12155" ht="15.75" customHeight="1">
      <c r="A12155" s="1">
        <v>13423.0</v>
      </c>
      <c r="B12155" s="3" t="s">
        <v>34491</v>
      </c>
      <c r="C12155" s="3">
        <v>0.0</v>
      </c>
      <c r="D12155" s="3">
        <v>0.0</v>
      </c>
      <c r="E12155" s="3">
        <v>0.0</v>
      </c>
      <c r="F12155" s="3" t="s">
        <v>34492</v>
      </c>
      <c r="G12155" s="3">
        <v>0.0</v>
      </c>
      <c r="H12155" s="3">
        <v>0.0</v>
      </c>
      <c r="I12155" s="3" t="s">
        <v>13</v>
      </c>
      <c r="J12155" s="3" t="s">
        <v>34493</v>
      </c>
      <c r="K12155" s="3" t="s">
        <v>71</v>
      </c>
      <c r="L12155" s="3" t="str">
        <f>IFERROR(__xludf.DUMMYFUNCTION("GOOGLETRANSLATE(F12155,""id"",""en"")"),"Don't ask Raul Lemos, said Messi, Tutorial to beat Argentina, there is a Saudi Arabia YouTube")</f>
        <v>Don't ask Raul Lemos, said Messi, Tutorial to beat Argentina, there is a Saudi Arabia YouTube</v>
      </c>
    </row>
    <row r="12156" ht="15.75" customHeight="1">
      <c r="A12156" s="1">
        <v>13424.0</v>
      </c>
      <c r="B12156" s="3" t="s">
        <v>34494</v>
      </c>
      <c r="C12156" s="3">
        <v>0.0</v>
      </c>
      <c r="D12156" s="3">
        <v>0.0</v>
      </c>
      <c r="E12156" s="3">
        <v>0.0</v>
      </c>
      <c r="F12156" s="3" t="s">
        <v>34489</v>
      </c>
      <c r="G12156" s="3">
        <v>0.0</v>
      </c>
      <c r="H12156" s="3">
        <v>0.0</v>
      </c>
      <c r="I12156" s="3" t="s">
        <v>13</v>
      </c>
      <c r="J12156" s="3" t="s">
        <v>34490</v>
      </c>
      <c r="K12156" s="3" t="s">
        <v>41</v>
      </c>
      <c r="L12156" s="3" t="str">
        <f>IFERROR(__xludf.DUMMYFUNCTION("GOOGLETRANSLATE(F12156,""id"",""en"")"),"last last year's champion Argentina added World Cup Star")</f>
        <v>last last year's champion Argentina added World Cup Star</v>
      </c>
    </row>
    <row r="12157" ht="15.75" customHeight="1">
      <c r="A12157" s="1">
        <v>13425.0</v>
      </c>
      <c r="B12157" s="3" t="s">
        <v>34495</v>
      </c>
      <c r="C12157" s="3">
        <v>0.0</v>
      </c>
      <c r="D12157" s="3">
        <v>0.0</v>
      </c>
      <c r="E12157" s="3">
        <v>0.0</v>
      </c>
      <c r="F12157" s="3" t="s">
        <v>34496</v>
      </c>
      <c r="G12157" s="3">
        <v>0.0</v>
      </c>
      <c r="H12157" s="3">
        <v>0.0</v>
      </c>
      <c r="I12157" s="3" t="s">
        <v>13</v>
      </c>
      <c r="J12157" s="3" t="s">
        <v>34497</v>
      </c>
      <c r="K12157" s="3" t="s">
        <v>614</v>
      </c>
      <c r="L12157" s="3" t="str">
        <f>IFERROR(__xludf.DUMMYFUNCTION("GOOGLETRANSLATE(F12157,""id"",""en"")"),"I can't say the word is the point that Argentina this year is extraordinary, it can't be explained because you will not understand since Scaloni is an Argentine coach champion Copa America Finalissima and the World Cup")</f>
        <v>I can't say the word is the point that Argentina this year is extraordinary, it can't be explained because you will not understand since Scaloni is an Argentine coach champion Copa America Finalissima and the World Cup</v>
      </c>
    </row>
    <row r="12158" ht="15.75" customHeight="1">
      <c r="A12158" s="1">
        <v>13426.0</v>
      </c>
      <c r="B12158" s="3" t="s">
        <v>34498</v>
      </c>
      <c r="C12158" s="3">
        <v>0.0</v>
      </c>
      <c r="D12158" s="3">
        <v>0.0</v>
      </c>
      <c r="E12158" s="3">
        <v>0.0</v>
      </c>
      <c r="F12158" s="3" t="s">
        <v>34499</v>
      </c>
      <c r="G12158" s="3">
        <v>0.0</v>
      </c>
      <c r="H12158" s="3">
        <v>0.0</v>
      </c>
      <c r="I12158" s="3" t="s">
        <v>13</v>
      </c>
      <c r="J12158" s="3" t="s">
        <v>34500</v>
      </c>
      <c r="K12158" s="3" t="s">
        <v>75</v>
      </c>
      <c r="L12158" s="3" t="str">
        <f>IFERROR(__xludf.DUMMYFUNCTION("GOOGLETRANSLATE(F12158,""id"",""en"")"),"The results of the French Argentina won the albiceleste penalty shootout champion in the World Cup")</f>
        <v>The results of the French Argentina won the albiceleste penalty shootout champion in the World Cup</v>
      </c>
    </row>
    <row r="12159" ht="15.75" customHeight="1">
      <c r="A12159" s="1">
        <v>13427.0</v>
      </c>
      <c r="B12159" s="3" t="s">
        <v>34501</v>
      </c>
      <c r="C12159" s="3">
        <v>0.0</v>
      </c>
      <c r="D12159" s="3">
        <v>0.0</v>
      </c>
      <c r="E12159" s="3">
        <v>0.0</v>
      </c>
      <c r="F12159" s="3" t="s">
        <v>34502</v>
      </c>
      <c r="G12159" s="3">
        <v>0.0</v>
      </c>
      <c r="H12159" s="3">
        <v>0.0</v>
      </c>
      <c r="I12159" s="3" t="s">
        <v>13</v>
      </c>
      <c r="J12159" s="3" t="s">
        <v>34503</v>
      </c>
      <c r="K12159" s="3" t="s">
        <v>236</v>
      </c>
      <c r="L12159" s="3" t="str">
        <f>IFERROR(__xludf.DUMMYFUNCTION("GOOGLETRANSLATE(F12159,""id"",""en"")"),"he said Juna last night if according to Juna the champion was Argentina and it turned out to be true")</f>
        <v>he said Juna last night if according to Juna the champion was Argentina and it turned out to be true</v>
      </c>
    </row>
    <row r="12160" ht="15.75" customHeight="1">
      <c r="A12160" s="1">
        <v>13428.0</v>
      </c>
      <c r="B12160" s="3" t="s">
        <v>34504</v>
      </c>
      <c r="C12160" s="3">
        <v>0.0</v>
      </c>
      <c r="D12160" s="3">
        <v>0.0</v>
      </c>
      <c r="E12160" s="3">
        <v>0.0</v>
      </c>
      <c r="F12160" s="3" t="s">
        <v>34505</v>
      </c>
      <c r="G12160" s="3">
        <v>0.0</v>
      </c>
      <c r="H12160" s="3">
        <v>0.0</v>
      </c>
      <c r="I12160" s="3" t="s">
        <v>13</v>
      </c>
      <c r="J12160" s="3" t="s">
        <v>34506</v>
      </c>
      <c r="K12160" s="3" t="s">
        <v>3803</v>
      </c>
      <c r="L12160" s="3" t="str">
        <f>IFERROR(__xludf.DUMMYFUNCTION("GOOGLETRANSLATE(F12160,""id"",""en"")"),"Happy Argentina Champion of the Qatar World Cup after the year of Argentina champions of the Mexican World Cup")</f>
        <v>Happy Argentina Champion of the Qatar World Cup after the year of Argentina champions of the Mexican World Cup</v>
      </c>
    </row>
    <row r="12161" ht="15.75" customHeight="1">
      <c r="A12161" s="1">
        <v>13429.0</v>
      </c>
      <c r="B12161" s="3" t="s">
        <v>34507</v>
      </c>
      <c r="C12161" s="3">
        <v>0.0</v>
      </c>
      <c r="D12161" s="3">
        <v>0.0</v>
      </c>
      <c r="E12161" s="3">
        <v>0.0</v>
      </c>
      <c r="F12161" s="3" t="s">
        <v>34508</v>
      </c>
      <c r="G12161" s="3">
        <v>0.0</v>
      </c>
      <c r="H12161" s="3">
        <v>0.0</v>
      </c>
      <c r="I12161" s="3" t="s">
        <v>13</v>
      </c>
      <c r="J12161" s="3" t="s">
        <v>34509</v>
      </c>
      <c r="K12161" s="3" t="s">
        <v>90</v>
      </c>
      <c r="L12161" s="3" t="str">
        <f>IFERROR(__xludf.DUMMYFUNCTION("GOOGLETRANSLATE(F12161,""id"",""en"")"),"The chatting of people this morning Argentina champion Woi Messi The Goat Halah Pildun Taun is the setting onh, how come the face of the faucet loses betting")</f>
        <v>The chatting of people this morning Argentina champion Woi Messi The Goat Halah Pildun Taun is the setting onh, how come the face of the faucet loses betting</v>
      </c>
    </row>
    <row r="12162" ht="15.75" customHeight="1">
      <c r="A12162" s="1">
        <v>13430.0</v>
      </c>
      <c r="B12162" s="3" t="s">
        <v>34510</v>
      </c>
      <c r="C12162" s="3">
        <v>0.0</v>
      </c>
      <c r="D12162" s="3">
        <v>0.0</v>
      </c>
      <c r="E12162" s="3">
        <v>11.0</v>
      </c>
      <c r="F12162" s="3" t="s">
        <v>34511</v>
      </c>
      <c r="G12162" s="3">
        <v>0.0</v>
      </c>
      <c r="H12162" s="3">
        <v>0.0</v>
      </c>
      <c r="I12162" s="3" t="s">
        <v>13</v>
      </c>
      <c r="J12162" s="3" t="s">
        <v>34512</v>
      </c>
      <c r="K12162" s="3" t="s">
        <v>50</v>
      </c>
      <c r="L12162" s="3" t="str">
        <f>IFERROR(__xludf.DUMMYFUNCTION("GOOGLETRANSLATE(F12162,""id"",""en"")"),"Happy Argentina with Leo Messi World Champion End Era Goat Respect")</f>
        <v>Happy Argentina with Leo Messi World Champion End Era Goat Respect</v>
      </c>
    </row>
    <row r="12163" ht="15.75" customHeight="1">
      <c r="A12163" s="1">
        <v>13431.0</v>
      </c>
      <c r="B12163" s="3" t="s">
        <v>34513</v>
      </c>
      <c r="C12163" s="3">
        <v>0.0</v>
      </c>
      <c r="D12163" s="3">
        <v>0.0</v>
      </c>
      <c r="E12163" s="3">
        <v>9.0</v>
      </c>
      <c r="F12163" s="3" t="s">
        <v>34514</v>
      </c>
      <c r="G12163" s="3">
        <v>0.0</v>
      </c>
      <c r="H12163" s="3">
        <v>0.0</v>
      </c>
      <c r="I12163" s="3" t="s">
        <v>13</v>
      </c>
      <c r="J12163" s="3" t="s">
        <v>34515</v>
      </c>
      <c r="K12163" s="3" t="s">
        <v>19</v>
      </c>
      <c r="L12163" s="3" t="str">
        <f>IFERROR(__xludf.DUMMYFUNCTION("GOOGLETRANSLATE(F12163,""id"",""en"")"),"Lionel Scaloni invited the Argentine people to enjoy the success of becoming the Champion of the Qatar World Cup")</f>
        <v>Lionel Scaloni invited the Argentine people to enjoy the success of becoming the Champion of the Qatar World Cup</v>
      </c>
    </row>
    <row r="12164" ht="15.75" customHeight="1">
      <c r="A12164" s="1">
        <v>13432.0</v>
      </c>
      <c r="B12164" s="3" t="s">
        <v>34516</v>
      </c>
      <c r="C12164" s="3">
        <v>0.0</v>
      </c>
      <c r="D12164" s="3">
        <v>0.0</v>
      </c>
      <c r="E12164" s="3">
        <v>0.0</v>
      </c>
      <c r="F12164" s="3" t="s">
        <v>34517</v>
      </c>
      <c r="G12164" s="3">
        <v>0.0</v>
      </c>
      <c r="H12164" s="3">
        <v>0.0</v>
      </c>
      <c r="I12164" s="3" t="s">
        <v>13</v>
      </c>
      <c r="J12164" s="3" t="s">
        <v>34518</v>
      </c>
      <c r="K12164" s="3" t="s">
        <v>1335</v>
      </c>
      <c r="L12164" s="3" t="str">
        <f>IFERROR(__xludf.DUMMYFUNCTION("GOOGLETRANSLATE(F12164,""id"",""en"")"),"Still Argentina wins the champion will not make you win his heart")</f>
        <v>Still Argentina wins the champion will not make you win his heart</v>
      </c>
    </row>
    <row r="12165" ht="15.75" customHeight="1">
      <c r="A12165" s="1">
        <v>13433.0</v>
      </c>
      <c r="B12165" s="3" t="s">
        <v>34519</v>
      </c>
      <c r="C12165" s="3">
        <v>0.0</v>
      </c>
      <c r="D12165" s="3">
        <v>0.0</v>
      </c>
      <c r="E12165" s="3">
        <v>0.0</v>
      </c>
      <c r="F12165" s="3" t="s">
        <v>34520</v>
      </c>
      <c r="G12165" s="3">
        <v>0.0</v>
      </c>
      <c r="H12165" s="3">
        <v>0.0</v>
      </c>
      <c r="I12165" s="3" t="s">
        <v>13</v>
      </c>
      <c r="J12165" s="3" t="s">
        <v>34521</v>
      </c>
      <c r="K12165" s="3" t="s">
        <v>75</v>
      </c>
      <c r="L12165" s="3" t="str">
        <f>IFERROR(__xludf.DUMMYFUNCTION("GOOGLETRANSLATE(F12165,""id"",""en"")"),"Argentina Champion World Cup Lionel Messi End Albiceleste's long wait")</f>
        <v>Argentina Champion World Cup Lionel Messi End Albiceleste's long wait</v>
      </c>
    </row>
    <row r="12166" ht="15.75" customHeight="1">
      <c r="A12166" s="1">
        <v>13434.0</v>
      </c>
      <c r="B12166" s="3" t="s">
        <v>34522</v>
      </c>
      <c r="C12166" s="3">
        <v>0.0</v>
      </c>
      <c r="D12166" s="3">
        <v>0.0</v>
      </c>
      <c r="E12166" s="3">
        <v>0.0</v>
      </c>
      <c r="F12166" s="3" t="s">
        <v>34523</v>
      </c>
      <c r="G12166" s="3">
        <v>0.0</v>
      </c>
      <c r="H12166" s="3">
        <v>0.0</v>
      </c>
      <c r="I12166" s="3" t="s">
        <v>13</v>
      </c>
      <c r="J12166" s="3" t="s">
        <v>34524</v>
      </c>
      <c r="K12166" s="3" t="s">
        <v>31</v>
      </c>
      <c r="L12166" s="3" t="str">
        <f>IFERROR(__xludf.DUMMYFUNCTION("GOOGLETRANSLATE(F12166,""id"",""en"")"),"Argentina Champion Remember Monday Work")</f>
        <v>Argentina Champion Remember Monday Work</v>
      </c>
    </row>
    <row r="12167" ht="15.75" customHeight="1">
      <c r="A12167" s="1">
        <v>13435.0</v>
      </c>
      <c r="B12167" s="3" t="s">
        <v>34525</v>
      </c>
      <c r="C12167" s="3">
        <v>0.0</v>
      </c>
      <c r="D12167" s="3">
        <v>0.0</v>
      </c>
      <c r="E12167" s="3">
        <v>2.0</v>
      </c>
      <c r="F12167" s="3" t="s">
        <v>34526</v>
      </c>
      <c r="G12167" s="3">
        <v>1.0</v>
      </c>
      <c r="H12167" s="3">
        <v>0.0</v>
      </c>
      <c r="I12167" s="3" t="s">
        <v>13</v>
      </c>
      <c r="J12167" s="3" t="s">
        <v>34527</v>
      </c>
      <c r="K12167" s="3" t="s">
        <v>1345</v>
      </c>
      <c r="L12167" s="3" t="str">
        <f>IFERROR(__xludf.DUMMYFUNCTION("GOOGLETRANSLATE(F12167,""id"",""en"")"),"What is meant by the admin entered the final successively Argentina was indeed a champion but Argentina did not enter the final")</f>
        <v>What is meant by the admin entered the final successively Argentina was indeed a champion but Argentina did not enter the final</v>
      </c>
    </row>
    <row r="12168" ht="15.75" customHeight="1">
      <c r="A12168" s="1">
        <v>13436.0</v>
      </c>
      <c r="B12168" s="3" t="s">
        <v>34528</v>
      </c>
      <c r="C12168" s="3">
        <v>0.0</v>
      </c>
      <c r="D12168" s="3">
        <v>0.0</v>
      </c>
      <c r="E12168" s="3">
        <v>0.0</v>
      </c>
      <c r="F12168" s="3" t="s">
        <v>34529</v>
      </c>
      <c r="G12168" s="3">
        <v>1.0</v>
      </c>
      <c r="H12168" s="3">
        <v>0.1</v>
      </c>
      <c r="I12168" s="3" t="s">
        <v>48</v>
      </c>
      <c r="J12168" s="3" t="s">
        <v>34530</v>
      </c>
      <c r="K12168" s="3" t="s">
        <v>15</v>
      </c>
      <c r="L12168" s="3" t="str">
        <f>IFERROR(__xludf.DUMMYFUNCTION("GOOGLETRANSLATE(F12168,""id"",""en"")"),"Argentina Champion Wow this much money brought by Messi et al")</f>
        <v>Argentina Champion Wow this much money brought by Messi et al</v>
      </c>
    </row>
    <row r="12169" ht="15.75" customHeight="1">
      <c r="A12169" s="1">
        <v>13437.0</v>
      </c>
      <c r="B12169" s="3" t="s">
        <v>34531</v>
      </c>
      <c r="C12169" s="3">
        <v>1.0</v>
      </c>
      <c r="D12169" s="3">
        <v>0.0</v>
      </c>
      <c r="E12169" s="3">
        <v>2.0</v>
      </c>
      <c r="F12169" s="3" t="s">
        <v>34532</v>
      </c>
      <c r="G12169" s="3">
        <v>0.0</v>
      </c>
      <c r="H12169" s="3">
        <v>0.0</v>
      </c>
      <c r="I12169" s="3" t="s">
        <v>13</v>
      </c>
      <c r="J12169" s="3" t="s">
        <v>34533</v>
      </c>
      <c r="K12169" s="3" t="s">
        <v>75</v>
      </c>
      <c r="L12169" s="3" t="str">
        <f>IFERROR(__xludf.DUMMYFUNCTION("GOOGLETRANSLATE(F12169,""id"",""en"")"),"Finally Messi brought Argentina World Cup champions Happy Ball Link")</f>
        <v>Finally Messi brought Argentina World Cup champions Happy Ball Link</v>
      </c>
    </row>
    <row r="12170" ht="15.75" customHeight="1">
      <c r="A12170" s="1">
        <v>13439.0</v>
      </c>
      <c r="B12170" s="3" t="s">
        <v>34534</v>
      </c>
      <c r="C12170" s="3">
        <v>0.0</v>
      </c>
      <c r="D12170" s="3">
        <v>0.0</v>
      </c>
      <c r="E12170" s="3">
        <v>0.0</v>
      </c>
      <c r="F12170" s="3" t="s">
        <v>34535</v>
      </c>
      <c r="G12170" s="3">
        <v>0.0</v>
      </c>
      <c r="H12170" s="3">
        <v>0.0</v>
      </c>
      <c r="I12170" s="3" t="s">
        <v>13</v>
      </c>
      <c r="J12170" s="3" t="s">
        <v>34536</v>
      </c>
      <c r="K12170" s="3" t="s">
        <v>244</v>
      </c>
      <c r="L12170" s="3" t="str">
        <f>IFERROR(__xludf.DUMMYFUNCTION("GOOGLETRANSLATE(F12170,""id"",""en"")"),"Argentina Interesting Facts of World Cup Champion Messi Exceeding Ronaldo's Record")</f>
        <v>Argentina Interesting Facts of World Cup Champion Messi Exceeding Ronaldo's Record</v>
      </c>
    </row>
    <row r="12171" ht="15.75" customHeight="1">
      <c r="A12171" s="1">
        <v>13440.0</v>
      </c>
      <c r="B12171" s="3" t="s">
        <v>34537</v>
      </c>
      <c r="C12171" s="3">
        <v>0.0</v>
      </c>
      <c r="D12171" s="3">
        <v>0.0</v>
      </c>
      <c r="E12171" s="3">
        <v>0.0</v>
      </c>
      <c r="F12171" s="3" t="s">
        <v>34538</v>
      </c>
      <c r="G12171" s="3">
        <v>0.0</v>
      </c>
      <c r="H12171" s="3">
        <v>0.0</v>
      </c>
      <c r="I12171" s="3" t="s">
        <v>13</v>
      </c>
      <c r="J12171" s="3" t="s">
        <v>34539</v>
      </c>
      <c r="K12171" s="3" t="s">
        <v>15</v>
      </c>
      <c r="L12171" s="3" t="str">
        <f>IFERROR(__xludf.DUMMYFUNCTION("GOOGLETRANSLATE(F12171,""id"",""en"")"),"End of waiting for the year Argentina Champion World Cup Qatar")</f>
        <v>End of waiting for the year Argentina Champion World Cup Qatar</v>
      </c>
    </row>
    <row r="12172" ht="15.75" customHeight="1">
      <c r="A12172" s="1">
        <v>13441.0</v>
      </c>
      <c r="B12172" s="3" t="s">
        <v>34540</v>
      </c>
      <c r="C12172" s="3">
        <v>0.0</v>
      </c>
      <c r="D12172" s="3">
        <v>1.0</v>
      </c>
      <c r="E12172" s="3">
        <v>1.0</v>
      </c>
      <c r="F12172" s="3" t="s">
        <v>34541</v>
      </c>
      <c r="G12172" s="3">
        <v>0.0</v>
      </c>
      <c r="H12172" s="3">
        <v>0.0</v>
      </c>
      <c r="I12172" s="3" t="s">
        <v>13</v>
      </c>
      <c r="J12172" s="3" t="s">
        <v>34542</v>
      </c>
      <c r="K12172" s="3" t="s">
        <v>205</v>
      </c>
      <c r="L12172" s="3" t="str">
        <f>IFERROR(__xludf.DUMMYFUNCTION("GOOGLETRANSLATE(F12172,""id"",""en"")"),"We champion the exciting world Messi through the stadium microphone after two goals and one penalty kick brought Argentina to win the world's biggest tournament title")</f>
        <v>We champion the exciting world Messi through the stadium microphone after two goals and one penalty kick brought Argentina to win the world's biggest tournament title</v>
      </c>
    </row>
    <row r="12173" ht="15.75" customHeight="1">
      <c r="A12173" s="1">
        <v>13443.0</v>
      </c>
      <c r="B12173" s="3" t="s">
        <v>34543</v>
      </c>
      <c r="C12173" s="3">
        <v>0.0</v>
      </c>
      <c r="D12173" s="3">
        <v>0.0</v>
      </c>
      <c r="E12173" s="3">
        <v>5.0</v>
      </c>
      <c r="F12173" s="3" t="s">
        <v>34544</v>
      </c>
      <c r="G12173" s="3">
        <v>0.0</v>
      </c>
      <c r="H12173" s="3">
        <v>0.0</v>
      </c>
      <c r="I12173" s="3" t="s">
        <v>13</v>
      </c>
      <c r="J12173" s="3" t="s">
        <v>34545</v>
      </c>
      <c r="K12173" s="3" t="s">
        <v>15</v>
      </c>
      <c r="L12173" s="3" t="str">
        <f>IFERROR(__xludf.DUMMYFUNCTION("GOOGLETRANSLATE(F12173,""id"",""en"")"),"Argentina Champion World Cup Albiceleste Hero Penalties")</f>
        <v>Argentina Champion World Cup Albiceleste Hero Penalties</v>
      </c>
    </row>
    <row r="12174" ht="15.75" customHeight="1">
      <c r="A12174" s="1">
        <v>13444.0</v>
      </c>
      <c r="B12174" s="3" t="s">
        <v>34546</v>
      </c>
      <c r="C12174" s="3">
        <v>0.0</v>
      </c>
      <c r="D12174" s="3">
        <v>0.0</v>
      </c>
      <c r="E12174" s="3">
        <v>0.0</v>
      </c>
      <c r="F12174" s="3" t="s">
        <v>34547</v>
      </c>
      <c r="G12174" s="3">
        <v>0.0</v>
      </c>
      <c r="H12174" s="3">
        <v>0.0</v>
      </c>
      <c r="I12174" s="3" t="s">
        <v>13</v>
      </c>
      <c r="J12174" s="3" t="s">
        <v>34548</v>
      </c>
      <c r="K12174" s="3" t="s">
        <v>58</v>
      </c>
      <c r="L12174" s="3" t="str">
        <f>IFERROR(__xludf.DUMMYFUNCTION("GOOGLETRANSLATE(F12174,""id"",""en"")"),"The Power Sholawat finally brought Argentina the video background champion was edited by Argentine fans")</f>
        <v>The Power Sholawat finally brought Argentina the video background champion was edited by Argentine fans</v>
      </c>
    </row>
    <row r="12175" ht="15.75" customHeight="1">
      <c r="A12175" s="1">
        <v>13445.0</v>
      </c>
      <c r="B12175" s="3" t="s">
        <v>34549</v>
      </c>
      <c r="C12175" s="3">
        <v>0.0</v>
      </c>
      <c r="D12175" s="3">
        <v>0.0</v>
      </c>
      <c r="E12175" s="3">
        <v>0.0</v>
      </c>
      <c r="F12175" s="3" t="s">
        <v>34550</v>
      </c>
      <c r="G12175" s="3">
        <v>0.0</v>
      </c>
      <c r="H12175" s="3">
        <v>0.0</v>
      </c>
      <c r="I12175" s="3" t="s">
        <v>13</v>
      </c>
      <c r="J12175" s="3" t="s">
        <v>34551</v>
      </c>
      <c r="K12175" s="3" t="s">
        <v>41</v>
      </c>
      <c r="L12175" s="3" t="str">
        <f>IFERROR(__xludf.DUMMYFUNCTION("GOOGLETRANSLATE(F12175,""id"",""en"")"),"Complete List of World Cup Champion History of the Third Argentine Trophy")</f>
        <v>Complete List of World Cup Champion History of the Third Argentine Trophy</v>
      </c>
    </row>
    <row r="12176" ht="15.75" customHeight="1">
      <c r="A12176" s="1">
        <v>13446.0</v>
      </c>
      <c r="B12176" s="3" t="s">
        <v>34552</v>
      </c>
      <c r="C12176" s="3">
        <v>0.0</v>
      </c>
      <c r="D12176" s="3">
        <v>0.0</v>
      </c>
      <c r="E12176" s="3">
        <v>0.0</v>
      </c>
      <c r="F12176" s="3" t="s">
        <v>34553</v>
      </c>
      <c r="G12176" s="3">
        <v>0.0</v>
      </c>
      <c r="H12176" s="3">
        <v>0.0</v>
      </c>
      <c r="I12176" s="3" t="s">
        <v>13</v>
      </c>
      <c r="J12176" s="3" t="s">
        <v>34554</v>
      </c>
      <c r="K12176" s="3" t="s">
        <v>75</v>
      </c>
      <c r="L12176" s="3" t="str">
        <f>IFERROR(__xludf.DUMMYFUNCTION("GOOGLETRANSLATE(F12176,""id"",""en"")"),"Want to like it or not it's true that the World Cup is set for Messi Argentina Champion")</f>
        <v>Want to like it or not it's true that the World Cup is set for Messi Argentina Champion</v>
      </c>
    </row>
    <row r="12177" ht="15.75" customHeight="1">
      <c r="A12177" s="1">
        <v>13447.0</v>
      </c>
      <c r="B12177" s="3" t="s">
        <v>34555</v>
      </c>
      <c r="C12177" s="3">
        <v>0.0</v>
      </c>
      <c r="D12177" s="3">
        <v>0.0</v>
      </c>
      <c r="E12177" s="3">
        <v>2.0</v>
      </c>
      <c r="F12177" s="3" t="s">
        <v>34556</v>
      </c>
      <c r="G12177" s="3">
        <v>0.1666666666666667</v>
      </c>
      <c r="H12177" s="3">
        <v>0.1666666666666667</v>
      </c>
      <c r="I12177" s="3" t="s">
        <v>48</v>
      </c>
      <c r="J12177" s="3" t="s">
        <v>34557</v>
      </c>
      <c r="K12177" s="3" t="s">
        <v>1086</v>
      </c>
      <c r="L12177" s="3" t="str">
        <f>IFERROR(__xludf.DUMMYFUNCTION("GOOGLETRANSLATE(F12177,""id"",""en"")"),"Can understand what Kylian Mbappe feels even though he became a top score but he was even sad to be disappointed and was devastated because he failed to bring France to win his third trophy and failed")</f>
        <v>Can understand what Kylian Mbappe feels even though he became a top score but he was even sad to be disappointed and was devastated because he failed to bring France to win his third trophy and failed</v>
      </c>
    </row>
    <row r="12178" ht="15.75" customHeight="1">
      <c r="A12178" s="1">
        <v>13448.0</v>
      </c>
      <c r="B12178" s="3" t="s">
        <v>34558</v>
      </c>
      <c r="C12178" s="3">
        <v>0.0</v>
      </c>
      <c r="D12178" s="3">
        <v>0.0</v>
      </c>
      <c r="E12178" s="3">
        <v>0.0</v>
      </c>
      <c r="F12178" s="3" t="s">
        <v>34559</v>
      </c>
      <c r="G12178" s="3">
        <v>0.0</v>
      </c>
      <c r="H12178" s="3">
        <v>0.0</v>
      </c>
      <c r="I12178" s="3" t="s">
        <v>13</v>
      </c>
      <c r="J12178" s="3" t="s">
        <v>34560</v>
      </c>
      <c r="K12178" s="3" t="s">
        <v>1970</v>
      </c>
      <c r="L12178" s="3" t="str">
        <f>IFERROR(__xludf.DUMMYFUNCTION("GOOGLETRANSLATE(F12178,""id"",""en"")"),"Pandit Bodo is very best or does not care clearly Messi has fulfilled the dream of childhood and many of the dreams of Argentine supporters are the champions for the third Kempes Maradona Messi")</f>
        <v>Pandit Bodo is very best or does not care clearly Messi has fulfilled the dream of childhood and many of the dreams of Argentine supporters are the champions for the third Kempes Maradona Messi</v>
      </c>
    </row>
    <row r="12179" ht="15.75" customHeight="1">
      <c r="A12179" s="1">
        <v>13449.0</v>
      </c>
      <c r="B12179" s="3" t="s">
        <v>34561</v>
      </c>
      <c r="C12179" s="3">
        <v>0.0</v>
      </c>
      <c r="D12179" s="3">
        <v>1.0</v>
      </c>
      <c r="E12179" s="3">
        <v>4.0</v>
      </c>
      <c r="F12179" s="3" t="s">
        <v>34562</v>
      </c>
      <c r="G12179" s="3">
        <v>0.2333333333333333</v>
      </c>
      <c r="H12179" s="3">
        <v>-0.25</v>
      </c>
      <c r="I12179" s="3" t="s">
        <v>179</v>
      </c>
      <c r="J12179" s="3" t="s">
        <v>34563</v>
      </c>
      <c r="K12179" s="3" t="s">
        <v>75</v>
      </c>
      <c r="L12179" s="3" t="str">
        <f>IFERROR(__xludf.DUMMYFUNCTION("GOOGLETRANSLATE(F12179,""id"",""en"")"),"The World Cup Champion Parade from various Brazilian Argentine era champions")</f>
        <v>The World Cup Champion Parade from various Brazilian Argentine era champions</v>
      </c>
    </row>
    <row r="12180" ht="15.75" customHeight="1">
      <c r="A12180" s="1">
        <v>13450.0</v>
      </c>
      <c r="B12180" s="3" t="s">
        <v>34564</v>
      </c>
      <c r="C12180" s="3">
        <v>0.0</v>
      </c>
      <c r="D12180" s="3">
        <v>3.0</v>
      </c>
      <c r="E12180" s="3">
        <v>0.0</v>
      </c>
      <c r="F12180" s="3" t="s">
        <v>34565</v>
      </c>
      <c r="G12180" s="3">
        <v>0.0</v>
      </c>
      <c r="H12180" s="3">
        <v>0.0</v>
      </c>
      <c r="I12180" s="3" t="s">
        <v>13</v>
      </c>
      <c r="J12180" s="3" t="s">
        <v>34566</v>
      </c>
      <c r="K12180" s="3" t="s">
        <v>75</v>
      </c>
      <c r="L12180" s="3" t="str">
        <f>IFERROR(__xludf.DUMMYFUNCTION("GOOGLETRANSLATE(F12180,""id"",""en"")"),"Argentina Champion World Cup Lionel Messi Sabet Holds the Best Player")</f>
        <v>Argentina Champion World Cup Lionel Messi Sabet Holds the Best Player</v>
      </c>
    </row>
    <row r="12181" ht="15.75" customHeight="1">
      <c r="A12181" s="1">
        <v>13451.0</v>
      </c>
      <c r="B12181" s="3" t="s">
        <v>34567</v>
      </c>
      <c r="C12181" s="3">
        <v>0.0</v>
      </c>
      <c r="D12181" s="3">
        <v>4.0</v>
      </c>
      <c r="E12181" s="3">
        <v>0.0</v>
      </c>
      <c r="F12181" s="3" t="s">
        <v>34565</v>
      </c>
      <c r="G12181" s="3">
        <v>0.0</v>
      </c>
      <c r="H12181" s="3">
        <v>0.0</v>
      </c>
      <c r="I12181" s="3" t="s">
        <v>13</v>
      </c>
      <c r="J12181" s="3" t="s">
        <v>34566</v>
      </c>
      <c r="K12181" s="3" t="s">
        <v>75</v>
      </c>
      <c r="L12181" s="3" t="str">
        <f>IFERROR(__xludf.DUMMYFUNCTION("GOOGLETRANSLATE(F12181,""id"",""en"")"),"Argentina Champion World Cup Lionel Messi Sabet Holds the Best Player")</f>
        <v>Argentina Champion World Cup Lionel Messi Sabet Holds the Best Player</v>
      </c>
    </row>
    <row r="12182" ht="15.75" customHeight="1">
      <c r="A12182" s="1">
        <v>13452.0</v>
      </c>
      <c r="B12182" s="3" t="s">
        <v>34568</v>
      </c>
      <c r="C12182" s="3">
        <v>0.0</v>
      </c>
      <c r="D12182" s="3">
        <v>0.0</v>
      </c>
      <c r="E12182" s="3">
        <v>0.0</v>
      </c>
      <c r="F12182" s="3" t="s">
        <v>34538</v>
      </c>
      <c r="G12182" s="3">
        <v>0.0</v>
      </c>
      <c r="H12182" s="3">
        <v>0.0</v>
      </c>
      <c r="I12182" s="3" t="s">
        <v>13</v>
      </c>
      <c r="J12182" s="3" t="s">
        <v>34539</v>
      </c>
      <c r="K12182" s="3" t="s">
        <v>15</v>
      </c>
      <c r="L12182" s="3" t="str">
        <f>IFERROR(__xludf.DUMMYFUNCTION("GOOGLETRANSLATE(F12182,""id"",""en"")"),"End of waiting for the year Argentina Champion World Cup Qatar")</f>
        <v>End of waiting for the year Argentina Champion World Cup Qatar</v>
      </c>
    </row>
    <row r="12183" ht="15.75" customHeight="1">
      <c r="A12183" s="1">
        <v>13453.0</v>
      </c>
      <c r="B12183" s="3" t="s">
        <v>34569</v>
      </c>
      <c r="C12183" s="3">
        <v>0.0</v>
      </c>
      <c r="D12183" s="3">
        <v>0.0</v>
      </c>
      <c r="E12183" s="3">
        <v>1.0</v>
      </c>
      <c r="F12183" s="3" t="s">
        <v>34570</v>
      </c>
      <c r="G12183" s="3">
        <v>0.0</v>
      </c>
      <c r="H12183" s="3">
        <v>0.0</v>
      </c>
      <c r="I12183" s="3" t="s">
        <v>13</v>
      </c>
      <c r="J12183" s="3" t="s">
        <v>34571</v>
      </c>
      <c r="K12183" s="3" t="s">
        <v>244</v>
      </c>
      <c r="L12183" s="3" t="str">
        <f>IFERROR(__xludf.DUMMYFUNCTION("GOOGLETRANSLATE(F12183,""id"",""en"")"),"Same Min can sleep because of Argentina King Goat Messi champions Pilduun")</f>
        <v>Same Min can sleep because of Argentina King Goat Messi champions Pilduun</v>
      </c>
    </row>
    <row r="12184" ht="15.75" customHeight="1">
      <c r="A12184" s="1">
        <v>13454.0</v>
      </c>
      <c r="B12184" s="3" t="s">
        <v>34572</v>
      </c>
      <c r="C12184" s="3">
        <v>1.0</v>
      </c>
      <c r="D12184" s="3">
        <v>0.0</v>
      </c>
      <c r="E12184" s="3">
        <v>3.0</v>
      </c>
      <c r="F12184" s="3" t="s">
        <v>34573</v>
      </c>
      <c r="G12184" s="3">
        <v>1.0</v>
      </c>
      <c r="H12184" s="3">
        <v>0.0</v>
      </c>
      <c r="I12184" s="3" t="s">
        <v>13</v>
      </c>
      <c r="J12184" s="3" t="s">
        <v>34574</v>
      </c>
      <c r="K12184" s="3" t="s">
        <v>1656</v>
      </c>
      <c r="L12184" s="3" t="str">
        <f>IFERROR(__xludf.DUMMYFUNCTION("GOOGLETRANSLATE(F12184,""id"",""en"")"),"Lionel Messi Said Ututu Tayangg yaa tum unchh pildun heart champion Messi Argentina Nobar Aquadulu Brilianfest World Cup Final FIFA World Cup Qatar All Argentina")</f>
        <v>Lionel Messi Said Ututu Tayangg yaa tum unchh pildun heart champion Messi Argentina Nobar Aquadulu Brilianfest World Cup Final FIFA World Cup Qatar All Argentina</v>
      </c>
    </row>
    <row r="12185" ht="15.75" customHeight="1">
      <c r="A12185" s="1">
        <v>13455.0</v>
      </c>
      <c r="B12185" s="3" t="s">
        <v>34575</v>
      </c>
      <c r="C12185" s="3">
        <v>0.0</v>
      </c>
      <c r="D12185" s="3">
        <v>0.0</v>
      </c>
      <c r="E12185" s="3">
        <v>0.0</v>
      </c>
      <c r="F12185" s="3" t="s">
        <v>23029</v>
      </c>
      <c r="G12185" s="3">
        <v>0.0</v>
      </c>
      <c r="H12185" s="3">
        <v>0.0</v>
      </c>
      <c r="I12185" s="3" t="s">
        <v>13</v>
      </c>
      <c r="J12185" s="3" t="s">
        <v>23030</v>
      </c>
      <c r="K12185" s="3" t="s">
        <v>31</v>
      </c>
      <c r="L12185" s="3" t="str">
        <f>IFERROR(__xludf.DUMMYFUNCTION("GOOGLETRANSLATE(F12185,""id"",""en"")"),"Dramatic Argentina World Cup Champion")</f>
        <v>Dramatic Argentina World Cup Champion</v>
      </c>
    </row>
    <row r="12186" ht="15.75" customHeight="1">
      <c r="A12186" s="1">
        <v>13456.0</v>
      </c>
      <c r="B12186" s="3" t="s">
        <v>34576</v>
      </c>
      <c r="C12186" s="3">
        <v>0.0</v>
      </c>
      <c r="D12186" s="3">
        <v>0.0</v>
      </c>
      <c r="E12186" s="3">
        <v>0.0</v>
      </c>
      <c r="F12186" s="3" t="s">
        <v>34577</v>
      </c>
      <c r="G12186" s="3">
        <v>0.0</v>
      </c>
      <c r="H12186" s="3">
        <v>0.0</v>
      </c>
      <c r="I12186" s="3" t="s">
        <v>13</v>
      </c>
      <c r="J12186" s="3" t="s">
        <v>34578</v>
      </c>
      <c r="K12186" s="3" t="s">
        <v>633</v>
      </c>
      <c r="L12186" s="3" t="str">
        <f>IFERROR(__xludf.DUMMYFUNCTION("GOOGLETRANSLATE(F12186,""id"",""en"")"),"The headline of our country's media news the next day who would have thought the player who had brought Argentina to the World Cup champion had played the Indonesian League club")</f>
        <v>The headline of our country's media news the next day who would have thought the player who had brought Argentina to the World Cup champion had played the Indonesian League club</v>
      </c>
    </row>
    <row r="12187" ht="15.75" customHeight="1">
      <c r="A12187" s="1">
        <v>13457.0</v>
      </c>
      <c r="B12187" s="3" t="s">
        <v>34579</v>
      </c>
      <c r="C12187" s="3">
        <v>1.0</v>
      </c>
      <c r="D12187" s="3">
        <v>0.0</v>
      </c>
      <c r="E12187" s="3">
        <v>2.0</v>
      </c>
      <c r="F12187" s="3" t="s">
        <v>34580</v>
      </c>
      <c r="G12187" s="3">
        <v>0.3</v>
      </c>
      <c r="H12187" s="3">
        <v>1.0</v>
      </c>
      <c r="I12187" s="3" t="s">
        <v>48</v>
      </c>
      <c r="J12187" s="3" t="s">
        <v>34581</v>
      </c>
      <c r="K12187" s="3" t="s">
        <v>2610</v>
      </c>
      <c r="L12187" s="3" t="str">
        <f>IFERROR(__xludf.DUMMYFUNCTION("GOOGLETRANSLATE(F12187,""id"",""en"")"),"I am very happy to be the champion of the Argentina Congrats world champion, all of you warbiasah wins the Copa America finalissima FIFA World Cup Messi Goat Coach Scaloni Best")</f>
        <v>I am very happy to be the champion of the Argentina Congrats world champion, all of you warbiasah wins the Copa America finalissima FIFA World Cup Messi Goat Coach Scaloni Best</v>
      </c>
    </row>
    <row r="12188" ht="15.75" customHeight="1">
      <c r="A12188" s="1">
        <v>13458.0</v>
      </c>
      <c r="B12188" s="3" t="s">
        <v>34582</v>
      </c>
      <c r="C12188" s="3">
        <v>0.0</v>
      </c>
      <c r="D12188" s="3">
        <v>0.0</v>
      </c>
      <c r="E12188" s="3">
        <v>0.0</v>
      </c>
      <c r="F12188" s="3" t="s">
        <v>34535</v>
      </c>
      <c r="G12188" s="3">
        <v>0.0</v>
      </c>
      <c r="H12188" s="3">
        <v>0.0</v>
      </c>
      <c r="I12188" s="3" t="s">
        <v>13</v>
      </c>
      <c r="J12188" s="3" t="s">
        <v>34536</v>
      </c>
      <c r="K12188" s="3" t="s">
        <v>244</v>
      </c>
      <c r="L12188" s="3" t="str">
        <f>IFERROR(__xludf.DUMMYFUNCTION("GOOGLETRANSLATE(F12188,""id"",""en"")"),"Argentina Interesting Facts of World Cup Champion Messi Exceeding Ronaldo's Record")</f>
        <v>Argentina Interesting Facts of World Cup Champion Messi Exceeding Ronaldo's Record</v>
      </c>
    </row>
    <row r="12189" ht="15.75" customHeight="1">
      <c r="A12189" s="1">
        <v>13459.0</v>
      </c>
      <c r="B12189" s="3" t="s">
        <v>34583</v>
      </c>
      <c r="C12189" s="3">
        <v>0.0</v>
      </c>
      <c r="D12189" s="3">
        <v>0.0</v>
      </c>
      <c r="E12189" s="3">
        <v>0.0</v>
      </c>
      <c r="F12189" s="3" t="s">
        <v>34584</v>
      </c>
      <c r="G12189" s="3">
        <v>0.0</v>
      </c>
      <c r="H12189" s="3">
        <v>0.0</v>
      </c>
      <c r="I12189" s="3" t="s">
        <v>13</v>
      </c>
      <c r="J12189" s="3" t="s">
        <v>34585</v>
      </c>
      <c r="K12189" s="3" t="s">
        <v>657</v>
      </c>
      <c r="L12189" s="3" t="str">
        <f>IFERROR(__xludf.DUMMYFUNCTION("GOOGLETRANSLATE(F12189,""id"",""en"")"),"Later, I wake up, just check TVOne, Sis, usually the news there is different, maybe the champion is Argentina")</f>
        <v>Later, I wake up, just check TVOne, Sis, usually the news there is different, maybe the champion is Argentina</v>
      </c>
    </row>
    <row r="12190" ht="15.75" customHeight="1">
      <c r="A12190" s="1">
        <v>13460.0</v>
      </c>
      <c r="B12190" s="3" t="s">
        <v>34586</v>
      </c>
      <c r="C12190" s="3">
        <v>1.0</v>
      </c>
      <c r="D12190" s="3">
        <v>1.0</v>
      </c>
      <c r="E12190" s="3">
        <v>4.0</v>
      </c>
      <c r="F12190" s="3" t="s">
        <v>34587</v>
      </c>
      <c r="G12190" s="3">
        <v>0.0</v>
      </c>
      <c r="H12190" s="3">
        <v>0.0</v>
      </c>
      <c r="I12190" s="3" t="s">
        <v>13</v>
      </c>
      <c r="J12190" s="3" t="s">
        <v>34588</v>
      </c>
      <c r="K12190" s="3" t="s">
        <v>54</v>
      </c>
      <c r="L12190" s="3" t="str">
        <f>IFERROR(__xludf.DUMMYFUNCTION("GOOGLETRANSLATE(F12190,""id"",""en"")"),"Finally Argentina World Champion FIFA Wordcup")</f>
        <v>Finally Argentina World Champion FIFA Wordcup</v>
      </c>
    </row>
    <row r="12191" ht="15.75" customHeight="1">
      <c r="A12191" s="1">
        <v>13461.0</v>
      </c>
      <c r="B12191" s="3" t="s">
        <v>34589</v>
      </c>
      <c r="C12191" s="3">
        <v>0.0</v>
      </c>
      <c r="D12191" s="3">
        <v>1.0</v>
      </c>
      <c r="E12191" s="3">
        <v>2.0</v>
      </c>
      <c r="F12191" s="3" t="s">
        <v>32748</v>
      </c>
      <c r="G12191" s="3">
        <v>0.0</v>
      </c>
      <c r="H12191" s="3">
        <v>0.0</v>
      </c>
      <c r="I12191" s="3" t="s">
        <v>13</v>
      </c>
      <c r="J12191" s="3" t="s">
        <v>32749</v>
      </c>
      <c r="K12191" s="3" t="s">
        <v>31</v>
      </c>
      <c r="L12191" s="3" t="str">
        <f>IFERROR(__xludf.DUMMYFUNCTION("GOOGLETRANSLATE(F12191,""id"",""en"")"),"Argentina and Messi Champion Debate Ends")</f>
        <v>Argentina and Messi Champion Debate Ends</v>
      </c>
    </row>
    <row r="12192" ht="15.75" customHeight="1">
      <c r="A12192" s="1">
        <v>13462.0</v>
      </c>
      <c r="B12192" s="3" t="s">
        <v>34590</v>
      </c>
      <c r="C12192" s="3">
        <v>0.0</v>
      </c>
      <c r="D12192" s="3">
        <v>1.0</v>
      </c>
      <c r="E12192" s="3">
        <v>22.0</v>
      </c>
      <c r="F12192" s="3" t="s">
        <v>34591</v>
      </c>
      <c r="G12192" s="3">
        <v>0.0</v>
      </c>
      <c r="H12192" s="3">
        <v>0.0</v>
      </c>
      <c r="I12192" s="3" t="s">
        <v>13</v>
      </c>
      <c r="J12192" s="3" t="s">
        <v>34592</v>
      </c>
      <c r="K12192" s="3" t="s">
        <v>41</v>
      </c>
      <c r="L12192" s="3" t="str">
        <f>IFERROR(__xludf.DUMMYFUNCTION("GOOGLETRANSLATE(F12192,""id"",""en"")"),"Messi's crying video after Argentina finally champions of the World Cup")</f>
        <v>Messi's crying video after Argentina finally champions of the World Cup</v>
      </c>
    </row>
    <row r="12193" ht="15.75" customHeight="1">
      <c r="A12193" s="1">
        <v>13463.0</v>
      </c>
      <c r="B12193" s="3" t="s">
        <v>34593</v>
      </c>
      <c r="C12193" s="3">
        <v>1.0</v>
      </c>
      <c r="D12193" s="3">
        <v>2.0</v>
      </c>
      <c r="E12193" s="3">
        <v>10.0</v>
      </c>
      <c r="F12193" s="3" t="s">
        <v>34594</v>
      </c>
      <c r="G12193" s="3">
        <v>0.0</v>
      </c>
      <c r="H12193" s="3">
        <v>0.0</v>
      </c>
      <c r="I12193" s="3" t="s">
        <v>13</v>
      </c>
      <c r="J12193" s="3" t="s">
        <v>34595</v>
      </c>
      <c r="K12193" s="3" t="s">
        <v>54</v>
      </c>
      <c r="L12193" s="3" t="str">
        <f>IFERROR(__xludf.DUMMYFUNCTION("GOOGLETRANSLATE(F12193,""id"",""en"")"),"Argentina World Champion Lionel Messi still doesn't want to retire")</f>
        <v>Argentina World Champion Lionel Messi still doesn't want to retire</v>
      </c>
    </row>
    <row r="12194" ht="15.75" customHeight="1">
      <c r="A12194" s="1">
        <v>13464.0</v>
      </c>
      <c r="B12194" s="3" t="s">
        <v>34596</v>
      </c>
      <c r="C12194" s="3">
        <v>0.0</v>
      </c>
      <c r="D12194" s="3">
        <v>0.0</v>
      </c>
      <c r="E12194" s="3">
        <v>0.0</v>
      </c>
      <c r="F12194" s="3" t="s">
        <v>34597</v>
      </c>
      <c r="G12194" s="3">
        <v>1.0</v>
      </c>
      <c r="H12194" s="3">
        <v>0.8</v>
      </c>
      <c r="I12194" s="3" t="s">
        <v>48</v>
      </c>
      <c r="J12194" s="3" t="s">
        <v>34598</v>
      </c>
      <c r="K12194" s="3" t="s">
        <v>15</v>
      </c>
      <c r="L12194" s="3" t="str">
        <f>IFERROR(__xludf.DUMMYFUNCTION("GOOGLETRANSLATE(F12194,""id"",""en"")"),"Happy Ending for Lionel Messi Argentina Champion World Cup")</f>
        <v>Happy Ending for Lionel Messi Argentina Champion World Cup</v>
      </c>
    </row>
    <row r="12195" ht="15.75" customHeight="1">
      <c r="A12195" s="1">
        <v>13465.0</v>
      </c>
      <c r="B12195" s="3" t="s">
        <v>34599</v>
      </c>
      <c r="C12195" s="3">
        <v>0.0</v>
      </c>
      <c r="D12195" s="3">
        <v>0.0</v>
      </c>
      <c r="E12195" s="3">
        <v>0.0</v>
      </c>
      <c r="F12195" s="3" t="s">
        <v>34600</v>
      </c>
      <c r="G12195" s="3">
        <v>0.0</v>
      </c>
      <c r="H12195" s="3">
        <v>0.0</v>
      </c>
      <c r="I12195" s="3" t="s">
        <v>13</v>
      </c>
      <c r="J12195" s="3" t="s">
        <v>34601</v>
      </c>
      <c r="K12195" s="3" t="s">
        <v>75</v>
      </c>
      <c r="L12195" s="3" t="str">
        <f>IFERROR(__xludf.DUMMYFUNCTION("GOOGLETRANSLATE(F12195,""id"",""en"")"),"Kek really waiting for a baby to bring Argentina the championship time and that Messi")</f>
        <v>Kek really waiting for a baby to bring Argentina the championship time and that Messi</v>
      </c>
    </row>
    <row r="12196" ht="15.75" customHeight="1">
      <c r="A12196" s="1">
        <v>13466.0</v>
      </c>
      <c r="B12196" s="3" t="s">
        <v>34602</v>
      </c>
      <c r="C12196" s="3">
        <v>0.0</v>
      </c>
      <c r="D12196" s="3">
        <v>1.0</v>
      </c>
      <c r="E12196" s="3">
        <v>2.0</v>
      </c>
      <c r="F12196" s="3" t="s">
        <v>34603</v>
      </c>
      <c r="G12196" s="3">
        <v>0.0</v>
      </c>
      <c r="H12196" s="3">
        <v>0.0</v>
      </c>
      <c r="I12196" s="3" t="s">
        <v>13</v>
      </c>
      <c r="J12196" s="3" t="s">
        <v>34604</v>
      </c>
      <c r="K12196" s="3" t="s">
        <v>510</v>
      </c>
      <c r="L12196" s="3" t="str">
        <f>IFERROR(__xludf.DUMMYFUNCTION("GOOGLETRANSLATE(F12196,""id"",""en"")"),"I don't care about Argentina or France so the champion is because I care that only your presence has become the champion of my heart, bro")</f>
        <v>I don't care about Argentina or France so the champion is because I care that only your presence has become the champion of my heart, bro</v>
      </c>
    </row>
    <row r="12197" ht="15.75" customHeight="1">
      <c r="A12197" s="1">
        <v>13467.0</v>
      </c>
      <c r="B12197" s="3" t="s">
        <v>34605</v>
      </c>
      <c r="C12197" s="3">
        <v>0.0</v>
      </c>
      <c r="D12197" s="3">
        <v>0.0</v>
      </c>
      <c r="E12197" s="3">
        <v>0.0</v>
      </c>
      <c r="F12197" s="3" t="s">
        <v>34606</v>
      </c>
      <c r="G12197" s="3">
        <v>0.0</v>
      </c>
      <c r="H12197" s="3">
        <v>0.0</v>
      </c>
      <c r="I12197" s="3" t="s">
        <v>13</v>
      </c>
      <c r="J12197" s="3" t="s">
        <v>34607</v>
      </c>
      <c r="K12197" s="3" t="s">
        <v>644</v>
      </c>
      <c r="L12197" s="3" t="str">
        <f>IFERROR(__xludf.DUMMYFUNCTION("GOOGLETRANSLATE(F12197,""id"",""en"")"),"Bodoamat Important Argentina Champion")</f>
        <v>Bodoamat Important Argentina Champion</v>
      </c>
    </row>
    <row r="12198" ht="15.75" customHeight="1">
      <c r="A12198" s="1">
        <v>13468.0</v>
      </c>
      <c r="B12198" s="3" t="s">
        <v>34608</v>
      </c>
      <c r="C12198" s="3">
        <v>0.0</v>
      </c>
      <c r="D12198" s="3">
        <v>0.0</v>
      </c>
      <c r="E12198" s="3">
        <v>0.0</v>
      </c>
      <c r="F12198" s="3" t="s">
        <v>34609</v>
      </c>
      <c r="G12198" s="3">
        <v>0.0</v>
      </c>
      <c r="H12198" s="3">
        <v>0.0</v>
      </c>
      <c r="I12198" s="3" t="s">
        <v>13</v>
      </c>
      <c r="J12198" s="3" t="s">
        <v>34610</v>
      </c>
      <c r="K12198" s="3" t="s">
        <v>54</v>
      </c>
      <c r="L12198" s="3" t="str">
        <f>IFERROR(__xludf.DUMMYFUNCTION("GOOGLETRANSLATE(F12198,""id"",""en"")"),"Ciee Argentina World Champion Chukka Hyeong")</f>
        <v>Ciee Argentina World Champion Chukka Hyeong</v>
      </c>
    </row>
    <row r="12199" ht="15.75" customHeight="1">
      <c r="A12199" s="1">
        <v>13469.0</v>
      </c>
      <c r="B12199" s="3" t="s">
        <v>34611</v>
      </c>
      <c r="C12199" s="3">
        <v>0.0</v>
      </c>
      <c r="D12199" s="3">
        <v>1.0</v>
      </c>
      <c r="E12199" s="3">
        <v>0.0</v>
      </c>
      <c r="F12199" s="3" t="s">
        <v>34612</v>
      </c>
      <c r="G12199" s="3">
        <v>0.0</v>
      </c>
      <c r="H12199" s="3">
        <v>0.0</v>
      </c>
      <c r="I12199" s="3" t="s">
        <v>13</v>
      </c>
      <c r="J12199" s="3" t="s">
        <v>34613</v>
      </c>
      <c r="K12199" s="3" t="s">
        <v>236</v>
      </c>
      <c r="L12199" s="3" t="str">
        <f>IFERROR(__xludf.DUMMYFUNCTION("GOOGLETRANSLATE(F12199,""id"",""en"")"),"Dramatic Seconds Lionel Messi Bring Argentina World Cup Champion")</f>
        <v>Dramatic Seconds Lionel Messi Bring Argentina World Cup Champion</v>
      </c>
    </row>
    <row r="12200" ht="15.75" customHeight="1">
      <c r="A12200" s="1">
        <v>13470.0</v>
      </c>
      <c r="B12200" s="3" t="s">
        <v>34614</v>
      </c>
      <c r="C12200" s="3">
        <v>0.0</v>
      </c>
      <c r="D12200" s="3">
        <v>1.0</v>
      </c>
      <c r="E12200" s="3">
        <v>0.0</v>
      </c>
      <c r="F12200" s="3" t="s">
        <v>34615</v>
      </c>
      <c r="G12200" s="3">
        <v>0.0</v>
      </c>
      <c r="H12200" s="3">
        <v>0.0</v>
      </c>
      <c r="I12200" s="3" t="s">
        <v>13</v>
      </c>
      <c r="J12200" s="3" t="s">
        <v>34616</v>
      </c>
      <c r="K12200" s="3" t="s">
        <v>82</v>
      </c>
      <c r="L12200" s="3" t="str">
        <f>IFERROR(__xludf.DUMMYFUNCTION("GOOGLETRANSLATE(F12200,""id"",""en"")"),"Argentina Champion World Cup Messi Best Player")</f>
        <v>Argentina Champion World Cup Messi Best Player</v>
      </c>
    </row>
    <row r="12201" ht="15.75" customHeight="1">
      <c r="A12201" s="1">
        <v>13471.0</v>
      </c>
      <c r="B12201" s="3" t="s">
        <v>34617</v>
      </c>
      <c r="C12201" s="3">
        <v>0.0</v>
      </c>
      <c r="D12201" s="3">
        <v>1.0</v>
      </c>
      <c r="E12201" s="3">
        <v>0.0</v>
      </c>
      <c r="F12201" s="3" t="s">
        <v>25456</v>
      </c>
      <c r="G12201" s="3">
        <v>0.0</v>
      </c>
      <c r="H12201" s="3">
        <v>0.0</v>
      </c>
      <c r="I12201" s="3" t="s">
        <v>13</v>
      </c>
      <c r="J12201" s="3" t="s">
        <v>25457</v>
      </c>
      <c r="K12201" s="3" t="s">
        <v>41</v>
      </c>
      <c r="L12201" s="3" t="str">
        <f>IFERROR(__xludf.DUMMYFUNCTION("GOOGLETRANSLATE(F12201,""id"",""en"")"),"Argentina Champion World Cup after defeating France through penalties")</f>
        <v>Argentina Champion World Cup after defeating France through penalties</v>
      </c>
    </row>
    <row r="12202" ht="15.75" customHeight="1">
      <c r="A12202" s="1">
        <v>13472.0</v>
      </c>
      <c r="B12202" s="3" t="s">
        <v>34618</v>
      </c>
      <c r="C12202" s="3">
        <v>0.0</v>
      </c>
      <c r="D12202" s="3">
        <v>0.0</v>
      </c>
      <c r="E12202" s="3">
        <v>0.0</v>
      </c>
      <c r="F12202" s="3" t="s">
        <v>34619</v>
      </c>
      <c r="G12202" s="3">
        <v>0.0</v>
      </c>
      <c r="H12202" s="3">
        <v>0.0</v>
      </c>
      <c r="I12202" s="3" t="s">
        <v>13</v>
      </c>
      <c r="J12202" s="3" t="s">
        <v>34620</v>
      </c>
      <c r="K12202" s="3" t="s">
        <v>31</v>
      </c>
      <c r="L12202" s="3" t="str">
        <f>IFERROR(__xludf.DUMMYFUNCTION("GOOGLETRANSLATE(F12202,""id"",""en"")"),"Crazy Champion Hhahaa Congrats Argentina")</f>
        <v>Crazy Champion Hhahaa Congrats Argentina</v>
      </c>
    </row>
    <row r="12203" ht="15.75" customHeight="1">
      <c r="A12203" s="1">
        <v>13473.0</v>
      </c>
      <c r="B12203" s="3" t="s">
        <v>34621</v>
      </c>
      <c r="C12203" s="3">
        <v>0.0</v>
      </c>
      <c r="D12203" s="3">
        <v>0.0</v>
      </c>
      <c r="E12203" s="3">
        <v>0.0</v>
      </c>
      <c r="F12203" s="3" t="s">
        <v>34622</v>
      </c>
      <c r="G12203" s="3">
        <v>0.0</v>
      </c>
      <c r="H12203" s="3">
        <v>0.0</v>
      </c>
      <c r="I12203" s="3" t="s">
        <v>13</v>
      </c>
      <c r="J12203" s="3" t="s">
        <v>34623</v>
      </c>
      <c r="K12203" s="3" t="s">
        <v>644</v>
      </c>
      <c r="L12203" s="3" t="str">
        <f>IFERROR(__xludf.DUMMYFUNCTION("GOOGLETRANSLATE(F12203,""id"",""en"")"),"sleep soundly because of Argentina champions")</f>
        <v>sleep soundly because of Argentina champions</v>
      </c>
    </row>
    <row r="12204" ht="15.75" customHeight="1">
      <c r="A12204" s="1">
        <v>13474.0</v>
      </c>
      <c r="B12204" s="3" t="s">
        <v>34624</v>
      </c>
      <c r="C12204" s="3">
        <v>0.0</v>
      </c>
      <c r="D12204" s="3">
        <v>0.0</v>
      </c>
      <c r="E12204" s="3">
        <v>0.0</v>
      </c>
      <c r="F12204" s="3" t="s">
        <v>34625</v>
      </c>
      <c r="G12204" s="3">
        <v>1.0</v>
      </c>
      <c r="H12204" s="3">
        <v>0.0</v>
      </c>
      <c r="I12204" s="3" t="s">
        <v>13</v>
      </c>
      <c r="J12204" s="3" t="s">
        <v>34626</v>
      </c>
      <c r="K12204" s="3" t="s">
        <v>2375</v>
      </c>
      <c r="L12204" s="3" t="str">
        <f>IFERROR(__xludf.DUMMYFUNCTION("GOOGLETRANSLATE(F12204,""id"",""en"")"),"Final tonight, Adek won Argentina, I am okay, my penaltian, Argentina, champion, wake up, wake up.")</f>
        <v>Final tonight, Adek won Argentina, I am okay, my penaltian, Argentina, champion, wake up, wake up.</v>
      </c>
    </row>
    <row r="12205" ht="15.75" customHeight="1">
      <c r="A12205" s="1">
        <v>13475.0</v>
      </c>
      <c r="B12205" s="3" t="s">
        <v>34627</v>
      </c>
      <c r="C12205" s="3">
        <v>0.0</v>
      </c>
      <c r="D12205" s="3">
        <v>0.0</v>
      </c>
      <c r="E12205" s="3">
        <v>0.0</v>
      </c>
      <c r="F12205" s="3" t="s">
        <v>34628</v>
      </c>
      <c r="G12205" s="3">
        <v>0.0</v>
      </c>
      <c r="H12205" s="3">
        <v>0.0</v>
      </c>
      <c r="I12205" s="3" t="s">
        <v>13</v>
      </c>
      <c r="J12205" s="3" t="s">
        <v>34629</v>
      </c>
      <c r="K12205" s="3" t="s">
        <v>15</v>
      </c>
      <c r="L12205" s="3" t="str">
        <f>IFERROR(__xludf.DUMMYFUNCTION("GOOGLETRANSLATE(F12205,""id"",""en"")"),"The Mission of the Complete Plan to be held by Messi Argentina deserves the championship")</f>
        <v>The Mission of the Complete Plan to be held by Messi Argentina deserves the championship</v>
      </c>
    </row>
    <row r="12206" ht="15.75" customHeight="1">
      <c r="A12206" s="1">
        <v>13476.0</v>
      </c>
      <c r="B12206" s="3" t="s">
        <v>34630</v>
      </c>
      <c r="C12206" s="3">
        <v>0.0</v>
      </c>
      <c r="D12206" s="3">
        <v>0.0</v>
      </c>
      <c r="E12206" s="3">
        <v>0.0</v>
      </c>
      <c r="F12206" s="3" t="s">
        <v>34631</v>
      </c>
      <c r="G12206" s="3">
        <v>0.0</v>
      </c>
      <c r="H12206" s="3">
        <v>0.0</v>
      </c>
      <c r="I12206" s="3" t="s">
        <v>13</v>
      </c>
      <c r="J12206" s="3" t="s">
        <v>34632</v>
      </c>
      <c r="K12206" s="3" t="s">
        <v>699</v>
      </c>
      <c r="L12206" s="3" t="str">
        <f>IFERROR(__xludf.DUMMYFUNCTION("GOOGLETRANSLATE(F12206,""id"",""en"")"),"The important actor behind the success of Argentina besides the goalkeeper Emiliano Martinez champion Copa America Champion Finalalizing World Cup Champion")</f>
        <v>The important actor behind the success of Argentina besides the goalkeeper Emiliano Martinez champion Copa America Champion Finalalizing World Cup Champion</v>
      </c>
    </row>
    <row r="12207" ht="15.75" customHeight="1">
      <c r="A12207" s="1">
        <v>13477.0</v>
      </c>
      <c r="B12207" s="3" t="s">
        <v>34633</v>
      </c>
      <c r="C12207" s="3">
        <v>0.0</v>
      </c>
      <c r="D12207" s="3">
        <v>0.0</v>
      </c>
      <c r="E12207" s="3">
        <v>1.0</v>
      </c>
      <c r="F12207" s="3" t="s">
        <v>25226</v>
      </c>
      <c r="G12207" s="3">
        <v>0.0</v>
      </c>
      <c r="H12207" s="3">
        <v>0.0</v>
      </c>
      <c r="I12207" s="3" t="s">
        <v>13</v>
      </c>
      <c r="J12207" s="3" t="s">
        <v>25227</v>
      </c>
      <c r="K12207" s="3" t="s">
        <v>41</v>
      </c>
      <c r="L12207" s="3" t="str">
        <f>IFERROR(__xludf.DUMMYFUNCTION("GOOGLETRANSLATE(F12207,""id"",""en"")"),"Scaloni invited the Argentine people to enjoy the success of the World Cup championship")</f>
        <v>Scaloni invited the Argentine people to enjoy the success of the World Cup championship</v>
      </c>
    </row>
    <row r="12208" ht="15.75" customHeight="1">
      <c r="A12208" s="1">
        <v>13478.0</v>
      </c>
      <c r="B12208" s="3" t="s">
        <v>34634</v>
      </c>
      <c r="C12208" s="3">
        <v>0.0</v>
      </c>
      <c r="D12208" s="3">
        <v>0.0</v>
      </c>
      <c r="E12208" s="3">
        <v>0.0</v>
      </c>
      <c r="F12208" s="3" t="s">
        <v>34635</v>
      </c>
      <c r="G12208" s="3">
        <v>0.0</v>
      </c>
      <c r="H12208" s="3">
        <v>0.0</v>
      </c>
      <c r="I12208" s="3" t="s">
        <v>13</v>
      </c>
      <c r="J12208" s="3" t="s">
        <v>34636</v>
      </c>
      <c r="K12208" s="3" t="s">
        <v>2117</v>
      </c>
      <c r="L12208" s="3" t="str">
        <f>IFERROR(__xludf.DUMMYFUNCTION("GOOGLETRANSLATE(F12208,""id"",""en"")"),"Lustful Thus Argentina Champion")</f>
        <v>Lustful Thus Argentina Champion</v>
      </c>
    </row>
    <row r="12209" ht="15.75" customHeight="1">
      <c r="A12209" s="1">
        <v>13479.0</v>
      </c>
      <c r="B12209" s="3" t="s">
        <v>34637</v>
      </c>
      <c r="C12209" s="3">
        <v>0.0</v>
      </c>
      <c r="D12209" s="3">
        <v>0.0</v>
      </c>
      <c r="E12209" s="3">
        <v>0.0</v>
      </c>
      <c r="F12209" s="3" t="s">
        <v>34638</v>
      </c>
      <c r="G12209" s="3">
        <v>0.0</v>
      </c>
      <c r="H12209" s="3">
        <v>0.0</v>
      </c>
      <c r="I12209" s="3" t="s">
        <v>13</v>
      </c>
      <c r="J12209" s="3" t="s">
        <v>34639</v>
      </c>
      <c r="K12209" s="3" t="s">
        <v>236</v>
      </c>
      <c r="L12209" s="3" t="str">
        <f>IFERROR(__xludf.DUMMYFUNCTION("GOOGLETRANSLATE(F12209,""id"",""en"")"),"It's not important to champion Argentina or France when I've become a champion in your heart")</f>
        <v>It's not important to champion Argentina or France when I've become a champion in your heart</v>
      </c>
    </row>
    <row r="12210" ht="15.75" customHeight="1">
      <c r="A12210" s="1">
        <v>13480.0</v>
      </c>
      <c r="B12210" s="3" t="s">
        <v>34640</v>
      </c>
      <c r="C12210" s="3">
        <v>0.0</v>
      </c>
      <c r="D12210" s="3">
        <v>0.0</v>
      </c>
      <c r="E12210" s="3">
        <v>0.0</v>
      </c>
      <c r="F12210" s="3" t="s">
        <v>34641</v>
      </c>
      <c r="G12210" s="3">
        <v>0.0</v>
      </c>
      <c r="H12210" s="3">
        <v>0.0</v>
      </c>
      <c r="I12210" s="3" t="s">
        <v>13</v>
      </c>
      <c r="J12210" s="3" t="s">
        <v>34642</v>
      </c>
      <c r="K12210" s="3" t="s">
        <v>8160</v>
      </c>
      <c r="L12210" s="3" t="str">
        <f>IFERROR(__xludf.DUMMYFUNCTION("GOOGLETRANSLATE(F12210,""id"",""en"")"),"at dawn open twitter to see the world cup champion after last night watching the first match then not staying a bobok mamak definitely happy, the gaco")</f>
        <v>at dawn open twitter to see the world cup champion after last night watching the first match then not staying a bobok mamak definitely happy, the gaco</v>
      </c>
    </row>
    <row r="12211" ht="15.75" customHeight="1">
      <c r="A12211" s="1">
        <v>13481.0</v>
      </c>
      <c r="B12211" s="3" t="s">
        <v>34643</v>
      </c>
      <c r="C12211" s="3">
        <v>2.0</v>
      </c>
      <c r="D12211" s="3">
        <v>1.0</v>
      </c>
      <c r="E12211" s="3">
        <v>1.0</v>
      </c>
      <c r="F12211" s="3" t="s">
        <v>34644</v>
      </c>
      <c r="G12211" s="3">
        <v>0.0</v>
      </c>
      <c r="H12211" s="3">
        <v>0.0</v>
      </c>
      <c r="I12211" s="3" t="s">
        <v>13</v>
      </c>
      <c r="J12211" s="3" t="s">
        <v>34645</v>
      </c>
      <c r="K12211" s="3" t="s">
        <v>2907</v>
      </c>
      <c r="L12211" s="3" t="str">
        <f>IFERROR(__xludf.DUMMYFUNCTION("GOOGLETRANSLATE(F12211,""id"",""en"")"),"I know this is Cringe, but please appreciate my crap, wkwkkw Argentina champions, if you are the champion of my heart")</f>
        <v>I know this is Cringe, but please appreciate my crap, wkwkkw Argentina champions, if you are the champion of my heart</v>
      </c>
    </row>
    <row r="12212" ht="15.75" customHeight="1">
      <c r="A12212" s="1">
        <v>13482.0</v>
      </c>
      <c r="B12212" s="3" t="s">
        <v>34646</v>
      </c>
      <c r="C12212" s="3">
        <v>0.0</v>
      </c>
      <c r="D12212" s="3">
        <v>0.0</v>
      </c>
      <c r="E12212" s="3">
        <v>0.0</v>
      </c>
      <c r="F12212" s="3" t="s">
        <v>34647</v>
      </c>
      <c r="G12212" s="3">
        <v>0.0</v>
      </c>
      <c r="H12212" s="3">
        <v>0.0</v>
      </c>
      <c r="I12212" s="3" t="s">
        <v>13</v>
      </c>
      <c r="J12212" s="3" t="s">
        <v>34648</v>
      </c>
      <c r="K12212" s="3" t="s">
        <v>574</v>
      </c>
      <c r="L12212" s="3" t="str">
        <f>IFERROR(__xludf.DUMMYFUNCTION("GOOGLETRANSLATE(F12212,""id"",""en"")"),"hahahahahahahahaha, his fans were also at the champion of Argentina again, Gacorr was badly underestimated, but I had a French hold, I admit that the team was fast as great as my flagship team")</f>
        <v>hahahahahahahahaha, his fans were also at the champion of Argentina again, Gacorr was badly underestimated, but I had a French hold, I admit that the team was fast as great as my flagship team</v>
      </c>
    </row>
    <row r="12213" ht="15.75" customHeight="1">
      <c r="A12213" s="1">
        <v>13483.0</v>
      </c>
      <c r="B12213" s="3" t="s">
        <v>34649</v>
      </c>
      <c r="C12213" s="3">
        <v>1.0</v>
      </c>
      <c r="D12213" s="3">
        <v>0.0</v>
      </c>
      <c r="E12213" s="3">
        <v>1.0</v>
      </c>
      <c r="F12213" s="3" t="s">
        <v>34650</v>
      </c>
      <c r="G12213" s="3">
        <v>0.5333333333333333</v>
      </c>
      <c r="H12213" s="3">
        <v>0.8666666666666667</v>
      </c>
      <c r="I12213" s="3" t="s">
        <v>48</v>
      </c>
      <c r="J12213" s="3" t="s">
        <v>34651</v>
      </c>
      <c r="K12213" s="3" t="s">
        <v>899</v>
      </c>
      <c r="L12213" s="3" t="str">
        <f>IFERROR(__xludf.DUMMYFUNCTION("GOOGLETRANSLATE(F12213,""id"",""en"")"),"Congrats Argentina is really cool, worthy of Nice Try French champion is very cool and all great players and if you say it's worth champion, but there is one factor to make luck and but there must be best the best and")</f>
        <v>Congrats Argentina is really cool, worthy of Nice Try French champion is very cool and all great players and if you say it's worth champion, but there is one factor to make luck and but there must be best the best and</v>
      </c>
    </row>
    <row r="12214" ht="15.75" customHeight="1">
      <c r="A12214" s="1">
        <v>13484.0</v>
      </c>
      <c r="B12214" s="3" t="s">
        <v>34652</v>
      </c>
      <c r="C12214" s="3">
        <v>0.0</v>
      </c>
      <c r="D12214" s="3">
        <v>0.0</v>
      </c>
      <c r="E12214" s="3">
        <v>0.0</v>
      </c>
      <c r="F12214" s="3" t="s">
        <v>34653</v>
      </c>
      <c r="G12214" s="3">
        <v>0.0</v>
      </c>
      <c r="H12214" s="3">
        <v>0.0</v>
      </c>
      <c r="I12214" s="3" t="s">
        <v>13</v>
      </c>
      <c r="J12214" s="3" t="s">
        <v>34654</v>
      </c>
      <c r="K12214" s="3" t="s">
        <v>54</v>
      </c>
      <c r="L12214" s="3" t="str">
        <f>IFERROR(__xludf.DUMMYFUNCTION("GOOGLETRANSLATE(F12214,""id"",""en"")"),"Argentina Champion World Cup Karna Penalty")</f>
        <v>Argentina Champion World Cup Karna Penalty</v>
      </c>
    </row>
    <row r="12215" ht="15.75" customHeight="1">
      <c r="A12215" s="1">
        <v>13485.0</v>
      </c>
      <c r="B12215" s="3" t="s">
        <v>34655</v>
      </c>
      <c r="C12215" s="3">
        <v>1.0</v>
      </c>
      <c r="D12215" s="3">
        <v>1.0</v>
      </c>
      <c r="E12215" s="3">
        <v>7.0</v>
      </c>
      <c r="F12215" s="3" t="s">
        <v>34656</v>
      </c>
      <c r="G12215" s="3">
        <v>0.0</v>
      </c>
      <c r="H12215" s="3">
        <v>0.0</v>
      </c>
      <c r="I12215" s="3" t="s">
        <v>13</v>
      </c>
      <c r="J12215" s="3" t="s">
        <v>34657</v>
      </c>
      <c r="K12215" s="3" t="s">
        <v>184</v>
      </c>
      <c r="L12215" s="3" t="str">
        <f>IFERROR(__xludf.DUMMYFUNCTION("GOOGLETRANSLATE(F12215,""id"",""en"")"),"Argentina won the World Cup after successfully overthrowing France through a champion penalty Mimin champion guys congratulations to Lionel Messi")</f>
        <v>Argentina won the World Cup after successfully overthrowing France through a champion penalty Mimin champion guys congratulations to Lionel Messi</v>
      </c>
    </row>
    <row r="12216" ht="15.75" customHeight="1">
      <c r="A12216" s="1">
        <v>13486.0</v>
      </c>
      <c r="B12216" s="3" t="s">
        <v>34658</v>
      </c>
      <c r="C12216" s="3">
        <v>0.0</v>
      </c>
      <c r="D12216" s="3">
        <v>0.0</v>
      </c>
      <c r="E12216" s="3">
        <v>1.0</v>
      </c>
      <c r="F12216" s="3" t="s">
        <v>34659</v>
      </c>
      <c r="G12216" s="3">
        <v>0.0</v>
      </c>
      <c r="H12216" s="3">
        <v>0.0</v>
      </c>
      <c r="I12216" s="3" t="s">
        <v>13</v>
      </c>
      <c r="J12216" s="3" t="s">
        <v>34660</v>
      </c>
      <c r="K12216" s="3" t="s">
        <v>15</v>
      </c>
      <c r="L12216" s="3" t="str">
        <f>IFERROR(__xludf.DUMMYFUNCTION("GOOGLETRANSLATE(F12216,""id"",""en"")"),"according to the promise of Argentina, I champion using a wig")</f>
        <v>according to the promise of Argentina, I champion using a wig</v>
      </c>
    </row>
    <row r="12217" ht="15.75" customHeight="1">
      <c r="A12217" s="1">
        <v>13487.0</v>
      </c>
      <c r="B12217" s="3" t="s">
        <v>34661</v>
      </c>
      <c r="C12217" s="3">
        <v>0.0</v>
      </c>
      <c r="D12217" s="3">
        <v>1.0</v>
      </c>
      <c r="E12217" s="3">
        <v>5.0</v>
      </c>
      <c r="F12217" s="3" t="s">
        <v>25596</v>
      </c>
      <c r="G12217" s="3">
        <v>0.0</v>
      </c>
      <c r="H12217" s="3">
        <v>0.0</v>
      </c>
      <c r="I12217" s="3" t="s">
        <v>13</v>
      </c>
      <c r="J12217" s="3" t="s">
        <v>25597</v>
      </c>
      <c r="K12217" s="3" t="s">
        <v>41</v>
      </c>
      <c r="L12217" s="3" t="str">
        <f>IFERROR(__xludf.DUMMYFUNCTION("GOOGLETRANSLATE(F12217,""id"",""en"")"),"France fell through Argentine penalties champions of the World Cup")</f>
        <v>France fell through Argentine penalties champions of the World Cup</v>
      </c>
    </row>
    <row r="12218" ht="15.75" customHeight="1">
      <c r="A12218" s="1">
        <v>13488.0</v>
      </c>
      <c r="B12218" s="3" t="s">
        <v>34662</v>
      </c>
      <c r="C12218" s="3">
        <v>0.0</v>
      </c>
      <c r="D12218" s="3">
        <v>0.0</v>
      </c>
      <c r="E12218" s="3">
        <v>0.0</v>
      </c>
      <c r="F12218" s="3" t="s">
        <v>34663</v>
      </c>
      <c r="G12218" s="3">
        <v>0.0</v>
      </c>
      <c r="H12218" s="3">
        <v>0.0</v>
      </c>
      <c r="I12218" s="3" t="s">
        <v>13</v>
      </c>
      <c r="J12218" s="3" t="s">
        <v>34664</v>
      </c>
      <c r="K12218" s="3" t="s">
        <v>644</v>
      </c>
      <c r="L12218" s="3" t="str">
        <f>IFERROR(__xludf.DUMMYFUNCTION("GOOGLETRANSLATE(F12218,""id"",""en"")"),"Gara Kmu Argentina Champion")</f>
        <v>Gara Kmu Argentina Champion</v>
      </c>
    </row>
    <row r="12219" ht="15.75" customHeight="1">
      <c r="A12219" s="1">
        <v>13489.0</v>
      </c>
      <c r="B12219" s="3" t="s">
        <v>34665</v>
      </c>
      <c r="C12219" s="3">
        <v>1.0</v>
      </c>
      <c r="D12219" s="3">
        <v>0.0</v>
      </c>
      <c r="E12219" s="3">
        <v>3.0</v>
      </c>
      <c r="F12219" s="3" t="s">
        <v>34666</v>
      </c>
      <c r="G12219" s="3">
        <v>0.0</v>
      </c>
      <c r="H12219" s="3">
        <v>0.0</v>
      </c>
      <c r="I12219" s="3" t="s">
        <v>13</v>
      </c>
      <c r="J12219" s="3" t="s">
        <v>34667</v>
      </c>
      <c r="K12219" s="3" t="s">
        <v>71</v>
      </c>
      <c r="L12219" s="3" t="str">
        <f>IFERROR(__xludf.DUMMYFUNCTION("GOOGLETRANSLATE(F12219,""id"",""en"")"),"The intention is really the picture of Messi at this time even though the picture is GPP, Argentina is the World Cup champion")</f>
        <v>The intention is really the picture of Messi at this time even though the picture is GPP, Argentina is the World Cup champion</v>
      </c>
    </row>
    <row r="12220" ht="15.75" customHeight="1">
      <c r="A12220" s="1">
        <v>13490.0</v>
      </c>
      <c r="B12220" s="3" t="s">
        <v>34668</v>
      </c>
      <c r="C12220" s="3">
        <v>1.0</v>
      </c>
      <c r="D12220" s="3">
        <v>5.0</v>
      </c>
      <c r="E12220" s="3">
        <v>9.0</v>
      </c>
      <c r="F12220" s="3" t="s">
        <v>34669</v>
      </c>
      <c r="G12220" s="3">
        <v>1.0</v>
      </c>
      <c r="H12220" s="3">
        <v>1.0</v>
      </c>
      <c r="I12220" s="3" t="s">
        <v>48</v>
      </c>
      <c r="J12220" s="3" t="s">
        <v>34670</v>
      </c>
      <c r="K12220" s="3" t="s">
        <v>510</v>
      </c>
      <c r="L12220" s="3" t="str">
        <f>IFERROR(__xludf.DUMMYFUNCTION("GOOGLETRANSLATE(F12220,""id"",""en"")"),"Happy Defending Day Messi Argentina World Champion Greatest All Time Madrid Dembele")</f>
        <v>Happy Defending Day Messi Argentina World Champion Greatest All Time Madrid Dembele</v>
      </c>
    </row>
    <row r="12221" ht="15.75" customHeight="1">
      <c r="A12221" s="1">
        <v>13491.0</v>
      </c>
      <c r="B12221" s="3" t="s">
        <v>34671</v>
      </c>
      <c r="C12221" s="3">
        <v>0.0</v>
      </c>
      <c r="D12221" s="3">
        <v>0.0</v>
      </c>
      <c r="E12221" s="3">
        <v>0.0</v>
      </c>
      <c r="F12221" s="3" t="s">
        <v>34672</v>
      </c>
      <c r="G12221" s="3">
        <v>0.0</v>
      </c>
      <c r="H12221" s="3">
        <v>0.0</v>
      </c>
      <c r="I12221" s="3" t="s">
        <v>13</v>
      </c>
      <c r="J12221" s="3" t="s">
        <v>34673</v>
      </c>
      <c r="K12221" s="3" t="s">
        <v>15</v>
      </c>
      <c r="L12221" s="3" t="str">
        <f>IFERROR(__xludf.DUMMYFUNCTION("GOOGLETRANSLATE(F12221,""id"",""en"")"),"although Argentina is champion but it is undeniable that Mbappe's performance is very crazy")</f>
        <v>although Argentina is champion but it is undeniable that Mbappe's performance is very crazy</v>
      </c>
    </row>
    <row r="12222" ht="15.75" customHeight="1">
      <c r="A12222" s="1">
        <v>13492.0</v>
      </c>
      <c r="B12222" s="3" t="s">
        <v>34674</v>
      </c>
      <c r="C12222" s="3">
        <v>1.0</v>
      </c>
      <c r="D12222" s="3">
        <v>9.0</v>
      </c>
      <c r="E12222" s="3">
        <v>126.0</v>
      </c>
      <c r="F12222" s="3" t="s">
        <v>34675</v>
      </c>
      <c r="G12222" s="3">
        <v>0.0</v>
      </c>
      <c r="H12222" s="3">
        <v>0.0</v>
      </c>
      <c r="I12222" s="3" t="s">
        <v>13</v>
      </c>
      <c r="J12222" s="3" t="s">
        <v>34676</v>
      </c>
      <c r="K12222" s="3" t="s">
        <v>71</v>
      </c>
      <c r="L12222" s="3" t="str">
        <f>IFERROR(__xludf.DUMMYFUNCTION("GOOGLETRANSLATE(F12222,""id"",""en"")"),"Words had lost to Saudi Arabia Argentina finally won the world after the last time with Maradona")</f>
        <v>Words had lost to Saudi Arabia Argentina finally won the world after the last time with Maradona</v>
      </c>
    </row>
    <row r="12223" ht="15.75" customHeight="1">
      <c r="A12223" s="1">
        <v>13493.0</v>
      </c>
      <c r="B12223" s="3" t="s">
        <v>34677</v>
      </c>
      <c r="C12223" s="3">
        <v>0.0</v>
      </c>
      <c r="D12223" s="3">
        <v>0.0</v>
      </c>
      <c r="E12223" s="3">
        <v>0.0</v>
      </c>
      <c r="F12223" s="3" t="s">
        <v>22241</v>
      </c>
      <c r="G12223" s="3">
        <v>0.0</v>
      </c>
      <c r="H12223" s="3">
        <v>0.0</v>
      </c>
      <c r="I12223" s="3" t="s">
        <v>13</v>
      </c>
      <c r="J12223" s="3" t="s">
        <v>16942</v>
      </c>
      <c r="K12223" s="3" t="s">
        <v>644</v>
      </c>
      <c r="L12223" s="3" t="str">
        <f>IFERROR(__xludf.DUMMYFUNCTION("GOOGLETRANSLATE(F12223,""id"",""en"")"),"Argentina Champion World Cup")</f>
        <v>Argentina Champion World Cup</v>
      </c>
    </row>
    <row r="12224" ht="15.75" customHeight="1">
      <c r="A12224" s="1">
        <v>13494.0</v>
      </c>
      <c r="B12224" s="3" t="s">
        <v>34678</v>
      </c>
      <c r="C12224" s="3">
        <v>0.0</v>
      </c>
      <c r="D12224" s="3">
        <v>0.0</v>
      </c>
      <c r="E12224" s="3">
        <v>1.0</v>
      </c>
      <c r="F12224" s="3" t="s">
        <v>34679</v>
      </c>
      <c r="G12224" s="3">
        <v>0.0</v>
      </c>
      <c r="H12224" s="3">
        <v>0.0</v>
      </c>
      <c r="I12224" s="3" t="s">
        <v>13</v>
      </c>
      <c r="J12224" s="3" t="s">
        <v>34680</v>
      </c>
      <c r="K12224" s="3" t="s">
        <v>15</v>
      </c>
      <c r="L12224" s="3" t="str">
        <f>IFERROR(__xludf.DUMMYFUNCTION("GOOGLETRANSLATE(F12224,""id"",""en"")"),"Argentina Champion World Cup Miracle Kick Cungkil Maria")</f>
        <v>Argentina Champion World Cup Miracle Kick Cungkil Maria</v>
      </c>
    </row>
    <row r="12225" ht="15.75" customHeight="1">
      <c r="A12225" s="1">
        <v>13495.0</v>
      </c>
      <c r="B12225" s="3" t="s">
        <v>34681</v>
      </c>
      <c r="C12225" s="3">
        <v>0.0</v>
      </c>
      <c r="D12225" s="3">
        <v>0.0</v>
      </c>
      <c r="E12225" s="3">
        <v>0.0</v>
      </c>
      <c r="F12225" s="3" t="s">
        <v>34682</v>
      </c>
      <c r="G12225" s="3">
        <v>0.0</v>
      </c>
      <c r="H12225" s="3">
        <v>0.0</v>
      </c>
      <c r="I12225" s="3" t="s">
        <v>13</v>
      </c>
      <c r="J12225" s="3" t="s">
        <v>34683</v>
      </c>
      <c r="K12225" s="3" t="s">
        <v>50</v>
      </c>
      <c r="L12225" s="3" t="str">
        <f>IFERROR(__xludf.DUMMYFUNCTION("GOOGLETRANSLATE(F12225,""id"",""en"")"),"Messi is indeed classy and Argentina deserves champion but in his heart crying because he supports France")</f>
        <v>Messi is indeed classy and Argentina deserves champion but in his heart crying because he supports France</v>
      </c>
    </row>
    <row r="12226" ht="15.75" customHeight="1">
      <c r="A12226" s="1">
        <v>13496.0</v>
      </c>
      <c r="B12226" s="3" t="s">
        <v>34684</v>
      </c>
      <c r="C12226" s="3">
        <v>0.0</v>
      </c>
      <c r="D12226" s="3">
        <v>0.0</v>
      </c>
      <c r="E12226" s="3">
        <v>1.0</v>
      </c>
      <c r="F12226" s="3" t="s">
        <v>34685</v>
      </c>
      <c r="G12226" s="3">
        <v>0.0</v>
      </c>
      <c r="H12226" s="3">
        <v>0.0</v>
      </c>
      <c r="I12226" s="3" t="s">
        <v>13</v>
      </c>
      <c r="J12226" s="3" t="s">
        <v>34686</v>
      </c>
      <c r="K12226" s="3" t="s">
        <v>725</v>
      </c>
      <c r="L12226" s="3" t="str">
        <f>IFERROR(__xludf.DUMMYFUNCTION("GOOGLETRANSLATE(F12226,""id"",""en"")"),"Lionel Scaloni is really a cold -handed coach at his young age and minimal experience but he is able to make the Argentine squad tough and excellent by scoring a Hattrick Copa America Finalissima World Cup title")</f>
        <v>Lionel Scaloni is really a cold -handed coach at his young age and minimal experience but he is able to make the Argentine squad tough and excellent by scoring a Hattrick Copa America Finalissima World Cup title</v>
      </c>
    </row>
    <row r="12227" ht="15.75" customHeight="1">
      <c r="A12227" s="1">
        <v>13497.0</v>
      </c>
      <c r="B12227" s="3" t="s">
        <v>34687</v>
      </c>
      <c r="C12227" s="3">
        <v>0.0</v>
      </c>
      <c r="D12227" s="3">
        <v>0.0</v>
      </c>
      <c r="E12227" s="3">
        <v>0.0</v>
      </c>
      <c r="F12227" s="3" t="s">
        <v>34688</v>
      </c>
      <c r="G12227" s="3">
        <v>0.0</v>
      </c>
      <c r="H12227" s="3">
        <v>0.0</v>
      </c>
      <c r="I12227" s="3" t="s">
        <v>13</v>
      </c>
      <c r="J12227" s="3" t="s">
        <v>34689</v>
      </c>
      <c r="K12227" s="3" t="s">
        <v>236</v>
      </c>
      <c r="L12227" s="3" t="str">
        <f>IFERROR(__xludf.DUMMYFUNCTION("GOOGLETRANSLATE(F12227,""id"",""en"")"),"if you make a video about the journey of Argentina World Cup, champion, please enter this video")</f>
        <v>if you make a video about the journey of Argentina World Cup, champion, please enter this video</v>
      </c>
    </row>
    <row r="12228" ht="15.75" customHeight="1">
      <c r="A12228" s="1">
        <v>13498.0</v>
      </c>
      <c r="B12228" s="3" t="s">
        <v>34690</v>
      </c>
      <c r="C12228" s="3">
        <v>0.0</v>
      </c>
      <c r="D12228" s="3">
        <v>0.0</v>
      </c>
      <c r="E12228" s="3">
        <v>0.0</v>
      </c>
      <c r="F12228" s="3" t="s">
        <v>34691</v>
      </c>
      <c r="G12228" s="3">
        <v>0.0</v>
      </c>
      <c r="H12228" s="3">
        <v>0.0</v>
      </c>
      <c r="I12228" s="3" t="s">
        <v>13</v>
      </c>
      <c r="J12228" s="3" t="s">
        <v>34692</v>
      </c>
      <c r="K12228" s="3" t="s">
        <v>54</v>
      </c>
      <c r="L12228" s="3" t="str">
        <f>IFERROR(__xludf.DUMMYFUNCTION("GOOGLETRANSLATE(F12228,""id"",""en"")"),"Congrats Argentina Champion FIFA World Cup")</f>
        <v>Congrats Argentina Champion FIFA World Cup</v>
      </c>
    </row>
    <row r="12229" ht="15.75" customHeight="1">
      <c r="A12229" s="1">
        <v>13499.0</v>
      </c>
      <c r="B12229" s="3" t="s">
        <v>34693</v>
      </c>
      <c r="C12229" s="3">
        <v>0.0</v>
      </c>
      <c r="D12229" s="3">
        <v>0.0</v>
      </c>
      <c r="E12229" s="3">
        <v>0.0</v>
      </c>
      <c r="F12229" s="3" t="s">
        <v>34694</v>
      </c>
      <c r="G12229" s="3">
        <v>0.0</v>
      </c>
      <c r="H12229" s="3">
        <v>0.0</v>
      </c>
      <c r="I12229" s="3" t="s">
        <v>13</v>
      </c>
      <c r="J12229" s="3" t="s">
        <v>34695</v>
      </c>
      <c r="K12229" s="3" t="s">
        <v>50</v>
      </c>
      <c r="L12229" s="3" t="str">
        <f>IFERROR(__xludf.DUMMYFUNCTION("GOOGLETRANSLATE(F12229,""id"",""en"")"),"Argentina national team fans cried proudly after Lionel Messi won the World Cup")</f>
        <v>Argentina national team fans cried proudly after Lionel Messi won the World Cup</v>
      </c>
    </row>
    <row r="12230" ht="15.75" customHeight="1">
      <c r="A12230" s="1">
        <v>13500.0</v>
      </c>
      <c r="B12230" s="3" t="s">
        <v>34696</v>
      </c>
      <c r="C12230" s="3">
        <v>0.0</v>
      </c>
      <c r="D12230" s="3">
        <v>0.0</v>
      </c>
      <c r="E12230" s="3">
        <v>1.0</v>
      </c>
      <c r="F12230" s="3" t="s">
        <v>34697</v>
      </c>
      <c r="G12230" s="3">
        <v>0.0</v>
      </c>
      <c r="H12230" s="3">
        <v>0.0</v>
      </c>
      <c r="I12230" s="3" t="s">
        <v>13</v>
      </c>
      <c r="J12230" s="3" t="s">
        <v>34698</v>
      </c>
      <c r="K12230" s="3" t="s">
        <v>54</v>
      </c>
      <c r="L12230" s="3" t="str">
        <f>IFERROR(__xludf.DUMMYFUNCTION("GOOGLETRANSLATE(F12230,""id"",""en"")"),"Argentina Champion Notif Manking immediately sounds")</f>
        <v>Argentina Champion Notif Manking immediately sounds</v>
      </c>
    </row>
    <row r="12231" ht="15.75" customHeight="1">
      <c r="A12231" s="1">
        <v>13501.0</v>
      </c>
      <c r="B12231" s="3" t="s">
        <v>34699</v>
      </c>
      <c r="C12231" s="3">
        <v>0.0</v>
      </c>
      <c r="D12231" s="3">
        <v>0.0</v>
      </c>
      <c r="E12231" s="3">
        <v>0.0</v>
      </c>
      <c r="F12231" s="3" t="s">
        <v>34700</v>
      </c>
      <c r="G12231" s="3">
        <v>0.0</v>
      </c>
      <c r="H12231" s="3">
        <v>0.0</v>
      </c>
      <c r="I12231" s="3" t="s">
        <v>13</v>
      </c>
      <c r="J12231" s="3" t="s">
        <v>34701</v>
      </c>
      <c r="K12231" s="3" t="s">
        <v>695</v>
      </c>
      <c r="L12231" s="3" t="str">
        <f>IFERROR(__xludf.DUMMYFUNCTION("GOOGLETRANSLATE(F12231,""id"",""en"")"),"Messi Ronaldo's Goat Debate means that it has ended, Messi also must be Salim and Emi Martinez with him Argentina can win the Copa America Pildun championship")</f>
        <v>Messi Ronaldo's Goat Debate means that it has ended, Messi also must be Salim and Emi Martinez with him Argentina can win the Copa America Pildun championship</v>
      </c>
    </row>
    <row r="12232" ht="15.75" customHeight="1">
      <c r="A12232" s="1">
        <v>13502.0</v>
      </c>
      <c r="B12232" s="3" t="s">
        <v>34702</v>
      </c>
      <c r="C12232" s="3">
        <v>0.0</v>
      </c>
      <c r="D12232" s="3">
        <v>0.0</v>
      </c>
      <c r="E12232" s="3">
        <v>0.0</v>
      </c>
      <c r="F12232" s="3" t="s">
        <v>34703</v>
      </c>
      <c r="G12232" s="3">
        <v>0.0</v>
      </c>
      <c r="H12232" s="3">
        <v>0.0</v>
      </c>
      <c r="I12232" s="3" t="s">
        <v>13</v>
      </c>
      <c r="J12232" s="3" t="s">
        <v>34704</v>
      </c>
      <c r="K12232" s="3" t="s">
        <v>15</v>
      </c>
      <c r="L12232" s="3" t="str">
        <f>IFERROR(__xludf.DUMMYFUNCTION("GOOGLETRANSLATE(F12232,""id"",""en"")"),"Bend France Argentina finally champions of the Qatar World Cup")</f>
        <v>Bend France Argentina finally champions of the Qatar World Cup</v>
      </c>
    </row>
    <row r="12233" ht="15.75" customHeight="1">
      <c r="A12233" s="1">
        <v>13503.0</v>
      </c>
      <c r="B12233" s="3" t="s">
        <v>34705</v>
      </c>
      <c r="C12233" s="3">
        <v>0.0</v>
      </c>
      <c r="D12233" s="3">
        <v>0.0</v>
      </c>
      <c r="E12233" s="3">
        <v>0.0</v>
      </c>
      <c r="F12233" s="3" t="s">
        <v>34706</v>
      </c>
      <c r="G12233" s="3">
        <v>0.0</v>
      </c>
      <c r="H12233" s="3">
        <v>0.0</v>
      </c>
      <c r="I12233" s="3" t="s">
        <v>13</v>
      </c>
      <c r="J12233" s="3" t="s">
        <v>34707</v>
      </c>
      <c r="K12233" s="3" t="s">
        <v>795</v>
      </c>
      <c r="L12233" s="3" t="str">
        <f>IFERROR(__xludf.DUMMYFUNCTION("GOOGLETRANSLATE(F12233,""id"",""en"")"),"Eusebio died Portugal champion Euro Maradona died Argentina champion Copa and Worldcup now just wait for the turn of Pele Mati Baru Brazil Champion")</f>
        <v>Eusebio died Portugal champion Euro Maradona died Argentina champion Copa and Worldcup now just wait for the turn of Pele Mati Baru Brazil Champion</v>
      </c>
    </row>
    <row r="12234" ht="15.75" customHeight="1">
      <c r="A12234" s="1">
        <v>13504.0</v>
      </c>
      <c r="B12234" s="3" t="s">
        <v>34708</v>
      </c>
      <c r="C12234" s="3">
        <v>0.0</v>
      </c>
      <c r="D12234" s="3">
        <v>0.0</v>
      </c>
      <c r="E12234" s="3">
        <v>1.0</v>
      </c>
      <c r="F12234" s="3" t="s">
        <v>34709</v>
      </c>
      <c r="G12234" s="3">
        <v>1.0</v>
      </c>
      <c r="H12234" s="3">
        <v>1.0</v>
      </c>
      <c r="I12234" s="3" t="s">
        <v>48</v>
      </c>
      <c r="J12234" s="3" t="s">
        <v>34710</v>
      </c>
      <c r="K12234" s="3" t="s">
        <v>1656</v>
      </c>
      <c r="L12234" s="3" t="str">
        <f>IFERROR(__xludf.DUMMYFUNCTION("GOOGLETRANSLATE(F12234,""id"",""en"")"),"Arrgentine can say at this time is their best squad by making great achievements in winning the title of title in the Copa America champion Champion Champion World Cup Champion Messi Captain from that success is Greatest All Time")</f>
        <v>Arrgentine can say at this time is their best squad by making great achievements in winning the title of title in the Copa America champion Champion Champion World Cup Champion Messi Captain from that success is Greatest All Time</v>
      </c>
    </row>
    <row r="12235" ht="15.75" customHeight="1">
      <c r="A12235" s="1">
        <v>13505.0</v>
      </c>
      <c r="B12235" s="3" t="s">
        <v>34711</v>
      </c>
      <c r="C12235" s="3">
        <v>0.0</v>
      </c>
      <c r="D12235" s="3">
        <v>0.0</v>
      </c>
      <c r="E12235" s="3">
        <v>0.0</v>
      </c>
      <c r="F12235" s="3" t="s">
        <v>34712</v>
      </c>
      <c r="G12235" s="3">
        <v>0.0</v>
      </c>
      <c r="H12235" s="3">
        <v>0.0</v>
      </c>
      <c r="I12235" s="3" t="s">
        <v>13</v>
      </c>
      <c r="J12235" s="3" t="s">
        <v>34713</v>
      </c>
      <c r="K12235" s="3" t="s">
        <v>54</v>
      </c>
      <c r="L12235" s="3" t="str">
        <f>IFERROR(__xludf.DUMMYFUNCTION("GOOGLETRANSLATE(F12235,""id"",""en"")"),"Argentina's moment won the World Cup championship")</f>
        <v>Argentina's moment won the World Cup championship</v>
      </c>
    </row>
    <row r="12236" ht="15.75" customHeight="1">
      <c r="A12236" s="1">
        <v>13506.0</v>
      </c>
      <c r="B12236" s="3" t="s">
        <v>34714</v>
      </c>
      <c r="C12236" s="3">
        <v>1.0</v>
      </c>
      <c r="D12236" s="3">
        <v>0.0</v>
      </c>
      <c r="E12236" s="3">
        <v>1.0</v>
      </c>
      <c r="F12236" s="3" t="s">
        <v>34715</v>
      </c>
      <c r="G12236" s="3">
        <v>0.3333333333333333</v>
      </c>
      <c r="H12236" s="3">
        <v>0.1666666666666667</v>
      </c>
      <c r="I12236" s="3" t="s">
        <v>48</v>
      </c>
      <c r="J12236" s="3" t="s">
        <v>34716</v>
      </c>
      <c r="K12236" s="3" t="s">
        <v>614</v>
      </c>
      <c r="L12236" s="3" t="str">
        <f>IFERROR(__xludf.DUMMYFUNCTION("GOOGLETRANSLATE(F12236,""id"",""en"")"),"Maybe the worst version I've ever watched with Sampaoli Argentina played like a chick losing its parent without a clear vision of Argentina lost against the world champion at that time France")</f>
        <v>Maybe the worst version I've ever watched with Sampaoli Argentina played like a chick losing its parent without a clear vision of Argentina lost against the world champion at that time France</v>
      </c>
    </row>
    <row r="12237" ht="15.75" customHeight="1">
      <c r="A12237" s="1">
        <v>13507.0</v>
      </c>
      <c r="B12237" s="3" t="s">
        <v>34717</v>
      </c>
      <c r="C12237" s="3">
        <v>0.0</v>
      </c>
      <c r="D12237" s="3">
        <v>0.0</v>
      </c>
      <c r="E12237" s="3">
        <v>2.0</v>
      </c>
      <c r="F12237" s="3" t="s">
        <v>34694</v>
      </c>
      <c r="G12237" s="3">
        <v>0.0</v>
      </c>
      <c r="H12237" s="3">
        <v>0.0</v>
      </c>
      <c r="I12237" s="3" t="s">
        <v>13</v>
      </c>
      <c r="J12237" s="3" t="s">
        <v>34695</v>
      </c>
      <c r="K12237" s="3" t="s">
        <v>50</v>
      </c>
      <c r="L12237" s="3" t="str">
        <f>IFERROR(__xludf.DUMMYFUNCTION("GOOGLETRANSLATE(F12237,""id"",""en"")"),"Argentina national team fans cried proudly after Lionel Messi won the World Cup")</f>
        <v>Argentina national team fans cried proudly after Lionel Messi won the World Cup</v>
      </c>
    </row>
    <row r="12238" ht="15.75" customHeight="1">
      <c r="A12238" s="1">
        <v>13508.0</v>
      </c>
      <c r="B12238" s="3" t="s">
        <v>34718</v>
      </c>
      <c r="C12238" s="3">
        <v>0.0</v>
      </c>
      <c r="D12238" s="3">
        <v>0.0</v>
      </c>
      <c r="E12238" s="3">
        <v>0.0</v>
      </c>
      <c r="F12238" s="3" t="s">
        <v>34719</v>
      </c>
      <c r="G12238" s="3">
        <v>0.0</v>
      </c>
      <c r="H12238" s="3">
        <v>0.0</v>
      </c>
      <c r="I12238" s="3" t="s">
        <v>13</v>
      </c>
      <c r="J12238" s="3" t="s">
        <v>34720</v>
      </c>
      <c r="K12238" s="3" t="s">
        <v>35</v>
      </c>
      <c r="L12238" s="3" t="str">
        <f>IFERROR(__xludf.DUMMYFUNCTION("GOOGLETRANSLATE(F12238,""id"",""en"")"),"Bravo Argentina The tense drama is a tense drama for Argentina World Cup champions")</f>
        <v>Bravo Argentina The tense drama is a tense drama for Argentina World Cup champions</v>
      </c>
    </row>
    <row r="12239" ht="15.75" customHeight="1">
      <c r="A12239" s="1">
        <v>13509.0</v>
      </c>
      <c r="B12239" s="3" t="s">
        <v>34721</v>
      </c>
      <c r="C12239" s="3">
        <v>0.0</v>
      </c>
      <c r="D12239" s="3">
        <v>0.0</v>
      </c>
      <c r="E12239" s="3">
        <v>2.0</v>
      </c>
      <c r="F12239" s="3" t="s">
        <v>34722</v>
      </c>
      <c r="G12239" s="3">
        <v>0.0</v>
      </c>
      <c r="H12239" s="3">
        <v>0.0</v>
      </c>
      <c r="I12239" s="3" t="s">
        <v>13</v>
      </c>
      <c r="J12239" s="3" t="s">
        <v>34723</v>
      </c>
      <c r="K12239" s="3" t="s">
        <v>82</v>
      </c>
      <c r="L12239" s="3" t="str">
        <f>IFERROR(__xludf.DUMMYFUNCTION("GOOGLETRANSLATE(F12239,""id"",""en"")"),"Technically Saudi Arabia is a world champion because they have defeated Argentina")</f>
        <v>Technically Saudi Arabia is a world champion because they have defeated Argentina</v>
      </c>
    </row>
    <row r="12240" ht="15.75" customHeight="1">
      <c r="A12240" s="1">
        <v>13510.0</v>
      </c>
      <c r="B12240" s="3" t="s">
        <v>34724</v>
      </c>
      <c r="C12240" s="3">
        <v>0.0</v>
      </c>
      <c r="D12240" s="3">
        <v>0.0</v>
      </c>
      <c r="E12240" s="3">
        <v>0.0</v>
      </c>
      <c r="F12240" s="3" t="s">
        <v>34725</v>
      </c>
      <c r="G12240" s="3">
        <v>0.0</v>
      </c>
      <c r="H12240" s="3">
        <v>0.0</v>
      </c>
      <c r="I12240" s="3" t="s">
        <v>13</v>
      </c>
      <c r="J12240" s="3" t="s">
        <v>34726</v>
      </c>
      <c r="K12240" s="3" t="s">
        <v>31</v>
      </c>
      <c r="L12240" s="3" t="str">
        <f>IFERROR(__xludf.DUMMYFUNCTION("GOOGLETRANSLATE(F12240,""id"",""en"")"),"where is the smile of a handsome child check")</f>
        <v>where is the smile of a handsome child check</v>
      </c>
    </row>
    <row r="12241" ht="15.75" customHeight="1">
      <c r="A12241" s="1">
        <v>13511.0</v>
      </c>
      <c r="B12241" s="3" t="s">
        <v>34727</v>
      </c>
      <c r="C12241" s="3">
        <v>0.0</v>
      </c>
      <c r="D12241" s="3">
        <v>0.0</v>
      </c>
      <c r="E12241" s="3">
        <v>3.0</v>
      </c>
      <c r="F12241" s="3" t="s">
        <v>34728</v>
      </c>
      <c r="G12241" s="3">
        <v>0.75</v>
      </c>
      <c r="H12241" s="3">
        <v>0.375</v>
      </c>
      <c r="I12241" s="3" t="s">
        <v>48</v>
      </c>
      <c r="J12241" s="3" t="s">
        <v>34729</v>
      </c>
      <c r="K12241" s="3" t="s">
        <v>19</v>
      </c>
      <c r="L12241" s="3" t="str">
        <f>IFERROR(__xludf.DUMMYFUNCTION("GOOGLETRANSLATE(F12241,""id"",""en"")"),"Congratulations Argentina Champion World Cup and Messi won the first title, please jersey original while still there")</f>
        <v>Congratulations Argentina Champion World Cup and Messi won the first title, please jersey original while still there</v>
      </c>
    </row>
    <row r="12242" ht="15.75" customHeight="1">
      <c r="A12242" s="1">
        <v>13512.0</v>
      </c>
      <c r="B12242" s="3" t="s">
        <v>34730</v>
      </c>
      <c r="C12242" s="3">
        <v>0.0</v>
      </c>
      <c r="D12242" s="3">
        <v>0.0</v>
      </c>
      <c r="E12242" s="3">
        <v>0.0</v>
      </c>
      <c r="F12242" s="3" t="s">
        <v>34731</v>
      </c>
      <c r="G12242" s="3">
        <v>0.0</v>
      </c>
      <c r="H12242" s="3">
        <v>0.0</v>
      </c>
      <c r="I12242" s="3" t="s">
        <v>13</v>
      </c>
      <c r="J12242" s="3" t="s">
        <v>34732</v>
      </c>
      <c r="K12242" s="3" t="s">
        <v>1097</v>
      </c>
      <c r="L12242" s="3" t="str">
        <f>IFERROR(__xludf.DUMMYFUNCTION("GOOGLETRANSLATE(F12242,""id"",""en"")"),"Biodata and Photos of Instagram Artist Helen Owen World Champion")</f>
        <v>Biodata and Photos of Instagram Artist Helen Owen World Champion</v>
      </c>
    </row>
    <row r="12243" ht="15.75" customHeight="1">
      <c r="A12243" s="1">
        <v>13513.0</v>
      </c>
      <c r="B12243" s="3" t="s">
        <v>34733</v>
      </c>
      <c r="C12243" s="3">
        <v>0.0</v>
      </c>
      <c r="D12243" s="3">
        <v>0.0</v>
      </c>
      <c r="E12243" s="3">
        <v>0.0</v>
      </c>
      <c r="F12243" s="3" t="s">
        <v>34728</v>
      </c>
      <c r="G12243" s="3">
        <v>0.75</v>
      </c>
      <c r="H12243" s="3">
        <v>0.375</v>
      </c>
      <c r="I12243" s="3" t="s">
        <v>48</v>
      </c>
      <c r="J12243" s="3" t="s">
        <v>34729</v>
      </c>
      <c r="K12243" s="3" t="s">
        <v>19</v>
      </c>
      <c r="L12243" s="3" t="str">
        <f>IFERROR(__xludf.DUMMYFUNCTION("GOOGLETRANSLATE(F12243,""id"",""en"")"),"Congratulations Argentina Champion World Cup and Messi won the first title, please jersey original while still there")</f>
        <v>Congratulations Argentina Champion World Cup and Messi won the first title, please jersey original while still there</v>
      </c>
    </row>
    <row r="12244" ht="15.75" customHeight="1">
      <c r="A12244" s="1">
        <v>13514.0</v>
      </c>
      <c r="B12244" s="3" t="s">
        <v>34734</v>
      </c>
      <c r="C12244" s="3">
        <v>0.0</v>
      </c>
      <c r="D12244" s="3">
        <v>0.0</v>
      </c>
      <c r="E12244" s="3">
        <v>6.0</v>
      </c>
      <c r="F12244" s="3" t="s">
        <v>29146</v>
      </c>
      <c r="G12244" s="3">
        <v>0.0</v>
      </c>
      <c r="H12244" s="3">
        <v>0.0</v>
      </c>
      <c r="I12244" s="3" t="s">
        <v>13</v>
      </c>
      <c r="J12244" s="3" t="s">
        <v>29147</v>
      </c>
      <c r="K12244" s="3" t="s">
        <v>495</v>
      </c>
      <c r="L12244" s="3" t="str">
        <f>IFERROR(__xludf.DUMMYFUNCTION("GOOGLETRANSLATE(F12244,""id"",""en"")"),"Lionel Scaloni proves that age is not an obstacle to bringing Argentina to the World Cup champion he has just followed in the footsteps of Cesar Luis Menotti what it is")</f>
        <v>Lionel Scaloni proves that age is not an obstacle to bringing Argentina to the World Cup champion he has just followed in the footsteps of Cesar Luis Menotti what it is</v>
      </c>
    </row>
    <row r="12245" ht="15.75" customHeight="1">
      <c r="A12245" s="1">
        <v>13515.0</v>
      </c>
      <c r="B12245" s="3" t="s">
        <v>34735</v>
      </c>
      <c r="C12245" s="3">
        <v>1.0</v>
      </c>
      <c r="D12245" s="3">
        <v>2.0</v>
      </c>
      <c r="E12245" s="3">
        <v>33.0</v>
      </c>
      <c r="F12245" s="3" t="s">
        <v>34736</v>
      </c>
      <c r="G12245" s="3">
        <v>1.0</v>
      </c>
      <c r="H12245" s="3">
        <v>0.0</v>
      </c>
      <c r="I12245" s="3" t="s">
        <v>13</v>
      </c>
      <c r="J12245" s="3" t="s">
        <v>34737</v>
      </c>
      <c r="K12245" s="3" t="s">
        <v>6117</v>
      </c>
      <c r="L12245" s="3" t="str">
        <f>IFERROR(__xludf.DUMMYFUNCTION("GOOGLETRANSLATE(F12245,""id"",""en"")"),"Almost still remembered clearly this memory still remembered clearly the expletives of fellow Argentine supporters when the final nobar against Germany to Higuain Argentina was almost the world champion of their rivals Brazil but almost enough")</f>
        <v>Almost still remembered clearly this memory still remembered clearly the expletives of fellow Argentine supporters when the final nobar against Germany to Higuain Argentina was almost the world champion of their rivals Brazil but almost enough</v>
      </c>
    </row>
    <row r="12246" ht="15.75" customHeight="1">
      <c r="A12246" s="1">
        <v>13516.0</v>
      </c>
      <c r="B12246" s="3" t="s">
        <v>34738</v>
      </c>
      <c r="C12246" s="3">
        <v>0.0</v>
      </c>
      <c r="D12246" s="3">
        <v>0.0</v>
      </c>
      <c r="E12246" s="3">
        <v>0.0</v>
      </c>
      <c r="F12246" s="3" t="s">
        <v>34739</v>
      </c>
      <c r="G12246" s="3">
        <v>0.8333333333333334</v>
      </c>
      <c r="H12246" s="3">
        <v>0.3333333333333333</v>
      </c>
      <c r="I12246" s="3" t="s">
        <v>48</v>
      </c>
      <c r="J12246" s="3" t="s">
        <v>34740</v>
      </c>
      <c r="K12246" s="3" t="s">
        <v>883</v>
      </c>
      <c r="L12246" s="3" t="str">
        <f>IFERROR(__xludf.DUMMYFUNCTION("GOOGLETRANSLATE(F12246,""id"",""en"")"),"Argentina Champion World Cup FIFA welcomes Christmas and New Year Crystal Event every day free Lucky Wheel to get free tickets")</f>
        <v>Argentina Champion World Cup FIFA welcomes Christmas and New Year Crystal Event every day free Lucky Wheel to get free tickets</v>
      </c>
    </row>
    <row r="12247" ht="15.75" customHeight="1">
      <c r="A12247" s="1">
        <v>13517.0</v>
      </c>
      <c r="B12247" s="3" t="s">
        <v>34741</v>
      </c>
      <c r="C12247" s="3">
        <v>0.0</v>
      </c>
      <c r="D12247" s="3">
        <v>0.0</v>
      </c>
      <c r="E12247" s="3">
        <v>0.0</v>
      </c>
      <c r="F12247" s="3" t="s">
        <v>34742</v>
      </c>
      <c r="G12247" s="3">
        <v>0.0</v>
      </c>
      <c r="H12247" s="3">
        <v>0.0</v>
      </c>
      <c r="I12247" s="3" t="s">
        <v>13</v>
      </c>
      <c r="J12247" s="3" t="s">
        <v>34743</v>
      </c>
      <c r="K12247" s="3" t="s">
        <v>75</v>
      </c>
      <c r="L12247" s="3" t="str">
        <f>IFERROR(__xludf.DUMMYFUNCTION("GOOGLETRANSLATE(F12247,""id"",""en"")"),"Redsindo Happy Argentina Champion World Cup and Messi won its first title")</f>
        <v>Redsindo Happy Argentina Champion World Cup and Messi won its first title</v>
      </c>
    </row>
    <row r="12248" ht="15.75" customHeight="1">
      <c r="A12248" s="1">
        <v>13518.0</v>
      </c>
      <c r="B12248" s="3" t="s">
        <v>34744</v>
      </c>
      <c r="C12248" s="3">
        <v>0.0</v>
      </c>
      <c r="D12248" s="3">
        <v>0.0</v>
      </c>
      <c r="E12248" s="3">
        <v>2.0</v>
      </c>
      <c r="F12248" s="3" t="s">
        <v>34745</v>
      </c>
      <c r="G12248" s="3">
        <v>0.0</v>
      </c>
      <c r="H12248" s="3">
        <v>0.0</v>
      </c>
      <c r="I12248" s="3" t="s">
        <v>13</v>
      </c>
      <c r="J12248" s="3" t="s">
        <v>34746</v>
      </c>
      <c r="K12248" s="3" t="s">
        <v>15</v>
      </c>
      <c r="L12248" s="3" t="str">
        <f>IFERROR(__xludf.DUMMYFUNCTION("GOOGLETRANSLATE(F12248,""id"",""en"")"),"Argentina Champion Emiliano Martinez became the best goalkeeper our destiny")</f>
        <v>Argentina Champion Emiliano Martinez became the best goalkeeper our destiny</v>
      </c>
    </row>
    <row r="12249" ht="15.75" customHeight="1">
      <c r="A12249" s="1">
        <v>13519.0</v>
      </c>
      <c r="B12249" s="3" t="s">
        <v>34747</v>
      </c>
      <c r="C12249" s="3">
        <v>0.0</v>
      </c>
      <c r="D12249" s="3">
        <v>0.0</v>
      </c>
      <c r="E12249" s="3">
        <v>0.0</v>
      </c>
      <c r="F12249" s="3" t="s">
        <v>34748</v>
      </c>
      <c r="G12249" s="3">
        <v>0.0</v>
      </c>
      <c r="H12249" s="3">
        <v>0.0</v>
      </c>
      <c r="I12249" s="3" t="s">
        <v>13</v>
      </c>
      <c r="J12249" s="3" t="s">
        <v>34749</v>
      </c>
      <c r="K12249" s="3" t="s">
        <v>1097</v>
      </c>
      <c r="L12249" s="3" t="str">
        <f>IFERROR(__xludf.DUMMYFUNCTION("GOOGLETRANSLATE(F12249,""id"",""en"")"),"Biodata and Photos of Instagram Artist Yua Mikami World Champion")</f>
        <v>Biodata and Photos of Instagram Artist Yua Mikami World Champion</v>
      </c>
    </row>
    <row r="12250" ht="15.75" customHeight="1">
      <c r="A12250" s="1">
        <v>13520.0</v>
      </c>
      <c r="B12250" s="3" t="s">
        <v>34750</v>
      </c>
      <c r="C12250" s="3">
        <v>1.0</v>
      </c>
      <c r="D12250" s="3">
        <v>0.0</v>
      </c>
      <c r="E12250" s="3">
        <v>1.0</v>
      </c>
      <c r="F12250" s="3" t="s">
        <v>34739</v>
      </c>
      <c r="G12250" s="3">
        <v>0.8333333333333334</v>
      </c>
      <c r="H12250" s="3">
        <v>0.3333333333333333</v>
      </c>
      <c r="I12250" s="3" t="s">
        <v>48</v>
      </c>
      <c r="J12250" s="3" t="s">
        <v>34740</v>
      </c>
      <c r="K12250" s="3" t="s">
        <v>883</v>
      </c>
      <c r="L12250" s="3" t="str">
        <f>IFERROR(__xludf.DUMMYFUNCTION("GOOGLETRANSLATE(F12250,""id"",""en"")"),"Argentina Champion World Cup FIFA welcomes Christmas and New Year Crystal Event every day free Lucky Wheel to get free tickets")</f>
        <v>Argentina Champion World Cup FIFA welcomes Christmas and New Year Crystal Event every day free Lucky Wheel to get free tickets</v>
      </c>
    </row>
    <row r="12251" ht="15.75" customHeight="1">
      <c r="A12251" s="1">
        <v>13521.0</v>
      </c>
      <c r="B12251" s="3" t="s">
        <v>34751</v>
      </c>
      <c r="C12251" s="3">
        <v>0.0</v>
      </c>
      <c r="D12251" s="3">
        <v>0.0</v>
      </c>
      <c r="E12251" s="3">
        <v>0.0</v>
      </c>
      <c r="F12251" s="3" t="s">
        <v>34742</v>
      </c>
      <c r="G12251" s="3">
        <v>0.0</v>
      </c>
      <c r="H12251" s="3">
        <v>0.0</v>
      </c>
      <c r="I12251" s="3" t="s">
        <v>13</v>
      </c>
      <c r="J12251" s="3" t="s">
        <v>34743</v>
      </c>
      <c r="K12251" s="3" t="s">
        <v>75</v>
      </c>
      <c r="L12251" s="3" t="str">
        <f>IFERROR(__xludf.DUMMYFUNCTION("GOOGLETRANSLATE(F12251,""id"",""en"")"),"Redsindo Happy Argentina Champion World Cup and Messi won its first title")</f>
        <v>Redsindo Happy Argentina Champion World Cup and Messi won its first title</v>
      </c>
    </row>
    <row r="12252" ht="15.75" customHeight="1">
      <c r="A12252" s="1">
        <v>13522.0</v>
      </c>
      <c r="B12252" s="3" t="s">
        <v>34752</v>
      </c>
      <c r="C12252" s="3">
        <v>0.0</v>
      </c>
      <c r="D12252" s="3">
        <v>1.0</v>
      </c>
      <c r="E12252" s="3">
        <v>0.0</v>
      </c>
      <c r="F12252" s="3" t="s">
        <v>34753</v>
      </c>
      <c r="G12252" s="3">
        <v>0.0</v>
      </c>
      <c r="H12252" s="3">
        <v>0.0</v>
      </c>
      <c r="I12252" s="3" t="s">
        <v>13</v>
      </c>
      <c r="J12252" s="3" t="s">
        <v>34754</v>
      </c>
      <c r="K12252" s="3" t="s">
        <v>19</v>
      </c>
      <c r="L12252" s="3" t="str">
        <f>IFERROR(__xludf.DUMMYFUNCTION("GOOGLETRANSLATE(F12252,""id"",""en"")"),"Argentina should be a world champion because of his enthusiasm like Maradona congratulations and success I am proud of all the players")</f>
        <v>Argentina should be a world champion because of his enthusiasm like Maradona congratulations and success I am proud of all the players</v>
      </c>
    </row>
    <row r="12253" ht="15.75" customHeight="1">
      <c r="A12253" s="1">
        <v>13523.0</v>
      </c>
      <c r="B12253" s="3" t="s">
        <v>34755</v>
      </c>
      <c r="C12253" s="3">
        <v>0.0</v>
      </c>
      <c r="D12253" s="3">
        <v>0.0</v>
      </c>
      <c r="E12253" s="3">
        <v>0.0</v>
      </c>
      <c r="F12253" s="3" t="s">
        <v>34756</v>
      </c>
      <c r="G12253" s="3">
        <v>0.0</v>
      </c>
      <c r="H12253" s="3">
        <v>0.0</v>
      </c>
      <c r="I12253" s="3" t="s">
        <v>13</v>
      </c>
      <c r="J12253" s="3" t="s">
        <v>34757</v>
      </c>
      <c r="K12253" s="3" t="s">
        <v>75</v>
      </c>
      <c r="L12253" s="3" t="str">
        <f>IFERROR(__xludf.DUMMYFUNCTION("GOOGLETRANSLATE(F12253,""id"",""en"")"),"Guess right Argentina champion but the score is wrong, mina min wkwkw")</f>
        <v>Guess right Argentina champion but the score is wrong, mina min wkwkw</v>
      </c>
    </row>
    <row r="12254" ht="15.75" customHeight="1">
      <c r="A12254" s="1">
        <v>13524.0</v>
      </c>
      <c r="B12254" s="3" t="s">
        <v>34758</v>
      </c>
      <c r="C12254" s="3">
        <v>0.0</v>
      </c>
      <c r="D12254" s="3">
        <v>0.0</v>
      </c>
      <c r="E12254" s="3">
        <v>1.0</v>
      </c>
      <c r="F12254" s="3" t="s">
        <v>34759</v>
      </c>
      <c r="G12254" s="3">
        <v>0.0</v>
      </c>
      <c r="H12254" s="3">
        <v>0.0</v>
      </c>
      <c r="I12254" s="3" t="s">
        <v>13</v>
      </c>
      <c r="J12254" s="3" t="s">
        <v>34760</v>
      </c>
      <c r="K12254" s="3" t="s">
        <v>54</v>
      </c>
      <c r="L12254" s="3" t="str">
        <f>IFERROR(__xludf.DUMMYFUNCTION("GOOGLETRANSLATE(F12254,""id"",""en"")"),"Redsindo Happy Argentina Champion World Cup")</f>
        <v>Redsindo Happy Argentina Champion World Cup</v>
      </c>
    </row>
    <row r="12255" ht="15.75" customHeight="1">
      <c r="A12255" s="1">
        <v>13525.0</v>
      </c>
      <c r="B12255" s="3" t="s">
        <v>34761</v>
      </c>
      <c r="C12255" s="3">
        <v>0.0</v>
      </c>
      <c r="D12255" s="3">
        <v>0.0</v>
      </c>
      <c r="E12255" s="3">
        <v>3.0</v>
      </c>
      <c r="F12255" s="3" t="s">
        <v>34762</v>
      </c>
      <c r="G12255" s="3">
        <v>0.0</v>
      </c>
      <c r="H12255" s="3">
        <v>0.0</v>
      </c>
      <c r="I12255" s="3" t="s">
        <v>13</v>
      </c>
      <c r="J12255" s="3" t="s">
        <v>34763</v>
      </c>
      <c r="K12255" s="3" t="s">
        <v>123</v>
      </c>
      <c r="L12255" s="3" t="str">
        <f>IFERROR(__xludf.DUMMYFUNCTION("GOOGLETRANSLATE(F12255,""id"",""en"")"),"Argentina is being hit by a severe economic recession at least Messi Champion World Cup can forget for a moment the hustle and bustle of the economy")</f>
        <v>Argentina is being hit by a severe economic recession at least Messi Champion World Cup can forget for a moment the hustle and bustle of the economy</v>
      </c>
    </row>
    <row r="12256" ht="15.75" customHeight="1">
      <c r="A12256" s="1">
        <v>13526.0</v>
      </c>
      <c r="B12256" s="3" t="s">
        <v>34764</v>
      </c>
      <c r="C12256" s="3">
        <v>0.0</v>
      </c>
      <c r="D12256" s="3">
        <v>0.0</v>
      </c>
      <c r="E12256" s="3">
        <v>0.0</v>
      </c>
      <c r="F12256" s="3" t="s">
        <v>34765</v>
      </c>
      <c r="G12256" s="3">
        <v>0.0</v>
      </c>
      <c r="H12256" s="3">
        <v>0.0</v>
      </c>
      <c r="I12256" s="3" t="s">
        <v>13</v>
      </c>
      <c r="J12256" s="3" t="s">
        <v>34766</v>
      </c>
      <c r="K12256" s="3" t="s">
        <v>1097</v>
      </c>
      <c r="L12256" s="3" t="str">
        <f>IFERROR(__xludf.DUMMYFUNCTION("GOOGLETRANSLATE(F12256,""id"",""en"")"),"Instagram artist jordyn woods photo biodata and photos of world champions")</f>
        <v>Instagram artist jordyn woods photo biodata and photos of world champions</v>
      </c>
    </row>
    <row r="12257" ht="15.75" customHeight="1">
      <c r="A12257" s="1">
        <v>13527.0</v>
      </c>
      <c r="B12257" s="3" t="s">
        <v>34767</v>
      </c>
      <c r="C12257" s="3">
        <v>0.0</v>
      </c>
      <c r="D12257" s="3">
        <v>0.0</v>
      </c>
      <c r="E12257" s="3">
        <v>0.0</v>
      </c>
      <c r="F12257" s="3" t="s">
        <v>34768</v>
      </c>
      <c r="G12257" s="3">
        <v>0.0</v>
      </c>
      <c r="H12257" s="3">
        <v>0.0</v>
      </c>
      <c r="I12257" s="3" t="s">
        <v>13</v>
      </c>
      <c r="J12257" s="3" t="s">
        <v>34769</v>
      </c>
      <c r="K12257" s="3" t="s">
        <v>75</v>
      </c>
      <c r="L12257" s="3" t="str">
        <f>IFERROR(__xludf.DUMMYFUNCTION("GOOGLETRANSLATE(F12257,""id"",""en"")"),"Argentina World Cup Champion Lionel Messi Wins the Best Player Award")</f>
        <v>Argentina World Cup Champion Lionel Messi Wins the Best Player Award</v>
      </c>
    </row>
    <row r="12258" ht="15.75" customHeight="1">
      <c r="A12258" s="1">
        <v>13528.0</v>
      </c>
      <c r="B12258" s="3" t="s">
        <v>34770</v>
      </c>
      <c r="C12258" s="3">
        <v>0.0</v>
      </c>
      <c r="D12258" s="3">
        <v>0.0</v>
      </c>
      <c r="E12258" s="3">
        <v>0.0</v>
      </c>
      <c r="F12258" s="3" t="s">
        <v>34771</v>
      </c>
      <c r="G12258" s="3">
        <v>0.0</v>
      </c>
      <c r="H12258" s="3">
        <v>0.0</v>
      </c>
      <c r="I12258" s="3" t="s">
        <v>13</v>
      </c>
      <c r="J12258" s="3" t="s">
        <v>34772</v>
      </c>
      <c r="K12258" s="3" t="s">
        <v>31</v>
      </c>
      <c r="L12258" s="3" t="str">
        <f>IFERROR(__xludf.DUMMYFUNCTION("GOOGLETRANSLATE(F12258,""id"",""en"")"),"according to the prediction of the Argentina Champion Stad")</f>
        <v>according to the prediction of the Argentina Champion Stad</v>
      </c>
    </row>
    <row r="12259" ht="15.75" customHeight="1">
      <c r="A12259" s="1">
        <v>13529.0</v>
      </c>
      <c r="B12259" s="3" t="s">
        <v>34773</v>
      </c>
      <c r="C12259" s="3">
        <v>0.0</v>
      </c>
      <c r="D12259" s="3">
        <v>0.0</v>
      </c>
      <c r="E12259" s="3">
        <v>0.0</v>
      </c>
      <c r="F12259" s="3" t="s">
        <v>34774</v>
      </c>
      <c r="G12259" s="3">
        <v>0.0</v>
      </c>
      <c r="H12259" s="3">
        <v>0.0</v>
      </c>
      <c r="I12259" s="3" t="s">
        <v>13</v>
      </c>
      <c r="J12259" s="3" t="s">
        <v>34775</v>
      </c>
      <c r="K12259" s="3" t="s">
        <v>1097</v>
      </c>
      <c r="L12259" s="3" t="str">
        <f>IFERROR(__xludf.DUMMYFUNCTION("GOOGLETRANSLATE(F12259,""id"",""en"")"),"Biodata and Photos of Instagram Artist Pia Muehlenbeck World Champion")</f>
        <v>Biodata and Photos of Instagram Artist Pia Muehlenbeck World Champion</v>
      </c>
    </row>
    <row r="12260" ht="15.75" customHeight="1">
      <c r="A12260" s="1">
        <v>13530.0</v>
      </c>
      <c r="B12260" s="3" t="s">
        <v>34776</v>
      </c>
      <c r="C12260" s="3">
        <v>0.0</v>
      </c>
      <c r="D12260" s="3">
        <v>0.0</v>
      </c>
      <c r="E12260" s="3">
        <v>0.0</v>
      </c>
      <c r="F12260" s="3" t="s">
        <v>34777</v>
      </c>
      <c r="G12260" s="3">
        <v>0.0</v>
      </c>
      <c r="H12260" s="3">
        <v>0.0</v>
      </c>
      <c r="I12260" s="3" t="s">
        <v>13</v>
      </c>
      <c r="J12260" s="3" t="s">
        <v>34778</v>
      </c>
      <c r="K12260" s="3" t="s">
        <v>1552</v>
      </c>
      <c r="L12260" s="3" t="str">
        <f>IFERROR(__xludf.DUMMYFUNCTION("GOOGLETRANSLATE(F12260,""id"",""en"")"),"why is the champion champion arab ngab after defeating Argentina")</f>
        <v>why is the champion champion arab ngab after defeating Argentina</v>
      </c>
    </row>
    <row r="12261" ht="15.75" customHeight="1">
      <c r="A12261" s="1">
        <v>13531.0</v>
      </c>
      <c r="B12261" s="3" t="s">
        <v>34779</v>
      </c>
      <c r="C12261" s="3">
        <v>0.0</v>
      </c>
      <c r="D12261" s="3">
        <v>0.0</v>
      </c>
      <c r="E12261" s="3">
        <v>0.0</v>
      </c>
      <c r="F12261" s="3" t="s">
        <v>34250</v>
      </c>
      <c r="G12261" s="3">
        <v>0.0</v>
      </c>
      <c r="H12261" s="3">
        <v>0.0</v>
      </c>
      <c r="I12261" s="3" t="s">
        <v>13</v>
      </c>
      <c r="J12261" s="3" t="s">
        <v>34251</v>
      </c>
      <c r="K12261" s="3" t="s">
        <v>75</v>
      </c>
      <c r="L12261" s="3" t="str">
        <f>IFERROR(__xludf.DUMMYFUNCTION("GOOGLETRANSLATE(F12261,""id"",""en"")"),"Argentina Wins World Cup Champion Neymar congratulates Lionel Messi")</f>
        <v>Argentina Wins World Cup Champion Neymar congratulates Lionel Messi</v>
      </c>
    </row>
    <row r="12262" ht="15.75" customHeight="1">
      <c r="A12262" s="1">
        <v>13532.0</v>
      </c>
      <c r="B12262" s="3" t="s">
        <v>34780</v>
      </c>
      <c r="C12262" s="3">
        <v>1.0</v>
      </c>
      <c r="D12262" s="3">
        <v>1.0</v>
      </c>
      <c r="E12262" s="3">
        <v>2.0</v>
      </c>
      <c r="F12262" s="3" t="s">
        <v>34781</v>
      </c>
      <c r="G12262" s="3">
        <v>0.0</v>
      </c>
      <c r="H12262" s="3">
        <v>0.0</v>
      </c>
      <c r="I12262" s="3" t="s">
        <v>13</v>
      </c>
      <c r="J12262" s="3" t="s">
        <v>34782</v>
      </c>
      <c r="K12262" s="3" t="s">
        <v>1428</v>
      </c>
      <c r="L12262" s="3" t="str">
        <f>IFERROR(__xludf.DUMMYFUNCTION("GOOGLETRANSLATE(F12262,""id"",""en"")"),"Not laah since the Copa Emi champion is always kesorot Messi always goes to him because before Argentina does not have a good goalkeeper EMI Heroes and then KNP Messi all know the answer")</f>
        <v>Not laah since the Copa Emi champion is always kesorot Messi always goes to him because before Argentina does not have a good goalkeeper EMI Heroes and then KNP Messi all know the answer</v>
      </c>
    </row>
    <row r="12263" ht="15.75" customHeight="1">
      <c r="A12263" s="1">
        <v>13533.0</v>
      </c>
      <c r="B12263" s="3" t="s">
        <v>34783</v>
      </c>
      <c r="C12263" s="3">
        <v>0.0</v>
      </c>
      <c r="D12263" s="3">
        <v>0.0</v>
      </c>
      <c r="E12263" s="3">
        <v>0.0</v>
      </c>
      <c r="F12263" s="3" t="s">
        <v>34784</v>
      </c>
      <c r="G12263" s="3">
        <v>0.0</v>
      </c>
      <c r="H12263" s="3">
        <v>0.0</v>
      </c>
      <c r="I12263" s="3" t="s">
        <v>13</v>
      </c>
      <c r="J12263" s="3" t="s">
        <v>34785</v>
      </c>
      <c r="K12263" s="3" t="s">
        <v>883</v>
      </c>
      <c r="L12263" s="3" t="str">
        <f>IFERROR(__xludf.DUMMYFUNCTION("GOOGLETRANSLATE(F12263,""id"",""en"")"),"yes champion but tomorrow has been on Monday, I have to work again, remember that Klen is not rich in Messi tomorrow, I can sleep until noon only")</f>
        <v>yes champion but tomorrow has been on Monday, I have to work again, remember that Klen is not rich in Messi tomorrow, I can sleep until noon only</v>
      </c>
    </row>
    <row r="12264" ht="15.75" customHeight="1">
      <c r="A12264" s="1">
        <v>13535.0</v>
      </c>
      <c r="B12264" s="3" t="s">
        <v>34786</v>
      </c>
      <c r="C12264" s="3">
        <v>0.0</v>
      </c>
      <c r="D12264" s="3">
        <v>0.0</v>
      </c>
      <c r="E12264" s="3">
        <v>0.0</v>
      </c>
      <c r="F12264" s="3" t="s">
        <v>34787</v>
      </c>
      <c r="G12264" s="3">
        <v>0.0</v>
      </c>
      <c r="H12264" s="3">
        <v>0.0</v>
      </c>
      <c r="I12264" s="3" t="s">
        <v>13</v>
      </c>
      <c r="J12264" s="3" t="s">
        <v>34788</v>
      </c>
      <c r="K12264" s="3" t="s">
        <v>2215</v>
      </c>
      <c r="L12264" s="3" t="str">
        <f>IFERROR(__xludf.DUMMYFUNCTION("GOOGLETRANSLATE(F12264,""id"",""en"")"),"The Argentine year can only win the world title after defeating France and congratulations to Saudi Arabia who has defeated Argentina")</f>
        <v>The Argentine year can only win the world title after defeating France and congratulations to Saudi Arabia who has defeated Argentina</v>
      </c>
    </row>
    <row r="12265" ht="15.75" customHeight="1">
      <c r="A12265" s="1">
        <v>13536.0</v>
      </c>
      <c r="B12265" s="3" t="s">
        <v>34789</v>
      </c>
      <c r="C12265" s="3">
        <v>0.0</v>
      </c>
      <c r="D12265" s="3">
        <v>0.0</v>
      </c>
      <c r="E12265" s="3">
        <v>1.0</v>
      </c>
      <c r="F12265" s="3" t="s">
        <v>34790</v>
      </c>
      <c r="G12265" s="3">
        <v>0.0</v>
      </c>
      <c r="H12265" s="3">
        <v>0.0</v>
      </c>
      <c r="I12265" s="3" t="s">
        <v>13</v>
      </c>
      <c r="J12265" s="3" t="s">
        <v>34791</v>
      </c>
      <c r="K12265" s="3" t="s">
        <v>50</v>
      </c>
      <c r="L12265" s="3" t="str">
        <f>IFERROR(__xludf.DUMMYFUNCTION("GOOGLETRANSLATE(F12265,""id"",""en"")"),"if it is likely to be for Argentina why the striker is out of world champion Raul Lemos")</f>
        <v>if it is likely to be for Argentina why the striker is out of world champion Raul Lemos</v>
      </c>
    </row>
    <row r="12266" ht="15.75" customHeight="1">
      <c r="A12266" s="1">
        <v>13539.0</v>
      </c>
      <c r="B12266" s="3" t="s">
        <v>34792</v>
      </c>
      <c r="C12266" s="3">
        <v>0.0</v>
      </c>
      <c r="D12266" s="3">
        <v>0.0</v>
      </c>
      <c r="E12266" s="3">
        <v>0.0</v>
      </c>
      <c r="F12266" s="3" t="s">
        <v>34793</v>
      </c>
      <c r="G12266" s="3">
        <v>0.0</v>
      </c>
      <c r="H12266" s="3">
        <v>0.0</v>
      </c>
      <c r="I12266" s="3" t="s">
        <v>13</v>
      </c>
      <c r="J12266" s="3" t="s">
        <v>34794</v>
      </c>
      <c r="K12266" s="3" t="s">
        <v>1097</v>
      </c>
      <c r="L12266" s="3" t="str">
        <f>IFERROR(__xludf.DUMMYFUNCTION("GOOGLETRANSLATE(F12266,""id"",""en"")"),"Biodata and Photos of Instagram Artist Allegra Shaw Champion World Champion")</f>
        <v>Biodata and Photos of Instagram Artist Allegra Shaw Champion World Champion</v>
      </c>
    </row>
    <row r="12267" ht="15.75" customHeight="1">
      <c r="A12267" s="1">
        <v>13540.0</v>
      </c>
      <c r="B12267" s="3" t="s">
        <v>34795</v>
      </c>
      <c r="C12267" s="3">
        <v>0.0</v>
      </c>
      <c r="D12267" s="3">
        <v>0.0</v>
      </c>
      <c r="E12267" s="3">
        <v>0.0</v>
      </c>
      <c r="F12267" s="3" t="s">
        <v>34796</v>
      </c>
      <c r="G12267" s="3">
        <v>0.0</v>
      </c>
      <c r="H12267" s="3">
        <v>0.0</v>
      </c>
      <c r="I12267" s="3" t="s">
        <v>13</v>
      </c>
      <c r="J12267" s="3" t="s">
        <v>34797</v>
      </c>
      <c r="K12267" s="3" t="s">
        <v>903</v>
      </c>
      <c r="L12267" s="3" t="str">
        <f>IFERROR(__xludf.DUMMYFUNCTION("GOOGLETRANSLATE(F12267,""id"",""en"")"),"Before this World Cup, I already bought the latest Argentine jersey, I wanted to wait for the jersey update to add stars to three plus using the world champion emblem.")</f>
        <v>Before this World Cup, I already bought the latest Argentine jersey, I wanted to wait for the jersey update to add stars to three plus using the world champion emblem.</v>
      </c>
    </row>
    <row r="12268" ht="15.75" customHeight="1">
      <c r="A12268" s="1">
        <v>13541.0</v>
      </c>
      <c r="B12268" s="3" t="s">
        <v>34798</v>
      </c>
      <c r="C12268" s="3">
        <v>0.0</v>
      </c>
      <c r="D12268" s="3">
        <v>0.0</v>
      </c>
      <c r="E12268" s="3">
        <v>0.0</v>
      </c>
      <c r="F12268" s="3" t="s">
        <v>34799</v>
      </c>
      <c r="G12268" s="3">
        <v>1.0</v>
      </c>
      <c r="H12268" s="3">
        <v>0.5</v>
      </c>
      <c r="I12268" s="3" t="s">
        <v>48</v>
      </c>
      <c r="J12268" s="3" t="s">
        <v>34800</v>
      </c>
      <c r="K12268" s="3" t="s">
        <v>11161</v>
      </c>
      <c r="L12268" s="3" t="str">
        <f>IFERROR(__xludf.DUMMYFUNCTION("GOOGLETRANSLATE(F12268,""id"",""en"")"),"fansclub argentina messi the goat drake penalties what final ronaldo benzema all france dybala the greatest all time paredes camavinga mbappe maria aguero kolo muani higuain camavinga maradona enzo fernandez pildun otamendi juara dunia lloris kounde")</f>
        <v>fansclub argentina messi the goat drake penalties what final ronaldo benzema all france dybala the greatest all time paredes camavinga mbappe maria aguero kolo muani higuain camavinga maradona enzo fernandez pildun otamendi juara dunia lloris kounde</v>
      </c>
    </row>
    <row r="12269" ht="15.75" customHeight="1">
      <c r="A12269" s="1">
        <v>13542.0</v>
      </c>
      <c r="B12269" s="3" t="s">
        <v>34801</v>
      </c>
      <c r="C12269" s="3">
        <v>1.0</v>
      </c>
      <c r="D12269" s="3">
        <v>0.0</v>
      </c>
      <c r="E12269" s="3">
        <v>0.0</v>
      </c>
      <c r="F12269" s="3" t="s">
        <v>34802</v>
      </c>
      <c r="G12269" s="3">
        <v>0.0</v>
      </c>
      <c r="H12269" s="3">
        <v>0.0</v>
      </c>
      <c r="I12269" s="3" t="s">
        <v>13</v>
      </c>
      <c r="J12269" s="3" t="s">
        <v>34803</v>
      </c>
      <c r="K12269" s="3" t="s">
        <v>1469</v>
      </c>
      <c r="L12269" s="3" t="str">
        <f>IFERROR(__xludf.DUMMYFUNCTION("GOOGLETRANSLATE(F12269,""id"",""en"")"),"The Netherlands champion Euro runs out that Indonesia champion AFF Masse Pacayolah Masse Guess Wak Batua Argentina Masse")</f>
        <v>The Netherlands champion Euro runs out that Indonesia champion AFF Masse Pacayolah Masse Guess Wak Batua Argentina Masse</v>
      </c>
    </row>
    <row r="12270" ht="15.75" customHeight="1">
      <c r="A12270" s="1">
        <v>13543.0</v>
      </c>
      <c r="B12270" s="3" t="s">
        <v>34804</v>
      </c>
      <c r="C12270" s="3">
        <v>0.0</v>
      </c>
      <c r="D12270" s="3">
        <v>0.0</v>
      </c>
      <c r="E12270" s="3">
        <v>0.0</v>
      </c>
      <c r="F12270" s="3" t="s">
        <v>34805</v>
      </c>
      <c r="G12270" s="3">
        <v>0.0</v>
      </c>
      <c r="H12270" s="3">
        <v>0.0</v>
      </c>
      <c r="I12270" s="3" t="s">
        <v>13</v>
      </c>
      <c r="J12270" s="3" t="s">
        <v>34806</v>
      </c>
      <c r="K12270" s="3" t="s">
        <v>644</v>
      </c>
      <c r="L12270" s="3" t="str">
        <f>IFERROR(__xludf.DUMMYFUNCTION("GOOGLETRANSLATE(F12270,""id"",""en"")"),"Argentina Champion Nie Congrats")</f>
        <v>Argentina Champion Nie Congrats</v>
      </c>
    </row>
    <row r="12271" ht="15.75" customHeight="1">
      <c r="A12271" s="1">
        <v>13544.0</v>
      </c>
      <c r="B12271" s="3" t="s">
        <v>34807</v>
      </c>
      <c r="C12271" s="3">
        <v>1.0</v>
      </c>
      <c r="D12271" s="3">
        <v>0.0</v>
      </c>
      <c r="E12271" s="3">
        <v>0.0</v>
      </c>
      <c r="F12271" s="3" t="s">
        <v>34808</v>
      </c>
      <c r="G12271" s="3">
        <v>0.0</v>
      </c>
      <c r="H12271" s="3">
        <v>0.0</v>
      </c>
      <c r="I12271" s="3" t="s">
        <v>13</v>
      </c>
      <c r="J12271" s="3" t="s">
        <v>34809</v>
      </c>
      <c r="K12271" s="3" t="s">
        <v>644</v>
      </c>
      <c r="L12271" s="3" t="str">
        <f>IFERROR(__xludf.DUMMYFUNCTION("GOOGLETRANSLATE(F12271,""id"",""en"")"),"he said if our Argentina champion invented")</f>
        <v>he said if our Argentina champion invented</v>
      </c>
    </row>
    <row r="12272" ht="15.75" customHeight="1">
      <c r="A12272" s="1">
        <v>13545.0</v>
      </c>
      <c r="B12272" s="3" t="s">
        <v>34810</v>
      </c>
      <c r="C12272" s="3">
        <v>1.0</v>
      </c>
      <c r="D12272" s="3">
        <v>0.0</v>
      </c>
      <c r="E12272" s="3">
        <v>2.0</v>
      </c>
      <c r="F12272" s="3" t="s">
        <v>34811</v>
      </c>
      <c r="G12272" s="3">
        <v>0.0</v>
      </c>
      <c r="H12272" s="3">
        <v>0.0</v>
      </c>
      <c r="I12272" s="3" t="s">
        <v>13</v>
      </c>
      <c r="J12272" s="3" t="s">
        <v>34812</v>
      </c>
      <c r="K12272" s="3" t="s">
        <v>50</v>
      </c>
      <c r="L12272" s="3" t="str">
        <f>IFERROR(__xludf.DUMMYFUNCTION("GOOGLETRANSLATE(F12272,""id"",""en"")"),"I now sleep soundly not because Argentina is a lemes cok heart champion")</f>
        <v>I now sleep soundly not because Argentina is a lemes cok heart champion</v>
      </c>
    </row>
    <row r="12273" ht="15.75" customHeight="1">
      <c r="A12273" s="1">
        <v>13546.0</v>
      </c>
      <c r="B12273" s="3" t="s">
        <v>34813</v>
      </c>
      <c r="C12273" s="3">
        <v>0.0</v>
      </c>
      <c r="D12273" s="3">
        <v>0.0</v>
      </c>
      <c r="E12273" s="3">
        <v>0.0</v>
      </c>
      <c r="F12273" s="3" t="s">
        <v>34814</v>
      </c>
      <c r="G12273" s="3">
        <v>0.3333333333333333</v>
      </c>
      <c r="H12273" s="3">
        <v>0.1666666666666667</v>
      </c>
      <c r="I12273" s="3" t="s">
        <v>48</v>
      </c>
      <c r="J12273" s="3" t="s">
        <v>34815</v>
      </c>
      <c r="K12273" s="3" t="s">
        <v>35</v>
      </c>
      <c r="L12273" s="3" t="str">
        <f>IFERROR(__xludf.DUMMYFUNCTION("GOOGLETRANSLATE(F12273,""id"",""en"")"),"I am happy to see Argentina, the champion is a few times in the next time you have to see Chelsea playing")</f>
        <v>I am happy to see Argentina, the champion is a few times in the next time you have to see Chelsea playing</v>
      </c>
    </row>
    <row r="12274" ht="15.75" customHeight="1">
      <c r="A12274" s="1">
        <v>13547.0</v>
      </c>
      <c r="B12274" s="3" t="s">
        <v>34816</v>
      </c>
      <c r="C12274" s="3">
        <v>0.0</v>
      </c>
      <c r="D12274" s="3">
        <v>0.0</v>
      </c>
      <c r="E12274" s="3">
        <v>0.0</v>
      </c>
      <c r="F12274" s="3" t="s">
        <v>34817</v>
      </c>
      <c r="G12274" s="3">
        <v>0.0</v>
      </c>
      <c r="H12274" s="3">
        <v>0.0</v>
      </c>
      <c r="I12274" s="3" t="s">
        <v>13</v>
      </c>
      <c r="J12274" s="3" t="s">
        <v>34818</v>
      </c>
      <c r="K12274" s="3" t="s">
        <v>50</v>
      </c>
      <c r="L12274" s="3" t="str">
        <f>IFERROR(__xludf.DUMMYFUNCTION("GOOGLETRANSLATE(F12274,""id"",""en"")"),"Argentina has only been the last champion for the last time in the era of Maradona Anjengggg")</f>
        <v>Argentina has only been the last champion for the last time in the era of Maradona Anjengggg</v>
      </c>
    </row>
    <row r="12275" ht="15.75" customHeight="1">
      <c r="A12275" s="1">
        <v>13548.0</v>
      </c>
      <c r="B12275" s="3" t="s">
        <v>34819</v>
      </c>
      <c r="C12275" s="3">
        <v>0.0</v>
      </c>
      <c r="D12275" s="3">
        <v>0.0</v>
      </c>
      <c r="E12275" s="3">
        <v>0.0</v>
      </c>
      <c r="F12275" s="3" t="s">
        <v>34820</v>
      </c>
      <c r="G12275" s="3">
        <v>1.0</v>
      </c>
      <c r="H12275" s="3">
        <v>0.5</v>
      </c>
      <c r="I12275" s="3" t="s">
        <v>48</v>
      </c>
      <c r="J12275" s="3" t="s">
        <v>34821</v>
      </c>
      <c r="K12275" s="3" t="s">
        <v>3456</v>
      </c>
      <c r="L12275" s="3" t="str">
        <f>IFERROR(__xludf.DUMMYFUNCTION("GOOGLETRANSLATE(F12275,""id"",""en"")"),"Argentina fansclub Messi The Goat Drake Penalties What Final Ronaldo Benzema All France Dybala The Greatest All Time Paredes Camavinga Mbappe Maria Aguero Kolo Muani Higuain Camavinga Maradona Enzo Fernandona Fernandona Fernandona Pildun Otamendi World Ch"&amp;"ampion Champion")</f>
        <v>Argentina fansclub Messi The Goat Drake Penalties What Final Ronaldo Benzema All France Dybala The Greatest All Time Paredes Camavinga Mbappe Maria Aguero Kolo Muani Higuain Camavinga Maradona Enzo Fernandona Fernandona Fernandona Pildun Otamendi World Champion Champion</v>
      </c>
    </row>
    <row r="12276" ht="15.75" customHeight="1">
      <c r="A12276" s="1">
        <v>13549.0</v>
      </c>
      <c r="B12276" s="3" t="s">
        <v>34822</v>
      </c>
      <c r="C12276" s="3">
        <v>0.0</v>
      </c>
      <c r="D12276" s="3">
        <v>0.0</v>
      </c>
      <c r="E12276" s="3">
        <v>0.0</v>
      </c>
      <c r="F12276" s="3" t="s">
        <v>34823</v>
      </c>
      <c r="G12276" s="3">
        <v>0.0</v>
      </c>
      <c r="H12276" s="3">
        <v>0.0</v>
      </c>
      <c r="I12276" s="3" t="s">
        <v>13</v>
      </c>
      <c r="J12276" s="3" t="s">
        <v>34824</v>
      </c>
      <c r="K12276" s="3" t="s">
        <v>1293</v>
      </c>
      <c r="L12276" s="3" t="str">
        <f>IFERROR(__xludf.DUMMYFUNCTION("GOOGLETRANSLATE(F12276,""id"",""en"")"),"Paul, if not pulled out after a severe injury, he would be brushed to the Frenchman, fortunately quickly came out until Argentina was champion and it's time to celebrate")</f>
        <v>Paul, if not pulled out after a severe injury, he would be brushed to the Frenchman, fortunately quickly came out until Argentina was champion and it's time to celebrate</v>
      </c>
    </row>
    <row r="12277" ht="15.75" customHeight="1">
      <c r="A12277" s="1">
        <v>13550.0</v>
      </c>
      <c r="B12277" s="3" t="s">
        <v>34825</v>
      </c>
      <c r="C12277" s="3">
        <v>0.0</v>
      </c>
      <c r="D12277" s="3">
        <v>0.0</v>
      </c>
      <c r="E12277" s="3">
        <v>0.0</v>
      </c>
      <c r="F12277" s="3" t="s">
        <v>34826</v>
      </c>
      <c r="G12277" s="3">
        <v>0.0</v>
      </c>
      <c r="H12277" s="3">
        <v>0.0</v>
      </c>
      <c r="I12277" s="3" t="s">
        <v>13</v>
      </c>
      <c r="J12277" s="3" t="s">
        <v>34827</v>
      </c>
      <c r="K12277" s="3" t="s">
        <v>71</v>
      </c>
      <c r="L12277" s="3" t="str">
        <f>IFERROR(__xludf.DUMMYFUNCTION("GOOGLETRANSLATE(F12277,""id"",""en"")"),"Argentina Video Champion World Cup Qatar Through Lionel Messi's Final Penalty Drama")</f>
        <v>Argentina Video Champion World Cup Qatar Through Lionel Messi's Final Penalty Drama</v>
      </c>
    </row>
    <row r="12278" ht="15.75" customHeight="1">
      <c r="A12278" s="1">
        <v>13551.0</v>
      </c>
      <c r="B12278" s="3" t="s">
        <v>34828</v>
      </c>
      <c r="C12278" s="3">
        <v>0.0</v>
      </c>
      <c r="D12278" s="3">
        <v>0.0</v>
      </c>
      <c r="E12278" s="3">
        <v>0.0</v>
      </c>
      <c r="F12278" s="3" t="s">
        <v>34829</v>
      </c>
      <c r="G12278" s="3">
        <v>0.5</v>
      </c>
      <c r="H12278" s="3">
        <v>0.5</v>
      </c>
      <c r="I12278" s="3" t="s">
        <v>48</v>
      </c>
      <c r="J12278" s="3" t="s">
        <v>34830</v>
      </c>
      <c r="K12278" s="3" t="s">
        <v>510</v>
      </c>
      <c r="L12278" s="3" t="str">
        <f>IFERROR(__xludf.DUMMYFUNCTION("GOOGLETRANSLATE(F12278,""id"",""en"")"),"Messi Champion World Cup Argentina Defeated France through Mbappe Top Score Penalty Fighting")</f>
        <v>Messi Champion World Cup Argentina Defeated France through Mbappe Top Score Penalty Fighting</v>
      </c>
    </row>
    <row r="12279" ht="15.75" customHeight="1">
      <c r="A12279" s="1">
        <v>13552.0</v>
      </c>
      <c r="B12279" s="3" t="s">
        <v>34831</v>
      </c>
      <c r="C12279" s="3">
        <v>0.0</v>
      </c>
      <c r="D12279" s="3">
        <v>4.0</v>
      </c>
      <c r="E12279" s="3">
        <v>51.0</v>
      </c>
      <c r="F12279" s="3" t="s">
        <v>34832</v>
      </c>
      <c r="G12279" s="3">
        <v>1.0</v>
      </c>
      <c r="H12279" s="3">
        <v>0.0</v>
      </c>
      <c r="I12279" s="3" t="s">
        <v>13</v>
      </c>
      <c r="J12279" s="3" t="s">
        <v>34833</v>
      </c>
      <c r="K12279" s="3" t="s">
        <v>823</v>
      </c>
      <c r="L12279" s="3" t="str">
        <f>IFERROR(__xludf.DUMMYFUNCTION("GOOGLETRANSLATE(F12279,""id"",""en"")"),"Unbeaten Argentina Stopped Saudi Arabia Team which was underestimated to show their teeth and made the strong team of strong teams of Japanese Saudi Arabia Moroccan Hattrick Final not necessarily bring their team champion mbappe crying")</f>
        <v>Unbeaten Argentina Stopped Saudi Arabia Team which was underestimated to show their teeth and made the strong team of strong teams of Japanese Saudi Arabia Moroccan Hattrick Final not necessarily bring their team champion mbappe crying</v>
      </c>
    </row>
    <row r="12280" ht="15.75" customHeight="1">
      <c r="A12280" s="1">
        <v>13553.0</v>
      </c>
      <c r="B12280" s="3" t="s">
        <v>34834</v>
      </c>
      <c r="C12280" s="3">
        <v>0.0</v>
      </c>
      <c r="D12280" s="3">
        <v>0.0</v>
      </c>
      <c r="E12280" s="3">
        <v>0.0</v>
      </c>
      <c r="F12280" s="3" t="s">
        <v>34835</v>
      </c>
      <c r="G12280" s="3">
        <v>0.0</v>
      </c>
      <c r="H12280" s="3">
        <v>0.0</v>
      </c>
      <c r="I12280" s="3" t="s">
        <v>13</v>
      </c>
      <c r="J12280" s="3" t="s">
        <v>34836</v>
      </c>
      <c r="K12280" s="3" t="s">
        <v>50</v>
      </c>
      <c r="L12280" s="3" t="str">
        <f>IFERROR(__xludf.DUMMYFUNCTION("GOOGLETRANSLATE(F12280,""id"",""en"")"),"not playing ordinary Ajee Kaleee Argentina champions are still hilarious hilarious hashhh")</f>
        <v>not playing ordinary Ajee Kaleee Argentina champions are still hilarious hilarious hashhh</v>
      </c>
    </row>
    <row r="12281" ht="15.75" customHeight="1">
      <c r="A12281" s="1">
        <v>13554.0</v>
      </c>
      <c r="B12281" s="3" t="s">
        <v>34837</v>
      </c>
      <c r="C12281" s="3">
        <v>0.0</v>
      </c>
      <c r="D12281" s="3">
        <v>0.0</v>
      </c>
      <c r="E12281" s="3">
        <v>0.0</v>
      </c>
      <c r="F12281" s="3" t="s">
        <v>34838</v>
      </c>
      <c r="G12281" s="3">
        <v>0.65</v>
      </c>
      <c r="H12281" s="3">
        <v>0.5</v>
      </c>
      <c r="I12281" s="3" t="s">
        <v>48</v>
      </c>
      <c r="J12281" s="3" t="s">
        <v>34839</v>
      </c>
      <c r="K12281" s="3" t="s">
        <v>1518</v>
      </c>
      <c r="L12281" s="3" t="str">
        <f>IFERROR(__xludf.DUMMYFUNCTION("GOOGLETRANSLATE(F12281,""id"",""en"")"),"Sia Supports Argentina from the beginning to the champion after feeling the pait of the final pildun now finally can see the idol lift the bener one the best moment life")</f>
        <v>Sia Supports Argentina from the beginning to the champion after feeling the pait of the final pildun now finally can see the idol lift the bener one the best moment life</v>
      </c>
    </row>
    <row r="12282" ht="15.75" customHeight="1">
      <c r="A12282" s="1">
        <v>13555.0</v>
      </c>
      <c r="B12282" s="3" t="s">
        <v>34840</v>
      </c>
      <c r="C12282" s="3">
        <v>0.0</v>
      </c>
      <c r="D12282" s="3">
        <v>0.0</v>
      </c>
      <c r="E12282" s="3">
        <v>0.0</v>
      </c>
      <c r="F12282" s="3" t="s">
        <v>34841</v>
      </c>
      <c r="G12282" s="3">
        <v>0.0</v>
      </c>
      <c r="H12282" s="3">
        <v>0.0</v>
      </c>
      <c r="I12282" s="3" t="s">
        <v>13</v>
      </c>
      <c r="J12282" s="3" t="s">
        <v>34842</v>
      </c>
      <c r="K12282" s="3" t="s">
        <v>477</v>
      </c>
      <c r="L12282" s="3" t="str">
        <f>IFERROR(__xludf.DUMMYFUNCTION("GOOGLETRANSLATE(F12282,""id"",""en"")"),"Who was the Koar Koar French champion Argentina trivial")</f>
        <v>Who was the Koar Koar French champion Argentina trivial</v>
      </c>
    </row>
    <row r="12283" ht="15.75" customHeight="1">
      <c r="A12283" s="1">
        <v>13556.0</v>
      </c>
      <c r="B12283" s="3" t="s">
        <v>34843</v>
      </c>
      <c r="C12283" s="3">
        <v>0.0</v>
      </c>
      <c r="D12283" s="3">
        <v>0.0</v>
      </c>
      <c r="E12283" s="3">
        <v>0.0</v>
      </c>
      <c r="F12283" s="3" t="s">
        <v>34844</v>
      </c>
      <c r="G12283" s="3">
        <v>0.0</v>
      </c>
      <c r="H12283" s="3">
        <v>0.0</v>
      </c>
      <c r="I12283" s="3" t="s">
        <v>13</v>
      </c>
      <c r="J12283" s="3" t="s">
        <v>34845</v>
      </c>
      <c r="K12283" s="3" t="s">
        <v>1097</v>
      </c>
      <c r="L12283" s="3" t="str">
        <f>IFERROR(__xludf.DUMMYFUNCTION("GOOGLETRANSLATE(F12283,""id"",""en"")"),"This distribution of the World Cup title Argentina Borong Title")</f>
        <v>This distribution of the World Cup title Argentina Borong Title</v>
      </c>
    </row>
    <row r="12284" ht="15.75" customHeight="1">
      <c r="A12284" s="1">
        <v>13557.0</v>
      </c>
      <c r="B12284" s="3" t="s">
        <v>34846</v>
      </c>
      <c r="C12284" s="3">
        <v>0.0</v>
      </c>
      <c r="D12284" s="3">
        <v>0.0</v>
      </c>
      <c r="E12284" s="3">
        <v>2.0</v>
      </c>
      <c r="F12284" s="3" t="s">
        <v>34847</v>
      </c>
      <c r="G12284" s="3">
        <v>0.0</v>
      </c>
      <c r="H12284" s="3">
        <v>0.0</v>
      </c>
      <c r="I12284" s="3" t="s">
        <v>13</v>
      </c>
      <c r="J12284" s="3" t="s">
        <v>34848</v>
      </c>
      <c r="K12284" s="3" t="s">
        <v>477</v>
      </c>
      <c r="L12284" s="3" t="str">
        <f>IFERROR(__xludf.DUMMYFUNCTION("GOOGLETRANSLATE(F12284,""id"",""en"")"),"Argentina has champions, you will win the heart")</f>
        <v>Argentina has champions, you will win the heart</v>
      </c>
    </row>
    <row r="12285" ht="15.75" customHeight="1">
      <c r="A12285" s="1">
        <v>13558.0</v>
      </c>
      <c r="B12285" s="3" t="s">
        <v>34849</v>
      </c>
      <c r="C12285" s="3">
        <v>0.0</v>
      </c>
      <c r="D12285" s="3">
        <v>0.0</v>
      </c>
      <c r="E12285" s="3">
        <v>0.0</v>
      </c>
      <c r="F12285" s="3" t="s">
        <v>34850</v>
      </c>
      <c r="G12285" s="3">
        <v>0.0</v>
      </c>
      <c r="H12285" s="3">
        <v>0.0</v>
      </c>
      <c r="I12285" s="3" t="s">
        <v>13</v>
      </c>
      <c r="J12285" s="3" t="s">
        <v>34851</v>
      </c>
      <c r="K12285" s="3" t="s">
        <v>695</v>
      </c>
      <c r="L12285" s="3" t="str">
        <f>IFERROR(__xludf.DUMMYFUNCTION("GOOGLETRANSLATE(F12285,""id"",""en"")"),"After already telling many stories in the drama all came with optimistic ammunition home with the mission of all teams was the winner but the champion was a dream of congratulations for Argentina")</f>
        <v>After already telling many stories in the drama all came with optimistic ammunition home with the mission of all teams was the winner but the champion was a dream of congratulations for Argentina</v>
      </c>
    </row>
    <row r="12286" ht="15.75" customHeight="1">
      <c r="A12286" s="1">
        <v>13559.0</v>
      </c>
      <c r="B12286" s="3" t="s">
        <v>34852</v>
      </c>
      <c r="C12286" s="3">
        <v>0.0</v>
      </c>
      <c r="D12286" s="3">
        <v>0.0</v>
      </c>
      <c r="E12286" s="3">
        <v>0.0</v>
      </c>
      <c r="F12286" s="3" t="s">
        <v>28420</v>
      </c>
      <c r="G12286" s="3">
        <v>0.55</v>
      </c>
      <c r="H12286" s="3">
        <v>0.35</v>
      </c>
      <c r="I12286" s="3" t="s">
        <v>48</v>
      </c>
      <c r="J12286" s="3" t="s">
        <v>28421</v>
      </c>
      <c r="K12286" s="3" t="s">
        <v>644</v>
      </c>
      <c r="L12286" s="3" t="str">
        <f>IFERROR(__xludf.DUMMYFUNCTION("GOOGLETRANSLATE(F12286,""id"",""en"")"),"full smile Argentina Champion")</f>
        <v>full smile Argentina Champion</v>
      </c>
    </row>
    <row r="12287" ht="15.75" customHeight="1">
      <c r="A12287" s="1">
        <v>13560.0</v>
      </c>
      <c r="B12287" s="3" t="s">
        <v>34853</v>
      </c>
      <c r="C12287" s="3">
        <v>0.0</v>
      </c>
      <c r="D12287" s="3">
        <v>1.0</v>
      </c>
      <c r="E12287" s="3">
        <v>4.0</v>
      </c>
      <c r="F12287" s="3" t="s">
        <v>34854</v>
      </c>
      <c r="G12287" s="3">
        <v>0.0</v>
      </c>
      <c r="H12287" s="3">
        <v>0.0</v>
      </c>
      <c r="I12287" s="3" t="s">
        <v>13</v>
      </c>
      <c r="J12287" s="3" t="s">
        <v>34855</v>
      </c>
      <c r="K12287" s="3" t="s">
        <v>75</v>
      </c>
      <c r="L12287" s="3" t="str">
        <f>IFERROR(__xludf.DUMMYFUNCTION("GOOGLETRANSLATE(F12287,""id"",""en"")"),"Wins World Cup Champion Congratulations to Argentina and Messi flows Twitter")</f>
        <v>Wins World Cup Champion Congratulations to Argentina and Messi flows Twitter</v>
      </c>
    </row>
    <row r="12288" ht="15.75" customHeight="1">
      <c r="A12288" s="1">
        <v>13561.0</v>
      </c>
      <c r="B12288" s="3" t="s">
        <v>34856</v>
      </c>
      <c r="C12288" s="3">
        <v>0.0</v>
      </c>
      <c r="D12288" s="3">
        <v>0.0</v>
      </c>
      <c r="E12288" s="3">
        <v>0.0</v>
      </c>
      <c r="F12288" s="3" t="s">
        <v>34857</v>
      </c>
      <c r="G12288" s="3">
        <v>0.0</v>
      </c>
      <c r="H12288" s="3">
        <v>0.0</v>
      </c>
      <c r="I12288" s="3" t="s">
        <v>13</v>
      </c>
      <c r="J12288" s="3" t="s">
        <v>34858</v>
      </c>
      <c r="K12288" s="3" t="s">
        <v>491</v>
      </c>
      <c r="L12288" s="3" t="str">
        <f>IFERROR(__xludf.DUMMYFUNCTION("GOOGLETRANSLATE(F12288,""id"",""en"")"),"It all started with Ronaldo's interview with many Ronaldo MGKN prayed so that Argentina won and see Argentina The Winner")</f>
        <v>It all started with Ronaldo's interview with many Ronaldo MGKN prayed so that Argentina won and see Argentina The Winner</v>
      </c>
    </row>
    <row r="12289" ht="15.75" customHeight="1">
      <c r="A12289" s="1">
        <v>13562.0</v>
      </c>
      <c r="B12289" s="3" t="s">
        <v>34859</v>
      </c>
      <c r="C12289" s="3">
        <v>0.0</v>
      </c>
      <c r="D12289" s="3">
        <v>0.0</v>
      </c>
      <c r="E12289" s="3">
        <v>2.0</v>
      </c>
      <c r="F12289" s="3" t="s">
        <v>34860</v>
      </c>
      <c r="G12289" s="3">
        <v>0.0</v>
      </c>
      <c r="H12289" s="3">
        <v>0.0</v>
      </c>
      <c r="I12289" s="3" t="s">
        <v>13</v>
      </c>
      <c r="J12289" s="3" t="s">
        <v>34861</v>
      </c>
      <c r="K12289" s="3" t="s">
        <v>860</v>
      </c>
      <c r="L12289" s="3" t="str">
        <f>IFERROR(__xludf.DUMMYFUNCTION("GOOGLETRANSLATE(F12289,""id"",""en"")"),"Buenos Aires partying Rosary may be proud to have given birth to the best nation's best son always get the best congratulations Messi Happy Argentina.")</f>
        <v>Buenos Aires partying Rosary may be proud to have given birth to the best nation's best son always get the best congratulations Messi Happy Argentina.</v>
      </c>
    </row>
    <row r="12290" ht="15.75" customHeight="1">
      <c r="A12290" s="1">
        <v>13563.0</v>
      </c>
      <c r="B12290" s="3" t="s">
        <v>34862</v>
      </c>
      <c r="C12290" s="3">
        <v>0.0</v>
      </c>
      <c r="D12290" s="3">
        <v>0.0</v>
      </c>
      <c r="E12290" s="3">
        <v>0.0</v>
      </c>
      <c r="F12290" s="3" t="s">
        <v>34863</v>
      </c>
      <c r="G12290" s="3">
        <v>0.0</v>
      </c>
      <c r="H12290" s="3">
        <v>0.0</v>
      </c>
      <c r="I12290" s="3" t="s">
        <v>13</v>
      </c>
      <c r="J12290" s="3" t="s">
        <v>34864</v>
      </c>
      <c r="K12290" s="3" t="s">
        <v>90</v>
      </c>
      <c r="L12290" s="3" t="str">
        <f>IFERROR(__xludf.DUMMYFUNCTION("GOOGLETRANSLATE(F12290,""id"",""en"")"),"After seeing Argentina the champion and Messi Namatin Ball Alhamdulillah Waras Ndess Ndess Wkwkwk cenat cenut kliyengan the throat of the gym of the fever was disappeared but tomorrow Monday")</f>
        <v>After seeing Argentina the champion and Messi Namatin Ball Alhamdulillah Waras Ndess Ndess Wkwkwk cenat cenut kliyengan the throat of the gym of the fever was disappeared but tomorrow Monday</v>
      </c>
    </row>
    <row r="12291" ht="15.75" customHeight="1">
      <c r="A12291" s="1">
        <v>13564.0</v>
      </c>
      <c r="B12291" s="3" t="s">
        <v>34865</v>
      </c>
      <c r="C12291" s="3">
        <v>1.0</v>
      </c>
      <c r="D12291" s="3">
        <v>2.0</v>
      </c>
      <c r="E12291" s="3">
        <v>3.0</v>
      </c>
      <c r="F12291" s="3" t="s">
        <v>34866</v>
      </c>
      <c r="G12291" s="3">
        <v>0.0</v>
      </c>
      <c r="H12291" s="3">
        <v>0.0</v>
      </c>
      <c r="I12291" s="3" t="s">
        <v>13</v>
      </c>
      <c r="J12291" s="3" t="s">
        <v>34867</v>
      </c>
      <c r="K12291" s="3" t="s">
        <v>463</v>
      </c>
      <c r="L12291" s="3" t="str">
        <f>IFERROR(__xludf.DUMMYFUNCTION("GOOGLETRANSLATE(F12291,""id"",""en"")"),"In the year of the team defeated by Saudi Arabia the first match of the group phase won the AFC Futsal Japanese Saudi Arabia FIFA World Cup Argentina Saudi Arabia")</f>
        <v>In the year of the team defeated by Saudi Arabia the first match of the group phase won the AFC Futsal Japanese Saudi Arabia FIFA World Cup Argentina Saudi Arabia</v>
      </c>
    </row>
    <row r="12292" ht="15.75" customHeight="1">
      <c r="A12292" s="1">
        <v>13565.0</v>
      </c>
      <c r="B12292" s="3" t="s">
        <v>34868</v>
      </c>
      <c r="C12292" s="3">
        <v>0.0</v>
      </c>
      <c r="D12292" s="3">
        <v>0.0</v>
      </c>
      <c r="E12292" s="3">
        <v>0.0</v>
      </c>
      <c r="F12292" s="3" t="s">
        <v>34869</v>
      </c>
      <c r="G12292" s="3">
        <v>0.0</v>
      </c>
      <c r="H12292" s="3">
        <v>0.0</v>
      </c>
      <c r="I12292" s="3" t="s">
        <v>13</v>
      </c>
      <c r="J12292" s="3" t="s">
        <v>34870</v>
      </c>
      <c r="K12292" s="3" t="s">
        <v>41</v>
      </c>
      <c r="L12292" s="3" t="str">
        <f>IFERROR(__xludf.DUMMYFUNCTION("GOOGLETRANSLATE(F12292,""id"",""en"")"),"Lionel Messi of the Best Player of the Qatar World Cup Argentina Champion")</f>
        <v>Lionel Messi of the Best Player of the Qatar World Cup Argentina Champion</v>
      </c>
    </row>
    <row r="12293" ht="15.75" customHeight="1">
      <c r="A12293" s="1">
        <v>13566.0</v>
      </c>
      <c r="B12293" s="3" t="s">
        <v>34871</v>
      </c>
      <c r="C12293" s="3">
        <v>0.0</v>
      </c>
      <c r="D12293" s="3">
        <v>0.0</v>
      </c>
      <c r="E12293" s="3">
        <v>0.0</v>
      </c>
      <c r="F12293" s="3" t="s">
        <v>34872</v>
      </c>
      <c r="G12293" s="3">
        <v>0.2666666666666667</v>
      </c>
      <c r="H12293" s="3">
        <v>0.03333333333333333</v>
      </c>
      <c r="I12293" s="3" t="s">
        <v>48</v>
      </c>
      <c r="J12293" s="3" t="s">
        <v>34873</v>
      </c>
      <c r="K12293" s="3" t="s">
        <v>1854</v>
      </c>
      <c r="L12293" s="3" t="str">
        <f>IFERROR(__xludf.DUMMYFUNCTION("GOOGLETRANSLATE(F12293,""id"",""en"")"),"FIR Before Alvarez played the Toro national team, the Argentina goals were founded when the Copa America champion Champion Finalisma Qualifications Pilduun dear he was unlucky maybe he was mentally hit when an Arabic opponent")</f>
        <v>FIR Before Alvarez played the Toro national team, the Argentina goals were founded when the Copa America champion Champion Finalisma Qualifications Pilduun dear he was unlucky maybe he was mentally hit when an Arabic opponent</v>
      </c>
    </row>
    <row r="12294" ht="15.75" customHeight="1">
      <c r="A12294" s="1">
        <v>13567.0</v>
      </c>
      <c r="B12294" s="3" t="s">
        <v>34874</v>
      </c>
      <c r="C12294" s="3">
        <v>1.0</v>
      </c>
      <c r="D12294" s="3">
        <v>0.0</v>
      </c>
      <c r="E12294" s="3">
        <v>0.0</v>
      </c>
      <c r="F12294" s="3" t="s">
        <v>34875</v>
      </c>
      <c r="G12294" s="3">
        <v>0.0</v>
      </c>
      <c r="H12294" s="3">
        <v>0.0</v>
      </c>
      <c r="I12294" s="3" t="s">
        <v>13</v>
      </c>
      <c r="J12294" s="3" t="s">
        <v>34876</v>
      </c>
      <c r="K12294" s="3" t="s">
        <v>41</v>
      </c>
      <c r="L12294" s="3" t="str">
        <f>IFERROR(__xludf.DUMMYFUNCTION("GOOGLETRANSLATE(F12294,""id"",""en"")"),"Argentina World Champion While Germany and Gotzene were eliminated by Group XIXIXI phase")</f>
        <v>Argentina World Champion While Germany and Gotzene were eliminated by Group XIXIXI phase</v>
      </c>
    </row>
    <row r="12295" ht="15.75" customHeight="1">
      <c r="A12295" s="1">
        <v>13568.0</v>
      </c>
      <c r="B12295" s="3" t="s">
        <v>34877</v>
      </c>
      <c r="C12295" s="3">
        <v>0.0</v>
      </c>
      <c r="D12295" s="3">
        <v>0.0</v>
      </c>
      <c r="E12295" s="3">
        <v>0.0</v>
      </c>
      <c r="F12295" s="3" t="s">
        <v>34878</v>
      </c>
      <c r="G12295" s="3">
        <v>0.0</v>
      </c>
      <c r="H12295" s="3">
        <v>0.0</v>
      </c>
      <c r="I12295" s="3" t="s">
        <v>13</v>
      </c>
      <c r="J12295" s="3" t="s">
        <v>34879</v>
      </c>
      <c r="K12295" s="3" t="s">
        <v>1335</v>
      </c>
      <c r="L12295" s="3" t="str">
        <f>IFERROR(__xludf.DUMMYFUNCTION("GOOGLETRANSLATE(F12295,""id"",""en"")"),"Argentina French Congratulations Argentina to become World Champion")</f>
        <v>Argentina French Congratulations Argentina to become World Champion</v>
      </c>
    </row>
    <row r="12296" ht="15.75" customHeight="1">
      <c r="A12296" s="1">
        <v>13569.0</v>
      </c>
      <c r="B12296" s="3" t="s">
        <v>34880</v>
      </c>
      <c r="C12296" s="3">
        <v>0.0</v>
      </c>
      <c r="D12296" s="3">
        <v>0.0</v>
      </c>
      <c r="E12296" s="3">
        <v>0.0</v>
      </c>
      <c r="F12296" s="3" t="s">
        <v>34881</v>
      </c>
      <c r="G12296" s="3">
        <v>0.0</v>
      </c>
      <c r="H12296" s="3">
        <v>0.0</v>
      </c>
      <c r="I12296" s="3" t="s">
        <v>13</v>
      </c>
      <c r="J12296" s="3" t="s">
        <v>34882</v>
      </c>
      <c r="K12296" s="3" t="s">
        <v>2117</v>
      </c>
      <c r="L12296" s="3" t="str">
        <f>IFERROR(__xludf.DUMMYFUNCTION("GOOGLETRANSLATE(F12296,""id"",""en"")"),"Argentina Champion Also AJG")</f>
        <v>Argentina Champion Also AJG</v>
      </c>
    </row>
    <row r="12297" ht="15.75" customHeight="1">
      <c r="A12297" s="1">
        <v>13570.0</v>
      </c>
      <c r="B12297" s="3" t="s">
        <v>34883</v>
      </c>
      <c r="C12297" s="3">
        <v>0.0</v>
      </c>
      <c r="D12297" s="3">
        <v>0.0</v>
      </c>
      <c r="E12297" s="3">
        <v>0.0</v>
      </c>
      <c r="F12297" s="3" t="s">
        <v>34884</v>
      </c>
      <c r="G12297" s="3">
        <v>0.0</v>
      </c>
      <c r="H12297" s="3">
        <v>0.0</v>
      </c>
      <c r="I12297" s="3" t="s">
        <v>13</v>
      </c>
      <c r="J12297" s="3" t="s">
        <v>34885</v>
      </c>
      <c r="K12297" s="3" t="s">
        <v>633</v>
      </c>
      <c r="L12297" s="3" t="str">
        <f>IFERROR(__xludf.DUMMYFUNCTION("GOOGLETRANSLATE(F12297,""id"",""en"")"),"Since Pak Moh Iriawan led PSSI Messi, he could only feel the World Cup champion with Argentina, a very proud achievement for PSSI")</f>
        <v>Since Pak Moh Iriawan led PSSI Messi, he could only feel the World Cup champion with Argentina, a very proud achievement for PSSI</v>
      </c>
    </row>
    <row r="12298" ht="15.75" customHeight="1">
      <c r="A12298" s="1">
        <v>13571.0</v>
      </c>
      <c r="B12298" s="3" t="s">
        <v>34886</v>
      </c>
      <c r="C12298" s="3">
        <v>0.0</v>
      </c>
      <c r="D12298" s="3">
        <v>0.0</v>
      </c>
      <c r="E12298" s="3">
        <v>1.0</v>
      </c>
      <c r="F12298" s="3" t="s">
        <v>34887</v>
      </c>
      <c r="G12298" s="3">
        <v>0.0</v>
      </c>
      <c r="H12298" s="3">
        <v>0.0</v>
      </c>
      <c r="I12298" s="3" t="s">
        <v>13</v>
      </c>
      <c r="J12298" s="3" t="s">
        <v>34888</v>
      </c>
      <c r="K12298" s="3" t="s">
        <v>2610</v>
      </c>
      <c r="L12298" s="3" t="str">
        <f>IFERROR(__xludf.DUMMYFUNCTION("GOOGLETRANSLATE(F12298,""id"",""en"")"),"I am very happy when I Raya Argentina Champion Tembupping but until the house is sad to daydream the world cup will not be entertainment anymore, hanging out yesterday")</f>
        <v>I am very happy when I Raya Argentina Champion Tembupping but until the house is sad to daydream the world cup will not be entertainment anymore, hanging out yesterday</v>
      </c>
    </row>
    <row r="12299" ht="15.75" customHeight="1">
      <c r="A12299" s="1">
        <v>13572.0</v>
      </c>
      <c r="B12299" s="3" t="s">
        <v>34889</v>
      </c>
      <c r="C12299" s="3">
        <v>0.0</v>
      </c>
      <c r="D12299" s="3">
        <v>0.0</v>
      </c>
      <c r="E12299" s="3">
        <v>2.0</v>
      </c>
      <c r="F12299" s="3" t="s">
        <v>34890</v>
      </c>
      <c r="G12299" s="3">
        <v>0.0</v>
      </c>
      <c r="H12299" s="3">
        <v>0.0</v>
      </c>
      <c r="I12299" s="3" t="s">
        <v>13</v>
      </c>
      <c r="J12299" s="3" t="s">
        <v>34891</v>
      </c>
      <c r="K12299" s="3" t="s">
        <v>58</v>
      </c>
      <c r="L12299" s="3" t="str">
        <f>IFERROR(__xludf.DUMMYFUNCTION("GOOGLETRANSLATE(F12299,""id"",""en"")"),"Mac Allister can be arrogant to his friends Brighton can be world champion with Argentina champion free wkwk")</f>
        <v>Mac Allister can be arrogant to his friends Brighton can be world champion with Argentina champion free wkwk</v>
      </c>
    </row>
    <row r="12300" ht="15.75" customHeight="1">
      <c r="A12300" s="1">
        <v>13573.0</v>
      </c>
      <c r="B12300" s="3" t="s">
        <v>34892</v>
      </c>
      <c r="C12300" s="3">
        <v>1.0</v>
      </c>
      <c r="D12300" s="3">
        <v>0.0</v>
      </c>
      <c r="E12300" s="3">
        <v>0.0</v>
      </c>
      <c r="F12300" s="3" t="s">
        <v>34893</v>
      </c>
      <c r="G12300" s="3">
        <v>0.0</v>
      </c>
      <c r="H12300" s="3">
        <v>0.0</v>
      </c>
      <c r="I12300" s="3" t="s">
        <v>13</v>
      </c>
      <c r="J12300" s="3" t="s">
        <v>34894</v>
      </c>
      <c r="K12300" s="3" t="s">
        <v>215</v>
      </c>
      <c r="L12300" s="3" t="str">
        <f>IFERROR(__xludf.DUMMYFUNCTION("GOOGLETRANSLATE(F12300,""id"",""en"")"),"Also not so good I saw Argentina losing the big penalties Lehmann was very horrified at that time this photo was Maxi goalkeeper Mexico's best goal round of the tournament that Italy was in the world champion after winning a dramatic win over France")</f>
        <v>Also not so good I saw Argentina losing the big penalties Lehmann was very horrified at that time this photo was Maxi goalkeeper Mexico's best goal round of the tournament that Italy was in the world champion after winning a dramatic win over France</v>
      </c>
    </row>
    <row r="12301" ht="15.75" customHeight="1">
      <c r="A12301" s="1">
        <v>13574.0</v>
      </c>
      <c r="B12301" s="3" t="s">
        <v>34895</v>
      </c>
      <c r="C12301" s="3">
        <v>0.0</v>
      </c>
      <c r="D12301" s="3">
        <v>0.0</v>
      </c>
      <c r="E12301" s="3">
        <v>0.0</v>
      </c>
      <c r="F12301" s="3" t="s">
        <v>34895</v>
      </c>
      <c r="G12301" s="3">
        <v>0.0</v>
      </c>
      <c r="H12301" s="3">
        <v>0.0</v>
      </c>
      <c r="I12301" s="3" t="s">
        <v>13</v>
      </c>
      <c r="J12301" s="3" t="s">
        <v>34896</v>
      </c>
      <c r="K12301" s="3" t="s">
        <v>477</v>
      </c>
      <c r="L12301" s="3" t="str">
        <f>IFERROR(__xludf.DUMMYFUNCTION("GOOGLETRANSLATE(F12301,""id"",""en"")"),"I want to be turu but I still want to see the Argentina champion tweet")</f>
        <v>I want to be turu but I still want to see the Argentina champion tweet</v>
      </c>
    </row>
    <row r="12302" ht="15.75" customHeight="1">
      <c r="A12302" s="1">
        <v>13575.0</v>
      </c>
      <c r="B12302" s="3" t="s">
        <v>34897</v>
      </c>
      <c r="C12302" s="3">
        <v>0.0</v>
      </c>
      <c r="D12302" s="3">
        <v>0.0</v>
      </c>
      <c r="E12302" s="3">
        <v>0.0</v>
      </c>
      <c r="F12302" s="3" t="s">
        <v>34898</v>
      </c>
      <c r="G12302" s="3">
        <v>0.0</v>
      </c>
      <c r="H12302" s="3">
        <v>0.0</v>
      </c>
      <c r="I12302" s="3" t="s">
        <v>13</v>
      </c>
      <c r="J12302" s="3" t="s">
        <v>34623</v>
      </c>
      <c r="K12302" s="3" t="s">
        <v>644</v>
      </c>
      <c r="L12302" s="3" t="str">
        <f>IFERROR(__xludf.DUMMYFUNCTION("GOOGLETRANSLATE(F12302,""id"",""en"")"),"Sleeping Sightly Argentina Champion")</f>
        <v>Sleeping Sightly Argentina Champion</v>
      </c>
    </row>
    <row r="12303" ht="15.75" customHeight="1">
      <c r="A12303" s="1">
        <v>13576.0</v>
      </c>
      <c r="B12303" s="3" t="s">
        <v>34899</v>
      </c>
      <c r="C12303" s="3">
        <v>0.0</v>
      </c>
      <c r="D12303" s="3">
        <v>0.0</v>
      </c>
      <c r="E12303" s="3">
        <v>1.0</v>
      </c>
      <c r="F12303" s="3" t="s">
        <v>32964</v>
      </c>
      <c r="G12303" s="3">
        <v>0.0</v>
      </c>
      <c r="H12303" s="3">
        <v>0.0</v>
      </c>
      <c r="I12303" s="3" t="s">
        <v>13</v>
      </c>
      <c r="J12303" s="3" t="s">
        <v>29494</v>
      </c>
      <c r="K12303" s="3" t="s">
        <v>644</v>
      </c>
      <c r="L12303" s="3" t="str">
        <f>IFERROR(__xludf.DUMMYFUNCTION("GOOGLETRANSLATE(F12303,""id"",""en"")"),"Our Argentine President World Champion")</f>
        <v>Our Argentine President World Champion</v>
      </c>
    </row>
    <row r="12304" ht="15.75" customHeight="1">
      <c r="A12304" s="1">
        <v>13577.0</v>
      </c>
      <c r="B12304" s="3" t="s">
        <v>34900</v>
      </c>
      <c r="C12304" s="3">
        <v>1.0</v>
      </c>
      <c r="D12304" s="3">
        <v>0.0</v>
      </c>
      <c r="E12304" s="3">
        <v>0.0</v>
      </c>
      <c r="F12304" s="3" t="s">
        <v>34901</v>
      </c>
      <c r="G12304" s="3">
        <v>0.0</v>
      </c>
      <c r="H12304" s="3">
        <v>0.0</v>
      </c>
      <c r="I12304" s="3" t="s">
        <v>13</v>
      </c>
      <c r="J12304" s="3" t="s">
        <v>34902</v>
      </c>
      <c r="K12304" s="3" t="s">
        <v>510</v>
      </c>
      <c r="L12304" s="3" t="str">
        <f>IFERROR(__xludf.DUMMYFUNCTION("GOOGLETRANSLATE(F12304,""id"",""en"")"),"Argentina The champion can't even sleep the euphoria still feels uncomfortable with the drama of goal making Vamossss heart gymnastics")</f>
        <v>Argentina The champion can't even sleep the euphoria still feels uncomfortable with the drama of goal making Vamossss heart gymnastics</v>
      </c>
    </row>
    <row r="12305" ht="15.75" customHeight="1">
      <c r="A12305" s="1">
        <v>13578.0</v>
      </c>
      <c r="B12305" s="3" t="s">
        <v>34903</v>
      </c>
      <c r="C12305" s="3">
        <v>0.0</v>
      </c>
      <c r="D12305" s="3">
        <v>0.0</v>
      </c>
      <c r="E12305" s="3">
        <v>0.0</v>
      </c>
      <c r="F12305" s="3" t="s">
        <v>34904</v>
      </c>
      <c r="G12305" s="3">
        <v>1.0</v>
      </c>
      <c r="H12305" s="3">
        <v>1.0</v>
      </c>
      <c r="I12305" s="3" t="s">
        <v>48</v>
      </c>
      <c r="J12305" s="3" t="s">
        <v>34905</v>
      </c>
      <c r="K12305" s="3" t="s">
        <v>725</v>
      </c>
      <c r="L12305" s="3" t="str">
        <f>IFERROR(__xludf.DUMMYFUNCTION("GOOGLETRANSLATE(F12305,""id"",""en"")"),"The Argentine people partying Buenos Aires celebrating the success of his country succeeded in becoming the World Cup champion for the third time finally long wait during being able to be realized by Messi and Friends of Qatar Greatest All Time")</f>
        <v>The Argentine people partying Buenos Aires celebrating the success of his country succeeded in becoming the World Cup champion for the third time finally long wait during being able to be realized by Messi and Friends of Qatar Greatest All Time</v>
      </c>
    </row>
    <row r="12306" ht="15.75" customHeight="1">
      <c r="A12306" s="1">
        <v>13579.0</v>
      </c>
      <c r="B12306" s="3" t="s">
        <v>34906</v>
      </c>
      <c r="C12306" s="3">
        <v>0.0</v>
      </c>
      <c r="D12306" s="3">
        <v>0.0</v>
      </c>
      <c r="E12306" s="3">
        <v>0.0</v>
      </c>
      <c r="F12306" s="3" t="s">
        <v>34907</v>
      </c>
      <c r="G12306" s="3">
        <v>0.0</v>
      </c>
      <c r="H12306" s="3">
        <v>0.0</v>
      </c>
      <c r="I12306" s="3" t="s">
        <v>13</v>
      </c>
      <c r="J12306" s="3" t="s">
        <v>34908</v>
      </c>
      <c r="K12306" s="3" t="s">
        <v>236</v>
      </c>
      <c r="L12306" s="3" t="str">
        <f>IFERROR(__xludf.DUMMYFUNCTION("GOOGLETRANSLATE(F12306,""id"",""en"")"),"The third world champion for Argentina and Messi complete has the medal of Goat Messi")</f>
        <v>The third world champion for Argentina and Messi complete has the medal of Goat Messi</v>
      </c>
    </row>
    <row r="12307" ht="15.75" customHeight="1">
      <c r="A12307" s="1">
        <v>13580.0</v>
      </c>
      <c r="B12307" s="3" t="s">
        <v>34909</v>
      </c>
      <c r="C12307" s="3">
        <v>0.0</v>
      </c>
      <c r="D12307" s="3">
        <v>0.0</v>
      </c>
      <c r="E12307" s="3">
        <v>0.0</v>
      </c>
      <c r="F12307" s="3" t="s">
        <v>34910</v>
      </c>
      <c r="G12307" s="3">
        <v>0.0</v>
      </c>
      <c r="H12307" s="3">
        <v>0.0</v>
      </c>
      <c r="I12307" s="3" t="s">
        <v>13</v>
      </c>
      <c r="J12307" s="3" t="s">
        <v>34911</v>
      </c>
      <c r="K12307" s="3" t="s">
        <v>54</v>
      </c>
      <c r="L12307" s="3" t="str">
        <f>IFERROR(__xludf.DUMMYFUNCTION("GOOGLETRANSLATE(F12307,""id"",""en"")"),"Really champion you know Bang Argentina Congrats")</f>
        <v>Really champion you know Bang Argentina Congrats</v>
      </c>
    </row>
    <row r="12308" ht="15.75" customHeight="1">
      <c r="A12308" s="1">
        <v>13581.0</v>
      </c>
      <c r="B12308" s="3" t="s">
        <v>34912</v>
      </c>
      <c r="C12308" s="3">
        <v>0.0</v>
      </c>
      <c r="D12308" s="3">
        <v>0.0</v>
      </c>
      <c r="E12308" s="3">
        <v>0.0</v>
      </c>
      <c r="F12308" s="3" t="s">
        <v>34913</v>
      </c>
      <c r="G12308" s="3">
        <v>0.0</v>
      </c>
      <c r="H12308" s="3">
        <v>0.0</v>
      </c>
      <c r="I12308" s="3" t="s">
        <v>13</v>
      </c>
      <c r="J12308" s="3" t="s">
        <v>34914</v>
      </c>
      <c r="K12308" s="3" t="s">
        <v>1061</v>
      </c>
      <c r="L12308" s="3" t="str">
        <f>IFERROR(__xludf.DUMMYFUNCTION("GOOGLETRANSLATE(F12308,""id"",""en"")"),"It's crazy today Adek first joined an out -of -city race to get the second place in the second Argentina champion and the third parlay penetrates the bus buses, there are happier people from me wqwqwq")</f>
        <v>It's crazy today Adek first joined an out -of -city race to get the second place in the second Argentina champion and the third parlay penetrates the bus buses, there are happier people from me wqwqwq</v>
      </c>
    </row>
    <row r="12309" ht="15.75" customHeight="1">
      <c r="A12309" s="1">
        <v>13582.0</v>
      </c>
      <c r="B12309" s="3" t="s">
        <v>34915</v>
      </c>
      <c r="C12309" s="3">
        <v>1.0</v>
      </c>
      <c r="D12309" s="3">
        <v>0.0</v>
      </c>
      <c r="E12309" s="3">
        <v>0.0</v>
      </c>
      <c r="F12309" s="3" t="s">
        <v>34916</v>
      </c>
      <c r="G12309" s="3">
        <v>0.0</v>
      </c>
      <c r="H12309" s="3">
        <v>0.0</v>
      </c>
      <c r="I12309" s="3" t="s">
        <v>13</v>
      </c>
      <c r="J12309" s="3" t="s">
        <v>34917</v>
      </c>
      <c r="K12309" s="3" t="s">
        <v>657</v>
      </c>
      <c r="L12309" s="3" t="str">
        <f>IFERROR(__xludf.DUMMYFUNCTION("GOOGLETRANSLATE(F12309,""id"",""en"")"),"All Argentine national team players will appear the terrible event of the World Cup champion will be guided by Raffi Ahmad and Luna Maya")</f>
        <v>All Argentine national team players will appear the terrible event of the World Cup champion will be guided by Raffi Ahmad and Luna Maya</v>
      </c>
    </row>
    <row r="12310" ht="15.75" customHeight="1">
      <c r="A12310" s="1">
        <v>13583.0</v>
      </c>
      <c r="B12310" s="3" t="s">
        <v>34918</v>
      </c>
      <c r="C12310" s="3">
        <v>0.0</v>
      </c>
      <c r="D12310" s="3">
        <v>0.0</v>
      </c>
      <c r="E12310" s="3">
        <v>0.0</v>
      </c>
      <c r="F12310" s="3" t="s">
        <v>34919</v>
      </c>
      <c r="G12310" s="3">
        <v>0.0</v>
      </c>
      <c r="H12310" s="3">
        <v>0.0</v>
      </c>
      <c r="I12310" s="3" t="s">
        <v>13</v>
      </c>
      <c r="J12310" s="3" t="s">
        <v>34920</v>
      </c>
      <c r="K12310" s="3" t="s">
        <v>75</v>
      </c>
      <c r="L12310" s="3" t="str">
        <f>IFERROR(__xludf.DUMMYFUNCTION("GOOGLETRANSLATE(F12310,""id"",""en"")"),"This night we set a stove first happy Argentina Champion World Cup")</f>
        <v>This night we set a stove first happy Argentina Champion World Cup</v>
      </c>
    </row>
    <row r="12311" ht="15.75" customHeight="1">
      <c r="A12311" s="1">
        <v>13584.0</v>
      </c>
      <c r="B12311" s="3" t="s">
        <v>34921</v>
      </c>
      <c r="C12311" s="3">
        <v>0.0</v>
      </c>
      <c r="D12311" s="3">
        <v>0.0</v>
      </c>
      <c r="E12311" s="3">
        <v>0.0</v>
      </c>
      <c r="F12311" s="3" t="s">
        <v>34922</v>
      </c>
      <c r="G12311" s="3">
        <v>0.0</v>
      </c>
      <c r="H12311" s="3">
        <v>0.0</v>
      </c>
      <c r="I12311" s="3" t="s">
        <v>13</v>
      </c>
      <c r="J12311" s="3" t="s">
        <v>34923</v>
      </c>
      <c r="K12311" s="3" t="s">
        <v>34924</v>
      </c>
      <c r="L12311" s="3" t="str">
        <f>IFERROR(__xludf.DUMMYFUNCTION("GOOGLETRANSLATE(F12311,""id"",""en"")"),"Argentina won the Pinalty shootout is not a proud thing France remains a BRThan World Cup champion Rarely Winning Pinalty proves France is the world's BRThan champion rarely loses Bru Nich Klah Pinalty because Argentina is in State")</f>
        <v>Argentina won the Pinalty shootout is not a proud thing France remains a BRThan World Cup champion Rarely Winning Pinalty proves France is the world's BRThan champion rarely loses Bru Nich Klah Pinalty because Argentina is in State</v>
      </c>
    </row>
    <row r="12312" ht="15.75" customHeight="1">
      <c r="A12312" s="1">
        <v>13585.0</v>
      </c>
      <c r="B12312" s="3" t="s">
        <v>34925</v>
      </c>
      <c r="C12312" s="3">
        <v>0.0</v>
      </c>
      <c r="D12312" s="3">
        <v>0.0</v>
      </c>
      <c r="E12312" s="3">
        <v>0.0</v>
      </c>
      <c r="F12312" s="3" t="s">
        <v>34926</v>
      </c>
      <c r="G12312" s="3">
        <v>0.0</v>
      </c>
      <c r="H12312" s="3">
        <v>0.0</v>
      </c>
      <c r="I12312" s="3" t="s">
        <v>13</v>
      </c>
      <c r="J12312" s="3" t="s">
        <v>34927</v>
      </c>
      <c r="K12312" s="3" t="s">
        <v>15</v>
      </c>
      <c r="L12312" s="3" t="str">
        <f>IFERROR(__xludf.DUMMYFUNCTION("GOOGLETRANSLATE(F12312,""id"",""en"")"),"Argentina Champion World Cup Time Nangisin Cwkku Mulet")</f>
        <v>Argentina Champion World Cup Time Nangisin Cwkku Mulet</v>
      </c>
    </row>
    <row r="12313" ht="15.75" customHeight="1">
      <c r="A12313" s="1">
        <v>13586.0</v>
      </c>
      <c r="B12313" s="3" t="s">
        <v>34928</v>
      </c>
      <c r="C12313" s="3">
        <v>0.0</v>
      </c>
      <c r="D12313" s="3">
        <v>1.0</v>
      </c>
      <c r="E12313" s="3">
        <v>0.0</v>
      </c>
      <c r="F12313" s="3" t="s">
        <v>34929</v>
      </c>
      <c r="G12313" s="3">
        <v>0.8333333333333334</v>
      </c>
      <c r="H12313" s="3">
        <v>0.06666666666666667</v>
      </c>
      <c r="I12313" s="3" t="s">
        <v>48</v>
      </c>
      <c r="J12313" s="3" t="s">
        <v>34930</v>
      </c>
      <c r="K12313" s="3" t="s">
        <v>1414</v>
      </c>
      <c r="L12313" s="3" t="str">
        <f>IFERROR(__xludf.DUMMYFUNCTION("GOOGLETRANSLATE(F12313,""id"",""en"")"),"later I want to watch the final wih udh final which is the same as France and Argentina Argentina Tar won or France last night Croatia won the championship but she")</f>
        <v>later I want to watch the final wih udh final which is the same as France and Argentina Argentina Tar won or France last night Croatia won the championship but she</v>
      </c>
    </row>
    <row r="12314" ht="15.75" customHeight="1">
      <c r="A12314" s="1">
        <v>13587.0</v>
      </c>
      <c r="B12314" s="3" t="s">
        <v>34931</v>
      </c>
      <c r="C12314" s="3">
        <v>0.0</v>
      </c>
      <c r="D12314" s="3">
        <v>0.0</v>
      </c>
      <c r="E12314" s="3">
        <v>0.0</v>
      </c>
      <c r="F12314" s="3" t="s">
        <v>34932</v>
      </c>
      <c r="G12314" s="3">
        <v>0.0</v>
      </c>
      <c r="H12314" s="3">
        <v>0.0</v>
      </c>
      <c r="I12314" s="3" t="s">
        <v>13</v>
      </c>
      <c r="J12314" s="3" t="s">
        <v>34933</v>
      </c>
      <c r="K12314" s="3" t="s">
        <v>41</v>
      </c>
      <c r="L12314" s="3" t="str">
        <f>IFERROR(__xludf.DUMMYFUNCTION("GOOGLETRANSLATE(F12314,""id"",""en"")"),"Congratulations to Argentina and Messi for his achievements as World Cup champions")</f>
        <v>Congratulations to Argentina and Messi for his achievements as World Cup champions</v>
      </c>
    </row>
    <row r="12315" ht="15.75" customHeight="1">
      <c r="A12315" s="1">
        <v>13588.0</v>
      </c>
      <c r="B12315" s="3" t="s">
        <v>34934</v>
      </c>
      <c r="C12315" s="3">
        <v>1.0</v>
      </c>
      <c r="D12315" s="3">
        <v>0.0</v>
      </c>
      <c r="E12315" s="3">
        <v>0.0</v>
      </c>
      <c r="F12315" s="3" t="s">
        <v>34935</v>
      </c>
      <c r="G12315" s="3">
        <v>0.2833333333333333</v>
      </c>
      <c r="H12315" s="3">
        <v>0.03125</v>
      </c>
      <c r="I12315" s="3" t="s">
        <v>48</v>
      </c>
      <c r="J12315" s="3" t="s">
        <v>34936</v>
      </c>
      <c r="K12315" s="3" t="s">
        <v>1234</v>
      </c>
      <c r="L12315" s="3" t="str">
        <f>IFERROR(__xludf.DUMMYFUNCTION("GOOGLETRANSLATE(F12315,""id"",""en"")"),"In addition to my minions, it was very simple when I was in Argentina, my champion was intensely following my ball, I knew Messi from childhood when I heard this last dance he wanted him to win.")</f>
        <v>In addition to my minions, it was very simple when I was in Argentina, my champion was intensely following my ball, I knew Messi from childhood when I heard this last dance he wanted him to win.</v>
      </c>
    </row>
    <row r="12316" ht="15.75" customHeight="1">
      <c r="A12316" s="1">
        <v>13589.0</v>
      </c>
      <c r="B12316" s="3" t="s">
        <v>34937</v>
      </c>
      <c r="C12316" s="3">
        <v>0.0</v>
      </c>
      <c r="D12316" s="3">
        <v>0.0</v>
      </c>
      <c r="E12316" s="3">
        <v>1.0</v>
      </c>
      <c r="F12316" s="3" t="s">
        <v>34938</v>
      </c>
      <c r="G12316" s="3">
        <v>0.0</v>
      </c>
      <c r="H12316" s="3">
        <v>0.0</v>
      </c>
      <c r="I12316" s="3" t="s">
        <v>13</v>
      </c>
      <c r="J12316" s="3" t="s">
        <v>34939</v>
      </c>
      <c r="K12316" s="3" t="s">
        <v>31</v>
      </c>
      <c r="L12316" s="3" t="str">
        <f>IFERROR(__xludf.DUMMYFUNCTION("GOOGLETRANSLATE(F12316,""id"",""en"")"),"Stop Coli first Argentina Champion")</f>
        <v>Stop Coli first Argentina Champion</v>
      </c>
    </row>
    <row r="12317" ht="15.75" customHeight="1">
      <c r="A12317" s="1">
        <v>13590.0</v>
      </c>
      <c r="B12317" s="3" t="s">
        <v>34940</v>
      </c>
      <c r="C12317" s="3">
        <v>0.0</v>
      </c>
      <c r="D12317" s="3">
        <v>0.0</v>
      </c>
      <c r="E12317" s="3">
        <v>0.0</v>
      </c>
      <c r="F12317" s="3" t="s">
        <v>34941</v>
      </c>
      <c r="G12317" s="3">
        <v>0.0</v>
      </c>
      <c r="H12317" s="3">
        <v>0.0</v>
      </c>
      <c r="I12317" s="3" t="s">
        <v>13</v>
      </c>
      <c r="J12317" s="3" t="s">
        <v>34942</v>
      </c>
      <c r="K12317" s="3" t="s">
        <v>510</v>
      </c>
      <c r="L12317" s="3" t="str">
        <f>IFERROR(__xludf.DUMMYFUNCTION("GOOGLETRANSLATE(F12317,""id"",""en"")"),"Argentina's revenge for a World Cup title from France Messi Ending Retirement Joy")</f>
        <v>Argentina's revenge for a World Cup title from France Messi Ending Retirement Joy</v>
      </c>
    </row>
    <row r="12318" ht="15.75" customHeight="1">
      <c r="A12318" s="1">
        <v>13591.0</v>
      </c>
      <c r="B12318" s="3" t="s">
        <v>34943</v>
      </c>
      <c r="C12318" s="3">
        <v>0.0</v>
      </c>
      <c r="D12318" s="3">
        <v>0.0</v>
      </c>
      <c r="E12318" s="3">
        <v>0.0</v>
      </c>
      <c r="F12318" s="3" t="s">
        <v>34944</v>
      </c>
      <c r="G12318" s="3">
        <v>0.0</v>
      </c>
      <c r="H12318" s="3">
        <v>0.0</v>
      </c>
      <c r="I12318" s="3" t="s">
        <v>13</v>
      </c>
      <c r="J12318" s="3" t="s">
        <v>34945</v>
      </c>
      <c r="K12318" s="3" t="s">
        <v>54</v>
      </c>
      <c r="L12318" s="3" t="str">
        <f>IFERROR(__xludf.DUMMYFUNCTION("GOOGLETRANSLATE(F12318,""id"",""en"")"),"Respect for Argentina World Cup Champion")</f>
        <v>Respect for Argentina World Cup Champion</v>
      </c>
    </row>
    <row r="12319" ht="15.75" customHeight="1">
      <c r="A12319" s="1">
        <v>13592.0</v>
      </c>
      <c r="B12319" s="3" t="s">
        <v>34946</v>
      </c>
      <c r="C12319" s="3">
        <v>1.0</v>
      </c>
      <c r="D12319" s="3">
        <v>0.0</v>
      </c>
      <c r="E12319" s="3">
        <v>0.0</v>
      </c>
      <c r="F12319" s="3" t="s">
        <v>34947</v>
      </c>
      <c r="G12319" s="3">
        <v>0.55</v>
      </c>
      <c r="H12319" s="3">
        <v>0.35</v>
      </c>
      <c r="I12319" s="3" t="s">
        <v>48</v>
      </c>
      <c r="J12319" s="3" t="s">
        <v>34948</v>
      </c>
      <c r="K12319" s="3" t="s">
        <v>50</v>
      </c>
      <c r="L12319" s="3" t="str">
        <f>IFERROR(__xludf.DUMMYFUNCTION("GOOGLETRANSLATE(F12319,""id"",""en"")"),"Today is full of smiles Argentina champions at the end of the year and Grgr Repost")</f>
        <v>Today is full of smiles Argentina champions at the end of the year and Grgr Repost</v>
      </c>
    </row>
    <row r="12320" ht="15.75" customHeight="1">
      <c r="A12320" s="1">
        <v>13593.0</v>
      </c>
      <c r="B12320" s="3" t="s">
        <v>34949</v>
      </c>
      <c r="C12320" s="3">
        <v>0.0</v>
      </c>
      <c r="D12320" s="3">
        <v>0.0</v>
      </c>
      <c r="E12320" s="3">
        <v>0.0</v>
      </c>
      <c r="F12320" s="3" t="s">
        <v>34950</v>
      </c>
      <c r="G12320" s="3">
        <v>0.0</v>
      </c>
      <c r="H12320" s="3">
        <v>0.0</v>
      </c>
      <c r="I12320" s="3" t="s">
        <v>13</v>
      </c>
      <c r="J12320" s="3" t="s">
        <v>34951</v>
      </c>
      <c r="K12320" s="3" t="s">
        <v>860</v>
      </c>
      <c r="L12320" s="3" t="str">
        <f>IFERROR(__xludf.DUMMYFUNCTION("GOOGLETRANSLATE(F12320,""id"",""en"")"),"Oiya on the one hand is very happy to see Messi and Argentina World Cup champions but the other side is also sad this year Gadapet Girl Sena Incer GPP GPP Messi")</f>
        <v>Oiya on the one hand is very happy to see Messi and Argentina World Cup champions but the other side is also sad this year Gadapet Girl Sena Incer GPP GPP Messi</v>
      </c>
    </row>
    <row r="12321" ht="15.75" customHeight="1">
      <c r="A12321" s="1">
        <v>13594.0</v>
      </c>
      <c r="B12321" s="3" t="s">
        <v>34952</v>
      </c>
      <c r="C12321" s="3">
        <v>1.0</v>
      </c>
      <c r="D12321" s="3">
        <v>0.0</v>
      </c>
      <c r="E12321" s="3">
        <v>0.0</v>
      </c>
      <c r="F12321" s="3" t="s">
        <v>34952</v>
      </c>
      <c r="G12321" s="3">
        <v>0.0</v>
      </c>
      <c r="H12321" s="3">
        <v>0.0</v>
      </c>
      <c r="I12321" s="3" t="s">
        <v>13</v>
      </c>
      <c r="J12321" s="3" t="s">
        <v>34953</v>
      </c>
      <c r="K12321" s="3" t="s">
        <v>31</v>
      </c>
      <c r="L12321" s="3" t="str">
        <f>IFERROR(__xludf.DUMMYFUNCTION("GOOGLETRANSLATE(F12321,""id"",""en"")"),"it's okay rungkad the important thing is Argentina Champion")</f>
        <v>it's okay rungkad the important thing is Argentina Champion</v>
      </c>
    </row>
    <row r="12322" ht="15.75" customHeight="1">
      <c r="A12322" s="1">
        <v>13595.0</v>
      </c>
      <c r="B12322" s="3" t="s">
        <v>34954</v>
      </c>
      <c r="C12322" s="3">
        <v>0.0</v>
      </c>
      <c r="D12322" s="3">
        <v>0.0</v>
      </c>
      <c r="E12322" s="3">
        <v>2.0</v>
      </c>
      <c r="F12322" s="3" t="s">
        <v>34955</v>
      </c>
      <c r="G12322" s="3">
        <v>1.0</v>
      </c>
      <c r="H12322" s="3">
        <v>1.0</v>
      </c>
      <c r="I12322" s="3" t="s">
        <v>48</v>
      </c>
      <c r="J12322" s="3" t="s">
        <v>34956</v>
      </c>
      <c r="K12322" s="3" t="s">
        <v>503</v>
      </c>
      <c r="L12322" s="3" t="str">
        <f>IFERROR(__xludf.DUMMYFUNCTION("GOOGLETRANSLATE(F12322,""id"",""en"")"),"Like a death person Messi Husnul Khatimah he ended his international career with Argentina beautifully by winning all the State Level Trophy World Cup Champion Champion Copa America Champion World Cup Greatest All Time")</f>
        <v>Like a death person Messi Husnul Khatimah he ended his international career with Argentina beautifully by winning all the State Level Trophy World Cup Champion Champion Copa America Champion World Cup Greatest All Time</v>
      </c>
    </row>
    <row r="12323" ht="15.75" customHeight="1">
      <c r="A12323" s="1">
        <v>13596.0</v>
      </c>
      <c r="B12323" s="3" t="s">
        <v>34957</v>
      </c>
      <c r="C12323" s="3">
        <v>0.0</v>
      </c>
      <c r="D12323" s="3">
        <v>0.0</v>
      </c>
      <c r="E12323" s="3">
        <v>0.0</v>
      </c>
      <c r="F12323" s="3" t="s">
        <v>34958</v>
      </c>
      <c r="G12323" s="3">
        <v>0.0</v>
      </c>
      <c r="H12323" s="3">
        <v>0.0</v>
      </c>
      <c r="I12323" s="3" t="s">
        <v>13</v>
      </c>
      <c r="J12323" s="3" t="s">
        <v>34959</v>
      </c>
      <c r="K12323" s="3" t="s">
        <v>31</v>
      </c>
      <c r="L12323" s="3" t="str">
        <f>IFERROR(__xludf.DUMMYFUNCTION("GOOGLETRANSLATE(F12323,""id"",""en"")"),"Still thought Argentina Champion World Cup")</f>
        <v>Still thought Argentina Champion World Cup</v>
      </c>
    </row>
    <row r="12324" ht="15.75" customHeight="1">
      <c r="A12324" s="1">
        <v>13597.0</v>
      </c>
      <c r="B12324" s="3" t="s">
        <v>34960</v>
      </c>
      <c r="C12324" s="3">
        <v>0.0</v>
      </c>
      <c r="D12324" s="3">
        <v>0.0</v>
      </c>
      <c r="E12324" s="3">
        <v>0.0</v>
      </c>
      <c r="F12324" s="3" t="s">
        <v>34961</v>
      </c>
      <c r="G12324" s="3">
        <v>0.0</v>
      </c>
      <c r="H12324" s="3">
        <v>0.0</v>
      </c>
      <c r="I12324" s="3" t="s">
        <v>13</v>
      </c>
      <c r="J12324" s="3" t="s">
        <v>34962</v>
      </c>
      <c r="K12324" s="3" t="s">
        <v>15</v>
      </c>
      <c r="L12324" s="3" t="str">
        <f>IFERROR(__xludf.DUMMYFUNCTION("GOOGLETRANSLATE(F12324,""id"",""en"")"),"from earlier what I thought was when Argentina champions tweet like this")</f>
        <v>from earlier what I thought was when Argentina champions tweet like this</v>
      </c>
    </row>
    <row r="12325" ht="15.75" customHeight="1">
      <c r="A12325" s="1">
        <v>13598.0</v>
      </c>
      <c r="B12325" s="3" t="s">
        <v>34963</v>
      </c>
      <c r="C12325" s="3">
        <v>0.0</v>
      </c>
      <c r="D12325" s="3">
        <v>0.0</v>
      </c>
      <c r="E12325" s="3">
        <v>0.0</v>
      </c>
      <c r="F12325" s="3" t="s">
        <v>34964</v>
      </c>
      <c r="G12325" s="3">
        <v>0.0</v>
      </c>
      <c r="H12325" s="3">
        <v>0.0</v>
      </c>
      <c r="I12325" s="3" t="s">
        <v>13</v>
      </c>
      <c r="J12325" s="3" t="s">
        <v>34965</v>
      </c>
      <c r="K12325" s="3" t="s">
        <v>1293</v>
      </c>
      <c r="L12325" s="3" t="str">
        <f>IFERROR(__xludf.DUMMYFUNCTION("GOOGLETRANSLATE(F12325,""id"",""en"")"),"Vamos Vamos Argentina Albiceleste is your champion Lionel Messi and colleagues gave everything to finally get a very coveted trophy")</f>
        <v>Vamos Vamos Argentina Albiceleste is your champion Lionel Messi and colleagues gave everything to finally get a very coveted trophy</v>
      </c>
    </row>
    <row r="12326" ht="15.75" customHeight="1">
      <c r="A12326" s="1">
        <v>13599.0</v>
      </c>
      <c r="B12326" s="3" t="s">
        <v>34966</v>
      </c>
      <c r="C12326" s="3">
        <v>1.0</v>
      </c>
      <c r="D12326" s="3">
        <v>0.0</v>
      </c>
      <c r="E12326" s="3">
        <v>0.0</v>
      </c>
      <c r="F12326" s="3" t="s">
        <v>34967</v>
      </c>
      <c r="G12326" s="3">
        <v>0.0</v>
      </c>
      <c r="H12326" s="3">
        <v>0.0</v>
      </c>
      <c r="I12326" s="3" t="s">
        <v>13</v>
      </c>
      <c r="J12326" s="3" t="s">
        <v>34968</v>
      </c>
      <c r="K12326" s="3" t="s">
        <v>657</v>
      </c>
      <c r="L12326" s="3" t="str">
        <f>IFERROR(__xludf.DUMMYFUNCTION("GOOGLETRANSLATE(F12326,""id"",""en"")"),"watching the football besides the person who talks about the mafia and politics settings that are not really Argentina deserves the world championship")</f>
        <v>watching the football besides the person who talks about the mafia and politics settings that are not really Argentina deserves the world championship</v>
      </c>
    </row>
    <row r="12327" ht="15.75" customHeight="1">
      <c r="A12327" s="1">
        <v>13600.0</v>
      </c>
      <c r="B12327" s="3" t="s">
        <v>34969</v>
      </c>
      <c r="C12327" s="3">
        <v>0.0</v>
      </c>
      <c r="D12327" s="3">
        <v>0.0</v>
      </c>
      <c r="E12327" s="3">
        <v>0.0</v>
      </c>
      <c r="F12327" s="3" t="s">
        <v>34970</v>
      </c>
      <c r="G12327" s="3">
        <v>0.0</v>
      </c>
      <c r="H12327" s="3">
        <v>0.0</v>
      </c>
      <c r="I12327" s="3" t="s">
        <v>13</v>
      </c>
      <c r="J12327" s="3" t="s">
        <v>34971</v>
      </c>
      <c r="K12327" s="3" t="s">
        <v>456</v>
      </c>
      <c r="L12327" s="3" t="str">
        <f>IFERROR(__xludf.DUMMYFUNCTION("GOOGLETRANSLATE(F12327,""id"",""en"")"),"Argentina won because of the kbtulan only with Ale back and forth to losing France winning the Pinalty shootout, not absolutely an absolute to win the minute, you may have Argentina")</f>
        <v>Argentina won because of the kbtulan only with Ale back and forth to losing France winning the Pinalty shootout, not absolutely an absolute to win the minute, you may have Argentina</v>
      </c>
    </row>
    <row r="12328" ht="15.75" customHeight="1">
      <c r="A12328" s="1">
        <v>13601.0</v>
      </c>
      <c r="B12328" s="3" t="s">
        <v>34972</v>
      </c>
      <c r="C12328" s="3">
        <v>0.0</v>
      </c>
      <c r="D12328" s="3">
        <v>0.0</v>
      </c>
      <c r="E12328" s="3">
        <v>2.0</v>
      </c>
      <c r="F12328" s="3" t="s">
        <v>34973</v>
      </c>
      <c r="G12328" s="3">
        <v>0.0</v>
      </c>
      <c r="H12328" s="3">
        <v>0.0</v>
      </c>
      <c r="I12328" s="3" t="s">
        <v>13</v>
      </c>
      <c r="J12328" s="3" t="s">
        <v>34974</v>
      </c>
      <c r="K12328" s="3" t="s">
        <v>75</v>
      </c>
      <c r="L12328" s="3" t="str">
        <f>IFERROR(__xludf.DUMMYFUNCTION("GOOGLETRANSLATE(F12328,""id"",""en"")"),"Argentina Champion This is the excitement of the West Aceh World Cup Nobar Via Via")</f>
        <v>Argentina Champion This is the excitement of the West Aceh World Cup Nobar Via Via</v>
      </c>
    </row>
    <row r="12329" ht="15.75" customHeight="1">
      <c r="A12329" s="1">
        <v>13602.0</v>
      </c>
      <c r="B12329" s="3" t="s">
        <v>34975</v>
      </c>
      <c r="C12329" s="3">
        <v>0.0</v>
      </c>
      <c r="D12329" s="3">
        <v>0.0</v>
      </c>
      <c r="E12329" s="3">
        <v>0.0</v>
      </c>
      <c r="F12329" s="3" t="s">
        <v>34976</v>
      </c>
      <c r="G12329" s="3">
        <v>0.0</v>
      </c>
      <c r="H12329" s="3">
        <v>0.0</v>
      </c>
      <c r="I12329" s="3" t="s">
        <v>13</v>
      </c>
      <c r="J12329" s="3" t="s">
        <v>34977</v>
      </c>
      <c r="K12329" s="3" t="s">
        <v>41</v>
      </c>
      <c r="L12329" s="3" t="str">
        <f>IFERROR(__xludf.DUMMYFUNCTION("GOOGLETRANSLATE(F12329,""id"",""en"")"),"Argentina Champion This is the excitement of the West Aceh World Cup Nobar")</f>
        <v>Argentina Champion This is the excitement of the West Aceh World Cup Nobar</v>
      </c>
    </row>
    <row r="12330" ht="15.75" customHeight="1">
      <c r="A12330" s="1">
        <v>13604.0</v>
      </c>
      <c r="B12330" s="3" t="s">
        <v>34978</v>
      </c>
      <c r="C12330" s="3">
        <v>1.0</v>
      </c>
      <c r="D12330" s="3">
        <v>0.0</v>
      </c>
      <c r="E12330" s="3">
        <v>0.0</v>
      </c>
      <c r="F12330" s="3" t="s">
        <v>34979</v>
      </c>
      <c r="G12330" s="3">
        <v>0.0</v>
      </c>
      <c r="H12330" s="3">
        <v>0.0</v>
      </c>
      <c r="I12330" s="3" t="s">
        <v>13</v>
      </c>
      <c r="J12330" s="3" t="s">
        <v>34980</v>
      </c>
      <c r="K12330" s="3" t="s">
        <v>520</v>
      </c>
      <c r="L12330" s="3" t="str">
        <f>IFERROR(__xludf.DUMMYFUNCTION("GOOGLETRANSLATE(F12330,""id"",""en"")"),"Robi, before Messi, the world champion, Argentina, there was also a world champion, Portugal, the Hooray Euro champion team also included a miracle")</f>
        <v>Robi, before Messi, the world champion, Argentina, there was also a world champion, Portugal, the Hooray Euro champion team also included a miracle</v>
      </c>
    </row>
    <row r="12331" ht="15.75" customHeight="1">
      <c r="A12331" s="1">
        <v>13605.0</v>
      </c>
      <c r="B12331" s="3" t="s">
        <v>34981</v>
      </c>
      <c r="C12331" s="3">
        <v>0.0</v>
      </c>
      <c r="D12331" s="3">
        <v>0.0</v>
      </c>
      <c r="E12331" s="3">
        <v>0.0</v>
      </c>
      <c r="F12331" s="3" t="s">
        <v>34982</v>
      </c>
      <c r="G12331" s="3">
        <v>0.0</v>
      </c>
      <c r="H12331" s="3">
        <v>0.0</v>
      </c>
      <c r="I12331" s="3" t="s">
        <v>13</v>
      </c>
      <c r="J12331" s="3" t="s">
        <v>34983</v>
      </c>
      <c r="K12331" s="3" t="s">
        <v>16174</v>
      </c>
      <c r="L12331" s="3" t="str">
        <f>IFERROR(__xludf.DUMMYFUNCTION("GOOGLETRANSLATE(F12331,""id"",""en"")"),"Akwokwok")</f>
        <v>Akwokwok</v>
      </c>
    </row>
    <row r="12332" ht="15.75" customHeight="1">
      <c r="A12332" s="1">
        <v>13606.0</v>
      </c>
      <c r="B12332" s="3" t="s">
        <v>34984</v>
      </c>
      <c r="C12332" s="3">
        <v>0.0</v>
      </c>
      <c r="D12332" s="3">
        <v>0.0</v>
      </c>
      <c r="E12332" s="3">
        <v>1.0</v>
      </c>
      <c r="F12332" s="3" t="s">
        <v>34985</v>
      </c>
      <c r="G12332" s="3">
        <v>1.0</v>
      </c>
      <c r="H12332" s="3">
        <v>0.0</v>
      </c>
      <c r="I12332" s="3" t="s">
        <v>13</v>
      </c>
      <c r="J12332" s="3" t="s">
        <v>34986</v>
      </c>
      <c r="K12332" s="3" t="s">
        <v>633</v>
      </c>
      <c r="L12332" s="3" t="str">
        <f>IFERROR(__xludf.DUMMYFUNCTION("GOOGLETRANSLATE(F12332,""id"",""en"")"),"fans but to hate Messi especially Argentina Final World Cup Qatar featuring cool fun matches to make anyone's heart exercise deserves champions between them France Argentina")</f>
        <v>fans but to hate Messi especially Argentina Final World Cup Qatar featuring cool fun matches to make anyone's heart exercise deserves champions between them France Argentina</v>
      </c>
    </row>
    <row r="12333" ht="15.75" customHeight="1">
      <c r="A12333" s="1">
        <v>13607.0</v>
      </c>
      <c r="B12333" s="3" t="s">
        <v>34987</v>
      </c>
      <c r="C12333" s="3">
        <v>0.0</v>
      </c>
      <c r="D12333" s="3">
        <v>0.0</v>
      </c>
      <c r="E12333" s="3">
        <v>0.0</v>
      </c>
      <c r="F12333" s="3" t="s">
        <v>34988</v>
      </c>
      <c r="G12333" s="3">
        <v>0.0</v>
      </c>
      <c r="H12333" s="3">
        <v>0.0</v>
      </c>
      <c r="I12333" s="3" t="s">
        <v>13</v>
      </c>
      <c r="J12333" s="3" t="s">
        <v>34989</v>
      </c>
      <c r="K12333" s="3" t="s">
        <v>15</v>
      </c>
      <c r="L12333" s="3" t="str">
        <f>IFERROR(__xludf.DUMMYFUNCTION("GOOGLETRANSLATE(F12333,""id"",""en"")"),"Pantes Argentina The champion was witnessed directly by the chairman")</f>
        <v>Pantes Argentina The champion was witnessed directly by the chairman</v>
      </c>
    </row>
    <row r="12334" ht="15.75" customHeight="1">
      <c r="A12334" s="1">
        <v>13608.0</v>
      </c>
      <c r="B12334" s="3" t="s">
        <v>34990</v>
      </c>
      <c r="C12334" s="3">
        <v>0.0</v>
      </c>
      <c r="D12334" s="3">
        <v>0.0</v>
      </c>
      <c r="E12334" s="3">
        <v>0.0</v>
      </c>
      <c r="F12334" s="3" t="s">
        <v>34991</v>
      </c>
      <c r="G12334" s="3">
        <v>0.0</v>
      </c>
      <c r="H12334" s="3">
        <v>0.0</v>
      </c>
      <c r="I12334" s="3" t="s">
        <v>13</v>
      </c>
      <c r="J12334" s="3" t="s">
        <v>34992</v>
      </c>
      <c r="K12334" s="3" t="s">
        <v>75</v>
      </c>
      <c r="L12334" s="3" t="str">
        <f>IFERROR(__xludf.DUMMYFUNCTION("GOOGLETRANSLATE(F12334,""id"",""en"")"),"Hattrick Mbappe Unable to Dam Proof of Goat Messi Argentina Champion")</f>
        <v>Hattrick Mbappe Unable to Dam Proof of Goat Messi Argentina Champion</v>
      </c>
    </row>
    <row r="12335" ht="15.75" customHeight="1">
      <c r="A12335" s="1">
        <v>13609.0</v>
      </c>
      <c r="B12335" s="3" t="s">
        <v>34993</v>
      </c>
      <c r="C12335" s="3">
        <v>1.0</v>
      </c>
      <c r="D12335" s="3">
        <v>0.0</v>
      </c>
      <c r="E12335" s="3">
        <v>0.0</v>
      </c>
      <c r="F12335" s="3" t="s">
        <v>34994</v>
      </c>
      <c r="G12335" s="3">
        <v>0.0</v>
      </c>
      <c r="H12335" s="3">
        <v>0.0</v>
      </c>
      <c r="I12335" s="3" t="s">
        <v>13</v>
      </c>
      <c r="J12335" s="3" t="s">
        <v>34995</v>
      </c>
      <c r="K12335" s="3" t="s">
        <v>50</v>
      </c>
      <c r="L12335" s="3" t="str">
        <f>IFERROR(__xludf.DUMMYFUNCTION("GOOGLETRANSLATE(F12335,""id"",""en"")"),"Fortunately, people who watch FIFA directly Qatar continue to see Argentina Champion")</f>
        <v>Fortunately, people who watch FIFA directly Qatar continue to see Argentina Champion</v>
      </c>
    </row>
    <row r="12336" ht="15.75" customHeight="1">
      <c r="A12336" s="1">
        <v>13610.0</v>
      </c>
      <c r="B12336" s="3" t="s">
        <v>34996</v>
      </c>
      <c r="C12336" s="3">
        <v>0.0</v>
      </c>
      <c r="D12336" s="3">
        <v>0.0</v>
      </c>
      <c r="E12336" s="3">
        <v>0.0</v>
      </c>
      <c r="F12336" s="3" t="s">
        <v>34997</v>
      </c>
      <c r="G12336" s="3">
        <v>0.0</v>
      </c>
      <c r="H12336" s="3">
        <v>0.0</v>
      </c>
      <c r="I12336" s="3" t="s">
        <v>13</v>
      </c>
      <c r="J12336" s="3" t="s">
        <v>34998</v>
      </c>
      <c r="K12336" s="3" t="s">
        <v>41</v>
      </c>
      <c r="L12336" s="3" t="str">
        <f>IFERROR(__xludf.DUMMYFUNCTION("GOOGLETRANSLATE(F12336,""id"",""en"")"),"Statistics and drama Coloring Argentina Champion World Cup Qatar Passing")</f>
        <v>Statistics and drama Coloring Argentina Champion World Cup Qatar Passing</v>
      </c>
    </row>
    <row r="12337" ht="15.75" customHeight="1">
      <c r="A12337" s="1">
        <v>13611.0</v>
      </c>
      <c r="B12337" s="3" t="s">
        <v>34999</v>
      </c>
      <c r="C12337" s="3">
        <v>2.0</v>
      </c>
      <c r="D12337" s="3">
        <v>3.0</v>
      </c>
      <c r="E12337" s="3">
        <v>59.0</v>
      </c>
      <c r="F12337" s="3" t="s">
        <v>35000</v>
      </c>
      <c r="G12337" s="3">
        <v>0.0</v>
      </c>
      <c r="H12337" s="3">
        <v>0.0</v>
      </c>
      <c r="I12337" s="3" t="s">
        <v>13</v>
      </c>
      <c r="J12337" s="3" t="s">
        <v>35001</v>
      </c>
      <c r="K12337" s="3" t="s">
        <v>1489</v>
      </c>
      <c r="L12337" s="3" t="str">
        <f>IFERROR(__xludf.DUMMYFUNCTION("GOOGLETRANSLATE(F12337,""id"",""en"")"),"Father, my name is Diego because you like Diego Maradona, my first jersey is Gabriel Batistuta, the number of Argentina World Cup national team.")</f>
        <v>Father, my name is Diego because you like Diego Maradona, my first jersey is Gabriel Batistuta, the number of Argentina World Cup national team.</v>
      </c>
    </row>
    <row r="12338" ht="15.75" customHeight="1">
      <c r="A12338" s="1">
        <v>13612.0</v>
      </c>
      <c r="B12338" s="3" t="s">
        <v>35002</v>
      </c>
      <c r="C12338" s="3">
        <v>0.0</v>
      </c>
      <c r="D12338" s="3">
        <v>2.0</v>
      </c>
      <c r="E12338" s="3">
        <v>0.0</v>
      </c>
      <c r="F12338" s="3" t="s">
        <v>35003</v>
      </c>
      <c r="G12338" s="3">
        <v>0.0</v>
      </c>
      <c r="H12338" s="3">
        <v>0.0</v>
      </c>
      <c r="I12338" s="3" t="s">
        <v>13</v>
      </c>
      <c r="J12338" s="3" t="s">
        <v>35004</v>
      </c>
      <c r="K12338" s="3" t="s">
        <v>244</v>
      </c>
      <c r="L12338" s="3" t="str">
        <f>IFERROR(__xludf.DUMMYFUNCTION("GOOGLETRANSLATE(F12338,""id"",""en"")"),"Sleeping from the afternoon waking up Argentina has become a mileapo champion, there is a new video")</f>
        <v>Sleeping from the afternoon waking up Argentina has become a mileapo champion, there is a new video</v>
      </c>
    </row>
    <row r="12339" ht="15.75" customHeight="1">
      <c r="A12339" s="1">
        <v>13613.0</v>
      </c>
      <c r="B12339" s="3" t="s">
        <v>35005</v>
      </c>
      <c r="C12339" s="3">
        <v>0.0</v>
      </c>
      <c r="D12339" s="3">
        <v>0.0</v>
      </c>
      <c r="E12339" s="3">
        <v>0.0</v>
      </c>
      <c r="F12339" s="3" t="s">
        <v>22241</v>
      </c>
      <c r="G12339" s="3">
        <v>0.0</v>
      </c>
      <c r="H12339" s="3">
        <v>0.0</v>
      </c>
      <c r="I12339" s="3" t="s">
        <v>13</v>
      </c>
      <c r="J12339" s="3" t="s">
        <v>16942</v>
      </c>
      <c r="K12339" s="3" t="s">
        <v>644</v>
      </c>
      <c r="L12339" s="3" t="str">
        <f>IFERROR(__xludf.DUMMYFUNCTION("GOOGLETRANSLATE(F12339,""id"",""en"")"),"Argentina Champion World Cup")</f>
        <v>Argentina Champion World Cup</v>
      </c>
    </row>
    <row r="12340" ht="15.75" customHeight="1">
      <c r="A12340" s="1">
        <v>13614.0</v>
      </c>
      <c r="B12340" s="3" t="s">
        <v>35006</v>
      </c>
      <c r="C12340" s="3">
        <v>0.0</v>
      </c>
      <c r="D12340" s="3">
        <v>0.0</v>
      </c>
      <c r="E12340" s="3">
        <v>0.0</v>
      </c>
      <c r="F12340" s="3" t="s">
        <v>35007</v>
      </c>
      <c r="G12340" s="3">
        <v>0.0</v>
      </c>
      <c r="H12340" s="3">
        <v>0.0</v>
      </c>
      <c r="I12340" s="3" t="s">
        <v>13</v>
      </c>
      <c r="J12340" s="3" t="s">
        <v>35008</v>
      </c>
      <c r="K12340" s="3" t="s">
        <v>2117</v>
      </c>
      <c r="L12340" s="3" t="str">
        <f>IFERROR(__xludf.DUMMYFUNCTION("GOOGLETRANSLATE(F12340,""id"",""en"")"),"Finally Goat Champion")</f>
        <v>Finally Goat Champion</v>
      </c>
    </row>
    <row r="12341" ht="15.75" customHeight="1">
      <c r="A12341" s="1">
        <v>13615.0</v>
      </c>
      <c r="B12341" s="3" t="s">
        <v>35009</v>
      </c>
      <c r="C12341" s="3">
        <v>1.0</v>
      </c>
      <c r="D12341" s="3">
        <v>0.0</v>
      </c>
      <c r="E12341" s="3">
        <v>2.0</v>
      </c>
      <c r="F12341" s="3" t="s">
        <v>35010</v>
      </c>
      <c r="G12341" s="3">
        <v>0.3333333333333333</v>
      </c>
      <c r="H12341" s="3">
        <v>0.1666666666666667</v>
      </c>
      <c r="I12341" s="3" t="s">
        <v>48</v>
      </c>
      <c r="J12341" s="3" t="s">
        <v>35011</v>
      </c>
      <c r="K12341" s="3" t="s">
        <v>765</v>
      </c>
      <c r="L12341" s="3" t="str">
        <f>IFERROR(__xludf.DUMMYFUNCTION("GOOGLETRANSLATE(F12341,""id"",""en"")"),"So all this time maybe because it was too carrying Barca so Messi had already blocked when playing the national team tournament at the end of the season and as Mimin said out of Barca could get the title of the Argentine national team")</f>
        <v>So all this time maybe because it was too carrying Barca so Messi had already blocked when playing the national team tournament at the end of the season and as Mimin said out of Barca could get the title of the Argentine national team</v>
      </c>
    </row>
    <row r="12342" ht="15.75" customHeight="1">
      <c r="A12342" s="1">
        <v>13616.0</v>
      </c>
      <c r="B12342" s="3" t="s">
        <v>35012</v>
      </c>
      <c r="C12342" s="3">
        <v>1.0</v>
      </c>
      <c r="D12342" s="3">
        <v>0.0</v>
      </c>
      <c r="E12342" s="3">
        <v>0.0</v>
      </c>
      <c r="F12342" s="3" t="s">
        <v>35013</v>
      </c>
      <c r="G12342" s="3">
        <v>0.0</v>
      </c>
      <c r="H12342" s="3">
        <v>0.0</v>
      </c>
      <c r="I12342" s="3" t="s">
        <v>13</v>
      </c>
      <c r="J12342" s="3" t="s">
        <v>35014</v>
      </c>
      <c r="K12342" s="3" t="s">
        <v>15</v>
      </c>
      <c r="L12342" s="3" t="str">
        <f>IFERROR(__xludf.DUMMYFUNCTION("GOOGLETRANSLATE(F12342,""id"",""en"")"),"France should have champions Argentina Help Help Milan Players")</f>
        <v>France should have champions Argentina Help Help Milan Players</v>
      </c>
    </row>
    <row r="12343" ht="15.75" customHeight="1">
      <c r="A12343" s="1">
        <v>13617.0</v>
      </c>
      <c r="B12343" s="3" t="s">
        <v>35015</v>
      </c>
      <c r="C12343" s="3">
        <v>0.0</v>
      </c>
      <c r="D12343" s="3">
        <v>0.0</v>
      </c>
      <c r="E12343" s="3">
        <v>0.0</v>
      </c>
      <c r="F12343" s="3" t="s">
        <v>35016</v>
      </c>
      <c r="G12343" s="3">
        <v>0.0</v>
      </c>
      <c r="H12343" s="3">
        <v>0.0</v>
      </c>
      <c r="I12343" s="3" t="s">
        <v>13</v>
      </c>
      <c r="J12343" s="3" t="s">
        <v>35017</v>
      </c>
      <c r="K12343" s="3" t="s">
        <v>82</v>
      </c>
      <c r="L12343" s="3" t="str">
        <f>IFERROR(__xludf.DUMMYFUNCTION("GOOGLETRANSLATE(F12343,""id"",""en"")"),"Hopefully PSM Makassar is infected with league champions for this season")</f>
        <v>Hopefully PSM Makassar is infected with league champions for this season</v>
      </c>
    </row>
    <row r="12344" ht="15.75" customHeight="1">
      <c r="A12344" s="1">
        <v>13618.0</v>
      </c>
      <c r="B12344" s="3" t="s">
        <v>35018</v>
      </c>
      <c r="C12344" s="3">
        <v>0.0</v>
      </c>
      <c r="D12344" s="3">
        <v>0.0</v>
      </c>
      <c r="E12344" s="3">
        <v>0.0</v>
      </c>
      <c r="F12344" s="3" t="s">
        <v>29146</v>
      </c>
      <c r="G12344" s="3">
        <v>0.0</v>
      </c>
      <c r="H12344" s="3">
        <v>0.0</v>
      </c>
      <c r="I12344" s="3" t="s">
        <v>13</v>
      </c>
      <c r="J12344" s="3" t="s">
        <v>29147</v>
      </c>
      <c r="K12344" s="3" t="s">
        <v>495</v>
      </c>
      <c r="L12344" s="3" t="str">
        <f>IFERROR(__xludf.DUMMYFUNCTION("GOOGLETRANSLATE(F12344,""id"",""en"")"),"Lionel Scaloni proves that age is not an obstacle to bringing Argentina to the World Cup champion he has just followed in the footsteps of Cesar Luis Menotti what it is")</f>
        <v>Lionel Scaloni proves that age is not an obstacle to bringing Argentina to the World Cup champion he has just followed in the footsteps of Cesar Luis Menotti what it is</v>
      </c>
    </row>
    <row r="12345" ht="15.75" customHeight="1">
      <c r="A12345" s="1">
        <v>13619.0</v>
      </c>
      <c r="B12345" s="3" t="s">
        <v>35019</v>
      </c>
      <c r="C12345" s="3">
        <v>0.0</v>
      </c>
      <c r="D12345" s="3">
        <v>0.0</v>
      </c>
      <c r="E12345" s="3">
        <v>0.0</v>
      </c>
      <c r="F12345" s="3" t="s">
        <v>35020</v>
      </c>
      <c r="G12345" s="3">
        <v>1.0</v>
      </c>
      <c r="H12345" s="3">
        <v>0.1</v>
      </c>
      <c r="I12345" s="3" t="s">
        <v>48</v>
      </c>
      <c r="J12345" s="3" t="s">
        <v>35021</v>
      </c>
      <c r="K12345" s="3" t="s">
        <v>1479</v>
      </c>
      <c r="L12345" s="3" t="str">
        <f>IFERROR(__xludf.DUMMYFUNCTION("GOOGLETRANSLATE(F12345,""id"",""en"")"),"Wow Miti predicts Argentina will be the World Cup champion, Mantab Miti Congratulations to Argentina and Miti")</f>
        <v>Wow Miti predicts Argentina will be the World Cup champion, Mantab Miti Congratulations to Argentina and Miti</v>
      </c>
    </row>
    <row r="12346" ht="15.75" customHeight="1">
      <c r="A12346" s="1">
        <v>13620.0</v>
      </c>
      <c r="B12346" s="3" t="s">
        <v>35022</v>
      </c>
      <c r="C12346" s="3">
        <v>0.0</v>
      </c>
      <c r="D12346" s="3">
        <v>1.0</v>
      </c>
      <c r="E12346" s="3">
        <v>5.0</v>
      </c>
      <c r="F12346" s="3" t="s">
        <v>35023</v>
      </c>
      <c r="G12346" s="3">
        <v>0.0</v>
      </c>
      <c r="H12346" s="3">
        <v>0.0</v>
      </c>
      <c r="I12346" s="3" t="s">
        <v>13</v>
      </c>
      <c r="J12346" s="3" t="s">
        <v>35024</v>
      </c>
      <c r="K12346" s="3" t="s">
        <v>41</v>
      </c>
      <c r="L12346" s="3" t="str">
        <f>IFERROR(__xludf.DUMMYFUNCTION("GOOGLETRANSLATE(F12346,""id"",""en"")"),"Congratulations Argentina has become the world champion of FIFA World Cup Qatar")</f>
        <v>Congratulations Argentina has become the world champion of FIFA World Cup Qatar</v>
      </c>
    </row>
    <row r="12347" ht="15.75" customHeight="1">
      <c r="A12347" s="1">
        <v>13623.0</v>
      </c>
      <c r="B12347" s="3" t="s">
        <v>35025</v>
      </c>
      <c r="C12347" s="3">
        <v>0.0</v>
      </c>
      <c r="D12347" s="3">
        <v>4.0</v>
      </c>
      <c r="E12347" s="3">
        <v>20.0</v>
      </c>
      <c r="F12347" s="3" t="s">
        <v>29146</v>
      </c>
      <c r="G12347" s="3">
        <v>0.0</v>
      </c>
      <c r="H12347" s="3">
        <v>0.0</v>
      </c>
      <c r="I12347" s="3" t="s">
        <v>13</v>
      </c>
      <c r="J12347" s="3" t="s">
        <v>29147</v>
      </c>
      <c r="K12347" s="3" t="s">
        <v>495</v>
      </c>
      <c r="L12347" s="3" t="str">
        <f>IFERROR(__xludf.DUMMYFUNCTION("GOOGLETRANSLATE(F12347,""id"",""en"")"),"Lionel Scaloni proves that age is not an obstacle to bringing Argentina to the World Cup champion he has just followed in the footsteps of Cesar Luis Menotti what it is")</f>
        <v>Lionel Scaloni proves that age is not an obstacle to bringing Argentina to the World Cup champion he has just followed in the footsteps of Cesar Luis Menotti what it is</v>
      </c>
    </row>
    <row r="12348" ht="15.75" customHeight="1">
      <c r="A12348" s="1">
        <v>13624.0</v>
      </c>
      <c r="B12348" s="3" t="s">
        <v>35026</v>
      </c>
      <c r="C12348" s="3">
        <v>0.0</v>
      </c>
      <c r="D12348" s="3">
        <v>0.0</v>
      </c>
      <c r="E12348" s="3">
        <v>1.0</v>
      </c>
      <c r="F12348" s="3" t="s">
        <v>35027</v>
      </c>
      <c r="G12348" s="3">
        <v>0.0</v>
      </c>
      <c r="H12348" s="3">
        <v>0.0</v>
      </c>
      <c r="I12348" s="3" t="s">
        <v>13</v>
      </c>
      <c r="J12348" s="3" t="s">
        <v>35028</v>
      </c>
      <c r="K12348" s="3" t="s">
        <v>244</v>
      </c>
      <c r="L12348" s="3" t="str">
        <f>IFERROR(__xludf.DUMMYFUNCTION("GOOGLETRANSLATE(F12348,""id"",""en"")"),"who said Argentina champion had been setting that was jealous and hurt because the champion had come home first")</f>
        <v>who said Argentina champion had been setting that was jealous and hurt because the champion had come home first</v>
      </c>
    </row>
    <row r="12349" ht="15.75" customHeight="1">
      <c r="A12349" s="1">
        <v>13625.0</v>
      </c>
      <c r="B12349" s="3" t="s">
        <v>35029</v>
      </c>
      <c r="C12349" s="3">
        <v>1.0</v>
      </c>
      <c r="D12349" s="3">
        <v>0.0</v>
      </c>
      <c r="E12349" s="3">
        <v>0.0</v>
      </c>
      <c r="F12349" s="3" t="s">
        <v>35029</v>
      </c>
      <c r="G12349" s="3">
        <v>0.0</v>
      </c>
      <c r="H12349" s="3">
        <v>0.0</v>
      </c>
      <c r="I12349" s="3" t="s">
        <v>13</v>
      </c>
      <c r="J12349" s="3" t="s">
        <v>35030</v>
      </c>
      <c r="K12349" s="3" t="s">
        <v>54</v>
      </c>
      <c r="L12349" s="3" t="str">
        <f>IFERROR(__xludf.DUMMYFUNCTION("GOOGLETRANSLATE(F12349,""id"",""en"")"),"Argentina Champion and I Still Left Behind Marriage")</f>
        <v>Argentina Champion and I Still Left Behind Marriage</v>
      </c>
    </row>
    <row r="12350" ht="15.75" customHeight="1">
      <c r="A12350" s="1">
        <v>13626.0</v>
      </c>
      <c r="B12350" s="3" t="s">
        <v>35031</v>
      </c>
      <c r="C12350" s="3">
        <v>0.0</v>
      </c>
      <c r="D12350" s="3">
        <v>0.0</v>
      </c>
      <c r="E12350" s="3">
        <v>0.0</v>
      </c>
      <c r="F12350" s="3" t="s">
        <v>35032</v>
      </c>
      <c r="G12350" s="3">
        <v>0.0</v>
      </c>
      <c r="H12350" s="3">
        <v>0.0</v>
      </c>
      <c r="I12350" s="3" t="s">
        <v>13</v>
      </c>
      <c r="J12350" s="3" t="s">
        <v>35033</v>
      </c>
      <c r="K12350" s="3" t="s">
        <v>41</v>
      </c>
      <c r="L12350" s="3" t="str">
        <f>IFERROR(__xludf.DUMMYFUNCTION("GOOGLETRANSLATE(F12350,""id"",""en"")"),"Defeat France through Argentine Penalty Fighting Drama World Champion")</f>
        <v>Defeat France through Argentine Penalty Fighting Drama World Champion</v>
      </c>
    </row>
    <row r="12351" ht="15.75" customHeight="1">
      <c r="A12351" s="1">
        <v>13627.0</v>
      </c>
      <c r="B12351" s="3" t="s">
        <v>35034</v>
      </c>
      <c r="C12351" s="3">
        <v>0.0</v>
      </c>
      <c r="D12351" s="3">
        <v>0.0</v>
      </c>
      <c r="E12351" s="3">
        <v>0.0</v>
      </c>
      <c r="F12351" s="3" t="s">
        <v>35035</v>
      </c>
      <c r="G12351" s="3">
        <v>0.0</v>
      </c>
      <c r="H12351" s="3">
        <v>0.0</v>
      </c>
      <c r="I12351" s="3" t="s">
        <v>13</v>
      </c>
      <c r="J12351" s="3" t="s">
        <v>35036</v>
      </c>
      <c r="K12351" s="3" t="s">
        <v>1345</v>
      </c>
      <c r="L12351" s="3" t="str">
        <f>IFERROR(__xludf.DUMMYFUNCTION("GOOGLETRANSLATE(F12351,""id"",""en"")"),"How many times Argentina World Cup Champion Following Argentina World Cup")</f>
        <v>How many times Argentina World Cup Champion Following Argentina World Cup</v>
      </c>
    </row>
    <row r="12352" ht="15.75" customHeight="1">
      <c r="A12352" s="1">
        <v>13628.0</v>
      </c>
      <c r="B12352" s="3" t="s">
        <v>35037</v>
      </c>
      <c r="C12352" s="3">
        <v>0.0</v>
      </c>
      <c r="D12352" s="3">
        <v>0.0</v>
      </c>
      <c r="E12352" s="3">
        <v>0.0</v>
      </c>
      <c r="F12352" s="3" t="s">
        <v>29146</v>
      </c>
      <c r="G12352" s="3">
        <v>0.0</v>
      </c>
      <c r="H12352" s="3">
        <v>0.0</v>
      </c>
      <c r="I12352" s="3" t="s">
        <v>13</v>
      </c>
      <c r="J12352" s="3" t="s">
        <v>29147</v>
      </c>
      <c r="K12352" s="3" t="s">
        <v>495</v>
      </c>
      <c r="L12352" s="3" t="str">
        <f>IFERROR(__xludf.DUMMYFUNCTION("GOOGLETRANSLATE(F12352,""id"",""en"")"),"Lionel Scaloni proves that age is not an obstacle to bringing Argentina to the World Cup champion he has just followed in the footsteps of Cesar Luis Menotti what it is")</f>
        <v>Lionel Scaloni proves that age is not an obstacle to bringing Argentina to the World Cup champion he has just followed in the footsteps of Cesar Luis Menotti what it is</v>
      </c>
    </row>
    <row r="12353" ht="15.75" customHeight="1">
      <c r="A12353" s="1">
        <v>13629.0</v>
      </c>
      <c r="B12353" s="3" t="s">
        <v>35038</v>
      </c>
      <c r="C12353" s="3">
        <v>0.0</v>
      </c>
      <c r="D12353" s="3">
        <v>0.0</v>
      </c>
      <c r="E12353" s="3">
        <v>6.0</v>
      </c>
      <c r="F12353" s="3" t="s">
        <v>35039</v>
      </c>
      <c r="G12353" s="3">
        <v>0.0</v>
      </c>
      <c r="H12353" s="3">
        <v>0.0</v>
      </c>
      <c r="I12353" s="3" t="s">
        <v>13</v>
      </c>
      <c r="J12353" s="3" t="s">
        <v>35040</v>
      </c>
      <c r="K12353" s="3" t="s">
        <v>15</v>
      </c>
      <c r="L12353" s="3" t="str">
        <f>IFERROR(__xludf.DUMMYFUNCTION("GOOGLETRANSLATE(F12353,""id"",""en"")"),"Vamoss Argentina finally the dream of a world champion was achieved by an idol")</f>
        <v>Vamoss Argentina finally the dream of a world champion was achieved by an idol</v>
      </c>
    </row>
    <row r="12354" ht="15.75" customHeight="1">
      <c r="A12354" s="1">
        <v>13630.0</v>
      </c>
      <c r="B12354" s="3" t="s">
        <v>35041</v>
      </c>
      <c r="C12354" s="3">
        <v>0.0</v>
      </c>
      <c r="D12354" s="3">
        <v>0.0</v>
      </c>
      <c r="E12354" s="3">
        <v>0.0</v>
      </c>
      <c r="F12354" s="3" t="s">
        <v>35042</v>
      </c>
      <c r="G12354" s="3">
        <v>0.0</v>
      </c>
      <c r="H12354" s="3">
        <v>0.0</v>
      </c>
      <c r="I12354" s="3" t="s">
        <v>13</v>
      </c>
      <c r="J12354" s="3" t="s">
        <v>35043</v>
      </c>
      <c r="K12354" s="3" t="s">
        <v>35</v>
      </c>
      <c r="L12354" s="3" t="str">
        <f>IFERROR(__xludf.DUMMYFUNCTION("GOOGLETRANSLATE(F12354,""id"",""en"")"),"Luckily, I used Argentina's jersey if I didn't know what would happen")</f>
        <v>Luckily, I used Argentina's jersey if I didn't know what would happen</v>
      </c>
    </row>
    <row r="12355" ht="15.75" customHeight="1">
      <c r="A12355" s="1">
        <v>13631.0</v>
      </c>
      <c r="B12355" s="3" t="s">
        <v>35044</v>
      </c>
      <c r="C12355" s="3">
        <v>1.0</v>
      </c>
      <c r="D12355" s="3">
        <v>0.0</v>
      </c>
      <c r="E12355" s="3">
        <v>0.0</v>
      </c>
      <c r="F12355" s="3" t="s">
        <v>35045</v>
      </c>
      <c r="G12355" s="3">
        <v>0.2</v>
      </c>
      <c r="H12355" s="3">
        <v>-0.1</v>
      </c>
      <c r="I12355" s="3" t="s">
        <v>179</v>
      </c>
      <c r="J12355" s="3" t="s">
        <v>35046</v>
      </c>
      <c r="K12355" s="3" t="s">
        <v>1061</v>
      </c>
      <c r="L12355" s="3" t="str">
        <f>IFERROR(__xludf.DUMMYFUNCTION("GOOGLETRANSLATE(F12355,""id"",""en"")"),"Everything is not without impression that can only be obtained but the mental champion is more powerful is proof that there is a thank you France Argentina the best entertainment in the game at the end of this year even though I lost my blues from France "&amp;"from junior high school first")</f>
        <v>Everything is not without impression that can only be obtained but the mental champion is more powerful is proof that there is a thank you France Argentina the best entertainment in the game at the end of this year even though I lost my blues from France from junior high school first</v>
      </c>
    </row>
    <row r="12356" ht="15.75" customHeight="1">
      <c r="A12356" s="1">
        <v>13632.0</v>
      </c>
      <c r="B12356" s="3" t="s">
        <v>35047</v>
      </c>
      <c r="C12356" s="3">
        <v>2.0</v>
      </c>
      <c r="D12356" s="3">
        <v>0.0</v>
      </c>
      <c r="E12356" s="3">
        <v>1.0</v>
      </c>
      <c r="F12356" s="3" t="s">
        <v>35048</v>
      </c>
      <c r="G12356" s="3">
        <v>0.0</v>
      </c>
      <c r="H12356" s="3">
        <v>0.0</v>
      </c>
      <c r="I12356" s="3" t="s">
        <v>13</v>
      </c>
      <c r="J12356" s="3" t="s">
        <v>35049</v>
      </c>
      <c r="K12356" s="3" t="s">
        <v>16539</v>
      </c>
      <c r="L12356" s="3" t="str">
        <f>IFERROR(__xludf.DUMMYFUNCTION("GOOGLETRANSLATE(F12356,""id"",""en"")"),"I from Argentina Croatia already Jagoin Argentina My Prediction Champion Argentina Champion French Champion Moroccan")</f>
        <v>I from Argentina Croatia already Jagoin Argentina My Prediction Champion Argentina Champion French Champion Moroccan</v>
      </c>
    </row>
    <row r="12357" ht="15.75" customHeight="1">
      <c r="A12357" s="1">
        <v>13633.0</v>
      </c>
      <c r="B12357" s="3" t="s">
        <v>35050</v>
      </c>
      <c r="C12357" s="3">
        <v>0.0</v>
      </c>
      <c r="D12357" s="3">
        <v>0.0</v>
      </c>
      <c r="E12357" s="3">
        <v>0.0</v>
      </c>
      <c r="F12357" s="3" t="s">
        <v>35051</v>
      </c>
      <c r="G12357" s="3">
        <v>0.0</v>
      </c>
      <c r="H12357" s="3">
        <v>0.0</v>
      </c>
      <c r="I12357" s="3" t="s">
        <v>13</v>
      </c>
      <c r="J12357" s="3" t="s">
        <v>35052</v>
      </c>
      <c r="K12357" s="3" t="s">
        <v>31</v>
      </c>
      <c r="L12357" s="3" t="str">
        <f>IFERROR(__xludf.DUMMYFUNCTION("GOOGLETRANSLATE(F12357,""id"",""en"")"),"Mayan Gae Argentina Employment Champion")</f>
        <v>Mayan Gae Argentina Employment Champion</v>
      </c>
    </row>
    <row r="12358" ht="15.75" customHeight="1">
      <c r="A12358" s="1">
        <v>13634.0</v>
      </c>
      <c r="B12358" s="3" t="s">
        <v>35053</v>
      </c>
      <c r="C12358" s="3">
        <v>1.0</v>
      </c>
      <c r="D12358" s="3">
        <v>0.0</v>
      </c>
      <c r="E12358" s="3">
        <v>0.0</v>
      </c>
      <c r="F12358" s="3" t="s">
        <v>35054</v>
      </c>
      <c r="G12358" s="3">
        <v>0.0</v>
      </c>
      <c r="H12358" s="3">
        <v>0.0</v>
      </c>
      <c r="I12358" s="3" t="s">
        <v>13</v>
      </c>
      <c r="J12358" s="3" t="s">
        <v>35055</v>
      </c>
      <c r="K12358" s="3" t="s">
        <v>31</v>
      </c>
      <c r="L12358" s="3" t="str">
        <f>IFERROR(__xludf.DUMMYFUNCTION("GOOGLETRANSLATE(F12358,""id"",""en"")"),"Cannot be a witness to Argentina Champion")</f>
        <v>Cannot be a witness to Argentina Champion</v>
      </c>
    </row>
    <row r="12359" ht="15.75" customHeight="1">
      <c r="A12359" s="1">
        <v>13635.0</v>
      </c>
      <c r="B12359" s="3" t="s">
        <v>35056</v>
      </c>
      <c r="C12359" s="3">
        <v>0.0</v>
      </c>
      <c r="D12359" s="3">
        <v>0.0</v>
      </c>
      <c r="E12359" s="3">
        <v>0.0</v>
      </c>
      <c r="F12359" s="3" t="s">
        <v>35057</v>
      </c>
      <c r="G12359" s="3">
        <v>0.0</v>
      </c>
      <c r="H12359" s="3">
        <v>0.0</v>
      </c>
      <c r="I12359" s="3" t="s">
        <v>13</v>
      </c>
      <c r="J12359" s="3" t="s">
        <v>35058</v>
      </c>
      <c r="K12359" s="3" t="s">
        <v>19</v>
      </c>
      <c r="L12359" s="3" t="str">
        <f>IFERROR(__xludf.DUMMYFUNCTION("GOOGLETRANSLATE(F12359,""id"",""en"")"),"Argentina Jagoin Girls Wait Words the World Cup because Messi and the players are handsome, admit it or not hey")</f>
        <v>Argentina Jagoin Girls Wait Words the World Cup because Messi and the players are handsome, admit it or not hey</v>
      </c>
    </row>
    <row r="12360" ht="15.75" customHeight="1">
      <c r="A12360" s="1">
        <v>13636.0</v>
      </c>
      <c r="B12360" s="3" t="s">
        <v>35059</v>
      </c>
      <c r="C12360" s="3">
        <v>0.0</v>
      </c>
      <c r="D12360" s="3">
        <v>0.0</v>
      </c>
      <c r="E12360" s="3">
        <v>1.0</v>
      </c>
      <c r="F12360" s="3" t="s">
        <v>35060</v>
      </c>
      <c r="G12360" s="3">
        <v>0.0</v>
      </c>
      <c r="H12360" s="3">
        <v>0.0</v>
      </c>
      <c r="I12360" s="3" t="s">
        <v>13</v>
      </c>
      <c r="J12360" s="3" t="s">
        <v>35061</v>
      </c>
      <c r="K12360" s="3" t="s">
        <v>477</v>
      </c>
      <c r="L12360" s="3" t="str">
        <f>IFERROR(__xludf.DUMMYFUNCTION("GOOGLETRANSLATE(F12360,""id"",""en"")"),"Kangenband Argentina Anjayyy where with whom last night Argentina Champion")</f>
        <v>Kangenband Argentina Anjayyy where with whom last night Argentina Champion</v>
      </c>
    </row>
    <row r="12361" ht="15.75" customHeight="1">
      <c r="A12361" s="1">
        <v>13637.0</v>
      </c>
      <c r="B12361" s="3" t="s">
        <v>34738</v>
      </c>
      <c r="C12361" s="3">
        <v>0.0</v>
      </c>
      <c r="D12361" s="3">
        <v>0.0</v>
      </c>
      <c r="E12361" s="3">
        <v>1.0</v>
      </c>
      <c r="F12361" s="3" t="s">
        <v>34739</v>
      </c>
      <c r="G12361" s="3">
        <v>0.8333333333333334</v>
      </c>
      <c r="H12361" s="3">
        <v>0.3333333333333333</v>
      </c>
      <c r="I12361" s="3" t="s">
        <v>48</v>
      </c>
      <c r="J12361" s="3" t="s">
        <v>34740</v>
      </c>
      <c r="K12361" s="3" t="s">
        <v>883</v>
      </c>
      <c r="L12361" s="3" t="str">
        <f>IFERROR(__xludf.DUMMYFUNCTION("GOOGLETRANSLATE(F12361,""id"",""en"")"),"Argentina Champion World Cup FIFA welcomes Christmas and New Year Crystal Event every day free Lucky Wheel to get free tickets")</f>
        <v>Argentina Champion World Cup FIFA welcomes Christmas and New Year Crystal Event every day free Lucky Wheel to get free tickets</v>
      </c>
    </row>
    <row r="12362" ht="15.75" customHeight="1">
      <c r="A12362" s="1">
        <v>13638.0</v>
      </c>
      <c r="B12362" s="3" t="s">
        <v>35062</v>
      </c>
      <c r="C12362" s="3">
        <v>1.0</v>
      </c>
      <c r="D12362" s="3">
        <v>0.0</v>
      </c>
      <c r="E12362" s="3">
        <v>1.0</v>
      </c>
      <c r="F12362" s="3" t="s">
        <v>34739</v>
      </c>
      <c r="G12362" s="3">
        <v>0.8333333333333334</v>
      </c>
      <c r="H12362" s="3">
        <v>0.3333333333333333</v>
      </c>
      <c r="I12362" s="3" t="s">
        <v>48</v>
      </c>
      <c r="J12362" s="3" t="s">
        <v>34740</v>
      </c>
      <c r="K12362" s="3" t="s">
        <v>883</v>
      </c>
      <c r="L12362" s="3" t="str">
        <f>IFERROR(__xludf.DUMMYFUNCTION("GOOGLETRANSLATE(F12362,""id"",""en"")"),"Argentina Champion World Cup FIFA welcomes Christmas and New Year Crystal Event every day free Lucky Wheel to get free tickets")</f>
        <v>Argentina Champion World Cup FIFA welcomes Christmas and New Year Crystal Event every day free Lucky Wheel to get free tickets</v>
      </c>
    </row>
    <row r="12363" ht="15.75" customHeight="1">
      <c r="A12363" s="1">
        <v>13639.0</v>
      </c>
      <c r="B12363" s="3" t="s">
        <v>35063</v>
      </c>
      <c r="C12363" s="3">
        <v>0.0</v>
      </c>
      <c r="D12363" s="3">
        <v>0.0</v>
      </c>
      <c r="E12363" s="3">
        <v>0.0</v>
      </c>
      <c r="F12363" s="3" t="s">
        <v>35064</v>
      </c>
      <c r="G12363" s="3">
        <v>0.0</v>
      </c>
      <c r="H12363" s="3">
        <v>0.0</v>
      </c>
      <c r="I12363" s="3" t="s">
        <v>13</v>
      </c>
      <c r="J12363" s="3" t="s">
        <v>35065</v>
      </c>
      <c r="K12363" s="3" t="s">
        <v>71</v>
      </c>
      <c r="L12363" s="3" t="str">
        <f>IFERROR(__xludf.DUMMYFUNCTION("GOOGLETRANSLATE(F12363,""id"",""en"")"),"I'm Jagoib Argentina world champion even though my husband's husband to France hahahah wants to laugh fear of sin")</f>
        <v>I'm Jagoib Argentina world champion even though my husband's husband to France hahahah wants to laugh fear of sin</v>
      </c>
    </row>
    <row r="12364" ht="15.75" customHeight="1">
      <c r="A12364" s="1">
        <v>13640.0</v>
      </c>
      <c r="B12364" s="3" t="s">
        <v>35066</v>
      </c>
      <c r="C12364" s="3">
        <v>0.0</v>
      </c>
      <c r="D12364" s="3">
        <v>0.0</v>
      </c>
      <c r="E12364" s="3">
        <v>0.0</v>
      </c>
      <c r="F12364" s="3" t="s">
        <v>35067</v>
      </c>
      <c r="G12364" s="3">
        <v>0.0</v>
      </c>
      <c r="H12364" s="3">
        <v>0.0</v>
      </c>
      <c r="I12364" s="3" t="s">
        <v>13</v>
      </c>
      <c r="J12364" s="3" t="s">
        <v>35068</v>
      </c>
      <c r="K12364" s="3" t="s">
        <v>82</v>
      </c>
      <c r="L12364" s="3" t="str">
        <f>IFERROR(__xludf.DUMMYFUNCTION("GOOGLETRANSLATE(F12364,""id"",""en"")"),"the proof is the Argentina now, the champion said")</f>
        <v>the proof is the Argentina now, the champion said</v>
      </c>
    </row>
    <row r="12365" ht="15.75" customHeight="1">
      <c r="A12365" s="1">
        <v>13641.0</v>
      </c>
      <c r="B12365" s="3" t="s">
        <v>35069</v>
      </c>
      <c r="C12365" s="3">
        <v>0.0</v>
      </c>
      <c r="D12365" s="3">
        <v>0.0</v>
      </c>
      <c r="E12365" s="3">
        <v>0.0</v>
      </c>
      <c r="F12365" s="3" t="s">
        <v>35070</v>
      </c>
      <c r="G12365" s="3">
        <v>0.0</v>
      </c>
      <c r="H12365" s="3">
        <v>0.0</v>
      </c>
      <c r="I12365" s="3" t="s">
        <v>13</v>
      </c>
      <c r="J12365" s="3" t="s">
        <v>35071</v>
      </c>
      <c r="K12365" s="3" t="s">
        <v>75</v>
      </c>
      <c r="L12365" s="3" t="str">
        <f>IFERROR(__xludf.DUMMYFUNCTION("GOOGLETRANSLATE(F12365,""id"",""en"")"),"Agrarian Kavling Citizens Watch Together When Argentina Champion World Cup Via")</f>
        <v>Agrarian Kavling Citizens Watch Together When Argentina Champion World Cup Via</v>
      </c>
    </row>
    <row r="12366" ht="15.75" customHeight="1">
      <c r="A12366" s="1">
        <v>13642.0</v>
      </c>
      <c r="B12366" s="3" t="s">
        <v>35072</v>
      </c>
      <c r="C12366" s="3">
        <v>0.0</v>
      </c>
      <c r="D12366" s="3">
        <v>0.0</v>
      </c>
      <c r="E12366" s="3">
        <v>0.0</v>
      </c>
      <c r="F12366" s="3" t="s">
        <v>35073</v>
      </c>
      <c r="G12366" s="3">
        <v>0.0</v>
      </c>
      <c r="H12366" s="3">
        <v>0.0</v>
      </c>
      <c r="I12366" s="3" t="s">
        <v>13</v>
      </c>
      <c r="J12366" s="3" t="s">
        <v>35074</v>
      </c>
      <c r="K12366" s="3" t="s">
        <v>510</v>
      </c>
      <c r="L12366" s="3" t="str">
        <f>IFERROR(__xludf.DUMMYFUNCTION("GOOGLETRANSLATE(F12366,""id"",""en"")"),"Winning or losing France remains a survivor to Argentina Red Mata Tomorrow Monday Apesss")</f>
        <v>Winning or losing France remains a survivor to Argentina Red Mata Tomorrow Monday Apesss</v>
      </c>
    </row>
    <row r="12367" ht="15.75" customHeight="1">
      <c r="A12367" s="1">
        <v>13643.0</v>
      </c>
      <c r="B12367" s="3" t="s">
        <v>35075</v>
      </c>
      <c r="C12367" s="3">
        <v>0.0</v>
      </c>
      <c r="D12367" s="3">
        <v>0.0</v>
      </c>
      <c r="E12367" s="3">
        <v>0.0</v>
      </c>
      <c r="F12367" s="3" t="s">
        <v>35076</v>
      </c>
      <c r="G12367" s="3">
        <v>0.0</v>
      </c>
      <c r="H12367" s="3">
        <v>0.0</v>
      </c>
      <c r="I12367" s="3" t="s">
        <v>13</v>
      </c>
      <c r="J12367" s="3" t="s">
        <v>35077</v>
      </c>
      <c r="K12367" s="3" t="s">
        <v>1518</v>
      </c>
      <c r="L12367" s="3" t="str">
        <f>IFERROR(__xludf.DUMMYFUNCTION("GOOGLETRANSLATE(F12367,""id"",""en"")"),"So earlier Otw Malang stopped first Warkop Sidoarjo only wanted to ball ball hmm next father, the smell of the gpp kelek still Argentina champions")</f>
        <v>So earlier Otw Malang stopped first Warkop Sidoarjo only wanted to ball ball hmm next father, the smell of the gpp kelek still Argentina champions</v>
      </c>
    </row>
    <row r="12368" ht="15.75" customHeight="1">
      <c r="A12368" s="1">
        <v>13644.0</v>
      </c>
      <c r="B12368" s="3" t="s">
        <v>35078</v>
      </c>
      <c r="C12368" s="3">
        <v>0.0</v>
      </c>
      <c r="D12368" s="3">
        <v>0.0</v>
      </c>
      <c r="E12368" s="3">
        <v>0.0</v>
      </c>
      <c r="F12368" s="3" t="s">
        <v>35070</v>
      </c>
      <c r="G12368" s="3">
        <v>0.0</v>
      </c>
      <c r="H12368" s="3">
        <v>0.0</v>
      </c>
      <c r="I12368" s="3" t="s">
        <v>13</v>
      </c>
      <c r="J12368" s="3" t="s">
        <v>35071</v>
      </c>
      <c r="K12368" s="3" t="s">
        <v>75</v>
      </c>
      <c r="L12368" s="3" t="str">
        <f>IFERROR(__xludf.DUMMYFUNCTION("GOOGLETRANSLATE(F12368,""id"",""en"")"),"Agrarian Kavling Citizens Watch Together When Argentina Champion World Cup Via")</f>
        <v>Agrarian Kavling Citizens Watch Together When Argentina Champion World Cup Via</v>
      </c>
    </row>
    <row r="12369" ht="15.75" customHeight="1">
      <c r="A12369" s="1">
        <v>13645.0</v>
      </c>
      <c r="B12369" s="3" t="s">
        <v>35079</v>
      </c>
      <c r="C12369" s="3">
        <v>0.0</v>
      </c>
      <c r="D12369" s="3">
        <v>0.0</v>
      </c>
      <c r="E12369" s="3">
        <v>1.0</v>
      </c>
      <c r="F12369" s="3" t="s">
        <v>35080</v>
      </c>
      <c r="G12369" s="3">
        <v>0.0</v>
      </c>
      <c r="H12369" s="3">
        <v>0.0</v>
      </c>
      <c r="I12369" s="3" t="s">
        <v>13</v>
      </c>
      <c r="J12369" s="3" t="s">
        <v>35081</v>
      </c>
      <c r="K12369" s="3" t="s">
        <v>82</v>
      </c>
      <c r="L12369" s="3" t="str">
        <f>IFERROR(__xludf.DUMMYFUNCTION("GOOGLETRANSLATE(F12369,""id"",""en"")"),"Argentina Sabet World Cup Our Worthy Champion Semarang")</f>
        <v>Argentina Sabet World Cup Our Worthy Champion Semarang</v>
      </c>
    </row>
    <row r="12370" ht="15.75" customHeight="1">
      <c r="A12370" s="1">
        <v>13646.0</v>
      </c>
      <c r="B12370" s="3" t="s">
        <v>35082</v>
      </c>
      <c r="C12370" s="3">
        <v>1.0</v>
      </c>
      <c r="D12370" s="3">
        <v>0.0</v>
      </c>
      <c r="E12370" s="3">
        <v>0.0</v>
      </c>
      <c r="F12370" s="3" t="s">
        <v>35083</v>
      </c>
      <c r="G12370" s="3">
        <v>0.0</v>
      </c>
      <c r="H12370" s="3">
        <v>0.0</v>
      </c>
      <c r="I12370" s="3" t="s">
        <v>13</v>
      </c>
      <c r="J12370" s="3" t="s">
        <v>35084</v>
      </c>
      <c r="K12370" s="3" t="s">
        <v>15</v>
      </c>
      <c r="L12370" s="3" t="str">
        <f>IFERROR(__xludf.DUMMYFUNCTION("GOOGLETRANSLATE(F12370,""id"",""en"")"),"I can't be too happy that Argentina is the World Cup championship")</f>
        <v>I can't be too happy that Argentina is the World Cup championship</v>
      </c>
    </row>
    <row r="12371" ht="15.75" customHeight="1">
      <c r="A12371" s="1">
        <v>13647.0</v>
      </c>
      <c r="B12371" s="3" t="s">
        <v>35085</v>
      </c>
      <c r="C12371" s="3">
        <v>0.0</v>
      </c>
      <c r="D12371" s="3">
        <v>0.0</v>
      </c>
      <c r="E12371" s="3">
        <v>1.0</v>
      </c>
      <c r="F12371" s="3" t="s">
        <v>26664</v>
      </c>
      <c r="G12371" s="3">
        <v>0.0</v>
      </c>
      <c r="H12371" s="3">
        <v>0.0</v>
      </c>
      <c r="I12371" s="3" t="s">
        <v>13</v>
      </c>
      <c r="J12371" s="3" t="s">
        <v>26665</v>
      </c>
      <c r="K12371" s="3" t="s">
        <v>644</v>
      </c>
      <c r="L12371" s="3" t="str">
        <f>IFERROR(__xludf.DUMMYFUNCTION("GOOGLETRANSLATE(F12371,""id"",""en"")"),"Argentina World Cup Champion")</f>
        <v>Argentina World Cup Champion</v>
      </c>
    </row>
    <row r="12372" ht="15.75" customHeight="1">
      <c r="A12372" s="1">
        <v>13648.0</v>
      </c>
      <c r="B12372" s="3" t="s">
        <v>35086</v>
      </c>
      <c r="C12372" s="3">
        <v>0.0</v>
      </c>
      <c r="D12372" s="3">
        <v>0.0</v>
      </c>
      <c r="E12372" s="3">
        <v>0.0</v>
      </c>
      <c r="F12372" s="3" t="s">
        <v>35087</v>
      </c>
      <c r="G12372" s="3">
        <v>0.0</v>
      </c>
      <c r="H12372" s="3">
        <v>0.0</v>
      </c>
      <c r="I12372" s="3" t="s">
        <v>13</v>
      </c>
      <c r="J12372" s="3" t="s">
        <v>35088</v>
      </c>
      <c r="K12372" s="3" t="s">
        <v>31</v>
      </c>
      <c r="L12372" s="3" t="str">
        <f>IFERROR(__xludf.DUMMYFUNCTION("GOOGLETRANSLATE(F12372,""id"",""en"")"),"Argentina Semarang World Cup Champion")</f>
        <v>Argentina Semarang World Cup Champion</v>
      </c>
    </row>
    <row r="12373" ht="15.75" customHeight="1">
      <c r="A12373" s="1">
        <v>13649.0</v>
      </c>
      <c r="B12373" s="3" t="s">
        <v>35089</v>
      </c>
      <c r="C12373" s="3">
        <v>2.0</v>
      </c>
      <c r="D12373" s="3">
        <v>0.0</v>
      </c>
      <c r="E12373" s="3">
        <v>1.0</v>
      </c>
      <c r="F12373" s="3" t="s">
        <v>35090</v>
      </c>
      <c r="G12373" s="3">
        <v>0.0</v>
      </c>
      <c r="H12373" s="3">
        <v>0.0</v>
      </c>
      <c r="I12373" s="3" t="s">
        <v>13</v>
      </c>
      <c r="J12373" s="3" t="s">
        <v>35091</v>
      </c>
      <c r="K12373" s="3" t="s">
        <v>3882</v>
      </c>
      <c r="L12373" s="3" t="str">
        <f>IFERROR(__xludf.DUMMYFUNCTION("GOOGLETRANSLATE(F12373,""id"",""en"")"),"The age of the first wander of England Arsenal's senior team was loaned here and there only the last season got the main place of Arsenal Aston Villa finally brought Arsenal Cup Champion Bringing Argentina Copa America World Cup Congrats Martinez")</f>
        <v>The age of the first wander of England Arsenal's senior team was loaned here and there only the last season got the main place of Arsenal Aston Villa finally brought Arsenal Cup Champion Bringing Argentina Copa America World Cup Congrats Martinez</v>
      </c>
    </row>
    <row r="12374" ht="15.75" customHeight="1">
      <c r="A12374" s="1">
        <v>13650.0</v>
      </c>
      <c r="B12374" s="3" t="s">
        <v>35092</v>
      </c>
      <c r="C12374" s="3">
        <v>0.0</v>
      </c>
      <c r="D12374" s="3">
        <v>0.0</v>
      </c>
      <c r="E12374" s="3">
        <v>0.0</v>
      </c>
      <c r="F12374" s="3" t="s">
        <v>35093</v>
      </c>
      <c r="G12374" s="3">
        <v>0.0</v>
      </c>
      <c r="H12374" s="3">
        <v>0.0</v>
      </c>
      <c r="I12374" s="3" t="s">
        <v>13</v>
      </c>
      <c r="J12374" s="3" t="s">
        <v>35094</v>
      </c>
      <c r="K12374" s="3" t="s">
        <v>15</v>
      </c>
      <c r="L12374" s="3" t="str">
        <f>IFERROR(__xludf.DUMMYFUNCTION("GOOGLETRANSLATE(F12374,""id"",""en"")"),"Argentina Champion World Cup End waiting for Semarang")</f>
        <v>Argentina Champion World Cup End waiting for Semarang</v>
      </c>
    </row>
    <row r="12375" ht="15.75" customHeight="1">
      <c r="A12375" s="1">
        <v>13651.0</v>
      </c>
      <c r="B12375" s="3" t="s">
        <v>35095</v>
      </c>
      <c r="C12375" s="3">
        <v>0.0</v>
      </c>
      <c r="D12375" s="3">
        <v>0.0</v>
      </c>
      <c r="E12375" s="3">
        <v>0.0</v>
      </c>
      <c r="F12375" s="3" t="s">
        <v>35096</v>
      </c>
      <c r="G12375" s="3">
        <v>0.0</v>
      </c>
      <c r="H12375" s="3">
        <v>0.0</v>
      </c>
      <c r="I12375" s="3" t="s">
        <v>13</v>
      </c>
      <c r="J12375" s="3" t="s">
        <v>35097</v>
      </c>
      <c r="K12375" s="3" t="s">
        <v>82</v>
      </c>
      <c r="L12375" s="3" t="str">
        <f>IFERROR(__xludf.DUMMYFUNCTION("GOOGLETRANSLATE(F12375,""id"",""en"")"),"France or Argentina the winner of my heart still you are the champion")</f>
        <v>France or Argentina the winner of my heart still you are the champion</v>
      </c>
    </row>
    <row r="12376" ht="15.75" customHeight="1">
      <c r="A12376" s="1">
        <v>13652.0</v>
      </c>
      <c r="B12376" s="3" t="s">
        <v>35098</v>
      </c>
      <c r="C12376" s="3">
        <v>0.0</v>
      </c>
      <c r="D12376" s="3">
        <v>0.0</v>
      </c>
      <c r="E12376" s="3">
        <v>0.0</v>
      </c>
      <c r="F12376" s="3" t="s">
        <v>35099</v>
      </c>
      <c r="G12376" s="3">
        <v>0.0</v>
      </c>
      <c r="H12376" s="3">
        <v>0.0</v>
      </c>
      <c r="I12376" s="3" t="s">
        <v>13</v>
      </c>
      <c r="J12376" s="3" t="s">
        <v>35100</v>
      </c>
      <c r="K12376" s="3" t="s">
        <v>19</v>
      </c>
      <c r="L12376" s="3" t="str">
        <f>IFERROR(__xludf.DUMMYFUNCTION("GOOGLETRANSLATE(F12376,""id"",""en"")"),"Masio Argentina champion Messi for shape your pilduun is still the best for me to choose")</f>
        <v>Masio Argentina champion Messi for shape your pilduun is still the best for me to choose</v>
      </c>
    </row>
    <row r="12377" ht="15.75" customHeight="1">
      <c r="A12377" s="1">
        <v>13653.0</v>
      </c>
      <c r="B12377" s="3" t="s">
        <v>35101</v>
      </c>
      <c r="C12377" s="3">
        <v>0.0</v>
      </c>
      <c r="D12377" s="3">
        <v>0.0</v>
      </c>
      <c r="E12377" s="3">
        <v>0.0</v>
      </c>
      <c r="F12377" s="3" t="s">
        <v>35102</v>
      </c>
      <c r="G12377" s="3">
        <v>0.0</v>
      </c>
      <c r="H12377" s="3">
        <v>0.0</v>
      </c>
      <c r="I12377" s="3" t="s">
        <v>13</v>
      </c>
      <c r="J12377" s="3" t="s">
        <v>35103</v>
      </c>
      <c r="K12377" s="3" t="s">
        <v>41</v>
      </c>
      <c r="L12377" s="3" t="str">
        <f>IFERROR(__xludf.DUMMYFUNCTION("GOOGLETRANSLATE(F12377,""id"",""en"")"),"Argentina Champion World Cup Messi was chosen as the best player in Semarang")</f>
        <v>Argentina Champion World Cup Messi was chosen as the best player in Semarang</v>
      </c>
    </row>
    <row r="12378" ht="15.75" customHeight="1">
      <c r="A12378" s="1">
        <v>13654.0</v>
      </c>
      <c r="B12378" s="3" t="s">
        <v>35104</v>
      </c>
      <c r="C12378" s="3">
        <v>2.0</v>
      </c>
      <c r="D12378" s="3">
        <v>6.0</v>
      </c>
      <c r="E12378" s="3">
        <v>69.0</v>
      </c>
      <c r="F12378" s="3" t="s">
        <v>35105</v>
      </c>
      <c r="G12378" s="3">
        <v>0.0</v>
      </c>
      <c r="H12378" s="3">
        <v>0.0</v>
      </c>
      <c r="I12378" s="3" t="s">
        <v>13</v>
      </c>
      <c r="J12378" s="3" t="s">
        <v>35106</v>
      </c>
      <c r="K12378" s="3" t="s">
        <v>54</v>
      </c>
      <c r="L12378" s="3" t="str">
        <f>IFERROR(__xludf.DUMMYFUNCTION("GOOGLETRANSLATE(F12378,""id"",""en"")"),"Argentina Champion Ibul Era became Ketum")</f>
        <v>Argentina Champion Ibul Era became Ketum</v>
      </c>
    </row>
    <row r="12379" ht="15.75" customHeight="1">
      <c r="A12379" s="1">
        <v>13655.0</v>
      </c>
      <c r="B12379" s="3" t="s">
        <v>35107</v>
      </c>
      <c r="C12379" s="3">
        <v>1.0</v>
      </c>
      <c r="D12379" s="3">
        <v>6.0</v>
      </c>
      <c r="E12379" s="3">
        <v>24.0</v>
      </c>
      <c r="F12379" s="3" t="s">
        <v>27945</v>
      </c>
      <c r="G12379" s="3">
        <v>0.0</v>
      </c>
      <c r="H12379" s="3">
        <v>0.0</v>
      </c>
      <c r="I12379" s="3" t="s">
        <v>13</v>
      </c>
      <c r="J12379" s="3" t="s">
        <v>27946</v>
      </c>
      <c r="K12379" s="3" t="s">
        <v>123</v>
      </c>
      <c r="L12379" s="3" t="str">
        <f>IFERROR(__xludf.DUMMYFUNCTION("GOOGLETRANSLATE(F12379,""id"",""en"")"),"Argentine captain Lionel Messi was finally able to perfect his career with the World Cup champion when lifting the Messi trophy so happy")</f>
        <v>Argentine captain Lionel Messi was finally able to perfect his career with the World Cup champion when lifting the Messi trophy so happy</v>
      </c>
    </row>
    <row r="12380" ht="15.75" customHeight="1">
      <c r="A12380" s="1">
        <v>13656.0</v>
      </c>
      <c r="B12380" s="3" t="s">
        <v>35108</v>
      </c>
      <c r="C12380" s="3">
        <v>0.0</v>
      </c>
      <c r="D12380" s="3">
        <v>0.0</v>
      </c>
      <c r="E12380" s="3">
        <v>0.0</v>
      </c>
      <c r="F12380" s="3" t="s">
        <v>35109</v>
      </c>
      <c r="G12380" s="3">
        <v>0.5</v>
      </c>
      <c r="H12380" s="3">
        <v>0.3</v>
      </c>
      <c r="I12380" s="3" t="s">
        <v>48</v>
      </c>
      <c r="J12380" s="3" t="s">
        <v>35110</v>
      </c>
      <c r="K12380" s="3" t="s">
        <v>127</v>
      </c>
      <c r="L12380" s="3" t="str">
        <f>IFERROR(__xludf.DUMMYFUNCTION("GOOGLETRANSLATE(F12380,""id"",""en"")"),"Between the Argentine national team champion World Cup Lionel Messi became the first player to sabet the Golden Ball Okezone Bola award")</f>
        <v>Between the Argentine national team champion World Cup Lionel Messi became the first player to sabet the Golden Ball Okezone Bola award</v>
      </c>
    </row>
    <row r="12381" ht="15.75" customHeight="1">
      <c r="A12381" s="1">
        <v>13657.0</v>
      </c>
      <c r="B12381" s="3" t="s">
        <v>35111</v>
      </c>
      <c r="C12381" s="3">
        <v>0.0</v>
      </c>
      <c r="D12381" s="3">
        <v>0.0</v>
      </c>
      <c r="E12381" s="3">
        <v>0.0</v>
      </c>
      <c r="F12381" s="3" t="s">
        <v>35112</v>
      </c>
      <c r="G12381" s="3">
        <v>0.0</v>
      </c>
      <c r="H12381" s="3">
        <v>0.0</v>
      </c>
      <c r="I12381" s="3" t="s">
        <v>13</v>
      </c>
      <c r="J12381" s="3" t="s">
        <v>35113</v>
      </c>
      <c r="K12381" s="3" t="s">
        <v>31</v>
      </c>
      <c r="L12381" s="3" t="str">
        <f>IFERROR(__xludf.DUMMYFUNCTION("GOOGLETRANSLATE(F12381,""id"",""en"")"),"Bravo Argentina Champion World Cup")</f>
        <v>Bravo Argentina Champion World Cup</v>
      </c>
    </row>
    <row r="12382" ht="15.75" customHeight="1">
      <c r="A12382" s="1">
        <v>13658.0</v>
      </c>
      <c r="B12382" s="3" t="s">
        <v>35114</v>
      </c>
      <c r="C12382" s="3">
        <v>1.0</v>
      </c>
      <c r="D12382" s="3">
        <v>0.0</v>
      </c>
      <c r="E12382" s="3">
        <v>0.0</v>
      </c>
      <c r="F12382" s="3" t="s">
        <v>35115</v>
      </c>
      <c r="G12382" s="3">
        <v>0.3833333333333333</v>
      </c>
      <c r="H12382" s="3">
        <v>0.1</v>
      </c>
      <c r="I12382" s="3" t="s">
        <v>48</v>
      </c>
      <c r="J12382" s="3" t="s">
        <v>35116</v>
      </c>
      <c r="K12382" s="3" t="s">
        <v>695</v>
      </c>
      <c r="L12382" s="3" t="str">
        <f>IFERROR(__xludf.DUMMYFUNCTION("GOOGLETRANSLATE(F12382,""id"",""en"")"),"Respect Aseli is still confused why not just when you win already Argentina champions Clear using drama Ujung Messi also won Francis Mem Dutch right Dutch")</f>
        <v>Respect Aseli is still confused why not just when you win already Argentina champions Clear using drama Ujung Messi also won Francis Mem Dutch right Dutch</v>
      </c>
    </row>
    <row r="12383" ht="15.75" customHeight="1">
      <c r="A12383" s="1">
        <v>13659.0</v>
      </c>
      <c r="B12383" s="3" t="s">
        <v>35117</v>
      </c>
      <c r="C12383" s="3">
        <v>11.0</v>
      </c>
      <c r="D12383" s="3">
        <v>0.0</v>
      </c>
      <c r="E12383" s="3">
        <v>0.0</v>
      </c>
      <c r="F12383" s="3" t="s">
        <v>35118</v>
      </c>
      <c r="G12383" s="3">
        <v>0.0</v>
      </c>
      <c r="H12383" s="3">
        <v>0.0</v>
      </c>
      <c r="I12383" s="3" t="s">
        <v>13</v>
      </c>
      <c r="J12383" s="3" t="s">
        <v>35119</v>
      </c>
      <c r="K12383" s="3" t="s">
        <v>1022</v>
      </c>
      <c r="L12383" s="3" t="str">
        <f>IFERROR(__xludf.DUMMYFUNCTION("GOOGLETRANSLATE(F12383,""id"",""en"")"),"Argentina won because Pinalty won the penalty Pinalty? I still encouraged the world of French champion BRTHAN in the world worth the world because of this France, this is a champion in the world because of the Argentina because it is a Pinalty fighting no"&amp;"t to sua")</f>
        <v>Argentina won because Pinalty won the penalty Pinalty? I still encouraged the world of French champion BRTHAN in the world worth the world because of this France, this is a champion in the world because of the Argentina because it is a Pinalty fighting not to sua</v>
      </c>
    </row>
    <row r="12384" ht="15.75" customHeight="1">
      <c r="A12384" s="1">
        <v>13660.0</v>
      </c>
      <c r="B12384" s="3" t="s">
        <v>35120</v>
      </c>
      <c r="C12384" s="3">
        <v>0.0</v>
      </c>
      <c r="D12384" s="3">
        <v>1.0</v>
      </c>
      <c r="E12384" s="3">
        <v>0.0</v>
      </c>
      <c r="F12384" s="3" t="s">
        <v>35121</v>
      </c>
      <c r="G12384" s="3">
        <v>0.0</v>
      </c>
      <c r="H12384" s="3">
        <v>0.0</v>
      </c>
      <c r="I12384" s="3" t="s">
        <v>13</v>
      </c>
      <c r="J12384" s="3" t="s">
        <v>35122</v>
      </c>
      <c r="K12384" s="3" t="s">
        <v>75</v>
      </c>
      <c r="L12384" s="3" t="str">
        <f>IFERROR(__xludf.DUMMYFUNCTION("GOOGLETRANSLATE(F12384,""id"",""en"")"),"Argentina World Champion Raul Remos Why Hope Your Heart is Always Healthy")</f>
        <v>Argentina World Champion Raul Remos Why Hope Your Heart is Always Healthy</v>
      </c>
    </row>
    <row r="12385" ht="15.75" customHeight="1">
      <c r="A12385" s="1">
        <v>13661.0</v>
      </c>
      <c r="B12385" s="3" t="s">
        <v>35123</v>
      </c>
      <c r="C12385" s="3">
        <v>0.0</v>
      </c>
      <c r="D12385" s="3">
        <v>0.0</v>
      </c>
      <c r="E12385" s="3">
        <v>0.0</v>
      </c>
      <c r="F12385" s="3" t="s">
        <v>35124</v>
      </c>
      <c r="G12385" s="3">
        <v>0.0</v>
      </c>
      <c r="H12385" s="3">
        <v>0.0</v>
      </c>
      <c r="I12385" s="3" t="s">
        <v>13</v>
      </c>
      <c r="J12385" s="3" t="s">
        <v>35125</v>
      </c>
      <c r="K12385" s="3" t="s">
        <v>41</v>
      </c>
      <c r="L12385" s="3" t="str">
        <f>IFERROR(__xludf.DUMMYFUNCTION("GOOGLETRANSLATE(F12385,""id"",""en"")"),"Argentina Deserves Winning Happy Messi Next France Champion Euro")</f>
        <v>Argentina Deserves Winning Happy Messi Next France Champion Euro</v>
      </c>
    </row>
    <row r="12386" ht="15.75" customHeight="1">
      <c r="A12386" s="1">
        <v>13662.0</v>
      </c>
      <c r="B12386" s="3" t="s">
        <v>35126</v>
      </c>
      <c r="C12386" s="3">
        <v>16.0</v>
      </c>
      <c r="D12386" s="3">
        <v>207.0</v>
      </c>
      <c r="E12386" s="3">
        <v>1519.0</v>
      </c>
      <c r="F12386" s="3" t="s">
        <v>35127</v>
      </c>
      <c r="G12386" s="3">
        <v>0.0</v>
      </c>
      <c r="H12386" s="3">
        <v>0.0</v>
      </c>
      <c r="I12386" s="3" t="s">
        <v>13</v>
      </c>
      <c r="J12386" s="3" t="s">
        <v>35128</v>
      </c>
      <c r="K12386" s="3" t="s">
        <v>1912</v>
      </c>
      <c r="L12386" s="3" t="str">
        <f>IFERROR(__xludf.DUMMYFUNCTION("GOOGLETRANSLATE(F12386,""id"",""en"")"),"Comes to train Argentina who was destroyed was ridiculed as a coach of amateur to rebuild the foundation of the team with Argentina Copa America champion the youngest coach successfully functioned Lionel Messi well to be a champion")</f>
        <v>Comes to train Argentina who was destroyed was ridiculed as a coach of amateur to rebuild the foundation of the team with Argentina Copa America champion the youngest coach successfully functioned Lionel Messi well to be a champion</v>
      </c>
    </row>
    <row r="12387" ht="15.75" customHeight="1">
      <c r="A12387" s="1">
        <v>13663.0</v>
      </c>
      <c r="B12387" s="3" t="s">
        <v>35129</v>
      </c>
      <c r="C12387" s="3">
        <v>0.0</v>
      </c>
      <c r="D12387" s="3">
        <v>0.0</v>
      </c>
      <c r="E12387" s="3">
        <v>0.0</v>
      </c>
      <c r="F12387" s="3" t="s">
        <v>35130</v>
      </c>
      <c r="G12387" s="3">
        <v>0.0</v>
      </c>
      <c r="H12387" s="3">
        <v>0.0</v>
      </c>
      <c r="I12387" s="3" t="s">
        <v>13</v>
      </c>
      <c r="J12387" s="3" t="s">
        <v>35131</v>
      </c>
      <c r="K12387" s="3" t="s">
        <v>19</v>
      </c>
      <c r="L12387" s="3" t="str">
        <f>IFERROR(__xludf.DUMMYFUNCTION("GOOGLETRANSLATE(F12387,""id"",""en"")"),"in the middle of the economic turmoil that is being experienced by Argentina World Cup champions are the sweetest gift")</f>
        <v>in the middle of the economic turmoil that is being experienced by Argentina World Cup champions are the sweetest gift</v>
      </c>
    </row>
    <row r="12388" ht="15.75" customHeight="1">
      <c r="A12388" s="1">
        <v>13664.0</v>
      </c>
      <c r="B12388" s="3" t="s">
        <v>35132</v>
      </c>
      <c r="C12388" s="3">
        <v>0.0</v>
      </c>
      <c r="D12388" s="3">
        <v>0.0</v>
      </c>
      <c r="E12388" s="3">
        <v>0.0</v>
      </c>
      <c r="F12388" s="3" t="s">
        <v>35133</v>
      </c>
      <c r="G12388" s="3">
        <v>0.0</v>
      </c>
      <c r="H12388" s="3">
        <v>0.0</v>
      </c>
      <c r="I12388" s="3" t="s">
        <v>13</v>
      </c>
      <c r="J12388" s="3" t="s">
        <v>35134</v>
      </c>
      <c r="K12388" s="3" t="s">
        <v>31</v>
      </c>
      <c r="L12388" s="3" t="str">
        <f>IFERROR(__xludf.DUMMYFUNCTION("GOOGLETRANSLATE(F12388,""id"",""en"")"),"Argentina convoy info Mbah Champion")</f>
        <v>Argentina convoy info Mbah Champion</v>
      </c>
    </row>
    <row r="12389" ht="15.75" customHeight="1">
      <c r="A12389" s="1">
        <v>13665.0</v>
      </c>
      <c r="B12389" s="3" t="s">
        <v>35135</v>
      </c>
      <c r="C12389" s="3">
        <v>0.0</v>
      </c>
      <c r="D12389" s="3">
        <v>0.0</v>
      </c>
      <c r="E12389" s="3">
        <v>0.0</v>
      </c>
      <c r="F12389" s="3" t="s">
        <v>35136</v>
      </c>
      <c r="G12389" s="3">
        <v>0.0</v>
      </c>
      <c r="H12389" s="3">
        <v>0.0</v>
      </c>
      <c r="I12389" s="3" t="s">
        <v>13</v>
      </c>
      <c r="J12389" s="3" t="s">
        <v>35137</v>
      </c>
      <c r="K12389" s="3" t="s">
        <v>3401</v>
      </c>
      <c r="L12389" s="3" t="str">
        <f>IFERROR(__xludf.DUMMYFUNCTION("GOOGLETRANSLATE(F12389,""id"",""en"")"),"The second World Cup title was won in the year meaning that it has been the year since Argentina won the title and now won the World Cup Nurmagomedov reading the full news by clicking the Bio Link or our website")</f>
        <v>The second World Cup title was won in the year meaning that it has been the year since Argentina won the title and now won the World Cup Nurmagomedov reading the full news by clicking the Bio Link or our website</v>
      </c>
    </row>
    <row r="12390" ht="15.75" customHeight="1">
      <c r="A12390" s="1">
        <v>13666.0</v>
      </c>
      <c r="B12390" s="3" t="s">
        <v>35138</v>
      </c>
      <c r="C12390" s="3">
        <v>0.0</v>
      </c>
      <c r="D12390" s="3">
        <v>0.0</v>
      </c>
      <c r="E12390" s="3">
        <v>0.0</v>
      </c>
      <c r="F12390" s="3" t="s">
        <v>35139</v>
      </c>
      <c r="G12390" s="3">
        <v>0.0</v>
      </c>
      <c r="H12390" s="3">
        <v>0.0</v>
      </c>
      <c r="I12390" s="3" t="s">
        <v>13</v>
      </c>
      <c r="J12390" s="3" t="s">
        <v>35140</v>
      </c>
      <c r="K12390" s="3" t="s">
        <v>123</v>
      </c>
      <c r="L12390" s="3" t="str">
        <f>IFERROR(__xludf.DUMMYFUNCTION("GOOGLETRANSLATE(F12390,""id"",""en"")"),"Argentina championship party not only belongs to the player on the Argentina squad there is also Kun Aguero who lifted the trophy")</f>
        <v>Argentina championship party not only belongs to the player on the Argentina squad there is also Kun Aguero who lifted the trophy</v>
      </c>
    </row>
    <row r="12391" ht="15.75" customHeight="1">
      <c r="A12391" s="1">
        <v>13667.0</v>
      </c>
      <c r="B12391" s="3" t="s">
        <v>35141</v>
      </c>
      <c r="C12391" s="3">
        <v>1.0</v>
      </c>
      <c r="D12391" s="3">
        <v>9.0</v>
      </c>
      <c r="E12391" s="3">
        <v>63.0</v>
      </c>
      <c r="F12391" s="3" t="s">
        <v>28260</v>
      </c>
      <c r="G12391" s="3">
        <v>0.0</v>
      </c>
      <c r="H12391" s="3">
        <v>0.0</v>
      </c>
      <c r="I12391" s="3" t="s">
        <v>13</v>
      </c>
      <c r="J12391" s="3" t="s">
        <v>28261</v>
      </c>
      <c r="K12391" s="3" t="s">
        <v>495</v>
      </c>
      <c r="L12391" s="3" t="str">
        <f>IFERROR(__xludf.DUMMYFUNCTION("GOOGLETRANSLATE(F12391,""id"",""en"")"),"Argentina's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392" ht="15.75" customHeight="1">
      <c r="A12392" s="1">
        <v>13668.0</v>
      </c>
      <c r="B12392" s="3" t="s">
        <v>35142</v>
      </c>
      <c r="C12392" s="3">
        <v>0.0</v>
      </c>
      <c r="D12392" s="3">
        <v>0.0</v>
      </c>
      <c r="E12392" s="3">
        <v>0.0</v>
      </c>
      <c r="F12392" s="3" t="s">
        <v>35143</v>
      </c>
      <c r="G12392" s="3">
        <v>0.0</v>
      </c>
      <c r="H12392" s="3">
        <v>0.0</v>
      </c>
      <c r="I12392" s="3" t="s">
        <v>13</v>
      </c>
      <c r="J12392" s="3" t="s">
        <v>35144</v>
      </c>
      <c r="K12392" s="3" t="s">
        <v>433</v>
      </c>
      <c r="L12392" s="3" t="str">
        <f>IFERROR(__xludf.DUMMYFUNCTION("GOOGLETRANSLATE(F12392,""id"",""en"")"),"Argentina defeated France in a penalty shootout with the final score of Argentina to win the Qatar World Cup")</f>
        <v>Argentina defeated France in a penalty shootout with the final score of Argentina to win the Qatar World Cup</v>
      </c>
    </row>
    <row r="12393" ht="15.75" customHeight="1">
      <c r="A12393" s="1">
        <v>13669.0</v>
      </c>
      <c r="B12393" s="3" t="s">
        <v>35145</v>
      </c>
      <c r="C12393" s="3">
        <v>0.0</v>
      </c>
      <c r="D12393" s="3">
        <v>1.0</v>
      </c>
      <c r="E12393" s="3">
        <v>3.0</v>
      </c>
      <c r="F12393" s="3" t="s">
        <v>35146</v>
      </c>
      <c r="G12393" s="3">
        <v>0.0</v>
      </c>
      <c r="H12393" s="3">
        <v>0.0</v>
      </c>
      <c r="I12393" s="3" t="s">
        <v>13</v>
      </c>
      <c r="J12393" s="3" t="s">
        <v>35147</v>
      </c>
      <c r="K12393" s="3" t="s">
        <v>19</v>
      </c>
      <c r="L12393" s="3" t="str">
        <f>IFERROR(__xludf.DUMMYFUNCTION("GOOGLETRANSLATE(F12393,""id"",""en"")"),"It is appropriate that Argentina is champion and Messi of the world's best player of all time can no match.")</f>
        <v>It is appropriate that Argentina is champion and Messi of the world's best player of all time can no match.</v>
      </c>
    </row>
    <row r="12394" ht="15.75" customHeight="1">
      <c r="A12394" s="1">
        <v>13670.0</v>
      </c>
      <c r="B12394" s="3" t="s">
        <v>35148</v>
      </c>
      <c r="C12394" s="3">
        <v>0.0</v>
      </c>
      <c r="D12394" s="3">
        <v>0.0</v>
      </c>
      <c r="E12394" s="3">
        <v>0.0</v>
      </c>
      <c r="F12394" s="3" t="s">
        <v>35149</v>
      </c>
      <c r="G12394" s="3">
        <v>0.0</v>
      </c>
      <c r="H12394" s="3">
        <v>0.0</v>
      </c>
      <c r="I12394" s="3" t="s">
        <v>13</v>
      </c>
      <c r="J12394" s="3" t="s">
        <v>35150</v>
      </c>
      <c r="K12394" s="3" t="s">
        <v>244</v>
      </c>
      <c r="L12394" s="3" t="str">
        <f>IFERROR(__xludf.DUMMYFUNCTION("GOOGLETRANSLATE(F12394,""id"",""en"")"),"Really the word coach Justin Argentina deserves champion because of my effectiveness to you coach")</f>
        <v>Really the word coach Justin Argentina deserves champion because of my effectiveness to you coach</v>
      </c>
    </row>
    <row r="12395" ht="15.75" customHeight="1">
      <c r="A12395" s="1">
        <v>13671.0</v>
      </c>
      <c r="B12395" s="3" t="s">
        <v>35151</v>
      </c>
      <c r="C12395" s="3">
        <v>0.0</v>
      </c>
      <c r="D12395" s="3">
        <v>2.0</v>
      </c>
      <c r="E12395" s="3">
        <v>16.0</v>
      </c>
      <c r="F12395" s="3" t="s">
        <v>16103</v>
      </c>
      <c r="G12395" s="3">
        <v>0.0</v>
      </c>
      <c r="H12395" s="3">
        <v>0.0</v>
      </c>
      <c r="I12395" s="3" t="s">
        <v>13</v>
      </c>
      <c r="J12395" s="3" t="s">
        <v>16104</v>
      </c>
      <c r="K12395" s="3" t="s">
        <v>14571</v>
      </c>
      <c r="L12395" s="3" t="str">
        <f>IFERROR(__xludf.DUMMYFUNCTION("GOOGLETRANSLATE(F12395,""id"",""en"")"),"Argentina Champion")</f>
        <v>Argentina Champion</v>
      </c>
    </row>
    <row r="12396" ht="15.75" customHeight="1">
      <c r="A12396" s="1">
        <v>13672.0</v>
      </c>
      <c r="B12396" s="3" t="s">
        <v>35152</v>
      </c>
      <c r="C12396" s="3">
        <v>0.0</v>
      </c>
      <c r="D12396" s="3">
        <v>0.0</v>
      </c>
      <c r="E12396" s="3">
        <v>0.0</v>
      </c>
      <c r="F12396" s="3" t="s">
        <v>35153</v>
      </c>
      <c r="G12396" s="3">
        <v>0.0</v>
      </c>
      <c r="H12396" s="3">
        <v>0.0</v>
      </c>
      <c r="I12396" s="3" t="s">
        <v>13</v>
      </c>
      <c r="J12396" s="3" t="s">
        <v>35154</v>
      </c>
      <c r="K12396" s="3" t="s">
        <v>308</v>
      </c>
      <c r="L12396" s="3" t="str">
        <f>IFERROR(__xludf.DUMMYFUNCTION("GOOGLETRANSLATE(F12396,""id"",""en"")"),"Because this is most likely this is his last World Cup considering that his age, which has been in the year for Argentina, is their third World Cup trophy in their history to become world champions for the first time in the year")</f>
        <v>Because this is most likely this is his last World Cup considering that his age, which has been in the year for Argentina, is their third World Cup trophy in their history to become world champions for the first time in the year</v>
      </c>
    </row>
    <row r="12397" ht="15.75" customHeight="1">
      <c r="A12397" s="1">
        <v>13675.0</v>
      </c>
      <c r="B12397" s="3" t="s">
        <v>35155</v>
      </c>
      <c r="C12397" s="3">
        <v>0.0</v>
      </c>
      <c r="D12397" s="3">
        <v>1.0</v>
      </c>
      <c r="E12397" s="3">
        <v>1.0</v>
      </c>
      <c r="F12397" s="3" t="s">
        <v>35156</v>
      </c>
      <c r="G12397" s="3">
        <v>0.7</v>
      </c>
      <c r="H12397" s="3">
        <v>-0.2</v>
      </c>
      <c r="I12397" s="3" t="s">
        <v>179</v>
      </c>
      <c r="J12397" s="3" t="s">
        <v>35157</v>
      </c>
      <c r="K12397" s="3" t="s">
        <v>456</v>
      </c>
      <c r="L12397" s="3" t="str">
        <f>IFERROR(__xludf.DUMMYFUNCTION("GOOGLETRANSLATE(F12397,""id"",""en"")"),"Jokowi reviews the house of the Cianjur earthquake resistant Raul Lemos Messigreatest All Time World Champion All France Argentina French Pilduun Argentina Maria Emi Martinez What Final Saudi Arabia What Game")</f>
        <v>Jokowi reviews the house of the Cianjur earthquake resistant Raul Lemos Messigreatest All Time World Champion All France Argentina French Pilduun Argentina Maria Emi Martinez What Final Saudi Arabia What Game</v>
      </c>
    </row>
    <row r="12398" ht="15.75" customHeight="1">
      <c r="A12398" s="1">
        <v>13676.0</v>
      </c>
      <c r="B12398" s="3" t="s">
        <v>35158</v>
      </c>
      <c r="C12398" s="3">
        <v>0.0</v>
      </c>
      <c r="D12398" s="3">
        <v>1.0</v>
      </c>
      <c r="E12398" s="3">
        <v>1.0</v>
      </c>
      <c r="F12398" s="3" t="s">
        <v>35159</v>
      </c>
      <c r="G12398" s="3">
        <v>0.7</v>
      </c>
      <c r="H12398" s="3">
        <v>-0.2</v>
      </c>
      <c r="I12398" s="3" t="s">
        <v>179</v>
      </c>
      <c r="J12398" s="3" t="s">
        <v>35160</v>
      </c>
      <c r="K12398" s="3" t="s">
        <v>974</v>
      </c>
      <c r="L12398" s="3" t="str">
        <f>IFERROR(__xludf.DUMMYFUNCTION("GOOGLETRANSLATE(F12398,""id"",""en"")"),"DPR Appreciates Jokowi's five steps to anticipate the recession of Raul Lemos Messigreatest All Time World Champion All France Argentina French Pildun Argentina Maria Emi Martinez What Final Saudi Arabia What Game")</f>
        <v>DPR Appreciates Jokowi's five steps to anticipate the recession of Raul Lemos Messigreatest All Time World Champion All France Argentina French Pildun Argentina Maria Emi Martinez What Final Saudi Arabia What Game</v>
      </c>
    </row>
    <row r="12399" ht="15.75" customHeight="1">
      <c r="A12399" s="1">
        <v>13677.0</v>
      </c>
      <c r="B12399" s="3" t="s">
        <v>35161</v>
      </c>
      <c r="C12399" s="3">
        <v>0.0</v>
      </c>
      <c r="D12399" s="3">
        <v>0.0</v>
      </c>
      <c r="E12399" s="3">
        <v>2.0</v>
      </c>
      <c r="F12399" s="3" t="s">
        <v>35162</v>
      </c>
      <c r="G12399" s="3">
        <v>0.0</v>
      </c>
      <c r="H12399" s="3">
        <v>0.0</v>
      </c>
      <c r="I12399" s="3" t="s">
        <v>13</v>
      </c>
      <c r="J12399" s="3" t="s">
        <v>35163</v>
      </c>
      <c r="K12399" s="3" t="s">
        <v>433</v>
      </c>
      <c r="L12399" s="3" t="str">
        <f>IFERROR(__xludf.DUMMYFUNCTION("GOOGLETRANSLATE(F12399,""id"",""en"")"),"Although today is more hours for heart exercises with Argentina but Argentina is very suitable for this FIFA champion")</f>
        <v>Although today is more hours for heart exercises with Argentina but Argentina is very suitable for this FIFA champion</v>
      </c>
    </row>
    <row r="12400" ht="15.75" customHeight="1">
      <c r="A12400" s="1">
        <v>13678.0</v>
      </c>
      <c r="B12400" s="3" t="s">
        <v>35164</v>
      </c>
      <c r="C12400" s="3">
        <v>1.0</v>
      </c>
      <c r="D12400" s="3">
        <v>0.0</v>
      </c>
      <c r="E12400" s="3">
        <v>0.0</v>
      </c>
      <c r="F12400" s="3" t="s">
        <v>35165</v>
      </c>
      <c r="G12400" s="3">
        <v>0.8333333333333334</v>
      </c>
      <c r="H12400" s="3">
        <v>0.04166666666666666</v>
      </c>
      <c r="I12400" s="3" t="s">
        <v>48</v>
      </c>
      <c r="J12400" s="3" t="s">
        <v>35166</v>
      </c>
      <c r="K12400" s="3" t="s">
        <v>3882</v>
      </c>
      <c r="L12400" s="3" t="str">
        <f>IFERROR(__xludf.DUMMYFUNCTION("GOOGLETRANSLATE(F12400,""id"",""en"")"),"Compared to the previous final, the final is really exciting, Bin Gokil is made deg until the last point is right the finalist is worthy")</f>
        <v>Compared to the previous final, the final is really exciting, Bin Gokil is made deg until the last point is right the finalist is worthy</v>
      </c>
    </row>
    <row r="12401" ht="15.75" customHeight="1">
      <c r="A12401" s="1">
        <v>13679.0</v>
      </c>
      <c r="B12401" s="3" t="s">
        <v>35167</v>
      </c>
      <c r="C12401" s="3">
        <v>0.0</v>
      </c>
      <c r="D12401" s="3">
        <v>0.0</v>
      </c>
      <c r="E12401" s="3">
        <v>0.0</v>
      </c>
      <c r="F12401" s="3" t="s">
        <v>35168</v>
      </c>
      <c r="G12401" s="3">
        <v>0.0</v>
      </c>
      <c r="H12401" s="3">
        <v>0.0</v>
      </c>
      <c r="I12401" s="3" t="s">
        <v>13</v>
      </c>
      <c r="J12401" s="3" t="s">
        <v>35169</v>
      </c>
      <c r="K12401" s="3" t="s">
        <v>31</v>
      </c>
      <c r="L12401" s="3" t="str">
        <f>IFERROR(__xludf.DUMMYFUNCTION("GOOGLETRANSLATE(F12401,""id"",""en"")"),"Argentina who won Ronaldo who was bullied")</f>
        <v>Argentina who won Ronaldo who was bullied</v>
      </c>
    </row>
    <row r="12402" ht="15.75" customHeight="1">
      <c r="A12402" s="1">
        <v>13680.0</v>
      </c>
      <c r="B12402" s="3" t="s">
        <v>35170</v>
      </c>
      <c r="C12402" s="3">
        <v>2.0</v>
      </c>
      <c r="D12402" s="3">
        <v>4.0</v>
      </c>
      <c r="E12402" s="3">
        <v>67.0</v>
      </c>
      <c r="F12402" s="3" t="s">
        <v>35171</v>
      </c>
      <c r="G12402" s="3">
        <v>0.0</v>
      </c>
      <c r="H12402" s="3">
        <v>0.0</v>
      </c>
      <c r="I12402" s="3" t="s">
        <v>13</v>
      </c>
      <c r="J12402" s="3" t="s">
        <v>35172</v>
      </c>
      <c r="K12402" s="3" t="s">
        <v>104</v>
      </c>
      <c r="L12402" s="3" t="str">
        <f>IFERROR(__xludf.DUMMYFUNCTION("GOOGLETRANSLATE(F12402,""id"",""en"")"),"Idn is the best prayer for Goat Messi the responsibility of the title with the Argentine national team has completed the World Cup Champion Champion Copa America Champion Champion Finalalizing Champion World Cup")</f>
        <v>Idn is the best prayer for Goat Messi the responsibility of the title with the Argentine national team has completed the World Cup Champion Champion Copa America Champion Champion Finalalizing Champion World Cup</v>
      </c>
    </row>
    <row r="12403" ht="15.75" customHeight="1">
      <c r="A12403" s="1">
        <v>13681.0</v>
      </c>
      <c r="B12403" s="3" t="s">
        <v>35173</v>
      </c>
      <c r="C12403" s="3">
        <v>0.0</v>
      </c>
      <c r="D12403" s="3">
        <v>0.0</v>
      </c>
      <c r="E12403" s="3">
        <v>0.0</v>
      </c>
      <c r="F12403" s="3" t="s">
        <v>35174</v>
      </c>
      <c r="G12403" s="3">
        <v>0.0</v>
      </c>
      <c r="H12403" s="3">
        <v>0.0</v>
      </c>
      <c r="I12403" s="3" t="s">
        <v>13</v>
      </c>
      <c r="J12403" s="3" t="s">
        <v>35175</v>
      </c>
      <c r="K12403" s="3" t="s">
        <v>31</v>
      </c>
      <c r="L12403" s="3" t="str">
        <f>IFERROR(__xludf.DUMMYFUNCTION("GOOGLETRANSLATE(F12403,""id"",""en"")"),"Argentina's Best World Cup Champion")</f>
        <v>Argentina's Best World Cup Champion</v>
      </c>
    </row>
    <row r="12404" ht="15.75" customHeight="1">
      <c r="A12404" s="1">
        <v>13682.0</v>
      </c>
      <c r="B12404" s="3" t="s">
        <v>35176</v>
      </c>
      <c r="C12404" s="3">
        <v>0.0</v>
      </c>
      <c r="D12404" s="3">
        <v>0.0</v>
      </c>
      <c r="E12404" s="3">
        <v>0.0</v>
      </c>
      <c r="F12404" s="3" t="s">
        <v>35177</v>
      </c>
      <c r="G12404" s="3">
        <v>0.55</v>
      </c>
      <c r="H12404" s="3">
        <v>0.35</v>
      </c>
      <c r="I12404" s="3" t="s">
        <v>48</v>
      </c>
      <c r="J12404" s="3" t="s">
        <v>35178</v>
      </c>
      <c r="K12404" s="3" t="s">
        <v>1045</v>
      </c>
      <c r="L12404" s="3" t="str">
        <f>IFERROR(__xludf.DUMMYFUNCTION("GOOGLETRANSLATE(F12404,""id"",""en"")"),"Argentina Champion World Cup After Beating France Messi Retired Full Smile Ronaldo Crossing Messi World Champion Dybala Madrid Maradona Kolo Muani Lloris Dembele Mbappe")</f>
        <v>Argentina Champion World Cup After Beating France Messi Retired Full Smile Ronaldo Crossing Messi World Champion Dybala Madrid Maradona Kolo Muani Lloris Dembele Mbappe</v>
      </c>
    </row>
    <row r="12405" ht="15.75" customHeight="1">
      <c r="A12405" s="1">
        <v>13683.0</v>
      </c>
      <c r="B12405" s="3" t="s">
        <v>35179</v>
      </c>
      <c r="C12405" s="3">
        <v>0.0</v>
      </c>
      <c r="D12405" s="3">
        <v>0.0</v>
      </c>
      <c r="E12405" s="3">
        <v>0.0</v>
      </c>
      <c r="F12405" s="3" t="s">
        <v>35180</v>
      </c>
      <c r="G12405" s="3">
        <v>0.0</v>
      </c>
      <c r="H12405" s="3">
        <v>0.0</v>
      </c>
      <c r="I12405" s="3" t="s">
        <v>13</v>
      </c>
      <c r="J12405" s="3" t="s">
        <v>35181</v>
      </c>
      <c r="K12405" s="3" t="s">
        <v>54</v>
      </c>
      <c r="L12405" s="3" t="str">
        <f>IFERROR(__xludf.DUMMYFUNCTION("GOOGLETRANSLATE(F12405,""id"",""en"")"),"Vamos Argentina Dam Yedam Your Champion Champion")</f>
        <v>Vamos Argentina Dam Yedam Your Champion Champion</v>
      </c>
    </row>
    <row r="12406" ht="15.75" customHeight="1">
      <c r="A12406" s="1">
        <v>13685.0</v>
      </c>
      <c r="B12406" s="3" t="s">
        <v>35182</v>
      </c>
      <c r="C12406" s="3">
        <v>1.0</v>
      </c>
      <c r="D12406" s="3">
        <v>0.0</v>
      </c>
      <c r="E12406" s="3">
        <v>0.0</v>
      </c>
      <c r="F12406" s="3" t="s">
        <v>35183</v>
      </c>
      <c r="G12406" s="3">
        <v>0.0</v>
      </c>
      <c r="H12406" s="3">
        <v>0.0</v>
      </c>
      <c r="I12406" s="3" t="s">
        <v>13</v>
      </c>
      <c r="J12406" s="3" t="s">
        <v>35184</v>
      </c>
      <c r="K12406" s="3" t="s">
        <v>1265</v>
      </c>
      <c r="L12406" s="3" t="str">
        <f>IFERROR(__xludf.DUMMYFUNCTION("GOOGLETRANSLATE(F12406,""id"",""en"")"),"Morocco won thanks to the prayer of Argentina's mother champion thanks to the prayer of Pope Broo")</f>
        <v>Morocco won thanks to the prayer of Argentina's mother champion thanks to the prayer of Pope Broo</v>
      </c>
    </row>
    <row r="12407" ht="15.75" customHeight="1">
      <c r="A12407" s="1">
        <v>13686.0</v>
      </c>
      <c r="B12407" s="3" t="s">
        <v>35185</v>
      </c>
      <c r="C12407" s="3">
        <v>1.0</v>
      </c>
      <c r="D12407" s="3">
        <v>1.0</v>
      </c>
      <c r="E12407" s="3">
        <v>0.0</v>
      </c>
      <c r="F12407" s="3" t="s">
        <v>35186</v>
      </c>
      <c r="G12407" s="3">
        <v>0.0</v>
      </c>
      <c r="H12407" s="3">
        <v>0.0</v>
      </c>
      <c r="I12407" s="3" t="s">
        <v>13</v>
      </c>
      <c r="J12407" s="3" t="s">
        <v>35187</v>
      </c>
      <c r="K12407" s="3" t="s">
        <v>149</v>
      </c>
      <c r="L12407" s="3" t="str">
        <f>IFERROR(__xludf.DUMMYFUNCTION("GOOGLETRANSLATE(F12407,""id"",""en"")"),"Sharing Tyler's Story Update Argentina won the world champion for the third time the team made by Lionel Scaloni managed to beat France in a very dramatic match")</f>
        <v>Sharing Tyler's Story Update Argentina won the world champion for the third time the team made by Lionel Scaloni managed to beat France in a very dramatic match</v>
      </c>
    </row>
    <row r="12408" ht="15.75" customHeight="1">
      <c r="A12408" s="1">
        <v>13687.0</v>
      </c>
      <c r="B12408" s="3" t="s">
        <v>35188</v>
      </c>
      <c r="C12408" s="3">
        <v>0.0</v>
      </c>
      <c r="D12408" s="3">
        <v>0.0</v>
      </c>
      <c r="E12408" s="3">
        <v>1.0</v>
      </c>
      <c r="F12408" s="3" t="s">
        <v>35189</v>
      </c>
      <c r="G12408" s="3">
        <v>1.0</v>
      </c>
      <c r="H12408" s="3">
        <v>1.0</v>
      </c>
      <c r="I12408" s="3" t="s">
        <v>48</v>
      </c>
      <c r="J12408" s="3" t="s">
        <v>35190</v>
      </c>
      <c r="K12408" s="3" t="s">
        <v>456</v>
      </c>
      <c r="L12408" s="3" t="str">
        <f>IFERROR(__xludf.DUMMYFUNCTION("GOOGLETRANSLATE(F12408,""id"",""en"")"),"Mario Kempes Diego Maradona Lionel Messi Bintang player brought Argentina to win the World Cup but of the three stars remain the best goat Messi with a myriad of achievements both in Club and the Argentine Greatest All Time national team")</f>
        <v>Mario Kempes Diego Maradona Lionel Messi Bintang player brought Argentina to win the World Cup but of the three stars remain the best goat Messi with a myriad of achievements both in Club and the Argentine Greatest All Time national team</v>
      </c>
    </row>
    <row r="12409" ht="15.75" customHeight="1">
      <c r="A12409" s="1">
        <v>13688.0</v>
      </c>
      <c r="B12409" s="3" t="s">
        <v>35191</v>
      </c>
      <c r="C12409" s="3">
        <v>0.0</v>
      </c>
      <c r="D12409" s="3">
        <v>1.0</v>
      </c>
      <c r="E12409" s="3">
        <v>3.0</v>
      </c>
      <c r="F12409" s="3" t="s">
        <v>32966</v>
      </c>
      <c r="G12409" s="3">
        <v>0.0</v>
      </c>
      <c r="H12409" s="3">
        <v>0.0</v>
      </c>
      <c r="I12409" s="3" t="s">
        <v>13</v>
      </c>
      <c r="J12409" s="3" t="s">
        <v>32967</v>
      </c>
      <c r="K12409" s="3" t="s">
        <v>31</v>
      </c>
      <c r="L12409" s="3" t="str">
        <f>IFERROR(__xludf.DUMMYFUNCTION("GOOGLETRANSLATE(F12409,""id"",""en"")"),"Drama Argentina World Cup Champion")</f>
        <v>Drama Argentina World Cup Champion</v>
      </c>
    </row>
    <row r="12410" ht="15.75" customHeight="1">
      <c r="A12410" s="1">
        <v>13689.0</v>
      </c>
      <c r="B12410" s="3" t="s">
        <v>35192</v>
      </c>
      <c r="C12410" s="3">
        <v>0.0</v>
      </c>
      <c r="D12410" s="3">
        <v>1.0</v>
      </c>
      <c r="E12410" s="3">
        <v>2.0</v>
      </c>
      <c r="F12410" s="3" t="s">
        <v>20413</v>
      </c>
      <c r="G12410" s="3">
        <v>0.0</v>
      </c>
      <c r="H12410" s="3">
        <v>0.0</v>
      </c>
      <c r="I12410" s="3" t="s">
        <v>13</v>
      </c>
      <c r="J12410" s="3" t="s">
        <v>20414</v>
      </c>
      <c r="K12410" s="3" t="s">
        <v>31</v>
      </c>
      <c r="L12410" s="3" t="str">
        <f>IFERROR(__xludf.DUMMYFUNCTION("GOOGLETRANSLATE(F12410,""id"",""en"")"),"SAH Argentina World Cup Champion")</f>
        <v>SAH Argentina World Cup Champion</v>
      </c>
    </row>
    <row r="12411" ht="15.75" customHeight="1">
      <c r="A12411" s="1">
        <v>13690.0</v>
      </c>
      <c r="B12411" s="3" t="s">
        <v>35193</v>
      </c>
      <c r="C12411" s="3">
        <v>0.0</v>
      </c>
      <c r="D12411" s="3">
        <v>0.0</v>
      </c>
      <c r="E12411" s="3">
        <v>0.0</v>
      </c>
      <c r="F12411" s="3" t="s">
        <v>35194</v>
      </c>
      <c r="G12411" s="3">
        <v>0.0</v>
      </c>
      <c r="H12411" s="3">
        <v>0.0</v>
      </c>
      <c r="I12411" s="3" t="s">
        <v>13</v>
      </c>
      <c r="J12411" s="3" t="s">
        <v>35195</v>
      </c>
      <c r="K12411" s="3" t="s">
        <v>131</v>
      </c>
      <c r="L12411" s="3" t="str">
        <f>IFERROR(__xludf.DUMMYFUNCTION("GOOGLETRANSLATE(F12411,""id"",""en"")"),"Argentina Champion World Cup Messi can retire with a beautiful achievement has been achieved all levels of the champion clubs are already many and the country is complete")</f>
        <v>Argentina Champion World Cup Messi can retire with a beautiful achievement has been achieved all levels of the champion clubs are already many and the country is complete</v>
      </c>
    </row>
    <row r="12412" ht="15.75" customHeight="1">
      <c r="A12412" s="1">
        <v>13691.0</v>
      </c>
      <c r="B12412" s="3" t="s">
        <v>35196</v>
      </c>
      <c r="C12412" s="3">
        <v>11.0</v>
      </c>
      <c r="D12412" s="3">
        <v>1.0</v>
      </c>
      <c r="E12412" s="3">
        <v>5.0</v>
      </c>
      <c r="F12412" s="3" t="s">
        <v>35197</v>
      </c>
      <c r="G12412" s="3">
        <v>0.0</v>
      </c>
      <c r="H12412" s="3">
        <v>0.0</v>
      </c>
      <c r="I12412" s="3" t="s">
        <v>13</v>
      </c>
      <c r="J12412" s="3" t="s">
        <v>35198</v>
      </c>
      <c r="K12412" s="3" t="s">
        <v>445</v>
      </c>
      <c r="L12412" s="3" t="str">
        <f>IFERROR(__xludf.DUMMYFUNCTION("GOOGLETRANSLATE(F12412,""id"",""en"")"),"Winning Pinalty's Adu is not a proud thing for Argentina Mesi Winning minutes Bru wins absolutely things that are still uncomfortable not to be abandoned with the world cup champion.")</f>
        <v>Winning Pinalty's Adu is not a proud thing for Argentina Mesi Winning minutes Bru wins absolutely things that are still uncomfortable not to be abandoned with the world cup champion.</v>
      </c>
    </row>
    <row r="12413" ht="15.75" customHeight="1">
      <c r="A12413" s="1">
        <v>13692.0</v>
      </c>
      <c r="B12413" s="3" t="s">
        <v>35199</v>
      </c>
      <c r="C12413" s="3">
        <v>0.0</v>
      </c>
      <c r="D12413" s="3">
        <v>0.0</v>
      </c>
      <c r="E12413" s="3">
        <v>0.0</v>
      </c>
      <c r="F12413" s="3" t="s">
        <v>35200</v>
      </c>
      <c r="G12413" s="3">
        <v>0.0</v>
      </c>
      <c r="H12413" s="3">
        <v>0.0</v>
      </c>
      <c r="I12413" s="3" t="s">
        <v>13</v>
      </c>
      <c r="J12413" s="3" t="s">
        <v>35201</v>
      </c>
      <c r="K12413" s="3" t="s">
        <v>358</v>
      </c>
      <c r="L12413" s="3" t="str">
        <f>IFERROR(__xludf.DUMMYFUNCTION("GOOGLETRANSLATE(F12413,""id"",""en"")"),"Mao was said to be a setting of KEK Mao, assisted by FIFA KEK BODO, very history, still writing and written Argentina World Cup champions")</f>
        <v>Mao was said to be a setting of KEK Mao, assisted by FIFA KEK BODO, very history, still writing and written Argentina World Cup champions</v>
      </c>
    </row>
    <row r="12414" ht="15.75" customHeight="1">
      <c r="A12414" s="1">
        <v>13693.0</v>
      </c>
      <c r="B12414" s="3" t="s">
        <v>35202</v>
      </c>
      <c r="C12414" s="3">
        <v>5.0</v>
      </c>
      <c r="D12414" s="3">
        <v>8.0</v>
      </c>
      <c r="E12414" s="3">
        <v>128.0</v>
      </c>
      <c r="F12414" s="3" t="s">
        <v>35203</v>
      </c>
      <c r="G12414" s="3">
        <v>0.0</v>
      </c>
      <c r="H12414" s="3">
        <v>0.0</v>
      </c>
      <c r="I12414" s="3" t="s">
        <v>13</v>
      </c>
      <c r="J12414" s="3" t="s">
        <v>35204</v>
      </c>
      <c r="K12414" s="3" t="s">
        <v>633</v>
      </c>
      <c r="L12414" s="3" t="str">
        <f>IFERROR(__xludf.DUMMYFUNCTION("GOOGLETRANSLATE(F12414,""id"",""en"")"),"Argentine President Alberto Fernandez uploaded a selfie photo with his wife Fabiola Yanez and the front child after Argentina won the World Cup")</f>
        <v>Argentine President Alberto Fernandez uploaded a selfie photo with his wife Fabiola Yanez and the front child after Argentina won the World Cup</v>
      </c>
    </row>
    <row r="12415" ht="15.75" customHeight="1">
      <c r="A12415" s="1">
        <v>13694.0</v>
      </c>
      <c r="B12415" s="3" t="s">
        <v>35205</v>
      </c>
      <c r="C12415" s="3">
        <v>4.0</v>
      </c>
      <c r="D12415" s="3">
        <v>0.0</v>
      </c>
      <c r="E12415" s="3">
        <v>1.0</v>
      </c>
      <c r="F12415" s="3" t="s">
        <v>35206</v>
      </c>
      <c r="G12415" s="3">
        <v>0.0</v>
      </c>
      <c r="H12415" s="3">
        <v>0.0</v>
      </c>
      <c r="I12415" s="3" t="s">
        <v>13</v>
      </c>
      <c r="J12415" s="3" t="s">
        <v>35207</v>
      </c>
      <c r="K12415" s="3" t="s">
        <v>54</v>
      </c>
      <c r="L12415" s="3" t="str">
        <f>IFERROR(__xludf.DUMMYFUNCTION("GOOGLETRANSLATE(F12415,""id"",""en"")"),"Argentina Champion Supporting Lord Laotaro Like")</f>
        <v>Argentina Champion Supporting Lord Laotaro Like</v>
      </c>
    </row>
    <row r="12416" ht="15.75" customHeight="1">
      <c r="A12416" s="1">
        <v>13695.0</v>
      </c>
      <c r="B12416" s="3" t="s">
        <v>35208</v>
      </c>
      <c r="C12416" s="3">
        <v>0.0</v>
      </c>
      <c r="D12416" s="3">
        <v>0.0</v>
      </c>
      <c r="E12416" s="3">
        <v>0.0</v>
      </c>
      <c r="F12416" s="3" t="s">
        <v>35209</v>
      </c>
      <c r="G12416" s="3">
        <v>0.0</v>
      </c>
      <c r="H12416" s="3">
        <v>0.0</v>
      </c>
      <c r="I12416" s="3" t="s">
        <v>13</v>
      </c>
      <c r="J12416" s="3" t="s">
        <v>35210</v>
      </c>
      <c r="K12416" s="3" t="s">
        <v>184</v>
      </c>
      <c r="L12416" s="3" t="str">
        <f>IFERROR(__xludf.DUMMYFUNCTION("GOOGLETRANSLATE(F12416,""id"",""en"")"),"Year Support Dsai Takla joined the development of the ball but the beginning of the worldcup I was Habaq Tok I am Argentina will be champions")</f>
        <v>Year Support Dsai Takla joined the development of the ball but the beginning of the worldcup I was Habaq Tok I am Argentina will be champions</v>
      </c>
    </row>
    <row r="12417" ht="15.75" customHeight="1">
      <c r="A12417" s="1">
        <v>13696.0</v>
      </c>
      <c r="B12417" s="3" t="s">
        <v>35211</v>
      </c>
      <c r="C12417" s="3">
        <v>0.0</v>
      </c>
      <c r="D12417" s="3">
        <v>0.0</v>
      </c>
      <c r="E12417" s="3">
        <v>0.0</v>
      </c>
      <c r="F12417" s="3" t="s">
        <v>35212</v>
      </c>
      <c r="G12417" s="3">
        <v>0.0</v>
      </c>
      <c r="H12417" s="3">
        <v>0.0</v>
      </c>
      <c r="I12417" s="3" t="s">
        <v>13</v>
      </c>
      <c r="J12417" s="3" t="s">
        <v>35213</v>
      </c>
      <c r="K12417" s="3" t="s">
        <v>644</v>
      </c>
      <c r="L12417" s="3" t="str">
        <f>IFERROR(__xludf.DUMMYFUNCTION("GOOGLETRANSLATE(F12417,""id"",""en"")"),"This makes you like Argentina World Champion")</f>
        <v>This makes you like Argentina World Champion</v>
      </c>
    </row>
    <row r="12418" ht="15.75" customHeight="1">
      <c r="A12418" s="1">
        <v>13697.0</v>
      </c>
      <c r="B12418" s="3" t="s">
        <v>35214</v>
      </c>
      <c r="C12418" s="3">
        <v>1.0</v>
      </c>
      <c r="D12418" s="3">
        <v>0.0</v>
      </c>
      <c r="E12418" s="3">
        <v>0.0</v>
      </c>
      <c r="F12418" s="3" t="s">
        <v>35215</v>
      </c>
      <c r="G12418" s="3">
        <v>0.0</v>
      </c>
      <c r="H12418" s="3">
        <v>0.0</v>
      </c>
      <c r="I12418" s="3" t="s">
        <v>13</v>
      </c>
      <c r="J12418" s="3" t="s">
        <v>35216</v>
      </c>
      <c r="K12418" s="3" t="s">
        <v>23</v>
      </c>
      <c r="L12418" s="3" t="str">
        <f>IFERROR(__xludf.DUMMYFUNCTION("GOOGLETRANSLATE(F12418,""id"",""en"")"),"Argentina Champion Uwes Happy Pol Pokoe Ngelingi Jek Little Melu Nangis Ndelok Batistuta Nangis Argentina Lose Gur Press Phase Group")</f>
        <v>Argentina Champion Uwes Happy Pol Pokoe Ngelingi Jek Little Melu Nangis Ndelok Batistuta Nangis Argentina Lose Gur Press Phase Group</v>
      </c>
    </row>
    <row r="12419" ht="15.75" customHeight="1">
      <c r="A12419" s="1">
        <v>13698.0</v>
      </c>
      <c r="B12419" s="3" t="s">
        <v>35217</v>
      </c>
      <c r="C12419" s="3">
        <v>0.0</v>
      </c>
      <c r="D12419" s="3">
        <v>0.0</v>
      </c>
      <c r="E12419" s="3">
        <v>0.0</v>
      </c>
      <c r="F12419" s="3" t="s">
        <v>35218</v>
      </c>
      <c r="G12419" s="3">
        <v>0.0</v>
      </c>
      <c r="H12419" s="3">
        <v>0.0</v>
      </c>
      <c r="I12419" s="3" t="s">
        <v>13</v>
      </c>
      <c r="J12419" s="3" t="s">
        <v>35219</v>
      </c>
      <c r="K12419" s="3" t="s">
        <v>15</v>
      </c>
      <c r="L12419" s="3" t="str">
        <f>IFERROR(__xludf.DUMMYFUNCTION("GOOGLETRANSLATE(F12419,""id"",""en"")"),"Congratulations Messi Misi Successful Argentina World Champion Day")</f>
        <v>Congratulations Messi Misi Successful Argentina World Champion Day</v>
      </c>
    </row>
    <row r="12420" ht="15.75" customHeight="1">
      <c r="A12420" s="1">
        <v>13699.0</v>
      </c>
      <c r="B12420" s="3" t="s">
        <v>35220</v>
      </c>
      <c r="C12420" s="3">
        <v>0.0</v>
      </c>
      <c r="D12420" s="3">
        <v>0.0</v>
      </c>
      <c r="E12420" s="3">
        <v>0.0</v>
      </c>
      <c r="F12420" s="3" t="s">
        <v>35221</v>
      </c>
      <c r="G12420" s="3">
        <v>0.0</v>
      </c>
      <c r="H12420" s="3">
        <v>0.0</v>
      </c>
      <c r="I12420" s="3" t="s">
        <v>13</v>
      </c>
      <c r="J12420" s="3" t="s">
        <v>35222</v>
      </c>
      <c r="K12420" s="3" t="s">
        <v>13682</v>
      </c>
      <c r="L12420" s="3" t="str">
        <f>IFERROR(__xludf.DUMMYFUNCTION("GOOGLETRANSLATE(F12420,""id"",""en"")"),"Argentina Champion Pilduun earlier nephew arrived to talk to my father and then asked the French Argentina opa to win where the father answered Opa, holding Argentina Pills even though he followed the early ball of IndiHome gegara got a ball broadcast")</f>
        <v>Argentina Champion Pilduun earlier nephew arrived to talk to my father and then asked the French Argentina opa to win where the father answered Opa, holding Argentina Pills even though he followed the early ball of IndiHome gegara got a ball broadcast</v>
      </c>
    </row>
    <row r="12421" ht="15.75" customHeight="1">
      <c r="A12421" s="1">
        <v>13700.0</v>
      </c>
      <c r="B12421" s="3" t="s">
        <v>35223</v>
      </c>
      <c r="C12421" s="3">
        <v>0.0</v>
      </c>
      <c r="D12421" s="3">
        <v>0.0</v>
      </c>
      <c r="E12421" s="3">
        <v>0.0</v>
      </c>
      <c r="F12421" s="3" t="s">
        <v>35224</v>
      </c>
      <c r="G12421" s="3">
        <v>0.0</v>
      </c>
      <c r="H12421" s="3">
        <v>0.0</v>
      </c>
      <c r="I12421" s="3" t="s">
        <v>13</v>
      </c>
      <c r="J12421" s="3" t="s">
        <v>35225</v>
      </c>
      <c r="K12421" s="3" t="s">
        <v>4236</v>
      </c>
      <c r="L12421" s="3" t="str">
        <f>IFERROR(__xludf.DUMMYFUNCTION("GOOGLETRANSLATE(F12421,""id"",""en"")"),"The results of Argentina French Argentina won penalty shootout and won the Argentine World Cup managed to win the World Cup after defeating France through a shootout")</f>
        <v>The results of Argentina French Argentina won penalty shootout and won the Argentine World Cup managed to win the World Cup after defeating France through a shootout</v>
      </c>
    </row>
    <row r="12422" ht="15.75" customHeight="1">
      <c r="A12422" s="1">
        <v>13701.0</v>
      </c>
      <c r="B12422" s="3" t="s">
        <v>35226</v>
      </c>
      <c r="C12422" s="3">
        <v>0.0</v>
      </c>
      <c r="D12422" s="3">
        <v>0.0</v>
      </c>
      <c r="E12422" s="3">
        <v>0.0</v>
      </c>
      <c r="F12422" s="3" t="s">
        <v>35227</v>
      </c>
      <c r="G12422" s="3">
        <v>0.0</v>
      </c>
      <c r="H12422" s="3">
        <v>0.0</v>
      </c>
      <c r="I12422" s="3" t="s">
        <v>13</v>
      </c>
      <c r="J12422" s="3" t="s">
        <v>35228</v>
      </c>
      <c r="K12422" s="3" t="s">
        <v>2610</v>
      </c>
      <c r="L12422" s="3" t="str">
        <f>IFERROR(__xludf.DUMMYFUNCTION("GOOGLETRANSLATE(F12422,""id"",""en"")"),"Redsindo, if the Mouni drawstick was not anticipated by Emi Martinez Bola Diflect, it could come back, but thankfully Argentina champions wkwk satisfied with dodo fans hihi")</f>
        <v>Redsindo, if the Mouni drawstick was not anticipated by Emi Martinez Bola Diflect, it could come back, but thankfully Argentina champions wkwk satisfied with dodo fans hihi</v>
      </c>
    </row>
    <row r="12423" ht="15.75" customHeight="1">
      <c r="A12423" s="1">
        <v>13702.0</v>
      </c>
      <c r="B12423" s="3" t="s">
        <v>35229</v>
      </c>
      <c r="C12423" s="3">
        <v>0.0</v>
      </c>
      <c r="D12423" s="3">
        <v>0.0</v>
      </c>
      <c r="E12423" s="3">
        <v>0.0</v>
      </c>
      <c r="F12423" s="3" t="s">
        <v>35230</v>
      </c>
      <c r="G12423" s="3">
        <v>0.0</v>
      </c>
      <c r="H12423" s="3">
        <v>0.0</v>
      </c>
      <c r="I12423" s="3" t="s">
        <v>13</v>
      </c>
      <c r="J12423" s="3" t="s">
        <v>35231</v>
      </c>
      <c r="K12423" s="3" t="s">
        <v>75</v>
      </c>
      <c r="L12423" s="3" t="str">
        <f>IFERROR(__xludf.DUMMYFUNCTION("GOOGLETRANSLATE(F12423,""id"",""en"")"),"Argentina Champion against France Different Stories When Meeting Saudi Arabia")</f>
        <v>Argentina Champion against France Different Stories When Meeting Saudi Arabia</v>
      </c>
    </row>
    <row r="12424" ht="15.75" customHeight="1">
      <c r="A12424" s="1">
        <v>13703.0</v>
      </c>
      <c r="B12424" s="3" t="s">
        <v>35232</v>
      </c>
      <c r="C12424" s="3">
        <v>0.0</v>
      </c>
      <c r="D12424" s="3">
        <v>0.0</v>
      </c>
      <c r="E12424" s="3">
        <v>0.0</v>
      </c>
      <c r="F12424" s="3" t="s">
        <v>35233</v>
      </c>
      <c r="G12424" s="3">
        <v>0.0</v>
      </c>
      <c r="H12424" s="3">
        <v>0.0</v>
      </c>
      <c r="I12424" s="3" t="s">
        <v>13</v>
      </c>
      <c r="J12424" s="3" t="s">
        <v>35234</v>
      </c>
      <c r="K12424" s="3" t="s">
        <v>205</v>
      </c>
      <c r="L12424" s="3" t="str">
        <f>IFERROR(__xludf.DUMMYFUNCTION("GOOGLETRANSLATE(F12424,""id"",""en"")"),"Argentina French Croatia is the team that occupies the Qatar World Cup podium for the first time after the team's year outside the European continent successfully became world champion")</f>
        <v>Argentina French Croatia is the team that occupies the Qatar World Cup podium for the first time after the team's year outside the European continent successfully became world champion</v>
      </c>
    </row>
    <row r="12425" ht="15.75" customHeight="1">
      <c r="A12425" s="1">
        <v>13704.0</v>
      </c>
      <c r="B12425" s="3" t="s">
        <v>35235</v>
      </c>
      <c r="C12425" s="3">
        <v>2.0</v>
      </c>
      <c r="D12425" s="3">
        <v>11.0</v>
      </c>
      <c r="E12425" s="3">
        <v>82.0</v>
      </c>
      <c r="F12425" s="3" t="s">
        <v>35236</v>
      </c>
      <c r="G12425" s="3">
        <v>0.0</v>
      </c>
      <c r="H12425" s="3">
        <v>0.0</v>
      </c>
      <c r="I12425" s="3" t="s">
        <v>13</v>
      </c>
      <c r="J12425" s="3" t="s">
        <v>35237</v>
      </c>
      <c r="K12425" s="3" t="s">
        <v>16671</v>
      </c>
      <c r="L12425" s="3" t="str">
        <f>IFERROR(__xludf.DUMMYFUNCTION("GOOGLETRANSLATE(F12425,""id"",""en"")"),"Playlist Song Winning Are The Champion Stand For The Champion Campeones Ole Ole Dale Campeon Let's Start to normalize Dale Campeon Singing if the XIXIXI Dale Campeon Argentina championship event")</f>
        <v>Playlist Song Winning Are The Champion Stand For The Champion Campeones Ole Ole Dale Campeon Let's Start to normalize Dale Campeon Singing if the XIXIXI Dale Campeon Argentina championship event</v>
      </c>
    </row>
    <row r="12426" ht="15.75" customHeight="1">
      <c r="A12426" s="1">
        <v>13705.0</v>
      </c>
      <c r="B12426" s="3" t="s">
        <v>35238</v>
      </c>
      <c r="C12426" s="3">
        <v>0.0</v>
      </c>
      <c r="D12426" s="3">
        <v>1.0</v>
      </c>
      <c r="E12426" s="3">
        <v>1.0</v>
      </c>
      <c r="F12426" s="3" t="s">
        <v>35239</v>
      </c>
      <c r="G12426" s="3">
        <v>1.0</v>
      </c>
      <c r="H12426" s="3">
        <v>0.5</v>
      </c>
      <c r="I12426" s="3" t="s">
        <v>48</v>
      </c>
      <c r="J12426" s="3" t="s">
        <v>35240</v>
      </c>
      <c r="K12426" s="3" t="s">
        <v>15</v>
      </c>
      <c r="L12426" s="3" t="str">
        <f>IFERROR(__xludf.DUMMYFUNCTION("GOOGLETRANSLATE(F12426,""id"",""en"")"),"Crying Argentine Champion Words WHAT PERFECT Final")</f>
        <v>Crying Argentine Champion Words WHAT PERFECT Final</v>
      </c>
    </row>
    <row r="12427" ht="15.75" customHeight="1">
      <c r="A12427" s="1">
        <v>13706.0</v>
      </c>
      <c r="B12427" s="3" t="s">
        <v>35241</v>
      </c>
      <c r="C12427" s="3">
        <v>0.0</v>
      </c>
      <c r="D12427" s="3">
        <v>0.0</v>
      </c>
      <c r="E12427" s="3">
        <v>0.0</v>
      </c>
      <c r="F12427" s="3" t="s">
        <v>35242</v>
      </c>
      <c r="G12427" s="3">
        <v>0.0</v>
      </c>
      <c r="H12427" s="3">
        <v>0.0</v>
      </c>
      <c r="I12427" s="3" t="s">
        <v>13</v>
      </c>
      <c r="J12427" s="3" t="s">
        <v>35243</v>
      </c>
      <c r="K12427" s="3" t="s">
        <v>15</v>
      </c>
      <c r="L12427" s="3" t="str">
        <f>IFERROR(__xludf.DUMMYFUNCTION("GOOGLETRANSLATE(F12427,""id"",""en"")"),"Want Argentina or France who wins you still you win in my heart")</f>
        <v>Want Argentina or France who wins you still you win in my heart</v>
      </c>
    </row>
    <row r="12428" ht="15.75" customHeight="1">
      <c r="A12428" s="1">
        <v>13707.0</v>
      </c>
      <c r="B12428" s="3" t="s">
        <v>35244</v>
      </c>
      <c r="C12428" s="3">
        <v>0.0</v>
      </c>
      <c r="D12428" s="3">
        <v>0.0</v>
      </c>
      <c r="E12428" s="3">
        <v>0.0</v>
      </c>
      <c r="F12428" s="3" t="s">
        <v>35245</v>
      </c>
      <c r="G12428" s="3">
        <v>0.0</v>
      </c>
      <c r="H12428" s="3">
        <v>0.0</v>
      </c>
      <c r="I12428" s="3" t="s">
        <v>13</v>
      </c>
      <c r="J12428" s="3" t="s">
        <v>35246</v>
      </c>
      <c r="K12428" s="3" t="s">
        <v>15</v>
      </c>
      <c r="L12428" s="3" t="str">
        <f>IFERROR(__xludf.DUMMYFUNCTION("GOOGLETRANSLATE(F12428,""id"",""en"")"),"A title lost to Arabic Argentina to become a world champion")</f>
        <v>A title lost to Arabic Argentina to become a world champion</v>
      </c>
    </row>
    <row r="12429" ht="15.75" customHeight="1">
      <c r="A12429" s="1">
        <v>13708.0</v>
      </c>
      <c r="B12429" s="3" t="s">
        <v>35247</v>
      </c>
      <c r="C12429" s="3">
        <v>1.0</v>
      </c>
      <c r="D12429" s="3">
        <v>0.0</v>
      </c>
      <c r="E12429" s="3">
        <v>0.0</v>
      </c>
      <c r="F12429" s="3" t="s">
        <v>35248</v>
      </c>
      <c r="G12429" s="3">
        <v>0.0</v>
      </c>
      <c r="H12429" s="3">
        <v>0.0</v>
      </c>
      <c r="I12429" s="3" t="s">
        <v>13</v>
      </c>
      <c r="J12429" s="3" t="s">
        <v>35249</v>
      </c>
      <c r="K12429" s="3" t="s">
        <v>437</v>
      </c>
      <c r="L12429" s="3" t="str">
        <f>IFERROR(__xludf.DUMMYFUNCTION("GOOGLETRANSLATE(F12429,""id"",""en"")"),"Argentina succeeded in champion again after the year and Messi successfully completed football with all the prestigious titles at the club level and the country he had gotten")</f>
        <v>Argentina succeeded in champion again after the year and Messi successfully completed football with all the prestigious titles at the club level and the country he had gotten</v>
      </c>
    </row>
    <row r="12430" ht="15.75" customHeight="1">
      <c r="A12430" s="1">
        <v>13709.0</v>
      </c>
      <c r="B12430" s="3" t="s">
        <v>35250</v>
      </c>
      <c r="C12430" s="3">
        <v>0.0</v>
      </c>
      <c r="D12430" s="3">
        <v>0.0</v>
      </c>
      <c r="E12430" s="3">
        <v>0.0</v>
      </c>
      <c r="F12430" s="3" t="s">
        <v>35251</v>
      </c>
      <c r="G12430" s="3">
        <v>0.5</v>
      </c>
      <c r="H12430" s="3">
        <v>0.3</v>
      </c>
      <c r="I12430" s="3" t="s">
        <v>48</v>
      </c>
      <c r="J12430" s="3" t="s">
        <v>35252</v>
      </c>
      <c r="K12430" s="3" t="s">
        <v>657</v>
      </c>
      <c r="L12430" s="3" t="str">
        <f>IFERROR(__xludf.DUMMYFUNCTION("GOOGLETRANSLATE(F12430,""id"",""en"")"),"Between the Argentine national team champion World Cup Lionel Messi became the first player to sabet the Golden Ball award")</f>
        <v>Between the Argentine national team champion World Cup Lionel Messi became the first player to sabet the Golden Ball award</v>
      </c>
    </row>
    <row r="12431" ht="15.75" customHeight="1">
      <c r="A12431" s="1">
        <v>13710.0</v>
      </c>
      <c r="B12431" s="3" t="s">
        <v>35253</v>
      </c>
      <c r="C12431" s="3">
        <v>0.0</v>
      </c>
      <c r="D12431" s="3">
        <v>0.0</v>
      </c>
      <c r="E12431" s="3">
        <v>0.0</v>
      </c>
      <c r="F12431" s="3" t="s">
        <v>35254</v>
      </c>
      <c r="G12431" s="3">
        <v>0.0</v>
      </c>
      <c r="H12431" s="3">
        <v>0.0</v>
      </c>
      <c r="I12431" s="3" t="s">
        <v>13</v>
      </c>
      <c r="J12431" s="3" t="s">
        <v>35255</v>
      </c>
      <c r="K12431" s="3" t="s">
        <v>75</v>
      </c>
      <c r="L12431" s="3" t="str">
        <f>IFERROR(__xludf.DUMMYFUNCTION("GOOGLETRANSLATE(F12431,""id"",""en"")"),"Great that Saudi Arabia once defeated Argentina's BTW Congratulations world champion")</f>
        <v>Great that Saudi Arabia once defeated Argentina's BTW Congratulations world champion</v>
      </c>
    </row>
    <row r="12432" ht="15.75" customHeight="1">
      <c r="A12432" s="1">
        <v>13711.0</v>
      </c>
      <c r="B12432" s="3" t="s">
        <v>35256</v>
      </c>
      <c r="C12432" s="3">
        <v>0.0</v>
      </c>
      <c r="D12432" s="3">
        <v>2.0</v>
      </c>
      <c r="E12432" s="3">
        <v>11.0</v>
      </c>
      <c r="F12432" s="3" t="s">
        <v>28260</v>
      </c>
      <c r="G12432" s="3">
        <v>0.0</v>
      </c>
      <c r="H12432" s="3">
        <v>0.0</v>
      </c>
      <c r="I12432" s="3" t="s">
        <v>13</v>
      </c>
      <c r="J12432" s="3" t="s">
        <v>28261</v>
      </c>
      <c r="K12432" s="3" t="s">
        <v>495</v>
      </c>
      <c r="L12432" s="3" t="str">
        <f>IFERROR(__xludf.DUMMYFUNCTION("GOOGLETRANSLATE(F12432,""id"",""en"")"),"Argentina's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433" ht="15.75" customHeight="1">
      <c r="A12433" s="1">
        <v>13712.0</v>
      </c>
      <c r="B12433" s="3" t="s">
        <v>35257</v>
      </c>
      <c r="C12433" s="3">
        <v>0.0</v>
      </c>
      <c r="D12433" s="3">
        <v>6.0</v>
      </c>
      <c r="E12433" s="3">
        <v>31.0</v>
      </c>
      <c r="F12433" s="3" t="s">
        <v>27945</v>
      </c>
      <c r="G12433" s="3">
        <v>0.0</v>
      </c>
      <c r="H12433" s="3">
        <v>0.0</v>
      </c>
      <c r="I12433" s="3" t="s">
        <v>13</v>
      </c>
      <c r="J12433" s="3" t="s">
        <v>27946</v>
      </c>
      <c r="K12433" s="3" t="s">
        <v>123</v>
      </c>
      <c r="L12433" s="3" t="str">
        <f>IFERROR(__xludf.DUMMYFUNCTION("GOOGLETRANSLATE(F12433,""id"",""en"")"),"Argentine captain Lionel Messi was finally able to perfect his career with the World Cup champion when lifting the Messi trophy so happy")</f>
        <v>Argentine captain Lionel Messi was finally able to perfect his career with the World Cup champion when lifting the Messi trophy so happy</v>
      </c>
    </row>
    <row r="12434" ht="15.75" customHeight="1">
      <c r="A12434" s="1">
        <v>13713.0</v>
      </c>
      <c r="B12434" s="3" t="s">
        <v>35258</v>
      </c>
      <c r="C12434" s="3">
        <v>0.0</v>
      </c>
      <c r="D12434" s="3">
        <v>0.0</v>
      </c>
      <c r="E12434" s="3">
        <v>1.0</v>
      </c>
      <c r="F12434" s="3" t="s">
        <v>26751</v>
      </c>
      <c r="G12434" s="3">
        <v>0.0</v>
      </c>
      <c r="H12434" s="3">
        <v>0.0</v>
      </c>
      <c r="I12434" s="3" t="s">
        <v>13</v>
      </c>
      <c r="J12434" s="3" t="s">
        <v>26752</v>
      </c>
      <c r="K12434" s="3" t="s">
        <v>82</v>
      </c>
      <c r="L12434" s="3" t="str">
        <f>IFERROR(__xludf.DUMMYFUNCTION("GOOGLETRANSLATE(F12434,""id"",""en"")"),"Defeat France Argentina Champion World Cup Qatar")</f>
        <v>Defeat France Argentina Champion World Cup Qatar</v>
      </c>
    </row>
    <row r="12435" ht="15.75" customHeight="1">
      <c r="A12435" s="1">
        <v>13714.0</v>
      </c>
      <c r="B12435" s="3" t="s">
        <v>35259</v>
      </c>
      <c r="C12435" s="3">
        <v>0.0</v>
      </c>
      <c r="D12435" s="3">
        <v>0.0</v>
      </c>
      <c r="E12435" s="3">
        <v>0.0</v>
      </c>
      <c r="F12435" s="3" t="s">
        <v>35260</v>
      </c>
      <c r="G12435" s="3">
        <v>0.0</v>
      </c>
      <c r="H12435" s="3">
        <v>0.0</v>
      </c>
      <c r="I12435" s="3" t="s">
        <v>13</v>
      </c>
      <c r="J12435" s="3" t="s">
        <v>35261</v>
      </c>
      <c r="K12435" s="3" t="s">
        <v>31</v>
      </c>
      <c r="L12435" s="3" t="str">
        <f>IFERROR(__xludf.DUMMYFUNCTION("GOOGLETRANSLATE(F12435,""id"",""en"")"),"can't sleep because of Argentina champions")</f>
        <v>can't sleep because of Argentina champions</v>
      </c>
    </row>
    <row r="12436" ht="15.75" customHeight="1">
      <c r="A12436" s="1">
        <v>13715.0</v>
      </c>
      <c r="B12436" s="3" t="s">
        <v>35262</v>
      </c>
      <c r="C12436" s="3">
        <v>0.0</v>
      </c>
      <c r="D12436" s="3">
        <v>0.0</v>
      </c>
      <c r="E12436" s="3">
        <v>1.0</v>
      </c>
      <c r="F12436" s="3" t="s">
        <v>35263</v>
      </c>
      <c r="G12436" s="3">
        <v>0.0</v>
      </c>
      <c r="H12436" s="3">
        <v>0.0</v>
      </c>
      <c r="I12436" s="3" t="s">
        <v>13</v>
      </c>
      <c r="J12436" s="3" t="s">
        <v>35264</v>
      </c>
      <c r="K12436" s="3" t="s">
        <v>1359</v>
      </c>
      <c r="L12436" s="3" t="str">
        <f>IFERROR(__xludf.DUMMYFUNCTION("GOOGLETRANSLATE(F12436,""id"",""en"")"),"Argentina The cool champion of Drake Drake Drake Drake Bacot KNTL")</f>
        <v>Argentina The cool champion of Drake Drake Drake Drake Bacot KNTL</v>
      </c>
    </row>
    <row r="12437" ht="15.75" customHeight="1">
      <c r="A12437" s="1">
        <v>13716.0</v>
      </c>
      <c r="B12437" s="3" t="s">
        <v>35265</v>
      </c>
      <c r="C12437" s="3">
        <v>0.0</v>
      </c>
      <c r="D12437" s="3">
        <v>0.0</v>
      </c>
      <c r="E12437" s="3">
        <v>2.0</v>
      </c>
      <c r="F12437" s="3" t="s">
        <v>25449</v>
      </c>
      <c r="G12437" s="3">
        <v>0.0</v>
      </c>
      <c r="H12437" s="3">
        <v>0.0</v>
      </c>
      <c r="I12437" s="3" t="s">
        <v>13</v>
      </c>
      <c r="J12437" s="3" t="s">
        <v>25450</v>
      </c>
      <c r="K12437" s="3" t="s">
        <v>15</v>
      </c>
      <c r="L12437" s="3" t="str">
        <f>IFERROR(__xludf.DUMMYFUNCTION("GOOGLETRANSLATE(F12437,""id"",""en"")"),"Tango Argentina Team Sabet Champion World Cup Qatar")</f>
        <v>Tango Argentina Team Sabet Champion World Cup Qatar</v>
      </c>
    </row>
    <row r="12438" ht="15.75" customHeight="1">
      <c r="A12438" s="1">
        <v>13717.0</v>
      </c>
      <c r="B12438" s="3" t="s">
        <v>35266</v>
      </c>
      <c r="C12438" s="3">
        <v>0.0</v>
      </c>
      <c r="D12438" s="3">
        <v>0.0</v>
      </c>
      <c r="E12438" s="3">
        <v>0.0</v>
      </c>
      <c r="F12438" s="3" t="s">
        <v>35267</v>
      </c>
      <c r="G12438" s="3">
        <v>0.0</v>
      </c>
      <c r="H12438" s="3">
        <v>0.0</v>
      </c>
      <c r="I12438" s="3" t="s">
        <v>13</v>
      </c>
      <c r="J12438" s="3" t="s">
        <v>35268</v>
      </c>
      <c r="K12438" s="3" t="s">
        <v>15</v>
      </c>
      <c r="L12438" s="3" t="str">
        <f>IFERROR(__xludf.DUMMYFUNCTION("GOOGLETRANSLATE(F12438,""id"",""en"")"),"Argentina Champion World Cup Lose France Penalties")</f>
        <v>Argentina Champion World Cup Lose France Penalties</v>
      </c>
    </row>
    <row r="12439" ht="15.75" customHeight="1">
      <c r="A12439" s="1">
        <v>13718.0</v>
      </c>
      <c r="B12439" s="3" t="s">
        <v>35269</v>
      </c>
      <c r="C12439" s="3">
        <v>0.0</v>
      </c>
      <c r="D12439" s="3">
        <v>0.0</v>
      </c>
      <c r="E12439" s="3">
        <v>0.0</v>
      </c>
      <c r="F12439" s="3" t="s">
        <v>35270</v>
      </c>
      <c r="G12439" s="3">
        <v>0.0</v>
      </c>
      <c r="H12439" s="3">
        <v>0.0</v>
      </c>
      <c r="I12439" s="3" t="s">
        <v>13</v>
      </c>
      <c r="J12439" s="3" t="s">
        <v>35271</v>
      </c>
      <c r="K12439" s="3" t="s">
        <v>35272</v>
      </c>
      <c r="L12439" s="3" t="str">
        <f>IFERROR(__xludf.DUMMYFUNCTION("GOOGLETRANSLATE(F12439,""id"",""en"")"),"yr Argentina klah opponents Ale Argentina klah opponents Ale in Argentina because of the opponent Uruguay now the Argentine Argenty Adu Mrs. MRSA French won the Pinalty fighting")</f>
        <v>yr Argentina klah opponents Ale Argentina klah opponents Ale in Argentina because of the opponent Uruguay now the Argentine Argenty Adu Mrs. MRSA French won the Pinalty fighting</v>
      </c>
    </row>
    <row r="12440" ht="15.75" customHeight="1">
      <c r="A12440" s="1">
        <v>13719.0</v>
      </c>
      <c r="B12440" s="3" t="s">
        <v>35273</v>
      </c>
      <c r="C12440" s="3">
        <v>0.0</v>
      </c>
      <c r="D12440" s="3">
        <v>0.0</v>
      </c>
      <c r="E12440" s="3">
        <v>0.0</v>
      </c>
      <c r="F12440" s="3" t="s">
        <v>35274</v>
      </c>
      <c r="G12440" s="3">
        <v>0.0</v>
      </c>
      <c r="H12440" s="3">
        <v>0.0</v>
      </c>
      <c r="I12440" s="3" t="s">
        <v>13</v>
      </c>
      <c r="J12440" s="3" t="s">
        <v>35275</v>
      </c>
      <c r="K12440" s="3" t="s">
        <v>35</v>
      </c>
      <c r="L12440" s="3" t="str">
        <f>IFERROR(__xludf.DUMMYFUNCTION("GOOGLETRANSLATE(F12440,""id"",""en"")"),"Argentina The prize champion is deducted by the Tax Coach for the Cost of the Government Cost of Transportation, especially")</f>
        <v>Argentina The prize champion is deducted by the Tax Coach for the Cost of the Government Cost of Transportation, especially</v>
      </c>
    </row>
    <row r="12441" ht="15.75" customHeight="1">
      <c r="A12441" s="1">
        <v>13720.0</v>
      </c>
      <c r="B12441" s="3" t="s">
        <v>35276</v>
      </c>
      <c r="C12441" s="3">
        <v>0.0</v>
      </c>
      <c r="D12441" s="3">
        <v>0.0</v>
      </c>
      <c r="E12441" s="3">
        <v>0.0</v>
      </c>
      <c r="F12441" s="3" t="s">
        <v>35277</v>
      </c>
      <c r="G12441" s="3">
        <v>0.0</v>
      </c>
      <c r="H12441" s="3">
        <v>0.0</v>
      </c>
      <c r="I12441" s="3" t="s">
        <v>13</v>
      </c>
      <c r="J12441" s="3" t="s">
        <v>35278</v>
      </c>
      <c r="K12441" s="3" t="s">
        <v>82</v>
      </c>
      <c r="L12441" s="3" t="str">
        <f>IFERROR(__xludf.DUMMYFUNCTION("GOOGLETRANSLATE(F12441,""id"",""en"")"),"Breaking News Argentina Semarang World Cup Champion")</f>
        <v>Breaking News Argentina Semarang World Cup Champion</v>
      </c>
    </row>
    <row r="12442" ht="15.75" customHeight="1">
      <c r="A12442" s="1">
        <v>13721.0</v>
      </c>
      <c r="B12442" s="3" t="s">
        <v>35279</v>
      </c>
      <c r="C12442" s="3">
        <v>0.0</v>
      </c>
      <c r="D12442" s="3">
        <v>0.0</v>
      </c>
      <c r="E12442" s="3">
        <v>0.0</v>
      </c>
      <c r="F12442" s="3" t="s">
        <v>35280</v>
      </c>
      <c r="G12442" s="3">
        <v>0.0</v>
      </c>
      <c r="H12442" s="3">
        <v>0.0</v>
      </c>
      <c r="I12442" s="3" t="s">
        <v>13</v>
      </c>
      <c r="J12442" s="3" t="s">
        <v>35281</v>
      </c>
      <c r="K12442" s="3" t="s">
        <v>82</v>
      </c>
      <c r="L12442" s="3" t="str">
        <f>IFERROR(__xludf.DUMMYFUNCTION("GOOGLETRANSLATE(F12442,""id"",""en"")"),"My Hopeless Tweet Delivering Argentina to Champion Damn")</f>
        <v>My Hopeless Tweet Delivering Argentina to Champion Damn</v>
      </c>
    </row>
    <row r="12443" ht="15.75" customHeight="1">
      <c r="A12443" s="1">
        <v>13722.0</v>
      </c>
      <c r="B12443" s="3" t="s">
        <v>35282</v>
      </c>
      <c r="C12443" s="3">
        <v>0.0</v>
      </c>
      <c r="D12443" s="3">
        <v>0.0</v>
      </c>
      <c r="E12443" s="3">
        <v>0.0</v>
      </c>
      <c r="F12443" s="3" t="s">
        <v>35283</v>
      </c>
      <c r="G12443" s="3">
        <v>0.0</v>
      </c>
      <c r="H12443" s="3">
        <v>0.0</v>
      </c>
      <c r="I12443" s="3" t="s">
        <v>13</v>
      </c>
      <c r="J12443" s="3" t="s">
        <v>35284</v>
      </c>
      <c r="K12443" s="3" t="s">
        <v>35285</v>
      </c>
      <c r="L12443" s="3" t="str">
        <f>IFERROR(__xludf.DUMMYFUNCTION("GOOGLETRANSLATE(F12443,""id"",""en"")"),"from the concert Saturday afternoon until the night directly cuss the peak of the sleeping Sunday morning was dicated by ijar to become the chairman of the djavu back until the boarding house maghrib was upset")</f>
        <v>from the concert Saturday afternoon until the night directly cuss the peak of the sleeping Sunday morning was dicated by ijar to become the chairman of the djavu back until the boarding house maghrib was upset</v>
      </c>
    </row>
    <row r="12444" ht="15.75" customHeight="1">
      <c r="A12444" s="1">
        <v>13723.0</v>
      </c>
      <c r="B12444" s="3" t="s">
        <v>35286</v>
      </c>
      <c r="C12444" s="3">
        <v>0.0</v>
      </c>
      <c r="D12444" s="3">
        <v>0.0</v>
      </c>
      <c r="E12444" s="3">
        <v>0.0</v>
      </c>
      <c r="F12444" s="3" t="s">
        <v>35287</v>
      </c>
      <c r="G12444" s="3">
        <v>0.0</v>
      </c>
      <c r="H12444" s="3">
        <v>0.0</v>
      </c>
      <c r="I12444" s="3" t="s">
        <v>13</v>
      </c>
      <c r="J12444" s="3" t="s">
        <v>35288</v>
      </c>
      <c r="K12444" s="3" t="s">
        <v>15</v>
      </c>
      <c r="L12444" s="3" t="str">
        <f>IFERROR(__xludf.DUMMYFUNCTION("GOOGLETRANSLATE(F12444,""id"",""en"")"),"Argentina Champion Bsok Maju Kdpn LPNGAN PAS CEREMENT")</f>
        <v>Argentina Champion Bsok Maju Kdpn LPNGAN PAS CEREMENT</v>
      </c>
    </row>
    <row r="12445" ht="15.75" customHeight="1">
      <c r="A12445" s="1">
        <v>13724.0</v>
      </c>
      <c r="B12445" s="3" t="s">
        <v>35289</v>
      </c>
      <c r="C12445" s="3">
        <v>0.0</v>
      </c>
      <c r="D12445" s="3">
        <v>0.0</v>
      </c>
      <c r="E12445" s="3">
        <v>1.0</v>
      </c>
      <c r="F12445" s="3" t="s">
        <v>35290</v>
      </c>
      <c r="G12445" s="3">
        <v>0.0</v>
      </c>
      <c r="H12445" s="3">
        <v>0.0</v>
      </c>
      <c r="I12445" s="3" t="s">
        <v>13</v>
      </c>
      <c r="J12445" s="3" t="s">
        <v>35291</v>
      </c>
      <c r="K12445" s="3" t="s">
        <v>1097</v>
      </c>
      <c r="L12445" s="3" t="str">
        <f>IFERROR(__xludf.DUMMYFUNCTION("GOOGLETRANSLATE(F12445,""id"",""en"")"),"Biodata and Photos of Instagram Artist Linda Morelli World Champion")</f>
        <v>Biodata and Photos of Instagram Artist Linda Morelli World Champion</v>
      </c>
    </row>
    <row r="12446" ht="15.75" customHeight="1">
      <c r="A12446" s="1">
        <v>13725.0</v>
      </c>
      <c r="B12446" s="3" t="s">
        <v>35292</v>
      </c>
      <c r="C12446" s="3">
        <v>0.0</v>
      </c>
      <c r="D12446" s="3">
        <v>0.0</v>
      </c>
      <c r="E12446" s="3">
        <v>0.0</v>
      </c>
      <c r="F12446" s="3" t="s">
        <v>35293</v>
      </c>
      <c r="G12446" s="3">
        <v>0.0</v>
      </c>
      <c r="H12446" s="3">
        <v>0.0</v>
      </c>
      <c r="I12446" s="3" t="s">
        <v>13</v>
      </c>
      <c r="J12446" s="3" t="s">
        <v>35294</v>
      </c>
      <c r="K12446" s="3" t="s">
        <v>795</v>
      </c>
      <c r="L12446" s="3" t="str">
        <f>IFERROR(__xludf.DUMMYFUNCTION("GOOGLETRANSLATE(F12446,""id"",""en"")"),"Can be able to hold Argentina, this fool is Hadeh Argentina, just win the Copa already fix the euro champion champion so it is tai gblk")</f>
        <v>Can be able to hold Argentina, this fool is Hadeh Argentina, just win the Copa already fix the euro champion champion so it is tai gblk</v>
      </c>
    </row>
    <row r="12447" ht="15.75" customHeight="1">
      <c r="A12447" s="1">
        <v>13726.0</v>
      </c>
      <c r="B12447" s="3" t="s">
        <v>35295</v>
      </c>
      <c r="C12447" s="3">
        <v>0.0</v>
      </c>
      <c r="D12447" s="3">
        <v>0.0</v>
      </c>
      <c r="E12447" s="3">
        <v>0.0</v>
      </c>
      <c r="F12447" s="3" t="s">
        <v>35296</v>
      </c>
      <c r="G12447" s="3">
        <v>0.0</v>
      </c>
      <c r="H12447" s="3">
        <v>0.0</v>
      </c>
      <c r="I12447" s="3" t="s">
        <v>13</v>
      </c>
      <c r="J12447" s="3" t="s">
        <v>35297</v>
      </c>
      <c r="K12447" s="3" t="s">
        <v>41</v>
      </c>
      <c r="L12447" s="3" t="str">
        <f>IFERROR(__xludf.DUMMYFUNCTION("GOOGLETRANSLATE(F12447,""id"",""en"")"),"Congratulations Argentina Champion Pilduun Messi Dah Being a Goat")</f>
        <v>Congratulations Argentina Champion Pilduun Messi Dah Being a Goat</v>
      </c>
    </row>
    <row r="12448" ht="15.75" customHeight="1">
      <c r="A12448" s="1">
        <v>13727.0</v>
      </c>
      <c r="B12448" s="3" t="s">
        <v>35298</v>
      </c>
      <c r="C12448" s="3">
        <v>0.0</v>
      </c>
      <c r="D12448" s="3">
        <v>0.0</v>
      </c>
      <c r="E12448" s="3">
        <v>0.0</v>
      </c>
      <c r="F12448" s="3" t="s">
        <v>28260</v>
      </c>
      <c r="G12448" s="3">
        <v>0.0</v>
      </c>
      <c r="H12448" s="3">
        <v>0.0</v>
      </c>
      <c r="I12448" s="3" t="s">
        <v>13</v>
      </c>
      <c r="J12448" s="3" t="s">
        <v>28261</v>
      </c>
      <c r="K12448" s="3" t="s">
        <v>495</v>
      </c>
      <c r="L12448" s="3" t="str">
        <f>IFERROR(__xludf.DUMMYFUNCTION("GOOGLETRANSLATE(F12448,""id"",""en"")"),"Argentina's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449" ht="15.75" customHeight="1">
      <c r="A12449" s="1">
        <v>13728.0</v>
      </c>
      <c r="B12449" s="3" t="s">
        <v>35299</v>
      </c>
      <c r="C12449" s="3">
        <v>1.0</v>
      </c>
      <c r="D12449" s="3">
        <v>0.0</v>
      </c>
      <c r="E12449" s="3">
        <v>1.0</v>
      </c>
      <c r="F12449" s="3" t="s">
        <v>35300</v>
      </c>
      <c r="G12449" s="3">
        <v>0.0</v>
      </c>
      <c r="H12449" s="3">
        <v>0.0</v>
      </c>
      <c r="I12449" s="3" t="s">
        <v>13</v>
      </c>
      <c r="J12449" s="3" t="s">
        <v>35301</v>
      </c>
      <c r="K12449" s="3" t="s">
        <v>19</v>
      </c>
      <c r="L12449" s="3" t="str">
        <f>IFERROR(__xludf.DUMMYFUNCTION("GOOGLETRANSLATE(F12449,""id"",""en"")"),"Dumdum has been championing Argentina from the beginning only the era of Mr. Jokowi Messi can be world champion")</f>
        <v>Dumdum has been championing Argentina from the beginning only the era of Mr. Jokowi Messi can be world champion</v>
      </c>
    </row>
    <row r="12450" ht="15.75" customHeight="1">
      <c r="A12450" s="1">
        <v>13729.0</v>
      </c>
      <c r="B12450" s="3" t="s">
        <v>35302</v>
      </c>
      <c r="C12450" s="3">
        <v>0.0</v>
      </c>
      <c r="D12450" s="3">
        <v>0.0</v>
      </c>
      <c r="E12450" s="3">
        <v>0.0</v>
      </c>
      <c r="F12450" s="3" t="s">
        <v>35303</v>
      </c>
      <c r="G12450" s="3">
        <v>0.4</v>
      </c>
      <c r="H12450" s="3">
        <v>0.1</v>
      </c>
      <c r="I12450" s="3" t="s">
        <v>48</v>
      </c>
      <c r="J12450" s="3" t="s">
        <v>35304</v>
      </c>
      <c r="K12450" s="3" t="s">
        <v>765</v>
      </c>
      <c r="L12450" s="3" t="str">
        <f>IFERROR(__xludf.DUMMYFUNCTION("GOOGLETRANSLATE(F12450,""id"",""en"")"),"He who always stamped as a curse for his country but today he proved himself to be the champion of the World Cup with his country Argentina Mission Complete for Messi to enjoy the rest of this sweet career Messi completed football")</f>
        <v>He who always stamped as a curse for his country but today he proved himself to be the champion of the World Cup with his country Argentina Mission Complete for Messi to enjoy the rest of this sweet career Messi completed football</v>
      </c>
    </row>
    <row r="12451" ht="15.75" customHeight="1">
      <c r="A12451" s="1">
        <v>13730.0</v>
      </c>
      <c r="B12451" s="3" t="s">
        <v>35305</v>
      </c>
      <c r="C12451" s="3">
        <v>0.0</v>
      </c>
      <c r="D12451" s="3">
        <v>0.0</v>
      </c>
      <c r="E12451" s="3">
        <v>0.0</v>
      </c>
      <c r="F12451" s="3" t="s">
        <v>35306</v>
      </c>
      <c r="G12451" s="3">
        <v>0.0</v>
      </c>
      <c r="H12451" s="3">
        <v>0.0</v>
      </c>
      <c r="I12451" s="3" t="s">
        <v>13</v>
      </c>
      <c r="J12451" s="3" t="s">
        <v>35307</v>
      </c>
      <c r="K12451" s="3" t="s">
        <v>75</v>
      </c>
      <c r="L12451" s="3" t="str">
        <f>IFERROR(__xludf.DUMMYFUNCTION("GOOGLETRANSLATE(F12451,""id"",""en"")"),"voiced your opinion, bro")</f>
        <v>voiced your opinion, bro</v>
      </c>
    </row>
    <row r="12452" ht="15.75" customHeight="1">
      <c r="A12452" s="1">
        <v>13731.0</v>
      </c>
      <c r="B12452" s="3" t="s">
        <v>35308</v>
      </c>
      <c r="C12452" s="3">
        <v>0.0</v>
      </c>
      <c r="D12452" s="3">
        <v>0.0</v>
      </c>
      <c r="E12452" s="3">
        <v>0.0</v>
      </c>
      <c r="F12452" s="3" t="s">
        <v>35309</v>
      </c>
      <c r="G12452" s="3">
        <v>0.0</v>
      </c>
      <c r="H12452" s="3">
        <v>0.0</v>
      </c>
      <c r="I12452" s="3" t="s">
        <v>13</v>
      </c>
      <c r="J12452" s="3" t="s">
        <v>35310</v>
      </c>
      <c r="K12452" s="3" t="s">
        <v>15</v>
      </c>
      <c r="L12452" s="3" t="str">
        <f>IFERROR(__xludf.DUMMYFUNCTION("GOOGLETRANSLATE(F12452,""id"",""en"")"),"God has predestined Messi and the Argentine national team for champions, thank you")</f>
        <v>God has predestined Messi and the Argentine national team for champions, thank you</v>
      </c>
    </row>
    <row r="12453" ht="15.75" customHeight="1">
      <c r="A12453" s="1">
        <v>13732.0</v>
      </c>
      <c r="B12453" s="3" t="s">
        <v>35311</v>
      </c>
      <c r="C12453" s="3">
        <v>1.0</v>
      </c>
      <c r="D12453" s="3">
        <v>0.0</v>
      </c>
      <c r="E12453" s="3">
        <v>0.0</v>
      </c>
      <c r="F12453" s="3" t="s">
        <v>35312</v>
      </c>
      <c r="G12453" s="3">
        <v>0.0</v>
      </c>
      <c r="H12453" s="3">
        <v>0.0</v>
      </c>
      <c r="I12453" s="3" t="s">
        <v>13</v>
      </c>
      <c r="J12453" s="3" t="s">
        <v>35313</v>
      </c>
      <c r="K12453" s="3" t="s">
        <v>82</v>
      </c>
      <c r="L12453" s="3" t="str">
        <f>IFERROR(__xludf.DUMMYFUNCTION("GOOGLETRANSLATE(F12453,""id"",""en"")"),"happy times because of Argentina champions or win gambling")</f>
        <v>happy times because of Argentina champions or win gambling</v>
      </c>
    </row>
    <row r="12454" ht="15.75" customHeight="1">
      <c r="A12454" s="1">
        <v>13733.0</v>
      </c>
      <c r="B12454" s="3" t="s">
        <v>35314</v>
      </c>
      <c r="C12454" s="3">
        <v>0.0</v>
      </c>
      <c r="D12454" s="3">
        <v>0.0</v>
      </c>
      <c r="E12454" s="3">
        <v>0.0</v>
      </c>
      <c r="F12454" s="3" t="s">
        <v>35315</v>
      </c>
      <c r="G12454" s="3">
        <v>0.0</v>
      </c>
      <c r="H12454" s="3">
        <v>0.0</v>
      </c>
      <c r="I12454" s="3" t="s">
        <v>13</v>
      </c>
      <c r="J12454" s="3" t="s">
        <v>35316</v>
      </c>
      <c r="K12454" s="3" t="s">
        <v>165</v>
      </c>
      <c r="L12454" s="3" t="str">
        <f>IFERROR(__xludf.DUMMYFUNCTION("GOOGLETRANSLATE(F12454,""id"",""en"")"),"teach that life is always idealistic when the state is set for bets there is an empty slot Belgium Argentina takes the Belgian slot because the idealist wants to support Argentina as long as there is Messi but finally Argentina became the DPT champion")</f>
        <v>teach that life is always idealistic when the state is set for bets there is an empty slot Belgium Argentina takes the Belgian slot because the idealist wants to support Argentina as long as there is Messi but finally Argentina became the DPT champion</v>
      </c>
    </row>
    <row r="12455" ht="15.75" customHeight="1">
      <c r="A12455" s="1">
        <v>13734.0</v>
      </c>
      <c r="B12455" s="3" t="s">
        <v>35317</v>
      </c>
      <c r="C12455" s="3">
        <v>0.0</v>
      </c>
      <c r="D12455" s="3">
        <v>0.0</v>
      </c>
      <c r="E12455" s="3">
        <v>0.0</v>
      </c>
      <c r="F12455" s="3" t="s">
        <v>35318</v>
      </c>
      <c r="G12455" s="3">
        <v>0.0</v>
      </c>
      <c r="H12455" s="3">
        <v>0.0</v>
      </c>
      <c r="I12455" s="3" t="s">
        <v>13</v>
      </c>
      <c r="J12455" s="3" t="s">
        <v>35319</v>
      </c>
      <c r="K12455" s="3" t="s">
        <v>54</v>
      </c>
      <c r="L12455" s="3" t="str">
        <f>IFERROR(__xludf.DUMMYFUNCTION("GOOGLETRANSLATE(F12455,""id"",""en"")"),"Plus this night watching Argentina World Champion")</f>
        <v>Plus this night watching Argentina World Champion</v>
      </c>
    </row>
    <row r="12456" ht="15.75" customHeight="1">
      <c r="A12456" s="1">
        <v>13735.0</v>
      </c>
      <c r="B12456" s="3" t="s">
        <v>35320</v>
      </c>
      <c r="C12456" s="3">
        <v>0.0</v>
      </c>
      <c r="D12456" s="3">
        <v>0.0</v>
      </c>
      <c r="E12456" s="3">
        <v>0.0</v>
      </c>
      <c r="F12456" s="3" t="s">
        <v>35321</v>
      </c>
      <c r="G12456" s="3">
        <v>0.0</v>
      </c>
      <c r="H12456" s="3">
        <v>0.0</v>
      </c>
      <c r="I12456" s="3" t="s">
        <v>13</v>
      </c>
      <c r="J12456" s="3" t="s">
        <v>35322</v>
      </c>
      <c r="K12456" s="3" t="s">
        <v>433</v>
      </c>
      <c r="L12456" s="3" t="str">
        <f>IFERROR(__xludf.DUMMYFUNCTION("GOOGLETRANSLATE(F12456,""id"",""en"")"),"Argentina The champion is definitely the chairman of the PSSA Soccer Association of Argentine will make a poster that has a bigger face than the player")</f>
        <v>Argentina The champion is definitely the chairman of the PSSA Soccer Association of Argentine will make a poster that has a bigger face than the player</v>
      </c>
    </row>
    <row r="12457" ht="15.75" customHeight="1">
      <c r="A12457" s="1">
        <v>13736.0</v>
      </c>
      <c r="B12457" s="3" t="s">
        <v>35323</v>
      </c>
      <c r="C12457" s="3">
        <v>0.0</v>
      </c>
      <c r="D12457" s="3">
        <v>0.0</v>
      </c>
      <c r="E12457" s="3">
        <v>0.0</v>
      </c>
      <c r="F12457" s="3" t="s">
        <v>28260</v>
      </c>
      <c r="G12457" s="3">
        <v>0.0</v>
      </c>
      <c r="H12457" s="3">
        <v>0.0</v>
      </c>
      <c r="I12457" s="3" t="s">
        <v>13</v>
      </c>
      <c r="J12457" s="3" t="s">
        <v>28261</v>
      </c>
      <c r="K12457" s="3" t="s">
        <v>495</v>
      </c>
      <c r="L12457" s="3" t="str">
        <f>IFERROR(__xludf.DUMMYFUNCTION("GOOGLETRANSLATE(F12457,""id"",""en"")"),"Argentina's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458" ht="15.75" customHeight="1">
      <c r="A12458" s="1">
        <v>13737.0</v>
      </c>
      <c r="B12458" s="3" t="s">
        <v>35324</v>
      </c>
      <c r="C12458" s="3">
        <v>0.0</v>
      </c>
      <c r="D12458" s="3">
        <v>0.0</v>
      </c>
      <c r="E12458" s="3">
        <v>0.0</v>
      </c>
      <c r="F12458" s="3" t="s">
        <v>35325</v>
      </c>
      <c r="G12458" s="3">
        <v>0.0</v>
      </c>
      <c r="H12458" s="3">
        <v>0.0</v>
      </c>
      <c r="I12458" s="3" t="s">
        <v>13</v>
      </c>
      <c r="J12458" s="3" t="s">
        <v>35326</v>
      </c>
      <c r="K12458" s="3" t="s">
        <v>31</v>
      </c>
      <c r="L12458" s="3" t="str">
        <f>IFERROR(__xludf.DUMMYFUNCTION("GOOGLETRANSLATE(F12458,""id"",""en"")"),"Campeons del Mundo Vamos Argentina")</f>
        <v>Campeons del Mundo Vamos Argentina</v>
      </c>
    </row>
    <row r="12459" ht="15.75" customHeight="1">
      <c r="A12459" s="1">
        <v>13738.0</v>
      </c>
      <c r="B12459" s="3" t="s">
        <v>35327</v>
      </c>
      <c r="C12459" s="3">
        <v>0.0</v>
      </c>
      <c r="D12459" s="3">
        <v>0.0</v>
      </c>
      <c r="E12459" s="3">
        <v>3.0</v>
      </c>
      <c r="F12459" s="3" t="s">
        <v>35328</v>
      </c>
      <c r="G12459" s="3">
        <v>0.0</v>
      </c>
      <c r="H12459" s="3">
        <v>0.0</v>
      </c>
      <c r="I12459" s="3" t="s">
        <v>13</v>
      </c>
      <c r="J12459" s="3" t="s">
        <v>35329</v>
      </c>
      <c r="K12459" s="3" t="s">
        <v>1097</v>
      </c>
      <c r="L12459" s="3" t="str">
        <f>IFERROR(__xludf.DUMMYFUNCTION("GOOGLETRANSLATE(F12459,""id"",""en"")"),"Biodata and Photos of Instagram Artist Celia Lora World Champion")</f>
        <v>Biodata and Photos of Instagram Artist Celia Lora World Champion</v>
      </c>
    </row>
    <row r="12460" ht="15.75" customHeight="1">
      <c r="A12460" s="1">
        <v>13739.0</v>
      </c>
      <c r="B12460" s="3" t="s">
        <v>35330</v>
      </c>
      <c r="C12460" s="3">
        <v>0.0</v>
      </c>
      <c r="D12460" s="3">
        <v>0.0</v>
      </c>
      <c r="E12460" s="3">
        <v>0.0</v>
      </c>
      <c r="F12460" s="3" t="s">
        <v>35331</v>
      </c>
      <c r="G12460" s="3">
        <v>0.0</v>
      </c>
      <c r="H12460" s="3">
        <v>0.0</v>
      </c>
      <c r="I12460" s="3" t="s">
        <v>13</v>
      </c>
      <c r="J12460" s="3" t="s">
        <v>35332</v>
      </c>
      <c r="K12460" s="3" t="s">
        <v>50</v>
      </c>
      <c r="L12460" s="3" t="str">
        <f>IFERROR(__xludf.DUMMYFUNCTION("GOOGLETRANSLATE(F12460,""id"",""en"")"),"Lionel Messi Incidences a Sop Record After Argentina World Cup Champion")</f>
        <v>Lionel Messi Incidences a Sop Record After Argentina World Cup Champion</v>
      </c>
    </row>
    <row r="12461" ht="15.75" customHeight="1">
      <c r="A12461" s="1">
        <v>13740.0</v>
      </c>
      <c r="B12461" s="3" t="s">
        <v>35333</v>
      </c>
      <c r="C12461" s="3">
        <v>0.0</v>
      </c>
      <c r="D12461" s="3">
        <v>0.0</v>
      </c>
      <c r="E12461" s="3">
        <v>0.0</v>
      </c>
      <c r="F12461" s="3" t="s">
        <v>35334</v>
      </c>
      <c r="G12461" s="3">
        <v>0.0</v>
      </c>
      <c r="H12461" s="3">
        <v>0.0</v>
      </c>
      <c r="I12461" s="3" t="s">
        <v>13</v>
      </c>
      <c r="J12461" s="3" t="s">
        <v>35335</v>
      </c>
      <c r="K12461" s="3" t="s">
        <v>82</v>
      </c>
      <c r="L12461" s="3" t="str">
        <f>IFERROR(__xludf.DUMMYFUNCTION("GOOGLETRANSLATE(F12461,""id"",""en"")"),"The champion hurts, how come I don't care about Argentina")</f>
        <v>The champion hurts, how come I don't care about Argentina</v>
      </c>
    </row>
    <row r="12462" ht="15.75" customHeight="1">
      <c r="A12462" s="1">
        <v>13741.0</v>
      </c>
      <c r="B12462" s="3" t="s">
        <v>35336</v>
      </c>
      <c r="C12462" s="3">
        <v>0.0</v>
      </c>
      <c r="D12462" s="3">
        <v>0.0</v>
      </c>
      <c r="E12462" s="3">
        <v>0.0</v>
      </c>
      <c r="F12462" s="3" t="s">
        <v>35337</v>
      </c>
      <c r="G12462" s="3">
        <v>0.6</v>
      </c>
      <c r="H12462" s="3">
        <v>-0.1</v>
      </c>
      <c r="I12462" s="3" t="s">
        <v>179</v>
      </c>
      <c r="J12462" s="3" t="s">
        <v>35338</v>
      </c>
      <c r="K12462" s="3" t="s">
        <v>1912</v>
      </c>
      <c r="L12462" s="3" t="str">
        <f>IFERROR(__xludf.DUMMYFUNCTION("GOOGLETRANSLATE(F12462,""id"",""en"")"),"Since LEK over Argentina is a minimum of Yoo Sek by a thin thin Argentina laaah Argentina sampek nobar ngarepe projector but from the beginning Argentina will be champion but the percentage for the game")</f>
        <v>Since LEK over Argentina is a minimum of Yoo Sek by a thin thin Argentina laaah Argentina sampek nobar ngarepe projector but from the beginning Argentina will be champion but the percentage for the game</v>
      </c>
    </row>
    <row r="12463" ht="15.75" customHeight="1">
      <c r="A12463" s="1">
        <v>13742.0</v>
      </c>
      <c r="B12463" s="3" t="s">
        <v>35339</v>
      </c>
      <c r="C12463" s="3">
        <v>3.0</v>
      </c>
      <c r="D12463" s="3">
        <v>7.0</v>
      </c>
      <c r="E12463" s="3">
        <v>22.0</v>
      </c>
      <c r="F12463" s="3" t="s">
        <v>35340</v>
      </c>
      <c r="G12463" s="3">
        <v>0.0</v>
      </c>
      <c r="H12463" s="3">
        <v>0.0</v>
      </c>
      <c r="I12463" s="3" t="s">
        <v>13</v>
      </c>
      <c r="J12463" s="3" t="s">
        <v>35341</v>
      </c>
      <c r="K12463" s="3" t="s">
        <v>633</v>
      </c>
      <c r="L12463" s="3" t="str">
        <f>IFERROR(__xludf.DUMMYFUNCTION("GOOGLETRANSLATE(F12463,""id"",""en"")"),"Mbappe and Van Gaal have a big mouth before the match and finally Messi et al are able to silence their mouths at the end of the match Congratulations for Argentina to become world champions")</f>
        <v>Mbappe and Van Gaal have a big mouth before the match and finally Messi et al are able to silence their mouths at the end of the match Congratulations for Argentina to become world champions</v>
      </c>
    </row>
    <row r="12464" ht="15.75" customHeight="1">
      <c r="A12464" s="1">
        <v>13743.0</v>
      </c>
      <c r="B12464" s="3" t="s">
        <v>35342</v>
      </c>
      <c r="C12464" s="3">
        <v>0.0</v>
      </c>
      <c r="D12464" s="3">
        <v>0.0</v>
      </c>
      <c r="E12464" s="3">
        <v>0.0</v>
      </c>
      <c r="F12464" s="3" t="s">
        <v>35343</v>
      </c>
      <c r="G12464" s="3">
        <v>0.0</v>
      </c>
      <c r="H12464" s="3">
        <v>0.0</v>
      </c>
      <c r="I12464" s="3" t="s">
        <v>13</v>
      </c>
      <c r="J12464" s="3" t="s">
        <v>35344</v>
      </c>
      <c r="K12464" s="3" t="s">
        <v>1414</v>
      </c>
      <c r="L12464" s="3" t="str">
        <f>IFERROR(__xludf.DUMMYFUNCTION("GOOGLETRANSLATE(F12464,""id"",""en"")"),"From my school era Argentine fans and Argentina's early matches lost Arabic Arabic Arabia immediately bullied I was optimistic that Argentina's permanent champion and the champion was really how news of French and Portugal servants remained respecting for"&amp;" France")</f>
        <v>From my school era Argentine fans and Argentina's early matches lost Arabic Arabic Arabia immediately bullied I was optimistic that Argentina's permanent champion and the champion was really how news of French and Portugal servants remained respecting for France</v>
      </c>
    </row>
    <row r="12465" ht="15.75" customHeight="1">
      <c r="A12465" s="1">
        <v>13744.0</v>
      </c>
      <c r="B12465" s="3" t="s">
        <v>35345</v>
      </c>
      <c r="C12465" s="3">
        <v>0.0</v>
      </c>
      <c r="D12465" s="3">
        <v>0.0</v>
      </c>
      <c r="E12465" s="3">
        <v>0.0</v>
      </c>
      <c r="F12465" s="3" t="s">
        <v>35346</v>
      </c>
      <c r="G12465" s="3">
        <v>0.0</v>
      </c>
      <c r="H12465" s="3">
        <v>0.0</v>
      </c>
      <c r="I12465" s="3" t="s">
        <v>13</v>
      </c>
      <c r="J12465" s="3" t="s">
        <v>35347</v>
      </c>
      <c r="K12465" s="3" t="s">
        <v>82</v>
      </c>
      <c r="L12465" s="3" t="str">
        <f>IFERROR(__xludf.DUMMYFUNCTION("GOOGLETRANSLATE(F12465,""id"",""en"")"),"Breaking News Argentina World Cup Champion With Score")</f>
        <v>Breaking News Argentina World Cup Champion With Score</v>
      </c>
    </row>
    <row r="12466" ht="15.75" customHeight="1">
      <c r="A12466" s="1">
        <v>13745.0</v>
      </c>
      <c r="B12466" s="3" t="s">
        <v>35348</v>
      </c>
      <c r="C12466" s="3">
        <v>0.0</v>
      </c>
      <c r="D12466" s="3">
        <v>0.0</v>
      </c>
      <c r="E12466" s="3">
        <v>0.0</v>
      </c>
      <c r="F12466" s="3" t="s">
        <v>35349</v>
      </c>
      <c r="G12466" s="3">
        <v>0.0</v>
      </c>
      <c r="H12466" s="3">
        <v>0.0</v>
      </c>
      <c r="I12466" s="3" t="s">
        <v>13</v>
      </c>
      <c r="J12466" s="3" t="s">
        <v>35350</v>
      </c>
      <c r="K12466" s="3" t="s">
        <v>236</v>
      </c>
      <c r="L12466" s="3" t="str">
        <f>IFERROR(__xludf.DUMMYFUNCTION("GOOGLETRANSLATE(F12466,""id"",""en"")"),"Breaking News Argentina World Cup Champion Defeats French defending champions")</f>
        <v>Breaking News Argentina World Cup Champion Defeats French defending champions</v>
      </c>
    </row>
    <row r="12467" ht="15.75" customHeight="1">
      <c r="A12467" s="1">
        <v>13746.0</v>
      </c>
      <c r="B12467" s="3" t="s">
        <v>35351</v>
      </c>
      <c r="C12467" s="3">
        <v>1.0</v>
      </c>
      <c r="D12467" s="3">
        <v>0.0</v>
      </c>
      <c r="E12467" s="3">
        <v>0.0</v>
      </c>
      <c r="F12467" s="3" t="s">
        <v>35351</v>
      </c>
      <c r="G12467" s="3">
        <v>0.0</v>
      </c>
      <c r="H12467" s="3">
        <v>0.0</v>
      </c>
      <c r="I12467" s="3" t="s">
        <v>13</v>
      </c>
      <c r="J12467" s="3" t="s">
        <v>35352</v>
      </c>
      <c r="K12467" s="3" t="s">
        <v>54</v>
      </c>
      <c r="L12467" s="3" t="str">
        <f>IFERROR(__xludf.DUMMYFUNCTION("GOOGLETRANSLATE(F12467,""id"",""en"")"),"My prediction is Argentina World Cup Champion")</f>
        <v>My prediction is Argentina World Cup Champion</v>
      </c>
    </row>
    <row r="12468" ht="15.75" customHeight="1">
      <c r="A12468" s="1">
        <v>13747.0</v>
      </c>
      <c r="B12468" s="3" t="s">
        <v>35353</v>
      </c>
      <c r="C12468" s="3">
        <v>0.0</v>
      </c>
      <c r="D12468" s="3">
        <v>0.0</v>
      </c>
      <c r="E12468" s="3">
        <v>0.0</v>
      </c>
      <c r="F12468" s="3" t="s">
        <v>35354</v>
      </c>
      <c r="G12468" s="3">
        <v>0.0</v>
      </c>
      <c r="H12468" s="3">
        <v>0.0</v>
      </c>
      <c r="I12468" s="3" t="s">
        <v>13</v>
      </c>
      <c r="J12468" s="3" t="s">
        <v>35355</v>
      </c>
      <c r="K12468" s="3" t="s">
        <v>41</v>
      </c>
      <c r="L12468" s="3" t="str">
        <f>IFERROR(__xludf.DUMMYFUNCTION("GOOGLETRANSLATE(F12468,""id"",""en"")"),"Through Argentina's Penalty Champion FIFA World Cup Qatar")</f>
        <v>Through Argentina's Penalty Champion FIFA World Cup Qatar</v>
      </c>
    </row>
    <row r="12469" ht="15.75" customHeight="1">
      <c r="A12469" s="1">
        <v>13748.0</v>
      </c>
      <c r="B12469" s="3" t="s">
        <v>35356</v>
      </c>
      <c r="C12469" s="3">
        <v>0.0</v>
      </c>
      <c r="D12469" s="3">
        <v>0.0</v>
      </c>
      <c r="E12469" s="3">
        <v>0.0</v>
      </c>
      <c r="F12469" s="3" t="s">
        <v>35354</v>
      </c>
      <c r="G12469" s="3">
        <v>0.0</v>
      </c>
      <c r="H12469" s="3">
        <v>0.0</v>
      </c>
      <c r="I12469" s="3" t="s">
        <v>13</v>
      </c>
      <c r="J12469" s="3" t="s">
        <v>35355</v>
      </c>
      <c r="K12469" s="3" t="s">
        <v>41</v>
      </c>
      <c r="L12469" s="3" t="str">
        <f>IFERROR(__xludf.DUMMYFUNCTION("GOOGLETRANSLATE(F12469,""id"",""en"")"),"Through Argentina's Penalty Champion FIFA World Cup Qatar")</f>
        <v>Through Argentina's Penalty Champion FIFA World Cup Qatar</v>
      </c>
    </row>
    <row r="12470" ht="15.75" customHeight="1">
      <c r="A12470" s="1">
        <v>13749.0</v>
      </c>
      <c r="B12470" s="3" t="s">
        <v>35357</v>
      </c>
      <c r="C12470" s="3">
        <v>0.0</v>
      </c>
      <c r="D12470" s="3">
        <v>0.0</v>
      </c>
      <c r="E12470" s="3">
        <v>0.0</v>
      </c>
      <c r="F12470" s="3" t="s">
        <v>35358</v>
      </c>
      <c r="G12470" s="3">
        <v>0.0</v>
      </c>
      <c r="H12470" s="3">
        <v>0.0</v>
      </c>
      <c r="I12470" s="3" t="s">
        <v>13</v>
      </c>
      <c r="J12470" s="3" t="s">
        <v>35359</v>
      </c>
      <c r="K12470" s="3" t="s">
        <v>50</v>
      </c>
      <c r="L12470" s="3" t="str">
        <f>IFERROR(__xludf.DUMMYFUNCTION("GOOGLETRANSLATE(F12470,""id"",""en"")"),"Lionel Messi's trophy is getting more complete after bringing Argentina World Cup champions")</f>
        <v>Lionel Messi's trophy is getting more complete after bringing Argentina World Cup champions</v>
      </c>
    </row>
    <row r="12471" ht="15.75" customHeight="1">
      <c r="A12471" s="1">
        <v>13750.0</v>
      </c>
      <c r="B12471" s="3" t="s">
        <v>35360</v>
      </c>
      <c r="C12471" s="3">
        <v>0.0</v>
      </c>
      <c r="D12471" s="3">
        <v>0.0</v>
      </c>
      <c r="E12471" s="3">
        <v>0.0</v>
      </c>
      <c r="F12471" s="3" t="s">
        <v>35361</v>
      </c>
      <c r="G12471" s="3">
        <v>0.3</v>
      </c>
      <c r="H12471" s="3">
        <v>1.0</v>
      </c>
      <c r="I12471" s="3" t="s">
        <v>48</v>
      </c>
      <c r="J12471" s="3" t="s">
        <v>35362</v>
      </c>
      <c r="K12471" s="3" t="s">
        <v>54</v>
      </c>
      <c r="L12471" s="3" t="str">
        <f>IFERROR(__xludf.DUMMYFUNCTION("GOOGLETRANSLATE(F12471,""id"",""en"")"),"Argentine World Champion Messi The Best")</f>
        <v>Argentine World Champion Messi The Best</v>
      </c>
    </row>
    <row r="12472" ht="15.75" customHeight="1">
      <c r="A12472" s="1">
        <v>13751.0</v>
      </c>
      <c r="B12472" s="3" t="s">
        <v>35363</v>
      </c>
      <c r="C12472" s="3">
        <v>0.0</v>
      </c>
      <c r="D12472" s="3">
        <v>0.0</v>
      </c>
      <c r="E12472" s="3">
        <v>2.0</v>
      </c>
      <c r="F12472" s="3" t="s">
        <v>35364</v>
      </c>
      <c r="G12472" s="3">
        <v>0.0</v>
      </c>
      <c r="H12472" s="3">
        <v>0.0</v>
      </c>
      <c r="I12472" s="3" t="s">
        <v>13</v>
      </c>
      <c r="J12472" s="3" t="s">
        <v>35365</v>
      </c>
      <c r="K12472" s="3" t="s">
        <v>1097</v>
      </c>
      <c r="L12472" s="3" t="str">
        <f>IFERROR(__xludf.DUMMYFUNCTION("GOOGLETRANSLATE(F12472,""id"",""en"")"),"Biodata and Photos of Instagram Artist Alexis Clark World Champion")</f>
        <v>Biodata and Photos of Instagram Artist Alexis Clark World Champion</v>
      </c>
    </row>
    <row r="12473" ht="15.75" customHeight="1">
      <c r="A12473" s="1">
        <v>13753.0</v>
      </c>
      <c r="B12473" s="3" t="s">
        <v>35366</v>
      </c>
      <c r="C12473" s="3">
        <v>0.0</v>
      </c>
      <c r="D12473" s="3">
        <v>0.0</v>
      </c>
      <c r="E12473" s="3">
        <v>0.0</v>
      </c>
      <c r="F12473" s="3" t="s">
        <v>34250</v>
      </c>
      <c r="G12473" s="3">
        <v>0.0</v>
      </c>
      <c r="H12473" s="3">
        <v>0.0</v>
      </c>
      <c r="I12473" s="3" t="s">
        <v>13</v>
      </c>
      <c r="J12473" s="3" t="s">
        <v>34251</v>
      </c>
      <c r="K12473" s="3" t="s">
        <v>75</v>
      </c>
      <c r="L12473" s="3" t="str">
        <f>IFERROR(__xludf.DUMMYFUNCTION("GOOGLETRANSLATE(F12473,""id"",""en"")"),"Argentina Wins World Cup Champion Neymar congratulates Lionel Messi")</f>
        <v>Argentina Wins World Cup Champion Neymar congratulates Lionel Messi</v>
      </c>
    </row>
    <row r="12474" ht="15.75" customHeight="1">
      <c r="A12474" s="1">
        <v>13754.0</v>
      </c>
      <c r="B12474" s="3" t="s">
        <v>35367</v>
      </c>
      <c r="C12474" s="3">
        <v>0.0</v>
      </c>
      <c r="D12474" s="3">
        <v>0.0</v>
      </c>
      <c r="E12474" s="3">
        <v>0.0</v>
      </c>
      <c r="F12474" s="3" t="s">
        <v>35368</v>
      </c>
      <c r="G12474" s="3">
        <v>0.0</v>
      </c>
      <c r="H12474" s="3">
        <v>0.0</v>
      </c>
      <c r="I12474" s="3" t="s">
        <v>13</v>
      </c>
      <c r="J12474" s="3" t="s">
        <v>35369</v>
      </c>
      <c r="K12474" s="3" t="s">
        <v>433</v>
      </c>
      <c r="L12474" s="3" t="str">
        <f>IFERROR(__xludf.DUMMYFUNCTION("GOOGLETRANSLATE(F12474,""id"",""en"")"),"Aet Argentina France Messi Maria Mbappe Pen Possessions Shots Tackles Argentina Champion World Cup Semarang")</f>
        <v>Aet Argentina France Messi Maria Mbappe Pen Possessions Shots Tackles Argentina Champion World Cup Semarang</v>
      </c>
    </row>
    <row r="12475" ht="15.75" customHeight="1">
      <c r="A12475" s="1">
        <v>13755.0</v>
      </c>
      <c r="B12475" s="3" t="s">
        <v>35370</v>
      </c>
      <c r="C12475" s="3">
        <v>0.0</v>
      </c>
      <c r="D12475" s="3">
        <v>0.0</v>
      </c>
      <c r="E12475" s="3">
        <v>0.0</v>
      </c>
      <c r="F12475" s="3" t="s">
        <v>35371</v>
      </c>
      <c r="G12475" s="3">
        <v>0.0</v>
      </c>
      <c r="H12475" s="3">
        <v>0.0</v>
      </c>
      <c r="I12475" s="3" t="s">
        <v>13</v>
      </c>
      <c r="J12475" s="3" t="s">
        <v>35372</v>
      </c>
      <c r="K12475" s="3" t="s">
        <v>31</v>
      </c>
      <c r="L12475" s="3" t="str">
        <f>IFERROR(__xludf.DUMMYFUNCTION("GOOGLETRANSLATE(F12475,""id"",""en"")"),"Argentina Champion Tomorrow Still Work")</f>
        <v>Argentina Champion Tomorrow Still Work</v>
      </c>
    </row>
    <row r="12476" ht="15.75" customHeight="1">
      <c r="A12476" s="1">
        <v>13756.0</v>
      </c>
      <c r="B12476" s="3" t="s">
        <v>35373</v>
      </c>
      <c r="C12476" s="3">
        <v>2.0</v>
      </c>
      <c r="D12476" s="3">
        <v>31.0</v>
      </c>
      <c r="E12476" s="3">
        <v>172.0</v>
      </c>
      <c r="F12476" s="3" t="s">
        <v>35374</v>
      </c>
      <c r="G12476" s="3">
        <v>0.0</v>
      </c>
      <c r="H12476" s="3">
        <v>0.0</v>
      </c>
      <c r="I12476" s="3" t="s">
        <v>13</v>
      </c>
      <c r="J12476" s="3" t="s">
        <v>35375</v>
      </c>
      <c r="K12476" s="3" t="s">
        <v>426</v>
      </c>
      <c r="L12476" s="3" t="str">
        <f>IFERROR(__xludf.DUMMYFUNCTION("GOOGLETRANSLATE(F12476,""id"",""en"")"),"The house of the gods of the left foot history records that Argentina will only become a World Cup champion if he has a player with a back numbered with the world's best left foot qualification Mario Kempes Diego Maradona Lionel Messi")</f>
        <v>The house of the gods of the left foot history records that Argentina will only become a World Cup champion if he has a player with a back numbered with the world's best left foot qualification Mario Kempes Diego Maradona Lionel Messi</v>
      </c>
    </row>
    <row r="12477" ht="15.75" customHeight="1">
      <c r="A12477" s="1">
        <v>13757.0</v>
      </c>
      <c r="B12477" s="3" t="s">
        <v>35376</v>
      </c>
      <c r="C12477" s="3">
        <v>0.0</v>
      </c>
      <c r="D12477" s="3">
        <v>0.0</v>
      </c>
      <c r="E12477" s="3">
        <v>2.0</v>
      </c>
      <c r="F12477" s="3" t="s">
        <v>35377</v>
      </c>
      <c r="G12477" s="3">
        <v>0.0</v>
      </c>
      <c r="H12477" s="3">
        <v>0.0</v>
      </c>
      <c r="I12477" s="3" t="s">
        <v>13</v>
      </c>
      <c r="J12477" s="3" t="s">
        <v>35378</v>
      </c>
      <c r="K12477" s="3" t="s">
        <v>1097</v>
      </c>
      <c r="L12477" s="3" t="str">
        <f>IFERROR(__xludf.DUMMYFUNCTION("GOOGLETRANSLATE(F12477,""id"",""en"")"),"Instagram artist's biodata and photos of Athena Megaloudis World Champion")</f>
        <v>Instagram artist's biodata and photos of Athena Megaloudis World Champion</v>
      </c>
    </row>
    <row r="12478" ht="15.75" customHeight="1">
      <c r="A12478" s="1">
        <v>13758.0</v>
      </c>
      <c r="B12478" s="3" t="s">
        <v>35379</v>
      </c>
      <c r="C12478" s="3">
        <v>1.0</v>
      </c>
      <c r="D12478" s="3">
        <v>0.0</v>
      </c>
      <c r="E12478" s="3">
        <v>2.0</v>
      </c>
      <c r="F12478" s="3" t="s">
        <v>35380</v>
      </c>
      <c r="G12478" s="3">
        <v>1.0</v>
      </c>
      <c r="H12478" s="3">
        <v>0.0</v>
      </c>
      <c r="I12478" s="3" t="s">
        <v>13</v>
      </c>
      <c r="J12478" s="3" t="s">
        <v>35381</v>
      </c>
      <c r="K12478" s="3" t="s">
        <v>1870</v>
      </c>
      <c r="L12478" s="3" t="str">
        <f>IFERROR(__xludf.DUMMYFUNCTION("GOOGLETRANSLATE(F12478,""id"",""en"")"),"A thread of Husnul Khotimah and The End Messi achieved his biggest dream to bring Argentina World Champion Copa Finallisima World Cup Maria scored again Paul Bodyguard Emiliano Martinez Save crucial")</f>
        <v>A thread of Husnul Khotimah and The End Messi achieved his biggest dream to bring Argentina World Champion Copa Finallisima World Cup Maria scored again Paul Bodyguard Emiliano Martinez Save crucial</v>
      </c>
    </row>
    <row r="12479" ht="15.75" customHeight="1">
      <c r="A12479" s="1">
        <v>13759.0</v>
      </c>
      <c r="B12479" s="3" t="s">
        <v>35382</v>
      </c>
      <c r="C12479" s="3">
        <v>0.0</v>
      </c>
      <c r="D12479" s="3">
        <v>0.0</v>
      </c>
      <c r="E12479" s="3">
        <v>0.0</v>
      </c>
      <c r="F12479" s="3" t="s">
        <v>35383</v>
      </c>
      <c r="G12479" s="3">
        <v>0.0</v>
      </c>
      <c r="H12479" s="3">
        <v>0.0</v>
      </c>
      <c r="I12479" s="3" t="s">
        <v>13</v>
      </c>
      <c r="J12479" s="3" t="s">
        <v>35384</v>
      </c>
      <c r="K12479" s="3" t="s">
        <v>11862</v>
      </c>
      <c r="L12479" s="3" t="str">
        <f>IFERROR(__xludf.DUMMYFUNCTION("GOOGLETRANSLATE(F12479,""id"",""en"")"),"Argentina against France wins Pinalty's fighting is not a proud thing about Argentina against Italy, but the absolute winnings of Brazil are not Argentina.")</f>
        <v>Argentina against France wins Pinalty's fighting is not a proud thing about Argentina against Italy, but the absolute winnings of Brazil are not Argentina.</v>
      </c>
    </row>
    <row r="12480" ht="15.75" customHeight="1">
      <c r="A12480" s="1">
        <v>13760.0</v>
      </c>
      <c r="B12480" s="3" t="s">
        <v>35385</v>
      </c>
      <c r="C12480" s="3">
        <v>0.0</v>
      </c>
      <c r="D12480" s="3">
        <v>0.0</v>
      </c>
      <c r="E12480" s="3">
        <v>4.0</v>
      </c>
      <c r="F12480" s="3" t="s">
        <v>35386</v>
      </c>
      <c r="G12480" s="3">
        <v>0.0</v>
      </c>
      <c r="H12480" s="3">
        <v>0.0</v>
      </c>
      <c r="I12480" s="3" t="s">
        <v>13</v>
      </c>
      <c r="J12480" s="3" t="s">
        <v>35387</v>
      </c>
      <c r="K12480" s="3" t="s">
        <v>45</v>
      </c>
      <c r="L12480" s="3" t="str">
        <f>IFERROR(__xludf.DUMMYFUNCTION("GOOGLETRANSLATE(F12480,""id"",""en"")"),"Gonzalo Montiel's penalty kick failed to block by Hugo Lloris to deliver the Argentine national team champion with this victory this Argentine national team ended the World Cup title during the year of fasting years.")</f>
        <v>Gonzalo Montiel's penalty kick failed to block by Hugo Lloris to deliver the Argentine national team champion with this victory this Argentine national team ended the World Cup title during the year of fasting years.</v>
      </c>
    </row>
    <row r="12481" ht="15.75" customHeight="1">
      <c r="A12481" s="1">
        <v>13761.0</v>
      </c>
      <c r="B12481" s="3" t="s">
        <v>35388</v>
      </c>
      <c r="C12481" s="3">
        <v>0.0</v>
      </c>
      <c r="D12481" s="3">
        <v>0.0</v>
      </c>
      <c r="E12481" s="3">
        <v>0.0</v>
      </c>
      <c r="F12481" s="3" t="s">
        <v>31245</v>
      </c>
      <c r="G12481" s="3">
        <v>0.0</v>
      </c>
      <c r="H12481" s="3">
        <v>0.0</v>
      </c>
      <c r="I12481" s="3" t="s">
        <v>13</v>
      </c>
      <c r="J12481" s="3" t="s">
        <v>31246</v>
      </c>
      <c r="K12481" s="3" t="s">
        <v>644</v>
      </c>
      <c r="L12481" s="3" t="str">
        <f>IFERROR(__xludf.DUMMYFUNCTION("GOOGLETRANSLATE(F12481,""id"",""en"")"),"Happy Argentina World Champion")</f>
        <v>Happy Argentina World Champion</v>
      </c>
    </row>
    <row r="12482" ht="15.75" customHeight="1">
      <c r="A12482" s="1">
        <v>13762.0</v>
      </c>
      <c r="B12482" s="3" t="s">
        <v>35389</v>
      </c>
      <c r="C12482" s="3">
        <v>0.0</v>
      </c>
      <c r="D12482" s="3">
        <v>0.0</v>
      </c>
      <c r="E12482" s="3">
        <v>0.0</v>
      </c>
      <c r="F12482" s="3" t="s">
        <v>35390</v>
      </c>
      <c r="G12482" s="3">
        <v>0.0</v>
      </c>
      <c r="H12482" s="3">
        <v>0.0</v>
      </c>
      <c r="I12482" s="3" t="s">
        <v>13</v>
      </c>
      <c r="J12482" s="3" t="s">
        <v>35391</v>
      </c>
      <c r="K12482" s="3" t="s">
        <v>322</v>
      </c>
      <c r="L12482" s="3" t="str">
        <f>IFERROR(__xludf.DUMMYFUNCTION("GOOGLETRANSLATE(F12482,""id"",""en"")"),"Argentina World Champion He Champion in Akuu")</f>
        <v>Argentina World Champion He Champion in Akuu</v>
      </c>
    </row>
    <row r="12483" ht="15.75" customHeight="1">
      <c r="A12483" s="1">
        <v>13763.0</v>
      </c>
      <c r="B12483" s="3" t="s">
        <v>35392</v>
      </c>
      <c r="C12483" s="3">
        <v>0.0</v>
      </c>
      <c r="D12483" s="3">
        <v>0.0</v>
      </c>
      <c r="E12483" s="3">
        <v>0.0</v>
      </c>
      <c r="F12483" s="3" t="s">
        <v>35393</v>
      </c>
      <c r="G12483" s="3">
        <v>0.75</v>
      </c>
      <c r="H12483" s="3">
        <v>0.2</v>
      </c>
      <c r="I12483" s="3" t="s">
        <v>48</v>
      </c>
      <c r="J12483" s="3" t="s">
        <v>35394</v>
      </c>
      <c r="K12483" s="3" t="s">
        <v>215</v>
      </c>
      <c r="L12483" s="3" t="str">
        <f>IFERROR(__xludf.DUMMYFUNCTION("GOOGLETRANSLATE(F12483,""id"",""en"")"),"Watching the ball now is rather difficult to join in happy because Messi champions are also mistaken for Argentina fans.")</f>
        <v>Watching the ball now is rather difficult to join in happy because Messi champions are also mistaken for Argentina fans.</v>
      </c>
    </row>
    <row r="12484" ht="15.75" customHeight="1">
      <c r="A12484" s="1">
        <v>13764.0</v>
      </c>
      <c r="B12484" s="3" t="s">
        <v>35395</v>
      </c>
      <c r="C12484" s="3">
        <v>1.0</v>
      </c>
      <c r="D12484" s="3">
        <v>0.0</v>
      </c>
      <c r="E12484" s="3">
        <v>7.0</v>
      </c>
      <c r="F12484" s="3" t="s">
        <v>35396</v>
      </c>
      <c r="G12484" s="3">
        <v>0.0</v>
      </c>
      <c r="H12484" s="3">
        <v>0.0</v>
      </c>
      <c r="I12484" s="3" t="s">
        <v>13</v>
      </c>
      <c r="J12484" s="3" t="s">
        <v>35397</v>
      </c>
      <c r="K12484" s="3" t="s">
        <v>149</v>
      </c>
      <c r="L12484" s="3" t="str">
        <f>IFERROR(__xludf.DUMMYFUNCTION("GOOGLETRANSLATE(F12484,""id"",""en"")"),"Well, this is the world on Praise Messi Emi Martinez Mbappe, but not many praise scaloni as if it will be forgotten even though his great achievements can bring Argentina champions")</f>
        <v>Well, this is the world on Praise Messi Emi Martinez Mbappe, but not many praise scaloni as if it will be forgotten even though his great achievements can bring Argentina champions</v>
      </c>
    </row>
    <row r="12485" ht="15.75" customHeight="1">
      <c r="A12485" s="1">
        <v>13765.0</v>
      </c>
      <c r="B12485" s="3" t="s">
        <v>35398</v>
      </c>
      <c r="C12485" s="3">
        <v>0.0</v>
      </c>
      <c r="D12485" s="3">
        <v>0.0</v>
      </c>
      <c r="E12485" s="3">
        <v>13.0</v>
      </c>
      <c r="F12485" s="3" t="s">
        <v>35399</v>
      </c>
      <c r="G12485" s="3">
        <v>0.0</v>
      </c>
      <c r="H12485" s="3">
        <v>0.0</v>
      </c>
      <c r="I12485" s="3" t="s">
        <v>13</v>
      </c>
      <c r="J12485" s="3" t="s">
        <v>35400</v>
      </c>
      <c r="K12485" s="3" t="s">
        <v>1097</v>
      </c>
      <c r="L12485" s="3" t="str">
        <f>IFERROR(__xludf.DUMMYFUNCTION("GOOGLETRANSLATE(F12485,""id"",""en"")"),"Argentina is indeed a champion then when will I become a champion in your heart")</f>
        <v>Argentina is indeed a champion then when will I become a champion in your heart</v>
      </c>
    </row>
    <row r="12486" ht="15.75" customHeight="1">
      <c r="A12486" s="1">
        <v>13766.0</v>
      </c>
      <c r="B12486" s="3" t="s">
        <v>35401</v>
      </c>
      <c r="C12486" s="3">
        <v>0.0</v>
      </c>
      <c r="D12486" s="3">
        <v>0.0</v>
      </c>
      <c r="E12486" s="3">
        <v>0.0</v>
      </c>
      <c r="F12486" s="3" t="s">
        <v>35402</v>
      </c>
      <c r="G12486" s="3">
        <v>0.0</v>
      </c>
      <c r="H12486" s="3">
        <v>0.0</v>
      </c>
      <c r="I12486" s="3" t="s">
        <v>13</v>
      </c>
      <c r="J12486" s="3" t="s">
        <v>35403</v>
      </c>
      <c r="K12486" s="3" t="s">
        <v>644</v>
      </c>
      <c r="L12486" s="3" t="str">
        <f>IFERROR(__xludf.DUMMYFUNCTION("GOOGLETRANSLATE(F12486,""id"",""en"")"),"Congratulations on the World Champion")</f>
        <v>Congratulations on the World Champion</v>
      </c>
    </row>
    <row r="12487" ht="15.75" customHeight="1">
      <c r="A12487" s="1">
        <v>13767.0</v>
      </c>
      <c r="B12487" s="3" t="s">
        <v>35404</v>
      </c>
      <c r="C12487" s="3">
        <v>1.0</v>
      </c>
      <c r="D12487" s="3">
        <v>0.0</v>
      </c>
      <c r="E12487" s="3">
        <v>0.0</v>
      </c>
      <c r="F12487" s="3" t="s">
        <v>35405</v>
      </c>
      <c r="G12487" s="3">
        <v>0.0</v>
      </c>
      <c r="H12487" s="3">
        <v>0.0</v>
      </c>
      <c r="I12487" s="3" t="s">
        <v>13</v>
      </c>
      <c r="J12487" s="3" t="s">
        <v>35406</v>
      </c>
      <c r="K12487" s="3" t="s">
        <v>31</v>
      </c>
      <c r="L12487" s="3" t="str">
        <f>IFERROR(__xludf.DUMMYFUNCTION("GOOGLETRANSLATE(F12487,""id"",""en"")"),"ntt again the Argentine convoy champion sis")</f>
        <v>ntt again the Argentine convoy champion sis</v>
      </c>
    </row>
    <row r="12488" ht="15.75" customHeight="1">
      <c r="A12488" s="1">
        <v>13768.0</v>
      </c>
      <c r="B12488" s="3" t="s">
        <v>35407</v>
      </c>
      <c r="C12488" s="3">
        <v>0.0</v>
      </c>
      <c r="D12488" s="3">
        <v>0.0</v>
      </c>
      <c r="E12488" s="3">
        <v>0.0</v>
      </c>
      <c r="F12488" s="3" t="s">
        <v>35408</v>
      </c>
      <c r="G12488" s="3">
        <v>0.0</v>
      </c>
      <c r="H12488" s="3">
        <v>0.0</v>
      </c>
      <c r="I12488" s="3" t="s">
        <v>13</v>
      </c>
      <c r="J12488" s="3" t="s">
        <v>35409</v>
      </c>
      <c r="K12488" s="3" t="s">
        <v>123</v>
      </c>
      <c r="L12488" s="3" t="str">
        <f>IFERROR(__xludf.DUMMYFUNCTION("GOOGLETRANSLATE(F12488,""id"",""en"")"),"Redsindo after getting the world title Messi will continue to play defending the Argentine national team as the champion")</f>
        <v>Redsindo after getting the world title Messi will continue to play defending the Argentine national team as the champion</v>
      </c>
    </row>
    <row r="12489" ht="15.75" customHeight="1">
      <c r="A12489" s="1">
        <v>13769.0</v>
      </c>
      <c r="B12489" s="3" t="s">
        <v>35410</v>
      </c>
      <c r="C12489" s="3">
        <v>7.0</v>
      </c>
      <c r="D12489" s="3">
        <v>11.0</v>
      </c>
      <c r="E12489" s="3">
        <v>124.0</v>
      </c>
      <c r="F12489" s="3" t="s">
        <v>35411</v>
      </c>
      <c r="G12489" s="3">
        <v>0.2</v>
      </c>
      <c r="H12489" s="3">
        <v>0.2</v>
      </c>
      <c r="I12489" s="3" t="s">
        <v>48</v>
      </c>
      <c r="J12489" s="3" t="s">
        <v>35412</v>
      </c>
      <c r="K12489" s="3" t="s">
        <v>19</v>
      </c>
      <c r="L12489" s="3" t="str">
        <f>IFERROR(__xludf.DUMMYFUNCTION("GOOGLETRANSLATE(F12489,""id"",""en"")"),"Argentina World Champion Thanks Messi Mnt Penalty Is there a Right Friend's Gift Gift from")</f>
        <v>Argentina World Champion Thanks Messi Mnt Penalty Is there a Right Friend's Gift Gift from</v>
      </c>
    </row>
    <row r="12490" ht="15.75" customHeight="1">
      <c r="A12490" s="1">
        <v>13770.0</v>
      </c>
      <c r="B12490" s="3" t="s">
        <v>35413</v>
      </c>
      <c r="C12490" s="3">
        <v>0.0</v>
      </c>
      <c r="D12490" s="3">
        <v>0.0</v>
      </c>
      <c r="E12490" s="3">
        <v>2.0</v>
      </c>
      <c r="F12490" s="3" t="s">
        <v>35414</v>
      </c>
      <c r="G12490" s="3">
        <v>0.0</v>
      </c>
      <c r="H12490" s="3">
        <v>0.0</v>
      </c>
      <c r="I12490" s="3" t="s">
        <v>13</v>
      </c>
      <c r="J12490" s="3" t="s">
        <v>35415</v>
      </c>
      <c r="K12490" s="3" t="s">
        <v>15</v>
      </c>
      <c r="L12490" s="3" t="str">
        <f>IFERROR(__xludf.DUMMYFUNCTION("GOOGLETRANSLATE(F12490,""id"",""en"")"),"Argentina Champion Pilduun Qatar Happy Leo Messi Goat")</f>
        <v>Argentina Champion Pilduun Qatar Happy Leo Messi Goat</v>
      </c>
    </row>
    <row r="12491" ht="15.75" customHeight="1">
      <c r="A12491" s="1">
        <v>13771.0</v>
      </c>
      <c r="B12491" s="3" t="s">
        <v>35416</v>
      </c>
      <c r="C12491" s="3">
        <v>0.0</v>
      </c>
      <c r="D12491" s="3">
        <v>0.0</v>
      </c>
      <c r="E12491" s="3">
        <v>0.0</v>
      </c>
      <c r="F12491" s="3" t="s">
        <v>35417</v>
      </c>
      <c r="G12491" s="3">
        <v>0.0</v>
      </c>
      <c r="H12491" s="3">
        <v>0.0</v>
      </c>
      <c r="I12491" s="3" t="s">
        <v>13</v>
      </c>
      <c r="J12491" s="3" t="s">
        <v>35418</v>
      </c>
      <c r="K12491" s="3" t="s">
        <v>82</v>
      </c>
      <c r="L12491" s="3" t="str">
        <f>IFERROR(__xludf.DUMMYFUNCTION("GOOGLETRANSLATE(F12491,""id"",""en"")"),"woaaaa after all this time finally returned to Argentina Congrats champions")</f>
        <v>woaaaa after all this time finally returned to Argentina Congrats champions</v>
      </c>
    </row>
    <row r="12492" ht="15.75" customHeight="1">
      <c r="A12492" s="1">
        <v>13772.0</v>
      </c>
      <c r="B12492" s="3" t="s">
        <v>35419</v>
      </c>
      <c r="C12492" s="3">
        <v>0.0</v>
      </c>
      <c r="D12492" s="3">
        <v>0.0</v>
      </c>
      <c r="E12492" s="3">
        <v>1.0</v>
      </c>
      <c r="F12492" s="3" t="s">
        <v>35420</v>
      </c>
      <c r="G12492" s="3">
        <v>0.0</v>
      </c>
      <c r="H12492" s="3">
        <v>0.0</v>
      </c>
      <c r="I12492" s="3" t="s">
        <v>13</v>
      </c>
      <c r="J12492" s="3" t="s">
        <v>35421</v>
      </c>
      <c r="K12492" s="3" t="s">
        <v>1887</v>
      </c>
      <c r="L12492" s="3" t="str">
        <f>IFERROR(__xludf.DUMMYFUNCTION("GOOGLETRANSLATE(F12492,""id"",""en"")"),"Alhamdulillah, Allah is already halal, he can kiss the Sleep Hug Sahhhhh Argentina coming out as the Champion of the Best Qatar World Cup in December, so please don't compare each other both Maradona and Pele, let alone")</f>
        <v>Alhamdulillah, Allah is already halal, he can kiss the Sleep Hug Sahhhhh Argentina coming out as the Champion of the Best Qatar World Cup in December, so please don't compare each other both Maradona and Pele, let alone</v>
      </c>
    </row>
    <row r="12493" ht="15.75" customHeight="1">
      <c r="A12493" s="1">
        <v>13773.0</v>
      </c>
      <c r="B12493" s="3" t="s">
        <v>35422</v>
      </c>
      <c r="C12493" s="3">
        <v>1.0</v>
      </c>
      <c r="D12493" s="3">
        <v>0.0</v>
      </c>
      <c r="E12493" s="3">
        <v>0.0</v>
      </c>
      <c r="F12493" s="3" t="s">
        <v>35423</v>
      </c>
      <c r="G12493" s="3">
        <v>1.0</v>
      </c>
      <c r="H12493" s="3">
        <v>0.0</v>
      </c>
      <c r="I12493" s="3" t="s">
        <v>13</v>
      </c>
      <c r="J12493" s="3" t="s">
        <v>35424</v>
      </c>
      <c r="K12493" s="3" t="s">
        <v>123</v>
      </c>
      <c r="L12493" s="3" t="str">
        <f>IFERROR(__xludf.DUMMYFUNCTION("GOOGLETRANSLATE(F12493,""id"",""en"")"),"From the final year until this is the final that is exciting to watch many dramas but still sloww because Argentina will definitely win, Kann Massee")</f>
        <v>From the final year until this is the final that is exciting to watch many dramas but still sloww because Argentina will definitely win, Kann Massee</v>
      </c>
    </row>
    <row r="12494" ht="15.75" customHeight="1">
      <c r="A12494" s="1">
        <v>13774.0</v>
      </c>
      <c r="B12494" s="3" t="s">
        <v>35425</v>
      </c>
      <c r="C12494" s="3">
        <v>0.0</v>
      </c>
      <c r="D12494" s="3">
        <v>0.0</v>
      </c>
      <c r="E12494" s="3">
        <v>0.0</v>
      </c>
      <c r="F12494" s="3" t="s">
        <v>35368</v>
      </c>
      <c r="G12494" s="3">
        <v>0.0</v>
      </c>
      <c r="H12494" s="3">
        <v>0.0</v>
      </c>
      <c r="I12494" s="3" t="s">
        <v>13</v>
      </c>
      <c r="J12494" s="3" t="s">
        <v>35369</v>
      </c>
      <c r="K12494" s="3" t="s">
        <v>433</v>
      </c>
      <c r="L12494" s="3" t="str">
        <f>IFERROR(__xludf.DUMMYFUNCTION("GOOGLETRANSLATE(F12494,""id"",""en"")"),"Aet Argentina France Messi Maria Mbappe Pen Possessions Shots Tackles Argentina Champion World Cup Semarang")</f>
        <v>Aet Argentina France Messi Maria Mbappe Pen Possessions Shots Tackles Argentina Champion World Cup Semarang</v>
      </c>
    </row>
    <row r="12495" ht="15.75" customHeight="1">
      <c r="A12495" s="1">
        <v>13775.0</v>
      </c>
      <c r="B12495" s="3" t="s">
        <v>35426</v>
      </c>
      <c r="C12495" s="3">
        <v>0.0</v>
      </c>
      <c r="D12495" s="3">
        <v>0.0</v>
      </c>
      <c r="E12495" s="3">
        <v>0.0</v>
      </c>
      <c r="F12495" s="3" t="s">
        <v>35427</v>
      </c>
      <c r="G12495" s="3">
        <v>0.0</v>
      </c>
      <c r="H12495" s="3">
        <v>0.0</v>
      </c>
      <c r="I12495" s="3" t="s">
        <v>13</v>
      </c>
      <c r="J12495" s="3" t="s">
        <v>35428</v>
      </c>
      <c r="K12495" s="3" t="s">
        <v>31</v>
      </c>
      <c r="L12495" s="3" t="str">
        <f>IFERROR(__xludf.DUMMYFUNCTION("GOOGLETRANSLATE(F12495,""id"",""en"")"),"deliberately for this again so that the Argentina championship")</f>
        <v>deliberately for this again so that the Argentina championship</v>
      </c>
    </row>
    <row r="12496" ht="15.75" customHeight="1">
      <c r="A12496" s="1">
        <v>13776.0</v>
      </c>
      <c r="B12496" s="3" t="s">
        <v>35429</v>
      </c>
      <c r="C12496" s="3">
        <v>0.0</v>
      </c>
      <c r="D12496" s="3">
        <v>0.0</v>
      </c>
      <c r="E12496" s="3">
        <v>0.0</v>
      </c>
      <c r="F12496" s="3" t="s">
        <v>35430</v>
      </c>
      <c r="G12496" s="3">
        <v>0.0</v>
      </c>
      <c r="H12496" s="3">
        <v>0.0</v>
      </c>
      <c r="I12496" s="3" t="s">
        <v>13</v>
      </c>
      <c r="J12496" s="3" t="s">
        <v>35431</v>
      </c>
      <c r="K12496" s="3" t="s">
        <v>942</v>
      </c>
      <c r="L12496" s="3" t="str">
        <f>IFERROR(__xludf.DUMMYFUNCTION("GOOGLETRANSLATE(F12496,""id"",""en"")"),"Portrait of Happiness Argentina World Cup Champion Check Articles About the World Cup")</f>
        <v>Portrait of Happiness Argentina World Cup Champion Check Articles About the World Cup</v>
      </c>
    </row>
    <row r="12497" ht="15.75" customHeight="1">
      <c r="A12497" s="1">
        <v>13777.0</v>
      </c>
      <c r="B12497" s="3" t="s">
        <v>35432</v>
      </c>
      <c r="C12497" s="3">
        <v>1.0</v>
      </c>
      <c r="D12497" s="3">
        <v>0.0</v>
      </c>
      <c r="E12497" s="3">
        <v>0.0</v>
      </c>
      <c r="F12497" s="3" t="s">
        <v>35430</v>
      </c>
      <c r="G12497" s="3">
        <v>0.0</v>
      </c>
      <c r="H12497" s="3">
        <v>0.0</v>
      </c>
      <c r="I12497" s="3" t="s">
        <v>13</v>
      </c>
      <c r="J12497" s="3" t="s">
        <v>35431</v>
      </c>
      <c r="K12497" s="3" t="s">
        <v>942</v>
      </c>
      <c r="L12497" s="3" t="str">
        <f>IFERROR(__xludf.DUMMYFUNCTION("GOOGLETRANSLATE(F12497,""id"",""en"")"),"Portrait of Happiness Argentina World Cup Champion Check Articles About the World Cup")</f>
        <v>Portrait of Happiness Argentina World Cup Champion Check Articles About the World Cup</v>
      </c>
    </row>
    <row r="12498" ht="15.75" customHeight="1">
      <c r="A12498" s="1">
        <v>13778.0</v>
      </c>
      <c r="B12498" s="3" t="s">
        <v>35433</v>
      </c>
      <c r="C12498" s="3">
        <v>0.0</v>
      </c>
      <c r="D12498" s="3">
        <v>0.0</v>
      </c>
      <c r="E12498" s="3">
        <v>0.0</v>
      </c>
      <c r="F12498" s="3" t="s">
        <v>35434</v>
      </c>
      <c r="G12498" s="3">
        <v>0.3333333333333333</v>
      </c>
      <c r="H12498" s="3">
        <v>0.1666666666666667</v>
      </c>
      <c r="I12498" s="3" t="s">
        <v>48</v>
      </c>
      <c r="J12498" s="3" t="s">
        <v>35435</v>
      </c>
      <c r="K12498" s="3" t="s">
        <v>603</v>
      </c>
      <c r="L12498" s="3" t="str">
        <f>IFERROR(__xludf.DUMMYFUNCTION("GOOGLETRANSLATE(F12498,""id"",""en"")"),"Very disgusted with the word netijen mbappe and wooden trunk against Argentina mbappe emg holding playing well really soccer playing teams are chess")</f>
        <v>Very disgusted with the word netijen mbappe and wooden trunk against Argentina mbappe emg holding playing well really soccer playing teams are chess</v>
      </c>
    </row>
    <row r="12499" ht="15.75" customHeight="1">
      <c r="A12499" s="1">
        <v>13779.0</v>
      </c>
      <c r="B12499" s="3" t="s">
        <v>35436</v>
      </c>
      <c r="C12499" s="3">
        <v>0.0</v>
      </c>
      <c r="D12499" s="3">
        <v>1.0</v>
      </c>
      <c r="E12499" s="3">
        <v>2.0</v>
      </c>
      <c r="F12499" s="3" t="s">
        <v>35437</v>
      </c>
      <c r="G12499" s="3">
        <v>0.0</v>
      </c>
      <c r="H12499" s="3">
        <v>0.0</v>
      </c>
      <c r="I12499" s="3" t="s">
        <v>13</v>
      </c>
      <c r="J12499" s="3" t="s">
        <v>35438</v>
      </c>
      <c r="K12499" s="3" t="s">
        <v>2117</v>
      </c>
      <c r="L12499" s="3" t="str">
        <f>IFERROR(__xludf.DUMMYFUNCTION("GOOGLETRANSLATE(F12499,""id"",""en"")"),"Finally world champion")</f>
        <v>Finally world champion</v>
      </c>
    </row>
    <row r="12500" ht="15.75" customHeight="1">
      <c r="A12500" s="1">
        <v>13780.0</v>
      </c>
      <c r="B12500" s="3" t="s">
        <v>35439</v>
      </c>
      <c r="C12500" s="3">
        <v>0.0</v>
      </c>
      <c r="D12500" s="3">
        <v>0.0</v>
      </c>
      <c r="E12500" s="3">
        <v>0.0</v>
      </c>
      <c r="F12500" s="3" t="s">
        <v>35440</v>
      </c>
      <c r="G12500" s="3">
        <v>0.0</v>
      </c>
      <c r="H12500" s="3">
        <v>0.0</v>
      </c>
      <c r="I12500" s="3" t="s">
        <v>13</v>
      </c>
      <c r="J12500" s="3" t="s">
        <v>35441</v>
      </c>
      <c r="K12500" s="3" t="s">
        <v>244</v>
      </c>
      <c r="L12500" s="3" t="str">
        <f>IFERROR(__xludf.DUMMYFUNCTION("GOOGLETRANSLATE(F12500,""id"",""en"")"),"Ameh France Opo Argentina Champion Step Dekne Seng Champion Neng Atimu")</f>
        <v>Ameh France Opo Argentina Champion Step Dekne Seng Champion Neng Atimu</v>
      </c>
    </row>
    <row r="12501" ht="15.75" customHeight="1">
      <c r="A12501" s="1">
        <v>13782.0</v>
      </c>
      <c r="B12501" s="3" t="s">
        <v>35442</v>
      </c>
      <c r="C12501" s="3">
        <v>0.0</v>
      </c>
      <c r="D12501" s="3">
        <v>0.0</v>
      </c>
      <c r="E12501" s="3">
        <v>0.0</v>
      </c>
      <c r="F12501" s="3" t="s">
        <v>35443</v>
      </c>
      <c r="G12501" s="3">
        <v>0.0</v>
      </c>
      <c r="H12501" s="3">
        <v>0.0</v>
      </c>
      <c r="I12501" s="3" t="s">
        <v>13</v>
      </c>
      <c r="J12501" s="3" t="s">
        <v>35444</v>
      </c>
      <c r="K12501" s="3" t="s">
        <v>75</v>
      </c>
      <c r="L12501" s="3" t="str">
        <f>IFERROR(__xludf.DUMMYFUNCTION("GOOGLETRANSLATE(F12501,""id"",""en"")"),"Argentina France Scoring and Pinalty Arguing Results Argetina World Cup Champion")</f>
        <v>Argentina France Scoring and Pinalty Arguing Results Argetina World Cup Champion</v>
      </c>
    </row>
    <row r="12502" ht="15.75" customHeight="1">
      <c r="A12502" s="1">
        <v>13783.0</v>
      </c>
      <c r="B12502" s="3" t="s">
        <v>35445</v>
      </c>
      <c r="C12502" s="3">
        <v>0.0</v>
      </c>
      <c r="D12502" s="3">
        <v>0.0</v>
      </c>
      <c r="E12502" s="3">
        <v>0.0</v>
      </c>
      <c r="F12502" s="3" t="s">
        <v>35446</v>
      </c>
      <c r="G12502" s="3">
        <v>0.0</v>
      </c>
      <c r="H12502" s="3">
        <v>0.0</v>
      </c>
      <c r="I12502" s="3" t="s">
        <v>13</v>
      </c>
      <c r="J12502" s="3" t="s">
        <v>35447</v>
      </c>
      <c r="K12502" s="3" t="s">
        <v>715</v>
      </c>
      <c r="L12502" s="3" t="str">
        <f>IFERROR(__xludf.DUMMYFUNCTION("GOOGLETRANSLATE(F12502,""id"",""en"")"),"Even though it is as duk, even though Argentina is tested if it is pressed if fate says Argentina is the champion, Argentina will still win even though in what way it is")</f>
        <v>Even though it is as duk, even though Argentina is tested if it is pressed if fate says Argentina is the champion, Argentina will still win even though in what way it is</v>
      </c>
    </row>
    <row r="12503" ht="15.75" customHeight="1">
      <c r="A12503" s="1">
        <v>13784.0</v>
      </c>
      <c r="B12503" s="3" t="s">
        <v>35448</v>
      </c>
      <c r="C12503" s="3">
        <v>0.0</v>
      </c>
      <c r="D12503" s="3">
        <v>0.0</v>
      </c>
      <c r="E12503" s="3">
        <v>2.0</v>
      </c>
      <c r="F12503" s="3" t="s">
        <v>35449</v>
      </c>
      <c r="G12503" s="3">
        <v>0.0</v>
      </c>
      <c r="H12503" s="3">
        <v>0.0</v>
      </c>
      <c r="I12503" s="3" t="s">
        <v>13</v>
      </c>
      <c r="J12503" s="3" t="s">
        <v>35450</v>
      </c>
      <c r="K12503" s="3" t="s">
        <v>50</v>
      </c>
      <c r="L12503" s="3" t="str">
        <f>IFERROR(__xludf.DUMMYFUNCTION("GOOGLETRANSLATE(F12503,""id"",""en"")"),"Proof of Goat Messi and Argentina Champion who cannot be dammed Hat Trick Mbappe")</f>
        <v>Proof of Goat Messi and Argentina Champion who cannot be dammed Hat Trick Mbappe</v>
      </c>
    </row>
    <row r="12504" ht="15.75" customHeight="1">
      <c r="A12504" s="1">
        <v>13785.0</v>
      </c>
      <c r="B12504" s="3" t="s">
        <v>35451</v>
      </c>
      <c r="C12504" s="3">
        <v>0.0</v>
      </c>
      <c r="D12504" s="3">
        <v>0.0</v>
      </c>
      <c r="E12504" s="3">
        <v>2.0</v>
      </c>
      <c r="F12504" s="3" t="s">
        <v>35449</v>
      </c>
      <c r="G12504" s="3">
        <v>0.0</v>
      </c>
      <c r="H12504" s="3">
        <v>0.0</v>
      </c>
      <c r="I12504" s="3" t="s">
        <v>13</v>
      </c>
      <c r="J12504" s="3" t="s">
        <v>35450</v>
      </c>
      <c r="K12504" s="3" t="s">
        <v>50</v>
      </c>
      <c r="L12504" s="3" t="str">
        <f>IFERROR(__xludf.DUMMYFUNCTION("GOOGLETRANSLATE(F12504,""id"",""en"")"),"Proof of Goat Messi and Argentina Champion who cannot be dammed Hat Trick Mbappe")</f>
        <v>Proof of Goat Messi and Argentina Champion who cannot be dammed Hat Trick Mbappe</v>
      </c>
    </row>
    <row r="12505" ht="15.75" customHeight="1">
      <c r="A12505" s="1">
        <v>13786.0</v>
      </c>
      <c r="B12505" s="3" t="s">
        <v>35452</v>
      </c>
      <c r="C12505" s="3">
        <v>0.0</v>
      </c>
      <c r="D12505" s="3">
        <v>0.0</v>
      </c>
      <c r="E12505" s="3">
        <v>0.0</v>
      </c>
      <c r="F12505" s="3" t="s">
        <v>20542</v>
      </c>
      <c r="G12505" s="3">
        <v>0.0</v>
      </c>
      <c r="H12505" s="3">
        <v>0.0</v>
      </c>
      <c r="I12505" s="3" t="s">
        <v>13</v>
      </c>
      <c r="J12505" s="3" t="s">
        <v>20543</v>
      </c>
      <c r="K12505" s="3" t="s">
        <v>2117</v>
      </c>
      <c r="L12505" s="3" t="str">
        <f>IFERROR(__xludf.DUMMYFUNCTION("GOOGLETRANSLATE(F12505,""id"",""en"")"),"Argentina World Champion")</f>
        <v>Argentina World Champion</v>
      </c>
    </row>
    <row r="12506" ht="15.75" customHeight="1">
      <c r="A12506" s="1">
        <v>13787.0</v>
      </c>
      <c r="B12506" s="3" t="s">
        <v>35453</v>
      </c>
      <c r="C12506" s="3">
        <v>0.0</v>
      </c>
      <c r="D12506" s="3">
        <v>0.0</v>
      </c>
      <c r="E12506" s="3">
        <v>0.0</v>
      </c>
      <c r="F12506" s="3" t="s">
        <v>35454</v>
      </c>
      <c r="G12506" s="3">
        <v>0.0</v>
      </c>
      <c r="H12506" s="3">
        <v>0.0</v>
      </c>
      <c r="I12506" s="3" t="s">
        <v>13</v>
      </c>
      <c r="J12506" s="3" t="s">
        <v>35455</v>
      </c>
      <c r="K12506" s="3" t="s">
        <v>15</v>
      </c>
      <c r="L12506" s="3" t="str">
        <f>IFERROR(__xludf.DUMMYFUNCTION("GOOGLETRANSLATE(F12506,""id"",""en"")"),"tired of being tired but Argentina is indeed worthy of championship")</f>
        <v>tired of being tired but Argentina is indeed worthy of championship</v>
      </c>
    </row>
    <row r="12507" ht="15.75" customHeight="1">
      <c r="A12507" s="1">
        <v>13789.0</v>
      </c>
      <c r="B12507" s="3" t="s">
        <v>35456</v>
      </c>
      <c r="C12507" s="3">
        <v>7.0</v>
      </c>
      <c r="D12507" s="3">
        <v>16.0</v>
      </c>
      <c r="E12507" s="3">
        <v>145.0</v>
      </c>
      <c r="F12507" s="3" t="s">
        <v>35457</v>
      </c>
      <c r="G12507" s="3">
        <v>0.0</v>
      </c>
      <c r="H12507" s="3">
        <v>0.0</v>
      </c>
      <c r="I12507" s="3" t="s">
        <v>13</v>
      </c>
      <c r="J12507" s="3" t="s">
        <v>35458</v>
      </c>
      <c r="K12507" s="3" t="s">
        <v>823</v>
      </c>
      <c r="L12507" s="3" t="str">
        <f>IFERROR(__xludf.DUMMYFUNCTION("GOOGLETRANSLATE(F12507,""id"",""en"")"),"My best friend Bung Fecho said that we support this Argentina without cooking analysis until we die, don't see Argentina champions again since the last year and it takes the year to wait for Lionel Messi and all Argentina supporters")</f>
        <v>My best friend Bung Fecho said that we support this Argentina without cooking analysis until we die, don't see Argentina champions again since the last year and it takes the year to wait for Lionel Messi and all Argentina supporters</v>
      </c>
    </row>
    <row r="12508" ht="15.75" customHeight="1">
      <c r="A12508" s="1">
        <v>13790.0</v>
      </c>
      <c r="B12508" s="3" t="s">
        <v>35459</v>
      </c>
      <c r="C12508" s="3">
        <v>2.0</v>
      </c>
      <c r="D12508" s="3">
        <v>0.0</v>
      </c>
      <c r="E12508" s="3">
        <v>1.0</v>
      </c>
      <c r="F12508" s="3" t="s">
        <v>35460</v>
      </c>
      <c r="G12508" s="3">
        <v>0.0</v>
      </c>
      <c r="H12508" s="3">
        <v>0.0</v>
      </c>
      <c r="I12508" s="3" t="s">
        <v>13</v>
      </c>
      <c r="J12508" s="3" t="s">
        <v>35461</v>
      </c>
      <c r="K12508" s="3" t="s">
        <v>433</v>
      </c>
      <c r="L12508" s="3" t="str">
        <f>IFERROR(__xludf.DUMMYFUNCTION("GOOGLETRANSLATE(F12508,""id"",""en"")"),"Feeling Tokcer is right when Nobar is the same as France, the champion is only the Argentina")</f>
        <v>Feeling Tokcer is right when Nobar is the same as France, the champion is only the Argentina</v>
      </c>
    </row>
    <row r="12509" ht="15.75" customHeight="1">
      <c r="A12509" s="1">
        <v>13791.0</v>
      </c>
      <c r="B12509" s="3" t="s">
        <v>35462</v>
      </c>
      <c r="C12509" s="3">
        <v>4.0</v>
      </c>
      <c r="D12509" s="3">
        <v>0.0</v>
      </c>
      <c r="E12509" s="3">
        <v>1.0</v>
      </c>
      <c r="F12509" s="3" t="s">
        <v>35463</v>
      </c>
      <c r="G12509" s="3">
        <v>0.0</v>
      </c>
      <c r="H12509" s="3">
        <v>0.0</v>
      </c>
      <c r="I12509" s="3" t="s">
        <v>13</v>
      </c>
      <c r="J12509" s="3" t="s">
        <v>35464</v>
      </c>
      <c r="K12509" s="3" t="s">
        <v>54</v>
      </c>
      <c r="L12509" s="3" t="str">
        <f>IFERROR(__xludf.DUMMYFUNCTION("GOOGLETRANSLATE(F12509,""id"",""en"")"),"Argentina Thanksgiving Champion Giveaway Balance Money")</f>
        <v>Argentina Thanksgiving Champion Giveaway Balance Money</v>
      </c>
    </row>
    <row r="12510" ht="15.75" customHeight="1">
      <c r="A12510" s="1">
        <v>13792.0</v>
      </c>
      <c r="B12510" s="3" t="s">
        <v>35465</v>
      </c>
      <c r="C12510" s="3">
        <v>0.0</v>
      </c>
      <c r="D12510" s="3">
        <v>0.0</v>
      </c>
      <c r="E12510" s="3">
        <v>3.0</v>
      </c>
      <c r="F12510" s="3" t="s">
        <v>35466</v>
      </c>
      <c r="G12510" s="3">
        <v>0.0</v>
      </c>
      <c r="H12510" s="3">
        <v>0.0</v>
      </c>
      <c r="I12510" s="3" t="s">
        <v>13</v>
      </c>
      <c r="J12510" s="3" t="s">
        <v>35467</v>
      </c>
      <c r="K12510" s="3" t="s">
        <v>1479</v>
      </c>
      <c r="L12510" s="3" t="str">
        <f>IFERROR(__xludf.DUMMYFUNCTION("GOOGLETRANSLATE(F12510,""id"",""en"")"),"Maradona, if you pay attention to the year when Maradona is a world champion, his left hand refers to the Qatar flag when Argentina returns to the world champion")</f>
        <v>Maradona, if you pay attention to the year when Maradona is a world champion, his left hand refers to the Qatar flag when Argentina returns to the world champion</v>
      </c>
    </row>
    <row r="12511" ht="15.75" customHeight="1">
      <c r="A12511" s="1">
        <v>13793.0</v>
      </c>
      <c r="B12511" s="3" t="s">
        <v>35468</v>
      </c>
      <c r="C12511" s="3">
        <v>0.0</v>
      </c>
      <c r="D12511" s="3">
        <v>0.0</v>
      </c>
      <c r="E12511" s="3">
        <v>0.0</v>
      </c>
      <c r="F12511" s="3" t="s">
        <v>35469</v>
      </c>
      <c r="G12511" s="3">
        <v>0.0</v>
      </c>
      <c r="H12511" s="3">
        <v>0.0</v>
      </c>
      <c r="I12511" s="3" t="s">
        <v>13</v>
      </c>
      <c r="J12511" s="3" t="s">
        <v>35470</v>
      </c>
      <c r="K12511" s="3" t="s">
        <v>41</v>
      </c>
      <c r="L12511" s="3" t="str">
        <f>IFERROR(__xludf.DUMMYFUNCTION("GOOGLETRANSLATE(F12511,""id"",""en"")"),"frozen there are just dodo fans wkw God setting for Argentina champions")</f>
        <v>frozen there are just dodo fans wkw God setting for Argentina champions</v>
      </c>
    </row>
    <row r="12512" ht="15.75" customHeight="1">
      <c r="A12512" s="1">
        <v>13795.0</v>
      </c>
      <c r="B12512" s="3" t="s">
        <v>35471</v>
      </c>
      <c r="C12512" s="3">
        <v>0.0</v>
      </c>
      <c r="D12512" s="3">
        <v>0.0</v>
      </c>
      <c r="E12512" s="3">
        <v>0.0</v>
      </c>
      <c r="F12512" s="3" t="s">
        <v>35472</v>
      </c>
      <c r="G12512" s="3">
        <v>0.0</v>
      </c>
      <c r="H12512" s="3">
        <v>0.0</v>
      </c>
      <c r="I12512" s="3" t="s">
        <v>13</v>
      </c>
      <c r="J12512" s="3" t="s">
        <v>35473</v>
      </c>
      <c r="K12512" s="3" t="s">
        <v>1097</v>
      </c>
      <c r="L12512" s="3" t="str">
        <f>IFERROR(__xludf.DUMMYFUNCTION("GOOGLETRANSLATE(F12512,""id"",""en"")"),"Reverse Arabic that defeated Argentina means Arabic who champions")</f>
        <v>Reverse Arabic that defeated Argentina means Arabic who champions</v>
      </c>
    </row>
    <row r="12513" ht="15.75" customHeight="1">
      <c r="A12513" s="1">
        <v>13796.0</v>
      </c>
      <c r="B12513" s="3" t="s">
        <v>35474</v>
      </c>
      <c r="C12513" s="3">
        <v>0.0</v>
      </c>
      <c r="D12513" s="3">
        <v>0.0</v>
      </c>
      <c r="E12513" s="3">
        <v>0.0</v>
      </c>
      <c r="F12513" s="3" t="s">
        <v>35475</v>
      </c>
      <c r="G12513" s="3">
        <v>0.0</v>
      </c>
      <c r="H12513" s="3">
        <v>0.0</v>
      </c>
      <c r="I12513" s="3" t="s">
        <v>13</v>
      </c>
      <c r="J12513" s="3" t="s">
        <v>35476</v>
      </c>
      <c r="K12513" s="3" t="s">
        <v>15</v>
      </c>
      <c r="L12513" s="3" t="str">
        <f>IFERROR(__xludf.DUMMYFUNCTION("GOOGLETRANSLATE(F12513,""id"",""en"")"),"If Argentina failed the championship who was behind the enemy of the country")</f>
        <v>If Argentina failed the championship who was behind the enemy of the country</v>
      </c>
    </row>
    <row r="12514" ht="15.75" customHeight="1">
      <c r="A12514" s="1">
        <v>13797.0</v>
      </c>
      <c r="B12514" s="3" t="s">
        <v>35477</v>
      </c>
      <c r="C12514" s="3">
        <v>0.0</v>
      </c>
      <c r="D12514" s="3">
        <v>0.0</v>
      </c>
      <c r="E12514" s="3">
        <v>0.0</v>
      </c>
      <c r="F12514" s="3" t="s">
        <v>35478</v>
      </c>
      <c r="G12514" s="3">
        <v>0.0</v>
      </c>
      <c r="H12514" s="3">
        <v>0.0</v>
      </c>
      <c r="I12514" s="3" t="s">
        <v>13</v>
      </c>
      <c r="J12514" s="3" t="s">
        <v>35479</v>
      </c>
      <c r="K12514" s="3" t="s">
        <v>19</v>
      </c>
      <c r="L12514" s="3" t="str">
        <f>IFERROR(__xludf.DUMMYFUNCTION("GOOGLETRANSLATE(F12514,""id"",""en"")"),"Argentina champions imagine how happy my father is now because of the worshipers of Messi")</f>
        <v>Argentina champions imagine how happy my father is now because of the worshipers of Messi</v>
      </c>
    </row>
    <row r="12515" ht="15.75" customHeight="1">
      <c r="A12515" s="1">
        <v>13798.0</v>
      </c>
      <c r="B12515" s="3" t="s">
        <v>35480</v>
      </c>
      <c r="C12515" s="3">
        <v>0.0</v>
      </c>
      <c r="D12515" s="3">
        <v>0.0</v>
      </c>
      <c r="E12515" s="3">
        <v>0.0</v>
      </c>
      <c r="F12515" s="3" t="s">
        <v>35481</v>
      </c>
      <c r="G12515" s="3">
        <v>0.0</v>
      </c>
      <c r="H12515" s="3">
        <v>0.0</v>
      </c>
      <c r="I12515" s="3" t="s">
        <v>13</v>
      </c>
      <c r="J12515" s="3" t="s">
        <v>35482</v>
      </c>
      <c r="K12515" s="3" t="s">
        <v>1265</v>
      </c>
      <c r="L12515" s="3" t="str">
        <f>IFERROR(__xludf.DUMMYFUNCTION("GOOGLETRANSLATE(F12515,""id"",""en"")"),"Want to say he said he floped for his arrgentina kekak kek Kek important he was a world champion")</f>
        <v>Want to say he said he floped for his arrgentina kekak kek Kek important he was a world champion</v>
      </c>
    </row>
    <row r="12516" ht="15.75" customHeight="1">
      <c r="A12516" s="1">
        <v>13799.0</v>
      </c>
      <c r="B12516" s="3" t="s">
        <v>35483</v>
      </c>
      <c r="C12516" s="3">
        <v>0.0</v>
      </c>
      <c r="D12516" s="3">
        <v>0.0</v>
      </c>
      <c r="E12516" s="3">
        <v>2.0</v>
      </c>
      <c r="F12516" s="3" t="s">
        <v>35484</v>
      </c>
      <c r="G12516" s="3">
        <v>0.0</v>
      </c>
      <c r="H12516" s="3">
        <v>0.0</v>
      </c>
      <c r="I12516" s="3" t="s">
        <v>13</v>
      </c>
      <c r="J12516" s="3" t="s">
        <v>35485</v>
      </c>
      <c r="K12516" s="3" t="s">
        <v>1097</v>
      </c>
      <c r="L12516" s="3" t="str">
        <f>IFERROR(__xludf.DUMMYFUNCTION("GOOGLETRANSLATE(F12516,""id"",""en"")"),"Anjaaaaay Happy Argentina World Cup Champion Congratulations also Babang Messi")</f>
        <v>Anjaaaaay Happy Argentina World Cup Champion Congratulations also Babang Messi</v>
      </c>
    </row>
    <row r="12517" ht="15.75" customHeight="1">
      <c r="A12517" s="1">
        <v>13800.0</v>
      </c>
      <c r="B12517" s="3" t="s">
        <v>35486</v>
      </c>
      <c r="C12517" s="3">
        <v>0.0</v>
      </c>
      <c r="D12517" s="3">
        <v>0.0</v>
      </c>
      <c r="E12517" s="3">
        <v>1.0</v>
      </c>
      <c r="F12517" s="3" t="s">
        <v>35487</v>
      </c>
      <c r="G12517" s="3">
        <v>0.0</v>
      </c>
      <c r="H12517" s="3">
        <v>0.0</v>
      </c>
      <c r="I12517" s="3" t="s">
        <v>13</v>
      </c>
      <c r="J12517" s="3" t="s">
        <v>35488</v>
      </c>
      <c r="K12517" s="3" t="s">
        <v>71</v>
      </c>
      <c r="L12517" s="3" t="str">
        <f>IFERROR(__xludf.DUMMYFUNCTION("GOOGLETRANSLATE(F12517,""id"",""en"")"),"The World Cup teaches us not to be said to be the beginning of the messi champion, but it's really great Argentina")</f>
        <v>The World Cup teaches us not to be said to be the beginning of the messi champion, but it's really great Argentina</v>
      </c>
    </row>
    <row r="12518" ht="15.75" customHeight="1">
      <c r="A12518" s="1">
        <v>13801.0</v>
      </c>
      <c r="B12518" s="3" t="s">
        <v>35489</v>
      </c>
      <c r="C12518" s="3">
        <v>1.0</v>
      </c>
      <c r="D12518" s="3">
        <v>0.0</v>
      </c>
      <c r="E12518" s="3">
        <v>0.0</v>
      </c>
      <c r="F12518" s="3" t="s">
        <v>35490</v>
      </c>
      <c r="G12518" s="3">
        <v>0.0</v>
      </c>
      <c r="H12518" s="3">
        <v>0.0</v>
      </c>
      <c r="I12518" s="3" t="s">
        <v>13</v>
      </c>
      <c r="J12518" s="3" t="s">
        <v>35491</v>
      </c>
      <c r="K12518" s="3" t="s">
        <v>1628</v>
      </c>
      <c r="L12518" s="3" t="str">
        <f>IFERROR(__xludf.DUMMYFUNCTION("GOOGLETRANSLATE(F12518,""id"",""en"")"),"The score is considered fair enough to see from the hard work and ups and downs of the two teams to win Argentina and Messi deserves the champion there is no arrangement there is no conspiracy or whatever is Argentina deserves the championship")</f>
        <v>The score is considered fair enough to see from the hard work and ups and downs of the two teams to win Argentina and Messi deserves the champion there is no arrangement there is no conspiracy or whatever is Argentina deserves the championship</v>
      </c>
    </row>
    <row r="12519" ht="15.75" customHeight="1">
      <c r="A12519" s="1">
        <v>13802.0</v>
      </c>
      <c r="B12519" s="3" t="s">
        <v>35492</v>
      </c>
      <c r="C12519" s="3">
        <v>1.0</v>
      </c>
      <c r="D12519" s="3">
        <v>0.0</v>
      </c>
      <c r="E12519" s="3">
        <v>0.0</v>
      </c>
      <c r="F12519" s="3" t="s">
        <v>35493</v>
      </c>
      <c r="G12519" s="3">
        <v>0.0</v>
      </c>
      <c r="H12519" s="3">
        <v>0.0</v>
      </c>
      <c r="I12519" s="3" t="s">
        <v>13</v>
      </c>
      <c r="J12519" s="3" t="s">
        <v>35494</v>
      </c>
      <c r="K12519" s="3" t="s">
        <v>1699</v>
      </c>
      <c r="L12519" s="3" t="str">
        <f>IFERROR(__xludf.DUMMYFUNCTION("GOOGLETRANSLATE(F12519,""id"",""en"")"),"Mhiii I enjoy the results of winning the taroan first, the point is that Argentina is the champion, I don't lose a loss for me today, even return on investment, please if you still want to bacot")</f>
        <v>Mhiii I enjoy the results of winning the taroan first, the point is that Argentina is the champion, I don't lose a loss for me today, even return on investment, please if you still want to bacot</v>
      </c>
    </row>
    <row r="12520" ht="15.75" customHeight="1">
      <c r="A12520" s="1">
        <v>13803.0</v>
      </c>
      <c r="B12520" s="3" t="s">
        <v>35495</v>
      </c>
      <c r="C12520" s="3">
        <v>0.0</v>
      </c>
      <c r="D12520" s="3">
        <v>0.0</v>
      </c>
      <c r="E12520" s="3">
        <v>0.0</v>
      </c>
      <c r="F12520" s="3" t="s">
        <v>35496</v>
      </c>
      <c r="G12520" s="3">
        <v>0.5714285714285714</v>
      </c>
      <c r="H12520" s="3">
        <v>0.3571428571428572</v>
      </c>
      <c r="I12520" s="3" t="s">
        <v>48</v>
      </c>
      <c r="J12520" s="3" t="s">
        <v>35497</v>
      </c>
      <c r="K12520" s="3" t="s">
        <v>603</v>
      </c>
      <c r="L12520" s="3" t="str">
        <f>IFERROR(__xludf.DUMMYFUNCTION("GOOGLETRANSLATE(F12520,""id"",""en"")"),"Even Neymar Dani Alves Rivaldo Brazilian people support Argentina for the sake of seeing Messi champions, people make a rivalry of Brazil Argentina disappear for a moment")</f>
        <v>Even Neymar Dani Alves Rivaldo Brazilian people support Argentina for the sake of seeing Messi champions, people make a rivalry of Brazil Argentina disappear for a moment</v>
      </c>
    </row>
    <row r="12521" ht="15.75" customHeight="1">
      <c r="A12521" s="1">
        <v>13804.0</v>
      </c>
      <c r="B12521" s="3" t="s">
        <v>35498</v>
      </c>
      <c r="C12521" s="3">
        <v>0.0</v>
      </c>
      <c r="D12521" s="3">
        <v>0.0</v>
      </c>
      <c r="E12521" s="3">
        <v>0.0</v>
      </c>
      <c r="F12521" s="3" t="s">
        <v>35499</v>
      </c>
      <c r="G12521" s="3">
        <v>0.0</v>
      </c>
      <c r="H12521" s="3">
        <v>0.0</v>
      </c>
      <c r="I12521" s="3" t="s">
        <v>13</v>
      </c>
      <c r="J12521" s="3" t="s">
        <v>35500</v>
      </c>
      <c r="K12521" s="3" t="s">
        <v>433</v>
      </c>
      <c r="L12521" s="3" t="str">
        <f>IFERROR(__xludf.DUMMYFUNCTION("GOOGLETRANSLATE(F12521,""id"",""en"")"),"Argentine Argentine Highlights Video Argentina World Cup Champion wins penalties after a draw for minutes")</f>
        <v>Argentine Argentine Highlights Video Argentina World Cup Champion wins penalties after a draw for minutes</v>
      </c>
    </row>
    <row r="12522" ht="15.75" customHeight="1">
      <c r="A12522" s="1">
        <v>13806.0</v>
      </c>
      <c r="B12522" s="3" t="s">
        <v>35501</v>
      </c>
      <c r="C12522" s="3">
        <v>0.0</v>
      </c>
      <c r="D12522" s="3">
        <v>0.0</v>
      </c>
      <c r="E12522" s="3">
        <v>0.0</v>
      </c>
      <c r="F12522" s="3" t="s">
        <v>35502</v>
      </c>
      <c r="G12522" s="3">
        <v>0.0</v>
      </c>
      <c r="H12522" s="3">
        <v>0.0</v>
      </c>
      <c r="I12522" s="3" t="s">
        <v>13</v>
      </c>
      <c r="J12522" s="3" t="s">
        <v>35503</v>
      </c>
      <c r="K12522" s="3" t="s">
        <v>236</v>
      </c>
      <c r="L12522" s="3" t="str">
        <f>IFERROR(__xludf.DUMMYFUNCTION("GOOGLETRANSLATE(F12522,""id"",""en"")"),"Argentina World Cup Champion But Champion in the hearts of Twitter Step Mbape")</f>
        <v>Argentina World Cup Champion But Champion in the hearts of Twitter Step Mbape</v>
      </c>
    </row>
    <row r="12523" ht="15.75" customHeight="1">
      <c r="A12523" s="1">
        <v>13807.0</v>
      </c>
      <c r="B12523" s="3" t="s">
        <v>35504</v>
      </c>
      <c r="C12523" s="3">
        <v>0.0</v>
      </c>
      <c r="D12523" s="3">
        <v>0.0</v>
      </c>
      <c r="E12523" s="3">
        <v>0.0</v>
      </c>
      <c r="F12523" s="3" t="s">
        <v>35505</v>
      </c>
      <c r="G12523" s="3">
        <v>0.1</v>
      </c>
      <c r="H12523" s="3">
        <v>0.0</v>
      </c>
      <c r="I12523" s="3" t="s">
        <v>13</v>
      </c>
      <c r="J12523" s="3" t="s">
        <v>35506</v>
      </c>
      <c r="K12523" s="3" t="s">
        <v>899</v>
      </c>
      <c r="L12523" s="3" t="str">
        <f>IFERROR(__xludf.DUMMYFUNCTION("GOOGLETRANSLATE(F12523,""id"",""en"")"),"Anjir Argentina has champions for some Ronaldo fans still saying that the settings if the settings are like Mbappe can print a goal hat trick, even France wants to win extra time crazy feel like I don't accept wkwkwkwkwkwkwkwkwkwkwkwkwkwkwkwkwkwkwkwkwkwkw"&amp;"kwkwkwkwkwkwkwkwkwkwkwkwkwkwkwkwkwkwkwkwkwkwkwkwkwkwkwkwkwkwkwkwkwkwkwkwkwkwkwkwkwkwkwkwkwkwkwkw")</f>
        <v>Anjir Argentina has champions for some Ronaldo fans still saying that the settings if the settings are like Mbappe can print a goal hat trick, even France wants to win extra time crazy feel like I don't accept wkwkwkwkwkwkwkwkwkwkwkwkwkwkwkwkwkwkwkwkwkwkwkwkwkwkwkwkwkwkwkwkwkwkwkwkwkwkwkwkwkwkwkwkwkwkwkwkwkwkwkwkwkwkwkwkwkwkwkwkwkwkwkwkwkwkwkwkwkwkw</v>
      </c>
    </row>
    <row r="12524" ht="15.75" customHeight="1">
      <c r="A12524" s="1">
        <v>13808.0</v>
      </c>
      <c r="B12524" s="3" t="s">
        <v>35507</v>
      </c>
      <c r="C12524" s="3">
        <v>0.0</v>
      </c>
      <c r="D12524" s="3">
        <v>0.0</v>
      </c>
      <c r="E12524" s="3">
        <v>0.0</v>
      </c>
      <c r="F12524" s="3" t="s">
        <v>35508</v>
      </c>
      <c r="G12524" s="3">
        <v>0.0</v>
      </c>
      <c r="H12524" s="3">
        <v>0.0</v>
      </c>
      <c r="I12524" s="3" t="s">
        <v>13</v>
      </c>
      <c r="J12524" s="3" t="s">
        <v>35509</v>
      </c>
      <c r="K12524" s="3" t="s">
        <v>58</v>
      </c>
      <c r="L12524" s="3" t="str">
        <f>IFERROR(__xludf.DUMMYFUNCTION("GOOGLETRANSLATE(F12524,""id"",""en"")"),"Ngersitwit This is the problem because Messi after the champion of the pildun with Argentina Congrats Messi congratulations on completing football")</f>
        <v>Ngersitwit This is the problem because Messi after the champion of the pildun with Argentina Congrats Messi congratulations on completing football</v>
      </c>
    </row>
    <row r="12525" ht="15.75" customHeight="1">
      <c r="A12525" s="1">
        <v>13809.0</v>
      </c>
      <c r="B12525" s="3" t="s">
        <v>35510</v>
      </c>
      <c r="C12525" s="3">
        <v>0.0</v>
      </c>
      <c r="D12525" s="3">
        <v>1.0</v>
      </c>
      <c r="E12525" s="3">
        <v>1.0</v>
      </c>
      <c r="F12525" s="3" t="s">
        <v>35511</v>
      </c>
      <c r="G12525" s="3">
        <v>0.0</v>
      </c>
      <c r="H12525" s="3">
        <v>0.0</v>
      </c>
      <c r="I12525" s="3" t="s">
        <v>13</v>
      </c>
      <c r="J12525" s="3" t="s">
        <v>35512</v>
      </c>
      <c r="K12525" s="3" t="s">
        <v>149</v>
      </c>
      <c r="L12525" s="3" t="str">
        <f>IFERROR(__xludf.DUMMYFUNCTION("GOOGLETRANSLATE(F12525,""id"",""en"")"),"Congratulations to Mas Kir and Gus, who were happy this morning, I welcomed Argentina's victory while I had to be gracefully delayed until when PKB became a champion like Argentina")</f>
        <v>Congratulations to Mas Kir and Gus, who were happy this morning, I welcomed Argentina's victory while I had to be gracefully delayed until when PKB became a champion like Argentina</v>
      </c>
    </row>
    <row r="12526" ht="15.75" customHeight="1">
      <c r="A12526" s="1">
        <v>13810.0</v>
      </c>
      <c r="B12526" s="3" t="s">
        <v>35513</v>
      </c>
      <c r="C12526" s="3">
        <v>0.0</v>
      </c>
      <c r="D12526" s="3">
        <v>1.0</v>
      </c>
      <c r="E12526" s="3">
        <v>2.0</v>
      </c>
      <c r="F12526" s="3" t="s">
        <v>32966</v>
      </c>
      <c r="G12526" s="3">
        <v>0.0</v>
      </c>
      <c r="H12526" s="3">
        <v>0.0</v>
      </c>
      <c r="I12526" s="3" t="s">
        <v>13</v>
      </c>
      <c r="J12526" s="3" t="s">
        <v>32967</v>
      </c>
      <c r="K12526" s="3" t="s">
        <v>31</v>
      </c>
      <c r="L12526" s="3" t="str">
        <f>IFERROR(__xludf.DUMMYFUNCTION("GOOGLETRANSLATE(F12526,""id"",""en"")"),"Drama Argentina World Cup Champion")</f>
        <v>Drama Argentina World Cup Champion</v>
      </c>
    </row>
    <row r="12527" ht="15.75" customHeight="1">
      <c r="A12527" s="1">
        <v>13813.0</v>
      </c>
      <c r="B12527" s="3" t="s">
        <v>35514</v>
      </c>
      <c r="C12527" s="3">
        <v>0.0</v>
      </c>
      <c r="D12527" s="3">
        <v>0.0</v>
      </c>
      <c r="E12527" s="3">
        <v>0.0</v>
      </c>
      <c r="F12527" s="3" t="s">
        <v>35515</v>
      </c>
      <c r="G12527" s="3">
        <v>0.0</v>
      </c>
      <c r="H12527" s="3">
        <v>0.0</v>
      </c>
      <c r="I12527" s="3" t="s">
        <v>13</v>
      </c>
      <c r="J12527" s="3" t="s">
        <v>35516</v>
      </c>
      <c r="K12527" s="3" t="s">
        <v>1304</v>
      </c>
      <c r="L12527" s="3" t="str">
        <f>IFERROR(__xludf.DUMMYFUNCTION("GOOGLETRANSLATE(F12527,""id"",""en"")"),"Acehkini Happy Argentina Champion of the Qatar World Cup Thus after the World Cup Match Thank you Qatar for hosting the extraordinary World Cup")</f>
        <v>Acehkini Happy Argentina Champion of the Qatar World Cup Thus after the World Cup Match Thank you Qatar for hosting the extraordinary World Cup</v>
      </c>
    </row>
    <row r="12528" ht="15.75" customHeight="1">
      <c r="A12528" s="1">
        <v>13814.0</v>
      </c>
      <c r="B12528" s="3" t="s">
        <v>35517</v>
      </c>
      <c r="C12528" s="3">
        <v>0.0</v>
      </c>
      <c r="D12528" s="3">
        <v>3.0</v>
      </c>
      <c r="E12528" s="3">
        <v>69.0</v>
      </c>
      <c r="F12528" s="3" t="s">
        <v>35518</v>
      </c>
      <c r="G12528" s="3">
        <v>1.0</v>
      </c>
      <c r="H12528" s="3">
        <v>1.0</v>
      </c>
      <c r="I12528" s="3" t="s">
        <v>48</v>
      </c>
      <c r="J12528" s="3" t="s">
        <v>35519</v>
      </c>
      <c r="K12528" s="3" t="s">
        <v>484</v>
      </c>
      <c r="L12528" s="3" t="str">
        <f>IFERROR(__xludf.DUMMYFUNCTION("GOOGLETRANSLATE(F12528,""id"",""en"")"),"Congratulations to Messi and friends congratulations to Argentina World Champion FIFA World Cup Qatar Greatest All Time")</f>
        <v>Congratulations to Messi and friends congratulations to Argentina World Champion FIFA World Cup Qatar Greatest All Time</v>
      </c>
    </row>
    <row r="12529" ht="15.75" customHeight="1">
      <c r="A12529" s="1">
        <v>13815.0</v>
      </c>
      <c r="B12529" s="3" t="s">
        <v>35520</v>
      </c>
      <c r="C12529" s="3">
        <v>1.0</v>
      </c>
      <c r="D12529" s="3">
        <v>0.0</v>
      </c>
      <c r="E12529" s="3">
        <v>1.0</v>
      </c>
      <c r="F12529" s="3" t="s">
        <v>35521</v>
      </c>
      <c r="G12529" s="3">
        <v>0.0</v>
      </c>
      <c r="H12529" s="3">
        <v>0.0</v>
      </c>
      <c r="I12529" s="3" t="s">
        <v>13</v>
      </c>
      <c r="J12529" s="3" t="s">
        <v>35522</v>
      </c>
      <c r="K12529" s="3" t="s">
        <v>82</v>
      </c>
      <c r="L12529" s="3" t="str">
        <f>IFERROR(__xludf.DUMMYFUNCTION("GOOGLETRANSLATE(F12529,""id"",""en"")"),"Beautiful Kaka is a photo of Argentina Jersey Champion Copa")</f>
        <v>Beautiful Kaka is a photo of Argentina Jersey Champion Copa</v>
      </c>
    </row>
    <row r="12530" ht="15.75" customHeight="1">
      <c r="A12530" s="1">
        <v>13816.0</v>
      </c>
      <c r="B12530" s="3" t="s">
        <v>35523</v>
      </c>
      <c r="C12530" s="3">
        <v>0.0</v>
      </c>
      <c r="D12530" s="3">
        <v>0.0</v>
      </c>
      <c r="E12530" s="3">
        <v>0.0</v>
      </c>
      <c r="F12530" s="3" t="s">
        <v>35524</v>
      </c>
      <c r="G12530" s="3">
        <v>0.3</v>
      </c>
      <c r="H12530" s="3">
        <v>0.2</v>
      </c>
      <c r="I12530" s="3" t="s">
        <v>48</v>
      </c>
      <c r="J12530" s="3" t="s">
        <v>35525</v>
      </c>
      <c r="K12530" s="3" t="s">
        <v>41</v>
      </c>
      <c r="L12530" s="3" t="str">
        <f>IFERROR(__xludf.DUMMYFUNCTION("GOOGLETRANSLATE(F12530,""id"",""en"")"),"Congratz Argentina World Cup Champion Messi The Real Goat")</f>
        <v>Congratz Argentina World Cup Champion Messi The Real Goat</v>
      </c>
    </row>
    <row r="12531" ht="15.75" customHeight="1">
      <c r="A12531" s="1">
        <v>13817.0</v>
      </c>
      <c r="B12531" s="3" t="s">
        <v>35526</v>
      </c>
      <c r="C12531" s="3">
        <v>0.0</v>
      </c>
      <c r="D12531" s="3">
        <v>0.0</v>
      </c>
      <c r="E12531" s="3">
        <v>0.0</v>
      </c>
      <c r="F12531" s="3" t="s">
        <v>35527</v>
      </c>
      <c r="G12531" s="3">
        <v>0.0</v>
      </c>
      <c r="H12531" s="3">
        <v>0.0</v>
      </c>
      <c r="I12531" s="3" t="s">
        <v>13</v>
      </c>
      <c r="J12531" s="3" t="s">
        <v>35528</v>
      </c>
      <c r="K12531" s="3" t="s">
        <v>31</v>
      </c>
      <c r="L12531" s="3" t="str">
        <f>IFERROR(__xludf.DUMMYFUNCTION("GOOGLETRANSLATE(F12531,""id"",""en"")"),"he said if Argentina the champion would be for money for money")</f>
        <v>he said if Argentina the champion would be for money for money</v>
      </c>
    </row>
    <row r="12532" ht="15.75" customHeight="1">
      <c r="A12532" s="1">
        <v>13818.0</v>
      </c>
      <c r="B12532" s="3" t="s">
        <v>35529</v>
      </c>
      <c r="C12532" s="3">
        <v>0.0</v>
      </c>
      <c r="D12532" s="3">
        <v>0.0</v>
      </c>
      <c r="E12532" s="3">
        <v>0.0</v>
      </c>
      <c r="F12532" s="3" t="s">
        <v>35530</v>
      </c>
      <c r="G12532" s="3">
        <v>0.0</v>
      </c>
      <c r="H12532" s="3">
        <v>0.0</v>
      </c>
      <c r="I12532" s="3" t="s">
        <v>13</v>
      </c>
      <c r="J12532" s="3" t="s">
        <v>35531</v>
      </c>
      <c r="K12532" s="3" t="s">
        <v>19</v>
      </c>
      <c r="L12532" s="3" t="str">
        <f>IFERROR(__xludf.DUMMYFUNCTION("GOOGLETRANSLATE(F12532,""id"",""en"")"),"Netizen's reaction after Argentina Champion World Cup Debate Goat was finished winning Lionel Messi")</f>
        <v>Netizen's reaction after Argentina Champion World Cup Debate Goat was finished winning Lionel Messi</v>
      </c>
    </row>
    <row r="12533" ht="15.75" customHeight="1">
      <c r="A12533" s="1">
        <v>13819.0</v>
      </c>
      <c r="B12533" s="3" t="s">
        <v>35532</v>
      </c>
      <c r="C12533" s="3">
        <v>0.0</v>
      </c>
      <c r="D12533" s="3">
        <v>0.0</v>
      </c>
      <c r="E12533" s="3">
        <v>0.0</v>
      </c>
      <c r="F12533" s="3" t="s">
        <v>35203</v>
      </c>
      <c r="G12533" s="3">
        <v>0.0</v>
      </c>
      <c r="H12533" s="3">
        <v>0.0</v>
      </c>
      <c r="I12533" s="3" t="s">
        <v>13</v>
      </c>
      <c r="J12533" s="3" t="s">
        <v>35204</v>
      </c>
      <c r="K12533" s="3" t="s">
        <v>633</v>
      </c>
      <c r="L12533" s="3" t="str">
        <f>IFERROR(__xludf.DUMMYFUNCTION("GOOGLETRANSLATE(F12533,""id"",""en"")"),"Argentine President Alberto Fernandez uploaded a selfie photo with his wife Fabiola Yanez and the front child after Argentina won the World Cup")</f>
        <v>Argentine President Alberto Fernandez uploaded a selfie photo with his wife Fabiola Yanez and the front child after Argentina won the World Cup</v>
      </c>
    </row>
    <row r="12534" ht="15.75" customHeight="1">
      <c r="A12534" s="1">
        <v>13820.0</v>
      </c>
      <c r="B12534" s="3" t="s">
        <v>35533</v>
      </c>
      <c r="C12534" s="3">
        <v>0.0</v>
      </c>
      <c r="D12534" s="3">
        <v>0.0</v>
      </c>
      <c r="E12534" s="3">
        <v>14.0</v>
      </c>
      <c r="F12534" s="3" t="s">
        <v>35534</v>
      </c>
      <c r="G12534" s="3">
        <v>0.0</v>
      </c>
      <c r="H12534" s="3">
        <v>0.0</v>
      </c>
      <c r="I12534" s="3" t="s">
        <v>13</v>
      </c>
      <c r="J12534" s="3" t="s">
        <v>35535</v>
      </c>
      <c r="K12534" s="3" t="s">
        <v>19</v>
      </c>
      <c r="L12534" s="3" t="str">
        <f>IFERROR(__xludf.DUMMYFUNCTION("GOOGLETRANSLATE(F12534,""id"",""en"")"),"Argentina World Cup Results Champion There is a smile of the MESSI Hugged Mother Via")</f>
        <v>Argentina World Cup Results Champion There is a smile of the MESSI Hugged Mother Via</v>
      </c>
    </row>
    <row r="12535" ht="15.75" customHeight="1">
      <c r="A12535" s="1">
        <v>13821.0</v>
      </c>
      <c r="B12535" s="3" t="s">
        <v>35536</v>
      </c>
      <c r="C12535" s="3">
        <v>0.0</v>
      </c>
      <c r="D12535" s="3">
        <v>0.0</v>
      </c>
      <c r="E12535" s="3">
        <v>0.0</v>
      </c>
      <c r="F12535" s="3" t="s">
        <v>35537</v>
      </c>
      <c r="G12535" s="3">
        <v>0.0</v>
      </c>
      <c r="H12535" s="3">
        <v>0.0</v>
      </c>
      <c r="I12535" s="3" t="s">
        <v>13</v>
      </c>
      <c r="J12535" s="3" t="s">
        <v>35538</v>
      </c>
      <c r="K12535" s="3" t="s">
        <v>437</v>
      </c>
      <c r="L12535" s="3" t="str">
        <f>IFERROR(__xludf.DUMMYFUNCTION("GOOGLETRANSLATE(F12535,""id"",""en"")"),"No Suggestions for French Support Ojo Opening Tiktok Sekti Must Home Mung Kebak Argentina Champion")</f>
        <v>No Suggestions for French Support Ojo Opening Tiktok Sekti Must Home Mung Kebak Argentina Champion</v>
      </c>
    </row>
    <row r="12536" ht="15.75" customHeight="1">
      <c r="A12536" s="1">
        <v>13822.0</v>
      </c>
      <c r="B12536" s="3" t="s">
        <v>35539</v>
      </c>
      <c r="C12536" s="3">
        <v>3.0</v>
      </c>
      <c r="D12536" s="3">
        <v>8.0</v>
      </c>
      <c r="E12536" s="3">
        <v>81.0</v>
      </c>
      <c r="F12536" s="3" t="s">
        <v>35540</v>
      </c>
      <c r="G12536" s="3">
        <v>0.0</v>
      </c>
      <c r="H12536" s="3">
        <v>0.0</v>
      </c>
      <c r="I12536" s="3" t="s">
        <v>13</v>
      </c>
      <c r="J12536" s="3" t="s">
        <v>35541</v>
      </c>
      <c r="K12536" s="3" t="s">
        <v>54</v>
      </c>
      <c r="L12536" s="3" t="str">
        <f>IFERROR(__xludf.DUMMYFUNCTION("GOOGLETRANSLATE(F12536,""id"",""en"")"),"One of the reasons Argentina champions pildun")</f>
        <v>One of the reasons Argentina champions pildun</v>
      </c>
    </row>
    <row r="12537" ht="15.75" customHeight="1">
      <c r="A12537" s="1">
        <v>13823.0</v>
      </c>
      <c r="B12537" s="3" t="s">
        <v>35542</v>
      </c>
      <c r="C12537" s="3">
        <v>0.0</v>
      </c>
      <c r="D12537" s="3">
        <v>0.0</v>
      </c>
      <c r="E12537" s="3">
        <v>0.0</v>
      </c>
      <c r="F12537" s="3" t="s">
        <v>35543</v>
      </c>
      <c r="G12537" s="3">
        <v>0.0</v>
      </c>
      <c r="H12537" s="3">
        <v>0.0</v>
      </c>
      <c r="I12537" s="3" t="s">
        <v>13</v>
      </c>
      <c r="J12537" s="3" t="s">
        <v>35544</v>
      </c>
      <c r="K12537" s="3" t="s">
        <v>50</v>
      </c>
      <c r="L12537" s="3" t="str">
        <f>IFERROR(__xludf.DUMMYFUNCTION("GOOGLETRANSLATE(F12537,""id"",""en"")"),"Argentina came out as World Cup champions after conquering France through penalties")</f>
        <v>Argentina came out as World Cup champions after conquering France through penalties</v>
      </c>
    </row>
    <row r="12538" ht="15.75" customHeight="1">
      <c r="A12538" s="1">
        <v>13824.0</v>
      </c>
      <c r="B12538" s="3" t="s">
        <v>35545</v>
      </c>
      <c r="C12538" s="3">
        <v>0.0</v>
      </c>
      <c r="D12538" s="3">
        <v>0.0</v>
      </c>
      <c r="E12538" s="3">
        <v>0.0</v>
      </c>
      <c r="F12538" s="3" t="s">
        <v>35546</v>
      </c>
      <c r="G12538" s="3">
        <v>0.0</v>
      </c>
      <c r="H12538" s="3">
        <v>0.0</v>
      </c>
      <c r="I12538" s="3" t="s">
        <v>13</v>
      </c>
      <c r="J12538" s="3" t="s">
        <v>35547</v>
      </c>
      <c r="K12538" s="3" t="s">
        <v>644</v>
      </c>
      <c r="L12538" s="3" t="str">
        <f>IFERROR(__xludf.DUMMYFUNCTION("GOOGLETRANSLATE(F12538,""id"",""en"")"),"Happy Argentina to become champions")</f>
        <v>Happy Argentina to become champions</v>
      </c>
    </row>
    <row r="12539" ht="15.75" customHeight="1">
      <c r="A12539" s="1">
        <v>13825.0</v>
      </c>
      <c r="B12539" s="3" t="s">
        <v>35548</v>
      </c>
      <c r="C12539" s="3">
        <v>0.0</v>
      </c>
      <c r="D12539" s="3">
        <v>0.0</v>
      </c>
      <c r="E12539" s="3">
        <v>0.0</v>
      </c>
      <c r="F12539" s="3" t="s">
        <v>35203</v>
      </c>
      <c r="G12539" s="3">
        <v>0.0</v>
      </c>
      <c r="H12539" s="3">
        <v>0.0</v>
      </c>
      <c r="I12539" s="3" t="s">
        <v>13</v>
      </c>
      <c r="J12539" s="3" t="s">
        <v>35204</v>
      </c>
      <c r="K12539" s="3" t="s">
        <v>633</v>
      </c>
      <c r="L12539" s="3" t="str">
        <f>IFERROR(__xludf.DUMMYFUNCTION("GOOGLETRANSLATE(F12539,""id"",""en"")"),"Argentine President Alberto Fernandez uploaded a selfie photo with his wife Fabiola Yanez and the front child after Argentina won the World Cup")</f>
        <v>Argentine President Alberto Fernandez uploaded a selfie photo with his wife Fabiola Yanez and the front child after Argentina won the World Cup</v>
      </c>
    </row>
    <row r="12540" ht="15.75" customHeight="1">
      <c r="A12540" s="1">
        <v>13826.0</v>
      </c>
      <c r="B12540" s="3" t="s">
        <v>35549</v>
      </c>
      <c r="C12540" s="3">
        <v>0.0</v>
      </c>
      <c r="D12540" s="3">
        <v>0.0</v>
      </c>
      <c r="E12540" s="3">
        <v>0.0</v>
      </c>
      <c r="F12540" s="3" t="s">
        <v>35550</v>
      </c>
      <c r="G12540" s="3">
        <v>0.0</v>
      </c>
      <c r="H12540" s="3">
        <v>0.0</v>
      </c>
      <c r="I12540" s="3" t="s">
        <v>13</v>
      </c>
      <c r="J12540" s="3" t="s">
        <v>35551</v>
      </c>
      <c r="K12540" s="3" t="s">
        <v>1925</v>
      </c>
      <c r="L12540" s="3" t="str">
        <f>IFERROR(__xludf.DUMMYFUNCTION("GOOGLETRANSLATE(F12540,""id"",""en"")"),"Happy Maradona see Messi debut with Argentina Cup against Serbian Montenegro may now be happy to see Messi World Cup champion with Argentina")</f>
        <v>Happy Maradona see Messi debut with Argentina Cup against Serbian Montenegro may now be happy to see Messi World Cup champion with Argentina</v>
      </c>
    </row>
    <row r="12541" ht="15.75" customHeight="1">
      <c r="A12541" s="1">
        <v>13827.0</v>
      </c>
      <c r="B12541" s="3" t="s">
        <v>35552</v>
      </c>
      <c r="C12541" s="3">
        <v>0.0</v>
      </c>
      <c r="D12541" s="3">
        <v>0.0</v>
      </c>
      <c r="E12541" s="3">
        <v>0.0</v>
      </c>
      <c r="F12541" s="3" t="s">
        <v>35553</v>
      </c>
      <c r="G12541" s="3">
        <v>0.0</v>
      </c>
      <c r="H12541" s="3">
        <v>0.0</v>
      </c>
      <c r="I12541" s="3" t="s">
        <v>13</v>
      </c>
      <c r="J12541" s="3" t="s">
        <v>35554</v>
      </c>
      <c r="K12541" s="3" t="s">
        <v>1428</v>
      </c>
      <c r="L12541" s="3" t="str">
        <f>IFERROR(__xludf.DUMMYFUNCTION("GOOGLETRANSLATE(F12541,""id"",""en"")"),"Argentina Congratulations after a long wait during the last year of the World Cup champion Argentina can win the World Cup for the third time and one of the most beautiful gifts for Lionel Messi et al")</f>
        <v>Argentina Congratulations after a long wait during the last year of the World Cup champion Argentina can win the World Cup for the third time and one of the most beautiful gifts for Lionel Messi et al</v>
      </c>
    </row>
    <row r="12542" ht="15.75" customHeight="1">
      <c r="A12542" s="1">
        <v>13828.0</v>
      </c>
      <c r="B12542" s="3" t="s">
        <v>35555</v>
      </c>
      <c r="C12542" s="3">
        <v>0.0</v>
      </c>
      <c r="D12542" s="3">
        <v>0.0</v>
      </c>
      <c r="E12542" s="3">
        <v>2.0</v>
      </c>
      <c r="F12542" s="3" t="s">
        <v>35556</v>
      </c>
      <c r="G12542" s="3">
        <v>0.0</v>
      </c>
      <c r="H12542" s="3">
        <v>0.0</v>
      </c>
      <c r="I12542" s="3" t="s">
        <v>13</v>
      </c>
      <c r="J12542" s="3" t="s">
        <v>35557</v>
      </c>
      <c r="K12542" s="3" t="s">
        <v>15</v>
      </c>
      <c r="L12542" s="3" t="str">
        <f>IFERROR(__xludf.DUMMYFUNCTION("GOOGLETRANSLATE(F12542,""id"",""en"")"),"Tumpaskutan France Argentine Penalty Champion World Cup Champion")</f>
        <v>Tumpaskutan France Argentine Penalty Champion World Cup Champion</v>
      </c>
    </row>
    <row r="12543" ht="15.75" customHeight="1">
      <c r="A12543" s="1">
        <v>13829.0</v>
      </c>
      <c r="B12543" s="3" t="s">
        <v>35558</v>
      </c>
      <c r="C12543" s="3">
        <v>0.0</v>
      </c>
      <c r="D12543" s="3">
        <v>3.0</v>
      </c>
      <c r="E12543" s="3">
        <v>3.0</v>
      </c>
      <c r="F12543" s="3" t="s">
        <v>35559</v>
      </c>
      <c r="G12543" s="3">
        <v>1.0</v>
      </c>
      <c r="H12543" s="3">
        <v>0.0</v>
      </c>
      <c r="I12543" s="3" t="s">
        <v>13</v>
      </c>
      <c r="J12543" s="3" t="s">
        <v>35560</v>
      </c>
      <c r="K12543" s="3" t="s">
        <v>205</v>
      </c>
      <c r="L12543" s="3" t="str">
        <f>IFERROR(__xludf.DUMMYFUNCTION("GOOGLETRANSLATE(F12543,""id"",""en"")"),"Congratulations to the Argentina Team to become world champion after going through the final match very exciting against France the two teams are as good")</f>
        <v>Congratulations to the Argentina Team to become world champion after going through the final match very exciting against France the two teams are as good</v>
      </c>
    </row>
    <row r="12544" ht="15.75" customHeight="1">
      <c r="A12544" s="1">
        <v>13830.0</v>
      </c>
      <c r="B12544" s="3" t="s">
        <v>35561</v>
      </c>
      <c r="C12544" s="3">
        <v>0.0</v>
      </c>
      <c r="D12544" s="3">
        <v>0.0</v>
      </c>
      <c r="E12544" s="3">
        <v>1.0</v>
      </c>
      <c r="F12544" s="3" t="s">
        <v>24632</v>
      </c>
      <c r="G12544" s="3">
        <v>0.0</v>
      </c>
      <c r="H12544" s="3">
        <v>0.0</v>
      </c>
      <c r="I12544" s="3" t="s">
        <v>13</v>
      </c>
      <c r="J12544" s="3" t="s">
        <v>24633</v>
      </c>
      <c r="K12544" s="3" t="s">
        <v>31</v>
      </c>
      <c r="L12544" s="3" t="str">
        <f>IFERROR(__xludf.DUMMYFUNCTION("GOOGLETRANSLATE(F12544,""id"",""en"")"),"Argentina World Cup World Champion")</f>
        <v>Argentina World Cup World Champion</v>
      </c>
    </row>
    <row r="12545" ht="15.75" customHeight="1">
      <c r="A12545" s="1">
        <v>13832.0</v>
      </c>
      <c r="B12545" s="3" t="s">
        <v>35562</v>
      </c>
      <c r="C12545" s="3">
        <v>0.0</v>
      </c>
      <c r="D12545" s="3">
        <v>0.0</v>
      </c>
      <c r="E12545" s="3">
        <v>7.0</v>
      </c>
      <c r="F12545" s="3" t="s">
        <v>35563</v>
      </c>
      <c r="G12545" s="3">
        <v>0.0</v>
      </c>
      <c r="H12545" s="3">
        <v>0.0</v>
      </c>
      <c r="I12545" s="3" t="s">
        <v>13</v>
      </c>
      <c r="J12545" s="3" t="s">
        <v>35564</v>
      </c>
      <c r="K12545" s="3" t="s">
        <v>15</v>
      </c>
      <c r="L12545" s="3" t="str">
        <f>IFERROR(__xludf.DUMMYFUNCTION("GOOGLETRANSLATE(F12545,""id"",""en"")"),"Argentina World Champion But Morocco The People Champion")</f>
        <v>Argentina World Champion But Morocco The People Champion</v>
      </c>
    </row>
    <row r="12546" ht="15.75" customHeight="1">
      <c r="A12546" s="1">
        <v>13833.0</v>
      </c>
      <c r="B12546" s="3" t="s">
        <v>35565</v>
      </c>
      <c r="C12546" s="3">
        <v>0.0</v>
      </c>
      <c r="D12546" s="3">
        <v>0.0</v>
      </c>
      <c r="E12546" s="3">
        <v>0.0</v>
      </c>
      <c r="F12546" s="3" t="s">
        <v>35566</v>
      </c>
      <c r="G12546" s="3">
        <v>0.0</v>
      </c>
      <c r="H12546" s="3">
        <v>0.0</v>
      </c>
      <c r="I12546" s="3" t="s">
        <v>13</v>
      </c>
      <c r="J12546" s="3" t="s">
        <v>35567</v>
      </c>
      <c r="K12546" s="3" t="s">
        <v>2215</v>
      </c>
      <c r="L12546" s="3" t="str">
        <f>IFERROR(__xludf.DUMMYFUNCTION("GOOGLETRANSLATE(F12546,""id"",""en"")"),"The Argentine national team came out as the World Cup champion so finally there was another world champion from outside Europe after the old year")</f>
        <v>The Argentine national team came out as the World Cup champion so finally there was another world champion from outside Europe after the old year</v>
      </c>
    </row>
    <row r="12547" ht="15.75" customHeight="1">
      <c r="A12547" s="1">
        <v>13834.0</v>
      </c>
      <c r="B12547" s="3" t="s">
        <v>35568</v>
      </c>
      <c r="C12547" s="3">
        <v>0.0</v>
      </c>
      <c r="D12547" s="3">
        <v>0.0</v>
      </c>
      <c r="E12547" s="3">
        <v>1.0</v>
      </c>
      <c r="F12547" s="3" t="s">
        <v>35569</v>
      </c>
      <c r="G12547" s="3">
        <v>0.0</v>
      </c>
      <c r="H12547" s="3">
        <v>0.0</v>
      </c>
      <c r="I12547" s="3" t="s">
        <v>13</v>
      </c>
      <c r="J12547" s="3" t="s">
        <v>35570</v>
      </c>
      <c r="K12547" s="3" t="s">
        <v>699</v>
      </c>
      <c r="L12547" s="3" t="str">
        <f>IFERROR(__xludf.DUMMYFUNCTION("GOOGLETRANSLATE(F12547,""id"",""en"")"),"Argentina Congratulation Argentina won the Qatar World Cup after defeating Francis through a penalty kick with a penalty score")</f>
        <v>Argentina Congratulation Argentina won the Qatar World Cup after defeating Francis through a penalty kick with a penalty score</v>
      </c>
    </row>
    <row r="12548" ht="15.75" customHeight="1">
      <c r="A12548" s="1">
        <v>13835.0</v>
      </c>
      <c r="B12548" s="3" t="s">
        <v>35571</v>
      </c>
      <c r="C12548" s="3">
        <v>0.0</v>
      </c>
      <c r="D12548" s="3">
        <v>0.0</v>
      </c>
      <c r="E12548" s="3">
        <v>0.0</v>
      </c>
      <c r="F12548" s="3" t="s">
        <v>35572</v>
      </c>
      <c r="G12548" s="3">
        <v>0.0</v>
      </c>
      <c r="H12548" s="3">
        <v>0.0</v>
      </c>
      <c r="I12548" s="3" t="s">
        <v>13</v>
      </c>
      <c r="J12548" s="3" t="s">
        <v>35573</v>
      </c>
      <c r="K12548" s="3" t="s">
        <v>2117</v>
      </c>
      <c r="L12548" s="3" t="str">
        <f>IFERROR(__xludf.DUMMYFUNCTION("GOOGLETRANSLATE(F12548,""id"",""en"")"),"Argentina Champion Debate")</f>
        <v>Argentina Champion Debate</v>
      </c>
    </row>
    <row r="12549" ht="15.75" customHeight="1">
      <c r="A12549" s="1">
        <v>13836.0</v>
      </c>
      <c r="B12549" s="3" t="s">
        <v>35574</v>
      </c>
      <c r="C12549" s="3">
        <v>1.0</v>
      </c>
      <c r="D12549" s="3">
        <v>0.0</v>
      </c>
      <c r="E12549" s="3">
        <v>0.0</v>
      </c>
      <c r="F12549" s="3" t="s">
        <v>35575</v>
      </c>
      <c r="G12549" s="3">
        <v>0.5</v>
      </c>
      <c r="H12549" s="3">
        <v>0.0</v>
      </c>
      <c r="I12549" s="3" t="s">
        <v>13</v>
      </c>
      <c r="J12549" s="3" t="s">
        <v>35576</v>
      </c>
      <c r="K12549" s="3" t="s">
        <v>149</v>
      </c>
      <c r="L12549" s="3" t="str">
        <f>IFERROR(__xludf.DUMMYFUNCTION("GOOGLETRANSLATE(F12549,""id"",""en"")"),"well, they are proven, they come back, plus there is a penalty, too, thiss, there is a lot of factors, but the most ready team is the winner and Argentina deserves the championship")</f>
        <v>well, they are proven, they come back, plus there is a penalty, too, thiss, there is a lot of factors, but the most ready team is the winner and Argentina deserves the championship</v>
      </c>
    </row>
    <row r="12550" ht="15.75" customHeight="1">
      <c r="A12550" s="1">
        <v>13837.0</v>
      </c>
      <c r="B12550" s="3" t="s">
        <v>35577</v>
      </c>
      <c r="C12550" s="3">
        <v>0.0</v>
      </c>
      <c r="D12550" s="3">
        <v>1.0</v>
      </c>
      <c r="E12550" s="3">
        <v>0.0</v>
      </c>
      <c r="F12550" s="3" t="s">
        <v>35578</v>
      </c>
      <c r="G12550" s="3">
        <v>0.0</v>
      </c>
      <c r="H12550" s="3">
        <v>0.0</v>
      </c>
      <c r="I12550" s="3" t="s">
        <v>13</v>
      </c>
      <c r="J12550" s="3" t="s">
        <v>35579</v>
      </c>
      <c r="K12550" s="3" t="s">
        <v>12562</v>
      </c>
      <c r="L12550" s="3" t="str">
        <f>IFERROR(__xludf.DUMMYFUNCTION("GOOGLETRANSLATE(F12550,""id"",""en"")"),"Winning Pinalty Adu not Argentina Wjar French President Emanuel Macron Macron TWITER Argentina President Pinalty Champion Do not MRSA Magi JDI World Cup champion because of the winnings not to win absolutely no Argentina JDI JDI World Cup Champion")</f>
        <v>Winning Pinalty Adu not Argentina Wjar French President Emanuel Macron Macron TWITER Argentina President Pinalty Champion Do not MRSA Magi JDI World Cup champion because of the winnings not to win absolutely no Argentina JDI JDI World Cup Champion</v>
      </c>
    </row>
    <row r="12551" ht="15.75" customHeight="1">
      <c r="A12551" s="1">
        <v>13838.0</v>
      </c>
      <c r="B12551" s="3" t="s">
        <v>35580</v>
      </c>
      <c r="C12551" s="3">
        <v>0.0</v>
      </c>
      <c r="D12551" s="3">
        <v>0.0</v>
      </c>
      <c r="E12551" s="3">
        <v>0.0</v>
      </c>
      <c r="F12551" s="3" t="s">
        <v>35581</v>
      </c>
      <c r="G12551" s="3">
        <v>0.0</v>
      </c>
      <c r="H12551" s="3">
        <v>0.0</v>
      </c>
      <c r="I12551" s="3" t="s">
        <v>13</v>
      </c>
      <c r="J12551" s="3" t="s">
        <v>35582</v>
      </c>
      <c r="K12551" s="3" t="s">
        <v>2117</v>
      </c>
      <c r="L12551" s="3" t="str">
        <f>IFERROR(__xludf.DUMMYFUNCTION("GOOGLETRANSLATE(F12551,""id"",""en"")"),"Argentina Champion Because of Settings")</f>
        <v>Argentina Champion Because of Settings</v>
      </c>
    </row>
    <row r="12552" ht="15.75" customHeight="1">
      <c r="A12552" s="1">
        <v>13839.0</v>
      </c>
      <c r="B12552" s="3" t="s">
        <v>35583</v>
      </c>
      <c r="C12552" s="3">
        <v>0.0</v>
      </c>
      <c r="D12552" s="3">
        <v>0.0</v>
      </c>
      <c r="E12552" s="3">
        <v>0.0</v>
      </c>
      <c r="F12552" s="3" t="s">
        <v>35584</v>
      </c>
      <c r="G12552" s="3">
        <v>0.0</v>
      </c>
      <c r="H12552" s="3">
        <v>0.0</v>
      </c>
      <c r="I12552" s="3" t="s">
        <v>13</v>
      </c>
      <c r="J12552" s="3" t="s">
        <v>35585</v>
      </c>
      <c r="K12552" s="3" t="s">
        <v>2117</v>
      </c>
      <c r="L12552" s="3" t="str">
        <f>IFERROR(__xludf.DUMMYFUNCTION("GOOGLETRANSLATE(F12552,""id"",""en"")"),"Argentina Champion Cuyyy")</f>
        <v>Argentina Champion Cuyyy</v>
      </c>
    </row>
    <row r="12553" ht="15.75" customHeight="1">
      <c r="A12553" s="1">
        <v>13840.0</v>
      </c>
      <c r="B12553" s="3" t="s">
        <v>35586</v>
      </c>
      <c r="C12553" s="3">
        <v>5.0</v>
      </c>
      <c r="D12553" s="3">
        <v>44.0</v>
      </c>
      <c r="E12553" s="3">
        <v>576.0</v>
      </c>
      <c r="F12553" s="3" t="s">
        <v>35587</v>
      </c>
      <c r="G12553" s="3">
        <v>0.0</v>
      </c>
      <c r="H12553" s="3">
        <v>0.0</v>
      </c>
      <c r="I12553" s="3" t="s">
        <v>13</v>
      </c>
      <c r="J12553" s="3" t="s">
        <v>35588</v>
      </c>
      <c r="K12553" s="3" t="s">
        <v>236</v>
      </c>
      <c r="L12553" s="3" t="str">
        <f>IFERROR(__xludf.DUMMYFUNCTION("GOOGLETRANSLATE(F12553,""id"",""en"")"),"wait for Messi is my wait since long ago I really wanted to be Argentina in the world champion")</f>
        <v>wait for Messi is my wait since long ago I really wanted to be Argentina in the world champion</v>
      </c>
    </row>
    <row r="12554" ht="15.75" customHeight="1">
      <c r="A12554" s="1">
        <v>13841.0</v>
      </c>
      <c r="B12554" s="3" t="s">
        <v>35589</v>
      </c>
      <c r="C12554" s="3">
        <v>0.0</v>
      </c>
      <c r="D12554" s="3">
        <v>0.0</v>
      </c>
      <c r="E12554" s="3">
        <v>0.0</v>
      </c>
      <c r="F12554" s="3" t="s">
        <v>35590</v>
      </c>
      <c r="G12554" s="3">
        <v>0.0</v>
      </c>
      <c r="H12554" s="3">
        <v>0.0</v>
      </c>
      <c r="I12554" s="3" t="s">
        <v>13</v>
      </c>
      <c r="J12554" s="3" t="s">
        <v>35591</v>
      </c>
      <c r="K12554" s="3" t="s">
        <v>6592</v>
      </c>
      <c r="L12554" s="3" t="str">
        <f>IFERROR(__xludf.DUMMYFUNCTION("GOOGLETRANSLATE(F12554,""id"",""en"")"),"Sunday morning you won Sunday night Argentina Champion")</f>
        <v>Sunday morning you won Sunday night Argentina Champion</v>
      </c>
    </row>
    <row r="12555" ht="15.75" customHeight="1">
      <c r="A12555" s="1">
        <v>13842.0</v>
      </c>
      <c r="B12555" s="3" t="s">
        <v>35592</v>
      </c>
      <c r="C12555" s="3">
        <v>0.0</v>
      </c>
      <c r="D12555" s="3">
        <v>0.0</v>
      </c>
      <c r="E12555" s="3">
        <v>0.0</v>
      </c>
      <c r="F12555" s="3" t="s">
        <v>19019</v>
      </c>
      <c r="G12555" s="3">
        <v>0.0</v>
      </c>
      <c r="H12555" s="3">
        <v>0.0</v>
      </c>
      <c r="I12555" s="3" t="s">
        <v>13</v>
      </c>
      <c r="J12555" s="3" t="s">
        <v>19020</v>
      </c>
      <c r="K12555" s="3" t="s">
        <v>82</v>
      </c>
      <c r="L12555" s="3" t="str">
        <f>IFERROR(__xludf.DUMMYFUNCTION("GOOGLETRANSLATE(F12555,""id"",""en"")"),"Argentina Champion World Cup Lionel Messi Perfect")</f>
        <v>Argentina Champion World Cup Lionel Messi Perfect</v>
      </c>
    </row>
    <row r="12556" ht="15.75" customHeight="1">
      <c r="A12556" s="1">
        <v>13843.0</v>
      </c>
      <c r="B12556" s="3" t="s">
        <v>35593</v>
      </c>
      <c r="C12556" s="3">
        <v>0.0</v>
      </c>
      <c r="D12556" s="3">
        <v>0.0</v>
      </c>
      <c r="E12556" s="3">
        <v>0.0</v>
      </c>
      <c r="F12556" s="3" t="s">
        <v>27845</v>
      </c>
      <c r="G12556" s="3">
        <v>0.0</v>
      </c>
      <c r="H12556" s="3">
        <v>0.0</v>
      </c>
      <c r="I12556" s="3" t="s">
        <v>13</v>
      </c>
      <c r="J12556" s="3" t="s">
        <v>27846</v>
      </c>
      <c r="K12556" s="3" t="s">
        <v>1293</v>
      </c>
      <c r="L12556" s="3" t="str">
        <f>IFERROR(__xludf.DUMMYFUNCTION("GOOGLETRANSLATE(F12556,""id"",""en"")"),"Argentina has just won the latest edition of the World Cup along with the list of the champions of the biggest football tournament from the period")</f>
        <v>Argentina has just won the latest edition of the World Cup along with the list of the champions of the biggest football tournament from the period</v>
      </c>
    </row>
    <row r="12557" ht="15.75" customHeight="1">
      <c r="A12557" s="1">
        <v>13844.0</v>
      </c>
      <c r="B12557" s="3" t="s">
        <v>35594</v>
      </c>
      <c r="C12557" s="3">
        <v>0.0</v>
      </c>
      <c r="D12557" s="3">
        <v>0.0</v>
      </c>
      <c r="E12557" s="3">
        <v>0.0</v>
      </c>
      <c r="F12557" s="3" t="s">
        <v>35595</v>
      </c>
      <c r="G12557" s="3">
        <v>0.0</v>
      </c>
      <c r="H12557" s="3">
        <v>0.0</v>
      </c>
      <c r="I12557" s="3" t="s">
        <v>13</v>
      </c>
      <c r="J12557" s="3" t="s">
        <v>35596</v>
      </c>
      <c r="K12557" s="3" t="s">
        <v>1349</v>
      </c>
      <c r="L12557" s="3" t="str">
        <f>IFERROR(__xludf.DUMMYFUNCTION("GOOGLETRANSLATE(F12557,""id"",""en"")"),"Since there is a world cup for sleeping patterns to be reversed because Argentina has become a champion, let us re -arrange this chaotic sleep pattern, wkwkkw")</f>
        <v>Since there is a world cup for sleeping patterns to be reversed because Argentina has become a champion, let us re -arrange this chaotic sleep pattern, wkwkkw</v>
      </c>
    </row>
    <row r="12558" ht="15.75" customHeight="1">
      <c r="A12558" s="1">
        <v>13845.0</v>
      </c>
      <c r="B12558" s="3" t="s">
        <v>35597</v>
      </c>
      <c r="C12558" s="3">
        <v>0.0</v>
      </c>
      <c r="D12558" s="3">
        <v>0.0</v>
      </c>
      <c r="E12558" s="3">
        <v>0.0</v>
      </c>
      <c r="F12558" s="3" t="s">
        <v>35598</v>
      </c>
      <c r="G12558" s="3">
        <v>0.6</v>
      </c>
      <c r="H12558" s="3">
        <v>0.5</v>
      </c>
      <c r="I12558" s="3" t="s">
        <v>48</v>
      </c>
      <c r="J12558" s="3" t="s">
        <v>35599</v>
      </c>
      <c r="K12558" s="3" t="s">
        <v>82</v>
      </c>
      <c r="L12558" s="3" t="str">
        <f>IFERROR(__xludf.DUMMYFUNCTION("GOOGLETRANSLATE(F12558,""id"",""en"")"),"Argentina Champion Finally Brow Love You Messi")</f>
        <v>Argentina Champion Finally Brow Love You Messi</v>
      </c>
    </row>
    <row r="12559" ht="15.75" customHeight="1">
      <c r="A12559" s="1">
        <v>13846.0</v>
      </c>
      <c r="B12559" s="3" t="s">
        <v>35600</v>
      </c>
      <c r="C12559" s="3">
        <v>0.0</v>
      </c>
      <c r="D12559" s="3">
        <v>0.0</v>
      </c>
      <c r="E12559" s="3">
        <v>0.0</v>
      </c>
      <c r="F12559" s="3" t="s">
        <v>35601</v>
      </c>
      <c r="G12559" s="3">
        <v>0.0</v>
      </c>
      <c r="H12559" s="3">
        <v>0.0</v>
      </c>
      <c r="I12559" s="3" t="s">
        <v>13</v>
      </c>
      <c r="J12559" s="3" t="s">
        <v>35602</v>
      </c>
      <c r="K12559" s="3" t="s">
        <v>75</v>
      </c>
      <c r="L12559" s="3" t="str">
        <f>IFERROR(__xludf.DUMMYFUNCTION("GOOGLETRANSLATE(F12559,""id"",""en"")"),"Argentina Champion World Cup Mbappe Hattrick France lost penalty shootout")</f>
        <v>Argentina Champion World Cup Mbappe Hattrick France lost penalty shootout</v>
      </c>
    </row>
    <row r="12560" ht="15.75" customHeight="1">
      <c r="A12560" s="1">
        <v>13847.0</v>
      </c>
      <c r="B12560" s="3" t="s">
        <v>35603</v>
      </c>
      <c r="C12560" s="3">
        <v>0.0</v>
      </c>
      <c r="D12560" s="3">
        <v>0.0</v>
      </c>
      <c r="E12560" s="3">
        <v>0.0</v>
      </c>
      <c r="F12560" s="3" t="s">
        <v>35604</v>
      </c>
      <c r="G12560" s="3">
        <v>0.0</v>
      </c>
      <c r="H12560" s="3">
        <v>0.0</v>
      </c>
      <c r="I12560" s="3" t="s">
        <v>13</v>
      </c>
      <c r="J12560" s="3" t="s">
        <v>35605</v>
      </c>
      <c r="K12560" s="3" t="s">
        <v>82</v>
      </c>
      <c r="L12560" s="3" t="str">
        <f>IFERROR(__xludf.DUMMYFUNCTION("GOOGLETRANSLATE(F12560,""id"",""en"")"),"Argentina Champion Wife and Girlfriend Compact Players Make Tattoos")</f>
        <v>Argentina Champion Wife and Girlfriend Compact Players Make Tattoos</v>
      </c>
    </row>
    <row r="12561" ht="15.75" customHeight="1">
      <c r="A12561" s="1">
        <v>13848.0</v>
      </c>
      <c r="B12561" s="3" t="s">
        <v>35606</v>
      </c>
      <c r="C12561" s="3">
        <v>0.0</v>
      </c>
      <c r="D12561" s="3">
        <v>0.0</v>
      </c>
      <c r="E12561" s="3">
        <v>0.0</v>
      </c>
      <c r="F12561" s="3" t="s">
        <v>35607</v>
      </c>
      <c r="G12561" s="3">
        <v>0.0</v>
      </c>
      <c r="H12561" s="3">
        <v>0.0</v>
      </c>
      <c r="I12561" s="3" t="s">
        <v>13</v>
      </c>
      <c r="J12561" s="3" t="s">
        <v>35608</v>
      </c>
      <c r="K12561" s="3" t="s">
        <v>1265</v>
      </c>
      <c r="L12561" s="3" t="str">
        <f>IFERROR(__xludf.DUMMYFUNCTION("GOOGLETRANSLATE(F12561,""id"",""en"")"),"Barca fans are very happy Argentina champions until they forget that Argentina doesn't have a Barca player")</f>
        <v>Barca fans are very happy Argentina champions until they forget that Argentina doesn't have a Barca player</v>
      </c>
    </row>
    <row r="12562" ht="15.75" customHeight="1">
      <c r="A12562" s="1">
        <v>13849.0</v>
      </c>
      <c r="B12562" s="3" t="s">
        <v>35609</v>
      </c>
      <c r="C12562" s="3">
        <v>0.0</v>
      </c>
      <c r="D12562" s="3">
        <v>0.0</v>
      </c>
      <c r="E12562" s="3">
        <v>0.0</v>
      </c>
      <c r="F12562" s="3" t="s">
        <v>35610</v>
      </c>
      <c r="G12562" s="3">
        <v>0.0</v>
      </c>
      <c r="H12562" s="3">
        <v>0.0</v>
      </c>
      <c r="I12562" s="3" t="s">
        <v>13</v>
      </c>
      <c r="J12562" s="3" t="s">
        <v>35611</v>
      </c>
      <c r="K12562" s="3" t="s">
        <v>123</v>
      </c>
      <c r="L12562" s="3" t="str">
        <f>IFERROR(__xludf.DUMMYFUNCTION("GOOGLETRANSLATE(F12562,""id"",""en"")"),"Earlier, my nobar was the one who was Ngehype Argentina when France was flushed on Bacot Anying but the fun and happy Argentina")</f>
        <v>Earlier, my nobar was the one who was Ngehype Argentina when France was flushed on Bacot Anying but the fun and happy Argentina</v>
      </c>
    </row>
    <row r="12563" ht="15.75" customHeight="1">
      <c r="A12563" s="1">
        <v>13850.0</v>
      </c>
      <c r="B12563" s="3" t="s">
        <v>35612</v>
      </c>
      <c r="C12563" s="3">
        <v>0.0</v>
      </c>
      <c r="D12563" s="3">
        <v>10.0</v>
      </c>
      <c r="E12563" s="3">
        <v>78.0</v>
      </c>
      <c r="F12563" s="3" t="s">
        <v>35613</v>
      </c>
      <c r="G12563" s="3">
        <v>0.0</v>
      </c>
      <c r="H12563" s="3">
        <v>0.0</v>
      </c>
      <c r="I12563" s="3" t="s">
        <v>13</v>
      </c>
      <c r="J12563" s="3" t="s">
        <v>35614</v>
      </c>
      <c r="K12563" s="3" t="s">
        <v>903</v>
      </c>
      <c r="L12563" s="3" t="str">
        <f>IFERROR(__xludf.DUMMYFUNCTION("GOOGLETRANSLATE(F12563,""id"",""en"")"),"There is already a debate again football has finished the Argentine world champion a Goat Messi player myself Respect Messi and his mature fans in essence Messi and Cristiano Ronaldo are the best all time")</f>
        <v>There is already a debate again football has finished the Argentine world champion a Goat Messi player myself Respect Messi and his mature fans in essence Messi and Cristiano Ronaldo are the best all time</v>
      </c>
    </row>
    <row r="12564" ht="15.75" customHeight="1">
      <c r="A12564" s="1">
        <v>13851.0</v>
      </c>
      <c r="B12564" s="3" t="s">
        <v>35615</v>
      </c>
      <c r="C12564" s="3">
        <v>0.0</v>
      </c>
      <c r="D12564" s="3">
        <v>0.0</v>
      </c>
      <c r="E12564" s="3">
        <v>0.0</v>
      </c>
      <c r="F12564" s="3" t="s">
        <v>35616</v>
      </c>
      <c r="G12564" s="3">
        <v>0.55</v>
      </c>
      <c r="H12564" s="3">
        <v>0.35</v>
      </c>
      <c r="I12564" s="3" t="s">
        <v>48</v>
      </c>
      <c r="J12564" s="3" t="s">
        <v>35617</v>
      </c>
      <c r="K12564" s="3" t="s">
        <v>41</v>
      </c>
      <c r="L12564" s="3" t="str">
        <f>IFERROR(__xludf.DUMMYFUNCTION("GOOGLETRANSLATE(F12564,""id"",""en"")"),"full smile because Argentina is the champion, it's already setting, how come it's a setting")</f>
        <v>full smile because Argentina is the champion, it's already setting, how come it's a setting</v>
      </c>
    </row>
    <row r="12565" ht="15.75" customHeight="1">
      <c r="A12565" s="1">
        <v>13852.0</v>
      </c>
      <c r="B12565" s="3" t="s">
        <v>35618</v>
      </c>
      <c r="C12565" s="3">
        <v>0.0</v>
      </c>
      <c r="D12565" s="3">
        <v>0.0</v>
      </c>
      <c r="E12565" s="3">
        <v>0.0</v>
      </c>
      <c r="F12565" s="3" t="s">
        <v>35619</v>
      </c>
      <c r="G12565" s="3">
        <v>0.0</v>
      </c>
      <c r="H12565" s="3">
        <v>0.0</v>
      </c>
      <c r="I12565" s="3" t="s">
        <v>13</v>
      </c>
      <c r="J12565" s="3" t="s">
        <v>35620</v>
      </c>
      <c r="K12565" s="3" t="s">
        <v>236</v>
      </c>
      <c r="L12565" s="3" t="str">
        <f>IFERROR(__xludf.DUMMYFUNCTION("GOOGLETRANSLATE(F12565,""id"",""en"")"),"Argentina just champion the World Cup again you don't want to be my heart champion again wkwk")</f>
        <v>Argentina just champion the World Cup again you don't want to be my heart champion again wkwk</v>
      </c>
    </row>
    <row r="12566" ht="15.75" customHeight="1">
      <c r="A12566" s="1">
        <v>13853.0</v>
      </c>
      <c r="B12566" s="3" t="s">
        <v>35621</v>
      </c>
      <c r="C12566" s="3">
        <v>0.0</v>
      </c>
      <c r="D12566" s="3">
        <v>0.0</v>
      </c>
      <c r="E12566" s="3">
        <v>0.0</v>
      </c>
      <c r="F12566" s="3" t="s">
        <v>35622</v>
      </c>
      <c r="G12566" s="3">
        <v>0.5694444444444444</v>
      </c>
      <c r="H12566" s="3">
        <v>0.1916666666666667</v>
      </c>
      <c r="I12566" s="3" t="s">
        <v>48</v>
      </c>
      <c r="J12566" s="3" t="s">
        <v>35623</v>
      </c>
      <c r="K12566" s="3" t="s">
        <v>13682</v>
      </c>
      <c r="L12566" s="3" t="str">
        <f>IFERROR(__xludf.DUMMYFUNCTION("GOOGLETRANSLATE(F12566,""id"",""en"")"),"Argentina Congratulations Winning for the World Cup Final and Good Game for France I admit France is free from the curse of the defending champion Not Bad for France Next, more mature more compact GPP Runner France")</f>
        <v>Argentina Congratulations Winning for the World Cup Final and Good Game for France I admit France is free from the curse of the defending champion Not Bad for France Next, more mature more compact GPP Runner France</v>
      </c>
    </row>
    <row r="12567" ht="15.75" customHeight="1">
      <c r="A12567" s="1">
        <v>13854.0</v>
      </c>
      <c r="B12567" s="3" t="s">
        <v>35624</v>
      </c>
      <c r="C12567" s="3">
        <v>0.0</v>
      </c>
      <c r="D12567" s="3">
        <v>0.0</v>
      </c>
      <c r="E12567" s="3">
        <v>1.0</v>
      </c>
      <c r="F12567" s="3" t="s">
        <v>35625</v>
      </c>
      <c r="G12567" s="3">
        <v>0.0</v>
      </c>
      <c r="H12567" s="3">
        <v>0.0</v>
      </c>
      <c r="I12567" s="3" t="s">
        <v>13</v>
      </c>
      <c r="J12567" s="3" t="s">
        <v>35626</v>
      </c>
      <c r="K12567" s="3" t="s">
        <v>75</v>
      </c>
      <c r="L12567" s="3" t="str">
        <f>IFERROR(__xludf.DUMMYFUNCTION("GOOGLETRANSLATE(F12567,""id"",""en"")"),"Is Argentina's victory over France means Saudi Arabia who became world champion")</f>
        <v>Is Argentina's victory over France means Saudi Arabia who became world champion</v>
      </c>
    </row>
    <row r="12568" ht="15.75" customHeight="1">
      <c r="A12568" s="1">
        <v>13855.0</v>
      </c>
      <c r="B12568" s="3" t="s">
        <v>35627</v>
      </c>
      <c r="C12568" s="3">
        <v>0.0</v>
      </c>
      <c r="D12568" s="3">
        <v>0.0</v>
      </c>
      <c r="E12568" s="3">
        <v>0.0</v>
      </c>
      <c r="F12568" s="3" t="s">
        <v>35628</v>
      </c>
      <c r="G12568" s="3">
        <v>0.0</v>
      </c>
      <c r="H12568" s="3">
        <v>0.0</v>
      </c>
      <c r="I12568" s="3" t="s">
        <v>13</v>
      </c>
      <c r="J12568" s="3" t="s">
        <v>35629</v>
      </c>
      <c r="K12568" s="3" t="s">
        <v>657</v>
      </c>
      <c r="L12568" s="3" t="str">
        <f>IFERROR(__xludf.DUMMYFUNCTION("GOOGLETRANSLATE(F12568,""id"",""en"")"),"The Argentine national team partying they won the Qatar World Cup after beating France through a penalty shootout drama")</f>
        <v>The Argentine national team partying they won the Qatar World Cup after beating France through a penalty shootout drama</v>
      </c>
    </row>
    <row r="12569" ht="15.75" customHeight="1">
      <c r="A12569" s="1">
        <v>13856.0</v>
      </c>
      <c r="B12569" s="3" t="s">
        <v>35630</v>
      </c>
      <c r="C12569" s="3">
        <v>0.0</v>
      </c>
      <c r="D12569" s="3">
        <v>0.0</v>
      </c>
      <c r="E12569" s="3">
        <v>0.0</v>
      </c>
      <c r="F12569" s="3" t="s">
        <v>27845</v>
      </c>
      <c r="G12569" s="3">
        <v>0.0</v>
      </c>
      <c r="H12569" s="3">
        <v>0.0</v>
      </c>
      <c r="I12569" s="3" t="s">
        <v>13</v>
      </c>
      <c r="J12569" s="3" t="s">
        <v>27846</v>
      </c>
      <c r="K12569" s="3" t="s">
        <v>1293</v>
      </c>
      <c r="L12569" s="3" t="str">
        <f>IFERROR(__xludf.DUMMYFUNCTION("GOOGLETRANSLATE(F12569,""id"",""en"")"),"Argentina has just won the latest edition of the World Cup along with the list of the champions of the biggest football tournament from the period")</f>
        <v>Argentina has just won the latest edition of the World Cup along with the list of the champions of the biggest football tournament from the period</v>
      </c>
    </row>
    <row r="12570" ht="15.75" customHeight="1">
      <c r="A12570" s="1">
        <v>13857.0</v>
      </c>
      <c r="B12570" s="3" t="s">
        <v>35631</v>
      </c>
      <c r="C12570" s="3">
        <v>0.0</v>
      </c>
      <c r="D12570" s="3">
        <v>0.0</v>
      </c>
      <c r="E12570" s="3">
        <v>0.0</v>
      </c>
      <c r="F12570" s="3" t="s">
        <v>35632</v>
      </c>
      <c r="G12570" s="3">
        <v>0.0</v>
      </c>
      <c r="H12570" s="3">
        <v>0.0</v>
      </c>
      <c r="I12570" s="3" t="s">
        <v>13</v>
      </c>
      <c r="J12570" s="3" t="s">
        <v>35633</v>
      </c>
      <c r="K12570" s="3" t="s">
        <v>35634</v>
      </c>
      <c r="L12570" s="3" t="str">
        <f>IFERROR(__xludf.DUMMYFUNCTION("GOOGLETRANSLATE(F12570,""id"",""en"")"),"Winning Pinalty Adu Proves France has always won FIFA World Cup in the world champion BRThan against Argentina in the French World Cup won against Croatia and France wins against Brazil and French")</f>
        <v>Winning Pinalty Adu Proves France has always won FIFA World Cup in the world champion BRThan against Argentina in the French World Cup won against Croatia and France wins against Brazil and French</v>
      </c>
    </row>
    <row r="12571" ht="15.75" customHeight="1">
      <c r="A12571" s="1">
        <v>13858.0</v>
      </c>
      <c r="B12571" s="3" t="s">
        <v>35635</v>
      </c>
      <c r="C12571" s="3">
        <v>2.0</v>
      </c>
      <c r="D12571" s="3">
        <v>66.0</v>
      </c>
      <c r="E12571" s="3">
        <v>463.0</v>
      </c>
      <c r="F12571" s="3" t="s">
        <v>32009</v>
      </c>
      <c r="G12571" s="3">
        <v>1.0</v>
      </c>
      <c r="H12571" s="3">
        <v>1.0</v>
      </c>
      <c r="I12571" s="3" t="s">
        <v>48</v>
      </c>
      <c r="J12571" s="3" t="s">
        <v>32010</v>
      </c>
      <c r="K12571" s="3" t="s">
        <v>149</v>
      </c>
      <c r="L12571" s="3" t="str">
        <f>IFERROR(__xludf.DUMMYFUNCTION("GOOGLETRANSLATE(F12571,""id"",""en"")"),"The debate over Messi Greatest All Time Goat Double Maradona must smile and very proud of you Leo Argentina is very worthy of the world champion Aguero Dybala")</f>
        <v>The debate over Messi Greatest All Time Goat Double Maradona must smile and very proud of you Leo Argentina is very worthy of the world champion Aguero Dybala</v>
      </c>
    </row>
    <row r="12572" ht="15.75" customHeight="1">
      <c r="A12572" s="1">
        <v>13859.0</v>
      </c>
      <c r="B12572" s="3" t="s">
        <v>35636</v>
      </c>
      <c r="C12572" s="3">
        <v>0.0</v>
      </c>
      <c r="D12572" s="3">
        <v>0.0</v>
      </c>
      <c r="E12572" s="3">
        <v>0.0</v>
      </c>
      <c r="F12572" s="3" t="s">
        <v>35637</v>
      </c>
      <c r="G12572" s="3">
        <v>0.0</v>
      </c>
      <c r="H12572" s="3">
        <v>0.0</v>
      </c>
      <c r="I12572" s="3" t="s">
        <v>13</v>
      </c>
      <c r="J12572" s="3" t="s">
        <v>35638</v>
      </c>
      <c r="K12572" s="3" t="s">
        <v>41</v>
      </c>
      <c r="L12572" s="3" t="str">
        <f>IFERROR(__xludf.DUMMYFUNCTION("GOOGLETRANSLATE(F12572,""id"",""en"")"),"Argentina is awaited by Persipura from the eastern region to fight who is the real championship")</f>
        <v>Argentina is awaited by Persipura from the eastern region to fight who is the real championship</v>
      </c>
    </row>
    <row r="12573" ht="15.75" customHeight="1">
      <c r="A12573" s="1">
        <v>13860.0</v>
      </c>
      <c r="B12573" s="3" t="s">
        <v>35639</v>
      </c>
      <c r="C12573" s="3">
        <v>1.0</v>
      </c>
      <c r="D12573" s="3">
        <v>0.0</v>
      </c>
      <c r="E12573" s="3">
        <v>0.0</v>
      </c>
      <c r="F12573" s="3" t="s">
        <v>35640</v>
      </c>
      <c r="G12573" s="3">
        <v>1.0</v>
      </c>
      <c r="H12573" s="3">
        <v>0.0</v>
      </c>
      <c r="I12573" s="3" t="s">
        <v>13</v>
      </c>
      <c r="J12573" s="3" t="s">
        <v>35641</v>
      </c>
      <c r="K12573" s="3" t="s">
        <v>15212</v>
      </c>
      <c r="L12573" s="3" t="str">
        <f>IFERROR(__xludf.DUMMYFUNCTION("GOOGLETRANSLATE(F12573,""id"",""en"")"),"Pilduun Qatar, one of the Gakan Pildun can be forgotten every match full of emotions with drama, there is a suspicion that Morocco is translucent of Japan, Korea passes the group, especially when the final was equally strong until finally through the pena"&amp;"lties and finally Argentina world champion")</f>
        <v>Pilduun Qatar, one of the Gakan Pildun can be forgotten every match full of emotions with drama, there is a suspicion that Morocco is translucent of Japan, Korea passes the group, especially when the final was equally strong until finally through the penalties and finally Argentina world champion</v>
      </c>
    </row>
    <row r="12574" ht="15.75" customHeight="1">
      <c r="A12574" s="1">
        <v>13861.0</v>
      </c>
      <c r="B12574" s="3" t="s">
        <v>35642</v>
      </c>
      <c r="C12574" s="3">
        <v>0.0</v>
      </c>
      <c r="D12574" s="3">
        <v>0.0</v>
      </c>
      <c r="E12574" s="3">
        <v>0.0</v>
      </c>
      <c r="F12574" s="3" t="s">
        <v>21058</v>
      </c>
      <c r="G12574" s="3">
        <v>0.0</v>
      </c>
      <c r="H12574" s="3">
        <v>0.0</v>
      </c>
      <c r="I12574" s="3" t="s">
        <v>13</v>
      </c>
      <c r="J12574" s="3" t="s">
        <v>21059</v>
      </c>
      <c r="K12574" s="3" t="s">
        <v>2117</v>
      </c>
      <c r="L12574" s="3" t="str">
        <f>IFERROR(__xludf.DUMMYFUNCTION("GOOGLETRANSLATE(F12574,""id"",""en"")"),"Happy Argentina Champion")</f>
        <v>Happy Argentina Champion</v>
      </c>
    </row>
    <row r="12575" ht="15.75" customHeight="1">
      <c r="A12575" s="1">
        <v>13862.0</v>
      </c>
      <c r="B12575" s="3" t="s">
        <v>35643</v>
      </c>
      <c r="C12575" s="3">
        <v>0.0</v>
      </c>
      <c r="D12575" s="3">
        <v>4.0</v>
      </c>
      <c r="E12575" s="3">
        <v>19.0</v>
      </c>
      <c r="F12575" s="3" t="s">
        <v>27845</v>
      </c>
      <c r="G12575" s="3">
        <v>0.0</v>
      </c>
      <c r="H12575" s="3">
        <v>0.0</v>
      </c>
      <c r="I12575" s="3" t="s">
        <v>13</v>
      </c>
      <c r="J12575" s="3" t="s">
        <v>27846</v>
      </c>
      <c r="K12575" s="3" t="s">
        <v>1293</v>
      </c>
      <c r="L12575" s="3" t="str">
        <f>IFERROR(__xludf.DUMMYFUNCTION("GOOGLETRANSLATE(F12575,""id"",""en"")"),"Argentina has just won the latest edition of the World Cup along with the list of the champions of the biggest football tournament from the period")</f>
        <v>Argentina has just won the latest edition of the World Cup along with the list of the champions of the biggest football tournament from the period</v>
      </c>
    </row>
    <row r="12576" ht="15.75" customHeight="1">
      <c r="A12576" s="1">
        <v>13863.0</v>
      </c>
      <c r="B12576" s="3" t="s">
        <v>35644</v>
      </c>
      <c r="C12576" s="3">
        <v>0.0</v>
      </c>
      <c r="D12576" s="3">
        <v>0.0</v>
      </c>
      <c r="E12576" s="3">
        <v>0.0</v>
      </c>
      <c r="F12576" s="3" t="s">
        <v>35645</v>
      </c>
      <c r="G12576" s="3">
        <v>0.0</v>
      </c>
      <c r="H12576" s="3">
        <v>0.0</v>
      </c>
      <c r="I12576" s="3" t="s">
        <v>13</v>
      </c>
      <c r="J12576" s="3" t="s">
        <v>35646</v>
      </c>
      <c r="K12576" s="3" t="s">
        <v>31</v>
      </c>
      <c r="L12576" s="3" t="str">
        <f>IFERROR(__xludf.DUMMYFUNCTION("GOOGLETRANSLATE(F12576,""id"",""en"")"),"Argentina Drake Champion Still Turu")</f>
        <v>Argentina Drake Champion Still Turu</v>
      </c>
    </row>
    <row r="12577" ht="15.75" customHeight="1">
      <c r="A12577" s="1">
        <v>13864.0</v>
      </c>
      <c r="B12577" s="3" t="s">
        <v>35647</v>
      </c>
      <c r="C12577" s="3">
        <v>1.0</v>
      </c>
      <c r="D12577" s="3">
        <v>1.0</v>
      </c>
      <c r="E12577" s="3">
        <v>17.0</v>
      </c>
      <c r="F12577" s="3" t="s">
        <v>35648</v>
      </c>
      <c r="G12577" s="3">
        <v>0.3333333333333333</v>
      </c>
      <c r="H12577" s="3">
        <v>0.1666666666666667</v>
      </c>
      <c r="I12577" s="3" t="s">
        <v>48</v>
      </c>
      <c r="J12577" s="3" t="s">
        <v>35649</v>
      </c>
      <c r="K12577" s="3" t="s">
        <v>1925</v>
      </c>
      <c r="L12577" s="3" t="str">
        <f>IFERROR(__xludf.DUMMYFUNCTION("GOOGLETRANSLATE(F12577,""id"",""en"")"),"Leno Injury Emi Martinez Starter Playing Bagus Main Goalkeeper Aston Villa Main Goalkeeper Argentina Copa America Champion Main goalkeeper and history created")</f>
        <v>Leno Injury Emi Martinez Starter Playing Bagus Main Goalkeeper Aston Villa Main Goalkeeper Argentina Copa America Champion Main goalkeeper and history created</v>
      </c>
    </row>
    <row r="12578" ht="15.75" customHeight="1">
      <c r="A12578" s="1">
        <v>13865.0</v>
      </c>
      <c r="B12578" s="3" t="s">
        <v>35650</v>
      </c>
      <c r="C12578" s="3">
        <v>0.0</v>
      </c>
      <c r="D12578" s="3">
        <v>1.0</v>
      </c>
      <c r="E12578" s="3">
        <v>2.0</v>
      </c>
      <c r="F12578" s="3" t="s">
        <v>35651</v>
      </c>
      <c r="G12578" s="3">
        <v>0.0</v>
      </c>
      <c r="H12578" s="3">
        <v>0.0</v>
      </c>
      <c r="I12578" s="3" t="s">
        <v>13</v>
      </c>
      <c r="J12578" s="3" t="s">
        <v>35652</v>
      </c>
      <c r="K12578" s="3" t="s">
        <v>15</v>
      </c>
      <c r="L12578" s="3" t="str">
        <f>IFERROR(__xludf.DUMMYFUNCTION("GOOGLETRANSLATE(F12578,""id"",""en"")"),"Argentina World Champion Lionel Messi Records Great History")</f>
        <v>Argentina World Champion Lionel Messi Records Great History</v>
      </c>
    </row>
    <row r="12579" ht="15.75" customHeight="1">
      <c r="A12579" s="1">
        <v>13866.0</v>
      </c>
      <c r="B12579" s="3" t="s">
        <v>35653</v>
      </c>
      <c r="C12579" s="3">
        <v>2.0</v>
      </c>
      <c r="D12579" s="3">
        <v>0.0</v>
      </c>
      <c r="E12579" s="3">
        <v>3.0</v>
      </c>
      <c r="F12579" s="3" t="s">
        <v>35654</v>
      </c>
      <c r="G12579" s="3">
        <v>0.0</v>
      </c>
      <c r="H12579" s="3">
        <v>0.0</v>
      </c>
      <c r="I12579" s="3" t="s">
        <v>13</v>
      </c>
      <c r="J12579" s="3" t="s">
        <v>35655</v>
      </c>
      <c r="K12579" s="3" t="s">
        <v>699</v>
      </c>
      <c r="L12579" s="3" t="str">
        <f>IFERROR(__xludf.DUMMYFUNCTION("GOOGLETRANSLATE(F12579,""id"",""en"")"),"Mhiii this is Argentina winning even the world champion I can not hide it, the shame is at the beginning")</f>
        <v>Mhiii this is Argentina winning even the world champion I can not hide it, the shame is at the beginning</v>
      </c>
    </row>
    <row r="12580" ht="15.75" customHeight="1">
      <c r="A12580" s="1">
        <v>13868.0</v>
      </c>
      <c r="B12580" s="3" t="s">
        <v>35656</v>
      </c>
      <c r="C12580" s="3">
        <v>0.0</v>
      </c>
      <c r="D12580" s="3">
        <v>0.0</v>
      </c>
      <c r="E12580" s="3">
        <v>0.0</v>
      </c>
      <c r="F12580" s="3" t="s">
        <v>35657</v>
      </c>
      <c r="G12580" s="3">
        <v>0.0</v>
      </c>
      <c r="H12580" s="3">
        <v>0.0</v>
      </c>
      <c r="I12580" s="3" t="s">
        <v>13</v>
      </c>
      <c r="J12580" s="3" t="s">
        <v>35658</v>
      </c>
      <c r="K12580" s="3" t="s">
        <v>445</v>
      </c>
      <c r="L12580" s="3" t="str">
        <f>IFERROR(__xludf.DUMMYFUNCTION("GOOGLETRANSLATE(F12580,""id"",""en"")"),"MHIII the question is when Arabic above you mention Argentina, the hot champion is hot, I come out, I will mention Arabic, even I mention the Dutch if you lose and shut up what")</f>
        <v>MHIII the question is when Arabic above you mention Argentina, the hot champion is hot, I come out, I will mention Arabic, even I mention the Dutch if you lose and shut up what</v>
      </c>
    </row>
    <row r="12581" ht="15.75" customHeight="1">
      <c r="A12581" s="1">
        <v>13869.0</v>
      </c>
      <c r="B12581" s="3" t="s">
        <v>35659</v>
      </c>
      <c r="C12581" s="3">
        <v>0.0</v>
      </c>
      <c r="D12581" s="3">
        <v>0.0</v>
      </c>
      <c r="E12581" s="3">
        <v>0.0</v>
      </c>
      <c r="F12581" s="3" t="s">
        <v>35660</v>
      </c>
      <c r="G12581" s="3">
        <v>0.0</v>
      </c>
      <c r="H12581" s="3">
        <v>0.0</v>
      </c>
      <c r="I12581" s="3" t="s">
        <v>13</v>
      </c>
      <c r="J12581" s="3" t="s">
        <v>35661</v>
      </c>
      <c r="K12581" s="3" t="s">
        <v>50</v>
      </c>
      <c r="L12581" s="3" t="str">
        <f>IFERROR(__xludf.DUMMYFUNCTION("GOOGLETRANSLATE(F12581,""id"",""en"")"),"This is made by Ronaldo's fans for the transfer of news about Argentina Champion and Messi Becomes a Goat")</f>
        <v>This is made by Ronaldo's fans for the transfer of news about Argentina Champion and Messi Becomes a Goat</v>
      </c>
    </row>
    <row r="12582" ht="15.75" customHeight="1">
      <c r="A12582" s="1">
        <v>13870.0</v>
      </c>
      <c r="B12582" s="3" t="s">
        <v>35662</v>
      </c>
      <c r="C12582" s="3">
        <v>0.0</v>
      </c>
      <c r="D12582" s="3">
        <v>0.0</v>
      </c>
      <c r="E12582" s="3">
        <v>0.0</v>
      </c>
      <c r="F12582" s="3" t="s">
        <v>35663</v>
      </c>
      <c r="G12582" s="3">
        <v>0.0</v>
      </c>
      <c r="H12582" s="3">
        <v>0.0</v>
      </c>
      <c r="I12582" s="3" t="s">
        <v>13</v>
      </c>
      <c r="J12582" s="3" t="s">
        <v>35664</v>
      </c>
      <c r="K12582" s="3" t="s">
        <v>657</v>
      </c>
      <c r="L12582" s="3" t="str">
        <f>IFERROR(__xludf.DUMMYFUNCTION("GOOGLETRANSLATE(F12582,""id"",""en"")"),"Congrats Arg turned out to be true Yee you champion, how about the fortune today, it won't go where Vamos Argentina will")</f>
        <v>Congrats Arg turned out to be true Yee you champion, how about the fortune today, it won't go where Vamos Argentina will</v>
      </c>
    </row>
    <row r="12583" ht="15.75" customHeight="1">
      <c r="A12583" s="1">
        <v>13871.0</v>
      </c>
      <c r="B12583" s="3" t="s">
        <v>35665</v>
      </c>
      <c r="C12583" s="3">
        <v>79.0</v>
      </c>
      <c r="D12583" s="3">
        <v>63.0</v>
      </c>
      <c r="E12583" s="3">
        <v>494.0</v>
      </c>
      <c r="F12583" s="3" t="s">
        <v>35666</v>
      </c>
      <c r="G12583" s="3">
        <v>0.0</v>
      </c>
      <c r="H12583" s="3">
        <v>0.0</v>
      </c>
      <c r="I12583" s="3" t="s">
        <v>13</v>
      </c>
      <c r="J12583" s="3" t="s">
        <v>35667</v>
      </c>
      <c r="K12583" s="3" t="s">
        <v>50</v>
      </c>
      <c r="L12583" s="3" t="str">
        <f>IFERROR(__xludf.DUMMYFUNCTION("GOOGLETRANSLATE(F12583,""id"",""en"")"),"Breaking Argentina World Cup Champion But Manchester United remains the best English club")</f>
        <v>Breaking Argentina World Cup Champion But Manchester United remains the best English club</v>
      </c>
    </row>
    <row r="12584" ht="15.75" customHeight="1">
      <c r="A12584" s="1">
        <v>13872.0</v>
      </c>
      <c r="B12584" s="3" t="s">
        <v>35668</v>
      </c>
      <c r="C12584" s="3">
        <v>0.0</v>
      </c>
      <c r="D12584" s="3">
        <v>0.0</v>
      </c>
      <c r="E12584" s="3">
        <v>0.0</v>
      </c>
      <c r="F12584" s="3" t="s">
        <v>35669</v>
      </c>
      <c r="G12584" s="3">
        <v>1.0</v>
      </c>
      <c r="H12584" s="3">
        <v>0.85</v>
      </c>
      <c r="I12584" s="3" t="s">
        <v>48</v>
      </c>
      <c r="J12584" s="3" t="s">
        <v>35670</v>
      </c>
      <c r="K12584" s="3" t="s">
        <v>50</v>
      </c>
      <c r="L12584" s="3" t="str">
        <f>IFERROR(__xludf.DUMMYFUNCTION("GOOGLETRANSLATE(F12584,""id"",""en"")"),"December Argentina Champion Birthday Mama What Beautiful Day Vamos")</f>
        <v>December Argentina Champion Birthday Mama What Beautiful Day Vamos</v>
      </c>
    </row>
    <row r="12585" ht="15.75" customHeight="1">
      <c r="A12585" s="1">
        <v>13873.0</v>
      </c>
      <c r="B12585" s="3" t="s">
        <v>35671</v>
      </c>
      <c r="C12585" s="3">
        <v>0.0</v>
      </c>
      <c r="D12585" s="3">
        <v>0.0</v>
      </c>
      <c r="E12585" s="3">
        <v>0.0</v>
      </c>
      <c r="F12585" s="3" t="s">
        <v>35672</v>
      </c>
      <c r="G12585" s="3">
        <v>0.0</v>
      </c>
      <c r="H12585" s="3">
        <v>0.0</v>
      </c>
      <c r="I12585" s="3" t="s">
        <v>13</v>
      </c>
      <c r="J12585" s="3" t="s">
        <v>35673</v>
      </c>
      <c r="K12585" s="3" t="s">
        <v>31</v>
      </c>
      <c r="L12585" s="3" t="str">
        <f>IFERROR(__xludf.DUMMYFUNCTION("GOOGLETRANSLATE(F12585,""id"",""en"")"),"The world champion is still Argentina Jal")</f>
        <v>The world champion is still Argentina Jal</v>
      </c>
    </row>
    <row r="12586" ht="15.75" customHeight="1">
      <c r="A12586" s="1">
        <v>13874.0</v>
      </c>
      <c r="B12586" s="3" t="s">
        <v>35674</v>
      </c>
      <c r="C12586" s="3">
        <v>0.0</v>
      </c>
      <c r="D12586" s="3">
        <v>0.0</v>
      </c>
      <c r="E12586" s="3">
        <v>0.0</v>
      </c>
      <c r="F12586" s="3" t="s">
        <v>35675</v>
      </c>
      <c r="G12586" s="3">
        <v>0.5333333333333333</v>
      </c>
      <c r="H12586" s="3">
        <v>0.4</v>
      </c>
      <c r="I12586" s="3" t="s">
        <v>48</v>
      </c>
      <c r="J12586" s="3" t="s">
        <v>35676</v>
      </c>
      <c r="K12586" s="3" t="s">
        <v>695</v>
      </c>
      <c r="L12586" s="3" t="str">
        <f>IFERROR(__xludf.DUMMYFUNCTION("GOOGLETRANSLATE(F12586,""id"",""en"")"),"finished the debate of the world's best game Messi The Real Goat Final Best Player Runner champion Our Goat Vamos Argentina Albiceleste")</f>
        <v>finished the debate of the world's best game Messi The Real Goat Final Best Player Runner champion Our Goat Vamos Argentina Albiceleste</v>
      </c>
    </row>
    <row r="12587" ht="15.75" customHeight="1">
      <c r="A12587" s="1">
        <v>13875.0</v>
      </c>
      <c r="B12587" s="3" t="s">
        <v>35677</v>
      </c>
      <c r="C12587" s="3">
        <v>0.0</v>
      </c>
      <c r="D12587" s="3">
        <v>0.0</v>
      </c>
      <c r="E12587" s="3">
        <v>4.0</v>
      </c>
      <c r="F12587" s="3" t="s">
        <v>27845</v>
      </c>
      <c r="G12587" s="3">
        <v>0.0</v>
      </c>
      <c r="H12587" s="3">
        <v>0.0</v>
      </c>
      <c r="I12587" s="3" t="s">
        <v>13</v>
      </c>
      <c r="J12587" s="3" t="s">
        <v>27846</v>
      </c>
      <c r="K12587" s="3" t="s">
        <v>1293</v>
      </c>
      <c r="L12587" s="3" t="str">
        <f>IFERROR(__xludf.DUMMYFUNCTION("GOOGLETRANSLATE(F12587,""id"",""en"")"),"Argentina has just won the latest edition of the World Cup along with the list of the champions of the biggest football tournament from the period")</f>
        <v>Argentina has just won the latest edition of the World Cup along with the list of the champions of the biggest football tournament from the period</v>
      </c>
    </row>
    <row r="12588" ht="15.75" customHeight="1">
      <c r="A12588" s="1">
        <v>13876.0</v>
      </c>
      <c r="B12588" s="3" t="s">
        <v>35678</v>
      </c>
      <c r="C12588" s="3">
        <v>0.0</v>
      </c>
      <c r="D12588" s="3">
        <v>0.0</v>
      </c>
      <c r="E12588" s="3">
        <v>0.0</v>
      </c>
      <c r="F12588" s="3" t="s">
        <v>35679</v>
      </c>
      <c r="G12588" s="3">
        <v>0.0</v>
      </c>
      <c r="H12588" s="3">
        <v>0.0</v>
      </c>
      <c r="I12588" s="3" t="s">
        <v>13</v>
      </c>
      <c r="J12588" s="3" t="s">
        <v>35680</v>
      </c>
      <c r="K12588" s="3" t="s">
        <v>1317</v>
      </c>
      <c r="L12588" s="3" t="str">
        <f>IFERROR(__xludf.DUMMYFUNCTION("GOOGLETRANSLATE(F12588,""id"",""en"")"),"Rossi Suda retired Argentina, Suda, the champion was just waiting for one piece to graduate if it was all ending, it means that it was finished too young")</f>
        <v>Rossi Suda retired Argentina, Suda, the champion was just waiting for one piece to graduate if it was all ending, it means that it was finished too young</v>
      </c>
    </row>
    <row r="12589" ht="15.75" customHeight="1">
      <c r="A12589" s="1">
        <v>13877.0</v>
      </c>
      <c r="B12589" s="3" t="s">
        <v>35681</v>
      </c>
      <c r="C12589" s="3">
        <v>0.0</v>
      </c>
      <c r="D12589" s="3">
        <v>0.0</v>
      </c>
      <c r="E12589" s="3">
        <v>3.0</v>
      </c>
      <c r="F12589" s="3" t="s">
        <v>35682</v>
      </c>
      <c r="G12589" s="3">
        <v>0.0</v>
      </c>
      <c r="H12589" s="3">
        <v>0.0</v>
      </c>
      <c r="I12589" s="3" t="s">
        <v>13</v>
      </c>
      <c r="J12589" s="3" t="s">
        <v>35683</v>
      </c>
      <c r="K12589" s="3" t="s">
        <v>484</v>
      </c>
      <c r="L12589" s="3" t="str">
        <f>IFERROR(__xludf.DUMMYFUNCTION("GOOGLETRANSLATE(F12589,""id"",""en"")"),"Congratulations Argentina Champion Argentine Congratulations Champion Champions Times Coronation Felicidades Argentina Cape Veces Coronaci")</f>
        <v>Congratulations Argentina Champion Argentine Congratulations Champion Champions Times Coronation Felicidades Argentina Cape Veces Coronaci</v>
      </c>
    </row>
    <row r="12590" ht="15.75" customHeight="1">
      <c r="A12590" s="1">
        <v>13878.0</v>
      </c>
      <c r="B12590" s="3" t="s">
        <v>35684</v>
      </c>
      <c r="C12590" s="3">
        <v>0.0</v>
      </c>
      <c r="D12590" s="3">
        <v>0.0</v>
      </c>
      <c r="E12590" s="3">
        <v>1.0</v>
      </c>
      <c r="F12590" s="3" t="s">
        <v>35685</v>
      </c>
      <c r="G12590" s="3">
        <v>1.0</v>
      </c>
      <c r="H12590" s="3">
        <v>0.0</v>
      </c>
      <c r="I12590" s="3" t="s">
        <v>13</v>
      </c>
      <c r="J12590" s="3" t="s">
        <v>35686</v>
      </c>
      <c r="K12590" s="3" t="s">
        <v>910</v>
      </c>
      <c r="L12590" s="3" t="str">
        <f>IFERROR(__xludf.DUMMYFUNCTION("GOOGLETRANSLATE(F12590,""id"",""en"")"),"Gegara knows Marquinhos told Messi to lie down in the field and see the video of Mbappe Ngnik Berkah Messi's shoulder since then hoping that Argentina there is a final FWC against Brazil France and can be a champion so they know Messi must also respect ev"&amp;"en though PSG's new kids")</f>
        <v>Gegara knows Marquinhos told Messi to lie down in the field and see the video of Mbappe Ngnik Berkah Messi's shoulder since then hoping that Argentina there is a final FWC against Brazil France and can be a champion so they know Messi must also respect even though PSG's new kids</v>
      </c>
    </row>
    <row r="12591" ht="15.75" customHeight="1">
      <c r="A12591" s="1">
        <v>13879.0</v>
      </c>
      <c r="B12591" s="3" t="s">
        <v>35687</v>
      </c>
      <c r="C12591" s="3">
        <v>1.0</v>
      </c>
      <c r="D12591" s="3">
        <v>0.0</v>
      </c>
      <c r="E12591" s="3">
        <v>0.0</v>
      </c>
      <c r="F12591" s="3" t="s">
        <v>35688</v>
      </c>
      <c r="G12591" s="3">
        <v>0.0</v>
      </c>
      <c r="H12591" s="3">
        <v>0.0</v>
      </c>
      <c r="I12591" s="3" t="s">
        <v>13</v>
      </c>
      <c r="J12591" s="3" t="s">
        <v>35689</v>
      </c>
      <c r="K12591" s="3" t="s">
        <v>35</v>
      </c>
      <c r="L12591" s="3" t="str">
        <f>IFERROR(__xludf.DUMMYFUNCTION("GOOGLETRANSLATE(F12591,""id"",""en"")"),"Build Argentina where the champion loses the fetch again wakakakakak congrats mesi and fam argen")</f>
        <v>Build Argentina where the champion loses the fetch again wakakakakak congrats mesi and fam argen</v>
      </c>
    </row>
    <row r="12592" ht="15.75" customHeight="1">
      <c r="A12592" s="1">
        <v>13880.0</v>
      </c>
      <c r="B12592" s="3" t="s">
        <v>35690</v>
      </c>
      <c r="C12592" s="3">
        <v>0.0</v>
      </c>
      <c r="D12592" s="3">
        <v>0.0</v>
      </c>
      <c r="E12592" s="3">
        <v>0.0</v>
      </c>
      <c r="F12592" s="3" t="s">
        <v>35691</v>
      </c>
      <c r="G12592" s="3">
        <v>0.0</v>
      </c>
      <c r="H12592" s="3">
        <v>0.0</v>
      </c>
      <c r="I12592" s="3" t="s">
        <v>13</v>
      </c>
      <c r="J12592" s="3" t="s">
        <v>35692</v>
      </c>
      <c r="K12592" s="3" t="s">
        <v>644</v>
      </c>
      <c r="L12592" s="3" t="str">
        <f>IFERROR(__xludf.DUMMYFUNCTION("GOOGLETRANSLATE(F12592,""id"",""en"")"),"Argentina Champion Dibully Ronaldo")</f>
        <v>Argentina Champion Dibully Ronaldo</v>
      </c>
    </row>
    <row r="12593" ht="15.75" customHeight="1">
      <c r="A12593" s="1">
        <v>13881.0</v>
      </c>
      <c r="B12593" s="3" t="s">
        <v>35693</v>
      </c>
      <c r="C12593" s="3">
        <v>0.0</v>
      </c>
      <c r="D12593" s="3">
        <v>0.0</v>
      </c>
      <c r="E12593" s="3">
        <v>0.0</v>
      </c>
      <c r="F12593" s="3" t="s">
        <v>35694</v>
      </c>
      <c r="G12593" s="3">
        <v>0.3</v>
      </c>
      <c r="H12593" s="3">
        <v>0.2</v>
      </c>
      <c r="I12593" s="3" t="s">
        <v>48</v>
      </c>
      <c r="J12593" s="3" t="s">
        <v>35695</v>
      </c>
      <c r="K12593" s="3" t="s">
        <v>2215</v>
      </c>
      <c r="L12593" s="3" t="str">
        <f>IFERROR(__xludf.DUMMYFUNCTION("GOOGLETRANSLATE(F12593,""id"",""en"")"),"To be honest, Argentina's decision is a lucky champion for me Messi not the goat mbappe the real goat")</f>
        <v>To be honest, Argentina's decision is a lucky champion for me Messi not the goat mbappe the real goat</v>
      </c>
    </row>
    <row r="12594" ht="15.75" customHeight="1">
      <c r="A12594" s="1">
        <v>13882.0</v>
      </c>
      <c r="B12594" s="3" t="s">
        <v>35696</v>
      </c>
      <c r="C12594" s="3">
        <v>0.0</v>
      </c>
      <c r="D12594" s="3">
        <v>0.0</v>
      </c>
      <c r="E12594" s="3">
        <v>0.0</v>
      </c>
      <c r="F12594" s="3" t="s">
        <v>35697</v>
      </c>
      <c r="G12594" s="3">
        <v>0.0</v>
      </c>
      <c r="H12594" s="3">
        <v>0.0</v>
      </c>
      <c r="I12594" s="3" t="s">
        <v>13</v>
      </c>
      <c r="J12594" s="3" t="s">
        <v>35698</v>
      </c>
      <c r="K12594" s="3" t="s">
        <v>1265</v>
      </c>
      <c r="L12594" s="3" t="str">
        <f>IFERROR(__xludf.DUMMYFUNCTION("GOOGLETRANSLATE(F12594,""id"",""en"")"),"This year's World Cup Saudi Arabia can beat the Argentine World Cup championship")</f>
        <v>This year's World Cup Saudi Arabia can beat the Argentine World Cup championship</v>
      </c>
    </row>
    <row r="12595" ht="15.75" customHeight="1">
      <c r="A12595" s="1">
        <v>13883.0</v>
      </c>
      <c r="B12595" s="3" t="s">
        <v>35699</v>
      </c>
      <c r="C12595" s="3">
        <v>0.0</v>
      </c>
      <c r="D12595" s="3">
        <v>0.0</v>
      </c>
      <c r="E12595" s="3">
        <v>0.0</v>
      </c>
      <c r="F12595" s="3" t="s">
        <v>35700</v>
      </c>
      <c r="G12595" s="3">
        <v>0.0</v>
      </c>
      <c r="H12595" s="3">
        <v>0.0</v>
      </c>
      <c r="I12595" s="3" t="s">
        <v>13</v>
      </c>
      <c r="J12595" s="3" t="s">
        <v>35701</v>
      </c>
      <c r="K12595" s="3" t="s">
        <v>50</v>
      </c>
      <c r="L12595" s="3" t="str">
        <f>IFERROR(__xludf.DUMMYFUNCTION("GOOGLETRANSLATE(F12595,""id"",""en"")"),"btw the new feeling yesterday Argentina was defeated by Arabic now to be a champion")</f>
        <v>btw the new feeling yesterday Argentina was defeated by Arabic now to be a champion</v>
      </c>
    </row>
    <row r="12596" ht="15.75" customHeight="1">
      <c r="A12596" s="1">
        <v>13884.0</v>
      </c>
      <c r="B12596" s="3" t="s">
        <v>35702</v>
      </c>
      <c r="C12596" s="3">
        <v>1.0</v>
      </c>
      <c r="D12596" s="3">
        <v>13.0</v>
      </c>
      <c r="E12596" s="3">
        <v>186.0</v>
      </c>
      <c r="F12596" s="3" t="s">
        <v>35703</v>
      </c>
      <c r="G12596" s="3">
        <v>0.0</v>
      </c>
      <c r="H12596" s="3">
        <v>0.0</v>
      </c>
      <c r="I12596" s="3" t="s">
        <v>13</v>
      </c>
      <c r="J12596" s="3" t="s">
        <v>35704</v>
      </c>
      <c r="K12596" s="3" t="s">
        <v>2117</v>
      </c>
      <c r="L12596" s="3" t="str">
        <f>IFERROR(__xludf.DUMMYFUNCTION("GOOGLETRANSLATE(F12596,""id"",""en"")"),"Causes of Argentina Champion")</f>
        <v>Causes of Argentina Champion</v>
      </c>
    </row>
    <row r="12597" ht="15.75" customHeight="1">
      <c r="A12597" s="1">
        <v>13885.0</v>
      </c>
      <c r="B12597" s="3" t="s">
        <v>35705</v>
      </c>
      <c r="C12597" s="3">
        <v>0.0</v>
      </c>
      <c r="D12597" s="3">
        <v>0.0</v>
      </c>
      <c r="E12597" s="3">
        <v>1.0</v>
      </c>
      <c r="F12597" s="3" t="s">
        <v>35706</v>
      </c>
      <c r="G12597" s="3">
        <v>0.0</v>
      </c>
      <c r="H12597" s="3">
        <v>0.0</v>
      </c>
      <c r="I12597" s="3" t="s">
        <v>13</v>
      </c>
      <c r="J12597" s="3" t="s">
        <v>35707</v>
      </c>
      <c r="K12597" s="3" t="s">
        <v>1097</v>
      </c>
      <c r="L12597" s="3" t="str">
        <f>IFERROR(__xludf.DUMMYFUNCTION("GOOGLETRANSLATE(F12597,""id"",""en"")"),"Don't bother, don't worry about France's fans, how come a lot of fans have fallen")</f>
        <v>Don't bother, don't worry about France's fans, how come a lot of fans have fallen</v>
      </c>
    </row>
    <row r="12598" ht="15.75" customHeight="1">
      <c r="A12598" s="1">
        <v>13886.0</v>
      </c>
      <c r="B12598" s="3" t="s">
        <v>35708</v>
      </c>
      <c r="C12598" s="3">
        <v>0.0</v>
      </c>
      <c r="D12598" s="3">
        <v>0.0</v>
      </c>
      <c r="E12598" s="3">
        <v>0.0</v>
      </c>
      <c r="F12598" s="3" t="s">
        <v>35709</v>
      </c>
      <c r="G12598" s="3">
        <v>0.0</v>
      </c>
      <c r="H12598" s="3">
        <v>0.0</v>
      </c>
      <c r="I12598" s="3" t="s">
        <v>13</v>
      </c>
      <c r="J12598" s="3" t="s">
        <v>35710</v>
      </c>
      <c r="K12598" s="3" t="s">
        <v>15</v>
      </c>
      <c r="L12598" s="3" t="str">
        <f>IFERROR(__xludf.DUMMYFUNCTION("GOOGLETRANSLATE(F12598,""id"",""en"")"),"Argentina Champion Sleep sound sound ehh there is a class must be campus")</f>
        <v>Argentina Champion Sleep sound sound ehh there is a class must be campus</v>
      </c>
    </row>
    <row r="12599" ht="15.75" customHeight="1">
      <c r="A12599" s="1">
        <v>13887.0</v>
      </c>
      <c r="B12599" s="3" t="s">
        <v>35711</v>
      </c>
      <c r="C12599" s="3">
        <v>0.0</v>
      </c>
      <c r="D12599" s="3">
        <v>0.0</v>
      </c>
      <c r="E12599" s="3">
        <v>0.0</v>
      </c>
      <c r="F12599" s="3" t="s">
        <v>20542</v>
      </c>
      <c r="G12599" s="3">
        <v>0.0</v>
      </c>
      <c r="H12599" s="3">
        <v>0.0</v>
      </c>
      <c r="I12599" s="3" t="s">
        <v>13</v>
      </c>
      <c r="J12599" s="3" t="s">
        <v>20543</v>
      </c>
      <c r="K12599" s="3" t="s">
        <v>2117</v>
      </c>
      <c r="L12599" s="3" t="str">
        <f>IFERROR(__xludf.DUMMYFUNCTION("GOOGLETRANSLATE(F12599,""id"",""en"")"),"Argentina World Champion")</f>
        <v>Argentina World Champion</v>
      </c>
    </row>
    <row r="12600" ht="15.75" customHeight="1">
      <c r="A12600" s="1">
        <v>13888.0</v>
      </c>
      <c r="B12600" s="3" t="s">
        <v>35712</v>
      </c>
      <c r="C12600" s="3">
        <v>0.0</v>
      </c>
      <c r="D12600" s="3">
        <v>0.0</v>
      </c>
      <c r="E12600" s="3">
        <v>0.0</v>
      </c>
      <c r="F12600" s="3" t="s">
        <v>35713</v>
      </c>
      <c r="G12600" s="3">
        <v>0.0</v>
      </c>
      <c r="H12600" s="3">
        <v>0.0</v>
      </c>
      <c r="I12600" s="3" t="s">
        <v>13</v>
      </c>
      <c r="J12600" s="3" t="s">
        <v>35714</v>
      </c>
      <c r="K12600" s="3" t="s">
        <v>41</v>
      </c>
      <c r="L12600" s="3" t="str">
        <f>IFERROR(__xludf.DUMMYFUNCTION("GOOGLETRANSLATE(F12600,""id"",""en"")"),"Argentina Champion World Cup Bend France through penalties")</f>
        <v>Argentina Champion World Cup Bend France through penalties</v>
      </c>
    </row>
    <row r="12601" ht="15.75" customHeight="1">
      <c r="A12601" s="1">
        <v>13889.0</v>
      </c>
      <c r="B12601" s="3" t="s">
        <v>35715</v>
      </c>
      <c r="C12601" s="3">
        <v>0.0</v>
      </c>
      <c r="D12601" s="3">
        <v>0.0</v>
      </c>
      <c r="E12601" s="3">
        <v>0.0</v>
      </c>
      <c r="F12601" s="3" t="s">
        <v>35716</v>
      </c>
      <c r="G12601" s="3">
        <v>0.0</v>
      </c>
      <c r="H12601" s="3">
        <v>0.0</v>
      </c>
      <c r="I12601" s="3" t="s">
        <v>13</v>
      </c>
      <c r="J12601" s="3" t="s">
        <v>35717</v>
      </c>
      <c r="K12601" s="3" t="s">
        <v>50</v>
      </c>
      <c r="L12601" s="3" t="str">
        <f>IFERROR(__xludf.DUMMYFUNCTION("GOOGLETRANSLATE(F12601,""id"",""en"")"),"Argentine World Cup Results Champion There is a smile of the mother's hug")</f>
        <v>Argentine World Cup Results Champion There is a smile of the mother's hug</v>
      </c>
    </row>
    <row r="12602" ht="15.75" customHeight="1">
      <c r="A12602" s="1">
        <v>13890.0</v>
      </c>
      <c r="B12602" s="3" t="s">
        <v>35718</v>
      </c>
      <c r="C12602" s="3">
        <v>0.0</v>
      </c>
      <c r="D12602" s="3">
        <v>0.0</v>
      </c>
      <c r="E12602" s="3">
        <v>0.0</v>
      </c>
      <c r="F12602" s="3" t="s">
        <v>34195</v>
      </c>
      <c r="G12602" s="3">
        <v>0.0</v>
      </c>
      <c r="H12602" s="3">
        <v>0.0</v>
      </c>
      <c r="I12602" s="3" t="s">
        <v>13</v>
      </c>
      <c r="J12602" s="3" t="s">
        <v>34196</v>
      </c>
      <c r="K12602" s="3" t="s">
        <v>54</v>
      </c>
      <c r="L12602" s="3" t="str">
        <f>IFERROR(__xludf.DUMMYFUNCTION("GOOGLETRANSLATE(F12602,""id"",""en"")"),"French silence Argentina Champion World Cup")</f>
        <v>French silence Argentina Champion World Cup</v>
      </c>
    </row>
    <row r="12603" ht="15.75" customHeight="1">
      <c r="A12603" s="1">
        <v>13891.0</v>
      </c>
      <c r="B12603" s="3" t="s">
        <v>35719</v>
      </c>
      <c r="C12603" s="3">
        <v>0.0</v>
      </c>
      <c r="D12603" s="3">
        <v>0.0</v>
      </c>
      <c r="E12603" s="3">
        <v>0.0</v>
      </c>
      <c r="F12603" s="3" t="s">
        <v>35720</v>
      </c>
      <c r="G12603" s="3">
        <v>0.0</v>
      </c>
      <c r="H12603" s="3">
        <v>0.0</v>
      </c>
      <c r="I12603" s="3" t="s">
        <v>13</v>
      </c>
      <c r="J12603" s="3" t="s">
        <v>35721</v>
      </c>
      <c r="K12603" s="3" t="s">
        <v>41</v>
      </c>
      <c r="L12603" s="3" t="str">
        <f>IFERROR(__xludf.DUMMYFUNCTION("GOOGLETRANSLATE(F12603,""id"",""en"")"),"try to take a liquid bet already sure Argentina is the champion")</f>
        <v>try to take a liquid bet already sure Argentina is the champion</v>
      </c>
    </row>
    <row r="12604" ht="15.75" customHeight="1">
      <c r="A12604" s="1">
        <v>13892.0</v>
      </c>
      <c r="B12604" s="3" t="s">
        <v>35722</v>
      </c>
      <c r="C12604" s="3">
        <v>0.0</v>
      </c>
      <c r="D12604" s="3">
        <v>0.0</v>
      </c>
      <c r="E12604" s="3">
        <v>3.0</v>
      </c>
      <c r="F12604" s="3" t="s">
        <v>35723</v>
      </c>
      <c r="G12604" s="3">
        <v>0.0</v>
      </c>
      <c r="H12604" s="3">
        <v>0.0</v>
      </c>
      <c r="I12604" s="3" t="s">
        <v>13</v>
      </c>
      <c r="J12604" s="3" t="s">
        <v>35724</v>
      </c>
      <c r="K12604" s="3" t="s">
        <v>1469</v>
      </c>
      <c r="L12604" s="3" t="str">
        <f>IFERROR(__xludf.DUMMYFUNCTION("GOOGLETRANSLATE(F12604,""id"",""en"")"),"The best young player of the best goalkeeper goalkeeper Mbappe the best player congratulations for those who bring the title")</f>
        <v>The best young player of the best goalkeeper goalkeeper Mbappe the best player congratulations for those who bring the title</v>
      </c>
    </row>
    <row r="12605" ht="15.75" customHeight="1">
      <c r="A12605" s="1">
        <v>13893.0</v>
      </c>
      <c r="B12605" s="3" t="s">
        <v>35725</v>
      </c>
      <c r="C12605" s="3">
        <v>0.0</v>
      </c>
      <c r="D12605" s="3">
        <v>0.0</v>
      </c>
      <c r="E12605" s="3">
        <v>24.0</v>
      </c>
      <c r="F12605" s="3" t="s">
        <v>35726</v>
      </c>
      <c r="G12605" s="3">
        <v>0.0</v>
      </c>
      <c r="H12605" s="3">
        <v>0.0</v>
      </c>
      <c r="I12605" s="3" t="s">
        <v>13</v>
      </c>
      <c r="J12605" s="3" t="s">
        <v>35727</v>
      </c>
      <c r="K12605" s="3" t="s">
        <v>15</v>
      </c>
      <c r="L12605" s="3" t="str">
        <f>IFERROR(__xludf.DUMMYFUNCTION("GOOGLETRANSLATE(F12605,""id"",""en"")"),"Argentina Congratulation Champions FIFA World Cup title")</f>
        <v>Argentina Congratulation Champions FIFA World Cup title</v>
      </c>
    </row>
    <row r="12606" ht="15.75" customHeight="1">
      <c r="A12606" s="1">
        <v>13894.0</v>
      </c>
      <c r="B12606" s="3" t="s">
        <v>35728</v>
      </c>
      <c r="C12606" s="3">
        <v>0.0</v>
      </c>
      <c r="D12606" s="3">
        <v>0.0</v>
      </c>
      <c r="E12606" s="3">
        <v>0.0</v>
      </c>
      <c r="F12606" s="3" t="s">
        <v>35729</v>
      </c>
      <c r="G12606" s="3">
        <v>0.0</v>
      </c>
      <c r="H12606" s="3">
        <v>0.0</v>
      </c>
      <c r="I12606" s="3" t="s">
        <v>13</v>
      </c>
      <c r="J12606" s="3" t="s">
        <v>35730</v>
      </c>
      <c r="K12606" s="3" t="s">
        <v>437</v>
      </c>
      <c r="L12606" s="3" t="str">
        <f>IFERROR(__xludf.DUMMYFUNCTION("GOOGLETRANSLATE(F12606,""id"",""en"")"),"After the long wait in the end Argentina won the World Cup Messi ended the sweet story with the Argentine national team")</f>
        <v>After the long wait in the end Argentina won the World Cup Messi ended the sweet story with the Argentine national team</v>
      </c>
    </row>
    <row r="12607" ht="15.75" customHeight="1">
      <c r="A12607" s="1">
        <v>13895.0</v>
      </c>
      <c r="B12607" s="3" t="s">
        <v>35731</v>
      </c>
      <c r="C12607" s="3">
        <v>0.0</v>
      </c>
      <c r="D12607" s="3">
        <v>0.0</v>
      </c>
      <c r="E12607" s="3">
        <v>3.0</v>
      </c>
      <c r="F12607" s="3" t="s">
        <v>35732</v>
      </c>
      <c r="G12607" s="3">
        <v>0.0</v>
      </c>
      <c r="H12607" s="3">
        <v>0.0</v>
      </c>
      <c r="I12607" s="3" t="s">
        <v>13</v>
      </c>
      <c r="J12607" s="3" t="s">
        <v>35733</v>
      </c>
      <c r="K12607" s="3" t="s">
        <v>2117</v>
      </c>
      <c r="L12607" s="3" t="str">
        <f>IFERROR(__xludf.DUMMYFUNCTION("GOOGLETRANSLATE(F12607,""id"",""en"")"),"Argentina Champion Prof.")</f>
        <v>Argentina Champion Prof.</v>
      </c>
    </row>
    <row r="12608" ht="15.75" customHeight="1">
      <c r="A12608" s="1">
        <v>13896.0</v>
      </c>
      <c r="B12608" s="3" t="s">
        <v>35734</v>
      </c>
      <c r="C12608" s="3">
        <v>0.0</v>
      </c>
      <c r="D12608" s="3">
        <v>0.0</v>
      </c>
      <c r="E12608" s="3">
        <v>0.0</v>
      </c>
      <c r="F12608" s="3" t="s">
        <v>35735</v>
      </c>
      <c r="G12608" s="3">
        <v>0.55</v>
      </c>
      <c r="H12608" s="3">
        <v>0.35</v>
      </c>
      <c r="I12608" s="3" t="s">
        <v>48</v>
      </c>
      <c r="J12608" s="3" t="s">
        <v>35736</v>
      </c>
      <c r="K12608" s="3" t="s">
        <v>54</v>
      </c>
      <c r="L12608" s="3" t="str">
        <f>IFERROR(__xludf.DUMMYFUNCTION("GOOGLETRANSLATE(F12608,""id"",""en"")"),"December full smile about Argentina Champion")</f>
        <v>December full smile about Argentina Champion</v>
      </c>
    </row>
    <row r="12609" ht="15.75" customHeight="1">
      <c r="A12609" s="1">
        <v>13897.0</v>
      </c>
      <c r="B12609" s="3" t="s">
        <v>35737</v>
      </c>
      <c r="C12609" s="3">
        <v>1.0</v>
      </c>
      <c r="D12609" s="3">
        <v>0.0</v>
      </c>
      <c r="E12609" s="3">
        <v>0.0</v>
      </c>
      <c r="F12609" s="3" t="s">
        <v>35738</v>
      </c>
      <c r="G12609" s="3">
        <v>0.0</v>
      </c>
      <c r="H12609" s="3">
        <v>0.0</v>
      </c>
      <c r="I12609" s="3" t="s">
        <v>13</v>
      </c>
      <c r="J12609" s="3" t="s">
        <v>16104</v>
      </c>
      <c r="K12609" s="3" t="s">
        <v>14571</v>
      </c>
      <c r="L12609" s="3" t="str">
        <f>IFERROR(__xludf.DUMMYFUNCTION("GOOGLETRANSLATE(F12609,""id"",""en"")"),"and Argentina Champion")</f>
        <v>and Argentina Champion</v>
      </c>
    </row>
    <row r="12610" ht="15.75" customHeight="1">
      <c r="A12610" s="1">
        <v>13898.0</v>
      </c>
      <c r="B12610" s="3" t="s">
        <v>35739</v>
      </c>
      <c r="C12610" s="3">
        <v>0.0</v>
      </c>
      <c r="D12610" s="3">
        <v>1.0</v>
      </c>
      <c r="E12610" s="3">
        <v>0.0</v>
      </c>
      <c r="F12610" s="3" t="s">
        <v>35740</v>
      </c>
      <c r="G12610" s="3">
        <v>0.0</v>
      </c>
      <c r="H12610" s="3">
        <v>0.0</v>
      </c>
      <c r="I12610" s="3" t="s">
        <v>13</v>
      </c>
      <c r="J12610" s="3" t="s">
        <v>35741</v>
      </c>
      <c r="K12610" s="3" t="s">
        <v>54</v>
      </c>
      <c r="L12610" s="3" t="str">
        <f>IFERROR(__xludf.DUMMYFUNCTION("GOOGLETRANSLATE(F12610,""id"",""en"")"),"It's okay to break up the important love of Argentina Champion")</f>
        <v>It's okay to break up the important love of Argentina Champion</v>
      </c>
    </row>
    <row r="12611" ht="15.75" customHeight="1">
      <c r="A12611" s="1">
        <v>13899.0</v>
      </c>
      <c r="B12611" s="3" t="s">
        <v>35742</v>
      </c>
      <c r="C12611" s="3">
        <v>0.0</v>
      </c>
      <c r="D12611" s="3">
        <v>0.0</v>
      </c>
      <c r="E12611" s="3">
        <v>0.0</v>
      </c>
      <c r="F12611" s="3" t="s">
        <v>35743</v>
      </c>
      <c r="G12611" s="3">
        <v>0.0</v>
      </c>
      <c r="H12611" s="3">
        <v>0.0</v>
      </c>
      <c r="I12611" s="3" t="s">
        <v>13</v>
      </c>
      <c r="J12611" s="3" t="s">
        <v>35744</v>
      </c>
      <c r="K12611" s="3" t="s">
        <v>13514</v>
      </c>
      <c r="L12611" s="3" t="str">
        <f>IFERROR(__xludf.DUMMYFUNCTION("GOOGLETRANSLATE(F12611,""id"",""en"")"),"Support France because first Kaka Jagoin France, even if Argentina must be a champion even though the French player only knows Giroud because it used to be Arsenal CMA knew the Arsenal player because my sister Gooners was Parahh unconscious")</f>
        <v>Support France because first Kaka Jagoin France, even if Argentina must be a champion even though the French player only knows Giroud because it used to be Arsenal CMA knew the Arsenal player because my sister Gooners was Parahh unconscious</v>
      </c>
    </row>
    <row r="12612" ht="15.75" customHeight="1">
      <c r="A12612" s="1">
        <v>13900.0</v>
      </c>
      <c r="B12612" s="3" t="s">
        <v>35745</v>
      </c>
      <c r="C12612" s="3">
        <v>0.0</v>
      </c>
      <c r="D12612" s="3">
        <v>1.0</v>
      </c>
      <c r="E12612" s="3">
        <v>5.0</v>
      </c>
      <c r="F12612" s="3" t="s">
        <v>35746</v>
      </c>
      <c r="G12612" s="3">
        <v>0.0</v>
      </c>
      <c r="H12612" s="3">
        <v>0.0</v>
      </c>
      <c r="I12612" s="3" t="s">
        <v>13</v>
      </c>
      <c r="J12612" s="3" t="s">
        <v>35747</v>
      </c>
      <c r="K12612" s="3" t="s">
        <v>75</v>
      </c>
      <c r="L12612" s="3" t="str">
        <f>IFERROR(__xludf.DUMMYFUNCTION("GOOGLETRANSLATE(F12612,""id"",""en"")"),"Argentina came out as the World Cup champion after defeating France through penalties")</f>
        <v>Argentina came out as the World Cup champion after defeating France through penalties</v>
      </c>
    </row>
    <row r="12613" ht="15.75" customHeight="1">
      <c r="A12613" s="1">
        <v>13901.0</v>
      </c>
      <c r="B12613" s="3" t="s">
        <v>35748</v>
      </c>
      <c r="C12613" s="3">
        <v>0.0</v>
      </c>
      <c r="D12613" s="3">
        <v>0.0</v>
      </c>
      <c r="E12613" s="3">
        <v>0.0</v>
      </c>
      <c r="F12613" s="3" t="s">
        <v>35749</v>
      </c>
      <c r="G12613" s="3">
        <v>0.0</v>
      </c>
      <c r="H12613" s="3">
        <v>0.0</v>
      </c>
      <c r="I12613" s="3" t="s">
        <v>13</v>
      </c>
      <c r="J12613" s="3" t="s">
        <v>35750</v>
      </c>
      <c r="K12613" s="3" t="s">
        <v>135</v>
      </c>
      <c r="L12613" s="3" t="str">
        <f>IFERROR(__xludf.DUMMYFUNCTION("GOOGLETRANSLATE(F12613,""id"",""en"")"),"Wes Kate brakes to think of the fate of Argentina Jersey Jersey Star Argentina Star World Cup Champion means Star Add Siji Maneh Piye Lek added")</f>
        <v>Wes Kate brakes to think of the fate of Argentina Jersey Jersey Star Argentina Star World Cup Champion means Star Add Siji Maneh Piye Lek added</v>
      </c>
    </row>
    <row r="12614" ht="15.75" customHeight="1">
      <c r="A12614" s="1">
        <v>13902.0</v>
      </c>
      <c r="B12614" s="3" t="s">
        <v>35751</v>
      </c>
      <c r="C12614" s="3">
        <v>0.0</v>
      </c>
      <c r="D12614" s="3">
        <v>0.0</v>
      </c>
      <c r="E12614" s="3">
        <v>0.0</v>
      </c>
      <c r="F12614" s="3" t="s">
        <v>35752</v>
      </c>
      <c r="G12614" s="3">
        <v>0.0</v>
      </c>
      <c r="H12614" s="3">
        <v>0.0</v>
      </c>
      <c r="I12614" s="3" t="s">
        <v>13</v>
      </c>
      <c r="J12614" s="3" t="s">
        <v>35753</v>
      </c>
      <c r="K12614" s="3" t="s">
        <v>82</v>
      </c>
      <c r="L12614" s="3" t="str">
        <f>IFERROR(__xludf.DUMMYFUNCTION("GOOGLETRANSLATE(F12614,""id"",""en"")"),"Argentina World Champion But Arsenal are still the peak of EPL Damnn")</f>
        <v>Argentina World Champion But Arsenal are still the peak of EPL Damnn</v>
      </c>
    </row>
    <row r="12615" ht="15.75" customHeight="1">
      <c r="A12615" s="1">
        <v>13903.0</v>
      </c>
      <c r="B12615" s="3" t="s">
        <v>35754</v>
      </c>
      <c r="C12615" s="3">
        <v>0.0</v>
      </c>
      <c r="D12615" s="3">
        <v>0.0</v>
      </c>
      <c r="E12615" s="3">
        <v>0.0</v>
      </c>
      <c r="F12615" s="3" t="s">
        <v>35755</v>
      </c>
      <c r="G12615" s="3">
        <v>0.0</v>
      </c>
      <c r="H12615" s="3">
        <v>0.0</v>
      </c>
      <c r="I12615" s="3" t="s">
        <v>13</v>
      </c>
      <c r="J12615" s="3" t="s">
        <v>35756</v>
      </c>
      <c r="K12615" s="3" t="s">
        <v>82</v>
      </c>
      <c r="L12615" s="3" t="str">
        <f>IFERROR(__xludf.DUMMYFUNCTION("GOOGLETRANSLATE(F12615,""id"",""en"")"),"Argentina won the World Cup championship trophy")</f>
        <v>Argentina won the World Cup championship trophy</v>
      </c>
    </row>
    <row r="12616" ht="15.75" customHeight="1">
      <c r="A12616" s="1">
        <v>13904.0</v>
      </c>
      <c r="B12616" s="3" t="s">
        <v>35757</v>
      </c>
      <c r="C12616" s="3">
        <v>0.0</v>
      </c>
      <c r="D12616" s="3">
        <v>0.0</v>
      </c>
      <c r="E12616" s="3">
        <v>5.0</v>
      </c>
      <c r="F12616" s="3" t="s">
        <v>35758</v>
      </c>
      <c r="G12616" s="3">
        <v>0.0</v>
      </c>
      <c r="H12616" s="3">
        <v>0.0</v>
      </c>
      <c r="I12616" s="3" t="s">
        <v>13</v>
      </c>
      <c r="J12616" s="3" t="s">
        <v>35759</v>
      </c>
      <c r="K12616" s="3" t="s">
        <v>1345</v>
      </c>
      <c r="L12616" s="3" t="str">
        <f>IFERROR(__xludf.DUMMYFUNCTION("GOOGLETRANSLATE(F12616,""id"",""en"")"),"Argentina won the Copa American Cup championship trophy and the World Cup championship trophy")</f>
        <v>Argentina won the Copa American Cup championship trophy and the World Cup championship trophy</v>
      </c>
    </row>
    <row r="12617" ht="15.75" customHeight="1">
      <c r="A12617" s="1">
        <v>13905.0</v>
      </c>
      <c r="B12617" s="3" t="s">
        <v>35760</v>
      </c>
      <c r="C12617" s="3">
        <v>0.0</v>
      </c>
      <c r="D12617" s="3">
        <v>0.0</v>
      </c>
      <c r="E12617" s="3">
        <v>0.0</v>
      </c>
      <c r="F12617" s="3" t="s">
        <v>35761</v>
      </c>
      <c r="G12617" s="3">
        <v>0.0</v>
      </c>
      <c r="H12617" s="3">
        <v>0.0</v>
      </c>
      <c r="I12617" s="3" t="s">
        <v>13</v>
      </c>
      <c r="J12617" s="3" t="s">
        <v>35762</v>
      </c>
      <c r="K12617" s="3" t="s">
        <v>82</v>
      </c>
      <c r="L12617" s="3" t="str">
        <f>IFERROR(__xludf.DUMMYFUNCTION("GOOGLETRANSLATE(F12617,""id"",""en"")"),"Congrat Argentina World Champion This is the story of his victory drama")</f>
        <v>Congrat Argentina World Champion This is the story of his victory drama</v>
      </c>
    </row>
    <row r="12618" ht="15.75" customHeight="1">
      <c r="A12618" s="1">
        <v>13906.0</v>
      </c>
      <c r="B12618" s="3" t="s">
        <v>35763</v>
      </c>
      <c r="C12618" s="3">
        <v>0.0</v>
      </c>
      <c r="D12618" s="3">
        <v>9.0</v>
      </c>
      <c r="E12618" s="3">
        <v>69.0</v>
      </c>
      <c r="F12618" s="3" t="s">
        <v>35764</v>
      </c>
      <c r="G12618" s="3">
        <v>0.0</v>
      </c>
      <c r="H12618" s="3">
        <v>0.0</v>
      </c>
      <c r="I12618" s="3" t="s">
        <v>13</v>
      </c>
      <c r="J12618" s="3" t="s">
        <v>35765</v>
      </c>
      <c r="K12618" s="3" t="s">
        <v>205</v>
      </c>
      <c r="L12618" s="3" t="str">
        <f>IFERROR(__xludf.DUMMYFUNCTION("GOOGLETRANSLATE(F12618,""id"",""en"")"),"Argentine national team so far lacks a good goalkeeper moment when Emi Martinez was born back as a goalkeeper who was able to deliver Argentina Champion Copa America and World Cup")</f>
        <v>Argentine national team so far lacks a good goalkeeper moment when Emi Martinez was born back as a goalkeeper who was able to deliver Argentina Champion Copa America and World Cup</v>
      </c>
    </row>
    <row r="12619" ht="15.75" customHeight="1">
      <c r="A12619" s="1">
        <v>13907.0</v>
      </c>
      <c r="B12619" s="3" t="s">
        <v>35766</v>
      </c>
      <c r="C12619" s="3">
        <v>0.0</v>
      </c>
      <c r="D12619" s="3">
        <v>0.0</v>
      </c>
      <c r="E12619" s="3">
        <v>0.0</v>
      </c>
      <c r="F12619" s="3" t="s">
        <v>35767</v>
      </c>
      <c r="G12619" s="3">
        <v>0.0</v>
      </c>
      <c r="H12619" s="3">
        <v>0.0</v>
      </c>
      <c r="I12619" s="3" t="s">
        <v>13</v>
      </c>
      <c r="J12619" s="3" t="s">
        <v>35768</v>
      </c>
      <c r="K12619" s="3" t="s">
        <v>322</v>
      </c>
      <c r="L12619" s="3" t="str">
        <f>IFERROR(__xludf.DUMMYFUNCTION("GOOGLETRANSLATE(F12619,""id"",""en"")"),"Argentina The Italian Champion Champion Debate Ends")</f>
        <v>Argentina The Italian Champion Champion Debate Ends</v>
      </c>
    </row>
    <row r="12620" ht="15.75" customHeight="1">
      <c r="A12620" s="1">
        <v>13908.0</v>
      </c>
      <c r="B12620" s="3" t="s">
        <v>35769</v>
      </c>
      <c r="C12620" s="3">
        <v>0.0</v>
      </c>
      <c r="D12620" s="3">
        <v>0.0</v>
      </c>
      <c r="E12620" s="3">
        <v>0.0</v>
      </c>
      <c r="F12620" s="3" t="s">
        <v>35761</v>
      </c>
      <c r="G12620" s="3">
        <v>0.0</v>
      </c>
      <c r="H12620" s="3">
        <v>0.0</v>
      </c>
      <c r="I12620" s="3" t="s">
        <v>13</v>
      </c>
      <c r="J12620" s="3" t="s">
        <v>35762</v>
      </c>
      <c r="K12620" s="3" t="s">
        <v>82</v>
      </c>
      <c r="L12620" s="3" t="str">
        <f>IFERROR(__xludf.DUMMYFUNCTION("GOOGLETRANSLATE(F12620,""id"",""en"")"),"Congrat Argentina World Champion This is the story of his victory drama")</f>
        <v>Congrat Argentina World Champion This is the story of his victory drama</v>
      </c>
    </row>
    <row r="12621" ht="15.75" customHeight="1">
      <c r="A12621" s="1">
        <v>13909.0</v>
      </c>
      <c r="B12621" s="3" t="s">
        <v>35770</v>
      </c>
      <c r="C12621" s="3">
        <v>0.0</v>
      </c>
      <c r="D12621" s="3">
        <v>0.0</v>
      </c>
      <c r="E12621" s="3">
        <v>0.0</v>
      </c>
      <c r="F12621" s="3" t="s">
        <v>35761</v>
      </c>
      <c r="G12621" s="3">
        <v>0.0</v>
      </c>
      <c r="H12621" s="3">
        <v>0.0</v>
      </c>
      <c r="I12621" s="3" t="s">
        <v>13</v>
      </c>
      <c r="J12621" s="3" t="s">
        <v>35762</v>
      </c>
      <c r="K12621" s="3" t="s">
        <v>82</v>
      </c>
      <c r="L12621" s="3" t="str">
        <f>IFERROR(__xludf.DUMMYFUNCTION("GOOGLETRANSLATE(F12621,""id"",""en"")"),"Congrat Argentina World Champion This is the story of his victory drama")</f>
        <v>Congrat Argentina World Champion This is the story of his victory drama</v>
      </c>
    </row>
    <row r="12622" ht="15.75" customHeight="1">
      <c r="A12622" s="1">
        <v>13910.0</v>
      </c>
      <c r="B12622" s="3" t="s">
        <v>35771</v>
      </c>
      <c r="C12622" s="3">
        <v>0.0</v>
      </c>
      <c r="D12622" s="3">
        <v>0.0</v>
      </c>
      <c r="E12622" s="3">
        <v>1.0</v>
      </c>
      <c r="F12622" s="3" t="s">
        <v>35761</v>
      </c>
      <c r="G12622" s="3">
        <v>0.0</v>
      </c>
      <c r="H12622" s="3">
        <v>0.0</v>
      </c>
      <c r="I12622" s="3" t="s">
        <v>13</v>
      </c>
      <c r="J12622" s="3" t="s">
        <v>35762</v>
      </c>
      <c r="K12622" s="3" t="s">
        <v>82</v>
      </c>
      <c r="L12622" s="3" t="str">
        <f>IFERROR(__xludf.DUMMYFUNCTION("GOOGLETRANSLATE(F12622,""id"",""en"")"),"Congrat Argentina World Champion This is the story of his victory drama")</f>
        <v>Congrat Argentina World Champion This is the story of his victory drama</v>
      </c>
    </row>
    <row r="12623" ht="15.75" customHeight="1">
      <c r="A12623" s="1">
        <v>13911.0</v>
      </c>
      <c r="B12623" s="3" t="s">
        <v>35772</v>
      </c>
      <c r="C12623" s="3">
        <v>0.0</v>
      </c>
      <c r="D12623" s="3">
        <v>0.0</v>
      </c>
      <c r="E12623" s="3">
        <v>0.0</v>
      </c>
      <c r="F12623" s="3" t="s">
        <v>35761</v>
      </c>
      <c r="G12623" s="3">
        <v>0.0</v>
      </c>
      <c r="H12623" s="3">
        <v>0.0</v>
      </c>
      <c r="I12623" s="3" t="s">
        <v>13</v>
      </c>
      <c r="J12623" s="3" t="s">
        <v>35762</v>
      </c>
      <c r="K12623" s="3" t="s">
        <v>82</v>
      </c>
      <c r="L12623" s="3" t="str">
        <f>IFERROR(__xludf.DUMMYFUNCTION("GOOGLETRANSLATE(F12623,""id"",""en"")"),"Congrat Argentina World Champion This is the story of his victory drama")</f>
        <v>Congrat Argentina World Champion This is the story of his victory drama</v>
      </c>
    </row>
    <row r="12624" ht="15.75" customHeight="1">
      <c r="A12624" s="1">
        <v>13912.0</v>
      </c>
      <c r="B12624" s="3" t="s">
        <v>35773</v>
      </c>
      <c r="C12624" s="3">
        <v>0.0</v>
      </c>
      <c r="D12624" s="3">
        <v>0.0</v>
      </c>
      <c r="E12624" s="3">
        <v>0.0</v>
      </c>
      <c r="F12624" s="3" t="s">
        <v>35761</v>
      </c>
      <c r="G12624" s="3">
        <v>0.0</v>
      </c>
      <c r="H12624" s="3">
        <v>0.0</v>
      </c>
      <c r="I12624" s="3" t="s">
        <v>13</v>
      </c>
      <c r="J12624" s="3" t="s">
        <v>35762</v>
      </c>
      <c r="K12624" s="3" t="s">
        <v>82</v>
      </c>
      <c r="L12624" s="3" t="str">
        <f>IFERROR(__xludf.DUMMYFUNCTION("GOOGLETRANSLATE(F12624,""id"",""en"")"),"Congrat Argentina World Champion This is the story of his victory drama")</f>
        <v>Congrat Argentina World Champion This is the story of his victory drama</v>
      </c>
    </row>
    <row r="12625" ht="15.75" customHeight="1">
      <c r="A12625" s="1">
        <v>13913.0</v>
      </c>
      <c r="B12625" s="3" t="s">
        <v>35774</v>
      </c>
      <c r="C12625" s="3">
        <v>0.0</v>
      </c>
      <c r="D12625" s="3">
        <v>0.0</v>
      </c>
      <c r="E12625" s="3">
        <v>0.0</v>
      </c>
      <c r="F12625" s="3" t="s">
        <v>35775</v>
      </c>
      <c r="G12625" s="3">
        <v>0.2</v>
      </c>
      <c r="H12625" s="3">
        <v>0.3</v>
      </c>
      <c r="I12625" s="3" t="s">
        <v>48</v>
      </c>
      <c r="J12625" s="3" t="s">
        <v>35776</v>
      </c>
      <c r="K12625" s="3" t="s">
        <v>903</v>
      </c>
      <c r="L12625" s="3" t="str">
        <f>IFERROR(__xludf.DUMMYFUNCTION("GOOGLETRANSLATE(F12625,""id"",""en"")"),"Fun fact, South American plateau state is precisely in Gamau Argentina who is champion because in general they are the most different among other Latin American countries, aka arrogant years if the word")</f>
        <v>Fun fact, South American plateau state is precisely in Gamau Argentina who is champion because in general they are the most different among other Latin American countries, aka arrogant years if the word</v>
      </c>
    </row>
    <row r="12626" ht="15.75" customHeight="1">
      <c r="A12626" s="1">
        <v>13914.0</v>
      </c>
      <c r="B12626" s="3" t="s">
        <v>35777</v>
      </c>
      <c r="C12626" s="3">
        <v>0.0</v>
      </c>
      <c r="D12626" s="3">
        <v>0.0</v>
      </c>
      <c r="E12626" s="3">
        <v>0.0</v>
      </c>
      <c r="F12626" s="3" t="s">
        <v>35778</v>
      </c>
      <c r="G12626" s="3">
        <v>0.5399999999999999</v>
      </c>
      <c r="H12626" s="3">
        <v>0.08</v>
      </c>
      <c r="I12626" s="3" t="s">
        <v>48</v>
      </c>
      <c r="J12626" s="3" t="s">
        <v>35779</v>
      </c>
      <c r="K12626" s="3" t="s">
        <v>90</v>
      </c>
      <c r="L12626" s="3" t="str">
        <f>IFERROR(__xludf.DUMMYFUNCTION("GOOGLETRANSLATE(F12626,""id"",""en"")"),"The final is very attractive to Argentina Congrats Messi The Real Goat Nice Try France has gave an exciting game next to Brazil Champion")</f>
        <v>The final is very attractive to Argentina Congrats Messi The Real Goat Nice Try France has gave an exciting game next to Brazil Champion</v>
      </c>
    </row>
    <row r="12627" ht="15.75" customHeight="1">
      <c r="A12627" s="1">
        <v>13915.0</v>
      </c>
      <c r="B12627" s="3" t="s">
        <v>35780</v>
      </c>
      <c r="C12627" s="3">
        <v>0.0</v>
      </c>
      <c r="D12627" s="3">
        <v>0.0</v>
      </c>
      <c r="E12627" s="3">
        <v>0.0</v>
      </c>
      <c r="F12627" s="3" t="s">
        <v>35781</v>
      </c>
      <c r="G12627" s="3">
        <v>0.0</v>
      </c>
      <c r="H12627" s="3">
        <v>0.0</v>
      </c>
      <c r="I12627" s="3" t="s">
        <v>13</v>
      </c>
      <c r="J12627" s="3" t="s">
        <v>35782</v>
      </c>
      <c r="K12627" s="3" t="s">
        <v>510</v>
      </c>
      <c r="L12627" s="3" t="str">
        <f>IFERROR(__xludf.DUMMYFUNCTION("GOOGLETRANSLATE(F12627,""id"",""en"")"),"Bismillah I hope I can see Ronaldo Portugal champions without burden like Messi Argentina Aamiin Allah")</f>
        <v>Bismillah I hope I can see Ronaldo Portugal champions without burden like Messi Argentina Aamiin Allah</v>
      </c>
    </row>
    <row r="12628" ht="15.75" customHeight="1">
      <c r="A12628" s="1">
        <v>13916.0</v>
      </c>
      <c r="B12628" s="3" t="s">
        <v>35783</v>
      </c>
      <c r="C12628" s="3">
        <v>0.0</v>
      </c>
      <c r="D12628" s="3">
        <v>0.0</v>
      </c>
      <c r="E12628" s="3">
        <v>0.0</v>
      </c>
      <c r="F12628" s="3" t="s">
        <v>35784</v>
      </c>
      <c r="G12628" s="3">
        <v>0.0</v>
      </c>
      <c r="H12628" s="3">
        <v>0.0</v>
      </c>
      <c r="I12628" s="3" t="s">
        <v>13</v>
      </c>
      <c r="J12628" s="3" t="s">
        <v>35785</v>
      </c>
      <c r="K12628" s="3" t="s">
        <v>82</v>
      </c>
      <c r="L12628" s="3" t="str">
        <f>IFERROR(__xludf.DUMMYFUNCTION("GOOGLETRANSLATE(F12628,""id"",""en"")"),"Argentina Champion World Cup because Messi converted to Islam")</f>
        <v>Argentina Champion World Cup because Messi converted to Islam</v>
      </c>
    </row>
    <row r="12629" ht="15.75" customHeight="1">
      <c r="A12629" s="1">
        <v>13917.0</v>
      </c>
      <c r="B12629" s="3" t="s">
        <v>35786</v>
      </c>
      <c r="C12629" s="3">
        <v>0.0</v>
      </c>
      <c r="D12629" s="3">
        <v>0.0</v>
      </c>
      <c r="E12629" s="3">
        <v>0.0</v>
      </c>
      <c r="F12629" s="3" t="s">
        <v>35787</v>
      </c>
      <c r="G12629" s="3">
        <v>0.0</v>
      </c>
      <c r="H12629" s="3">
        <v>0.0</v>
      </c>
      <c r="I12629" s="3" t="s">
        <v>13</v>
      </c>
      <c r="J12629" s="3" t="s">
        <v>35788</v>
      </c>
      <c r="K12629" s="3" t="s">
        <v>477</v>
      </c>
      <c r="L12629" s="3" t="str">
        <f>IFERROR(__xludf.DUMMYFUNCTION("GOOGLETRANSLATE(F12629,""id"",""en"")"),"Alhamdulillah, even though he didn't expect Argentina to win at least the champions were not from European countries")</f>
        <v>Alhamdulillah, even though he didn't expect Argentina to win at least the champions were not from European countries</v>
      </c>
    </row>
    <row r="12630" ht="15.75" customHeight="1">
      <c r="A12630" s="1">
        <v>13918.0</v>
      </c>
      <c r="B12630" s="3" t="s">
        <v>35789</v>
      </c>
      <c r="C12630" s="3">
        <v>0.0</v>
      </c>
      <c r="D12630" s="3">
        <v>0.0</v>
      </c>
      <c r="E12630" s="3">
        <v>0.0</v>
      </c>
      <c r="F12630" s="3" t="s">
        <v>35790</v>
      </c>
      <c r="G12630" s="3">
        <v>0.0</v>
      </c>
      <c r="H12630" s="3">
        <v>0.0</v>
      </c>
      <c r="I12630" s="3" t="s">
        <v>13</v>
      </c>
      <c r="J12630" s="3" t="s">
        <v>35791</v>
      </c>
      <c r="K12630" s="3" t="s">
        <v>127</v>
      </c>
      <c r="L12630" s="3" t="str">
        <f>IFERROR(__xludf.DUMMYFUNCTION("GOOGLETRANSLATE(F12630,""id"",""en"")"),"Scaloni Menganti Mary in the second half forced Argentina champions through Mbappe Penalties Printing Hattrick Wins Golden Warts")</f>
        <v>Scaloni Menganti Mary in the second half forced Argentina champions through Mbappe Penalties Printing Hattrick Wins Golden Warts</v>
      </c>
    </row>
    <row r="12631" ht="15.75" customHeight="1">
      <c r="A12631" s="1">
        <v>13919.0</v>
      </c>
      <c r="B12631" s="3" t="s">
        <v>35792</v>
      </c>
      <c r="C12631" s="3">
        <v>37.0</v>
      </c>
      <c r="D12631" s="3">
        <v>76.0</v>
      </c>
      <c r="E12631" s="3">
        <v>402.0</v>
      </c>
      <c r="F12631" s="3" t="s">
        <v>35793</v>
      </c>
      <c r="G12631" s="3">
        <v>0.0</v>
      </c>
      <c r="H12631" s="3">
        <v>0.0</v>
      </c>
      <c r="I12631" s="3" t="s">
        <v>13</v>
      </c>
      <c r="J12631" s="3" t="s">
        <v>35794</v>
      </c>
      <c r="K12631" s="3" t="s">
        <v>644</v>
      </c>
      <c r="L12631" s="3" t="str">
        <f>IFERROR(__xludf.DUMMYFUNCTION("GOOGLETRANSLATE(F12631,""id"",""en"")"),"the reason for the world champion Argentina")</f>
        <v>the reason for the world champion Argentina</v>
      </c>
    </row>
    <row r="12632" ht="15.75" customHeight="1">
      <c r="A12632" s="1">
        <v>13920.0</v>
      </c>
      <c r="B12632" s="3" t="s">
        <v>35795</v>
      </c>
      <c r="C12632" s="3">
        <v>0.0</v>
      </c>
      <c r="D12632" s="3">
        <v>0.0</v>
      </c>
      <c r="E12632" s="3">
        <v>0.0</v>
      </c>
      <c r="F12632" s="3" t="s">
        <v>35796</v>
      </c>
      <c r="G12632" s="3">
        <v>0.0</v>
      </c>
      <c r="H12632" s="3">
        <v>0.0</v>
      </c>
      <c r="I12632" s="3" t="s">
        <v>13</v>
      </c>
      <c r="J12632" s="3" t="s">
        <v>35797</v>
      </c>
      <c r="K12632" s="3" t="s">
        <v>82</v>
      </c>
      <c r="L12632" s="3" t="str">
        <f>IFERROR(__xludf.DUMMYFUNCTION("GOOGLETRANSLATE(F12632,""id"",""en"")"),"Prices that must also be Messi and Argentina pay to become world champions")</f>
        <v>Prices that must also be Messi and Argentina pay to become world champions</v>
      </c>
    </row>
    <row r="12633" ht="15.75" customHeight="1">
      <c r="A12633" s="1">
        <v>13921.0</v>
      </c>
      <c r="B12633" s="3" t="s">
        <v>35798</v>
      </c>
      <c r="C12633" s="3">
        <v>0.0</v>
      </c>
      <c r="D12633" s="3">
        <v>0.0</v>
      </c>
      <c r="E12633" s="3">
        <v>0.0</v>
      </c>
      <c r="F12633" s="3" t="s">
        <v>35799</v>
      </c>
      <c r="G12633" s="3">
        <v>0.0</v>
      </c>
      <c r="H12633" s="3">
        <v>0.0</v>
      </c>
      <c r="I12633" s="3" t="s">
        <v>13</v>
      </c>
      <c r="J12633" s="3" t="s">
        <v>35800</v>
      </c>
      <c r="K12633" s="3" t="s">
        <v>50</v>
      </c>
      <c r="L12633" s="3" t="str">
        <f>IFERROR(__xludf.DUMMYFUNCTION("GOOGLETRANSLATE(F12633,""id"",""en"")"),"Argentina Champion Qatar World Cup Messi Complete Degree Fans Sleep Sleep")</f>
        <v>Argentina Champion Qatar World Cup Messi Complete Degree Fans Sleep Sleep</v>
      </c>
    </row>
    <row r="12634" ht="15.75" customHeight="1">
      <c r="A12634" s="1">
        <v>13922.0</v>
      </c>
      <c r="B12634" s="3" t="s">
        <v>35801</v>
      </c>
      <c r="C12634" s="3">
        <v>1.0</v>
      </c>
      <c r="D12634" s="3">
        <v>0.0</v>
      </c>
      <c r="E12634" s="3">
        <v>1.0</v>
      </c>
      <c r="F12634" s="3" t="s">
        <v>35802</v>
      </c>
      <c r="G12634" s="3">
        <v>0.0</v>
      </c>
      <c r="H12634" s="3">
        <v>0.0</v>
      </c>
      <c r="I12634" s="3" t="s">
        <v>13</v>
      </c>
      <c r="J12634" s="3" t="s">
        <v>35803</v>
      </c>
      <c r="K12634" s="3" t="s">
        <v>491</v>
      </c>
      <c r="L12634" s="3" t="str">
        <f>IFERROR(__xludf.DUMMYFUNCTION("GOOGLETRANSLATE(F12634,""id"",""en"")"),"Argentina Wis Champion Messi lifted the French Cup champion Step Arab Suadi Merga Iso Ngalahke ARgen")</f>
        <v>Argentina Wis Champion Messi lifted the French Cup champion Step Arab Suadi Merga Iso Ngalahke ARgen</v>
      </c>
    </row>
    <row r="12635" ht="15.75" customHeight="1">
      <c r="A12635" s="1">
        <v>13923.0</v>
      </c>
      <c r="B12635" s="3" t="s">
        <v>35804</v>
      </c>
      <c r="C12635" s="3">
        <v>0.0</v>
      </c>
      <c r="D12635" s="3">
        <v>0.0</v>
      </c>
      <c r="E12635" s="3">
        <v>0.0</v>
      </c>
      <c r="F12635" s="3" t="s">
        <v>35805</v>
      </c>
      <c r="G12635" s="3">
        <v>0.0</v>
      </c>
      <c r="H12635" s="3">
        <v>0.0</v>
      </c>
      <c r="I12635" s="3" t="s">
        <v>13</v>
      </c>
      <c r="J12635" s="3" t="s">
        <v>16104</v>
      </c>
      <c r="K12635" s="3" t="s">
        <v>14571</v>
      </c>
      <c r="L12635" s="3" t="str">
        <f>IFERROR(__xludf.DUMMYFUNCTION("GOOGLETRANSLATE(F12635,""id"",""en"")"),"Before Argentina champions")</f>
        <v>Before Argentina champions</v>
      </c>
    </row>
    <row r="12636" ht="15.75" customHeight="1">
      <c r="A12636" s="1">
        <v>13924.0</v>
      </c>
      <c r="B12636" s="3" t="s">
        <v>35806</v>
      </c>
      <c r="C12636" s="3">
        <v>72.0</v>
      </c>
      <c r="D12636" s="3">
        <v>71.0</v>
      </c>
      <c r="E12636" s="3">
        <v>926.0</v>
      </c>
      <c r="F12636" s="3" t="s">
        <v>35807</v>
      </c>
      <c r="G12636" s="3">
        <v>0.0</v>
      </c>
      <c r="H12636" s="3">
        <v>0.0</v>
      </c>
      <c r="I12636" s="3" t="s">
        <v>13</v>
      </c>
      <c r="J12636" s="3" t="s">
        <v>35808</v>
      </c>
      <c r="K12636" s="3" t="s">
        <v>75</v>
      </c>
      <c r="L12636" s="3" t="str">
        <f>IFERROR(__xludf.DUMMYFUNCTION("GOOGLETRANSLATE(F12636,""id"",""en"")"),"Breaking after Argentina World Cup Champion Laliga has not changed Barcelona still leads")</f>
        <v>Breaking after Argentina World Cup Champion Laliga has not changed Barcelona still leads</v>
      </c>
    </row>
    <row r="12637" ht="15.75" customHeight="1">
      <c r="A12637" s="1">
        <v>13925.0</v>
      </c>
      <c r="B12637" s="3" t="s">
        <v>35809</v>
      </c>
      <c r="C12637" s="3">
        <v>1.0</v>
      </c>
      <c r="D12637" s="3">
        <v>0.0</v>
      </c>
      <c r="E12637" s="3">
        <v>11.0</v>
      </c>
      <c r="F12637" s="3" t="s">
        <v>35810</v>
      </c>
      <c r="G12637" s="3">
        <v>0.0</v>
      </c>
      <c r="H12637" s="3">
        <v>0.0</v>
      </c>
      <c r="I12637" s="3" t="s">
        <v>13</v>
      </c>
      <c r="J12637" s="3" t="s">
        <v>35811</v>
      </c>
      <c r="K12637" s="3" t="s">
        <v>1518</v>
      </c>
      <c r="L12637" s="3" t="str">
        <f>IFERROR(__xludf.DUMMYFUNCTION("GOOGLETRANSLATE(F12637,""id"",""en"")"),"Leonel Messi Winning World Cup Which knows the beginning of the match against Saudi he lost, he would not expect to be the end of the year of survivors to support Argentina")</f>
        <v>Leonel Messi Winning World Cup Which knows the beginning of the match against Saudi he lost, he would not expect to be the end of the year of survivors to support Argentina</v>
      </c>
    </row>
    <row r="12638" ht="15.75" customHeight="1">
      <c r="A12638" s="1">
        <v>13926.0</v>
      </c>
      <c r="B12638" s="3" t="s">
        <v>35812</v>
      </c>
      <c r="C12638" s="3">
        <v>0.0</v>
      </c>
      <c r="D12638" s="3">
        <v>0.0</v>
      </c>
      <c r="E12638" s="3">
        <v>0.0</v>
      </c>
      <c r="F12638" s="3" t="s">
        <v>35813</v>
      </c>
      <c r="G12638" s="3">
        <v>0.5</v>
      </c>
      <c r="H12638" s="3">
        <v>0.15</v>
      </c>
      <c r="I12638" s="3" t="s">
        <v>48</v>
      </c>
      <c r="J12638" s="3" t="s">
        <v>35814</v>
      </c>
      <c r="K12638" s="3" t="s">
        <v>54</v>
      </c>
      <c r="L12638" s="3" t="str">
        <f>IFERROR(__xludf.DUMMYFUNCTION("GOOGLETRANSLATE(F12638,""id"",""en"")"),"good game for France but this time Argentina is champion")</f>
        <v>good game for France but this time Argentina is champion</v>
      </c>
    </row>
    <row r="12639" ht="15.75" customHeight="1">
      <c r="A12639" s="1">
        <v>13927.0</v>
      </c>
      <c r="B12639" s="3" t="s">
        <v>35815</v>
      </c>
      <c r="C12639" s="3">
        <v>1.0</v>
      </c>
      <c r="D12639" s="3">
        <v>0.0</v>
      </c>
      <c r="E12639" s="3">
        <v>0.0</v>
      </c>
      <c r="F12639" s="3" t="s">
        <v>35816</v>
      </c>
      <c r="G12639" s="3">
        <v>0.75</v>
      </c>
      <c r="H12639" s="3">
        <v>0.53125</v>
      </c>
      <c r="I12639" s="3" t="s">
        <v>48</v>
      </c>
      <c r="J12639" s="3" t="s">
        <v>35817</v>
      </c>
      <c r="K12639" s="3" t="s">
        <v>35</v>
      </c>
      <c r="L12639" s="3" t="str">
        <f>IFERROR(__xludf.DUMMYFUNCTION("GOOGLETRANSLATE(F12639,""id"",""en"")"),"Argentina and Messi deserve to win and complete the Major Messi Football Greatest All Time title")</f>
        <v>Argentina and Messi deserve to win and complete the Major Messi Football Greatest All Time title</v>
      </c>
    </row>
    <row r="12640" ht="15.75" customHeight="1">
      <c r="A12640" s="1">
        <v>13928.0</v>
      </c>
      <c r="B12640" s="3" t="s">
        <v>35818</v>
      </c>
      <c r="C12640" s="3">
        <v>3.0</v>
      </c>
      <c r="D12640" s="3">
        <v>0.0</v>
      </c>
      <c r="E12640" s="3">
        <v>20.0</v>
      </c>
      <c r="F12640" s="3" t="s">
        <v>35819</v>
      </c>
      <c r="G12640" s="3">
        <v>0.0</v>
      </c>
      <c r="H12640" s="3">
        <v>0.0</v>
      </c>
      <c r="I12640" s="3" t="s">
        <v>13</v>
      </c>
      <c r="J12640" s="3" t="s">
        <v>35820</v>
      </c>
      <c r="K12640" s="3" t="s">
        <v>82</v>
      </c>
      <c r="L12640" s="3" t="str">
        <f>IFERROR(__xludf.DUMMYFUNCTION("GOOGLETRANSLATE(F12640,""id"",""en"")"),"Argentine Dramatic Winning Photos of World Cup Champion")</f>
        <v>Argentine Dramatic Winning Photos of World Cup Champion</v>
      </c>
    </row>
    <row r="12641" ht="15.75" customHeight="1">
      <c r="A12641" s="1">
        <v>13929.0</v>
      </c>
      <c r="B12641" s="3" t="s">
        <v>35821</v>
      </c>
      <c r="C12641" s="3">
        <v>0.0</v>
      </c>
      <c r="D12641" s="3">
        <v>0.0</v>
      </c>
      <c r="E12641" s="3">
        <v>4.0</v>
      </c>
      <c r="F12641" s="3" t="s">
        <v>35822</v>
      </c>
      <c r="G12641" s="3">
        <v>0.0</v>
      </c>
      <c r="H12641" s="3">
        <v>0.0</v>
      </c>
      <c r="I12641" s="3" t="s">
        <v>13</v>
      </c>
      <c r="J12641" s="3" t="s">
        <v>35823</v>
      </c>
      <c r="K12641" s="3" t="s">
        <v>2117</v>
      </c>
      <c r="L12641" s="3" t="str">
        <f>IFERROR(__xludf.DUMMYFUNCTION("GOOGLETRANSLATE(F12641,""id"",""en"")"),"Nazar Argentina Champion")</f>
        <v>Nazar Argentina Champion</v>
      </c>
    </row>
    <row r="12642" ht="15.75" customHeight="1">
      <c r="A12642" s="1">
        <v>13930.0</v>
      </c>
      <c r="B12642" s="3" t="s">
        <v>35824</v>
      </c>
      <c r="C12642" s="3">
        <v>0.0</v>
      </c>
      <c r="D12642" s="3">
        <v>0.0</v>
      </c>
      <c r="E12642" s="3">
        <v>0.0</v>
      </c>
      <c r="F12642" s="3" t="s">
        <v>35825</v>
      </c>
      <c r="G12642" s="3">
        <v>1.0</v>
      </c>
      <c r="H12642" s="3">
        <v>0.8</v>
      </c>
      <c r="I12642" s="3" t="s">
        <v>48</v>
      </c>
      <c r="J12642" s="3" t="s">
        <v>35826</v>
      </c>
      <c r="K12642" s="3" t="s">
        <v>19</v>
      </c>
      <c r="L12642" s="3" t="str">
        <f>IFERROR(__xludf.DUMMYFUNCTION("GOOGLETRANSLATE(F12642,""id"",""en"")"),"France lost honorable in Argentina deserves Happy Champion Retirement Messii Mbappe Amanlah can still be Pilduun again")</f>
        <v>France lost honorable in Argentina deserves Happy Champion Retirement Messii Mbappe Amanlah can still be Pilduun again</v>
      </c>
    </row>
    <row r="12643" ht="15.75" customHeight="1">
      <c r="A12643" s="1">
        <v>13931.0</v>
      </c>
      <c r="B12643" s="3" t="s">
        <v>35827</v>
      </c>
      <c r="C12643" s="3">
        <v>0.0</v>
      </c>
      <c r="D12643" s="3">
        <v>0.0</v>
      </c>
      <c r="E12643" s="3">
        <v>13.0</v>
      </c>
      <c r="F12643" s="3" t="s">
        <v>35828</v>
      </c>
      <c r="G12643" s="3">
        <v>0.0</v>
      </c>
      <c r="H12643" s="3">
        <v>0.0</v>
      </c>
      <c r="I12643" s="3" t="s">
        <v>13</v>
      </c>
      <c r="J12643" s="3" t="s">
        <v>35829</v>
      </c>
      <c r="K12643" s="3" t="s">
        <v>456</v>
      </c>
      <c r="L12643" s="3" t="str">
        <f>IFERROR(__xludf.DUMMYFUNCTION("GOOGLETRANSLATE(F12643,""id"",""en"")"),"Congratulations Messi deserves to get a World Cup trophy thanks to the hard work and Argentina national team friend I fans Ronaldo from the year when he kicks a penalty of Atletico Madrid and brought Madrid to champion UCL I admit Messi is there")</f>
        <v>Congratulations Messi deserves to get a World Cup trophy thanks to the hard work and Argentina national team friend I fans Ronaldo from the year when he kicks a penalty of Atletico Madrid and brought Madrid to champion UCL I admit Messi is there</v>
      </c>
    </row>
    <row r="12644" ht="15.75" customHeight="1">
      <c r="A12644" s="1">
        <v>13932.0</v>
      </c>
      <c r="B12644" s="3" t="s">
        <v>35830</v>
      </c>
      <c r="C12644" s="3">
        <v>0.0</v>
      </c>
      <c r="D12644" s="3">
        <v>0.0</v>
      </c>
      <c r="E12644" s="3">
        <v>0.0</v>
      </c>
      <c r="F12644" s="3" t="s">
        <v>35831</v>
      </c>
      <c r="G12644" s="3">
        <v>0.0</v>
      </c>
      <c r="H12644" s="3">
        <v>0.0</v>
      </c>
      <c r="I12644" s="3" t="s">
        <v>13</v>
      </c>
      <c r="J12644" s="3" t="s">
        <v>35832</v>
      </c>
      <c r="K12644" s="3" t="s">
        <v>244</v>
      </c>
      <c r="L12644" s="3" t="str">
        <f>IFERROR(__xludf.DUMMYFUNCTION("GOOGLETRANSLATE(F12644,""id"",""en"")"),"Sek Argentina Champion Ngasi Mbeyer Mbeyer Rodo Bodo Bodo Campaign Stirik Wkwkk")</f>
        <v>Sek Argentina Champion Ngasi Mbeyer Mbeyer Rodo Bodo Bodo Campaign Stirik Wkwkk</v>
      </c>
    </row>
    <row r="12645" ht="15.75" customHeight="1">
      <c r="A12645" s="1">
        <v>13933.0</v>
      </c>
      <c r="B12645" s="3" t="s">
        <v>35833</v>
      </c>
      <c r="C12645" s="3">
        <v>0.0</v>
      </c>
      <c r="D12645" s="3">
        <v>1.0</v>
      </c>
      <c r="E12645" s="3">
        <v>0.0</v>
      </c>
      <c r="F12645" s="3" t="s">
        <v>35834</v>
      </c>
      <c r="G12645" s="3">
        <v>0.0</v>
      </c>
      <c r="H12645" s="3">
        <v>0.0</v>
      </c>
      <c r="I12645" s="3" t="s">
        <v>13</v>
      </c>
      <c r="J12645" s="3" t="s">
        <v>35835</v>
      </c>
      <c r="K12645" s="3" t="s">
        <v>31</v>
      </c>
      <c r="L12645" s="3" t="str">
        <f>IFERROR(__xludf.DUMMYFUNCTION("GOOGLETRANSLATE(F12645,""id"",""en"")"),"Argentina Champion But Not TRACKING KOSU MAE")</f>
        <v>Argentina Champion But Not TRACKING KOSU MAE</v>
      </c>
    </row>
    <row r="12646" ht="15.75" customHeight="1">
      <c r="A12646" s="1">
        <v>13935.0</v>
      </c>
      <c r="B12646" s="3" t="s">
        <v>35836</v>
      </c>
      <c r="C12646" s="3">
        <v>0.0</v>
      </c>
      <c r="D12646" s="3">
        <v>1.0</v>
      </c>
      <c r="E12646" s="3">
        <v>1.0</v>
      </c>
      <c r="F12646" s="3" t="s">
        <v>35837</v>
      </c>
      <c r="G12646" s="3">
        <v>0.0</v>
      </c>
      <c r="H12646" s="3">
        <v>0.0</v>
      </c>
      <c r="I12646" s="3" t="s">
        <v>13</v>
      </c>
      <c r="J12646" s="3" t="s">
        <v>35838</v>
      </c>
      <c r="K12646" s="3" t="s">
        <v>910</v>
      </c>
      <c r="L12646" s="3" t="str">
        <f>IFERROR(__xludf.DUMMYFUNCTION("GOOGLETRANSLATE(F12646,""id"",""en"")"),"Crazy crazy I was touched earlier when the fourth kick was very happy penalty Argentina could be the world champion to be the most beautiful gift for Bang Messi before retiring until my hand was anjirrr asgsjskskkkk")</f>
        <v>Crazy crazy I was touched earlier when the fourth kick was very happy penalty Argentina could be the world champion to be the most beautiful gift for Bang Messi before retiring until my hand was anjirrr asgsjskskkkk</v>
      </c>
    </row>
    <row r="12647" ht="15.75" customHeight="1">
      <c r="A12647" s="1">
        <v>13936.0</v>
      </c>
      <c r="B12647" s="3" t="s">
        <v>35839</v>
      </c>
      <c r="C12647" s="3">
        <v>0.0</v>
      </c>
      <c r="D12647" s="3">
        <v>0.0</v>
      </c>
      <c r="E12647" s="3">
        <v>0.0</v>
      </c>
      <c r="F12647" s="3" t="s">
        <v>35840</v>
      </c>
      <c r="G12647" s="3">
        <v>0.0</v>
      </c>
      <c r="H12647" s="3">
        <v>0.0</v>
      </c>
      <c r="I12647" s="3" t="s">
        <v>13</v>
      </c>
      <c r="J12647" s="3" t="s">
        <v>35841</v>
      </c>
      <c r="K12647" s="3" t="s">
        <v>54</v>
      </c>
      <c r="L12647" s="3" t="str">
        <f>IFERROR(__xludf.DUMMYFUNCTION("GOOGLETRANSLATE(F12647,""id"",""en"")"),"As according to the Argentina Topscore Mbappe championship")</f>
        <v>As according to the Argentina Topscore Mbappe championship</v>
      </c>
    </row>
    <row r="12648" ht="15.75" customHeight="1">
      <c r="A12648" s="1">
        <v>13937.0</v>
      </c>
      <c r="B12648" s="3" t="s">
        <v>35842</v>
      </c>
      <c r="C12648" s="3">
        <v>0.0</v>
      </c>
      <c r="D12648" s="3">
        <v>0.0</v>
      </c>
      <c r="E12648" s="3">
        <v>0.0</v>
      </c>
      <c r="F12648" s="3" t="s">
        <v>35843</v>
      </c>
      <c r="G12648" s="3">
        <v>0.0</v>
      </c>
      <c r="H12648" s="3">
        <v>0.0</v>
      </c>
      <c r="I12648" s="3" t="s">
        <v>13</v>
      </c>
      <c r="J12648" s="3" t="s">
        <v>35844</v>
      </c>
      <c r="K12648" s="3" t="s">
        <v>31</v>
      </c>
      <c r="L12648" s="3" t="str">
        <f>IFERROR(__xludf.DUMMYFUNCTION("GOOGLETRANSLATE(F12648,""id"",""en"")"),"Argentina Champion World Cup Congratulations")</f>
        <v>Argentina Champion World Cup Congratulations</v>
      </c>
    </row>
    <row r="12649" ht="15.75" customHeight="1">
      <c r="A12649" s="1">
        <v>13938.0</v>
      </c>
      <c r="B12649" s="3" t="s">
        <v>35845</v>
      </c>
      <c r="C12649" s="3">
        <v>0.0</v>
      </c>
      <c r="D12649" s="3">
        <v>0.0</v>
      </c>
      <c r="E12649" s="3">
        <v>0.0</v>
      </c>
      <c r="F12649" s="3" t="s">
        <v>35846</v>
      </c>
      <c r="G12649" s="3">
        <v>0.0</v>
      </c>
      <c r="H12649" s="3">
        <v>0.0</v>
      </c>
      <c r="I12649" s="3" t="s">
        <v>13</v>
      </c>
      <c r="J12649" s="3" t="s">
        <v>35847</v>
      </c>
      <c r="K12649" s="3" t="s">
        <v>82</v>
      </c>
      <c r="L12649" s="3" t="str">
        <f>IFERROR(__xludf.DUMMYFUNCTION("GOOGLETRANSLATE(F12649,""id"",""en"")"),"Argentina deserves France champions to provide fierce resistance")</f>
        <v>Argentina deserves France champions to provide fierce resistance</v>
      </c>
    </row>
    <row r="12650" ht="15.75" customHeight="1">
      <c r="A12650" s="1">
        <v>13939.0</v>
      </c>
      <c r="B12650" s="3" t="s">
        <v>35848</v>
      </c>
      <c r="C12650" s="3">
        <v>0.0</v>
      </c>
      <c r="D12650" s="3">
        <v>0.0</v>
      </c>
      <c r="E12650" s="3">
        <v>0.0</v>
      </c>
      <c r="F12650" s="3" t="s">
        <v>35849</v>
      </c>
      <c r="G12650" s="3">
        <v>0.3333333333333333</v>
      </c>
      <c r="H12650" s="3">
        <v>0.1666666666666667</v>
      </c>
      <c r="I12650" s="3" t="s">
        <v>48</v>
      </c>
      <c r="J12650" s="3" t="s">
        <v>35850</v>
      </c>
      <c r="K12650" s="3" t="s">
        <v>45</v>
      </c>
      <c r="L12650" s="3" t="str">
        <f>IFERROR(__xludf.DUMMYFUNCTION("GOOGLETRANSLATE(F12650,""id"",""en"")"),"Messi can win the pile, I stretched it once, I was a great country like Argentina.")</f>
        <v>Messi can win the pile, I stretched it once, I was a great country like Argentina.</v>
      </c>
    </row>
    <row r="12651" ht="15.75" customHeight="1">
      <c r="A12651" s="1">
        <v>13940.0</v>
      </c>
      <c r="B12651" s="3" t="s">
        <v>35851</v>
      </c>
      <c r="C12651" s="3">
        <v>0.0</v>
      </c>
      <c r="D12651" s="3">
        <v>0.0</v>
      </c>
      <c r="E12651" s="3">
        <v>0.0</v>
      </c>
      <c r="F12651" s="3" t="s">
        <v>35852</v>
      </c>
      <c r="G12651" s="3">
        <v>0.0</v>
      </c>
      <c r="H12651" s="3">
        <v>0.0</v>
      </c>
      <c r="I12651" s="3" t="s">
        <v>13</v>
      </c>
      <c r="J12651" s="3" t="s">
        <v>35853</v>
      </c>
      <c r="K12651" s="3" t="s">
        <v>433</v>
      </c>
      <c r="L12651" s="3" t="str">
        <f>IFERROR(__xludf.DUMMYFUNCTION("GOOGLETRANSLATE(F12651,""id"",""en"")"),"Respect for Portugal and Ronaldo fans who have already defended staying up late for Argentina Loat Champion")</f>
        <v>Respect for Portugal and Ronaldo fans who have already defended staying up late for Argentina Loat Champion</v>
      </c>
    </row>
    <row r="12652" ht="15.75" customHeight="1">
      <c r="A12652" s="1">
        <v>13941.0</v>
      </c>
      <c r="B12652" s="3" t="s">
        <v>35854</v>
      </c>
      <c r="C12652" s="3">
        <v>0.0</v>
      </c>
      <c r="D12652" s="3">
        <v>0.0</v>
      </c>
      <c r="E12652" s="3">
        <v>0.0</v>
      </c>
      <c r="F12652" s="3" t="s">
        <v>35855</v>
      </c>
      <c r="G12652" s="3">
        <v>0.5</v>
      </c>
      <c r="H12652" s="3">
        <v>0.5</v>
      </c>
      <c r="I12652" s="3" t="s">
        <v>48</v>
      </c>
      <c r="J12652" s="3" t="s">
        <v>35856</v>
      </c>
      <c r="K12652" s="3" t="s">
        <v>15</v>
      </c>
      <c r="L12652" s="3" t="str">
        <f>IFERROR(__xludf.DUMMYFUNCTION("GOOGLETRANSLATE(F12652,""id"",""en"")"),"again I top coins for but the important GPP Argentina Champion")</f>
        <v>again I top coins for but the important GPP Argentina Champion</v>
      </c>
    </row>
    <row r="12653" ht="15.75" customHeight="1">
      <c r="A12653" s="1">
        <v>13942.0</v>
      </c>
      <c r="B12653" s="3" t="s">
        <v>35857</v>
      </c>
      <c r="C12653" s="3">
        <v>0.0</v>
      </c>
      <c r="D12653" s="3">
        <v>0.0</v>
      </c>
      <c r="E12653" s="3">
        <v>1.0</v>
      </c>
      <c r="F12653" s="3" t="s">
        <v>35858</v>
      </c>
      <c r="G12653" s="3">
        <v>0.0</v>
      </c>
      <c r="H12653" s="3">
        <v>0.0</v>
      </c>
      <c r="I12653" s="3" t="s">
        <v>13</v>
      </c>
      <c r="J12653" s="3" t="s">
        <v>35859</v>
      </c>
      <c r="K12653" s="3" t="s">
        <v>135</v>
      </c>
      <c r="L12653" s="3" t="str">
        <f>IFERROR(__xludf.DUMMYFUNCTION("GOOGLETRANSLATE(F12653,""id"",""en"")"),"Everyone showed off the Argentine Social Medicine Victory as if he was the main post even though all the people of this world knew that Argentina champions of the World Cup Social Media were great")</f>
        <v>Everyone showed off the Argentine Social Medicine Victory as if he was the main post even though all the people of this world knew that Argentina champions of the World Cup Social Media were great</v>
      </c>
    </row>
    <row r="12654" ht="15.75" customHeight="1">
      <c r="A12654" s="1">
        <v>13943.0</v>
      </c>
      <c r="B12654" s="3" t="s">
        <v>35860</v>
      </c>
      <c r="C12654" s="3">
        <v>0.0</v>
      </c>
      <c r="D12654" s="3">
        <v>0.0</v>
      </c>
      <c r="E12654" s="3">
        <v>1.0</v>
      </c>
      <c r="F12654" s="3" t="s">
        <v>35861</v>
      </c>
      <c r="G12654" s="3">
        <v>0.6</v>
      </c>
      <c r="H12654" s="3">
        <v>-0.1</v>
      </c>
      <c r="I12654" s="3" t="s">
        <v>179</v>
      </c>
      <c r="J12654" s="3" t="s">
        <v>35862</v>
      </c>
      <c r="K12654" s="3" t="s">
        <v>9802</v>
      </c>
      <c r="L12654" s="3" t="str">
        <f>IFERROR(__xludf.DUMMYFUNCTION("GOOGLETRANSLATE(F12654,""id"",""en"")"),"Enjoying football should be happy to see Messi World Cup champions don't like Argentina at least joined in the end of Messi, the end of his career lifting the World Cup happy to enjoy your retirement Goat")</f>
        <v>Enjoying football should be happy to see Messi World Cup champions don't like Argentina at least joined in the end of Messi, the end of his career lifting the World Cup happy to enjoy your retirement Goat</v>
      </c>
    </row>
    <row r="12655" ht="15.75" customHeight="1">
      <c r="A12655" s="1">
        <v>13944.0</v>
      </c>
      <c r="B12655" s="3" t="s">
        <v>35863</v>
      </c>
      <c r="C12655" s="3">
        <v>0.0</v>
      </c>
      <c r="D12655" s="3">
        <v>0.0</v>
      </c>
      <c r="E12655" s="3">
        <v>0.0</v>
      </c>
      <c r="F12655" s="3" t="s">
        <v>35864</v>
      </c>
      <c r="G12655" s="3">
        <v>0.0</v>
      </c>
      <c r="H12655" s="3">
        <v>0.0</v>
      </c>
      <c r="I12655" s="3" t="s">
        <v>13</v>
      </c>
      <c r="J12655" s="3" t="s">
        <v>35865</v>
      </c>
      <c r="K12655" s="3" t="s">
        <v>644</v>
      </c>
      <c r="L12655" s="3" t="str">
        <f>IFERROR(__xludf.DUMMYFUNCTION("GOOGLETRANSLATE(F12655,""id"",""en"")"),"Messi Champion Congratulation Argentina")</f>
        <v>Messi Champion Congratulation Argentina</v>
      </c>
    </row>
    <row r="12656" ht="15.75" customHeight="1">
      <c r="A12656" s="1">
        <v>13945.0</v>
      </c>
      <c r="B12656" s="3" t="s">
        <v>35866</v>
      </c>
      <c r="C12656" s="3">
        <v>0.0</v>
      </c>
      <c r="D12656" s="3">
        <v>0.0</v>
      </c>
      <c r="E12656" s="3">
        <v>0.0</v>
      </c>
      <c r="F12656" s="3" t="s">
        <v>35867</v>
      </c>
      <c r="G12656" s="3">
        <v>0.3333333333333333</v>
      </c>
      <c r="H12656" s="3">
        <v>0.1666666666666667</v>
      </c>
      <c r="I12656" s="3" t="s">
        <v>48</v>
      </c>
      <c r="J12656" s="3" t="s">
        <v>35868</v>
      </c>
      <c r="K12656" s="3" t="s">
        <v>1597</v>
      </c>
      <c r="L12656" s="3" t="str">
        <f>IFERROR(__xludf.DUMMYFUNCTION("GOOGLETRANSLATE(F12656,""id"",""en"")"),"Argentina always plays with the initial formation of the party determining the title in the three events against Brazil and Italy match with a typical trio of fighter midfielders when facing France Mac Allister and Enzo Fernandez made the midfield activel"&amp;"y channel the ball")</f>
        <v>Argentina always plays with the initial formation of the party determining the title in the three events against Brazil and Italy match with a typical trio of fighter midfielders when facing France Mac Allister and Enzo Fernandez made the midfield actively channel the ball</v>
      </c>
    </row>
    <row r="12657" ht="15.75" customHeight="1">
      <c r="A12657" s="1">
        <v>13946.0</v>
      </c>
      <c r="B12657" s="3" t="s">
        <v>35869</v>
      </c>
      <c r="C12657" s="3">
        <v>0.0</v>
      </c>
      <c r="D12657" s="3">
        <v>0.0</v>
      </c>
      <c r="E12657" s="3">
        <v>0.0</v>
      </c>
      <c r="F12657" s="3" t="s">
        <v>35870</v>
      </c>
      <c r="G12657" s="3">
        <v>0.0</v>
      </c>
      <c r="H12657" s="3">
        <v>0.0</v>
      </c>
      <c r="I12657" s="3" t="s">
        <v>13</v>
      </c>
      <c r="J12657" s="3" t="s">
        <v>35871</v>
      </c>
      <c r="K12657" s="3" t="s">
        <v>3721</v>
      </c>
      <c r="L12657" s="3" t="str">
        <f>IFERROR(__xludf.DUMMYFUNCTION("GOOGLETRANSLATE(F12657,""id"",""en"")"),"Alhamdulillah, Allah finally Argentina champions and the Pulga lifting the last World Cup trophy in his football career even though my birthday is only a few days away but this GPP has become the most beautiful birthday gift this year")</f>
        <v>Alhamdulillah, Allah finally Argentina champions and the Pulga lifting the last World Cup trophy in his football career even though my birthday is only a few days away but this GPP has become the most beautiful birthday gift this year</v>
      </c>
    </row>
    <row r="12658" ht="15.75" customHeight="1">
      <c r="A12658" s="1">
        <v>13947.0</v>
      </c>
      <c r="B12658" s="3" t="s">
        <v>35872</v>
      </c>
      <c r="C12658" s="3">
        <v>0.0</v>
      </c>
      <c r="D12658" s="3">
        <v>0.0</v>
      </c>
      <c r="E12658" s="3">
        <v>0.0</v>
      </c>
      <c r="F12658" s="3" t="s">
        <v>35873</v>
      </c>
      <c r="G12658" s="3">
        <v>0.0</v>
      </c>
      <c r="H12658" s="3">
        <v>0.0</v>
      </c>
      <c r="I12658" s="3" t="s">
        <v>13</v>
      </c>
      <c r="J12658" s="3" t="s">
        <v>35874</v>
      </c>
      <c r="K12658" s="3" t="s">
        <v>695</v>
      </c>
      <c r="L12658" s="3" t="str">
        <f>IFERROR(__xludf.DUMMYFUNCTION("GOOGLETRANSLATE(F12658,""id"",""en"")"),"It's crazy, Min, every time I make it suitable for this, I can only guarantee and hopefully I don't have the fortune of Argentina.")</f>
        <v>It's crazy, Min, every time I make it suitable for this, I can only guarantee and hopefully I don't have the fortune of Argentina.</v>
      </c>
    </row>
    <row r="12659" ht="15.75" customHeight="1">
      <c r="A12659" s="1">
        <v>13948.0</v>
      </c>
      <c r="B12659" s="3" t="s">
        <v>35875</v>
      </c>
      <c r="C12659" s="3">
        <v>1.0</v>
      </c>
      <c r="D12659" s="3">
        <v>6.0</v>
      </c>
      <c r="E12659" s="3">
        <v>32.0</v>
      </c>
      <c r="F12659" s="3" t="s">
        <v>35876</v>
      </c>
      <c r="G12659" s="3">
        <v>0.0</v>
      </c>
      <c r="H12659" s="3">
        <v>0.0</v>
      </c>
      <c r="I12659" s="3" t="s">
        <v>13</v>
      </c>
      <c r="J12659" s="3" t="s">
        <v>35877</v>
      </c>
      <c r="K12659" s="3" t="s">
        <v>90</v>
      </c>
      <c r="L12659" s="3" t="str">
        <f>IFERROR(__xludf.DUMMYFUNCTION("GOOGLETRANSLATE(F12659,""id"",""en"")"),"Argentina has just carved the history of the World Cup champion Messi paid off his career happily but do you remember that Saudi Arabia conquered them the opening match")</f>
        <v>Argentina has just carved the history of the World Cup champion Messi paid off his career happily but do you remember that Saudi Arabia conquered them the opening match</v>
      </c>
    </row>
    <row r="12660" ht="15.75" customHeight="1">
      <c r="A12660" s="1">
        <v>13949.0</v>
      </c>
      <c r="B12660" s="3" t="s">
        <v>35878</v>
      </c>
      <c r="C12660" s="3">
        <v>0.0</v>
      </c>
      <c r="D12660" s="3">
        <v>0.0</v>
      </c>
      <c r="E12660" s="3">
        <v>0.0</v>
      </c>
      <c r="F12660" s="3" t="s">
        <v>35879</v>
      </c>
      <c r="G12660" s="3">
        <v>0.0</v>
      </c>
      <c r="H12660" s="3">
        <v>0.0</v>
      </c>
      <c r="I12660" s="3" t="s">
        <v>13</v>
      </c>
      <c r="J12660" s="3" t="s">
        <v>35880</v>
      </c>
      <c r="K12660" s="3" t="s">
        <v>41</v>
      </c>
      <c r="L12660" s="3" t="str">
        <f>IFERROR(__xludf.DUMMYFUNCTION("GOOGLETRANSLATE(F12660,""id"",""en"")"),"Argentina Champion Jol Sisidueun Kieu Signs Naon Ieu Gusti")</f>
        <v>Argentina Champion Jol Sisidueun Kieu Signs Naon Ieu Gusti</v>
      </c>
    </row>
    <row r="12661" ht="15.75" customHeight="1">
      <c r="A12661" s="1">
        <v>13950.0</v>
      </c>
      <c r="B12661" s="3" t="s">
        <v>35881</v>
      </c>
      <c r="C12661" s="3">
        <v>0.0</v>
      </c>
      <c r="D12661" s="3">
        <v>0.0</v>
      </c>
      <c r="E12661" s="3">
        <v>1.0</v>
      </c>
      <c r="F12661" s="3" t="s">
        <v>35882</v>
      </c>
      <c r="G12661" s="3">
        <v>0.0</v>
      </c>
      <c r="H12661" s="3">
        <v>0.0</v>
      </c>
      <c r="I12661" s="3" t="s">
        <v>13</v>
      </c>
      <c r="J12661" s="3" t="s">
        <v>35883</v>
      </c>
      <c r="K12661" s="3" t="s">
        <v>23</v>
      </c>
      <c r="L12661" s="3" t="str">
        <f>IFERROR(__xludf.DUMMYFUNCTION("GOOGLETRANSLATE(F12661,""id"",""en"")"),"Congratulations to Argentina as the champion of the Qatar World Cup and congratulations Untul as the best player is truly extraordinary we are very entertained by the Argentine match Francis like Korean drama")</f>
        <v>Congratulations to Argentina as the champion of the Qatar World Cup and congratulations Untul as the best player is truly extraordinary we are very entertained by the Argentine match Francis like Korean drama</v>
      </c>
    </row>
    <row r="12662" ht="15.75" customHeight="1">
      <c r="A12662" s="1">
        <v>13951.0</v>
      </c>
      <c r="B12662" s="3" t="s">
        <v>35884</v>
      </c>
      <c r="C12662" s="3">
        <v>0.0</v>
      </c>
      <c r="D12662" s="3">
        <v>0.0</v>
      </c>
      <c r="E12662" s="3">
        <v>0.0</v>
      </c>
      <c r="F12662" s="3" t="s">
        <v>35885</v>
      </c>
      <c r="G12662" s="3">
        <v>0.0</v>
      </c>
      <c r="H12662" s="3">
        <v>0.0</v>
      </c>
      <c r="I12662" s="3" t="s">
        <v>13</v>
      </c>
      <c r="J12662" s="3" t="s">
        <v>35886</v>
      </c>
      <c r="K12662" s="3" t="s">
        <v>31</v>
      </c>
      <c r="L12662" s="3" t="str">
        <f>IFERROR(__xludf.DUMMYFUNCTION("GOOGLETRANSLATE(F12662,""id"",""en"")"),"because Argentina is already in the event of the event")</f>
        <v>because Argentina is already in the event of the event</v>
      </c>
    </row>
    <row r="12663" ht="15.75" customHeight="1">
      <c r="A12663" s="1">
        <v>13952.0</v>
      </c>
      <c r="B12663" s="3" t="s">
        <v>35887</v>
      </c>
      <c r="C12663" s="3">
        <v>0.0</v>
      </c>
      <c r="D12663" s="3">
        <v>0.0</v>
      </c>
      <c r="E12663" s="3">
        <v>0.0</v>
      </c>
      <c r="F12663" s="3" t="s">
        <v>35888</v>
      </c>
      <c r="G12663" s="3">
        <v>0.0</v>
      </c>
      <c r="H12663" s="3">
        <v>0.0</v>
      </c>
      <c r="I12663" s="3" t="s">
        <v>13</v>
      </c>
      <c r="J12663" s="3" t="s">
        <v>35889</v>
      </c>
      <c r="K12663" s="3" t="s">
        <v>244</v>
      </c>
      <c r="L12663" s="3" t="str">
        <f>IFERROR(__xludf.DUMMYFUNCTION("GOOGLETRANSLATE(F12663,""id"",""en"")"),"Ciat Ciat Haters Messi began to berate wkwkw in essence Argentina Champion")</f>
        <v>Ciat Ciat Haters Messi began to berate wkwkw in essence Argentina Champion</v>
      </c>
    </row>
    <row r="12664" ht="15.75" customHeight="1">
      <c r="A12664" s="1">
        <v>13953.0</v>
      </c>
      <c r="B12664" s="3" t="s">
        <v>35890</v>
      </c>
      <c r="C12664" s="3">
        <v>0.0</v>
      </c>
      <c r="D12664" s="3">
        <v>0.0</v>
      </c>
      <c r="E12664" s="3">
        <v>0.0</v>
      </c>
      <c r="F12664" s="3" t="s">
        <v>35891</v>
      </c>
      <c r="G12664" s="3">
        <v>0.0</v>
      </c>
      <c r="H12664" s="3">
        <v>0.0</v>
      </c>
      <c r="I12664" s="3" t="s">
        <v>13</v>
      </c>
      <c r="J12664" s="3" t="s">
        <v>35892</v>
      </c>
      <c r="K12664" s="3" t="s">
        <v>1280</v>
      </c>
      <c r="L12664" s="3" t="str">
        <f>IFERROR(__xludf.DUMMYFUNCTION("GOOGLETRANSLATE(F12664,""id"",""en"")"),"I am happy to champion the pildun but his fans in the cardboard katro by talking about goat debate over maradona champion with Argentina Mario kepes champion and Argentina What Argentina has always been a strong country always become a champion candidate")</f>
        <v>I am happy to champion the pildun but his fans in the cardboard katro by talking about goat debate over maradona champion with Argentina Mario kepes champion and Argentina What Argentina has always been a strong country always become a champion candidate</v>
      </c>
    </row>
    <row r="12665" ht="15.75" customHeight="1">
      <c r="A12665" s="1">
        <v>13954.0</v>
      </c>
      <c r="B12665" s="3" t="s">
        <v>35893</v>
      </c>
      <c r="C12665" s="3">
        <v>0.0</v>
      </c>
      <c r="D12665" s="3">
        <v>0.0</v>
      </c>
      <c r="E12665" s="3">
        <v>0.0</v>
      </c>
      <c r="F12665" s="3" t="s">
        <v>20542</v>
      </c>
      <c r="G12665" s="3">
        <v>0.0</v>
      </c>
      <c r="H12665" s="3">
        <v>0.0</v>
      </c>
      <c r="I12665" s="3" t="s">
        <v>13</v>
      </c>
      <c r="J12665" s="3" t="s">
        <v>20543</v>
      </c>
      <c r="K12665" s="3" t="s">
        <v>2117</v>
      </c>
      <c r="L12665" s="3" t="str">
        <f>IFERROR(__xludf.DUMMYFUNCTION("GOOGLETRANSLATE(F12665,""id"",""en"")"),"Argentina World Champion")</f>
        <v>Argentina World Champion</v>
      </c>
    </row>
    <row r="12666" ht="15.75" customHeight="1">
      <c r="A12666" s="1">
        <v>13955.0</v>
      </c>
      <c r="B12666" s="3" t="s">
        <v>35894</v>
      </c>
      <c r="C12666" s="3">
        <v>0.0</v>
      </c>
      <c r="D12666" s="3">
        <v>0.0</v>
      </c>
      <c r="E12666" s="3">
        <v>0.0</v>
      </c>
      <c r="F12666" s="3" t="s">
        <v>35895</v>
      </c>
      <c r="G12666" s="3">
        <v>0.0</v>
      </c>
      <c r="H12666" s="3">
        <v>0.0</v>
      </c>
      <c r="I12666" s="3" t="s">
        <v>13</v>
      </c>
      <c r="J12666" s="3" t="s">
        <v>35896</v>
      </c>
      <c r="K12666" s="3" t="s">
        <v>15</v>
      </c>
      <c r="L12666" s="3" t="str">
        <f>IFERROR(__xludf.DUMMYFUNCTION("GOOGLETRANSLATE(F12666,""id"",""en"")"),"Lionel Messi Successfully Bring Argentina World Cup Champion")</f>
        <v>Lionel Messi Successfully Bring Argentina World Cup Champion</v>
      </c>
    </row>
    <row r="12667" ht="15.75" customHeight="1">
      <c r="A12667" s="1">
        <v>13956.0</v>
      </c>
      <c r="B12667" s="3" t="s">
        <v>35897</v>
      </c>
      <c r="C12667" s="3">
        <v>0.0</v>
      </c>
      <c r="D12667" s="3">
        <v>0.0</v>
      </c>
      <c r="E12667" s="3">
        <v>0.0</v>
      </c>
      <c r="F12667" s="3" t="s">
        <v>35898</v>
      </c>
      <c r="G12667" s="3">
        <v>0.0</v>
      </c>
      <c r="H12667" s="3">
        <v>0.0</v>
      </c>
      <c r="I12667" s="3" t="s">
        <v>13</v>
      </c>
      <c r="J12667" s="3" t="s">
        <v>35899</v>
      </c>
      <c r="K12667" s="3" t="s">
        <v>41</v>
      </c>
      <c r="L12667" s="3" t="str">
        <f>IFERROR(__xludf.DUMMYFUNCTION("GOOGLETRANSLATE(F12667,""id"",""en"")"),"Starting with the defeat ended by becoming the champion of the Argentina Congrats World Cup")</f>
        <v>Starting with the defeat ended by becoming the champion of the Argentina Congrats World Cup</v>
      </c>
    </row>
    <row r="12668" ht="15.75" customHeight="1">
      <c r="A12668" s="1">
        <v>13957.0</v>
      </c>
      <c r="B12668" s="3" t="s">
        <v>35900</v>
      </c>
      <c r="C12668" s="3">
        <v>0.0</v>
      </c>
      <c r="D12668" s="3">
        <v>0.0</v>
      </c>
      <c r="E12668" s="3">
        <v>1.0</v>
      </c>
      <c r="F12668" s="3" t="s">
        <v>35901</v>
      </c>
      <c r="G12668" s="3">
        <v>0.0</v>
      </c>
      <c r="H12668" s="3">
        <v>0.0</v>
      </c>
      <c r="I12668" s="3" t="s">
        <v>13</v>
      </c>
      <c r="J12668" s="3" t="s">
        <v>35902</v>
      </c>
      <c r="K12668" s="3" t="s">
        <v>2023</v>
      </c>
      <c r="L12668" s="3" t="str">
        <f>IFERROR(__xludf.DUMMYFUNCTION("GOOGLETRANSLATE(F12668,""id"",""en"")"),"Congratulations Argentina Champion of the Qatar World Cup Thus after the World Cup Match Thank you Qatar for Hosting the Extraordinary World Cup")</f>
        <v>Congratulations Argentina Champion of the Qatar World Cup Thus after the World Cup Match Thank you Qatar for Hosting the Extraordinary World Cup</v>
      </c>
    </row>
    <row r="12669" ht="15.75" customHeight="1">
      <c r="A12669" s="1">
        <v>13958.0</v>
      </c>
      <c r="B12669" s="3" t="s">
        <v>35903</v>
      </c>
      <c r="C12669" s="3">
        <v>1.0</v>
      </c>
      <c r="D12669" s="3">
        <v>0.0</v>
      </c>
      <c r="E12669" s="3">
        <v>0.0</v>
      </c>
      <c r="F12669" s="3" t="s">
        <v>35904</v>
      </c>
      <c r="G12669" s="3">
        <v>0.3</v>
      </c>
      <c r="H12669" s="3">
        <v>0.2</v>
      </c>
      <c r="I12669" s="3" t="s">
        <v>48</v>
      </c>
      <c r="J12669" s="3" t="s">
        <v>35905</v>
      </c>
      <c r="K12669" s="3" t="s">
        <v>192</v>
      </c>
      <c r="L12669" s="3" t="str">
        <f>IFERROR(__xludf.DUMMYFUNCTION("GOOGLETRANSLATE(F12669,""id"",""en"")"),"When the last opportunity is if the goal is so no need to be penalty but everyone has worked hard, how come the beginning of Argentina already insisted that he wanted to win the defense was also really cool.")</f>
        <v>When the last opportunity is if the goal is so no need to be penalty but everyone has worked hard, how come the beginning of Argentina already insisted that he wanted to win the defense was also really cool.</v>
      </c>
    </row>
    <row r="12670" ht="15.75" customHeight="1">
      <c r="A12670" s="1">
        <v>13959.0</v>
      </c>
      <c r="B12670" s="3" t="s">
        <v>35906</v>
      </c>
      <c r="C12670" s="3">
        <v>0.0</v>
      </c>
      <c r="D12670" s="3">
        <v>0.0</v>
      </c>
      <c r="E12670" s="3">
        <v>1.0</v>
      </c>
      <c r="F12670" s="3" t="s">
        <v>35907</v>
      </c>
      <c r="G12670" s="3">
        <v>0.0</v>
      </c>
      <c r="H12670" s="3">
        <v>0.0</v>
      </c>
      <c r="I12670" s="3" t="s">
        <v>13</v>
      </c>
      <c r="J12670" s="3" t="s">
        <v>35908</v>
      </c>
      <c r="K12670" s="3" t="s">
        <v>510</v>
      </c>
      <c r="L12670" s="3" t="str">
        <f>IFERROR(__xludf.DUMMYFUNCTION("GOOGLETRANSLATE(F12670,""id"",""en"")"),"Kabeh Storyne Meng Argentina Champion Hakeneki Kekerekruk France Weruh Kongono Marai Ndase Hot")</f>
        <v>Kabeh Storyne Meng Argentina Champion Hakeneki Kekerekruk France Weruh Kongono Marai Ndase Hot</v>
      </c>
    </row>
    <row r="12671" ht="15.75" customHeight="1">
      <c r="A12671" s="1">
        <v>13960.0</v>
      </c>
      <c r="B12671" s="3" t="s">
        <v>35909</v>
      </c>
      <c r="C12671" s="3">
        <v>0.0</v>
      </c>
      <c r="D12671" s="3">
        <v>0.0</v>
      </c>
      <c r="E12671" s="3">
        <v>0.0</v>
      </c>
      <c r="F12671" s="3" t="s">
        <v>35910</v>
      </c>
      <c r="G12671" s="3">
        <v>0.0</v>
      </c>
      <c r="H12671" s="3">
        <v>0.0</v>
      </c>
      <c r="I12671" s="3" t="s">
        <v>13</v>
      </c>
      <c r="J12671" s="3" t="s">
        <v>35911</v>
      </c>
      <c r="K12671" s="3" t="s">
        <v>1428</v>
      </c>
      <c r="L12671" s="3" t="str">
        <f>IFERROR(__xludf.DUMMYFUNCTION("GOOGLETRANSLATE(F12671,""id"",""en"")"),"Martinez Neng Arsenal Dadi Forest Frame Leno Leno Dadi Inti Inti Inti Inti Didol Barkui Mah Dadi Pahlawan Neng Argentina Champion Copa World Urip Cen Mystery")</f>
        <v>Martinez Neng Arsenal Dadi Forest Frame Leno Leno Dadi Inti Inti Inti Inti Didol Barkui Mah Dadi Pahlawan Neng Argentina Champion Copa World Urip Cen Mystery</v>
      </c>
    </row>
    <row r="12672" ht="15.75" customHeight="1">
      <c r="A12672" s="1">
        <v>13961.0</v>
      </c>
      <c r="B12672" s="3" t="s">
        <v>35912</v>
      </c>
      <c r="C12672" s="3">
        <v>0.0</v>
      </c>
      <c r="D12672" s="3">
        <v>0.0</v>
      </c>
      <c r="E12672" s="3">
        <v>1.0</v>
      </c>
      <c r="F12672" s="3" t="s">
        <v>35913</v>
      </c>
      <c r="G12672" s="3">
        <v>0.0</v>
      </c>
      <c r="H12672" s="3">
        <v>0.0</v>
      </c>
      <c r="I12672" s="3" t="s">
        <v>13</v>
      </c>
      <c r="J12672" s="3" t="s">
        <v>35914</v>
      </c>
      <c r="K12672" s="3" t="s">
        <v>82</v>
      </c>
      <c r="L12672" s="3" t="str">
        <f>IFERROR(__xludf.DUMMYFUNCTION("GOOGLETRANSLATE(F12672,""id"",""en"")"),"Argentina World Champion Closing Points Good Messi")</f>
        <v>Argentina World Champion Closing Points Good Messi</v>
      </c>
    </row>
    <row r="12673" ht="15.75" customHeight="1">
      <c r="A12673" s="1">
        <v>13962.0</v>
      </c>
      <c r="B12673" s="3" t="s">
        <v>35915</v>
      </c>
      <c r="C12673" s="3">
        <v>0.0</v>
      </c>
      <c r="D12673" s="3">
        <v>0.0</v>
      </c>
      <c r="E12673" s="3">
        <v>0.0</v>
      </c>
      <c r="F12673" s="3" t="s">
        <v>35916</v>
      </c>
      <c r="G12673" s="3">
        <v>0.0</v>
      </c>
      <c r="H12673" s="3">
        <v>0.0</v>
      </c>
      <c r="I12673" s="3" t="s">
        <v>13</v>
      </c>
      <c r="J12673" s="3" t="s">
        <v>35917</v>
      </c>
      <c r="K12673" s="3" t="s">
        <v>58</v>
      </c>
      <c r="L12673" s="3" t="str">
        <f>IFERROR(__xludf.DUMMYFUNCTION("GOOGLETRANSLATE(F12673,""id"",""en"")"),"The debate of Goat is finished Messi admit as a goat closing the country's career with Manisss Vamous Argentina Champion")</f>
        <v>The debate of Goat is finished Messi admit as a goat closing the country's career with Manisss Vamous Argentina Champion</v>
      </c>
    </row>
    <row r="12674" ht="15.75" customHeight="1">
      <c r="A12674" s="1">
        <v>13963.0</v>
      </c>
      <c r="B12674" s="3" t="s">
        <v>35918</v>
      </c>
      <c r="C12674" s="3">
        <v>0.0</v>
      </c>
      <c r="D12674" s="3">
        <v>0.0</v>
      </c>
      <c r="E12674" s="3">
        <v>0.0</v>
      </c>
      <c r="F12674" s="3" t="s">
        <v>35919</v>
      </c>
      <c r="G12674" s="3">
        <v>0.0</v>
      </c>
      <c r="H12674" s="3">
        <v>0.0</v>
      </c>
      <c r="I12674" s="3" t="s">
        <v>13</v>
      </c>
      <c r="J12674" s="3" t="s">
        <v>35920</v>
      </c>
      <c r="K12674" s="3" t="s">
        <v>15</v>
      </c>
      <c r="L12674" s="3" t="str">
        <f>IFERROR(__xludf.DUMMYFUNCTION("GOOGLETRANSLATE(F12674,""id"",""en"")"),"Mr. President participated in defending Argentina Champion Kerenn Abiss")</f>
        <v>Mr. President participated in defending Argentina Champion Kerenn Abiss</v>
      </c>
    </row>
    <row r="12675" ht="15.75" customHeight="1">
      <c r="A12675" s="1">
        <v>13965.0</v>
      </c>
      <c r="B12675" s="3" t="s">
        <v>35921</v>
      </c>
      <c r="C12675" s="3">
        <v>2.0</v>
      </c>
      <c r="D12675" s="3">
        <v>0.0</v>
      </c>
      <c r="E12675" s="3">
        <v>14.0</v>
      </c>
      <c r="F12675" s="3" t="s">
        <v>35922</v>
      </c>
      <c r="G12675" s="3">
        <v>0.0</v>
      </c>
      <c r="H12675" s="3">
        <v>0.0</v>
      </c>
      <c r="I12675" s="3" t="s">
        <v>13</v>
      </c>
      <c r="J12675" s="3" t="s">
        <v>35923</v>
      </c>
      <c r="K12675" s="3" t="s">
        <v>449</v>
      </c>
      <c r="L12675" s="3" t="str">
        <f>IFERROR(__xludf.DUMMYFUNCTION("GOOGLETRANSLATE(F12675,""id"",""en"")"),"Naturally, he always has an official Argentine national team anyways, he was told to initially raise the trophy if Indonesia won the World Cup, until the DPR Commission")</f>
        <v>Naturally, he always has an official Argentine national team anyways, he was told to initially raise the trophy if Indonesia won the World Cup, until the DPR Commission</v>
      </c>
    </row>
    <row r="12676" ht="15.75" customHeight="1">
      <c r="A12676" s="1">
        <v>13966.0</v>
      </c>
      <c r="B12676" s="3" t="s">
        <v>35924</v>
      </c>
      <c r="C12676" s="3">
        <v>1.0</v>
      </c>
      <c r="D12676" s="3">
        <v>0.0</v>
      </c>
      <c r="E12676" s="3">
        <v>1.0</v>
      </c>
      <c r="F12676" s="3" t="s">
        <v>35925</v>
      </c>
      <c r="G12676" s="3">
        <v>0.0</v>
      </c>
      <c r="H12676" s="3">
        <v>0.0</v>
      </c>
      <c r="I12676" s="3" t="s">
        <v>13</v>
      </c>
      <c r="J12676" s="3" t="s">
        <v>35926</v>
      </c>
      <c r="K12676" s="3" t="s">
        <v>184</v>
      </c>
      <c r="L12676" s="3" t="str">
        <f>IFERROR(__xludf.DUMMYFUNCTION("GOOGLETRANSLATE(F12676,""id"",""en"")"),"the world at praise messi emi martinez mbappe but not many praise scaloni as if it would be forgotten even though his great achievement could bring Argentina champions")</f>
        <v>the world at praise messi emi martinez mbappe but not many praise scaloni as if it would be forgotten even though his great achievement could bring Argentina champions</v>
      </c>
    </row>
    <row r="12677" ht="15.75" customHeight="1">
      <c r="A12677" s="1">
        <v>13967.0</v>
      </c>
      <c r="B12677" s="3" t="s">
        <v>35927</v>
      </c>
      <c r="C12677" s="3">
        <v>0.0</v>
      </c>
      <c r="D12677" s="3">
        <v>0.0</v>
      </c>
      <c r="E12677" s="3">
        <v>1.0</v>
      </c>
      <c r="F12677" s="3" t="s">
        <v>35928</v>
      </c>
      <c r="G12677" s="3">
        <v>0.2</v>
      </c>
      <c r="H12677" s="3">
        <v>0.3</v>
      </c>
      <c r="I12677" s="3" t="s">
        <v>48</v>
      </c>
      <c r="J12677" s="3" t="s">
        <v>35929</v>
      </c>
      <c r="K12677" s="3" t="s">
        <v>1912</v>
      </c>
      <c r="L12677" s="3" t="str">
        <f>IFERROR(__xludf.DUMMYFUNCTION("GOOGLETRANSLATE(F12677,""id"",""en"")"),"Fun fact, although the champion must return the Jules Rimet Copa Mundial Trophy, gold -plated gold -plated FIFA Museum Zurich Swiss, instead it can only bring home the replica in the form of a gold -plated bronze")</f>
        <v>Fun fact, although the champion must return the Jules Rimet Copa Mundial Trophy, gold -plated gold -plated FIFA Museum Zurich Swiss, instead it can only bring home the replica in the form of a gold -plated bronze</v>
      </c>
    </row>
    <row r="12678" ht="15.75" customHeight="1">
      <c r="A12678" s="1">
        <v>13968.0</v>
      </c>
      <c r="B12678" s="3" t="s">
        <v>35930</v>
      </c>
      <c r="C12678" s="3">
        <v>0.0</v>
      </c>
      <c r="D12678" s="3">
        <v>0.0</v>
      </c>
      <c r="E12678" s="3">
        <v>0.0</v>
      </c>
      <c r="F12678" s="3" t="s">
        <v>35931</v>
      </c>
      <c r="G12678" s="3">
        <v>1.0</v>
      </c>
      <c r="H12678" s="3">
        <v>0.0</v>
      </c>
      <c r="I12678" s="3" t="s">
        <v>13</v>
      </c>
      <c r="J12678" s="3" t="s">
        <v>35932</v>
      </c>
      <c r="K12678" s="3" t="s">
        <v>910</v>
      </c>
      <c r="L12678" s="3" t="str">
        <f>IFERROR(__xludf.DUMMYFUNCTION("GOOGLETRANSLATE(F12678,""id"",""en"")"),"Losing in the opening of the opening of Saudi Arabia opponents is blasphemed to qualify and will go home first but still believe Argentina will qualify until the final and win the end Messi Proven TheMselves Champion Candida")</f>
        <v>Losing in the opening of the opening of Saudi Arabia opponents is blasphemed to qualify and will go home first but still believe Argentina will qualify until the final and win the end Messi Proven TheMselves Champion Candida</v>
      </c>
    </row>
    <row r="12679" ht="15.75" customHeight="1">
      <c r="A12679" s="1">
        <v>13970.0</v>
      </c>
      <c r="B12679" s="3" t="s">
        <v>35933</v>
      </c>
      <c r="C12679" s="3">
        <v>0.0</v>
      </c>
      <c r="D12679" s="3">
        <v>0.0</v>
      </c>
      <c r="E12679" s="3">
        <v>0.0</v>
      </c>
      <c r="F12679" s="3" t="s">
        <v>35934</v>
      </c>
      <c r="G12679" s="3">
        <v>0.0</v>
      </c>
      <c r="H12679" s="3">
        <v>0.0</v>
      </c>
      <c r="I12679" s="3" t="s">
        <v>13</v>
      </c>
      <c r="J12679" s="3" t="s">
        <v>35935</v>
      </c>
      <c r="K12679" s="3" t="s">
        <v>31</v>
      </c>
      <c r="L12679" s="3" t="str">
        <f>IFERROR(__xludf.DUMMYFUNCTION("GOOGLETRANSLATE(F12679,""id"",""en"")"),"Time Bang Gacapek Gini Mulu")</f>
        <v>Time Bang Gacapek Gini Mulu</v>
      </c>
    </row>
    <row r="12680" ht="15.75" customHeight="1">
      <c r="A12680" s="1">
        <v>13971.0</v>
      </c>
      <c r="B12680" s="3" t="s">
        <v>35936</v>
      </c>
      <c r="C12680" s="3">
        <v>0.0</v>
      </c>
      <c r="D12680" s="3">
        <v>0.0</v>
      </c>
      <c r="E12680" s="3">
        <v>3.0</v>
      </c>
      <c r="F12680" s="3" t="s">
        <v>35937</v>
      </c>
      <c r="G12680" s="3">
        <v>0.3</v>
      </c>
      <c r="H12680" s="3">
        <v>1.0</v>
      </c>
      <c r="I12680" s="3" t="s">
        <v>48</v>
      </c>
      <c r="J12680" s="3" t="s">
        <v>35938</v>
      </c>
      <c r="K12680" s="3" t="s">
        <v>41</v>
      </c>
      <c r="L12680" s="3" t="str">
        <f>IFERROR(__xludf.DUMMYFUNCTION("GOOGLETRANSLATE(F12680,""id"",""en"")"),"Congratulations Argentina Champion World Cup Qatar Messi The Best")</f>
        <v>Congratulations Argentina Champion World Cup Qatar Messi The Best</v>
      </c>
    </row>
    <row r="12681" ht="15.75" customHeight="1">
      <c r="A12681" s="1">
        <v>13972.0</v>
      </c>
      <c r="B12681" s="3" t="s">
        <v>35939</v>
      </c>
      <c r="C12681" s="3">
        <v>0.0</v>
      </c>
      <c r="D12681" s="3">
        <v>0.0</v>
      </c>
      <c r="E12681" s="3">
        <v>0.0</v>
      </c>
      <c r="F12681" s="3" t="s">
        <v>35940</v>
      </c>
      <c r="G12681" s="3">
        <v>0.0</v>
      </c>
      <c r="H12681" s="3">
        <v>0.0</v>
      </c>
      <c r="I12681" s="3" t="s">
        <v>13</v>
      </c>
      <c r="J12681" s="3" t="s">
        <v>35941</v>
      </c>
      <c r="K12681" s="3" t="s">
        <v>6752</v>
      </c>
      <c r="L12681" s="3" t="str">
        <f>IFERROR(__xludf.DUMMYFUNCTION("GOOGLETRANSLATE(F12681,""id"",""en"")"),"Argentina Champion Mbappe Croatia Champion Champion")</f>
        <v>Argentina Champion Mbappe Croatia Champion Champion</v>
      </c>
    </row>
    <row r="12682" ht="15.75" customHeight="1">
      <c r="A12682" s="1">
        <v>13973.0</v>
      </c>
      <c r="B12682" s="3" t="s">
        <v>35942</v>
      </c>
      <c r="C12682" s="3">
        <v>0.0</v>
      </c>
      <c r="D12682" s="3">
        <v>0.0</v>
      </c>
      <c r="E12682" s="3">
        <v>0.0</v>
      </c>
      <c r="F12682" s="3" t="s">
        <v>35943</v>
      </c>
      <c r="G12682" s="3">
        <v>0.55</v>
      </c>
      <c r="H12682" s="3">
        <v>0.35</v>
      </c>
      <c r="I12682" s="3" t="s">
        <v>48</v>
      </c>
      <c r="J12682" s="3" t="s">
        <v>35944</v>
      </c>
      <c r="K12682" s="3" t="s">
        <v>495</v>
      </c>
      <c r="L12682" s="3" t="str">
        <f>IFERROR(__xludf.DUMMYFUNCTION("GOOGLETRANSLATE(F12682,""id"",""en"")"),"Watching Argentina from the time of Messi longish and Carlos Tevez was already happy but had to be disappointed because the worst year champion wkwk then yes finally full smile")</f>
        <v>Watching Argentina from the time of Messi longish and Carlos Tevez was already happy but had to be disappointed because the worst year champion wkwk then yes finally full smile</v>
      </c>
    </row>
    <row r="12683" ht="15.75" customHeight="1">
      <c r="A12683" s="1">
        <v>13974.0</v>
      </c>
      <c r="B12683" s="3" t="s">
        <v>35945</v>
      </c>
      <c r="C12683" s="3">
        <v>0.0</v>
      </c>
      <c r="D12683" s="3">
        <v>0.0</v>
      </c>
      <c r="E12683" s="3">
        <v>0.0</v>
      </c>
      <c r="F12683" s="3" t="s">
        <v>35946</v>
      </c>
      <c r="G12683" s="3">
        <v>0.0</v>
      </c>
      <c r="H12683" s="3">
        <v>0.0</v>
      </c>
      <c r="I12683" s="3" t="s">
        <v>13</v>
      </c>
      <c r="J12683" s="3" t="s">
        <v>35947</v>
      </c>
      <c r="K12683" s="3" t="s">
        <v>8160</v>
      </c>
      <c r="L12683" s="3" t="str">
        <f>IFERROR(__xludf.DUMMYFUNCTION("GOOGLETRANSLATE(F12683,""id"",""en"")"),"Since the scaloni intervened to be a coach that was overhauled by his squad as a result that really had the quality that made Argentina could get the Copa American champion and the World Cup but all thanks to Messi finally finally")</f>
        <v>Since the scaloni intervened to be a coach that was overhauled by his squad as a result that really had the quality that made Argentina could get the Copa American champion and the World Cup but all thanks to Messi finally finally</v>
      </c>
    </row>
    <row r="12684" ht="15.75" customHeight="1">
      <c r="A12684" s="1">
        <v>13976.0</v>
      </c>
      <c r="B12684" s="3" t="s">
        <v>35948</v>
      </c>
      <c r="C12684" s="3">
        <v>0.0</v>
      </c>
      <c r="D12684" s="3">
        <v>0.0</v>
      </c>
      <c r="E12684" s="3">
        <v>0.0</v>
      </c>
      <c r="F12684" s="3" t="s">
        <v>35949</v>
      </c>
      <c r="G12684" s="3">
        <v>0.0</v>
      </c>
      <c r="H12684" s="3">
        <v>0.0</v>
      </c>
      <c r="I12684" s="3" t="s">
        <v>13</v>
      </c>
      <c r="J12684" s="3" t="s">
        <v>35950</v>
      </c>
      <c r="K12684" s="3" t="s">
        <v>41</v>
      </c>
      <c r="L12684" s="3" t="str">
        <f>IFERROR(__xludf.DUMMYFUNCTION("GOOGLETRANSLATE(F12684,""id"",""en"")"),"Zeejkt Farid The Cat succeeded in bringing Argentina champions yeeeeeyyy")</f>
        <v>Zeejkt Farid The Cat succeeded in bringing Argentina champions yeeeeeyyy</v>
      </c>
    </row>
    <row r="12685" ht="15.75" customHeight="1">
      <c r="A12685" s="1">
        <v>13977.0</v>
      </c>
      <c r="B12685" s="3" t="s">
        <v>35951</v>
      </c>
      <c r="C12685" s="3">
        <v>0.0</v>
      </c>
      <c r="D12685" s="3">
        <v>0.0</v>
      </c>
      <c r="E12685" s="3">
        <v>0.0</v>
      </c>
      <c r="F12685" s="3" t="s">
        <v>35952</v>
      </c>
      <c r="G12685" s="3">
        <v>0.0</v>
      </c>
      <c r="H12685" s="3">
        <v>0.0</v>
      </c>
      <c r="I12685" s="3" t="s">
        <v>13</v>
      </c>
      <c r="J12685" s="3" t="s">
        <v>35953</v>
      </c>
      <c r="K12685" s="3" t="s">
        <v>1097</v>
      </c>
      <c r="L12685" s="3" t="str">
        <f>IFERROR(__xludf.DUMMYFUNCTION("GOOGLETRANSLATE(F12685,""id"",""en"")"),"world champion is Argentina but the champion in my heart is only you")</f>
        <v>world champion is Argentina but the champion in my heart is only you</v>
      </c>
    </row>
    <row r="12686" ht="15.75" customHeight="1">
      <c r="A12686" s="1">
        <v>13978.0</v>
      </c>
      <c r="B12686" s="3" t="s">
        <v>35954</v>
      </c>
      <c r="C12686" s="3">
        <v>0.0</v>
      </c>
      <c r="D12686" s="3">
        <v>0.0</v>
      </c>
      <c r="E12686" s="3">
        <v>0.0</v>
      </c>
      <c r="F12686" s="3" t="s">
        <v>35955</v>
      </c>
      <c r="G12686" s="3">
        <v>0.0</v>
      </c>
      <c r="H12686" s="3">
        <v>0.0</v>
      </c>
      <c r="I12686" s="3" t="s">
        <v>13</v>
      </c>
      <c r="J12686" s="3" t="s">
        <v>35956</v>
      </c>
      <c r="K12686" s="3" t="s">
        <v>31</v>
      </c>
      <c r="L12686" s="3" t="str">
        <f>IFERROR(__xludf.DUMMYFUNCTION("GOOGLETRANSLATE(F12686,""id"",""en"")"),"Argentina Boss Champion Sia Natto")</f>
        <v>Argentina Boss Champion Sia Natto</v>
      </c>
    </row>
    <row r="12687" ht="15.75" customHeight="1">
      <c r="A12687" s="1">
        <v>13979.0</v>
      </c>
      <c r="B12687" s="3" t="s">
        <v>35957</v>
      </c>
      <c r="C12687" s="3">
        <v>0.0</v>
      </c>
      <c r="D12687" s="3">
        <v>0.0</v>
      </c>
      <c r="E12687" s="3">
        <v>0.0</v>
      </c>
      <c r="F12687" s="3" t="s">
        <v>35958</v>
      </c>
      <c r="G12687" s="3">
        <v>0.0</v>
      </c>
      <c r="H12687" s="3">
        <v>0.0</v>
      </c>
      <c r="I12687" s="3" t="s">
        <v>13</v>
      </c>
      <c r="J12687" s="3" t="s">
        <v>35959</v>
      </c>
      <c r="K12687" s="3" t="s">
        <v>82</v>
      </c>
      <c r="L12687" s="3" t="str">
        <f>IFERROR(__xludf.DUMMYFUNCTION("GOOGLETRANSLATE(F12687,""id"",""en"")"),"Although Argentina champions in the eyes of the French cave are still")</f>
        <v>Although Argentina champions in the eyes of the French cave are still</v>
      </c>
    </row>
    <row r="12688" ht="15.75" customHeight="1">
      <c r="A12688" s="1">
        <v>13980.0</v>
      </c>
      <c r="B12688" s="3" t="s">
        <v>35960</v>
      </c>
      <c r="C12688" s="3">
        <v>0.0</v>
      </c>
      <c r="D12688" s="3">
        <v>0.0</v>
      </c>
      <c r="E12688" s="3">
        <v>0.0</v>
      </c>
      <c r="F12688" s="3" t="s">
        <v>35961</v>
      </c>
      <c r="G12688" s="3">
        <v>0.0</v>
      </c>
      <c r="H12688" s="3">
        <v>0.0</v>
      </c>
      <c r="I12688" s="3" t="s">
        <v>13</v>
      </c>
      <c r="J12688" s="3" t="s">
        <v>35962</v>
      </c>
      <c r="K12688" s="3" t="s">
        <v>54</v>
      </c>
      <c r="L12688" s="3" t="str">
        <f>IFERROR(__xludf.DUMMYFUNCTION("GOOGLETRANSLATE(F12688,""id"",""en"")"),"thanks bang Argentina to be the last champion")</f>
        <v>thanks bang Argentina to be the last champion</v>
      </c>
    </row>
    <row r="12689" ht="15.75" customHeight="1">
      <c r="A12689" s="1">
        <v>13981.0</v>
      </c>
      <c r="B12689" s="3" t="s">
        <v>35963</v>
      </c>
      <c r="C12689" s="3">
        <v>0.0</v>
      </c>
      <c r="D12689" s="3">
        <v>0.0</v>
      </c>
      <c r="E12689" s="3">
        <v>0.0</v>
      </c>
      <c r="F12689" s="3" t="s">
        <v>35964</v>
      </c>
      <c r="G12689" s="3">
        <v>0.3333333333333333</v>
      </c>
      <c r="H12689" s="3">
        <v>0.1666666666666667</v>
      </c>
      <c r="I12689" s="3" t="s">
        <v>48</v>
      </c>
      <c r="J12689" s="3" t="s">
        <v>35965</v>
      </c>
      <c r="K12689" s="3" t="s">
        <v>899</v>
      </c>
      <c r="L12689" s="3" t="str">
        <f>IFERROR(__xludf.DUMMYFUNCTION("GOOGLETRANSLATE(F12689,""id"",""en"")"),"Remember that I was so crying because Argentina came home first because France became a world champion to defeat France to lose to Croatia years later, Messi was also really not playing playing")</f>
        <v>Remember that I was so crying because Argentina came home first because France became a world champion to defeat France to lose to Croatia years later, Messi was also really not playing playing</v>
      </c>
    </row>
    <row r="12690" ht="15.75" customHeight="1">
      <c r="A12690" s="1">
        <v>13982.0</v>
      </c>
      <c r="B12690" s="3" t="s">
        <v>35966</v>
      </c>
      <c r="C12690" s="3">
        <v>0.0</v>
      </c>
      <c r="D12690" s="3">
        <v>0.0</v>
      </c>
      <c r="E12690" s="3">
        <v>0.0</v>
      </c>
      <c r="F12690" s="3" t="s">
        <v>35967</v>
      </c>
      <c r="G12690" s="3">
        <v>0.5</v>
      </c>
      <c r="H12690" s="3">
        <v>0.5</v>
      </c>
      <c r="I12690" s="3" t="s">
        <v>48</v>
      </c>
      <c r="J12690" s="3" t="s">
        <v>35968</v>
      </c>
      <c r="K12690" s="3" t="s">
        <v>1897</v>
      </c>
      <c r="L12690" s="3" t="str">
        <f>IFERROR(__xludf.DUMMYFUNCTION("GOOGLETRANSLATE(F12690,""id"",""en"")"),"Argentina France Adu Pinalty Messi AGT World Champion Mbappe Prc Top Score PSG is also happy that the hero appears charming record created watching happily can be angry with an exciting match in December cheerful")</f>
        <v>Argentina France Adu Pinalty Messi AGT World Champion Mbappe Prc Top Score PSG is also happy that the hero appears charming record created watching happily can be angry with an exciting match in December cheerful</v>
      </c>
    </row>
    <row r="12691" ht="15.75" customHeight="1">
      <c r="A12691" s="1">
        <v>13983.0</v>
      </c>
      <c r="B12691" s="3" t="s">
        <v>35969</v>
      </c>
      <c r="C12691" s="3">
        <v>0.0</v>
      </c>
      <c r="D12691" s="3">
        <v>0.0</v>
      </c>
      <c r="E12691" s="3">
        <v>0.0</v>
      </c>
      <c r="F12691" s="3" t="s">
        <v>35970</v>
      </c>
      <c r="G12691" s="3">
        <v>0.0</v>
      </c>
      <c r="H12691" s="3">
        <v>0.0</v>
      </c>
      <c r="I12691" s="3" t="s">
        <v>13</v>
      </c>
      <c r="J12691" s="3" t="s">
        <v>35971</v>
      </c>
      <c r="K12691" s="3" t="s">
        <v>644</v>
      </c>
      <c r="L12691" s="3" t="str">
        <f>IFERROR(__xludf.DUMMYFUNCTION("GOOGLETRANSLATE(F12691,""id"",""en"")"),"Argentina Wins Guess Champion")</f>
        <v>Argentina Wins Guess Champion</v>
      </c>
    </row>
    <row r="12692" ht="15.75" customHeight="1">
      <c r="A12692" s="1">
        <v>13984.0</v>
      </c>
      <c r="B12692" s="3" t="s">
        <v>35972</v>
      </c>
      <c r="C12692" s="3">
        <v>0.0</v>
      </c>
      <c r="D12692" s="3">
        <v>0.0</v>
      </c>
      <c r="E12692" s="3">
        <v>0.0</v>
      </c>
      <c r="F12692" s="3" t="s">
        <v>35973</v>
      </c>
      <c r="G12692" s="3">
        <v>0.0</v>
      </c>
      <c r="H12692" s="3">
        <v>0.0</v>
      </c>
      <c r="I12692" s="3" t="s">
        <v>13</v>
      </c>
      <c r="J12692" s="3" t="s">
        <v>35974</v>
      </c>
      <c r="K12692" s="3" t="s">
        <v>236</v>
      </c>
      <c r="L12692" s="3" t="str">
        <f>IFERROR(__xludf.DUMMYFUNCTION("GOOGLETRANSLATE(F12692,""id"",""en"")"),"the only good thing is only Argentina champion Emiliano Martinez Pahlawan Argentina")</f>
        <v>the only good thing is only Argentina champion Emiliano Martinez Pahlawan Argentina</v>
      </c>
    </row>
    <row r="12693" ht="15.75" customHeight="1">
      <c r="A12693" s="1">
        <v>13985.0</v>
      </c>
      <c r="B12693" s="3" t="s">
        <v>35975</v>
      </c>
      <c r="C12693" s="3">
        <v>1.0</v>
      </c>
      <c r="D12693" s="3">
        <v>0.0</v>
      </c>
      <c r="E12693" s="3">
        <v>7.0</v>
      </c>
      <c r="F12693" s="3" t="s">
        <v>35976</v>
      </c>
      <c r="G12693" s="3">
        <v>0.0</v>
      </c>
      <c r="H12693" s="3">
        <v>0.0</v>
      </c>
      <c r="I12693" s="3" t="s">
        <v>13</v>
      </c>
      <c r="J12693" s="3" t="s">
        <v>35977</v>
      </c>
      <c r="K12693" s="3" t="s">
        <v>491</v>
      </c>
      <c r="L12693" s="3" t="str">
        <f>IFERROR(__xludf.DUMMYFUNCTION("GOOGLETRANSLATE(F12693,""id"",""en"")"),"Messi is active in Bela Argentina since losing opponents Brazil times lost in a row by Chile and finally champion Maracana Brazil")</f>
        <v>Messi is active in Bela Argentina since losing opponents Brazil times lost in a row by Chile and finally champion Maracana Brazil</v>
      </c>
    </row>
    <row r="12694" ht="15.75" customHeight="1">
      <c r="A12694" s="1">
        <v>13987.0</v>
      </c>
      <c r="B12694" s="3" t="s">
        <v>35978</v>
      </c>
      <c r="C12694" s="3">
        <v>0.0</v>
      </c>
      <c r="D12694" s="3">
        <v>2.0</v>
      </c>
      <c r="E12694" s="3">
        <v>17.0</v>
      </c>
      <c r="F12694" s="3" t="s">
        <v>35979</v>
      </c>
      <c r="G12694" s="3">
        <v>0.0</v>
      </c>
      <c r="H12694" s="3">
        <v>0.0</v>
      </c>
      <c r="I12694" s="3" t="s">
        <v>13</v>
      </c>
      <c r="J12694" s="3" t="s">
        <v>35980</v>
      </c>
      <c r="K12694" s="3" t="s">
        <v>2215</v>
      </c>
      <c r="L12694" s="3" t="str">
        <f>IFERROR(__xludf.DUMMYFUNCTION("GOOGLETRANSLATE(F12694,""id"",""en"")"),"Argentina won the Pilduun Qatar after conquering France through the penalties this is a list of champions")</f>
        <v>Argentina won the Pilduun Qatar after conquering France through the penalties this is a list of champions</v>
      </c>
    </row>
    <row r="12695" ht="15.75" customHeight="1">
      <c r="A12695" s="1">
        <v>13988.0</v>
      </c>
      <c r="B12695" s="3" t="s">
        <v>35981</v>
      </c>
      <c r="C12695" s="3">
        <v>0.0</v>
      </c>
      <c r="D12695" s="3">
        <v>0.0</v>
      </c>
      <c r="E12695" s="3">
        <v>0.0</v>
      </c>
      <c r="F12695" s="3" t="s">
        <v>35982</v>
      </c>
      <c r="G12695" s="3">
        <v>0.0</v>
      </c>
      <c r="H12695" s="3">
        <v>0.0</v>
      </c>
      <c r="I12695" s="3" t="s">
        <v>13</v>
      </c>
      <c r="J12695" s="3" t="s">
        <v>35983</v>
      </c>
      <c r="K12695" s="3" t="s">
        <v>433</v>
      </c>
      <c r="L12695" s="3" t="str">
        <f>IFERROR(__xludf.DUMMYFUNCTION("GOOGLETRANSLATE(F12695,""id"",""en"")"),"Wait for Argentina The champion is rich waiting for you to turn back to me it feels like dug dug wkwkwk")</f>
        <v>Wait for Argentina The champion is rich waiting for you to turn back to me it feels like dug dug wkwkwk</v>
      </c>
    </row>
    <row r="12696" ht="15.75" customHeight="1">
      <c r="A12696" s="1">
        <v>13989.0</v>
      </c>
      <c r="B12696" s="3" t="s">
        <v>35984</v>
      </c>
      <c r="C12696" s="3">
        <v>0.0</v>
      </c>
      <c r="D12696" s="3">
        <v>0.0</v>
      </c>
      <c r="E12696" s="3">
        <v>0.0</v>
      </c>
      <c r="F12696" s="3" t="s">
        <v>35985</v>
      </c>
      <c r="G12696" s="3">
        <v>0.3</v>
      </c>
      <c r="H12696" s="3">
        <v>0.2</v>
      </c>
      <c r="I12696" s="3" t="s">
        <v>48</v>
      </c>
      <c r="J12696" s="3" t="s">
        <v>35986</v>
      </c>
      <c r="K12696" s="3" t="s">
        <v>910</v>
      </c>
      <c r="L12696" s="3" t="str">
        <f>IFERROR(__xludf.DUMMYFUNCTION("GOOGLETRANSLATE(F12696,""id"",""en"")"),"Even already feeling the champion is definitely Argentina but chooses not to support her reasoning because he likes Messi why because of this modern football era he is too good until everyone in the world is glorious")</f>
        <v>Even already feeling the champion is definitely Argentina but chooses not to support her reasoning because he likes Messi why because of this modern football era he is too good until everyone in the world is glorious</v>
      </c>
    </row>
    <row r="12697" ht="15.75" customHeight="1">
      <c r="A12697" s="1">
        <v>13990.0</v>
      </c>
      <c r="B12697" s="3" t="s">
        <v>35987</v>
      </c>
      <c r="C12697" s="3">
        <v>0.0</v>
      </c>
      <c r="D12697" s="3">
        <v>0.0</v>
      </c>
      <c r="E12697" s="3">
        <v>0.0</v>
      </c>
      <c r="F12697" s="3" t="s">
        <v>35988</v>
      </c>
      <c r="G12697" s="3">
        <v>0.0</v>
      </c>
      <c r="H12697" s="3">
        <v>0.0</v>
      </c>
      <c r="I12697" s="3" t="s">
        <v>13</v>
      </c>
      <c r="J12697" s="3" t="s">
        <v>35989</v>
      </c>
      <c r="K12697" s="3" t="s">
        <v>82</v>
      </c>
      <c r="L12697" s="3" t="str">
        <f>IFERROR(__xludf.DUMMYFUNCTION("GOOGLETRANSLATE(F12697,""id"",""en"")"),"Rada bastard, it's really important that Argentina is the champion")</f>
        <v>Rada bastard, it's really important that Argentina is the champion</v>
      </c>
    </row>
    <row r="12698" ht="15.75" customHeight="1">
      <c r="A12698" s="1">
        <v>13991.0</v>
      </c>
      <c r="B12698" s="3" t="s">
        <v>35990</v>
      </c>
      <c r="C12698" s="3">
        <v>0.0</v>
      </c>
      <c r="D12698" s="3">
        <v>0.0</v>
      </c>
      <c r="E12698" s="3">
        <v>1.0</v>
      </c>
      <c r="F12698" s="3" t="s">
        <v>35991</v>
      </c>
      <c r="G12698" s="3">
        <v>0.9</v>
      </c>
      <c r="H12698" s="3">
        <v>0.6000000000000001</v>
      </c>
      <c r="I12698" s="3" t="s">
        <v>48</v>
      </c>
      <c r="J12698" s="3" t="s">
        <v>35992</v>
      </c>
      <c r="K12698" s="3" t="s">
        <v>50</v>
      </c>
      <c r="L12698" s="3" t="str">
        <f>IFERROR(__xludf.DUMMYFUNCTION("GOOGLETRANSLATE(F12698,""id"",""en"")"),"Predictions from December The realization of Lionel Messi Argentina Amazing Champion Bali Indonesia")</f>
        <v>Predictions from December The realization of Lionel Messi Argentina Amazing Champion Bali Indonesia</v>
      </c>
    </row>
    <row r="12699" ht="15.75" customHeight="1">
      <c r="A12699" s="1">
        <v>13992.0</v>
      </c>
      <c r="B12699" s="3" t="s">
        <v>35993</v>
      </c>
      <c r="C12699" s="3">
        <v>0.0</v>
      </c>
      <c r="D12699" s="3">
        <v>0.0</v>
      </c>
      <c r="E12699" s="3">
        <v>1.0</v>
      </c>
      <c r="F12699" s="3" t="s">
        <v>35994</v>
      </c>
      <c r="G12699" s="3">
        <v>0.0</v>
      </c>
      <c r="H12699" s="3">
        <v>0.0</v>
      </c>
      <c r="I12699" s="3" t="s">
        <v>13</v>
      </c>
      <c r="J12699" s="3" t="s">
        <v>35995</v>
      </c>
      <c r="K12699" s="3" t="s">
        <v>228</v>
      </c>
      <c r="L12699" s="3" t="str">
        <f>IFERROR(__xludf.DUMMYFUNCTION("GOOGLETRANSLATE(F12699,""id"",""en"")"),"Congratulations Argentina The first round World Cup champion ends with a score of the second half draw with a thrilling session score occurred with Argentina's champion penalties managed to break thoroughly the goal while France was only able to break dow"&amp;"n")</f>
        <v>Congratulations Argentina The first round World Cup champion ends with a score of the second half draw with a thrilling session score occurred with Argentina's champion penalties managed to break thoroughly the goal while France was only able to break down</v>
      </c>
    </row>
    <row r="12700" ht="15.75" customHeight="1">
      <c r="A12700" s="1">
        <v>13993.0</v>
      </c>
      <c r="B12700" s="3" t="s">
        <v>35996</v>
      </c>
      <c r="C12700" s="3">
        <v>0.0</v>
      </c>
      <c r="D12700" s="3">
        <v>0.0</v>
      </c>
      <c r="E12700" s="3">
        <v>0.0</v>
      </c>
      <c r="F12700" s="3" t="s">
        <v>35997</v>
      </c>
      <c r="G12700" s="3">
        <v>0.0</v>
      </c>
      <c r="H12700" s="3">
        <v>0.0</v>
      </c>
      <c r="I12700" s="3" t="s">
        <v>13</v>
      </c>
      <c r="J12700" s="3" t="s">
        <v>35998</v>
      </c>
      <c r="K12700" s="3" t="s">
        <v>54</v>
      </c>
      <c r="L12700" s="3" t="str">
        <f>IFERROR(__xludf.DUMMYFUNCTION("GOOGLETRANSLATE(F12700,""id"",""en"")"),"Argentina Champion FIFA World Cup Qatar")</f>
        <v>Argentina Champion FIFA World Cup Qatar</v>
      </c>
    </row>
    <row r="12701" ht="15.75" customHeight="1">
      <c r="A12701" s="1">
        <v>13994.0</v>
      </c>
      <c r="B12701" s="3" t="s">
        <v>35999</v>
      </c>
      <c r="C12701" s="3">
        <v>0.0</v>
      </c>
      <c r="D12701" s="3">
        <v>0.0</v>
      </c>
      <c r="E12701" s="3">
        <v>1.0</v>
      </c>
      <c r="F12701" s="3" t="s">
        <v>36000</v>
      </c>
      <c r="G12701" s="3">
        <v>0.7</v>
      </c>
      <c r="H12701" s="3">
        <v>-0.15</v>
      </c>
      <c r="I12701" s="3" t="s">
        <v>179</v>
      </c>
      <c r="J12701" s="3" t="s">
        <v>36001</v>
      </c>
      <c r="K12701" s="3" t="s">
        <v>633</v>
      </c>
      <c r="L12701" s="3" t="str">
        <f>IFERROR(__xludf.DUMMYFUNCTION("GOOGLETRANSLATE(F12701,""id"",""en"")"),"The champions of Messi and Argentina who cried Mbappe France Ronaldo Portuguese Portuguese Penyefong Dodo Ishowspeed because of the negative football team and the inglatter ganda was not included in the final")</f>
        <v>The champions of Messi and Argentina who cried Mbappe France Ronaldo Portuguese Portuguese Penyefong Dodo Ishowspeed because of the negative football team and the inglatter ganda was not included in the final</v>
      </c>
    </row>
    <row r="12702" ht="15.75" customHeight="1">
      <c r="A12702" s="1">
        <v>13995.0</v>
      </c>
      <c r="B12702" s="3" t="s">
        <v>36002</v>
      </c>
      <c r="C12702" s="3">
        <v>0.0</v>
      </c>
      <c r="D12702" s="3">
        <v>0.0</v>
      </c>
      <c r="E12702" s="3">
        <v>0.0</v>
      </c>
      <c r="F12702" s="3" t="s">
        <v>36003</v>
      </c>
      <c r="G12702" s="3">
        <v>0.0</v>
      </c>
      <c r="H12702" s="3">
        <v>0.0</v>
      </c>
      <c r="I12702" s="3" t="s">
        <v>13</v>
      </c>
      <c r="J12702" s="3" t="s">
        <v>36004</v>
      </c>
      <c r="K12702" s="3" t="s">
        <v>41</v>
      </c>
      <c r="L12702" s="3" t="str">
        <f>IFERROR(__xludf.DUMMYFUNCTION("GOOGLETRANSLATE(F12702,""id"",""en"")"),"Kylian Mbappe Quattrick But Failed to Bring France Champion Streag")</f>
        <v>Kylian Mbappe Quattrick But Failed to Bring France Champion Streag</v>
      </c>
    </row>
    <row r="12703" ht="15.75" customHeight="1">
      <c r="A12703" s="1">
        <v>13996.0</v>
      </c>
      <c r="B12703" s="3" t="s">
        <v>36005</v>
      </c>
      <c r="C12703" s="3">
        <v>0.0</v>
      </c>
      <c r="D12703" s="3">
        <v>0.0</v>
      </c>
      <c r="E12703" s="3">
        <v>1.0</v>
      </c>
      <c r="F12703" s="3" t="s">
        <v>36006</v>
      </c>
      <c r="G12703" s="3">
        <v>0.0</v>
      </c>
      <c r="H12703" s="3">
        <v>0.0</v>
      </c>
      <c r="I12703" s="3" t="s">
        <v>13</v>
      </c>
      <c r="J12703" s="3" t="s">
        <v>36007</v>
      </c>
      <c r="K12703" s="3" t="s">
        <v>75</v>
      </c>
      <c r="L12703" s="3" t="str">
        <f>IFERROR(__xludf.DUMMYFUNCTION("GOOGLETRANSLATE(F12703,""id"",""en"")"),"Argentina The champion The Jak is getting older in Jaya Raya, all our lines are still there")</f>
        <v>Argentina The champion The Jak is getting older in Jaya Raya, all our lines are still there</v>
      </c>
    </row>
    <row r="12704" ht="15.75" customHeight="1">
      <c r="A12704" s="1">
        <v>13997.0</v>
      </c>
      <c r="B12704" s="3" t="s">
        <v>36008</v>
      </c>
      <c r="C12704" s="3">
        <v>0.0</v>
      </c>
      <c r="D12704" s="3">
        <v>0.0</v>
      </c>
      <c r="E12704" s="3">
        <v>0.0</v>
      </c>
      <c r="F12704" s="3" t="s">
        <v>36009</v>
      </c>
      <c r="G12704" s="3">
        <v>0.0</v>
      </c>
      <c r="H12704" s="3">
        <v>0.0</v>
      </c>
      <c r="I12704" s="3" t="s">
        <v>13</v>
      </c>
      <c r="J12704" s="3" t="s">
        <v>36010</v>
      </c>
      <c r="K12704" s="3" t="s">
        <v>54</v>
      </c>
      <c r="L12704" s="3" t="str">
        <f>IFERROR(__xludf.DUMMYFUNCTION("GOOGLETRANSLATE(F12704,""id"",""en"")"),"Congrats Messi Argentina Champion World Cup")</f>
        <v>Congrats Messi Argentina Champion World Cup</v>
      </c>
    </row>
    <row r="12705" ht="15.75" customHeight="1">
      <c r="A12705" s="1">
        <v>13998.0</v>
      </c>
      <c r="B12705" s="3" t="s">
        <v>36011</v>
      </c>
      <c r="C12705" s="3">
        <v>0.0</v>
      </c>
      <c r="D12705" s="3">
        <v>0.0</v>
      </c>
      <c r="E12705" s="3">
        <v>0.0</v>
      </c>
      <c r="F12705" s="3" t="s">
        <v>36012</v>
      </c>
      <c r="G12705" s="3">
        <v>0.0</v>
      </c>
      <c r="H12705" s="3">
        <v>0.0</v>
      </c>
      <c r="I12705" s="3" t="s">
        <v>13</v>
      </c>
      <c r="J12705" s="3" t="s">
        <v>36013</v>
      </c>
      <c r="K12705" s="3" t="s">
        <v>236</v>
      </c>
      <c r="L12705" s="3" t="str">
        <f>IFERROR(__xludf.DUMMYFUNCTION("GOOGLETRANSLATE(F12705,""id"",""en"")"),"Messi and Argentina Champion thanks to the prayers of the World Mother's Mother and Pope Francis")</f>
        <v>Messi and Argentina Champion thanks to the prayers of the World Mother's Mother and Pope Francis</v>
      </c>
    </row>
    <row r="12706" ht="15.75" customHeight="1">
      <c r="A12706" s="1">
        <v>13999.0</v>
      </c>
      <c r="B12706" s="3" t="s">
        <v>36014</v>
      </c>
      <c r="C12706" s="3">
        <v>0.0</v>
      </c>
      <c r="D12706" s="3">
        <v>0.0</v>
      </c>
      <c r="E12706" s="3">
        <v>0.0</v>
      </c>
      <c r="F12706" s="3" t="s">
        <v>36015</v>
      </c>
      <c r="G12706" s="3">
        <v>0.0</v>
      </c>
      <c r="H12706" s="3">
        <v>0.0</v>
      </c>
      <c r="I12706" s="3" t="s">
        <v>13</v>
      </c>
      <c r="J12706" s="3" t="s">
        <v>36016</v>
      </c>
      <c r="K12706" s="3" t="s">
        <v>4784</v>
      </c>
      <c r="L12706" s="3" t="str">
        <f>IFERROR(__xludf.DUMMYFUNCTION("GOOGLETRANSLATE(F12706,""id"",""en"")"),"Regardless of Argentina, Deschamps's tactic champion is really cool for chasing young players to go down all for the Argentine players in the quality of Argentine players.")</f>
        <v>Regardless of Argentina, Deschamps's tactic champion is really cool for chasing young players to go down all for the Argentine players in the quality of Argentine players.</v>
      </c>
    </row>
    <row r="12707" ht="15.75" customHeight="1">
      <c r="A12707" s="1">
        <v>14000.0</v>
      </c>
      <c r="B12707" s="3" t="s">
        <v>36017</v>
      </c>
      <c r="C12707" s="3">
        <v>0.0</v>
      </c>
      <c r="D12707" s="3">
        <v>0.0</v>
      </c>
      <c r="E12707" s="3">
        <v>0.0</v>
      </c>
      <c r="F12707" s="3" t="s">
        <v>36018</v>
      </c>
      <c r="G12707" s="3">
        <v>0.0</v>
      </c>
      <c r="H12707" s="3">
        <v>0.0</v>
      </c>
      <c r="I12707" s="3" t="s">
        <v>13</v>
      </c>
      <c r="J12707" s="3" t="s">
        <v>36019</v>
      </c>
      <c r="K12707" s="3" t="s">
        <v>82</v>
      </c>
      <c r="L12707" s="3" t="str">
        <f>IFERROR(__xludf.DUMMYFUNCTION("GOOGLETRANSLATE(F12707,""id"",""en"")"),"Argentina in him there was a MESSI CHAMPION OF THE FAMILY CUP")</f>
        <v>Argentina in him there was a MESSI CHAMPION OF THE FAMILY CUP</v>
      </c>
    </row>
    <row r="12708" ht="15.75" customHeight="1">
      <c r="A12708" s="1">
        <v>14002.0</v>
      </c>
      <c r="B12708" s="3" t="s">
        <v>36020</v>
      </c>
      <c r="C12708" s="3">
        <v>0.0</v>
      </c>
      <c r="D12708" s="3">
        <v>0.0</v>
      </c>
      <c r="E12708" s="3">
        <v>0.0</v>
      </c>
      <c r="F12708" s="3" t="s">
        <v>36021</v>
      </c>
      <c r="G12708" s="3">
        <v>0.0</v>
      </c>
      <c r="H12708" s="3">
        <v>0.0</v>
      </c>
      <c r="I12708" s="3" t="s">
        <v>13</v>
      </c>
      <c r="J12708" s="3" t="s">
        <v>36022</v>
      </c>
      <c r="K12708" s="3" t="s">
        <v>41</v>
      </c>
      <c r="L12708" s="3" t="str">
        <f>IFERROR(__xludf.DUMMYFUNCTION("GOOGLETRANSLATE(F12708,""id"",""en"")"),"The Argentina champion who trending Twitter Saudi Arabia netizens is really tai")</f>
        <v>The Argentina champion who trending Twitter Saudi Arabia netizens is really tai</v>
      </c>
    </row>
    <row r="12709" ht="15.75" customHeight="1">
      <c r="A12709" s="1">
        <v>14003.0</v>
      </c>
      <c r="B12709" s="3" t="s">
        <v>36023</v>
      </c>
      <c r="C12709" s="3">
        <v>1.0</v>
      </c>
      <c r="D12709" s="3">
        <v>0.0</v>
      </c>
      <c r="E12709" s="3">
        <v>0.0</v>
      </c>
      <c r="F12709" s="3" t="s">
        <v>36024</v>
      </c>
      <c r="G12709" s="3">
        <v>0.0</v>
      </c>
      <c r="H12709" s="3">
        <v>0.0</v>
      </c>
      <c r="I12709" s="3" t="s">
        <v>13</v>
      </c>
      <c r="J12709" s="3" t="s">
        <v>36025</v>
      </c>
      <c r="K12709" s="3" t="s">
        <v>2146</v>
      </c>
      <c r="L12709" s="3" t="str">
        <f>IFERROR(__xludf.DUMMYFUNCTION("GOOGLETRANSLATE(F12709,""id"",""en"")"),"It turns out that you have to wait another year to repeat the exciting moment of the World Cup like this year there are many surprises drama and stories starting from the gimmick from the Pelangi national team, finally going home first until Argentina los"&amp;"t the first Arabic match but ended the tournament as championship")</f>
        <v>It turns out that you have to wait another year to repeat the exciting moment of the World Cup like this year there are many surprises drama and stories starting from the gimmick from the Pelangi national team, finally going home first until Argentina lost the first Arabic match but ended the tournament as championship</v>
      </c>
    </row>
    <row r="12710" ht="15.75" customHeight="1">
      <c r="A12710" s="1">
        <v>14004.0</v>
      </c>
      <c r="B12710" s="3" t="s">
        <v>36026</v>
      </c>
      <c r="C12710" s="3">
        <v>0.0</v>
      </c>
      <c r="D12710" s="3">
        <v>0.0</v>
      </c>
      <c r="E12710" s="3">
        <v>0.0</v>
      </c>
      <c r="F12710" s="3" t="s">
        <v>36027</v>
      </c>
      <c r="G12710" s="3">
        <v>0.0</v>
      </c>
      <c r="H12710" s="3">
        <v>0.0</v>
      </c>
      <c r="I12710" s="3" t="s">
        <v>13</v>
      </c>
      <c r="J12710" s="3" t="s">
        <v>36028</v>
      </c>
      <c r="K12710" s="3" t="s">
        <v>54</v>
      </c>
      <c r="L12710" s="3" t="str">
        <f>IFERROR(__xludf.DUMMYFUNCTION("GOOGLETRANSLATE(F12710,""id"",""en"")"),"Argentina, I won, I bobo soundly")</f>
        <v>Argentina, I won, I bobo soundly</v>
      </c>
    </row>
    <row r="12711" ht="15.75" customHeight="1">
      <c r="A12711" s="1">
        <v>14005.0</v>
      </c>
      <c r="B12711" s="3" t="s">
        <v>36029</v>
      </c>
      <c r="C12711" s="3">
        <v>0.0</v>
      </c>
      <c r="D12711" s="3">
        <v>0.0</v>
      </c>
      <c r="E12711" s="3">
        <v>0.0</v>
      </c>
      <c r="F12711" s="3" t="s">
        <v>36030</v>
      </c>
      <c r="G12711" s="3">
        <v>0.0</v>
      </c>
      <c r="H12711" s="3">
        <v>0.0</v>
      </c>
      <c r="I12711" s="3" t="s">
        <v>13</v>
      </c>
      <c r="J12711" s="3" t="s">
        <v>36031</v>
      </c>
      <c r="K12711" s="3" t="s">
        <v>695</v>
      </c>
      <c r="L12711" s="3" t="str">
        <f>IFERROR(__xludf.DUMMYFUNCTION("GOOGLETRANSLATE(F12711,""id"",""en"")"),"Even though I already dipped the Arabic Argent Since Tweet, if Argentina was eliminated, he wanted to tweet the Aguero Higuain striker.")</f>
        <v>Even though I already dipped the Arabic Argent Since Tweet, if Argentina was eliminated, he wanted to tweet the Aguero Higuain striker.</v>
      </c>
    </row>
    <row r="12712" ht="15.75" customHeight="1">
      <c r="A12712" s="1">
        <v>14006.0</v>
      </c>
      <c r="B12712" s="3" t="s">
        <v>36032</v>
      </c>
      <c r="C12712" s="3">
        <v>0.0</v>
      </c>
      <c r="D12712" s="3">
        <v>3.0</v>
      </c>
      <c r="E12712" s="3">
        <v>12.0</v>
      </c>
      <c r="F12712" s="3" t="s">
        <v>36033</v>
      </c>
      <c r="G12712" s="3">
        <v>0.0</v>
      </c>
      <c r="H12712" s="3">
        <v>0.0</v>
      </c>
      <c r="I12712" s="3" t="s">
        <v>13</v>
      </c>
      <c r="J12712" s="3" t="s">
        <v>36034</v>
      </c>
      <c r="K12712" s="3" t="s">
        <v>19</v>
      </c>
      <c r="L12712" s="3" t="str">
        <f>IFERROR(__xludf.DUMMYFUNCTION("GOOGLETRANSLATE(F12712,""id"",""en"")"),"Many dramatic moments that finally led Argentina to become the World Cup champion, one of them")</f>
        <v>Many dramatic moments that finally led Argentina to become the World Cup champion, one of them</v>
      </c>
    </row>
    <row r="12713" ht="15.75" customHeight="1">
      <c r="A12713" s="1">
        <v>14007.0</v>
      </c>
      <c r="B12713" s="3" t="s">
        <v>36035</v>
      </c>
      <c r="C12713" s="3">
        <v>0.0</v>
      </c>
      <c r="D12713" s="3">
        <v>0.0</v>
      </c>
      <c r="E12713" s="3">
        <v>0.0</v>
      </c>
      <c r="F12713" s="3" t="s">
        <v>36035</v>
      </c>
      <c r="G12713" s="3">
        <v>0.0</v>
      </c>
      <c r="H12713" s="3">
        <v>0.0</v>
      </c>
      <c r="I12713" s="3" t="s">
        <v>13</v>
      </c>
      <c r="J12713" s="3" t="s">
        <v>36036</v>
      </c>
      <c r="K12713" s="3" t="s">
        <v>123</v>
      </c>
      <c r="L12713" s="3" t="str">
        <f>IFERROR(__xludf.DUMMYFUNCTION("GOOGLETRANSLATE(F12713,""id"",""en"")"),"Today will be designated as an Argentine national holiday for one week to celebrate and conduct a World Cup championship convoy")</f>
        <v>Today will be designated as an Argentine national holiday for one week to celebrate and conduct a World Cup championship convoy</v>
      </c>
    </row>
    <row r="12714" ht="15.75" customHeight="1">
      <c r="A12714" s="1">
        <v>14008.0</v>
      </c>
      <c r="B12714" s="3" t="s">
        <v>36037</v>
      </c>
      <c r="C12714" s="3">
        <v>0.0</v>
      </c>
      <c r="D12714" s="3">
        <v>0.0</v>
      </c>
      <c r="E12714" s="3">
        <v>0.0</v>
      </c>
      <c r="F12714" s="3" t="s">
        <v>36038</v>
      </c>
      <c r="G12714" s="3">
        <v>0.0</v>
      </c>
      <c r="H12714" s="3">
        <v>0.0</v>
      </c>
      <c r="I12714" s="3" t="s">
        <v>13</v>
      </c>
      <c r="J12714" s="3" t="s">
        <v>36039</v>
      </c>
      <c r="K12714" s="3" t="s">
        <v>1349</v>
      </c>
      <c r="L12714" s="3" t="str">
        <f>IFERROR(__xludf.DUMMYFUNCTION("GOOGLETRANSLATE(F12714,""id"",""en"")"),"After the era of Maradona, the last Argentina year of the world champion was lucky to be a witness to Argentina again to become a world champion with his best player back")</f>
        <v>After the era of Maradona, the last Argentina year of the world champion was lucky to be a witness to Argentina again to become a world champion with his best player back</v>
      </c>
    </row>
    <row r="12715" ht="15.75" customHeight="1">
      <c r="A12715" s="1">
        <v>14009.0</v>
      </c>
      <c r="B12715" s="3" t="s">
        <v>36040</v>
      </c>
      <c r="C12715" s="3">
        <v>0.0</v>
      </c>
      <c r="D12715" s="3">
        <v>1.0</v>
      </c>
      <c r="E12715" s="3">
        <v>1.0</v>
      </c>
      <c r="F12715" s="3" t="s">
        <v>36041</v>
      </c>
      <c r="G12715" s="3">
        <v>0.0</v>
      </c>
      <c r="H12715" s="3">
        <v>0.0</v>
      </c>
      <c r="I12715" s="3" t="s">
        <v>13</v>
      </c>
      <c r="J12715" s="3" t="s">
        <v>36042</v>
      </c>
      <c r="K12715" s="3" t="s">
        <v>71</v>
      </c>
      <c r="L12715" s="3" t="str">
        <f>IFERROR(__xludf.DUMMYFUNCTION("GOOGLETRANSLATE(F12715,""id"",""en"")"),"Argentina won the World Cup after defeating France through the Qatar Lusail Stadium Penalty Arguing Sunday")</f>
        <v>Argentina won the World Cup after defeating France through the Qatar Lusail Stadium Penalty Arguing Sunday</v>
      </c>
    </row>
    <row r="12716" ht="15.75" customHeight="1">
      <c r="A12716" s="1">
        <v>14010.0</v>
      </c>
      <c r="B12716" s="3" t="s">
        <v>36043</v>
      </c>
      <c r="C12716" s="3">
        <v>0.0</v>
      </c>
      <c r="D12716" s="3">
        <v>0.0</v>
      </c>
      <c r="E12716" s="3">
        <v>0.0</v>
      </c>
      <c r="F12716" s="3" t="s">
        <v>36044</v>
      </c>
      <c r="G12716" s="3">
        <v>0.0</v>
      </c>
      <c r="H12716" s="3">
        <v>0.0</v>
      </c>
      <c r="I12716" s="3" t="s">
        <v>13</v>
      </c>
      <c r="J12716" s="3" t="s">
        <v>36045</v>
      </c>
      <c r="K12716" s="3" t="s">
        <v>82</v>
      </c>
      <c r="L12716" s="3" t="str">
        <f>IFERROR(__xludf.DUMMYFUNCTION("GOOGLETRANSLATE(F12716,""id"",""en"")"),"Very happy today Argentina Champion World Cup")</f>
        <v>Very happy today Argentina Champion World Cup</v>
      </c>
    </row>
    <row r="12717" ht="15.75" customHeight="1">
      <c r="A12717" s="1">
        <v>14011.0</v>
      </c>
      <c r="B12717" s="3" t="s">
        <v>36046</v>
      </c>
      <c r="C12717" s="3">
        <v>0.0</v>
      </c>
      <c r="D12717" s="3">
        <v>0.0</v>
      </c>
      <c r="E12717" s="3">
        <v>0.0</v>
      </c>
      <c r="F12717" s="3" t="s">
        <v>36047</v>
      </c>
      <c r="G12717" s="3">
        <v>0.0</v>
      </c>
      <c r="H12717" s="3">
        <v>0.0</v>
      </c>
      <c r="I12717" s="3" t="s">
        <v>13</v>
      </c>
      <c r="J12717" s="3" t="s">
        <v>36048</v>
      </c>
      <c r="K12717" s="3" t="s">
        <v>477</v>
      </c>
      <c r="L12717" s="3" t="str">
        <f>IFERROR(__xludf.DUMMYFUNCTION("GOOGLETRANSLATE(F12717,""id"",""en"")"),"Argentina Champion Kirain Will Sleep Really Can Even Sleep")</f>
        <v>Argentina Champion Kirain Will Sleep Really Can Even Sleep</v>
      </c>
    </row>
    <row r="12718" ht="15.75" customHeight="1">
      <c r="A12718" s="1">
        <v>14012.0</v>
      </c>
      <c r="B12718" s="3" t="s">
        <v>36049</v>
      </c>
      <c r="C12718" s="3">
        <v>0.0</v>
      </c>
      <c r="D12718" s="3">
        <v>0.0</v>
      </c>
      <c r="E12718" s="3">
        <v>0.0</v>
      </c>
      <c r="F12718" s="3" t="s">
        <v>36050</v>
      </c>
      <c r="G12718" s="3">
        <v>0.0</v>
      </c>
      <c r="H12718" s="3">
        <v>0.0</v>
      </c>
      <c r="I12718" s="3" t="s">
        <v>13</v>
      </c>
      <c r="J12718" s="3" t="s">
        <v>36051</v>
      </c>
      <c r="K12718" s="3" t="s">
        <v>23</v>
      </c>
      <c r="L12718" s="3" t="str">
        <f>IFERROR(__xludf.DUMMYFUNCTION("GOOGLETRANSLATE(F12718,""id"",""en"")"),"Throughout the French support match if the champion is not exciting, fortunately Argentina is a more exciting champion and becomes an unforgettable long history for Messi and world football lovers")</f>
        <v>Throughout the French support match if the champion is not exciting, fortunately Argentina is a more exciting champion and becomes an unforgettable long history for Messi and world football lovers</v>
      </c>
    </row>
    <row r="12719" ht="15.75" customHeight="1">
      <c r="A12719" s="1">
        <v>14013.0</v>
      </c>
      <c r="B12719" s="3" t="s">
        <v>36052</v>
      </c>
      <c r="C12719" s="3">
        <v>0.0</v>
      </c>
      <c r="D12719" s="3">
        <v>0.0</v>
      </c>
      <c r="E12719" s="3">
        <v>1.0</v>
      </c>
      <c r="F12719" s="3" t="s">
        <v>36053</v>
      </c>
      <c r="G12719" s="3">
        <v>0.0</v>
      </c>
      <c r="H12719" s="3">
        <v>0.0</v>
      </c>
      <c r="I12719" s="3" t="s">
        <v>13</v>
      </c>
      <c r="J12719" s="3" t="s">
        <v>36054</v>
      </c>
      <c r="K12719" s="3" t="s">
        <v>192</v>
      </c>
      <c r="L12719" s="3" t="str">
        <f>IFERROR(__xludf.DUMMYFUNCTION("GOOGLETRANSLATE(F12719,""id"",""en"")"),"In the previous edition of the World Cup edition, the tournament's best player award was given to his team players to be runner but not for this time Leo Messi won it and his team became champion and this was very worthy")</f>
        <v>In the previous edition of the World Cup edition, the tournament's best player award was given to his team players to be runner but not for this time Leo Messi won it and his team became champion and this was very worthy</v>
      </c>
    </row>
    <row r="12720" ht="15.75" customHeight="1">
      <c r="A12720" s="1">
        <v>14014.0</v>
      </c>
      <c r="B12720" s="3" t="s">
        <v>36055</v>
      </c>
      <c r="C12720" s="3">
        <v>0.0</v>
      </c>
      <c r="D12720" s="3">
        <v>0.0</v>
      </c>
      <c r="E12720" s="3">
        <v>0.0</v>
      </c>
      <c r="F12720" s="3" t="s">
        <v>36056</v>
      </c>
      <c r="G12720" s="3">
        <v>0.0</v>
      </c>
      <c r="H12720" s="3">
        <v>0.0</v>
      </c>
      <c r="I12720" s="3" t="s">
        <v>13</v>
      </c>
      <c r="J12720" s="3" t="s">
        <v>36057</v>
      </c>
      <c r="K12720" s="3" t="s">
        <v>82</v>
      </c>
      <c r="L12720" s="3" t="str">
        <f>IFERROR(__xludf.DUMMYFUNCTION("GOOGLETRANSLATE(F12720,""id"",""en"")"),"Aamiinn Thanks Eti has accompanied Pilduun to Argentina Champion")</f>
        <v>Aamiinn Thanks Eti has accompanied Pilduun to Argentina Champion</v>
      </c>
    </row>
    <row r="12721" ht="15.75" customHeight="1">
      <c r="A12721" s="1">
        <v>14015.0</v>
      </c>
      <c r="B12721" s="3" t="s">
        <v>36058</v>
      </c>
      <c r="C12721" s="3">
        <v>1.0</v>
      </c>
      <c r="D12721" s="3">
        <v>0.0</v>
      </c>
      <c r="E12721" s="3">
        <v>0.0</v>
      </c>
      <c r="F12721" s="3" t="s">
        <v>36059</v>
      </c>
      <c r="G12721" s="3">
        <v>0.0</v>
      </c>
      <c r="H12721" s="3">
        <v>0.0</v>
      </c>
      <c r="I12721" s="3" t="s">
        <v>13</v>
      </c>
      <c r="J12721" s="3" t="s">
        <v>36060</v>
      </c>
      <c r="K12721" s="3" t="s">
        <v>82</v>
      </c>
      <c r="L12721" s="3" t="str">
        <f>IFERROR(__xludf.DUMMYFUNCTION("GOOGLETRANSLATE(F12721,""id"",""en"")"),"Finally, after waiting for all the time Argentina came out as champions")</f>
        <v>Finally, after waiting for all the time Argentina came out as champions</v>
      </c>
    </row>
    <row r="12722" ht="15.75" customHeight="1">
      <c r="A12722" s="1">
        <v>14017.0</v>
      </c>
      <c r="B12722" s="3" t="s">
        <v>36061</v>
      </c>
      <c r="C12722" s="3">
        <v>0.0</v>
      </c>
      <c r="D12722" s="3">
        <v>0.0</v>
      </c>
      <c r="E12722" s="3">
        <v>0.0</v>
      </c>
      <c r="F12722" s="3" t="s">
        <v>16103</v>
      </c>
      <c r="G12722" s="3">
        <v>0.0</v>
      </c>
      <c r="H12722" s="3">
        <v>0.0</v>
      </c>
      <c r="I12722" s="3" t="s">
        <v>13</v>
      </c>
      <c r="J12722" s="3" t="s">
        <v>16104</v>
      </c>
      <c r="K12722" s="3" t="s">
        <v>14571</v>
      </c>
      <c r="L12722" s="3" t="str">
        <f>IFERROR(__xludf.DUMMYFUNCTION("GOOGLETRANSLATE(F12722,""id"",""en"")"),"Argentina Champion")</f>
        <v>Argentina Champion</v>
      </c>
    </row>
    <row r="12723" ht="15.75" customHeight="1">
      <c r="A12723" s="1">
        <v>14018.0</v>
      </c>
      <c r="B12723" s="3" t="s">
        <v>36062</v>
      </c>
      <c r="C12723" s="3">
        <v>0.0</v>
      </c>
      <c r="D12723" s="3">
        <v>0.0</v>
      </c>
      <c r="E12723" s="3">
        <v>4.0</v>
      </c>
      <c r="F12723" s="3" t="s">
        <v>36063</v>
      </c>
      <c r="G12723" s="3">
        <v>0.0</v>
      </c>
      <c r="H12723" s="3">
        <v>0.0</v>
      </c>
      <c r="I12723" s="3" t="s">
        <v>13</v>
      </c>
      <c r="J12723" s="3" t="s">
        <v>36064</v>
      </c>
      <c r="K12723" s="3" t="s">
        <v>15</v>
      </c>
      <c r="L12723" s="3" t="str">
        <f>IFERROR(__xludf.DUMMYFUNCTION("GOOGLETRANSLATE(F12723,""id"",""en"")"),"Argentina Champion World Cup and Beautiful Gift Lionel Messi")</f>
        <v>Argentina Champion World Cup and Beautiful Gift Lionel Messi</v>
      </c>
    </row>
    <row r="12724" ht="15.75" customHeight="1">
      <c r="A12724" s="1">
        <v>14019.0</v>
      </c>
      <c r="B12724" s="3" t="s">
        <v>36065</v>
      </c>
      <c r="C12724" s="3">
        <v>1.0</v>
      </c>
      <c r="D12724" s="3">
        <v>0.0</v>
      </c>
      <c r="E12724" s="3">
        <v>0.0</v>
      </c>
      <c r="F12724" s="3" t="s">
        <v>36066</v>
      </c>
      <c r="G12724" s="3">
        <v>0.7999999999999999</v>
      </c>
      <c r="H12724" s="3">
        <v>0.1333333333333333</v>
      </c>
      <c r="I12724" s="3" t="s">
        <v>48</v>
      </c>
      <c r="J12724" s="3" t="s">
        <v>36067</v>
      </c>
      <c r="K12724" s="3" t="s">
        <v>974</v>
      </c>
      <c r="L12724" s="3" t="str">
        <f>IFERROR(__xludf.DUMMYFUNCTION("GOOGLETRANSLATE(F12724,""id"",""en"")"),"The end of the final party is getting closer to Fix Argentina champions and Messi completed his adventure game with Happy Ending the match had started to enter the last minute just to survive waiting for time to run out and waste time while launching coun"&amp;"ter attack and penalties again")</f>
        <v>The end of the final party is getting closer to Fix Argentina champions and Messi completed his adventure game with Happy Ending the match had started to enter the last minute just to survive waiting for time to run out and waste time while launching counter attack and penalties again</v>
      </c>
    </row>
    <row r="12725" ht="15.75" customHeight="1">
      <c r="A12725" s="1">
        <v>14020.0</v>
      </c>
      <c r="B12725" s="3" t="s">
        <v>36068</v>
      </c>
      <c r="C12725" s="3">
        <v>0.0</v>
      </c>
      <c r="D12725" s="3">
        <v>0.0</v>
      </c>
      <c r="E12725" s="3">
        <v>1.0</v>
      </c>
      <c r="F12725" s="3" t="s">
        <v>36069</v>
      </c>
      <c r="G12725" s="3">
        <v>0.0</v>
      </c>
      <c r="H12725" s="3">
        <v>0.0</v>
      </c>
      <c r="I12725" s="3" t="s">
        <v>13</v>
      </c>
      <c r="J12725" s="3" t="s">
        <v>36070</v>
      </c>
      <c r="K12725" s="3" t="s">
        <v>41</v>
      </c>
      <c r="L12725" s="3" t="str">
        <f>IFERROR(__xludf.DUMMYFUNCTION("GOOGLETRANSLATE(F12725,""id"",""en"")"),"Congratulations to the Argentine soccer team who have won the World Cup championship")</f>
        <v>Congratulations to the Argentine soccer team who have won the World Cup championship</v>
      </c>
    </row>
    <row r="12726" ht="15.75" customHeight="1">
      <c r="A12726" s="1">
        <v>14021.0</v>
      </c>
      <c r="B12726" s="3" t="s">
        <v>36071</v>
      </c>
      <c r="C12726" s="3">
        <v>0.0</v>
      </c>
      <c r="D12726" s="3">
        <v>0.0</v>
      </c>
      <c r="E12726" s="3">
        <v>1.0</v>
      </c>
      <c r="F12726" s="3" t="s">
        <v>36072</v>
      </c>
      <c r="G12726" s="3">
        <v>0.5</v>
      </c>
      <c r="H12726" s="3">
        <v>0.5</v>
      </c>
      <c r="I12726" s="3" t="s">
        <v>48</v>
      </c>
      <c r="J12726" s="3" t="s">
        <v>36073</v>
      </c>
      <c r="K12726" s="3" t="s">
        <v>495</v>
      </c>
      <c r="L12726" s="3" t="str">
        <f>IFERROR(__xludf.DUMMYFUNCTION("GOOGLETRANSLATE(F12726,""id"",""en"")"),"Argentina won the World Cup after beating France through the Lusail Iconic Stadium penalty shootout on Sunday December Day")</f>
        <v>Argentina won the World Cup after beating France through the Lusail Iconic Stadium penalty shootout on Sunday December Day</v>
      </c>
    </row>
    <row r="12727" ht="15.75" customHeight="1">
      <c r="A12727" s="1">
        <v>14022.0</v>
      </c>
      <c r="B12727" s="3" t="s">
        <v>36074</v>
      </c>
      <c r="C12727" s="3">
        <v>0.0</v>
      </c>
      <c r="D12727" s="3">
        <v>0.0</v>
      </c>
      <c r="E12727" s="3">
        <v>0.0</v>
      </c>
      <c r="F12727" s="3" t="s">
        <v>36075</v>
      </c>
      <c r="G12727" s="3">
        <v>0.0</v>
      </c>
      <c r="H12727" s="3">
        <v>0.0</v>
      </c>
      <c r="I12727" s="3" t="s">
        <v>13</v>
      </c>
      <c r="J12727" s="3" t="s">
        <v>36076</v>
      </c>
      <c r="K12727" s="3" t="s">
        <v>15</v>
      </c>
      <c r="L12727" s="3" t="str">
        <f>IFERROR(__xludf.DUMMYFUNCTION("GOOGLETRANSLATE(F12727,""id"",""en"")"),"Alhamdulillah, the leadership period of Mr. Jokowi Argentina could be world champion")</f>
        <v>Alhamdulillah, the leadership period of Mr. Jokowi Argentina could be world champion</v>
      </c>
    </row>
    <row r="12728" ht="15.75" customHeight="1">
      <c r="A12728" s="1">
        <v>14023.0</v>
      </c>
      <c r="B12728" s="3" t="s">
        <v>36077</v>
      </c>
      <c r="C12728" s="3">
        <v>0.0</v>
      </c>
      <c r="D12728" s="3">
        <v>0.0</v>
      </c>
      <c r="E12728" s="3">
        <v>0.0</v>
      </c>
      <c r="F12728" s="3" t="s">
        <v>36078</v>
      </c>
      <c r="G12728" s="3">
        <v>0.0</v>
      </c>
      <c r="H12728" s="3">
        <v>0.0</v>
      </c>
      <c r="I12728" s="3" t="s">
        <v>13</v>
      </c>
      <c r="J12728" s="3" t="s">
        <v>36079</v>
      </c>
      <c r="K12728" s="3" t="s">
        <v>82</v>
      </c>
      <c r="L12728" s="3" t="str">
        <f>IFERROR(__xludf.DUMMYFUNCTION("GOOGLETRANSLATE(F12728,""id"",""en"")"),"Ngalaman Oge Ningali Argentina Champion Euy Taifa")</f>
        <v>Ngalaman Oge Ningali Argentina Champion Euy Taifa</v>
      </c>
    </row>
    <row r="12729" ht="15.75" customHeight="1">
      <c r="A12729" s="1">
        <v>14024.0</v>
      </c>
      <c r="B12729" s="3" t="s">
        <v>36080</v>
      </c>
      <c r="C12729" s="3">
        <v>0.0</v>
      </c>
      <c r="D12729" s="3">
        <v>0.0</v>
      </c>
      <c r="E12729" s="3">
        <v>1.0</v>
      </c>
      <c r="F12729" s="3" t="s">
        <v>36081</v>
      </c>
      <c r="G12729" s="3">
        <v>0.0</v>
      </c>
      <c r="H12729" s="3">
        <v>0.0</v>
      </c>
      <c r="I12729" s="3" t="s">
        <v>13</v>
      </c>
      <c r="J12729" s="3" t="s">
        <v>36082</v>
      </c>
      <c r="K12729" s="3" t="s">
        <v>240</v>
      </c>
      <c r="L12729" s="3" t="str">
        <f>IFERROR(__xludf.DUMMYFUNCTION("GOOGLETRANSLATE(F12729,""id"",""en"")"),"Champions finally Lionel Messi's dream before hanging his shoes wanted to bring Argentina World Cup champions were reached after waiting for the year")</f>
        <v>Champions finally Lionel Messi's dream before hanging his shoes wanted to bring Argentina World Cup champions were reached after waiting for the year</v>
      </c>
    </row>
    <row r="12730" ht="15.75" customHeight="1">
      <c r="A12730" s="1">
        <v>14025.0</v>
      </c>
      <c r="B12730" s="3" t="s">
        <v>36083</v>
      </c>
      <c r="C12730" s="3">
        <v>0.0</v>
      </c>
      <c r="D12730" s="3">
        <v>0.0</v>
      </c>
      <c r="E12730" s="3">
        <v>0.0</v>
      </c>
      <c r="F12730" s="3" t="s">
        <v>16103</v>
      </c>
      <c r="G12730" s="3">
        <v>0.0</v>
      </c>
      <c r="H12730" s="3">
        <v>0.0</v>
      </c>
      <c r="I12730" s="3" t="s">
        <v>13</v>
      </c>
      <c r="J12730" s="3" t="s">
        <v>16104</v>
      </c>
      <c r="K12730" s="3" t="s">
        <v>14571</v>
      </c>
      <c r="L12730" s="3" t="str">
        <f>IFERROR(__xludf.DUMMYFUNCTION("GOOGLETRANSLATE(F12730,""id"",""en"")"),"Argentina Champion")</f>
        <v>Argentina Champion</v>
      </c>
    </row>
    <row r="12731" ht="15.75" customHeight="1">
      <c r="A12731" s="1">
        <v>14026.0</v>
      </c>
      <c r="B12731" s="3" t="s">
        <v>36084</v>
      </c>
      <c r="C12731" s="3">
        <v>0.0</v>
      </c>
      <c r="D12731" s="3">
        <v>0.0</v>
      </c>
      <c r="E12731" s="3">
        <v>0.0</v>
      </c>
      <c r="F12731" s="3" t="s">
        <v>36085</v>
      </c>
      <c r="G12731" s="3">
        <v>0.65</v>
      </c>
      <c r="H12731" s="3">
        <v>0.35</v>
      </c>
      <c r="I12731" s="3" t="s">
        <v>48</v>
      </c>
      <c r="J12731" s="3" t="s">
        <v>36086</v>
      </c>
      <c r="K12731" s="3" t="s">
        <v>41</v>
      </c>
      <c r="L12731" s="3" t="str">
        <f>IFERROR(__xludf.DUMMYFUNCTION("GOOGLETRANSLATE(F12731,""id"",""en"")"),"Sorry to join in making Argentina Instastory Champion because Cwok Cool Mysterious")</f>
        <v>Sorry to join in making Argentina Instastory Champion because Cwok Cool Mysterious</v>
      </c>
    </row>
    <row r="12732" ht="15.75" customHeight="1">
      <c r="A12732" s="1">
        <v>14028.0</v>
      </c>
      <c r="B12732" s="3" t="s">
        <v>36087</v>
      </c>
      <c r="C12732" s="3">
        <v>0.0</v>
      </c>
      <c r="D12732" s="3">
        <v>1.0</v>
      </c>
      <c r="E12732" s="3">
        <v>2.0</v>
      </c>
      <c r="F12732" s="3" t="s">
        <v>36088</v>
      </c>
      <c r="G12732" s="3">
        <v>0.3666666666666667</v>
      </c>
      <c r="H12732" s="3">
        <v>0.8333333333333334</v>
      </c>
      <c r="I12732" s="3" t="s">
        <v>48</v>
      </c>
      <c r="J12732" s="3" t="s">
        <v>36089</v>
      </c>
      <c r="K12732" s="3" t="s">
        <v>1925</v>
      </c>
      <c r="L12732" s="3" t="str">
        <f>IFERROR(__xludf.DUMMYFUNCTION("GOOGLETRANSLATE(F12732,""id"",""en"")"),"Happy Argentina World Cup Champion The Best Player Messi Argentina Top Score Mbappe French Gol The Best Goal Keeper Martinez Argentina")</f>
        <v>Happy Argentina World Cup Champion The Best Player Messi Argentina Top Score Mbappe French Gol The Best Goal Keeper Martinez Argentina</v>
      </c>
    </row>
    <row r="12733" ht="15.75" customHeight="1">
      <c r="A12733" s="1">
        <v>14029.0</v>
      </c>
      <c r="B12733" s="3" t="s">
        <v>36090</v>
      </c>
      <c r="C12733" s="3">
        <v>0.0</v>
      </c>
      <c r="D12733" s="3">
        <v>2.0</v>
      </c>
      <c r="E12733" s="3">
        <v>16.0</v>
      </c>
      <c r="F12733" s="3" t="s">
        <v>36091</v>
      </c>
      <c r="G12733" s="3">
        <v>0.3</v>
      </c>
      <c r="H12733" s="3">
        <v>0.2</v>
      </c>
      <c r="I12733" s="3" t="s">
        <v>48</v>
      </c>
      <c r="J12733" s="3" t="s">
        <v>36092</v>
      </c>
      <c r="K12733" s="3" t="s">
        <v>15</v>
      </c>
      <c r="L12733" s="3" t="str">
        <f>IFERROR(__xludf.DUMMYFUNCTION("GOOGLETRANSLATE(F12733,""id"",""en"")"),"Real Happed Lionel Messi and Argentina are World Champion Done")</f>
        <v>Real Happed Lionel Messi and Argentina are World Champion Done</v>
      </c>
    </row>
    <row r="12734" ht="15.75" customHeight="1">
      <c r="A12734" s="1">
        <v>14030.0</v>
      </c>
      <c r="B12734" s="3" t="s">
        <v>36093</v>
      </c>
      <c r="C12734" s="3">
        <v>1.0</v>
      </c>
      <c r="D12734" s="3">
        <v>0.0</v>
      </c>
      <c r="E12734" s="3">
        <v>2.0</v>
      </c>
      <c r="F12734" s="3" t="s">
        <v>36094</v>
      </c>
      <c r="G12734" s="3">
        <v>0.0</v>
      </c>
      <c r="H12734" s="3">
        <v>0.0</v>
      </c>
      <c r="I12734" s="3" t="s">
        <v>13</v>
      </c>
      <c r="J12734" s="3" t="s">
        <v>36095</v>
      </c>
      <c r="K12734" s="3" t="s">
        <v>50</v>
      </c>
      <c r="L12734" s="3" t="str">
        <f>IFERROR(__xludf.DUMMYFUNCTION("GOOGLETRANSLATE(F12734,""id"",""en"")"),"Thank you very much for Eti Pairing Body still believes in Argentina champions pildun")</f>
        <v>Thank you very much for Eti Pairing Body still believes in Argentina champions pildun</v>
      </c>
    </row>
    <row r="12735" ht="15.75" customHeight="1">
      <c r="A12735" s="1">
        <v>14031.0</v>
      </c>
      <c r="B12735" s="3" t="s">
        <v>36096</v>
      </c>
      <c r="C12735" s="3">
        <v>0.0</v>
      </c>
      <c r="D12735" s="3">
        <v>0.0</v>
      </c>
      <c r="E12735" s="3">
        <v>0.0</v>
      </c>
      <c r="F12735" s="3" t="s">
        <v>36097</v>
      </c>
      <c r="G12735" s="3">
        <v>0.0</v>
      </c>
      <c r="H12735" s="3">
        <v>0.0</v>
      </c>
      <c r="I12735" s="3" t="s">
        <v>13</v>
      </c>
      <c r="J12735" s="3" t="s">
        <v>36098</v>
      </c>
      <c r="K12735" s="3" t="s">
        <v>31</v>
      </c>
      <c r="L12735" s="3" t="str">
        <f>IFERROR(__xludf.DUMMYFUNCTION("GOOGLETRANSLATE(F12735,""id"",""en"")"),"Congrats Argentina Messi Retired calmly")</f>
        <v>Congrats Argentina Messi Retired calmly</v>
      </c>
    </row>
    <row r="12736" ht="15.75" customHeight="1">
      <c r="A12736" s="1">
        <v>14032.0</v>
      </c>
      <c r="B12736" s="3" t="s">
        <v>36099</v>
      </c>
      <c r="C12736" s="3">
        <v>0.0</v>
      </c>
      <c r="D12736" s="3">
        <v>0.0</v>
      </c>
      <c r="E12736" s="3">
        <v>0.0</v>
      </c>
      <c r="F12736" s="3" t="s">
        <v>36100</v>
      </c>
      <c r="G12736" s="3">
        <v>0.0</v>
      </c>
      <c r="H12736" s="3">
        <v>0.0</v>
      </c>
      <c r="I12736" s="3" t="s">
        <v>13</v>
      </c>
      <c r="J12736" s="3" t="s">
        <v>36101</v>
      </c>
      <c r="K12736" s="3" t="s">
        <v>31</v>
      </c>
      <c r="L12736" s="3" t="str">
        <f>IFERROR(__xludf.DUMMYFUNCTION("GOOGLETRANSLATE(F12736,""id"",""en"")"),"Argentina Champion The Most Beautiful Christmas Gift")</f>
        <v>Argentina Champion The Most Beautiful Christmas Gift</v>
      </c>
    </row>
    <row r="12737" ht="15.75" customHeight="1">
      <c r="A12737" s="1">
        <v>14033.0</v>
      </c>
      <c r="B12737" s="3" t="s">
        <v>36102</v>
      </c>
      <c r="C12737" s="3">
        <v>1.0</v>
      </c>
      <c r="D12737" s="3">
        <v>0.0</v>
      </c>
      <c r="E12737" s="3">
        <v>0.0</v>
      </c>
      <c r="F12737" s="3" t="s">
        <v>36103</v>
      </c>
      <c r="G12737" s="3">
        <v>0.0</v>
      </c>
      <c r="H12737" s="3">
        <v>0.0</v>
      </c>
      <c r="I12737" s="3" t="s">
        <v>13</v>
      </c>
      <c r="J12737" s="3" t="s">
        <v>36104</v>
      </c>
      <c r="K12737" s="3" t="s">
        <v>322</v>
      </c>
      <c r="L12737" s="3" t="str">
        <f>IFERROR(__xludf.DUMMYFUNCTION("GOOGLETRANSLATE(F12737,""id"",""en"")"),"It's useless Argentina World Champion If Not Champion Hearts")</f>
        <v>It's useless Argentina World Champion If Not Champion Hearts</v>
      </c>
    </row>
    <row r="12738" ht="15.75" customHeight="1">
      <c r="A12738" s="1">
        <v>14034.0</v>
      </c>
      <c r="B12738" s="3" t="s">
        <v>36105</v>
      </c>
      <c r="C12738" s="3">
        <v>0.0</v>
      </c>
      <c r="D12738" s="3">
        <v>0.0</v>
      </c>
      <c r="E12738" s="3">
        <v>0.0</v>
      </c>
      <c r="F12738" s="3" t="s">
        <v>26664</v>
      </c>
      <c r="G12738" s="3">
        <v>0.0</v>
      </c>
      <c r="H12738" s="3">
        <v>0.0</v>
      </c>
      <c r="I12738" s="3" t="s">
        <v>13</v>
      </c>
      <c r="J12738" s="3" t="s">
        <v>26665</v>
      </c>
      <c r="K12738" s="3" t="s">
        <v>644</v>
      </c>
      <c r="L12738" s="3" t="str">
        <f>IFERROR(__xludf.DUMMYFUNCTION("GOOGLETRANSLATE(F12738,""id"",""en"")"),"Argentina World Cup Champion")</f>
        <v>Argentina World Cup Champion</v>
      </c>
    </row>
    <row r="12739" ht="15.75" customHeight="1">
      <c r="A12739" s="1">
        <v>14035.0</v>
      </c>
      <c r="B12739" s="3" t="s">
        <v>36106</v>
      </c>
      <c r="C12739" s="3">
        <v>0.0</v>
      </c>
      <c r="D12739" s="3">
        <v>0.0</v>
      </c>
      <c r="E12739" s="3">
        <v>2.0</v>
      </c>
      <c r="F12739" s="3" t="s">
        <v>36107</v>
      </c>
      <c r="G12739" s="3">
        <v>0.0</v>
      </c>
      <c r="H12739" s="3">
        <v>0.0</v>
      </c>
      <c r="I12739" s="3" t="s">
        <v>13</v>
      </c>
      <c r="J12739" s="3" t="s">
        <v>36108</v>
      </c>
      <c r="K12739" s="3" t="s">
        <v>1097</v>
      </c>
      <c r="L12739" s="3" t="str">
        <f>IFERROR(__xludf.DUMMYFUNCTION("GOOGLETRANSLATE(F12739,""id"",""en"")"),"Cares for Argentina what champion is the one who cares about when the family champion")</f>
        <v>Cares for Argentina what champion is the one who cares about when the family champion</v>
      </c>
    </row>
    <row r="12740" ht="15.75" customHeight="1">
      <c r="A12740" s="1">
        <v>14036.0</v>
      </c>
      <c r="B12740" s="3" t="s">
        <v>36109</v>
      </c>
      <c r="C12740" s="3">
        <v>0.0</v>
      </c>
      <c r="D12740" s="3">
        <v>0.0</v>
      </c>
      <c r="E12740" s="3">
        <v>0.0</v>
      </c>
      <c r="F12740" s="3" t="s">
        <v>36110</v>
      </c>
      <c r="G12740" s="3">
        <v>0.0</v>
      </c>
      <c r="H12740" s="3">
        <v>0.0</v>
      </c>
      <c r="I12740" s="3" t="s">
        <v>13</v>
      </c>
      <c r="J12740" s="3" t="s">
        <v>36111</v>
      </c>
      <c r="K12740" s="3" t="s">
        <v>942</v>
      </c>
      <c r="L12740" s="3" t="str">
        <f>IFERROR(__xludf.DUMMYFUNCTION("GOOGLETRANSLATE(F12740,""id"",""en"")"),"His name is the media try France champion he will make the issue of French players chasing Argentine players")</f>
        <v>His name is the media try France champion he will make the issue of French players chasing Argentine players</v>
      </c>
    </row>
    <row r="12741" ht="15.75" customHeight="1">
      <c r="A12741" s="1">
        <v>14037.0</v>
      </c>
      <c r="B12741" s="3" t="s">
        <v>36112</v>
      </c>
      <c r="C12741" s="3">
        <v>1.0</v>
      </c>
      <c r="D12741" s="3">
        <v>0.0</v>
      </c>
      <c r="E12741" s="3">
        <v>0.0</v>
      </c>
      <c r="F12741" s="3" t="s">
        <v>36113</v>
      </c>
      <c r="G12741" s="3">
        <v>0.0</v>
      </c>
      <c r="H12741" s="3">
        <v>0.0</v>
      </c>
      <c r="I12741" s="3" t="s">
        <v>13</v>
      </c>
      <c r="J12741" s="3" t="s">
        <v>36114</v>
      </c>
      <c r="K12741" s="3" t="s">
        <v>15</v>
      </c>
      <c r="L12741" s="3" t="str">
        <f>IFERROR(__xludf.DUMMYFUNCTION("GOOGLETRANSLATE(F12741,""id"",""en"")"),"Argentina Context The championship is joking with Leno")</f>
        <v>Argentina Context The championship is joking with Leno</v>
      </c>
    </row>
    <row r="12742" ht="15.75" customHeight="1">
      <c r="A12742" s="1">
        <v>14038.0</v>
      </c>
      <c r="B12742" s="3" t="s">
        <v>36115</v>
      </c>
      <c r="C12742" s="3">
        <v>0.0</v>
      </c>
      <c r="D12742" s="3">
        <v>0.0</v>
      </c>
      <c r="E12742" s="3">
        <v>0.0</v>
      </c>
      <c r="F12742" s="3" t="s">
        <v>36116</v>
      </c>
      <c r="G12742" s="3">
        <v>0.0</v>
      </c>
      <c r="H12742" s="3">
        <v>0.0</v>
      </c>
      <c r="I12742" s="3" t="s">
        <v>13</v>
      </c>
      <c r="J12742" s="3" t="s">
        <v>36117</v>
      </c>
      <c r="K12742" s="3" t="s">
        <v>510</v>
      </c>
      <c r="L12742" s="3" t="str">
        <f>IFERROR(__xludf.DUMMYFUNCTION("GOOGLETRANSLATE(F12742,""id"",""en"")"),"Dybala Messi Maria Raul Lemos Cristiano World Champion Aguero All Meme Argentina France")</f>
        <v>Dybala Messi Maria Raul Lemos Cristiano World Champion Aguero All Meme Argentina France</v>
      </c>
    </row>
    <row r="12743" ht="15.75" customHeight="1">
      <c r="A12743" s="1">
        <v>14039.0</v>
      </c>
      <c r="B12743" s="3" t="s">
        <v>36118</v>
      </c>
      <c r="C12743" s="3">
        <v>0.0</v>
      </c>
      <c r="D12743" s="3">
        <v>0.0</v>
      </c>
      <c r="E12743" s="3">
        <v>0.0</v>
      </c>
      <c r="F12743" s="3" t="s">
        <v>22241</v>
      </c>
      <c r="G12743" s="3">
        <v>0.0</v>
      </c>
      <c r="H12743" s="3">
        <v>0.0</v>
      </c>
      <c r="I12743" s="3" t="s">
        <v>13</v>
      </c>
      <c r="J12743" s="3" t="s">
        <v>16942</v>
      </c>
      <c r="K12743" s="3" t="s">
        <v>644</v>
      </c>
      <c r="L12743" s="3" t="str">
        <f>IFERROR(__xludf.DUMMYFUNCTION("GOOGLETRANSLATE(F12743,""id"",""en"")"),"Argentina Champion World Cup")</f>
        <v>Argentina Champion World Cup</v>
      </c>
    </row>
    <row r="12744" ht="15.75" customHeight="1">
      <c r="A12744" s="1">
        <v>14040.0</v>
      </c>
      <c r="B12744" s="3" t="s">
        <v>36119</v>
      </c>
      <c r="C12744" s="3">
        <v>0.0</v>
      </c>
      <c r="D12744" s="3">
        <v>0.0</v>
      </c>
      <c r="E12744" s="3">
        <v>0.0</v>
      </c>
      <c r="F12744" s="3" t="s">
        <v>36120</v>
      </c>
      <c r="G12744" s="3">
        <v>0.0</v>
      </c>
      <c r="H12744" s="3">
        <v>0.0</v>
      </c>
      <c r="I12744" s="3" t="s">
        <v>13</v>
      </c>
      <c r="J12744" s="3" t="s">
        <v>36121</v>
      </c>
      <c r="K12744" s="3" t="s">
        <v>15</v>
      </c>
      <c r="L12744" s="3" t="str">
        <f>IFERROR(__xludf.DUMMYFUNCTION("GOOGLETRANSLATE(F12744,""id"",""en"")"),"Win the penalty drama from Francis Argentina World Cup Champion")</f>
        <v>Win the penalty drama from Francis Argentina World Cup Champion</v>
      </c>
    </row>
    <row r="12745" ht="15.75" customHeight="1">
      <c r="A12745" s="1">
        <v>14042.0</v>
      </c>
      <c r="B12745" s="3" t="s">
        <v>36122</v>
      </c>
      <c r="C12745" s="3">
        <v>0.0</v>
      </c>
      <c r="D12745" s="3">
        <v>0.0</v>
      </c>
      <c r="E12745" s="3">
        <v>0.0</v>
      </c>
      <c r="F12745" s="3" t="s">
        <v>36123</v>
      </c>
      <c r="G12745" s="3">
        <v>0.6666666666666666</v>
      </c>
      <c r="H12745" s="3">
        <v>0.08333333333333333</v>
      </c>
      <c r="I12745" s="3" t="s">
        <v>48</v>
      </c>
      <c r="J12745" s="3" t="s">
        <v>36124</v>
      </c>
      <c r="K12745" s="3" t="s">
        <v>2454</v>
      </c>
      <c r="L12745" s="3" t="str">
        <f>IFERROR(__xludf.DUMMYFUNCTION("GOOGLETRANSLATE(F12745,""id"",""en"")"),"To be honest, I watched if there was Argentina, this was also because there was my hero from Man City Alvarez because when playing early morning, I was busy looking for a little money and finally they won from and managed to bring home the trophy")</f>
        <v>To be honest, I watched if there was Argentina, this was also because there was my hero from Man City Alvarez because when playing early morning, I was busy looking for a little money and finally they won from and managed to bring home the trophy</v>
      </c>
    </row>
    <row r="12746" ht="15.75" customHeight="1">
      <c r="A12746" s="1">
        <v>14043.0</v>
      </c>
      <c r="B12746" s="3" t="s">
        <v>36125</v>
      </c>
      <c r="C12746" s="3">
        <v>0.0</v>
      </c>
      <c r="D12746" s="3">
        <v>0.0</v>
      </c>
      <c r="E12746" s="3">
        <v>0.0</v>
      </c>
      <c r="F12746" s="3" t="s">
        <v>16103</v>
      </c>
      <c r="G12746" s="3">
        <v>0.0</v>
      </c>
      <c r="H12746" s="3">
        <v>0.0</v>
      </c>
      <c r="I12746" s="3" t="s">
        <v>13</v>
      </c>
      <c r="J12746" s="3" t="s">
        <v>16104</v>
      </c>
      <c r="K12746" s="3" t="s">
        <v>14571</v>
      </c>
      <c r="L12746" s="3" t="str">
        <f>IFERROR(__xludf.DUMMYFUNCTION("GOOGLETRANSLATE(F12746,""id"",""en"")"),"Argentina Champion")</f>
        <v>Argentina Champion</v>
      </c>
    </row>
    <row r="12747" ht="15.75" customHeight="1">
      <c r="A12747" s="1">
        <v>14044.0</v>
      </c>
      <c r="B12747" s="3" t="s">
        <v>36126</v>
      </c>
      <c r="C12747" s="3">
        <v>0.0</v>
      </c>
      <c r="D12747" s="3">
        <v>0.0</v>
      </c>
      <c r="E12747" s="3">
        <v>0.0</v>
      </c>
      <c r="F12747" s="3" t="s">
        <v>36127</v>
      </c>
      <c r="G12747" s="3">
        <v>0.75</v>
      </c>
      <c r="H12747" s="3">
        <v>0.325</v>
      </c>
      <c r="I12747" s="3" t="s">
        <v>48</v>
      </c>
      <c r="J12747" s="3" t="s">
        <v>36128</v>
      </c>
      <c r="K12747" s="3" t="s">
        <v>215</v>
      </c>
      <c r="L12747" s="3" t="str">
        <f>IFERROR(__xludf.DUMMYFUNCTION("GOOGLETRANSLATE(F12747,""id"",""en"")"),"Cristiano Maradona Raul Lemos Lionel Messi Argentina Dybala World Champion All France Deschamps What Final Maria Arsenal Madrid Higuain Kolo Muani Good Game Greatest All Time France")</f>
        <v>Cristiano Maradona Raul Lemos Lionel Messi Argentina Dybala World Champion All France Deschamps What Final Maria Arsenal Madrid Higuain Kolo Muani Good Game Greatest All Time France</v>
      </c>
    </row>
    <row r="12748" ht="15.75" customHeight="1">
      <c r="A12748" s="1">
        <v>14045.0</v>
      </c>
      <c r="B12748" s="3" t="s">
        <v>36129</v>
      </c>
      <c r="C12748" s="3">
        <v>0.0</v>
      </c>
      <c r="D12748" s="3">
        <v>0.0</v>
      </c>
      <c r="E12748" s="3">
        <v>1.0</v>
      </c>
      <c r="F12748" s="3" t="s">
        <v>36130</v>
      </c>
      <c r="G12748" s="3">
        <v>0.0</v>
      </c>
      <c r="H12748" s="3">
        <v>0.0</v>
      </c>
      <c r="I12748" s="3" t="s">
        <v>13</v>
      </c>
      <c r="J12748" s="3" t="s">
        <v>36131</v>
      </c>
      <c r="K12748" s="3" t="s">
        <v>358</v>
      </c>
      <c r="L12748" s="3" t="str">
        <f>IFERROR(__xludf.DUMMYFUNCTION("GOOGLETRANSLATE(F12748,""id"",""en"")"),"Saudi Arabia The True Champion Champion Champion Champion World Cup Qatar The only country can beat Argentina in the Qatar World Cup")</f>
        <v>Saudi Arabia The True Champion Champion Champion Champion World Cup Qatar The only country can beat Argentina in the Qatar World Cup</v>
      </c>
    </row>
    <row r="12749" ht="15.75" customHeight="1">
      <c r="A12749" s="1">
        <v>14046.0</v>
      </c>
      <c r="B12749" s="3" t="s">
        <v>36132</v>
      </c>
      <c r="C12749" s="3">
        <v>0.0</v>
      </c>
      <c r="D12749" s="3">
        <v>0.0</v>
      </c>
      <c r="E12749" s="3">
        <v>0.0</v>
      </c>
      <c r="F12749" s="3" t="s">
        <v>36133</v>
      </c>
      <c r="G12749" s="3">
        <v>0.0</v>
      </c>
      <c r="H12749" s="3">
        <v>0.0</v>
      </c>
      <c r="I12749" s="3" t="s">
        <v>13</v>
      </c>
      <c r="J12749" s="3" t="s">
        <v>36134</v>
      </c>
      <c r="K12749" s="3" t="s">
        <v>131</v>
      </c>
      <c r="L12749" s="3" t="str">
        <f>IFERROR(__xludf.DUMMYFUNCTION("GOOGLETRANSLATE(F12749,""id"",""en"")"),"how are you, he said, he said, this time it was already set for Argentina, if he was a champion to become a champion until the penalty round")</f>
        <v>how are you, he said, he said, this time it was already set for Argentina, if he was a champion to become a champion until the penalty round</v>
      </c>
    </row>
    <row r="12750" ht="15.75" customHeight="1">
      <c r="A12750" s="1">
        <v>14047.0</v>
      </c>
      <c r="B12750" s="3" t="s">
        <v>36135</v>
      </c>
      <c r="C12750" s="3">
        <v>0.0</v>
      </c>
      <c r="D12750" s="3">
        <v>0.0</v>
      </c>
      <c r="E12750" s="3">
        <v>0.0</v>
      </c>
      <c r="F12750" s="3" t="s">
        <v>36136</v>
      </c>
      <c r="G12750" s="3">
        <v>0.0</v>
      </c>
      <c r="H12750" s="3">
        <v>0.0</v>
      </c>
      <c r="I12750" s="3" t="s">
        <v>13</v>
      </c>
      <c r="J12750" s="3" t="s">
        <v>36137</v>
      </c>
      <c r="K12750" s="3" t="s">
        <v>942</v>
      </c>
      <c r="L12750" s="3" t="str">
        <f>IFERROR(__xludf.DUMMYFUNCTION("GOOGLETRANSLATE(F12750,""id"",""en"")"),"The best goalkeeper of the World Cup gave it to Emi Martinez Argentina Champion World Cup Qatar")</f>
        <v>The best goalkeeper of the World Cup gave it to Emi Martinez Argentina Champion World Cup Qatar</v>
      </c>
    </row>
    <row r="12751" ht="15.75" customHeight="1">
      <c r="A12751" s="1">
        <v>14048.0</v>
      </c>
      <c r="B12751" s="3" t="s">
        <v>36138</v>
      </c>
      <c r="C12751" s="3">
        <v>0.0</v>
      </c>
      <c r="D12751" s="3">
        <v>0.0</v>
      </c>
      <c r="E12751" s="3">
        <v>0.0</v>
      </c>
      <c r="F12751" s="3" t="s">
        <v>36139</v>
      </c>
      <c r="G12751" s="3">
        <v>0.0</v>
      </c>
      <c r="H12751" s="3">
        <v>0.0</v>
      </c>
      <c r="I12751" s="3" t="s">
        <v>13</v>
      </c>
      <c r="J12751" s="3" t="s">
        <v>36140</v>
      </c>
      <c r="K12751" s="3" t="s">
        <v>1335</v>
      </c>
      <c r="L12751" s="3" t="str">
        <f>IFERROR(__xludf.DUMMYFUNCTION("GOOGLETRANSLATE(F12751,""id"",""en"")"),"Arabic champions, Arabic Arabic Argentina")</f>
        <v>Arabic champions, Arabic Arabic Argentina</v>
      </c>
    </row>
    <row r="12752" ht="15.75" customHeight="1">
      <c r="A12752" s="1">
        <v>14049.0</v>
      </c>
      <c r="B12752" s="3" t="s">
        <v>36141</v>
      </c>
      <c r="C12752" s="3">
        <v>2.0</v>
      </c>
      <c r="D12752" s="3">
        <v>0.0</v>
      </c>
      <c r="E12752" s="3">
        <v>0.0</v>
      </c>
      <c r="F12752" s="3" t="s">
        <v>36142</v>
      </c>
      <c r="G12752" s="3">
        <v>0.55</v>
      </c>
      <c r="H12752" s="3">
        <v>0.35</v>
      </c>
      <c r="I12752" s="3" t="s">
        <v>48</v>
      </c>
      <c r="J12752" s="3" t="s">
        <v>36143</v>
      </c>
      <c r="K12752" s="3" t="s">
        <v>41</v>
      </c>
      <c r="L12752" s="3" t="str">
        <f>IFERROR(__xludf.DUMMYFUNCTION("GOOGLETRANSLATE(F12752,""id"",""en"")"),"Argentina Champion Drake Full Party DAY NIGHT DEEN KOMUK")</f>
        <v>Argentina Champion Drake Full Party DAY NIGHT DEEN KOMUK</v>
      </c>
    </row>
    <row r="12753" ht="15.75" customHeight="1">
      <c r="A12753" s="1">
        <v>14050.0</v>
      </c>
      <c r="B12753" s="3" t="s">
        <v>36144</v>
      </c>
      <c r="C12753" s="3">
        <v>0.0</v>
      </c>
      <c r="D12753" s="3">
        <v>0.0</v>
      </c>
      <c r="E12753" s="3">
        <v>1.0</v>
      </c>
      <c r="F12753" s="3" t="s">
        <v>36145</v>
      </c>
      <c r="G12753" s="3">
        <v>0.0</v>
      </c>
      <c r="H12753" s="3">
        <v>0.0</v>
      </c>
      <c r="I12753" s="3" t="s">
        <v>13</v>
      </c>
      <c r="J12753" s="3" t="s">
        <v>36146</v>
      </c>
      <c r="K12753" s="3" t="s">
        <v>50</v>
      </c>
      <c r="L12753" s="3" t="str">
        <f>IFERROR(__xludf.DUMMYFUNCTION("GOOGLETRANSLATE(F12753,""id"",""en"")"),"Since losing to Arabic Argentine's performance has been better so they wonder they are champions")</f>
        <v>Since losing to Arabic Argentine's performance has been better so they wonder they are champions</v>
      </c>
    </row>
    <row r="12754" ht="15.75" customHeight="1">
      <c r="A12754" s="1">
        <v>14051.0</v>
      </c>
      <c r="B12754" s="3" t="s">
        <v>36147</v>
      </c>
      <c r="C12754" s="3">
        <v>0.0</v>
      </c>
      <c r="D12754" s="3">
        <v>1.0</v>
      </c>
      <c r="E12754" s="3">
        <v>0.0</v>
      </c>
      <c r="F12754" s="3" t="s">
        <v>36148</v>
      </c>
      <c r="G12754" s="3">
        <v>0.0</v>
      </c>
      <c r="H12754" s="3">
        <v>0.0</v>
      </c>
      <c r="I12754" s="3" t="s">
        <v>13</v>
      </c>
      <c r="J12754" s="3" t="s">
        <v>36149</v>
      </c>
      <c r="K12754" s="3" t="s">
        <v>286</v>
      </c>
      <c r="L12754" s="3" t="str">
        <f>IFERROR(__xludf.DUMMYFUNCTION("GOOGLETRANSLATE(F12754,""id"",""en"")"),"The FIFA conspiracy uses AVA Sunlight background behind the Argentine flag trophy there is an icon of the Fix Matahari Fix from the beginning.")</f>
        <v>The FIFA conspiracy uses AVA Sunlight background behind the Argentine flag trophy there is an icon of the Fix Matahari Fix from the beginning.</v>
      </c>
    </row>
    <row r="12755" ht="15.75" customHeight="1">
      <c r="A12755" s="1">
        <v>14053.0</v>
      </c>
      <c r="B12755" s="3" t="s">
        <v>36150</v>
      </c>
      <c r="C12755" s="3">
        <v>0.0</v>
      </c>
      <c r="D12755" s="3">
        <v>0.0</v>
      </c>
      <c r="E12755" s="3">
        <v>1.0</v>
      </c>
      <c r="F12755" s="3" t="s">
        <v>36127</v>
      </c>
      <c r="G12755" s="3">
        <v>0.75</v>
      </c>
      <c r="H12755" s="3">
        <v>0.325</v>
      </c>
      <c r="I12755" s="3" t="s">
        <v>48</v>
      </c>
      <c r="J12755" s="3" t="s">
        <v>36128</v>
      </c>
      <c r="K12755" s="3" t="s">
        <v>215</v>
      </c>
      <c r="L12755" s="3" t="str">
        <f>IFERROR(__xludf.DUMMYFUNCTION("GOOGLETRANSLATE(F12755,""id"",""en"")"),"Cristiano Maradona Raul Lemos Lionel Messi Argentina Dybala World Champion All France Deschamps What Final Maria Arsenal Madrid Higuain Kolo Muani Good Game Greatest All Time France")</f>
        <v>Cristiano Maradona Raul Lemos Lionel Messi Argentina Dybala World Champion All France Deschamps What Final Maria Arsenal Madrid Higuain Kolo Muani Good Game Greatest All Time France</v>
      </c>
    </row>
    <row r="12756" ht="15.75" customHeight="1">
      <c r="A12756" s="1">
        <v>14054.0</v>
      </c>
      <c r="B12756" s="3" t="s">
        <v>36151</v>
      </c>
      <c r="C12756" s="3">
        <v>0.0</v>
      </c>
      <c r="D12756" s="3">
        <v>0.0</v>
      </c>
      <c r="E12756" s="3">
        <v>0.0</v>
      </c>
      <c r="F12756" s="3" t="s">
        <v>36152</v>
      </c>
      <c r="G12756" s="3">
        <v>0.0</v>
      </c>
      <c r="H12756" s="3">
        <v>0.0</v>
      </c>
      <c r="I12756" s="3" t="s">
        <v>13</v>
      </c>
      <c r="J12756" s="3" t="s">
        <v>36153</v>
      </c>
      <c r="K12756" s="3" t="s">
        <v>15</v>
      </c>
      <c r="L12756" s="3" t="str">
        <f>IFERROR(__xludf.DUMMYFUNCTION("GOOGLETRANSLATE(F12756,""id"",""en"")"),"Best Bringing Argentina This World Cup Champion Record Messi")</f>
        <v>Best Bringing Argentina This World Cup Champion Record Messi</v>
      </c>
    </row>
    <row r="12757" ht="15.75" customHeight="1">
      <c r="A12757" s="1">
        <v>14055.0</v>
      </c>
      <c r="B12757" s="3" t="s">
        <v>36154</v>
      </c>
      <c r="C12757" s="3">
        <v>0.0</v>
      </c>
      <c r="D12757" s="3">
        <v>0.0</v>
      </c>
      <c r="E12757" s="3">
        <v>0.0</v>
      </c>
      <c r="F12757" s="3" t="s">
        <v>36155</v>
      </c>
      <c r="G12757" s="3">
        <v>0.5</v>
      </c>
      <c r="H12757" s="3">
        <v>0.1666666666666667</v>
      </c>
      <c r="I12757" s="3" t="s">
        <v>48</v>
      </c>
      <c r="J12757" s="3" t="s">
        <v>36156</v>
      </c>
      <c r="K12757" s="3" t="s">
        <v>675</v>
      </c>
      <c r="L12757" s="3" t="str">
        <f>IFERROR(__xludf.DUMMYFUNCTION("GOOGLETRANSLATE(F12757,""id"",""en"")"),"The final is very exciting for the best retirement prize for Messi who brings Argentina champions for France Cool CLEN, especially MBAPP who can catch up with the final minutes of the tripple shoot again next FIFA must be comeback better from this one")</f>
        <v>The final is very exciting for the best retirement prize for Messi who brings Argentina champions for France Cool CLEN, especially MBAPP who can catch up with the final minutes of the tripple shoot again next FIFA must be comeback better from this one</v>
      </c>
    </row>
    <row r="12758" ht="15.75" customHeight="1">
      <c r="A12758" s="1">
        <v>14056.0</v>
      </c>
      <c r="B12758" s="3" t="s">
        <v>36157</v>
      </c>
      <c r="C12758" s="3">
        <v>1.0</v>
      </c>
      <c r="D12758" s="3">
        <v>0.0</v>
      </c>
      <c r="E12758" s="3">
        <v>2.0</v>
      </c>
      <c r="F12758" s="3" t="s">
        <v>36158</v>
      </c>
      <c r="G12758" s="3">
        <v>0.0</v>
      </c>
      <c r="H12758" s="3">
        <v>0.0</v>
      </c>
      <c r="I12758" s="3" t="s">
        <v>13</v>
      </c>
      <c r="J12758" s="3" t="s">
        <v>36159</v>
      </c>
      <c r="K12758" s="3" t="s">
        <v>23</v>
      </c>
      <c r="L12758" s="3" t="str">
        <f>IFERROR(__xludf.DUMMYFUNCTION("GOOGLETRANSLATE(F12758,""id"",""en"")"),"Amazing for the Argentine national team the greatest brand player Messi Enjo Martines congratulated for the Argentine team finally champions of the Qatar World Cup")</f>
        <v>Amazing for the Argentine national team the greatest brand player Messi Enjo Martines congratulated for the Argentine team finally champions of the Qatar World Cup</v>
      </c>
    </row>
    <row r="12759" ht="15.75" customHeight="1">
      <c r="A12759" s="1">
        <v>14057.0</v>
      </c>
      <c r="B12759" s="3" t="s">
        <v>36160</v>
      </c>
      <c r="C12759" s="3">
        <v>0.0</v>
      </c>
      <c r="D12759" s="3">
        <v>0.0</v>
      </c>
      <c r="E12759" s="3">
        <v>2.0</v>
      </c>
      <c r="F12759" s="3" t="s">
        <v>34550</v>
      </c>
      <c r="G12759" s="3">
        <v>0.0</v>
      </c>
      <c r="H12759" s="3">
        <v>0.0</v>
      </c>
      <c r="I12759" s="3" t="s">
        <v>13</v>
      </c>
      <c r="J12759" s="3" t="s">
        <v>34551</v>
      </c>
      <c r="K12759" s="3" t="s">
        <v>41</v>
      </c>
      <c r="L12759" s="3" t="str">
        <f>IFERROR(__xludf.DUMMYFUNCTION("GOOGLETRANSLATE(F12759,""id"",""en"")"),"Complete List of World Cup Champion History of the Third Argentine Trophy")</f>
        <v>Complete List of World Cup Champion History of the Third Argentine Trophy</v>
      </c>
    </row>
    <row r="12760" ht="15.75" customHeight="1">
      <c r="A12760" s="1">
        <v>14058.0</v>
      </c>
      <c r="B12760" s="3" t="s">
        <v>36161</v>
      </c>
      <c r="C12760" s="3">
        <v>1.0</v>
      </c>
      <c r="D12760" s="3">
        <v>0.0</v>
      </c>
      <c r="E12760" s="3">
        <v>0.0</v>
      </c>
      <c r="F12760" s="3" t="s">
        <v>36162</v>
      </c>
      <c r="G12760" s="3">
        <v>0.0</v>
      </c>
      <c r="H12760" s="3">
        <v>0.0</v>
      </c>
      <c r="I12760" s="3" t="s">
        <v>13</v>
      </c>
      <c r="J12760" s="3" t="s">
        <v>36163</v>
      </c>
      <c r="K12760" s="3" t="s">
        <v>31</v>
      </c>
      <c r="L12760" s="3" t="str">
        <f>IFERROR(__xludf.DUMMYFUNCTION("GOOGLETRANSLATE(F12760,""id"",""en"")"),"then if Argentina is the champion, what should I do")</f>
        <v>then if Argentina is the champion, what should I do</v>
      </c>
    </row>
    <row r="12761" ht="15.75" customHeight="1">
      <c r="A12761" s="1">
        <v>14059.0</v>
      </c>
      <c r="B12761" s="3" t="s">
        <v>36164</v>
      </c>
      <c r="C12761" s="3">
        <v>0.0</v>
      </c>
      <c r="D12761" s="3">
        <v>1.0</v>
      </c>
      <c r="E12761" s="3">
        <v>3.0</v>
      </c>
      <c r="F12761" s="3" t="s">
        <v>36165</v>
      </c>
      <c r="G12761" s="3">
        <v>1.0</v>
      </c>
      <c r="H12761" s="3">
        <v>0.5</v>
      </c>
      <c r="I12761" s="3" t="s">
        <v>48</v>
      </c>
      <c r="J12761" s="3" t="s">
        <v>36166</v>
      </c>
      <c r="K12761" s="3" t="s">
        <v>1824</v>
      </c>
      <c r="L12761" s="3" t="str">
        <f>IFERROR(__xludf.DUMMYFUNCTION("GOOGLETRANSLATE(F12761,""id"",""en"")"),"The issuance of this number indicates Jokowi blesses nuclear raw materials as part of Indonesian mining Messi Dybala All France World Champion Cristiano Greatest All Time Maradona What Final Argentina Higuain Kolo Aguero Madrid Maria")</f>
        <v>The issuance of this number indicates Jokowi blesses nuclear raw materials as part of Indonesian mining Messi Dybala All France World Champion Cristiano Greatest All Time Maradona What Final Argentina Higuain Kolo Aguero Madrid Maria</v>
      </c>
    </row>
    <row r="12762" ht="15.75" customHeight="1">
      <c r="A12762" s="1">
        <v>14060.0</v>
      </c>
      <c r="B12762" s="3" t="s">
        <v>36167</v>
      </c>
      <c r="C12762" s="3">
        <v>0.0</v>
      </c>
      <c r="D12762" s="3">
        <v>0.0</v>
      </c>
      <c r="E12762" s="3">
        <v>0.0</v>
      </c>
      <c r="F12762" s="3" t="s">
        <v>36168</v>
      </c>
      <c r="G12762" s="3">
        <v>0.0</v>
      </c>
      <c r="H12762" s="3">
        <v>0.0</v>
      </c>
      <c r="I12762" s="3" t="s">
        <v>13</v>
      </c>
      <c r="J12762" s="3" t="s">
        <v>36169</v>
      </c>
      <c r="K12762" s="3" t="s">
        <v>31</v>
      </c>
      <c r="L12762" s="3" t="str">
        <f>IFERROR(__xludf.DUMMYFUNCTION("GOOGLETRANSLATE(F12762,""id"",""en"")"),"Argentina Indonesian World Champion Revolution")</f>
        <v>Argentina Indonesian World Champion Revolution</v>
      </c>
    </row>
    <row r="12763" ht="15.75" customHeight="1">
      <c r="A12763" s="1">
        <v>14062.0</v>
      </c>
      <c r="B12763" s="3" t="s">
        <v>36170</v>
      </c>
      <c r="C12763" s="3">
        <v>0.0</v>
      </c>
      <c r="D12763" s="3">
        <v>0.0</v>
      </c>
      <c r="E12763" s="3">
        <v>0.0</v>
      </c>
      <c r="F12763" s="3" t="s">
        <v>36170</v>
      </c>
      <c r="G12763" s="3">
        <v>0.0</v>
      </c>
      <c r="H12763" s="3">
        <v>0.0</v>
      </c>
      <c r="I12763" s="3" t="s">
        <v>13</v>
      </c>
      <c r="J12763" s="3" t="s">
        <v>36171</v>
      </c>
      <c r="K12763" s="3" t="s">
        <v>31</v>
      </c>
      <c r="L12763" s="3" t="str">
        <f>IFERROR(__xludf.DUMMYFUNCTION("GOOGLETRANSLATE(F12763,""id"",""en"")"),"I said Argentina Champion Cok")</f>
        <v>I said Argentina Champion Cok</v>
      </c>
    </row>
    <row r="12764" ht="15.75" customHeight="1">
      <c r="A12764" s="1">
        <v>14063.0</v>
      </c>
      <c r="B12764" s="3" t="s">
        <v>36172</v>
      </c>
      <c r="C12764" s="3">
        <v>0.0</v>
      </c>
      <c r="D12764" s="3">
        <v>0.0</v>
      </c>
      <c r="E12764" s="3">
        <v>0.0</v>
      </c>
      <c r="F12764" s="3" t="s">
        <v>36173</v>
      </c>
      <c r="G12764" s="3">
        <v>0.0</v>
      </c>
      <c r="H12764" s="3">
        <v>0.0</v>
      </c>
      <c r="I12764" s="3" t="s">
        <v>13</v>
      </c>
      <c r="J12764" s="3" t="s">
        <v>36174</v>
      </c>
      <c r="K12764" s="3" t="s">
        <v>31</v>
      </c>
      <c r="L12764" s="3" t="str">
        <f>IFERROR(__xludf.DUMMYFUNCTION("GOOGLETRANSLATE(F12764,""id"",""en"")"),"Argentina Champion But Remember Arabic has defeated you")</f>
        <v>Argentina Champion But Remember Arabic has defeated you</v>
      </c>
    </row>
    <row r="12765" ht="15.75" customHeight="1">
      <c r="A12765" s="1">
        <v>14064.0</v>
      </c>
      <c r="B12765" s="3" t="s">
        <v>36175</v>
      </c>
      <c r="C12765" s="3">
        <v>2.0</v>
      </c>
      <c r="D12765" s="3">
        <v>0.0</v>
      </c>
      <c r="E12765" s="3">
        <v>0.0</v>
      </c>
      <c r="F12765" s="3" t="s">
        <v>36176</v>
      </c>
      <c r="G12765" s="3">
        <v>0.0</v>
      </c>
      <c r="H12765" s="3">
        <v>0.0</v>
      </c>
      <c r="I12765" s="3" t="s">
        <v>13</v>
      </c>
      <c r="J12765" s="3" t="s">
        <v>36177</v>
      </c>
      <c r="K12765" s="3" t="s">
        <v>41</v>
      </c>
      <c r="L12765" s="3" t="str">
        <f>IFERROR(__xludf.DUMMYFUNCTION("GOOGLETRANSLATE(F12765,""id"",""en"")"),"Just tell me if the Argentina champion who knows I didn't watch earlier when I was a penalty shootout")</f>
        <v>Just tell me if the Argentina champion who knows I didn't watch earlier when I was a penalty shootout</v>
      </c>
    </row>
    <row r="12766" ht="15.75" customHeight="1">
      <c r="A12766" s="1">
        <v>14065.0</v>
      </c>
      <c r="B12766" s="3" t="s">
        <v>36178</v>
      </c>
      <c r="C12766" s="3">
        <v>0.0</v>
      </c>
      <c r="D12766" s="3">
        <v>0.0</v>
      </c>
      <c r="E12766" s="3">
        <v>0.0</v>
      </c>
      <c r="F12766" s="3" t="s">
        <v>36179</v>
      </c>
      <c r="G12766" s="3">
        <v>0.0</v>
      </c>
      <c r="H12766" s="3">
        <v>0.0</v>
      </c>
      <c r="I12766" s="3" t="s">
        <v>13</v>
      </c>
      <c r="J12766" s="3" t="s">
        <v>36180</v>
      </c>
      <c r="K12766" s="3" t="s">
        <v>477</v>
      </c>
      <c r="L12766" s="3" t="str">
        <f>IFERROR(__xludf.DUMMYFUNCTION("GOOGLETRANSLATE(F12766,""id"",""en"")"),"Argentina already champions Jeje already changed AVA as well as SHSJSHSJH")</f>
        <v>Argentina already champions Jeje already changed AVA as well as SHSJSHSJH</v>
      </c>
    </row>
    <row r="12767" ht="15.75" customHeight="1">
      <c r="A12767" s="1">
        <v>14066.0</v>
      </c>
      <c r="B12767" s="3" t="s">
        <v>36181</v>
      </c>
      <c r="C12767" s="3">
        <v>1.0</v>
      </c>
      <c r="D12767" s="3">
        <v>0.0</v>
      </c>
      <c r="E12767" s="3">
        <v>1.0</v>
      </c>
      <c r="F12767" s="3" t="s">
        <v>36182</v>
      </c>
      <c r="G12767" s="3">
        <v>0.0</v>
      </c>
      <c r="H12767" s="3">
        <v>0.0</v>
      </c>
      <c r="I12767" s="3" t="s">
        <v>13</v>
      </c>
      <c r="J12767" s="3" t="s">
        <v>36183</v>
      </c>
      <c r="K12767" s="3" t="s">
        <v>184</v>
      </c>
      <c r="L12767" s="3" t="str">
        <f>IFERROR(__xludf.DUMMYFUNCTION("GOOGLETRANSLATE(F12767,""id"",""en"")"),"This is the class of the Argentine champion is able to rise and successfully become the champion of Messi and Kawan shows their abilities through the final shooting drama")</f>
        <v>This is the class of the Argentine champion is able to rise and successfully become the champion of Messi and Kawan shows their abilities through the final shooting drama</v>
      </c>
    </row>
    <row r="12768" ht="15.75" customHeight="1">
      <c r="A12768" s="1">
        <v>14068.0</v>
      </c>
      <c r="B12768" s="3" t="s">
        <v>36184</v>
      </c>
      <c r="C12768" s="3">
        <v>0.0</v>
      </c>
      <c r="D12768" s="3">
        <v>0.0</v>
      </c>
      <c r="E12768" s="3">
        <v>6.0</v>
      </c>
      <c r="F12768" s="3" t="s">
        <v>34565</v>
      </c>
      <c r="G12768" s="3">
        <v>0.0</v>
      </c>
      <c r="H12768" s="3">
        <v>0.0</v>
      </c>
      <c r="I12768" s="3" t="s">
        <v>13</v>
      </c>
      <c r="J12768" s="3" t="s">
        <v>34566</v>
      </c>
      <c r="K12768" s="3" t="s">
        <v>75</v>
      </c>
      <c r="L12768" s="3" t="str">
        <f>IFERROR(__xludf.DUMMYFUNCTION("GOOGLETRANSLATE(F12768,""id"",""en"")"),"Argentina Champion World Cup Lionel Messi Sabet Holds the Best Player")</f>
        <v>Argentina Champion World Cup Lionel Messi Sabet Holds the Best Player</v>
      </c>
    </row>
    <row r="12769" ht="15.75" customHeight="1">
      <c r="A12769" s="1">
        <v>14069.0</v>
      </c>
      <c r="B12769" s="3" t="s">
        <v>36185</v>
      </c>
      <c r="C12769" s="3">
        <v>0.0</v>
      </c>
      <c r="D12769" s="3">
        <v>0.0</v>
      </c>
      <c r="E12769" s="3">
        <v>0.0</v>
      </c>
      <c r="F12769" s="3" t="s">
        <v>36186</v>
      </c>
      <c r="G12769" s="3">
        <v>0.0</v>
      </c>
      <c r="H12769" s="3">
        <v>0.0</v>
      </c>
      <c r="I12769" s="3" t="s">
        <v>13</v>
      </c>
      <c r="J12769" s="3" t="s">
        <v>36187</v>
      </c>
      <c r="K12769" s="3" t="s">
        <v>16671</v>
      </c>
      <c r="L12769" s="3" t="str">
        <f>IFERROR(__xludf.DUMMYFUNCTION("GOOGLETRANSLATE(F12769,""id"",""en"")"),"Argentina The first round champion Argentina played offensive attacking had a superior to the first half of Argentina playing Defensive France continued")</f>
        <v>Argentina The first round champion Argentina played offensive attacking had a superior to the first half of Argentina playing Defensive France continued</v>
      </c>
    </row>
    <row r="12770" ht="15.75" customHeight="1">
      <c r="A12770" s="1">
        <v>14070.0</v>
      </c>
      <c r="B12770" s="3" t="s">
        <v>36188</v>
      </c>
      <c r="C12770" s="3">
        <v>0.0</v>
      </c>
      <c r="D12770" s="3">
        <v>0.0</v>
      </c>
      <c r="E12770" s="3">
        <v>1.0</v>
      </c>
      <c r="F12770" s="3" t="s">
        <v>36189</v>
      </c>
      <c r="G12770" s="3">
        <v>0.0</v>
      </c>
      <c r="H12770" s="3">
        <v>0.0</v>
      </c>
      <c r="I12770" s="3" t="s">
        <v>13</v>
      </c>
      <c r="J12770" s="3" t="s">
        <v>36190</v>
      </c>
      <c r="K12770" s="3" t="s">
        <v>657</v>
      </c>
      <c r="L12770" s="3" t="str">
        <f>IFERROR(__xludf.DUMMYFUNCTION("GOOGLETRANSLATE(F12770,""id"",""en"")"),"Ronaldo is only less fortunate to be a team that does not have a champion tradition like Argentina Brazil Italy Germany Spanish French")</f>
        <v>Ronaldo is only less fortunate to be a team that does not have a champion tradition like Argentina Brazil Italy Germany Spanish French</v>
      </c>
    </row>
    <row r="12771" ht="15.75" customHeight="1">
      <c r="A12771" s="1">
        <v>14071.0</v>
      </c>
      <c r="B12771" s="3" t="s">
        <v>36191</v>
      </c>
      <c r="C12771" s="3">
        <v>1.0</v>
      </c>
      <c r="D12771" s="3">
        <v>0.0</v>
      </c>
      <c r="E12771" s="3">
        <v>0.0</v>
      </c>
      <c r="F12771" s="3" t="s">
        <v>36192</v>
      </c>
      <c r="G12771" s="3">
        <v>1.0</v>
      </c>
      <c r="H12771" s="3">
        <v>0.0</v>
      </c>
      <c r="I12771" s="3" t="s">
        <v>13</v>
      </c>
      <c r="J12771" s="3" t="s">
        <v>36193</v>
      </c>
      <c r="K12771" s="3" t="s">
        <v>695</v>
      </c>
      <c r="L12771" s="3" t="str">
        <f>IFERROR(__xludf.DUMMYFUNCTION("GOOGLETRANSLATE(F12771,""id"",""en"")"),"Udh repeatedly explained that the Denial Denial Connect the Final World Cup itself stupidly attacked the opinion only a piece for attacking the final it was an explanation of traffic")</f>
        <v>Udh repeatedly explained that the Denial Denial Connect the Final World Cup itself stupidly attacked the opinion only a piece for attacking the final it was an explanation of traffic</v>
      </c>
    </row>
    <row r="12772" ht="15.75" customHeight="1">
      <c r="A12772" s="1">
        <v>14073.0</v>
      </c>
      <c r="B12772" s="3" t="s">
        <v>36194</v>
      </c>
      <c r="C12772" s="3">
        <v>0.0</v>
      </c>
      <c r="D12772" s="3">
        <v>0.0</v>
      </c>
      <c r="E12772" s="3">
        <v>1.0</v>
      </c>
      <c r="F12772" s="3" t="s">
        <v>36195</v>
      </c>
      <c r="G12772" s="3">
        <v>0.5</v>
      </c>
      <c r="H12772" s="3">
        <v>-0.5</v>
      </c>
      <c r="I12772" s="3" t="s">
        <v>179</v>
      </c>
      <c r="J12772" s="3" t="s">
        <v>36196</v>
      </c>
      <c r="K12772" s="3" t="s">
        <v>1854</v>
      </c>
      <c r="L12772" s="3" t="str">
        <f>IFERROR(__xludf.DUMMYFUNCTION("GOOGLETRANSLATE(F12772,""id"",""en"")"),"Rangga Pointya is the most important Argentine -winning penalty, so it needs to be crita about the conspiracy of bribery and all the stuff of the French team, the good team of Argentina is better because there is a goddess")</f>
        <v>Rangga Pointya is the most important Argentine -winning penalty, so it needs to be crita about the conspiracy of bribery and all the stuff of the French team, the good team of Argentina is better because there is a goddess</v>
      </c>
    </row>
    <row r="12773" ht="15.75" customHeight="1">
      <c r="A12773" s="1">
        <v>14076.0</v>
      </c>
      <c r="B12773" s="3" t="s">
        <v>36197</v>
      </c>
      <c r="C12773" s="3">
        <v>0.0</v>
      </c>
      <c r="D12773" s="3">
        <v>0.0</v>
      </c>
      <c r="E12773" s="3">
        <v>4.0</v>
      </c>
      <c r="F12773" s="3" t="s">
        <v>36198</v>
      </c>
      <c r="G12773" s="3">
        <v>0.55</v>
      </c>
      <c r="H12773" s="3">
        <v>0.0</v>
      </c>
      <c r="I12773" s="3" t="s">
        <v>13</v>
      </c>
      <c r="J12773" s="3" t="s">
        <v>36199</v>
      </c>
      <c r="K12773" s="3" t="s">
        <v>426</v>
      </c>
      <c r="L12773" s="3" t="str">
        <f>IFERROR(__xludf.DUMMYFUNCTION("GOOGLETRANSLATE(F12773,""id"",""en"")"),"true Mnarik Final but because of French, the round of BNAR is a conspiracy of FIFA and it all lost the French round rose the brilliant Arg goalkeeper Extra Time Finally, Messi won with the struggle only supporters of Dod")</f>
        <v>true Mnarik Final but because of French, the round of BNAR is a conspiracy of FIFA and it all lost the French round rose the brilliant Arg goalkeeper Extra Time Finally, Messi won with the struggle only supporters of Dod</v>
      </c>
    </row>
    <row r="12774" ht="15.75" customHeight="1">
      <c r="A12774" s="1">
        <v>14078.0</v>
      </c>
      <c r="B12774" s="3" t="s">
        <v>36200</v>
      </c>
      <c r="C12774" s="3">
        <v>0.0</v>
      </c>
      <c r="D12774" s="3">
        <v>0.0</v>
      </c>
      <c r="E12774" s="3">
        <v>0.0</v>
      </c>
      <c r="F12774" s="3" t="s">
        <v>36201</v>
      </c>
      <c r="G12774" s="3">
        <v>1.0</v>
      </c>
      <c r="H12774" s="3">
        <v>0.0</v>
      </c>
      <c r="I12774" s="3" t="s">
        <v>13</v>
      </c>
      <c r="J12774" s="3" t="s">
        <v>36202</v>
      </c>
      <c r="K12774" s="3" t="s">
        <v>510</v>
      </c>
      <c r="L12774" s="3" t="str">
        <f>IFERROR(__xludf.DUMMYFUNCTION("GOOGLETRANSLATE(F12774,""id"",""en"")"),"Attack Titan The Final Season Part anime with the most story lines conspiracy and theory according to")</f>
        <v>Attack Titan The Final Season Part anime with the most story lines conspiracy and theory according to</v>
      </c>
    </row>
    <row r="12775" ht="15.75" customHeight="1">
      <c r="A12775" s="1">
        <v>14080.0</v>
      </c>
      <c r="B12775" s="3" t="s">
        <v>36203</v>
      </c>
      <c r="C12775" s="3">
        <v>0.0</v>
      </c>
      <c r="D12775" s="3">
        <v>0.0</v>
      </c>
      <c r="E12775" s="3">
        <v>0.0</v>
      </c>
      <c r="F12775" s="3" t="s">
        <v>36204</v>
      </c>
      <c r="G12775" s="3">
        <v>1.0</v>
      </c>
      <c r="H12775" s="3">
        <v>0.0</v>
      </c>
      <c r="I12775" s="3" t="s">
        <v>13</v>
      </c>
      <c r="J12775" s="3" t="s">
        <v>36205</v>
      </c>
      <c r="K12775" s="3" t="s">
        <v>9318</v>
      </c>
      <c r="L12775" s="3" t="str">
        <f>IFERROR(__xludf.DUMMYFUNCTION("GOOGLETRANSLATE(F12775,""id"",""en"")"),"The world cup is curious, starting from the Qatar conspiracy, the host of the world champion loses against Saudi Arabia, the record of the Asian Asian team, Ronaldo, Ronaldo, the historical record of the African team to the final match of the final hatric"&amp;"k, mbappe to the drama shootout penalty goks")</f>
        <v>The world cup is curious, starting from the Qatar conspiracy, the host of the world champion loses against Saudi Arabia, the record of the Asian Asian team, Ronaldo, Ronaldo, the historical record of the African team to the final match of the final hatrick, mbappe to the drama shootout penalty goks</v>
      </c>
    </row>
    <row r="12776" ht="15.75" customHeight="1">
      <c r="A12776" s="1">
        <v>14082.0</v>
      </c>
      <c r="B12776" s="3" t="s">
        <v>36206</v>
      </c>
      <c r="C12776" s="3">
        <v>0.0</v>
      </c>
      <c r="D12776" s="3">
        <v>0.0</v>
      </c>
      <c r="E12776" s="3">
        <v>0.0</v>
      </c>
      <c r="F12776" s="3" t="s">
        <v>36207</v>
      </c>
      <c r="G12776" s="3">
        <v>1.0</v>
      </c>
      <c r="H12776" s="3">
        <v>0.0</v>
      </c>
      <c r="I12776" s="3" t="s">
        <v>13</v>
      </c>
      <c r="J12776" s="3" t="s">
        <v>36208</v>
      </c>
      <c r="K12776" s="3" t="s">
        <v>449</v>
      </c>
      <c r="L12776" s="3" t="str">
        <f>IFERROR(__xludf.DUMMYFUNCTION("GOOGLETRANSLATE(F12776,""id"",""en"")"),"the name is also a conspiracy theory being free but the facts in the field of hard work of each country and player to the determination of the penalties in determining who the winner proves how tight the final competition")</f>
        <v>the name is also a conspiracy theory being free but the facts in the field of hard work of each country and player to the determination of the penalties in determining who the winner proves how tight the final competition</v>
      </c>
    </row>
    <row r="12777" ht="15.75" customHeight="1">
      <c r="A12777" s="1">
        <v>14083.0</v>
      </c>
      <c r="B12777" s="3" t="s">
        <v>36209</v>
      </c>
      <c r="C12777" s="3">
        <v>1.0</v>
      </c>
      <c r="D12777" s="3">
        <v>0.0</v>
      </c>
      <c r="E12777" s="3">
        <v>2.0</v>
      </c>
      <c r="F12777" s="3" t="s">
        <v>36210</v>
      </c>
      <c r="G12777" s="3">
        <v>1.0</v>
      </c>
      <c r="H12777" s="3">
        <v>0.0</v>
      </c>
      <c r="I12777" s="3" t="s">
        <v>13</v>
      </c>
      <c r="J12777" s="3" t="s">
        <v>36211</v>
      </c>
      <c r="K12777" s="3" t="s">
        <v>75</v>
      </c>
      <c r="L12777" s="3" t="str">
        <f>IFERROR(__xludf.DUMMYFUNCTION("GOOGLETRANSLATE(F12777,""id"",""en"")"),"Gud Morning yesterday's final match was just an Eice Criminal Investigation conspiracy setting")</f>
        <v>Gud Morning yesterday's final match was just an Eice Criminal Investigation conspiracy setting</v>
      </c>
    </row>
    <row r="12778" ht="15.75" customHeight="1">
      <c r="A12778" s="1">
        <v>14084.0</v>
      </c>
      <c r="B12778" s="3" t="s">
        <v>36212</v>
      </c>
      <c r="C12778" s="3">
        <v>1.0</v>
      </c>
      <c r="D12778" s="3">
        <v>2.0</v>
      </c>
      <c r="E12778" s="3">
        <v>2.0</v>
      </c>
      <c r="F12778" s="3" t="s">
        <v>36213</v>
      </c>
      <c r="G12778" s="3">
        <v>1.0</v>
      </c>
      <c r="H12778" s="3">
        <v>0.0</v>
      </c>
      <c r="I12778" s="3" t="s">
        <v>13</v>
      </c>
      <c r="J12778" s="3" t="s">
        <v>36214</v>
      </c>
      <c r="K12778" s="3" t="s">
        <v>82</v>
      </c>
      <c r="L12778" s="3" t="str">
        <f>IFERROR(__xludf.DUMMYFUNCTION("GOOGLETRANSLATE(F12778,""id"",""en"")"),"he exclaimed the final evidence of the conspiracy accusation was very weak")</f>
        <v>he exclaimed the final evidence of the conspiracy accusation was very weak</v>
      </c>
    </row>
    <row r="12779" ht="15.75" customHeight="1">
      <c r="A12779" s="1">
        <v>14085.0</v>
      </c>
      <c r="B12779" s="3" t="s">
        <v>36215</v>
      </c>
      <c r="C12779" s="3">
        <v>0.0</v>
      </c>
      <c r="D12779" s="3">
        <v>0.0</v>
      </c>
      <c r="E12779" s="3">
        <v>1.0</v>
      </c>
      <c r="F12779" s="3" t="s">
        <v>36213</v>
      </c>
      <c r="G12779" s="3">
        <v>1.0</v>
      </c>
      <c r="H12779" s="3">
        <v>0.0</v>
      </c>
      <c r="I12779" s="3" t="s">
        <v>13</v>
      </c>
      <c r="J12779" s="3" t="s">
        <v>36214</v>
      </c>
      <c r="K12779" s="3" t="s">
        <v>82</v>
      </c>
      <c r="L12779" s="3" t="str">
        <f>IFERROR(__xludf.DUMMYFUNCTION("GOOGLETRANSLATE(F12779,""id"",""en"")"),"he exclaimed the final evidence of the conspiracy accusation was very weak")</f>
        <v>he exclaimed the final evidence of the conspiracy accusation was very weak</v>
      </c>
    </row>
    <row r="12780" ht="15.75" customHeight="1">
      <c r="A12780" s="1">
        <v>14087.0</v>
      </c>
      <c r="B12780" s="3" t="s">
        <v>36216</v>
      </c>
      <c r="C12780" s="3">
        <v>0.0</v>
      </c>
      <c r="D12780" s="3">
        <v>0.0</v>
      </c>
      <c r="E12780" s="3">
        <v>0.0</v>
      </c>
      <c r="F12780" s="3" t="s">
        <v>36217</v>
      </c>
      <c r="G12780" s="3">
        <v>1.0</v>
      </c>
      <c r="H12780" s="3">
        <v>0.0</v>
      </c>
      <c r="I12780" s="3" t="s">
        <v>13</v>
      </c>
      <c r="J12780" s="3" t="s">
        <v>36218</v>
      </c>
      <c r="K12780" s="3" t="s">
        <v>31</v>
      </c>
      <c r="L12780" s="3" t="str">
        <f>IFERROR(__xludf.DUMMYFUNCTION("GOOGLETRANSLATE(F12780,""id"",""en"")"),"how is the final conspiracy")</f>
        <v>how is the final conspiracy</v>
      </c>
    </row>
    <row r="12781" ht="15.75" customHeight="1">
      <c r="A12781" s="1">
        <v>14088.0</v>
      </c>
      <c r="B12781" s="3" t="s">
        <v>36219</v>
      </c>
      <c r="C12781" s="3">
        <v>0.0</v>
      </c>
      <c r="D12781" s="3">
        <v>0.0</v>
      </c>
      <c r="E12781" s="3">
        <v>3.0</v>
      </c>
      <c r="F12781" s="3" t="s">
        <v>36220</v>
      </c>
      <c r="G12781" s="3">
        <v>1.0</v>
      </c>
      <c r="H12781" s="3">
        <v>0.0</v>
      </c>
      <c r="I12781" s="3" t="s">
        <v>13</v>
      </c>
      <c r="J12781" s="3" t="s">
        <v>36221</v>
      </c>
      <c r="K12781" s="3" t="s">
        <v>58</v>
      </c>
      <c r="L12781" s="3" t="str">
        <f>IFERROR(__xludf.DUMMYFUNCTION("GOOGLETRANSLATE(F12781,""id"",""en"")"),"Conspiracy Why Micro UAS is allowed to bring cheatsheet so that watching the final pildun is still calm when the UAS")</f>
        <v>Conspiracy Why Micro UAS is allowed to bring cheatsheet so that watching the final pildun is still calm when the UAS</v>
      </c>
    </row>
    <row r="12782" ht="15.75" customHeight="1">
      <c r="A12782" s="1">
        <v>14089.0</v>
      </c>
      <c r="B12782" s="3" t="s">
        <v>36222</v>
      </c>
      <c r="C12782" s="3">
        <v>0.0</v>
      </c>
      <c r="D12782" s="3">
        <v>0.0</v>
      </c>
      <c r="E12782" s="3">
        <v>0.0</v>
      </c>
      <c r="F12782" s="3" t="s">
        <v>36223</v>
      </c>
      <c r="G12782" s="3">
        <v>0.6666666666666666</v>
      </c>
      <c r="H12782" s="3">
        <v>0.08333333333333333</v>
      </c>
      <c r="I12782" s="3" t="s">
        <v>48</v>
      </c>
      <c r="J12782" s="3" t="s">
        <v>36224</v>
      </c>
      <c r="K12782" s="3" t="s">
        <v>19</v>
      </c>
      <c r="L12782" s="3" t="str">
        <f>IFERROR(__xludf.DUMMYFUNCTION("GOOGLETRANSLATE(F12782,""id"",""en"")"),"The conspiracy of my cat tai Cat seeing this final is indeed appropriate for these two countries to play the top party")</f>
        <v>The conspiracy of my cat tai Cat seeing this final is indeed appropriate for these two countries to play the top party</v>
      </c>
    </row>
    <row r="12783" ht="15.75" customHeight="1">
      <c r="A12783" s="1">
        <v>14090.0</v>
      </c>
      <c r="B12783" s="3" t="s">
        <v>36225</v>
      </c>
      <c r="C12783" s="3">
        <v>0.0</v>
      </c>
      <c r="D12783" s="3">
        <v>0.0</v>
      </c>
      <c r="E12783" s="3">
        <v>0.0</v>
      </c>
      <c r="F12783" s="3" t="s">
        <v>36226</v>
      </c>
      <c r="G12783" s="3">
        <v>1.0</v>
      </c>
      <c r="H12783" s="3">
        <v>0.0</v>
      </c>
      <c r="I12783" s="3" t="s">
        <v>13</v>
      </c>
      <c r="J12783" s="3" t="s">
        <v>36227</v>
      </c>
      <c r="K12783" s="3" t="s">
        <v>205</v>
      </c>
      <c r="L12783" s="3" t="str">
        <f>IFERROR(__xludf.DUMMYFUNCTION("GOOGLETRANSLATE(F12783,""id"",""en"")"),"Apart from all tragedies and conspiracy for Qatar to host the Qatar World Cup successfully make a tournament and closed with the final epic final throughout Qatar")</f>
        <v>Apart from all tragedies and conspiracy for Qatar to host the Qatar World Cup successfully make a tournament and closed with the final epic final throughout Qatar</v>
      </c>
    </row>
    <row r="12784" ht="15.75" customHeight="1">
      <c r="A12784" s="1">
        <v>14091.0</v>
      </c>
      <c r="B12784" s="3" t="s">
        <v>36228</v>
      </c>
      <c r="C12784" s="3">
        <v>0.0</v>
      </c>
      <c r="D12784" s="3">
        <v>0.0</v>
      </c>
      <c r="E12784" s="3">
        <v>0.0</v>
      </c>
      <c r="F12784" s="3" t="s">
        <v>36229</v>
      </c>
      <c r="G12784" s="3">
        <v>1.0</v>
      </c>
      <c r="H12784" s="3">
        <v>0.0</v>
      </c>
      <c r="I12784" s="3" t="s">
        <v>13</v>
      </c>
      <c r="J12784" s="3" t="s">
        <v>36230</v>
      </c>
      <c r="K12784" s="3" t="s">
        <v>1097</v>
      </c>
      <c r="L12784" s="3" t="str">
        <f>IFERROR(__xludf.DUMMYFUNCTION("GOOGLETRANSLATE(F12784,""id"",""en"")"),"PSG whose extinction from Qatar Final who competed the skill of the PSG conspiracy players")</f>
        <v>PSG whose extinction from Qatar Final who competed the skill of the PSG conspiracy players</v>
      </c>
    </row>
    <row r="12785" ht="15.75" customHeight="1">
      <c r="A12785" s="1">
        <v>14092.0</v>
      </c>
      <c r="B12785" s="3" t="s">
        <v>36231</v>
      </c>
      <c r="C12785" s="3">
        <v>0.0</v>
      </c>
      <c r="D12785" s="3">
        <v>0.0</v>
      </c>
      <c r="E12785" s="3">
        <v>1.0</v>
      </c>
      <c r="F12785" s="3" t="s">
        <v>36232</v>
      </c>
      <c r="G12785" s="3">
        <v>1.0</v>
      </c>
      <c r="H12785" s="3">
        <v>0.0</v>
      </c>
      <c r="I12785" s="3" t="s">
        <v>13</v>
      </c>
      <c r="J12785" s="3" t="s">
        <v>36233</v>
      </c>
      <c r="K12785" s="3" t="s">
        <v>31</v>
      </c>
      <c r="L12785" s="3" t="str">
        <f>IFERROR(__xludf.DUMMYFUNCTION("GOOGLETRANSLATE(F12785,""id"",""en"")"),"What Argentina Final Conspiracy is Conspiracy")</f>
        <v>What Argentina Final Conspiracy is Conspiracy</v>
      </c>
    </row>
    <row r="12786" ht="15.75" customHeight="1">
      <c r="A12786" s="1">
        <v>14093.0</v>
      </c>
      <c r="B12786" s="3" t="s">
        <v>36234</v>
      </c>
      <c r="C12786" s="3">
        <v>0.0</v>
      </c>
      <c r="D12786" s="3">
        <v>0.0</v>
      </c>
      <c r="E12786" s="3">
        <v>0.0</v>
      </c>
      <c r="F12786" s="3" t="s">
        <v>36235</v>
      </c>
      <c r="G12786" s="3">
        <v>1.0</v>
      </c>
      <c r="H12786" s="3">
        <v>0.0</v>
      </c>
      <c r="I12786" s="3" t="s">
        <v>13</v>
      </c>
      <c r="J12786" s="3" t="s">
        <v>36236</v>
      </c>
      <c r="K12786" s="3" t="s">
        <v>54</v>
      </c>
      <c r="L12786" s="3" t="str">
        <f>IFERROR(__xludf.DUMMYFUNCTION("GOOGLETRANSLATE(F12786,""id"",""en"")"),"Come on Sape Blang Final FIFA Conspiracy")</f>
        <v>Come on Sape Blang Final FIFA Conspiracy</v>
      </c>
    </row>
    <row r="12787" ht="15.75" customHeight="1">
      <c r="A12787" s="1">
        <v>14094.0</v>
      </c>
      <c r="B12787" s="3" t="s">
        <v>36237</v>
      </c>
      <c r="C12787" s="3">
        <v>1.0</v>
      </c>
      <c r="D12787" s="3">
        <v>0.0</v>
      </c>
      <c r="E12787" s="3">
        <v>0.0</v>
      </c>
      <c r="F12787" s="3" t="s">
        <v>36238</v>
      </c>
      <c r="G12787" s="3">
        <v>1.0</v>
      </c>
      <c r="H12787" s="3">
        <v>0.0</v>
      </c>
      <c r="I12787" s="3" t="s">
        <v>13</v>
      </c>
      <c r="J12787" s="3" t="s">
        <v>36239</v>
      </c>
      <c r="K12787" s="3" t="s">
        <v>41</v>
      </c>
      <c r="L12787" s="3" t="str">
        <f>IFERROR(__xludf.DUMMYFUNCTION("GOOGLETRANSLATE(F12787,""id"",""en"")"),"Bung Gimna's opinion Final World Cup Is True Conspiracy")</f>
        <v>Bung Gimna's opinion Final World Cup Is True Conspiracy</v>
      </c>
    </row>
    <row r="12788" ht="15.75" customHeight="1">
      <c r="A12788" s="1">
        <v>14095.0</v>
      </c>
      <c r="B12788" s="3" t="s">
        <v>36240</v>
      </c>
      <c r="C12788" s="3">
        <v>0.0</v>
      </c>
      <c r="D12788" s="3">
        <v>0.0</v>
      </c>
      <c r="E12788" s="3">
        <v>0.0</v>
      </c>
      <c r="F12788" s="3" t="s">
        <v>36241</v>
      </c>
      <c r="G12788" s="3">
        <v>0.65</v>
      </c>
      <c r="H12788" s="3">
        <v>0.5</v>
      </c>
      <c r="I12788" s="3" t="s">
        <v>48</v>
      </c>
      <c r="J12788" s="3" t="s">
        <v>36242</v>
      </c>
      <c r="K12788" s="3" t="s">
        <v>82</v>
      </c>
      <c r="L12788" s="3" t="str">
        <f>IFERROR(__xludf.DUMMYFUNCTION("GOOGLETRANSLATE(F12788,""id"",""en"")"),"Best Final Ever Conspiracy Lovers Shame Should")</f>
        <v>Best Final Ever Conspiracy Lovers Shame Should</v>
      </c>
    </row>
    <row r="12789" ht="15.75" customHeight="1">
      <c r="A12789" s="1">
        <v>14096.0</v>
      </c>
      <c r="B12789" s="3" t="s">
        <v>36243</v>
      </c>
      <c r="C12789" s="3">
        <v>0.0</v>
      </c>
      <c r="D12789" s="3">
        <v>0.0</v>
      </c>
      <c r="E12789" s="3">
        <v>0.0</v>
      </c>
      <c r="F12789" s="3" t="s">
        <v>36244</v>
      </c>
      <c r="G12789" s="3">
        <v>1.0</v>
      </c>
      <c r="H12789" s="3">
        <v>0.0</v>
      </c>
      <c r="I12789" s="3" t="s">
        <v>13</v>
      </c>
      <c r="J12789" s="3" t="s">
        <v>36245</v>
      </c>
      <c r="K12789" s="3" t="s">
        <v>15</v>
      </c>
      <c r="L12789" s="3" t="str">
        <f>IFERROR(__xludf.DUMMYFUNCTION("GOOGLETRANSLATE(F12789,""id"",""en"")"),"proof that this final is a conspiracy admin HMNS can just predict")</f>
        <v>proof that this final is a conspiracy admin HMNS can just predict</v>
      </c>
    </row>
    <row r="12790" ht="15.75" customHeight="1">
      <c r="A12790" s="1">
        <v>14097.0</v>
      </c>
      <c r="B12790" s="3" t="s">
        <v>36246</v>
      </c>
      <c r="C12790" s="3">
        <v>0.0</v>
      </c>
      <c r="D12790" s="3">
        <v>0.0</v>
      </c>
      <c r="E12790" s="3">
        <v>0.0</v>
      </c>
      <c r="F12790" s="3" t="s">
        <v>36246</v>
      </c>
      <c r="G12790" s="3">
        <v>1.0</v>
      </c>
      <c r="H12790" s="3">
        <v>0.0</v>
      </c>
      <c r="I12790" s="3" t="s">
        <v>13</v>
      </c>
      <c r="J12790" s="3" t="s">
        <v>36247</v>
      </c>
      <c r="K12790" s="3" t="s">
        <v>82</v>
      </c>
      <c r="L12790" s="3" t="str">
        <f>IFERROR(__xludf.DUMMYFUNCTION("GOOGLETRANSLATE(F12790,""id"",""en"")"),"BGT Final Conspiracy Malem Monday so that it will be productive")</f>
        <v>BGT Final Conspiracy Malem Monday so that it will be productive</v>
      </c>
    </row>
    <row r="12791" ht="15.75" customHeight="1">
      <c r="A12791" s="1">
        <v>14098.0</v>
      </c>
      <c r="B12791" s="3" t="s">
        <v>36248</v>
      </c>
      <c r="C12791" s="3">
        <v>0.0</v>
      </c>
      <c r="D12791" s="3">
        <v>0.0</v>
      </c>
      <c r="E12791" s="3">
        <v>0.0</v>
      </c>
      <c r="F12791" s="3" t="s">
        <v>36249</v>
      </c>
      <c r="G12791" s="3">
        <v>1.0</v>
      </c>
      <c r="H12791" s="3">
        <v>0.0</v>
      </c>
      <c r="I12791" s="3" t="s">
        <v>13</v>
      </c>
      <c r="J12791" s="3" t="s">
        <v>36250</v>
      </c>
      <c r="K12791" s="3" t="s">
        <v>54</v>
      </c>
      <c r="L12791" s="3" t="str">
        <f>IFERROR(__xludf.DUMMYFUNCTION("GOOGLETRANSLATE(F12791,""id"",""en"")"),"Still have the final conspiracy theory the settings are released again")</f>
        <v>Still have the final conspiracy theory the settings are released again</v>
      </c>
    </row>
    <row r="12792" ht="15.75" customHeight="1">
      <c r="A12792" s="1">
        <v>14099.0</v>
      </c>
      <c r="B12792" s="3" t="s">
        <v>36251</v>
      </c>
      <c r="C12792" s="3">
        <v>2.0</v>
      </c>
      <c r="D12792" s="3">
        <v>0.0</v>
      </c>
      <c r="E12792" s="3">
        <v>1.0</v>
      </c>
      <c r="F12792" s="3" t="s">
        <v>36252</v>
      </c>
      <c r="G12792" s="3">
        <v>1.0</v>
      </c>
      <c r="H12792" s="3">
        <v>0.0</v>
      </c>
      <c r="I12792" s="3" t="s">
        <v>13</v>
      </c>
      <c r="J12792" s="3" t="s">
        <v>36253</v>
      </c>
      <c r="K12792" s="3" t="s">
        <v>82</v>
      </c>
      <c r="L12792" s="3" t="str">
        <f>IFERROR(__xludf.DUMMYFUNCTION("GOOGLETRANSLATE(F12792,""id"",""en"")"),"Final Conspiracy, son, give me to win")</f>
        <v>Final Conspiracy, son, give me to win</v>
      </c>
    </row>
    <row r="12793" ht="15.75" customHeight="1">
      <c r="A12793" s="1">
        <v>14100.0</v>
      </c>
      <c r="B12793" s="3" t="s">
        <v>36254</v>
      </c>
      <c r="C12793" s="3">
        <v>1.0</v>
      </c>
      <c r="D12793" s="3">
        <v>0.0</v>
      </c>
      <c r="E12793" s="3">
        <v>0.0</v>
      </c>
      <c r="F12793" s="3" t="s">
        <v>36255</v>
      </c>
      <c r="G12793" s="3">
        <v>1.0</v>
      </c>
      <c r="H12793" s="3">
        <v>0.0</v>
      </c>
      <c r="I12793" s="3" t="s">
        <v>13</v>
      </c>
      <c r="J12793" s="3" t="s">
        <v>36256</v>
      </c>
      <c r="K12793" s="3" t="s">
        <v>11862</v>
      </c>
      <c r="L12793" s="3" t="str">
        <f>IFERROR(__xludf.DUMMYFUNCTION("GOOGLETRANSLATE(F12793,""id"",""en"")"),"Yoyoyo's conspiracy theory guys, how do you get a holiday soon guys, guys, before the holiday mimin wants to give a little info guys, you know that in the world of football there is a conspiracy theory this time Mimin will discuss the conspiracy theory fr"&amp;"om the final this time")</f>
        <v>Yoyoyo's conspiracy theory guys, how do you get a holiday soon guys, guys, before the holiday mimin wants to give a little info guys, you know that in the world of football there is a conspiracy theory this time Mimin will discuss the conspiracy theory from the final this time</v>
      </c>
    </row>
    <row r="12794" ht="15.75" customHeight="1">
      <c r="A12794" s="1">
        <v>14102.0</v>
      </c>
      <c r="B12794" s="3" t="s">
        <v>36257</v>
      </c>
      <c r="C12794" s="3">
        <v>1.0</v>
      </c>
      <c r="D12794" s="3">
        <v>0.0</v>
      </c>
      <c r="E12794" s="3">
        <v>0.0</v>
      </c>
      <c r="F12794" s="3" t="s">
        <v>36258</v>
      </c>
      <c r="G12794" s="3">
        <v>1.0</v>
      </c>
      <c r="H12794" s="3">
        <v>0.0</v>
      </c>
      <c r="I12794" s="3" t="s">
        <v>13</v>
      </c>
      <c r="J12794" s="3" t="s">
        <v>36259</v>
      </c>
      <c r="K12794" s="3" t="s">
        <v>244</v>
      </c>
      <c r="L12794" s="3" t="str">
        <f>IFERROR(__xludf.DUMMYFUNCTION("GOOGLETRANSLATE(F12794,""id"",""en"")"),"In the past, when German Argentina Argentina, the end of the final was ARGEN, ARGAN, ARGAN AWAYS")</f>
        <v>In the past, when German Argentina Argentina, the end of the final was ARGEN, ARGAN, ARGAN AWAYS</v>
      </c>
    </row>
    <row r="12795" ht="15.75" customHeight="1">
      <c r="A12795" s="1">
        <v>14103.0</v>
      </c>
      <c r="B12795" s="3" t="s">
        <v>36260</v>
      </c>
      <c r="C12795" s="3">
        <v>3.0</v>
      </c>
      <c r="D12795" s="3">
        <v>2.0</v>
      </c>
      <c r="E12795" s="3">
        <v>3.0</v>
      </c>
      <c r="F12795" s="3" t="s">
        <v>36261</v>
      </c>
      <c r="G12795" s="3">
        <v>1.0</v>
      </c>
      <c r="H12795" s="3">
        <v>0.0</v>
      </c>
      <c r="I12795" s="3" t="s">
        <v>13</v>
      </c>
      <c r="J12795" s="3" t="s">
        <v>36262</v>
      </c>
      <c r="K12795" s="3" t="s">
        <v>10085</v>
      </c>
      <c r="L12795" s="3" t="str">
        <f>IFERROR(__xludf.DUMMYFUNCTION("GOOGLETRANSLATE(F12795,""id"",""en"")"),"Brazil Squad The defending champion for food poisoning ahead of the French final match The results of the Brazilian Anticlims Lose French squad the defending champion was hit by the Flu Euctors ahead of the Argentine final match while the conspiracy or ka"&amp;"rma")</f>
        <v>Brazil Squad The defending champion for food poisoning ahead of the French final match The results of the Brazilian Anticlims Lose French squad the defending champion was hit by the Flu Euctors ahead of the Argentine final match while the conspiracy or karma</v>
      </c>
    </row>
    <row r="12796" ht="15.75" customHeight="1">
      <c r="A12796" s="1">
        <v>14104.0</v>
      </c>
      <c r="B12796" s="3" t="s">
        <v>36263</v>
      </c>
      <c r="C12796" s="3">
        <v>2.0</v>
      </c>
      <c r="D12796" s="3">
        <v>0.0</v>
      </c>
      <c r="E12796" s="3">
        <v>2.0</v>
      </c>
      <c r="F12796" s="3" t="s">
        <v>36264</v>
      </c>
      <c r="G12796" s="3">
        <v>0.7222222222222222</v>
      </c>
      <c r="H12796" s="3">
        <v>-0.05555555555555555</v>
      </c>
      <c r="I12796" s="3" t="s">
        <v>179</v>
      </c>
      <c r="J12796" s="3" t="s">
        <v>36265</v>
      </c>
      <c r="K12796" s="3" t="s">
        <v>232</v>
      </c>
      <c r="L12796" s="3" t="str">
        <f>IFERROR(__xludf.DUMMYFUNCTION("GOOGLETRANSLATE(F12796,""id"",""en"")"),"Ronaldo Nazario The World Cup Final is reportedly poisoned so that it does not appear maximum the results of Brazil lose France ahead")</f>
        <v>Ronaldo Nazario The World Cup Final is reportedly poisoned so that it does not appear maximum the results of Brazil lose France ahead</v>
      </c>
    </row>
    <row r="12797" ht="15.75" customHeight="1">
      <c r="A12797" s="1">
        <v>14105.0</v>
      </c>
      <c r="B12797" s="3" t="s">
        <v>36266</v>
      </c>
      <c r="C12797" s="3">
        <v>0.0</v>
      </c>
      <c r="D12797" s="3">
        <v>0.0</v>
      </c>
      <c r="E12797" s="3">
        <v>4.0</v>
      </c>
      <c r="F12797" s="3" t="s">
        <v>36267</v>
      </c>
      <c r="G12797" s="3">
        <v>1.0</v>
      </c>
      <c r="H12797" s="3">
        <v>0.0</v>
      </c>
      <c r="I12797" s="3" t="s">
        <v>13</v>
      </c>
      <c r="J12797" s="3" t="s">
        <v>36268</v>
      </c>
      <c r="K12797" s="3" t="s">
        <v>82</v>
      </c>
      <c r="L12797" s="3" t="str">
        <f>IFERROR(__xludf.DUMMYFUNCTION("GOOGLETRANSLATE(F12797,""id"",""en"")"),"Please discuss the Nerror of the World Cup Final conspiracy, wkwkwk")</f>
        <v>Please discuss the Nerror of the World Cup Final conspiracy, wkwkwk</v>
      </c>
    </row>
    <row r="12798" ht="15.75" customHeight="1">
      <c r="A12798" s="1">
        <v>14106.0</v>
      </c>
      <c r="B12798" s="3" t="s">
        <v>36269</v>
      </c>
      <c r="C12798" s="3">
        <v>0.0</v>
      </c>
      <c r="D12798" s="3">
        <v>0.0</v>
      </c>
      <c r="E12798" s="3">
        <v>0.0</v>
      </c>
      <c r="F12798" s="3" t="s">
        <v>36270</v>
      </c>
      <c r="G12798" s="3">
        <v>1.0</v>
      </c>
      <c r="H12798" s="3">
        <v>0.0</v>
      </c>
      <c r="I12798" s="3" t="s">
        <v>13</v>
      </c>
      <c r="J12798" s="3" t="s">
        <v>36271</v>
      </c>
      <c r="K12798" s="3" t="s">
        <v>715</v>
      </c>
      <c r="L12798" s="3" t="str">
        <f>IFERROR(__xludf.DUMMYFUNCTION("GOOGLETRANSLATE(F12798,""id"",""en"")"),"Actually the final this time conspiracy in my opinion all already know Argentina will be champion because the match is holding a lusail lusail like Lionel Yah Lionel Mbappe")</f>
        <v>Actually the final this time conspiracy in my opinion all already know Argentina will be champion because the match is holding a lusail lusail like Lionel Yah Lionel Mbappe</v>
      </c>
    </row>
    <row r="12799" ht="15.75" customHeight="1">
      <c r="A12799" s="1">
        <v>14107.0</v>
      </c>
      <c r="B12799" s="3" t="s">
        <v>36272</v>
      </c>
      <c r="C12799" s="3">
        <v>0.0</v>
      </c>
      <c r="D12799" s="3">
        <v>0.0</v>
      </c>
      <c r="E12799" s="3">
        <v>0.0</v>
      </c>
      <c r="F12799" s="3" t="s">
        <v>36273</v>
      </c>
      <c r="G12799" s="3">
        <v>1.0</v>
      </c>
      <c r="H12799" s="3">
        <v>0.0</v>
      </c>
      <c r="I12799" s="3" t="s">
        <v>13</v>
      </c>
      <c r="J12799" s="3" t="s">
        <v>36274</v>
      </c>
      <c r="K12799" s="3" t="s">
        <v>75</v>
      </c>
      <c r="L12799" s="3" t="str">
        <f>IFERROR(__xludf.DUMMYFUNCTION("GOOGLETRANSLATE(F12799,""id"",""en"")"),"Also the conspiracy of Wahyudi is very Firstmedia home can modeed the final like this hhhhhhh")</f>
        <v>Also the conspiracy of Wahyudi is very Firstmedia home can modeed the final like this hhhhhhh</v>
      </c>
    </row>
    <row r="12800" ht="15.75" customHeight="1">
      <c r="A12800" s="1">
        <v>14108.0</v>
      </c>
      <c r="B12800" s="3" t="s">
        <v>36275</v>
      </c>
      <c r="C12800" s="3">
        <v>0.0</v>
      </c>
      <c r="D12800" s="3">
        <v>0.0</v>
      </c>
      <c r="E12800" s="3">
        <v>0.0</v>
      </c>
      <c r="F12800" s="3" t="s">
        <v>36276</v>
      </c>
      <c r="G12800" s="3">
        <v>1.0</v>
      </c>
      <c r="H12800" s="3">
        <v>0.0</v>
      </c>
      <c r="I12800" s="3" t="s">
        <v>13</v>
      </c>
      <c r="J12800" s="3" t="s">
        <v>36277</v>
      </c>
      <c r="K12800" s="3" t="s">
        <v>644</v>
      </c>
      <c r="L12800" s="3" t="str">
        <f>IFERROR(__xludf.DUMMYFUNCTION("GOOGLETRANSLATE(F12800,""id"",""en"")"),"Final IKI Conspiracy Fix")</f>
        <v>Final IKI Conspiracy Fix</v>
      </c>
    </row>
    <row r="12801" ht="15.75" customHeight="1">
      <c r="A12801" s="1">
        <v>14109.0</v>
      </c>
      <c r="B12801" s="3" t="s">
        <v>36278</v>
      </c>
      <c r="C12801" s="3">
        <v>0.0</v>
      </c>
      <c r="D12801" s="3">
        <v>0.0</v>
      </c>
      <c r="E12801" s="3">
        <v>0.0</v>
      </c>
      <c r="F12801" s="3" t="s">
        <v>36279</v>
      </c>
      <c r="G12801" s="3">
        <v>1.0</v>
      </c>
      <c r="H12801" s="3">
        <v>0.0</v>
      </c>
      <c r="I12801" s="3" t="s">
        <v>13</v>
      </c>
      <c r="J12801" s="3" t="s">
        <v>36280</v>
      </c>
      <c r="K12801" s="3" t="s">
        <v>75</v>
      </c>
      <c r="L12801" s="3" t="str">
        <f>IFERROR(__xludf.DUMMYFUNCTION("GOOGLETRANSLATE(F12801,""id"",""en"")"),"It could be that the conspiracy was right to see the final of the PSG star in fact the owner of Qatar")</f>
        <v>It could be that the conspiracy was right to see the final of the PSG star in fact the owner of Qatar</v>
      </c>
    </row>
    <row r="12802" ht="15.75" customHeight="1">
      <c r="A12802" s="1">
        <v>14110.0</v>
      </c>
      <c r="B12802" s="3" t="s">
        <v>36281</v>
      </c>
      <c r="C12802" s="3">
        <v>1.0</v>
      </c>
      <c r="D12802" s="3">
        <v>0.0</v>
      </c>
      <c r="E12802" s="3">
        <v>1.0</v>
      </c>
      <c r="F12802" s="3" t="s">
        <v>36282</v>
      </c>
      <c r="G12802" s="3">
        <v>1.0</v>
      </c>
      <c r="H12802" s="3">
        <v>0.0</v>
      </c>
      <c r="I12802" s="3" t="s">
        <v>13</v>
      </c>
      <c r="J12802" s="3" t="s">
        <v>36283</v>
      </c>
      <c r="K12802" s="3" t="s">
        <v>82</v>
      </c>
      <c r="L12802" s="3" t="str">
        <f>IFERROR(__xludf.DUMMYFUNCTION("GOOGLETRANSLATE(F12802,""id"",""en"")"),"To hell with the Argentina Final conspiracy, sing important champion")</f>
        <v>To hell with the Argentina Final conspiracy, sing important champion</v>
      </c>
    </row>
    <row r="12803" ht="15.75" customHeight="1">
      <c r="A12803" s="1">
        <v>14111.0</v>
      </c>
      <c r="B12803" s="3" t="s">
        <v>36284</v>
      </c>
      <c r="C12803" s="3">
        <v>0.0</v>
      </c>
      <c r="D12803" s="3">
        <v>0.0</v>
      </c>
      <c r="E12803" s="3">
        <v>0.0</v>
      </c>
      <c r="F12803" s="3" t="s">
        <v>36285</v>
      </c>
      <c r="G12803" s="3">
        <v>1.0</v>
      </c>
      <c r="H12803" s="3">
        <v>0.0</v>
      </c>
      <c r="I12803" s="3" t="s">
        <v>13</v>
      </c>
      <c r="J12803" s="3" t="s">
        <v>36286</v>
      </c>
      <c r="K12803" s="3" t="s">
        <v>50</v>
      </c>
      <c r="L12803" s="3" t="str">
        <f>IFERROR(__xludf.DUMMYFUNCTION("GOOGLETRANSLATE(F12803,""id"",""en"")"),"This is a conspiracy or setting from the World Cup Final, how come the broadcast error please fix it immediately")</f>
        <v>This is a conspiracy or setting from the World Cup Final, how come the broadcast error please fix it immediately</v>
      </c>
    </row>
    <row r="12804" ht="15.75" customHeight="1">
      <c r="A12804" s="1">
        <v>14112.0</v>
      </c>
      <c r="B12804" s="3" t="s">
        <v>36287</v>
      </c>
      <c r="C12804" s="3">
        <v>1.0</v>
      </c>
      <c r="D12804" s="3">
        <v>0.0</v>
      </c>
      <c r="E12804" s="3">
        <v>1.0</v>
      </c>
      <c r="F12804" s="3" t="s">
        <v>36288</v>
      </c>
      <c r="G12804" s="3">
        <v>1.0</v>
      </c>
      <c r="H12804" s="3">
        <v>0.0</v>
      </c>
      <c r="I12804" s="3" t="s">
        <v>13</v>
      </c>
      <c r="J12804" s="3" t="s">
        <v>36289</v>
      </c>
      <c r="K12804" s="3" t="s">
        <v>41</v>
      </c>
      <c r="L12804" s="3" t="str">
        <f>IFERROR(__xludf.DUMMYFUNCTION("GOOGLETRANSLATE(F12804,""id"",""en"")"),"Try to check Google the team's conspiracy that is supported by Drake must lose every final")</f>
        <v>Try to check Google the team's conspiracy that is supported by Drake must lose every final</v>
      </c>
    </row>
    <row r="12805" ht="15.75" customHeight="1">
      <c r="A12805" s="1">
        <v>14113.0</v>
      </c>
      <c r="B12805" s="3" t="s">
        <v>36290</v>
      </c>
      <c r="C12805" s="3">
        <v>8.0</v>
      </c>
      <c r="D12805" s="3">
        <v>3.0</v>
      </c>
      <c r="E12805" s="3">
        <v>41.0</v>
      </c>
      <c r="F12805" s="3" t="s">
        <v>36291</v>
      </c>
      <c r="G12805" s="3">
        <v>1.0</v>
      </c>
      <c r="H12805" s="3">
        <v>0.0</v>
      </c>
      <c r="I12805" s="3" t="s">
        <v>13</v>
      </c>
      <c r="J12805" s="3" t="s">
        <v>36292</v>
      </c>
      <c r="K12805" s="3" t="s">
        <v>31</v>
      </c>
      <c r="L12805" s="3" t="str">
        <f>IFERROR(__xludf.DUMMYFUNCTION("GOOGLETRANSLATE(F12805,""id"",""en"")"),"want a conspiracy or not the final guyssss")</f>
        <v>want a conspiracy or not the final guyssss</v>
      </c>
    </row>
    <row r="12806" ht="15.75" customHeight="1">
      <c r="A12806" s="1">
        <v>14114.0</v>
      </c>
      <c r="B12806" s="3" t="s">
        <v>36293</v>
      </c>
      <c r="C12806" s="3">
        <v>1.0</v>
      </c>
      <c r="D12806" s="3">
        <v>1.0</v>
      </c>
      <c r="E12806" s="3">
        <v>5.0</v>
      </c>
      <c r="F12806" s="3" t="s">
        <v>36294</v>
      </c>
      <c r="G12806" s="3">
        <v>1.0</v>
      </c>
      <c r="H12806" s="3">
        <v>0.0</v>
      </c>
      <c r="I12806" s="3" t="s">
        <v>13</v>
      </c>
      <c r="J12806" s="3" t="s">
        <v>36295</v>
      </c>
      <c r="K12806" s="3" t="s">
        <v>41</v>
      </c>
      <c r="L12806" s="3" t="str">
        <f>IFERROR(__xludf.DUMMYFUNCTION("GOOGLETRANSLATE(F12806,""id"",""en"")"),"Alleged Conspiracy Causes of Karim Benzema Failed to Appear Cup Final")</f>
        <v>Alleged Conspiracy Causes of Karim Benzema Failed to Appear Cup Final</v>
      </c>
    </row>
    <row r="12807" ht="15.75" customHeight="1">
      <c r="A12807" s="1">
        <v>14115.0</v>
      </c>
      <c r="B12807" s="3" t="s">
        <v>36296</v>
      </c>
      <c r="C12807" s="3">
        <v>0.0</v>
      </c>
      <c r="D12807" s="3">
        <v>0.0</v>
      </c>
      <c r="E12807" s="3">
        <v>0.0</v>
      </c>
      <c r="F12807" s="3" t="s">
        <v>36297</v>
      </c>
      <c r="G12807" s="3">
        <v>1.0</v>
      </c>
      <c r="H12807" s="3">
        <v>0.0</v>
      </c>
      <c r="I12807" s="3" t="s">
        <v>13</v>
      </c>
      <c r="J12807" s="3" t="s">
        <v>36298</v>
      </c>
      <c r="K12807" s="3" t="s">
        <v>657</v>
      </c>
      <c r="L12807" s="3" t="str">
        <f>IFERROR(__xludf.DUMMYFUNCTION("GOOGLETRANSLATE(F12807,""id"",""en"")"),"The group is mostly the theory of ABCD conspiracy about the World Cup final, just watching what is the difficulty of dogs")</f>
        <v>The group is mostly the theory of ABCD conspiracy about the World Cup final, just watching what is the difficulty of dogs</v>
      </c>
    </row>
    <row r="12808" ht="15.75" customHeight="1">
      <c r="A12808" s="1">
        <v>14116.0</v>
      </c>
      <c r="B12808" s="3" t="s">
        <v>36299</v>
      </c>
      <c r="C12808" s="3">
        <v>1.0</v>
      </c>
      <c r="D12808" s="3">
        <v>0.0</v>
      </c>
      <c r="E12808" s="3">
        <v>0.0</v>
      </c>
      <c r="F12808" s="3" t="s">
        <v>36300</v>
      </c>
      <c r="G12808" s="3">
        <v>1.0</v>
      </c>
      <c r="H12808" s="3">
        <v>0.0</v>
      </c>
      <c r="I12808" s="3" t="s">
        <v>13</v>
      </c>
      <c r="J12808" s="3" t="s">
        <v>36301</v>
      </c>
      <c r="K12808" s="3" t="s">
        <v>50</v>
      </c>
      <c r="L12808" s="3" t="str">
        <f>IFERROR(__xludf.DUMMYFUNCTION("GOOGLETRANSLATE(F12808,""id"",""en"")"),"wkwk conspiracy theorist experts until the final is assisted by the referee not pretentious loudly later the night is crying")</f>
        <v>wkwk conspiracy theorist experts until the final is assisted by the referee not pretentious loudly later the night is crying</v>
      </c>
    </row>
    <row r="12809" ht="15.75" customHeight="1">
      <c r="A12809" s="1">
        <v>14117.0</v>
      </c>
      <c r="B12809" s="3" t="s">
        <v>36302</v>
      </c>
      <c r="C12809" s="3">
        <v>1.0</v>
      </c>
      <c r="D12809" s="3">
        <v>0.0</v>
      </c>
      <c r="E12809" s="3">
        <v>3.0</v>
      </c>
      <c r="F12809" s="3" t="s">
        <v>36303</v>
      </c>
      <c r="G12809" s="3">
        <v>1.0</v>
      </c>
      <c r="H12809" s="3">
        <v>0.0</v>
      </c>
      <c r="I12809" s="3" t="s">
        <v>13</v>
      </c>
      <c r="J12809" s="3" t="s">
        <v>36304</v>
      </c>
      <c r="K12809" s="3" t="s">
        <v>614</v>
      </c>
      <c r="L12809" s="3" t="str">
        <f>IFERROR(__xludf.DUMMYFUNCTION("GOOGLETRANSLATE(F12809,""id"",""en"")"),"The setting is Euro when the French opponents have arranged his trophy for Ronaldo, it is clear that France is in which the game uses all the finals if the fans are so hot")</f>
        <v>The setting is Euro when the French opponents have arranged his trophy for Ronaldo, it is clear that France is in which the game uses all the finals if the fans are so hot</v>
      </c>
    </row>
    <row r="12810" ht="15.75" customHeight="1">
      <c r="A12810" s="1">
        <v>14119.0</v>
      </c>
      <c r="B12810" s="3" t="s">
        <v>36305</v>
      </c>
      <c r="C12810" s="3">
        <v>0.0</v>
      </c>
      <c r="D12810" s="3">
        <v>0.0</v>
      </c>
      <c r="E12810" s="3">
        <v>0.0</v>
      </c>
      <c r="F12810" s="3" t="s">
        <v>36306</v>
      </c>
      <c r="G12810" s="3">
        <v>1.0</v>
      </c>
      <c r="H12810" s="3">
        <v>0.0</v>
      </c>
      <c r="I12810" s="3" t="s">
        <v>13</v>
      </c>
      <c r="J12810" s="3" t="s">
        <v>36307</v>
      </c>
      <c r="K12810" s="3" t="s">
        <v>19</v>
      </c>
      <c r="L12810" s="3" t="str">
        <f>IFERROR(__xludf.DUMMYFUNCTION("GOOGLETRANSLATE(F12810,""id"",""en"")"),"Final Pidun Settings, so as a child, watching Conan and Tsubasa, don't combine")</f>
        <v>Final Pidun Settings, so as a child, watching Conan and Tsubasa, don't combine</v>
      </c>
    </row>
    <row r="12811" ht="15.75" customHeight="1">
      <c r="A12811" s="1">
        <v>14120.0</v>
      </c>
      <c r="B12811" s="3" t="s">
        <v>36308</v>
      </c>
      <c r="C12811" s="3">
        <v>0.0</v>
      </c>
      <c r="D12811" s="3">
        <v>0.0</v>
      </c>
      <c r="E12811" s="3">
        <v>2.0</v>
      </c>
      <c r="F12811" s="3" t="s">
        <v>36309</v>
      </c>
      <c r="G12811" s="3">
        <v>1.0</v>
      </c>
      <c r="H12811" s="3">
        <v>0.0</v>
      </c>
      <c r="I12811" s="3" t="s">
        <v>13</v>
      </c>
      <c r="J12811" s="3" t="s">
        <v>36310</v>
      </c>
      <c r="K12811" s="3" t="s">
        <v>19</v>
      </c>
      <c r="L12811" s="3" t="str">
        <f>IFERROR(__xludf.DUMMYFUNCTION("GOOGLETRANSLATE(F12811,""id"",""en"")"),"Time comes out for example France gets a penalty and the same is the same as the settings too")</f>
        <v>Time comes out for example France gets a penalty and the same is the same as the settings too</v>
      </c>
    </row>
    <row r="12812" ht="15.75" customHeight="1">
      <c r="A12812" s="1">
        <v>14121.0</v>
      </c>
      <c r="B12812" s="3" t="s">
        <v>36311</v>
      </c>
      <c r="C12812" s="3">
        <v>0.0</v>
      </c>
      <c r="D12812" s="3">
        <v>0.0</v>
      </c>
      <c r="E12812" s="3">
        <v>0.0</v>
      </c>
      <c r="F12812" s="3" t="s">
        <v>36312</v>
      </c>
      <c r="G12812" s="3">
        <v>1.0</v>
      </c>
      <c r="H12812" s="3">
        <v>0.0</v>
      </c>
      <c r="I12812" s="3" t="s">
        <v>13</v>
      </c>
      <c r="J12812" s="3" t="s">
        <v>36313</v>
      </c>
      <c r="K12812" s="3" t="s">
        <v>75</v>
      </c>
      <c r="L12812" s="3" t="str">
        <f>IFERROR(__xludf.DUMMYFUNCTION("GOOGLETRANSLATE(F12812,""id"",""en"")"),"usually the strong effect of penetrating the final like this says if you don't support other countries")</f>
        <v>usually the strong effect of penetrating the final like this says if you don't support other countries</v>
      </c>
    </row>
    <row r="12813" ht="15.75" customHeight="1">
      <c r="A12813" s="1">
        <v>14122.0</v>
      </c>
      <c r="B12813" s="3" t="s">
        <v>36314</v>
      </c>
      <c r="C12813" s="3">
        <v>0.0</v>
      </c>
      <c r="D12813" s="3">
        <v>0.0</v>
      </c>
      <c r="E12813" s="3">
        <v>2.0</v>
      </c>
      <c r="F12813" s="3" t="s">
        <v>36315</v>
      </c>
      <c r="G12813" s="3">
        <v>1.0</v>
      </c>
      <c r="H12813" s="3">
        <v>0.0</v>
      </c>
      <c r="I12813" s="3" t="s">
        <v>13</v>
      </c>
      <c r="J12813" s="3" t="s">
        <v>36316</v>
      </c>
      <c r="K12813" s="3" t="s">
        <v>1552</v>
      </c>
      <c r="L12813" s="3" t="str">
        <f>IFERROR(__xludf.DUMMYFUNCTION("GOOGLETRANSLATE(F12813,""id"",""en"")"),"The setting is the boss if the final settings can be akwokwkw combacking each other")</f>
        <v>The setting is the boss if the final settings can be akwokwkw combacking each other</v>
      </c>
    </row>
    <row r="12814" ht="15.75" customHeight="1">
      <c r="A12814" s="1">
        <v>14123.0</v>
      </c>
      <c r="B12814" s="3" t="s">
        <v>36317</v>
      </c>
      <c r="C12814" s="3">
        <v>0.0</v>
      </c>
      <c r="D12814" s="3">
        <v>0.0</v>
      </c>
      <c r="E12814" s="3">
        <v>3.0</v>
      </c>
      <c r="F12814" s="3" t="s">
        <v>36318</v>
      </c>
      <c r="G12814" s="3">
        <v>1.0</v>
      </c>
      <c r="H12814" s="3">
        <v>0.0</v>
      </c>
      <c r="I12814" s="3" t="s">
        <v>13</v>
      </c>
      <c r="J12814" s="3" t="s">
        <v>36319</v>
      </c>
      <c r="K12814" s="3" t="s">
        <v>2215</v>
      </c>
      <c r="L12814" s="3" t="str">
        <f>IFERROR(__xludf.DUMMYFUNCTION("GOOGLETRANSLATE(F12814,""id"",""en"")"),"From the year, dodo fans have made words because of Messi entering the final, bang")</f>
        <v>From the year, dodo fans have made words because of Messi entering the final, bang</v>
      </c>
    </row>
    <row r="12815" ht="15.75" customHeight="1">
      <c r="A12815" s="1">
        <v>14124.0</v>
      </c>
      <c r="B12815" s="3" t="s">
        <v>36320</v>
      </c>
      <c r="C12815" s="3">
        <v>0.0</v>
      </c>
      <c r="D12815" s="3">
        <v>0.0</v>
      </c>
      <c r="E12815" s="3">
        <v>5.0</v>
      </c>
      <c r="F12815" s="3" t="s">
        <v>36321</v>
      </c>
      <c r="G12815" s="3">
        <v>1.0</v>
      </c>
      <c r="H12815" s="3">
        <v>0.0</v>
      </c>
      <c r="I12815" s="3" t="s">
        <v>13</v>
      </c>
      <c r="J12815" s="3" t="s">
        <v>36322</v>
      </c>
      <c r="K12815" s="3" t="s">
        <v>232</v>
      </c>
      <c r="L12815" s="3" t="str">
        <f>IFERROR(__xludf.DUMMYFUNCTION("GOOGLETRANSLATE(F12815,""id"",""en"")"),"This final is considered a hade setting if the setting is why the referee gives a penalty of anjir.")</f>
        <v>This final is considered a hade setting if the setting is why the referee gives a penalty of anjir.</v>
      </c>
    </row>
    <row r="12816" ht="15.75" customHeight="1">
      <c r="A12816" s="1">
        <v>14125.0</v>
      </c>
      <c r="B12816" s="3" t="s">
        <v>36323</v>
      </c>
      <c r="C12816" s="3">
        <v>0.0</v>
      </c>
      <c r="D12816" s="3">
        <v>0.0</v>
      </c>
      <c r="E12816" s="3">
        <v>0.0</v>
      </c>
      <c r="F12816" s="3" t="s">
        <v>36324</v>
      </c>
      <c r="G12816" s="3">
        <v>1.0</v>
      </c>
      <c r="H12816" s="3">
        <v>0.0</v>
      </c>
      <c r="I12816" s="3" t="s">
        <v>13</v>
      </c>
      <c r="J12816" s="3" t="s">
        <v>36325</v>
      </c>
      <c r="K12816" s="3" t="s">
        <v>715</v>
      </c>
      <c r="L12816" s="3" t="str">
        <f>IFERROR(__xludf.DUMMYFUNCTION("GOOGLETRANSLATE(F12816,""id"",""en"")"),"there is still saying this is the setting you think yourself, please please if this is a champion Qatar setting or another Islamic state or the final against Morocco Pinter, surely fans lose to Moroccan")</f>
        <v>there is still saying this is the setting you think yourself, please please if this is a champion Qatar setting or another Islamic state or the final against Morocco Pinter, surely fans lose to Moroccan</v>
      </c>
    </row>
    <row r="12817" ht="15.75" customHeight="1">
      <c r="A12817" s="1">
        <v>14126.0</v>
      </c>
      <c r="B12817" s="3" t="s">
        <v>36326</v>
      </c>
      <c r="C12817" s="3">
        <v>7.0</v>
      </c>
      <c r="D12817" s="3">
        <v>0.0</v>
      </c>
      <c r="E12817" s="3">
        <v>1.0</v>
      </c>
      <c r="F12817" s="3" t="s">
        <v>36327</v>
      </c>
      <c r="G12817" s="3">
        <v>1.0</v>
      </c>
      <c r="H12817" s="3">
        <v>0.0</v>
      </c>
      <c r="I12817" s="3" t="s">
        <v>13</v>
      </c>
      <c r="J12817" s="3" t="s">
        <v>36328</v>
      </c>
      <c r="K12817" s="3" t="s">
        <v>54</v>
      </c>
      <c r="L12817" s="3" t="str">
        <f>IFERROR(__xludf.DUMMYFUNCTION("GOOGLETRANSLATE(F12817,""id"",""en"")"),"the acting is really good for a final setting")</f>
        <v>the acting is really good for a final setting</v>
      </c>
    </row>
    <row r="12818" ht="15.75" customHeight="1">
      <c r="A12818" s="1">
        <v>14127.0</v>
      </c>
      <c r="B12818" s="3" t="s">
        <v>36329</v>
      </c>
      <c r="C12818" s="3">
        <v>1.0</v>
      </c>
      <c r="D12818" s="3">
        <v>0.0</v>
      </c>
      <c r="E12818" s="3">
        <v>0.0</v>
      </c>
      <c r="F12818" s="3" t="s">
        <v>36330</v>
      </c>
      <c r="G12818" s="3">
        <v>1.0</v>
      </c>
      <c r="H12818" s="3">
        <v>0.0</v>
      </c>
      <c r="I12818" s="3" t="s">
        <v>13</v>
      </c>
      <c r="J12818" s="3" t="s">
        <v>36331</v>
      </c>
      <c r="K12818" s="3" t="s">
        <v>54</v>
      </c>
      <c r="L12818" s="3" t="str">
        <f>IFERROR(__xludf.DUMMYFUNCTION("GOOGLETRANSLATE(F12818,""id"",""en"")"),"their expression is too excessive for a final setting")</f>
        <v>their expression is too excessive for a final setting</v>
      </c>
    </row>
    <row r="12819" ht="15.75" customHeight="1">
      <c r="A12819" s="1">
        <v>14129.0</v>
      </c>
      <c r="B12819" s="3" t="s">
        <v>36332</v>
      </c>
      <c r="C12819" s="3">
        <v>0.0</v>
      </c>
      <c r="D12819" s="3">
        <v>0.0</v>
      </c>
      <c r="E12819" s="3">
        <v>4.0</v>
      </c>
      <c r="F12819" s="3" t="s">
        <v>36333</v>
      </c>
      <c r="G12819" s="3">
        <v>1.0</v>
      </c>
      <c r="H12819" s="3">
        <v>0.0</v>
      </c>
      <c r="I12819" s="3" t="s">
        <v>13</v>
      </c>
      <c r="J12819" s="3" t="s">
        <v>36334</v>
      </c>
      <c r="K12819" s="3" t="s">
        <v>860</v>
      </c>
      <c r="L12819" s="3" t="str">
        <f>IFERROR(__xludf.DUMMYFUNCTION("GOOGLETRANSLATE(F12819,""id"",""en"")"),"Gosh, very, HR Penyepong Idol Dodoglopes from Final said that the settings are now not the word netizens who are setting but Dodoglopes fans are jealous because their idols cannot do much to do much to do much to do much to do much to do much to do much t"&amp;"o do much to do much to do much to do much to do much to do much to do much to do much to do much to do much to do much to do much to do much to do much to do much to do much")</f>
        <v>Gosh, very, HR Penyepong Idol Dodoglopes from Final said that the settings are now not the word netizens who are setting but Dodoglopes fans are jealous because their idols cannot do much to do much to do much to do much to do much to do much to do much to do much to do much to do much to do much to do much to do much to do much to do much to do much to do much to do much to do much to do much to do much to do much to do much</v>
      </c>
    </row>
    <row r="12820" ht="15.75" customHeight="1">
      <c r="A12820" s="1">
        <v>14131.0</v>
      </c>
      <c r="B12820" s="3" t="s">
        <v>36335</v>
      </c>
      <c r="C12820" s="3">
        <v>1.0</v>
      </c>
      <c r="D12820" s="3">
        <v>0.0</v>
      </c>
      <c r="E12820" s="3">
        <v>0.0</v>
      </c>
      <c r="F12820" s="3" t="s">
        <v>36336</v>
      </c>
      <c r="G12820" s="3">
        <v>1.0</v>
      </c>
      <c r="H12820" s="3">
        <v>0.0</v>
      </c>
      <c r="I12820" s="3" t="s">
        <v>13</v>
      </c>
      <c r="J12820" s="3" t="s">
        <v>36337</v>
      </c>
      <c r="K12820" s="3" t="s">
        <v>2735</v>
      </c>
      <c r="L12820" s="3" t="str">
        <f>IFERROR(__xludf.DUMMYFUNCTION("GOOGLETRANSLATE(F12820,""id"",""en"")"),"In the past, the photo of Messi made the meme when he lost the final many times now he died his fans fans of Qatar when he looked at the final and seeing Messi lifting their trophy to be a person respect")</f>
        <v>In the past, the photo of Messi made the meme when he lost the final many times now he died his fans fans of Qatar when he looked at the final and seeing Messi lifting their trophy to be a person respect</v>
      </c>
    </row>
    <row r="12821" ht="15.75" customHeight="1">
      <c r="A12821" s="1">
        <v>14133.0</v>
      </c>
      <c r="B12821" s="3" t="s">
        <v>36338</v>
      </c>
      <c r="C12821" s="3">
        <v>0.0</v>
      </c>
      <c r="D12821" s="3">
        <v>0.0</v>
      </c>
      <c r="E12821" s="3">
        <v>0.0</v>
      </c>
      <c r="F12821" s="3" t="s">
        <v>36339</v>
      </c>
      <c r="G12821" s="3">
        <v>1.0</v>
      </c>
      <c r="H12821" s="3">
        <v>0.0</v>
      </c>
      <c r="I12821" s="3" t="s">
        <v>13</v>
      </c>
      <c r="J12821" s="3" t="s">
        <v>36340</v>
      </c>
      <c r="K12821" s="3" t="s">
        <v>50</v>
      </c>
      <c r="L12821" s="3" t="str">
        <f>IFERROR(__xludf.DUMMYFUNCTION("GOOGLETRANSLATE(F12821,""id"",""en"")"),"Hypocrites of Bet Pussy The idol loses instead says the final sets of unclean human beings")</f>
        <v>Hypocrites of Bet Pussy The idol loses instead says the final sets of unclean human beings</v>
      </c>
    </row>
    <row r="12822" ht="15.75" customHeight="1">
      <c r="A12822" s="1">
        <v>14134.0</v>
      </c>
      <c r="B12822" s="3" t="s">
        <v>36341</v>
      </c>
      <c r="C12822" s="3">
        <v>1.0</v>
      </c>
      <c r="D12822" s="3">
        <v>0.0</v>
      </c>
      <c r="E12822" s="3">
        <v>0.0</v>
      </c>
      <c r="F12822" s="3" t="s">
        <v>36342</v>
      </c>
      <c r="G12822" s="3">
        <v>1.0</v>
      </c>
      <c r="H12822" s="3">
        <v>0.0</v>
      </c>
      <c r="I12822" s="3" t="s">
        <v>13</v>
      </c>
      <c r="J12822" s="3" t="s">
        <v>36343</v>
      </c>
      <c r="K12822" s="3" t="s">
        <v>1061</v>
      </c>
      <c r="L12822" s="3" t="str">
        <f>IFERROR(__xludf.DUMMYFUNCTION("GOOGLETRANSLATE(F12822,""id"",""en"")"),"Hilarious bus cases just say the settings as far as they have watched the final football party instead of every team competing both the state or club there is always a bus prepared to guard the possibility of them champions believe Brita Sett")</f>
        <v>Hilarious bus cases just say the settings as far as they have watched the final football party instead of every team competing both the state or club there is always a bus prepared to guard the possibility of them champions believe Brita Sett</v>
      </c>
    </row>
    <row r="12823" ht="15.75" customHeight="1">
      <c r="A12823" s="1">
        <v>14135.0</v>
      </c>
      <c r="B12823" s="3" t="s">
        <v>36344</v>
      </c>
      <c r="C12823" s="3">
        <v>0.0</v>
      </c>
      <c r="D12823" s="3">
        <v>0.0</v>
      </c>
      <c r="E12823" s="3">
        <v>0.0</v>
      </c>
      <c r="F12823" s="3" t="s">
        <v>36345</v>
      </c>
      <c r="G12823" s="3">
        <v>1.0</v>
      </c>
      <c r="H12823" s="3">
        <v>0.0</v>
      </c>
      <c r="I12823" s="3" t="s">
        <v>13</v>
      </c>
      <c r="J12823" s="3" t="s">
        <v>36346</v>
      </c>
      <c r="K12823" s="3" t="s">
        <v>54</v>
      </c>
      <c r="L12823" s="3" t="str">
        <f>IFERROR(__xludf.DUMMYFUNCTION("GOOGLETRANSLATE(F12823,""id"",""en"")"),"Final settings PESSI Pension Brp times")</f>
        <v>Final settings PESSI Pension Brp times</v>
      </c>
    </row>
    <row r="12824" ht="15.75" customHeight="1">
      <c r="A12824" s="1">
        <v>14136.0</v>
      </c>
      <c r="B12824" s="3" t="s">
        <v>36347</v>
      </c>
      <c r="C12824" s="3">
        <v>0.0</v>
      </c>
      <c r="D12824" s="3">
        <v>0.0</v>
      </c>
      <c r="E12824" s="3">
        <v>0.0</v>
      </c>
      <c r="F12824" s="3" t="s">
        <v>36348</v>
      </c>
      <c r="G12824" s="3">
        <v>1.0</v>
      </c>
      <c r="H12824" s="3">
        <v>0.0</v>
      </c>
      <c r="I12824" s="3" t="s">
        <v>13</v>
      </c>
      <c r="J12824" s="3" t="s">
        <v>36349</v>
      </c>
      <c r="K12824" s="3" t="s">
        <v>184</v>
      </c>
      <c r="L12824" s="3" t="str">
        <f>IFERROR(__xludf.DUMMYFUNCTION("GOOGLETRANSLATE(F12824,""id"",""en"")"),"still just discuss the final settings if we really lose what we lose the bet is the most loss of yhaaa xixixi")</f>
        <v>still just discuss the final settings if we really lose what we lose the bet is the most loss of yhaaa xixixi</v>
      </c>
    </row>
    <row r="12825" ht="15.75" customHeight="1">
      <c r="A12825" s="1">
        <v>14137.0</v>
      </c>
      <c r="B12825" s="3" t="s">
        <v>36350</v>
      </c>
      <c r="C12825" s="3">
        <v>0.0</v>
      </c>
      <c r="D12825" s="3">
        <v>0.0</v>
      </c>
      <c r="E12825" s="3">
        <v>0.0</v>
      </c>
      <c r="F12825" s="3" t="s">
        <v>36351</v>
      </c>
      <c r="G12825" s="3">
        <v>1.0</v>
      </c>
      <c r="H12825" s="3">
        <v>0.0</v>
      </c>
      <c r="I12825" s="3" t="s">
        <v>13</v>
      </c>
      <c r="J12825" s="3" t="s">
        <v>36352</v>
      </c>
      <c r="K12825" s="3" t="s">
        <v>644</v>
      </c>
      <c r="L12825" s="3" t="str">
        <f>IFERROR(__xludf.DUMMYFUNCTION("GOOGLETRANSLATE(F12825,""id"",""en"")"),"how come many say the final settings")</f>
        <v>how come many say the final settings</v>
      </c>
    </row>
    <row r="12826" ht="15.75" customHeight="1">
      <c r="A12826" s="1">
        <v>14138.0</v>
      </c>
      <c r="B12826" s="3" t="s">
        <v>36353</v>
      </c>
      <c r="C12826" s="3">
        <v>0.0</v>
      </c>
      <c r="D12826" s="3">
        <v>0.0</v>
      </c>
      <c r="E12826" s="3">
        <v>0.0</v>
      </c>
      <c r="F12826" s="3" t="s">
        <v>36354</v>
      </c>
      <c r="G12826" s="3">
        <v>1.0</v>
      </c>
      <c r="H12826" s="3">
        <v>0.0</v>
      </c>
      <c r="I12826" s="3" t="s">
        <v>13</v>
      </c>
      <c r="J12826" s="3" t="s">
        <v>36355</v>
      </c>
      <c r="K12826" s="3" t="s">
        <v>3346</v>
      </c>
      <c r="L12826" s="3" t="str">
        <f>IFERROR(__xludf.DUMMYFUNCTION("GOOGLETRANSLATE(F12826,""id"",""en"")"),"Like the Champions League final, the LSG championship team wears a champione shirt whether the Champions League final is also setting")</f>
        <v>Like the Champions League final, the LSG championship team wears a champione shirt whether the Champions League final is also setting</v>
      </c>
    </row>
    <row r="12827" ht="15.75" customHeight="1">
      <c r="A12827" s="1">
        <v>14140.0</v>
      </c>
      <c r="B12827" s="3" t="s">
        <v>36356</v>
      </c>
      <c r="C12827" s="3">
        <v>0.0</v>
      </c>
      <c r="D12827" s="3">
        <v>1.0</v>
      </c>
      <c r="E12827" s="3">
        <v>7.0</v>
      </c>
      <c r="F12827" s="3" t="s">
        <v>36357</v>
      </c>
      <c r="G12827" s="3">
        <v>0.6666666666666666</v>
      </c>
      <c r="H12827" s="3">
        <v>0.08333333333333333</v>
      </c>
      <c r="I12827" s="3" t="s">
        <v>48</v>
      </c>
      <c r="J12827" s="3" t="s">
        <v>36358</v>
      </c>
      <c r="K12827" s="3" t="s">
        <v>1428</v>
      </c>
      <c r="L12827" s="3" t="str">
        <f>IFERROR(__xludf.DUMMYFUNCTION("GOOGLETRANSLATE(F12827,""id"",""en"")"),"Logic is stuck if the setting is tired of playing until the penalty minute when the Dutch opponent loses the Arabic Arabic Gilakkk Save Martinez Gilak Dodolover Logic Emng Tololll")</f>
        <v>Logic is stuck if the setting is tired of playing until the penalty minute when the Dutch opponent loses the Arabic Arabic Gilakkk Save Martinez Gilak Dodolover Logic Emng Tololll</v>
      </c>
    </row>
    <row r="12828" ht="15.75" customHeight="1">
      <c r="A12828" s="1">
        <v>14141.0</v>
      </c>
      <c r="B12828" s="3" t="s">
        <v>36359</v>
      </c>
      <c r="C12828" s="3">
        <v>0.0</v>
      </c>
      <c r="D12828" s="3">
        <v>0.0</v>
      </c>
      <c r="E12828" s="3">
        <v>0.0</v>
      </c>
      <c r="F12828" s="3" t="s">
        <v>36360</v>
      </c>
      <c r="G12828" s="3">
        <v>1.0</v>
      </c>
      <c r="H12828" s="3">
        <v>0.0</v>
      </c>
      <c r="I12828" s="3" t="s">
        <v>13</v>
      </c>
      <c r="J12828" s="3" t="s">
        <v>36361</v>
      </c>
      <c r="K12828" s="3" t="s">
        <v>54</v>
      </c>
      <c r="L12828" s="3" t="str">
        <f>IFERROR(__xludf.DUMMYFUNCTION("GOOGLETRANSLATE(F12828,""id"",""en"")"),"If it's really the setting why win from or qualify for the final hehe")</f>
        <v>If it's really the setting why win from or qualify for the final hehe</v>
      </c>
    </row>
    <row r="12829" ht="15.75" customHeight="1">
      <c r="A12829" s="1">
        <v>14142.0</v>
      </c>
      <c r="B12829" s="3" t="s">
        <v>36362</v>
      </c>
      <c r="C12829" s="3">
        <v>8.0</v>
      </c>
      <c r="D12829" s="3">
        <v>0.0</v>
      </c>
      <c r="E12829" s="3">
        <v>4.0</v>
      </c>
      <c r="F12829" s="3" t="s">
        <v>36363</v>
      </c>
      <c r="G12829" s="3">
        <v>0.75</v>
      </c>
      <c r="H12829" s="3">
        <v>0.1</v>
      </c>
      <c r="I12829" s="3" t="s">
        <v>48</v>
      </c>
      <c r="J12829" s="3" t="s">
        <v>36364</v>
      </c>
      <c r="K12829" s="3" t="s">
        <v>273</v>
      </c>
      <c r="L12829" s="3" t="str">
        <f>IFERROR(__xludf.DUMMYFUNCTION("GOOGLETRANSLATE(F12829,""id"",""en"")"),"wkwkw already know bro actually just want to be refined starting with asking if it is provoked directly the final settings out of the bus champion is ready too silly want to fish the words are essentially hahahaha")</f>
        <v>wkwkw already know bro actually just want to be refined starting with asking if it is provoked directly the final settings out of the bus champion is ready too silly want to fish the words are essentially hahahaha</v>
      </c>
    </row>
    <row r="12830" ht="15.75" customHeight="1">
      <c r="A12830" s="1">
        <v>14143.0</v>
      </c>
      <c r="B12830" s="3" t="s">
        <v>36365</v>
      </c>
      <c r="C12830" s="3">
        <v>0.0</v>
      </c>
      <c r="D12830" s="3">
        <v>0.0</v>
      </c>
      <c r="E12830" s="3">
        <v>2.0</v>
      </c>
      <c r="F12830" s="3" t="s">
        <v>36366</v>
      </c>
      <c r="G12830" s="3">
        <v>1.0</v>
      </c>
      <c r="H12830" s="3">
        <v>0.0</v>
      </c>
      <c r="I12830" s="3" t="s">
        <v>13</v>
      </c>
      <c r="J12830" s="3" t="s">
        <v>36367</v>
      </c>
      <c r="K12830" s="3" t="s">
        <v>765</v>
      </c>
      <c r="L12830" s="3" t="str">
        <f>IFERROR(__xludf.DUMMYFUNCTION("GOOGLETRANSLATE(F12830,""id"",""en"")"),"That's because every team competing has prepared each celebration then think that every sporting event is the writing of the direct celebration, all the settings are just watching the final of the Cong Begok sports")</f>
        <v>That's because every team competing has prepared each celebration then think that every sporting event is the writing of the direct celebration, all the settings are just watching the final of the Cong Begok sports</v>
      </c>
    </row>
    <row r="12831" ht="15.75" customHeight="1">
      <c r="A12831" s="1">
        <v>14145.0</v>
      </c>
      <c r="B12831" s="3" t="s">
        <v>36368</v>
      </c>
      <c r="C12831" s="3">
        <v>1.0</v>
      </c>
      <c r="D12831" s="3">
        <v>0.0</v>
      </c>
      <c r="E12831" s="3">
        <v>0.0</v>
      </c>
      <c r="F12831" s="3" t="s">
        <v>36369</v>
      </c>
      <c r="G12831" s="3">
        <v>1.0</v>
      </c>
      <c r="H12831" s="3">
        <v>0.0</v>
      </c>
      <c r="I12831" s="3" t="s">
        <v>13</v>
      </c>
      <c r="J12831" s="3" t="s">
        <v>36370</v>
      </c>
      <c r="K12831" s="3" t="s">
        <v>2610</v>
      </c>
      <c r="L12831" s="3" t="str">
        <f>IFERROR(__xludf.DUMMYFUNCTION("GOOGLETRANSLATE(F12831,""id"",""en"")"),"Internet Ronaldo, Bang, if you are stupid, don't look at it, if you have settings from the beginning, you will win the final, you will think of using the jealous brain.")</f>
        <v>Internet Ronaldo, Bang, if you are stupid, don't look at it, if you have settings from the beginning, you will win the final, you will think of using the jealous brain.</v>
      </c>
    </row>
    <row r="12832" ht="15.75" customHeight="1">
      <c r="A12832" s="1">
        <v>14146.0</v>
      </c>
      <c r="B12832" s="3" t="s">
        <v>36371</v>
      </c>
      <c r="C12832" s="3">
        <v>1.0</v>
      </c>
      <c r="D12832" s="3">
        <v>0.0</v>
      </c>
      <c r="E12832" s="3">
        <v>0.0</v>
      </c>
      <c r="F12832" s="3" t="s">
        <v>36372</v>
      </c>
      <c r="G12832" s="3">
        <v>0.75</v>
      </c>
      <c r="H12832" s="3">
        <v>0.1</v>
      </c>
      <c r="I12832" s="3" t="s">
        <v>48</v>
      </c>
      <c r="J12832" s="3" t="s">
        <v>36373</v>
      </c>
      <c r="K12832" s="3" t="s">
        <v>574</v>
      </c>
      <c r="L12832" s="3" t="str">
        <f>IFERROR(__xludf.DUMMYFUNCTION("GOOGLETRANSLATE(F12832,""id"",""en"")"),"Settingan trophy They Said hahahaha river time ARGEN leading final then it can be as French until Pinalty still says the settings are haters if you already hate really so it's stupid")</f>
        <v>Settingan trophy They Said hahahaha river time ARGEN leading final then it can be as French until Pinalty still says the settings are haters if you already hate really so it's stupid</v>
      </c>
    </row>
    <row r="12833" ht="15.75" customHeight="1">
      <c r="A12833" s="1">
        <v>14148.0</v>
      </c>
      <c r="B12833" s="3" t="s">
        <v>36374</v>
      </c>
      <c r="C12833" s="3">
        <v>0.0</v>
      </c>
      <c r="D12833" s="3">
        <v>0.0</v>
      </c>
      <c r="E12833" s="3">
        <v>0.0</v>
      </c>
      <c r="F12833" s="3" t="s">
        <v>36375</v>
      </c>
      <c r="G12833" s="3">
        <v>0.775</v>
      </c>
      <c r="H12833" s="3">
        <v>0.175</v>
      </c>
      <c r="I12833" s="3" t="s">
        <v>48</v>
      </c>
      <c r="J12833" s="3" t="s">
        <v>36376</v>
      </c>
      <c r="K12833" s="3" t="s">
        <v>50</v>
      </c>
      <c r="L12833" s="3" t="str">
        <f>IFERROR(__xludf.DUMMYFUNCTION("GOOGLETRANSLATE(F12833,""id"",""en"")"),"a lot of bacot just loses todd see full finals last night still talking about settings")</f>
        <v>a lot of bacot just loses todd see full finals last night still talking about settings</v>
      </c>
    </row>
    <row r="12834" ht="15.75" customHeight="1">
      <c r="A12834" s="1">
        <v>14149.0</v>
      </c>
      <c r="B12834" s="3" t="s">
        <v>36377</v>
      </c>
      <c r="C12834" s="3">
        <v>0.0</v>
      </c>
      <c r="D12834" s="3">
        <v>0.0</v>
      </c>
      <c r="E12834" s="3">
        <v>0.0</v>
      </c>
      <c r="F12834" s="3" t="s">
        <v>36378</v>
      </c>
      <c r="G12834" s="3">
        <v>1.0</v>
      </c>
      <c r="H12834" s="3">
        <v>0.0</v>
      </c>
      <c r="I12834" s="3" t="s">
        <v>13</v>
      </c>
      <c r="J12834" s="3" t="s">
        <v>36379</v>
      </c>
      <c r="K12834" s="3" t="s">
        <v>15</v>
      </c>
      <c r="L12834" s="3" t="str">
        <f>IFERROR(__xludf.DUMMYFUNCTION("GOOGLETRANSLATE(F12834,""id"",""en"")"),"World Cup Settingan Must be Portugal Final Madrid Utd")</f>
        <v>World Cup Settingan Must be Portugal Final Madrid Utd</v>
      </c>
    </row>
    <row r="12835" ht="15.75" customHeight="1">
      <c r="A12835" s="1">
        <v>14150.0</v>
      </c>
      <c r="B12835" s="3" t="s">
        <v>36380</v>
      </c>
      <c r="C12835" s="3">
        <v>0.0</v>
      </c>
      <c r="D12835" s="3">
        <v>0.0</v>
      </c>
      <c r="E12835" s="3">
        <v>0.0</v>
      </c>
      <c r="F12835" s="3" t="s">
        <v>36381</v>
      </c>
      <c r="G12835" s="3">
        <v>1.0</v>
      </c>
      <c r="H12835" s="3">
        <v>0.0</v>
      </c>
      <c r="I12835" s="3" t="s">
        <v>13</v>
      </c>
      <c r="J12835" s="3" t="s">
        <v>36382</v>
      </c>
      <c r="K12835" s="3" t="s">
        <v>510</v>
      </c>
      <c r="L12835" s="3" t="str">
        <f>IFERROR(__xludf.DUMMYFUNCTION("GOOGLETRANSLATE(F12835,""id"",""en"")"),"This World Cup might be setting but the final yesterday didn't care who the champion was still sticky body")</f>
        <v>This World Cup might be setting but the final yesterday didn't care who the champion was still sticky body</v>
      </c>
    </row>
    <row r="12836" ht="15.75" customHeight="1">
      <c r="A12836" s="1">
        <v>14151.0</v>
      </c>
      <c r="B12836" s="3" t="s">
        <v>36383</v>
      </c>
      <c r="C12836" s="3">
        <v>1.0</v>
      </c>
      <c r="D12836" s="3">
        <v>0.0</v>
      </c>
      <c r="E12836" s="3">
        <v>1.0</v>
      </c>
      <c r="F12836" s="3" t="s">
        <v>36384</v>
      </c>
      <c r="G12836" s="3">
        <v>1.0</v>
      </c>
      <c r="H12836" s="3">
        <v>0.0</v>
      </c>
      <c r="I12836" s="3" t="s">
        <v>13</v>
      </c>
      <c r="J12836" s="3" t="s">
        <v>36385</v>
      </c>
      <c r="K12836" s="3" t="s">
        <v>58</v>
      </c>
      <c r="L12836" s="3" t="str">
        <f>IFERROR(__xludf.DUMMYFUNCTION("GOOGLETRANSLATE(F12836,""id"",""en"")"),"then the final got a penalty not the settings try the last minute muani entered there said the setting")</f>
        <v>then the final got a penalty not the settings try the last minute muani entered there said the setting</v>
      </c>
    </row>
    <row r="12837" ht="15.75" customHeight="1">
      <c r="A12837" s="1">
        <v>14153.0</v>
      </c>
      <c r="B12837" s="3" t="s">
        <v>36386</v>
      </c>
      <c r="C12837" s="3">
        <v>0.0</v>
      </c>
      <c r="D12837" s="3">
        <v>0.0</v>
      </c>
      <c r="E12837" s="3">
        <v>0.0</v>
      </c>
      <c r="F12837" s="3" t="s">
        <v>36387</v>
      </c>
      <c r="G12837" s="3">
        <v>1.0</v>
      </c>
      <c r="H12837" s="3">
        <v>0.0</v>
      </c>
      <c r="I12837" s="3" t="s">
        <v>13</v>
      </c>
      <c r="J12837" s="3" t="s">
        <v>36388</v>
      </c>
      <c r="K12837" s="3" t="s">
        <v>54</v>
      </c>
      <c r="L12837" s="3" t="str">
        <f>IFERROR(__xludf.DUMMYFUNCTION("GOOGLETRANSLATE(F12837,""id"",""en"")"),"Cry Baby fans say the final settings ngahahaa")</f>
        <v>Cry Baby fans say the final settings ngahahaa</v>
      </c>
    </row>
    <row r="12838" ht="15.75" customHeight="1">
      <c r="A12838" s="1">
        <v>14154.0</v>
      </c>
      <c r="B12838" s="3" t="s">
        <v>36389</v>
      </c>
      <c r="C12838" s="3">
        <v>0.0</v>
      </c>
      <c r="D12838" s="3">
        <v>0.0</v>
      </c>
      <c r="E12838" s="3">
        <v>0.0</v>
      </c>
      <c r="F12838" s="3" t="s">
        <v>36390</v>
      </c>
      <c r="G12838" s="3">
        <v>1.0</v>
      </c>
      <c r="H12838" s="3">
        <v>0.0</v>
      </c>
      <c r="I12838" s="3" t="s">
        <v>13</v>
      </c>
      <c r="J12838" s="3" t="s">
        <v>36391</v>
      </c>
      <c r="K12838" s="3" t="s">
        <v>510</v>
      </c>
      <c r="L12838" s="3" t="str">
        <f>IFERROR(__xludf.DUMMYFUNCTION("GOOGLETRANSLATE(F12838,""id"",""en"")"),"set only the placement of this group if according to FIFA settings should be the final Argentin Portugal Morocco.")</f>
        <v>set only the placement of this group if according to FIFA settings should be the final Argentin Portugal Morocco.</v>
      </c>
    </row>
    <row r="12839" ht="15.75" customHeight="1">
      <c r="A12839" s="1">
        <v>14155.0</v>
      </c>
      <c r="B12839" s="3" t="s">
        <v>36392</v>
      </c>
      <c r="C12839" s="3">
        <v>0.0</v>
      </c>
      <c r="D12839" s="3">
        <v>0.0</v>
      </c>
      <c r="E12839" s="3">
        <v>0.0</v>
      </c>
      <c r="F12839" s="3" t="s">
        <v>36392</v>
      </c>
      <c r="G12839" s="3">
        <v>1.0</v>
      </c>
      <c r="H12839" s="3">
        <v>0.0</v>
      </c>
      <c r="I12839" s="3" t="s">
        <v>13</v>
      </c>
      <c r="J12839" s="3" t="s">
        <v>36393</v>
      </c>
      <c r="K12839" s="3" t="s">
        <v>31</v>
      </c>
      <c r="L12839" s="3" t="str">
        <f>IFERROR(__xludf.DUMMYFUNCTION("GOOGLETRANSLATE(F12839,""id"",""en"")"),"the more reinforces the final settings argument")</f>
        <v>the more reinforces the final settings argument</v>
      </c>
    </row>
    <row r="12840" ht="15.75" customHeight="1">
      <c r="A12840" s="1">
        <v>14157.0</v>
      </c>
      <c r="B12840" s="3" t="s">
        <v>36394</v>
      </c>
      <c r="C12840" s="3">
        <v>0.0</v>
      </c>
      <c r="D12840" s="3">
        <v>1.0</v>
      </c>
      <c r="E12840" s="3">
        <v>1.0</v>
      </c>
      <c r="F12840" s="3" t="s">
        <v>36395</v>
      </c>
      <c r="G12840" s="3">
        <v>0.3166666666666667</v>
      </c>
      <c r="H12840" s="3">
        <v>-0.1333333333333333</v>
      </c>
      <c r="I12840" s="3" t="s">
        <v>179</v>
      </c>
      <c r="J12840" s="3" t="s">
        <v>36396</v>
      </c>
      <c r="K12840" s="3" t="s">
        <v>266</v>
      </c>
      <c r="L12840" s="3" t="str">
        <f>IFERROR(__xludf.DUMMYFUNCTION("GOOGLETRANSLATE(F12840,""id"",""en"")"),"Another difference where the soft penalty is worthy of a penalty not to just get a penalty and fixed the help of FIFA FIX Objective Settings a little goal can change the game plot but also see Mental Argentina Dutch")</f>
        <v>Another difference where the soft penalty is worthy of a penalty not to just get a penalty and fixed the help of FIFA FIX Objective Settings a little goal can change the game plot but also see Mental Argentina Dutch</v>
      </c>
    </row>
    <row r="12841" ht="15.75" customHeight="1">
      <c r="A12841" s="1">
        <v>14158.0</v>
      </c>
      <c r="B12841" s="3" t="s">
        <v>36397</v>
      </c>
      <c r="C12841" s="3">
        <v>0.0</v>
      </c>
      <c r="D12841" s="3">
        <v>0.0</v>
      </c>
      <c r="E12841" s="3">
        <v>2.0</v>
      </c>
      <c r="F12841" s="3" t="s">
        <v>36398</v>
      </c>
      <c r="G12841" s="3">
        <v>1.0</v>
      </c>
      <c r="H12841" s="3">
        <v>0.0</v>
      </c>
      <c r="I12841" s="3" t="s">
        <v>13</v>
      </c>
      <c r="J12841" s="3" t="s">
        <v>36399</v>
      </c>
      <c r="K12841" s="3" t="s">
        <v>2907</v>
      </c>
      <c r="L12841" s="3" t="str">
        <f>IFERROR(__xludf.DUMMYFUNCTION("GOOGLETRANSLATE(F12841,""id"",""en"")"),"a lot that says the settings why from the beginning what Argentina is setting, don't be the jealousy of the club to pass the final wkwk")</f>
        <v>a lot that says the settings why from the beginning what Argentina is setting, don't be the jealousy of the club to pass the final wkwk</v>
      </c>
    </row>
    <row r="12842" ht="15.75" customHeight="1">
      <c r="A12842" s="1">
        <v>14159.0</v>
      </c>
      <c r="B12842" s="3" t="s">
        <v>36400</v>
      </c>
      <c r="C12842" s="3">
        <v>0.0</v>
      </c>
      <c r="D12842" s="3">
        <v>0.0</v>
      </c>
      <c r="E12842" s="3">
        <v>0.0</v>
      </c>
      <c r="F12842" s="3" t="s">
        <v>36401</v>
      </c>
      <c r="G12842" s="3">
        <v>1.0</v>
      </c>
      <c r="H12842" s="3">
        <v>0.0</v>
      </c>
      <c r="I12842" s="3" t="s">
        <v>13</v>
      </c>
      <c r="J12842" s="3" t="s">
        <v>36402</v>
      </c>
      <c r="K12842" s="3" t="s">
        <v>2117</v>
      </c>
      <c r="L12842" s="3" t="str">
        <f>IFERROR(__xludf.DUMMYFUNCTION("GOOGLETRANSLATE(F12842,""id"",""en"")"),"Is this an indication of the final settings")</f>
        <v>Is this an indication of the final settings</v>
      </c>
    </row>
    <row r="12843" ht="15.75" customHeight="1">
      <c r="A12843" s="1">
        <v>14162.0</v>
      </c>
      <c r="B12843" s="3" t="s">
        <v>36403</v>
      </c>
      <c r="C12843" s="3">
        <v>0.0</v>
      </c>
      <c r="D12843" s="3">
        <v>0.0</v>
      </c>
      <c r="E12843" s="3">
        <v>0.0</v>
      </c>
      <c r="F12843" s="3" t="s">
        <v>36404</v>
      </c>
      <c r="G12843" s="3">
        <v>1.0</v>
      </c>
      <c r="H12843" s="3">
        <v>0.0</v>
      </c>
      <c r="I12843" s="3" t="s">
        <v>13</v>
      </c>
      <c r="J12843" s="3" t="s">
        <v>36405</v>
      </c>
      <c r="K12843" s="3" t="s">
        <v>71</v>
      </c>
      <c r="L12843" s="3" t="str">
        <f>IFERROR(__xludf.DUMMYFUNCTION("GOOGLETRANSLATE(F12843,""id"",""en"")"),"Sek Ivi Iyik Nek Muni Champion World Cup Settingan But Final French French Kuii Stupid")</f>
        <v>Sek Ivi Iyik Nek Muni Champion World Cup Settingan But Final French French Kuii Stupid</v>
      </c>
    </row>
    <row r="12844" ht="15.75" customHeight="1">
      <c r="A12844" s="1">
        <v>14163.0</v>
      </c>
      <c r="B12844" s="3" t="s">
        <v>36406</v>
      </c>
      <c r="C12844" s="3">
        <v>1.0</v>
      </c>
      <c r="D12844" s="3">
        <v>0.0</v>
      </c>
      <c r="E12844" s="3">
        <v>3.0</v>
      </c>
      <c r="F12844" s="3" t="s">
        <v>36407</v>
      </c>
      <c r="G12844" s="3">
        <v>0.6666666666666666</v>
      </c>
      <c r="H12844" s="3">
        <v>0.08333333333333333</v>
      </c>
      <c r="I12844" s="3" t="s">
        <v>48</v>
      </c>
      <c r="J12844" s="3" t="s">
        <v>36408</v>
      </c>
      <c r="K12844" s="3" t="s">
        <v>358</v>
      </c>
      <c r="L12844" s="3" t="str">
        <f>IFERROR(__xludf.DUMMYFUNCTION("GOOGLETRANSLATE(F12844,""id"",""en"")"),"The final also France also determined to play, I didn't want to lose if the settings were left alone Argentina, but it could also be a score of France, you could say that Argentina could reach Argentina")</f>
        <v>The final also France also determined to play, I didn't want to lose if the settings were left alone Argentina, but it could also be a score of France, you could say that Argentina could reach Argentina</v>
      </c>
    </row>
    <row r="12845" ht="15.75" customHeight="1">
      <c r="A12845" s="1">
        <v>14164.0</v>
      </c>
      <c r="B12845" s="3" t="s">
        <v>36409</v>
      </c>
      <c r="C12845" s="3">
        <v>2.0</v>
      </c>
      <c r="D12845" s="3">
        <v>0.0</v>
      </c>
      <c r="E12845" s="3">
        <v>25.0</v>
      </c>
      <c r="F12845" s="3" t="s">
        <v>36410</v>
      </c>
      <c r="G12845" s="3">
        <v>1.0</v>
      </c>
      <c r="H12845" s="3">
        <v>0.0</v>
      </c>
      <c r="I12845" s="3" t="s">
        <v>13</v>
      </c>
      <c r="J12845" s="3" t="s">
        <v>36411</v>
      </c>
      <c r="K12845" s="3" t="s">
        <v>123</v>
      </c>
      <c r="L12845" s="3" t="str">
        <f>IFERROR(__xludf.DUMMYFUNCTION("GOOGLETRANSLATE(F12845,""id"",""en"")"),"well agree, min and the final does not look like there is a setting France not wanting to lose, they are also trying to score goals")</f>
        <v>well agree, min and the final does not look like there is a setting France not wanting to lose, they are also trying to score goals</v>
      </c>
    </row>
    <row r="12846" ht="15.75" customHeight="1">
      <c r="A12846" s="1">
        <v>14165.0</v>
      </c>
      <c r="B12846" s="3" t="s">
        <v>36412</v>
      </c>
      <c r="C12846" s="3">
        <v>0.0</v>
      </c>
      <c r="D12846" s="3">
        <v>0.0</v>
      </c>
      <c r="E12846" s="3">
        <v>1.0</v>
      </c>
      <c r="F12846" s="3" t="s">
        <v>36413</v>
      </c>
      <c r="G12846" s="3">
        <v>1.0</v>
      </c>
      <c r="H12846" s="3">
        <v>0.0</v>
      </c>
      <c r="I12846" s="3" t="s">
        <v>13</v>
      </c>
      <c r="J12846" s="3" t="s">
        <v>36414</v>
      </c>
      <c r="K12846" s="3" t="s">
        <v>23</v>
      </c>
      <c r="L12846" s="3" t="str">
        <f>IFERROR(__xludf.DUMMYFUNCTION("GOOGLETRANSLATE(F12846,""id"",""en"")"),"The only thing that makes people forget that this might be a lot of goals so there are many fun, how many World Cup finals have as many as last night")</f>
        <v>The only thing that makes people forget that this might be a lot of goals so there are many fun, how many World Cup finals have as many as last night</v>
      </c>
    </row>
    <row r="12847" ht="15.75" customHeight="1">
      <c r="A12847" s="1">
        <v>14166.0</v>
      </c>
      <c r="B12847" s="3" t="s">
        <v>36415</v>
      </c>
      <c r="C12847" s="3">
        <v>0.0</v>
      </c>
      <c r="D12847" s="3">
        <v>0.0</v>
      </c>
      <c r="E12847" s="3">
        <v>1.0</v>
      </c>
      <c r="F12847" s="3" t="s">
        <v>36416</v>
      </c>
      <c r="G12847" s="3">
        <v>1.0</v>
      </c>
      <c r="H12847" s="3">
        <v>0.0</v>
      </c>
      <c r="I12847" s="3" t="s">
        <v>13</v>
      </c>
      <c r="J12847" s="3" t="s">
        <v>36417</v>
      </c>
      <c r="K12847" s="3" t="s">
        <v>54</v>
      </c>
      <c r="L12847" s="3" t="str">
        <f>IFERROR(__xludf.DUMMYFUNCTION("GOOGLETRANSLATE(F12847,""id"",""en"")"),"The best Dodo Final worshipers are said to be Settings WKWK")</f>
        <v>The best Dodo Final worshipers are said to be Settings WKWK</v>
      </c>
    </row>
    <row r="12848" ht="15.75" customHeight="1">
      <c r="A12848" s="1">
        <v>14167.0</v>
      </c>
      <c r="B12848" s="3" t="s">
        <v>36418</v>
      </c>
      <c r="C12848" s="3">
        <v>0.0</v>
      </c>
      <c r="D12848" s="3">
        <v>0.0</v>
      </c>
      <c r="E12848" s="3">
        <v>0.0</v>
      </c>
      <c r="F12848" s="3" t="s">
        <v>36419</v>
      </c>
      <c r="G12848" s="3">
        <v>1.0</v>
      </c>
      <c r="H12848" s="3">
        <v>0.0</v>
      </c>
      <c r="I12848" s="3" t="s">
        <v>13</v>
      </c>
      <c r="J12848" s="3" t="s">
        <v>36420</v>
      </c>
      <c r="K12848" s="3" t="s">
        <v>82</v>
      </c>
      <c r="L12848" s="3" t="str">
        <f>IFERROR(__xludf.DUMMYFUNCTION("GOOGLETRANSLATE(F12848,""id"",""en"")"),"already said this final settings so that Messi lifts the trophy")</f>
        <v>already said this final settings so that Messi lifts the trophy</v>
      </c>
    </row>
    <row r="12849" ht="15.75" customHeight="1">
      <c r="A12849" s="1">
        <v>14168.0</v>
      </c>
      <c r="B12849" s="3" t="s">
        <v>36421</v>
      </c>
      <c r="C12849" s="3">
        <v>2.0</v>
      </c>
      <c r="D12849" s="3">
        <v>0.0</v>
      </c>
      <c r="E12849" s="3">
        <v>0.0</v>
      </c>
      <c r="F12849" s="3" t="s">
        <v>36422</v>
      </c>
      <c r="G12849" s="3">
        <v>1.0</v>
      </c>
      <c r="H12849" s="3">
        <v>0.0</v>
      </c>
      <c r="I12849" s="3" t="s">
        <v>13</v>
      </c>
      <c r="J12849" s="3" t="s">
        <v>36423</v>
      </c>
      <c r="K12849" s="3" t="s">
        <v>232</v>
      </c>
      <c r="L12849" s="3" t="str">
        <f>IFERROR(__xludf.DUMMYFUNCTION("GOOGLETRANSLATE(F12849,""id"",""en"")"),"From the year the era of the era of the AKHR World Cup SLL leaves the word setting if I already know the settings to be watched by Appn are the World Cup final yesterday was the most ngakcak final")</f>
        <v>From the year the era of the era of the AKHR World Cup SLL leaves the word setting if I already know the settings to be watched by Appn are the World Cup final yesterday was the most ngakcak final</v>
      </c>
    </row>
    <row r="12850" ht="15.75" customHeight="1">
      <c r="A12850" s="1">
        <v>14169.0</v>
      </c>
      <c r="B12850" s="3" t="s">
        <v>36424</v>
      </c>
      <c r="C12850" s="3">
        <v>0.0</v>
      </c>
      <c r="D12850" s="3">
        <v>0.0</v>
      </c>
      <c r="E12850" s="3">
        <v>0.0</v>
      </c>
      <c r="F12850" s="3" t="s">
        <v>36425</v>
      </c>
      <c r="G12850" s="3">
        <v>1.0</v>
      </c>
      <c r="H12850" s="3">
        <v>0.0</v>
      </c>
      <c r="I12850" s="3" t="s">
        <v>13</v>
      </c>
      <c r="J12850" s="3" t="s">
        <v>36426</v>
      </c>
      <c r="K12850" s="3" t="s">
        <v>1552</v>
      </c>
      <c r="L12850" s="3" t="str">
        <f>IFERROR(__xludf.DUMMYFUNCTION("GOOGLETRANSLATE(F12850,""id"",""en"")"),"I want to set up pure kek kek final yesterday exciting crazy")</f>
        <v>I want to set up pure kek kek final yesterday exciting crazy</v>
      </c>
    </row>
    <row r="12851" ht="15.75" customHeight="1">
      <c r="A12851" s="1">
        <v>14170.0</v>
      </c>
      <c r="B12851" s="3" t="s">
        <v>36427</v>
      </c>
      <c r="C12851" s="3">
        <v>0.0</v>
      </c>
      <c r="D12851" s="3">
        <v>0.0</v>
      </c>
      <c r="E12851" s="3">
        <v>0.0</v>
      </c>
      <c r="F12851" s="3" t="s">
        <v>36428</v>
      </c>
      <c r="G12851" s="3">
        <v>1.0</v>
      </c>
      <c r="H12851" s="3">
        <v>0.0</v>
      </c>
      <c r="I12851" s="3" t="s">
        <v>13</v>
      </c>
      <c r="J12851" s="3" t="s">
        <v>36429</v>
      </c>
      <c r="K12851" s="3" t="s">
        <v>2454</v>
      </c>
      <c r="L12851" s="3" t="str">
        <f>IFERROR(__xludf.DUMMYFUNCTION("GOOGLETRANSLATE(F12851,""id"",""en"")"),"This makes people become stupid like online gambling just settings even though I just sit together exciting friends to make me of the final world class without thoughts.")</f>
        <v>This makes people become stupid like online gambling just settings even though I just sit together exciting friends to make me of the final world class without thoughts.</v>
      </c>
    </row>
    <row r="12852" ht="15.75" customHeight="1">
      <c r="A12852" s="1">
        <v>14171.0</v>
      </c>
      <c r="B12852" s="3" t="s">
        <v>36430</v>
      </c>
      <c r="C12852" s="3">
        <v>0.0</v>
      </c>
      <c r="D12852" s="3">
        <v>0.0</v>
      </c>
      <c r="E12852" s="3">
        <v>0.0</v>
      </c>
      <c r="F12852" s="3" t="s">
        <v>36431</v>
      </c>
      <c r="G12852" s="3">
        <v>1.0</v>
      </c>
      <c r="H12852" s="3">
        <v>0.0</v>
      </c>
      <c r="I12852" s="3" t="s">
        <v>13</v>
      </c>
      <c r="J12852" s="3" t="s">
        <v>36432</v>
      </c>
      <c r="K12852" s="3" t="s">
        <v>437</v>
      </c>
      <c r="L12852" s="3" t="str">
        <f>IFERROR(__xludf.DUMMYFUNCTION("GOOGLETRANSLATE(F12852,""id"",""en"")"),"for those who say the world cup for the settings for Messi to think the final referee gives a French penalty in a critical minute intentionally")</f>
        <v>for those who say the world cup for the settings for Messi to think the final referee gives a French penalty in a critical minute intentionally</v>
      </c>
    </row>
    <row r="12853" ht="15.75" customHeight="1">
      <c r="A12853" s="1">
        <v>14173.0</v>
      </c>
      <c r="B12853" s="3" t="s">
        <v>36433</v>
      </c>
      <c r="C12853" s="3">
        <v>0.0</v>
      </c>
      <c r="D12853" s="3">
        <v>0.0</v>
      </c>
      <c r="E12853" s="3">
        <v>1.0</v>
      </c>
      <c r="F12853" s="3" t="s">
        <v>36434</v>
      </c>
      <c r="G12853" s="3">
        <v>1.0</v>
      </c>
      <c r="H12853" s="3">
        <v>0.0</v>
      </c>
      <c r="I12853" s="3" t="s">
        <v>13</v>
      </c>
      <c r="J12853" s="3" t="s">
        <v>36435</v>
      </c>
      <c r="K12853" s="3" t="s">
        <v>58</v>
      </c>
      <c r="L12853" s="3" t="str">
        <f>IFERROR(__xludf.DUMMYFUNCTION("GOOGLETRANSLATE(F12853,""id"",""en"")"),"see this creature is clear yesterday the final final match of this century still said the setting was rather healthy people")</f>
        <v>see this creature is clear yesterday the final final match of this century still said the setting was rather healthy people</v>
      </c>
    </row>
    <row r="12854" ht="15.75" customHeight="1">
      <c r="A12854" s="1">
        <v>14174.0</v>
      </c>
      <c r="B12854" s="3" t="s">
        <v>36436</v>
      </c>
      <c r="C12854" s="3">
        <v>2.0</v>
      </c>
      <c r="D12854" s="3">
        <v>0.0</v>
      </c>
      <c r="E12854" s="3">
        <v>0.0</v>
      </c>
      <c r="F12854" s="3" t="s">
        <v>36437</v>
      </c>
      <c r="G12854" s="3">
        <v>1.0</v>
      </c>
      <c r="H12854" s="3">
        <v>0.0</v>
      </c>
      <c r="I12854" s="3" t="s">
        <v>13</v>
      </c>
      <c r="J12854" s="3" t="s">
        <v>36438</v>
      </c>
      <c r="K12854" s="3" t="s">
        <v>2610</v>
      </c>
      <c r="L12854" s="3" t="str">
        <f>IFERROR(__xludf.DUMMYFUNCTION("GOOGLETRANSLATE(F12854,""id"",""en"")"),"sure the World Cup is not a setting from the beginning of the group stage until the final always got the first Argentina France Penalty Goal because of the diving of Maria and not checking Var Imron")</f>
        <v>sure the World Cup is not a setting from the beginning of the group stage until the final always got the first Argentina France Penalty Goal because of the diving of Maria and not checking Var Imron</v>
      </c>
    </row>
    <row r="12855" ht="15.75" customHeight="1">
      <c r="A12855" s="1">
        <v>14175.0</v>
      </c>
      <c r="B12855" s="3" t="s">
        <v>36439</v>
      </c>
      <c r="C12855" s="3">
        <v>0.0</v>
      </c>
      <c r="D12855" s="3">
        <v>0.0</v>
      </c>
      <c r="E12855" s="3">
        <v>0.0</v>
      </c>
      <c r="F12855" s="3" t="s">
        <v>36440</v>
      </c>
      <c r="G12855" s="3">
        <v>1.0</v>
      </c>
      <c r="H12855" s="3">
        <v>0.0</v>
      </c>
      <c r="I12855" s="3" t="s">
        <v>13</v>
      </c>
      <c r="J12855" s="3" t="s">
        <v>36441</v>
      </c>
      <c r="K12855" s="3" t="s">
        <v>3612</v>
      </c>
      <c r="L12855" s="3" t="str">
        <f>IFERROR(__xludf.DUMMYFUNCTION("GOOGLETRANSLATE(F12855,""id"",""en"")"),"Time Argentina Final You say we are weird and you want Portugal, so Portugal, how do you want the final against Morocco.")</f>
        <v>Time Argentina Final You say we are weird and you want Portugal, so Portugal, how do you want the final against Morocco.</v>
      </c>
    </row>
    <row r="12856" ht="15.75" customHeight="1">
      <c r="A12856" s="1">
        <v>14176.0</v>
      </c>
      <c r="B12856" s="3" t="s">
        <v>36442</v>
      </c>
      <c r="C12856" s="3">
        <v>0.0</v>
      </c>
      <c r="D12856" s="3">
        <v>0.0</v>
      </c>
      <c r="E12856" s="3">
        <v>2.0</v>
      </c>
      <c r="F12856" s="3" t="s">
        <v>36443</v>
      </c>
      <c r="G12856" s="3">
        <v>1.0</v>
      </c>
      <c r="H12856" s="3">
        <v>0.0</v>
      </c>
      <c r="I12856" s="3" t="s">
        <v>13</v>
      </c>
      <c r="J12856" s="3" t="s">
        <v>36444</v>
      </c>
      <c r="K12856" s="3" t="s">
        <v>75</v>
      </c>
      <c r="L12856" s="3" t="str">
        <f>IFERROR(__xludf.DUMMYFUNCTION("GOOGLETRANSLATE(F12856,""id"",""en"")"),"Muhammad Settingan Nasser so that the players print the final world cup goals wkwkw")</f>
        <v>Muhammad Settingan Nasser so that the players print the final world cup goals wkwkw</v>
      </c>
    </row>
    <row r="12857" ht="15.75" customHeight="1">
      <c r="A12857" s="1">
        <v>14177.0</v>
      </c>
      <c r="B12857" s="3" t="s">
        <v>36445</v>
      </c>
      <c r="C12857" s="3">
        <v>1.0</v>
      </c>
      <c r="D12857" s="3">
        <v>0.0</v>
      </c>
      <c r="E12857" s="3">
        <v>1.0</v>
      </c>
      <c r="F12857" s="3" t="s">
        <v>36446</v>
      </c>
      <c r="G12857" s="3">
        <v>1.0</v>
      </c>
      <c r="H12857" s="3">
        <v>0.0</v>
      </c>
      <c r="I12857" s="3" t="s">
        <v>13</v>
      </c>
      <c r="J12857" s="3" t="s">
        <v>36447</v>
      </c>
      <c r="K12857" s="3" t="s">
        <v>184</v>
      </c>
      <c r="L12857" s="3" t="str">
        <f>IFERROR(__xludf.DUMMYFUNCTION("GOOGLETRANSLATE(F12857,""id"",""en"")"),"Redsindo, the issue of settings appeared when Portugal died before it was cool, even the fans of the Portuguese would be the final.")</f>
        <v>Redsindo, the issue of settings appeared when Portugal died before it was cool, even the fans of the Portuguese would be the final.</v>
      </c>
    </row>
    <row r="12858" ht="15.75" customHeight="1">
      <c r="A12858" s="1">
        <v>14178.0</v>
      </c>
      <c r="B12858" s="3" t="s">
        <v>36448</v>
      </c>
      <c r="C12858" s="3">
        <v>0.0</v>
      </c>
      <c r="D12858" s="3">
        <v>0.0</v>
      </c>
      <c r="E12858" s="3">
        <v>1.0</v>
      </c>
      <c r="F12858" s="3" t="s">
        <v>36449</v>
      </c>
      <c r="G12858" s="3">
        <v>1.0</v>
      </c>
      <c r="H12858" s="3">
        <v>0.0</v>
      </c>
      <c r="I12858" s="3" t="s">
        <v>13</v>
      </c>
      <c r="J12858" s="3" t="s">
        <v>36450</v>
      </c>
      <c r="K12858" s="3" t="s">
        <v>31</v>
      </c>
      <c r="L12858" s="3" t="str">
        <f>IFERROR(__xludf.DUMMYFUNCTION("GOOGLETRANSLATE(F12858,""id"",""en"")"),"well and the final is proven there is no setting")</f>
        <v>well and the final is proven there is no setting</v>
      </c>
    </row>
    <row r="12859" ht="15.75" customHeight="1">
      <c r="A12859" s="1">
        <v>14179.0</v>
      </c>
      <c r="B12859" s="3" t="s">
        <v>36451</v>
      </c>
      <c r="C12859" s="3">
        <v>0.0</v>
      </c>
      <c r="D12859" s="3">
        <v>0.0</v>
      </c>
      <c r="E12859" s="3">
        <v>0.0</v>
      </c>
      <c r="F12859" s="3" t="s">
        <v>36452</v>
      </c>
      <c r="G12859" s="3">
        <v>1.0</v>
      </c>
      <c r="H12859" s="3">
        <v>0.0</v>
      </c>
      <c r="I12859" s="3" t="s">
        <v>13</v>
      </c>
      <c r="J12859" s="3" t="s">
        <v>36453</v>
      </c>
      <c r="K12859" s="3" t="s">
        <v>71</v>
      </c>
      <c r="L12859" s="3" t="str">
        <f>IFERROR(__xludf.DUMMYFUNCTION("GOOGLETRANSLATE(F12859,""id"",""en"")"),"GWS said that the settings were the final, the Roller Cook Cook, my heart")</f>
        <v>GWS said that the settings were the final, the Roller Cook Cook, my heart</v>
      </c>
    </row>
    <row r="12860" ht="15.75" customHeight="1">
      <c r="A12860" s="1">
        <v>14181.0</v>
      </c>
      <c r="B12860" s="3" t="s">
        <v>36454</v>
      </c>
      <c r="C12860" s="3">
        <v>0.0</v>
      </c>
      <c r="D12860" s="3">
        <v>0.0</v>
      </c>
      <c r="E12860" s="3">
        <v>0.0</v>
      </c>
      <c r="F12860" s="3" t="s">
        <v>36455</v>
      </c>
      <c r="G12860" s="3">
        <v>1.0</v>
      </c>
      <c r="H12860" s="3">
        <v>0.0</v>
      </c>
      <c r="I12860" s="3" t="s">
        <v>13</v>
      </c>
      <c r="J12860" s="3" t="s">
        <v>36456</v>
      </c>
      <c r="K12860" s="3" t="s">
        <v>82</v>
      </c>
      <c r="L12860" s="3" t="str">
        <f>IFERROR(__xludf.DUMMYFUNCTION("GOOGLETRANSLATE(F12860,""id"",""en"")"),"lacking tense what else the final still wants to be setting")</f>
        <v>lacking tense what else the final still wants to be setting</v>
      </c>
    </row>
    <row r="12861" ht="15.75" customHeight="1">
      <c r="A12861" s="1">
        <v>14182.0</v>
      </c>
      <c r="B12861" s="3" t="s">
        <v>36457</v>
      </c>
      <c r="C12861" s="3">
        <v>4.0</v>
      </c>
      <c r="D12861" s="3">
        <v>5.0</v>
      </c>
      <c r="E12861" s="3">
        <v>99.0</v>
      </c>
      <c r="F12861" s="3" t="s">
        <v>36458</v>
      </c>
      <c r="G12861" s="3">
        <v>1.0</v>
      </c>
      <c r="H12861" s="3">
        <v>0.0</v>
      </c>
      <c r="I12861" s="3" t="s">
        <v>13</v>
      </c>
      <c r="J12861" s="3" t="s">
        <v>36459</v>
      </c>
      <c r="K12861" s="3" t="s">
        <v>1465</v>
      </c>
      <c r="L12861" s="3" t="str">
        <f>IFERROR(__xludf.DUMMYFUNCTION("GOOGLETRANSLATE(F12861,""id"",""en"")"),"That's the Netijen Supporter of Messi Rivalry Messi Final turn to be seen as a penalty goal when the champion says the setting is stupid netijen, but it is the turn to look at the post, how come I will be an ESMOSI, I give it a congratulations to Messi Sk"&amp;"ali")</f>
        <v>That's the Netijen Supporter of Messi Rivalry Messi Final turn to be seen as a penalty goal when the champion says the setting is stupid netijen, but it is the turn to look at the post, how come I will be an ESMOSI, I give it a congratulations to Messi Skali</v>
      </c>
    </row>
    <row r="12862" ht="15.75" customHeight="1">
      <c r="A12862" s="1">
        <v>14183.0</v>
      </c>
      <c r="B12862" s="3" t="s">
        <v>36460</v>
      </c>
      <c r="C12862" s="3">
        <v>1.0</v>
      </c>
      <c r="D12862" s="3">
        <v>0.0</v>
      </c>
      <c r="E12862" s="3">
        <v>0.0</v>
      </c>
      <c r="F12862" s="3" t="s">
        <v>36461</v>
      </c>
      <c r="G12862" s="3">
        <v>1.0</v>
      </c>
      <c r="H12862" s="3">
        <v>0.0</v>
      </c>
      <c r="I12862" s="3" t="s">
        <v>13</v>
      </c>
      <c r="J12862" s="3" t="s">
        <v>36462</v>
      </c>
      <c r="K12862" s="3" t="s">
        <v>82</v>
      </c>
      <c r="L12862" s="3" t="str">
        <f>IFERROR(__xludf.DUMMYFUNCTION("GOOGLETRANSLATE(F12862,""id"",""en"")"),"Bangke hasn't been able to brake FIFA Final State")</f>
        <v>Bangke hasn't been able to brake FIFA Final State</v>
      </c>
    </row>
    <row r="12863" ht="15.75" customHeight="1">
      <c r="A12863" s="1">
        <v>14185.0</v>
      </c>
      <c r="B12863" s="3" t="s">
        <v>36463</v>
      </c>
      <c r="C12863" s="3">
        <v>0.0</v>
      </c>
      <c r="D12863" s="3">
        <v>0.0</v>
      </c>
      <c r="E12863" s="3">
        <v>0.0</v>
      </c>
      <c r="F12863" s="3" t="s">
        <v>36464</v>
      </c>
      <c r="G12863" s="3">
        <v>0.7</v>
      </c>
      <c r="H12863" s="3">
        <v>0.1</v>
      </c>
      <c r="I12863" s="3" t="s">
        <v>48</v>
      </c>
      <c r="J12863" s="3" t="s">
        <v>36465</v>
      </c>
      <c r="K12863" s="3" t="s">
        <v>41</v>
      </c>
      <c r="L12863" s="3" t="str">
        <f>IFERROR(__xludf.DUMMYFUNCTION("GOOGLETRANSLATE(F12863,""id"",""en"")"),"who said the setting noh ate today's final match looo hahaha")</f>
        <v>who said the setting noh ate today's final match looo hahaha</v>
      </c>
    </row>
    <row r="12864" ht="15.75" customHeight="1">
      <c r="A12864" s="1">
        <v>14186.0</v>
      </c>
      <c r="B12864" s="3" t="s">
        <v>36466</v>
      </c>
      <c r="C12864" s="3">
        <v>0.0</v>
      </c>
      <c r="D12864" s="3">
        <v>0.0</v>
      </c>
      <c r="E12864" s="3">
        <v>12.0</v>
      </c>
      <c r="F12864" s="3" t="s">
        <v>36467</v>
      </c>
      <c r="G12864" s="3">
        <v>1.0</v>
      </c>
      <c r="H12864" s="3">
        <v>0.0</v>
      </c>
      <c r="I12864" s="3" t="s">
        <v>13</v>
      </c>
      <c r="J12864" s="3" t="s">
        <v>36468</v>
      </c>
      <c r="K12864" s="3" t="s">
        <v>426</v>
      </c>
      <c r="L12864" s="3" t="str">
        <f>IFERROR(__xludf.DUMMYFUNCTION("GOOGLETRANSLATE(F12864,""id"",""en"")"),"It's clear that this is the craziest final world cup stop saying the penalty shooting settings are because the score is not only or how to setting it, Messi is bigger than the country joining the world cup yok thinks smart")</f>
        <v>It's clear that this is the craziest final world cup stop saying the penalty shooting settings are because the score is not only or how to setting it, Messi is bigger than the country joining the world cup yok thinks smart</v>
      </c>
    </row>
    <row r="12865" ht="15.75" customHeight="1">
      <c r="A12865" s="1">
        <v>14187.0</v>
      </c>
      <c r="B12865" s="3" t="s">
        <v>36469</v>
      </c>
      <c r="C12865" s="3">
        <v>0.0</v>
      </c>
      <c r="D12865" s="3">
        <v>0.0</v>
      </c>
      <c r="E12865" s="3">
        <v>0.0</v>
      </c>
      <c r="F12865" s="3" t="s">
        <v>36470</v>
      </c>
      <c r="G12865" s="3">
        <v>1.0</v>
      </c>
      <c r="H12865" s="3">
        <v>0.0</v>
      </c>
      <c r="I12865" s="3" t="s">
        <v>13</v>
      </c>
      <c r="J12865" s="3" t="s">
        <v>36471</v>
      </c>
      <c r="K12865" s="3" t="s">
        <v>236</v>
      </c>
      <c r="L12865" s="3" t="str">
        <f>IFERROR(__xludf.DUMMYFUNCTION("GOOGLETRANSLATE(F12865,""id"",""en"")"),"said the tooth setting of the father settings of the Final Dog Teru Ever See")</f>
        <v>said the tooth setting of the father settings of the Final Dog Teru Ever See</v>
      </c>
    </row>
    <row r="12866" ht="15.75" customHeight="1">
      <c r="A12866" s="1">
        <v>14188.0</v>
      </c>
      <c r="B12866" s="3" t="s">
        <v>36472</v>
      </c>
      <c r="C12866" s="3">
        <v>0.0</v>
      </c>
      <c r="D12866" s="3">
        <v>0.0</v>
      </c>
      <c r="E12866" s="3">
        <v>2.0</v>
      </c>
      <c r="F12866" s="3" t="s">
        <v>36473</v>
      </c>
      <c r="G12866" s="3">
        <v>1.0</v>
      </c>
      <c r="H12866" s="3">
        <v>0.0</v>
      </c>
      <c r="I12866" s="3" t="s">
        <v>13</v>
      </c>
      <c r="J12866" s="3" t="s">
        <v>36474</v>
      </c>
      <c r="K12866" s="3" t="s">
        <v>54</v>
      </c>
      <c r="L12866" s="3" t="str">
        <f>IFERROR(__xludf.DUMMYFUNCTION("GOOGLETRANSLATE(F12866,""id"",""en"")"),"waiting for a comment to say the final settings are still appearing or not")</f>
        <v>waiting for a comment to say the final settings are still appearing or not</v>
      </c>
    </row>
    <row r="12867" ht="15.75" customHeight="1">
      <c r="A12867" s="1">
        <v>14189.0</v>
      </c>
      <c r="B12867" s="3" t="s">
        <v>36475</v>
      </c>
      <c r="C12867" s="3">
        <v>0.0</v>
      </c>
      <c r="D12867" s="3">
        <v>0.0</v>
      </c>
      <c r="E12867" s="3">
        <v>0.0</v>
      </c>
      <c r="F12867" s="3" t="s">
        <v>36476</v>
      </c>
      <c r="G12867" s="3">
        <v>1.0</v>
      </c>
      <c r="H12867" s="3">
        <v>0.0</v>
      </c>
      <c r="I12867" s="3" t="s">
        <v>13</v>
      </c>
      <c r="J12867" s="3" t="s">
        <v>36477</v>
      </c>
      <c r="K12867" s="3" t="s">
        <v>437</v>
      </c>
      <c r="L12867" s="3" t="str">
        <f>IFERROR(__xludf.DUMMYFUNCTION("GOOGLETRANSLATE(F12867,""id"",""en"")"),"The coolest final world cup I ever watched silenced the sound of the final contribution or the champion settings whatever")</f>
        <v>The coolest final world cup I ever watched silenced the sound of the final contribution or the champion settings whatever</v>
      </c>
    </row>
    <row r="12868" ht="15.75" customHeight="1">
      <c r="A12868" s="1">
        <v>14190.0</v>
      </c>
      <c r="B12868" s="3" t="s">
        <v>36478</v>
      </c>
      <c r="C12868" s="3">
        <v>0.0</v>
      </c>
      <c r="D12868" s="3">
        <v>0.0</v>
      </c>
      <c r="E12868" s="3">
        <v>0.0</v>
      </c>
      <c r="F12868" s="3" t="s">
        <v>36479</v>
      </c>
      <c r="G12868" s="3">
        <v>1.0</v>
      </c>
      <c r="H12868" s="3">
        <v>0.0</v>
      </c>
      <c r="I12868" s="3" t="s">
        <v>13</v>
      </c>
      <c r="J12868" s="3" t="s">
        <v>36480</v>
      </c>
      <c r="K12868" s="3" t="s">
        <v>510</v>
      </c>
      <c r="L12868" s="3" t="str">
        <f>IFERROR(__xludf.DUMMYFUNCTION("GOOGLETRANSLATE(F12868,""id"",""en"")"),"I swear the settings of this Final Ajg Giroud Grizman Dembele replaced all the remaining mbappe only")</f>
        <v>I swear the settings of this Final Ajg Giroud Grizman Dembele replaced all the remaining mbappe only</v>
      </c>
    </row>
    <row r="12869" ht="15.75" customHeight="1">
      <c r="A12869" s="1">
        <v>14191.0</v>
      </c>
      <c r="B12869" s="3" t="s">
        <v>36481</v>
      </c>
      <c r="C12869" s="3">
        <v>0.0</v>
      </c>
      <c r="D12869" s="3">
        <v>0.0</v>
      </c>
      <c r="E12869" s="3">
        <v>0.0</v>
      </c>
      <c r="F12869" s="3" t="s">
        <v>36482</v>
      </c>
      <c r="G12869" s="3">
        <v>1.0</v>
      </c>
      <c r="H12869" s="3">
        <v>0.0</v>
      </c>
      <c r="I12869" s="3" t="s">
        <v>13</v>
      </c>
      <c r="J12869" s="3" t="s">
        <v>36483</v>
      </c>
      <c r="K12869" s="3" t="s">
        <v>50</v>
      </c>
      <c r="L12869" s="3" t="str">
        <f>IFERROR(__xludf.DUMMYFUNCTION("GOOGLETRANSLATE(F12869,""id"",""en"")"),"said that this tlol setting is the final.")</f>
        <v>said that this tlol setting is the final.</v>
      </c>
    </row>
    <row r="12870" ht="15.75" customHeight="1">
      <c r="A12870" s="1">
        <v>14192.0</v>
      </c>
      <c r="B12870" s="3" t="s">
        <v>36484</v>
      </c>
      <c r="C12870" s="3">
        <v>0.0</v>
      </c>
      <c r="D12870" s="3">
        <v>0.0</v>
      </c>
      <c r="E12870" s="3">
        <v>0.0</v>
      </c>
      <c r="F12870" s="3" t="s">
        <v>36485</v>
      </c>
      <c r="G12870" s="3">
        <v>1.0</v>
      </c>
      <c r="H12870" s="3">
        <v>0.0</v>
      </c>
      <c r="I12870" s="3" t="s">
        <v>13</v>
      </c>
      <c r="J12870" s="3" t="s">
        <v>36486</v>
      </c>
      <c r="K12870" s="3" t="s">
        <v>82</v>
      </c>
      <c r="L12870" s="3" t="str">
        <f>IFERROR(__xludf.DUMMYFUNCTION("GOOGLETRANSLATE(F12870,""id"",""en"")"),"who still said the settings didn't watch what the final was that emotion")</f>
        <v>who still said the settings didn't watch what the final was that emotion</v>
      </c>
    </row>
    <row r="12871" ht="15.75" customHeight="1">
      <c r="A12871" s="1">
        <v>14193.0</v>
      </c>
      <c r="B12871" s="3" t="s">
        <v>36487</v>
      </c>
      <c r="C12871" s="3">
        <v>0.0</v>
      </c>
      <c r="D12871" s="3">
        <v>0.0</v>
      </c>
      <c r="E12871" s="3">
        <v>0.0</v>
      </c>
      <c r="F12871" s="3" t="s">
        <v>36488</v>
      </c>
      <c r="G12871" s="3">
        <v>1.0</v>
      </c>
      <c r="H12871" s="3">
        <v>0.0</v>
      </c>
      <c r="I12871" s="3" t="s">
        <v>13</v>
      </c>
      <c r="J12871" s="3" t="s">
        <v>36489</v>
      </c>
      <c r="K12871" s="3" t="s">
        <v>19</v>
      </c>
      <c r="L12871" s="3" t="str">
        <f>IFERROR(__xludf.DUMMYFUNCTION("GOOGLETRANSLATE(F12871,""id"",""en"")"),"From the beginning to the end of the heart, the settings are not stopping, this is not the best final I have ever seen")</f>
        <v>From the beginning to the end of the heart, the settings are not stopping, this is not the best final I have ever seen</v>
      </c>
    </row>
    <row r="12872" ht="15.75" customHeight="1">
      <c r="A12872" s="1">
        <v>14194.0</v>
      </c>
      <c r="B12872" s="3" t="s">
        <v>36490</v>
      </c>
      <c r="C12872" s="3">
        <v>0.0</v>
      </c>
      <c r="D12872" s="3">
        <v>0.0</v>
      </c>
      <c r="E12872" s="3">
        <v>0.0</v>
      </c>
      <c r="F12872" s="3" t="s">
        <v>36491</v>
      </c>
      <c r="G12872" s="3">
        <v>1.0</v>
      </c>
      <c r="H12872" s="3">
        <v>0.0</v>
      </c>
      <c r="I12872" s="3" t="s">
        <v>13</v>
      </c>
      <c r="J12872" s="3" t="s">
        <v>36492</v>
      </c>
      <c r="K12872" s="3" t="s">
        <v>433</v>
      </c>
      <c r="L12872" s="3" t="str">
        <f>IFERROR(__xludf.DUMMYFUNCTION("GOOGLETRANSLATE(F12872,""id"",""en"")"),"I think the settings have turned out to be very exciting this final since I supported the final pildun lift the trophy")</f>
        <v>I think the settings have turned out to be very exciting this final since I supported the final pildun lift the trophy</v>
      </c>
    </row>
    <row r="12873" ht="15.75" customHeight="1">
      <c r="A12873" s="1">
        <v>14195.0</v>
      </c>
      <c r="B12873" s="3" t="s">
        <v>36493</v>
      </c>
      <c r="C12873" s="3">
        <v>0.0</v>
      </c>
      <c r="D12873" s="3">
        <v>0.0</v>
      </c>
      <c r="E12873" s="3">
        <v>0.0</v>
      </c>
      <c r="F12873" s="3" t="s">
        <v>36494</v>
      </c>
      <c r="G12873" s="3">
        <v>1.0</v>
      </c>
      <c r="H12873" s="3">
        <v>0.0</v>
      </c>
      <c r="I12873" s="3" t="s">
        <v>13</v>
      </c>
      <c r="J12873" s="3" t="s">
        <v>36495</v>
      </c>
      <c r="K12873" s="3" t="s">
        <v>1097</v>
      </c>
      <c r="L12873" s="3" t="str">
        <f>IFERROR(__xludf.DUMMYFUNCTION("GOOGLETRANSLATE(F12873,""id"",""en"")"),"said the final of the pildun this time your fix settings are right the setting of Allah")</f>
        <v>said the final of the pildun this time your fix settings are right the setting of Allah</v>
      </c>
    </row>
    <row r="12874" ht="15.75" customHeight="1">
      <c r="A12874" s="1">
        <v>14196.0</v>
      </c>
      <c r="B12874" s="3" t="s">
        <v>36496</v>
      </c>
      <c r="C12874" s="3">
        <v>1.0</v>
      </c>
      <c r="D12874" s="3">
        <v>0.0</v>
      </c>
      <c r="E12874" s="3">
        <v>5.0</v>
      </c>
      <c r="F12874" s="3" t="s">
        <v>36497</v>
      </c>
      <c r="G12874" s="3">
        <v>0.65</v>
      </c>
      <c r="H12874" s="3">
        <v>0.5</v>
      </c>
      <c r="I12874" s="3" t="s">
        <v>48</v>
      </c>
      <c r="J12874" s="3" t="s">
        <v>36498</v>
      </c>
      <c r="K12874" s="3" t="s">
        <v>495</v>
      </c>
      <c r="L12874" s="3" t="str">
        <f>IFERROR(__xludf.DUMMYFUNCTION("GOOGLETRANSLATE(F12874,""id"",""en"")"),"Ronaldo fans from the age of the year admit this is the debate of Messi The Best Ever What Final Msih Blg Stupid Sii")</f>
        <v>Ronaldo fans from the age of the year admit this is the debate of Messi The Best Ever What Final Msih Blg Stupid Sii</v>
      </c>
    </row>
    <row r="12875" ht="15.75" customHeight="1">
      <c r="A12875" s="1">
        <v>14197.0</v>
      </c>
      <c r="B12875" s="3" t="s">
        <v>36499</v>
      </c>
      <c r="C12875" s="3">
        <v>0.0</v>
      </c>
      <c r="D12875" s="3">
        <v>0.0</v>
      </c>
      <c r="E12875" s="3">
        <v>0.0</v>
      </c>
      <c r="F12875" s="3" t="s">
        <v>36500</v>
      </c>
      <c r="G12875" s="3">
        <v>1.0</v>
      </c>
      <c r="H12875" s="3">
        <v>0.0</v>
      </c>
      <c r="I12875" s="3" t="s">
        <v>13</v>
      </c>
      <c r="J12875" s="3" t="s">
        <v>36501</v>
      </c>
      <c r="K12875" s="3" t="s">
        <v>54</v>
      </c>
      <c r="L12875" s="3" t="str">
        <f>IFERROR(__xludf.DUMMYFUNCTION("GOOGLETRANSLATE(F12875,""id"",""en"")"),"who still says the final settings are not any more thoughts")</f>
        <v>who still says the final settings are not any more thoughts</v>
      </c>
    </row>
    <row r="12876" ht="15.75" customHeight="1">
      <c r="A12876" s="1">
        <v>14198.0</v>
      </c>
      <c r="B12876" s="3" t="s">
        <v>36502</v>
      </c>
      <c r="C12876" s="3">
        <v>0.0</v>
      </c>
      <c r="D12876" s="3">
        <v>0.0</v>
      </c>
      <c r="E12876" s="3">
        <v>25.0</v>
      </c>
      <c r="F12876" s="3" t="s">
        <v>36503</v>
      </c>
      <c r="G12876" s="3">
        <v>1.0</v>
      </c>
      <c r="H12876" s="3">
        <v>0.0</v>
      </c>
      <c r="I12876" s="3" t="s">
        <v>13</v>
      </c>
      <c r="J12876" s="3" t="s">
        <v>36504</v>
      </c>
      <c r="K12876" s="3" t="s">
        <v>441</v>
      </c>
      <c r="L12876" s="3" t="str">
        <f>IFERROR(__xludf.DUMMYFUNCTION("GOOGLETRANSLATE(F12876,""id"",""en"")"),"Argentina is a big team subscribed to be the final and has been champion Pilduun when it is called the settings if the small team like Portugal has never entered the final then the champion is just setting")</f>
        <v>Argentina is a big team subscribed to be the final and has been champion Pilduun when it is called the settings if the small team like Portugal has never entered the final then the champion is just setting</v>
      </c>
    </row>
    <row r="12877" ht="15.75" customHeight="1">
      <c r="A12877" s="1">
        <v>14199.0</v>
      </c>
      <c r="B12877" s="3" t="s">
        <v>36505</v>
      </c>
      <c r="C12877" s="3">
        <v>0.0</v>
      </c>
      <c r="D12877" s="3">
        <v>0.0</v>
      </c>
      <c r="E12877" s="3">
        <v>0.0</v>
      </c>
      <c r="F12877" s="3" t="s">
        <v>36506</v>
      </c>
      <c r="G12877" s="3">
        <v>1.0</v>
      </c>
      <c r="H12877" s="3">
        <v>0.0</v>
      </c>
      <c r="I12877" s="3" t="s">
        <v>13</v>
      </c>
      <c r="J12877" s="3" t="s">
        <v>36507</v>
      </c>
      <c r="K12877" s="3" t="s">
        <v>41</v>
      </c>
      <c r="L12877" s="3" t="str">
        <f>IFERROR(__xludf.DUMMYFUNCTION("GOOGLETRANSLATE(F12877,""id"",""en"")"),"The final is fun like this, that says that the world cup is setting")</f>
        <v>The final is fun like this, that says that the world cup is setting</v>
      </c>
    </row>
    <row r="12878" ht="15.75" customHeight="1">
      <c r="A12878" s="1">
        <v>14200.0</v>
      </c>
      <c r="B12878" s="3" t="s">
        <v>36508</v>
      </c>
      <c r="C12878" s="3">
        <v>0.0</v>
      </c>
      <c r="D12878" s="3">
        <v>0.0</v>
      </c>
      <c r="E12878" s="3">
        <v>0.0</v>
      </c>
      <c r="F12878" s="3" t="s">
        <v>36509</v>
      </c>
      <c r="G12878" s="3">
        <v>1.0</v>
      </c>
      <c r="H12878" s="3">
        <v>0.0</v>
      </c>
      <c r="I12878" s="3" t="s">
        <v>13</v>
      </c>
      <c r="J12878" s="3" t="s">
        <v>36510</v>
      </c>
      <c r="K12878" s="3" t="s">
        <v>1097</v>
      </c>
      <c r="L12878" s="3" t="str">
        <f>IFERROR(__xludf.DUMMYFUNCTION("GOOGLETRANSLATE(F12878,""id"",""en"")"),"The extraordinary final oooooiii from yesterday shouted settings")</f>
        <v>The extraordinary final oooooiii from yesterday shouted settings</v>
      </c>
    </row>
    <row r="12879" ht="15.75" customHeight="1">
      <c r="A12879" s="1">
        <v>14202.0</v>
      </c>
      <c r="B12879" s="3" t="s">
        <v>36511</v>
      </c>
      <c r="C12879" s="3">
        <v>0.0</v>
      </c>
      <c r="D12879" s="3">
        <v>0.0</v>
      </c>
      <c r="E12879" s="3">
        <v>0.0</v>
      </c>
      <c r="F12879" s="3" t="s">
        <v>36512</v>
      </c>
      <c r="G12879" s="3">
        <v>1.0</v>
      </c>
      <c r="H12879" s="3">
        <v>0.0</v>
      </c>
      <c r="I12879" s="3" t="s">
        <v>13</v>
      </c>
      <c r="J12879" s="3" t="s">
        <v>36513</v>
      </c>
      <c r="K12879" s="3" t="s">
        <v>1097</v>
      </c>
      <c r="L12879" s="3" t="str">
        <f>IFERROR(__xludf.DUMMYFUNCTION("GOOGLETRANSLATE(F12879,""id"",""en"")"),"if someone says the final settings are severe because it can be guessed with bad crazy")</f>
        <v>if someone says the final settings are severe because it can be guessed with bad crazy</v>
      </c>
    </row>
    <row r="12880" ht="15.75" customHeight="1">
      <c r="A12880" s="1">
        <v>14203.0</v>
      </c>
      <c r="B12880" s="3" t="s">
        <v>36514</v>
      </c>
      <c r="C12880" s="3">
        <v>0.0</v>
      </c>
      <c r="D12880" s="3">
        <v>0.0</v>
      </c>
      <c r="E12880" s="3">
        <v>0.0</v>
      </c>
      <c r="F12880" s="3" t="s">
        <v>36515</v>
      </c>
      <c r="G12880" s="3">
        <v>0.75</v>
      </c>
      <c r="H12880" s="3">
        <v>0.2</v>
      </c>
      <c r="I12880" s="3" t="s">
        <v>48</v>
      </c>
      <c r="J12880" s="3" t="s">
        <v>36516</v>
      </c>
      <c r="K12880" s="3" t="s">
        <v>50</v>
      </c>
      <c r="L12880" s="3" t="str">
        <f>IFERROR(__xludf.DUMMYFUNCTION("GOOGLETRANSLATE(F12880,""id"",""en"")"),"Apart from the many, the settings are still entertained to be entertained")</f>
        <v>Apart from the many, the settings are still entertained to be entertained</v>
      </c>
    </row>
    <row r="12881" ht="15.75" customHeight="1">
      <c r="A12881" s="1">
        <v>14204.0</v>
      </c>
      <c r="B12881" s="3" t="s">
        <v>36517</v>
      </c>
      <c r="C12881" s="3">
        <v>0.0</v>
      </c>
      <c r="D12881" s="3">
        <v>0.0</v>
      </c>
      <c r="E12881" s="3">
        <v>0.0</v>
      </c>
      <c r="F12881" s="3" t="s">
        <v>36518</v>
      </c>
      <c r="G12881" s="3">
        <v>1.0</v>
      </c>
      <c r="H12881" s="3">
        <v>0.0</v>
      </c>
      <c r="I12881" s="3" t="s">
        <v>13</v>
      </c>
      <c r="J12881" s="3" t="s">
        <v>36519</v>
      </c>
      <c r="K12881" s="3" t="s">
        <v>123</v>
      </c>
      <c r="L12881" s="3" t="str">
        <f>IFERROR(__xludf.DUMMYFUNCTION("GOOGLETRANSLATE(F12881,""id"",""en"")"),"said the settings of watching noh crazy final chasing atmospheric emotions of the best final drama ever Vamos Argentina")</f>
        <v>said the settings of watching noh crazy final chasing atmospheric emotions of the best final drama ever Vamos Argentina</v>
      </c>
    </row>
    <row r="12882" ht="15.75" customHeight="1">
      <c r="A12882" s="1">
        <v>14205.0</v>
      </c>
      <c r="B12882" s="3" t="s">
        <v>36520</v>
      </c>
      <c r="C12882" s="3">
        <v>2.0</v>
      </c>
      <c r="D12882" s="3">
        <v>0.0</v>
      </c>
      <c r="E12882" s="3">
        <v>0.0</v>
      </c>
      <c r="F12882" s="3" t="s">
        <v>36521</v>
      </c>
      <c r="G12882" s="3">
        <v>1.0</v>
      </c>
      <c r="H12882" s="3">
        <v>0.0</v>
      </c>
      <c r="I12882" s="3" t="s">
        <v>13</v>
      </c>
      <c r="J12882" s="3" t="s">
        <v>36522</v>
      </c>
      <c r="K12882" s="3" t="s">
        <v>31</v>
      </c>
      <c r="L12882" s="3" t="str">
        <f>IFERROR(__xludf.DUMMYFUNCTION("GOOGLETRANSLATE(F12882,""id"",""en"")"),"who says this is the final setting of mamam, the heart is wkwkwwk")</f>
        <v>who says this is the final setting of mamam, the heart is wkwkwwk</v>
      </c>
    </row>
    <row r="12883" ht="15.75" customHeight="1">
      <c r="A12883" s="1">
        <v>14206.0</v>
      </c>
      <c r="B12883" s="3" t="s">
        <v>36523</v>
      </c>
      <c r="C12883" s="3">
        <v>1.0</v>
      </c>
      <c r="D12883" s="3">
        <v>0.0</v>
      </c>
      <c r="E12883" s="3">
        <v>3.0</v>
      </c>
      <c r="F12883" s="3" t="s">
        <v>36524</v>
      </c>
      <c r="G12883" s="3">
        <v>1.0</v>
      </c>
      <c r="H12883" s="3">
        <v>0.0</v>
      </c>
      <c r="I12883" s="3" t="s">
        <v>13</v>
      </c>
      <c r="J12883" s="3" t="s">
        <v>36525</v>
      </c>
      <c r="K12883" s="3" t="s">
        <v>75</v>
      </c>
      <c r="L12883" s="3" t="str">
        <f>IFERROR(__xludf.DUMMYFUNCTION("GOOGLETRANSLATE(F12883,""id"",""en"")"),"The setting I think this is the final drama really exciting like a soap opera")</f>
        <v>The setting I think this is the final drama really exciting like a soap opera</v>
      </c>
    </row>
    <row r="12884" ht="15.75" customHeight="1">
      <c r="A12884" s="1">
        <v>14207.0</v>
      </c>
      <c r="B12884" s="3" t="s">
        <v>36526</v>
      </c>
      <c r="C12884" s="3">
        <v>0.0</v>
      </c>
      <c r="D12884" s="3">
        <v>0.0</v>
      </c>
      <c r="E12884" s="3">
        <v>0.0</v>
      </c>
      <c r="F12884" s="3" t="s">
        <v>36527</v>
      </c>
      <c r="G12884" s="3">
        <v>1.0</v>
      </c>
      <c r="H12884" s="3">
        <v>0.0</v>
      </c>
      <c r="I12884" s="3" t="s">
        <v>13</v>
      </c>
      <c r="J12884" s="3" t="s">
        <v>36528</v>
      </c>
      <c r="K12884" s="3" t="s">
        <v>695</v>
      </c>
      <c r="L12884" s="3" t="str">
        <f>IFERROR(__xludf.DUMMYFUNCTION("GOOGLETRANSLATE(F12884,""id"",""en"")"),"Messi Ronaldo Double We End This Debate This Fans' Fans First Move where there is a setting as long as this is the best Final Handing in the Life Stars for Argentina")</f>
        <v>Messi Ronaldo Double We End This Debate This Fans' Fans First Move where there is a setting as long as this is the best Final Handing in the Life Stars for Argentina</v>
      </c>
    </row>
    <row r="12885" ht="15.75" customHeight="1">
      <c r="A12885" s="1">
        <v>14208.0</v>
      </c>
      <c r="B12885" s="3" t="s">
        <v>36529</v>
      </c>
      <c r="C12885" s="3">
        <v>0.0</v>
      </c>
      <c r="D12885" s="3">
        <v>0.0</v>
      </c>
      <c r="E12885" s="3">
        <v>0.0</v>
      </c>
      <c r="F12885" s="3" t="s">
        <v>36530</v>
      </c>
      <c r="G12885" s="3">
        <v>1.0</v>
      </c>
      <c r="H12885" s="3">
        <v>0.0</v>
      </c>
      <c r="I12885" s="3" t="s">
        <v>13</v>
      </c>
      <c r="J12885" s="3" t="s">
        <v>36531</v>
      </c>
      <c r="K12885" s="3" t="s">
        <v>1518</v>
      </c>
      <c r="L12885" s="3" t="str">
        <f>IFERROR(__xludf.DUMMYFUNCTION("GOOGLETRANSLATE(F12885,""id"",""en"")"),"Forward all here a bastard that says this world cup has been set so that Argentina is the final champion like this, it says that the setting of the Fakkk really says that there is the most Dutch pundit.")</f>
        <v>Forward all here a bastard that says this world cup has been set so that Argentina is the final champion like this, it says that the setting of the Fakkk really says that there is the most Dutch pundit.</v>
      </c>
    </row>
    <row r="12886" ht="15.75" customHeight="1">
      <c r="A12886" s="1">
        <v>14209.0</v>
      </c>
      <c r="B12886" s="3" t="s">
        <v>36532</v>
      </c>
      <c r="C12886" s="3">
        <v>1.0</v>
      </c>
      <c r="D12886" s="3">
        <v>1.0</v>
      </c>
      <c r="E12886" s="3">
        <v>40.0</v>
      </c>
      <c r="F12886" s="3" t="s">
        <v>36533</v>
      </c>
      <c r="G12886" s="3">
        <v>1.0</v>
      </c>
      <c r="H12886" s="3">
        <v>0.0</v>
      </c>
      <c r="I12886" s="3" t="s">
        <v>13</v>
      </c>
      <c r="J12886" s="3" t="s">
        <v>36534</v>
      </c>
      <c r="K12886" s="3" t="s">
        <v>19</v>
      </c>
      <c r="L12886" s="3" t="str">
        <f>IFERROR(__xludf.DUMMYFUNCTION("GOOGLETRANSLATE(F12886,""id"",""en"")"),"for those who say this is already the setting of your face, the dick is the final, the most excited dog")</f>
        <v>for those who say this is already the setting of your face, the dick is the final, the most excited dog</v>
      </c>
    </row>
    <row r="12887" ht="15.75" customHeight="1">
      <c r="A12887" s="1">
        <v>14210.0</v>
      </c>
      <c r="B12887" s="3" t="s">
        <v>36535</v>
      </c>
      <c r="C12887" s="3">
        <v>2.0</v>
      </c>
      <c r="D12887" s="3">
        <v>0.0</v>
      </c>
      <c r="E12887" s="3">
        <v>0.0</v>
      </c>
      <c r="F12887" s="3" t="s">
        <v>36536</v>
      </c>
      <c r="G12887" s="3">
        <v>1.0</v>
      </c>
      <c r="H12887" s="3">
        <v>0.0</v>
      </c>
      <c r="I12887" s="3" t="s">
        <v>13</v>
      </c>
      <c r="J12887" s="3" t="s">
        <v>36537</v>
      </c>
      <c r="K12887" s="3" t="s">
        <v>14571</v>
      </c>
      <c r="L12887" s="3" t="str">
        <f>IFERROR(__xludf.DUMMYFUNCTION("GOOGLETRANSLATE(F12887,""id"",""en"")"),"Final settings")</f>
        <v>Final settings</v>
      </c>
    </row>
    <row r="12888" ht="15.75" customHeight="1">
      <c r="A12888" s="1">
        <v>14211.0</v>
      </c>
      <c r="B12888" s="3" t="s">
        <v>36538</v>
      </c>
      <c r="C12888" s="3">
        <v>1.0</v>
      </c>
      <c r="D12888" s="3">
        <v>0.0</v>
      </c>
      <c r="E12888" s="3">
        <v>0.0</v>
      </c>
      <c r="F12888" s="3" t="s">
        <v>36539</v>
      </c>
      <c r="G12888" s="3">
        <v>1.0</v>
      </c>
      <c r="H12888" s="3">
        <v>0.0</v>
      </c>
      <c r="I12888" s="3" t="s">
        <v>13</v>
      </c>
      <c r="J12888" s="3" t="s">
        <v>36540</v>
      </c>
      <c r="K12888" s="3" t="s">
        <v>348</v>
      </c>
      <c r="L12888" s="3" t="str">
        <f>IFERROR(__xludf.DUMMYFUNCTION("GOOGLETRANSLATE(F12888,""id"",""en"")"),"I was more curious about his opinion coach Justin about the final tonight he said Argentina looked the settings and continued to be given a penalty alias assisted by the referee")</f>
        <v>I was more curious about his opinion coach Justin about the final tonight he said Argentina looked the settings and continued to be given a penalty alias assisted by the referee</v>
      </c>
    </row>
    <row r="12889" ht="15.75" customHeight="1">
      <c r="A12889" s="1">
        <v>14212.0</v>
      </c>
      <c r="B12889" s="3" t="s">
        <v>36541</v>
      </c>
      <c r="C12889" s="3">
        <v>0.0</v>
      </c>
      <c r="D12889" s="3">
        <v>0.0</v>
      </c>
      <c r="E12889" s="3">
        <v>0.0</v>
      </c>
      <c r="F12889" s="3" t="s">
        <v>36527</v>
      </c>
      <c r="G12889" s="3">
        <v>1.0</v>
      </c>
      <c r="H12889" s="3">
        <v>0.0</v>
      </c>
      <c r="I12889" s="3" t="s">
        <v>13</v>
      </c>
      <c r="J12889" s="3" t="s">
        <v>36528</v>
      </c>
      <c r="K12889" s="3" t="s">
        <v>695</v>
      </c>
      <c r="L12889" s="3" t="str">
        <f>IFERROR(__xludf.DUMMYFUNCTION("GOOGLETRANSLATE(F12889,""id"",""en"")"),"Messi Ronaldo Double We End This Debate This Fans' Fans First Move where there is a setting as long as this is the best Final Handing in the Life Stars for Argentina")</f>
        <v>Messi Ronaldo Double We End This Debate This Fans' Fans First Move where there is a setting as long as this is the best Final Handing in the Life Stars for Argentina</v>
      </c>
    </row>
    <row r="12890" ht="15.75" customHeight="1">
      <c r="A12890" s="1">
        <v>14213.0</v>
      </c>
      <c r="B12890" s="3" t="s">
        <v>36542</v>
      </c>
      <c r="C12890" s="3">
        <v>0.0</v>
      </c>
      <c r="D12890" s="3">
        <v>0.0</v>
      </c>
      <c r="E12890" s="3">
        <v>0.0</v>
      </c>
      <c r="F12890" s="3" t="s">
        <v>36543</v>
      </c>
      <c r="G12890" s="3">
        <v>0.7</v>
      </c>
      <c r="H12890" s="3">
        <v>0.05</v>
      </c>
      <c r="I12890" s="3" t="s">
        <v>48</v>
      </c>
      <c r="J12890" s="3" t="s">
        <v>36544</v>
      </c>
      <c r="K12890" s="3" t="s">
        <v>41</v>
      </c>
      <c r="L12890" s="3" t="str">
        <f>IFERROR(__xludf.DUMMYFUNCTION("GOOGLETRANSLATE(F12890,""id"",""en"")"),"who said the Kudu setting was held by the Eiffel Final Epic Gini Tower pole")</f>
        <v>who said the Kudu setting was held by the Eiffel Final Epic Gini Tower pole</v>
      </c>
    </row>
    <row r="12891" ht="15.75" customHeight="1">
      <c r="A12891" s="1">
        <v>14214.0</v>
      </c>
      <c r="B12891" s="3" t="s">
        <v>36545</v>
      </c>
      <c r="C12891" s="3">
        <v>0.0</v>
      </c>
      <c r="D12891" s="3">
        <v>0.0</v>
      </c>
      <c r="E12891" s="3">
        <v>0.0</v>
      </c>
      <c r="F12891" s="3" t="s">
        <v>36546</v>
      </c>
      <c r="G12891" s="3">
        <v>1.0</v>
      </c>
      <c r="H12891" s="3">
        <v>0.0</v>
      </c>
      <c r="I12891" s="3" t="s">
        <v>13</v>
      </c>
      <c r="J12891" s="3" t="s">
        <v>36547</v>
      </c>
      <c r="K12891" s="3" t="s">
        <v>644</v>
      </c>
      <c r="L12891" s="3" t="str">
        <f>IFERROR(__xludf.DUMMYFUNCTION("GOOGLETRANSLATE(F12891,""id"",""en"")"),"the best final that is said to be setting")</f>
        <v>the best final that is said to be setting</v>
      </c>
    </row>
    <row r="12892" ht="15.75" customHeight="1">
      <c r="A12892" s="1">
        <v>14215.0</v>
      </c>
      <c r="B12892" s="3" t="s">
        <v>36548</v>
      </c>
      <c r="C12892" s="3">
        <v>1.0</v>
      </c>
      <c r="D12892" s="3">
        <v>0.0</v>
      </c>
      <c r="E12892" s="3">
        <v>0.0</v>
      </c>
      <c r="F12892" s="3" t="s">
        <v>36549</v>
      </c>
      <c r="G12892" s="3">
        <v>1.0</v>
      </c>
      <c r="H12892" s="3">
        <v>0.0</v>
      </c>
      <c r="I12892" s="3" t="s">
        <v>13</v>
      </c>
      <c r="J12892" s="3" t="s">
        <v>36550</v>
      </c>
      <c r="K12892" s="3" t="s">
        <v>510</v>
      </c>
      <c r="L12892" s="3" t="str">
        <f>IFERROR(__xludf.DUMMYFUNCTION("GOOGLETRANSLATE(F12892,""id"",""en"")"),"Apart from the settings this is not the exciting final of Argentina French Congrats for Messi and other comrades in arms")</f>
        <v>Apart from the settings this is not the exciting final of Argentina French Congrats for Messi and other comrades in arms</v>
      </c>
    </row>
    <row r="12893" ht="15.75" customHeight="1">
      <c r="A12893" s="1">
        <v>14216.0</v>
      </c>
      <c r="B12893" s="3" t="s">
        <v>36551</v>
      </c>
      <c r="C12893" s="3">
        <v>0.0</v>
      </c>
      <c r="D12893" s="3">
        <v>0.0</v>
      </c>
      <c r="E12893" s="3">
        <v>0.0</v>
      </c>
      <c r="F12893" s="3" t="s">
        <v>36552</v>
      </c>
      <c r="G12893" s="3">
        <v>1.0</v>
      </c>
      <c r="H12893" s="3">
        <v>0.0</v>
      </c>
      <c r="I12893" s="3" t="s">
        <v>13</v>
      </c>
      <c r="J12893" s="3" t="s">
        <v>36553</v>
      </c>
      <c r="K12893" s="3" t="s">
        <v>31</v>
      </c>
      <c r="L12893" s="3" t="str">
        <f>IFERROR(__xludf.DUMMYFUNCTION("GOOGLETRANSLATE(F12893,""id"",""en"")"),"here who said the final bastard settings broke out")</f>
        <v>here who said the final bastard settings broke out</v>
      </c>
    </row>
    <row r="12894" ht="15.75" customHeight="1">
      <c r="A12894" s="1">
        <v>14218.0</v>
      </c>
      <c r="B12894" s="3" t="s">
        <v>36554</v>
      </c>
      <c r="C12894" s="3">
        <v>0.0</v>
      </c>
      <c r="D12894" s="3">
        <v>0.0</v>
      </c>
      <c r="E12894" s="3">
        <v>0.0</v>
      </c>
      <c r="F12894" s="3" t="s">
        <v>36554</v>
      </c>
      <c r="G12894" s="3">
        <v>1.0</v>
      </c>
      <c r="H12894" s="3">
        <v>0.0</v>
      </c>
      <c r="I12894" s="3" t="s">
        <v>13</v>
      </c>
      <c r="J12894" s="3" t="s">
        <v>36555</v>
      </c>
      <c r="K12894" s="3" t="s">
        <v>1097</v>
      </c>
      <c r="L12894" s="3" t="str">
        <f>IFERROR(__xludf.DUMMYFUNCTION("GOOGLETRANSLATE(F12894,""id"",""en"")"),"Arep Settingan Arep Orak But Final Iki is very exciting cokkkk")</f>
        <v>Arep Settingan Arep Orak But Final Iki is very exciting cokkkk</v>
      </c>
    </row>
    <row r="12895" ht="15.75" customHeight="1">
      <c r="A12895" s="1">
        <v>14219.0</v>
      </c>
      <c r="B12895" s="3" t="s">
        <v>36556</v>
      </c>
      <c r="C12895" s="3">
        <v>0.0</v>
      </c>
      <c r="D12895" s="3">
        <v>0.0</v>
      </c>
      <c r="E12895" s="3">
        <v>0.0</v>
      </c>
      <c r="F12895" s="3" t="s">
        <v>36557</v>
      </c>
      <c r="G12895" s="3">
        <v>1.0</v>
      </c>
      <c r="H12895" s="3">
        <v>0.0</v>
      </c>
      <c r="I12895" s="3" t="s">
        <v>13</v>
      </c>
      <c r="J12895" s="3" t="s">
        <v>36558</v>
      </c>
      <c r="K12895" s="3" t="s">
        <v>41</v>
      </c>
      <c r="L12895" s="3" t="str">
        <f>IFERROR(__xludf.DUMMYFUNCTION("GOOGLETRANSLATE(F12895,""id"",""en"")"),"he said Pildun Settings wkwwk turned out to be mbappe rubbing the final voucher")</f>
        <v>he said Pildun Settings wkwwk turned out to be mbappe rubbing the final voucher</v>
      </c>
    </row>
    <row r="12896" ht="15.75" customHeight="1">
      <c r="A12896" s="1">
        <v>14220.0</v>
      </c>
      <c r="B12896" s="3" t="s">
        <v>36559</v>
      </c>
      <c r="C12896" s="3">
        <v>0.0</v>
      </c>
      <c r="D12896" s="3">
        <v>0.0</v>
      </c>
      <c r="E12896" s="3">
        <v>0.0</v>
      </c>
      <c r="F12896" s="3" t="s">
        <v>36560</v>
      </c>
      <c r="G12896" s="3">
        <v>1.0</v>
      </c>
      <c r="H12896" s="3">
        <v>0.0</v>
      </c>
      <c r="I12896" s="3" t="s">
        <v>13</v>
      </c>
      <c r="J12896" s="3" t="s">
        <v>36561</v>
      </c>
      <c r="K12896" s="3" t="s">
        <v>54</v>
      </c>
      <c r="L12896" s="3" t="str">
        <f>IFERROR(__xludf.DUMMYFUNCTION("GOOGLETRANSLATE(F12896,""id"",""en"")"),"Final settings are very exciting")</f>
        <v>Final settings are very exciting</v>
      </c>
    </row>
    <row r="12897" ht="15.75" customHeight="1">
      <c r="A12897" s="1">
        <v>14221.0</v>
      </c>
      <c r="B12897" s="3" t="s">
        <v>36562</v>
      </c>
      <c r="C12897" s="3">
        <v>0.0</v>
      </c>
      <c r="D12897" s="3">
        <v>0.0</v>
      </c>
      <c r="E12897" s="3">
        <v>0.0</v>
      </c>
      <c r="F12897" s="3" t="s">
        <v>36563</v>
      </c>
      <c r="G12897" s="3">
        <v>1.0</v>
      </c>
      <c r="H12897" s="3">
        <v>0.0</v>
      </c>
      <c r="I12897" s="3" t="s">
        <v>13</v>
      </c>
      <c r="J12897" s="3" t="s">
        <v>36537</v>
      </c>
      <c r="K12897" s="3" t="s">
        <v>14571</v>
      </c>
      <c r="L12897" s="3" t="str">
        <f>IFERROR(__xludf.DUMMYFUNCTION("GOOGLETRANSLATE(F12897,""id"",""en"")"),"Final setting or not")</f>
        <v>Final setting or not</v>
      </c>
    </row>
    <row r="12898" ht="15.75" customHeight="1">
      <c r="A12898" s="1">
        <v>14222.0</v>
      </c>
      <c r="B12898" s="3" t="s">
        <v>36564</v>
      </c>
      <c r="C12898" s="3">
        <v>0.0</v>
      </c>
      <c r="D12898" s="3">
        <v>0.0</v>
      </c>
      <c r="E12898" s="3">
        <v>0.0</v>
      </c>
      <c r="F12898" s="3" t="s">
        <v>36565</v>
      </c>
      <c r="G12898" s="3">
        <v>1.0</v>
      </c>
      <c r="H12898" s="3">
        <v>0.0</v>
      </c>
      <c r="I12898" s="3" t="s">
        <v>13</v>
      </c>
      <c r="J12898" s="3" t="s">
        <v>36566</v>
      </c>
      <c r="K12898" s="3" t="s">
        <v>54</v>
      </c>
      <c r="L12898" s="3" t="str">
        <f>IFERROR(__xludf.DUMMYFUNCTION("GOOGLETRANSLATE(F12898,""id"",""en"")"),"said Final Settings I Cekek Siah Maneh")</f>
        <v>said Final Settings I Cekek Siah Maneh</v>
      </c>
    </row>
    <row r="12899" ht="15.75" customHeight="1">
      <c r="A12899" s="1">
        <v>14224.0</v>
      </c>
      <c r="B12899" s="3" t="s">
        <v>36567</v>
      </c>
      <c r="C12899" s="3">
        <v>2.0</v>
      </c>
      <c r="D12899" s="3">
        <v>0.0</v>
      </c>
      <c r="E12899" s="3">
        <v>0.0</v>
      </c>
      <c r="F12899" s="3" t="s">
        <v>36568</v>
      </c>
      <c r="G12899" s="3">
        <v>1.0</v>
      </c>
      <c r="H12899" s="3">
        <v>0.0</v>
      </c>
      <c r="I12899" s="3" t="s">
        <v>13</v>
      </c>
      <c r="J12899" s="3" t="s">
        <v>36569</v>
      </c>
      <c r="K12899" s="3" t="s">
        <v>6752</v>
      </c>
      <c r="L12899" s="3" t="str">
        <f>IFERROR(__xludf.DUMMYFUNCTION("GOOGLETRANSLATE(F12899,""id"",""en"")"),"FIFA Settingan Final Settings Settings Settingan settings")</f>
        <v>FIFA Settingan Final Settings Settings Settingan settings</v>
      </c>
    </row>
    <row r="12900" ht="15.75" customHeight="1">
      <c r="A12900" s="1">
        <v>14225.0</v>
      </c>
      <c r="B12900" s="3" t="s">
        <v>36570</v>
      </c>
      <c r="C12900" s="3">
        <v>0.0</v>
      </c>
      <c r="D12900" s="3">
        <v>0.0</v>
      </c>
      <c r="E12900" s="3">
        <v>0.0</v>
      </c>
      <c r="F12900" s="3" t="s">
        <v>36571</v>
      </c>
      <c r="G12900" s="3">
        <v>1.0</v>
      </c>
      <c r="H12900" s="3">
        <v>0.0</v>
      </c>
      <c r="I12900" s="3" t="s">
        <v>13</v>
      </c>
      <c r="J12900" s="3" t="s">
        <v>36572</v>
      </c>
      <c r="K12900" s="3" t="s">
        <v>244</v>
      </c>
      <c r="L12900" s="3" t="str">
        <f>IFERROR(__xludf.DUMMYFUNCTION("GOOGLETRANSLATE(F12900,""id"",""en"")"),"I am very happy to see the beginning of the beginning of the final setting of Argentina Fix not being able to sleep")</f>
        <v>I am very happy to see the beginning of the beginning of the final setting of Argentina Fix not being able to sleep</v>
      </c>
    </row>
    <row r="12901" ht="15.75" customHeight="1">
      <c r="A12901" s="1">
        <v>14227.0</v>
      </c>
      <c r="B12901" s="3" t="s">
        <v>36573</v>
      </c>
      <c r="C12901" s="3">
        <v>0.0</v>
      </c>
      <c r="D12901" s="3">
        <v>0.0</v>
      </c>
      <c r="E12901" s="3">
        <v>0.0</v>
      </c>
      <c r="F12901" s="3" t="s">
        <v>36574</v>
      </c>
      <c r="G12901" s="3">
        <v>1.0</v>
      </c>
      <c r="H12901" s="3">
        <v>0.0</v>
      </c>
      <c r="I12901" s="3" t="s">
        <v>13</v>
      </c>
      <c r="J12901" s="3" t="s">
        <v>36575</v>
      </c>
      <c r="K12901" s="3" t="s">
        <v>54</v>
      </c>
      <c r="L12901" s="3" t="str">
        <f>IFERROR(__xludf.DUMMYFUNCTION("GOOGLETRANSLATE(F12901,""id"",""en"")"),"The final period of exciting gini is said to be setting")</f>
        <v>The final period of exciting gini is said to be setting</v>
      </c>
    </row>
    <row r="12902" ht="15.75" customHeight="1">
      <c r="A12902" s="1">
        <v>14228.0</v>
      </c>
      <c r="B12902" s="3" t="s">
        <v>36576</v>
      </c>
      <c r="C12902" s="3">
        <v>0.0</v>
      </c>
      <c r="D12902" s="3">
        <v>0.0</v>
      </c>
      <c r="E12902" s="3">
        <v>0.0</v>
      </c>
      <c r="F12902" s="3" t="s">
        <v>36577</v>
      </c>
      <c r="G12902" s="3">
        <v>1.0</v>
      </c>
      <c r="H12902" s="3">
        <v>0.0</v>
      </c>
      <c r="I12902" s="3" t="s">
        <v>13</v>
      </c>
      <c r="J12902" s="3" t="s">
        <v>36578</v>
      </c>
      <c r="K12902" s="3" t="s">
        <v>31</v>
      </c>
      <c r="L12902" s="3" t="str">
        <f>IFERROR(__xludf.DUMMYFUNCTION("GOOGLETRANSLATE(F12902,""id"",""en"")"),"but cool this final is what is the settings wkwk")</f>
        <v>but cool this final is what is the settings wkwk</v>
      </c>
    </row>
    <row r="12903" ht="15.75" customHeight="1">
      <c r="A12903" s="1">
        <v>14230.0</v>
      </c>
      <c r="B12903" s="3" t="s">
        <v>36579</v>
      </c>
      <c r="C12903" s="3">
        <v>0.0</v>
      </c>
      <c r="D12903" s="3">
        <v>0.0</v>
      </c>
      <c r="E12903" s="3">
        <v>0.0</v>
      </c>
      <c r="F12903" s="3" t="s">
        <v>36580</v>
      </c>
      <c r="G12903" s="3">
        <v>1.0</v>
      </c>
      <c r="H12903" s="3">
        <v>0.0</v>
      </c>
      <c r="I12903" s="3" t="s">
        <v>13</v>
      </c>
      <c r="J12903" s="3" t="s">
        <v>36581</v>
      </c>
      <c r="K12903" s="3" t="s">
        <v>82</v>
      </c>
      <c r="L12903" s="3" t="str">
        <f>IFERROR(__xludf.DUMMYFUNCTION("GOOGLETRANSLATE(F12903,""id"",""en"")"),"who says the final worldcup settings is like that how can you bgstttt")</f>
        <v>who says the final worldcup settings is like that how can you bgstttt</v>
      </c>
    </row>
    <row r="12904" ht="15.75" customHeight="1">
      <c r="A12904" s="1">
        <v>14231.0</v>
      </c>
      <c r="B12904" s="3" t="s">
        <v>36582</v>
      </c>
      <c r="C12904" s="3">
        <v>0.0</v>
      </c>
      <c r="D12904" s="3">
        <v>0.0</v>
      </c>
      <c r="E12904" s="3">
        <v>0.0</v>
      </c>
      <c r="F12904" s="3" t="s">
        <v>36582</v>
      </c>
      <c r="G12904" s="3">
        <v>1.0</v>
      </c>
      <c r="H12904" s="3">
        <v>0.0</v>
      </c>
      <c r="I12904" s="3" t="s">
        <v>13</v>
      </c>
      <c r="J12904" s="3" t="s">
        <v>36583</v>
      </c>
      <c r="K12904" s="3" t="s">
        <v>644</v>
      </c>
      <c r="L12904" s="3" t="str">
        <f>IFERROR(__xludf.DUMMYFUNCTION("GOOGLETRANSLATE(F12904,""id"",""en"")"),"This final argues the settings")</f>
        <v>This final argues the settings</v>
      </c>
    </row>
    <row r="12905" ht="15.75" customHeight="1">
      <c r="A12905" s="1">
        <v>14232.0</v>
      </c>
      <c r="B12905" s="3" t="s">
        <v>36584</v>
      </c>
      <c r="C12905" s="3">
        <v>0.0</v>
      </c>
      <c r="D12905" s="3">
        <v>0.0</v>
      </c>
      <c r="E12905" s="3">
        <v>0.0</v>
      </c>
      <c r="F12905" s="3" t="s">
        <v>36585</v>
      </c>
      <c r="G12905" s="3">
        <v>1.0</v>
      </c>
      <c r="H12905" s="3">
        <v>0.0</v>
      </c>
      <c r="I12905" s="3" t="s">
        <v>13</v>
      </c>
      <c r="J12905" s="3" t="s">
        <v>36586</v>
      </c>
      <c r="K12905" s="3" t="s">
        <v>510</v>
      </c>
      <c r="L12905" s="3" t="str">
        <f>IFERROR(__xludf.DUMMYFUNCTION("GOOGLETRANSLATE(F12905,""id"",""en"")"),"This is the final setting of a weight referee once France attacks and gets the ball of the ball there is his actions to stop the momentum")</f>
        <v>This is the final setting of a weight referee once France attacks and gets the ball of the ball there is his actions to stop the momentum</v>
      </c>
    </row>
    <row r="12906" ht="15.75" customHeight="1">
      <c r="A12906" s="1">
        <v>14233.0</v>
      </c>
      <c r="B12906" s="3" t="s">
        <v>36587</v>
      </c>
      <c r="C12906" s="3">
        <v>0.0</v>
      </c>
      <c r="D12906" s="3">
        <v>0.0</v>
      </c>
      <c r="E12906" s="3">
        <v>0.0</v>
      </c>
      <c r="F12906" s="3" t="s">
        <v>36588</v>
      </c>
      <c r="G12906" s="3">
        <v>1.0</v>
      </c>
      <c r="H12906" s="3">
        <v>0.0</v>
      </c>
      <c r="I12906" s="3" t="s">
        <v>13</v>
      </c>
      <c r="J12906" s="3" t="s">
        <v>36589</v>
      </c>
      <c r="K12906" s="3" t="s">
        <v>31</v>
      </c>
      <c r="L12906" s="3" t="str">
        <f>IFERROR(__xludf.DUMMYFUNCTION("GOOGLETRANSLATE(F12906,""id"",""en"")"),"final setting the word fans dodo")</f>
        <v>final setting the word fans dodo</v>
      </c>
    </row>
    <row r="12907" ht="15.75" customHeight="1">
      <c r="A12907" s="1">
        <v>14234.0</v>
      </c>
      <c r="B12907" s="3" t="s">
        <v>36590</v>
      </c>
      <c r="C12907" s="3">
        <v>0.0</v>
      </c>
      <c r="D12907" s="3">
        <v>0.0</v>
      </c>
      <c r="E12907" s="3">
        <v>3.0</v>
      </c>
      <c r="F12907" s="3" t="s">
        <v>36591</v>
      </c>
      <c r="G12907" s="3">
        <v>1.0</v>
      </c>
      <c r="H12907" s="3">
        <v>0.0</v>
      </c>
      <c r="I12907" s="3" t="s">
        <v>13</v>
      </c>
      <c r="J12907" s="3" t="s">
        <v>36592</v>
      </c>
      <c r="K12907" s="3" t="s">
        <v>82</v>
      </c>
      <c r="L12907" s="3" t="str">
        <f>IFERROR(__xludf.DUMMYFUNCTION("GOOGLETRANSLATE(F12907,""id"",""en"")"),"Trending Twitter from the beginning of the settings of what final")</f>
        <v>Trending Twitter from the beginning of the settings of what final</v>
      </c>
    </row>
    <row r="12908" ht="15.75" customHeight="1">
      <c r="A12908" s="1">
        <v>14235.0</v>
      </c>
      <c r="B12908" s="3" t="s">
        <v>36593</v>
      </c>
      <c r="C12908" s="3">
        <v>0.0</v>
      </c>
      <c r="D12908" s="3">
        <v>0.0</v>
      </c>
      <c r="E12908" s="3">
        <v>0.0</v>
      </c>
      <c r="F12908" s="3" t="s">
        <v>36593</v>
      </c>
      <c r="G12908" s="3">
        <v>1.0</v>
      </c>
      <c r="H12908" s="3">
        <v>0.0</v>
      </c>
      <c r="I12908" s="3" t="s">
        <v>13</v>
      </c>
      <c r="J12908" s="3" t="s">
        <v>36594</v>
      </c>
      <c r="K12908" s="3" t="s">
        <v>644</v>
      </c>
      <c r="L12908" s="3" t="str">
        <f>IFERROR(__xludf.DUMMYFUNCTION("GOOGLETRANSLATE(F12908,""id"",""en"")"),"KEK Settings Njir This Final")</f>
        <v>KEK Settings Njir This Final</v>
      </c>
    </row>
    <row r="12909" ht="15.75" customHeight="1">
      <c r="A12909" s="1">
        <v>14236.0</v>
      </c>
      <c r="B12909" s="3" t="s">
        <v>36595</v>
      </c>
      <c r="C12909" s="3">
        <v>0.0</v>
      </c>
      <c r="D12909" s="3">
        <v>0.0</v>
      </c>
      <c r="E12909" s="3">
        <v>0.0</v>
      </c>
      <c r="F12909" s="3" t="s">
        <v>36596</v>
      </c>
      <c r="G12909" s="3">
        <v>1.0</v>
      </c>
      <c r="H12909" s="3">
        <v>0.0</v>
      </c>
      <c r="I12909" s="3" t="s">
        <v>13</v>
      </c>
      <c r="J12909" s="3" t="s">
        <v>36597</v>
      </c>
      <c r="K12909" s="3" t="s">
        <v>31</v>
      </c>
      <c r="L12909" s="3" t="str">
        <f>IFERROR(__xludf.DUMMYFUNCTION("GOOGLETRANSLATE(F12909,""id"",""en"")"),"To hell by saying this settings this final final")</f>
        <v>To hell by saying this settings this final final</v>
      </c>
    </row>
    <row r="12910" ht="15.75" customHeight="1">
      <c r="A12910" s="1">
        <v>14237.0</v>
      </c>
      <c r="B12910" s="3" t="s">
        <v>36598</v>
      </c>
      <c r="C12910" s="3">
        <v>0.0</v>
      </c>
      <c r="D12910" s="3">
        <v>0.0</v>
      </c>
      <c r="E12910" s="3">
        <v>0.0</v>
      </c>
      <c r="F12910" s="3" t="s">
        <v>36599</v>
      </c>
      <c r="G12910" s="3">
        <v>1.0</v>
      </c>
      <c r="H12910" s="3">
        <v>0.0</v>
      </c>
      <c r="I12910" s="3" t="s">
        <v>13</v>
      </c>
      <c r="J12910" s="3" t="s">
        <v>36600</v>
      </c>
      <c r="K12910" s="3" t="s">
        <v>54</v>
      </c>
      <c r="L12910" s="3" t="str">
        <f>IFERROR(__xludf.DUMMYFUNCTION("GOOGLETRANSLATE(F12910,""id"",""en"")"),"Final Mact is excited")</f>
        <v>Final Mact is excited</v>
      </c>
    </row>
    <row r="12911" ht="15.75" customHeight="1">
      <c r="A12911" s="1">
        <v>14238.0</v>
      </c>
      <c r="B12911" s="3" t="s">
        <v>36601</v>
      </c>
      <c r="C12911" s="3">
        <v>0.0</v>
      </c>
      <c r="D12911" s="3">
        <v>0.0</v>
      </c>
      <c r="E12911" s="3">
        <v>0.0</v>
      </c>
      <c r="F12911" s="3" t="s">
        <v>36602</v>
      </c>
      <c r="G12911" s="3">
        <v>1.0</v>
      </c>
      <c r="H12911" s="3">
        <v>0.0</v>
      </c>
      <c r="I12911" s="3" t="s">
        <v>13</v>
      </c>
      <c r="J12911" s="3" t="s">
        <v>36603</v>
      </c>
      <c r="K12911" s="3" t="s">
        <v>19</v>
      </c>
      <c r="L12911" s="3" t="str">
        <f>IFERROR(__xludf.DUMMYFUNCTION("GOOGLETRANSLATE(F12911,""id"",""en"")"),"Cok Messi and Argentina lift the What Match Cup Final This Final Settingan Settings")</f>
        <v>Cok Messi and Argentina lift the What Match Cup Final This Final Settingan Settings</v>
      </c>
    </row>
    <row r="12912" ht="15.75" customHeight="1">
      <c r="A12912" s="1">
        <v>14239.0</v>
      </c>
      <c r="B12912" s="3" t="s">
        <v>36604</v>
      </c>
      <c r="C12912" s="3">
        <v>0.0</v>
      </c>
      <c r="D12912" s="3">
        <v>0.0</v>
      </c>
      <c r="E12912" s="3">
        <v>0.0</v>
      </c>
      <c r="F12912" s="3" t="s">
        <v>36605</v>
      </c>
      <c r="G12912" s="3">
        <v>1.0</v>
      </c>
      <c r="H12912" s="3">
        <v>0.0</v>
      </c>
      <c r="I12912" s="3" t="s">
        <v>13</v>
      </c>
      <c r="J12912" s="3" t="s">
        <v>36606</v>
      </c>
      <c r="K12912" s="3" t="s">
        <v>54</v>
      </c>
      <c r="L12912" s="3" t="str">
        <f>IFERROR(__xludf.DUMMYFUNCTION("GOOGLETRANSLATE(F12912,""id"",""en"")"),"Herman Same said the final world cup settings")</f>
        <v>Herman Same said the final world cup settings</v>
      </c>
    </row>
    <row r="12913" ht="15.75" customHeight="1">
      <c r="A12913" s="1">
        <v>14240.0</v>
      </c>
      <c r="B12913" s="3" t="s">
        <v>36607</v>
      </c>
      <c r="C12913" s="3">
        <v>1.0</v>
      </c>
      <c r="D12913" s="3">
        <v>0.0</v>
      </c>
      <c r="E12913" s="3">
        <v>0.0</v>
      </c>
      <c r="F12913" s="3" t="s">
        <v>36608</v>
      </c>
      <c r="G12913" s="3">
        <v>1.0</v>
      </c>
      <c r="H12913" s="3">
        <v>0.0</v>
      </c>
      <c r="I12913" s="3" t="s">
        <v>13</v>
      </c>
      <c r="J12913" s="3" t="s">
        <v>36609</v>
      </c>
      <c r="K12913" s="3" t="s">
        <v>82</v>
      </c>
      <c r="L12913" s="3" t="str">
        <f>IFERROR(__xludf.DUMMYFUNCTION("GOOGLETRANSLATE(F12913,""id"",""en"")"),"Indeed, this final setting is very sports heart wkwkwkwkwk")</f>
        <v>Indeed, this final setting is very sports heart wkwkwkwkwk</v>
      </c>
    </row>
    <row r="12914" ht="15.75" customHeight="1">
      <c r="A12914" s="1">
        <v>14241.0</v>
      </c>
      <c r="B12914" s="3" t="s">
        <v>36610</v>
      </c>
      <c r="C12914" s="3">
        <v>0.0</v>
      </c>
      <c r="D12914" s="3">
        <v>0.0</v>
      </c>
      <c r="E12914" s="3">
        <v>0.0</v>
      </c>
      <c r="F12914" s="3" t="s">
        <v>36611</v>
      </c>
      <c r="G12914" s="3">
        <v>1.0</v>
      </c>
      <c r="H12914" s="3">
        <v>0.0</v>
      </c>
      <c r="I12914" s="3" t="s">
        <v>13</v>
      </c>
      <c r="J12914" s="3" t="s">
        <v>36612</v>
      </c>
      <c r="K12914" s="3" t="s">
        <v>82</v>
      </c>
      <c r="L12914" s="3" t="str">
        <f>IFERROR(__xludf.DUMMYFUNCTION("GOOGLETRANSLATE(F12914,""id"",""en"")"),"IDN Final Mact is excited")</f>
        <v>IDN Final Mact is excited</v>
      </c>
    </row>
    <row r="12915" ht="15.75" customHeight="1">
      <c r="A12915" s="1">
        <v>14243.0</v>
      </c>
      <c r="B12915" s="3" t="s">
        <v>36613</v>
      </c>
      <c r="C12915" s="3">
        <v>1.0</v>
      </c>
      <c r="D12915" s="3">
        <v>0.0</v>
      </c>
      <c r="E12915" s="3">
        <v>0.0</v>
      </c>
      <c r="F12915" s="3" t="s">
        <v>36614</v>
      </c>
      <c r="G12915" s="3">
        <v>1.0</v>
      </c>
      <c r="H12915" s="3">
        <v>0.0</v>
      </c>
      <c r="I12915" s="3" t="s">
        <v>13</v>
      </c>
      <c r="J12915" s="3" t="s">
        <v>36615</v>
      </c>
      <c r="K12915" s="3" t="s">
        <v>41</v>
      </c>
      <c r="L12915" s="3" t="str">
        <f>IFERROR(__xludf.DUMMYFUNCTION("GOOGLETRANSLATE(F12915,""id"",""en"")"),"Sing, Iki Final Settingan Menengo Saiki Weighs Isin")</f>
        <v>Sing, Iki Final Settingan Menengo Saiki Weighs Isin</v>
      </c>
    </row>
    <row r="12916" ht="15.75" customHeight="1">
      <c r="A12916" s="1">
        <v>14245.0</v>
      </c>
      <c r="B12916" s="3" t="s">
        <v>36616</v>
      </c>
      <c r="C12916" s="3">
        <v>0.0</v>
      </c>
      <c r="D12916" s="3">
        <v>0.0</v>
      </c>
      <c r="E12916" s="3">
        <v>0.0</v>
      </c>
      <c r="F12916" s="3" t="s">
        <v>36617</v>
      </c>
      <c r="G12916" s="3">
        <v>1.0</v>
      </c>
      <c r="H12916" s="3">
        <v>0.0</v>
      </c>
      <c r="I12916" s="3" t="s">
        <v>13</v>
      </c>
      <c r="J12916" s="3" t="s">
        <v>36618</v>
      </c>
      <c r="K12916" s="3" t="s">
        <v>644</v>
      </c>
      <c r="L12916" s="3" t="str">
        <f>IFERROR(__xludf.DUMMYFUNCTION("GOOGLETRANSLATE(F12916,""id"",""en"")"),"eat the final settings")</f>
        <v>eat the final settings</v>
      </c>
    </row>
    <row r="12917" ht="15.75" customHeight="1">
      <c r="A12917" s="1">
        <v>14246.0</v>
      </c>
      <c r="B12917" s="3" t="s">
        <v>36619</v>
      </c>
      <c r="C12917" s="3">
        <v>0.0</v>
      </c>
      <c r="D12917" s="3">
        <v>0.0</v>
      </c>
      <c r="E12917" s="3">
        <v>0.0</v>
      </c>
      <c r="F12917" s="3" t="s">
        <v>36620</v>
      </c>
      <c r="G12917" s="3">
        <v>1.0</v>
      </c>
      <c r="H12917" s="3">
        <v>0.0</v>
      </c>
      <c r="I12917" s="3" t="s">
        <v>13</v>
      </c>
      <c r="J12917" s="3" t="s">
        <v>36621</v>
      </c>
      <c r="K12917" s="3" t="s">
        <v>54</v>
      </c>
      <c r="L12917" s="3" t="str">
        <f>IFERROR(__xludf.DUMMYFUNCTION("GOOGLETRANSLATE(F12917,""id"",""en"")"),"Serruu, this is the final of the Pildun KEK Settingan")</f>
        <v>Serruu, this is the final of the Pildun KEK Settingan</v>
      </c>
    </row>
    <row r="12918" ht="15.75" customHeight="1">
      <c r="A12918" s="1">
        <v>14247.0</v>
      </c>
      <c r="B12918" s="3" t="s">
        <v>36622</v>
      </c>
      <c r="C12918" s="3">
        <v>1.0</v>
      </c>
      <c r="D12918" s="3">
        <v>0.0</v>
      </c>
      <c r="E12918" s="3">
        <v>0.0</v>
      </c>
      <c r="F12918" s="3" t="s">
        <v>36623</v>
      </c>
      <c r="G12918" s="3">
        <v>1.0</v>
      </c>
      <c r="H12918" s="3">
        <v>0.0</v>
      </c>
      <c r="I12918" s="3" t="s">
        <v>13</v>
      </c>
      <c r="J12918" s="3" t="s">
        <v>36624</v>
      </c>
      <c r="K12918" s="3" t="s">
        <v>437</v>
      </c>
      <c r="L12918" s="3" t="str">
        <f>IFERROR(__xludf.DUMMYFUNCTION("GOOGLETRANSLATE(F12918,""id"",""en"")"),"just watched the final world cup from this the best final where he said the settings let alone make sleepy more exciting struggle for mamam")</f>
        <v>just watched the final world cup from this the best final where he said the settings let alone make sleepy more exciting struggle for mamam</v>
      </c>
    </row>
    <row r="12919" ht="15.75" customHeight="1">
      <c r="A12919" s="1">
        <v>14248.0</v>
      </c>
      <c r="B12919" s="3" t="s">
        <v>36625</v>
      </c>
      <c r="C12919" s="3">
        <v>0.0</v>
      </c>
      <c r="D12919" s="3">
        <v>0.0</v>
      </c>
      <c r="E12919" s="3">
        <v>0.0</v>
      </c>
      <c r="F12919" s="3" t="s">
        <v>36626</v>
      </c>
      <c r="G12919" s="3">
        <v>1.0</v>
      </c>
      <c r="H12919" s="3">
        <v>0.0</v>
      </c>
      <c r="I12919" s="3" t="s">
        <v>13</v>
      </c>
      <c r="J12919" s="3" t="s">
        <v>36627</v>
      </c>
      <c r="K12919" s="3" t="s">
        <v>54</v>
      </c>
      <c r="L12919" s="3" t="str">
        <f>IFERROR(__xludf.DUMMYFUNCTION("GOOGLETRANSLATE(F12919,""id"",""en"")"),"Final match like this is said to be setting")</f>
        <v>Final match like this is said to be setting</v>
      </c>
    </row>
    <row r="12920" ht="15.75" customHeight="1">
      <c r="A12920" s="1">
        <v>14249.0</v>
      </c>
      <c r="B12920" s="3" t="s">
        <v>36628</v>
      </c>
      <c r="C12920" s="3">
        <v>0.0</v>
      </c>
      <c r="D12920" s="3">
        <v>0.0</v>
      </c>
      <c r="E12920" s="3">
        <v>0.0</v>
      </c>
      <c r="F12920" s="3" t="s">
        <v>36629</v>
      </c>
      <c r="G12920" s="3">
        <v>1.0</v>
      </c>
      <c r="H12920" s="3">
        <v>0.0</v>
      </c>
      <c r="I12920" s="3" t="s">
        <v>13</v>
      </c>
      <c r="J12920" s="3" t="s">
        <v>36630</v>
      </c>
      <c r="K12920" s="3" t="s">
        <v>31</v>
      </c>
      <c r="L12920" s="3" t="str">
        <f>IFERROR(__xludf.DUMMYFUNCTION("GOOGLETRANSLATE(F12920,""id"",""en"")"),"This final settings aice ice cream")</f>
        <v>This final settings aice ice cream</v>
      </c>
    </row>
    <row r="12921" ht="15.75" customHeight="1">
      <c r="A12921" s="1">
        <v>14250.0</v>
      </c>
      <c r="B12921" s="3" t="s">
        <v>36631</v>
      </c>
      <c r="C12921" s="3">
        <v>0.0</v>
      </c>
      <c r="D12921" s="3">
        <v>0.0</v>
      </c>
      <c r="E12921" s="3">
        <v>0.0</v>
      </c>
      <c r="F12921" s="3" t="s">
        <v>36632</v>
      </c>
      <c r="G12921" s="3">
        <v>1.0</v>
      </c>
      <c r="H12921" s="3">
        <v>0.0</v>
      </c>
      <c r="I12921" s="3" t="s">
        <v>13</v>
      </c>
      <c r="J12921" s="3" t="s">
        <v>36633</v>
      </c>
      <c r="K12921" s="3" t="s">
        <v>82</v>
      </c>
      <c r="L12921" s="3" t="str">
        <f>IFERROR(__xludf.DUMMYFUNCTION("GOOGLETRANSLATE(F12921,""id"",""en"")"),"the final basis of the settings how come it can be a penalty fight")</f>
        <v>the final basis of the settings how come it can be a penalty fight</v>
      </c>
    </row>
    <row r="12922" ht="15.75" customHeight="1">
      <c r="A12922" s="1">
        <v>14251.0</v>
      </c>
      <c r="B12922" s="3" t="s">
        <v>36634</v>
      </c>
      <c r="C12922" s="3">
        <v>0.0</v>
      </c>
      <c r="D12922" s="3">
        <v>0.0</v>
      </c>
      <c r="E12922" s="3">
        <v>0.0</v>
      </c>
      <c r="F12922" s="3" t="s">
        <v>36635</v>
      </c>
      <c r="G12922" s="3">
        <v>1.0</v>
      </c>
      <c r="H12922" s="3">
        <v>0.0</v>
      </c>
      <c r="I12922" s="3" t="s">
        <v>13</v>
      </c>
      <c r="J12922" s="3" t="s">
        <v>36636</v>
      </c>
      <c r="K12922" s="3" t="s">
        <v>58</v>
      </c>
      <c r="L12922" s="3" t="str">
        <f>IFERROR(__xludf.DUMMYFUNCTION("GOOGLETRANSLATE(F12922,""id"",""en"")"),"idn where says Agen rubs the voucher just France got a voucher saying where the final was excited")</f>
        <v>idn where says Agen rubs the voucher just France got a voucher saying where the final was excited</v>
      </c>
    </row>
    <row r="12923" ht="15.75" customHeight="1">
      <c r="A12923" s="1">
        <v>14252.0</v>
      </c>
      <c r="B12923" s="3" t="s">
        <v>36637</v>
      </c>
      <c r="C12923" s="3">
        <v>1.0</v>
      </c>
      <c r="D12923" s="3">
        <v>0.0</v>
      </c>
      <c r="E12923" s="3">
        <v>0.0</v>
      </c>
      <c r="F12923" s="3" t="s">
        <v>36638</v>
      </c>
      <c r="G12923" s="3">
        <v>1.0</v>
      </c>
      <c r="H12923" s="3">
        <v>0.0</v>
      </c>
      <c r="I12923" s="3" t="s">
        <v>13</v>
      </c>
      <c r="J12923" s="3" t="s">
        <v>36639</v>
      </c>
      <c r="K12923" s="3" t="s">
        <v>903</v>
      </c>
      <c r="L12923" s="3" t="str">
        <f>IFERROR(__xludf.DUMMYFUNCTION("GOOGLETRANSLATE(F12923,""id"",""en"")"),"I am very satisfied watching this final exclaimed cuyy, even though the bored round of Batjir like the settings so that Argentina wins playing on the lemes ngeshooting the same round cooyy")</f>
        <v>I am very satisfied watching this final exclaimed cuyy, even though the bored round of Batjir like the settings so that Argentina wins playing on the lemes ngeshooting the same round cooyy</v>
      </c>
    </row>
    <row r="12924" ht="15.75" customHeight="1">
      <c r="A12924" s="1">
        <v>14253.0</v>
      </c>
      <c r="B12924" s="3" t="s">
        <v>36640</v>
      </c>
      <c r="C12924" s="3">
        <v>0.0</v>
      </c>
      <c r="D12924" s="3">
        <v>0.0</v>
      </c>
      <c r="E12924" s="3">
        <v>0.0</v>
      </c>
      <c r="F12924" s="3" t="s">
        <v>36641</v>
      </c>
      <c r="G12924" s="3">
        <v>1.0</v>
      </c>
      <c r="H12924" s="3">
        <v>0.0</v>
      </c>
      <c r="I12924" s="3" t="s">
        <v>13</v>
      </c>
      <c r="J12924" s="3" t="s">
        <v>36642</v>
      </c>
      <c r="K12924" s="3" t="s">
        <v>491</v>
      </c>
      <c r="L12924" s="3" t="str">
        <f>IFERROR(__xludf.DUMMYFUNCTION("GOOGLETRANSLATE(F12924,""id"",""en"")"),"many say this is the final setting but the setting is neat until the drama is penalty and it really can't be found out who is the champion")</f>
        <v>many say this is the final setting but the setting is neat until the drama is penalty and it really can't be found out who is the champion</v>
      </c>
    </row>
    <row r="12925" ht="15.75" customHeight="1">
      <c r="A12925" s="1">
        <v>14254.0</v>
      </c>
      <c r="B12925" s="3" t="s">
        <v>36643</v>
      </c>
      <c r="C12925" s="3">
        <v>0.0</v>
      </c>
      <c r="D12925" s="3">
        <v>0.0</v>
      </c>
      <c r="E12925" s="3">
        <v>0.0</v>
      </c>
      <c r="F12925" s="3" t="s">
        <v>36536</v>
      </c>
      <c r="G12925" s="3">
        <v>1.0</v>
      </c>
      <c r="H12925" s="3">
        <v>0.0</v>
      </c>
      <c r="I12925" s="3" t="s">
        <v>13</v>
      </c>
      <c r="J12925" s="3" t="s">
        <v>36537</v>
      </c>
      <c r="K12925" s="3" t="s">
        <v>14571</v>
      </c>
      <c r="L12925" s="3" t="str">
        <f>IFERROR(__xludf.DUMMYFUNCTION("GOOGLETRANSLATE(F12925,""id"",""en"")"),"Final settings")</f>
        <v>Final settings</v>
      </c>
    </row>
    <row r="12926" ht="15.75" customHeight="1">
      <c r="A12926" s="1">
        <v>14255.0</v>
      </c>
      <c r="B12926" s="3" t="s">
        <v>36644</v>
      </c>
      <c r="C12926" s="3">
        <v>1.0</v>
      </c>
      <c r="D12926" s="3">
        <v>0.0</v>
      </c>
      <c r="E12926" s="3">
        <v>0.0</v>
      </c>
      <c r="F12926" s="3" t="s">
        <v>36645</v>
      </c>
      <c r="G12926" s="3">
        <v>1.0</v>
      </c>
      <c r="H12926" s="3">
        <v>0.0</v>
      </c>
      <c r="I12926" s="3" t="s">
        <v>13</v>
      </c>
      <c r="J12926" s="3" t="s">
        <v>36646</v>
      </c>
      <c r="K12926" s="3" t="s">
        <v>644</v>
      </c>
      <c r="L12926" s="3" t="str">
        <f>IFERROR(__xludf.DUMMYFUNCTION("GOOGLETRANSLATE(F12926,""id"",""en"")"),"MSH Believe Final Settings")</f>
        <v>MSH Believe Final Settings</v>
      </c>
    </row>
    <row r="12927" ht="15.75" customHeight="1">
      <c r="A12927" s="1">
        <v>14256.0</v>
      </c>
      <c r="B12927" s="3" t="s">
        <v>36647</v>
      </c>
      <c r="C12927" s="3">
        <v>0.0</v>
      </c>
      <c r="D12927" s="3">
        <v>0.0</v>
      </c>
      <c r="E12927" s="3">
        <v>1.0</v>
      </c>
      <c r="F12927" s="3" t="s">
        <v>36648</v>
      </c>
      <c r="G12927" s="3">
        <v>0.7333333333333334</v>
      </c>
      <c r="H12927" s="3">
        <v>0.06666666666666665</v>
      </c>
      <c r="I12927" s="3" t="s">
        <v>48</v>
      </c>
      <c r="J12927" s="3" t="s">
        <v>36649</v>
      </c>
      <c r="K12927" s="3" t="s">
        <v>510</v>
      </c>
      <c r="L12927" s="3" t="str">
        <f>IFERROR(__xludf.DUMMYFUNCTION("GOOGLETRANSLATE(F12927,""id"",""en"")"),"Bloody Hell Best World Cup Final Ever Lot Drama Fakyu Settingan Rip Penaldo")</f>
        <v>Bloody Hell Best World Cup Final Ever Lot Drama Fakyu Settingan Rip Penaldo</v>
      </c>
    </row>
    <row r="12928" ht="15.75" customHeight="1">
      <c r="A12928" s="1">
        <v>14257.0</v>
      </c>
      <c r="B12928" s="3" t="s">
        <v>36650</v>
      </c>
      <c r="C12928" s="3">
        <v>0.0</v>
      </c>
      <c r="D12928" s="3">
        <v>0.0</v>
      </c>
      <c r="E12928" s="3">
        <v>0.0</v>
      </c>
      <c r="F12928" s="3" t="s">
        <v>36651</v>
      </c>
      <c r="G12928" s="3">
        <v>1.0</v>
      </c>
      <c r="H12928" s="3">
        <v>0.0</v>
      </c>
      <c r="I12928" s="3" t="s">
        <v>13</v>
      </c>
      <c r="J12928" s="3" t="s">
        <v>36652</v>
      </c>
      <c r="K12928" s="3" t="s">
        <v>41</v>
      </c>
      <c r="L12928" s="3" t="str">
        <f>IFERROR(__xludf.DUMMYFUNCTION("GOOGLETRANSLATE(F12928,""id"",""en"")"),"Moso Final Pinalti Elahhhh Honest Exciting IKI Settingan Bandar Wkwk")</f>
        <v>Moso Final Pinalti Elahhhh Honest Exciting IKI Settingan Bandar Wkwk</v>
      </c>
    </row>
    <row r="12929" ht="15.75" customHeight="1">
      <c r="A12929" s="1">
        <v>14258.0</v>
      </c>
      <c r="B12929" s="3" t="s">
        <v>36653</v>
      </c>
      <c r="C12929" s="3">
        <v>0.0</v>
      </c>
      <c r="D12929" s="3">
        <v>0.0</v>
      </c>
      <c r="E12929" s="3">
        <v>1.0</v>
      </c>
      <c r="F12929" s="3" t="s">
        <v>36654</v>
      </c>
      <c r="G12929" s="3">
        <v>1.0</v>
      </c>
      <c r="H12929" s="3">
        <v>0.0</v>
      </c>
      <c r="I12929" s="3" t="s">
        <v>13</v>
      </c>
      <c r="J12929" s="3" t="s">
        <v>36655</v>
      </c>
      <c r="K12929" s="3" t="s">
        <v>75</v>
      </c>
      <c r="L12929" s="3" t="str">
        <f>IFERROR(__xludf.DUMMYFUNCTION("GOOGLETRANSLATE(F12929,""id"",""en"")"),"The Final Bales Bales Gini Mbappe Hattrick still wants to say this time")</f>
        <v>The Final Bales Bales Gini Mbappe Hattrick still wants to say this time</v>
      </c>
    </row>
    <row r="12930" ht="15.75" customHeight="1">
      <c r="A12930" s="1">
        <v>14259.0</v>
      </c>
      <c r="B12930" s="3" t="s">
        <v>36656</v>
      </c>
      <c r="C12930" s="3">
        <v>0.0</v>
      </c>
      <c r="D12930" s="3">
        <v>0.0</v>
      </c>
      <c r="E12930" s="3">
        <v>0.0</v>
      </c>
      <c r="F12930" s="3" t="s">
        <v>36657</v>
      </c>
      <c r="G12930" s="3">
        <v>1.0</v>
      </c>
      <c r="H12930" s="3">
        <v>0.0</v>
      </c>
      <c r="I12930" s="3" t="s">
        <v>13</v>
      </c>
      <c r="J12930" s="3" t="s">
        <v>36658</v>
      </c>
      <c r="K12930" s="3" t="s">
        <v>31</v>
      </c>
      <c r="L12930" s="3" t="str">
        <f>IFERROR(__xludf.DUMMYFUNCTION("GOOGLETRANSLATE(F12930,""id"",""en"")"),"oath settings gaksi final wkwkwkwk")</f>
        <v>oath settings gaksi final wkwkwkwk</v>
      </c>
    </row>
    <row r="12931" ht="15.75" customHeight="1">
      <c r="A12931" s="1">
        <v>14260.0</v>
      </c>
      <c r="B12931" s="3" t="s">
        <v>36659</v>
      </c>
      <c r="C12931" s="3">
        <v>0.0</v>
      </c>
      <c r="D12931" s="3">
        <v>0.0</v>
      </c>
      <c r="E12931" s="3">
        <v>0.0</v>
      </c>
      <c r="F12931" s="3" t="s">
        <v>36660</v>
      </c>
      <c r="G12931" s="3">
        <v>1.0</v>
      </c>
      <c r="H12931" s="3">
        <v>0.0</v>
      </c>
      <c r="I12931" s="3" t="s">
        <v>13</v>
      </c>
      <c r="J12931" s="3" t="s">
        <v>36661</v>
      </c>
      <c r="K12931" s="3" t="s">
        <v>31</v>
      </c>
      <c r="L12931" s="3" t="str">
        <f>IFERROR(__xludf.DUMMYFUNCTION("GOOGLETRANSLATE(F12931,""id"",""en"")"),"The final was so exciting")</f>
        <v>The final was so exciting</v>
      </c>
    </row>
    <row r="12932" ht="15.75" customHeight="1">
      <c r="A12932" s="1">
        <v>14261.0</v>
      </c>
      <c r="B12932" s="3" t="s">
        <v>36662</v>
      </c>
      <c r="C12932" s="3">
        <v>0.0</v>
      </c>
      <c r="D12932" s="3">
        <v>0.0</v>
      </c>
      <c r="E12932" s="3">
        <v>0.0</v>
      </c>
      <c r="F12932" s="3" t="s">
        <v>36663</v>
      </c>
      <c r="G12932" s="3">
        <v>1.0</v>
      </c>
      <c r="H12932" s="3">
        <v>0.0</v>
      </c>
      <c r="I12932" s="3" t="s">
        <v>13</v>
      </c>
      <c r="J12932" s="3" t="s">
        <v>36664</v>
      </c>
      <c r="K12932" s="3" t="s">
        <v>82</v>
      </c>
      <c r="L12932" s="3" t="str">
        <f>IFERROR(__xludf.DUMMYFUNCTION("GOOGLETRANSLATE(F12932,""id"",""en"")"),"Anjinng is very exciting, this is definitely the final setting")</f>
        <v>Anjinng is very exciting, this is definitely the final setting</v>
      </c>
    </row>
    <row r="12933" ht="15.75" customHeight="1">
      <c r="A12933" s="1">
        <v>14262.0</v>
      </c>
      <c r="B12933" s="3" t="s">
        <v>36665</v>
      </c>
      <c r="C12933" s="3">
        <v>0.0</v>
      </c>
      <c r="D12933" s="3">
        <v>0.0</v>
      </c>
      <c r="E12933" s="3">
        <v>1.0</v>
      </c>
      <c r="F12933" s="3" t="s">
        <v>36666</v>
      </c>
      <c r="G12933" s="3">
        <v>1.0</v>
      </c>
      <c r="H12933" s="3">
        <v>0.0</v>
      </c>
      <c r="I12933" s="3" t="s">
        <v>13</v>
      </c>
      <c r="J12933" s="3" t="s">
        <v>36667</v>
      </c>
      <c r="K12933" s="3" t="s">
        <v>644</v>
      </c>
      <c r="L12933" s="3" t="str">
        <f>IFERROR(__xludf.DUMMYFUNCTION("GOOGLETRANSLATE(F12933,""id"",""en"")"),"Final FIFA feels settings wkwk")</f>
        <v>Final FIFA feels settings wkwk</v>
      </c>
    </row>
    <row r="12934" ht="15.75" customHeight="1">
      <c r="A12934" s="1">
        <v>14263.0</v>
      </c>
      <c r="B12934" s="3" t="s">
        <v>36668</v>
      </c>
      <c r="C12934" s="3">
        <v>1.0</v>
      </c>
      <c r="D12934" s="3">
        <v>0.0</v>
      </c>
      <c r="E12934" s="3">
        <v>0.0</v>
      </c>
      <c r="F12934" s="3" t="s">
        <v>36669</v>
      </c>
      <c r="G12934" s="3">
        <v>1.0</v>
      </c>
      <c r="H12934" s="3">
        <v>0.0</v>
      </c>
      <c r="I12934" s="3" t="s">
        <v>13</v>
      </c>
      <c r="J12934" s="3" t="s">
        <v>36670</v>
      </c>
      <c r="K12934" s="3" t="s">
        <v>54</v>
      </c>
      <c r="L12934" s="3" t="str">
        <f>IFERROR(__xludf.DUMMYFUNCTION("GOOGLETRANSLATE(F12934,""id"",""en"")"),"already like this settings final until this")</f>
        <v>already like this settings final until this</v>
      </c>
    </row>
    <row r="12935" ht="15.75" customHeight="1">
      <c r="A12935" s="1">
        <v>14264.0</v>
      </c>
      <c r="B12935" s="3" t="s">
        <v>36671</v>
      </c>
      <c r="C12935" s="3">
        <v>0.0</v>
      </c>
      <c r="D12935" s="3">
        <v>0.0</v>
      </c>
      <c r="E12935" s="3">
        <v>0.0</v>
      </c>
      <c r="F12935" s="3" t="s">
        <v>36672</v>
      </c>
      <c r="G12935" s="3">
        <v>1.0</v>
      </c>
      <c r="H12935" s="3">
        <v>0.0</v>
      </c>
      <c r="I12935" s="3" t="s">
        <v>13</v>
      </c>
      <c r="J12935" s="3" t="s">
        <v>36673</v>
      </c>
      <c r="K12935" s="3" t="s">
        <v>31</v>
      </c>
      <c r="L12935" s="3" t="str">
        <f>IFERROR(__xludf.DUMMYFUNCTION("GOOGLETRANSLATE(F12935,""id"",""en"")"),"Which one is said to be the final setting of anjinggg")</f>
        <v>Which one is said to be the final setting of anjinggg</v>
      </c>
    </row>
    <row r="12936" ht="15.75" customHeight="1">
      <c r="A12936" s="1">
        <v>14265.0</v>
      </c>
      <c r="B12936" s="3" t="s">
        <v>36674</v>
      </c>
      <c r="C12936" s="3">
        <v>0.0</v>
      </c>
      <c r="D12936" s="3">
        <v>1.0</v>
      </c>
      <c r="E12936" s="3">
        <v>0.0</v>
      </c>
      <c r="F12936" s="3" t="s">
        <v>36674</v>
      </c>
      <c r="G12936" s="3">
        <v>1.0</v>
      </c>
      <c r="H12936" s="3">
        <v>0.0</v>
      </c>
      <c r="I12936" s="3" t="s">
        <v>13</v>
      </c>
      <c r="J12936" s="3" t="s">
        <v>36675</v>
      </c>
      <c r="K12936" s="3" t="s">
        <v>31</v>
      </c>
      <c r="L12936" s="3" t="str">
        <f>IFERROR(__xludf.DUMMYFUNCTION("GOOGLETRANSLATE(F12936,""id"",""en"")"),"crazy final like a chocolate setting")</f>
        <v>crazy final like a chocolate setting</v>
      </c>
    </row>
    <row r="12937" ht="15.75" customHeight="1">
      <c r="A12937" s="1">
        <v>14266.0</v>
      </c>
      <c r="B12937" s="3" t="s">
        <v>36676</v>
      </c>
      <c r="C12937" s="3">
        <v>0.0</v>
      </c>
      <c r="D12937" s="3">
        <v>0.0</v>
      </c>
      <c r="E12937" s="3">
        <v>0.0</v>
      </c>
      <c r="F12937" s="3" t="s">
        <v>36677</v>
      </c>
      <c r="G12937" s="3">
        <v>1.0</v>
      </c>
      <c r="H12937" s="3">
        <v>0.0</v>
      </c>
      <c r="I12937" s="3" t="s">
        <v>13</v>
      </c>
      <c r="J12937" s="3" t="s">
        <v>36678</v>
      </c>
      <c r="K12937" s="3" t="s">
        <v>2117</v>
      </c>
      <c r="L12937" s="3" t="str">
        <f>IFERROR(__xludf.DUMMYFUNCTION("GOOGLETRANSLATE(F12937,""id"",""en"")"),"This Bandar Settings Final")</f>
        <v>This Bandar Settings Final</v>
      </c>
    </row>
    <row r="12938" ht="15.75" customHeight="1">
      <c r="A12938" s="1">
        <v>14267.0</v>
      </c>
      <c r="B12938" s="3" t="s">
        <v>36679</v>
      </c>
      <c r="C12938" s="3">
        <v>0.0</v>
      </c>
      <c r="D12938" s="3">
        <v>0.0</v>
      </c>
      <c r="E12938" s="3">
        <v>0.0</v>
      </c>
      <c r="F12938" s="3" t="s">
        <v>36680</v>
      </c>
      <c r="G12938" s="3">
        <v>1.0</v>
      </c>
      <c r="H12938" s="3">
        <v>0.0</v>
      </c>
      <c r="I12938" s="3" t="s">
        <v>13</v>
      </c>
      <c r="J12938" s="3" t="s">
        <v>36681</v>
      </c>
      <c r="K12938" s="3" t="s">
        <v>82</v>
      </c>
      <c r="L12938" s="3" t="str">
        <f>IFERROR(__xludf.DUMMYFUNCTION("GOOGLETRANSLATE(F12938,""id"",""en"")"),"Apart from the settings or endak this most exciting final match")</f>
        <v>Apart from the settings or endak this most exciting final match</v>
      </c>
    </row>
    <row r="12939" ht="15.75" customHeight="1">
      <c r="A12939" s="1">
        <v>14268.0</v>
      </c>
      <c r="B12939" s="3" t="s">
        <v>36682</v>
      </c>
      <c r="C12939" s="3">
        <v>0.0</v>
      </c>
      <c r="D12939" s="3">
        <v>0.0</v>
      </c>
      <c r="E12939" s="3">
        <v>0.0</v>
      </c>
      <c r="F12939" s="3" t="s">
        <v>36683</v>
      </c>
      <c r="G12939" s="3">
        <v>1.0</v>
      </c>
      <c r="H12939" s="3">
        <v>0.0</v>
      </c>
      <c r="I12939" s="3" t="s">
        <v>13</v>
      </c>
      <c r="J12939" s="3" t="s">
        <v>36684</v>
      </c>
      <c r="K12939" s="3" t="s">
        <v>2117</v>
      </c>
      <c r="L12939" s="3" t="str">
        <f>IFERROR(__xludf.DUMMYFUNCTION("GOOGLETRANSLATE(F12939,""id"",""en"")"),"Final Settings Ndashmu")</f>
        <v>Final Settings Ndashmu</v>
      </c>
    </row>
    <row r="12940" ht="15.75" customHeight="1">
      <c r="A12940" s="1">
        <v>14269.0</v>
      </c>
      <c r="B12940" s="3" t="s">
        <v>36685</v>
      </c>
      <c r="C12940" s="3">
        <v>0.0</v>
      </c>
      <c r="D12940" s="3">
        <v>0.0</v>
      </c>
      <c r="E12940" s="3">
        <v>0.0</v>
      </c>
      <c r="F12940" s="3" t="s">
        <v>36686</v>
      </c>
      <c r="G12940" s="3">
        <v>1.0</v>
      </c>
      <c r="H12940" s="3">
        <v>0.0</v>
      </c>
      <c r="I12940" s="3" t="s">
        <v>13</v>
      </c>
      <c r="J12940" s="3" t="s">
        <v>36687</v>
      </c>
      <c r="K12940" s="3" t="s">
        <v>41</v>
      </c>
      <c r="L12940" s="3" t="str">
        <f>IFERROR(__xludf.DUMMYFUNCTION("GOOGLETRANSLATE(F12940,""id"",""en"")"),"Already the setting so that the potatoes are the final world cup this time wkwkwk")</f>
        <v>Already the setting so that the potatoes are the final world cup this time wkwkwk</v>
      </c>
    </row>
    <row r="12941" ht="15.75" customHeight="1">
      <c r="A12941" s="1">
        <v>14270.0</v>
      </c>
      <c r="B12941" s="3" t="s">
        <v>36688</v>
      </c>
      <c r="C12941" s="3">
        <v>2.0</v>
      </c>
      <c r="D12941" s="3">
        <v>0.0</v>
      </c>
      <c r="E12941" s="3">
        <v>0.0</v>
      </c>
      <c r="F12941" s="3" t="s">
        <v>36689</v>
      </c>
      <c r="G12941" s="3">
        <v>1.0</v>
      </c>
      <c r="H12941" s="3">
        <v>0.0</v>
      </c>
      <c r="I12941" s="3" t="s">
        <v>13</v>
      </c>
      <c r="J12941" s="3" t="s">
        <v>36690</v>
      </c>
      <c r="K12941" s="3" t="s">
        <v>31</v>
      </c>
      <c r="L12941" s="3" t="str">
        <f>IFERROR(__xludf.DUMMYFUNCTION("GOOGLETRANSLATE(F12941,""id"",""en"")"),"Haters Argentin Gajadi said Final Settings")</f>
        <v>Haters Argentin Gajadi said Final Settings</v>
      </c>
    </row>
    <row r="12942" ht="15.75" customHeight="1">
      <c r="A12942" s="1">
        <v>14272.0</v>
      </c>
      <c r="B12942" s="3" t="s">
        <v>36691</v>
      </c>
      <c r="C12942" s="3">
        <v>0.0</v>
      </c>
      <c r="D12942" s="3">
        <v>0.0</v>
      </c>
      <c r="E12942" s="3">
        <v>0.0</v>
      </c>
      <c r="F12942" s="3" t="s">
        <v>36692</v>
      </c>
      <c r="G12942" s="3">
        <v>1.0</v>
      </c>
      <c r="H12942" s="3">
        <v>0.0</v>
      </c>
      <c r="I12942" s="3" t="s">
        <v>13</v>
      </c>
      <c r="J12942" s="3" t="s">
        <v>36693</v>
      </c>
      <c r="K12942" s="3" t="s">
        <v>82</v>
      </c>
      <c r="L12942" s="3" t="str">
        <f>IFERROR(__xludf.DUMMYFUNCTION("GOOGLETRANSLATE(F12942,""id"",""en"")"),"The world's final settings this time cuaakkss")</f>
        <v>The world's final settings this time cuaakkss</v>
      </c>
    </row>
    <row r="12943" ht="15.75" customHeight="1">
      <c r="A12943" s="1">
        <v>14273.0</v>
      </c>
      <c r="B12943" s="3" t="s">
        <v>36694</v>
      </c>
      <c r="C12943" s="3">
        <v>0.0</v>
      </c>
      <c r="D12943" s="3">
        <v>0.0</v>
      </c>
      <c r="E12943" s="3">
        <v>0.0</v>
      </c>
      <c r="F12943" s="3" t="s">
        <v>36695</v>
      </c>
      <c r="G12943" s="3">
        <v>1.0</v>
      </c>
      <c r="H12943" s="3">
        <v>0.0</v>
      </c>
      <c r="I12943" s="3" t="s">
        <v>13</v>
      </c>
      <c r="J12943" s="3" t="s">
        <v>36696</v>
      </c>
      <c r="K12943" s="3" t="s">
        <v>2117</v>
      </c>
      <c r="L12943" s="3" t="str">
        <f>IFERROR(__xludf.DUMMYFUNCTION("GOOGLETRANSLATE(F12943,""id"",""en"")"),"woiiiwwouwwuuu this final settings")</f>
        <v>woiiiwwouwwuuu this final settings</v>
      </c>
    </row>
    <row r="12944" ht="15.75" customHeight="1">
      <c r="A12944" s="1">
        <v>14274.0</v>
      </c>
      <c r="B12944" s="3" t="s">
        <v>36697</v>
      </c>
      <c r="C12944" s="3">
        <v>0.0</v>
      </c>
      <c r="D12944" s="3">
        <v>0.0</v>
      </c>
      <c r="E12944" s="3">
        <v>0.0</v>
      </c>
      <c r="F12944" s="3" t="s">
        <v>36698</v>
      </c>
      <c r="G12944" s="3">
        <v>1.0</v>
      </c>
      <c r="H12944" s="3">
        <v>0.0</v>
      </c>
      <c r="I12944" s="3" t="s">
        <v>13</v>
      </c>
      <c r="J12944" s="3" t="s">
        <v>36699</v>
      </c>
      <c r="K12944" s="3" t="s">
        <v>644</v>
      </c>
      <c r="L12944" s="3" t="str">
        <f>IFERROR(__xludf.DUMMYFUNCTION("GOOGLETRANSLATE(F12944,""id"",""en"")"),"Final Settingan Coyy Wkwkwkw")</f>
        <v>Final Settingan Coyy Wkwkwkw</v>
      </c>
    </row>
    <row r="12945" ht="15.75" customHeight="1">
      <c r="A12945" s="1">
        <v>14276.0</v>
      </c>
      <c r="B12945" s="3" t="s">
        <v>36700</v>
      </c>
      <c r="C12945" s="3">
        <v>0.0</v>
      </c>
      <c r="D12945" s="3">
        <v>0.0</v>
      </c>
      <c r="E12945" s="3">
        <v>1.0</v>
      </c>
      <c r="F12945" s="3" t="s">
        <v>36536</v>
      </c>
      <c r="G12945" s="3">
        <v>1.0</v>
      </c>
      <c r="H12945" s="3">
        <v>0.0</v>
      </c>
      <c r="I12945" s="3" t="s">
        <v>13</v>
      </c>
      <c r="J12945" s="3" t="s">
        <v>36537</v>
      </c>
      <c r="K12945" s="3" t="s">
        <v>14571</v>
      </c>
      <c r="L12945" s="3" t="str">
        <f>IFERROR(__xludf.DUMMYFUNCTION("GOOGLETRANSLATE(F12945,""id"",""en"")"),"Final settings")</f>
        <v>Final settings</v>
      </c>
    </row>
    <row r="12946" ht="15.75" customHeight="1">
      <c r="A12946" s="1">
        <v>14277.0</v>
      </c>
      <c r="B12946" s="3" t="s">
        <v>36701</v>
      </c>
      <c r="C12946" s="3">
        <v>2.0</v>
      </c>
      <c r="D12946" s="3">
        <v>0.0</v>
      </c>
      <c r="E12946" s="3">
        <v>0.0</v>
      </c>
      <c r="F12946" s="3" t="s">
        <v>36536</v>
      </c>
      <c r="G12946" s="3">
        <v>1.0</v>
      </c>
      <c r="H12946" s="3">
        <v>0.0</v>
      </c>
      <c r="I12946" s="3" t="s">
        <v>13</v>
      </c>
      <c r="J12946" s="3" t="s">
        <v>36537</v>
      </c>
      <c r="K12946" s="3" t="s">
        <v>14571</v>
      </c>
      <c r="L12946" s="3" t="str">
        <f>IFERROR(__xludf.DUMMYFUNCTION("GOOGLETRANSLATE(F12946,""id"",""en"")"),"Final settings")</f>
        <v>Final settings</v>
      </c>
    </row>
    <row r="12947" ht="15.75" customHeight="1">
      <c r="A12947" s="1">
        <v>14278.0</v>
      </c>
      <c r="B12947" s="3" t="s">
        <v>36702</v>
      </c>
      <c r="C12947" s="3">
        <v>0.0</v>
      </c>
      <c r="D12947" s="3">
        <v>0.0</v>
      </c>
      <c r="E12947" s="3">
        <v>1.0</v>
      </c>
      <c r="F12947" s="3" t="s">
        <v>36703</v>
      </c>
      <c r="G12947" s="3">
        <v>1.0</v>
      </c>
      <c r="H12947" s="3">
        <v>0.0</v>
      </c>
      <c r="I12947" s="3" t="s">
        <v>13</v>
      </c>
      <c r="J12947" s="3" t="s">
        <v>36704</v>
      </c>
      <c r="K12947" s="3" t="s">
        <v>1469</v>
      </c>
      <c r="L12947" s="3" t="str">
        <f>IFERROR(__xludf.DUMMYFUNCTION("GOOGLETRANSLATE(F12947,""id"",""en"")"),"Final settings Final This settings have been arranged by Taiwan Taiwan, your eyes are shaken by Dimaria")</f>
        <v>Final settings Final This settings have been arranged by Taiwan Taiwan, your eyes are shaken by Dimaria</v>
      </c>
    </row>
    <row r="12948" ht="15.75" customHeight="1">
      <c r="A12948" s="1">
        <v>14279.0</v>
      </c>
      <c r="B12948" s="3" t="s">
        <v>36705</v>
      </c>
      <c r="C12948" s="3">
        <v>0.0</v>
      </c>
      <c r="D12948" s="3">
        <v>0.0</v>
      </c>
      <c r="E12948" s="3">
        <v>0.0</v>
      </c>
      <c r="F12948" s="3" t="s">
        <v>36706</v>
      </c>
      <c r="G12948" s="3">
        <v>1.0</v>
      </c>
      <c r="H12948" s="3">
        <v>0.0</v>
      </c>
      <c r="I12948" s="3" t="s">
        <v>13</v>
      </c>
      <c r="J12948" s="3" t="s">
        <v>36707</v>
      </c>
      <c r="K12948" s="3" t="s">
        <v>510</v>
      </c>
      <c r="L12948" s="3" t="str">
        <f>IFERROR(__xludf.DUMMYFUNCTION("GOOGLETRANSLATE(F12948,""id"",""en"")"),"The settings are the final, yes, I don't get the ball at all that is right")</f>
        <v>The settings are the final, yes, I don't get the ball at all that is right</v>
      </c>
    </row>
    <row r="12949" ht="15.75" customHeight="1">
      <c r="A12949" s="1">
        <v>14282.0</v>
      </c>
      <c r="B12949" s="3" t="s">
        <v>36708</v>
      </c>
      <c r="C12949" s="3">
        <v>1.0</v>
      </c>
      <c r="D12949" s="3">
        <v>0.0</v>
      </c>
      <c r="E12949" s="3">
        <v>0.0</v>
      </c>
      <c r="F12949" s="3" t="s">
        <v>36709</v>
      </c>
      <c r="G12949" s="3">
        <v>1.0</v>
      </c>
      <c r="H12949" s="3">
        <v>0.0</v>
      </c>
      <c r="I12949" s="3" t="s">
        <v>13</v>
      </c>
      <c r="J12949" s="3" t="s">
        <v>36710</v>
      </c>
      <c r="K12949" s="3" t="s">
        <v>614</v>
      </c>
      <c r="L12949" s="3" t="str">
        <f>IFERROR(__xludf.DUMMYFUNCTION("GOOGLETRANSLATE(F12949,""id"",""en"")"),"Blg settings, don't be hilarious, but if you are more inclined, Argentina can be a Barca first and the final chelsea is the referee.")</f>
        <v>Blg settings, don't be hilarious, but if you are more inclined, Argentina can be a Barca first and the final chelsea is the referee.</v>
      </c>
    </row>
    <row r="12950" ht="15.75" customHeight="1">
      <c r="A12950" s="1">
        <v>14283.0</v>
      </c>
      <c r="B12950" s="3" t="s">
        <v>36711</v>
      </c>
      <c r="C12950" s="3">
        <v>0.0</v>
      </c>
      <c r="D12950" s="3">
        <v>0.0</v>
      </c>
      <c r="E12950" s="3">
        <v>0.0</v>
      </c>
      <c r="F12950" s="3" t="s">
        <v>36712</v>
      </c>
      <c r="G12950" s="3">
        <v>1.0</v>
      </c>
      <c r="H12950" s="3">
        <v>0.0</v>
      </c>
      <c r="I12950" s="3" t="s">
        <v>13</v>
      </c>
      <c r="J12950" s="3" t="s">
        <v>36713</v>
      </c>
      <c r="K12950" s="3" t="s">
        <v>437</v>
      </c>
      <c r="L12950" s="3" t="str">
        <f>IFERROR(__xludf.DUMMYFUNCTION("GOOGLETRANSLATE(F12950,""id"",""en"")"),"Argentina entered the final and now has a great chance to become a champion, some say it is the setting of FIFA whether the settings or not clearly the referee is paid")</f>
        <v>Argentina entered the final and now has a great chance to become a champion, some say it is the setting of FIFA whether the settings or not clearly the referee is paid</v>
      </c>
    </row>
    <row r="12951" ht="15.75" customHeight="1">
      <c r="A12951" s="1">
        <v>14284.0</v>
      </c>
      <c r="B12951" s="3" t="s">
        <v>36714</v>
      </c>
      <c r="C12951" s="3">
        <v>0.0</v>
      </c>
      <c r="D12951" s="3">
        <v>0.0</v>
      </c>
      <c r="E12951" s="3">
        <v>0.0</v>
      </c>
      <c r="F12951" s="3" t="s">
        <v>36715</v>
      </c>
      <c r="G12951" s="3">
        <v>1.0</v>
      </c>
      <c r="H12951" s="3">
        <v>0.0</v>
      </c>
      <c r="I12951" s="3" t="s">
        <v>13</v>
      </c>
      <c r="J12951" s="3" t="s">
        <v>36716</v>
      </c>
      <c r="K12951" s="3" t="s">
        <v>75</v>
      </c>
      <c r="L12951" s="3" t="str">
        <f>IFERROR(__xludf.DUMMYFUNCTION("GOOGLETRANSLATE(F12951,""id"",""en"")"),"Emiliano what are you going forward to Anying so that France is working on the final settings")</f>
        <v>Emiliano what are you going forward to Anying so that France is working on the final settings</v>
      </c>
    </row>
    <row r="12952" ht="15.75" customHeight="1">
      <c r="A12952" s="1">
        <v>14286.0</v>
      </c>
      <c r="B12952" s="3" t="s">
        <v>36717</v>
      </c>
      <c r="C12952" s="3">
        <v>0.0</v>
      </c>
      <c r="D12952" s="3">
        <v>0.0</v>
      </c>
      <c r="E12952" s="3">
        <v>0.0</v>
      </c>
      <c r="F12952" s="3" t="s">
        <v>36718</v>
      </c>
      <c r="G12952" s="3">
        <v>1.0</v>
      </c>
      <c r="H12952" s="3">
        <v>0.0</v>
      </c>
      <c r="I12952" s="3" t="s">
        <v>13</v>
      </c>
      <c r="J12952" s="3" t="s">
        <v>36719</v>
      </c>
      <c r="K12952" s="3" t="s">
        <v>657</v>
      </c>
      <c r="L12952" s="3" t="str">
        <f>IFERROR(__xludf.DUMMYFUNCTION("GOOGLETRANSLATE(F12952,""id"",""en"")"),"Losing blasphemed to the end of winning is said to be the setting of ayo dong France to make this final much more tense")</f>
        <v>Losing blasphemed to the end of winning is said to be the setting of ayo dong France to make this final much more tense</v>
      </c>
    </row>
    <row r="12953" ht="15.75" customHeight="1">
      <c r="A12953" s="1">
        <v>14287.0</v>
      </c>
      <c r="B12953" s="3" t="s">
        <v>36720</v>
      </c>
      <c r="C12953" s="3">
        <v>1.0</v>
      </c>
      <c r="D12953" s="3">
        <v>0.0</v>
      </c>
      <c r="E12953" s="3">
        <v>0.0</v>
      </c>
      <c r="F12953" s="3" t="s">
        <v>36721</v>
      </c>
      <c r="G12953" s="3">
        <v>1.0</v>
      </c>
      <c r="H12953" s="3">
        <v>0.0</v>
      </c>
      <c r="I12953" s="3" t="s">
        <v>13</v>
      </c>
      <c r="J12953" s="3" t="s">
        <v>36722</v>
      </c>
      <c r="K12953" s="3" t="s">
        <v>1366</v>
      </c>
      <c r="L12953" s="3" t="str">
        <f>IFERROR(__xludf.DUMMYFUNCTION("GOOGLETRANSLATE(F12953,""id"",""en"")"),"Griezmann who from the group stage to the semi -finals is good and then arrives behind the Atletico factory settings in the Group injury round until the semi -final print goals universe want Argentina to win and be worthy of the game so far")</f>
        <v>Griezmann who from the group stage to the semi -finals is good and then arrives behind the Atletico factory settings in the Group injury round until the semi -final print goals universe want Argentina to win and be worthy of the game so far</v>
      </c>
    </row>
    <row r="12954" ht="15.75" customHeight="1">
      <c r="A12954" s="1">
        <v>14290.0</v>
      </c>
      <c r="B12954" s="3" t="s">
        <v>36723</v>
      </c>
      <c r="C12954" s="3">
        <v>0.0</v>
      </c>
      <c r="D12954" s="3">
        <v>0.0</v>
      </c>
      <c r="E12954" s="3">
        <v>3.0</v>
      </c>
      <c r="F12954" s="3" t="s">
        <v>36724</v>
      </c>
      <c r="G12954" s="3">
        <v>1.0</v>
      </c>
      <c r="H12954" s="3">
        <v>0.0</v>
      </c>
      <c r="I12954" s="3" t="s">
        <v>13</v>
      </c>
      <c r="J12954" s="3" t="s">
        <v>36725</v>
      </c>
      <c r="K12954" s="3" t="s">
        <v>1469</v>
      </c>
      <c r="L12954" s="3" t="str">
        <f>IFERROR(__xludf.DUMMYFUNCTION("GOOGLETRANSLATE(F12954,""id"",""en"")"),"Arab settings against Argentina Argentina relented to advance the final against France, right Argentina")</f>
        <v>Arab settings against Argentina Argentina relented to advance the final against France, right Argentina</v>
      </c>
    </row>
    <row r="12955" ht="15.75" customHeight="1">
      <c r="A12955" s="1">
        <v>14292.0</v>
      </c>
      <c r="B12955" s="3" t="s">
        <v>36726</v>
      </c>
      <c r="C12955" s="3">
        <v>0.0</v>
      </c>
      <c r="D12955" s="3">
        <v>0.0</v>
      </c>
      <c r="E12955" s="3">
        <v>0.0</v>
      </c>
      <c r="F12955" s="3" t="s">
        <v>36727</v>
      </c>
      <c r="G12955" s="3">
        <v>1.0</v>
      </c>
      <c r="H12955" s="3">
        <v>0.0</v>
      </c>
      <c r="I12955" s="3" t="s">
        <v>13</v>
      </c>
      <c r="J12955" s="3" t="s">
        <v>36728</v>
      </c>
      <c r="K12955" s="3" t="s">
        <v>54</v>
      </c>
      <c r="L12955" s="3" t="str">
        <f>IFERROR(__xludf.DUMMYFUNCTION("GOOGLETRANSLATE(F12955,""id"",""en"")"),"Many shouted the final settings but from the data it was high")</f>
        <v>Many shouted the final settings but from the data it was high</v>
      </c>
    </row>
    <row r="12956" ht="15.75" customHeight="1">
      <c r="A12956" s="1">
        <v>14293.0</v>
      </c>
      <c r="B12956" s="3" t="s">
        <v>36729</v>
      </c>
      <c r="C12956" s="3">
        <v>1.0</v>
      </c>
      <c r="D12956" s="3">
        <v>0.0</v>
      </c>
      <c r="E12956" s="3">
        <v>0.0</v>
      </c>
      <c r="F12956" s="3" t="s">
        <v>36730</v>
      </c>
      <c r="G12956" s="3">
        <v>1.0</v>
      </c>
      <c r="H12956" s="3">
        <v>0.0</v>
      </c>
      <c r="I12956" s="3" t="s">
        <v>13</v>
      </c>
      <c r="J12956" s="3" t="s">
        <v>36731</v>
      </c>
      <c r="K12956" s="3" t="s">
        <v>14571</v>
      </c>
      <c r="L12956" s="3" t="str">
        <f>IFERROR(__xludf.DUMMYFUNCTION("GOOGLETRANSLATE(F12956,""id"",""en"")"),"Final settings")</f>
        <v>Final settings</v>
      </c>
    </row>
    <row r="12957" ht="15.75" customHeight="1">
      <c r="A12957" s="1">
        <v>14294.0</v>
      </c>
      <c r="B12957" s="3" t="s">
        <v>36732</v>
      </c>
      <c r="C12957" s="3">
        <v>0.0</v>
      </c>
      <c r="D12957" s="3">
        <v>0.0</v>
      </c>
      <c r="E12957" s="3">
        <v>0.0</v>
      </c>
      <c r="F12957" s="3" t="s">
        <v>36733</v>
      </c>
      <c r="G12957" s="3">
        <v>1.0</v>
      </c>
      <c r="H12957" s="3">
        <v>0.0</v>
      </c>
      <c r="I12957" s="3" t="s">
        <v>13</v>
      </c>
      <c r="J12957" s="3" t="s">
        <v>36734</v>
      </c>
      <c r="K12957" s="3" t="s">
        <v>127</v>
      </c>
      <c r="L12957" s="3" t="str">
        <f>IFERROR(__xludf.DUMMYFUNCTION("GOOGLETRANSLATE(F12957,""id"",""en"")"),"It's the first match to lose to Arabic being bullied like what you know, you can pitch the final.")</f>
        <v>It's the first match to lose to Arabic being bullied like what you know, you can pitch the final.</v>
      </c>
    </row>
    <row r="12958" ht="15.75" customHeight="1">
      <c r="A12958" s="1">
        <v>14296.0</v>
      </c>
      <c r="B12958" s="3" t="s">
        <v>36735</v>
      </c>
      <c r="C12958" s="3">
        <v>0.0</v>
      </c>
      <c r="D12958" s="3">
        <v>0.0</v>
      </c>
      <c r="E12958" s="3">
        <v>0.0</v>
      </c>
      <c r="F12958" s="3" t="s">
        <v>36736</v>
      </c>
      <c r="G12958" s="3">
        <v>0.775</v>
      </c>
      <c r="H12958" s="3">
        <v>0.175</v>
      </c>
      <c r="I12958" s="3" t="s">
        <v>48</v>
      </c>
      <c r="J12958" s="3" t="s">
        <v>36737</v>
      </c>
      <c r="K12958" s="3" t="s">
        <v>41</v>
      </c>
      <c r="L12958" s="3" t="str">
        <f>IFERROR(__xludf.DUMMYFUNCTION("GOOGLETRANSLATE(F12958,""id"",""en"")"),"if you make a setting, don't bear to meet the Final Final Final GOAT")</f>
        <v>if you make a setting, don't bear to meet the Final Final Final GOAT</v>
      </c>
    </row>
    <row r="12959" ht="15.75" customHeight="1">
      <c r="A12959" s="1">
        <v>14297.0</v>
      </c>
      <c r="B12959" s="3" t="s">
        <v>36738</v>
      </c>
      <c r="C12959" s="3">
        <v>1.0</v>
      </c>
      <c r="D12959" s="3">
        <v>0.0</v>
      </c>
      <c r="E12959" s="3">
        <v>1.0</v>
      </c>
      <c r="F12959" s="3" t="s">
        <v>36739</v>
      </c>
      <c r="G12959" s="3">
        <v>1.0</v>
      </c>
      <c r="H12959" s="3">
        <v>0.0</v>
      </c>
      <c r="I12959" s="3" t="s">
        <v>13</v>
      </c>
      <c r="J12959" s="3" t="s">
        <v>36740</v>
      </c>
      <c r="K12959" s="3" t="s">
        <v>15</v>
      </c>
      <c r="L12959" s="3" t="str">
        <f>IFERROR(__xludf.DUMMYFUNCTION("GOOGLETRANSLATE(F12959,""id"",""en"")"),"watching the final because he said he was already the setting of Argentina")</f>
        <v>watching the final because he said he was already the setting of Argentina</v>
      </c>
    </row>
    <row r="12960" ht="15.75" customHeight="1">
      <c r="A12960" s="1">
        <v>14298.0</v>
      </c>
      <c r="B12960" s="3" t="s">
        <v>36741</v>
      </c>
      <c r="C12960" s="3">
        <v>0.0</v>
      </c>
      <c r="D12960" s="3">
        <v>1.0</v>
      </c>
      <c r="E12960" s="3">
        <v>1.0</v>
      </c>
      <c r="F12960" s="3" t="s">
        <v>36742</v>
      </c>
      <c r="G12960" s="3">
        <v>1.0</v>
      </c>
      <c r="H12960" s="3">
        <v>0.0</v>
      </c>
      <c r="I12960" s="3" t="s">
        <v>13</v>
      </c>
      <c r="J12960" s="3" t="s">
        <v>36743</v>
      </c>
      <c r="K12960" s="3" t="s">
        <v>644</v>
      </c>
      <c r="L12960" s="3" t="str">
        <f>IFERROR(__xludf.DUMMYFUNCTION("GOOGLETRANSLATE(F12960,""id"",""en"")"),"Final Settingan Denny Siregar")</f>
        <v>Final Settingan Denny Siregar</v>
      </c>
    </row>
    <row r="12961" ht="15.75" customHeight="1">
      <c r="A12961" s="1">
        <v>14299.0</v>
      </c>
      <c r="B12961" s="3" t="s">
        <v>36744</v>
      </c>
      <c r="C12961" s="3">
        <v>1.0</v>
      </c>
      <c r="D12961" s="3">
        <v>0.0</v>
      </c>
      <c r="E12961" s="3">
        <v>0.0</v>
      </c>
      <c r="F12961" s="3" t="s">
        <v>36745</v>
      </c>
      <c r="G12961" s="3">
        <v>1.0</v>
      </c>
      <c r="H12961" s="3">
        <v>0.0</v>
      </c>
      <c r="I12961" s="3" t="s">
        <v>13</v>
      </c>
      <c r="J12961" s="3" t="s">
        <v>36537</v>
      </c>
      <c r="K12961" s="3" t="s">
        <v>14571</v>
      </c>
      <c r="L12961" s="3" t="str">
        <f>IFERROR(__xludf.DUMMYFUNCTION("GOOGLETRANSLATE(F12961,""id"",""en"")"),"This is the final setting")</f>
        <v>This is the final setting</v>
      </c>
    </row>
    <row r="12962" ht="15.75" customHeight="1">
      <c r="A12962" s="1">
        <v>14300.0</v>
      </c>
      <c r="B12962" s="3" t="s">
        <v>36746</v>
      </c>
      <c r="C12962" s="3">
        <v>0.0</v>
      </c>
      <c r="D12962" s="3">
        <v>0.0</v>
      </c>
      <c r="E12962" s="3">
        <v>0.0</v>
      </c>
      <c r="F12962" s="3" t="s">
        <v>36747</v>
      </c>
      <c r="G12962" s="3">
        <v>0.6</v>
      </c>
      <c r="H12962" s="3">
        <v>0.1333333333333333</v>
      </c>
      <c r="I12962" s="3" t="s">
        <v>48</v>
      </c>
      <c r="J12962" s="3" t="s">
        <v>36748</v>
      </c>
      <c r="K12962" s="3" t="s">
        <v>426</v>
      </c>
      <c r="L12962" s="3" t="str">
        <f>IFERROR(__xludf.DUMMYFUNCTION("GOOGLETRANSLATE(F12962,""id"",""en"")"),"lahh hahaha like this, the idol dodolopers fans lost their support teams instead discussed the settings clearly as long as God and also the destiny stables said that they told the final idol hahaha using it saying he just knew the ball")</f>
        <v>lahh hahaha like this, the idol dodolopers fans lost their support teams instead discussed the settings clearly as long as God and also the destiny stables said that they told the final idol hahaha using it saying he just knew the ball</v>
      </c>
    </row>
    <row r="12963" ht="15.75" customHeight="1">
      <c r="A12963" s="1">
        <v>14301.0</v>
      </c>
      <c r="B12963" s="3" t="s">
        <v>36749</v>
      </c>
      <c r="C12963" s="3">
        <v>0.0</v>
      </c>
      <c r="D12963" s="3">
        <v>0.0</v>
      </c>
      <c r="E12963" s="3">
        <v>0.0</v>
      </c>
      <c r="F12963" s="3" t="s">
        <v>36750</v>
      </c>
      <c r="G12963" s="3">
        <v>1.0</v>
      </c>
      <c r="H12963" s="3">
        <v>0.0</v>
      </c>
      <c r="I12963" s="3" t="s">
        <v>13</v>
      </c>
      <c r="J12963" s="3" t="s">
        <v>36751</v>
      </c>
      <c r="K12963" s="3" t="s">
        <v>82</v>
      </c>
      <c r="L12963" s="3" t="str">
        <f>IFERROR(__xludf.DUMMYFUNCTION("GOOGLETRANSLATE(F12963,""id"",""en"")"),"French French pie settings in the form of a penalty")</f>
        <v>French French pie settings in the form of a penalty</v>
      </c>
    </row>
    <row r="12964" ht="15.75" customHeight="1">
      <c r="A12964" s="1">
        <v>14302.0</v>
      </c>
      <c r="B12964" s="3" t="s">
        <v>36752</v>
      </c>
      <c r="C12964" s="3">
        <v>0.0</v>
      </c>
      <c r="D12964" s="3">
        <v>0.0</v>
      </c>
      <c r="E12964" s="3">
        <v>0.0</v>
      </c>
      <c r="F12964" s="3" t="s">
        <v>36753</v>
      </c>
      <c r="G12964" s="3">
        <v>1.0</v>
      </c>
      <c r="H12964" s="3">
        <v>0.0</v>
      </c>
      <c r="I12964" s="3" t="s">
        <v>13</v>
      </c>
      <c r="J12964" s="3" t="s">
        <v>36754</v>
      </c>
      <c r="K12964" s="3" t="s">
        <v>54</v>
      </c>
      <c r="L12964" s="3" t="str">
        <f>IFERROR(__xludf.DUMMYFUNCTION("GOOGLETRANSLATE(F12964,""id"",""en"")"),"wong goblog says the final world cup settings")</f>
        <v>wong goblog says the final world cup settings</v>
      </c>
    </row>
    <row r="12965" ht="15.75" customHeight="1">
      <c r="A12965" s="1">
        <v>14303.0</v>
      </c>
      <c r="B12965" s="3" t="s">
        <v>36755</v>
      </c>
      <c r="C12965" s="3">
        <v>0.0</v>
      </c>
      <c r="D12965" s="3">
        <v>0.0</v>
      </c>
      <c r="E12965" s="3">
        <v>0.0</v>
      </c>
      <c r="F12965" s="3" t="s">
        <v>36756</v>
      </c>
      <c r="G12965" s="3">
        <v>1.0</v>
      </c>
      <c r="H12965" s="3">
        <v>0.0</v>
      </c>
      <c r="I12965" s="3" t="s">
        <v>13</v>
      </c>
      <c r="J12965" s="3" t="s">
        <v>36757</v>
      </c>
      <c r="K12965" s="3" t="s">
        <v>7160</v>
      </c>
      <c r="L12965" s="3" t="str">
        <f>IFERROR(__xludf.DUMMYFUNCTION("GOOGLETRANSLATE(F12965,""id"",""en"")"),"Sleeping Final Settings")</f>
        <v>Sleeping Final Settings</v>
      </c>
    </row>
    <row r="12966" ht="15.75" customHeight="1">
      <c r="A12966" s="1">
        <v>14304.0</v>
      </c>
      <c r="B12966" s="3" t="s">
        <v>36758</v>
      </c>
      <c r="C12966" s="3">
        <v>0.0</v>
      </c>
      <c r="D12966" s="3">
        <v>0.0</v>
      </c>
      <c r="E12966" s="3">
        <v>0.0</v>
      </c>
      <c r="F12966" s="3" t="s">
        <v>36759</v>
      </c>
      <c r="G12966" s="3">
        <v>1.0</v>
      </c>
      <c r="H12966" s="3">
        <v>0.0</v>
      </c>
      <c r="I12966" s="3" t="s">
        <v>13</v>
      </c>
      <c r="J12966" s="3" t="s">
        <v>36760</v>
      </c>
      <c r="K12966" s="3" t="s">
        <v>54</v>
      </c>
      <c r="L12966" s="3" t="str">
        <f>IFERROR(__xludf.DUMMYFUNCTION("GOOGLETRANSLATE(F12966,""id"",""en"")"),"if the final person says the Pildun is the settings")</f>
        <v>if the final person says the Pildun is the settings</v>
      </c>
    </row>
    <row r="12967" ht="15.75" customHeight="1">
      <c r="A12967" s="1">
        <v>14305.0</v>
      </c>
      <c r="B12967" s="3" t="s">
        <v>36761</v>
      </c>
      <c r="C12967" s="3">
        <v>1.0</v>
      </c>
      <c r="D12967" s="3">
        <v>0.0</v>
      </c>
      <c r="E12967" s="3">
        <v>0.0</v>
      </c>
      <c r="F12967" s="3" t="s">
        <v>36762</v>
      </c>
      <c r="G12967" s="3">
        <v>1.0</v>
      </c>
      <c r="H12967" s="3">
        <v>0.0</v>
      </c>
      <c r="I12967" s="3" t="s">
        <v>13</v>
      </c>
      <c r="J12967" s="3" t="s">
        <v>36763</v>
      </c>
      <c r="K12967" s="3" t="s">
        <v>695</v>
      </c>
      <c r="L12967" s="3" t="str">
        <f>IFERROR(__xludf.DUMMYFUNCTION("GOOGLETRANSLATE(F12967,""id"",""en"")"),"who said the final of the Settings World Cup for Argentina, there was proof of not and if the French champion did not say the settings could change the new settings again Awokawokawok")</f>
        <v>who said the final of the Settings World Cup for Argentina, there was proof of not and if the French champion did not say the settings could change the new settings again Awokawokawok</v>
      </c>
    </row>
    <row r="12968" ht="15.75" customHeight="1">
      <c r="A12968" s="1">
        <v>14306.0</v>
      </c>
      <c r="B12968" s="3" t="s">
        <v>36764</v>
      </c>
      <c r="C12968" s="3">
        <v>0.0</v>
      </c>
      <c r="D12968" s="3">
        <v>0.0</v>
      </c>
      <c r="E12968" s="3">
        <v>0.0</v>
      </c>
      <c r="F12968" s="3" t="s">
        <v>36765</v>
      </c>
      <c r="G12968" s="3">
        <v>1.0</v>
      </c>
      <c r="H12968" s="3">
        <v>0.0</v>
      </c>
      <c r="I12968" s="3" t="s">
        <v>13</v>
      </c>
      <c r="J12968" s="3" t="s">
        <v>36766</v>
      </c>
      <c r="K12968" s="3" t="s">
        <v>510</v>
      </c>
      <c r="L12968" s="3" t="str">
        <f>IFERROR(__xludf.DUMMYFUNCTION("GOOGLETRANSLATE(F12968,""id"",""en"")"),"The final setting of the title has been rationed for Messi calm penalty voucher is still available when Argentina conceded")</f>
        <v>The final setting of the title has been rationed for Messi calm penalty voucher is still available when Argentina conceded</v>
      </c>
    </row>
    <row r="12969" ht="15.75" customHeight="1">
      <c r="A12969" s="1">
        <v>14307.0</v>
      </c>
      <c r="B12969" s="3" t="s">
        <v>36767</v>
      </c>
      <c r="C12969" s="3">
        <v>0.0</v>
      </c>
      <c r="D12969" s="3">
        <v>0.0</v>
      </c>
      <c r="E12969" s="3">
        <v>0.0</v>
      </c>
      <c r="F12969" s="3" t="s">
        <v>36768</v>
      </c>
      <c r="G12969" s="3">
        <v>0.8</v>
      </c>
      <c r="H12969" s="3">
        <v>-0.05</v>
      </c>
      <c r="I12969" s="3" t="s">
        <v>179</v>
      </c>
      <c r="J12969" s="3" t="s">
        <v>36769</v>
      </c>
      <c r="K12969" s="3" t="s">
        <v>54</v>
      </c>
      <c r="L12969" s="3" t="str">
        <f>IFERROR(__xludf.DUMMYFUNCTION("GOOGLETRANSLATE(F12969,""id"",""en"")"),"at least if you want to say the final settings attack suwww")</f>
        <v>at least if you want to say the final settings attack suwww</v>
      </c>
    </row>
    <row r="12970" ht="15.75" customHeight="1">
      <c r="A12970" s="1">
        <v>14308.0</v>
      </c>
      <c r="B12970" s="3" t="s">
        <v>36770</v>
      </c>
      <c r="C12970" s="3">
        <v>8.0</v>
      </c>
      <c r="D12970" s="3">
        <v>0.0</v>
      </c>
      <c r="E12970" s="3">
        <v>3.0</v>
      </c>
      <c r="F12970" s="3" t="s">
        <v>36771</v>
      </c>
      <c r="G12970" s="3">
        <v>1.0</v>
      </c>
      <c r="H12970" s="3">
        <v>0.0</v>
      </c>
      <c r="I12970" s="3" t="s">
        <v>13</v>
      </c>
      <c r="J12970" s="3" t="s">
        <v>36772</v>
      </c>
      <c r="K12970" s="3" t="s">
        <v>644</v>
      </c>
      <c r="L12970" s="3" t="str">
        <f>IFERROR(__xludf.DUMMYFUNCTION("GOOGLETRANSLATE(F12970,""id"",""en"")"),"Final Settings Pinalty Haram")</f>
        <v>Final Settings Pinalty Haram</v>
      </c>
    </row>
    <row r="12971" ht="15.75" customHeight="1">
      <c r="A12971" s="1">
        <v>14309.0</v>
      </c>
      <c r="B12971" s="3" t="s">
        <v>36773</v>
      </c>
      <c r="C12971" s="3">
        <v>0.0</v>
      </c>
      <c r="D12971" s="3">
        <v>0.0</v>
      </c>
      <c r="E12971" s="3">
        <v>0.0</v>
      </c>
      <c r="F12971" s="3" t="s">
        <v>36774</v>
      </c>
      <c r="G12971" s="3">
        <v>1.0</v>
      </c>
      <c r="H12971" s="3">
        <v>0.0</v>
      </c>
      <c r="I12971" s="3" t="s">
        <v>13</v>
      </c>
      <c r="J12971" s="3" t="s">
        <v>36775</v>
      </c>
      <c r="K12971" s="3" t="s">
        <v>244</v>
      </c>
      <c r="L12971" s="3" t="str">
        <f>IFERROR(__xludf.DUMMYFUNCTION("GOOGLETRANSLATE(F12971,""id"",""en"")"),"there have ever watched pildun at all when watching the final just said the setting")</f>
        <v>there have ever watched pildun at all when watching the final just said the setting</v>
      </c>
    </row>
    <row r="12972" ht="15.75" customHeight="1">
      <c r="A12972" s="1">
        <v>14310.0</v>
      </c>
      <c r="B12972" s="3" t="s">
        <v>36776</v>
      </c>
      <c r="C12972" s="3">
        <v>0.0</v>
      </c>
      <c r="D12972" s="3">
        <v>0.0</v>
      </c>
      <c r="E12972" s="3">
        <v>0.0</v>
      </c>
      <c r="F12972" s="3" t="s">
        <v>36777</v>
      </c>
      <c r="G12972" s="3">
        <v>1.0</v>
      </c>
      <c r="H12972" s="3">
        <v>0.0</v>
      </c>
      <c r="I12972" s="3" t="s">
        <v>13</v>
      </c>
      <c r="J12972" s="3" t="s">
        <v>36778</v>
      </c>
      <c r="K12972" s="3" t="s">
        <v>477</v>
      </c>
      <c r="L12972" s="3" t="str">
        <f>IFERROR(__xludf.DUMMYFUNCTION("GOOGLETRANSLATE(F12972,""id"",""en"")"),"if the final settings napan nntn cuy waste a waste of time")</f>
        <v>if the final settings napan nntn cuy waste a waste of time</v>
      </c>
    </row>
    <row r="12973" ht="15.75" customHeight="1">
      <c r="A12973" s="1">
        <v>14311.0</v>
      </c>
      <c r="B12973" s="3" t="s">
        <v>36779</v>
      </c>
      <c r="C12973" s="3">
        <v>2.0</v>
      </c>
      <c r="D12973" s="3">
        <v>0.0</v>
      </c>
      <c r="E12973" s="3">
        <v>0.0</v>
      </c>
      <c r="F12973" s="3" t="s">
        <v>36779</v>
      </c>
      <c r="G12973" s="3">
        <v>1.0</v>
      </c>
      <c r="H12973" s="3">
        <v>0.0</v>
      </c>
      <c r="I12973" s="3" t="s">
        <v>13</v>
      </c>
      <c r="J12973" s="3" t="s">
        <v>36780</v>
      </c>
      <c r="K12973" s="3" t="s">
        <v>2117</v>
      </c>
      <c r="L12973" s="3" t="str">
        <f>IFERROR(__xludf.DUMMYFUNCTION("GOOGLETRANSLATE(F12973,""id"",""en"")"),"Final Settings Njing")</f>
        <v>Final Settings Njing</v>
      </c>
    </row>
    <row r="12974" ht="15.75" customHeight="1">
      <c r="A12974" s="1">
        <v>14312.0</v>
      </c>
      <c r="B12974" s="3" t="s">
        <v>36781</v>
      </c>
      <c r="C12974" s="3">
        <v>1.0</v>
      </c>
      <c r="D12974" s="3">
        <v>1.0</v>
      </c>
      <c r="E12974" s="3">
        <v>0.0</v>
      </c>
      <c r="F12974" s="3" t="s">
        <v>36781</v>
      </c>
      <c r="G12974" s="3">
        <v>0.775</v>
      </c>
      <c r="H12974" s="3">
        <v>0.175</v>
      </c>
      <c r="I12974" s="3" t="s">
        <v>48</v>
      </c>
      <c r="J12974" s="3" t="s">
        <v>36782</v>
      </c>
      <c r="K12974" s="3" t="s">
        <v>54</v>
      </c>
      <c r="L12974" s="3" t="str">
        <f>IFERROR(__xludf.DUMMYFUNCTION("GOOGLETRANSLATE(F12974,""id"",""en"")"),"Final Settingan Bangkattt Bandar Full Smile")</f>
        <v>Final Settingan Bangkattt Bandar Full Smile</v>
      </c>
    </row>
    <row r="12975" ht="15.75" customHeight="1">
      <c r="A12975" s="1">
        <v>14313.0</v>
      </c>
      <c r="B12975" s="3" t="s">
        <v>36783</v>
      </c>
      <c r="C12975" s="3">
        <v>4.0</v>
      </c>
      <c r="D12975" s="3">
        <v>0.0</v>
      </c>
      <c r="E12975" s="3">
        <v>2.0</v>
      </c>
      <c r="F12975" s="3" t="s">
        <v>36784</v>
      </c>
      <c r="G12975" s="3">
        <v>0.75</v>
      </c>
      <c r="H12975" s="3">
        <v>0.1</v>
      </c>
      <c r="I12975" s="3" t="s">
        <v>48</v>
      </c>
      <c r="J12975" s="3" t="s">
        <v>36785</v>
      </c>
      <c r="K12975" s="3" t="s">
        <v>71</v>
      </c>
      <c r="L12975" s="3" t="str">
        <f>IFERROR(__xludf.DUMMYFUNCTION("GOOGLETRANSLATE(F12975,""id"",""en"")"),"yaaaa dodolopers on the ARGEN Panason Superior if the idol is able to be final, don't say diving and block settings hahahaha")</f>
        <v>yaaaa dodolopers on the ARGEN Panason Superior if the idol is able to be final, don't say diving and block settings hahahaha</v>
      </c>
    </row>
    <row r="12976" ht="15.75" customHeight="1">
      <c r="A12976" s="1">
        <v>14314.0</v>
      </c>
      <c r="B12976" s="3" t="s">
        <v>36786</v>
      </c>
      <c r="C12976" s="3">
        <v>66.0</v>
      </c>
      <c r="D12976" s="3">
        <v>0.0</v>
      </c>
      <c r="E12976" s="3">
        <v>30.0</v>
      </c>
      <c r="F12976" s="3" t="s">
        <v>36787</v>
      </c>
      <c r="G12976" s="3">
        <v>1.0</v>
      </c>
      <c r="H12976" s="3">
        <v>0.0</v>
      </c>
      <c r="I12976" s="3" t="s">
        <v>13</v>
      </c>
      <c r="J12976" s="3" t="s">
        <v>36788</v>
      </c>
      <c r="K12976" s="3" t="s">
        <v>71</v>
      </c>
      <c r="L12976" s="3" t="str">
        <f>IFERROR(__xludf.DUMMYFUNCTION("GOOGLETRANSLATE(F12976,""id"",""en"")"),"already better turu the final risk of the referee settings paid by FIFA is clearly looking to win")</f>
        <v>already better turu the final risk of the referee settings paid by FIFA is clearly looking to win</v>
      </c>
    </row>
    <row r="12977" ht="15.75" customHeight="1">
      <c r="A12977" s="1">
        <v>14315.0</v>
      </c>
      <c r="B12977" s="3" t="s">
        <v>36789</v>
      </c>
      <c r="C12977" s="3">
        <v>0.0</v>
      </c>
      <c r="D12977" s="3">
        <v>0.0</v>
      </c>
      <c r="E12977" s="3">
        <v>0.0</v>
      </c>
      <c r="F12977" s="3" t="s">
        <v>36790</v>
      </c>
      <c r="G12977" s="3">
        <v>1.0</v>
      </c>
      <c r="H12977" s="3">
        <v>0.0</v>
      </c>
      <c r="I12977" s="3" t="s">
        <v>13</v>
      </c>
      <c r="J12977" s="3" t="s">
        <v>36791</v>
      </c>
      <c r="K12977" s="3" t="s">
        <v>644</v>
      </c>
      <c r="L12977" s="3" t="str">
        <f>IFERROR(__xludf.DUMMYFUNCTION("GOOGLETRANSLATE(F12977,""id"",""en"")"),"Final Settings Bocil Attacked")</f>
        <v>Final Settings Bocil Attacked</v>
      </c>
    </row>
    <row r="12978" ht="15.75" customHeight="1">
      <c r="A12978" s="1">
        <v>14316.0</v>
      </c>
      <c r="B12978" s="3" t="s">
        <v>36792</v>
      </c>
      <c r="C12978" s="3">
        <v>0.0</v>
      </c>
      <c r="D12978" s="3">
        <v>0.0</v>
      </c>
      <c r="E12978" s="3">
        <v>0.0</v>
      </c>
      <c r="F12978" s="3" t="s">
        <v>36793</v>
      </c>
      <c r="G12978" s="3">
        <v>1.0</v>
      </c>
      <c r="H12978" s="3">
        <v>0.0</v>
      </c>
      <c r="I12978" s="3" t="s">
        <v>13</v>
      </c>
      <c r="J12978" s="3" t="s">
        <v>36794</v>
      </c>
      <c r="K12978" s="3" t="s">
        <v>2117</v>
      </c>
      <c r="L12978" s="3" t="str">
        <f>IFERROR(__xludf.DUMMYFUNCTION("GOOGLETRANSLATE(F12978,""id"",""en"")"),"Final Settingan WKWKW")</f>
        <v>Final Settingan WKWKW</v>
      </c>
    </row>
    <row r="12979" ht="15.75" customHeight="1">
      <c r="A12979" s="1">
        <v>14317.0</v>
      </c>
      <c r="B12979" s="3" t="s">
        <v>36795</v>
      </c>
      <c r="C12979" s="3">
        <v>0.0</v>
      </c>
      <c r="D12979" s="3">
        <v>0.0</v>
      </c>
      <c r="E12979" s="3">
        <v>1.0</v>
      </c>
      <c r="F12979" s="3" t="s">
        <v>36796</v>
      </c>
      <c r="G12979" s="3">
        <v>1.0</v>
      </c>
      <c r="H12979" s="3">
        <v>0.0</v>
      </c>
      <c r="I12979" s="3" t="s">
        <v>13</v>
      </c>
      <c r="J12979" s="3" t="s">
        <v>36797</v>
      </c>
      <c r="K12979" s="3" t="s">
        <v>942</v>
      </c>
      <c r="L12979" s="3" t="str">
        <f>IFERROR(__xludf.DUMMYFUNCTION("GOOGLETRANSLATE(F12979,""id"",""en"")"),"Argentina behind her referee led the final from Poland's back clearly the back settings of her back as well")</f>
        <v>Argentina behind her referee led the final from Poland's back clearly the back settings of her back as well</v>
      </c>
    </row>
    <row r="12980" ht="15.75" customHeight="1">
      <c r="A12980" s="1">
        <v>14318.0</v>
      </c>
      <c r="B12980" s="3" t="s">
        <v>36798</v>
      </c>
      <c r="C12980" s="3">
        <v>0.0</v>
      </c>
      <c r="D12980" s="3">
        <v>0.0</v>
      </c>
      <c r="E12980" s="3">
        <v>1.0</v>
      </c>
      <c r="F12980" s="3" t="s">
        <v>36536</v>
      </c>
      <c r="G12980" s="3">
        <v>1.0</v>
      </c>
      <c r="H12980" s="3">
        <v>0.0</v>
      </c>
      <c r="I12980" s="3" t="s">
        <v>13</v>
      </c>
      <c r="J12980" s="3" t="s">
        <v>36537</v>
      </c>
      <c r="K12980" s="3" t="s">
        <v>14571</v>
      </c>
      <c r="L12980" s="3" t="str">
        <f>IFERROR(__xludf.DUMMYFUNCTION("GOOGLETRANSLATE(F12980,""id"",""en"")"),"Final settings")</f>
        <v>Final settings</v>
      </c>
    </row>
    <row r="12981" ht="15.75" customHeight="1">
      <c r="A12981" s="1">
        <v>14319.0</v>
      </c>
      <c r="B12981" s="3" t="s">
        <v>36799</v>
      </c>
      <c r="C12981" s="3">
        <v>0.0</v>
      </c>
      <c r="D12981" s="3">
        <v>0.0</v>
      </c>
      <c r="E12981" s="3">
        <v>1.0</v>
      </c>
      <c r="F12981" s="3" t="s">
        <v>36799</v>
      </c>
      <c r="G12981" s="3">
        <v>0.5</v>
      </c>
      <c r="H12981" s="3">
        <v>0.0</v>
      </c>
      <c r="I12981" s="3" t="s">
        <v>13</v>
      </c>
      <c r="J12981" s="3" t="s">
        <v>36800</v>
      </c>
      <c r="K12981" s="3" t="s">
        <v>82</v>
      </c>
      <c r="L12981" s="3" t="str">
        <f>IFERROR(__xludf.DUMMYFUNCTION("GOOGLETRANSLATE(F12981,""id"",""en"")"),"Dahlah Final World Cup Elite Global Settings")</f>
        <v>Dahlah Final World Cup Elite Global Settings</v>
      </c>
    </row>
    <row r="12982" ht="15.75" customHeight="1">
      <c r="A12982" s="1">
        <v>14320.0</v>
      </c>
      <c r="B12982" s="3" t="s">
        <v>36801</v>
      </c>
      <c r="C12982" s="3">
        <v>3.0</v>
      </c>
      <c r="D12982" s="3">
        <v>0.0</v>
      </c>
      <c r="E12982" s="3">
        <v>0.0</v>
      </c>
      <c r="F12982" s="3" t="s">
        <v>36802</v>
      </c>
      <c r="G12982" s="3">
        <v>1.0</v>
      </c>
      <c r="H12982" s="3">
        <v>0.0</v>
      </c>
      <c r="I12982" s="3" t="s">
        <v>13</v>
      </c>
      <c r="J12982" s="3" t="s">
        <v>36803</v>
      </c>
      <c r="K12982" s="3" t="s">
        <v>823</v>
      </c>
      <c r="L12982" s="3" t="str">
        <f>IFERROR(__xludf.DUMMYFUNCTION("GOOGLETRANSLATE(F12982,""id"",""en"")"),"The French Argentina Final Maria Diving Referees Kaga Kaga Check Var and then no one also protested even though it was clear that Maria diving was very smooth so that Messi won the World Cup this year")</f>
        <v>The French Argentina Final Maria Diving Referees Kaga Kaga Check Var and then no one also protested even though it was clear that Maria diving was very smooth so that Messi won the World Cup this year</v>
      </c>
    </row>
    <row r="12983" ht="15.75" customHeight="1">
      <c r="A12983" s="1">
        <v>14321.0</v>
      </c>
      <c r="B12983" s="3" t="s">
        <v>36804</v>
      </c>
      <c r="C12983" s="3">
        <v>1.0</v>
      </c>
      <c r="D12983" s="3">
        <v>0.0</v>
      </c>
      <c r="E12983" s="3">
        <v>0.0</v>
      </c>
      <c r="F12983" s="3" t="s">
        <v>36804</v>
      </c>
      <c r="G12983" s="3">
        <v>0.5</v>
      </c>
      <c r="H12983" s="3">
        <v>0.0</v>
      </c>
      <c r="I12983" s="3" t="s">
        <v>13</v>
      </c>
      <c r="J12983" s="3" t="s">
        <v>36805</v>
      </c>
      <c r="K12983" s="3" t="s">
        <v>31</v>
      </c>
      <c r="L12983" s="3" t="str">
        <f>IFERROR(__xludf.DUMMYFUNCTION("GOOGLETRANSLATE(F12983,""id"",""en"")"),"Final Settings Elite Global Fix")</f>
        <v>Final Settings Elite Global Fix</v>
      </c>
    </row>
    <row r="12984" ht="15.75" customHeight="1">
      <c r="A12984" s="1">
        <v>14322.0</v>
      </c>
      <c r="B12984" s="3" t="s">
        <v>36806</v>
      </c>
      <c r="C12984" s="3">
        <v>1.0</v>
      </c>
      <c r="D12984" s="3">
        <v>0.0</v>
      </c>
      <c r="E12984" s="3">
        <v>2.0</v>
      </c>
      <c r="F12984" s="3" t="s">
        <v>36536</v>
      </c>
      <c r="G12984" s="3">
        <v>1.0</v>
      </c>
      <c r="H12984" s="3">
        <v>0.0</v>
      </c>
      <c r="I12984" s="3" t="s">
        <v>13</v>
      </c>
      <c r="J12984" s="3" t="s">
        <v>36537</v>
      </c>
      <c r="K12984" s="3" t="s">
        <v>14571</v>
      </c>
      <c r="L12984" s="3" t="str">
        <f>IFERROR(__xludf.DUMMYFUNCTION("GOOGLETRANSLATE(F12984,""id"",""en"")"),"Final settings")</f>
        <v>Final settings</v>
      </c>
    </row>
    <row r="12985" ht="15.75" customHeight="1">
      <c r="A12985" s="1">
        <v>14323.0</v>
      </c>
      <c r="B12985" s="3" t="s">
        <v>36807</v>
      </c>
      <c r="C12985" s="3">
        <v>0.0</v>
      </c>
      <c r="D12985" s="3">
        <v>0.0</v>
      </c>
      <c r="E12985" s="3">
        <v>0.0</v>
      </c>
      <c r="F12985" s="3" t="s">
        <v>36807</v>
      </c>
      <c r="G12985" s="3">
        <v>1.0</v>
      </c>
      <c r="H12985" s="3">
        <v>0.0</v>
      </c>
      <c r="I12985" s="3" t="s">
        <v>13</v>
      </c>
      <c r="J12985" s="3" t="s">
        <v>36808</v>
      </c>
      <c r="K12985" s="3" t="s">
        <v>2117</v>
      </c>
      <c r="L12985" s="3" t="str">
        <f>IFERROR(__xludf.DUMMYFUNCTION("GOOGLETRANSLATE(F12985,""id"",""en"")"),"Final settings Anjjirrrrr")</f>
        <v>Final settings Anjjirrrrr</v>
      </c>
    </row>
    <row r="12986" ht="15.75" customHeight="1">
      <c r="A12986" s="1">
        <v>14324.0</v>
      </c>
      <c r="B12986" s="3" t="s">
        <v>36809</v>
      </c>
      <c r="C12986" s="3">
        <v>0.0</v>
      </c>
      <c r="D12986" s="3">
        <v>0.0</v>
      </c>
      <c r="E12986" s="3">
        <v>0.0</v>
      </c>
      <c r="F12986" s="3" t="s">
        <v>36810</v>
      </c>
      <c r="G12986" s="3">
        <v>1.0</v>
      </c>
      <c r="H12986" s="3">
        <v>0.0</v>
      </c>
      <c r="I12986" s="3" t="s">
        <v>13</v>
      </c>
      <c r="J12986" s="3" t="s">
        <v>36811</v>
      </c>
      <c r="K12986" s="3" t="s">
        <v>31</v>
      </c>
      <c r="L12986" s="3" t="str">
        <f>IFERROR(__xludf.DUMMYFUNCTION("GOOGLETRANSLATE(F12986,""id"",""en"")"),"What's the final trying the settings")</f>
        <v>What's the final trying the settings</v>
      </c>
    </row>
    <row r="12987" ht="15.75" customHeight="1">
      <c r="A12987" s="1">
        <v>14325.0</v>
      </c>
      <c r="B12987" s="3" t="s">
        <v>36812</v>
      </c>
      <c r="C12987" s="3">
        <v>0.0</v>
      </c>
      <c r="D12987" s="3">
        <v>0.0</v>
      </c>
      <c r="E12987" s="3">
        <v>0.0</v>
      </c>
      <c r="F12987" s="3" t="s">
        <v>36813</v>
      </c>
      <c r="G12987" s="3">
        <v>1.0</v>
      </c>
      <c r="H12987" s="3">
        <v>0.0</v>
      </c>
      <c r="I12987" s="3" t="s">
        <v>13</v>
      </c>
      <c r="J12987" s="3" t="s">
        <v>36814</v>
      </c>
      <c r="K12987" s="3" t="s">
        <v>1345</v>
      </c>
      <c r="L12987" s="3" t="str">
        <f>IFERROR(__xludf.DUMMYFUNCTION("GOOGLETRANSLATE(F12987,""id"",""en"")"),"Surely this is a supporter whose team lost the World Cup final grumbling the settings losing just losing")</f>
        <v>Surely this is a supporter whose team lost the World Cup final grumbling the settings losing just losing</v>
      </c>
    </row>
    <row r="12988" ht="15.75" customHeight="1">
      <c r="A12988" s="1">
        <v>14326.0</v>
      </c>
      <c r="B12988" s="3" t="s">
        <v>36815</v>
      </c>
      <c r="C12988" s="3">
        <v>0.0</v>
      </c>
      <c r="D12988" s="3">
        <v>0.0</v>
      </c>
      <c r="E12988" s="3">
        <v>0.0</v>
      </c>
      <c r="F12988" s="3" t="s">
        <v>36816</v>
      </c>
      <c r="G12988" s="3">
        <v>1.0</v>
      </c>
      <c r="H12988" s="3">
        <v>0.0</v>
      </c>
      <c r="I12988" s="3" t="s">
        <v>13</v>
      </c>
      <c r="J12988" s="3" t="s">
        <v>36817</v>
      </c>
      <c r="K12988" s="3" t="s">
        <v>1518</v>
      </c>
      <c r="L12988" s="3" t="str">
        <f>IFERROR(__xludf.DUMMYFUNCTION("GOOGLETRANSLATE(F12988,""id"",""en"")"),"Privileged watching the house directly entering the room and then lying down wkwkwk already lazy to be crazy times the penalty is really caught by the referee the final settings like this")</f>
        <v>Privileged watching the house directly entering the room and then lying down wkwkwk already lazy to be crazy times the penalty is really caught by the referee the final settings like this</v>
      </c>
    </row>
    <row r="12989" ht="15.75" customHeight="1">
      <c r="A12989" s="1">
        <v>14327.0</v>
      </c>
      <c r="B12989" s="3" t="s">
        <v>36818</v>
      </c>
      <c r="C12989" s="3">
        <v>0.0</v>
      </c>
      <c r="D12989" s="3">
        <v>1.0</v>
      </c>
      <c r="E12989" s="3">
        <v>0.0</v>
      </c>
      <c r="F12989" s="3" t="s">
        <v>36819</v>
      </c>
      <c r="G12989" s="3">
        <v>1.0</v>
      </c>
      <c r="H12989" s="3">
        <v>0.0</v>
      </c>
      <c r="I12989" s="3" t="s">
        <v>13</v>
      </c>
      <c r="J12989" s="3" t="s">
        <v>36820</v>
      </c>
      <c r="K12989" s="3" t="s">
        <v>236</v>
      </c>
      <c r="L12989" s="3" t="str">
        <f>IFERROR(__xludf.DUMMYFUNCTION("GOOGLETRANSLATE(F12989,""id"",""en"")"),"I am the Denial Final settings for the final match of Messi Pildun")</f>
        <v>I am the Denial Final settings for the final match of Messi Pildun</v>
      </c>
    </row>
    <row r="12990" ht="15.75" customHeight="1">
      <c r="A12990" s="1">
        <v>14328.0</v>
      </c>
      <c r="B12990" s="3" t="s">
        <v>36821</v>
      </c>
      <c r="C12990" s="3">
        <v>0.0</v>
      </c>
      <c r="D12990" s="3">
        <v>0.0</v>
      </c>
      <c r="E12990" s="3">
        <v>1.0</v>
      </c>
      <c r="F12990" s="3" t="s">
        <v>36822</v>
      </c>
      <c r="G12990" s="3">
        <v>1.0</v>
      </c>
      <c r="H12990" s="3">
        <v>0.0</v>
      </c>
      <c r="I12990" s="3" t="s">
        <v>13</v>
      </c>
      <c r="J12990" s="3" t="s">
        <v>36823</v>
      </c>
      <c r="K12990" s="3" t="s">
        <v>244</v>
      </c>
      <c r="L12990" s="3" t="str">
        <f>IFERROR(__xludf.DUMMYFUNCTION("GOOGLETRANSLATE(F12990,""id"",""en"")"),"Settings should be from the beginning of the deck, don't fit the final, the new settings")</f>
        <v>Settings should be from the beginning of the deck, don't fit the final, the new settings</v>
      </c>
    </row>
    <row r="12991" ht="15.75" customHeight="1">
      <c r="A12991" s="1">
        <v>14329.0</v>
      </c>
      <c r="B12991" s="3" t="s">
        <v>36824</v>
      </c>
      <c r="C12991" s="3">
        <v>0.0</v>
      </c>
      <c r="D12991" s="3">
        <v>0.0</v>
      </c>
      <c r="E12991" s="3">
        <v>0.0</v>
      </c>
      <c r="F12991" s="3" t="s">
        <v>36825</v>
      </c>
      <c r="G12991" s="3">
        <v>0.7708333333333333</v>
      </c>
      <c r="H12991" s="3">
        <v>-0.1458333333333333</v>
      </c>
      <c r="I12991" s="3" t="s">
        <v>179</v>
      </c>
      <c r="J12991" s="3" t="s">
        <v>36826</v>
      </c>
      <c r="K12991" s="3" t="s">
        <v>2610</v>
      </c>
      <c r="L12991" s="3" t="str">
        <f>IFERROR(__xludf.DUMMYFUNCTION("GOOGLETRANSLATE(F12991,""id"",""en"")"),"said that the settings hope that the Argentina mledug nutmeg has tried hard until the final dick only Grgr was given a stupid penalty, the referee should be geblek")</f>
        <v>said that the settings hope that the Argentina mledug nutmeg has tried hard until the final dick only Grgr was given a stupid penalty, the referee should be geblek</v>
      </c>
    </row>
    <row r="12992" ht="15.75" customHeight="1">
      <c r="A12992" s="1">
        <v>14330.0</v>
      </c>
      <c r="B12992" s="3" t="s">
        <v>36827</v>
      </c>
      <c r="C12992" s="3">
        <v>0.0</v>
      </c>
      <c r="D12992" s="3">
        <v>0.0</v>
      </c>
      <c r="E12992" s="3">
        <v>0.0</v>
      </c>
      <c r="F12992" s="3" t="s">
        <v>36828</v>
      </c>
      <c r="G12992" s="3">
        <v>1.0</v>
      </c>
      <c r="H12992" s="3">
        <v>0.0</v>
      </c>
      <c r="I12992" s="3" t="s">
        <v>13</v>
      </c>
      <c r="J12992" s="3" t="s">
        <v>36829</v>
      </c>
      <c r="K12992" s="3" t="s">
        <v>82</v>
      </c>
      <c r="L12992" s="3" t="str">
        <f>IFERROR(__xludf.DUMMYFUNCTION("GOOGLETRANSLATE(F12992,""id"",""en"")"),"I already told you just loved the final settings")</f>
        <v>I already told you just loved the final settings</v>
      </c>
    </row>
    <row r="12993" ht="15.75" customHeight="1">
      <c r="A12993" s="1">
        <v>14331.0</v>
      </c>
      <c r="B12993" s="3" t="s">
        <v>36830</v>
      </c>
      <c r="C12993" s="3">
        <v>0.0</v>
      </c>
      <c r="D12993" s="3">
        <v>0.0</v>
      </c>
      <c r="E12993" s="3">
        <v>0.0</v>
      </c>
      <c r="F12993" s="3" t="s">
        <v>36831</v>
      </c>
      <c r="G12993" s="3">
        <v>1.0</v>
      </c>
      <c r="H12993" s="3">
        <v>0.0</v>
      </c>
      <c r="I12993" s="3" t="s">
        <v>13</v>
      </c>
      <c r="J12993" s="3" t="s">
        <v>36832</v>
      </c>
      <c r="K12993" s="3" t="s">
        <v>123</v>
      </c>
      <c r="L12993" s="3" t="str">
        <f>IFERROR(__xludf.DUMMYFUNCTION("GOOGLETRANSLATE(F12993,""id"",""en"")"),"Come on, Dong France Bales Argentina, I expect the final final even though or whether France's performance includes FIFA HMM settings")</f>
        <v>Come on, Dong France Bales Argentina, I expect the final final even though or whether France's performance includes FIFA HMM settings</v>
      </c>
    </row>
    <row r="12994" ht="15.75" customHeight="1">
      <c r="A12994" s="1">
        <v>14332.0</v>
      </c>
      <c r="B12994" s="3" t="s">
        <v>36833</v>
      </c>
      <c r="C12994" s="3">
        <v>2.0</v>
      </c>
      <c r="D12994" s="3">
        <v>0.0</v>
      </c>
      <c r="E12994" s="3">
        <v>0.0</v>
      </c>
      <c r="F12994" s="3" t="s">
        <v>36536</v>
      </c>
      <c r="G12994" s="3">
        <v>1.0</v>
      </c>
      <c r="H12994" s="3">
        <v>0.0</v>
      </c>
      <c r="I12994" s="3" t="s">
        <v>13</v>
      </c>
      <c r="J12994" s="3" t="s">
        <v>36537</v>
      </c>
      <c r="K12994" s="3" t="s">
        <v>14571</v>
      </c>
      <c r="L12994" s="3" t="str">
        <f>IFERROR(__xludf.DUMMYFUNCTION("GOOGLETRANSLATE(F12994,""id"",""en"")"),"Final settings")</f>
        <v>Final settings</v>
      </c>
    </row>
    <row r="12995" ht="15.75" customHeight="1">
      <c r="A12995" s="1">
        <v>14333.0</v>
      </c>
      <c r="B12995" s="3" t="s">
        <v>36834</v>
      </c>
      <c r="C12995" s="3">
        <v>1.0</v>
      </c>
      <c r="D12995" s="3">
        <v>0.0</v>
      </c>
      <c r="E12995" s="3">
        <v>0.0</v>
      </c>
      <c r="F12995" s="3" t="s">
        <v>36834</v>
      </c>
      <c r="G12995" s="3">
        <v>1.0</v>
      </c>
      <c r="H12995" s="3">
        <v>0.0</v>
      </c>
      <c r="I12995" s="3" t="s">
        <v>13</v>
      </c>
      <c r="J12995" s="3" t="s">
        <v>36835</v>
      </c>
      <c r="K12995" s="3" t="s">
        <v>2117</v>
      </c>
      <c r="L12995" s="3" t="str">
        <f>IFERROR(__xludf.DUMMYFUNCTION("GOOGLETRANSLATE(F12995,""id"",""en"")"),"Hmm Final Settingan")</f>
        <v>Hmm Final Settingan</v>
      </c>
    </row>
    <row r="12996" ht="15.75" customHeight="1">
      <c r="A12996" s="1">
        <v>14334.0</v>
      </c>
      <c r="B12996" s="3" t="s">
        <v>36836</v>
      </c>
      <c r="C12996" s="3">
        <v>0.0</v>
      </c>
      <c r="D12996" s="3">
        <v>0.0</v>
      </c>
      <c r="E12996" s="3">
        <v>0.0</v>
      </c>
      <c r="F12996" s="3" t="s">
        <v>36837</v>
      </c>
      <c r="G12996" s="3">
        <v>1.0</v>
      </c>
      <c r="H12996" s="3">
        <v>0.0</v>
      </c>
      <c r="I12996" s="3" t="s">
        <v>13</v>
      </c>
      <c r="J12996" s="3" t="s">
        <v>36838</v>
      </c>
      <c r="K12996" s="3" t="s">
        <v>644</v>
      </c>
      <c r="L12996" s="3" t="str">
        <f>IFERROR(__xludf.DUMMYFUNCTION("GOOGLETRANSLATE(F12996,""id"",""en"")"),"World Cup Final Settingan")</f>
        <v>World Cup Final Settingan</v>
      </c>
    </row>
    <row r="12997" ht="15.75" customHeight="1">
      <c r="A12997" s="1">
        <v>14335.0</v>
      </c>
      <c r="B12997" s="3" t="s">
        <v>36839</v>
      </c>
      <c r="C12997" s="3">
        <v>0.0</v>
      </c>
      <c r="D12997" s="3">
        <v>0.0</v>
      </c>
      <c r="E12997" s="3">
        <v>1.0</v>
      </c>
      <c r="F12997" s="3" t="s">
        <v>36840</v>
      </c>
      <c r="G12997" s="3">
        <v>1.0</v>
      </c>
      <c r="H12997" s="3">
        <v>0.0</v>
      </c>
      <c r="I12997" s="3" t="s">
        <v>13</v>
      </c>
      <c r="J12997" s="3" t="s">
        <v>36841</v>
      </c>
      <c r="K12997" s="3" t="s">
        <v>15</v>
      </c>
      <c r="L12997" s="3" t="str">
        <f>IFERROR(__xludf.DUMMYFUNCTION("GOOGLETRANSLATE(F12997,""id"",""en"")"),"Beginning Lose Blasphemical Messi Pas Final said Settings wkww")</f>
        <v>Beginning Lose Blasphemical Messi Pas Final said Settings wkww</v>
      </c>
    </row>
    <row r="12998" ht="15.75" customHeight="1">
      <c r="A12998" s="1">
        <v>14336.0</v>
      </c>
      <c r="B12998" s="3" t="s">
        <v>36842</v>
      </c>
      <c r="C12998" s="3">
        <v>0.0</v>
      </c>
      <c r="D12998" s="3">
        <v>0.0</v>
      </c>
      <c r="E12998" s="3">
        <v>0.0</v>
      </c>
      <c r="F12998" s="3" t="s">
        <v>36842</v>
      </c>
      <c r="G12998" s="3">
        <v>1.0</v>
      </c>
      <c r="H12998" s="3">
        <v>0.0</v>
      </c>
      <c r="I12998" s="3" t="s">
        <v>13</v>
      </c>
      <c r="J12998" s="3" t="s">
        <v>36843</v>
      </c>
      <c r="K12998" s="3" t="s">
        <v>2117</v>
      </c>
      <c r="L12998" s="3" t="str">
        <f>IFERROR(__xludf.DUMMYFUNCTION("GOOGLETRANSLATE(F12998,""id"",""en"")"),"Settings know this is the final pildun")</f>
        <v>Settings know this is the final pildun</v>
      </c>
    </row>
    <row r="12999" ht="15.75" customHeight="1">
      <c r="A12999" s="1">
        <v>14337.0</v>
      </c>
      <c r="B12999" s="3" t="s">
        <v>36844</v>
      </c>
      <c r="C12999" s="3">
        <v>2.0</v>
      </c>
      <c r="D12999" s="3">
        <v>0.0</v>
      </c>
      <c r="E12999" s="3">
        <v>0.0</v>
      </c>
      <c r="F12999" s="3" t="s">
        <v>36536</v>
      </c>
      <c r="G12999" s="3">
        <v>1.0</v>
      </c>
      <c r="H12999" s="3">
        <v>0.0</v>
      </c>
      <c r="I12999" s="3" t="s">
        <v>13</v>
      </c>
      <c r="J12999" s="3" t="s">
        <v>36537</v>
      </c>
      <c r="K12999" s="3" t="s">
        <v>14571</v>
      </c>
      <c r="L12999" s="3" t="str">
        <f>IFERROR(__xludf.DUMMYFUNCTION("GOOGLETRANSLATE(F12999,""id"",""en"")"),"Final settings")</f>
        <v>Final settings</v>
      </c>
    </row>
    <row r="13000" ht="15.75" customHeight="1">
      <c r="A13000" s="1">
        <v>14338.0</v>
      </c>
      <c r="B13000" s="3" t="s">
        <v>36845</v>
      </c>
      <c r="C13000" s="3">
        <v>1.0</v>
      </c>
      <c r="D13000" s="3">
        <v>0.0</v>
      </c>
      <c r="E13000" s="3">
        <v>0.0</v>
      </c>
      <c r="F13000" s="3" t="s">
        <v>36846</v>
      </c>
      <c r="G13000" s="3">
        <v>1.0</v>
      </c>
      <c r="H13000" s="3">
        <v>0.0</v>
      </c>
      <c r="I13000" s="3" t="s">
        <v>13</v>
      </c>
      <c r="J13000" s="3" t="s">
        <v>36847</v>
      </c>
      <c r="K13000" s="3" t="s">
        <v>244</v>
      </c>
      <c r="L13000" s="3" t="str">
        <f>IFERROR(__xludf.DUMMYFUNCTION("GOOGLETRANSLATE(F13000,""id"",""en"")"),"Pinal of Pinal of Tulasss from the group phase to the final fix settings in the Bandar Settings")</f>
        <v>Pinal of Pinal of Tulasss from the group phase to the final fix settings in the Bandar Settings</v>
      </c>
    </row>
    <row r="13001" ht="15.75" customHeight="1">
      <c r="A13001" s="1">
        <v>14339.0</v>
      </c>
      <c r="B13001" s="3" t="s">
        <v>36848</v>
      </c>
      <c r="C13001" s="3">
        <v>2.0</v>
      </c>
      <c r="D13001" s="3">
        <v>0.0</v>
      </c>
      <c r="E13001" s="3">
        <v>1.0</v>
      </c>
      <c r="F13001" s="3" t="s">
        <v>36849</v>
      </c>
      <c r="G13001" s="3">
        <v>1.0</v>
      </c>
      <c r="H13001" s="3">
        <v>0.0</v>
      </c>
      <c r="I13001" s="3" t="s">
        <v>13</v>
      </c>
      <c r="J13001" s="3" t="s">
        <v>36850</v>
      </c>
      <c r="K13001" s="3" t="s">
        <v>2117</v>
      </c>
      <c r="L13001" s="3" t="str">
        <f>IFERROR(__xludf.DUMMYFUNCTION("GOOGLETRANSLATE(F13001,""id"",""en"")"),"Final Settings Coming")</f>
        <v>Final Settings Coming</v>
      </c>
    </row>
    <row r="13002" ht="15.75" customHeight="1">
      <c r="A13002" s="1">
        <v>14340.0</v>
      </c>
      <c r="B13002" s="3" t="s">
        <v>36851</v>
      </c>
      <c r="C13002" s="3">
        <v>0.0</v>
      </c>
      <c r="D13002" s="3">
        <v>0.0</v>
      </c>
      <c r="E13002" s="3">
        <v>1.0</v>
      </c>
      <c r="F13002" s="3" t="s">
        <v>36852</v>
      </c>
      <c r="G13002" s="3">
        <v>1.0</v>
      </c>
      <c r="H13002" s="3">
        <v>0.0</v>
      </c>
      <c r="I13002" s="3" t="s">
        <v>13</v>
      </c>
      <c r="J13002" s="3" t="s">
        <v>36853</v>
      </c>
      <c r="K13002" s="3" t="s">
        <v>54</v>
      </c>
      <c r="L13002" s="3" t="str">
        <f>IFERROR(__xludf.DUMMYFUNCTION("GOOGLETRANSLATE(F13002,""id"",""en"")"),"alah pig final settings fifa unclean")</f>
        <v>alah pig final settings fifa unclean</v>
      </c>
    </row>
    <row r="13003" ht="15.75" customHeight="1">
      <c r="A13003" s="1">
        <v>14341.0</v>
      </c>
      <c r="B13003" s="3" t="s">
        <v>36854</v>
      </c>
      <c r="C13003" s="3">
        <v>0.0</v>
      </c>
      <c r="D13003" s="3">
        <v>0.0</v>
      </c>
      <c r="E13003" s="3">
        <v>0.0</v>
      </c>
      <c r="F13003" s="3" t="s">
        <v>36536</v>
      </c>
      <c r="G13003" s="3">
        <v>1.0</v>
      </c>
      <c r="H13003" s="3">
        <v>0.0</v>
      </c>
      <c r="I13003" s="3" t="s">
        <v>13</v>
      </c>
      <c r="J13003" s="3" t="s">
        <v>36537</v>
      </c>
      <c r="K13003" s="3" t="s">
        <v>14571</v>
      </c>
      <c r="L13003" s="3" t="str">
        <f>IFERROR(__xludf.DUMMYFUNCTION("GOOGLETRANSLATE(F13003,""id"",""en"")"),"Final settings")</f>
        <v>Final settings</v>
      </c>
    </row>
    <row r="13004" ht="15.75" customHeight="1">
      <c r="A13004" s="1">
        <v>14342.0</v>
      </c>
      <c r="B13004" s="3" t="s">
        <v>36855</v>
      </c>
      <c r="C13004" s="3">
        <v>1.0</v>
      </c>
      <c r="D13004" s="3">
        <v>0.0</v>
      </c>
      <c r="E13004" s="3">
        <v>0.0</v>
      </c>
      <c r="F13004" s="3" t="s">
        <v>36856</v>
      </c>
      <c r="G13004" s="3">
        <v>1.0</v>
      </c>
      <c r="H13004" s="3">
        <v>0.0</v>
      </c>
      <c r="I13004" s="3" t="s">
        <v>13</v>
      </c>
      <c r="J13004" s="3" t="s">
        <v>36857</v>
      </c>
      <c r="K13004" s="3" t="s">
        <v>31</v>
      </c>
      <c r="L13004" s="3" t="str">
        <f>IFERROR(__xludf.DUMMYFUNCTION("GOOGLETRANSLATE(F13004,""id"",""en"")"),"Final settings fifa dear Messi")</f>
        <v>Final settings fifa dear Messi</v>
      </c>
    </row>
    <row r="13005" ht="15.75" customHeight="1">
      <c r="A13005" s="1">
        <v>14343.0</v>
      </c>
      <c r="B13005" s="3" t="s">
        <v>36858</v>
      </c>
      <c r="C13005" s="3">
        <v>0.0</v>
      </c>
      <c r="D13005" s="3">
        <v>0.0</v>
      </c>
      <c r="E13005" s="3">
        <v>0.0</v>
      </c>
      <c r="F13005" s="3" t="s">
        <v>36859</v>
      </c>
      <c r="G13005" s="3">
        <v>1.0</v>
      </c>
      <c r="H13005" s="3">
        <v>0.0</v>
      </c>
      <c r="I13005" s="3" t="s">
        <v>13</v>
      </c>
      <c r="J13005" s="3" t="s">
        <v>36860</v>
      </c>
      <c r="K13005" s="3" t="s">
        <v>54</v>
      </c>
      <c r="L13005" s="3" t="str">
        <f>IFERROR(__xludf.DUMMYFUNCTION("GOOGLETRANSLATE(F13005,""id"",""en"")"),"World Cup Final Settings Kah Njir Hilarious")</f>
        <v>World Cup Final Settings Kah Njir Hilarious</v>
      </c>
    </row>
    <row r="13006" ht="15.75" customHeight="1">
      <c r="A13006" s="1">
        <v>14344.0</v>
      </c>
      <c r="B13006" s="3" t="s">
        <v>36861</v>
      </c>
      <c r="C13006" s="3">
        <v>0.0</v>
      </c>
      <c r="D13006" s="3">
        <v>0.0</v>
      </c>
      <c r="E13006" s="3">
        <v>0.0</v>
      </c>
      <c r="F13006" s="3" t="s">
        <v>36862</v>
      </c>
      <c r="G13006" s="3">
        <v>1.0</v>
      </c>
      <c r="H13006" s="3">
        <v>0.0</v>
      </c>
      <c r="I13006" s="3" t="s">
        <v>13</v>
      </c>
      <c r="J13006" s="3" t="s">
        <v>36863</v>
      </c>
      <c r="K13006" s="3" t="s">
        <v>82</v>
      </c>
      <c r="L13006" s="3" t="str">
        <f>IFERROR(__xludf.DUMMYFUNCTION("GOOGLETRANSLATE(F13006,""id"",""en"")"),"the more so the final setting is said mah")</f>
        <v>the more so the final setting is said mah</v>
      </c>
    </row>
    <row r="13007" ht="15.75" customHeight="1">
      <c r="A13007" s="1">
        <v>14345.0</v>
      </c>
      <c r="B13007" s="3" t="s">
        <v>36864</v>
      </c>
      <c r="C13007" s="3">
        <v>0.0</v>
      </c>
      <c r="D13007" s="3">
        <v>0.0</v>
      </c>
      <c r="E13007" s="3">
        <v>1.0</v>
      </c>
      <c r="F13007" s="3" t="s">
        <v>36865</v>
      </c>
      <c r="G13007" s="3">
        <v>0.6666666666666666</v>
      </c>
      <c r="H13007" s="3">
        <v>0.3333333333333333</v>
      </c>
      <c r="I13007" s="3" t="s">
        <v>48</v>
      </c>
      <c r="J13007" s="3" t="s">
        <v>36866</v>
      </c>
      <c r="K13007" s="3" t="s">
        <v>477</v>
      </c>
      <c r="L13007" s="3" t="str">
        <f>IFERROR(__xludf.DUMMYFUNCTION("GOOGLETRANSLATE(F13007,""id"",""en"")"),"Final settings moment going much better and better")</f>
        <v>Final settings moment going much better and better</v>
      </c>
    </row>
    <row r="13008" ht="15.75" customHeight="1">
      <c r="A13008" s="1">
        <v>14346.0</v>
      </c>
      <c r="B13008" s="3" t="s">
        <v>36867</v>
      </c>
      <c r="C13008" s="3">
        <v>11.0</v>
      </c>
      <c r="D13008" s="3">
        <v>57.0</v>
      </c>
      <c r="E13008" s="3">
        <v>95.0</v>
      </c>
      <c r="F13008" s="3" t="s">
        <v>36868</v>
      </c>
      <c r="G13008" s="3">
        <v>1.0</v>
      </c>
      <c r="H13008" s="3">
        <v>0.0</v>
      </c>
      <c r="I13008" s="3" t="s">
        <v>13</v>
      </c>
      <c r="J13008" s="3" t="s">
        <v>36869</v>
      </c>
      <c r="K13008" s="3" t="s">
        <v>3497</v>
      </c>
      <c r="L13008" s="3" t="str">
        <f>IFERROR(__xludf.DUMMYFUNCTION("GOOGLETRANSLATE(F13008,""id"",""en"")"),"words of the final settings coming")</f>
        <v>words of the final settings coming</v>
      </c>
    </row>
    <row r="13009" ht="15.75" customHeight="1">
      <c r="A13009" s="1">
        <v>14347.0</v>
      </c>
      <c r="B13009" s="3" t="s">
        <v>36870</v>
      </c>
      <c r="C13009" s="3">
        <v>0.0</v>
      </c>
      <c r="D13009" s="3">
        <v>0.0</v>
      </c>
      <c r="E13009" s="3">
        <v>0.0</v>
      </c>
      <c r="F13009" s="3" t="s">
        <v>36536</v>
      </c>
      <c r="G13009" s="3">
        <v>1.0</v>
      </c>
      <c r="H13009" s="3">
        <v>0.0</v>
      </c>
      <c r="I13009" s="3" t="s">
        <v>13</v>
      </c>
      <c r="J13009" s="3" t="s">
        <v>36537</v>
      </c>
      <c r="K13009" s="3" t="s">
        <v>14571</v>
      </c>
      <c r="L13009" s="3" t="str">
        <f>IFERROR(__xludf.DUMMYFUNCTION("GOOGLETRANSLATE(F13009,""id"",""en"")"),"Final settings")</f>
        <v>Final settings</v>
      </c>
    </row>
    <row r="13010" ht="15.75" customHeight="1">
      <c r="A13010" s="1">
        <v>14348.0</v>
      </c>
      <c r="B13010" s="3" t="s">
        <v>36871</v>
      </c>
      <c r="C13010" s="3">
        <v>1.0</v>
      </c>
      <c r="D13010" s="3">
        <v>0.0</v>
      </c>
      <c r="E13010" s="3">
        <v>0.0</v>
      </c>
      <c r="F13010" s="3" t="s">
        <v>36872</v>
      </c>
      <c r="G13010" s="3">
        <v>1.0</v>
      </c>
      <c r="H13010" s="3">
        <v>0.0</v>
      </c>
      <c r="I13010" s="3" t="s">
        <v>13</v>
      </c>
      <c r="J13010" s="3" t="s">
        <v>36873</v>
      </c>
      <c r="K13010" s="3" t="s">
        <v>644</v>
      </c>
      <c r="L13010" s="3" t="str">
        <f>IFERROR(__xludf.DUMMYFUNCTION("GOOGLETRANSLATE(F13010,""id"",""en"")"),"Final Settingan Ball")</f>
        <v>Final Settingan Ball</v>
      </c>
    </row>
    <row r="13011" ht="15.75" customHeight="1">
      <c r="A13011" s="1">
        <v>14349.0</v>
      </c>
      <c r="B13011" s="3" t="s">
        <v>36874</v>
      </c>
      <c r="C13011" s="3">
        <v>1.0</v>
      </c>
      <c r="D13011" s="3">
        <v>0.0</v>
      </c>
      <c r="E13011" s="3">
        <v>1.0</v>
      </c>
      <c r="F13011" s="3" t="s">
        <v>36875</v>
      </c>
      <c r="G13011" s="3">
        <v>1.0</v>
      </c>
      <c r="H13011" s="3">
        <v>0.0</v>
      </c>
      <c r="I13011" s="3" t="s">
        <v>13</v>
      </c>
      <c r="J13011" s="3" t="s">
        <v>36876</v>
      </c>
      <c r="K13011" s="3" t="s">
        <v>2117</v>
      </c>
      <c r="L13011" s="3" t="str">
        <f>IFERROR(__xludf.DUMMYFUNCTION("GOOGLETRANSLATE(F13011,""id"",""en"")"),"Malezz Final Settings")</f>
        <v>Malezz Final Settings</v>
      </c>
    </row>
    <row r="13012" ht="15.75" customHeight="1">
      <c r="A13012" s="1">
        <v>14350.0</v>
      </c>
      <c r="B13012" s="3" t="s">
        <v>36536</v>
      </c>
      <c r="C13012" s="3">
        <v>0.0</v>
      </c>
      <c r="D13012" s="3">
        <v>0.0</v>
      </c>
      <c r="E13012" s="3">
        <v>0.0</v>
      </c>
      <c r="F13012" s="3" t="s">
        <v>36536</v>
      </c>
      <c r="G13012" s="3">
        <v>1.0</v>
      </c>
      <c r="H13012" s="3">
        <v>0.0</v>
      </c>
      <c r="I13012" s="3" t="s">
        <v>13</v>
      </c>
      <c r="J13012" s="3" t="s">
        <v>36537</v>
      </c>
      <c r="K13012" s="3" t="s">
        <v>14571</v>
      </c>
      <c r="L13012" s="3" t="str">
        <f>IFERROR(__xludf.DUMMYFUNCTION("GOOGLETRANSLATE(F13012,""id"",""en"")"),"Final settings")</f>
        <v>Final settings</v>
      </c>
    </row>
    <row r="13013" ht="15.75" customHeight="1">
      <c r="A13013" s="1">
        <v>14352.0</v>
      </c>
      <c r="B13013" s="3" t="s">
        <v>36877</v>
      </c>
      <c r="C13013" s="3">
        <v>1.0</v>
      </c>
      <c r="D13013" s="3">
        <v>1.0</v>
      </c>
      <c r="E13013" s="3">
        <v>0.0</v>
      </c>
      <c r="F13013" s="3" t="s">
        <v>36877</v>
      </c>
      <c r="G13013" s="3">
        <v>1.0</v>
      </c>
      <c r="H13013" s="3">
        <v>0.0</v>
      </c>
      <c r="I13013" s="3" t="s">
        <v>13</v>
      </c>
      <c r="J13013" s="3" t="s">
        <v>36878</v>
      </c>
      <c r="K13013" s="3" t="s">
        <v>15</v>
      </c>
      <c r="L13013" s="3" t="str">
        <f>IFERROR(__xludf.DUMMYFUNCTION("GOOGLETRANSLATE(F13013,""id"",""en"")"),"said Dika Final FIFA Settings because Messi Jews")</f>
        <v>said Dika Final FIFA Settings because Messi Jews</v>
      </c>
    </row>
    <row r="13014" ht="15.75" customHeight="1">
      <c r="A13014" s="1">
        <v>14353.0</v>
      </c>
      <c r="B13014" s="3" t="s">
        <v>36879</v>
      </c>
      <c r="C13014" s="3">
        <v>0.0</v>
      </c>
      <c r="D13014" s="3">
        <v>0.0</v>
      </c>
      <c r="E13014" s="3">
        <v>0.0</v>
      </c>
      <c r="F13014" s="3" t="s">
        <v>36880</v>
      </c>
      <c r="G13014" s="3">
        <v>1.0</v>
      </c>
      <c r="H13014" s="3">
        <v>0.0</v>
      </c>
      <c r="I13014" s="3" t="s">
        <v>13</v>
      </c>
      <c r="J13014" s="3" t="s">
        <v>36881</v>
      </c>
      <c r="K13014" s="3" t="s">
        <v>50</v>
      </c>
      <c r="L13014" s="3" t="str">
        <f>IFERROR(__xludf.DUMMYFUNCTION("GOOGLETRANSLATE(F13014,""id"",""en"")"),"Arisan Group Office Handling French Dah Final Settings Kah Manieezz")</f>
        <v>Arisan Group Office Handling French Dah Final Settings Kah Manieezz</v>
      </c>
    </row>
    <row r="13015" ht="15.75" customHeight="1">
      <c r="A13015" s="1">
        <v>14354.0</v>
      </c>
      <c r="B13015" s="3" t="s">
        <v>36882</v>
      </c>
      <c r="C13015" s="3">
        <v>1.0</v>
      </c>
      <c r="D13015" s="3">
        <v>0.0</v>
      </c>
      <c r="E13015" s="3">
        <v>3.0</v>
      </c>
      <c r="F13015" s="3" t="s">
        <v>36883</v>
      </c>
      <c r="G13015" s="3">
        <v>1.0</v>
      </c>
      <c r="H13015" s="3">
        <v>0.0</v>
      </c>
      <c r="I13015" s="3" t="s">
        <v>13</v>
      </c>
      <c r="J13015" s="3" t="s">
        <v>36884</v>
      </c>
      <c r="K13015" s="3" t="s">
        <v>1280</v>
      </c>
      <c r="L13015" s="3" t="str">
        <f>IFERROR(__xludf.DUMMYFUNCTION("GOOGLETRANSLATE(F13015,""id"",""en"")"),"On waiting for who the World Cup Final Champion Settingan Yah FIFA has arranged all from the beginning to the final referee, including referee Var, all the championship settings won the final not lost and the initials players will lift my trophy guarantee")</f>
        <v>On waiting for who the World Cup Final Champion Settingan Yah FIFA has arranged all from the beginning to the final referee, including referee Var, all the championship settings won the final not lost and the initials players will lift my trophy guarantee</v>
      </c>
    </row>
    <row r="13016" ht="15.75" customHeight="1">
      <c r="A13016" s="1">
        <v>14355.0</v>
      </c>
      <c r="B13016" s="3" t="s">
        <v>36885</v>
      </c>
      <c r="C13016" s="3">
        <v>0.0</v>
      </c>
      <c r="D13016" s="3">
        <v>0.0</v>
      </c>
      <c r="E13016" s="3">
        <v>2.0</v>
      </c>
      <c r="F13016" s="3" t="s">
        <v>36886</v>
      </c>
      <c r="G13016" s="3">
        <v>0.6666666666666666</v>
      </c>
      <c r="H13016" s="3">
        <v>0.08333333333333333</v>
      </c>
      <c r="I13016" s="3" t="s">
        <v>48</v>
      </c>
      <c r="J13016" s="3" t="s">
        <v>36887</v>
      </c>
      <c r="K13016" s="3" t="s">
        <v>1366</v>
      </c>
      <c r="L13016" s="3" t="str">
        <f>IFERROR(__xludf.DUMMYFUNCTION("GOOGLETRANSLATE(F13016,""id"",""en"")"),"The French Argentine World Cup final champion who champions Qatar are not already the host of the organizer then playing the final country some of the top players play the PSG club incidentally have Qatar Sports Investments settings")</f>
        <v>The French Argentine World Cup final champion who champions Qatar are not already the host of the organizer then playing the final country some of the top players play the PSG club incidentally have Qatar Sports Investments settings</v>
      </c>
    </row>
    <row r="13017" ht="15.75" customHeight="1">
      <c r="A13017" s="1">
        <v>14356.0</v>
      </c>
      <c r="B13017" s="3" t="s">
        <v>36888</v>
      </c>
      <c r="C13017" s="3">
        <v>14.0</v>
      </c>
      <c r="D13017" s="3">
        <v>0.0</v>
      </c>
      <c r="E13017" s="3">
        <v>17.0</v>
      </c>
      <c r="F13017" s="3" t="s">
        <v>36889</v>
      </c>
      <c r="G13017" s="3">
        <v>1.0</v>
      </c>
      <c r="H13017" s="3">
        <v>0.0</v>
      </c>
      <c r="I13017" s="3" t="s">
        <v>13</v>
      </c>
      <c r="J13017" s="3" t="s">
        <v>36890</v>
      </c>
      <c r="K13017" s="3" t="s">
        <v>1414</v>
      </c>
      <c r="L13017" s="3" t="str">
        <f>IFERROR(__xludf.DUMMYFUNCTION("GOOGLETRANSLATE(F13017,""id"",""en"")"),"On waiting for who the World Cup Final Champion Settingan Yah FIFA has arranged all from the beginning to the final referee, including referee Var, all the championship settings won the final not lost and the initials players")</f>
        <v>On waiting for who the World Cup Final Champion Settingan Yah FIFA has arranged all from the beginning to the final referee, including referee Var, all the championship settings won the final not lost and the initials players</v>
      </c>
    </row>
    <row r="13018" ht="15.75" customHeight="1">
      <c r="A13018" s="1">
        <v>14357.0</v>
      </c>
      <c r="B13018" s="3" t="s">
        <v>36891</v>
      </c>
      <c r="C13018" s="3">
        <v>0.0</v>
      </c>
      <c r="D13018" s="3">
        <v>0.0</v>
      </c>
      <c r="E13018" s="3">
        <v>0.0</v>
      </c>
      <c r="F13018" s="3" t="s">
        <v>36892</v>
      </c>
      <c r="G13018" s="3">
        <v>1.0</v>
      </c>
      <c r="H13018" s="3">
        <v>0.0</v>
      </c>
      <c r="I13018" s="3" t="s">
        <v>13</v>
      </c>
      <c r="J13018" s="3" t="s">
        <v>36893</v>
      </c>
      <c r="K13018" s="3" t="s">
        <v>31</v>
      </c>
      <c r="L13018" s="3" t="str">
        <f>IFERROR(__xludf.DUMMYFUNCTION("GOOGLETRANSLATE(F13018,""id"",""en"")"),"FIFA FINAL SETTING INFO tonight")</f>
        <v>FIFA FINAL SETTING INFO tonight</v>
      </c>
    </row>
    <row r="13019" ht="15.75" customHeight="1">
      <c r="A13019" s="1">
        <v>14358.0</v>
      </c>
      <c r="B13019" s="3" t="s">
        <v>36894</v>
      </c>
      <c r="C13019" s="3">
        <v>0.0</v>
      </c>
      <c r="D13019" s="3">
        <v>0.0</v>
      </c>
      <c r="E13019" s="3">
        <v>0.0</v>
      </c>
      <c r="F13019" s="3" t="s">
        <v>36895</v>
      </c>
      <c r="G13019" s="3">
        <v>1.0</v>
      </c>
      <c r="H13019" s="3">
        <v>0.0</v>
      </c>
      <c r="I13019" s="3" t="s">
        <v>13</v>
      </c>
      <c r="J13019" s="3" t="s">
        <v>36896</v>
      </c>
      <c r="K13019" s="3" t="s">
        <v>484</v>
      </c>
      <c r="L13019" s="3" t="str">
        <f>IFERROR(__xludf.DUMMYFUNCTION("GOOGLETRANSLATE(F13019,""id"",""en"")"),"what I learned ahead of the final of this night if Argentina champions is said to be setting if Argentina fails to win after saying")</f>
        <v>what I learned ahead of the final of this night if Argentina champions is said to be setting if Argentina fails to win after saying</v>
      </c>
    </row>
    <row r="13020" ht="15.75" customHeight="1">
      <c r="A13020" s="1">
        <v>14359.0</v>
      </c>
      <c r="B13020" s="3" t="s">
        <v>36897</v>
      </c>
      <c r="C13020" s="3">
        <v>6.0</v>
      </c>
      <c r="D13020" s="3">
        <v>0.0</v>
      </c>
      <c r="E13020" s="3">
        <v>14.0</v>
      </c>
      <c r="F13020" s="3" t="s">
        <v>36898</v>
      </c>
      <c r="G13020" s="3">
        <v>0.7777777777777777</v>
      </c>
      <c r="H13020" s="3">
        <v>0.05555555555555555</v>
      </c>
      <c r="I13020" s="3" t="s">
        <v>48</v>
      </c>
      <c r="J13020" s="3" t="s">
        <v>36899</v>
      </c>
      <c r="K13020" s="3" t="s">
        <v>3245</v>
      </c>
      <c r="L13020" s="3" t="str">
        <f>IFERROR(__xludf.DUMMYFUNCTION("GOOGLETRANSLATE(F13020,""id"",""en"")"),"Better Turu World Cup is clear that all settings have been arranged to lose final all match devices from the referee of the line judge until the referee VAR has been paid by FIFA plus the clear facts of the initials Main Final will lift the World Cup trop"&amp;"hy")</f>
        <v>Better Turu World Cup is clear that all settings have been arranged to lose final all match devices from the referee of the line judge until the referee VAR has been paid by FIFA plus the clear facts of the initials Main Final will lift the World Cup trophy</v>
      </c>
    </row>
    <row r="13021" ht="15.75" customHeight="1">
      <c r="A13021" s="1">
        <v>14360.0</v>
      </c>
      <c r="B13021" s="3" t="s">
        <v>36900</v>
      </c>
      <c r="C13021" s="3">
        <v>0.0</v>
      </c>
      <c r="D13021" s="3">
        <v>0.0</v>
      </c>
      <c r="E13021" s="3">
        <v>0.0</v>
      </c>
      <c r="F13021" s="3" t="s">
        <v>36901</v>
      </c>
      <c r="G13021" s="3">
        <v>1.0</v>
      </c>
      <c r="H13021" s="3">
        <v>0.0</v>
      </c>
      <c r="I13021" s="3" t="s">
        <v>13</v>
      </c>
      <c r="J13021" s="3" t="s">
        <v>36902</v>
      </c>
      <c r="K13021" s="3" t="s">
        <v>3497</v>
      </c>
      <c r="L13021" s="3" t="str">
        <f>IFERROR(__xludf.DUMMYFUNCTION("GOOGLETRANSLATE(F13021,""id"",""en"")"),"The smell of the final settings tonight")</f>
        <v>The smell of the final settings tonight</v>
      </c>
    </row>
    <row r="13022" ht="15.75" customHeight="1">
      <c r="A13022" s="1">
        <v>14361.0</v>
      </c>
      <c r="B13022" s="3" t="s">
        <v>36903</v>
      </c>
      <c r="C13022" s="3">
        <v>0.0</v>
      </c>
      <c r="D13022" s="3">
        <v>0.0</v>
      </c>
      <c r="E13022" s="3">
        <v>1.0</v>
      </c>
      <c r="F13022" s="3" t="s">
        <v>36904</v>
      </c>
      <c r="G13022" s="3">
        <v>1.0</v>
      </c>
      <c r="H13022" s="3">
        <v>0.0</v>
      </c>
      <c r="I13022" s="3" t="s">
        <v>13</v>
      </c>
      <c r="J13022" s="3" t="s">
        <v>36905</v>
      </c>
      <c r="K13022" s="3" t="s">
        <v>614</v>
      </c>
      <c r="L13022" s="3" t="str">
        <f>IFERROR(__xludf.DUMMYFUNCTION("GOOGLETRANSLATE(F13022,""id"",""en"")"),"Emm people are so stupid, it's free to be bought up by all wkwkwk even though from the beginning the match until the quarter -finals are often underestimated to be able to make the final turn to be proven")</f>
        <v>Emm people are so stupid, it's free to be bought up by all wkwkwk even though from the beginning the match until the quarter -finals are often underestimated to be able to make the final turn to be proven</v>
      </c>
    </row>
    <row r="13023" ht="15.75" customHeight="1">
      <c r="A13023" s="1">
        <v>14362.0</v>
      </c>
      <c r="B13023" s="3" t="s">
        <v>36906</v>
      </c>
      <c r="C13023" s="3">
        <v>11.0</v>
      </c>
      <c r="D13023" s="3">
        <v>2.0</v>
      </c>
      <c r="E13023" s="3">
        <v>4.0</v>
      </c>
      <c r="F13023" s="3" t="s">
        <v>36907</v>
      </c>
      <c r="G13023" s="3">
        <v>0.6666666666666666</v>
      </c>
      <c r="H13023" s="3">
        <v>0.08333333333333333</v>
      </c>
      <c r="I13023" s="3" t="s">
        <v>48</v>
      </c>
      <c r="J13023" s="3" t="s">
        <v>36908</v>
      </c>
      <c r="K13023" s="3" t="s">
        <v>426</v>
      </c>
      <c r="L13023" s="3" t="str">
        <f>IFERROR(__xludf.DUMMYFUNCTION("GOOGLETRANSLATE(F13023,""id"",""en"")"),"Better Turu World Cup is clear that all settings have been arranged to lose final all match devices from the referee of the line judge until the referee VAR has been paid by FIFA plus the clear facts of the initials playing")</f>
        <v>Better Turu World Cup is clear that all settings have been arranged to lose final all match devices from the referee of the line judge until the referee VAR has been paid by FIFA plus the clear facts of the initials playing</v>
      </c>
    </row>
    <row r="13024" ht="15.75" customHeight="1">
      <c r="A13024" s="1">
        <v>14363.0</v>
      </c>
      <c r="B13024" s="3" t="s">
        <v>36909</v>
      </c>
      <c r="C13024" s="3">
        <v>0.0</v>
      </c>
      <c r="D13024" s="3">
        <v>0.0</v>
      </c>
      <c r="E13024" s="3">
        <v>0.0</v>
      </c>
      <c r="F13024" s="3" t="s">
        <v>36910</v>
      </c>
      <c r="G13024" s="3">
        <v>0.7777777777777777</v>
      </c>
      <c r="H13024" s="3">
        <v>0.05555555555555555</v>
      </c>
      <c r="I13024" s="3" t="s">
        <v>48</v>
      </c>
      <c r="J13024" s="3" t="s">
        <v>36911</v>
      </c>
      <c r="K13024" s="3" t="s">
        <v>266</v>
      </c>
      <c r="L13024" s="3" t="str">
        <f>IFERROR(__xludf.DUMMYFUNCTION("GOOGLETRANSLATE(F13024,""id"",""en"")"),"Better Turu World Cup is clear that all settings have been arranged for the final losing all match devices from the referee of the line judge until the referee VAR has been paid by FIFA plus the clear facts of the initials Main Final")</f>
        <v>Better Turu World Cup is clear that all settings have been arranged for the final losing all match devices from the referee of the line judge until the referee VAR has been paid by FIFA plus the clear facts of the initials Main Final</v>
      </c>
    </row>
    <row r="13025" ht="15.75" customHeight="1">
      <c r="A13025" s="1">
        <v>14364.0</v>
      </c>
      <c r="B13025" s="3" t="s">
        <v>36912</v>
      </c>
      <c r="C13025" s="3">
        <v>1.0</v>
      </c>
      <c r="D13025" s="3">
        <v>0.0</v>
      </c>
      <c r="E13025" s="3">
        <v>0.0</v>
      </c>
      <c r="F13025" s="3" t="s">
        <v>36913</v>
      </c>
      <c r="G13025" s="3">
        <v>1.0</v>
      </c>
      <c r="H13025" s="3">
        <v>0.0</v>
      </c>
      <c r="I13025" s="3" t="s">
        <v>13</v>
      </c>
      <c r="J13025" s="3" t="s">
        <v>36914</v>
      </c>
      <c r="K13025" s="3" t="s">
        <v>127</v>
      </c>
      <c r="L13025" s="3" t="str">
        <f>IFERROR(__xludf.DUMMYFUNCTION("GOOGLETRANSLATE(F13025,""id"",""en"")"),"Pede France won but there is news that this bird is the final setting for Messi so that the champion of the end of the career because every match arg always gets a penalty")</f>
        <v>Pede France won but there is news that this bird is the final setting for Messi so that the champion of the end of the career because every match arg always gets a penalty</v>
      </c>
    </row>
    <row r="13026" ht="15.75" customHeight="1">
      <c r="A13026" s="1">
        <v>14365.0</v>
      </c>
      <c r="B13026" s="3" t="s">
        <v>36915</v>
      </c>
      <c r="C13026" s="3">
        <v>0.0</v>
      </c>
      <c r="D13026" s="3">
        <v>0.0</v>
      </c>
      <c r="E13026" s="3">
        <v>0.0</v>
      </c>
      <c r="F13026" s="3" t="s">
        <v>36916</v>
      </c>
      <c r="G13026" s="3">
        <v>1.0</v>
      </c>
      <c r="H13026" s="3">
        <v>0.0</v>
      </c>
      <c r="I13026" s="3" t="s">
        <v>13</v>
      </c>
      <c r="J13026" s="3" t="s">
        <v>36917</v>
      </c>
      <c r="K13026" s="3" t="s">
        <v>657</v>
      </c>
      <c r="L13026" s="3" t="str">
        <f>IFERROR(__xludf.DUMMYFUNCTION("GOOGLETRANSLATE(F13026,""id"",""en"")"),"The final is difficult for Argentina Messi to win is said to be a losing setting on the day of the day")</f>
        <v>The final is difficult for Argentina Messi to win is said to be a losing setting on the day of the day</v>
      </c>
    </row>
    <row r="13027" ht="15.75" customHeight="1">
      <c r="A13027" s="1">
        <v>14366.0</v>
      </c>
      <c r="B13027" s="3" t="s">
        <v>36918</v>
      </c>
      <c r="C13027" s="3">
        <v>0.0</v>
      </c>
      <c r="D13027" s="3">
        <v>0.0</v>
      </c>
      <c r="E13027" s="3">
        <v>0.0</v>
      </c>
      <c r="F13027" s="3" t="s">
        <v>36919</v>
      </c>
      <c r="G13027" s="3">
        <v>1.0</v>
      </c>
      <c r="H13027" s="3">
        <v>0.0</v>
      </c>
      <c r="I13027" s="3" t="s">
        <v>13</v>
      </c>
      <c r="J13027" s="3" t="s">
        <v>36920</v>
      </c>
      <c r="K13027" s="3" t="s">
        <v>644</v>
      </c>
      <c r="L13027" s="3" t="str">
        <f>IFERROR(__xludf.DUMMYFUNCTION("GOOGLETRANSLATE(F13027,""id"",""en"")"),"Jewish Zionist Final Settings")</f>
        <v>Jewish Zionist Final Settings</v>
      </c>
    </row>
    <row r="13028" ht="15.75" customHeight="1">
      <c r="A13028" s="1">
        <v>14367.0</v>
      </c>
      <c r="B13028" s="3" t="s">
        <v>36921</v>
      </c>
      <c r="C13028" s="3">
        <v>0.0</v>
      </c>
      <c r="D13028" s="3">
        <v>0.0</v>
      </c>
      <c r="E13028" s="3">
        <v>0.0</v>
      </c>
      <c r="F13028" s="3" t="s">
        <v>36898</v>
      </c>
      <c r="G13028" s="3">
        <v>0.7777777777777777</v>
      </c>
      <c r="H13028" s="3">
        <v>0.05555555555555555</v>
      </c>
      <c r="I13028" s="3" t="s">
        <v>48</v>
      </c>
      <c r="J13028" s="3" t="s">
        <v>36899</v>
      </c>
      <c r="K13028" s="3" t="s">
        <v>3245</v>
      </c>
      <c r="L13028" s="3" t="str">
        <f>IFERROR(__xludf.DUMMYFUNCTION("GOOGLETRANSLATE(F13028,""id"",""en"")"),"Better Turu World Cup is clear that all settings have been arranged to lose final all match devices from the referee of the line judge until the referee VAR has been paid by FIFA plus the clear facts of the initials Main Final will lift the World Cup trop"&amp;"hy")</f>
        <v>Better Turu World Cup is clear that all settings have been arranged to lose final all match devices from the referee of the line judge until the referee VAR has been paid by FIFA plus the clear facts of the initials Main Final will lift the World Cup trophy</v>
      </c>
    </row>
    <row r="13029" ht="15.75" customHeight="1">
      <c r="A13029" s="1">
        <v>14368.0</v>
      </c>
      <c r="B13029" s="3" t="s">
        <v>36897</v>
      </c>
      <c r="C13029" s="3">
        <v>0.0</v>
      </c>
      <c r="D13029" s="3">
        <v>0.0</v>
      </c>
      <c r="E13029" s="3">
        <v>0.0</v>
      </c>
      <c r="F13029" s="3" t="s">
        <v>36898</v>
      </c>
      <c r="G13029" s="3">
        <v>0.7777777777777777</v>
      </c>
      <c r="H13029" s="3">
        <v>0.05555555555555555</v>
      </c>
      <c r="I13029" s="3" t="s">
        <v>48</v>
      </c>
      <c r="J13029" s="3" t="s">
        <v>36899</v>
      </c>
      <c r="K13029" s="3" t="s">
        <v>3245</v>
      </c>
      <c r="L13029" s="3" t="str">
        <f>IFERROR(__xludf.DUMMYFUNCTION("GOOGLETRANSLATE(F13029,""id"",""en"")"),"Better Turu World Cup is clear that all settings have been arranged to lose final all match devices from the referee of the line judge until the referee VAR has been paid by FIFA plus the clear facts of the initials Main Final will lift the World Cup trop"&amp;"hy")</f>
        <v>Better Turu World Cup is clear that all settings have been arranged to lose final all match devices from the referee of the line judge until the referee VAR has been paid by FIFA plus the clear facts of the initials Main Final will lift the World Cup trophy</v>
      </c>
    </row>
    <row r="13030" ht="15.75" customHeight="1">
      <c r="A13030" s="1">
        <v>14369.0</v>
      </c>
      <c r="B13030" s="3" t="s">
        <v>36922</v>
      </c>
      <c r="C13030" s="3">
        <v>107.0</v>
      </c>
      <c r="D13030" s="3">
        <v>17.0</v>
      </c>
      <c r="E13030" s="3">
        <v>255.0</v>
      </c>
      <c r="F13030" s="3" t="s">
        <v>36923</v>
      </c>
      <c r="G13030" s="3">
        <v>0.7777777777777777</v>
      </c>
      <c r="H13030" s="3">
        <v>0.05555555555555555</v>
      </c>
      <c r="I13030" s="3" t="s">
        <v>48</v>
      </c>
      <c r="J13030" s="3" t="s">
        <v>36924</v>
      </c>
      <c r="K13030" s="3" t="s">
        <v>1280</v>
      </c>
      <c r="L13030" s="3" t="str">
        <f>IFERROR(__xludf.DUMMYFUNCTION("GOOGLETRANSLATE(F13030,""id"",""en"")"),"There is a World Cup writing, it is clear that all settings have been arranged for the final losing all match devices from the referee of the line judge until the referee VAR has been paid by FIFA plus the clear facts of the initials Main Final.")</f>
        <v>There is a World Cup writing, it is clear that all settings have been arranged for the final losing all match devices from the referee of the line judge until the referee VAR has been paid by FIFA plus the clear facts of the initials Main Final.</v>
      </c>
    </row>
    <row r="13031" ht="15.75" customHeight="1">
      <c r="A13031" s="1">
        <v>14370.0</v>
      </c>
      <c r="B13031" s="3" t="s">
        <v>36925</v>
      </c>
      <c r="C13031" s="3">
        <v>0.0</v>
      </c>
      <c r="D13031" s="3">
        <v>0.0</v>
      </c>
      <c r="E13031" s="3">
        <v>0.0</v>
      </c>
      <c r="F13031" s="3" t="s">
        <v>36926</v>
      </c>
      <c r="G13031" s="3">
        <v>1.0</v>
      </c>
      <c r="H13031" s="3">
        <v>0.0</v>
      </c>
      <c r="I13031" s="3" t="s">
        <v>13</v>
      </c>
      <c r="J13031" s="3" t="s">
        <v>36927</v>
      </c>
      <c r="K13031" s="3" t="s">
        <v>437</v>
      </c>
      <c r="L13031" s="3" t="str">
        <f>IFERROR(__xludf.DUMMYFUNCTION("GOOGLETRANSLATE(F13031,""id"",""en"")"),"Francis's opponent is said to be setting if his opponent Afghanistan makes sense Francis also has self -esteem and may want to lose")</f>
        <v>Francis's opponent is said to be setting if his opponent Afghanistan makes sense Francis also has self -esteem and may want to lose</v>
      </c>
    </row>
    <row r="13032" ht="15.75" customHeight="1">
      <c r="A13032" s="1">
        <v>14371.0</v>
      </c>
      <c r="B13032" s="3" t="s">
        <v>36928</v>
      </c>
      <c r="C13032" s="3">
        <v>1.0</v>
      </c>
      <c r="D13032" s="3">
        <v>0.0</v>
      </c>
      <c r="E13032" s="3">
        <v>0.0</v>
      </c>
      <c r="F13032" s="3" t="s">
        <v>36929</v>
      </c>
      <c r="G13032" s="3">
        <v>1.0</v>
      </c>
      <c r="H13032" s="3">
        <v>0.0</v>
      </c>
      <c r="I13032" s="3" t="s">
        <v>13</v>
      </c>
      <c r="J13032" s="3" t="s">
        <v>36930</v>
      </c>
      <c r="K13032" s="3" t="s">
        <v>54</v>
      </c>
      <c r="L13032" s="3" t="str">
        <f>IFERROR(__xludf.DUMMYFUNCTION("GOOGLETRANSLATE(F13032,""id"",""en"")"),"really wkwkw just entered the final accused of setting")</f>
        <v>really wkwkw just entered the final accused of setting</v>
      </c>
    </row>
    <row r="13033" ht="15.75" customHeight="1">
      <c r="A13033" s="1">
        <v>14372.0</v>
      </c>
      <c r="B13033" s="3" t="s">
        <v>36931</v>
      </c>
      <c r="C13033" s="3">
        <v>39.0</v>
      </c>
      <c r="D13033" s="3">
        <v>12.0</v>
      </c>
      <c r="E13033" s="3">
        <v>60.0</v>
      </c>
      <c r="F13033" s="3" t="s">
        <v>36907</v>
      </c>
      <c r="G13033" s="3">
        <v>0.6666666666666666</v>
      </c>
      <c r="H13033" s="3">
        <v>0.08333333333333333</v>
      </c>
      <c r="I13033" s="3" t="s">
        <v>48</v>
      </c>
      <c r="J13033" s="3" t="s">
        <v>36908</v>
      </c>
      <c r="K13033" s="3" t="s">
        <v>426</v>
      </c>
      <c r="L13033" s="3" t="str">
        <f>IFERROR(__xludf.DUMMYFUNCTION("GOOGLETRANSLATE(F13033,""id"",""en"")"),"Better Turu World Cup is clear that all settings have been arranged to lose final all match devices from the referee of the line judge until the referee VAR has been paid by FIFA plus the clear facts of the initials playing")</f>
        <v>Better Turu World Cup is clear that all settings have been arranged to lose final all match devices from the referee of the line judge until the referee VAR has been paid by FIFA plus the clear facts of the initials playing</v>
      </c>
    </row>
    <row r="13034" ht="15.75" customHeight="1">
      <c r="A13034" s="1">
        <v>14373.0</v>
      </c>
      <c r="B13034" s="3" t="s">
        <v>36909</v>
      </c>
      <c r="C13034" s="3">
        <v>111.0</v>
      </c>
      <c r="D13034" s="3">
        <v>26.0</v>
      </c>
      <c r="E13034" s="3">
        <v>209.0</v>
      </c>
      <c r="F13034" s="3" t="s">
        <v>36910</v>
      </c>
      <c r="G13034" s="3">
        <v>0.7777777777777777</v>
      </c>
      <c r="H13034" s="3">
        <v>0.05555555555555555</v>
      </c>
      <c r="I13034" s="3" t="s">
        <v>48</v>
      </c>
      <c r="J13034" s="3" t="s">
        <v>36911</v>
      </c>
      <c r="K13034" s="3" t="s">
        <v>266</v>
      </c>
      <c r="L13034" s="3" t="str">
        <f>IFERROR(__xludf.DUMMYFUNCTION("GOOGLETRANSLATE(F13034,""id"",""en"")"),"Better Turu World Cup is clear that all settings have been arranged for the final losing all match devices from the referee of the line judge until the referee VAR has been paid by FIFA plus the clear facts of the initials Main Final")</f>
        <v>Better Turu World Cup is clear that all settings have been arranged for the final losing all match devices from the referee of the line judge until the referee VAR has been paid by FIFA plus the clear facts of the initials Main Final</v>
      </c>
    </row>
    <row r="13035" ht="15.75" customHeight="1">
      <c r="A13035" s="1">
        <v>14375.0</v>
      </c>
      <c r="B13035" s="3" t="s">
        <v>9751</v>
      </c>
      <c r="C13035" s="3">
        <v>57.0</v>
      </c>
      <c r="D13035" s="3">
        <v>52.0</v>
      </c>
      <c r="E13035" s="3">
        <v>501.0</v>
      </c>
      <c r="F13035" s="3" t="s">
        <v>9752</v>
      </c>
      <c r="G13035" s="3">
        <v>1.0</v>
      </c>
      <c r="H13035" s="3">
        <v>0.0</v>
      </c>
      <c r="I13035" s="3" t="s">
        <v>13</v>
      </c>
      <c r="J13035" s="3" t="s">
        <v>9753</v>
      </c>
      <c r="K13035" s="3" t="s">
        <v>433</v>
      </c>
      <c r="L13035" s="3" t="str">
        <f>IFERROR(__xludf.DUMMYFUNCTION("GOOGLETRANSLATE(F13035,""id"",""en"")"),"The final referee of Szymon Marciniak admitted one mistake that made when leading the Qatar match for the full error")</f>
        <v>The final referee of Szymon Marciniak admitted one mistake that made when leading the Qatar match for the full error</v>
      </c>
    </row>
    <row r="13036" ht="15.75" customHeight="1">
      <c r="A13036" s="1">
        <v>14380.0</v>
      </c>
      <c r="B13036" s="3" t="s">
        <v>36932</v>
      </c>
      <c r="C13036" s="3">
        <v>0.0</v>
      </c>
      <c r="D13036" s="3">
        <v>0.0</v>
      </c>
      <c r="E13036" s="3">
        <v>0.0</v>
      </c>
      <c r="F13036" s="3" t="s">
        <v>36933</v>
      </c>
      <c r="G13036" s="3">
        <v>0.0</v>
      </c>
      <c r="H13036" s="3">
        <v>0.0</v>
      </c>
      <c r="I13036" s="3" t="s">
        <v>13</v>
      </c>
      <c r="J13036" s="3" t="s">
        <v>36934</v>
      </c>
      <c r="K13036" s="3" t="s">
        <v>19</v>
      </c>
      <c r="L13036" s="3" t="str">
        <f>IFERROR(__xludf.DUMMYFUNCTION("GOOGLETRANSLATE(F13036,""id"",""en"")"),"Indo Bruntung Referee If Mmpin Argentina League Is Colombia PSTY Can Be TROR PMBNHAN")</f>
        <v>Indo Bruntung Referee If Mmpin Argentina League Is Colombia PSTY Can Be TROR PMBNHAN</v>
      </c>
    </row>
    <row r="13037" ht="15.75" customHeight="1">
      <c r="A13037" s="1">
        <v>14382.0</v>
      </c>
      <c r="B13037" s="3" t="s">
        <v>36935</v>
      </c>
      <c r="C13037" s="3">
        <v>2.0</v>
      </c>
      <c r="D13037" s="3">
        <v>0.0</v>
      </c>
      <c r="E13037" s="3">
        <v>0.0</v>
      </c>
      <c r="F13037" s="3" t="s">
        <v>36936</v>
      </c>
      <c r="G13037" s="3">
        <v>0.0</v>
      </c>
      <c r="H13037" s="3">
        <v>0.0</v>
      </c>
      <c r="I13037" s="3" t="s">
        <v>13</v>
      </c>
      <c r="J13037" s="3" t="s">
        <v>36937</v>
      </c>
      <c r="K13037" s="3" t="s">
        <v>823</v>
      </c>
      <c r="L13037" s="3" t="str">
        <f>IFERROR(__xludf.DUMMYFUNCTION("GOOGLETRANSLATE(F13037,""id"",""en"")"),"wkwkwkwkwk if the referee of the match kmrn wants to check the var, surely the last goal of Argentina is passed because the Argentine substitute has entered the field before the Auto Gol won the France Hockey just the referee of the referee")</f>
        <v>wkwkwkwkwk if the referee of the match kmrn wants to check the var, surely the last goal of Argentina is passed because the Argentine substitute has entered the field before the Auto Gol won the France Hockey just the referee of the referee</v>
      </c>
    </row>
    <row r="13038" ht="15.75" customHeight="1">
      <c r="A13038" s="1">
        <v>14389.0</v>
      </c>
      <c r="B13038" s="3" t="s">
        <v>36938</v>
      </c>
      <c r="C13038" s="3">
        <v>2.0</v>
      </c>
      <c r="D13038" s="3">
        <v>0.0</v>
      </c>
      <c r="E13038" s="3">
        <v>1.0</v>
      </c>
      <c r="F13038" s="3" t="s">
        <v>36939</v>
      </c>
      <c r="G13038" s="3">
        <v>0.3333333333333333</v>
      </c>
      <c r="H13038" s="3">
        <v>0.1666666666666667</v>
      </c>
      <c r="I13038" s="3" t="s">
        <v>48</v>
      </c>
      <c r="J13038" s="3" t="s">
        <v>36940</v>
      </c>
      <c r="K13038" s="3" t="s">
        <v>510</v>
      </c>
      <c r="L13038" s="3" t="str">
        <f>IFERROR(__xludf.DUMMYFUNCTION("GOOGLETRANSLATE(F13038,""id"",""en"")"),"Time stupid even though there is one of Argentina's matches leading with the referee whose country is still playing pildun")</f>
        <v>Time stupid even though there is one of Argentina's matches leading with the referee whose country is still playing pildun</v>
      </c>
    </row>
    <row r="13039" ht="15.75" customHeight="1">
      <c r="A13039" s="1">
        <v>14390.0</v>
      </c>
      <c r="B13039" s="3" t="s">
        <v>36941</v>
      </c>
      <c r="C13039" s="3">
        <v>0.0</v>
      </c>
      <c r="D13039" s="3">
        <v>0.0</v>
      </c>
      <c r="E13039" s="3">
        <v>0.0</v>
      </c>
      <c r="F13039" s="3" t="s">
        <v>36942</v>
      </c>
      <c r="G13039" s="3">
        <v>0.9</v>
      </c>
      <c r="H13039" s="3">
        <v>0.7</v>
      </c>
      <c r="I13039" s="3" t="s">
        <v>48</v>
      </c>
      <c r="J13039" s="3" t="s">
        <v>36943</v>
      </c>
      <c r="K13039" s="3" t="s">
        <v>127</v>
      </c>
      <c r="L13039" s="3" t="str">
        <f>IFERROR(__xludf.DUMMYFUNCTION("GOOGLETRANSLATE(F13039,""id"",""en"")"),"When the Dutch lost against Argentina, he said Channelny if the referee was fair when the match was after pepe ngomng if this pildun was set him up too")</f>
        <v>When the Dutch lost against Argentina, he said Channelny if the referee was fair when the match was after pepe ngomng if this pildun was set him up too</v>
      </c>
    </row>
    <row r="13040" ht="15.75" customHeight="1">
      <c r="A13040" s="1">
        <v>14391.0</v>
      </c>
      <c r="B13040" s="3" t="s">
        <v>36944</v>
      </c>
      <c r="C13040" s="3">
        <v>0.0</v>
      </c>
      <c r="D13040" s="3">
        <v>0.0</v>
      </c>
      <c r="E13040" s="3">
        <v>2.0</v>
      </c>
      <c r="F13040" s="3" t="s">
        <v>36945</v>
      </c>
      <c r="G13040" s="3">
        <v>0.0</v>
      </c>
      <c r="H13040" s="3">
        <v>0.0</v>
      </c>
      <c r="I13040" s="3" t="s">
        <v>13</v>
      </c>
      <c r="J13040" s="3" t="s">
        <v>36946</v>
      </c>
      <c r="K13040" s="3" t="s">
        <v>823</v>
      </c>
      <c r="L13040" s="3" t="str">
        <f>IFERROR(__xludf.DUMMYFUNCTION("GOOGLETRANSLATE(F13040,""id"",""en"")"),"if the champion setting is what Argentina until the penalty fight against the Netherlands and France when excelling the French referee blows the whistle ends before France can get a difficult penalty for Ronaldo's fans to accept the reality")</f>
        <v>if the champion setting is what Argentina until the penalty fight against the Netherlands and France when excelling the French referee blows the whistle ends before France can get a difficult penalty for Ronaldo's fans to accept the reality</v>
      </c>
    </row>
    <row r="13041" ht="15.75" customHeight="1">
      <c r="A13041" s="1">
        <v>14393.0</v>
      </c>
      <c r="B13041" s="3" t="s">
        <v>36947</v>
      </c>
      <c r="C13041" s="3">
        <v>28.0</v>
      </c>
      <c r="D13041" s="3">
        <v>0.0</v>
      </c>
      <c r="E13041" s="3">
        <v>1.0</v>
      </c>
      <c r="F13041" s="3" t="s">
        <v>36948</v>
      </c>
      <c r="G13041" s="3">
        <v>0.3333333333333333</v>
      </c>
      <c r="H13041" s="3">
        <v>0.1666666666666667</v>
      </c>
      <c r="I13041" s="3" t="s">
        <v>48</v>
      </c>
      <c r="J13041" s="3" t="s">
        <v>36949</v>
      </c>
      <c r="K13041" s="3" t="s">
        <v>23</v>
      </c>
      <c r="L13041" s="3" t="str">
        <f>IFERROR(__xludf.DUMMYFUNCTION("GOOGLETRANSLATE(F13041,""id"",""en"")"),"Obviously the Argentine logical settings and Portugal can say football rivals because there are Messi and Ronaldo when the match is the referee from Argentina where the Argentine state is also still playing ready")</f>
        <v>Obviously the Argentine logical settings and Portugal can say football rivals because there are Messi and Ronaldo when the match is the referee from Argentina where the Argentine state is also still playing ready</v>
      </c>
    </row>
    <row r="13042" ht="15.75" customHeight="1">
      <c r="A13042" s="1">
        <v>14395.0</v>
      </c>
      <c r="B13042" s="3" t="s">
        <v>36950</v>
      </c>
      <c r="C13042" s="3">
        <v>0.0</v>
      </c>
      <c r="D13042" s="3">
        <v>0.0</v>
      </c>
      <c r="E13042" s="3">
        <v>1.0</v>
      </c>
      <c r="F13042" s="3" t="s">
        <v>36951</v>
      </c>
      <c r="G13042" s="3">
        <v>0.0</v>
      </c>
      <c r="H13042" s="3">
        <v>0.0</v>
      </c>
      <c r="I13042" s="3" t="s">
        <v>13</v>
      </c>
      <c r="J13042" s="3" t="s">
        <v>36952</v>
      </c>
      <c r="K13042" s="3" t="s">
        <v>192</v>
      </c>
      <c r="L13042" s="3" t="str">
        <f>IFERROR(__xludf.DUMMYFUNCTION("GOOGLETRANSLATE(F13042,""id"",""en"")"),"if you want to re -air the minute when it extends the round before mbaep given a kick penalty of French players already handsball before mbaep kicks hit by the Argentine player here the referee is actually already blunder legowo trim")</f>
        <v>if you want to re -air the minute when it extends the round before mbaep given a kick penalty of French players already handsball before mbaep kicks hit by the Argentine player here the referee is actually already blunder legowo trim</v>
      </c>
    </row>
    <row r="13043" ht="15.75" customHeight="1">
      <c r="A13043" s="1">
        <v>14400.0</v>
      </c>
      <c r="B13043" s="3" t="s">
        <v>36953</v>
      </c>
      <c r="C13043" s="3">
        <v>0.0</v>
      </c>
      <c r="D13043" s="3">
        <v>0.0</v>
      </c>
      <c r="E13043" s="3">
        <v>0.0</v>
      </c>
      <c r="F13043" s="3" t="s">
        <v>36954</v>
      </c>
      <c r="G13043" s="3">
        <v>0.0</v>
      </c>
      <c r="H13043" s="3">
        <v>0.0</v>
      </c>
      <c r="I13043" s="3" t="s">
        <v>13</v>
      </c>
      <c r="J13043" s="3" t="s">
        <v>36955</v>
      </c>
      <c r="K13043" s="3" t="s">
        <v>15</v>
      </c>
      <c r="L13043" s="3" t="str">
        <f>IFERROR(__xludf.DUMMYFUNCTION("GOOGLETRANSLATE(F13043,""id"",""en"")"),"Argentina's goal polemic has not ended referee Marciniak opening votes")</f>
        <v>Argentina's goal polemic has not ended referee Marciniak opening votes</v>
      </c>
    </row>
    <row r="13044" ht="15.75" customHeight="1">
      <c r="A13044" s="1">
        <v>14402.0</v>
      </c>
      <c r="B13044" s="3" t="s">
        <v>36956</v>
      </c>
      <c r="C13044" s="3">
        <v>0.0</v>
      </c>
      <c r="D13044" s="3">
        <v>0.0</v>
      </c>
      <c r="E13044" s="3">
        <v>2.0</v>
      </c>
      <c r="F13044" s="3" t="s">
        <v>36957</v>
      </c>
      <c r="G13044" s="3">
        <v>1.0</v>
      </c>
      <c r="H13044" s="3">
        <v>0.0</v>
      </c>
      <c r="I13044" s="3" t="s">
        <v>13</v>
      </c>
      <c r="J13044" s="3" t="s">
        <v>36958</v>
      </c>
      <c r="K13044" s="3" t="s">
        <v>510</v>
      </c>
      <c r="L13044" s="3" t="str">
        <f>IFERROR(__xludf.DUMMYFUNCTION("GOOGLETRANSLATE(F13044,""id"",""en"")"),"ooo it turns out that the referee led the Argentina French final match was Padang Yak Simon Marciniak")</f>
        <v>ooo it turns out that the referee led the Argentina French final match was Padang Yak Simon Marciniak</v>
      </c>
    </row>
    <row r="13045" ht="15.75" customHeight="1">
      <c r="A13045" s="1">
        <v>14404.0</v>
      </c>
      <c r="B13045" s="3" t="s">
        <v>36959</v>
      </c>
      <c r="C13045" s="3">
        <v>0.0</v>
      </c>
      <c r="D13045" s="3">
        <v>0.0</v>
      </c>
      <c r="E13045" s="3">
        <v>0.0</v>
      </c>
      <c r="F13045" s="3" t="s">
        <v>36960</v>
      </c>
      <c r="G13045" s="3">
        <v>0.0</v>
      </c>
      <c r="H13045" s="3">
        <v>0.0</v>
      </c>
      <c r="I13045" s="3" t="s">
        <v>13</v>
      </c>
      <c r="J13045" s="3" t="s">
        <v>36961</v>
      </c>
      <c r="K13045" s="3" t="s">
        <v>71</v>
      </c>
      <c r="L13045" s="3" t="str">
        <f>IFERROR(__xludf.DUMMYFUNCTION("GOOGLETRANSLATE(F13045,""id"",""en"")"),"The reason for the request to repeat the French Argentine match was none other than the decision of referee Szymon Marciniak who was considered controversial")</f>
        <v>The reason for the request to repeat the French Argentine match was none other than the decision of referee Szymon Marciniak who was considered controversial</v>
      </c>
    </row>
    <row r="13046" ht="15.75" customHeight="1">
      <c r="A13046" s="1">
        <v>14406.0</v>
      </c>
      <c r="B13046" s="3" t="s">
        <v>36962</v>
      </c>
      <c r="C13046" s="3">
        <v>1.0</v>
      </c>
      <c r="D13046" s="3">
        <v>0.0</v>
      </c>
      <c r="E13046" s="3">
        <v>0.0</v>
      </c>
      <c r="F13046" s="3" t="s">
        <v>36963</v>
      </c>
      <c r="G13046" s="3">
        <v>0.0</v>
      </c>
      <c r="H13046" s="3">
        <v>0.0</v>
      </c>
      <c r="I13046" s="3" t="s">
        <v>13</v>
      </c>
      <c r="J13046" s="3" t="s">
        <v>36964</v>
      </c>
      <c r="K13046" s="3" t="s">
        <v>348</v>
      </c>
      <c r="L13046" s="3" t="str">
        <f>IFERROR(__xludf.DUMMYFUNCTION("GOOGLETRANSLATE(F13046,""id"",""en"")"),"Unfortunately that big and grand event was tainted by pipelines because the referees were more inclined to Argentina to win Messi and hurt them thinking about it, of course not Kawaaann's friends continued")</f>
        <v>Unfortunately that big and grand event was tainted by pipelines because the referees were more inclined to Argentina to win Messi and hurt them thinking about it, of course not Kawaaann's friends continued</v>
      </c>
    </row>
    <row r="13047" ht="15.75" customHeight="1">
      <c r="A13047" s="1">
        <v>14407.0</v>
      </c>
      <c r="B13047" s="3" t="s">
        <v>36965</v>
      </c>
      <c r="C13047" s="3">
        <v>1.0</v>
      </c>
      <c r="D13047" s="3">
        <v>0.0</v>
      </c>
      <c r="E13047" s="3">
        <v>0.0</v>
      </c>
      <c r="F13047" s="3" t="s">
        <v>36966</v>
      </c>
      <c r="G13047" s="3">
        <v>0.0</v>
      </c>
      <c r="H13047" s="3">
        <v>0.0</v>
      </c>
      <c r="I13047" s="3" t="s">
        <v>13</v>
      </c>
      <c r="J13047" s="3" t="s">
        <v>36967</v>
      </c>
      <c r="K13047" s="3" t="s">
        <v>426</v>
      </c>
      <c r="L13047" s="3" t="str">
        <f>IFERROR(__xludf.DUMMYFUNCTION("GOOGLETRANSLATE(F13047,""id"",""en"")"),"I'm not happy Messi but Argentina Pinalti Akeh Tenan Pinaltine Akeh Sing Sing Iso Iso is questioned Jan referees Abot but often the referee of Argentina match is wrong the decision of an important moment")</f>
        <v>I'm not happy Messi but Argentina Pinalti Akeh Tenan Pinaltine Akeh Sing Sing Iso Iso is questioned Jan referees Abot but often the referee of Argentina match is wrong the decision of an important moment</v>
      </c>
    </row>
    <row r="13048" ht="15.75" customHeight="1">
      <c r="A13048" s="1">
        <v>14408.0</v>
      </c>
      <c r="B13048" s="3" t="s">
        <v>36968</v>
      </c>
      <c r="C13048" s="3">
        <v>0.0</v>
      </c>
      <c r="D13048" s="3">
        <v>0.0</v>
      </c>
      <c r="E13048" s="3">
        <v>1.0</v>
      </c>
      <c r="F13048" s="3" t="s">
        <v>36969</v>
      </c>
      <c r="G13048" s="3">
        <v>0.0</v>
      </c>
      <c r="H13048" s="3">
        <v>0.0</v>
      </c>
      <c r="I13048" s="3" t="s">
        <v>13</v>
      </c>
      <c r="J13048" s="3" t="s">
        <v>36970</v>
      </c>
      <c r="K13048" s="3" t="s">
        <v>35</v>
      </c>
      <c r="L13048" s="3" t="str">
        <f>IFERROR(__xludf.DUMMYFUNCTION("GOOGLETRANSLATE(F13048,""id"",""en"")"),"Rifuh Pisan Ieu Referees are clearly violated in the Pinalti Oge box instead")</f>
        <v>Rifuh Pisan Ieu Referees are clearly violated in the Pinalti Oge box instead</v>
      </c>
    </row>
    <row r="13049" ht="15.75" customHeight="1">
      <c r="A13049" s="1">
        <v>14409.0</v>
      </c>
      <c r="B13049" s="3" t="s">
        <v>36971</v>
      </c>
      <c r="C13049" s="3">
        <v>0.0</v>
      </c>
      <c r="D13049" s="3">
        <v>0.0</v>
      </c>
      <c r="E13049" s="3">
        <v>0.0</v>
      </c>
      <c r="F13049" s="3" t="s">
        <v>36972</v>
      </c>
      <c r="G13049" s="3">
        <v>0.0</v>
      </c>
      <c r="H13049" s="3">
        <v>0.0</v>
      </c>
      <c r="I13049" s="3" t="s">
        <v>13</v>
      </c>
      <c r="J13049" s="3" t="s">
        <v>36973</v>
      </c>
      <c r="K13049" s="3" t="s">
        <v>149</v>
      </c>
      <c r="L13049" s="3" t="str">
        <f>IFERROR(__xludf.DUMMYFUNCTION("GOOGLETRANSLATE(F13049,""id"",""en"")"),"This penalty bearing violation is the first Hansball player in front of the referee to change the direction of the ball using hands but hit Hansball instead Argentina hha")</f>
        <v>This penalty bearing violation is the first Hansball player in front of the referee to change the direction of the ball using hands but hit Hansball instead Argentina hha</v>
      </c>
    </row>
    <row r="13050" ht="15.75" customHeight="1">
      <c r="A13050" s="1">
        <v>14410.0</v>
      </c>
      <c r="B13050" s="3" t="s">
        <v>36974</v>
      </c>
      <c r="C13050" s="3">
        <v>0.0</v>
      </c>
      <c r="D13050" s="3">
        <v>0.0</v>
      </c>
      <c r="E13050" s="3">
        <v>0.0</v>
      </c>
      <c r="F13050" s="3" t="s">
        <v>36975</v>
      </c>
      <c r="G13050" s="3">
        <v>0.0</v>
      </c>
      <c r="H13050" s="3">
        <v>0.0</v>
      </c>
      <c r="I13050" s="3" t="s">
        <v>13</v>
      </c>
      <c r="J13050" s="3" t="s">
        <v>36976</v>
      </c>
      <c r="K13050" s="3" t="s">
        <v>2907</v>
      </c>
      <c r="L13050" s="3" t="str">
        <f>IFERROR(__xludf.DUMMYFUNCTION("GOOGLETRANSLATE(F13050,""id"",""en"")"),"From this moment, it is clear that the pro -French referee incident in front of the referee's eyes but Hansball even Argentina wkwk")</f>
        <v>From this moment, it is clear that the pro -French referee incident in front of the referee's eyes but Hansball even Argentina wkwk</v>
      </c>
    </row>
    <row r="13051" ht="15.75" customHeight="1">
      <c r="A13051" s="1">
        <v>14411.0</v>
      </c>
      <c r="B13051" s="3" t="s">
        <v>36977</v>
      </c>
      <c r="C13051" s="3">
        <v>0.0</v>
      </c>
      <c r="D13051" s="3">
        <v>1.0</v>
      </c>
      <c r="E13051" s="3">
        <v>1.0</v>
      </c>
      <c r="F13051" s="3" t="s">
        <v>36978</v>
      </c>
      <c r="G13051" s="3">
        <v>0.0</v>
      </c>
      <c r="H13051" s="3">
        <v>0.0</v>
      </c>
      <c r="I13051" s="3" t="s">
        <v>13</v>
      </c>
      <c r="J13051" s="3" t="s">
        <v>36979</v>
      </c>
      <c r="K13051" s="3" t="s">
        <v>699</v>
      </c>
      <c r="L13051" s="3" t="str">
        <f>IFERROR(__xludf.DUMMYFUNCTION("GOOGLETRANSLATE(F13051,""id"",""en"")"),"The World Cup has been completed and Argentina is the champion of one who seized attention was the first female referee of the Qatar World Cup")</f>
        <v>The World Cup has been completed and Argentina is the champion of one who seized attention was the first female referee of the Qatar World Cup</v>
      </c>
    </row>
    <row r="13052" ht="15.75" customHeight="1">
      <c r="A13052" s="1">
        <v>14412.0</v>
      </c>
      <c r="B13052" s="3" t="s">
        <v>36980</v>
      </c>
      <c r="C13052" s="3">
        <v>0.0</v>
      </c>
      <c r="D13052" s="3">
        <v>0.0</v>
      </c>
      <c r="E13052" s="3">
        <v>3.0</v>
      </c>
      <c r="F13052" s="3" t="s">
        <v>36978</v>
      </c>
      <c r="G13052" s="3">
        <v>0.0</v>
      </c>
      <c r="H13052" s="3">
        <v>0.0</v>
      </c>
      <c r="I13052" s="3" t="s">
        <v>13</v>
      </c>
      <c r="J13052" s="3" t="s">
        <v>36979</v>
      </c>
      <c r="K13052" s="3" t="s">
        <v>699</v>
      </c>
      <c r="L13052" s="3" t="str">
        <f>IFERROR(__xludf.DUMMYFUNCTION("GOOGLETRANSLATE(F13052,""id"",""en"")"),"The World Cup has been completed and Argentina is the champion of one who seized attention was the first female referee of the Qatar World Cup")</f>
        <v>The World Cup has been completed and Argentina is the champion of one who seized attention was the first female referee of the Qatar World Cup</v>
      </c>
    </row>
    <row r="13053" ht="15.75" customHeight="1">
      <c r="A13053" s="1">
        <v>14413.0</v>
      </c>
      <c r="B13053" s="3" t="s">
        <v>36981</v>
      </c>
      <c r="C13053" s="3">
        <v>2.0</v>
      </c>
      <c r="D13053" s="3">
        <v>9.0</v>
      </c>
      <c r="E13053" s="3">
        <v>39.0</v>
      </c>
      <c r="F13053" s="3" t="s">
        <v>36982</v>
      </c>
      <c r="G13053" s="3">
        <v>0.2</v>
      </c>
      <c r="H13053" s="3">
        <v>0.1</v>
      </c>
      <c r="I13053" s="3" t="s">
        <v>48</v>
      </c>
      <c r="J13053" s="3" t="s">
        <v>36983</v>
      </c>
      <c r="K13053" s="3" t="s">
        <v>614</v>
      </c>
      <c r="L13053" s="3" t="str">
        <f>IFERROR(__xludf.DUMMYFUNCTION("GOOGLETRANSLATE(F13053,""id"",""en"")"),"has not been able to move from especially Messi who although not naturalized because of Argentina was born but had a professional career of his country's local league despite SSB Grandoli and Newell Old Boys anyway")</f>
        <v>has not been able to move from especially Messi who although not naturalized because of Argentina was born but had a professional career of his country's local league despite SSB Grandoli and Newell Old Boys anyway</v>
      </c>
    </row>
    <row r="13054" ht="15.75" customHeight="1">
      <c r="A13054" s="1">
        <v>14414.0</v>
      </c>
      <c r="B13054" s="3" t="s">
        <v>36984</v>
      </c>
      <c r="C13054" s="3">
        <v>1.0</v>
      </c>
      <c r="D13054" s="3">
        <v>0.0</v>
      </c>
      <c r="E13054" s="3">
        <v>0.0</v>
      </c>
      <c r="F13054" s="3" t="s">
        <v>36985</v>
      </c>
      <c r="G13054" s="3">
        <v>0.0</v>
      </c>
      <c r="H13054" s="3">
        <v>0.0</v>
      </c>
      <c r="I13054" s="3" t="s">
        <v>13</v>
      </c>
      <c r="J13054" s="3" t="s">
        <v>36986</v>
      </c>
      <c r="K13054" s="3" t="s">
        <v>477</v>
      </c>
      <c r="L13054" s="3" t="str">
        <f>IFERROR(__xludf.DUMMYFUNCTION("GOOGLETRANSLATE(F13054,""id"",""en"")"),"In reality when Argentina against Morocco there is an Argentine referee")</f>
        <v>In reality when Argentina against Morocco there is an Argentine referee</v>
      </c>
    </row>
    <row r="13055" ht="15.75" customHeight="1">
      <c r="A13055" s="1">
        <v>14415.0</v>
      </c>
      <c r="B13055" s="3" t="s">
        <v>36987</v>
      </c>
      <c r="C13055" s="3">
        <v>0.0</v>
      </c>
      <c r="D13055" s="3">
        <v>0.0</v>
      </c>
      <c r="E13055" s="3">
        <v>0.0</v>
      </c>
      <c r="F13055" s="3" t="s">
        <v>36988</v>
      </c>
      <c r="G13055" s="3">
        <v>0.0</v>
      </c>
      <c r="H13055" s="3">
        <v>0.0</v>
      </c>
      <c r="I13055" s="3" t="s">
        <v>13</v>
      </c>
      <c r="J13055" s="3" t="s">
        <v>36989</v>
      </c>
      <c r="K13055" s="3" t="s">
        <v>1912</v>
      </c>
      <c r="L13055" s="3" t="str">
        <f>IFERROR(__xludf.DUMMYFUNCTION("GOOGLETRANSLATE(F13055,""id"",""en"")"),"Just lose, just need to be bad Argentina is the championship to eat crackers, whether there is a referee, it is clear that all referees have a pilduge")</f>
        <v>Just lose, just need to be bad Argentina is the championship to eat crackers, whether there is a referee, it is clear that all referees have a pilduge</v>
      </c>
    </row>
    <row r="13056" ht="15.75" customHeight="1">
      <c r="A13056" s="1">
        <v>14416.0</v>
      </c>
      <c r="B13056" s="3" t="s">
        <v>36990</v>
      </c>
      <c r="C13056" s="3">
        <v>0.0</v>
      </c>
      <c r="D13056" s="3">
        <v>0.0</v>
      </c>
      <c r="E13056" s="3">
        <v>0.0</v>
      </c>
      <c r="F13056" s="3" t="s">
        <v>36991</v>
      </c>
      <c r="G13056" s="3">
        <v>0.0</v>
      </c>
      <c r="H13056" s="3">
        <v>0.0</v>
      </c>
      <c r="I13056" s="3" t="s">
        <v>13</v>
      </c>
      <c r="J13056" s="3" t="s">
        <v>36992</v>
      </c>
      <c r="K13056" s="3" t="s">
        <v>657</v>
      </c>
      <c r="L13056" s="3" t="str">
        <f>IFERROR(__xludf.DUMMYFUNCTION("GOOGLETRANSLATE(F13056,""id"",""en"")"),"really real even the referee whistle has also been given a tool so if the Argentine violation automatically the whistle can't sound")</f>
        <v>really real even the referee whistle has also been given a tool so if the Argentine violation automatically the whistle can't sound</v>
      </c>
    </row>
    <row r="13057" ht="15.75" customHeight="1">
      <c r="A13057" s="1">
        <v>14417.0</v>
      </c>
      <c r="B13057" s="3" t="s">
        <v>36993</v>
      </c>
      <c r="C13057" s="3">
        <v>0.0</v>
      </c>
      <c r="D13057" s="3">
        <v>0.0</v>
      </c>
      <c r="E13057" s="3">
        <v>0.0</v>
      </c>
      <c r="F13057" s="3" t="s">
        <v>36994</v>
      </c>
      <c r="G13057" s="3">
        <v>1.0</v>
      </c>
      <c r="H13057" s="3">
        <v>0.0</v>
      </c>
      <c r="I13057" s="3" t="s">
        <v>13</v>
      </c>
      <c r="J13057" s="3" t="s">
        <v>36995</v>
      </c>
      <c r="K13057" s="3" t="s">
        <v>215</v>
      </c>
      <c r="L13057" s="3" t="str">
        <f>IFERROR(__xludf.DUMMYFUNCTION("GOOGLETRANSLATE(F13057,""id"",""en"")"),"Var when the final match yesterday did what did you do, Mbappe's second goal from the ball was won from Messi if he wanted to be seen from Var, surely the violation of his Frenchman took part in the problem because it was the Arg coach")</f>
        <v>Var when the final match yesterday did what did you do, Mbappe's second goal from the ball was won from Messi if he wanted to be seen from Var, surely the violation of his Frenchman took part in the problem because it was the Arg coach</v>
      </c>
    </row>
    <row r="13058" ht="15.75" customHeight="1">
      <c r="A13058" s="1">
        <v>14418.0</v>
      </c>
      <c r="B13058" s="3" t="s">
        <v>36996</v>
      </c>
      <c r="C13058" s="3">
        <v>58.0</v>
      </c>
      <c r="D13058" s="3">
        <v>40.0</v>
      </c>
      <c r="E13058" s="3">
        <v>224.0</v>
      </c>
      <c r="F13058" s="3" t="s">
        <v>36997</v>
      </c>
      <c r="G13058" s="3">
        <v>0.0</v>
      </c>
      <c r="H13058" s="3">
        <v>0.0</v>
      </c>
      <c r="I13058" s="3" t="s">
        <v>13</v>
      </c>
      <c r="J13058" s="3" t="s">
        <v>36998</v>
      </c>
      <c r="K13058" s="3" t="s">
        <v>123</v>
      </c>
      <c r="L13058" s="3" t="str">
        <f>IFERROR(__xludf.DUMMYFUNCTION("GOOGLETRANSLATE(F13058,""id"",""en"")"),"PSSI will compete with Argentina because he knows that he will be built, the Semprul PSSI narrative will be defeated only if the referee is mastered by the oligarchy")</f>
        <v>PSSI will compete with Argentina because he knows that he will be built, the Semprul PSSI narrative will be defeated only if the referee is mastered by the oligarchy</v>
      </c>
    </row>
    <row r="13059" ht="15.75" customHeight="1">
      <c r="A13059" s="1">
        <v>14420.0</v>
      </c>
      <c r="B13059" s="3" t="s">
        <v>36999</v>
      </c>
      <c r="C13059" s="3">
        <v>0.0</v>
      </c>
      <c r="D13059" s="3">
        <v>0.0</v>
      </c>
      <c r="E13059" s="3">
        <v>0.0</v>
      </c>
      <c r="F13059" s="3" t="s">
        <v>37000</v>
      </c>
      <c r="G13059" s="3">
        <v>0.7666666666666666</v>
      </c>
      <c r="H13059" s="3">
        <v>0.09999999999999998</v>
      </c>
      <c r="I13059" s="3" t="s">
        <v>48</v>
      </c>
      <c r="J13059" s="3" t="s">
        <v>37001</v>
      </c>
      <c r="K13059" s="3" t="s">
        <v>1847</v>
      </c>
      <c r="L13059" s="3" t="str">
        <f>IFERROR(__xludf.DUMMYFUNCTION("GOOGLETRANSLATE(F13059,""id"",""en"")"),"if it is regulated by FIFA for the sake of Messi, the referee will not be French love twice the Argentine penalty wins because fair refereing and the final game was something.")</f>
        <v>if it is regulated by FIFA for the sake of Messi, the referee will not be French love twice the Argentine penalty wins because fair refereing and the final game was something.</v>
      </c>
    </row>
    <row r="13060" ht="15.75" customHeight="1">
      <c r="A13060" s="1">
        <v>14421.0</v>
      </c>
      <c r="B13060" s="3" t="s">
        <v>37002</v>
      </c>
      <c r="C13060" s="3">
        <v>0.0</v>
      </c>
      <c r="D13060" s="3">
        <v>0.0</v>
      </c>
      <c r="E13060" s="3">
        <v>0.0</v>
      </c>
      <c r="F13060" s="3" t="s">
        <v>37003</v>
      </c>
      <c r="G13060" s="3">
        <v>0.2</v>
      </c>
      <c r="H13060" s="3">
        <v>-0.1</v>
      </c>
      <c r="I13060" s="3" t="s">
        <v>179</v>
      </c>
      <c r="J13060" s="3" t="s">
        <v>37004</v>
      </c>
      <c r="K13060" s="3" t="s">
        <v>41</v>
      </c>
      <c r="L13060" s="3" t="str">
        <f>IFERROR(__xludf.DUMMYFUNCTION("GOOGLETRANSLATE(F13060,""id"",""en"")"),"Arsenal different from Argentina often cheating the referee must be ready mentally")</f>
        <v>Arsenal different from Argentina often cheating the referee must be ready mentally</v>
      </c>
    </row>
    <row r="13061" ht="15.75" customHeight="1">
      <c r="A13061" s="1">
        <v>14422.0</v>
      </c>
      <c r="B13061" s="3" t="s">
        <v>37005</v>
      </c>
      <c r="C13061" s="3">
        <v>0.0</v>
      </c>
      <c r="D13061" s="3">
        <v>0.0</v>
      </c>
      <c r="E13061" s="3">
        <v>0.0</v>
      </c>
      <c r="F13061" s="3" t="s">
        <v>37006</v>
      </c>
      <c r="G13061" s="3">
        <v>0.0</v>
      </c>
      <c r="H13061" s="3">
        <v>0.0</v>
      </c>
      <c r="I13061" s="3" t="s">
        <v>13</v>
      </c>
      <c r="J13061" s="3" t="s">
        <v>37007</v>
      </c>
      <c r="K13061" s="3" t="s">
        <v>240</v>
      </c>
      <c r="L13061" s="3" t="str">
        <f>IFERROR(__xludf.DUMMYFUNCTION("GOOGLETRANSLATE(F13061,""id"",""en"")"),"Argentina was hit by an economic crisis how to pay FIFA's referee stupid even though France was more benefited by the penalty yesterday")</f>
        <v>Argentina was hit by an economic crisis how to pay FIFA's referee stupid even though France was more benefited by the penalty yesterday</v>
      </c>
    </row>
    <row r="13062" ht="15.75" customHeight="1">
      <c r="A13062" s="1">
        <v>14424.0</v>
      </c>
      <c r="B13062" s="3" t="s">
        <v>37008</v>
      </c>
      <c r="C13062" s="3">
        <v>0.0</v>
      </c>
      <c r="D13062" s="3">
        <v>0.0</v>
      </c>
      <c r="E13062" s="3">
        <v>1.0</v>
      </c>
      <c r="F13062" s="3" t="s">
        <v>37009</v>
      </c>
      <c r="G13062" s="3">
        <v>0.1</v>
      </c>
      <c r="H13062" s="3">
        <v>-0.1</v>
      </c>
      <c r="I13062" s="3" t="s">
        <v>179</v>
      </c>
      <c r="J13062" s="3" t="s">
        <v>37010</v>
      </c>
      <c r="K13062" s="3" t="s">
        <v>50</v>
      </c>
      <c r="L13062" s="3" t="str">
        <f>IFERROR(__xludf.DUMMYFUNCTION("GOOGLETRANSLATE(F13062,""id"",""en"")"),"Pantes he depak Arsenal Ahklanya Minus Argentina won because many benefited from the referee")</f>
        <v>Pantes he depak Arsenal Ahklanya Minus Argentina won because many benefited from the referee</v>
      </c>
    </row>
    <row r="13063" ht="15.75" customHeight="1">
      <c r="A13063" s="1">
        <v>14426.0</v>
      </c>
      <c r="B13063" s="3" t="s">
        <v>37011</v>
      </c>
      <c r="C13063" s="3">
        <v>0.0</v>
      </c>
      <c r="D13063" s="3">
        <v>0.0</v>
      </c>
      <c r="E13063" s="3">
        <v>0.0</v>
      </c>
      <c r="F13063" s="3" t="s">
        <v>37012</v>
      </c>
      <c r="G13063" s="3">
        <v>0.3333333333333333</v>
      </c>
      <c r="H13063" s="3">
        <v>0.1666666666666667</v>
      </c>
      <c r="I13063" s="3" t="s">
        <v>48</v>
      </c>
      <c r="J13063" s="3" t="s">
        <v>37013</v>
      </c>
      <c r="K13063" s="3" t="s">
        <v>1970</v>
      </c>
      <c r="L13063" s="3" t="str">
        <f>IFERROR(__xludf.DUMMYFUNCTION("GOOGLETRANSLATE(F13063,""id"",""en"")"),"Suitables Argentine referee although for example escaping Moroccan France England waiting for Pepe and Bruno Sportive PEPe Telan Cover Heading Bruno frustrated ugly")</f>
        <v>Suitables Argentine referee although for example escaping Moroccan France England waiting for Pepe and Bruno Sportive PEPe Telan Cover Heading Bruno frustrated ugly</v>
      </c>
    </row>
    <row r="13064" ht="15.75" customHeight="1">
      <c r="A13064" s="1">
        <v>14427.0</v>
      </c>
      <c r="B13064" s="3" t="s">
        <v>37014</v>
      </c>
      <c r="C13064" s="3">
        <v>1.0</v>
      </c>
      <c r="D13064" s="3">
        <v>0.0</v>
      </c>
      <c r="E13064" s="3">
        <v>0.0</v>
      </c>
      <c r="F13064" s="3" t="s">
        <v>37015</v>
      </c>
      <c r="G13064" s="3">
        <v>0.0</v>
      </c>
      <c r="H13064" s="3">
        <v>0.0</v>
      </c>
      <c r="I13064" s="3" t="s">
        <v>13</v>
      </c>
      <c r="J13064" s="3" t="s">
        <v>37016</v>
      </c>
      <c r="K13064" s="3" t="s">
        <v>1656</v>
      </c>
      <c r="L13064" s="3" t="str">
        <f>IFERROR(__xludf.DUMMYFUNCTION("GOOGLETRANSLATE(F13064,""id"",""en"")"),"How come after Portugal was eliminated, the word setting was so fast after Bruno Fernandes commented on the referee from Argentina when against Morocco and they lost KNP before they protested about the referee about the referee")</f>
        <v>How come after Portugal was eliminated, the word setting was so fast after Bruno Fernandes commented on the referee from Argentina when against Morocco and they lost KNP before they protested about the referee about the referee</v>
      </c>
    </row>
    <row r="13065" ht="15.75" customHeight="1">
      <c r="A13065" s="1">
        <v>14429.0</v>
      </c>
      <c r="B13065" s="3" t="s">
        <v>37017</v>
      </c>
      <c r="C13065" s="3">
        <v>0.0</v>
      </c>
      <c r="D13065" s="3">
        <v>1.0</v>
      </c>
      <c r="E13065" s="3">
        <v>7.0</v>
      </c>
      <c r="F13065" s="3" t="s">
        <v>37018</v>
      </c>
      <c r="G13065" s="3">
        <v>0.3</v>
      </c>
      <c r="H13065" s="3">
        <v>1.0</v>
      </c>
      <c r="I13065" s="3" t="s">
        <v>48</v>
      </c>
      <c r="J13065" s="3" t="s">
        <v>37019</v>
      </c>
      <c r="K13065" s="3" t="s">
        <v>240</v>
      </c>
      <c r="L13065" s="3" t="str">
        <f>IFERROR(__xludf.DUMMYFUNCTION("GOOGLETRANSLATE(F13065,""id"",""en"")"),"Santri Lampung for Ganjar Pranowo Zelensky Best Actor Evan Dimas Vogue Korea Argentina World Cup Pele")</f>
        <v>Santri Lampung for Ganjar Pranowo Zelensky Best Actor Evan Dimas Vogue Korea Argentina World Cup Pele</v>
      </c>
    </row>
    <row r="13066" ht="15.75" customHeight="1">
      <c r="A13066" s="1">
        <v>14430.0</v>
      </c>
      <c r="B13066" s="3" t="s">
        <v>37020</v>
      </c>
      <c r="C13066" s="3">
        <v>0.0</v>
      </c>
      <c r="D13066" s="3">
        <v>0.0</v>
      </c>
      <c r="E13066" s="3">
        <v>0.0</v>
      </c>
      <c r="F13066" s="3" t="s">
        <v>37021</v>
      </c>
      <c r="G13066" s="3">
        <v>0.0</v>
      </c>
      <c r="H13066" s="3">
        <v>0.0</v>
      </c>
      <c r="I13066" s="3" t="s">
        <v>13</v>
      </c>
      <c r="J13066" s="3" t="s">
        <v>37022</v>
      </c>
      <c r="K13066" s="3" t="s">
        <v>1045</v>
      </c>
      <c r="L13066" s="3" t="str">
        <f>IFERROR(__xludf.DUMMYFUNCTION("GOOGLETRANSLATE(F13066,""id"",""en"")"),"At least losing honorable Njing Dogs not win because of the help of a stupid chobblok penalpong stupid without the help of the referee PESSI and Argentina already returned from the Dutch Big Block Goblok")</f>
        <v>At least losing honorable Njing Dogs not win because of the help of a stupid chobblok penalpong stupid without the help of the referee PESSI and Argentina already returned from the Dutch Big Block Goblok</v>
      </c>
    </row>
    <row r="13067" ht="15.75" customHeight="1">
      <c r="A13067" s="1">
        <v>14431.0</v>
      </c>
      <c r="B13067" s="3" t="s">
        <v>37023</v>
      </c>
      <c r="C13067" s="3">
        <v>1.0</v>
      </c>
      <c r="D13067" s="3">
        <v>0.0</v>
      </c>
      <c r="E13067" s="3">
        <v>0.0</v>
      </c>
      <c r="F13067" s="3" t="s">
        <v>37024</v>
      </c>
      <c r="G13067" s="3">
        <v>0.0</v>
      </c>
      <c r="H13067" s="3">
        <v>0.0</v>
      </c>
      <c r="I13067" s="3" t="s">
        <v>13</v>
      </c>
      <c r="J13067" s="3" t="s">
        <v>37025</v>
      </c>
      <c r="K13067" s="3" t="s">
        <v>71</v>
      </c>
      <c r="L13067" s="3" t="str">
        <f>IFERROR(__xludf.DUMMYFUNCTION("GOOGLETRANSLATE(F13067,""id"",""en"")"),"Why is the Argemtina MJD Many of the Many Portuguese Peneban Pinal of the Portugal Pendimgam led")</f>
        <v>Why is the Argemtina MJD Many of the Many Portuguese Peneban Pinal of the Portugal Pendimgam led</v>
      </c>
    </row>
    <row r="13068" ht="15.75" customHeight="1">
      <c r="A13068" s="1">
        <v>14432.0</v>
      </c>
      <c r="B13068" s="3" t="s">
        <v>37026</v>
      </c>
      <c r="C13068" s="3">
        <v>18.0</v>
      </c>
      <c r="D13068" s="3">
        <v>33.0</v>
      </c>
      <c r="E13068" s="3">
        <v>262.0</v>
      </c>
      <c r="F13068" s="3" t="s">
        <v>37027</v>
      </c>
      <c r="G13068" s="3">
        <v>0.0</v>
      </c>
      <c r="H13068" s="3">
        <v>0.0</v>
      </c>
      <c r="I13068" s="3" t="s">
        <v>13</v>
      </c>
      <c r="J13068" s="3" t="s">
        <v>37028</v>
      </c>
      <c r="K13068" s="3" t="s">
        <v>54</v>
      </c>
      <c r="L13068" s="3" t="str">
        <f>IFERROR(__xludf.DUMMYFUNCTION("GOOGLETRANSLATE(F13068,""id"",""en"")"),"For the sake of the upper star of the Argentina chest logo")</f>
        <v>For the sake of the upper star of the Argentina chest logo</v>
      </c>
    </row>
    <row r="13069" ht="15.75" customHeight="1">
      <c r="A13069" s="1">
        <v>14434.0</v>
      </c>
      <c r="B13069" s="3" t="s">
        <v>37029</v>
      </c>
      <c r="C13069" s="3">
        <v>0.0</v>
      </c>
      <c r="D13069" s="3">
        <v>0.0</v>
      </c>
      <c r="E13069" s="3">
        <v>0.0</v>
      </c>
      <c r="F13069" s="3" t="s">
        <v>37030</v>
      </c>
      <c r="G13069" s="3">
        <v>0.0</v>
      </c>
      <c r="H13069" s="3">
        <v>0.0</v>
      </c>
      <c r="I13069" s="3" t="s">
        <v>13</v>
      </c>
      <c r="J13069" s="3" t="s">
        <v>37031</v>
      </c>
      <c r="K13069" s="3" t="s">
        <v>1428</v>
      </c>
      <c r="L13069" s="3" t="str">
        <f>IFERROR(__xludf.DUMMYFUNCTION("GOOGLETRANSLATE(F13069,""id"",""en"")"),"Media French Equipe revealed the fact that according to Messi's second goal rules should be annulled by the referee, however the referee still passed the goal to make Argentina ahead of France extra time")</f>
        <v>Media French Equipe revealed the fact that according to Messi's second goal rules should be annulled by the referee, however the referee still passed the goal to make Argentina ahead of France extra time</v>
      </c>
    </row>
    <row r="13070" ht="15.75" customHeight="1">
      <c r="A13070" s="1">
        <v>14436.0</v>
      </c>
      <c r="B13070" s="3" t="s">
        <v>37032</v>
      </c>
      <c r="C13070" s="3">
        <v>0.0</v>
      </c>
      <c r="D13070" s="3">
        <v>0.0</v>
      </c>
      <c r="E13070" s="3">
        <v>0.0</v>
      </c>
      <c r="F13070" s="3" t="s">
        <v>37033</v>
      </c>
      <c r="G13070" s="3">
        <v>0.0</v>
      </c>
      <c r="H13070" s="3">
        <v>0.0</v>
      </c>
      <c r="I13070" s="3" t="s">
        <v>13</v>
      </c>
      <c r="J13070" s="3" t="s">
        <v>37034</v>
      </c>
      <c r="K13070" s="3" t="s">
        <v>510</v>
      </c>
      <c r="L13070" s="3" t="str">
        <f>IFERROR(__xludf.DUMMYFUNCTION("GOOGLETRANSLATE(F13070,""id"",""en"")"),"Dodo fans who still like to blame the bekoar referee Bela Argentina better just blame Kolo Muani")</f>
        <v>Dodo fans who still like to blame the bekoar referee Bela Argentina better just blame Kolo Muani</v>
      </c>
    </row>
    <row r="13071" ht="15.75" customHeight="1">
      <c r="A13071" s="1">
        <v>14437.0</v>
      </c>
      <c r="B13071" s="3" t="s">
        <v>37035</v>
      </c>
      <c r="C13071" s="3">
        <v>1.0</v>
      </c>
      <c r="D13071" s="3">
        <v>0.0</v>
      </c>
      <c r="E13071" s="3">
        <v>0.0</v>
      </c>
      <c r="F13071" s="3" t="s">
        <v>37036</v>
      </c>
      <c r="G13071" s="3">
        <v>0.0</v>
      </c>
      <c r="H13071" s="3">
        <v>0.0</v>
      </c>
      <c r="I13071" s="3" t="s">
        <v>13</v>
      </c>
      <c r="J13071" s="3" t="s">
        <v>37037</v>
      </c>
      <c r="K13071" s="3" t="s">
        <v>3819</v>
      </c>
      <c r="L13071" s="3" t="str">
        <f>IFERROR(__xludf.DUMMYFUNCTION("GOOGLETRANSLATE(F13071,""id"",""en"")"),"The referee clearly knows that the ball uses the ball using the sports, not kicking the bench ball not sporty diving the penalty box is not sporty, what else can the referee be a steering wheel for MIIK Argentina")</f>
        <v>The referee clearly knows that the ball uses the ball using the sports, not kicking the bench ball not sporty diving the penalty box is not sporty, what else can the referee be a steering wheel for MIIK Argentina</v>
      </c>
    </row>
    <row r="13072" ht="15.75" customHeight="1">
      <c r="A13072" s="1">
        <v>14438.0</v>
      </c>
      <c r="B13072" s="3" t="s">
        <v>37038</v>
      </c>
      <c r="C13072" s="3">
        <v>0.0</v>
      </c>
      <c r="D13072" s="3">
        <v>0.0</v>
      </c>
      <c r="E13072" s="3">
        <v>0.0</v>
      </c>
      <c r="F13072" s="3" t="s">
        <v>37039</v>
      </c>
      <c r="G13072" s="3">
        <v>0.0</v>
      </c>
      <c r="H13072" s="3">
        <v>0.0</v>
      </c>
      <c r="I13072" s="3" t="s">
        <v>13</v>
      </c>
      <c r="J13072" s="3" t="s">
        <v>37040</v>
      </c>
      <c r="K13072" s="3" t="s">
        <v>31</v>
      </c>
      <c r="L13072" s="3" t="str">
        <f>IFERROR(__xludf.DUMMYFUNCTION("GOOGLETRANSLATE(F13072,""id"",""en"")"),"Portuguese Mystery Led by Referee Argentina")</f>
        <v>Portuguese Mystery Led by Referee Argentina</v>
      </c>
    </row>
    <row r="13073" ht="15.75" customHeight="1">
      <c r="A13073" s="1">
        <v>14439.0</v>
      </c>
      <c r="B13073" s="3" t="s">
        <v>37041</v>
      </c>
      <c r="C13073" s="3">
        <v>0.0</v>
      </c>
      <c r="D13073" s="3">
        <v>0.0</v>
      </c>
      <c r="E13073" s="3">
        <v>0.0</v>
      </c>
      <c r="F13073" s="3" t="s">
        <v>37042</v>
      </c>
      <c r="G13073" s="3">
        <v>0.0</v>
      </c>
      <c r="H13073" s="3">
        <v>0.0</v>
      </c>
      <c r="I13073" s="3" t="s">
        <v>13</v>
      </c>
      <c r="J13073" s="3" t="s">
        <v>37043</v>
      </c>
      <c r="K13073" s="3" t="s">
        <v>491</v>
      </c>
      <c r="L13073" s="3" t="str">
        <f>IFERROR(__xludf.DUMMYFUNCTION("GOOGLETRANSLATE(F13073,""id"",""en"")"),"This is the way Messi and Argentina won the EEA EEAA EEAAA EEEAAAA")</f>
        <v>This is the way Messi and Argentina won the EEA EEAA EEAAA EEEAAAA</v>
      </c>
    </row>
    <row r="13074" ht="15.75" customHeight="1">
      <c r="A13074" s="1">
        <v>14440.0</v>
      </c>
      <c r="B13074" s="3" t="s">
        <v>37044</v>
      </c>
      <c r="C13074" s="3">
        <v>0.0</v>
      </c>
      <c r="D13074" s="3">
        <v>0.0</v>
      </c>
      <c r="E13074" s="3">
        <v>0.0</v>
      </c>
      <c r="F13074" s="3" t="s">
        <v>37045</v>
      </c>
      <c r="G13074" s="3">
        <v>0.2</v>
      </c>
      <c r="H13074" s="3">
        <v>-0.1</v>
      </c>
      <c r="I13074" s="3" t="s">
        <v>179</v>
      </c>
      <c r="J13074" s="3" t="s">
        <v>37046</v>
      </c>
      <c r="K13074" s="3" t="s">
        <v>3401</v>
      </c>
      <c r="L13074" s="3" t="str">
        <f>IFERROR(__xludf.DUMMYFUNCTION("GOOGLETRANSLATE(F13074,""id"",""en"")"),"yesterday the most excited when Argentina lost to Saudi Arabia where the most excited Argentina became a three -year -old runner where the most excited about Argentina helps the referee where France got a mental penalty not shake the boss")</f>
        <v>yesterday the most excited when Argentina lost to Saudi Arabia where the most excited Argentina became a three -year -old runner where the most excited about Argentina helps the referee where France got a mental penalty not shake the boss</v>
      </c>
    </row>
    <row r="13075" ht="15.75" customHeight="1">
      <c r="A13075" s="1">
        <v>14441.0</v>
      </c>
      <c r="B13075" s="3" t="s">
        <v>37047</v>
      </c>
      <c r="C13075" s="3">
        <v>1.0</v>
      </c>
      <c r="D13075" s="3">
        <v>0.0</v>
      </c>
      <c r="E13075" s="3">
        <v>0.0</v>
      </c>
      <c r="F13075" s="3" t="s">
        <v>37048</v>
      </c>
      <c r="G13075" s="3">
        <v>1.0</v>
      </c>
      <c r="H13075" s="3">
        <v>0.25</v>
      </c>
      <c r="I13075" s="3" t="s">
        <v>48</v>
      </c>
      <c r="J13075" s="3" t="s">
        <v>37049</v>
      </c>
      <c r="K13075" s="3" t="s">
        <v>1157</v>
      </c>
      <c r="L13075" s="3" t="str">
        <f>IFERROR(__xludf.DUMMYFUNCTION("GOOGLETRANSLATE(F13075,""id"",""en"")"),"There are so many debates about the first penalty for Argentina Messi does not need to be checked with the people of the incident of the violation in front of the French referee also given a penalty.")</f>
        <v>There are so many debates about the first penalty for Argentina Messi does not need to be checked with the people of the incident of the violation in front of the French referee also given a penalty.</v>
      </c>
    </row>
    <row r="13076" ht="15.75" customHeight="1">
      <c r="A13076" s="1">
        <v>14442.0</v>
      </c>
      <c r="B13076" s="3" t="s">
        <v>37050</v>
      </c>
      <c r="C13076" s="3">
        <v>1.0</v>
      </c>
      <c r="D13076" s="3">
        <v>0.0</v>
      </c>
      <c r="E13076" s="3">
        <v>0.0</v>
      </c>
      <c r="F13076" s="3" t="s">
        <v>37051</v>
      </c>
      <c r="G13076" s="3">
        <v>1.0</v>
      </c>
      <c r="H13076" s="3">
        <v>0.0</v>
      </c>
      <c r="I13076" s="3" t="s">
        <v>13</v>
      </c>
      <c r="J13076" s="3" t="s">
        <v>37052</v>
      </c>
      <c r="K13076" s="3" t="s">
        <v>2610</v>
      </c>
      <c r="L13076" s="3" t="str">
        <f>IFERROR(__xludf.DUMMYFUNCTION("GOOGLETRANSLATE(F13076,""id"",""en"")"),"and Argentina Final goal Iku Sakjane Iso was annulled by Karo Referee Yen Dekne Ndelok Neng Var Mergo Onok SIK Mlebu Field Reserve Player Pas Still Play")</f>
        <v>and Argentina Final goal Iku Sakjane Iso was annulled by Karo Referee Yen Dekne Ndelok Neng Var Mergo Onok SIK Mlebu Field Reserve Player Pas Still Play</v>
      </c>
    </row>
    <row r="13077" ht="15.75" customHeight="1">
      <c r="A13077" s="1">
        <v>14443.0</v>
      </c>
      <c r="B13077" s="3" t="s">
        <v>37053</v>
      </c>
      <c r="C13077" s="3">
        <v>0.0</v>
      </c>
      <c r="D13077" s="3">
        <v>0.0</v>
      </c>
      <c r="E13077" s="3">
        <v>1.0</v>
      </c>
      <c r="F13077" s="3" t="s">
        <v>37054</v>
      </c>
      <c r="G13077" s="3">
        <v>0.9</v>
      </c>
      <c r="H13077" s="3">
        <v>0.7</v>
      </c>
      <c r="I13077" s="3" t="s">
        <v>48</v>
      </c>
      <c r="J13077" s="3" t="s">
        <v>37055</v>
      </c>
      <c r="K13077" s="3" t="s">
        <v>1970</v>
      </c>
      <c r="L13077" s="3" t="str">
        <f>IFERROR(__xludf.DUMMYFUNCTION("GOOGLETRANSLATE(F13077,""id"",""en"")"),"FIFA Messi or FIFA Argentina there is no point in VAR should not be a penalty and Argentine players must get a yellow card and may also be red and rude games and can be help by fair play referees no")</f>
        <v>FIFA Messi or FIFA Argentina there is no point in VAR should not be a penalty and Argentine players must get a yellow card and may also be red and rude games and can be help by fair play referees no</v>
      </c>
    </row>
    <row r="13078" ht="15.75" customHeight="1">
      <c r="A13078" s="1">
        <v>14444.0</v>
      </c>
      <c r="B13078" s="3" t="s">
        <v>37056</v>
      </c>
      <c r="C13078" s="3">
        <v>9.0</v>
      </c>
      <c r="D13078" s="3">
        <v>0.0</v>
      </c>
      <c r="E13078" s="3">
        <v>5.0</v>
      </c>
      <c r="F13078" s="3" t="s">
        <v>37057</v>
      </c>
      <c r="G13078" s="3">
        <v>0.0</v>
      </c>
      <c r="H13078" s="3">
        <v>0.0</v>
      </c>
      <c r="I13078" s="3" t="s">
        <v>13</v>
      </c>
      <c r="J13078" s="3" t="s">
        <v>37058</v>
      </c>
      <c r="K13078" s="3" t="s">
        <v>104</v>
      </c>
      <c r="L13078" s="3" t="str">
        <f>IFERROR(__xludf.DUMMYFUNCTION("GOOGLETRANSLATE(F13078,""id"",""en"")"),"The fact that Messi is the best soccer player there are no more genius humans to process the ball than Messi and also the fact that Argentina's World Cup is far from the perfect word of Argentina and the decision of the counter")</f>
        <v>The fact that Messi is the best soccer player there are no more genius humans to process the ball than Messi and also the fact that Argentina's World Cup is far from the perfect word of Argentina and the decision of the counter</v>
      </c>
    </row>
    <row r="13079" ht="15.75" customHeight="1">
      <c r="A13079" s="1">
        <v>14446.0</v>
      </c>
      <c r="B13079" s="3" t="s">
        <v>37059</v>
      </c>
      <c r="C13079" s="3">
        <v>2.0</v>
      </c>
      <c r="D13079" s="3">
        <v>1.0</v>
      </c>
      <c r="E13079" s="3">
        <v>3.0</v>
      </c>
      <c r="F13079" s="3" t="s">
        <v>37060</v>
      </c>
      <c r="G13079" s="3">
        <v>0.0</v>
      </c>
      <c r="H13079" s="3">
        <v>0.0</v>
      </c>
      <c r="I13079" s="3" t="s">
        <v>13</v>
      </c>
      <c r="J13079" s="3" t="s">
        <v>37061</v>
      </c>
      <c r="K13079" s="3" t="s">
        <v>1970</v>
      </c>
      <c r="L13079" s="3" t="str">
        <f>IFERROR(__xludf.DUMMYFUNCTION("GOOGLETRANSLATE(F13079,""id"",""en"")"),"Argentina twin in the case of annestry uruguay was once in the derby milan Godin protested the referee in the style of Italian mimic many people were surprised so quickly he became Italy even though it was Uruguay's blood")</f>
        <v>Argentina twin in the case of annestry uruguay was once in the derby milan Godin protested the referee in the style of Italian mimic many people were surprised so quickly he became Italy even though it was Uruguay's blood</v>
      </c>
    </row>
    <row r="13080" ht="15.75" customHeight="1">
      <c r="A13080" s="1">
        <v>14448.0</v>
      </c>
      <c r="B13080" s="3" t="s">
        <v>37062</v>
      </c>
      <c r="C13080" s="3">
        <v>1.0</v>
      </c>
      <c r="D13080" s="3">
        <v>0.0</v>
      </c>
      <c r="E13080" s="3">
        <v>0.0</v>
      </c>
      <c r="F13080" s="3" t="s">
        <v>37063</v>
      </c>
      <c r="G13080" s="3">
        <v>0.0</v>
      </c>
      <c r="H13080" s="3">
        <v>0.0</v>
      </c>
      <c r="I13080" s="3" t="s">
        <v>13</v>
      </c>
      <c r="J13080" s="3" t="s">
        <v>37064</v>
      </c>
      <c r="K13080" s="3" t="s">
        <v>1097</v>
      </c>
      <c r="L13080" s="3" t="str">
        <f>IFERROR(__xludf.DUMMYFUNCTION("GOOGLETRANSLATE(F13080,""id"",""en"")"),"The Dutch Argentina match is the referee's top match to issue a card")</f>
        <v>The Dutch Argentina match is the referee's top match to issue a card</v>
      </c>
    </row>
    <row r="13081" ht="15.75" customHeight="1">
      <c r="A13081" s="1">
        <v>14450.0</v>
      </c>
      <c r="B13081" s="3" t="s">
        <v>37065</v>
      </c>
      <c r="C13081" s="3">
        <v>0.0</v>
      </c>
      <c r="D13081" s="3">
        <v>0.0</v>
      </c>
      <c r="E13081" s="3">
        <v>0.0</v>
      </c>
      <c r="F13081" s="3" t="s">
        <v>37066</v>
      </c>
      <c r="G13081" s="3">
        <v>0.0</v>
      </c>
      <c r="H13081" s="3">
        <v>0.0</v>
      </c>
      <c r="I13081" s="3" t="s">
        <v>13</v>
      </c>
      <c r="J13081" s="3" t="s">
        <v>37067</v>
      </c>
      <c r="K13081" s="3" t="s">
        <v>22113</v>
      </c>
      <c r="L13081" s="3" t="str">
        <f>IFERROR(__xludf.DUMMYFUNCTION("GOOGLETRANSLATE(F13081,""id"",""en"")"),"In saying Bruno often drama today all drama players and dislike it affects the referee of Argentine players LWN French byk drama and it benefits Argentina, innocent players are often bibulin players")</f>
        <v>In saying Bruno often drama today all drama players and dislike it affects the referee of Argentine players LWN French byk drama and it benefits Argentina, innocent players are often bibulin players</v>
      </c>
    </row>
    <row r="13082" ht="15.75" customHeight="1">
      <c r="A13082" s="1">
        <v>14451.0</v>
      </c>
      <c r="B13082" s="3" t="s">
        <v>37068</v>
      </c>
      <c r="C13082" s="3">
        <v>0.0</v>
      </c>
      <c r="D13082" s="3">
        <v>0.0</v>
      </c>
      <c r="E13082" s="3">
        <v>0.0</v>
      </c>
      <c r="F13082" s="3" t="s">
        <v>37069</v>
      </c>
      <c r="G13082" s="3">
        <v>0.0</v>
      </c>
      <c r="H13082" s="3">
        <v>0.0</v>
      </c>
      <c r="I13082" s="3" t="s">
        <v>13</v>
      </c>
      <c r="J13082" s="3" t="s">
        <v>37070</v>
      </c>
      <c r="K13082" s="3" t="s">
        <v>82</v>
      </c>
      <c r="L13082" s="3" t="str">
        <f>IFERROR(__xludf.DUMMYFUNCTION("GOOGLETRANSLATE(F13082,""id"",""en"")"),"Deschamps questioned a number of referee Szymon Marciniak's decisions")</f>
        <v>Deschamps questioned a number of referee Szymon Marciniak's decisions</v>
      </c>
    </row>
    <row r="13083" ht="15.75" customHeight="1">
      <c r="A13083" s="1">
        <v>14452.0</v>
      </c>
      <c r="B13083" s="3" t="s">
        <v>37071</v>
      </c>
      <c r="C13083" s="3">
        <v>8.0</v>
      </c>
      <c r="D13083" s="3">
        <v>0.0</v>
      </c>
      <c r="E13083" s="3">
        <v>0.0</v>
      </c>
      <c r="F13083" s="3" t="s">
        <v>37072</v>
      </c>
      <c r="G13083" s="3">
        <v>0.0</v>
      </c>
      <c r="H13083" s="3">
        <v>0.0</v>
      </c>
      <c r="I13083" s="3" t="s">
        <v>13</v>
      </c>
      <c r="J13083" s="3" t="s">
        <v>37073</v>
      </c>
      <c r="K13083" s="3" t="s">
        <v>240</v>
      </c>
      <c r="L13083" s="3" t="str">
        <f>IFERROR(__xludf.DUMMYFUNCTION("GOOGLETRANSLATE(F13083,""id"",""en"")"),"The trophy is just the results of the settings are proud of Argentina Ank FIFA try yesterday the referee check the Auto bar tuh argen")</f>
        <v>The trophy is just the results of the settings are proud of Argentina Ank FIFA try yesterday the referee check the Auto bar tuh argen</v>
      </c>
    </row>
    <row r="13084" ht="15.75" customHeight="1">
      <c r="A13084" s="1">
        <v>14453.0</v>
      </c>
      <c r="B13084" s="3" t="s">
        <v>37074</v>
      </c>
      <c r="C13084" s="3">
        <v>0.0</v>
      </c>
      <c r="D13084" s="3">
        <v>0.0</v>
      </c>
      <c r="E13084" s="3">
        <v>0.0</v>
      </c>
      <c r="F13084" s="3" t="s">
        <v>37075</v>
      </c>
      <c r="G13084" s="3">
        <v>0.0</v>
      </c>
      <c r="H13084" s="3">
        <v>0.0</v>
      </c>
      <c r="I13084" s="3" t="s">
        <v>13</v>
      </c>
      <c r="J13084" s="3" t="s">
        <v>37076</v>
      </c>
      <c r="K13084" s="3" t="s">
        <v>633</v>
      </c>
      <c r="L13084" s="3" t="str">
        <f>IFERROR(__xludf.DUMMYFUNCTION("GOOGLETRANSLATE(F13084,""id"",""en"")"),"I am a fan of Senegal, I still disagree with Argentina, get a penalty, the referee checks the var.")</f>
        <v>I am a fan of Senegal, I still disagree with Argentina, get a penalty, the referee checks the var.</v>
      </c>
    </row>
    <row r="13085" ht="15.75" customHeight="1">
      <c r="A13085" s="1">
        <v>14454.0</v>
      </c>
      <c r="B13085" s="3" t="s">
        <v>37077</v>
      </c>
      <c r="C13085" s="3">
        <v>0.0</v>
      </c>
      <c r="D13085" s="3">
        <v>1.0</v>
      </c>
      <c r="E13085" s="3">
        <v>1.0</v>
      </c>
      <c r="F13085" s="3" t="s">
        <v>37078</v>
      </c>
      <c r="G13085" s="3">
        <v>0.0</v>
      </c>
      <c r="H13085" s="3">
        <v>0.0</v>
      </c>
      <c r="I13085" s="3" t="s">
        <v>13</v>
      </c>
      <c r="J13085" s="3" t="s">
        <v>37079</v>
      </c>
      <c r="K13085" s="3" t="s">
        <v>3721</v>
      </c>
      <c r="L13085" s="3" t="str">
        <f>IFERROR(__xludf.DUMMYFUNCTION("GOOGLETRANSLATE(F13085,""id"",""en"")"),"hiiragii well, the referee is fair, anyway, the Moroccan player can get a red card when Argentina is even cheated by the referee.")</f>
        <v>hiiragii well, the referee is fair, anyway, the Moroccan player can get a red card when Argentina is even cheated by the referee.</v>
      </c>
    </row>
    <row r="13086" ht="15.75" customHeight="1">
      <c r="A13086" s="1">
        <v>14456.0</v>
      </c>
      <c r="B13086" s="3" t="s">
        <v>37080</v>
      </c>
      <c r="C13086" s="3">
        <v>0.0</v>
      </c>
      <c r="D13086" s="3">
        <v>0.0</v>
      </c>
      <c r="E13086" s="3">
        <v>1.0</v>
      </c>
      <c r="F13086" s="3" t="s">
        <v>37081</v>
      </c>
      <c r="G13086" s="3">
        <v>0.9</v>
      </c>
      <c r="H13086" s="3">
        <v>0.7</v>
      </c>
      <c r="I13086" s="3" t="s">
        <v>48</v>
      </c>
      <c r="J13086" s="3" t="s">
        <v>37082</v>
      </c>
      <c r="K13086" s="3" t="s">
        <v>348</v>
      </c>
      <c r="L13086" s="3" t="str">
        <f>IFERROR(__xludf.DUMMYFUNCTION("GOOGLETRANSLATE(F13086,""id"",""en"")"),"That's right, Latin American teams are many rough and cunning tricks in fair games, help the Argentine referee just imagine every match to get a penalty on conscious")</f>
        <v>That's right, Latin American teams are many rough and cunning tricks in fair games, help the Argentine referee just imagine every match to get a penalty on conscious</v>
      </c>
    </row>
    <row r="13087" ht="15.75" customHeight="1">
      <c r="A13087" s="1">
        <v>14457.0</v>
      </c>
      <c r="B13087" s="3" t="s">
        <v>37083</v>
      </c>
      <c r="C13087" s="3">
        <v>0.0</v>
      </c>
      <c r="D13087" s="3">
        <v>0.0</v>
      </c>
      <c r="E13087" s="3">
        <v>0.0</v>
      </c>
      <c r="F13087" s="3" t="s">
        <v>37084</v>
      </c>
      <c r="G13087" s="3">
        <v>0.0</v>
      </c>
      <c r="H13087" s="3">
        <v>0.0</v>
      </c>
      <c r="I13087" s="3" t="s">
        <v>13</v>
      </c>
      <c r="J13087" s="3" t="s">
        <v>37085</v>
      </c>
      <c r="K13087" s="3" t="s">
        <v>4281</v>
      </c>
      <c r="L13087" s="3" t="str">
        <f>IFERROR(__xludf.DUMMYFUNCTION("GOOGLETRANSLATE(F13087,""id"",""en"")"),"Kali Pildun Starter Mulu Semifinal also never had to be accomplished even now the reason for being blocked by the Argentina referee was selfish, Messi was a golden child of FIFA, the PILDUN settings were your dodolovers fans.")</f>
        <v>Kali Pildun Starter Mulu Semifinal also never had to be accomplished even now the reason for being blocked by the Argentina referee was selfish, Messi was a golden child of FIFA, the PILDUN settings were your dodolovers fans.</v>
      </c>
    </row>
    <row r="13088" ht="15.75" customHeight="1">
      <c r="A13088" s="1">
        <v>14458.0</v>
      </c>
      <c r="B13088" s="3" t="s">
        <v>37086</v>
      </c>
      <c r="C13088" s="3">
        <v>0.0</v>
      </c>
      <c r="D13088" s="3">
        <v>0.0</v>
      </c>
      <c r="E13088" s="3">
        <v>1.0</v>
      </c>
      <c r="F13088" s="3" t="s">
        <v>37087</v>
      </c>
      <c r="G13088" s="3">
        <v>0.3333333333333333</v>
      </c>
      <c r="H13088" s="3">
        <v>0.1666666666666667</v>
      </c>
      <c r="I13088" s="3" t="s">
        <v>48</v>
      </c>
      <c r="J13088" s="3" t="s">
        <v>37088</v>
      </c>
      <c r="K13088" s="3" t="s">
        <v>205</v>
      </c>
      <c r="L13088" s="3" t="str">
        <f>IFERROR(__xludf.DUMMYFUNCTION("GOOGLETRANSLATE(F13088,""id"",""en"")"),"The one who loses parlay says Vamos Argentina, the help of the referee, uses, said that FIFA is all really to play the babble like losing billions")</f>
        <v>The one who loses parlay says Vamos Argentina, the help of the referee, uses, said that FIFA is all really to play the babble like losing billions</v>
      </c>
    </row>
    <row r="13089" ht="15.75" customHeight="1">
      <c r="A13089" s="1">
        <v>14459.0</v>
      </c>
      <c r="B13089" s="3" t="s">
        <v>37089</v>
      </c>
      <c r="C13089" s="3">
        <v>0.0</v>
      </c>
      <c r="D13089" s="3">
        <v>0.0</v>
      </c>
      <c r="E13089" s="3">
        <v>0.0</v>
      </c>
      <c r="F13089" s="3" t="s">
        <v>37090</v>
      </c>
      <c r="G13089" s="3">
        <v>0.0</v>
      </c>
      <c r="H13089" s="3">
        <v>0.0</v>
      </c>
      <c r="I13089" s="3" t="s">
        <v>13</v>
      </c>
      <c r="J13089" s="3" t="s">
        <v>37091</v>
      </c>
      <c r="K13089" s="3" t="s">
        <v>236</v>
      </c>
      <c r="L13089" s="3" t="str">
        <f>IFERROR(__xludf.DUMMYFUNCTION("GOOGLETRANSLATE(F13089,""id"",""en"")"),"French Argentine referee is right France is given mbappe if it's just mbae")</f>
        <v>French Argentine referee is right France is given mbappe if it's just mbae</v>
      </c>
    </row>
    <row r="13090" ht="15.75" customHeight="1">
      <c r="A13090" s="1">
        <v>14462.0</v>
      </c>
      <c r="B13090" s="3" t="s">
        <v>37092</v>
      </c>
      <c r="C13090" s="3">
        <v>0.0</v>
      </c>
      <c r="D13090" s="3">
        <v>0.0</v>
      </c>
      <c r="E13090" s="3">
        <v>0.0</v>
      </c>
      <c r="F13090" s="3" t="s">
        <v>37093</v>
      </c>
      <c r="G13090" s="3">
        <v>0.0</v>
      </c>
      <c r="H13090" s="3">
        <v>0.0</v>
      </c>
      <c r="I13090" s="3" t="s">
        <v>13</v>
      </c>
      <c r="J13090" s="3" t="s">
        <v>37094</v>
      </c>
      <c r="K13090" s="3" t="s">
        <v>1824</v>
      </c>
      <c r="L13090" s="3" t="str">
        <f>IFERROR(__xludf.DUMMYFUNCTION("GOOGLETRANSLATE(F13090,""id"",""en"")"),"from the baby already knows Argentina there is Gabriel Batistuta Ariel Ortega Mathias Almeyda Diego Simone etc. I have stayed up watching the ball Zinedine Zidane Didier Deschamps Kbemeu Emanuel Petit Lizarazu Lilian Thuram AME Class Referees Per")</f>
        <v>from the baby already knows Argentina there is Gabriel Batistuta Ariel Ortega Mathias Almeyda Diego Simone etc. I have stayed up watching the ball Zinedine Zidane Didier Deschamps Kbemeu Emanuel Petit Lizarazu Lilian Thuram AME Class Referees Per</v>
      </c>
    </row>
    <row r="13091" ht="15.75" customHeight="1">
      <c r="A13091" s="1">
        <v>14463.0</v>
      </c>
      <c r="B13091" s="3" t="s">
        <v>37095</v>
      </c>
      <c r="C13091" s="3">
        <v>1.0</v>
      </c>
      <c r="D13091" s="3">
        <v>0.0</v>
      </c>
      <c r="E13091" s="3">
        <v>1.0</v>
      </c>
      <c r="F13091" s="3" t="s">
        <v>37096</v>
      </c>
      <c r="G13091" s="3">
        <v>0.0</v>
      </c>
      <c r="H13091" s="3">
        <v>0.0</v>
      </c>
      <c r="I13091" s="3" t="s">
        <v>13</v>
      </c>
      <c r="J13091" s="3" t="s">
        <v>37097</v>
      </c>
      <c r="K13091" s="3" t="s">
        <v>574</v>
      </c>
      <c r="L13091" s="3" t="str">
        <f>IFERROR(__xludf.DUMMYFUNCTION("GOOGLETRANSLATE(F13091,""id"",""en"")"),"French media still fuss over Argentine reserve players found to enter the field when Messi scored the second round of time when they regretted the attitude of referee Szymon Marciniak did not annul the goal")</f>
        <v>French media still fuss over Argentine reserve players found to enter the field when Messi scored the second round of time when they regretted the attitude of referee Szymon Marciniak did not annul the goal</v>
      </c>
    </row>
    <row r="13092" ht="15.75" customHeight="1">
      <c r="A13092" s="1">
        <v>14465.0</v>
      </c>
      <c r="B13092" s="3" t="s">
        <v>37098</v>
      </c>
      <c r="C13092" s="3">
        <v>1.0</v>
      </c>
      <c r="D13092" s="3">
        <v>0.0</v>
      </c>
      <c r="E13092" s="3">
        <v>0.0</v>
      </c>
      <c r="F13092" s="3" t="s">
        <v>37099</v>
      </c>
      <c r="G13092" s="3">
        <v>0.0</v>
      </c>
      <c r="H13092" s="3">
        <v>0.0</v>
      </c>
      <c r="I13092" s="3" t="s">
        <v>13</v>
      </c>
      <c r="J13092" s="3" t="s">
        <v>37100</v>
      </c>
      <c r="K13092" s="3" t="s">
        <v>574</v>
      </c>
      <c r="L13092" s="3" t="str">
        <f>IFERROR(__xludf.DUMMYFUNCTION("GOOGLETRANSLATE(F13092,""id"",""en"")"),"The referee is not fair because it is lucky Argentina, so Messi blasphemed where the first goal of the penalty was also natural when the second half of the referee began to be fair")</f>
        <v>The referee is not fair because it is lucky Argentina, so Messi blasphemed where the first goal of the penalty was also natural when the second half of the referee began to be fair</v>
      </c>
    </row>
    <row r="13093" ht="15.75" customHeight="1">
      <c r="A13093" s="1">
        <v>14466.0</v>
      </c>
      <c r="B13093" s="3" t="s">
        <v>37101</v>
      </c>
      <c r="C13093" s="3">
        <v>1.0</v>
      </c>
      <c r="D13093" s="3">
        <v>0.0</v>
      </c>
      <c r="E13093" s="3">
        <v>0.0</v>
      </c>
      <c r="F13093" s="3" t="s">
        <v>37102</v>
      </c>
      <c r="G13093" s="3">
        <v>0.0</v>
      </c>
      <c r="H13093" s="3">
        <v>0.0</v>
      </c>
      <c r="I13093" s="3" t="s">
        <v>13</v>
      </c>
      <c r="J13093" s="3" t="s">
        <v>37103</v>
      </c>
      <c r="K13093" s="3" t="s">
        <v>657</v>
      </c>
      <c r="L13093" s="3" t="str">
        <f>IFERROR(__xludf.DUMMYFUNCTION("GOOGLETRANSLATE(F13093,""id"",""en"")"),"Andikawrr Rezza There is a video coman violated in the second half injurytime that the play should instead be stopped by the referee because there is no defense Argentina")</f>
        <v>Andikawrr Rezza There is a video coman violated in the second half injurytime that the play should instead be stopped by the referee because there is no defense Argentina</v>
      </c>
    </row>
    <row r="13094" ht="15.75" customHeight="1">
      <c r="A13094" s="1">
        <v>14467.0</v>
      </c>
      <c r="B13094" s="3" t="s">
        <v>37104</v>
      </c>
      <c r="C13094" s="3">
        <v>1.0</v>
      </c>
      <c r="D13094" s="3">
        <v>0.0</v>
      </c>
      <c r="E13094" s="3">
        <v>1.0</v>
      </c>
      <c r="F13094" s="3" t="s">
        <v>37105</v>
      </c>
      <c r="G13094" s="3">
        <v>0.1</v>
      </c>
      <c r="H13094" s="3">
        <v>0.0</v>
      </c>
      <c r="I13094" s="3" t="s">
        <v>13</v>
      </c>
      <c r="J13094" s="3" t="s">
        <v>37106</v>
      </c>
      <c r="K13094" s="3" t="s">
        <v>27</v>
      </c>
      <c r="L13094" s="3" t="str">
        <f>IFERROR(__xludf.DUMMYFUNCTION("GOOGLETRANSLATE(F13094,""id"",""en"")"),"Extra time violations when the coman counterattack was violated, the referees should instead the whistle of violations even though the French players were in front and there was no Argentine defense watching or not")</f>
        <v>Extra time violations when the coman counterattack was violated, the referees should instead the whistle of violations even though the French players were in front and there was no Argentine defense watching or not</v>
      </c>
    </row>
    <row r="13095" ht="15.75" customHeight="1">
      <c r="A13095" s="1">
        <v>14469.0</v>
      </c>
      <c r="B13095" s="3" t="s">
        <v>37107</v>
      </c>
      <c r="C13095" s="3">
        <v>2.0</v>
      </c>
      <c r="D13095" s="3">
        <v>1.0</v>
      </c>
      <c r="E13095" s="3">
        <v>1.0</v>
      </c>
      <c r="F13095" s="3" t="s">
        <v>37108</v>
      </c>
      <c r="G13095" s="3">
        <v>0.0</v>
      </c>
      <c r="H13095" s="3">
        <v>0.0</v>
      </c>
      <c r="I13095" s="3" t="s">
        <v>13</v>
      </c>
      <c r="J13095" s="3" t="s">
        <v>37109</v>
      </c>
      <c r="K13095" s="3" t="s">
        <v>228</v>
      </c>
      <c r="L13095" s="3" t="str">
        <f>IFERROR(__xludf.DUMMYFUNCTION("GOOGLETRANSLATE(F13095,""id"",""en"")"),"What's wrong with Argentina every game they have the right to the referee's penalty does not review Var when the penalty is given to Argentina Messi's goal is appropriate because two Argentina Benz players are in the field what FIFA hides for his golden c"&amp;"hild Messi")</f>
        <v>What's wrong with Argentina every game they have the right to the referee's penalty does not review Var when the penalty is given to Argentina Messi's goal is appropriate because two Argentina Benz players are in the field what FIFA hides for his golden child Messi</v>
      </c>
    </row>
    <row r="13096" ht="15.75" customHeight="1">
      <c r="A13096" s="1">
        <v>14470.0</v>
      </c>
      <c r="B13096" s="3" t="s">
        <v>37110</v>
      </c>
      <c r="C13096" s="3">
        <v>0.0</v>
      </c>
      <c r="D13096" s="3">
        <v>0.0</v>
      </c>
      <c r="E13096" s="3">
        <v>0.0</v>
      </c>
      <c r="F13096" s="3" t="s">
        <v>37111</v>
      </c>
      <c r="G13096" s="3">
        <v>0.0</v>
      </c>
      <c r="H13096" s="3">
        <v>0.0</v>
      </c>
      <c r="I13096" s="3" t="s">
        <v>13</v>
      </c>
      <c r="J13096" s="3" t="s">
        <v>37112</v>
      </c>
      <c r="K13096" s="3" t="s">
        <v>50</v>
      </c>
      <c r="L13096" s="3" t="str">
        <f>IFERROR(__xludf.DUMMYFUNCTION("GOOGLETRANSLATE(F13096,""id"",""en"")"),"not the setting that people see is the referee's decision to give a penalty to Argentina from his foul Dembele")</f>
        <v>not the setting that people see is the referee's decision to give a penalty to Argentina from his foul Dembele</v>
      </c>
    </row>
    <row r="13097" ht="15.75" customHeight="1">
      <c r="A13097" s="1">
        <v>14472.0</v>
      </c>
      <c r="B13097" s="3" t="s">
        <v>37113</v>
      </c>
      <c r="C13097" s="3">
        <v>0.0</v>
      </c>
      <c r="D13097" s="3">
        <v>0.0</v>
      </c>
      <c r="E13097" s="3">
        <v>0.0</v>
      </c>
      <c r="F13097" s="3" t="s">
        <v>37114</v>
      </c>
      <c r="G13097" s="3">
        <v>0.0</v>
      </c>
      <c r="H13097" s="3">
        <v>0.0</v>
      </c>
      <c r="I13097" s="3" t="s">
        <v>13</v>
      </c>
      <c r="J13097" s="3" t="s">
        <v>37115</v>
      </c>
      <c r="K13097" s="3" t="s">
        <v>3721</v>
      </c>
      <c r="L13097" s="3" t="str">
        <f>IFERROR(__xludf.DUMMYFUNCTION("GOOGLETRANSLATE(F13097,""id"",""en"")"),"Let's say what setting is the opponent of Argentina, or for example, helping the referee not seeing too much how there is no country, the country wants to lose high school Argentina all died so that they won for example until the penalties were shooting u"&amp;"p")</f>
        <v>Let's say what setting is the opponent of Argentina, or for example, helping the referee not seeing too much how there is no country, the country wants to lose high school Argentina all died so that they won for example until the penalties were shooting up</v>
      </c>
    </row>
    <row r="13098" ht="15.75" customHeight="1">
      <c r="A13098" s="1">
        <v>14473.0</v>
      </c>
      <c r="B13098" s="3" t="s">
        <v>37116</v>
      </c>
      <c r="C13098" s="3">
        <v>1.0</v>
      </c>
      <c r="D13098" s="3">
        <v>0.0</v>
      </c>
      <c r="E13098" s="3">
        <v>0.0</v>
      </c>
      <c r="F13098" s="3" t="s">
        <v>37117</v>
      </c>
      <c r="G13098" s="3">
        <v>0.3333333333333333</v>
      </c>
      <c r="H13098" s="3">
        <v>0.1666666666666667</v>
      </c>
      <c r="I13098" s="3" t="s">
        <v>48</v>
      </c>
      <c r="J13098" s="3" t="s">
        <v>37118</v>
      </c>
      <c r="K13098" s="3" t="s">
        <v>27</v>
      </c>
      <c r="L13098" s="3" t="str">
        <f>IFERROR(__xludf.DUMMYFUNCTION("GOOGLETRANSLATE(F13098,""id"",""en"")"),"If according to FIFA, super dirty organizations are most likely internal gambling to win Argentina but only limited to giving the referee's decision if it can benefit Argentina to get a penalty throughout the tournament what is")</f>
        <v>If according to FIFA, super dirty organizations are most likely internal gambling to win Argentina but only limited to giving the referee's decision if it can benefit Argentina to get a penalty throughout the tournament what is</v>
      </c>
    </row>
    <row r="13099" ht="15.75" customHeight="1">
      <c r="A13099" s="1">
        <v>14474.0</v>
      </c>
      <c r="B13099" s="3" t="s">
        <v>37119</v>
      </c>
      <c r="C13099" s="3">
        <v>0.0</v>
      </c>
      <c r="D13099" s="3">
        <v>0.0</v>
      </c>
      <c r="E13099" s="3">
        <v>0.0</v>
      </c>
      <c r="F13099" s="3" t="s">
        <v>37120</v>
      </c>
      <c r="G13099" s="3">
        <v>0.0</v>
      </c>
      <c r="H13099" s="3">
        <v>0.0</v>
      </c>
      <c r="I13099" s="3" t="s">
        <v>13</v>
      </c>
      <c r="J13099" s="3" t="s">
        <v>37121</v>
      </c>
      <c r="K13099" s="3" t="s">
        <v>1045</v>
      </c>
      <c r="L13099" s="3" t="str">
        <f>IFERROR(__xludf.DUMMYFUNCTION("GOOGLETRANSLATE(F13099,""id"",""en"")"),"According to football observers from the competition, FIFA's dilapidated fifa mafia is not used by Argentina, assisted by referees hmmm, his brain has been damaged all associated with the gambling mafia mafia referee IQ only")</f>
        <v>According to football observers from the competition, FIFA's dilapidated fifa mafia is not used by Argentina, assisted by referees hmmm, his brain has been damaged all associated with the gambling mafia mafia referee IQ only</v>
      </c>
    </row>
    <row r="13100" ht="15.75" customHeight="1">
      <c r="A13100" s="1">
        <v>14475.0</v>
      </c>
      <c r="B13100" s="3" t="s">
        <v>37122</v>
      </c>
      <c r="C13100" s="3">
        <v>0.0</v>
      </c>
      <c r="D13100" s="3">
        <v>0.0</v>
      </c>
      <c r="E13100" s="3">
        <v>0.0</v>
      </c>
      <c r="F13100" s="3" t="s">
        <v>37123</v>
      </c>
      <c r="G13100" s="3">
        <v>0.0</v>
      </c>
      <c r="H13100" s="3">
        <v>0.0</v>
      </c>
      <c r="I13100" s="3" t="s">
        <v>13</v>
      </c>
      <c r="J13100" s="3" t="s">
        <v>37124</v>
      </c>
      <c r="K13100" s="3" t="s">
        <v>1912</v>
      </c>
      <c r="L13100" s="3" t="str">
        <f>IFERROR(__xludf.DUMMYFUNCTION("GOOGLETRANSLATE(F13100,""id"",""en"")"),"According to football observers from the competition, the fifa dilapidated fifa mafia is not used by Argentina, assisted by referees hmmm, his brain has been damaged all associated with the gambling mafia mafia referee IQ only feels Leb")</f>
        <v>According to football observers from the competition, the fifa dilapidated fifa mafia is not used by Argentina, assisted by referees hmmm, his brain has been damaged all associated with the gambling mafia mafia referee IQ only feels Leb</v>
      </c>
    </row>
    <row r="13101" ht="15.75" customHeight="1">
      <c r="A13101" s="1">
        <v>14476.0</v>
      </c>
      <c r="B13101" s="3" t="s">
        <v>37125</v>
      </c>
      <c r="C13101" s="3">
        <v>0.0</v>
      </c>
      <c r="D13101" s="3">
        <v>0.0</v>
      </c>
      <c r="E13101" s="3">
        <v>0.0</v>
      </c>
      <c r="F13101" s="3" t="s">
        <v>37126</v>
      </c>
      <c r="G13101" s="3">
        <v>0.9</v>
      </c>
      <c r="H13101" s="3">
        <v>0.7</v>
      </c>
      <c r="I13101" s="3" t="s">
        <v>48</v>
      </c>
      <c r="J13101" s="3" t="s">
        <v>37127</v>
      </c>
      <c r="K13101" s="3" t="s">
        <v>75</v>
      </c>
      <c r="L13101" s="3" t="str">
        <f>IFERROR(__xludf.DUMMYFUNCTION("GOOGLETRANSLATE(F13101,""id"",""en"")"),"Icebear I feel that the referee is less fair Argentina is more pro -French")</f>
        <v>Icebear I feel that the referee is less fair Argentina is more pro -French</v>
      </c>
    </row>
    <row r="13102" ht="15.75" customHeight="1">
      <c r="A13102" s="1">
        <v>14479.0</v>
      </c>
      <c r="B13102" s="3" t="s">
        <v>37128</v>
      </c>
      <c r="C13102" s="3">
        <v>1.0</v>
      </c>
      <c r="D13102" s="3">
        <v>0.0</v>
      </c>
      <c r="E13102" s="3">
        <v>0.0</v>
      </c>
      <c r="F13102" s="3" t="s">
        <v>37129</v>
      </c>
      <c r="G13102" s="3">
        <v>0.0</v>
      </c>
      <c r="H13102" s="3">
        <v>0.0</v>
      </c>
      <c r="I13102" s="3" t="s">
        <v>13</v>
      </c>
      <c r="J13102" s="3" t="s">
        <v>37130</v>
      </c>
      <c r="K13102" s="3" t="s">
        <v>35</v>
      </c>
      <c r="L13102" s="3" t="str">
        <f>IFERROR(__xludf.DUMMYFUNCTION("GOOGLETRANSLATE(F13102,""id"",""en"")"),"because Argentina won so the problem of the referee because he could not accept even though France was also fortunate a lot of referees but no one discussed")</f>
        <v>because Argentina won so the problem of the referee because he could not accept even though France was also fortunate a lot of referees but no one discussed</v>
      </c>
    </row>
    <row r="13103" ht="15.75" customHeight="1">
      <c r="A13103" s="1">
        <v>14480.0</v>
      </c>
      <c r="B13103" s="3" t="s">
        <v>37131</v>
      </c>
      <c r="C13103" s="3">
        <v>2.0</v>
      </c>
      <c r="D13103" s="3">
        <v>0.0</v>
      </c>
      <c r="E13103" s="3">
        <v>0.0</v>
      </c>
      <c r="F13103" s="3" t="s">
        <v>37132</v>
      </c>
      <c r="G13103" s="3">
        <v>0.0</v>
      </c>
      <c r="H13103" s="3">
        <v>0.0</v>
      </c>
      <c r="I13103" s="3" t="s">
        <v>13</v>
      </c>
      <c r="J13103" s="3" t="s">
        <v>37133</v>
      </c>
      <c r="K13103" s="3" t="s">
        <v>94</v>
      </c>
      <c r="L13103" s="3" t="str">
        <f>IFERROR(__xludf.DUMMYFUNCTION("GOOGLETRANSLATE(F13103,""id"",""en"")"),"What a fool can be a joke, what else can be a class between the mafia countries, a lot of South Korea, it is clear that the referee mafia at that time, so the deck was still new, don't believe it too much, I won all Argentina")</f>
        <v>What a fool can be a joke, what else can be a class between the mafia countries, a lot of South Korea, it is clear that the referee mafia at that time, so the deck was still new, don't believe it too much, I won all Argentina</v>
      </c>
    </row>
    <row r="13104" ht="15.75" customHeight="1">
      <c r="A13104" s="1">
        <v>14481.0</v>
      </c>
      <c r="B13104" s="3" t="s">
        <v>37134</v>
      </c>
      <c r="C13104" s="3">
        <v>0.0</v>
      </c>
      <c r="D13104" s="3">
        <v>0.0</v>
      </c>
      <c r="E13104" s="3">
        <v>0.0</v>
      </c>
      <c r="F13104" s="3" t="s">
        <v>37135</v>
      </c>
      <c r="G13104" s="3">
        <v>0.0</v>
      </c>
      <c r="H13104" s="3">
        <v>0.0</v>
      </c>
      <c r="I13104" s="3" t="s">
        <v>13</v>
      </c>
      <c r="J13104" s="3" t="s">
        <v>37136</v>
      </c>
      <c r="K13104" s="3" t="s">
        <v>127</v>
      </c>
      <c r="L13104" s="3" t="str">
        <f>IFERROR(__xludf.DUMMYFUNCTION("GOOGLETRANSLATE(F13104,""id"",""en"")"),"wkwkwkw which already many say Argentina is assisted by a referee even though France is even worse, just a problem if you win")</f>
        <v>wkwkwkw which already many say Argentina is assisted by a referee even though France is even worse, just a problem if you win</v>
      </c>
    </row>
    <row r="13105" ht="15.75" customHeight="1">
      <c r="A13105" s="1">
        <v>14482.0</v>
      </c>
      <c r="B13105" s="3" t="s">
        <v>37137</v>
      </c>
      <c r="C13105" s="3">
        <v>0.0</v>
      </c>
      <c r="D13105" s="3">
        <v>0.0</v>
      </c>
      <c r="E13105" s="3">
        <v>0.0</v>
      </c>
      <c r="F13105" s="3" t="s">
        <v>37138</v>
      </c>
      <c r="G13105" s="3">
        <v>0.0</v>
      </c>
      <c r="H13105" s="3">
        <v>0.0</v>
      </c>
      <c r="I13105" s="3" t="s">
        <v>13</v>
      </c>
      <c r="J13105" s="3" t="s">
        <v>37139</v>
      </c>
      <c r="K13105" s="3" t="s">
        <v>236</v>
      </c>
      <c r="L13105" s="3" t="str">
        <f>IFERROR(__xludf.DUMMYFUNCTION("GOOGLETRANSLATE(F13105,""id"",""en"")"),"This is because Argentina wins if France wins maybe the referee will immediately be the target")</f>
        <v>This is because Argentina wins if France wins maybe the referee will immediately be the target</v>
      </c>
    </row>
    <row r="13106" ht="15.75" customHeight="1">
      <c r="A13106" s="1">
        <v>14485.0</v>
      </c>
      <c r="B13106" s="3" t="s">
        <v>37140</v>
      </c>
      <c r="C13106" s="3">
        <v>0.0</v>
      </c>
      <c r="D13106" s="3">
        <v>0.0</v>
      </c>
      <c r="E13106" s="3">
        <v>0.0</v>
      </c>
      <c r="F13106" s="3" t="s">
        <v>37141</v>
      </c>
      <c r="G13106" s="3">
        <v>0.0</v>
      </c>
      <c r="H13106" s="3">
        <v>0.0</v>
      </c>
      <c r="I13106" s="3" t="s">
        <v>13</v>
      </c>
      <c r="J13106" s="3" t="s">
        <v>37142</v>
      </c>
      <c r="K13106" s="3" t="s">
        <v>82</v>
      </c>
      <c r="L13106" s="3" t="str">
        <f>IFERROR(__xludf.DUMMYFUNCTION("GOOGLETRANSLATE(F13106,""id"",""en"")"),"the referee and assistant var if wrong is Argentina cmiww")</f>
        <v>the referee and assistant var if wrong is Argentina cmiww</v>
      </c>
    </row>
    <row r="13107" ht="15.75" customHeight="1">
      <c r="A13107" s="1">
        <v>14486.0</v>
      </c>
      <c r="B13107" s="3" t="s">
        <v>37143</v>
      </c>
      <c r="C13107" s="3">
        <v>2.0</v>
      </c>
      <c r="D13107" s="3">
        <v>0.0</v>
      </c>
      <c r="E13107" s="3">
        <v>1.0</v>
      </c>
      <c r="F13107" s="3" t="s">
        <v>37144</v>
      </c>
      <c r="G13107" s="3">
        <v>0.0</v>
      </c>
      <c r="H13107" s="3">
        <v>0.0</v>
      </c>
      <c r="I13107" s="3" t="s">
        <v>13</v>
      </c>
      <c r="J13107" s="3" t="s">
        <v>37145</v>
      </c>
      <c r="K13107" s="3" t="s">
        <v>433</v>
      </c>
      <c r="L13107" s="3" t="str">
        <f>IFERROR(__xludf.DUMMYFUNCTION("GOOGLETRANSLATE(F13107,""id"",""en"")"),"Ovt Story Bruno Reported by Licha whether Satru because of Bruno's interview when losing to blame the Argentina referee")</f>
        <v>Ovt Story Bruno Reported by Licha whether Satru because of Bruno's interview when losing to blame the Argentina referee</v>
      </c>
    </row>
    <row r="13108" ht="15.75" customHeight="1">
      <c r="A13108" s="1">
        <v>14487.0</v>
      </c>
      <c r="B13108" s="3" t="s">
        <v>37146</v>
      </c>
      <c r="C13108" s="3">
        <v>0.0</v>
      </c>
      <c r="D13108" s="3">
        <v>0.0</v>
      </c>
      <c r="E13108" s="3">
        <v>0.0</v>
      </c>
      <c r="F13108" s="3" t="s">
        <v>37147</v>
      </c>
      <c r="G13108" s="3">
        <v>0.0</v>
      </c>
      <c r="H13108" s="3">
        <v>0.0</v>
      </c>
      <c r="I13108" s="3" t="s">
        <v>13</v>
      </c>
      <c r="J13108" s="3" t="s">
        <v>37148</v>
      </c>
      <c r="K13108" s="3" t="s">
        <v>215</v>
      </c>
      <c r="L13108" s="3" t="str">
        <f>IFERROR(__xludf.DUMMYFUNCTION("GOOGLETRANSLATE(F13108,""id"",""en"")"),"It's just an offside turn to be very detailed until how many counts are some reserve players until they enter the field, even though the goal can only be Argentina, there is a moment when France is also the VAR referees")</f>
        <v>It's just an offside turn to be very detailed until how many counts are some reserve players until they enter the field, even though the goal can only be Argentina, there is a moment when France is also the VAR referees</v>
      </c>
    </row>
    <row r="13109" ht="15.75" customHeight="1">
      <c r="A13109" s="1">
        <v>14488.0</v>
      </c>
      <c r="B13109" s="3" t="s">
        <v>37149</v>
      </c>
      <c r="C13109" s="3">
        <v>0.0</v>
      </c>
      <c r="D13109" s="3">
        <v>0.0</v>
      </c>
      <c r="E13109" s="3">
        <v>0.0</v>
      </c>
      <c r="F13109" s="3" t="s">
        <v>37150</v>
      </c>
      <c r="G13109" s="3">
        <v>0.0</v>
      </c>
      <c r="H13109" s="3">
        <v>0.0</v>
      </c>
      <c r="I13109" s="3" t="s">
        <v>13</v>
      </c>
      <c r="J13109" s="3" t="s">
        <v>37151</v>
      </c>
      <c r="K13109" s="3" t="s">
        <v>510</v>
      </c>
      <c r="L13109" s="3" t="str">
        <f>IFERROR(__xludf.DUMMYFUNCTION("GOOGLETRANSLATE(F13109,""id"",""en"")"),"Mbappe already got a penalty voucher still saying Argentina assisted by the referee is tulul fans dodo")</f>
        <v>Mbappe already got a penalty voucher still saying Argentina assisted by the referee is tulul fans dodo</v>
      </c>
    </row>
    <row r="13110" ht="15.75" customHeight="1">
      <c r="A13110" s="1">
        <v>14489.0</v>
      </c>
      <c r="B13110" s="3" t="s">
        <v>37152</v>
      </c>
      <c r="C13110" s="3">
        <v>0.0</v>
      </c>
      <c r="D13110" s="3">
        <v>0.0</v>
      </c>
      <c r="E13110" s="3">
        <v>0.0</v>
      </c>
      <c r="F13110" s="3" t="s">
        <v>37153</v>
      </c>
      <c r="G13110" s="3">
        <v>0.0</v>
      </c>
      <c r="H13110" s="3">
        <v>0.0</v>
      </c>
      <c r="I13110" s="3" t="s">
        <v>13</v>
      </c>
      <c r="J13110" s="3" t="s">
        <v>37154</v>
      </c>
      <c r="K13110" s="3" t="s">
        <v>75</v>
      </c>
      <c r="L13110" s="3" t="str">
        <f>IFERROR(__xludf.DUMMYFUNCTION("GOOGLETRANSLATE(F13110,""id"",""en"")"),"All determined by FIFA and even the referee judges are playing for the Argentina team")</f>
        <v>All determined by FIFA and even the referee judges are playing for the Argentina team</v>
      </c>
    </row>
    <row r="13111" ht="15.75" customHeight="1">
      <c r="A13111" s="1">
        <v>14490.0</v>
      </c>
      <c r="B13111" s="3" t="s">
        <v>37155</v>
      </c>
      <c r="C13111" s="3">
        <v>0.0</v>
      </c>
      <c r="D13111" s="3">
        <v>0.0</v>
      </c>
      <c r="E13111" s="3">
        <v>3.0</v>
      </c>
      <c r="F13111" s="3" t="s">
        <v>37156</v>
      </c>
      <c r="G13111" s="3">
        <v>0.0</v>
      </c>
      <c r="H13111" s="3">
        <v>0.0</v>
      </c>
      <c r="I13111" s="3" t="s">
        <v>13</v>
      </c>
      <c r="J13111" s="3" t="s">
        <v>37157</v>
      </c>
      <c r="K13111" s="3" t="s">
        <v>184</v>
      </c>
      <c r="L13111" s="3" t="str">
        <f>IFERROR(__xludf.DUMMYFUNCTION("GOOGLETRANSLATE(F13111,""id"",""en"")"),"In the match, especially as important as this is the mistake of the referee is still in the humane level of Argentina's score already winning even though there are some debate there is no smooth match.")</f>
        <v>In the match, especially as important as this is the mistake of the referee is still in the humane level of Argentina's score already winning even though there are some debate there is no smooth match.</v>
      </c>
    </row>
    <row r="13112" ht="15.75" customHeight="1">
      <c r="A13112" s="1">
        <v>14491.0</v>
      </c>
      <c r="B13112" s="3" t="s">
        <v>37158</v>
      </c>
      <c r="C13112" s="3">
        <v>1.0</v>
      </c>
      <c r="D13112" s="3">
        <v>0.0</v>
      </c>
      <c r="E13112" s="3">
        <v>0.0</v>
      </c>
      <c r="F13112" s="3" t="s">
        <v>37159</v>
      </c>
      <c r="G13112" s="3">
        <v>0.0</v>
      </c>
      <c r="H13112" s="3">
        <v>0.0</v>
      </c>
      <c r="I13112" s="3" t="s">
        <v>13</v>
      </c>
      <c r="J13112" s="3" t="s">
        <v>37160</v>
      </c>
      <c r="K13112" s="3" t="s">
        <v>499</v>
      </c>
      <c r="L13112" s="3" t="str">
        <f>IFERROR(__xludf.DUMMYFUNCTION("GOOGLETRANSLATE(F13112,""id"",""en"")"),"It seems that the incident is finished Thuram hit by this card so it doesn't accept the giroud even though Argentina is clearly diving is also near the referee but it doesn't get caught like that")</f>
        <v>It seems that the incident is finished Thuram hit by this card so it doesn't accept the giroud even though Argentina is clearly diving is also near the referee but it doesn't get caught like that</v>
      </c>
    </row>
    <row r="13113" ht="15.75" customHeight="1">
      <c r="A13113" s="1">
        <v>14492.0</v>
      </c>
      <c r="B13113" s="3" t="s">
        <v>37161</v>
      </c>
      <c r="C13113" s="3">
        <v>0.0</v>
      </c>
      <c r="D13113" s="3">
        <v>0.0</v>
      </c>
      <c r="E13113" s="3">
        <v>0.0</v>
      </c>
      <c r="F13113" s="3" t="s">
        <v>37162</v>
      </c>
      <c r="G13113" s="3">
        <v>1.0</v>
      </c>
      <c r="H13113" s="3">
        <v>0.0</v>
      </c>
      <c r="I13113" s="3" t="s">
        <v>13</v>
      </c>
      <c r="J13113" s="3" t="s">
        <v>37163</v>
      </c>
      <c r="K13113" s="3" t="s">
        <v>184</v>
      </c>
      <c r="L13113" s="3" t="str">
        <f>IFERROR(__xludf.DUMMYFUNCTION("GOOGLETRANSLATE(F13113,""id"",""en"")"),"which is hotter than the final world cup discusses Argentina to win hockey, France should win if the neutral referee is very funny, the important debate")</f>
        <v>which is hotter than the final world cup discusses Argentina to win hockey, France should win if the neutral referee is very funny, the important debate</v>
      </c>
    </row>
    <row r="13114" ht="15.75" customHeight="1">
      <c r="A13114" s="1">
        <v>14494.0</v>
      </c>
      <c r="B13114" s="3" t="s">
        <v>37164</v>
      </c>
      <c r="C13114" s="3">
        <v>2.0</v>
      </c>
      <c r="D13114" s="3">
        <v>0.0</v>
      </c>
      <c r="E13114" s="3">
        <v>2.0</v>
      </c>
      <c r="F13114" s="3" t="s">
        <v>37165</v>
      </c>
      <c r="G13114" s="3">
        <v>0.0</v>
      </c>
      <c r="H13114" s="3">
        <v>0.0</v>
      </c>
      <c r="I13114" s="3" t="s">
        <v>13</v>
      </c>
      <c r="J13114" s="3" t="s">
        <v>37166</v>
      </c>
      <c r="K13114" s="3" t="s">
        <v>903</v>
      </c>
      <c r="L13114" s="3" t="str">
        <f>IFERROR(__xludf.DUMMYFUNCTION("GOOGLETRANSLATE(F13114,""id"",""en"")"),"But Bruno's story is not reposted by Martinez, MCTOM repost what might be a state statement of Bruno about the leadership of Argentina's referee all Portugal's time against Morocco")</f>
        <v>But Bruno's story is not reposted by Martinez, MCTOM repost what might be a state statement of Bruno about the leadership of Argentina's referee all Portugal's time against Morocco</v>
      </c>
    </row>
    <row r="13115" ht="15.75" customHeight="1">
      <c r="A13115" s="1">
        <v>14495.0</v>
      </c>
      <c r="B13115" s="3" t="s">
        <v>37167</v>
      </c>
      <c r="C13115" s="3">
        <v>10.0</v>
      </c>
      <c r="D13115" s="3">
        <v>0.0</v>
      </c>
      <c r="E13115" s="3">
        <v>2.0</v>
      </c>
      <c r="F13115" s="3" t="s">
        <v>37168</v>
      </c>
      <c r="G13115" s="3">
        <v>0.3</v>
      </c>
      <c r="H13115" s="3">
        <v>0.2</v>
      </c>
      <c r="I13115" s="3" t="s">
        <v>48</v>
      </c>
      <c r="J13115" s="3" t="s">
        <v>37169</v>
      </c>
      <c r="K13115" s="3" t="s">
        <v>2610</v>
      </c>
      <c r="L13115" s="3" t="str">
        <f>IFERROR(__xludf.DUMMYFUNCTION("GOOGLETRANSLATE(F13115,""id"",""en"")"),"Alcohol has an impact of FIFA because it is natural that Portugal Argentina's referee is any, where there is a World Cup team and can be penalized if the logic settings of the Mafia Real")</f>
        <v>Alcohol has an impact of FIFA because it is natural that Portugal Argentina's referee is any, where there is a World Cup team and can be penalized if the logic settings of the Mafia Real</v>
      </c>
    </row>
    <row r="13116" ht="15.75" customHeight="1">
      <c r="A13116" s="1">
        <v>14496.0</v>
      </c>
      <c r="B13116" s="3" t="s">
        <v>37170</v>
      </c>
      <c r="C13116" s="3">
        <v>1.0</v>
      </c>
      <c r="D13116" s="3">
        <v>0.0</v>
      </c>
      <c r="E13116" s="3">
        <v>0.0</v>
      </c>
      <c r="F13116" s="3" t="s">
        <v>37171</v>
      </c>
      <c r="G13116" s="3">
        <v>0.0</v>
      </c>
      <c r="H13116" s="3">
        <v>0.0</v>
      </c>
      <c r="I13116" s="3" t="s">
        <v>13</v>
      </c>
      <c r="J13116" s="3" t="s">
        <v>37172</v>
      </c>
      <c r="K13116" s="3" t="s">
        <v>633</v>
      </c>
      <c r="L13116" s="3" t="str">
        <f>IFERROR(__xludf.DUMMYFUNCTION("GOOGLETRANSLATE(F13116,""id"",""en"")"),"Cry now crying tomorrow crying until whenever and if you want to correct the referee's performance, why only press from the Burukan Argentina side last night also France existed")</f>
        <v>Cry now crying tomorrow crying until whenever and if you want to correct the referee's performance, why only press from the Burukan Argentina side last night also France existed</v>
      </c>
    </row>
    <row r="13117" ht="15.75" customHeight="1">
      <c r="A13117" s="1">
        <v>14499.0</v>
      </c>
      <c r="B13117" s="3" t="s">
        <v>37173</v>
      </c>
      <c r="C13117" s="3">
        <v>0.0</v>
      </c>
      <c r="D13117" s="3">
        <v>0.0</v>
      </c>
      <c r="E13117" s="3">
        <v>3.0</v>
      </c>
      <c r="F13117" s="3" t="s">
        <v>37174</v>
      </c>
      <c r="G13117" s="3">
        <v>0.0</v>
      </c>
      <c r="H13117" s="3">
        <v>0.0</v>
      </c>
      <c r="I13117" s="3" t="s">
        <v>13</v>
      </c>
      <c r="J13117" s="3" t="s">
        <v>37175</v>
      </c>
      <c r="K13117" s="3" t="s">
        <v>657</v>
      </c>
      <c r="L13117" s="3" t="str">
        <f>IFERROR(__xludf.DUMMYFUNCTION("GOOGLETRANSLATE(F13117,""id"",""en"")"),"Referee in favor of Messi Why Penalty Mbappe Not Even Checking Var Maybe Handball Just For Argentina")</f>
        <v>Referee in favor of Messi Why Penalty Mbappe Not Even Checking Var Maybe Handball Just For Argentina</v>
      </c>
    </row>
    <row r="13118" ht="15.75" customHeight="1">
      <c r="A13118" s="1">
        <v>14500.0</v>
      </c>
      <c r="B13118" s="3" t="s">
        <v>37176</v>
      </c>
      <c r="C13118" s="3">
        <v>0.0</v>
      </c>
      <c r="D13118" s="3">
        <v>0.0</v>
      </c>
      <c r="E13118" s="3">
        <v>2.0</v>
      </c>
      <c r="F13118" s="3" t="s">
        <v>37177</v>
      </c>
      <c r="G13118" s="3">
        <v>1.0</v>
      </c>
      <c r="H13118" s="3">
        <v>0.0</v>
      </c>
      <c r="I13118" s="3" t="s">
        <v>13</v>
      </c>
      <c r="J13118" s="3" t="s">
        <v>37178</v>
      </c>
      <c r="K13118" s="3" t="s">
        <v>823</v>
      </c>
      <c r="L13118" s="3" t="str">
        <f>IFERROR(__xludf.DUMMYFUNCTION("GOOGLETRANSLATE(F13118,""id"",""en"")"),"The Final Class of the World Cup Bialng Settings Until Mbappe got the final minute Pinal of the minute still said that it was still going up for Argentina.")</f>
        <v>The Final Class of the World Cup Bialng Settings Until Mbappe got the final minute Pinal of the minute still said that it was still going up for Argentina.</v>
      </c>
    </row>
    <row r="13119" ht="15.75" customHeight="1">
      <c r="A13119" s="1">
        <v>14501.0</v>
      </c>
      <c r="B13119" s="3" t="s">
        <v>37179</v>
      </c>
      <c r="C13119" s="3">
        <v>0.0</v>
      </c>
      <c r="D13119" s="3">
        <v>0.0</v>
      </c>
      <c r="E13119" s="3">
        <v>0.0</v>
      </c>
      <c r="F13119" s="3" t="s">
        <v>37180</v>
      </c>
      <c r="G13119" s="3">
        <v>0.3333333333333333</v>
      </c>
      <c r="H13119" s="3">
        <v>0.1666666666666667</v>
      </c>
      <c r="I13119" s="3" t="s">
        <v>48</v>
      </c>
      <c r="J13119" s="3" t="s">
        <v>37181</v>
      </c>
      <c r="K13119" s="3" t="s">
        <v>4281</v>
      </c>
      <c r="L13119" s="3" t="str">
        <f>IFERROR(__xludf.DUMMYFUNCTION("GOOGLETRANSLATE(F13119,""id"",""en"")"),"Referee Koyo Elek now I think I'm just Argentina or France I like Morocco and I see how the referee works when watching Morocco Playing and even then the match is thok this world cup.")</f>
        <v>Referee Koyo Elek now I think I'm just Argentina or France I like Morocco and I see how the referee works when watching Morocco Playing and even then the match is thok this world cup.</v>
      </c>
    </row>
    <row r="13120" ht="15.75" customHeight="1">
      <c r="A13120" s="1">
        <v>14502.0</v>
      </c>
      <c r="B13120" s="3" t="s">
        <v>37182</v>
      </c>
      <c r="C13120" s="3">
        <v>0.0</v>
      </c>
      <c r="D13120" s="3">
        <v>0.0</v>
      </c>
      <c r="E13120" s="3">
        <v>0.0</v>
      </c>
      <c r="F13120" s="3" t="s">
        <v>37183</v>
      </c>
      <c r="G13120" s="3">
        <v>0.0</v>
      </c>
      <c r="H13120" s="3">
        <v>0.0</v>
      </c>
      <c r="I13120" s="3" t="s">
        <v>13</v>
      </c>
      <c r="J13120" s="3" t="s">
        <v>37184</v>
      </c>
      <c r="K13120" s="3" t="s">
        <v>41</v>
      </c>
      <c r="L13120" s="3" t="str">
        <f>IFERROR(__xludf.DUMMYFUNCTION("GOOGLETRANSLATE(F13120,""id"",""en"")"),"Already many incidents of all referees in favor of Argentina and Var Kepake")</f>
        <v>Already many incidents of all referees in favor of Argentina and Var Kepake</v>
      </c>
    </row>
    <row r="13121" ht="15.75" customHeight="1">
      <c r="A13121" s="1">
        <v>14503.0</v>
      </c>
      <c r="B13121" s="3" t="s">
        <v>37185</v>
      </c>
      <c r="C13121" s="3">
        <v>2.0</v>
      </c>
      <c r="D13121" s="3">
        <v>0.0</v>
      </c>
      <c r="E13121" s="3">
        <v>1.0</v>
      </c>
      <c r="F13121" s="3" t="s">
        <v>37186</v>
      </c>
      <c r="G13121" s="3">
        <v>0.45</v>
      </c>
      <c r="H13121" s="3">
        <v>0.65</v>
      </c>
      <c r="I13121" s="3" t="s">
        <v>48</v>
      </c>
      <c r="J13121" s="3" t="s">
        <v>37187</v>
      </c>
      <c r="K13121" s="3" t="s">
        <v>1090</v>
      </c>
      <c r="L13121" s="3" t="str">
        <f>IFERROR(__xludf.DUMMYFUNCTION("GOOGLETRANSLATE(F13121,""id"",""en"")"),"Argentina got a penalty voucher without referees check var, maybe this is the reason Messi wants to move the Ghoib PSG club promised by the World Cup trophy he can't be able to mbappe even though France is later, Win can get the top score.")</f>
        <v>Argentina got a penalty voucher without referees check var, maybe this is the reason Messi wants to move the Ghoib PSG club promised by the World Cup trophy he can't be able to mbappe even though France is later, Win can get the top score.</v>
      </c>
    </row>
    <row r="13122" ht="15.75" customHeight="1">
      <c r="A13122" s="1">
        <v>14504.0</v>
      </c>
      <c r="B13122" s="3" t="s">
        <v>37188</v>
      </c>
      <c r="C13122" s="3">
        <v>0.0</v>
      </c>
      <c r="D13122" s="3">
        <v>0.0</v>
      </c>
      <c r="E13122" s="3">
        <v>2.0</v>
      </c>
      <c r="F13122" s="3" t="s">
        <v>37189</v>
      </c>
      <c r="G13122" s="3">
        <v>0.0</v>
      </c>
      <c r="H13122" s="3">
        <v>0.0</v>
      </c>
      <c r="I13122" s="3" t="s">
        <v>13</v>
      </c>
      <c r="J13122" s="3" t="s">
        <v>37190</v>
      </c>
      <c r="K13122" s="3" t="s">
        <v>50</v>
      </c>
      <c r="L13122" s="3" t="str">
        <f>IFERROR(__xludf.DUMMYFUNCTION("GOOGLETRANSLATE(F13122,""id"",""en"")"),"wkwk immediately counted it if the referee was jelly for the third goal of Argentina Biaa was annulled wkwkkwk")</f>
        <v>wkwk immediately counted it if the referee was jelly for the third goal of Argentina Biaa was annulled wkwkkwk</v>
      </c>
    </row>
    <row r="13123" ht="15.75" customHeight="1">
      <c r="A13123" s="1">
        <v>14505.0</v>
      </c>
      <c r="B13123" s="3" t="s">
        <v>37191</v>
      </c>
      <c r="C13123" s="3">
        <v>1.0</v>
      </c>
      <c r="D13123" s="3">
        <v>1.0</v>
      </c>
      <c r="E13123" s="3">
        <v>2.0</v>
      </c>
      <c r="F13123" s="3" t="s">
        <v>37192</v>
      </c>
      <c r="G13123" s="3">
        <v>0.0</v>
      </c>
      <c r="H13123" s="3">
        <v>0.0</v>
      </c>
      <c r="I13123" s="3" t="s">
        <v>13</v>
      </c>
      <c r="J13123" s="3" t="s">
        <v>37193</v>
      </c>
      <c r="K13123" s="3" t="s">
        <v>433</v>
      </c>
      <c r="L13123" s="3" t="str">
        <f>IFERROR(__xludf.DUMMYFUNCTION("GOOGLETRANSLATE(F13123,""id"",""en"")"),"If the referee is jelly, Messi's goal is also a bless because the Argentine reserve players have entered the field before the goal occurs")</f>
        <v>If the referee is jelly, Messi's goal is also a bless because the Argentine reserve players have entered the field before the goal occurs</v>
      </c>
    </row>
    <row r="13124" ht="15.75" customHeight="1">
      <c r="A13124" s="1">
        <v>14506.0</v>
      </c>
      <c r="B13124" s="3" t="s">
        <v>37194</v>
      </c>
      <c r="C13124" s="3">
        <v>1.0</v>
      </c>
      <c r="D13124" s="3">
        <v>0.0</v>
      </c>
      <c r="E13124" s="3">
        <v>0.0</v>
      </c>
      <c r="F13124" s="3" t="s">
        <v>37195</v>
      </c>
      <c r="G13124" s="3">
        <v>0.0</v>
      </c>
      <c r="H13124" s="3">
        <v>0.0</v>
      </c>
      <c r="I13124" s="3" t="s">
        <v>13</v>
      </c>
      <c r="J13124" s="3" t="s">
        <v>37196</v>
      </c>
      <c r="K13124" s="3" t="s">
        <v>266</v>
      </c>
      <c r="L13124" s="3" t="str">
        <f>IFERROR(__xludf.DUMMYFUNCTION("GOOGLETRANSLATE(F13124,""id"",""en"")"),"France FIFA is not not accepting the defeat of the French national team but what happened in the field really illustrates the referee's defense to the Argentine national team controversy Lionel Messi's first goal in Argentina")</f>
        <v>France FIFA is not not accepting the defeat of the French national team but what happened in the field really illustrates the referee's defense to the Argentine national team controversy Lionel Messi's first goal in Argentina</v>
      </c>
    </row>
    <row r="13125" ht="15.75" customHeight="1">
      <c r="A13125" s="1">
        <v>14511.0</v>
      </c>
      <c r="B13125" s="3" t="s">
        <v>37197</v>
      </c>
      <c r="C13125" s="3">
        <v>0.0</v>
      </c>
      <c r="D13125" s="3">
        <v>0.0</v>
      </c>
      <c r="E13125" s="3">
        <v>3.0</v>
      </c>
      <c r="F13125" s="3" t="s">
        <v>37198</v>
      </c>
      <c r="G13125" s="3">
        <v>0.0</v>
      </c>
      <c r="H13125" s="3">
        <v>0.0</v>
      </c>
      <c r="I13125" s="3" t="s">
        <v>13</v>
      </c>
      <c r="J13125" s="3" t="s">
        <v>37199</v>
      </c>
      <c r="K13125" s="3" t="s">
        <v>1293</v>
      </c>
      <c r="L13125" s="3" t="str">
        <f>IFERROR(__xludf.DUMMYFUNCTION("GOOGLETRANSLATE(F13125,""id"",""en"")"),"Var always checks but if there is nothing odd, it means that there is a VAR BKN intervening, but only Argentina")</f>
        <v>Var always checks but if there is nothing odd, it means that there is a VAR BKN intervening, but only Argentina</v>
      </c>
    </row>
    <row r="13126" ht="15.75" customHeight="1">
      <c r="A13126" s="1">
        <v>14512.0</v>
      </c>
      <c r="B13126" s="3" t="s">
        <v>37200</v>
      </c>
      <c r="C13126" s="3">
        <v>0.0</v>
      </c>
      <c r="D13126" s="3">
        <v>0.0</v>
      </c>
      <c r="E13126" s="3">
        <v>0.0</v>
      </c>
      <c r="F13126" s="3" t="s">
        <v>37201</v>
      </c>
      <c r="G13126" s="3">
        <v>0.0</v>
      </c>
      <c r="H13126" s="3">
        <v>0.0</v>
      </c>
      <c r="I13126" s="3" t="s">
        <v>13</v>
      </c>
      <c r="J13126" s="3" t="s">
        <v>37202</v>
      </c>
      <c r="K13126" s="3" t="s">
        <v>765</v>
      </c>
      <c r="L13126" s="3" t="str">
        <f>IFERROR(__xludf.DUMMYFUNCTION("GOOGLETRANSLATE(F13126,""id"",""en"")"),"If the value of the match should not be from a perspective only mentang hate Messi, so he deserves the referee's decision to be ambiguous if the tension of the game is high but the first half of Argentina Dom's match")</f>
        <v>If the value of the match should not be from a perspective only mentang hate Messi, so he deserves the referee's decision to be ambiguous if the tension of the game is high but the first half of Argentina Dom's match</v>
      </c>
    </row>
    <row r="13127" ht="15.75" customHeight="1">
      <c r="A13127" s="1">
        <v>14513.0</v>
      </c>
      <c r="B13127" s="3" t="s">
        <v>37203</v>
      </c>
      <c r="C13127" s="3">
        <v>0.0</v>
      </c>
      <c r="D13127" s="3">
        <v>0.0</v>
      </c>
      <c r="E13127" s="3">
        <v>2.0</v>
      </c>
      <c r="F13127" s="3" t="s">
        <v>37204</v>
      </c>
      <c r="G13127" s="3">
        <v>0.0</v>
      </c>
      <c r="H13127" s="3">
        <v>0.0</v>
      </c>
      <c r="I13127" s="3" t="s">
        <v>13</v>
      </c>
      <c r="J13127" s="3" t="s">
        <v>37205</v>
      </c>
      <c r="K13127" s="3" t="s">
        <v>765</v>
      </c>
      <c r="L13127" s="3" t="str">
        <f>IFERROR(__xludf.DUMMYFUNCTION("GOOGLETRANSLATE(F13127,""id"",""en"")"),"wkwk on the referee settings, the referee is essentially the score has been made the same as already given a penalty fighting, France lost fate or France deliberately set the penalty goals Vamos Argentina")</f>
        <v>wkwk on the referee settings, the referee is essentially the score has been made the same as already given a penalty fighting, France lost fate or France deliberately set the penalty goals Vamos Argentina</v>
      </c>
    </row>
    <row r="13128" ht="15.75" customHeight="1">
      <c r="A13128" s="1">
        <v>14514.0</v>
      </c>
      <c r="B13128" s="3" t="s">
        <v>37206</v>
      </c>
      <c r="C13128" s="3">
        <v>1.0</v>
      </c>
      <c r="D13128" s="3">
        <v>0.0</v>
      </c>
      <c r="E13128" s="3">
        <v>0.0</v>
      </c>
      <c r="F13128" s="3" t="s">
        <v>37207</v>
      </c>
      <c r="G13128" s="3">
        <v>0.0</v>
      </c>
      <c r="H13128" s="3">
        <v>0.0</v>
      </c>
      <c r="I13128" s="3" t="s">
        <v>13</v>
      </c>
      <c r="J13128" s="3" t="s">
        <v>37208</v>
      </c>
      <c r="K13128" s="3" t="s">
        <v>1656</v>
      </c>
      <c r="L13128" s="3" t="str">
        <f>IFERROR(__xludf.DUMMYFUNCTION("GOOGLETRANSLATE(F13128,""id"",""en"")"),"Argentina's third goal is the same as the first final if he can protest like the decision of the referee wrongly first penalty if we examine Maria diving but okay is the penalty because there is also encouragement from Dembele but for the third goal that "&amp;"is printed")</f>
        <v>Argentina's third goal is the same as the first final if he can protest like the decision of the referee wrongly first penalty if we examine Maria diving but okay is the penalty because there is also encouragement from Dembele but for the third goal that is printed</v>
      </c>
    </row>
    <row r="13129" ht="15.75" customHeight="1">
      <c r="A13129" s="1">
        <v>14515.0</v>
      </c>
      <c r="B13129" s="3" t="s">
        <v>37209</v>
      </c>
      <c r="C13129" s="3">
        <v>1.0</v>
      </c>
      <c r="D13129" s="3">
        <v>0.0</v>
      </c>
      <c r="E13129" s="3">
        <v>0.0</v>
      </c>
      <c r="F13129" s="3" t="s">
        <v>37210</v>
      </c>
      <c r="G13129" s="3">
        <v>0.0</v>
      </c>
      <c r="H13129" s="3">
        <v>0.0</v>
      </c>
      <c r="I13129" s="3" t="s">
        <v>13</v>
      </c>
      <c r="J13129" s="3" t="s">
        <v>37211</v>
      </c>
      <c r="K13129" s="3" t="s">
        <v>41</v>
      </c>
      <c r="L13129" s="3" t="str">
        <f>IFERROR(__xludf.DUMMYFUNCTION("GOOGLETRANSLATE(F13129,""id"",""en"")"),"Lots of referee whistle blowing Argentina for small violations")</f>
        <v>Lots of referee whistle blowing Argentina for small violations</v>
      </c>
    </row>
    <row r="13130" ht="15.75" customHeight="1">
      <c r="A13130" s="1">
        <v>14516.0</v>
      </c>
      <c r="B13130" s="3" t="s">
        <v>37212</v>
      </c>
      <c r="C13130" s="3">
        <v>0.0</v>
      </c>
      <c r="D13130" s="3">
        <v>1.0</v>
      </c>
      <c r="E13130" s="3">
        <v>2.0</v>
      </c>
      <c r="F13130" s="3" t="s">
        <v>37213</v>
      </c>
      <c r="G13130" s="3">
        <v>0.0</v>
      </c>
      <c r="H13130" s="3">
        <v>0.0</v>
      </c>
      <c r="I13130" s="3" t="s">
        <v>13</v>
      </c>
      <c r="J13130" s="3" t="s">
        <v>37214</v>
      </c>
      <c r="K13130" s="3" t="s">
        <v>510</v>
      </c>
      <c r="L13130" s="3" t="str">
        <f>IFERROR(__xludf.DUMMYFUNCTION("GOOGLETRANSLATE(F13130,""id"",""en"")"),"Challenges of the Indonesian Nation Giroud Congratulations Qatar Antonella Goat Argentina World Cup Dembele Kylian")</f>
        <v>Challenges of the Indonesian Nation Giroud Congratulations Qatar Antonella Goat Argentina World Cup Dembele Kylian</v>
      </c>
    </row>
    <row r="13131" ht="15.75" customHeight="1">
      <c r="A13131" s="1">
        <v>14518.0</v>
      </c>
      <c r="B13131" s="3" t="s">
        <v>37215</v>
      </c>
      <c r="C13131" s="3">
        <v>0.0</v>
      </c>
      <c r="D13131" s="3">
        <v>0.0</v>
      </c>
      <c r="E13131" s="3">
        <v>0.0</v>
      </c>
      <c r="F13131" s="3" t="s">
        <v>37216</v>
      </c>
      <c r="G13131" s="3">
        <v>0.0</v>
      </c>
      <c r="H13131" s="3">
        <v>0.0</v>
      </c>
      <c r="I13131" s="3" t="s">
        <v>13</v>
      </c>
      <c r="J13131" s="3" t="s">
        <v>37217</v>
      </c>
      <c r="K13131" s="3" t="s">
        <v>644</v>
      </c>
      <c r="L13131" s="3" t="str">
        <f>IFERROR(__xludf.DUMMYFUNCTION("GOOGLETRANSLATE(F13131,""id"",""en"")"),"Argentina with the referee")</f>
        <v>Argentina with the referee</v>
      </c>
    </row>
    <row r="13132" ht="15.75" customHeight="1">
      <c r="A13132" s="1">
        <v>14522.0</v>
      </c>
      <c r="B13132" s="3" t="s">
        <v>37218</v>
      </c>
      <c r="C13132" s="3">
        <v>0.0</v>
      </c>
      <c r="D13132" s="3">
        <v>0.0</v>
      </c>
      <c r="E13132" s="3">
        <v>0.0</v>
      </c>
      <c r="F13132" s="3" t="s">
        <v>37219</v>
      </c>
      <c r="G13132" s="3">
        <v>0.0</v>
      </c>
      <c r="H13132" s="3">
        <v>0.0</v>
      </c>
      <c r="I13132" s="3" t="s">
        <v>13</v>
      </c>
      <c r="J13132" s="3" t="s">
        <v>37220</v>
      </c>
      <c r="K13132" s="3" t="s">
        <v>644</v>
      </c>
      <c r="L13132" s="3" t="str">
        <f>IFERROR(__xludf.DUMMYFUNCTION("GOOGLETRANSLATE(F13132,""id"",""en"")"),"There is a friend saying the referee pays Argentina")</f>
        <v>There is a friend saying the referee pays Argentina</v>
      </c>
    </row>
    <row r="13133" ht="15.75" customHeight="1">
      <c r="A13133" s="1">
        <v>14524.0</v>
      </c>
      <c r="B13133" s="3" t="s">
        <v>37221</v>
      </c>
      <c r="C13133" s="3">
        <v>0.0</v>
      </c>
      <c r="D13133" s="3">
        <v>0.0</v>
      </c>
      <c r="E13133" s="3">
        <v>0.0</v>
      </c>
      <c r="F13133" s="3" t="s">
        <v>37222</v>
      </c>
      <c r="G13133" s="3">
        <v>0.0</v>
      </c>
      <c r="H13133" s="3">
        <v>0.0</v>
      </c>
      <c r="I13133" s="3" t="s">
        <v>13</v>
      </c>
      <c r="J13133" s="3" t="s">
        <v>37223</v>
      </c>
      <c r="K13133" s="3" t="s">
        <v>58</v>
      </c>
      <c r="L13133" s="3" t="str">
        <f>IFERROR(__xludf.DUMMYFUNCTION("GOOGLETRANSLATE(F13133,""id"",""en"")"),"The French fans were angry at the referee and said they won because the penalty of Gausa was proud who was Argentina fans uploading goats")</f>
        <v>The French fans were angry at the referee and said they won because the penalty of Gausa was proud who was Argentina fans uploading goats</v>
      </c>
    </row>
    <row r="13134" ht="15.75" customHeight="1">
      <c r="A13134" s="1">
        <v>14527.0</v>
      </c>
      <c r="B13134" s="3" t="s">
        <v>37224</v>
      </c>
      <c r="C13134" s="3">
        <v>1.0</v>
      </c>
      <c r="D13134" s="3">
        <v>0.0</v>
      </c>
      <c r="E13134" s="3">
        <v>1.0</v>
      </c>
      <c r="F13134" s="3" t="s">
        <v>37225</v>
      </c>
      <c r="G13134" s="3">
        <v>0.0</v>
      </c>
      <c r="H13134" s="3">
        <v>0.0</v>
      </c>
      <c r="I13134" s="3" t="s">
        <v>13</v>
      </c>
      <c r="J13134" s="3" t="s">
        <v>37226</v>
      </c>
      <c r="K13134" s="3" t="s">
        <v>657</v>
      </c>
      <c r="L13134" s="3" t="str">
        <f>IFERROR(__xludf.DUMMYFUNCTION("GOOGLETRANSLATE(F13134,""id"",""en"")"),"Siregar is honest, the first penalty of Argentina Diving Maria is really added, the two are rather offside, the referee is in favor")</f>
        <v>Siregar is honest, the first penalty of Argentina Diving Maria is really added, the two are rather offside, the referee is in favor</v>
      </c>
    </row>
    <row r="13135" ht="15.75" customHeight="1">
      <c r="A13135" s="1">
        <v>14528.0</v>
      </c>
      <c r="B13135" s="3" t="s">
        <v>37227</v>
      </c>
      <c r="C13135" s="3">
        <v>0.0</v>
      </c>
      <c r="D13135" s="3">
        <v>0.0</v>
      </c>
      <c r="E13135" s="3">
        <v>2.0</v>
      </c>
      <c r="F13135" s="3" t="s">
        <v>37228</v>
      </c>
      <c r="G13135" s="3">
        <v>0.0</v>
      </c>
      <c r="H13135" s="3">
        <v>0.0</v>
      </c>
      <c r="I13135" s="3" t="s">
        <v>13</v>
      </c>
      <c r="J13135" s="3" t="s">
        <v>37229</v>
      </c>
      <c r="K13135" s="3" t="s">
        <v>82</v>
      </c>
      <c r="L13135" s="3" t="str">
        <f>IFERROR(__xludf.DUMMYFUNCTION("GOOGLETRANSLATE(F13135,""id"",""en"")"),"Overall Okay this referee last night but there was an Argentine goal error")</f>
        <v>Overall Okay this referee last night but there was an Argentine goal error</v>
      </c>
    </row>
    <row r="13136" ht="15.75" customHeight="1">
      <c r="A13136" s="1">
        <v>14529.0</v>
      </c>
      <c r="B13136" s="3" t="s">
        <v>37230</v>
      </c>
      <c r="C13136" s="3">
        <v>0.0</v>
      </c>
      <c r="D13136" s="3">
        <v>0.0</v>
      </c>
      <c r="E13136" s="3">
        <v>0.0</v>
      </c>
      <c r="F13136" s="3" t="s">
        <v>37231</v>
      </c>
      <c r="G13136" s="3">
        <v>0.0</v>
      </c>
      <c r="H13136" s="3">
        <v>0.0</v>
      </c>
      <c r="I13136" s="3" t="s">
        <v>13</v>
      </c>
      <c r="J13136" s="3" t="s">
        <v>37232</v>
      </c>
      <c r="K13136" s="3" t="s">
        <v>510</v>
      </c>
      <c r="L13136" s="3" t="str">
        <f>IFERROR(__xludf.DUMMYFUNCTION("GOOGLETRANSLATE(F13136,""id"",""en"")"),"It's like the side of the referee even though I support Argentina the heart feels dissatisfied")</f>
        <v>It's like the side of the referee even though I support Argentina the heart feels dissatisfied</v>
      </c>
    </row>
    <row r="13137" ht="15.75" customHeight="1">
      <c r="A13137" s="1">
        <v>14530.0</v>
      </c>
      <c r="B13137" s="3" t="s">
        <v>37233</v>
      </c>
      <c r="C13137" s="3">
        <v>664.0</v>
      </c>
      <c r="D13137" s="3">
        <v>1438.0</v>
      </c>
      <c r="E13137" s="3">
        <v>12175.0</v>
      </c>
      <c r="F13137" s="3" t="s">
        <v>37234</v>
      </c>
      <c r="G13137" s="3">
        <v>0.4</v>
      </c>
      <c r="H13137" s="3">
        <v>-0.4</v>
      </c>
      <c r="I13137" s="3" t="s">
        <v>179</v>
      </c>
      <c r="J13137" s="3" t="s">
        <v>37235</v>
      </c>
      <c r="K13137" s="3" t="s">
        <v>633</v>
      </c>
      <c r="L13137" s="3" t="str">
        <f>IFERROR(__xludf.DUMMYFUNCTION("GOOGLETRANSLATE(F13137,""id"",""en"")"),"Argentine reserve players entered the field a few moments before Goal Messi based on Law The Game Referees could annul the goal if they were observant and would be very painful if it happened")</f>
        <v>Argentine reserve players entered the field a few moments before Goal Messi based on Law The Game Referees could annul the goal if they were observant and would be very painful if it happened</v>
      </c>
    </row>
    <row r="13138" ht="15.75" customHeight="1">
      <c r="A13138" s="1">
        <v>14531.0</v>
      </c>
      <c r="B13138" s="3" t="s">
        <v>37236</v>
      </c>
      <c r="C13138" s="3">
        <v>0.0</v>
      </c>
      <c r="D13138" s="3">
        <v>0.0</v>
      </c>
      <c r="E13138" s="3">
        <v>0.0</v>
      </c>
      <c r="F13138" s="3" t="s">
        <v>37237</v>
      </c>
      <c r="G13138" s="3">
        <v>0.0</v>
      </c>
      <c r="H13138" s="3">
        <v>0.0</v>
      </c>
      <c r="I13138" s="3" t="s">
        <v>13</v>
      </c>
      <c r="J13138" s="3" t="s">
        <v>37238</v>
      </c>
      <c r="K13138" s="3" t="s">
        <v>3164</v>
      </c>
      <c r="L13138" s="3" t="str">
        <f>IFERROR(__xludf.DUMMYFUNCTION("GOOGLETRANSLATE(F13138,""id"",""en"")"),"IDN Argentine player gets a yellow card bro French players yellow and yellow giroud because of arguments with the referee")</f>
        <v>IDN Argentine player gets a yellow card bro French players yellow and yellow giroud because of arguments with the referee</v>
      </c>
    </row>
    <row r="13139" ht="15.75" customHeight="1">
      <c r="A13139" s="1">
        <v>14532.0</v>
      </c>
      <c r="B13139" s="3" t="s">
        <v>37239</v>
      </c>
      <c r="C13139" s="3">
        <v>1.0</v>
      </c>
      <c r="D13139" s="3">
        <v>0.0</v>
      </c>
      <c r="E13139" s="3">
        <v>4.0</v>
      </c>
      <c r="F13139" s="3" t="s">
        <v>37240</v>
      </c>
      <c r="G13139" s="3">
        <v>0.0</v>
      </c>
      <c r="H13139" s="3">
        <v>0.0</v>
      </c>
      <c r="I13139" s="3" t="s">
        <v>13</v>
      </c>
      <c r="J13139" s="3" t="s">
        <v>37241</v>
      </c>
      <c r="K13139" s="3" t="s">
        <v>273</v>
      </c>
      <c r="L13139" s="3" t="str">
        <f>IFERROR(__xludf.DUMMYFUNCTION("GOOGLETRANSLATE(F13139,""id"",""en"")"),"IDN, right, bro, if for example, the referee is MIHAK AGENTINA, it's finished, France, French players, a hard tackle, is given a tackle of Rabiot's leg")</f>
        <v>IDN, right, bro, if for example, the referee is MIHAK AGENTINA, it's finished, France, French players, a hard tackle, is given a tackle of Rabiot's leg</v>
      </c>
    </row>
    <row r="13140" ht="15.75" customHeight="1">
      <c r="A13140" s="1">
        <v>14533.0</v>
      </c>
      <c r="B13140" s="3" t="s">
        <v>37242</v>
      </c>
      <c r="C13140" s="3">
        <v>1.0</v>
      </c>
      <c r="D13140" s="3">
        <v>0.0</v>
      </c>
      <c r="E13140" s="3">
        <v>0.0</v>
      </c>
      <c r="F13140" s="3" t="s">
        <v>37243</v>
      </c>
      <c r="G13140" s="3">
        <v>0.0</v>
      </c>
      <c r="H13140" s="3">
        <v>0.0</v>
      </c>
      <c r="I13140" s="3" t="s">
        <v>13</v>
      </c>
      <c r="J13140" s="3" t="s">
        <v>37244</v>
      </c>
      <c r="K13140" s="3" t="s">
        <v>1854</v>
      </c>
      <c r="L13140" s="3" t="str">
        <f>IFERROR(__xludf.DUMMYFUNCTION("GOOGLETRANSLATE(F13140,""id"",""en"")"),"idn if for example that minute Rabiot got a red card that was finished France at that time Argentina was superior to the goal, just acknowledge the defeat of France, there was no need for the reason bro, what was good what was the referee for France Bny")</f>
        <v>idn if for example that minute Rabiot got a red card that was finished France at that time Argentina was superior to the goal, just acknowledge the defeat of France, there was no need for the reason bro, what was good what was the referee for France Bny</v>
      </c>
    </row>
    <row r="13141" ht="15.75" customHeight="1">
      <c r="A13141" s="1">
        <v>14534.0</v>
      </c>
      <c r="B13141" s="3" t="s">
        <v>37245</v>
      </c>
      <c r="C13141" s="3">
        <v>0.0</v>
      </c>
      <c r="D13141" s="3">
        <v>0.0</v>
      </c>
      <c r="E13141" s="3">
        <v>0.0</v>
      </c>
      <c r="F13141" s="3" t="s">
        <v>37246</v>
      </c>
      <c r="G13141" s="3">
        <v>1.0</v>
      </c>
      <c r="H13141" s="3">
        <v>-0.5</v>
      </c>
      <c r="I13141" s="3" t="s">
        <v>179</v>
      </c>
      <c r="J13141" s="3" t="s">
        <v>37247</v>
      </c>
      <c r="K13141" s="3" t="s">
        <v>2117</v>
      </c>
      <c r="L13141" s="3" t="str">
        <f>IFERROR(__xludf.DUMMYFUNCTION("GOOGLETRANSLATE(F13141,""id"",""en"")"),"Sorry, my hero Argentina")</f>
        <v>Sorry, my hero Argentina</v>
      </c>
    </row>
    <row r="13142" ht="15.75" customHeight="1">
      <c r="A13142" s="1">
        <v>14536.0</v>
      </c>
      <c r="B13142" s="3" t="s">
        <v>37248</v>
      </c>
      <c r="C13142" s="3">
        <v>0.0</v>
      </c>
      <c r="D13142" s="3">
        <v>0.0</v>
      </c>
      <c r="E13142" s="3">
        <v>0.0</v>
      </c>
      <c r="F13142" s="3" t="s">
        <v>37249</v>
      </c>
      <c r="G13142" s="3">
        <v>0.0</v>
      </c>
      <c r="H13142" s="3">
        <v>0.0</v>
      </c>
      <c r="I13142" s="3" t="s">
        <v>13</v>
      </c>
      <c r="J13142" s="3" t="s">
        <v>37250</v>
      </c>
      <c r="K13142" s="3" t="s">
        <v>449</v>
      </c>
      <c r="L13142" s="3" t="str">
        <f>IFERROR(__xludf.DUMMYFUNCTION("GOOGLETRANSLATE(F13142,""id"",""en"")"),"PSSI and LIB must learn how to arrange FIFA matches so that it is fun other than paying the referee to pay the player is not famous for example bribing Kolo Muani deliberately not struck the Argentina goalkeeper")</f>
        <v>PSSI and LIB must learn how to arrange FIFA matches so that it is fun other than paying the referee to pay the player is not famous for example bribing Kolo Muani deliberately not struck the Argentina goalkeeper</v>
      </c>
    </row>
    <row r="13143" ht="15.75" customHeight="1">
      <c r="A13143" s="1">
        <v>14537.0</v>
      </c>
      <c r="B13143" s="3" t="s">
        <v>37251</v>
      </c>
      <c r="C13143" s="3">
        <v>11.0</v>
      </c>
      <c r="D13143" s="3">
        <v>24.0</v>
      </c>
      <c r="E13143" s="3">
        <v>128.0</v>
      </c>
      <c r="F13143" s="3" t="s">
        <v>37252</v>
      </c>
      <c r="G13143" s="3">
        <v>0.0</v>
      </c>
      <c r="H13143" s="3">
        <v>0.0</v>
      </c>
      <c r="I13143" s="3" t="s">
        <v>13</v>
      </c>
      <c r="J13143" s="3" t="s">
        <v>37253</v>
      </c>
      <c r="K13143" s="3" t="s">
        <v>75</v>
      </c>
      <c r="L13143" s="3" t="str">
        <f>IFERROR(__xludf.DUMMYFUNCTION("GOOGLETRANSLATE(F13143,""id"",""en"")"),"means that the Argentina chest logo is officially equivalent to Bhayangkara with three stars")</f>
        <v>means that the Argentina chest logo is officially equivalent to Bhayangkara with three stars</v>
      </c>
    </row>
    <row r="13144" ht="15.75" customHeight="1">
      <c r="A13144" s="1">
        <v>14539.0</v>
      </c>
      <c r="B13144" s="3" t="s">
        <v>37254</v>
      </c>
      <c r="C13144" s="3">
        <v>1.0</v>
      </c>
      <c r="D13144" s="3">
        <v>0.0</v>
      </c>
      <c r="E13144" s="3">
        <v>1.0</v>
      </c>
      <c r="F13144" s="3" t="s">
        <v>37255</v>
      </c>
      <c r="G13144" s="3">
        <v>0.7</v>
      </c>
      <c r="H13144" s="3">
        <v>0.8</v>
      </c>
      <c r="I13144" s="3" t="s">
        <v>48</v>
      </c>
      <c r="J13144" s="3" t="s">
        <v>37256</v>
      </c>
      <c r="K13144" s="3" t="s">
        <v>54</v>
      </c>
      <c r="L13144" s="3" t="str">
        <f>IFERROR(__xludf.DUMMYFUNCTION("GOOGLETRANSLATE(F13144,""id"",""en"")"),"Criticism of the referee from Argentina is not his team LOL")</f>
        <v>Criticism of the referee from Argentina is not his team LOL</v>
      </c>
    </row>
    <row r="13145" ht="15.75" customHeight="1">
      <c r="A13145" s="1">
        <v>14540.0</v>
      </c>
      <c r="B13145" s="3" t="s">
        <v>37257</v>
      </c>
      <c r="C13145" s="3">
        <v>0.0</v>
      </c>
      <c r="D13145" s="3">
        <v>0.0</v>
      </c>
      <c r="E13145" s="3">
        <v>1.0</v>
      </c>
      <c r="F13145" s="3" t="s">
        <v>37258</v>
      </c>
      <c r="G13145" s="3">
        <v>0.0</v>
      </c>
      <c r="H13145" s="3">
        <v>0.0</v>
      </c>
      <c r="I13145" s="3" t="s">
        <v>13</v>
      </c>
      <c r="J13145" s="3" t="s">
        <v>37259</v>
      </c>
      <c r="K13145" s="3" t="s">
        <v>484</v>
      </c>
      <c r="L13145" s="3" t="str">
        <f>IFERROR(__xludf.DUMMYFUNCTION("GOOGLETRANSLATE(F13145,""id"",""en"")"),"Tweet Pait Pait is a referee, so the referee will be a heavy support for Argentina, try if the pakmen is silent")</f>
        <v>Tweet Pait Pait is a referee, so the referee will be a heavy support for Argentina, try if the pakmen is silent</v>
      </c>
    </row>
    <row r="13146" ht="15.75" customHeight="1">
      <c r="A13146" s="1">
        <v>14541.0</v>
      </c>
      <c r="B13146" s="3" t="s">
        <v>37260</v>
      </c>
      <c r="C13146" s="3">
        <v>2.0</v>
      </c>
      <c r="D13146" s="3">
        <v>0.0</v>
      </c>
      <c r="E13146" s="3">
        <v>16.0</v>
      </c>
      <c r="F13146" s="3" t="s">
        <v>37261</v>
      </c>
      <c r="G13146" s="3">
        <v>0.0</v>
      </c>
      <c r="H13146" s="3">
        <v>0.0</v>
      </c>
      <c r="I13146" s="3" t="s">
        <v>13</v>
      </c>
      <c r="J13146" s="3" t="s">
        <v>37262</v>
      </c>
      <c r="K13146" s="3" t="s">
        <v>131</v>
      </c>
      <c r="L13146" s="3" t="str">
        <f>IFERROR(__xludf.DUMMYFUNCTION("GOOGLETRANSLATE(F13146,""id"",""en"")"),"Just checking Instastory Licha, he responded to the Story of Gea Mctom Garnacho but did not post Bruno's story, was Bruno's words about Argentina Waduh referee")</f>
        <v>Just checking Instastory Licha, he responded to the Story of Gea Mctom Garnacho but did not post Bruno's story, was Bruno's words about Argentina Waduh referee</v>
      </c>
    </row>
    <row r="13147" ht="15.75" customHeight="1">
      <c r="A13147" s="1">
        <v>14542.0</v>
      </c>
      <c r="B13147" s="3" t="s">
        <v>37263</v>
      </c>
      <c r="C13147" s="3">
        <v>0.0</v>
      </c>
      <c r="D13147" s="3">
        <v>0.0</v>
      </c>
      <c r="E13147" s="3">
        <v>0.0</v>
      </c>
      <c r="F13147" s="3" t="s">
        <v>37264</v>
      </c>
      <c r="G13147" s="3">
        <v>1.0</v>
      </c>
      <c r="H13147" s="3">
        <v>0.0</v>
      </c>
      <c r="I13147" s="3" t="s">
        <v>13</v>
      </c>
      <c r="J13147" s="3" t="s">
        <v>37265</v>
      </c>
      <c r="K13147" s="3" t="s">
        <v>41</v>
      </c>
      <c r="L13147" s="3" t="str">
        <f>IFERROR(__xludf.DUMMYFUNCTION("GOOGLETRANSLATE(F13147,""id"",""en"")"),"French French World Cup final referee was paid billion")</f>
        <v>French French World Cup final referee was paid billion</v>
      </c>
    </row>
    <row r="13148" ht="15.75" customHeight="1">
      <c r="A13148" s="1">
        <v>14544.0</v>
      </c>
      <c r="B13148" s="3" t="s">
        <v>37266</v>
      </c>
      <c r="C13148" s="3">
        <v>0.0</v>
      </c>
      <c r="D13148" s="3">
        <v>1.0</v>
      </c>
      <c r="E13148" s="3">
        <v>3.0</v>
      </c>
      <c r="F13148" s="3" t="s">
        <v>37267</v>
      </c>
      <c r="G13148" s="3">
        <v>0.0</v>
      </c>
      <c r="H13148" s="3">
        <v>0.0</v>
      </c>
      <c r="I13148" s="3" t="s">
        <v>13</v>
      </c>
      <c r="J13148" s="3" t="s">
        <v>37268</v>
      </c>
      <c r="K13148" s="3" t="s">
        <v>910</v>
      </c>
      <c r="L13148" s="3" t="str">
        <f>IFERROR(__xludf.DUMMYFUNCTION("GOOGLETRANSLATE(F13148,""id"",""en"")"),"Support Brazil and Argentina because most of their dramas are smart diving plus take the heart of the referee to play harshly for me Messi ngeselin, he always takes the position of the penalty box and then diving")</f>
        <v>Support Brazil and Argentina because most of their dramas are smart diving plus take the heart of the referee to play harshly for me Messi ngeselin, he always takes the position of the penalty box and then diving</v>
      </c>
    </row>
    <row r="13149" ht="15.75" customHeight="1">
      <c r="A13149" s="1">
        <v>14545.0</v>
      </c>
      <c r="B13149" s="3" t="s">
        <v>37269</v>
      </c>
      <c r="C13149" s="3">
        <v>4.0</v>
      </c>
      <c r="D13149" s="3">
        <v>0.0</v>
      </c>
      <c r="E13149" s="3">
        <v>4.0</v>
      </c>
      <c r="F13149" s="3" t="s">
        <v>37270</v>
      </c>
      <c r="G13149" s="3">
        <v>0.0</v>
      </c>
      <c r="H13149" s="3">
        <v>0.0</v>
      </c>
      <c r="I13149" s="3" t="s">
        <v>13</v>
      </c>
      <c r="J13149" s="3" t="s">
        <v>37271</v>
      </c>
      <c r="K13149" s="3" t="s">
        <v>1970</v>
      </c>
      <c r="L13149" s="3" t="str">
        <f>IFERROR(__xludf.DUMMYFUNCTION("GOOGLETRANSLATE(F13149,""id"",""en"")"),"Licha, I think it's not the same as Bruno for his statement about Argentina's referee when Portugal loses so far Stories Bruno says not to repost him but other")</f>
        <v>Licha, I think it's not the same as Bruno for his statement about Argentina's referee when Portugal loses so far Stories Bruno says not to repost him but other</v>
      </c>
    </row>
    <row r="13150" ht="15.75" customHeight="1">
      <c r="A13150" s="1">
        <v>14546.0</v>
      </c>
      <c r="B13150" s="3" t="s">
        <v>37272</v>
      </c>
      <c r="C13150" s="3">
        <v>1.0</v>
      </c>
      <c r="D13150" s="3">
        <v>0.0</v>
      </c>
      <c r="E13150" s="3">
        <v>0.0</v>
      </c>
      <c r="F13150" s="3" t="s">
        <v>37273</v>
      </c>
      <c r="G13150" s="3">
        <v>0.0</v>
      </c>
      <c r="H13150" s="3">
        <v>0.0</v>
      </c>
      <c r="I13150" s="3" t="s">
        <v>13</v>
      </c>
      <c r="J13150" s="3" t="s">
        <v>37274</v>
      </c>
      <c r="K13150" s="3" t="s">
        <v>31</v>
      </c>
      <c r="L13150" s="3" t="str">
        <f>IFERROR(__xludf.DUMMYFUNCTION("GOOGLETRANSLATE(F13150,""id"",""en"")"),"the referee every Argentina play the pinalnya sister")</f>
        <v>the referee every Argentina play the pinalnya sister</v>
      </c>
    </row>
    <row r="13151" ht="15.75" customHeight="1">
      <c r="A13151" s="1">
        <v>14547.0</v>
      </c>
      <c r="B13151" s="3" t="s">
        <v>37275</v>
      </c>
      <c r="C13151" s="3">
        <v>0.0</v>
      </c>
      <c r="D13151" s="3">
        <v>0.0</v>
      </c>
      <c r="E13151" s="3">
        <v>0.0</v>
      </c>
      <c r="F13151" s="3" t="s">
        <v>37276</v>
      </c>
      <c r="G13151" s="3">
        <v>0.0</v>
      </c>
      <c r="H13151" s="3">
        <v>0.0</v>
      </c>
      <c r="I13151" s="3" t="s">
        <v>13</v>
      </c>
      <c r="J13151" s="3" t="s">
        <v>37277</v>
      </c>
      <c r="K13151" s="3" t="s">
        <v>510</v>
      </c>
      <c r="L13151" s="3" t="str">
        <f>IFERROR(__xludf.DUMMYFUNCTION("GOOGLETRANSLATE(F13151,""id"",""en"")"),"If you think about the referee MLM is very NGACO AGERTINE PENALTY POWER")</f>
        <v>If you think about the referee MLM is very NGACO AGERTINE PENALTY POWER</v>
      </c>
    </row>
    <row r="13152" ht="15.75" customHeight="1">
      <c r="A13152" s="1">
        <v>14548.0</v>
      </c>
      <c r="B13152" s="3" t="s">
        <v>37278</v>
      </c>
      <c r="C13152" s="3">
        <v>3.0</v>
      </c>
      <c r="D13152" s="3">
        <v>2.0</v>
      </c>
      <c r="E13152" s="3">
        <v>16.0</v>
      </c>
      <c r="F13152" s="3" t="s">
        <v>37279</v>
      </c>
      <c r="G13152" s="3">
        <v>0.0</v>
      </c>
      <c r="H13152" s="3">
        <v>0.0</v>
      </c>
      <c r="I13152" s="3" t="s">
        <v>13</v>
      </c>
      <c r="J13152" s="3" t="s">
        <v>37280</v>
      </c>
      <c r="K13152" s="3" t="s">
        <v>903</v>
      </c>
      <c r="L13152" s="3" t="str">
        <f>IFERROR(__xludf.DUMMYFUNCTION("GOOGLETRANSLATE(F13152,""id"",""en"")"),"Learning from supporters of France despite losing does not feel cheated by the referee and accept the reality if you lose and recognize Argentina's victory, hopefully supporters of the presidential candidate will also be here for me here for you to mengas"&amp;"ih")</f>
        <v>Learning from supporters of France despite losing does not feel cheated by the referee and accept the reality if you lose and recognize Argentina's victory, hopefully supporters of the presidential candidate will also be here for me here for you to mengasih</v>
      </c>
    </row>
    <row r="13153" ht="15.75" customHeight="1">
      <c r="A13153" s="1">
        <v>14549.0</v>
      </c>
      <c r="B13153" s="3" t="s">
        <v>37281</v>
      </c>
      <c r="C13153" s="3">
        <v>4.0</v>
      </c>
      <c r="D13153" s="3">
        <v>0.0</v>
      </c>
      <c r="E13153" s="3">
        <v>1.0</v>
      </c>
      <c r="F13153" s="3" t="s">
        <v>37282</v>
      </c>
      <c r="G13153" s="3">
        <v>0.0</v>
      </c>
      <c r="H13153" s="3">
        <v>0.0</v>
      </c>
      <c r="I13153" s="3" t="s">
        <v>13</v>
      </c>
      <c r="J13153" s="3" t="s">
        <v>37283</v>
      </c>
      <c r="K13153" s="3" t="s">
        <v>2013</v>
      </c>
      <c r="L13153" s="3" t="str">
        <f>IFERROR(__xludf.DUMMYFUNCTION("GOOGLETRANSLATE(F13153,""id"",""en"")"),"Fakboi Hafidz Penalty for France is just to cover the referee's mistakes because of giving a penalty for Argentina in the beginning of the first half in the hope that Argentina wins to close the referee's decay")</f>
        <v>Fakboi Hafidz Penalty for France is just to cover the referee's mistakes because of giving a penalty for Argentina in the beginning of the first half in the hope that Argentina wins to close the referee's decay</v>
      </c>
    </row>
    <row r="13154" ht="15.75" customHeight="1">
      <c r="A13154" s="1">
        <v>14550.0</v>
      </c>
      <c r="B13154" s="3" t="s">
        <v>37284</v>
      </c>
      <c r="C13154" s="3">
        <v>1.0</v>
      </c>
      <c r="D13154" s="3">
        <v>0.0</v>
      </c>
      <c r="E13154" s="3">
        <v>0.0</v>
      </c>
      <c r="F13154" s="3" t="s">
        <v>37285</v>
      </c>
      <c r="G13154" s="3">
        <v>0.1666666666666667</v>
      </c>
      <c r="H13154" s="3">
        <v>0.125</v>
      </c>
      <c r="I13154" s="3" t="s">
        <v>48</v>
      </c>
      <c r="J13154" s="3" t="s">
        <v>37286</v>
      </c>
      <c r="K13154" s="3" t="s">
        <v>58</v>
      </c>
      <c r="L13154" s="3" t="str">
        <f>IFERROR(__xludf.DUMMYFUNCTION("GOOGLETRANSLATE(F13154,""id"",""en"")"),"First Penalty Argentina Second Penalty French ask for an explanation Mr. Referee Rodok Wagu because")</f>
        <v>First Penalty Argentina Second Penalty French ask for an explanation Mr. Referee Rodok Wagu because</v>
      </c>
    </row>
    <row r="13155" ht="15.75" customHeight="1">
      <c r="A13155" s="1">
        <v>14551.0</v>
      </c>
      <c r="B13155" s="3" t="s">
        <v>37287</v>
      </c>
      <c r="C13155" s="3">
        <v>0.0</v>
      </c>
      <c r="D13155" s="3">
        <v>0.0</v>
      </c>
      <c r="E13155" s="3">
        <v>0.0</v>
      </c>
      <c r="F13155" s="3" t="s">
        <v>37288</v>
      </c>
      <c r="G13155" s="3">
        <v>0.0</v>
      </c>
      <c r="H13155" s="3">
        <v>0.0</v>
      </c>
      <c r="I13155" s="3" t="s">
        <v>13</v>
      </c>
      <c r="J13155" s="3" t="s">
        <v>37289</v>
      </c>
      <c r="K13155" s="3" t="s">
        <v>4784</v>
      </c>
      <c r="L13155" s="3" t="str">
        <f>IFERROR(__xludf.DUMMYFUNCTION("GOOGLETRANSLATE(F13155,""id"",""en"")"),"The reason for the referee gave a penalty to France so that he was considered unhealthy even though in fact the fia was biratory and correct the score remained the same until the penalty if the referee did not give a penalty to Argentina it was definitely"&amp;" France who brought the World Cup")</f>
        <v>The reason for the referee gave a penalty to France so that he was considered unhealthy even though in fact the fia was biratory and correct the score remained the same until the penalty if the referee did not give a penalty to Argentina it was definitely France who brought the World Cup</v>
      </c>
    </row>
    <row r="13156" ht="15.75" customHeight="1">
      <c r="A13156" s="1">
        <v>14552.0</v>
      </c>
      <c r="B13156" s="3" t="s">
        <v>37290</v>
      </c>
      <c r="C13156" s="3">
        <v>0.0</v>
      </c>
      <c r="D13156" s="3">
        <v>0.0</v>
      </c>
      <c r="E13156" s="3">
        <v>0.0</v>
      </c>
      <c r="F13156" s="3" t="s">
        <v>37291</v>
      </c>
      <c r="G13156" s="3">
        <v>0.0</v>
      </c>
      <c r="H13156" s="3">
        <v>0.0</v>
      </c>
      <c r="I13156" s="3" t="s">
        <v>13</v>
      </c>
      <c r="J13156" s="3" t="s">
        <v>37292</v>
      </c>
      <c r="K13156" s="3" t="s">
        <v>1699</v>
      </c>
      <c r="L13156" s="3" t="str">
        <f>IFERROR(__xludf.DUMMYFUNCTION("GOOGLETRANSLATE(F13156,""id"",""en"")"),"So he thought to give France a goal penalty with mbappe as his executioner and for the referee the decision was true considering the remaining minute time in the hope that Argentina won but the referee forgot France had Mbappe")</f>
        <v>So he thought to give France a goal penalty with mbappe as his executioner and for the referee the decision was true considering the remaining minute time in the hope that Argentina won but the referee forgot France had Mbappe</v>
      </c>
    </row>
    <row r="13157" ht="15.75" customHeight="1">
      <c r="A13157" s="1">
        <v>14554.0</v>
      </c>
      <c r="B13157" s="3" t="s">
        <v>37293</v>
      </c>
      <c r="C13157" s="3">
        <v>1.0</v>
      </c>
      <c r="D13157" s="3">
        <v>0.0</v>
      </c>
      <c r="E13157" s="3">
        <v>0.0</v>
      </c>
      <c r="F13157" s="3" t="s">
        <v>37294</v>
      </c>
      <c r="G13157" s="3">
        <v>0.0</v>
      </c>
      <c r="H13157" s="3">
        <v>0.0</v>
      </c>
      <c r="I13157" s="3" t="s">
        <v>13</v>
      </c>
      <c r="J13157" s="3" t="s">
        <v>37295</v>
      </c>
      <c r="K13157" s="3" t="s">
        <v>499</v>
      </c>
      <c r="L13157" s="3" t="str">
        <f>IFERROR(__xludf.DUMMYFUNCTION("GOOGLETRANSLATE(F13157,""id"",""en"")"),"News of the choice of losing through the French boss's penalty shootout feels the need to discuss with referee Alexis Mac Allister revealed the secret of Argentina Slot Gacor")</f>
        <v>News of the choice of losing through the French boss's penalty shootout feels the need to discuss with referee Alexis Mac Allister revealed the secret of Argentina Slot Gacor</v>
      </c>
    </row>
    <row r="13158" ht="15.75" customHeight="1">
      <c r="A13158" s="1">
        <v>14555.0</v>
      </c>
      <c r="B13158" s="3" t="s">
        <v>37296</v>
      </c>
      <c r="C13158" s="3">
        <v>0.0</v>
      </c>
      <c r="D13158" s="3">
        <v>0.0</v>
      </c>
      <c r="E13158" s="3">
        <v>0.0</v>
      </c>
      <c r="F13158" s="3" t="s">
        <v>37294</v>
      </c>
      <c r="G13158" s="3">
        <v>0.0</v>
      </c>
      <c r="H13158" s="3">
        <v>0.0</v>
      </c>
      <c r="I13158" s="3" t="s">
        <v>13</v>
      </c>
      <c r="J13158" s="3" t="s">
        <v>37295</v>
      </c>
      <c r="K13158" s="3" t="s">
        <v>499</v>
      </c>
      <c r="L13158" s="3" t="str">
        <f>IFERROR(__xludf.DUMMYFUNCTION("GOOGLETRANSLATE(F13158,""id"",""en"")"),"News of the choice of losing through the French boss's penalty shootout feels the need to discuss with referee Alexis Mac Allister revealed the secret of Argentina Slot Gacor")</f>
        <v>News of the choice of losing through the French boss's penalty shootout feels the need to discuss with referee Alexis Mac Allister revealed the secret of Argentina Slot Gacor</v>
      </c>
    </row>
    <row r="13159" ht="15.75" customHeight="1">
      <c r="A13159" s="1">
        <v>14556.0</v>
      </c>
      <c r="B13159" s="3" t="s">
        <v>37297</v>
      </c>
      <c r="C13159" s="3">
        <v>1.0</v>
      </c>
      <c r="D13159" s="3">
        <v>0.0</v>
      </c>
      <c r="E13159" s="3">
        <v>0.0</v>
      </c>
      <c r="F13159" s="3" t="s">
        <v>37298</v>
      </c>
      <c r="G13159" s="3">
        <v>0.0</v>
      </c>
      <c r="H13159" s="3">
        <v>0.0</v>
      </c>
      <c r="I13159" s="3" t="s">
        <v>13</v>
      </c>
      <c r="J13159" s="3" t="s">
        <v>37299</v>
      </c>
      <c r="K13159" s="3" t="s">
        <v>1810</v>
      </c>
      <c r="L13159" s="3" t="str">
        <f>IFERROR(__xludf.DUMMYFUNCTION("GOOGLETRANSLATE(F13159,""id"",""en"")"),"Stay safe for Argentina the hilarious team plus plus won the rough caparuni game complaint referee even though hello bakasar greets the drama baciri kong complaints the referee begging yellow card")</f>
        <v>Stay safe for Argentina the hilarious team plus plus won the rough caparuni game complaint referee even though hello bakasar greets the drama baciri kong complaints the referee begging yellow card</v>
      </c>
    </row>
    <row r="13160" ht="15.75" customHeight="1">
      <c r="A13160" s="1">
        <v>14558.0</v>
      </c>
      <c r="B13160" s="3" t="s">
        <v>37300</v>
      </c>
      <c r="C13160" s="3">
        <v>0.0</v>
      </c>
      <c r="D13160" s="3">
        <v>0.0</v>
      </c>
      <c r="E13160" s="3">
        <v>3.0</v>
      </c>
      <c r="F13160" s="3" t="s">
        <v>37301</v>
      </c>
      <c r="G13160" s="3">
        <v>0.0</v>
      </c>
      <c r="H13160" s="3">
        <v>0.0</v>
      </c>
      <c r="I13160" s="3" t="s">
        <v>13</v>
      </c>
      <c r="J13160" s="3" t="s">
        <v>37302</v>
      </c>
      <c r="K13160" s="3" t="s">
        <v>614</v>
      </c>
      <c r="L13160" s="3" t="str">
        <f>IFERROR(__xludf.DUMMYFUNCTION("GOOGLETRANSLATE(F13160,""id"",""en"")"),"It's useless to discuss this, what is the one that says that you are losing or not, the function is that the diving is that they know that they are trying to position like that, they will also blame the referee every time against Argentina Var's function "&amp;"is not used")</f>
        <v>It's useless to discuss this, what is the one that says that you are losing or not, the function is that the diving is that they know that they are trying to position like that, they will also blame the referee every time against Argentina Var's function is not used</v>
      </c>
    </row>
    <row r="13161" ht="15.75" customHeight="1">
      <c r="A13161" s="1">
        <v>14559.0</v>
      </c>
      <c r="B13161" s="3" t="s">
        <v>37303</v>
      </c>
      <c r="C13161" s="3">
        <v>1.0</v>
      </c>
      <c r="D13161" s="3">
        <v>0.0</v>
      </c>
      <c r="E13161" s="3">
        <v>0.0</v>
      </c>
      <c r="F13161" s="3" t="s">
        <v>37304</v>
      </c>
      <c r="G13161" s="3">
        <v>0.3</v>
      </c>
      <c r="H13161" s="3">
        <v>1.0</v>
      </c>
      <c r="I13161" s="3" t="s">
        <v>48</v>
      </c>
      <c r="J13161" s="3" t="s">
        <v>37305</v>
      </c>
      <c r="K13161" s="3" t="s">
        <v>903</v>
      </c>
      <c r="L13161" s="3" t="str">
        <f>IFERROR(__xludf.DUMMYFUNCTION("GOOGLETRANSLATE(F13161,""id"",""en"")"),"It's just the fact that the facts look if Argentina nyodorin the referee's money is just an assumption that you don't need to say the facts if the Agentina wins the World Cup and Messi becomes the best player, it's just a fact")</f>
        <v>It's just the fact that the facts look if Argentina nyodorin the referee's money is just an assumption that you don't need to say the facts if the Agentina wins the World Cup and Messi becomes the best player, it's just a fact</v>
      </c>
    </row>
    <row r="13162" ht="15.75" customHeight="1">
      <c r="A13162" s="1">
        <v>14561.0</v>
      </c>
      <c r="B13162" s="3" t="s">
        <v>37306</v>
      </c>
      <c r="C13162" s="3">
        <v>1.0</v>
      </c>
      <c r="D13162" s="3">
        <v>0.0</v>
      </c>
      <c r="E13162" s="3">
        <v>0.0</v>
      </c>
      <c r="F13162" s="3" t="s">
        <v>37307</v>
      </c>
      <c r="G13162" s="3">
        <v>1.0</v>
      </c>
      <c r="H13162" s="3">
        <v>-0.5</v>
      </c>
      <c r="I13162" s="3" t="s">
        <v>179</v>
      </c>
      <c r="J13162" s="3" t="s">
        <v>37308</v>
      </c>
      <c r="K13162" s="3" t="s">
        <v>467</v>
      </c>
      <c r="L13162" s="3" t="str">
        <f>IFERROR(__xludf.DUMMYFUNCTION("GOOGLETRANSLATE(F13162,""id"",""en"")"),"wkwkwkwk already lost, just lose to bring the referee to lose with respect")</f>
        <v>wkwkwkwk already lost, just lose to bring the referee to lose with respect</v>
      </c>
    </row>
    <row r="13163" ht="15.75" customHeight="1">
      <c r="A13163" s="1">
        <v>14562.0</v>
      </c>
      <c r="B13163" s="3" t="s">
        <v>37309</v>
      </c>
      <c r="C13163" s="3">
        <v>0.0</v>
      </c>
      <c r="D13163" s="3">
        <v>0.0</v>
      </c>
      <c r="E13163" s="3">
        <v>0.0</v>
      </c>
      <c r="F13163" s="3" t="s">
        <v>37310</v>
      </c>
      <c r="G13163" s="3">
        <v>0.0</v>
      </c>
      <c r="H13163" s="3">
        <v>0.0</v>
      </c>
      <c r="I13163" s="3" t="s">
        <v>13</v>
      </c>
      <c r="J13163" s="3" t="s">
        <v>37311</v>
      </c>
      <c r="K13163" s="3" t="s">
        <v>82</v>
      </c>
      <c r="L13163" s="3" t="str">
        <f>IFERROR(__xludf.DUMMYFUNCTION("GOOGLETRANSLATE(F13163,""id"",""en"")"),"Pay how much the referee starts from Argentina Australia's opponent")</f>
        <v>Pay how much the referee starts from Argentina Australia's opponent</v>
      </c>
    </row>
    <row r="13164" ht="15.75" customHeight="1">
      <c r="A13164" s="1">
        <v>14563.0</v>
      </c>
      <c r="B13164" s="3" t="s">
        <v>37312</v>
      </c>
      <c r="C13164" s="3">
        <v>0.0</v>
      </c>
      <c r="D13164" s="3">
        <v>0.0</v>
      </c>
      <c r="E13164" s="3">
        <v>1.0</v>
      </c>
      <c r="F13164" s="3" t="s">
        <v>37313</v>
      </c>
      <c r="G13164" s="3">
        <v>0.0</v>
      </c>
      <c r="H13164" s="3">
        <v>0.0</v>
      </c>
      <c r="I13164" s="3" t="s">
        <v>13</v>
      </c>
      <c r="J13164" s="3" t="s">
        <v>37314</v>
      </c>
      <c r="K13164" s="3" t="s">
        <v>433</v>
      </c>
      <c r="L13164" s="3" t="str">
        <f>IFERROR(__xludf.DUMMYFUNCTION("GOOGLETRANSLATE(F13164,""id"",""en"")"),"Surely the content of Argentina is favored by the referee, anyway there is no agree with Argentina, but the Dutch fans")</f>
        <v>Surely the content of Argentina is favored by the referee, anyway there is no agree with Argentina, but the Dutch fans</v>
      </c>
    </row>
    <row r="13165" ht="15.75" customHeight="1">
      <c r="A13165" s="1">
        <v>14565.0</v>
      </c>
      <c r="B13165" s="3" t="s">
        <v>37315</v>
      </c>
      <c r="C13165" s="3">
        <v>0.0</v>
      </c>
      <c r="D13165" s="3">
        <v>0.0</v>
      </c>
      <c r="E13165" s="3">
        <v>0.0</v>
      </c>
      <c r="F13165" s="3" t="s">
        <v>37316</v>
      </c>
      <c r="G13165" s="3">
        <v>0.0</v>
      </c>
      <c r="H13165" s="3">
        <v>0.0</v>
      </c>
      <c r="I13165" s="3" t="s">
        <v>13</v>
      </c>
      <c r="J13165" s="3" t="s">
        <v>37317</v>
      </c>
      <c r="K13165" s="3" t="s">
        <v>58</v>
      </c>
      <c r="L13165" s="3" t="str">
        <f>IFERROR(__xludf.DUMMYFUNCTION("GOOGLETRANSLATE(F13165,""id"",""en"")"),"They are good at losing Bejo FWC, it is settled by Argentina to win the decision of their referee to benefit")</f>
        <v>They are good at losing Bejo FWC, it is settled by Argentina to win the decision of their referee to benefit</v>
      </c>
    </row>
    <row r="13166" ht="15.75" customHeight="1">
      <c r="A13166" s="1">
        <v>14566.0</v>
      </c>
      <c r="B13166" s="3" t="s">
        <v>37318</v>
      </c>
      <c r="C13166" s="3">
        <v>0.0</v>
      </c>
      <c r="D13166" s="3">
        <v>0.0</v>
      </c>
      <c r="E13166" s="3">
        <v>1.0</v>
      </c>
      <c r="F13166" s="3" t="s">
        <v>37319</v>
      </c>
      <c r="G13166" s="3">
        <v>0.0</v>
      </c>
      <c r="H13166" s="3">
        <v>0.0</v>
      </c>
      <c r="I13166" s="3" t="s">
        <v>13</v>
      </c>
      <c r="J13166" s="3" t="s">
        <v>37320</v>
      </c>
      <c r="K13166" s="3" t="s">
        <v>41</v>
      </c>
      <c r="L13166" s="3" t="str">
        <f>IFERROR(__xludf.DUMMYFUNCTION("GOOGLETRANSLATE(F13166,""id"",""en"")"),"meanwhile mak still angry referees by Argentina's first goal")</f>
        <v>meanwhile mak still angry referees by Argentina's first goal</v>
      </c>
    </row>
    <row r="13167" ht="15.75" customHeight="1">
      <c r="A13167" s="1">
        <v>14567.0</v>
      </c>
      <c r="B13167" s="3" t="s">
        <v>37321</v>
      </c>
      <c r="C13167" s="3">
        <v>1.0</v>
      </c>
      <c r="D13167" s="3">
        <v>0.0</v>
      </c>
      <c r="E13167" s="3">
        <v>1.0</v>
      </c>
      <c r="F13167" s="3" t="s">
        <v>37322</v>
      </c>
      <c r="G13167" s="3">
        <v>0.0</v>
      </c>
      <c r="H13167" s="3">
        <v>0.0</v>
      </c>
      <c r="I13167" s="3" t="s">
        <v>13</v>
      </c>
      <c r="J13167" s="3" t="s">
        <v>37323</v>
      </c>
      <c r="K13167" s="3" t="s">
        <v>520</v>
      </c>
      <c r="L13167" s="3" t="str">
        <f>IFERROR(__xludf.DUMMYFUNCTION("GOOGLETRANSLATE(F13167,""id"",""en"")"),"Bacot What bald dogs Bacot children Argentine pigs Beka referees see the Fraces Contilians can be finalized")</f>
        <v>Bacot What bald dogs Bacot children Argentine pigs Beka referees see the Fraces Contilians can be finalized</v>
      </c>
    </row>
    <row r="13168" ht="15.75" customHeight="1">
      <c r="A13168" s="1">
        <v>14568.0</v>
      </c>
      <c r="B13168" s="3" t="s">
        <v>37324</v>
      </c>
      <c r="C13168" s="3">
        <v>0.0</v>
      </c>
      <c r="D13168" s="3">
        <v>0.0</v>
      </c>
      <c r="E13168" s="3">
        <v>0.0</v>
      </c>
      <c r="F13168" s="3" t="s">
        <v>37325</v>
      </c>
      <c r="G13168" s="3">
        <v>0.0</v>
      </c>
      <c r="H13168" s="3">
        <v>0.0</v>
      </c>
      <c r="I13168" s="3" t="s">
        <v>13</v>
      </c>
      <c r="J13168" s="3" t="s">
        <v>37326</v>
      </c>
      <c r="K13168" s="3" t="s">
        <v>54</v>
      </c>
      <c r="L13168" s="3" t="str">
        <f>IFERROR(__xludf.DUMMYFUNCTION("GOOGLETRANSLATE(F13168,""id"",""en"")"),"France gets a penalty voucher still says Argentina assisted by the referee")</f>
        <v>France gets a penalty voucher still says Argentina assisted by the referee</v>
      </c>
    </row>
    <row r="13169" ht="15.75" customHeight="1">
      <c r="A13169" s="1">
        <v>14569.0</v>
      </c>
      <c r="B13169" s="3" t="s">
        <v>37327</v>
      </c>
      <c r="C13169" s="3">
        <v>0.0</v>
      </c>
      <c r="D13169" s="3">
        <v>0.0</v>
      </c>
      <c r="E13169" s="3">
        <v>0.0</v>
      </c>
      <c r="F13169" s="3" t="s">
        <v>37328</v>
      </c>
      <c r="G13169" s="3">
        <v>0.0</v>
      </c>
      <c r="H13169" s="3">
        <v>0.0</v>
      </c>
      <c r="I13169" s="3" t="s">
        <v>13</v>
      </c>
      <c r="J13169" s="3" t="s">
        <v>37329</v>
      </c>
      <c r="K13169" s="3" t="s">
        <v>2215</v>
      </c>
      <c r="L13169" s="3" t="str">
        <f>IFERROR(__xludf.DUMMYFUNCTION("GOOGLETRANSLATE(F13169,""id"",""en"")"),"When the initial penalties were said to be a heavy Argentina referee when the match finished the referee was neutral")</f>
        <v>When the initial penalties were said to be a heavy Argentina referee when the match finished the referee was neutral</v>
      </c>
    </row>
    <row r="13170" ht="15.75" customHeight="1">
      <c r="A13170" s="1">
        <v>14570.0</v>
      </c>
      <c r="B13170" s="3" t="s">
        <v>37330</v>
      </c>
      <c r="C13170" s="3">
        <v>0.0</v>
      </c>
      <c r="D13170" s="3">
        <v>0.0</v>
      </c>
      <c r="E13170" s="3">
        <v>0.0</v>
      </c>
      <c r="F13170" s="3" t="s">
        <v>37331</v>
      </c>
      <c r="G13170" s="3">
        <v>0.875</v>
      </c>
      <c r="H13170" s="3">
        <v>0.5</v>
      </c>
      <c r="I13170" s="3" t="s">
        <v>48</v>
      </c>
      <c r="J13170" s="3" t="s">
        <v>37332</v>
      </c>
      <c r="K13170" s="3" t="s">
        <v>37333</v>
      </c>
      <c r="L13170" s="3" t="str">
        <f>IFERROR(__xludf.DUMMYFUNCTION("GOOGLETRANSLATE(F13170,""id"",""en"")"),"Mbappe Outstanding can carry that age team but France is minimal creative bait by Pogba Kante appreciating the team even though Argentina is mostly help referees, but it's time to win the German fan's Aing Champion to be neutral wkkwkwwk")</f>
        <v>Mbappe Outstanding can carry that age team but France is minimal creative bait by Pogba Kante appreciating the team even though Argentina is mostly help referees, but it's time to win the German fan's Aing Champion to be neutral wkkwkwwk</v>
      </c>
    </row>
    <row r="13171" ht="15.75" customHeight="1">
      <c r="A13171" s="1">
        <v>14571.0</v>
      </c>
      <c r="B13171" s="3" t="s">
        <v>37334</v>
      </c>
      <c r="C13171" s="3">
        <v>1.0</v>
      </c>
      <c r="D13171" s="3">
        <v>0.0</v>
      </c>
      <c r="E13171" s="3">
        <v>0.0</v>
      </c>
      <c r="F13171" s="3" t="s">
        <v>37335</v>
      </c>
      <c r="G13171" s="3">
        <v>0.0</v>
      </c>
      <c r="H13171" s="3">
        <v>0.0</v>
      </c>
      <c r="I13171" s="3" t="s">
        <v>13</v>
      </c>
      <c r="J13171" s="3" t="s">
        <v>37336</v>
      </c>
      <c r="K13171" s="3" t="s">
        <v>16803</v>
      </c>
      <c r="L13171" s="3" t="str">
        <f>IFERROR(__xludf.DUMMYFUNCTION("GOOGLETRANSLATE(F13171,""id"",""en"")"),"I already said that Argentina is worthy of champion, I said the referee's decision was a lot of Argentina the referee settings but from the Argentina game over France deserved to be champions")</f>
        <v>I already said that Argentina is worthy of champion, I said the referee's decision was a lot of Argentina the referee settings but from the Argentina game over France deserved to be champions</v>
      </c>
    </row>
    <row r="13172" ht="15.75" customHeight="1">
      <c r="A13172" s="1">
        <v>14572.0</v>
      </c>
      <c r="B13172" s="3" t="s">
        <v>37337</v>
      </c>
      <c r="C13172" s="3">
        <v>0.0</v>
      </c>
      <c r="D13172" s="3">
        <v>0.0</v>
      </c>
      <c r="E13172" s="3">
        <v>0.0</v>
      </c>
      <c r="F13172" s="3" t="s">
        <v>37338</v>
      </c>
      <c r="G13172" s="3">
        <v>1.0</v>
      </c>
      <c r="H13172" s="3">
        <v>0.0</v>
      </c>
      <c r="I13172" s="3" t="s">
        <v>13</v>
      </c>
      <c r="J13172" s="3" t="s">
        <v>37339</v>
      </c>
      <c r="K13172" s="3" t="s">
        <v>433</v>
      </c>
      <c r="L13172" s="3" t="str">
        <f>IFERROR(__xludf.DUMMYFUNCTION("GOOGLETRANSLATE(F13172,""id"",""en"")"),"from the referee it looks more Argentina from the final inj semi -final is also severe, the hands of Messi Yellow Card")</f>
        <v>from the referee it looks more Argentina from the final inj semi -final is also severe, the hands of Messi Yellow Card</v>
      </c>
    </row>
    <row r="13173" ht="15.75" customHeight="1">
      <c r="A13173" s="1">
        <v>14573.0</v>
      </c>
      <c r="B13173" s="3" t="s">
        <v>37340</v>
      </c>
      <c r="C13173" s="3">
        <v>0.0</v>
      </c>
      <c r="D13173" s="3">
        <v>0.0</v>
      </c>
      <c r="E13173" s="3">
        <v>0.0</v>
      </c>
      <c r="F13173" s="3" t="s">
        <v>37341</v>
      </c>
      <c r="G13173" s="3">
        <v>0.3333333333333333</v>
      </c>
      <c r="H13173" s="3">
        <v>0.1666666666666667</v>
      </c>
      <c r="I13173" s="3" t="s">
        <v>48</v>
      </c>
      <c r="J13173" s="3" t="s">
        <v>37342</v>
      </c>
      <c r="K13173" s="3" t="s">
        <v>437</v>
      </c>
      <c r="L13173" s="3" t="str">
        <f>IFERROR(__xludf.DUMMYFUNCTION("GOOGLETRANSLATE(F13173,""id"",""en"")"),"Finally, FIFA's favorite players won the World Cup so in vain the referee's struggle to give a penalty every Argentina playing")</f>
        <v>Finally, FIFA's favorite players won the World Cup so in vain the referee's struggle to give a penalty every Argentina playing</v>
      </c>
    </row>
    <row r="13174" ht="15.75" customHeight="1">
      <c r="A13174" s="1">
        <v>14574.0</v>
      </c>
      <c r="B13174" s="3" t="s">
        <v>37343</v>
      </c>
      <c r="C13174" s="3">
        <v>1.0</v>
      </c>
      <c r="D13174" s="3">
        <v>0.0</v>
      </c>
      <c r="E13174" s="3">
        <v>8.0</v>
      </c>
      <c r="F13174" s="3" t="s">
        <v>37344</v>
      </c>
      <c r="G13174" s="3">
        <v>0.0</v>
      </c>
      <c r="H13174" s="3">
        <v>0.0</v>
      </c>
      <c r="I13174" s="3" t="s">
        <v>13</v>
      </c>
      <c r="J13174" s="3" t="s">
        <v>37345</v>
      </c>
      <c r="K13174" s="3" t="s">
        <v>2215</v>
      </c>
      <c r="L13174" s="3" t="str">
        <f>IFERROR(__xludf.DUMMYFUNCTION("GOOGLETRANSLATE(F13174,""id"",""en"")"),"His friend Messi worked hard to help so Messi lifted the trophy while Ronaldo's friend was busy blaming the Argentina referee")</f>
        <v>His friend Messi worked hard to help so Messi lifted the trophy while Ronaldo's friend was busy blaming the Argentina referee</v>
      </c>
    </row>
    <row r="13175" ht="15.75" customHeight="1">
      <c r="A13175" s="1">
        <v>14575.0</v>
      </c>
      <c r="B13175" s="3" t="s">
        <v>37346</v>
      </c>
      <c r="C13175" s="3">
        <v>1.0</v>
      </c>
      <c r="D13175" s="3">
        <v>0.0</v>
      </c>
      <c r="E13175" s="3">
        <v>0.0</v>
      </c>
      <c r="F13175" s="3" t="s">
        <v>37347</v>
      </c>
      <c r="G13175" s="3">
        <v>0.0</v>
      </c>
      <c r="H13175" s="3">
        <v>0.0</v>
      </c>
      <c r="I13175" s="3" t="s">
        <v>13</v>
      </c>
      <c r="J13175" s="3" t="s">
        <v>37348</v>
      </c>
      <c r="K13175" s="3" t="s">
        <v>823</v>
      </c>
      <c r="L13175" s="3" t="str">
        <f>IFERROR(__xludf.DUMMYFUNCTION("GOOGLETRANSLATE(F13175,""id"",""en"")"),"That's the name of the referee's decision setting, I always lucky Argentina, I once said that winning the wrong penalty of the Netherlands with the evidence of the evidence, the position until the penalty shootout that I said already helped the referee to"&amp;" maintain the position")</f>
        <v>That's the name of the referee's decision setting, I always lucky Argentina, I once said that winning the wrong penalty of the Netherlands with the evidence of the evidence, the position until the penalty shootout that I said already helped the referee to maintain the position</v>
      </c>
    </row>
    <row r="13176" ht="15.75" customHeight="1">
      <c r="A13176" s="1">
        <v>14577.0</v>
      </c>
      <c r="B13176" s="3" t="s">
        <v>37349</v>
      </c>
      <c r="C13176" s="3">
        <v>1.0</v>
      </c>
      <c r="D13176" s="3">
        <v>0.0</v>
      </c>
      <c r="E13176" s="3">
        <v>0.0</v>
      </c>
      <c r="F13176" s="3" t="s">
        <v>37350</v>
      </c>
      <c r="G13176" s="3">
        <v>0.0</v>
      </c>
      <c r="H13176" s="3">
        <v>0.0</v>
      </c>
      <c r="I13176" s="3" t="s">
        <v>13</v>
      </c>
      <c r="J13176" s="3" t="s">
        <v>37351</v>
      </c>
      <c r="K13176" s="3" t="s">
        <v>3401</v>
      </c>
      <c r="L13176" s="3" t="str">
        <f>IFERROR(__xludf.DUMMYFUNCTION("GOOGLETRANSLATE(F13176,""id"",""en"")"),"times the penalty is less fortunate what Arabic opponents are if Arabgalin times from the new penalty, the new settings are only offside, the position is in the position of the superior position of the Argentina.")</f>
        <v>times the penalty is less fortunate what Arabic opponents are if Arabgalin times from the new penalty, the new settings are only offside, the position is in the position of the superior position of the Argentina.</v>
      </c>
    </row>
    <row r="13177" ht="15.75" customHeight="1">
      <c r="A13177" s="1">
        <v>14578.0</v>
      </c>
      <c r="B13177" s="3" t="s">
        <v>37352</v>
      </c>
      <c r="C13177" s="3">
        <v>60.0</v>
      </c>
      <c r="D13177" s="3">
        <v>0.0</v>
      </c>
      <c r="E13177" s="3">
        <v>18.0</v>
      </c>
      <c r="F13177" s="3" t="s">
        <v>37353</v>
      </c>
      <c r="G13177" s="3">
        <v>1.0</v>
      </c>
      <c r="H13177" s="3">
        <v>0.0</v>
      </c>
      <c r="I13177" s="3" t="s">
        <v>13</v>
      </c>
      <c r="J13177" s="3" t="s">
        <v>37354</v>
      </c>
      <c r="K13177" s="3" t="s">
        <v>165</v>
      </c>
      <c r="L13177" s="3" t="str">
        <f>IFERROR(__xludf.DUMMYFUNCTION("GOOGLETRANSLATE(F13177,""id"",""en"")"),"The final that blocks Maria Diving Referees Check Var French Players Kaga protested when Maria diving France was rich in lazy playing like French pillars like Giroud and Dembele changed every Match Argentina to get a penalt voucher")</f>
        <v>The final that blocks Maria Diving Referees Check Var French Players Kaga protested when Maria diving France was rich in lazy playing like French pillars like Giroud and Dembele changed every Match Argentina to get a penalt voucher</v>
      </c>
    </row>
    <row r="13178" ht="15.75" customHeight="1">
      <c r="A13178" s="1">
        <v>14579.0</v>
      </c>
      <c r="B13178" s="3" t="s">
        <v>37355</v>
      </c>
      <c r="C13178" s="3">
        <v>0.0</v>
      </c>
      <c r="D13178" s="3">
        <v>0.0</v>
      </c>
      <c r="E13178" s="3">
        <v>0.0</v>
      </c>
      <c r="F13178" s="3" t="s">
        <v>37356</v>
      </c>
      <c r="G13178" s="3">
        <v>0.3</v>
      </c>
      <c r="H13178" s="3">
        <v>0.2</v>
      </c>
      <c r="I13178" s="3" t="s">
        <v>48</v>
      </c>
      <c r="J13178" s="3" t="s">
        <v>37357</v>
      </c>
      <c r="K13178" s="3" t="s">
        <v>657</v>
      </c>
      <c r="L13178" s="3" t="str">
        <f>IFERROR(__xludf.DUMMYFUNCTION("GOOGLETRANSLATE(F13178,""id"",""en"")"),"Argentina French Best Match in Modern Football History Messi Mbappe Crazy Referee Bagus Duaar Atmosphere")</f>
        <v>Argentina French Best Match in Modern Football History Messi Mbappe Crazy Referee Bagus Duaar Atmosphere</v>
      </c>
    </row>
    <row r="13179" ht="15.75" customHeight="1">
      <c r="A13179" s="1">
        <v>14580.0</v>
      </c>
      <c r="B13179" s="3" t="s">
        <v>37358</v>
      </c>
      <c r="C13179" s="3">
        <v>30.0</v>
      </c>
      <c r="D13179" s="3">
        <v>7.0</v>
      </c>
      <c r="E13179" s="3">
        <v>61.0</v>
      </c>
      <c r="F13179" s="3" t="s">
        <v>37359</v>
      </c>
      <c r="G13179" s="3">
        <v>0.0</v>
      </c>
      <c r="H13179" s="3">
        <v>0.0</v>
      </c>
      <c r="I13179" s="3" t="s">
        <v>13</v>
      </c>
      <c r="J13179" s="3" t="s">
        <v>37360</v>
      </c>
      <c r="K13179" s="3" t="s">
        <v>1656</v>
      </c>
      <c r="L13179" s="3" t="str">
        <f>IFERROR(__xludf.DUMMYFUNCTION("GOOGLETRANSLATE(F13179,""id"",""en"")"),"This historical video has come out without checking Var Argentina immediately given Pinalty and the referees of Argentine supporters, don't be too happy that this referee's decision must be understood that the decision made Argentina win the debate")</f>
        <v>This historical video has come out without checking Var Argentina immediately given Pinalty and the referees of Argentine supporters, don't be too happy that this referee's decision must be understood that the decision made Argentina win the debate</v>
      </c>
    </row>
    <row r="13180" ht="15.75" customHeight="1">
      <c r="A13180" s="1">
        <v>14581.0</v>
      </c>
      <c r="B13180" s="3" t="s">
        <v>37361</v>
      </c>
      <c r="C13180" s="3">
        <v>0.0</v>
      </c>
      <c r="D13180" s="3">
        <v>0.0</v>
      </c>
      <c r="E13180" s="3">
        <v>0.0</v>
      </c>
      <c r="F13180" s="3" t="s">
        <v>37362</v>
      </c>
      <c r="G13180" s="3">
        <v>0.0</v>
      </c>
      <c r="H13180" s="3">
        <v>0.0</v>
      </c>
      <c r="I13180" s="3" t="s">
        <v>13</v>
      </c>
      <c r="J13180" s="3" t="s">
        <v>37363</v>
      </c>
      <c r="K13180" s="3" t="s">
        <v>1335</v>
      </c>
      <c r="L13180" s="3" t="str">
        <f>IFERROR(__xludf.DUMMYFUNCTION("GOOGLETRANSLATE(F13180,""id"",""en"")"),"France Carrying Mbappe Argentina Carrying FIFA Referees")</f>
        <v>France Carrying Mbappe Argentina Carrying FIFA Referees</v>
      </c>
    </row>
    <row r="13181" ht="15.75" customHeight="1">
      <c r="A13181" s="1">
        <v>14582.0</v>
      </c>
      <c r="B13181" s="3" t="s">
        <v>37364</v>
      </c>
      <c r="C13181" s="3">
        <v>0.0</v>
      </c>
      <c r="D13181" s="3">
        <v>0.0</v>
      </c>
      <c r="E13181" s="3">
        <v>0.0</v>
      </c>
      <c r="F13181" s="3" t="s">
        <v>37365</v>
      </c>
      <c r="G13181" s="3">
        <v>0.4</v>
      </c>
      <c r="H13181" s="3">
        <v>0.2</v>
      </c>
      <c r="I13181" s="3" t="s">
        <v>48</v>
      </c>
      <c r="J13181" s="3" t="s">
        <v>37366</v>
      </c>
      <c r="K13181" s="3" t="s">
        <v>75</v>
      </c>
      <c r="L13181" s="3" t="str">
        <f>IFERROR(__xludf.DUMMYFUNCTION("GOOGLETRANSLATE(F13181,""id"",""en"")"),"But this victory is very satisfying, but there will be dare to say Argentina helps the referee or FIFA again hahaha")</f>
        <v>But this victory is very satisfying, but there will be dare to say Argentina helps the referee or FIFA again hahaha</v>
      </c>
    </row>
    <row r="13182" ht="15.75" customHeight="1">
      <c r="A13182" s="1">
        <v>14583.0</v>
      </c>
      <c r="B13182" s="3" t="s">
        <v>37367</v>
      </c>
      <c r="C13182" s="3">
        <v>30.0</v>
      </c>
      <c r="D13182" s="3">
        <v>2.0</v>
      </c>
      <c r="E13182" s="3">
        <v>5.0</v>
      </c>
      <c r="F13182" s="3" t="s">
        <v>37368</v>
      </c>
      <c r="G13182" s="3">
        <v>0.0</v>
      </c>
      <c r="H13182" s="3">
        <v>0.0</v>
      </c>
      <c r="I13182" s="3" t="s">
        <v>13</v>
      </c>
      <c r="J13182" s="3" t="s">
        <v>37369</v>
      </c>
      <c r="K13182" s="3" t="s">
        <v>41</v>
      </c>
      <c r="L13182" s="3" t="str">
        <f>IFERROR(__xludf.DUMMYFUNCTION("GOOGLETRANSLATE(F13182,""id"",""en"")"),"I don't see the referee defending Argentina from the penalty, it's clear this setting")</f>
        <v>I don't see the referee defending Argentina from the penalty, it's clear this setting</v>
      </c>
    </row>
    <row r="13183" ht="15.75" customHeight="1">
      <c r="A13183" s="1">
        <v>14584.0</v>
      </c>
      <c r="B13183" s="3" t="s">
        <v>37370</v>
      </c>
      <c r="C13183" s="3">
        <v>0.0</v>
      </c>
      <c r="D13183" s="3">
        <v>0.0</v>
      </c>
      <c r="E13183" s="3">
        <v>2.0</v>
      </c>
      <c r="F13183" s="3" t="s">
        <v>37371</v>
      </c>
      <c r="G13183" s="3">
        <v>0.0</v>
      </c>
      <c r="H13183" s="3">
        <v>0.0</v>
      </c>
      <c r="I13183" s="3" t="s">
        <v>13</v>
      </c>
      <c r="J13183" s="3" t="s">
        <v>37372</v>
      </c>
      <c r="K13183" s="3" t="s">
        <v>135</v>
      </c>
      <c r="L13183" s="3" t="str">
        <f>IFERROR(__xludf.DUMMYFUNCTION("GOOGLETRANSLATE(F13183,""id"",""en"")"),"In my opinion, the drama full of tension begins since France managed to equalize it since then until the penalty shootout with the drama of a French player even deliberately diving to steal a penalty so")</f>
        <v>In my opinion, the drama full of tension begins since France managed to equalize it since then until the penalty shootout with the drama of a French player even deliberately diving to steal a penalty so</v>
      </c>
    </row>
    <row r="13184" ht="15.75" customHeight="1">
      <c r="A13184" s="1">
        <v>14585.0</v>
      </c>
      <c r="B13184" s="3" t="s">
        <v>37373</v>
      </c>
      <c r="C13184" s="3">
        <v>0.0</v>
      </c>
      <c r="D13184" s="3">
        <v>0.0</v>
      </c>
      <c r="E13184" s="3">
        <v>2.0</v>
      </c>
      <c r="F13184" s="3" t="s">
        <v>37374</v>
      </c>
      <c r="G13184" s="3">
        <v>0.0</v>
      </c>
      <c r="H13184" s="3">
        <v>0.0</v>
      </c>
      <c r="I13184" s="3" t="s">
        <v>13</v>
      </c>
      <c r="J13184" s="3" t="s">
        <v>37375</v>
      </c>
      <c r="K13184" s="3" t="s">
        <v>184</v>
      </c>
      <c r="L13184" s="3" t="str">
        <f>IFERROR(__xludf.DUMMYFUNCTION("GOOGLETRANSLATE(F13184,""id"",""en"")"),"If you meet French supporters at this time, I will say the important thing is that the important goal is the best love of all FIFA or referees Babela Argentina, hope for penalties")</f>
        <v>If you meet French supporters at this time, I will say the important thing is that the important goal is the best love of all FIFA or referees Babela Argentina, hope for penalties</v>
      </c>
    </row>
    <row r="13185" ht="15.75" customHeight="1">
      <c r="A13185" s="1">
        <v>14586.0</v>
      </c>
      <c r="B13185" s="3" t="s">
        <v>37376</v>
      </c>
      <c r="C13185" s="3">
        <v>0.0</v>
      </c>
      <c r="D13185" s="3">
        <v>0.0</v>
      </c>
      <c r="E13185" s="3">
        <v>1.0</v>
      </c>
      <c r="F13185" s="3" t="s">
        <v>37377</v>
      </c>
      <c r="G13185" s="3">
        <v>1.0</v>
      </c>
      <c r="H13185" s="3">
        <v>0.0</v>
      </c>
      <c r="I13185" s="3" t="s">
        <v>13</v>
      </c>
      <c r="J13185" s="3" t="s">
        <v>37378</v>
      </c>
      <c r="K13185" s="3" t="s">
        <v>899</v>
      </c>
      <c r="L13185" s="3" t="str">
        <f>IFERROR(__xludf.DUMMYFUNCTION("GOOGLETRANSLATE(F13185,""id"",""en"")"),"French fans like the pity of Messi already old Pilduun for Messi, but only losing Papin Papa, the important thing to enter the final is already champion before the previous referee promises to see the var's var so that Argentina is the championship")</f>
        <v>French fans like the pity of Messi already old Pilduun for Messi, but only losing Papin Papa, the important thing to enter the final is already champion before the previous referee promises to see the var's var so that Argentina is the championship</v>
      </c>
    </row>
    <row r="13186" ht="15.75" customHeight="1">
      <c r="A13186" s="1">
        <v>14587.0</v>
      </c>
      <c r="B13186" s="3" t="s">
        <v>37379</v>
      </c>
      <c r="C13186" s="3">
        <v>152.0</v>
      </c>
      <c r="D13186" s="3">
        <v>509.0</v>
      </c>
      <c r="E13186" s="3">
        <v>1400.0</v>
      </c>
      <c r="F13186" s="3" t="s">
        <v>37380</v>
      </c>
      <c r="G13186" s="3">
        <v>0.0</v>
      </c>
      <c r="H13186" s="3">
        <v>0.0</v>
      </c>
      <c r="I13186" s="3" t="s">
        <v>13</v>
      </c>
      <c r="J13186" s="3" t="s">
        <v>37381</v>
      </c>
      <c r="K13186" s="3" t="s">
        <v>657</v>
      </c>
      <c r="L13186" s="3" t="str">
        <f>IFERROR(__xludf.DUMMYFUNCTION("GOOGLETRANSLATE(F13186,""id"",""en"")"),"Congratulations on my children Argentina has won the World Cup I will add bonuses from personal pockets of Ketum Afa's post")</f>
        <v>Congratulations on my children Argentina has won the World Cup I will add bonuses from personal pockets of Ketum Afa's post</v>
      </c>
    </row>
    <row r="13187" ht="15.75" customHeight="1">
      <c r="A13187" s="1">
        <v>14588.0</v>
      </c>
      <c r="B13187" s="3" t="s">
        <v>37382</v>
      </c>
      <c r="C13187" s="3">
        <v>8.0</v>
      </c>
      <c r="D13187" s="3">
        <v>29.0</v>
      </c>
      <c r="E13187" s="3">
        <v>58.0</v>
      </c>
      <c r="F13187" s="3" t="s">
        <v>37383</v>
      </c>
      <c r="G13187" s="3">
        <v>0.0</v>
      </c>
      <c r="H13187" s="3">
        <v>0.0</v>
      </c>
      <c r="I13187" s="3" t="s">
        <v>13</v>
      </c>
      <c r="J13187" s="3" t="s">
        <v>37384</v>
      </c>
      <c r="K13187" s="3" t="s">
        <v>3819</v>
      </c>
      <c r="L13187" s="3" t="str">
        <f>IFERROR(__xludf.DUMMYFUNCTION("GOOGLETRANSLATE(F13187,""id"",""en"")"),"Please entertain yourself the champion settings assisted by the most penalty referees in the history of the free world cup history continue to write Argentina Lionel Messi World Champion Happy Entertaining Self")</f>
        <v>Please entertain yourself the champion settings assisted by the most penalty referees in the history of the free world cup history continue to write Argentina Lionel Messi World Champion Happy Entertaining Self</v>
      </c>
    </row>
    <row r="13188" ht="15.75" customHeight="1">
      <c r="A13188" s="1">
        <v>14589.0</v>
      </c>
      <c r="B13188" s="3" t="s">
        <v>37385</v>
      </c>
      <c r="C13188" s="3">
        <v>0.0</v>
      </c>
      <c r="D13188" s="3">
        <v>0.0</v>
      </c>
      <c r="E13188" s="3">
        <v>0.0</v>
      </c>
      <c r="F13188" s="3" t="s">
        <v>37386</v>
      </c>
      <c r="G13188" s="3">
        <v>0.0</v>
      </c>
      <c r="H13188" s="3">
        <v>0.0</v>
      </c>
      <c r="I13188" s="3" t="s">
        <v>13</v>
      </c>
      <c r="J13188" s="3" t="s">
        <v>37387</v>
      </c>
      <c r="K13188" s="3" t="s">
        <v>15</v>
      </c>
      <c r="L13188" s="3" t="str">
        <f>IFERROR(__xludf.DUMMYFUNCTION("GOOGLETRANSLATE(F13188,""id"",""en"")"),"Dah Argentina, it's just a goal from the referee's blotting")</f>
        <v>Dah Argentina, it's just a goal from the referee's blotting</v>
      </c>
    </row>
    <row r="13189" ht="15.75" customHeight="1">
      <c r="A13189" s="1">
        <v>14590.0</v>
      </c>
      <c r="B13189" s="3" t="s">
        <v>37388</v>
      </c>
      <c r="C13189" s="3">
        <v>1.0</v>
      </c>
      <c r="D13189" s="3">
        <v>0.0</v>
      </c>
      <c r="E13189" s="3">
        <v>0.0</v>
      </c>
      <c r="F13189" s="3" t="s">
        <v>37389</v>
      </c>
      <c r="G13189" s="3">
        <v>0.0</v>
      </c>
      <c r="H13189" s="3">
        <v>0.0</v>
      </c>
      <c r="I13189" s="3" t="s">
        <v>13</v>
      </c>
      <c r="J13189" s="3" t="s">
        <v>37390</v>
      </c>
      <c r="K13189" s="3" t="s">
        <v>1359</v>
      </c>
      <c r="L13189" s="3" t="str">
        <f>IFERROR(__xludf.DUMMYFUNCTION("GOOGLETRANSLATE(F13189,""id"",""en"")"),"Referee to Poland Argentina lost to Poland Poland lost to France's revenge of nationalism")</f>
        <v>Referee to Poland Argentina lost to Poland Poland lost to France's revenge of nationalism</v>
      </c>
    </row>
    <row r="13190" ht="15.75" customHeight="1">
      <c r="A13190" s="1">
        <v>14591.0</v>
      </c>
      <c r="B13190" s="3" t="s">
        <v>37391</v>
      </c>
      <c r="C13190" s="3">
        <v>0.0</v>
      </c>
      <c r="D13190" s="3">
        <v>0.0</v>
      </c>
      <c r="E13190" s="3">
        <v>2.0</v>
      </c>
      <c r="F13190" s="3" t="s">
        <v>37392</v>
      </c>
      <c r="G13190" s="3">
        <v>0.0</v>
      </c>
      <c r="H13190" s="3">
        <v>0.0</v>
      </c>
      <c r="I13190" s="3" t="s">
        <v>13</v>
      </c>
      <c r="J13190" s="3" t="s">
        <v>37393</v>
      </c>
      <c r="K13190" s="3" t="s">
        <v>15</v>
      </c>
      <c r="L13190" s="3" t="str">
        <f>IFERROR(__xludf.DUMMYFUNCTION("GOOGLETRANSLATE(F13190,""id"",""en"")"),"If Argentina pays the referee, why do France get two penalties")</f>
        <v>If Argentina pays the referee, why do France get two penalties</v>
      </c>
    </row>
    <row r="13191" ht="15.75" customHeight="1">
      <c r="A13191" s="1">
        <v>14594.0</v>
      </c>
      <c r="B13191" s="3" t="s">
        <v>37394</v>
      </c>
      <c r="C13191" s="3">
        <v>0.0</v>
      </c>
      <c r="D13191" s="3">
        <v>1.0</v>
      </c>
      <c r="E13191" s="3">
        <v>0.0</v>
      </c>
      <c r="F13191" s="3" t="s">
        <v>37395</v>
      </c>
      <c r="G13191" s="3">
        <v>0.3333333333333333</v>
      </c>
      <c r="H13191" s="3">
        <v>0.1666666666666667</v>
      </c>
      <c r="I13191" s="3" t="s">
        <v>48</v>
      </c>
      <c r="J13191" s="3" t="s">
        <v>37396</v>
      </c>
      <c r="K13191" s="3" t="s">
        <v>495</v>
      </c>
      <c r="L13191" s="3" t="str">
        <f>IFERROR(__xludf.DUMMYFUNCTION("GOOGLETRANSLATE(F13191,""id"",""en"")"),"list of sentences for Argentine haters champion rubbing vouchers assisted by referee Messi Golden Children FIFA Playing Dukun Lose Wind")</f>
        <v>list of sentences for Argentine haters champion rubbing vouchers assisted by referee Messi Golden Children FIFA Playing Dukun Lose Wind</v>
      </c>
    </row>
    <row r="13192" ht="15.75" customHeight="1">
      <c r="A13192" s="1">
        <v>14595.0</v>
      </c>
      <c r="B13192" s="3" t="s">
        <v>37397</v>
      </c>
      <c r="C13192" s="3">
        <v>1.0</v>
      </c>
      <c r="D13192" s="3">
        <v>0.0</v>
      </c>
      <c r="E13192" s="3">
        <v>0.0</v>
      </c>
      <c r="F13192" s="3" t="s">
        <v>37398</v>
      </c>
      <c r="G13192" s="3">
        <v>0.4</v>
      </c>
      <c r="H13192" s="3">
        <v>0.1</v>
      </c>
      <c r="I13192" s="3" t="s">
        <v>48</v>
      </c>
      <c r="J13192" s="3" t="s">
        <v>37399</v>
      </c>
      <c r="K13192" s="3" t="s">
        <v>86</v>
      </c>
      <c r="L13192" s="3" t="str">
        <f>IFERROR(__xludf.DUMMYFUNCTION("GOOGLETRANSLATE(F13192,""id"",""en"")"),"Many Messi Qatar fans or even Qatar is indeed a Messi gold carpet fan for Messi to close his career must be a referee to support Qatar Support the Argentina Team Rough French Team Unfortunate Coman for Messi to be Complete Goat")</f>
        <v>Many Messi Qatar fans or even Qatar is indeed a Messi gold carpet fan for Messi to close his career must be a referee to support Qatar Support the Argentina Team Rough French Team Unfortunate Coman for Messi to be Complete Goat</v>
      </c>
    </row>
    <row r="13193" ht="15.75" customHeight="1">
      <c r="A13193" s="1">
        <v>14596.0</v>
      </c>
      <c r="B13193" s="3" t="s">
        <v>37400</v>
      </c>
      <c r="C13193" s="3">
        <v>0.0</v>
      </c>
      <c r="D13193" s="3">
        <v>1.0</v>
      </c>
      <c r="E13193" s="3">
        <v>0.0</v>
      </c>
      <c r="F13193" s="3" t="s">
        <v>37401</v>
      </c>
      <c r="G13193" s="3">
        <v>0.0</v>
      </c>
      <c r="H13193" s="3">
        <v>0.0</v>
      </c>
      <c r="I13193" s="3" t="s">
        <v>13</v>
      </c>
      <c r="J13193" s="3" t="s">
        <v>37402</v>
      </c>
      <c r="K13193" s="3" t="s">
        <v>58</v>
      </c>
      <c r="L13193" s="3" t="str">
        <f>IFERROR(__xludf.DUMMYFUNCTION("GOOGLETRANSLATE(F13193,""id"",""en"")"),"At least Argentina's victory is full of struggle not only given the same referee wkwkwk congrats")</f>
        <v>At least Argentina's victory is full of struggle not only given the same referee wkwkwk congrats</v>
      </c>
    </row>
    <row r="13194" ht="15.75" customHeight="1">
      <c r="A13194" s="1">
        <v>14597.0</v>
      </c>
      <c r="B13194" s="3" t="s">
        <v>37403</v>
      </c>
      <c r="C13194" s="3">
        <v>30.0</v>
      </c>
      <c r="D13194" s="3">
        <v>54.0</v>
      </c>
      <c r="E13194" s="3">
        <v>163.0</v>
      </c>
      <c r="F13194" s="3" t="s">
        <v>37404</v>
      </c>
      <c r="G13194" s="3">
        <v>0.0</v>
      </c>
      <c r="H13194" s="3">
        <v>0.0</v>
      </c>
      <c r="I13194" s="3" t="s">
        <v>13</v>
      </c>
      <c r="J13194" s="3" t="s">
        <v>37405</v>
      </c>
      <c r="K13194" s="3" t="s">
        <v>644</v>
      </c>
      <c r="L13194" s="3" t="str">
        <f>IFERROR(__xludf.DUMMYFUNCTION("GOOGLETRANSLATE(F13194,""id"",""en"")"),"Congratulations to Argentina who champions")</f>
        <v>Congratulations to Argentina who champions</v>
      </c>
    </row>
    <row r="13195" ht="15.75" customHeight="1">
      <c r="A13195" s="1">
        <v>14598.0</v>
      </c>
      <c r="B13195" s="3" t="s">
        <v>37406</v>
      </c>
      <c r="C13195" s="3">
        <v>0.0</v>
      </c>
      <c r="D13195" s="3">
        <v>0.0</v>
      </c>
      <c r="E13195" s="3">
        <v>0.0</v>
      </c>
      <c r="F13195" s="3" t="s">
        <v>37407</v>
      </c>
      <c r="G13195" s="3">
        <v>0.0</v>
      </c>
      <c r="H13195" s="3">
        <v>0.0</v>
      </c>
      <c r="I13195" s="3" t="s">
        <v>13</v>
      </c>
      <c r="J13195" s="3" t="s">
        <v>37408</v>
      </c>
      <c r="K13195" s="3" t="s">
        <v>883</v>
      </c>
      <c r="L13195" s="3" t="str">
        <f>IFERROR(__xludf.DUMMYFUNCTION("GOOGLETRANSLATE(F13195,""id"",""en"")"),"not given a penalty the referee's decision will be co -winning good to be given the SBNR because it is worth the Argentina winning a penalty shootout")</f>
        <v>not given a penalty the referee's decision will be co -winning good to be given the SBNR because it is worth the Argentina winning a penalty shootout</v>
      </c>
    </row>
    <row r="13196" ht="15.75" customHeight="1">
      <c r="A13196" s="1">
        <v>14599.0</v>
      </c>
      <c r="B13196" s="3" t="s">
        <v>37409</v>
      </c>
      <c r="C13196" s="3">
        <v>1.0</v>
      </c>
      <c r="D13196" s="3">
        <v>0.0</v>
      </c>
      <c r="E13196" s="3">
        <v>1.0</v>
      </c>
      <c r="F13196" s="3" t="s">
        <v>37410</v>
      </c>
      <c r="G13196" s="3">
        <v>0.0</v>
      </c>
      <c r="H13196" s="3">
        <v>0.0</v>
      </c>
      <c r="I13196" s="3" t="s">
        <v>13</v>
      </c>
      <c r="J13196" s="3" t="s">
        <v>37411</v>
      </c>
      <c r="K13196" s="3" t="s">
        <v>644</v>
      </c>
      <c r="L13196" s="3" t="str">
        <f>IFERROR(__xludf.DUMMYFUNCTION("GOOGLETRANSLATE(F13196,""id"",""en"")"),"There is something strange from Argentina France's referee")</f>
        <v>There is something strange from Argentina France's referee</v>
      </c>
    </row>
    <row r="13197" ht="15.75" customHeight="1">
      <c r="A13197" s="1">
        <v>14600.0</v>
      </c>
      <c r="B13197" s="3" t="s">
        <v>37412</v>
      </c>
      <c r="C13197" s="3">
        <v>2.0</v>
      </c>
      <c r="D13197" s="3">
        <v>2.0</v>
      </c>
      <c r="E13197" s="3">
        <v>41.0</v>
      </c>
      <c r="F13197" s="3" t="s">
        <v>37413</v>
      </c>
      <c r="G13197" s="3">
        <v>1.0</v>
      </c>
      <c r="H13197" s="3">
        <v>0.0</v>
      </c>
      <c r="I13197" s="3" t="s">
        <v>13</v>
      </c>
      <c r="J13197" s="3" t="s">
        <v>37414</v>
      </c>
      <c r="K13197" s="3" t="s">
        <v>675</v>
      </c>
      <c r="L13197" s="3" t="str">
        <f>IFERROR(__xludf.DUMMYFUNCTION("GOOGLETRANSLATE(F13197,""id"",""en"")"),"Lautaro Rotten Determine Victory Pas the Dutch Montreal Final Execution of Argentina Final Redeemer Sin France France earlier the best scenario imagined to survive Messi was thought to benefit from this penalty and final referee")</f>
        <v>Lautaro Rotten Determine Victory Pas the Dutch Montreal Final Execution of Argentina Final Redeemer Sin France France earlier the best scenario imagined to survive Messi was thought to benefit from this penalty and final referee</v>
      </c>
    </row>
    <row r="13198" ht="15.75" customHeight="1">
      <c r="A13198" s="1">
        <v>14601.0</v>
      </c>
      <c r="B13198" s="3" t="s">
        <v>37415</v>
      </c>
      <c r="C13198" s="3">
        <v>0.0</v>
      </c>
      <c r="D13198" s="3">
        <v>0.0</v>
      </c>
      <c r="E13198" s="3">
        <v>0.0</v>
      </c>
      <c r="F13198" s="3" t="s">
        <v>37416</v>
      </c>
      <c r="G13198" s="3">
        <v>1.0</v>
      </c>
      <c r="H13198" s="3">
        <v>0.0</v>
      </c>
      <c r="I13198" s="3" t="s">
        <v>13</v>
      </c>
      <c r="J13198" s="3" t="s">
        <v>37417</v>
      </c>
      <c r="K13198" s="3" t="s">
        <v>15</v>
      </c>
      <c r="L13198" s="3" t="str">
        <f>IFERROR(__xludf.DUMMYFUNCTION("GOOGLETRANSLATE(F13198,""id"",""en"")"),"This best final is a world cup if you rub the voucher from the referee Argentina")</f>
        <v>This best final is a world cup if you rub the voucher from the referee Argentina</v>
      </c>
    </row>
    <row r="13199" ht="15.75" customHeight="1">
      <c r="A13199" s="1">
        <v>14602.0</v>
      </c>
      <c r="B13199" s="3" t="s">
        <v>37418</v>
      </c>
      <c r="C13199" s="3">
        <v>0.0</v>
      </c>
      <c r="D13199" s="3">
        <v>0.0</v>
      </c>
      <c r="E13199" s="3">
        <v>0.0</v>
      </c>
      <c r="F13199" s="3" t="s">
        <v>37419</v>
      </c>
      <c r="G13199" s="3">
        <v>0.0</v>
      </c>
      <c r="H13199" s="3">
        <v>0.0</v>
      </c>
      <c r="I13199" s="3" t="s">
        <v>13</v>
      </c>
      <c r="J13199" s="3" t="s">
        <v>37420</v>
      </c>
      <c r="K13199" s="3" t="s">
        <v>123</v>
      </c>
      <c r="L13199" s="3" t="str">
        <f>IFERROR(__xludf.DUMMYFUNCTION("GOOGLETRANSLATE(F13199,""id"",""en"")"),"The craziest minute referee Kalegha congratulations to the people of Argentina Congratulations Maria Paredes Ang Great Messi")</f>
        <v>The craziest minute referee Kalegha congratulations to the people of Argentina Congratulations Maria Paredes Ang Great Messi</v>
      </c>
    </row>
    <row r="13200" ht="15.75" customHeight="1">
      <c r="A13200" s="1">
        <v>14603.0</v>
      </c>
      <c r="B13200" s="3" t="s">
        <v>37421</v>
      </c>
      <c r="C13200" s="3">
        <v>0.0</v>
      </c>
      <c r="D13200" s="3">
        <v>0.0</v>
      </c>
      <c r="E13200" s="3">
        <v>1.0</v>
      </c>
      <c r="F13200" s="3" t="s">
        <v>37422</v>
      </c>
      <c r="G13200" s="3">
        <v>0.0</v>
      </c>
      <c r="H13200" s="3">
        <v>0.0</v>
      </c>
      <c r="I13200" s="3" t="s">
        <v>13</v>
      </c>
      <c r="J13200" s="3" t="s">
        <v>37423</v>
      </c>
      <c r="K13200" s="3" t="s">
        <v>50</v>
      </c>
      <c r="L13200" s="3" t="str">
        <f>IFERROR(__xludf.DUMMYFUNCTION("GOOGLETRANSLATE(F13200,""id"",""en"")"),"Ngata Argentina The team was fortunate now that France got a penalty aowkwkwk")</f>
        <v>Ngata Argentina The team was fortunate now that France got a penalty aowkwkwk</v>
      </c>
    </row>
    <row r="13201" ht="15.75" customHeight="1">
      <c r="A13201" s="1">
        <v>14604.0</v>
      </c>
      <c r="B13201" s="3" t="s">
        <v>37424</v>
      </c>
      <c r="C13201" s="3">
        <v>1.0</v>
      </c>
      <c r="D13201" s="3">
        <v>0.0</v>
      </c>
      <c r="E13201" s="3">
        <v>0.0</v>
      </c>
      <c r="F13201" s="3" t="s">
        <v>37425</v>
      </c>
      <c r="G13201" s="3">
        <v>0.0</v>
      </c>
      <c r="H13201" s="3">
        <v>0.0</v>
      </c>
      <c r="I13201" s="3" t="s">
        <v>13</v>
      </c>
      <c r="J13201" s="3" t="s">
        <v>37426</v>
      </c>
      <c r="K13201" s="3" t="s">
        <v>1970</v>
      </c>
      <c r="L13201" s="3" t="str">
        <f>IFERROR(__xludf.DUMMYFUNCTION("GOOGLETRANSLATE(F13201,""id"",""en"")"),"France lost to the dead kmaren was bought by the referee against the Morocco prayer of the wrongdoing Alhamdulillah Argentina won the Congrats of Argentina today's referee to the penalty")</f>
        <v>France lost to the dead kmaren was bought by the referee against the Morocco prayer of the wrongdoing Alhamdulillah Argentina won the Congrats of Argentina today's referee to the penalty</v>
      </c>
    </row>
    <row r="13202" ht="15.75" customHeight="1">
      <c r="A13202" s="1">
        <v>14605.0</v>
      </c>
      <c r="B13202" s="3" t="s">
        <v>37427</v>
      </c>
      <c r="C13202" s="3">
        <v>0.0</v>
      </c>
      <c r="D13202" s="3">
        <v>0.0</v>
      </c>
      <c r="E13202" s="3">
        <v>0.0</v>
      </c>
      <c r="F13202" s="3" t="s">
        <v>37428</v>
      </c>
      <c r="G13202" s="3">
        <v>0.0</v>
      </c>
      <c r="H13202" s="3">
        <v>0.0</v>
      </c>
      <c r="I13202" s="3" t="s">
        <v>13</v>
      </c>
      <c r="J13202" s="3" t="s">
        <v>37429</v>
      </c>
      <c r="K13202" s="3" t="s">
        <v>135</v>
      </c>
      <c r="L13202" s="3" t="str">
        <f>IFERROR(__xludf.DUMMYFUNCTION("GOOGLETRANSLATE(F13202,""id"",""en"")"),"Alhamdulillah, Argentina won Puaass PGN, seeing that his French president was a Moroccan fan of France, France, Kmaren won by the referee of Tai Congrats Argentina, this referee was fair")</f>
        <v>Alhamdulillah, Argentina won Puaass PGN, seeing that his French president was a Moroccan fan of France, France, Kmaren won by the referee of Tai Congrats Argentina, this referee was fair</v>
      </c>
    </row>
    <row r="13203" ht="15.75" customHeight="1">
      <c r="A13203" s="1">
        <v>14606.0</v>
      </c>
      <c r="B13203" s="3" t="s">
        <v>37430</v>
      </c>
      <c r="C13203" s="3">
        <v>1.0</v>
      </c>
      <c r="D13203" s="3">
        <v>0.0</v>
      </c>
      <c r="E13203" s="3">
        <v>1.0</v>
      </c>
      <c r="F13203" s="3" t="s">
        <v>37431</v>
      </c>
      <c r="G13203" s="3">
        <v>0.0</v>
      </c>
      <c r="H13203" s="3">
        <v>0.0</v>
      </c>
      <c r="I13203" s="3" t="s">
        <v>13</v>
      </c>
      <c r="J13203" s="3" t="s">
        <v>37432</v>
      </c>
      <c r="K13203" s="3" t="s">
        <v>14571</v>
      </c>
      <c r="L13203" s="3" t="str">
        <f>IFERROR(__xludf.DUMMYFUNCTION("GOOGLETRANSLATE(F13203,""id"",""en"")"),"Argentina Referee")</f>
        <v>Argentina Referee</v>
      </c>
    </row>
    <row r="13204" ht="15.75" customHeight="1">
      <c r="A13204" s="1">
        <v>14607.0</v>
      </c>
      <c r="B13204" s="3" t="s">
        <v>37433</v>
      </c>
      <c r="C13204" s="3">
        <v>0.0</v>
      </c>
      <c r="D13204" s="3">
        <v>0.0</v>
      </c>
      <c r="E13204" s="3">
        <v>0.0</v>
      </c>
      <c r="F13204" s="3" t="s">
        <v>37434</v>
      </c>
      <c r="G13204" s="3">
        <v>0.0</v>
      </c>
      <c r="H13204" s="3">
        <v>0.0</v>
      </c>
      <c r="I13204" s="3" t="s">
        <v>13</v>
      </c>
      <c r="J13204" s="3" t="s">
        <v>37435</v>
      </c>
      <c r="K13204" s="3" t="s">
        <v>433</v>
      </c>
      <c r="L13204" s="3" t="str">
        <f>IFERROR(__xludf.DUMMYFUNCTION("GOOGLETRANSLATE(F13204,""id"",""en"")"),"The referee and France are still Argentina fairplay many times try spending time and also use violence several times")</f>
        <v>The referee and France are still Argentina fairplay many times try spending time and also use violence several times</v>
      </c>
    </row>
    <row r="13205" ht="15.75" customHeight="1">
      <c r="A13205" s="1">
        <v>14608.0</v>
      </c>
      <c r="B13205" s="3" t="s">
        <v>37436</v>
      </c>
      <c r="C13205" s="3">
        <v>1.0</v>
      </c>
      <c r="D13205" s="3">
        <v>0.0</v>
      </c>
      <c r="E13205" s="3">
        <v>0.0</v>
      </c>
      <c r="F13205" s="3" t="s">
        <v>37437</v>
      </c>
      <c r="G13205" s="3">
        <v>0.0</v>
      </c>
      <c r="H13205" s="3">
        <v>0.0</v>
      </c>
      <c r="I13205" s="3" t="s">
        <v>13</v>
      </c>
      <c r="J13205" s="3" t="s">
        <v>37438</v>
      </c>
      <c r="K13205" s="3" t="s">
        <v>699</v>
      </c>
      <c r="L13205" s="3" t="str">
        <f>IFERROR(__xludf.DUMMYFUNCTION("GOOGLETRANSLATE(F13205,""id"",""en"")"),"I am a person of Qatar Kelurahan, Pak quickly, I don't win, this Argentina, Pak Pinalty, Mbappe, kicks the ball, the referee, sir")</f>
        <v>I am a person of Qatar Kelurahan, Pak quickly, I don't win, this Argentina, Pak Pinalty, Mbappe, kicks the ball, the referee, sir</v>
      </c>
    </row>
    <row r="13206" ht="15.75" customHeight="1">
      <c r="A13206" s="1">
        <v>14609.0</v>
      </c>
      <c r="B13206" s="3" t="s">
        <v>37439</v>
      </c>
      <c r="C13206" s="3">
        <v>0.0</v>
      </c>
      <c r="D13206" s="3">
        <v>0.0</v>
      </c>
      <c r="E13206" s="3">
        <v>2.0</v>
      </c>
      <c r="F13206" s="3" t="s">
        <v>37440</v>
      </c>
      <c r="G13206" s="3">
        <v>0.0</v>
      </c>
      <c r="H13206" s="3">
        <v>0.0</v>
      </c>
      <c r="I13206" s="3" t="s">
        <v>13</v>
      </c>
      <c r="J13206" s="3" t="s">
        <v>37441</v>
      </c>
      <c r="K13206" s="3" t="s">
        <v>41</v>
      </c>
      <c r="L13206" s="3" t="str">
        <f>IFERROR(__xludf.DUMMYFUNCTION("GOOGLETRANSLATE(F13206,""id"",""en"")"),"Messi, if not assisted by the first penalty referee, is running out")</f>
        <v>Messi, if not assisted by the first penalty referee, is running out</v>
      </c>
    </row>
    <row r="13207" ht="15.75" customHeight="1">
      <c r="A13207" s="1">
        <v>14610.0</v>
      </c>
      <c r="B13207" s="3" t="s">
        <v>37442</v>
      </c>
      <c r="C13207" s="3">
        <v>0.0</v>
      </c>
      <c r="D13207" s="3">
        <v>0.0</v>
      </c>
      <c r="E13207" s="3">
        <v>0.0</v>
      </c>
      <c r="F13207" s="3" t="s">
        <v>37443</v>
      </c>
      <c r="G13207" s="3">
        <v>0.0</v>
      </c>
      <c r="H13207" s="3">
        <v>0.0</v>
      </c>
      <c r="I13207" s="3" t="s">
        <v>13</v>
      </c>
      <c r="J13207" s="3" t="s">
        <v>37444</v>
      </c>
      <c r="K13207" s="3" t="s">
        <v>644</v>
      </c>
      <c r="L13207" s="3" t="str">
        <f>IFERROR(__xludf.DUMMYFUNCTION("GOOGLETRANSLATE(F13207,""id"",""en"")"),"Referee Seko Argentina")</f>
        <v>Referee Seko Argentina</v>
      </c>
    </row>
    <row r="13208" ht="15.75" customHeight="1">
      <c r="A13208" s="1">
        <v>14611.0</v>
      </c>
      <c r="B13208" s="3" t="s">
        <v>37445</v>
      </c>
      <c r="C13208" s="3">
        <v>0.0</v>
      </c>
      <c r="D13208" s="3">
        <v>0.0</v>
      </c>
      <c r="E13208" s="3">
        <v>1.0</v>
      </c>
      <c r="F13208" s="3" t="s">
        <v>37446</v>
      </c>
      <c r="G13208" s="3">
        <v>0.0</v>
      </c>
      <c r="H13208" s="3">
        <v>0.0</v>
      </c>
      <c r="I13208" s="3" t="s">
        <v>13</v>
      </c>
      <c r="J13208" s="3" t="s">
        <v>37447</v>
      </c>
      <c r="K13208" s="3" t="s">
        <v>54</v>
      </c>
      <c r="L13208" s="3" t="str">
        <f>IFERROR(__xludf.DUMMYFUNCTION("GOOGLETRANSLATE(F13208,""id"",""en"")"),"Drake rather than making a betting for the referee")</f>
        <v>Drake rather than making a betting for the referee</v>
      </c>
    </row>
    <row r="13209" ht="15.75" customHeight="1">
      <c r="A13209" s="1">
        <v>14612.0</v>
      </c>
      <c r="B13209" s="3" t="s">
        <v>37448</v>
      </c>
      <c r="C13209" s="3">
        <v>0.0</v>
      </c>
      <c r="D13209" s="3">
        <v>1.0</v>
      </c>
      <c r="E13209" s="3">
        <v>0.0</v>
      </c>
      <c r="F13209" s="3" t="s">
        <v>37449</v>
      </c>
      <c r="G13209" s="3">
        <v>0.0</v>
      </c>
      <c r="H13209" s="3">
        <v>0.0</v>
      </c>
      <c r="I13209" s="3" t="s">
        <v>13</v>
      </c>
      <c r="J13209" s="3" t="s">
        <v>37450</v>
      </c>
      <c r="K13209" s="3" t="s">
        <v>54</v>
      </c>
      <c r="L13209" s="3" t="str">
        <f>IFERROR(__xludf.DUMMYFUNCTION("GOOGLETRANSLATE(F13209,""id"",""en"")"),"Two Funny Words From Argentina Fans Referee Taek")</f>
        <v>Two Funny Words From Argentina Fans Referee Taek</v>
      </c>
    </row>
    <row r="13210" ht="15.75" customHeight="1">
      <c r="A13210" s="1">
        <v>14613.0</v>
      </c>
      <c r="B13210" s="3" t="s">
        <v>37451</v>
      </c>
      <c r="C13210" s="3">
        <v>0.0</v>
      </c>
      <c r="D13210" s="3">
        <v>0.0</v>
      </c>
      <c r="E13210" s="3">
        <v>0.0</v>
      </c>
      <c r="F13210" s="3" t="s">
        <v>37452</v>
      </c>
      <c r="G13210" s="3">
        <v>0.0</v>
      </c>
      <c r="H13210" s="3">
        <v>0.0</v>
      </c>
      <c r="I13210" s="3" t="s">
        <v>13</v>
      </c>
      <c r="J13210" s="3" t="s">
        <v>37453</v>
      </c>
      <c r="K13210" s="3" t="s">
        <v>1912</v>
      </c>
      <c r="L13210" s="3" t="str">
        <f>IFERROR(__xludf.DUMMYFUNCTION("GOOGLETRANSLATE(F13210,""id"",""en"")"),"My father supports Argentina from earlier, his referee and Parkinson's hand is great now so stressful watching the ball I support France eating fried indomie with casual losing, it's already won already, that's all")</f>
        <v>My father supports Argentina from earlier, his referee and Parkinson's hand is great now so stressful watching the ball I support France eating fried indomie with casual losing, it's already won already, that's all</v>
      </c>
    </row>
    <row r="13211" ht="15.75" customHeight="1">
      <c r="A13211" s="1">
        <v>14614.0</v>
      </c>
      <c r="B13211" s="3" t="s">
        <v>37454</v>
      </c>
      <c r="C13211" s="3">
        <v>0.0</v>
      </c>
      <c r="D13211" s="3">
        <v>0.0</v>
      </c>
      <c r="E13211" s="3">
        <v>1.0</v>
      </c>
      <c r="F13211" s="3" t="s">
        <v>37455</v>
      </c>
      <c r="G13211" s="3">
        <v>0.0</v>
      </c>
      <c r="H13211" s="3">
        <v>0.0</v>
      </c>
      <c r="I13211" s="3" t="s">
        <v>13</v>
      </c>
      <c r="J13211" s="3" t="s">
        <v>37456</v>
      </c>
      <c r="K13211" s="3" t="s">
        <v>31</v>
      </c>
      <c r="L13211" s="3" t="str">
        <f>IFERROR(__xludf.DUMMYFUNCTION("GOOGLETRANSLATE(F13211,""id"",""en"")"),"more chaotic than Dutch Argentine referee")</f>
        <v>more chaotic than Dutch Argentine referee</v>
      </c>
    </row>
    <row r="13212" ht="15.75" customHeight="1">
      <c r="A13212" s="1">
        <v>14615.0</v>
      </c>
      <c r="B13212" s="3" t="s">
        <v>37457</v>
      </c>
      <c r="C13212" s="3">
        <v>0.0</v>
      </c>
      <c r="D13212" s="3">
        <v>0.0</v>
      </c>
      <c r="E13212" s="3">
        <v>0.0</v>
      </c>
      <c r="F13212" s="3" t="s">
        <v>37458</v>
      </c>
      <c r="G13212" s="3">
        <v>0.0</v>
      </c>
      <c r="H13212" s="3">
        <v>0.0</v>
      </c>
      <c r="I13212" s="3" t="s">
        <v>13</v>
      </c>
      <c r="J13212" s="3" t="s">
        <v>37459</v>
      </c>
      <c r="K13212" s="3" t="s">
        <v>41</v>
      </c>
      <c r="L13212" s="3" t="str">
        <f>IFERROR(__xludf.DUMMYFUNCTION("GOOGLETRANSLATE(F13212,""id"",""en"")"),"just look at the referees anj is so heavy giving an Argentine yellow card")</f>
        <v>just look at the referees anj is so heavy giving an Argentine yellow card</v>
      </c>
    </row>
    <row r="13213" ht="15.75" customHeight="1">
      <c r="A13213" s="1">
        <v>14616.0</v>
      </c>
      <c r="B13213" s="3" t="s">
        <v>37460</v>
      </c>
      <c r="C13213" s="3">
        <v>0.0</v>
      </c>
      <c r="D13213" s="3">
        <v>0.0</v>
      </c>
      <c r="E13213" s="3">
        <v>1.0</v>
      </c>
      <c r="F13213" s="3" t="s">
        <v>37461</v>
      </c>
      <c r="G13213" s="3">
        <v>0.0</v>
      </c>
      <c r="H13213" s="3">
        <v>0.0</v>
      </c>
      <c r="I13213" s="3" t="s">
        <v>13</v>
      </c>
      <c r="J13213" s="3" t="s">
        <v>37462</v>
      </c>
      <c r="K13213" s="3" t="s">
        <v>2117</v>
      </c>
      <c r="L13213" s="3" t="str">
        <f>IFERROR(__xludf.DUMMYFUNCTION("GOOGLETRANSLATE(F13213,""id"",""en"")"),"Congrats Argentina Referee")</f>
        <v>Congrats Argentina Referee</v>
      </c>
    </row>
    <row r="13214" ht="15.75" customHeight="1">
      <c r="A13214" s="1">
        <v>14617.0</v>
      </c>
      <c r="B13214" s="3" t="s">
        <v>37463</v>
      </c>
      <c r="C13214" s="3">
        <v>0.0</v>
      </c>
      <c r="D13214" s="3">
        <v>0.0</v>
      </c>
      <c r="E13214" s="3">
        <v>0.0</v>
      </c>
      <c r="F13214" s="3" t="s">
        <v>37464</v>
      </c>
      <c r="G13214" s="3">
        <v>0.0</v>
      </c>
      <c r="H13214" s="3">
        <v>0.0</v>
      </c>
      <c r="I13214" s="3" t="s">
        <v>13</v>
      </c>
      <c r="J13214" s="3" t="s">
        <v>37465</v>
      </c>
      <c r="K13214" s="3" t="s">
        <v>31</v>
      </c>
      <c r="L13214" s="3" t="str">
        <f>IFERROR(__xludf.DUMMYFUNCTION("GOOGLETRANSLATE(F13214,""id"",""en"")"),"The referee's hours vibrate goals, Argentina")</f>
        <v>The referee's hours vibrate goals, Argentina</v>
      </c>
    </row>
    <row r="13215" ht="15.75" customHeight="1">
      <c r="A13215" s="1">
        <v>14618.0</v>
      </c>
      <c r="B13215" s="3" t="s">
        <v>37466</v>
      </c>
      <c r="C13215" s="3">
        <v>4.0</v>
      </c>
      <c r="D13215" s="3">
        <v>9.0</v>
      </c>
      <c r="E13215" s="3">
        <v>31.0</v>
      </c>
      <c r="F13215" s="3" t="s">
        <v>37467</v>
      </c>
      <c r="G13215" s="3">
        <v>0.0</v>
      </c>
      <c r="H13215" s="3">
        <v>0.0</v>
      </c>
      <c r="I13215" s="3" t="s">
        <v>13</v>
      </c>
      <c r="J13215" s="3" t="s">
        <v>37468</v>
      </c>
      <c r="K13215" s="3" t="s">
        <v>14571</v>
      </c>
      <c r="L13215" s="3" t="str">
        <f>IFERROR(__xludf.DUMMYFUNCTION("GOOGLETRANSLATE(F13215,""id"",""en"")"),"Golllll Argentina")</f>
        <v>Golllll Argentina</v>
      </c>
    </row>
    <row r="13216" ht="15.75" customHeight="1">
      <c r="A13216" s="1">
        <v>14619.0</v>
      </c>
      <c r="B13216" s="3" t="s">
        <v>37469</v>
      </c>
      <c r="C13216" s="3">
        <v>0.0</v>
      </c>
      <c r="D13216" s="3">
        <v>0.0</v>
      </c>
      <c r="E13216" s="3">
        <v>0.0</v>
      </c>
      <c r="F13216" s="3" t="s">
        <v>37470</v>
      </c>
      <c r="G13216" s="3">
        <v>0.0</v>
      </c>
      <c r="H13216" s="3">
        <v>0.0</v>
      </c>
      <c r="I13216" s="3" t="s">
        <v>13</v>
      </c>
      <c r="J13216" s="3" t="s">
        <v>37471</v>
      </c>
      <c r="K13216" s="3" t="s">
        <v>54</v>
      </c>
      <c r="L13216" s="3" t="str">
        <f>IFERROR(__xludf.DUMMYFUNCTION("GOOGLETRANSLATE(F13216,""id"",""en"")"),"Already help the referee also Argentina is still just pea wkwkwkw")</f>
        <v>Already help the referee also Argentina is still just pea wkwkwkw</v>
      </c>
    </row>
    <row r="13217" ht="15.75" customHeight="1">
      <c r="A13217" s="1">
        <v>14620.0</v>
      </c>
      <c r="B13217" s="3" t="s">
        <v>37472</v>
      </c>
      <c r="C13217" s="3">
        <v>1.0</v>
      </c>
      <c r="D13217" s="3">
        <v>0.0</v>
      </c>
      <c r="E13217" s="3">
        <v>0.0</v>
      </c>
      <c r="F13217" s="3" t="s">
        <v>37473</v>
      </c>
      <c r="G13217" s="3">
        <v>0.0</v>
      </c>
      <c r="H13217" s="3">
        <v>0.0</v>
      </c>
      <c r="I13217" s="3" t="s">
        <v>13</v>
      </c>
      <c r="J13217" s="3" t="s">
        <v>37474</v>
      </c>
      <c r="K13217" s="3" t="s">
        <v>127</v>
      </c>
      <c r="L13217" s="3" t="str">
        <f>IFERROR(__xludf.DUMMYFUNCTION("GOOGLETRANSLATE(F13217,""id"",""en"")"),"It could be just referee to see the var wkwkwkwk want a French or Argentina goal, he must be controversial so that it is crowded after the final sosmed hahahahahahaah")</f>
        <v>It could be just referee to see the var wkwkwkwk want a French or Argentina goal, he must be controversial so that it is crowded after the final sosmed hahahahahahaah</v>
      </c>
    </row>
    <row r="13218" ht="15.75" customHeight="1">
      <c r="A13218" s="1">
        <v>14621.0</v>
      </c>
      <c r="B13218" s="3" t="s">
        <v>37475</v>
      </c>
      <c r="C13218" s="3">
        <v>0.0</v>
      </c>
      <c r="D13218" s="3">
        <v>0.0</v>
      </c>
      <c r="E13218" s="3">
        <v>0.0</v>
      </c>
      <c r="F13218" s="3" t="s">
        <v>37476</v>
      </c>
      <c r="G13218" s="3">
        <v>0.0</v>
      </c>
      <c r="H13218" s="3">
        <v>0.0</v>
      </c>
      <c r="I13218" s="3" t="s">
        <v>13</v>
      </c>
      <c r="J13218" s="3" t="s">
        <v>37477</v>
      </c>
      <c r="K13218" s="3" t="s">
        <v>244</v>
      </c>
      <c r="L13218" s="3" t="str">
        <f>IFERROR(__xludf.DUMMYFUNCTION("GOOGLETRANSLATE(F13218,""id"",""en"")"),"Even though I hold Argentina honestly, resentful also seeing Argentina's heavier referees")</f>
        <v>Even though I hold Argentina honestly, resentful also seeing Argentina's heavier referees</v>
      </c>
    </row>
    <row r="13219" ht="15.75" customHeight="1">
      <c r="A13219" s="1">
        <v>14622.0</v>
      </c>
      <c r="B13219" s="3" t="s">
        <v>37478</v>
      </c>
      <c r="C13219" s="3">
        <v>0.0</v>
      </c>
      <c r="D13219" s="3">
        <v>0.0</v>
      </c>
      <c r="E13219" s="3">
        <v>0.0</v>
      </c>
      <c r="F13219" s="3" t="s">
        <v>37479</v>
      </c>
      <c r="G13219" s="3">
        <v>0.0</v>
      </c>
      <c r="H13219" s="3">
        <v>0.0</v>
      </c>
      <c r="I13219" s="3" t="s">
        <v>13</v>
      </c>
      <c r="J13219" s="3" t="s">
        <v>37480</v>
      </c>
      <c r="K13219" s="3" t="s">
        <v>31</v>
      </c>
      <c r="L13219" s="3" t="str">
        <f>IFERROR(__xludf.DUMMYFUNCTION("GOOGLETRANSLATE(F13219,""id"",""en"")"),"Argentina Inflation because of paying the referee")</f>
        <v>Argentina Inflation because of paying the referee</v>
      </c>
    </row>
    <row r="13220" ht="15.75" customHeight="1">
      <c r="A13220" s="1">
        <v>14623.0</v>
      </c>
      <c r="B13220" s="3" t="s">
        <v>37481</v>
      </c>
      <c r="C13220" s="3">
        <v>0.0</v>
      </c>
      <c r="D13220" s="3">
        <v>0.0</v>
      </c>
      <c r="E13220" s="3">
        <v>0.0</v>
      </c>
      <c r="F13220" s="3" t="s">
        <v>37482</v>
      </c>
      <c r="G13220" s="3">
        <v>0.0</v>
      </c>
      <c r="H13220" s="3">
        <v>0.0</v>
      </c>
      <c r="I13220" s="3" t="s">
        <v>13</v>
      </c>
      <c r="J13220" s="3" t="s">
        <v>37483</v>
      </c>
      <c r="K13220" s="3" t="s">
        <v>54</v>
      </c>
      <c r="L13220" s="3" t="str">
        <f>IFERROR(__xludf.DUMMYFUNCTION("GOOGLETRANSLATE(F13220,""id"",""en"")"),"Argentina's heavy referee is really Evra said")</f>
        <v>Argentina's heavy referee is really Evra said</v>
      </c>
    </row>
    <row r="13221" ht="15.75" customHeight="1">
      <c r="A13221" s="1">
        <v>14624.0</v>
      </c>
      <c r="B13221" s="3" t="s">
        <v>37484</v>
      </c>
      <c r="C13221" s="3">
        <v>0.0</v>
      </c>
      <c r="D13221" s="3">
        <v>0.0</v>
      </c>
      <c r="E13221" s="3">
        <v>0.0</v>
      </c>
      <c r="F13221" s="3" t="s">
        <v>37485</v>
      </c>
      <c r="G13221" s="3">
        <v>0.0</v>
      </c>
      <c r="H13221" s="3">
        <v>0.0</v>
      </c>
      <c r="I13221" s="3" t="s">
        <v>13</v>
      </c>
      <c r="J13221" s="3" t="s">
        <v>37486</v>
      </c>
      <c r="K13221" s="3" t="s">
        <v>31</v>
      </c>
      <c r="L13221" s="3" t="str">
        <f>IFERROR(__xludf.DUMMYFUNCTION("GOOGLETRANSLATE(F13221,""id"",""en"")"),"I feel this referee defending Argentina")</f>
        <v>I feel this referee defending Argentina</v>
      </c>
    </row>
    <row r="13222" ht="15.75" customHeight="1">
      <c r="A13222" s="1">
        <v>14625.0</v>
      </c>
      <c r="B13222" s="3" t="s">
        <v>37487</v>
      </c>
      <c r="C13222" s="3">
        <v>0.0</v>
      </c>
      <c r="D13222" s="3">
        <v>0.0</v>
      </c>
      <c r="E13222" s="3">
        <v>0.0</v>
      </c>
      <c r="F13222" s="3" t="s">
        <v>37488</v>
      </c>
      <c r="G13222" s="3">
        <v>0.0</v>
      </c>
      <c r="H13222" s="3">
        <v>0.0</v>
      </c>
      <c r="I13222" s="3" t="s">
        <v>13</v>
      </c>
      <c r="J13222" s="3" t="s">
        <v>37489</v>
      </c>
      <c r="K13222" s="3" t="s">
        <v>58</v>
      </c>
      <c r="L13222" s="3" t="str">
        <f>IFERROR(__xludf.DUMMYFUNCTION("GOOGLETRANSLATE(F13222,""id"",""en"")"),"Mafia Njago Argentina Referee Iwak Chana Njago France draws Wes Dadi Champion Together")</f>
        <v>Mafia Njago Argentina Referee Iwak Chana Njago France draws Wes Dadi Champion Together</v>
      </c>
    </row>
    <row r="13223" ht="15.75" customHeight="1">
      <c r="A13223" s="1">
        <v>14626.0</v>
      </c>
      <c r="B13223" s="3" t="s">
        <v>37490</v>
      </c>
      <c r="C13223" s="3">
        <v>0.0</v>
      </c>
      <c r="D13223" s="3">
        <v>0.0</v>
      </c>
      <c r="E13223" s="3">
        <v>0.0</v>
      </c>
      <c r="F13223" s="3" t="s">
        <v>37491</v>
      </c>
      <c r="G13223" s="3">
        <v>0.0</v>
      </c>
      <c r="H13223" s="3">
        <v>0.0</v>
      </c>
      <c r="I13223" s="3" t="s">
        <v>13</v>
      </c>
      <c r="J13223" s="3" t="s">
        <v>37492</v>
      </c>
      <c r="K13223" s="3" t="s">
        <v>31</v>
      </c>
      <c r="L13223" s="3" t="str">
        <f>IFERROR(__xludf.DUMMYFUNCTION("GOOGLETRANSLATE(F13223,""id"",""en"")"),"Argentina is really good")</f>
        <v>Argentina is really good</v>
      </c>
    </row>
    <row r="13224" ht="15.75" customHeight="1">
      <c r="A13224" s="1">
        <v>14627.0</v>
      </c>
      <c r="B13224" s="3" t="s">
        <v>37493</v>
      </c>
      <c r="C13224" s="3">
        <v>0.0</v>
      </c>
      <c r="D13224" s="3">
        <v>0.0</v>
      </c>
      <c r="E13224" s="3">
        <v>0.0</v>
      </c>
      <c r="F13224" s="3" t="s">
        <v>37494</v>
      </c>
      <c r="G13224" s="3">
        <v>0.0</v>
      </c>
      <c r="H13224" s="3">
        <v>0.0</v>
      </c>
      <c r="I13224" s="3" t="s">
        <v>13</v>
      </c>
      <c r="J13224" s="3" t="s">
        <v>37495</v>
      </c>
      <c r="K13224" s="3" t="s">
        <v>273</v>
      </c>
      <c r="L13224" s="3" t="str">
        <f>IFERROR(__xludf.DUMMYFUNCTION("GOOGLETRANSLATE(F13224,""id"",""en"")"),"Sure enough Argentina led the first half after being awarded a penalty kick by referee Lionel Messi who became the executor did not waste the opportunity the opportunity of Argentina was created in the minute and changed the scoreboard to")</f>
        <v>Sure enough Argentina led the first half after being awarded a penalty kick by referee Lionel Messi who became the executor did not waste the opportunity the opportunity of Argentina was created in the minute and changed the scoreboard to</v>
      </c>
    </row>
    <row r="13225" ht="15.75" customHeight="1">
      <c r="A13225" s="1">
        <v>14628.0</v>
      </c>
      <c r="B13225" s="3" t="s">
        <v>37496</v>
      </c>
      <c r="C13225" s="3">
        <v>0.0</v>
      </c>
      <c r="D13225" s="3">
        <v>0.0</v>
      </c>
      <c r="E13225" s="3">
        <v>0.0</v>
      </c>
      <c r="F13225" s="3" t="s">
        <v>37497</v>
      </c>
      <c r="G13225" s="3">
        <v>0.0</v>
      </c>
      <c r="H13225" s="3">
        <v>0.0</v>
      </c>
      <c r="I13225" s="3" t="s">
        <v>13</v>
      </c>
      <c r="J13225" s="3" t="s">
        <v>37498</v>
      </c>
      <c r="K13225" s="3" t="s">
        <v>477</v>
      </c>
      <c r="L13225" s="3" t="str">
        <f>IFERROR(__xludf.DUMMYFUNCTION("GOOGLETRANSLATE(F13225,""id"",""en"")"),"here the one who said Argentina paid the referee here and here did not tapuk lambne")</f>
        <v>here the one who said Argentina paid the referee here and here did not tapuk lambne</v>
      </c>
    </row>
    <row r="13226" ht="15.75" customHeight="1">
      <c r="A13226" s="1">
        <v>14629.0</v>
      </c>
      <c r="B13226" s="3" t="s">
        <v>37499</v>
      </c>
      <c r="C13226" s="3">
        <v>0.0</v>
      </c>
      <c r="D13226" s="3">
        <v>0.0</v>
      </c>
      <c r="E13226" s="3">
        <v>0.0</v>
      </c>
      <c r="F13226" s="3" t="s">
        <v>37500</v>
      </c>
      <c r="G13226" s="3">
        <v>0.0</v>
      </c>
      <c r="H13226" s="3">
        <v>0.0</v>
      </c>
      <c r="I13226" s="3" t="s">
        <v>13</v>
      </c>
      <c r="J13226" s="3" t="s">
        <v>37501</v>
      </c>
      <c r="K13226" s="3" t="s">
        <v>50</v>
      </c>
      <c r="L13226" s="3" t="str">
        <f>IFERROR(__xludf.DUMMYFUNCTION("GOOGLETRANSLATE(F13226,""id"",""en"")"),"Yellow Card Woy Referees Anj Argentine Players Dikati Mulu Sit")</f>
        <v>Yellow Card Woy Referees Anj Argentine Players Dikati Mulu Sit</v>
      </c>
    </row>
    <row r="13227" ht="15.75" customHeight="1">
      <c r="A13227" s="1">
        <v>14630.0</v>
      </c>
      <c r="B13227" s="3" t="s">
        <v>37502</v>
      </c>
      <c r="C13227" s="3">
        <v>0.0</v>
      </c>
      <c r="D13227" s="3">
        <v>0.0</v>
      </c>
      <c r="E13227" s="3">
        <v>2.0</v>
      </c>
      <c r="F13227" s="3" t="s">
        <v>37503</v>
      </c>
      <c r="G13227" s="3">
        <v>0.0</v>
      </c>
      <c r="H13227" s="3">
        <v>0.0</v>
      </c>
      <c r="I13227" s="3" t="s">
        <v>13</v>
      </c>
      <c r="J13227" s="3" t="s">
        <v>37504</v>
      </c>
      <c r="K13227" s="3" t="s">
        <v>71</v>
      </c>
      <c r="L13227" s="3" t="str">
        <f>IFERROR(__xludf.DUMMYFUNCTION("GOOGLETRANSLATE(F13227,""id"",""en"")"),"Argentina World Cup match Francis entered the extra round of minutes the referee changed the blue and white shirt")</f>
        <v>Argentina World Cup match Francis entered the extra round of minutes the referee changed the blue and white shirt</v>
      </c>
    </row>
    <row r="13228" ht="15.75" customHeight="1">
      <c r="A13228" s="1">
        <v>14631.0</v>
      </c>
      <c r="B13228" s="3" t="s">
        <v>37505</v>
      </c>
      <c r="C13228" s="3">
        <v>0.0</v>
      </c>
      <c r="D13228" s="3">
        <v>0.0</v>
      </c>
      <c r="E13228" s="3">
        <v>0.0</v>
      </c>
      <c r="F13228" s="3" t="s">
        <v>37506</v>
      </c>
      <c r="G13228" s="3">
        <v>0.0</v>
      </c>
      <c r="H13228" s="3">
        <v>0.0</v>
      </c>
      <c r="I13228" s="3" t="s">
        <v>13</v>
      </c>
      <c r="J13228" s="3" t="s">
        <v>37507</v>
      </c>
      <c r="K13228" s="3" t="s">
        <v>50</v>
      </c>
      <c r="L13228" s="3" t="str">
        <f>IFERROR(__xludf.DUMMYFUNCTION("GOOGLETRANSLATE(F13228,""id"",""en"")"),"Gilakkk FIFA and the referee already sided with Argentina but France still gave resistance to be able to stand it too")</f>
        <v>Gilakkk FIFA and the referee already sided with Argentina but France still gave resistance to be able to stand it too</v>
      </c>
    </row>
    <row r="13229" ht="15.75" customHeight="1">
      <c r="A13229" s="1">
        <v>14632.0</v>
      </c>
      <c r="B13229" s="3" t="s">
        <v>37508</v>
      </c>
      <c r="C13229" s="3">
        <v>0.0</v>
      </c>
      <c r="D13229" s="3">
        <v>0.0</v>
      </c>
      <c r="E13229" s="3">
        <v>1.0</v>
      </c>
      <c r="F13229" s="3" t="s">
        <v>37509</v>
      </c>
      <c r="G13229" s="3">
        <v>0.0</v>
      </c>
      <c r="H13229" s="3">
        <v>0.0</v>
      </c>
      <c r="I13229" s="3" t="s">
        <v>13</v>
      </c>
      <c r="J13229" s="3" t="s">
        <v>37510</v>
      </c>
      <c r="K13229" s="3" t="s">
        <v>2117</v>
      </c>
      <c r="L13229" s="3" t="str">
        <f>IFERROR(__xludf.DUMMYFUNCTION("GOOGLETRANSLATE(F13229,""id"",""en"")"),"The referee is Argentina")</f>
        <v>The referee is Argentina</v>
      </c>
    </row>
    <row r="13230" ht="15.75" customHeight="1">
      <c r="A13230" s="1">
        <v>14633.0</v>
      </c>
      <c r="B13230" s="3" t="s">
        <v>37511</v>
      </c>
      <c r="C13230" s="3">
        <v>13.0</v>
      </c>
      <c r="D13230" s="3">
        <v>30.0</v>
      </c>
      <c r="E13230" s="3">
        <v>66.0</v>
      </c>
      <c r="F13230" s="3" t="s">
        <v>37512</v>
      </c>
      <c r="G13230" s="3">
        <v>0.0</v>
      </c>
      <c r="H13230" s="3">
        <v>0.0</v>
      </c>
      <c r="I13230" s="3" t="s">
        <v>13</v>
      </c>
      <c r="J13230" s="3" t="s">
        <v>37513</v>
      </c>
      <c r="K13230" s="3" t="s">
        <v>205</v>
      </c>
      <c r="L13230" s="3" t="str">
        <f>IFERROR(__xludf.DUMMYFUNCTION("GOOGLETRANSLATE(F13230,""id"",""en"")"),"The referee should not touch the slightest Argentine player who is a pity if I don't card you if your French player is injecting his neck even not just give the most free kick card")</f>
        <v>The referee should not touch the slightest Argentine player who is a pity if I don't card you if your French player is injecting his neck even not just give the most free kick card</v>
      </c>
    </row>
    <row r="13231" ht="15.75" customHeight="1">
      <c r="A13231" s="1">
        <v>14634.0</v>
      </c>
      <c r="B13231" s="3" t="s">
        <v>37514</v>
      </c>
      <c r="C13231" s="3">
        <v>0.0</v>
      </c>
      <c r="D13231" s="3">
        <v>0.0</v>
      </c>
      <c r="E13231" s="3">
        <v>0.0</v>
      </c>
      <c r="F13231" s="3" t="s">
        <v>37515</v>
      </c>
      <c r="G13231" s="3">
        <v>0.0</v>
      </c>
      <c r="H13231" s="3">
        <v>0.0</v>
      </c>
      <c r="I13231" s="3" t="s">
        <v>13</v>
      </c>
      <c r="J13231" s="3" t="s">
        <v>37516</v>
      </c>
      <c r="K13231" s="3" t="s">
        <v>6752</v>
      </c>
      <c r="L13231" s="3" t="str">
        <f>IFERROR(__xludf.DUMMYFUNCTION("GOOGLETRANSLATE(F13231,""id"",""en"")"),"Referees Referees not Argentina don't eat")</f>
        <v>Referees Referees not Argentina don't eat</v>
      </c>
    </row>
    <row r="13232" ht="15.75" customHeight="1">
      <c r="A13232" s="1">
        <v>14635.0</v>
      </c>
      <c r="B13232" s="3" t="s">
        <v>37517</v>
      </c>
      <c r="C13232" s="3">
        <v>0.0</v>
      </c>
      <c r="D13232" s="3">
        <v>0.0</v>
      </c>
      <c r="E13232" s="3">
        <v>0.0</v>
      </c>
      <c r="F13232" s="3" t="s">
        <v>37518</v>
      </c>
      <c r="G13232" s="3">
        <v>0.0</v>
      </c>
      <c r="H13232" s="3">
        <v>0.0</v>
      </c>
      <c r="I13232" s="3" t="s">
        <v>13</v>
      </c>
      <c r="J13232" s="3" t="s">
        <v>37519</v>
      </c>
      <c r="K13232" s="3" t="s">
        <v>41</v>
      </c>
      <c r="L13232" s="3" t="str">
        <f>IFERROR(__xludf.DUMMYFUNCTION("GOOGLETRANSLATE(F13232,""id"",""en"")"),"I'm neutral even though the referee Delok is MIIK Argentina")</f>
        <v>I'm neutral even though the referee Delok is MIIK Argentina</v>
      </c>
    </row>
    <row r="13233" ht="15.75" customHeight="1">
      <c r="A13233" s="1">
        <v>14636.0</v>
      </c>
      <c r="B13233" s="3" t="s">
        <v>37520</v>
      </c>
      <c r="C13233" s="3">
        <v>0.0</v>
      </c>
      <c r="D13233" s="3">
        <v>0.0</v>
      </c>
      <c r="E13233" s="3">
        <v>0.0</v>
      </c>
      <c r="F13233" s="3" t="s">
        <v>37521</v>
      </c>
      <c r="G13233" s="3">
        <v>0.0</v>
      </c>
      <c r="H13233" s="3">
        <v>0.0</v>
      </c>
      <c r="I13233" s="3" t="s">
        <v>13</v>
      </c>
      <c r="J13233" s="3" t="s">
        <v>37522</v>
      </c>
      <c r="K13233" s="3" t="s">
        <v>31</v>
      </c>
      <c r="L13233" s="3" t="str">
        <f>IFERROR(__xludf.DUMMYFUNCTION("GOOGLETRANSLATE(F13233,""id"",""en"")"),"Argentina Fifa Var Referee France")</f>
        <v>Argentina Fifa Var Referee France</v>
      </c>
    </row>
    <row r="13234" ht="15.75" customHeight="1">
      <c r="A13234" s="1">
        <v>14637.0</v>
      </c>
      <c r="B13234" s="3" t="s">
        <v>37523</v>
      </c>
      <c r="C13234" s="3">
        <v>0.0</v>
      </c>
      <c r="D13234" s="3">
        <v>0.0</v>
      </c>
      <c r="E13234" s="3">
        <v>0.0</v>
      </c>
      <c r="F13234" s="3" t="s">
        <v>37524</v>
      </c>
      <c r="G13234" s="3">
        <v>0.0</v>
      </c>
      <c r="H13234" s="3">
        <v>0.0</v>
      </c>
      <c r="I13234" s="3" t="s">
        <v>13</v>
      </c>
      <c r="J13234" s="3" t="s">
        <v>37525</v>
      </c>
      <c r="K13234" s="3" t="s">
        <v>19</v>
      </c>
      <c r="L13234" s="3" t="str">
        <f>IFERROR(__xludf.DUMMYFUNCTION("GOOGLETRANSLATE(F13234,""id"",""en"")"),"The referee is very neutral until the neutrality every Argentina does foul needs to check the var")</f>
        <v>The referee is very neutral until the neutrality every Argentina does foul needs to check the var</v>
      </c>
    </row>
    <row r="13235" ht="15.75" customHeight="1">
      <c r="A13235" s="1">
        <v>14638.0</v>
      </c>
      <c r="B13235" s="3" t="s">
        <v>37526</v>
      </c>
      <c r="C13235" s="3">
        <v>0.0</v>
      </c>
      <c r="D13235" s="3">
        <v>0.0</v>
      </c>
      <c r="E13235" s="3">
        <v>0.0</v>
      </c>
      <c r="F13235" s="3" t="s">
        <v>37527</v>
      </c>
      <c r="G13235" s="3">
        <v>0.3333333333333333</v>
      </c>
      <c r="H13235" s="3">
        <v>0.1666666666666667</v>
      </c>
      <c r="I13235" s="3" t="s">
        <v>48</v>
      </c>
      <c r="J13235" s="3" t="s">
        <v>37528</v>
      </c>
      <c r="K13235" s="3" t="s">
        <v>15</v>
      </c>
      <c r="L13235" s="3" t="str">
        <f>IFERROR(__xludf.DUMMYFUNCTION("GOOGLETRANSLATE(F13235,""id"",""en"")"),"Argentina has played with the referee but still a series")</f>
        <v>Argentina has played with the referee but still a series</v>
      </c>
    </row>
    <row r="13236" ht="15.75" customHeight="1">
      <c r="A13236" s="1">
        <v>14639.0</v>
      </c>
      <c r="B13236" s="3" t="s">
        <v>37529</v>
      </c>
      <c r="C13236" s="3">
        <v>0.0</v>
      </c>
      <c r="D13236" s="3">
        <v>0.0</v>
      </c>
      <c r="E13236" s="3">
        <v>0.0</v>
      </c>
      <c r="F13236" s="3" t="s">
        <v>37530</v>
      </c>
      <c r="G13236" s="3">
        <v>0.0</v>
      </c>
      <c r="H13236" s="3">
        <v>0.0</v>
      </c>
      <c r="I13236" s="3" t="s">
        <v>13</v>
      </c>
      <c r="J13236" s="3" t="s">
        <v>37531</v>
      </c>
      <c r="K13236" s="3" t="s">
        <v>510</v>
      </c>
      <c r="L13236" s="3" t="str">
        <f>IFERROR(__xludf.DUMMYFUNCTION("GOOGLETRANSLATE(F13236,""id"",""en"")"),"yes, if the Argentine player is violated in a penalty box like a coman, the referee has become a whistle.")</f>
        <v>yes, if the Argentine player is violated in a penalty box like a coman, the referee has become a whistle.</v>
      </c>
    </row>
    <row r="13237" ht="15.75" customHeight="1">
      <c r="A13237" s="1">
        <v>14641.0</v>
      </c>
      <c r="B13237" s="3" t="s">
        <v>37532</v>
      </c>
      <c r="C13237" s="3">
        <v>0.0</v>
      </c>
      <c r="D13237" s="3">
        <v>0.0</v>
      </c>
      <c r="E13237" s="3">
        <v>0.0</v>
      </c>
      <c r="F13237" s="3" t="s">
        <v>37533</v>
      </c>
      <c r="G13237" s="3">
        <v>0.0</v>
      </c>
      <c r="H13237" s="3">
        <v>0.0</v>
      </c>
      <c r="I13237" s="3" t="s">
        <v>13</v>
      </c>
      <c r="J13237" s="3" t="s">
        <v>37534</v>
      </c>
      <c r="K13237" s="3" t="s">
        <v>54</v>
      </c>
      <c r="L13237" s="3" t="str">
        <f>IFERROR(__xludf.DUMMYFUNCTION("GOOGLETRANSLATE(F13237,""id"",""en"")"),"The referee for Penalty only applies to Argentina")</f>
        <v>The referee for Penalty only applies to Argentina</v>
      </c>
    </row>
    <row r="13238" ht="15.75" customHeight="1">
      <c r="A13238" s="1">
        <v>14642.0</v>
      </c>
      <c r="B13238" s="3" t="s">
        <v>37535</v>
      </c>
      <c r="C13238" s="3">
        <v>0.0</v>
      </c>
      <c r="D13238" s="3">
        <v>0.0</v>
      </c>
      <c r="E13238" s="3">
        <v>0.0</v>
      </c>
      <c r="F13238" s="3" t="s">
        <v>37536</v>
      </c>
      <c r="G13238" s="3">
        <v>1.0</v>
      </c>
      <c r="H13238" s="3">
        <v>0.0</v>
      </c>
      <c r="I13238" s="3" t="s">
        <v>13</v>
      </c>
      <c r="J13238" s="3" t="s">
        <v>37537</v>
      </c>
      <c r="K13238" s="3" t="s">
        <v>244</v>
      </c>
      <c r="L13238" s="3" t="str">
        <f>IFERROR(__xludf.DUMMYFUNCTION("GOOGLETRANSLATE(F13238,""id"",""en"")"),"exclaimed exciting the referee is very suitable for the final party. Hopefully Argentina Champion")</f>
        <v>exclaimed exciting the referee is very suitable for the final party. Hopefully Argentina Champion</v>
      </c>
    </row>
    <row r="13239" ht="15.75" customHeight="1">
      <c r="A13239" s="1">
        <v>14643.0</v>
      </c>
      <c r="B13239" s="3" t="s">
        <v>37538</v>
      </c>
      <c r="C13239" s="3">
        <v>0.0</v>
      </c>
      <c r="D13239" s="3">
        <v>0.0</v>
      </c>
      <c r="E13239" s="3">
        <v>0.0</v>
      </c>
      <c r="F13239" s="3" t="s">
        <v>37539</v>
      </c>
      <c r="G13239" s="3">
        <v>0.0</v>
      </c>
      <c r="H13239" s="3">
        <v>0.0</v>
      </c>
      <c r="I13239" s="3" t="s">
        <v>13</v>
      </c>
      <c r="J13239" s="3" t="s">
        <v>37540</v>
      </c>
      <c r="K13239" s="3" t="s">
        <v>2117</v>
      </c>
      <c r="L13239" s="3" t="str">
        <f>IFERROR(__xludf.DUMMYFUNCTION("GOOGLETRANSLATE(F13239,""id"",""en"")"),"the referee is from the Argentina regional government")</f>
        <v>the referee is from the Argentina regional government</v>
      </c>
    </row>
    <row r="13240" ht="15.75" customHeight="1">
      <c r="A13240" s="1">
        <v>14644.0</v>
      </c>
      <c r="B13240" s="3" t="s">
        <v>37541</v>
      </c>
      <c r="C13240" s="3">
        <v>0.0</v>
      </c>
      <c r="D13240" s="3">
        <v>0.0</v>
      </c>
      <c r="E13240" s="3">
        <v>0.0</v>
      </c>
      <c r="F13240" s="3" t="s">
        <v>37542</v>
      </c>
      <c r="G13240" s="3">
        <v>0.0</v>
      </c>
      <c r="H13240" s="3">
        <v>0.0</v>
      </c>
      <c r="I13240" s="3" t="s">
        <v>13</v>
      </c>
      <c r="J13240" s="3" t="s">
        <v>37543</v>
      </c>
      <c r="K13240" s="3" t="s">
        <v>19</v>
      </c>
      <c r="L13240" s="3" t="str">
        <f>IFERROR(__xludf.DUMMYFUNCTION("GOOGLETRANSLATE(F13240,""id"",""en"")"),"Minutes Wis Swelled by Referee Sak Fifa Isih Gak Iso Winning Naa Argentina wkwkwkwkwkwkwk")</f>
        <v>Minutes Wis Swelled by Referee Sak Fifa Isih Gak Iso Winning Naa Argentina wkwkwkwkwkwkwk</v>
      </c>
    </row>
    <row r="13241" ht="15.75" customHeight="1">
      <c r="A13241" s="1">
        <v>14645.0</v>
      </c>
      <c r="B13241" s="3" t="s">
        <v>37544</v>
      </c>
      <c r="C13241" s="3">
        <v>0.0</v>
      </c>
      <c r="D13241" s="3">
        <v>0.0</v>
      </c>
      <c r="E13241" s="3">
        <v>0.0</v>
      </c>
      <c r="F13241" s="3" t="s">
        <v>37545</v>
      </c>
      <c r="G13241" s="3">
        <v>0.0</v>
      </c>
      <c r="H13241" s="3">
        <v>0.0</v>
      </c>
      <c r="I13241" s="3" t="s">
        <v>13</v>
      </c>
      <c r="J13241" s="3" t="s">
        <v>37546</v>
      </c>
      <c r="K13241" s="3" t="s">
        <v>31</v>
      </c>
      <c r="L13241" s="3" t="str">
        <f>IFERROR(__xludf.DUMMYFUNCTION("GOOGLETRANSLATE(F13241,""id"",""en"")"),"Argentina Mah was helped by the referee Mulu")</f>
        <v>Argentina Mah was helped by the referee Mulu</v>
      </c>
    </row>
    <row r="13242" ht="15.75" customHeight="1">
      <c r="A13242" s="1">
        <v>14646.0</v>
      </c>
      <c r="B13242" s="3" t="s">
        <v>37547</v>
      </c>
      <c r="C13242" s="3">
        <v>0.0</v>
      </c>
      <c r="D13242" s="3">
        <v>0.0</v>
      </c>
      <c r="E13242" s="3">
        <v>0.0</v>
      </c>
      <c r="F13242" s="3" t="s">
        <v>37548</v>
      </c>
      <c r="G13242" s="3">
        <v>0.4</v>
      </c>
      <c r="H13242" s="3">
        <v>0.2</v>
      </c>
      <c r="I13242" s="3" t="s">
        <v>48</v>
      </c>
      <c r="J13242" s="3" t="s">
        <v>37549</v>
      </c>
      <c r="K13242" s="3" t="s">
        <v>15</v>
      </c>
      <c r="L13242" s="3" t="str">
        <f>IFERROR(__xludf.DUMMYFUNCTION("GOOGLETRANSLATE(F13242,""id"",""en"")"),"hahaha like this, so that Argentina is champion to pay the referee")</f>
        <v>hahaha like this, so that Argentina is champion to pay the referee</v>
      </c>
    </row>
    <row r="13243" ht="15.75" customHeight="1">
      <c r="A13243" s="1">
        <v>14647.0</v>
      </c>
      <c r="B13243" s="3" t="s">
        <v>37550</v>
      </c>
      <c r="C13243" s="3">
        <v>0.0</v>
      </c>
      <c r="D13243" s="3">
        <v>0.0</v>
      </c>
      <c r="E13243" s="3">
        <v>0.0</v>
      </c>
      <c r="F13243" s="3" t="s">
        <v>37551</v>
      </c>
      <c r="G13243" s="3">
        <v>0.0</v>
      </c>
      <c r="H13243" s="3">
        <v>0.0</v>
      </c>
      <c r="I13243" s="3" t="s">
        <v>13</v>
      </c>
      <c r="J13243" s="3" t="s">
        <v>37552</v>
      </c>
      <c r="K13243" s="3" t="s">
        <v>41</v>
      </c>
      <c r="L13243" s="3" t="str">
        <f>IFERROR(__xludf.DUMMYFUNCTION("GOOGLETRANSLATE(F13243,""id"",""en"")"),"hilarious if Argentina loses already assisted by the referee to get a voucher even though wkwk")</f>
        <v>hilarious if Argentina loses already assisted by the referee to get a voucher even though wkwk</v>
      </c>
    </row>
    <row r="13244" ht="15.75" customHeight="1">
      <c r="A13244" s="1">
        <v>14648.0</v>
      </c>
      <c r="B13244" s="3" t="s">
        <v>37553</v>
      </c>
      <c r="C13244" s="3">
        <v>0.0</v>
      </c>
      <c r="D13244" s="3">
        <v>0.0</v>
      </c>
      <c r="E13244" s="3">
        <v>0.0</v>
      </c>
      <c r="F13244" s="3" t="s">
        <v>37554</v>
      </c>
      <c r="G13244" s="3">
        <v>0.0</v>
      </c>
      <c r="H13244" s="3">
        <v>0.0</v>
      </c>
      <c r="I13244" s="3" t="s">
        <v>13</v>
      </c>
      <c r="J13244" s="3" t="s">
        <v>37555</v>
      </c>
      <c r="K13244" s="3" t="s">
        <v>14571</v>
      </c>
      <c r="L13244" s="3" t="str">
        <f>IFERROR(__xludf.DUMMYFUNCTION("GOOGLETRANSLATE(F13244,""id"",""en"")"),"rather a bit but this is the Argentine referee")</f>
        <v>rather a bit but this is the Argentine referee</v>
      </c>
    </row>
    <row r="13245" ht="15.75" customHeight="1">
      <c r="A13245" s="1">
        <v>14649.0</v>
      </c>
      <c r="B13245" s="3" t="s">
        <v>37556</v>
      </c>
      <c r="C13245" s="3">
        <v>0.0</v>
      </c>
      <c r="D13245" s="3">
        <v>0.0</v>
      </c>
      <c r="E13245" s="3">
        <v>0.0</v>
      </c>
      <c r="F13245" s="3" t="s">
        <v>37557</v>
      </c>
      <c r="G13245" s="3">
        <v>0.0</v>
      </c>
      <c r="H13245" s="3">
        <v>0.0</v>
      </c>
      <c r="I13245" s="3" t="s">
        <v>13</v>
      </c>
      <c r="J13245" s="3" t="s">
        <v>37558</v>
      </c>
      <c r="K13245" s="3" t="s">
        <v>1335</v>
      </c>
      <c r="L13245" s="3" t="str">
        <f>IFERROR(__xludf.DUMMYFUNCTION("GOOGLETRANSLATE(F13245,""id"",""en"")"),"sorry I don't think this is Argentina French French referee")</f>
        <v>sorry I don't think this is Argentina French French referee</v>
      </c>
    </row>
    <row r="13246" ht="15.75" customHeight="1">
      <c r="A13246" s="1">
        <v>14650.0</v>
      </c>
      <c r="B13246" s="3" t="s">
        <v>37559</v>
      </c>
      <c r="C13246" s="3">
        <v>0.0</v>
      </c>
      <c r="D13246" s="3">
        <v>0.0</v>
      </c>
      <c r="E13246" s="3">
        <v>0.0</v>
      </c>
      <c r="F13246" s="3" t="s">
        <v>37560</v>
      </c>
      <c r="G13246" s="3">
        <v>0.7</v>
      </c>
      <c r="H13246" s="3">
        <v>0.8</v>
      </c>
      <c r="I13246" s="3" t="s">
        <v>48</v>
      </c>
      <c r="J13246" s="3" t="s">
        <v>37561</v>
      </c>
      <c r="K13246" s="3" t="s">
        <v>54</v>
      </c>
      <c r="L13246" s="3" t="str">
        <f>IFERROR(__xludf.DUMMYFUNCTION("GOOGLETRANSLATE(F13246,""id"",""en"")"),"LOL Referee is really bad Argentina")</f>
        <v>LOL Referee is really bad Argentina</v>
      </c>
    </row>
    <row r="13247" ht="15.75" customHeight="1">
      <c r="A13247" s="1">
        <v>14651.0</v>
      </c>
      <c r="B13247" s="3" t="s">
        <v>37562</v>
      </c>
      <c r="C13247" s="3">
        <v>1.0</v>
      </c>
      <c r="D13247" s="3">
        <v>0.0</v>
      </c>
      <c r="E13247" s="3">
        <v>0.0</v>
      </c>
      <c r="F13247" s="3" t="s">
        <v>37563</v>
      </c>
      <c r="G13247" s="3">
        <v>0.0</v>
      </c>
      <c r="H13247" s="3">
        <v>0.0</v>
      </c>
      <c r="I13247" s="3" t="s">
        <v>13</v>
      </c>
      <c r="J13247" s="3" t="s">
        <v>37564</v>
      </c>
      <c r="K13247" s="3" t="s">
        <v>31</v>
      </c>
      <c r="L13247" s="3" t="str">
        <f>IFERROR(__xludf.DUMMYFUNCTION("GOOGLETRANSLATE(F13247,""id"",""en"")"),"Iki Referee Disborn Argentina Piro")</f>
        <v>Iki Referee Disborn Argentina Piro</v>
      </c>
    </row>
    <row r="13248" ht="15.75" customHeight="1">
      <c r="A13248" s="1">
        <v>14652.0</v>
      </c>
      <c r="B13248" s="3" t="s">
        <v>37565</v>
      </c>
      <c r="C13248" s="3">
        <v>0.0</v>
      </c>
      <c r="D13248" s="3">
        <v>0.0</v>
      </c>
      <c r="E13248" s="3">
        <v>0.0</v>
      </c>
      <c r="F13248" s="3" t="s">
        <v>37566</v>
      </c>
      <c r="G13248" s="3">
        <v>0.0</v>
      </c>
      <c r="H13248" s="3">
        <v>0.0</v>
      </c>
      <c r="I13248" s="3" t="s">
        <v>13</v>
      </c>
      <c r="J13248" s="3" t="s">
        <v>37567</v>
      </c>
      <c r="K13248" s="3" t="s">
        <v>54</v>
      </c>
      <c r="L13248" s="3" t="str">
        <f>IFERROR(__xludf.DUMMYFUNCTION("GOOGLETRANSLATE(F13248,""id"",""en"")"),"The referee wants Argentina that the bald champion is ajg")</f>
        <v>The referee wants Argentina that the bald champion is ajg</v>
      </c>
    </row>
    <row r="13249" ht="15.75" customHeight="1">
      <c r="A13249" s="1">
        <v>14653.0</v>
      </c>
      <c r="B13249" s="3" t="s">
        <v>37568</v>
      </c>
      <c r="C13249" s="3">
        <v>0.0</v>
      </c>
      <c r="D13249" s="3">
        <v>0.0</v>
      </c>
      <c r="E13249" s="3">
        <v>0.0</v>
      </c>
      <c r="F13249" s="3" t="s">
        <v>37569</v>
      </c>
      <c r="G13249" s="3">
        <v>0.0</v>
      </c>
      <c r="H13249" s="3">
        <v>0.0</v>
      </c>
      <c r="I13249" s="3" t="s">
        <v>13</v>
      </c>
      <c r="J13249" s="3" t="s">
        <v>37570</v>
      </c>
      <c r="K13249" s="3" t="s">
        <v>82</v>
      </c>
      <c r="L13249" s="3" t="str">
        <f>IFERROR(__xludf.DUMMYFUNCTION("GOOGLETRANSLATE(F13249,""id"",""en"")"),"I think the referee is a bit heavy for Argentina hmm")</f>
        <v>I think the referee is a bit heavy for Argentina hmm</v>
      </c>
    </row>
    <row r="13250" ht="15.75" customHeight="1">
      <c r="A13250" s="1">
        <v>14654.0</v>
      </c>
      <c r="B13250" s="3" t="s">
        <v>37571</v>
      </c>
      <c r="C13250" s="3">
        <v>0.0</v>
      </c>
      <c r="D13250" s="3">
        <v>0.0</v>
      </c>
      <c r="E13250" s="3">
        <v>0.0</v>
      </c>
      <c r="F13250" s="3" t="s">
        <v>37572</v>
      </c>
      <c r="G13250" s="3">
        <v>0.0</v>
      </c>
      <c r="H13250" s="3">
        <v>0.0</v>
      </c>
      <c r="I13250" s="3" t="s">
        <v>13</v>
      </c>
      <c r="J13250" s="3" t="s">
        <v>37573</v>
      </c>
      <c r="K13250" s="3" t="s">
        <v>31</v>
      </c>
      <c r="L13250" s="3" t="str">
        <f>IFERROR(__xludf.DUMMYFUNCTION("GOOGLETRANSLATE(F13250,""id"",""en"")"),"Referee Man the Match Argentina")</f>
        <v>Referee Man the Match Argentina</v>
      </c>
    </row>
    <row r="13251" ht="15.75" customHeight="1">
      <c r="A13251" s="1">
        <v>14655.0</v>
      </c>
      <c r="B13251" s="3" t="s">
        <v>37574</v>
      </c>
      <c r="C13251" s="3">
        <v>0.0</v>
      </c>
      <c r="D13251" s="3">
        <v>0.0</v>
      </c>
      <c r="E13251" s="3">
        <v>1.0</v>
      </c>
      <c r="F13251" s="3" t="s">
        <v>37574</v>
      </c>
      <c r="G13251" s="3">
        <v>0.0</v>
      </c>
      <c r="H13251" s="3">
        <v>0.0</v>
      </c>
      <c r="I13251" s="3" t="s">
        <v>13</v>
      </c>
      <c r="J13251" s="3" t="s">
        <v>37555</v>
      </c>
      <c r="K13251" s="3" t="s">
        <v>14571</v>
      </c>
      <c r="L13251" s="3" t="str">
        <f>IFERROR(__xludf.DUMMYFUNCTION("GOOGLETRANSLATE(F13251,""id"",""en"")"),"referee from Argentina wkwk")</f>
        <v>referee from Argentina wkwk</v>
      </c>
    </row>
    <row r="13252" ht="15.75" customHeight="1">
      <c r="A13252" s="1">
        <v>14656.0</v>
      </c>
      <c r="B13252" s="3" t="s">
        <v>37575</v>
      </c>
      <c r="C13252" s="3">
        <v>0.0</v>
      </c>
      <c r="D13252" s="3">
        <v>0.0</v>
      </c>
      <c r="E13252" s="3">
        <v>0.0</v>
      </c>
      <c r="F13252" s="3" t="s">
        <v>37576</v>
      </c>
      <c r="G13252" s="3">
        <v>0.0</v>
      </c>
      <c r="H13252" s="3">
        <v>0.0</v>
      </c>
      <c r="I13252" s="3" t="s">
        <v>13</v>
      </c>
      <c r="J13252" s="3" t="s">
        <v>37577</v>
      </c>
      <c r="K13252" s="3" t="s">
        <v>54</v>
      </c>
      <c r="L13252" s="3" t="str">
        <f>IFERROR(__xludf.DUMMYFUNCTION("GOOGLETRANSLATE(F13252,""id"",""en"")"),"World Cup Referee MIHAK ARGENTINA Very")</f>
        <v>World Cup Referee MIHAK ARGENTINA Very</v>
      </c>
    </row>
    <row r="13253" ht="15.75" customHeight="1">
      <c r="A13253" s="1">
        <v>14657.0</v>
      </c>
      <c r="B13253" s="3" t="s">
        <v>37578</v>
      </c>
      <c r="C13253" s="3">
        <v>1.0</v>
      </c>
      <c r="D13253" s="3">
        <v>0.0</v>
      </c>
      <c r="E13253" s="3">
        <v>0.0</v>
      </c>
      <c r="F13253" s="3" t="s">
        <v>37579</v>
      </c>
      <c r="G13253" s="3">
        <v>0.0</v>
      </c>
      <c r="H13253" s="3">
        <v>0.0</v>
      </c>
      <c r="I13253" s="3" t="s">
        <v>13</v>
      </c>
      <c r="J13253" s="3" t="s">
        <v>37580</v>
      </c>
      <c r="K13253" s="3" t="s">
        <v>31</v>
      </c>
      <c r="L13253" s="3" t="str">
        <f>IFERROR(__xludf.DUMMYFUNCTION("GOOGLETRANSLATE(F13253,""id"",""en"")"),"Fix, the Argentine fee for")</f>
        <v>Fix, the Argentine fee for</v>
      </c>
    </row>
    <row r="13254" ht="15.75" customHeight="1">
      <c r="A13254" s="1">
        <v>14658.0</v>
      </c>
      <c r="B13254" s="3" t="s">
        <v>37581</v>
      </c>
      <c r="C13254" s="3">
        <v>0.0</v>
      </c>
      <c r="D13254" s="3">
        <v>0.0</v>
      </c>
      <c r="E13254" s="3">
        <v>0.0</v>
      </c>
      <c r="F13254" s="3" t="s">
        <v>37582</v>
      </c>
      <c r="G13254" s="3">
        <v>0.0</v>
      </c>
      <c r="H13254" s="3">
        <v>0.0</v>
      </c>
      <c r="I13254" s="3" t="s">
        <v>13</v>
      </c>
      <c r="J13254" s="3" t="s">
        <v>37583</v>
      </c>
      <c r="K13254" s="3" t="s">
        <v>54</v>
      </c>
      <c r="L13254" s="3" t="str">
        <f>IFERROR(__xludf.DUMMYFUNCTION("GOOGLETRANSLATE(F13254,""id"",""en"")"),"The referee keknya other Argentina bgt tai")</f>
        <v>The referee keknya other Argentina bgt tai</v>
      </c>
    </row>
    <row r="13255" ht="15.75" customHeight="1">
      <c r="A13255" s="1">
        <v>14659.0</v>
      </c>
      <c r="B13255" s="3" t="s">
        <v>37584</v>
      </c>
      <c r="C13255" s="3">
        <v>0.0</v>
      </c>
      <c r="D13255" s="3">
        <v>0.0</v>
      </c>
      <c r="E13255" s="3">
        <v>0.0</v>
      </c>
      <c r="F13255" s="3" t="s">
        <v>37585</v>
      </c>
      <c r="G13255" s="3">
        <v>0.0</v>
      </c>
      <c r="H13255" s="3">
        <v>0.0</v>
      </c>
      <c r="I13255" s="3" t="s">
        <v>13</v>
      </c>
      <c r="J13255" s="3" t="s">
        <v>37586</v>
      </c>
      <c r="K13255" s="3" t="s">
        <v>644</v>
      </c>
      <c r="L13255" s="3" t="str">
        <f>IFERROR(__xludf.DUMMYFUNCTION("GOOGLETRANSLATE(F13255,""id"",""en"")"),"take the Argentina Cup referee")</f>
        <v>take the Argentina Cup referee</v>
      </c>
    </row>
    <row r="13256" ht="15.75" customHeight="1">
      <c r="A13256" s="1">
        <v>14660.0</v>
      </c>
      <c r="B13256" s="3" t="s">
        <v>37587</v>
      </c>
      <c r="C13256" s="3">
        <v>2.0</v>
      </c>
      <c r="D13256" s="3">
        <v>0.0</v>
      </c>
      <c r="E13256" s="3">
        <v>0.0</v>
      </c>
      <c r="F13256" s="3" t="s">
        <v>37588</v>
      </c>
      <c r="G13256" s="3">
        <v>0.0</v>
      </c>
      <c r="H13256" s="3">
        <v>0.0</v>
      </c>
      <c r="I13256" s="3" t="s">
        <v>13</v>
      </c>
      <c r="J13256" s="3" t="s">
        <v>37589</v>
      </c>
      <c r="K13256" s="3" t="s">
        <v>510</v>
      </c>
      <c r="L13256" s="3" t="str">
        <f>IFERROR(__xludf.DUMMYFUNCTION("GOOGLETRANSLATE(F13256,""id"",""en"")"),"From the side of the referee he looks like the legs of Argentina defender even though it should be fouls for France")</f>
        <v>From the side of the referee he looks like the legs of Argentina defender even though it should be fouls for France</v>
      </c>
    </row>
    <row r="13257" ht="15.75" customHeight="1">
      <c r="A13257" s="1">
        <v>14661.0</v>
      </c>
      <c r="B13257" s="3" t="s">
        <v>37590</v>
      </c>
      <c r="C13257" s="3">
        <v>0.0</v>
      </c>
      <c r="D13257" s="3">
        <v>0.0</v>
      </c>
      <c r="E13257" s="3">
        <v>0.0</v>
      </c>
      <c r="F13257" s="3" t="s">
        <v>37591</v>
      </c>
      <c r="G13257" s="3">
        <v>0.0</v>
      </c>
      <c r="H13257" s="3">
        <v>0.0</v>
      </c>
      <c r="I13257" s="3" t="s">
        <v>13</v>
      </c>
      <c r="J13257" s="3" t="s">
        <v>37592</v>
      </c>
      <c r="K13257" s="3" t="s">
        <v>2117</v>
      </c>
      <c r="L13257" s="3" t="str">
        <f>IFERROR(__xludf.DUMMYFUNCTION("GOOGLETRANSLATE(F13257,""id"",""en"")"),"immediately Kacaw Argentina wkwk")</f>
        <v>immediately Kacaw Argentina wkwk</v>
      </c>
    </row>
    <row r="13258" ht="15.75" customHeight="1">
      <c r="A13258" s="1">
        <v>14662.0</v>
      </c>
      <c r="B13258" s="3" t="s">
        <v>37593</v>
      </c>
      <c r="C13258" s="3">
        <v>0.0</v>
      </c>
      <c r="D13258" s="3">
        <v>0.0</v>
      </c>
      <c r="E13258" s="3">
        <v>0.0</v>
      </c>
      <c r="F13258" s="3" t="s">
        <v>37594</v>
      </c>
      <c r="G13258" s="3">
        <v>0.0</v>
      </c>
      <c r="H13258" s="3">
        <v>0.0</v>
      </c>
      <c r="I13258" s="3" t="s">
        <v>13</v>
      </c>
      <c r="J13258" s="3" t="s">
        <v>37595</v>
      </c>
      <c r="K13258" s="3" t="s">
        <v>54</v>
      </c>
      <c r="L13258" s="3" t="str">
        <f>IFERROR(__xludf.DUMMYFUNCTION("GOOGLETRANSLATE(F13258,""id"",""en"")"),"well who said earlier the referee MIHAK ARGENTINA")</f>
        <v>well who said earlier the referee MIHAK ARGENTINA</v>
      </c>
    </row>
    <row r="13259" ht="15.75" customHeight="1">
      <c r="A13259" s="1">
        <v>14663.0</v>
      </c>
      <c r="B13259" s="3" t="s">
        <v>37596</v>
      </c>
      <c r="C13259" s="3">
        <v>0.0</v>
      </c>
      <c r="D13259" s="3">
        <v>0.0</v>
      </c>
      <c r="E13259" s="3">
        <v>0.0</v>
      </c>
      <c r="F13259" s="3" t="s">
        <v>37597</v>
      </c>
      <c r="G13259" s="3">
        <v>0.0</v>
      </c>
      <c r="H13259" s="3">
        <v>0.0</v>
      </c>
      <c r="I13259" s="3" t="s">
        <v>13</v>
      </c>
      <c r="J13259" s="3" t="s">
        <v>37598</v>
      </c>
      <c r="K13259" s="3" t="s">
        <v>54</v>
      </c>
      <c r="L13259" s="3" t="str">
        <f>IFERROR(__xludf.DUMMYFUNCTION("GOOGLETRANSLATE(F13259,""id"",""en"")"),"Come on France roll the Argentina referee wkwkwkw")</f>
        <v>Come on France roll the Argentina referee wkwkwkw</v>
      </c>
    </row>
    <row r="13260" ht="15.75" customHeight="1">
      <c r="A13260" s="1">
        <v>14664.0</v>
      </c>
      <c r="B13260" s="3" t="s">
        <v>37599</v>
      </c>
      <c r="C13260" s="3">
        <v>0.0</v>
      </c>
      <c r="D13260" s="3">
        <v>0.0</v>
      </c>
      <c r="E13260" s="3">
        <v>1.0</v>
      </c>
      <c r="F13260" s="3" t="s">
        <v>37600</v>
      </c>
      <c r="G13260" s="3">
        <v>1.0</v>
      </c>
      <c r="H13260" s="3">
        <v>0.0</v>
      </c>
      <c r="I13260" s="3" t="s">
        <v>13</v>
      </c>
      <c r="J13260" s="3" t="s">
        <v>37601</v>
      </c>
      <c r="K13260" s="3" t="s">
        <v>1157</v>
      </c>
      <c r="L13260" s="3" t="str">
        <f>IFERROR(__xludf.DUMMYFUNCTION("GOOGLETRANSLATE(F13260,""id"",""en"")"),"The final that blocks Maria Diving Referees Check Var French players, protested when Maria diving France was rich in lazy playing like French pillars like Giroud and Dembele changed every Argentina match to get Ronaldo Messi's penalty voucher")</f>
        <v>The final that blocks Maria Diving Referees Check Var French players, protested when Maria diving France was rich in lazy playing like French pillars like Giroud and Dembele changed every Argentina match to get Ronaldo Messi's penalty voucher</v>
      </c>
    </row>
    <row r="13261" ht="15.75" customHeight="1">
      <c r="A13261" s="1">
        <v>14665.0</v>
      </c>
      <c r="B13261" s="3" t="s">
        <v>37602</v>
      </c>
      <c r="C13261" s="3">
        <v>0.0</v>
      </c>
      <c r="D13261" s="3">
        <v>0.0</v>
      </c>
      <c r="E13261" s="3">
        <v>0.0</v>
      </c>
      <c r="F13261" s="3" t="s">
        <v>37603</v>
      </c>
      <c r="G13261" s="3">
        <v>0.0</v>
      </c>
      <c r="H13261" s="3">
        <v>0.0</v>
      </c>
      <c r="I13261" s="3" t="s">
        <v>13</v>
      </c>
      <c r="J13261" s="3" t="s">
        <v>37604</v>
      </c>
      <c r="K13261" s="3" t="s">
        <v>54</v>
      </c>
      <c r="L13261" s="3" t="str">
        <f>IFERROR(__xludf.DUMMYFUNCTION("GOOGLETRANSLATE(F13261,""id"",""en"")"),"The referee paid the initial Pinalty Argentina Impass")</f>
        <v>The referee paid the initial Pinalty Argentina Impass</v>
      </c>
    </row>
    <row r="13262" ht="15.75" customHeight="1">
      <c r="A13262" s="1">
        <v>14666.0</v>
      </c>
      <c r="B13262" s="3" t="s">
        <v>37605</v>
      </c>
      <c r="C13262" s="3">
        <v>0.0</v>
      </c>
      <c r="D13262" s="3">
        <v>0.0</v>
      </c>
      <c r="E13262" s="3">
        <v>0.0</v>
      </c>
      <c r="F13262" s="3" t="s">
        <v>37606</v>
      </c>
      <c r="G13262" s="3">
        <v>0.0</v>
      </c>
      <c r="H13262" s="3">
        <v>0.0</v>
      </c>
      <c r="I13262" s="3" t="s">
        <v>13</v>
      </c>
      <c r="J13262" s="3" t="s">
        <v>37607</v>
      </c>
      <c r="K13262" s="3" t="s">
        <v>644</v>
      </c>
      <c r="L13262" s="3" t="str">
        <f>IFERROR(__xludf.DUMMYFUNCTION("GOOGLETRANSLATE(F13262,""id"",""en"")"),"But Argentina is assisted by the referee")</f>
        <v>But Argentina is assisted by the referee</v>
      </c>
    </row>
    <row r="13263" ht="15.75" customHeight="1">
      <c r="A13263" s="1">
        <v>14667.0</v>
      </c>
      <c r="B13263" s="3" t="s">
        <v>37608</v>
      </c>
      <c r="C13263" s="3">
        <v>0.0</v>
      </c>
      <c r="D13263" s="3">
        <v>0.0</v>
      </c>
      <c r="E13263" s="3">
        <v>0.0</v>
      </c>
      <c r="F13263" s="3" t="s">
        <v>37609</v>
      </c>
      <c r="G13263" s="3">
        <v>0.0</v>
      </c>
      <c r="H13263" s="3">
        <v>0.0</v>
      </c>
      <c r="I13263" s="3" t="s">
        <v>13</v>
      </c>
      <c r="J13263" s="3" t="s">
        <v>37610</v>
      </c>
      <c r="K13263" s="3" t="s">
        <v>123</v>
      </c>
      <c r="L13263" s="3" t="str">
        <f>IFERROR(__xludf.DUMMYFUNCTION("GOOGLETRANSLATE(F13263,""id"",""en"")"),"Still saying the settings of galiat what paul is tuh fell where there is a referee NuUp Pluit anyway tonight Argentina is cool tonight")</f>
        <v>Still saying the settings of galiat what paul is tuh fell where there is a referee NuUp Pluit anyway tonight Argentina is cool tonight</v>
      </c>
    </row>
    <row r="13264" ht="15.75" customHeight="1">
      <c r="A13264" s="1">
        <v>14668.0</v>
      </c>
      <c r="B13264" s="3" t="s">
        <v>37611</v>
      </c>
      <c r="C13264" s="3">
        <v>1.0</v>
      </c>
      <c r="D13264" s="3">
        <v>0.0</v>
      </c>
      <c r="E13264" s="3">
        <v>2.0</v>
      </c>
      <c r="F13264" s="3" t="s">
        <v>37612</v>
      </c>
      <c r="G13264" s="3">
        <v>0.0</v>
      </c>
      <c r="H13264" s="3">
        <v>0.0</v>
      </c>
      <c r="I13264" s="3" t="s">
        <v>13</v>
      </c>
      <c r="J13264" s="3" t="s">
        <v>37613</v>
      </c>
      <c r="K13264" s="3" t="s">
        <v>1097</v>
      </c>
      <c r="L13264" s="3" t="str">
        <f>IFERROR(__xludf.DUMMYFUNCTION("GOOGLETRANSLATE(F13264,""id"",""en"")"),"Argentina Cup where Argentina referee roams while there is still a knockout phase")</f>
        <v>Argentina Cup where Argentina referee roams while there is still a knockout phase</v>
      </c>
    </row>
    <row r="13265" ht="15.75" customHeight="1">
      <c r="A13265" s="1">
        <v>14669.0</v>
      </c>
      <c r="B13265" s="3" t="s">
        <v>37614</v>
      </c>
      <c r="C13265" s="3">
        <v>0.0</v>
      </c>
      <c r="D13265" s="3">
        <v>0.0</v>
      </c>
      <c r="E13265" s="3">
        <v>0.0</v>
      </c>
      <c r="F13265" s="3" t="s">
        <v>37615</v>
      </c>
      <c r="G13265" s="3">
        <v>0.0</v>
      </c>
      <c r="H13265" s="3">
        <v>0.0</v>
      </c>
      <c r="I13265" s="3" t="s">
        <v>13</v>
      </c>
      <c r="J13265" s="3" t="s">
        <v>37616</v>
      </c>
      <c r="K13265" s="3" t="s">
        <v>2117</v>
      </c>
      <c r="L13265" s="3" t="str">
        <f>IFERROR(__xludf.DUMMYFUNCTION("GOOGLETRANSLATE(F13265,""id"",""en"")"),"Argentina is assisted by the referee")</f>
        <v>Argentina is assisted by the referee</v>
      </c>
    </row>
    <row r="13266" ht="15.75" customHeight="1">
      <c r="A13266" s="1">
        <v>14670.0</v>
      </c>
      <c r="B13266" s="3" t="s">
        <v>37617</v>
      </c>
      <c r="C13266" s="3">
        <v>0.0</v>
      </c>
      <c r="D13266" s="3">
        <v>0.0</v>
      </c>
      <c r="E13266" s="3">
        <v>0.0</v>
      </c>
      <c r="F13266" s="3" t="s">
        <v>37618</v>
      </c>
      <c r="G13266" s="3">
        <v>0.0</v>
      </c>
      <c r="H13266" s="3">
        <v>0.0</v>
      </c>
      <c r="I13266" s="3" t="s">
        <v>13</v>
      </c>
      <c r="J13266" s="3" t="s">
        <v>37619</v>
      </c>
      <c r="K13266" s="3" t="s">
        <v>54</v>
      </c>
      <c r="L13266" s="3" t="str">
        <f>IFERROR(__xludf.DUMMYFUNCTION("GOOGLETRANSLATE(F13266,""id"",""en"")"),"It's okay Argentina to win but that's the referee")</f>
        <v>It's okay Argentina to win but that's the referee</v>
      </c>
    </row>
    <row r="13267" ht="15.75" customHeight="1">
      <c r="A13267" s="1">
        <v>14671.0</v>
      </c>
      <c r="B13267" s="3" t="s">
        <v>37620</v>
      </c>
      <c r="C13267" s="3">
        <v>5.0</v>
      </c>
      <c r="D13267" s="3">
        <v>0.0</v>
      </c>
      <c r="E13267" s="3">
        <v>6.0</v>
      </c>
      <c r="F13267" s="3" t="s">
        <v>37600</v>
      </c>
      <c r="G13267" s="3">
        <v>1.0</v>
      </c>
      <c r="H13267" s="3">
        <v>0.0</v>
      </c>
      <c r="I13267" s="3" t="s">
        <v>13</v>
      </c>
      <c r="J13267" s="3" t="s">
        <v>37601</v>
      </c>
      <c r="K13267" s="3" t="s">
        <v>1157</v>
      </c>
      <c r="L13267" s="3" t="str">
        <f>IFERROR(__xludf.DUMMYFUNCTION("GOOGLETRANSLATE(F13267,""id"",""en"")"),"The final that blocks Maria Diving Referees Check Var French players, protested when Maria diving France was rich in lazy playing like French pillars like Giroud and Dembele changed every Argentina match to get Ronaldo Messi's penalty voucher")</f>
        <v>The final that blocks Maria Diving Referees Check Var French players, protested when Maria diving France was rich in lazy playing like French pillars like Giroud and Dembele changed every Argentina match to get Ronaldo Messi's penalty voucher</v>
      </c>
    </row>
    <row r="13268" ht="15.75" customHeight="1">
      <c r="A13268" s="1">
        <v>14672.0</v>
      </c>
      <c r="B13268" s="3" t="s">
        <v>37621</v>
      </c>
      <c r="C13268" s="3">
        <v>0.0</v>
      </c>
      <c r="D13268" s="3">
        <v>0.0</v>
      </c>
      <c r="E13268" s="3">
        <v>0.0</v>
      </c>
      <c r="F13268" s="3" t="s">
        <v>37622</v>
      </c>
      <c r="G13268" s="3">
        <v>0.0</v>
      </c>
      <c r="H13268" s="3">
        <v>0.0</v>
      </c>
      <c r="I13268" s="3" t="s">
        <v>13</v>
      </c>
      <c r="J13268" s="3" t="s">
        <v>37623</v>
      </c>
      <c r="K13268" s="3" t="s">
        <v>437</v>
      </c>
      <c r="L13268" s="3" t="str">
        <f>IFERROR(__xludf.DUMMYFUNCTION("GOOGLETRANSLATE(F13268,""id"",""en"")"),"noisy referee FIFA is Argentina but France himself playing chaos")</f>
        <v>noisy referee FIFA is Argentina but France himself playing chaos</v>
      </c>
    </row>
    <row r="13269" ht="15.75" customHeight="1">
      <c r="A13269" s="1">
        <v>14673.0</v>
      </c>
      <c r="B13269" s="3" t="s">
        <v>37624</v>
      </c>
      <c r="C13269" s="3">
        <v>0.0</v>
      </c>
      <c r="D13269" s="3">
        <v>0.0</v>
      </c>
      <c r="E13269" s="3">
        <v>0.0</v>
      </c>
      <c r="F13269" s="3" t="s">
        <v>37625</v>
      </c>
      <c r="G13269" s="3">
        <v>0.0</v>
      </c>
      <c r="H13269" s="3">
        <v>0.0</v>
      </c>
      <c r="I13269" s="3" t="s">
        <v>13</v>
      </c>
      <c r="J13269" s="3" t="s">
        <v>37626</v>
      </c>
      <c r="K13269" s="3" t="s">
        <v>58</v>
      </c>
      <c r="L13269" s="3" t="str">
        <f>IFERROR(__xludf.DUMMYFUNCTION("GOOGLETRANSLATE(F13269,""id"",""en"")"),"Argentine players similar to Indo players wkwkw mostly ask the referee's mercy to be hit a little")</f>
        <v>Argentine players similar to Indo players wkwkw mostly ask the referee's mercy to be hit a little</v>
      </c>
    </row>
    <row r="13270" ht="15.75" customHeight="1">
      <c r="A13270" s="1">
        <v>14674.0</v>
      </c>
      <c r="B13270" s="3" t="s">
        <v>37627</v>
      </c>
      <c r="C13270" s="3">
        <v>0.0</v>
      </c>
      <c r="D13270" s="3">
        <v>0.0</v>
      </c>
      <c r="E13270" s="3">
        <v>0.0</v>
      </c>
      <c r="F13270" s="3" t="s">
        <v>37628</v>
      </c>
      <c r="G13270" s="3">
        <v>0.8</v>
      </c>
      <c r="H13270" s="3">
        <v>-0.2</v>
      </c>
      <c r="I13270" s="3" t="s">
        <v>179</v>
      </c>
      <c r="J13270" s="3" t="s">
        <v>37629</v>
      </c>
      <c r="K13270" s="3" t="s">
        <v>19</v>
      </c>
      <c r="L13270" s="3" t="str">
        <f>IFERROR(__xludf.DUMMYFUNCTION("GOOGLETRANSLATE(F13270,""id"",""en"")"),"That's right Argentina has gotten a penalty from the Hockey Winning match always benefited the referee Shit")</f>
        <v>That's right Argentina has gotten a penalty from the Hockey Winning match always benefited the referee Shit</v>
      </c>
    </row>
    <row r="13271" ht="15.75" customHeight="1">
      <c r="A13271" s="1">
        <v>14675.0</v>
      </c>
      <c r="B13271" s="3" t="s">
        <v>37630</v>
      </c>
      <c r="C13271" s="3">
        <v>1.0</v>
      </c>
      <c r="D13271" s="3">
        <v>0.0</v>
      </c>
      <c r="E13271" s="3">
        <v>1.0</v>
      </c>
      <c r="F13271" s="3" t="s">
        <v>37631</v>
      </c>
      <c r="G13271" s="3">
        <v>0.0</v>
      </c>
      <c r="H13271" s="3">
        <v>0.0</v>
      </c>
      <c r="I13271" s="3" t="s">
        <v>13</v>
      </c>
      <c r="J13271" s="3" t="s">
        <v>37632</v>
      </c>
      <c r="K13271" s="3" t="s">
        <v>510</v>
      </c>
      <c r="L13271" s="3" t="str">
        <f>IFERROR(__xludf.DUMMYFUNCTION("GOOGLETRANSLATE(F13271,""id"",""en"")"),"This does not need to be helped by the referee also definitely win Argentina, the French wong is playing like a vegetable Oyong like this")</f>
        <v>This does not need to be helped by the referee also definitely win Argentina, the French wong is playing like a vegetable Oyong like this</v>
      </c>
    </row>
    <row r="13272" ht="15.75" customHeight="1">
      <c r="A13272" s="1">
        <v>14676.0</v>
      </c>
      <c r="B13272" s="3" t="s">
        <v>37633</v>
      </c>
      <c r="C13272" s="3">
        <v>0.0</v>
      </c>
      <c r="D13272" s="3">
        <v>0.0</v>
      </c>
      <c r="E13272" s="3">
        <v>0.0</v>
      </c>
      <c r="F13272" s="3" t="s">
        <v>37634</v>
      </c>
      <c r="G13272" s="3">
        <v>0.0</v>
      </c>
      <c r="H13272" s="3">
        <v>0.0</v>
      </c>
      <c r="I13272" s="3" t="s">
        <v>13</v>
      </c>
      <c r="J13272" s="3" t="s">
        <v>37635</v>
      </c>
      <c r="K13272" s="3" t="s">
        <v>657</v>
      </c>
      <c r="L13272" s="3" t="str">
        <f>IFERROR(__xludf.DUMMYFUNCTION("GOOGLETRANSLATE(F13272,""id"",""en"")"),"Referee Var Voor Argentina means that this emotional fishing national team is merely shame again arranged by the dealer")</f>
        <v>Referee Var Voor Argentina means that this emotional fishing national team is merely shame again arranged by the dealer</v>
      </c>
    </row>
    <row r="13273" ht="15.75" customHeight="1">
      <c r="A13273" s="1">
        <v>14677.0</v>
      </c>
      <c r="B13273" s="3" t="s">
        <v>37636</v>
      </c>
      <c r="C13273" s="3">
        <v>0.0</v>
      </c>
      <c r="D13273" s="3">
        <v>0.0</v>
      </c>
      <c r="E13273" s="3">
        <v>0.0</v>
      </c>
      <c r="F13273" s="3" t="s">
        <v>37637</v>
      </c>
      <c r="G13273" s="3">
        <v>0.0</v>
      </c>
      <c r="H13273" s="3">
        <v>0.0</v>
      </c>
      <c r="I13273" s="3" t="s">
        <v>13</v>
      </c>
      <c r="J13273" s="3" t="s">
        <v>37638</v>
      </c>
      <c r="K13273" s="3" t="s">
        <v>54</v>
      </c>
      <c r="L13273" s="3" t="str">
        <f>IFERROR(__xludf.DUMMYFUNCTION("GOOGLETRANSLATE(F13273,""id"",""en"")"),"Fikrii even though assisted by the referee can be this Argentine champion")</f>
        <v>Fikrii even though assisted by the referee can be this Argentine champion</v>
      </c>
    </row>
    <row r="13274" ht="15.75" customHeight="1">
      <c r="A13274" s="1">
        <v>14678.0</v>
      </c>
      <c r="B13274" s="3" t="s">
        <v>37639</v>
      </c>
      <c r="C13274" s="3">
        <v>0.0</v>
      </c>
      <c r="D13274" s="3">
        <v>0.0</v>
      </c>
      <c r="E13274" s="3">
        <v>0.0</v>
      </c>
      <c r="F13274" s="3" t="s">
        <v>37640</v>
      </c>
      <c r="G13274" s="3">
        <v>0.0</v>
      </c>
      <c r="H13274" s="3">
        <v>0.0</v>
      </c>
      <c r="I13274" s="3" t="s">
        <v>13</v>
      </c>
      <c r="J13274" s="3" t="s">
        <v>37641</v>
      </c>
      <c r="K13274" s="3" t="s">
        <v>510</v>
      </c>
      <c r="L13274" s="3" t="str">
        <f>IFERROR(__xludf.DUMMYFUNCTION("GOOGLETRANSLATE(F13274,""id"",""en"")"),"Like France Dholimi referee deh Kui wants to be a block of Argentine players how come the violation")</f>
        <v>Like France Dholimi referee deh Kui wants to be a block of Argentine players how come the violation</v>
      </c>
    </row>
    <row r="13275" ht="15.75" customHeight="1">
      <c r="A13275" s="1">
        <v>14679.0</v>
      </c>
      <c r="B13275" s="3" t="s">
        <v>37642</v>
      </c>
      <c r="C13275" s="3">
        <v>1.0</v>
      </c>
      <c r="D13275" s="3">
        <v>1.0</v>
      </c>
      <c r="E13275" s="3">
        <v>0.0</v>
      </c>
      <c r="F13275" s="3" t="s">
        <v>37643</v>
      </c>
      <c r="G13275" s="3">
        <v>0.0</v>
      </c>
      <c r="H13275" s="3">
        <v>0.0</v>
      </c>
      <c r="I13275" s="3" t="s">
        <v>13</v>
      </c>
      <c r="J13275" s="3" t="s">
        <v>37644</v>
      </c>
      <c r="K13275" s="3" t="s">
        <v>1970</v>
      </c>
      <c r="L13275" s="3" t="str">
        <f>IFERROR(__xludf.DUMMYFUNCTION("GOOGLETRANSLATE(F13275,""id"",""en"")"),"Without the help of the Argentine referee, I have returned from the Netherlands Messi, the PAREDES yellow card should be a red card plus the exhibit penalty still proud")</f>
        <v>Without the help of the Argentine referee, I have returned from the Netherlands Messi, the PAREDES yellow card should be a red card plus the exhibit penalty still proud</v>
      </c>
    </row>
    <row r="13276" ht="15.75" customHeight="1">
      <c r="A13276" s="1">
        <v>14680.0</v>
      </c>
      <c r="B13276" s="3" t="s">
        <v>37645</v>
      </c>
      <c r="C13276" s="3">
        <v>0.0</v>
      </c>
      <c r="D13276" s="3">
        <v>0.0</v>
      </c>
      <c r="E13276" s="3">
        <v>0.0</v>
      </c>
      <c r="F13276" s="3" t="s">
        <v>37645</v>
      </c>
      <c r="G13276" s="3">
        <v>0.0</v>
      </c>
      <c r="H13276" s="3">
        <v>0.0</v>
      </c>
      <c r="I13276" s="3" t="s">
        <v>13</v>
      </c>
      <c r="J13276" s="3" t="s">
        <v>37646</v>
      </c>
      <c r="K13276" s="3" t="s">
        <v>15</v>
      </c>
      <c r="L13276" s="3" t="str">
        <f>IFERROR(__xludf.DUMMYFUNCTION("GOOGLETRANSLATE(F13276,""id"",""en"")"),"The referee wants to realize Messi and Argentina to become champions")</f>
        <v>The referee wants to realize Messi and Argentina to become champions</v>
      </c>
    </row>
    <row r="13277" ht="15.75" customHeight="1">
      <c r="A13277" s="1">
        <v>14681.0</v>
      </c>
      <c r="B13277" s="3" t="s">
        <v>37647</v>
      </c>
      <c r="C13277" s="3">
        <v>0.0</v>
      </c>
      <c r="D13277" s="3">
        <v>0.0</v>
      </c>
      <c r="E13277" s="3">
        <v>0.0</v>
      </c>
      <c r="F13277" s="3" t="s">
        <v>37648</v>
      </c>
      <c r="G13277" s="3">
        <v>0.0</v>
      </c>
      <c r="H13277" s="3">
        <v>0.0</v>
      </c>
      <c r="I13277" s="3" t="s">
        <v>13</v>
      </c>
      <c r="J13277" s="3" t="s">
        <v>37649</v>
      </c>
      <c r="K13277" s="3" t="s">
        <v>644</v>
      </c>
      <c r="L13277" s="3" t="str">
        <f>IFERROR(__xludf.DUMMYFUNCTION("GOOGLETRANSLATE(F13277,""id"",""en"")"),"Argentina Ewak referees wkwkwk")</f>
        <v>Argentina Ewak referees wkwkwk</v>
      </c>
    </row>
    <row r="13278" ht="15.75" customHeight="1">
      <c r="A13278" s="1">
        <v>14682.0</v>
      </c>
      <c r="B13278" s="3" t="s">
        <v>37650</v>
      </c>
      <c r="C13278" s="3">
        <v>1.0</v>
      </c>
      <c r="D13278" s="3">
        <v>0.0</v>
      </c>
      <c r="E13278" s="3">
        <v>0.0</v>
      </c>
      <c r="F13278" s="3" t="s">
        <v>37651</v>
      </c>
      <c r="G13278" s="3">
        <v>0.0</v>
      </c>
      <c r="H13278" s="3">
        <v>0.0</v>
      </c>
      <c r="I13278" s="3" t="s">
        <v>13</v>
      </c>
      <c r="J13278" s="3" t="s">
        <v>37652</v>
      </c>
      <c r="K13278" s="3" t="s">
        <v>3721</v>
      </c>
      <c r="L13278" s="3" t="str">
        <f>IFERROR(__xludf.DUMMYFUNCTION("GOOGLETRANSLATE(F13278,""id"",""en"")"),"Argentina's first goal was scored by Lionel Messi through the right point or penalty of the referee Szymon Marciniak from Poland giving a penalty kick after Angel Maria seemed to be dropped by Ousmane Dembele deliberately forbidden boxes")</f>
        <v>Argentina's first goal was scored by Lionel Messi through the right point or penalty of the referee Szymon Marciniak from Poland giving a penalty kick after Angel Maria seemed to be dropped by Ousmane Dembele deliberately forbidden boxes</v>
      </c>
    </row>
    <row r="13279" ht="15.75" customHeight="1">
      <c r="A13279" s="1">
        <v>14684.0</v>
      </c>
      <c r="B13279" s="3" t="s">
        <v>37653</v>
      </c>
      <c r="C13279" s="3">
        <v>1.0</v>
      </c>
      <c r="D13279" s="3">
        <v>0.0</v>
      </c>
      <c r="E13279" s="3">
        <v>0.0</v>
      </c>
      <c r="F13279" s="3" t="s">
        <v>37654</v>
      </c>
      <c r="G13279" s="3">
        <v>0.0</v>
      </c>
      <c r="H13279" s="3">
        <v>0.0</v>
      </c>
      <c r="I13279" s="3" t="s">
        <v>13</v>
      </c>
      <c r="J13279" s="3" t="s">
        <v>37655</v>
      </c>
      <c r="K13279" s="3" t="s">
        <v>15</v>
      </c>
      <c r="L13279" s="3" t="str">
        <f>IFERROR(__xludf.DUMMYFUNCTION("GOOGLETRANSLATE(F13279,""id"",""en"")"),"Argentina, although the referee of BRI Liga referee will also win")</f>
        <v>Argentina, although the referee of BRI Liga referee will also win</v>
      </c>
    </row>
    <row r="13280" ht="15.75" customHeight="1">
      <c r="A13280" s="1">
        <v>14685.0</v>
      </c>
      <c r="B13280" s="3" t="s">
        <v>37656</v>
      </c>
      <c r="C13280" s="3">
        <v>1.0</v>
      </c>
      <c r="D13280" s="3">
        <v>0.0</v>
      </c>
      <c r="E13280" s="3">
        <v>0.0</v>
      </c>
      <c r="F13280" s="3" t="s">
        <v>37657</v>
      </c>
      <c r="G13280" s="3">
        <v>0.6666666666666666</v>
      </c>
      <c r="H13280" s="3">
        <v>0.08333333333333333</v>
      </c>
      <c r="I13280" s="3" t="s">
        <v>48</v>
      </c>
      <c r="J13280" s="3" t="s">
        <v>37658</v>
      </c>
      <c r="K13280" s="3" t="s">
        <v>1061</v>
      </c>
      <c r="L13280" s="3" t="str">
        <f>IFERROR(__xludf.DUMMYFUNCTION("GOOGLETRANSLATE(F13280,""id"",""en"")"),"Sir, this is final, don't rely on the technique, you have to play tricks, and also give the referee pressure, for example, just look at the Argentine players, the first half is still connecting the referee complaint about the Fernandez yellow card")</f>
        <v>Sir, this is final, don't rely on the technique, you have to play tricks, and also give the referee pressure, for example, just look at the Argentine players, the first half is still connecting the referee complaint about the Fernandez yellow card</v>
      </c>
    </row>
    <row r="13281" ht="15.75" customHeight="1">
      <c r="A13281" s="1">
        <v>14686.0</v>
      </c>
      <c r="B13281" s="3" t="s">
        <v>37659</v>
      </c>
      <c r="C13281" s="3">
        <v>2.0</v>
      </c>
      <c r="D13281" s="3">
        <v>0.0</v>
      </c>
      <c r="E13281" s="3">
        <v>0.0</v>
      </c>
      <c r="F13281" s="3" t="s">
        <v>37660</v>
      </c>
      <c r="G13281" s="3">
        <v>0.2</v>
      </c>
      <c r="H13281" s="3">
        <v>-0.1</v>
      </c>
      <c r="I13281" s="3" t="s">
        <v>179</v>
      </c>
      <c r="J13281" s="3" t="s">
        <v>37661</v>
      </c>
      <c r="K13281" s="3" t="s">
        <v>41</v>
      </c>
      <c r="L13281" s="3" t="str">
        <f>IFERROR(__xludf.DUMMYFUNCTION("GOOGLETRANSLATE(F13281,""id"",""en"")"),"hit by Argentina mentally defended by the referee because especially the first penalty diving")</f>
        <v>hit by Argentina mentally defended by the referee because especially the first penalty diving</v>
      </c>
    </row>
    <row r="13282" ht="15.75" customHeight="1">
      <c r="A13282" s="1">
        <v>14687.0</v>
      </c>
      <c r="B13282" s="3" t="s">
        <v>37662</v>
      </c>
      <c r="C13282" s="3">
        <v>0.0</v>
      </c>
      <c r="D13282" s="3">
        <v>0.0</v>
      </c>
      <c r="E13282" s="3">
        <v>0.0</v>
      </c>
      <c r="F13282" s="3" t="s">
        <v>37663</v>
      </c>
      <c r="G13282" s="3">
        <v>0.0</v>
      </c>
      <c r="H13282" s="3">
        <v>0.0</v>
      </c>
      <c r="I13282" s="3" t="s">
        <v>13</v>
      </c>
      <c r="J13282" s="3" t="s">
        <v>37664</v>
      </c>
      <c r="K13282" s="3" t="s">
        <v>50</v>
      </c>
      <c r="L13282" s="3" t="str">
        <f>IFERROR(__xludf.DUMMYFUNCTION("GOOGLETRANSLATE(F13282,""id"",""en"")"),"Must be a Dodo fan to understand if Argentina is what's wrong with the compassion of the penalty referee")</f>
        <v>Must be a Dodo fan to understand if Argentina is what's wrong with the compassion of the penalty referee</v>
      </c>
    </row>
    <row r="13283" ht="15.75" customHeight="1">
      <c r="A13283" s="1">
        <v>14688.0</v>
      </c>
      <c r="B13283" s="3" t="s">
        <v>37665</v>
      </c>
      <c r="C13283" s="3">
        <v>1.0</v>
      </c>
      <c r="D13283" s="3">
        <v>0.0</v>
      </c>
      <c r="E13283" s="3">
        <v>0.0</v>
      </c>
      <c r="F13283" s="3" t="s">
        <v>37666</v>
      </c>
      <c r="G13283" s="3">
        <v>0.0</v>
      </c>
      <c r="H13283" s="3">
        <v>0.0</v>
      </c>
      <c r="I13283" s="3" t="s">
        <v>13</v>
      </c>
      <c r="J13283" s="3" t="s">
        <v>37667</v>
      </c>
      <c r="K13283" s="3" t="s">
        <v>1345</v>
      </c>
      <c r="L13283" s="3" t="str">
        <f>IFERROR(__xludf.DUMMYFUNCTION("GOOGLETRANSLATE(F13283,""id"",""en"")"),"Croatia was carried by Modric Portugal was carried by Bruno France held by Mbappe Argentina carried by the referee")</f>
        <v>Croatia was carried by Modric Portugal was carried by Bruno France held by Mbappe Argentina carried by the referee</v>
      </c>
    </row>
    <row r="13284" ht="15.75" customHeight="1">
      <c r="A13284" s="1">
        <v>14689.0</v>
      </c>
      <c r="B13284" s="3" t="s">
        <v>37668</v>
      </c>
      <c r="C13284" s="3">
        <v>0.0</v>
      </c>
      <c r="D13284" s="3">
        <v>0.0</v>
      </c>
      <c r="E13284" s="3">
        <v>0.0</v>
      </c>
      <c r="F13284" s="3" t="s">
        <v>37669</v>
      </c>
      <c r="G13284" s="3">
        <v>0.0</v>
      </c>
      <c r="H13284" s="3">
        <v>0.0</v>
      </c>
      <c r="I13284" s="3" t="s">
        <v>13</v>
      </c>
      <c r="J13284" s="3" t="s">
        <v>37670</v>
      </c>
      <c r="K13284" s="3" t="s">
        <v>75</v>
      </c>
      <c r="L13284" s="3" t="str">
        <f>IFERROR(__xludf.DUMMYFUNCTION("GOOGLETRANSLATE(F13284,""id"",""en"")"),"aha goat where can the voucher continue to the referee always benefit Argentina")</f>
        <v>aha goat where can the voucher continue to the referee always benefit Argentina</v>
      </c>
    </row>
    <row r="13285" ht="15.75" customHeight="1">
      <c r="A13285" s="1">
        <v>14690.0</v>
      </c>
      <c r="B13285" s="3" t="s">
        <v>37671</v>
      </c>
      <c r="C13285" s="3">
        <v>0.0</v>
      </c>
      <c r="D13285" s="3">
        <v>0.0</v>
      </c>
      <c r="E13285" s="3">
        <v>0.0</v>
      </c>
      <c r="F13285" s="3" t="s">
        <v>37672</v>
      </c>
      <c r="G13285" s="3">
        <v>0.0</v>
      </c>
      <c r="H13285" s="3">
        <v>0.0</v>
      </c>
      <c r="I13285" s="3" t="s">
        <v>13</v>
      </c>
      <c r="J13285" s="3" t="s">
        <v>37673</v>
      </c>
      <c r="K13285" s="3" t="s">
        <v>795</v>
      </c>
      <c r="L13285" s="3" t="str">
        <f>IFERROR(__xludf.DUMMYFUNCTION("GOOGLETRANSLATE(F13285,""id"",""en"")"),"Referees Nek Paid Ceto Nek Paid Kerjo Sek Sek Sek Need to be questioned Ketoke Wasite Immized Purel Nek Sek Sek win Argentina")</f>
        <v>Referees Nek Paid Ceto Nek Paid Kerjo Sek Sek Sek Need to be questioned Ketoke Wasite Immized Purel Nek Sek Sek win Argentina</v>
      </c>
    </row>
    <row r="13286" ht="15.75" customHeight="1">
      <c r="A13286" s="1">
        <v>14692.0</v>
      </c>
      <c r="B13286" s="3" t="s">
        <v>37674</v>
      </c>
      <c r="C13286" s="3">
        <v>4.0</v>
      </c>
      <c r="D13286" s="3">
        <v>4.0</v>
      </c>
      <c r="E13286" s="3">
        <v>20.0</v>
      </c>
      <c r="F13286" s="3" t="s">
        <v>37675</v>
      </c>
      <c r="G13286" s="3">
        <v>0.0</v>
      </c>
      <c r="H13286" s="3">
        <v>0.0</v>
      </c>
      <c r="I13286" s="3" t="s">
        <v>13</v>
      </c>
      <c r="J13286" s="3" t="s">
        <v>37676</v>
      </c>
      <c r="K13286" s="3" t="s">
        <v>993</v>
      </c>
      <c r="L13286" s="3" t="str">
        <f>IFERROR(__xludf.DUMMYFUNCTION("GOOGLETRANSLATE(F13286,""id"",""en"")"),"Argentina The most country can get the world's penalty bonus so easily the referee gives a penalty as if the world cup is designed to win for Argentina Messi Freemason members use tattoos the all seeing eye eye don't dilaqan boss")</f>
        <v>Argentina The most country can get the world's penalty bonus so easily the referee gives a penalty as if the world cup is designed to win for Argentina Messi Freemason members use tattoos the all seeing eye eye don't dilaqan boss</v>
      </c>
    </row>
    <row r="13287" ht="15.75" customHeight="1">
      <c r="A13287" s="1">
        <v>14693.0</v>
      </c>
      <c r="B13287" s="3" t="s">
        <v>37677</v>
      </c>
      <c r="C13287" s="3">
        <v>0.0</v>
      </c>
      <c r="D13287" s="3">
        <v>0.0</v>
      </c>
      <c r="E13287" s="3">
        <v>0.0</v>
      </c>
      <c r="F13287" s="3" t="s">
        <v>37678</v>
      </c>
      <c r="G13287" s="3">
        <v>0.35</v>
      </c>
      <c r="H13287" s="3">
        <v>0.1</v>
      </c>
      <c r="I13287" s="3" t="s">
        <v>48</v>
      </c>
      <c r="J13287" s="3" t="s">
        <v>37679</v>
      </c>
      <c r="K13287" s="3" t="s">
        <v>240</v>
      </c>
      <c r="L13287" s="3" t="str">
        <f>IFERROR(__xludf.DUMMYFUNCTION("GOOGLETRANSLATE(F13287,""id"",""en"")"),"If this is the referee Pierluigi Collina will give you a penalty too soft but for Goal the same as Argentina is worthy of excellence")</f>
        <v>If this is the referee Pierluigi Collina will give you a penalty too soft but for Goal the same as Argentina is worthy of excellence</v>
      </c>
    </row>
    <row r="13288" ht="15.75" customHeight="1">
      <c r="A13288" s="1">
        <v>14694.0</v>
      </c>
      <c r="B13288" s="3" t="s">
        <v>37680</v>
      </c>
      <c r="C13288" s="3">
        <v>0.0</v>
      </c>
      <c r="D13288" s="3">
        <v>0.0</v>
      </c>
      <c r="E13288" s="3">
        <v>0.0</v>
      </c>
      <c r="F13288" s="3" t="s">
        <v>37681</v>
      </c>
      <c r="G13288" s="3">
        <v>0.4</v>
      </c>
      <c r="H13288" s="3">
        <v>0.8</v>
      </c>
      <c r="I13288" s="3" t="s">
        <v>48</v>
      </c>
      <c r="J13288" s="3" t="s">
        <v>37682</v>
      </c>
      <c r="K13288" s="3" t="s">
        <v>3401</v>
      </c>
      <c r="L13288" s="3" t="str">
        <f>IFERROR(__xludf.DUMMYFUNCTION("GOOGLETRANSLATE(F13288,""id"",""en"")"),"But surprised if Argentina was also fortunate to have the referee of Qatar PSG lifting the name Messi as a goat they sacrificed the name of the French League Ngorbanin French all Win Win Solution for the team if the Argentina scenario won wkwkw")</f>
        <v>But surprised if Argentina was also fortunate to have the referee of Qatar PSG lifting the name Messi as a goat they sacrificed the name of the French League Ngorbanin French all Win Win Solution for the team if the Argentina scenario won wkwkw</v>
      </c>
    </row>
    <row r="13289" ht="15.75" customHeight="1">
      <c r="A13289" s="1">
        <v>14695.0</v>
      </c>
      <c r="B13289" s="3" t="s">
        <v>37683</v>
      </c>
      <c r="C13289" s="3">
        <v>1.0</v>
      </c>
      <c r="D13289" s="3">
        <v>0.0</v>
      </c>
      <c r="E13289" s="3">
        <v>0.0</v>
      </c>
      <c r="F13289" s="3" t="s">
        <v>37684</v>
      </c>
      <c r="G13289" s="3">
        <v>0.0</v>
      </c>
      <c r="H13289" s="3">
        <v>0.0</v>
      </c>
      <c r="I13289" s="3" t="s">
        <v>13</v>
      </c>
      <c r="J13289" s="3" t="s">
        <v>37685</v>
      </c>
      <c r="K13289" s="3" t="s">
        <v>15</v>
      </c>
      <c r="L13289" s="3" t="str">
        <f>IFERROR(__xludf.DUMMYFUNCTION("GOOGLETRANSLATE(F13289,""id"",""en"")"),"Dalapan referee helps Argentina Mulu Cuiih Najiss")</f>
        <v>Dalapan referee helps Argentina Mulu Cuiih Najiss</v>
      </c>
    </row>
    <row r="13290" ht="15.75" customHeight="1">
      <c r="A13290" s="1">
        <v>14696.0</v>
      </c>
      <c r="B13290" s="3" t="s">
        <v>37686</v>
      </c>
      <c r="C13290" s="3">
        <v>0.0</v>
      </c>
      <c r="D13290" s="3">
        <v>0.0</v>
      </c>
      <c r="E13290" s="3">
        <v>0.0</v>
      </c>
      <c r="F13290" s="3" t="s">
        <v>37687</v>
      </c>
      <c r="G13290" s="3">
        <v>0.75</v>
      </c>
      <c r="H13290" s="3">
        <v>0.0</v>
      </c>
      <c r="I13290" s="3" t="s">
        <v>13</v>
      </c>
      <c r="J13290" s="3" t="s">
        <v>37688</v>
      </c>
      <c r="K13290" s="3" t="s">
        <v>437</v>
      </c>
      <c r="L13290" s="3" t="str">
        <f>IFERROR(__xludf.DUMMYFUNCTION("GOOGLETRANSLATE(F13290,""id"",""en"")"),"Of the total Argentine matches during the World Cup only Mexico with Australia who did not give a penalty to the referee")</f>
        <v>Of the total Argentine matches during the World Cup only Mexico with Australia who did not give a penalty to the referee</v>
      </c>
    </row>
    <row r="13291" ht="15.75" customHeight="1">
      <c r="A13291" s="1">
        <v>14697.0</v>
      </c>
      <c r="B13291" s="3" t="s">
        <v>37689</v>
      </c>
      <c r="C13291" s="3">
        <v>0.0</v>
      </c>
      <c r="D13291" s="3">
        <v>0.0</v>
      </c>
      <c r="E13291" s="3">
        <v>0.0</v>
      </c>
      <c r="F13291" s="3" t="s">
        <v>37690</v>
      </c>
      <c r="G13291" s="3">
        <v>0.0</v>
      </c>
      <c r="H13291" s="3">
        <v>0.0</v>
      </c>
      <c r="I13291" s="3" t="s">
        <v>13</v>
      </c>
      <c r="J13291" s="3" t="s">
        <v>37691</v>
      </c>
      <c r="K13291" s="3" t="s">
        <v>54</v>
      </c>
      <c r="L13291" s="3" t="str">
        <f>IFERROR(__xludf.DUMMYFUNCTION("GOOGLETRANSLATE(F13291,""id"",""en"")"),"The Angtum Bapuk Referee Team is blamed")</f>
        <v>The Angtum Bapuk Referee Team is blamed</v>
      </c>
    </row>
    <row r="13292" ht="15.75" customHeight="1">
      <c r="A13292" s="1">
        <v>14698.0</v>
      </c>
      <c r="B13292" s="3" t="s">
        <v>37692</v>
      </c>
      <c r="C13292" s="3">
        <v>0.0</v>
      </c>
      <c r="D13292" s="3">
        <v>0.0</v>
      </c>
      <c r="E13292" s="3">
        <v>0.0</v>
      </c>
      <c r="F13292" s="3" t="s">
        <v>37693</v>
      </c>
      <c r="G13292" s="3">
        <v>0.0</v>
      </c>
      <c r="H13292" s="3">
        <v>0.0</v>
      </c>
      <c r="I13292" s="3" t="s">
        <v>13</v>
      </c>
      <c r="J13292" s="3" t="s">
        <v>37694</v>
      </c>
      <c r="K13292" s="3" t="s">
        <v>644</v>
      </c>
      <c r="L13292" s="3" t="str">
        <f>IFERROR(__xludf.DUMMYFUNCTION("GOOGLETRANSLATE(F13292,""id"",""en"")"),"You are not a referee Suuu")</f>
        <v>You are not a referee Suuu</v>
      </c>
    </row>
    <row r="13293" ht="15.75" customHeight="1">
      <c r="A13293" s="1">
        <v>14699.0</v>
      </c>
      <c r="B13293" s="3" t="s">
        <v>37695</v>
      </c>
      <c r="C13293" s="3">
        <v>0.0</v>
      </c>
      <c r="D13293" s="3">
        <v>0.0</v>
      </c>
      <c r="E13293" s="3">
        <v>0.0</v>
      </c>
      <c r="F13293" s="3" t="s">
        <v>37696</v>
      </c>
      <c r="G13293" s="3">
        <v>0.0</v>
      </c>
      <c r="H13293" s="3">
        <v>0.0</v>
      </c>
      <c r="I13293" s="3" t="s">
        <v>13</v>
      </c>
      <c r="J13293" s="3" t="s">
        <v>37697</v>
      </c>
      <c r="K13293" s="3" t="s">
        <v>644</v>
      </c>
      <c r="L13293" s="3" t="str">
        <f>IFERROR(__xludf.DUMMYFUNCTION("GOOGLETRANSLATE(F13293,""id"",""en"")"),"Jare Referees are paid by Argentina")</f>
        <v>Jare Referees are paid by Argentina</v>
      </c>
    </row>
    <row r="13294" ht="15.75" customHeight="1">
      <c r="A13294" s="1">
        <v>14700.0</v>
      </c>
      <c r="B13294" s="3" t="s">
        <v>37698</v>
      </c>
      <c r="C13294" s="3">
        <v>0.0</v>
      </c>
      <c r="D13294" s="3">
        <v>0.0</v>
      </c>
      <c r="E13294" s="3">
        <v>0.0</v>
      </c>
      <c r="F13294" s="3" t="s">
        <v>37699</v>
      </c>
      <c r="G13294" s="3">
        <v>0.0</v>
      </c>
      <c r="H13294" s="3">
        <v>0.0</v>
      </c>
      <c r="I13294" s="3" t="s">
        <v>13</v>
      </c>
      <c r="J13294" s="3" t="s">
        <v>37700</v>
      </c>
      <c r="K13294" s="3" t="s">
        <v>433</v>
      </c>
      <c r="L13294" s="3" t="str">
        <f>IFERROR(__xludf.DUMMYFUNCTION("GOOGLETRANSLATE(F13294,""id"",""en"")"),"You want to believe Argentina who wins the referee who loves our victory, just see all")</f>
        <v>You want to believe Argentina who wins the referee who loves our victory, just see all</v>
      </c>
    </row>
    <row r="13295" ht="15.75" customHeight="1">
      <c r="A13295" s="1">
        <v>14701.0</v>
      </c>
      <c r="B13295" s="3" t="s">
        <v>37701</v>
      </c>
      <c r="C13295" s="3">
        <v>0.0</v>
      </c>
      <c r="D13295" s="3">
        <v>0.0</v>
      </c>
      <c r="E13295" s="3">
        <v>0.0</v>
      </c>
      <c r="F13295" s="3" t="s">
        <v>37702</v>
      </c>
      <c r="G13295" s="3">
        <v>0.0</v>
      </c>
      <c r="H13295" s="3">
        <v>0.0</v>
      </c>
      <c r="I13295" s="3" t="s">
        <v>13</v>
      </c>
      <c r="J13295" s="3" t="s">
        <v>37703</v>
      </c>
      <c r="K13295" s="3" t="s">
        <v>31</v>
      </c>
      <c r="L13295" s="3" t="str">
        <f>IFERROR(__xludf.DUMMYFUNCTION("GOOGLETRANSLATE(F13295,""id"",""en"")"),"Argentina's first penalty")</f>
        <v>Argentina's first penalty</v>
      </c>
    </row>
    <row r="13296" ht="15.75" customHeight="1">
      <c r="A13296" s="1">
        <v>14702.0</v>
      </c>
      <c r="B13296" s="3" t="s">
        <v>37704</v>
      </c>
      <c r="C13296" s="3">
        <v>0.0</v>
      </c>
      <c r="D13296" s="3">
        <v>0.0</v>
      </c>
      <c r="E13296" s="3">
        <v>0.0</v>
      </c>
      <c r="F13296" s="3" t="s">
        <v>37705</v>
      </c>
      <c r="G13296" s="3">
        <v>0.0</v>
      </c>
      <c r="H13296" s="3">
        <v>0.0</v>
      </c>
      <c r="I13296" s="3" t="s">
        <v>13</v>
      </c>
      <c r="J13296" s="3" t="s">
        <v>37706</v>
      </c>
      <c r="K13296" s="3" t="s">
        <v>50</v>
      </c>
      <c r="L13296" s="3" t="str">
        <f>IFERROR(__xludf.DUMMYFUNCTION("GOOGLETRANSLATE(F13296,""id"",""en"")"),"Since the first match Worldcup when the Argentine match was not given Pinalty by referee heheuheuheu")</f>
        <v>Since the first match Worldcup when the Argentine match was not given Pinalty by referee heheuheuheu</v>
      </c>
    </row>
    <row r="13297" ht="15.75" customHeight="1">
      <c r="A13297" s="1">
        <v>14703.0</v>
      </c>
      <c r="B13297" s="3" t="s">
        <v>37707</v>
      </c>
      <c r="C13297" s="3">
        <v>0.0</v>
      </c>
      <c r="D13297" s="3">
        <v>0.0</v>
      </c>
      <c r="E13297" s="3">
        <v>0.0</v>
      </c>
      <c r="F13297" s="3" t="s">
        <v>37708</v>
      </c>
      <c r="G13297" s="3">
        <v>0.0</v>
      </c>
      <c r="H13297" s="3">
        <v>0.0</v>
      </c>
      <c r="I13297" s="3" t="s">
        <v>13</v>
      </c>
      <c r="J13297" s="3" t="s">
        <v>37709</v>
      </c>
      <c r="K13297" s="3" t="s">
        <v>19</v>
      </c>
      <c r="L13297" s="3" t="str">
        <f>IFERROR(__xludf.DUMMYFUNCTION("GOOGLETRANSLATE(F13297,""id"",""en"")"),"there is one world cup question this year how many times Argentina played and the referee did not give a penalty")</f>
        <v>there is one world cup question this year how many times Argentina played and the referee did not give a penalty</v>
      </c>
    </row>
    <row r="13298" ht="15.75" customHeight="1">
      <c r="A13298" s="1">
        <v>14704.0</v>
      </c>
      <c r="B13298" s="3" t="s">
        <v>37710</v>
      </c>
      <c r="C13298" s="3">
        <v>3.0</v>
      </c>
      <c r="D13298" s="3">
        <v>0.0</v>
      </c>
      <c r="E13298" s="3">
        <v>2.0</v>
      </c>
      <c r="F13298" s="3" t="s">
        <v>37711</v>
      </c>
      <c r="G13298" s="3">
        <v>0.0</v>
      </c>
      <c r="H13298" s="3">
        <v>0.0</v>
      </c>
      <c r="I13298" s="3" t="s">
        <v>13</v>
      </c>
      <c r="J13298" s="3" t="s">
        <v>37712</v>
      </c>
      <c r="K13298" s="3" t="s">
        <v>633</v>
      </c>
      <c r="L13298" s="3" t="str">
        <f>IFERROR(__xludf.DUMMYFUNCTION("GOOGLETRANSLATE(F13298,""id"",""en"")"),"That's the ingenuity of Maria, but the referee saw Argentina's feet from the days before Maradona was famous")</f>
        <v>That's the ingenuity of Maria, but the referee saw Argentina's feet from the days before Maradona was famous</v>
      </c>
    </row>
    <row r="13299" ht="15.75" customHeight="1">
      <c r="A13299" s="1">
        <v>14705.0</v>
      </c>
      <c r="B13299" s="3" t="s">
        <v>37713</v>
      </c>
      <c r="C13299" s="3">
        <v>0.0</v>
      </c>
      <c r="D13299" s="3">
        <v>0.0</v>
      </c>
      <c r="E13299" s="3">
        <v>0.0</v>
      </c>
      <c r="F13299" s="3" t="s">
        <v>37713</v>
      </c>
      <c r="G13299" s="3">
        <v>0.3333333333333333</v>
      </c>
      <c r="H13299" s="3">
        <v>0.1666666666666667</v>
      </c>
      <c r="I13299" s="3" t="s">
        <v>48</v>
      </c>
      <c r="J13299" s="3" t="s">
        <v>37714</v>
      </c>
      <c r="K13299" s="3" t="s">
        <v>41</v>
      </c>
      <c r="L13299" s="3" t="str">
        <f>IFERROR(__xludf.DUMMYFUNCTION("GOOGLETRANSLATE(F13299,""id"",""en"")"),"Walo Argentina played the referee but this France is really bad too")</f>
        <v>Walo Argentina played the referee but this France is really bad too</v>
      </c>
    </row>
    <row r="13300" ht="15.75" customHeight="1">
      <c r="A13300" s="1">
        <v>14706.0</v>
      </c>
      <c r="B13300" s="3" t="s">
        <v>37715</v>
      </c>
      <c r="C13300" s="3">
        <v>0.0</v>
      </c>
      <c r="D13300" s="3">
        <v>0.0</v>
      </c>
      <c r="E13300" s="3">
        <v>1.0</v>
      </c>
      <c r="F13300" s="3" t="s">
        <v>37716</v>
      </c>
      <c r="G13300" s="3">
        <v>0.0</v>
      </c>
      <c r="H13300" s="3">
        <v>0.0</v>
      </c>
      <c r="I13300" s="3" t="s">
        <v>13</v>
      </c>
      <c r="J13300" s="3" t="s">
        <v>37717</v>
      </c>
      <c r="K13300" s="3" t="s">
        <v>82</v>
      </c>
      <c r="L13300" s="3" t="str">
        <f>IFERROR(__xludf.DUMMYFUNCTION("GOOGLETRANSLATE(F13300,""id"",""en"")"),"it indicates that the dangerous Argentine attacks are still thinking about the help of the referee")</f>
        <v>it indicates that the dangerous Argentine attacks are still thinking about the help of the referee</v>
      </c>
    </row>
    <row r="13301" ht="15.75" customHeight="1">
      <c r="A13301" s="1">
        <v>14707.0</v>
      </c>
      <c r="B13301" s="3" t="s">
        <v>37718</v>
      </c>
      <c r="C13301" s="3">
        <v>0.0</v>
      </c>
      <c r="D13301" s="3">
        <v>0.0</v>
      </c>
      <c r="E13301" s="3">
        <v>0.0</v>
      </c>
      <c r="F13301" s="3" t="s">
        <v>37719</v>
      </c>
      <c r="G13301" s="3">
        <v>1.0</v>
      </c>
      <c r="H13301" s="3">
        <v>0.0</v>
      </c>
      <c r="I13301" s="3" t="s">
        <v>13</v>
      </c>
      <c r="J13301" s="3" t="s">
        <v>37720</v>
      </c>
      <c r="K13301" s="3" t="s">
        <v>433</v>
      </c>
      <c r="L13301" s="3" t="str">
        <f>IFERROR(__xludf.DUMMYFUNCTION("GOOGLETRANSLATE(F13301,""id"",""en"")"),"The final was not interesting because Argentina played well but because the referee was very easy to give Argentine penalty")</f>
        <v>The final was not interesting because Argentina played well but because the referee was very easy to give Argentine penalty</v>
      </c>
    </row>
    <row r="13302" ht="15.75" customHeight="1">
      <c r="A13302" s="1">
        <v>14708.0</v>
      </c>
      <c r="B13302" s="3" t="s">
        <v>37721</v>
      </c>
      <c r="C13302" s="3">
        <v>0.0</v>
      </c>
      <c r="D13302" s="3">
        <v>0.0</v>
      </c>
      <c r="E13302" s="3">
        <v>0.0</v>
      </c>
      <c r="F13302" s="3" t="s">
        <v>37722</v>
      </c>
      <c r="G13302" s="3">
        <v>0.0</v>
      </c>
      <c r="H13302" s="3">
        <v>0.0</v>
      </c>
      <c r="I13302" s="3" t="s">
        <v>13</v>
      </c>
      <c r="J13302" s="3" t="s">
        <v>37723</v>
      </c>
      <c r="K13302" s="3" t="s">
        <v>433</v>
      </c>
      <c r="L13302" s="3" t="str">
        <f>IFERROR(__xludf.DUMMYFUNCTION("GOOGLETRANSLATE(F13302,""id"",""en"")"),"Argentina Most Diving Help Mesi's Referees Most Penalties Now Give Degrees For Messi Pessi")</f>
        <v>Argentina Most Diving Help Mesi's Referees Most Penalties Now Give Degrees For Messi Pessi</v>
      </c>
    </row>
    <row r="13303" ht="15.75" customHeight="1">
      <c r="A13303" s="1">
        <v>14709.0</v>
      </c>
      <c r="B13303" s="3" t="s">
        <v>37724</v>
      </c>
      <c r="C13303" s="3">
        <v>1.0</v>
      </c>
      <c r="D13303" s="3">
        <v>4.0</v>
      </c>
      <c r="E13303" s="3">
        <v>10.0</v>
      </c>
      <c r="F13303" s="3" t="s">
        <v>37725</v>
      </c>
      <c r="G13303" s="3">
        <v>1.0</v>
      </c>
      <c r="H13303" s="3">
        <v>0.0</v>
      </c>
      <c r="I13303" s="3" t="s">
        <v>13</v>
      </c>
      <c r="J13303" s="3" t="s">
        <v>37726</v>
      </c>
      <c r="K13303" s="3" t="s">
        <v>94</v>
      </c>
      <c r="L13303" s="3" t="str">
        <f>IFERROR(__xludf.DUMMYFUNCTION("GOOGLETRANSLATE(F13303,""id"",""en"")"),"Miss Penalty Messi Ooh Messi Maria Murni Diving Var There is no point in the final FIFA World Cup yaaaaa Udaaa because the referee is indifferent, Argentina has the potential to foster French defending champions at the World Cup")</f>
        <v>Miss Penalty Messi Ooh Messi Maria Murni Diving Var There is no point in the final FIFA World Cup yaaaaa Udaaa because the referee is indifferent, Argentina has the potential to foster French defending champions at the World Cup</v>
      </c>
    </row>
    <row r="13304" ht="15.75" customHeight="1">
      <c r="A13304" s="1">
        <v>14710.0</v>
      </c>
      <c r="B13304" s="3" t="s">
        <v>37727</v>
      </c>
      <c r="C13304" s="3">
        <v>0.0</v>
      </c>
      <c r="D13304" s="3">
        <v>0.0</v>
      </c>
      <c r="E13304" s="3">
        <v>0.0</v>
      </c>
      <c r="F13304" s="3" t="s">
        <v>37728</v>
      </c>
      <c r="G13304" s="3">
        <v>0.0</v>
      </c>
      <c r="H13304" s="3">
        <v>0.0</v>
      </c>
      <c r="I13304" s="3" t="s">
        <v>13</v>
      </c>
      <c r="J13304" s="3" t="s">
        <v>37729</v>
      </c>
      <c r="K13304" s="3" t="s">
        <v>491</v>
      </c>
      <c r="L13304" s="3" t="str">
        <f>IFERROR(__xludf.DUMMYFUNCTION("GOOGLETRANSLATE(F13304,""id"",""en"")"),"Still there is saying Argentina was fortunate for the referee from earlier watching what clearly clear")</f>
        <v>Still there is saying Argentina was fortunate for the referee from earlier watching what clearly clear</v>
      </c>
    </row>
    <row r="13305" ht="15.75" customHeight="1">
      <c r="A13305" s="1">
        <v>14711.0</v>
      </c>
      <c r="B13305" s="3" t="s">
        <v>37730</v>
      </c>
      <c r="C13305" s="3">
        <v>0.0</v>
      </c>
      <c r="D13305" s="3">
        <v>0.0</v>
      </c>
      <c r="E13305" s="3">
        <v>0.0</v>
      </c>
      <c r="F13305" s="3" t="s">
        <v>37731</v>
      </c>
      <c r="G13305" s="3">
        <v>0.3333333333333333</v>
      </c>
      <c r="H13305" s="3">
        <v>0.1666666666666667</v>
      </c>
      <c r="I13305" s="3" t="s">
        <v>48</v>
      </c>
      <c r="J13305" s="3" t="s">
        <v>37732</v>
      </c>
      <c r="K13305" s="3" t="s">
        <v>13682</v>
      </c>
      <c r="L13305" s="3" t="str">
        <f>IFERROR(__xludf.DUMMYFUNCTION("GOOGLETRANSLATE(F13305,""id"",""en"")"),"Honestly Argentina played well, but the first goal was not worthy of a penalty and the referee also tried to check the var again and for France playing as usual Dembele replaced Giroud to replace it also argued even though the chances of the first round f"&amp;"rom France CMN Giroud header")</f>
        <v>Honestly Argentina played well, but the first goal was not worthy of a penalty and the referee also tried to check the var again and for France playing as usual Dembele replaced Giroud to replace it also argued even though the chances of the first round from France CMN Giroud header</v>
      </c>
    </row>
    <row r="13306" ht="15.75" customHeight="1">
      <c r="A13306" s="1">
        <v>14712.0</v>
      </c>
      <c r="B13306" s="3" t="s">
        <v>37733</v>
      </c>
      <c r="C13306" s="3">
        <v>0.0</v>
      </c>
      <c r="D13306" s="3">
        <v>0.0</v>
      </c>
      <c r="E13306" s="3">
        <v>0.0</v>
      </c>
      <c r="F13306" s="3" t="s">
        <v>37734</v>
      </c>
      <c r="G13306" s="3">
        <v>1.0</v>
      </c>
      <c r="H13306" s="3">
        <v>0.0</v>
      </c>
      <c r="I13306" s="3" t="s">
        <v>13</v>
      </c>
      <c r="J13306" s="3" t="s">
        <v>37735</v>
      </c>
      <c r="K13306" s="3" t="s">
        <v>574</v>
      </c>
      <c r="L13306" s="3" t="str">
        <f>IFERROR(__xludf.DUMMYFUNCTION("GOOGLETRANSLATE(F13306,""id"",""en"")"),"KBH Kie Podho Mesakke Messi Wes Arep Retired Durung Has Winning Pilduun Dadi Saiki Kudu in the French World Cup Final Referee Eehhh French Argentina")</f>
        <v>KBH Kie Podho Mesakke Messi Wes Arep Retired Durung Has Winning Pilduun Dadi Saiki Kudu in the French World Cup Final Referee Eehhh French Argentina</v>
      </c>
    </row>
    <row r="13307" ht="15.75" customHeight="1">
      <c r="A13307" s="1">
        <v>14713.0</v>
      </c>
      <c r="B13307" s="3" t="s">
        <v>37736</v>
      </c>
      <c r="C13307" s="3">
        <v>1.0</v>
      </c>
      <c r="D13307" s="3">
        <v>0.0</v>
      </c>
      <c r="E13307" s="3">
        <v>0.0</v>
      </c>
      <c r="F13307" s="3" t="s">
        <v>37737</v>
      </c>
      <c r="G13307" s="3">
        <v>0.0</v>
      </c>
      <c r="H13307" s="3">
        <v>0.0</v>
      </c>
      <c r="I13307" s="3" t="s">
        <v>13</v>
      </c>
      <c r="J13307" s="3" t="s">
        <v>37738</v>
      </c>
      <c r="K13307" s="3" t="s">
        <v>35</v>
      </c>
      <c r="L13307" s="3" t="str">
        <f>IFERROR(__xludf.DUMMYFUNCTION("GOOGLETRANSLATE(F13307,""id"",""en"")"),"Apart from the referee who is Argentina's Kodompol playing well neatly efficient French kek Tai playing")</f>
        <v>Apart from the referee who is Argentina's Kodompol playing well neatly efficient French kek Tai playing</v>
      </c>
    </row>
    <row r="13308" ht="15.75" customHeight="1">
      <c r="A13308" s="1">
        <v>14714.0</v>
      </c>
      <c r="B13308" s="3" t="s">
        <v>37739</v>
      </c>
      <c r="C13308" s="3">
        <v>0.0</v>
      </c>
      <c r="D13308" s="3">
        <v>0.0</v>
      </c>
      <c r="E13308" s="3">
        <v>0.0</v>
      </c>
      <c r="F13308" s="3" t="s">
        <v>37740</v>
      </c>
      <c r="G13308" s="3">
        <v>0.0</v>
      </c>
      <c r="H13308" s="3">
        <v>0.0</v>
      </c>
      <c r="I13308" s="3" t="s">
        <v>13</v>
      </c>
      <c r="J13308" s="3" t="s">
        <v>37741</v>
      </c>
      <c r="K13308" s="3" t="s">
        <v>50</v>
      </c>
      <c r="L13308" s="3" t="str">
        <f>IFERROR(__xludf.DUMMYFUNCTION("GOOGLETRANSLATE(F13308,""id"",""en"")"),"Throughout Argentina EMG is good but many benefits are also given by the referee Heeuu")</f>
        <v>Throughout Argentina EMG is good but many benefits are also given by the referee Heeuu</v>
      </c>
    </row>
    <row r="13309" ht="15.75" customHeight="1">
      <c r="A13309" s="1">
        <v>14715.0</v>
      </c>
      <c r="B13309" s="3" t="s">
        <v>37742</v>
      </c>
      <c r="C13309" s="3">
        <v>0.0</v>
      </c>
      <c r="D13309" s="3">
        <v>0.0</v>
      </c>
      <c r="E13309" s="3">
        <v>4.0</v>
      </c>
      <c r="F13309" s="3" t="s">
        <v>37743</v>
      </c>
      <c r="G13309" s="3">
        <v>1.0</v>
      </c>
      <c r="H13309" s="3">
        <v>0.0</v>
      </c>
      <c r="I13309" s="3" t="s">
        <v>13</v>
      </c>
      <c r="J13309" s="3" t="s">
        <v>37744</v>
      </c>
      <c r="K13309" s="3" t="s">
        <v>1293</v>
      </c>
      <c r="L13309" s="3" t="str">
        <f>IFERROR(__xludf.DUMMYFUNCTION("GOOGLETRANSLATE(F13309,""id"",""en"")"),"anything about Argentina helps the referee setting whatever clearly the appearance of Messi from the beginning of the group to the final bner bner extraordinary factos")</f>
        <v>anything about Argentina helps the referee setting whatever clearly the appearance of Messi from the beginning of the group to the final bner bner extraordinary factos</v>
      </c>
    </row>
    <row r="13310" ht="15.75" customHeight="1">
      <c r="A13310" s="1">
        <v>14716.0</v>
      </c>
      <c r="B13310" s="3" t="s">
        <v>37745</v>
      </c>
      <c r="C13310" s="3">
        <v>2.0</v>
      </c>
      <c r="D13310" s="3">
        <v>2.0</v>
      </c>
      <c r="E13310" s="3">
        <v>7.0</v>
      </c>
      <c r="F13310" s="3" t="s">
        <v>37746</v>
      </c>
      <c r="G13310" s="3">
        <v>0.0</v>
      </c>
      <c r="H13310" s="3">
        <v>0.0</v>
      </c>
      <c r="I13310" s="3" t="s">
        <v>13</v>
      </c>
      <c r="J13310" s="3" t="s">
        <v>37747</v>
      </c>
      <c r="K13310" s="3" t="s">
        <v>6117</v>
      </c>
      <c r="L13310" s="3" t="str">
        <f>IFERROR(__xludf.DUMMYFUNCTION("GOOGLETRANSLATE(F13310,""id"",""en"")"),"Settings If France the champion is MMG deserves champions because of hard work and France is more fairplay because it cannot be penalty if Argentina champions Messi Settings Golden Children FIFA FIFA Corrupt World Cup Worst Referee Sides Arge")</f>
        <v>Settings If France the champion is MMG deserves champions because of hard work and France is more fairplay because it cannot be penalty if Argentina champions Messi Settings Golden Children FIFA FIFA Corrupt World Cup Worst Referee Sides Arge</v>
      </c>
    </row>
    <row r="13311" ht="15.75" customHeight="1">
      <c r="A13311" s="1">
        <v>14717.0</v>
      </c>
      <c r="B13311" s="3" t="s">
        <v>37748</v>
      </c>
      <c r="C13311" s="3">
        <v>0.0</v>
      </c>
      <c r="D13311" s="3">
        <v>0.0</v>
      </c>
      <c r="E13311" s="3">
        <v>0.0</v>
      </c>
      <c r="F13311" s="3" t="s">
        <v>37749</v>
      </c>
      <c r="G13311" s="3">
        <v>0.0</v>
      </c>
      <c r="H13311" s="3">
        <v>0.0</v>
      </c>
      <c r="I13311" s="3" t="s">
        <v>13</v>
      </c>
      <c r="J13311" s="3" t="s">
        <v>37750</v>
      </c>
      <c r="K13311" s="3" t="s">
        <v>19</v>
      </c>
      <c r="L13311" s="3" t="str">
        <f>IFERROR(__xludf.DUMMYFUNCTION("GOOGLETRANSLATE(F13311,""id"",""en"")"),"Support Argentina does not feel ashamed every time to benefit the referee by giving Pinalty")</f>
        <v>Support Argentina does not feel ashamed every time to benefit the referee by giving Pinalty</v>
      </c>
    </row>
    <row r="13312" ht="15.75" customHeight="1">
      <c r="A13312" s="1">
        <v>14718.0</v>
      </c>
      <c r="B13312" s="3" t="s">
        <v>37751</v>
      </c>
      <c r="C13312" s="3">
        <v>0.0</v>
      </c>
      <c r="D13312" s="3">
        <v>0.0</v>
      </c>
      <c r="E13312" s="3">
        <v>0.0</v>
      </c>
      <c r="F13312" s="3" t="s">
        <v>37752</v>
      </c>
      <c r="G13312" s="3">
        <v>0.0</v>
      </c>
      <c r="H13312" s="3">
        <v>0.0</v>
      </c>
      <c r="I13312" s="3" t="s">
        <v>13</v>
      </c>
      <c r="J13312" s="3" t="s">
        <v>37753</v>
      </c>
      <c r="K13312" s="3" t="s">
        <v>31</v>
      </c>
      <c r="L13312" s="3" t="str">
        <f>IFERROR(__xludf.DUMMYFUNCTION("GOOGLETRANSLATE(F13312,""id"",""en"")"),"Indeed, it was Argentina French referee")</f>
        <v>Indeed, it was Argentina French referee</v>
      </c>
    </row>
    <row r="13313" ht="15.75" customHeight="1">
      <c r="A13313" s="1">
        <v>14719.0</v>
      </c>
      <c r="B13313" s="3" t="s">
        <v>37754</v>
      </c>
      <c r="C13313" s="3">
        <v>0.0</v>
      </c>
      <c r="D13313" s="3">
        <v>0.0</v>
      </c>
      <c r="E13313" s="3">
        <v>0.0</v>
      </c>
      <c r="F13313" s="3" t="s">
        <v>37755</v>
      </c>
      <c r="G13313" s="3">
        <v>0.0</v>
      </c>
      <c r="H13313" s="3">
        <v>0.0</v>
      </c>
      <c r="I13313" s="3" t="s">
        <v>13</v>
      </c>
      <c r="J13313" s="3" t="s">
        <v>37756</v>
      </c>
      <c r="K13313" s="3" t="s">
        <v>1293</v>
      </c>
      <c r="L13313" s="3" t="str">
        <f>IFERROR(__xludf.DUMMYFUNCTION("GOOGLETRANSLATE(F13313,""id"",""en"")"),"Apart from the penalty of Argentina determination to win far from the pragmatic France, not to blame the referee, indeed the first round of France played underperform")</f>
        <v>Apart from the penalty of Argentina determination to win far from the pragmatic France, not to blame the referee, indeed the first round of France played underperform</v>
      </c>
    </row>
    <row r="13314" ht="15.75" customHeight="1">
      <c r="A13314" s="1">
        <v>14720.0</v>
      </c>
      <c r="B13314" s="3" t="s">
        <v>37757</v>
      </c>
      <c r="C13314" s="3">
        <v>0.0</v>
      </c>
      <c r="D13314" s="3">
        <v>0.0</v>
      </c>
      <c r="E13314" s="3">
        <v>0.0</v>
      </c>
      <c r="F13314" s="3" t="s">
        <v>37758</v>
      </c>
      <c r="G13314" s="3">
        <v>1.0</v>
      </c>
      <c r="H13314" s="3">
        <v>0.0</v>
      </c>
      <c r="I13314" s="3" t="s">
        <v>13</v>
      </c>
      <c r="J13314" s="3" t="s">
        <v>37759</v>
      </c>
      <c r="K13314" s="3" t="s">
        <v>584</v>
      </c>
      <c r="L13314" s="3" t="str">
        <f>IFERROR(__xludf.DUMMYFUNCTION("GOOGLETRANSLATE(F13314,""id"",""en"")"),"From the beginning the tournament hoped that the final of Argen POR to make Messi or get worldcup but not pisan carane wkwkwkkw the referee was too easy to give for Argentina even though the ARGEN game was indeed worth winning and champion")</f>
        <v>From the beginning the tournament hoped that the final of Argen POR to make Messi or get worldcup but not pisan carane wkwkwkkw the referee was too easy to give for Argentina even though the ARGEN game was indeed worth winning and champion</v>
      </c>
    </row>
    <row r="13315" ht="15.75" customHeight="1">
      <c r="A13315" s="1">
        <v>14721.0</v>
      </c>
      <c r="B13315" s="3" t="s">
        <v>37760</v>
      </c>
      <c r="C13315" s="3">
        <v>0.0</v>
      </c>
      <c r="D13315" s="3">
        <v>0.0</v>
      </c>
      <c r="E13315" s="3">
        <v>0.0</v>
      </c>
      <c r="F13315" s="3" t="s">
        <v>37761</v>
      </c>
      <c r="G13315" s="3">
        <v>1.0</v>
      </c>
      <c r="H13315" s="3">
        <v>0.0</v>
      </c>
      <c r="I13315" s="3" t="s">
        <v>13</v>
      </c>
      <c r="J13315" s="3" t="s">
        <v>37762</v>
      </c>
      <c r="K13315" s="3" t="s">
        <v>19</v>
      </c>
      <c r="L13315" s="3" t="str">
        <f>IFERROR(__xludf.DUMMYFUNCTION("GOOGLETRANSLATE(F13315,""id"",""en"")"),"From the group phase to the final, it is often given an Argentine penalty for the referee to pay the referee")</f>
        <v>From the group phase to the final, it is often given an Argentine penalty for the referee to pay the referee</v>
      </c>
    </row>
    <row r="13316" ht="15.75" customHeight="1">
      <c r="A13316" s="1">
        <v>14722.0</v>
      </c>
      <c r="B13316" s="3" t="s">
        <v>37763</v>
      </c>
      <c r="C13316" s="3">
        <v>0.0</v>
      </c>
      <c r="D13316" s="3">
        <v>0.0</v>
      </c>
      <c r="E13316" s="3">
        <v>0.0</v>
      </c>
      <c r="F13316" s="3" t="s">
        <v>37764</v>
      </c>
      <c r="G13316" s="3">
        <v>0.0</v>
      </c>
      <c r="H13316" s="3">
        <v>0.0</v>
      </c>
      <c r="I13316" s="3" t="s">
        <v>13</v>
      </c>
      <c r="J13316" s="3" t="s">
        <v>37765</v>
      </c>
      <c r="K13316" s="3" t="s">
        <v>50</v>
      </c>
      <c r="L13316" s="3" t="str">
        <f>IFERROR(__xludf.DUMMYFUNCTION("GOOGLETRANSLATE(F13316,""id"",""en"")"),"Argentina every time Pinalty has been lit var referee wkwk different from other countries")</f>
        <v>Argentina every time Pinalty has been lit var referee wkwk different from other countries</v>
      </c>
    </row>
    <row r="13317" ht="15.75" customHeight="1">
      <c r="A13317" s="1">
        <v>14723.0</v>
      </c>
      <c r="B13317" s="3" t="s">
        <v>37766</v>
      </c>
      <c r="C13317" s="3">
        <v>0.0</v>
      </c>
      <c r="D13317" s="3">
        <v>1.0</v>
      </c>
      <c r="E13317" s="3">
        <v>0.0</v>
      </c>
      <c r="F13317" s="3" t="s">
        <v>37767</v>
      </c>
      <c r="G13317" s="3">
        <v>0.0</v>
      </c>
      <c r="H13317" s="3">
        <v>0.0</v>
      </c>
      <c r="I13317" s="3" t="s">
        <v>13</v>
      </c>
      <c r="J13317" s="3" t="s">
        <v>37768</v>
      </c>
      <c r="K13317" s="3" t="s">
        <v>54</v>
      </c>
      <c r="L13317" s="3" t="str">
        <f>IFERROR(__xludf.DUMMYFUNCTION("GOOGLETRANSLATE(F13317,""id"",""en"")"),"Argentina without diving like a referee using a prior")</f>
        <v>Argentina without diving like a referee using a prior</v>
      </c>
    </row>
    <row r="13318" ht="15.75" customHeight="1">
      <c r="A13318" s="1">
        <v>14724.0</v>
      </c>
      <c r="B13318" s="3" t="s">
        <v>37769</v>
      </c>
      <c r="C13318" s="3">
        <v>0.0</v>
      </c>
      <c r="D13318" s="3">
        <v>0.0</v>
      </c>
      <c r="E13318" s="3">
        <v>0.0</v>
      </c>
      <c r="F13318" s="3" t="s">
        <v>37770</v>
      </c>
      <c r="G13318" s="3">
        <v>0.0</v>
      </c>
      <c r="H13318" s="3">
        <v>0.0</v>
      </c>
      <c r="I13318" s="3" t="s">
        <v>13</v>
      </c>
      <c r="J13318" s="3" t="s">
        <v>37771</v>
      </c>
      <c r="K13318" s="3" t="s">
        <v>286</v>
      </c>
      <c r="L13318" s="3" t="str">
        <f>IFERROR(__xludf.DUMMYFUNCTION("GOOGLETRANSLATE(F13318,""id"",""en"")"),"Dumadi seemed to be the referee MMG wanted to help Argentina to become a champion and even the Boradcaster Hed was a little replay was true that this World Cup was set up for Argentina champions because of MES")</f>
        <v>Dumadi seemed to be the referee MMG wanted to help Argentina to become a champion and even the Boradcaster Hed was a little replay was true that this World Cup was set up for Argentina champions because of MES</v>
      </c>
    </row>
    <row r="13319" ht="15.75" customHeight="1">
      <c r="A13319" s="1">
        <v>14725.0</v>
      </c>
      <c r="B13319" s="3" t="s">
        <v>37772</v>
      </c>
      <c r="C13319" s="3">
        <v>0.0</v>
      </c>
      <c r="D13319" s="3">
        <v>0.0</v>
      </c>
      <c r="E13319" s="3">
        <v>0.0</v>
      </c>
      <c r="F13319" s="3" t="s">
        <v>37773</v>
      </c>
      <c r="G13319" s="3">
        <v>0.0</v>
      </c>
      <c r="H13319" s="3">
        <v>0.0</v>
      </c>
      <c r="I13319" s="3" t="s">
        <v>13</v>
      </c>
      <c r="J13319" s="3" t="s">
        <v>37774</v>
      </c>
      <c r="K13319" s="3" t="s">
        <v>54</v>
      </c>
      <c r="L13319" s="3" t="str">
        <f>IFERROR(__xludf.DUMMYFUNCTION("GOOGLETRANSLATE(F13319,""id"",""en"")"),"Very lazy to see the referee who is lucky Argentina")</f>
        <v>Very lazy to see the referee who is lucky Argentina</v>
      </c>
    </row>
    <row r="13320" ht="15.75" customHeight="1">
      <c r="A13320" s="1">
        <v>14726.0</v>
      </c>
      <c r="B13320" s="3" t="s">
        <v>37775</v>
      </c>
      <c r="C13320" s="3">
        <v>0.0</v>
      </c>
      <c r="D13320" s="3">
        <v>0.0</v>
      </c>
      <c r="E13320" s="3">
        <v>0.0</v>
      </c>
      <c r="F13320" s="3" t="s">
        <v>37776</v>
      </c>
      <c r="G13320" s="3">
        <v>0.0</v>
      </c>
      <c r="H13320" s="3">
        <v>0.0</v>
      </c>
      <c r="I13320" s="3" t="s">
        <v>13</v>
      </c>
      <c r="J13320" s="3" t="s">
        <v>37777</v>
      </c>
      <c r="K13320" s="3" t="s">
        <v>6674</v>
      </c>
      <c r="L13320" s="3" t="str">
        <f>IFERROR(__xludf.DUMMYFUNCTION("GOOGLETRANSLATE(F13320,""id"",""en"")"),"Treated by Obok because France Argentine Fields Referee Field")</f>
        <v>Treated by Obok because France Argentine Fields Referee Field</v>
      </c>
    </row>
    <row r="13321" ht="15.75" customHeight="1">
      <c r="A13321" s="1">
        <v>14727.0</v>
      </c>
      <c r="B13321" s="3" t="s">
        <v>37778</v>
      </c>
      <c r="C13321" s="3">
        <v>1.0</v>
      </c>
      <c r="D13321" s="3">
        <v>0.0</v>
      </c>
      <c r="E13321" s="3">
        <v>0.0</v>
      </c>
      <c r="F13321" s="3" t="s">
        <v>37779</v>
      </c>
      <c r="G13321" s="3">
        <v>0.0</v>
      </c>
      <c r="H13321" s="3">
        <v>0.0</v>
      </c>
      <c r="I13321" s="3" t="s">
        <v>13</v>
      </c>
      <c r="J13321" s="3" t="s">
        <v>37780</v>
      </c>
      <c r="K13321" s="3" t="s">
        <v>82</v>
      </c>
      <c r="L13321" s="3" t="str">
        <f>IFERROR(__xludf.DUMMYFUNCTION("GOOGLETRANSLATE(F13321,""id"",""en"")"),"This Argentine Dog Referee was given a penalty")</f>
        <v>This Argentine Dog Referee was given a penalty</v>
      </c>
    </row>
    <row r="13322" ht="15.75" customHeight="1">
      <c r="A13322" s="1">
        <v>14728.0</v>
      </c>
      <c r="B13322" s="3" t="s">
        <v>37781</v>
      </c>
      <c r="C13322" s="3">
        <v>1.0</v>
      </c>
      <c r="D13322" s="3">
        <v>0.0</v>
      </c>
      <c r="E13322" s="3">
        <v>0.0</v>
      </c>
      <c r="F13322" s="3" t="s">
        <v>37782</v>
      </c>
      <c r="G13322" s="3">
        <v>0.0</v>
      </c>
      <c r="H13322" s="3">
        <v>0.0</v>
      </c>
      <c r="I13322" s="3" t="s">
        <v>13</v>
      </c>
      <c r="J13322" s="3" t="s">
        <v>37783</v>
      </c>
      <c r="K13322" s="3" t="s">
        <v>75</v>
      </c>
      <c r="L13322" s="3" t="str">
        <f>IFERROR(__xludf.DUMMYFUNCTION("GOOGLETRANSLATE(F13322,""id"",""en"")"),"The decision of the referee checks Var for Argentina's penalty must be a controversy")</f>
        <v>The decision of the referee checks Var for Argentina's penalty must be a controversy</v>
      </c>
    </row>
    <row r="13323" ht="15.75" customHeight="1">
      <c r="A13323" s="1">
        <v>14729.0</v>
      </c>
      <c r="B13323" s="3" t="s">
        <v>37784</v>
      </c>
      <c r="C13323" s="3">
        <v>0.0</v>
      </c>
      <c r="D13323" s="3">
        <v>0.0</v>
      </c>
      <c r="E13323" s="3">
        <v>0.0</v>
      </c>
      <c r="F13323" s="3" t="s">
        <v>37785</v>
      </c>
      <c r="G13323" s="3">
        <v>0.0</v>
      </c>
      <c r="H13323" s="3">
        <v>0.0</v>
      </c>
      <c r="I13323" s="3" t="s">
        <v>13</v>
      </c>
      <c r="J13323" s="3" t="s">
        <v>37786</v>
      </c>
      <c r="K13323" s="3" t="s">
        <v>644</v>
      </c>
      <c r="L13323" s="3" t="str">
        <f>IFERROR(__xludf.DUMMYFUNCTION("GOOGLETRANSLATE(F13323,""id"",""en"")"),"referee and var dear Argentina")</f>
        <v>referee and var dear Argentina</v>
      </c>
    </row>
    <row r="13324" ht="15.75" customHeight="1">
      <c r="A13324" s="1">
        <v>14730.0</v>
      </c>
      <c r="B13324" s="3" t="s">
        <v>37787</v>
      </c>
      <c r="C13324" s="3">
        <v>0.0</v>
      </c>
      <c r="D13324" s="3">
        <v>0.0</v>
      </c>
      <c r="E13324" s="3">
        <v>0.0</v>
      </c>
      <c r="F13324" s="3" t="s">
        <v>37788</v>
      </c>
      <c r="G13324" s="3">
        <v>0.35</v>
      </c>
      <c r="H13324" s="3">
        <v>0.1</v>
      </c>
      <c r="I13324" s="3" t="s">
        <v>48</v>
      </c>
      <c r="J13324" s="3" t="s">
        <v>37789</v>
      </c>
      <c r="K13324" s="3" t="s">
        <v>149</v>
      </c>
      <c r="L13324" s="3" t="str">
        <f>IFERROR(__xludf.DUMMYFUNCTION("GOOGLETRANSLATE(F13324,""id"",""en"")"),"Only two Argentine matches did not get a penalty of all penalties, even arguably soft penalties how it was not difficult")</f>
        <v>Only two Argentine matches did not get a penalty of all penalties, even arguably soft penalties how it was not difficult</v>
      </c>
    </row>
    <row r="13325" ht="15.75" customHeight="1">
      <c r="A13325" s="1">
        <v>14731.0</v>
      </c>
      <c r="B13325" s="3" t="s">
        <v>37790</v>
      </c>
      <c r="C13325" s="3">
        <v>0.0</v>
      </c>
      <c r="D13325" s="3">
        <v>0.0</v>
      </c>
      <c r="E13325" s="3">
        <v>0.0</v>
      </c>
      <c r="F13325" s="3" t="s">
        <v>37791</v>
      </c>
      <c r="G13325" s="3">
        <v>0.0</v>
      </c>
      <c r="H13325" s="3">
        <v>0.0</v>
      </c>
      <c r="I13325" s="3" t="s">
        <v>13</v>
      </c>
      <c r="J13325" s="3" t="s">
        <v>37792</v>
      </c>
      <c r="K13325" s="3" t="s">
        <v>123</v>
      </c>
      <c r="L13325" s="3" t="str">
        <f>IFERROR(__xludf.DUMMYFUNCTION("GOOGLETRANSLATE(F13325,""id"",""en"")"),"This referee resembles a league ruining the match with a prize for Argentina without VAR at all, this is the penalty of Argentina during Qatar")</f>
        <v>This referee resembles a league ruining the match with a prize for Argentina without VAR at all, this is the penalty of Argentina during Qatar</v>
      </c>
    </row>
    <row r="13326" ht="15.75" customHeight="1">
      <c r="A13326" s="1">
        <v>14732.0</v>
      </c>
      <c r="B13326" s="3" t="s">
        <v>37793</v>
      </c>
      <c r="C13326" s="3">
        <v>0.0</v>
      </c>
      <c r="D13326" s="3">
        <v>0.0</v>
      </c>
      <c r="E13326" s="3">
        <v>0.0</v>
      </c>
      <c r="F13326" s="3" t="s">
        <v>37794</v>
      </c>
      <c r="G13326" s="3">
        <v>1.0</v>
      </c>
      <c r="H13326" s="3">
        <v>-0.5</v>
      </c>
      <c r="I13326" s="3" t="s">
        <v>179</v>
      </c>
      <c r="J13326" s="3" t="s">
        <v>37795</v>
      </c>
      <c r="K13326" s="3" t="s">
        <v>31</v>
      </c>
      <c r="L13326" s="3" t="str">
        <f>IFERROR(__xludf.DUMMYFUNCTION("GOOGLETRANSLATE(F13326,""id"",""en"")"),"Sorry but Argentina is too defended by the referee")</f>
        <v>Sorry but Argentina is too defended by the referee</v>
      </c>
    </row>
    <row r="13327" ht="15.75" customHeight="1">
      <c r="A13327" s="1">
        <v>14733.0</v>
      </c>
      <c r="B13327" s="3" t="s">
        <v>37796</v>
      </c>
      <c r="C13327" s="3">
        <v>64.0</v>
      </c>
      <c r="D13327" s="3">
        <v>17.0</v>
      </c>
      <c r="E13327" s="3">
        <v>167.0</v>
      </c>
      <c r="F13327" s="3" t="s">
        <v>37797</v>
      </c>
      <c r="G13327" s="3">
        <v>1.0</v>
      </c>
      <c r="H13327" s="3">
        <v>0.0</v>
      </c>
      <c r="I13327" s="3" t="s">
        <v>13</v>
      </c>
      <c r="J13327" s="3" t="s">
        <v>37798</v>
      </c>
      <c r="K13327" s="3" t="s">
        <v>165</v>
      </c>
      <c r="L13327" s="3" t="str">
        <f>IFERROR(__xludf.DUMMYFUNCTION("GOOGLETRANSLATE(F13327,""id"",""en"")"),"The final that blocks Maria Diving Referees Check Var French Players Kaga Protest when Maria Diving France is rich in lazy playing like French pillars such as Giroud and Dembele changes every Argentina match to get a penalty voucher")</f>
        <v>The final that blocks Maria Diving Referees Check Var French Players Kaga Protest when Maria Diving France is rich in lazy playing like French pillars such as Giroud and Dembele changes every Argentina match to get a penalty voucher</v>
      </c>
    </row>
    <row r="13328" ht="15.75" customHeight="1">
      <c r="A13328" s="1">
        <v>14734.0</v>
      </c>
      <c r="B13328" s="3" t="s">
        <v>37799</v>
      </c>
      <c r="C13328" s="3">
        <v>0.0</v>
      </c>
      <c r="D13328" s="3">
        <v>0.0</v>
      </c>
      <c r="E13328" s="3">
        <v>0.0</v>
      </c>
      <c r="F13328" s="3" t="s">
        <v>37800</v>
      </c>
      <c r="G13328" s="3">
        <v>0.0</v>
      </c>
      <c r="H13328" s="3">
        <v>0.0</v>
      </c>
      <c r="I13328" s="3" t="s">
        <v>13</v>
      </c>
      <c r="J13328" s="3" t="s">
        <v>37801</v>
      </c>
      <c r="K13328" s="3" t="s">
        <v>54</v>
      </c>
      <c r="L13328" s="3" t="str">
        <f>IFERROR(__xludf.DUMMYFUNCTION("GOOGLETRANSLATE(F13328,""id"",""en"")"),"said Argentina Helps the referee maybe his eyes picek")</f>
        <v>said Argentina Helps the referee maybe his eyes picek</v>
      </c>
    </row>
    <row r="13329" ht="15.75" customHeight="1">
      <c r="A13329" s="1">
        <v>14735.0</v>
      </c>
      <c r="B13329" s="3" t="s">
        <v>37802</v>
      </c>
      <c r="C13329" s="3">
        <v>0.0</v>
      </c>
      <c r="D13329" s="3">
        <v>0.0</v>
      </c>
      <c r="E13329" s="3">
        <v>1.0</v>
      </c>
      <c r="F13329" s="3" t="s">
        <v>37803</v>
      </c>
      <c r="G13329" s="3">
        <v>0.3333333333333333</v>
      </c>
      <c r="H13329" s="3">
        <v>0.1666666666666667</v>
      </c>
      <c r="I13329" s="3" t="s">
        <v>48</v>
      </c>
      <c r="J13329" s="3" t="s">
        <v>37804</v>
      </c>
      <c r="K13329" s="3" t="s">
        <v>883</v>
      </c>
      <c r="L13329" s="3" t="str">
        <f>IFERROR(__xludf.DUMMYFUNCTION("GOOGLETRANSLATE(F13329,""id"",""en"")"),"The referee is unfair FIFA ULER FIFA MANIPULATION BLA BLA BUT BUT ALSO CLEARS Ways to play and the spirit of Argentina IMO is better than the opposing team")</f>
        <v>The referee is unfair FIFA ULER FIFA MANIPULATION BLA BLA BUT BUT ALSO CLEARS Ways to play and the spirit of Argentina IMO is better than the opposing team</v>
      </c>
    </row>
    <row r="13330" ht="15.75" customHeight="1">
      <c r="A13330" s="1">
        <v>14736.0</v>
      </c>
      <c r="B13330" s="3" t="s">
        <v>37790</v>
      </c>
      <c r="C13330" s="3">
        <v>0.0</v>
      </c>
      <c r="D13330" s="3">
        <v>0.0</v>
      </c>
      <c r="E13330" s="3">
        <v>1.0</v>
      </c>
      <c r="F13330" s="3" t="s">
        <v>37791</v>
      </c>
      <c r="G13330" s="3">
        <v>0.0</v>
      </c>
      <c r="H13330" s="3">
        <v>0.0</v>
      </c>
      <c r="I13330" s="3" t="s">
        <v>13</v>
      </c>
      <c r="J13330" s="3" t="s">
        <v>37792</v>
      </c>
      <c r="K13330" s="3" t="s">
        <v>123</v>
      </c>
      <c r="L13330" s="3" t="str">
        <f>IFERROR(__xludf.DUMMYFUNCTION("GOOGLETRANSLATE(F13330,""id"",""en"")"),"This referee resembles a league ruining the match with a prize for Argentina without VAR at all, this is the penalty of Argentina during Qatar")</f>
        <v>This referee resembles a league ruining the match with a prize for Argentina without VAR at all, this is the penalty of Argentina during Qatar</v>
      </c>
    </row>
    <row r="13331" ht="15.75" customHeight="1">
      <c r="A13331" s="1">
        <v>14737.0</v>
      </c>
      <c r="B13331" s="3" t="s">
        <v>37787</v>
      </c>
      <c r="C13331" s="3">
        <v>1.0</v>
      </c>
      <c r="D13331" s="3">
        <v>6.0</v>
      </c>
      <c r="E13331" s="3">
        <v>4.0</v>
      </c>
      <c r="F13331" s="3" t="s">
        <v>37788</v>
      </c>
      <c r="G13331" s="3">
        <v>0.35</v>
      </c>
      <c r="H13331" s="3">
        <v>0.1</v>
      </c>
      <c r="I13331" s="3" t="s">
        <v>48</v>
      </c>
      <c r="J13331" s="3" t="s">
        <v>37789</v>
      </c>
      <c r="K13331" s="3" t="s">
        <v>149</v>
      </c>
      <c r="L13331" s="3" t="str">
        <f>IFERROR(__xludf.DUMMYFUNCTION("GOOGLETRANSLATE(F13331,""id"",""en"")"),"Only two Argentine matches did not get a penalty of all penalties, even arguably soft penalties how it was not difficult")</f>
        <v>Only two Argentine matches did not get a penalty of all penalties, even arguably soft penalties how it was not difficult</v>
      </c>
    </row>
    <row r="13332" ht="15.75" customHeight="1">
      <c r="A13332" s="1">
        <v>14738.0</v>
      </c>
      <c r="B13332" s="3" t="s">
        <v>37805</v>
      </c>
      <c r="C13332" s="3">
        <v>0.0</v>
      </c>
      <c r="D13332" s="3">
        <v>0.0</v>
      </c>
      <c r="E13332" s="3">
        <v>1.0</v>
      </c>
      <c r="F13332" s="3" t="s">
        <v>37806</v>
      </c>
      <c r="G13332" s="3">
        <v>0.0</v>
      </c>
      <c r="H13332" s="3">
        <v>0.0</v>
      </c>
      <c r="I13332" s="3" t="s">
        <v>13</v>
      </c>
      <c r="J13332" s="3" t="s">
        <v>37807</v>
      </c>
      <c r="K13332" s="3" t="s">
        <v>644</v>
      </c>
      <c r="L13332" s="3" t="str">
        <f>IFERROR(__xludf.DUMMYFUNCTION("GOOGLETRANSLATE(F13332,""id"",""en"")"),"Argentina with Dog Referee")</f>
        <v>Argentina with Dog Referee</v>
      </c>
    </row>
    <row r="13333" ht="15.75" customHeight="1">
      <c r="A13333" s="1">
        <v>14739.0</v>
      </c>
      <c r="B13333" s="3" t="s">
        <v>37808</v>
      </c>
      <c r="C13333" s="3">
        <v>0.0</v>
      </c>
      <c r="D13333" s="3">
        <v>0.0</v>
      </c>
      <c r="E13333" s="3">
        <v>0.0</v>
      </c>
      <c r="F13333" s="3" t="s">
        <v>37809</v>
      </c>
      <c r="G13333" s="3">
        <v>0.0</v>
      </c>
      <c r="H13333" s="3">
        <v>0.0</v>
      </c>
      <c r="I13333" s="3" t="s">
        <v>13</v>
      </c>
      <c r="J13333" s="3" t="s">
        <v>37786</v>
      </c>
      <c r="K13333" s="3" t="s">
        <v>644</v>
      </c>
      <c r="L13333" s="3" t="str">
        <f>IFERROR(__xludf.DUMMYFUNCTION("GOOGLETRANSLATE(F13333,""id"",""en"")"),"Referee Var Sayang Argentina")</f>
        <v>Referee Var Sayang Argentina</v>
      </c>
    </row>
    <row r="13334" ht="15.75" customHeight="1">
      <c r="A13334" s="1">
        <v>14740.0</v>
      </c>
      <c r="B13334" s="3" t="s">
        <v>37810</v>
      </c>
      <c r="C13334" s="3">
        <v>0.0</v>
      </c>
      <c r="D13334" s="3">
        <v>0.0</v>
      </c>
      <c r="E13334" s="3">
        <v>0.0</v>
      </c>
      <c r="F13334" s="3" t="s">
        <v>37811</v>
      </c>
      <c r="G13334" s="3">
        <v>0.0</v>
      </c>
      <c r="H13334" s="3">
        <v>0.0</v>
      </c>
      <c r="I13334" s="3" t="s">
        <v>13</v>
      </c>
      <c r="J13334" s="3" t="s">
        <v>37812</v>
      </c>
      <c r="K13334" s="3" t="s">
        <v>82</v>
      </c>
      <c r="L13334" s="3" t="str">
        <f>IFERROR(__xludf.DUMMYFUNCTION("GOOGLETRANSLATE(F13334,""id"",""en"")"),"see Evra's feared post not Argentina but the referee")</f>
        <v>see Evra's feared post not Argentina but the referee</v>
      </c>
    </row>
    <row r="13335" ht="15.75" customHeight="1">
      <c r="A13335" s="1">
        <v>14741.0</v>
      </c>
      <c r="B13335" s="3" t="s">
        <v>37813</v>
      </c>
      <c r="C13335" s="3">
        <v>1.0</v>
      </c>
      <c r="D13335" s="3">
        <v>0.0</v>
      </c>
      <c r="E13335" s="3">
        <v>0.0</v>
      </c>
      <c r="F13335" s="3" t="s">
        <v>37814</v>
      </c>
      <c r="G13335" s="3">
        <v>0.0</v>
      </c>
      <c r="H13335" s="3">
        <v>0.0</v>
      </c>
      <c r="I13335" s="3" t="s">
        <v>13</v>
      </c>
      <c r="J13335" s="3" t="s">
        <v>37815</v>
      </c>
      <c r="K13335" s="3" t="s">
        <v>1317</v>
      </c>
      <c r="L13335" s="3" t="str">
        <f>IFERROR(__xludf.DUMMYFUNCTION("GOOGLETRANSLATE(F13335,""id"",""en"")"),"The referee if you want to be able to see see that if the team is good, it's not biased, because if you win, the referee can be highlighted, even though the team itself is good at Argentina like this")</f>
        <v>The referee if you want to be able to see see that if the team is good, it's not biased, because if you win, the referee can be highlighted, even though the team itself is good at Argentina like this</v>
      </c>
    </row>
    <row r="13336" ht="15.75" customHeight="1">
      <c r="A13336" s="1">
        <v>14742.0</v>
      </c>
      <c r="B13336" s="3" t="s">
        <v>37816</v>
      </c>
      <c r="C13336" s="3">
        <v>0.0</v>
      </c>
      <c r="D13336" s="3">
        <v>0.0</v>
      </c>
      <c r="E13336" s="3">
        <v>0.0</v>
      </c>
      <c r="F13336" s="3" t="s">
        <v>37817</v>
      </c>
      <c r="G13336" s="3">
        <v>0.0</v>
      </c>
      <c r="H13336" s="3">
        <v>0.0</v>
      </c>
      <c r="I13336" s="3" t="s">
        <v>13</v>
      </c>
      <c r="J13336" s="3" t="s">
        <v>37818</v>
      </c>
      <c r="K13336" s="3" t="s">
        <v>82</v>
      </c>
      <c r="L13336" s="3" t="str">
        <f>IFERROR(__xludf.DUMMYFUNCTION("GOOGLETRANSLATE(F13336,""id"",""en"")"),"Referee Gercep Bener Nuip Peluita for Argentina Pinalti Wkwk")</f>
        <v>Referee Gercep Bener Nuip Peluita for Argentina Pinalti Wkwk</v>
      </c>
    </row>
    <row r="13337" ht="15.75" customHeight="1">
      <c r="A13337" s="1">
        <v>14743.0</v>
      </c>
      <c r="B13337" s="3" t="s">
        <v>37819</v>
      </c>
      <c r="C13337" s="3">
        <v>0.0</v>
      </c>
      <c r="D13337" s="3">
        <v>0.0</v>
      </c>
      <c r="E13337" s="3">
        <v>0.0</v>
      </c>
      <c r="F13337" s="3" t="s">
        <v>37820</v>
      </c>
      <c r="G13337" s="3">
        <v>0.0</v>
      </c>
      <c r="H13337" s="3">
        <v>0.0</v>
      </c>
      <c r="I13337" s="3" t="s">
        <v>13</v>
      </c>
      <c r="J13337" s="3" t="s">
        <v>37821</v>
      </c>
      <c r="K13337" s="3" t="s">
        <v>1897</v>
      </c>
      <c r="L13337" s="3" t="str">
        <f>IFERROR(__xludf.DUMMYFUNCTION("GOOGLETRANSLATE(F13337,""id"",""en"")"),"Dah Yok Bobok the most losing or worse the second half of Argentina Palingan like the Dutch opponent survived easily and wasted time fishing emotions.")</f>
        <v>Dah Yok Bobok the most losing or worse the second half of Argentina Palingan like the Dutch opponent survived easily and wasted time fishing emotions.</v>
      </c>
    </row>
    <row r="13338" ht="15.75" customHeight="1">
      <c r="A13338" s="1">
        <v>14744.0</v>
      </c>
      <c r="B13338" s="3" t="s">
        <v>37822</v>
      </c>
      <c r="C13338" s="3">
        <v>0.0</v>
      </c>
      <c r="D13338" s="3">
        <v>0.0</v>
      </c>
      <c r="E13338" s="3">
        <v>1.0</v>
      </c>
      <c r="F13338" s="3" t="s">
        <v>37823</v>
      </c>
      <c r="G13338" s="3">
        <v>0.0</v>
      </c>
      <c r="H13338" s="3">
        <v>0.0</v>
      </c>
      <c r="I13338" s="3" t="s">
        <v>13</v>
      </c>
      <c r="J13338" s="3" t="s">
        <v>37824</v>
      </c>
      <c r="K13338" s="3" t="s">
        <v>322</v>
      </c>
      <c r="L13338" s="3" t="str">
        <f>IFERROR(__xludf.DUMMYFUNCTION("GOOGLETRANSLATE(F13338,""id"",""en"")"),"The referee is a bit heavy for Argentina")</f>
        <v>The referee is a bit heavy for Argentina</v>
      </c>
    </row>
    <row r="13339" ht="15.75" customHeight="1">
      <c r="A13339" s="1">
        <v>14745.0</v>
      </c>
      <c r="B13339" s="3" t="s">
        <v>37825</v>
      </c>
      <c r="C13339" s="3">
        <v>0.0</v>
      </c>
      <c r="D13339" s="3">
        <v>0.0</v>
      </c>
      <c r="E13339" s="3">
        <v>0.0</v>
      </c>
      <c r="F13339" s="3" t="s">
        <v>37825</v>
      </c>
      <c r="G13339" s="3">
        <v>0.0</v>
      </c>
      <c r="H13339" s="3">
        <v>0.0</v>
      </c>
      <c r="I13339" s="3" t="s">
        <v>13</v>
      </c>
      <c r="J13339" s="3" t="s">
        <v>37826</v>
      </c>
      <c r="K13339" s="3" t="s">
        <v>54</v>
      </c>
      <c r="L13339" s="3" t="str">
        <f>IFERROR(__xludf.DUMMYFUNCTION("GOOGLETRANSLATE(F13339,""id"",""en"")"),"The referee nua bastard is very sided with Argentina")</f>
        <v>The referee nua bastard is very sided with Argentina</v>
      </c>
    </row>
    <row r="13340" ht="15.75" customHeight="1">
      <c r="A13340" s="1">
        <v>14746.0</v>
      </c>
      <c r="B13340" s="3" t="s">
        <v>37827</v>
      </c>
      <c r="C13340" s="3">
        <v>0.0</v>
      </c>
      <c r="D13340" s="3">
        <v>0.0</v>
      </c>
      <c r="E13340" s="3">
        <v>0.0</v>
      </c>
      <c r="F13340" s="3" t="s">
        <v>37828</v>
      </c>
      <c r="G13340" s="3">
        <v>0.0</v>
      </c>
      <c r="H13340" s="3">
        <v>0.0</v>
      </c>
      <c r="I13340" s="3" t="s">
        <v>13</v>
      </c>
      <c r="J13340" s="3" t="s">
        <v>37829</v>
      </c>
      <c r="K13340" s="3" t="s">
        <v>71</v>
      </c>
      <c r="L13340" s="3" t="str">
        <f>IFERROR(__xludf.DUMMYFUNCTION("GOOGLETRANSLATE(F13340,""id"",""en"")"),"middle and Argentina wings are more neat and dribbling already at the beginning of a strange referee in French")</f>
        <v>middle and Argentina wings are more neat and dribbling already at the beginning of a strange referee in French</v>
      </c>
    </row>
    <row r="13341" ht="15.75" customHeight="1">
      <c r="A13341" s="1">
        <v>14747.0</v>
      </c>
      <c r="B13341" s="3" t="s">
        <v>37830</v>
      </c>
      <c r="C13341" s="3">
        <v>0.0</v>
      </c>
      <c r="D13341" s="3">
        <v>0.0</v>
      </c>
      <c r="E13341" s="3">
        <v>0.0</v>
      </c>
      <c r="F13341" s="3" t="s">
        <v>37831</v>
      </c>
      <c r="G13341" s="3">
        <v>1.0</v>
      </c>
      <c r="H13341" s="3">
        <v>0.0</v>
      </c>
      <c r="I13341" s="3" t="s">
        <v>13</v>
      </c>
      <c r="J13341" s="3" t="s">
        <v>37832</v>
      </c>
      <c r="K13341" s="3" t="s">
        <v>82</v>
      </c>
      <c r="L13341" s="3" t="str">
        <f>IFERROR(__xludf.DUMMYFUNCTION("GOOGLETRANSLATE(F13341,""id"",""en"")"),"It's not a French Argentina final referee Kang")</f>
        <v>It's not a French Argentina final referee Kang</v>
      </c>
    </row>
    <row r="13342" ht="15.75" customHeight="1">
      <c r="A13342" s="1">
        <v>14748.0</v>
      </c>
      <c r="B13342" s="3" t="s">
        <v>37833</v>
      </c>
      <c r="C13342" s="3">
        <v>1.0</v>
      </c>
      <c r="D13342" s="3">
        <v>0.0</v>
      </c>
      <c r="E13342" s="3">
        <v>0.0</v>
      </c>
      <c r="F13342" s="3" t="s">
        <v>37834</v>
      </c>
      <c r="G13342" s="3">
        <v>0.0</v>
      </c>
      <c r="H13342" s="3">
        <v>0.0</v>
      </c>
      <c r="I13342" s="3" t="s">
        <v>13</v>
      </c>
      <c r="J13342" s="3" t="s">
        <v>37835</v>
      </c>
      <c r="K13342" s="3" t="s">
        <v>82</v>
      </c>
      <c r="L13342" s="3" t="str">
        <f>IFERROR(__xludf.DUMMYFUNCTION("GOOGLETRANSLATE(F13342,""id"",""en"")"),"Try the referee not from Argentina said stupid PENS")</f>
        <v>Try the referee not from Argentina said stupid PENS</v>
      </c>
    </row>
    <row r="13343" ht="15.75" customHeight="1">
      <c r="A13343" s="1">
        <v>14749.0</v>
      </c>
      <c r="B13343" s="3" t="s">
        <v>37836</v>
      </c>
      <c r="C13343" s="3">
        <v>0.0</v>
      </c>
      <c r="D13343" s="3">
        <v>0.0</v>
      </c>
      <c r="E13343" s="3">
        <v>1.0</v>
      </c>
      <c r="F13343" s="3" t="s">
        <v>37837</v>
      </c>
      <c r="G13343" s="3">
        <v>0.0</v>
      </c>
      <c r="H13343" s="3">
        <v>0.0</v>
      </c>
      <c r="I13343" s="3" t="s">
        <v>13</v>
      </c>
      <c r="J13343" s="3" t="s">
        <v>37838</v>
      </c>
      <c r="K13343" s="3" t="s">
        <v>75</v>
      </c>
      <c r="L13343" s="3" t="str">
        <f>IFERROR(__xludf.DUMMYFUNCTION("GOOGLETRANSLATE(F13343,""id"",""en"")"),"Argentina benefited from the decision of the first goal referee should not be a penalty")</f>
        <v>Argentina benefited from the decision of the first goal referee should not be a penalty</v>
      </c>
    </row>
    <row r="13344" ht="15.75" customHeight="1">
      <c r="A13344" s="1">
        <v>14750.0</v>
      </c>
      <c r="B13344" s="3" t="s">
        <v>37839</v>
      </c>
      <c r="C13344" s="3">
        <v>1.0</v>
      </c>
      <c r="D13344" s="3">
        <v>0.0</v>
      </c>
      <c r="E13344" s="3">
        <v>0.0</v>
      </c>
      <c r="F13344" s="3" t="s">
        <v>37840</v>
      </c>
      <c r="G13344" s="3">
        <v>0.0</v>
      </c>
      <c r="H13344" s="3">
        <v>0.0</v>
      </c>
      <c r="I13344" s="3" t="s">
        <v>13</v>
      </c>
      <c r="J13344" s="3" t="s">
        <v>37841</v>
      </c>
      <c r="K13344" s="3" t="s">
        <v>437</v>
      </c>
      <c r="L13344" s="3" t="str">
        <f>IFERROR(__xludf.DUMMYFUNCTION("GOOGLETRANSLATE(F13344,""id"",""en"")"),"Apart from the stigma of FIFA's best friend, an objective referee, the field is Argentina, wins everything, how come France is still in the shot")</f>
        <v>Apart from the stigma of FIFA's best friend, an objective referee, the field is Argentina, wins everything, how come France is still in the shot</v>
      </c>
    </row>
    <row r="13345" ht="15.75" customHeight="1">
      <c r="A13345" s="1">
        <v>14751.0</v>
      </c>
      <c r="B13345" s="3" t="s">
        <v>37842</v>
      </c>
      <c r="C13345" s="3">
        <v>0.0</v>
      </c>
      <c r="D13345" s="3">
        <v>0.0</v>
      </c>
      <c r="E13345" s="3">
        <v>1.0</v>
      </c>
      <c r="F13345" s="3" t="s">
        <v>37843</v>
      </c>
      <c r="G13345" s="3">
        <v>1.0</v>
      </c>
      <c r="H13345" s="3">
        <v>0.0</v>
      </c>
      <c r="I13345" s="3" t="s">
        <v>13</v>
      </c>
      <c r="J13345" s="3" t="s">
        <v>37844</v>
      </c>
      <c r="K13345" s="3" t="s">
        <v>1061</v>
      </c>
      <c r="L13345" s="3" t="str">
        <f>IFERROR(__xludf.DUMMYFUNCTION("GOOGLETRANSLATE(F13345,""id"",""en"")"),"Although the Qatar World Cup final has been arranged and the champion has been set from the beginning with Argentina as the country that can be the most free penalty voucher from the FIFA referee this final will remain a screen audience only")</f>
        <v>Although the Qatar World Cup final has been arranged and the champion has been set from the beginning with Argentina as the country that can be the most free penalty voucher from the FIFA referee this final will remain a screen audience only</v>
      </c>
    </row>
    <row r="13346" ht="15.75" customHeight="1">
      <c r="A13346" s="1">
        <v>14752.0</v>
      </c>
      <c r="B13346" s="3" t="s">
        <v>37845</v>
      </c>
      <c r="C13346" s="3">
        <v>35.0</v>
      </c>
      <c r="D13346" s="3">
        <v>8.0</v>
      </c>
      <c r="E13346" s="3">
        <v>388.0</v>
      </c>
      <c r="F13346" s="3" t="s">
        <v>37846</v>
      </c>
      <c r="G13346" s="3">
        <v>0.0</v>
      </c>
      <c r="H13346" s="3">
        <v>0.0</v>
      </c>
      <c r="I13346" s="3" t="s">
        <v>13</v>
      </c>
      <c r="J13346" s="3" t="s">
        <v>37847</v>
      </c>
      <c r="K13346" s="3" t="s">
        <v>358</v>
      </c>
      <c r="L13346" s="3" t="str">
        <f>IFERROR(__xludf.DUMMYFUNCTION("GOOGLETRANSLATE(F13346,""id"",""en"")"),"surprised by France fans still just blame the referee etc. clearly France this time playing obok and messy is even more dominant Argentina playing well")</f>
        <v>surprised by France fans still just blame the referee etc. clearly France this time playing obok and messy is even more dominant Argentina playing well</v>
      </c>
    </row>
    <row r="13347" ht="15.75" customHeight="1">
      <c r="A13347" s="1">
        <v>14753.0</v>
      </c>
      <c r="B13347" s="3" t="s">
        <v>37848</v>
      </c>
      <c r="C13347" s="3">
        <v>0.0</v>
      </c>
      <c r="D13347" s="3">
        <v>0.0</v>
      </c>
      <c r="E13347" s="3">
        <v>0.0</v>
      </c>
      <c r="F13347" s="3" t="s">
        <v>37849</v>
      </c>
      <c r="G13347" s="3">
        <v>0.0</v>
      </c>
      <c r="H13347" s="3">
        <v>0.0</v>
      </c>
      <c r="I13347" s="3" t="s">
        <v>13</v>
      </c>
      <c r="J13347" s="3" t="s">
        <v>37850</v>
      </c>
      <c r="K13347" s="3" t="s">
        <v>484</v>
      </c>
      <c r="L13347" s="3" t="str">
        <f>IFERROR(__xludf.DUMMYFUNCTION("GOOGLETRANSLATE(F13347,""id"",""en"")"),"Because Argentina is superior in the first half the first goal assisted by the penalty referee all French players possessed by Indonesian players")</f>
        <v>Because Argentina is superior in the first half the first goal assisted by the penalty referee all French players possessed by Indonesian players</v>
      </c>
    </row>
    <row r="13348" ht="15.75" customHeight="1">
      <c r="A13348" s="1">
        <v>14754.0</v>
      </c>
      <c r="B13348" s="3" t="s">
        <v>37851</v>
      </c>
      <c r="C13348" s="3">
        <v>4.0</v>
      </c>
      <c r="D13348" s="3">
        <v>0.0</v>
      </c>
      <c r="E13348" s="3">
        <v>7.0</v>
      </c>
      <c r="F13348" s="3" t="s">
        <v>37852</v>
      </c>
      <c r="G13348" s="3">
        <v>0.0</v>
      </c>
      <c r="H13348" s="3">
        <v>0.0</v>
      </c>
      <c r="I13348" s="3" t="s">
        <v>13</v>
      </c>
      <c r="J13348" s="3" t="s">
        <v>37853</v>
      </c>
      <c r="K13348" s="3" t="s">
        <v>695</v>
      </c>
      <c r="L13348" s="3" t="str">
        <f>IFERROR(__xludf.DUMMYFUNCTION("GOOGLETRANSLATE(F13348,""id"",""en"")"),"French players hold the ball for too long not like Argentina Giroud players are also outdated, this is not fun, the original propaganda is increasingly visible referee jerk")</f>
        <v>French players hold the ball for too long not like Argentina Giroud players are also outdated, this is not fun, the original propaganda is increasingly visible referee jerk</v>
      </c>
    </row>
    <row r="13349" ht="15.75" customHeight="1">
      <c r="A13349" s="1">
        <v>14755.0</v>
      </c>
      <c r="B13349" s="3" t="s">
        <v>37854</v>
      </c>
      <c r="C13349" s="3">
        <v>0.0</v>
      </c>
      <c r="D13349" s="3">
        <v>0.0</v>
      </c>
      <c r="E13349" s="3">
        <v>0.0</v>
      </c>
      <c r="F13349" s="3" t="s">
        <v>37855</v>
      </c>
      <c r="G13349" s="3">
        <v>0.0</v>
      </c>
      <c r="H13349" s="3">
        <v>0.0</v>
      </c>
      <c r="I13349" s="3" t="s">
        <v>13</v>
      </c>
      <c r="J13349" s="3" t="s">
        <v>37856</v>
      </c>
      <c r="K13349" s="3" t="s">
        <v>75</v>
      </c>
      <c r="L13349" s="3" t="str">
        <f>IFERROR(__xludf.DUMMYFUNCTION("GOOGLETRANSLATE(F13349,""id"",""en"")"),"Apart from the second Argentina Goal, some of the players are somewhat knocked")</f>
        <v>Apart from the second Argentina Goal, some of the players are somewhat knocked</v>
      </c>
    </row>
    <row r="13350" ht="15.75" customHeight="1">
      <c r="A13350" s="1">
        <v>14756.0</v>
      </c>
      <c r="B13350" s="3" t="s">
        <v>37857</v>
      </c>
      <c r="C13350" s="3">
        <v>5.0</v>
      </c>
      <c r="D13350" s="3">
        <v>0.0</v>
      </c>
      <c r="E13350" s="3">
        <v>7.0</v>
      </c>
      <c r="F13350" s="3" t="s">
        <v>37858</v>
      </c>
      <c r="G13350" s="3">
        <v>0.3333333333333333</v>
      </c>
      <c r="H13350" s="3">
        <v>0.1666666666666667</v>
      </c>
      <c r="I13350" s="3" t="s">
        <v>48</v>
      </c>
      <c r="J13350" s="3" t="s">
        <v>37859</v>
      </c>
      <c r="K13350" s="3" t="s">
        <v>456</v>
      </c>
      <c r="L13350" s="3" t="str">
        <f>IFERROR(__xludf.DUMMYFUNCTION("GOOGLETRANSLATE(F13350,""id"",""en"")"),"Ardii is not Argentina must score the first goal so the referee always looks for a gap for giving a penalty the first goal will make the opponent play more open ends of the tip to get a goal two schemes exactly like Croatia match")</f>
        <v>Ardii is not Argentina must score the first goal so the referee always looks for a gap for giving a penalty the first goal will make the opponent play more open ends of the tip to get a goal two schemes exactly like Croatia match</v>
      </c>
    </row>
    <row r="13351" ht="15.75" customHeight="1">
      <c r="A13351" s="1">
        <v>14757.0</v>
      </c>
      <c r="B13351" s="3" t="s">
        <v>37860</v>
      </c>
      <c r="C13351" s="3">
        <v>0.0</v>
      </c>
      <c r="D13351" s="3">
        <v>0.0</v>
      </c>
      <c r="E13351" s="3">
        <v>0.0</v>
      </c>
      <c r="F13351" s="3" t="s">
        <v>37861</v>
      </c>
      <c r="G13351" s="3">
        <v>0.0</v>
      </c>
      <c r="H13351" s="3">
        <v>0.0</v>
      </c>
      <c r="I13351" s="3" t="s">
        <v>13</v>
      </c>
      <c r="J13351" s="3" t="s">
        <v>37862</v>
      </c>
      <c r="K13351" s="3" t="s">
        <v>15</v>
      </c>
      <c r="L13351" s="3" t="str">
        <f>IFERROR(__xludf.DUMMYFUNCTION("GOOGLETRANSLATE(F13351,""id"",""en"")"),"Referees, don't Ketara Amad, support Argentina, wkwkw")</f>
        <v>Referees, don't Ketara Amad, support Argentina, wkwkw</v>
      </c>
    </row>
    <row r="13352" ht="15.75" customHeight="1">
      <c r="A13352" s="1">
        <v>14759.0</v>
      </c>
      <c r="B13352" s="3" t="s">
        <v>37863</v>
      </c>
      <c r="C13352" s="3">
        <v>0.0</v>
      </c>
      <c r="D13352" s="3">
        <v>0.0</v>
      </c>
      <c r="E13352" s="3">
        <v>0.0</v>
      </c>
      <c r="F13352" s="3" t="s">
        <v>37864</v>
      </c>
      <c r="G13352" s="3">
        <v>0.0</v>
      </c>
      <c r="H13352" s="3">
        <v>0.0</v>
      </c>
      <c r="I13352" s="3" t="s">
        <v>13</v>
      </c>
      <c r="J13352" s="3" t="s">
        <v>37865</v>
      </c>
      <c r="K13352" s="3" t="s">
        <v>644</v>
      </c>
      <c r="L13352" s="3" t="str">
        <f>IFERROR(__xludf.DUMMYFUNCTION("GOOGLETRANSLATE(F13352,""id"",""en"")"),"Argentina Pay Referees Anjeng")</f>
        <v>Argentina Pay Referees Anjeng</v>
      </c>
    </row>
    <row r="13353" ht="15.75" customHeight="1">
      <c r="A13353" s="1">
        <v>14760.0</v>
      </c>
      <c r="B13353" s="3" t="s">
        <v>37866</v>
      </c>
      <c r="C13353" s="3">
        <v>0.0</v>
      </c>
      <c r="D13353" s="3">
        <v>0.0</v>
      </c>
      <c r="E13353" s="3">
        <v>0.0</v>
      </c>
      <c r="F13353" s="3" t="s">
        <v>37867</v>
      </c>
      <c r="G13353" s="3">
        <v>1.0</v>
      </c>
      <c r="H13353" s="3">
        <v>-0.5</v>
      </c>
      <c r="I13353" s="3" t="s">
        <v>179</v>
      </c>
      <c r="J13353" s="3" t="s">
        <v>37868</v>
      </c>
      <c r="K13353" s="3" t="s">
        <v>1518</v>
      </c>
      <c r="L13353" s="3" t="str">
        <f>IFERROR(__xludf.DUMMYFUNCTION("GOOGLETRANSLATE(F13353,""id"",""en"")"),"It's clear that this referee is paid to win Argentina Reply player France takes the ball first, instead it will be filled by FOUL WTF where the commentator is just shut up")</f>
        <v>It's clear that this referee is paid to win Argentina Reply player France takes the ball first, instead it will be filled by FOUL WTF where the commentator is just shut up</v>
      </c>
    </row>
    <row r="13354" ht="15.75" customHeight="1">
      <c r="A13354" s="1">
        <v>14761.0</v>
      </c>
      <c r="B13354" s="3" t="s">
        <v>37869</v>
      </c>
      <c r="C13354" s="3">
        <v>0.0</v>
      </c>
      <c r="D13354" s="3">
        <v>0.0</v>
      </c>
      <c r="E13354" s="3">
        <v>0.0</v>
      </c>
      <c r="F13354" s="3" t="s">
        <v>37870</v>
      </c>
      <c r="G13354" s="3">
        <v>0.0</v>
      </c>
      <c r="H13354" s="3">
        <v>0.0</v>
      </c>
      <c r="I13354" s="3" t="s">
        <v>13</v>
      </c>
      <c r="J13354" s="3" t="s">
        <v>37871</v>
      </c>
      <c r="K13354" s="3" t="s">
        <v>2117</v>
      </c>
      <c r="L13354" s="3" t="str">
        <f>IFERROR(__xludf.DUMMYFUNCTION("GOOGLETRANSLATE(F13354,""id"",""en"")"),"Fix the referee from Argentina")</f>
        <v>Fix the referee from Argentina</v>
      </c>
    </row>
    <row r="13355" ht="15.75" customHeight="1">
      <c r="A13355" s="1">
        <v>14762.0</v>
      </c>
      <c r="B13355" s="3" t="s">
        <v>37872</v>
      </c>
      <c r="C13355" s="3">
        <v>0.0</v>
      </c>
      <c r="D13355" s="3">
        <v>0.0</v>
      </c>
      <c r="E13355" s="3">
        <v>0.0</v>
      </c>
      <c r="F13355" s="3" t="s">
        <v>37873</v>
      </c>
      <c r="G13355" s="3">
        <v>0.0</v>
      </c>
      <c r="H13355" s="3">
        <v>0.0</v>
      </c>
      <c r="I13355" s="3" t="s">
        <v>13</v>
      </c>
      <c r="J13355" s="3" t="s">
        <v>37874</v>
      </c>
      <c r="K13355" s="3" t="s">
        <v>82</v>
      </c>
      <c r="L13355" s="3" t="str">
        <f>IFERROR(__xludf.DUMMYFUNCTION("GOOGLETRANSLATE(F13355,""id"",""en"")"),"Argentina Swipe Voucher Teross Referee Stupid")</f>
        <v>Argentina Swipe Voucher Teross Referee Stupid</v>
      </c>
    </row>
    <row r="13356" ht="15.75" customHeight="1">
      <c r="A13356" s="1">
        <v>14763.0</v>
      </c>
      <c r="B13356" s="3" t="s">
        <v>37875</v>
      </c>
      <c r="C13356" s="3">
        <v>1.0</v>
      </c>
      <c r="D13356" s="3">
        <v>0.0</v>
      </c>
      <c r="E13356" s="3">
        <v>0.0</v>
      </c>
      <c r="F13356" s="3" t="s">
        <v>37876</v>
      </c>
      <c r="G13356" s="3">
        <v>0.3333333333333333</v>
      </c>
      <c r="H13356" s="3">
        <v>0.1666666666666667</v>
      </c>
      <c r="I13356" s="3" t="s">
        <v>48</v>
      </c>
      <c r="J13356" s="3" t="s">
        <v>37877</v>
      </c>
      <c r="K13356" s="3" t="s">
        <v>1157</v>
      </c>
      <c r="L13356" s="3" t="str">
        <f>IFERROR(__xludf.DUMMYFUNCTION("GOOGLETRANSLATE(F13356,""id"",""en"")"),"strange, the point is the point is that the penalty is appropriate, what are the ways to play want to be sled")</f>
        <v>strange, the point is the point is that the penalty is appropriate, what are the ways to play want to be sled</v>
      </c>
    </row>
    <row r="13357" ht="15.75" customHeight="1">
      <c r="A13357" s="1">
        <v>14764.0</v>
      </c>
      <c r="B13357" s="3" t="s">
        <v>37878</v>
      </c>
      <c r="C13357" s="3">
        <v>0.0</v>
      </c>
      <c r="D13357" s="3">
        <v>0.0</v>
      </c>
      <c r="E13357" s="3">
        <v>1.0</v>
      </c>
      <c r="F13357" s="3" t="s">
        <v>37879</v>
      </c>
      <c r="G13357" s="3">
        <v>0.0</v>
      </c>
      <c r="H13357" s="3">
        <v>0.0</v>
      </c>
      <c r="I13357" s="3" t="s">
        <v>13</v>
      </c>
      <c r="J13357" s="3" t="s">
        <v>37880</v>
      </c>
      <c r="K13357" s="3" t="s">
        <v>2117</v>
      </c>
      <c r="L13357" s="3" t="str">
        <f>IFERROR(__xludf.DUMMYFUNCTION("GOOGLETRANSLATE(F13357,""id"",""en"")"),"Argentina's referee team")</f>
        <v>Argentina's referee team</v>
      </c>
    </row>
    <row r="13358" ht="15.75" customHeight="1">
      <c r="A13358" s="1">
        <v>14766.0</v>
      </c>
      <c r="B13358" s="3" t="s">
        <v>37881</v>
      </c>
      <c r="C13358" s="3">
        <v>1.0</v>
      </c>
      <c r="D13358" s="3">
        <v>0.0</v>
      </c>
      <c r="E13358" s="3">
        <v>1.0</v>
      </c>
      <c r="F13358" s="3" t="s">
        <v>37881</v>
      </c>
      <c r="G13358" s="3">
        <v>0.0</v>
      </c>
      <c r="H13358" s="3">
        <v>0.0</v>
      </c>
      <c r="I13358" s="3" t="s">
        <v>13</v>
      </c>
      <c r="J13358" s="3" t="s">
        <v>37882</v>
      </c>
      <c r="K13358" s="3" t="s">
        <v>644</v>
      </c>
      <c r="L13358" s="3" t="str">
        <f>IFERROR(__xludf.DUMMYFUNCTION("GOOGLETRANSLATE(F13358,""id"",""en"")"),"Fix Argentina Bolo Referee")</f>
        <v>Fix Argentina Bolo Referee</v>
      </c>
    </row>
    <row r="13359" ht="15.75" customHeight="1">
      <c r="A13359" s="1">
        <v>14767.0</v>
      </c>
      <c r="B13359" s="3" t="s">
        <v>37883</v>
      </c>
      <c r="C13359" s="3">
        <v>0.0</v>
      </c>
      <c r="D13359" s="3">
        <v>0.0</v>
      </c>
      <c r="E13359" s="3">
        <v>0.0</v>
      </c>
      <c r="F13359" s="3" t="s">
        <v>37884</v>
      </c>
      <c r="G13359" s="3">
        <v>0.0</v>
      </c>
      <c r="H13359" s="3">
        <v>0.0</v>
      </c>
      <c r="I13359" s="3" t="s">
        <v>13</v>
      </c>
      <c r="J13359" s="3" t="s">
        <v>37885</v>
      </c>
      <c r="K13359" s="3" t="s">
        <v>15</v>
      </c>
      <c r="L13359" s="3" t="str">
        <f>IFERROR(__xludf.DUMMYFUNCTION("GOOGLETRANSLATE(F13359,""id"",""en"")"),"And it will happen that Argentina will be assisted by the referee and even FIFA")</f>
        <v>And it will happen that Argentina will be assisted by the referee and even FIFA</v>
      </c>
    </row>
    <row r="13360" ht="15.75" customHeight="1">
      <c r="A13360" s="1">
        <v>14768.0</v>
      </c>
      <c r="B13360" s="3" t="s">
        <v>37886</v>
      </c>
      <c r="C13360" s="3">
        <v>1.0</v>
      </c>
      <c r="D13360" s="3">
        <v>0.0</v>
      </c>
      <c r="E13360" s="3">
        <v>2.0</v>
      </c>
      <c r="F13360" s="3" t="s">
        <v>37887</v>
      </c>
      <c r="G13360" s="3">
        <v>0.2444444444444445</v>
      </c>
      <c r="H13360" s="3">
        <v>-0.1277777777777778</v>
      </c>
      <c r="I13360" s="3" t="s">
        <v>179</v>
      </c>
      <c r="J13360" s="3" t="s">
        <v>37888</v>
      </c>
      <c r="K13360" s="3" t="s">
        <v>266</v>
      </c>
      <c r="L13360" s="3" t="str">
        <f>IFERROR(__xludf.DUMMYFUNCTION("GOOGLETRANSLATE(F13360,""id"",""en"")"),"Mental France was destroyed because Argentina was given a penalty was the Argentine cowardly tactic in the early minutes of looking for the penalty finally the goalkeeper was afraid that the player was also down because the referee defended Argentina was "&amp;"discovered that the settings champion")</f>
        <v>Mental France was destroyed because Argentina was given a penalty was the Argentine cowardly tactic in the early minutes of looking for the penalty finally the goalkeeper was afraid that the player was also down because the referee defended Argentina was discovered that the settings champion</v>
      </c>
    </row>
    <row r="13361" ht="15.75" customHeight="1">
      <c r="A13361" s="1">
        <v>14769.0</v>
      </c>
      <c r="B13361" s="3" t="s">
        <v>37889</v>
      </c>
      <c r="C13361" s="3">
        <v>0.0</v>
      </c>
      <c r="D13361" s="3">
        <v>0.0</v>
      </c>
      <c r="E13361" s="3">
        <v>0.0</v>
      </c>
      <c r="F13361" s="3" t="s">
        <v>37890</v>
      </c>
      <c r="G13361" s="3">
        <v>0.0</v>
      </c>
      <c r="H13361" s="3">
        <v>0.0</v>
      </c>
      <c r="I13361" s="3" t="s">
        <v>13</v>
      </c>
      <c r="J13361" s="3" t="s">
        <v>37891</v>
      </c>
      <c r="K13361" s="3" t="s">
        <v>19</v>
      </c>
      <c r="L13361" s="3" t="str">
        <f>IFERROR(__xludf.DUMMYFUNCTION("GOOGLETRANSLATE(F13361,""id"",""en"")"),"Anj, the Argentine player's smiling referee knows he has been paid by FIFA to win the World Cup")</f>
        <v>Anj, the Argentine player's smiling referee knows he has been paid by FIFA to win the World Cup</v>
      </c>
    </row>
    <row r="13362" ht="15.75" customHeight="1">
      <c r="A13362" s="1">
        <v>14770.0</v>
      </c>
      <c r="B13362" s="3" t="s">
        <v>37892</v>
      </c>
      <c r="C13362" s="3">
        <v>0.0</v>
      </c>
      <c r="D13362" s="3">
        <v>0.0</v>
      </c>
      <c r="E13362" s="3">
        <v>0.0</v>
      </c>
      <c r="F13362" s="3" t="s">
        <v>37893</v>
      </c>
      <c r="G13362" s="3">
        <v>0.0</v>
      </c>
      <c r="H13362" s="3">
        <v>0.0</v>
      </c>
      <c r="I13362" s="3" t="s">
        <v>13</v>
      </c>
      <c r="J13362" s="3" t="s">
        <v>37894</v>
      </c>
      <c r="K13362" s="3" t="s">
        <v>127</v>
      </c>
      <c r="L13362" s="3" t="str">
        <f>IFERROR(__xludf.DUMMYFUNCTION("GOOGLETRANSLATE(F13362,""id"",""en"")"),"dejavu like Croatia's opponent so that Argentina's penalty is almost in a cool French match if you can turn the referee's decision")</f>
        <v>dejavu like Croatia's opponent so that Argentina's penalty is almost in a cool French match if you can turn the referee's decision</v>
      </c>
    </row>
    <row r="13363" ht="15.75" customHeight="1">
      <c r="A13363" s="1">
        <v>14771.0</v>
      </c>
      <c r="B13363" s="3" t="s">
        <v>37895</v>
      </c>
      <c r="C13363" s="3">
        <v>0.0</v>
      </c>
      <c r="D13363" s="3">
        <v>0.0</v>
      </c>
      <c r="E13363" s="3">
        <v>0.0</v>
      </c>
      <c r="F13363" s="3" t="s">
        <v>37896</v>
      </c>
      <c r="G13363" s="3">
        <v>0.0</v>
      </c>
      <c r="H13363" s="3">
        <v>0.0</v>
      </c>
      <c r="I13363" s="3" t="s">
        <v>13</v>
      </c>
      <c r="J13363" s="3" t="s">
        <v>37897</v>
      </c>
      <c r="K13363" s="3" t="s">
        <v>437</v>
      </c>
      <c r="L13363" s="3" t="str">
        <f>IFERROR(__xludf.DUMMYFUNCTION("GOOGLETRANSLATE(F13363,""id"",""en"")"),"The referee rule against Argentina is prohibited from touching the Argentina Pemaij in the slightest if the auto is hit by a penalty without checking the var wkwkwk")</f>
        <v>The referee rule against Argentina is prohibited from touching the Argentina Pemaij in the slightest if the auto is hit by a penalty without checking the var wkwkwk</v>
      </c>
    </row>
    <row r="13364" ht="15.75" customHeight="1">
      <c r="A13364" s="1">
        <v>14772.0</v>
      </c>
      <c r="B13364" s="3" t="s">
        <v>37898</v>
      </c>
      <c r="C13364" s="3">
        <v>0.0</v>
      </c>
      <c r="D13364" s="3">
        <v>0.0</v>
      </c>
      <c r="E13364" s="3">
        <v>1.0</v>
      </c>
      <c r="F13364" s="3" t="s">
        <v>37899</v>
      </c>
      <c r="G13364" s="3">
        <v>0.3333333333333333</v>
      </c>
      <c r="H13364" s="3">
        <v>0.1666666666666667</v>
      </c>
      <c r="I13364" s="3" t="s">
        <v>48</v>
      </c>
      <c r="J13364" s="3" t="s">
        <v>37900</v>
      </c>
      <c r="K13364" s="3" t="s">
        <v>1097</v>
      </c>
      <c r="L13364" s="3" t="str">
        <f>IFERROR(__xludf.DUMMYFUNCTION("GOOGLETRANSLATE(F13364,""id"",""en"")"),"Argentina Playing Tarkam Referees Playing Trophy Kasiiiiiiii")</f>
        <v>Argentina Playing Tarkam Referees Playing Trophy Kasiiiiiiii</v>
      </c>
    </row>
    <row r="13365" ht="15.75" customHeight="1">
      <c r="A13365" s="1">
        <v>14773.0</v>
      </c>
      <c r="B13365" s="3" t="s">
        <v>37901</v>
      </c>
      <c r="C13365" s="3">
        <v>1.0</v>
      </c>
      <c r="D13365" s="3">
        <v>0.0</v>
      </c>
      <c r="E13365" s="3">
        <v>0.0</v>
      </c>
      <c r="F13365" s="3" t="s">
        <v>37902</v>
      </c>
      <c r="G13365" s="3">
        <v>0.0</v>
      </c>
      <c r="H13365" s="3">
        <v>0.0</v>
      </c>
      <c r="I13365" s="3" t="s">
        <v>13</v>
      </c>
      <c r="J13365" s="3" t="s">
        <v>37903</v>
      </c>
      <c r="K13365" s="3" t="s">
        <v>1293</v>
      </c>
      <c r="L13365" s="3" t="str">
        <f>IFERROR(__xludf.DUMMYFUNCTION("GOOGLETRANSLATE(F13365,""id"",""en"")"),"already maybe this France won the referee to release the referee card check the var of Argentine players for a time to waste time despite excellent")</f>
        <v>already maybe this France won the referee to release the referee card check the var of Argentine players for a time to waste time despite excellent</v>
      </c>
    </row>
    <row r="13366" ht="15.75" customHeight="1">
      <c r="A13366" s="1">
        <v>14774.0</v>
      </c>
      <c r="B13366" s="3" t="s">
        <v>37904</v>
      </c>
      <c r="C13366" s="3">
        <v>1.0</v>
      </c>
      <c r="D13366" s="3">
        <v>0.0</v>
      </c>
      <c r="E13366" s="3">
        <v>1.0</v>
      </c>
      <c r="F13366" s="3" t="s">
        <v>37905</v>
      </c>
      <c r="G13366" s="3">
        <v>0.0</v>
      </c>
      <c r="H13366" s="3">
        <v>0.0</v>
      </c>
      <c r="I13366" s="3" t="s">
        <v>13</v>
      </c>
      <c r="J13366" s="3" t="s">
        <v>37906</v>
      </c>
      <c r="K13366" s="3" t="s">
        <v>35</v>
      </c>
      <c r="L13366" s="3" t="str">
        <f>IFERROR(__xludf.DUMMYFUNCTION("GOOGLETRANSLATE(F13366,""id"",""en"")"),"The referee is illegal, what's wrong with Maria Jatoh himself Argentina assisted by the referee again gaess")</f>
        <v>The referee is illegal, what's wrong with Maria Jatoh himself Argentina assisted by the referee again gaess</v>
      </c>
    </row>
    <row r="13367" ht="15.75" customHeight="1">
      <c r="A13367" s="1">
        <v>14775.0</v>
      </c>
      <c r="B13367" s="3" t="s">
        <v>37907</v>
      </c>
      <c r="C13367" s="3">
        <v>0.0</v>
      </c>
      <c r="D13367" s="3">
        <v>0.0</v>
      </c>
      <c r="E13367" s="3">
        <v>1.0</v>
      </c>
      <c r="F13367" s="3" t="s">
        <v>37908</v>
      </c>
      <c r="G13367" s="3">
        <v>0.0</v>
      </c>
      <c r="H13367" s="3">
        <v>0.0</v>
      </c>
      <c r="I13367" s="3" t="s">
        <v>13</v>
      </c>
      <c r="J13367" s="3" t="s">
        <v>37909</v>
      </c>
      <c r="K13367" s="3" t="s">
        <v>1970</v>
      </c>
      <c r="L13367" s="3" t="str">
        <f>IFERROR(__xludf.DUMMYFUNCTION("GOOGLETRANSLATE(F13367,""id"",""en"")"),"Support France but Argentina Maenna Bagus Gening Henanyal was given a give away penalty with referee hoho what TTP supports France Hayyu Gasss Ngeng")</f>
        <v>Support France but Argentina Maenna Bagus Gening Henanyal was given a give away penalty with referee hoho what TTP supports France Hayyu Gasss Ngeng</v>
      </c>
    </row>
    <row r="13368" ht="15.75" customHeight="1">
      <c r="A13368" s="1">
        <v>14776.0</v>
      </c>
      <c r="B13368" s="3" t="s">
        <v>37910</v>
      </c>
      <c r="C13368" s="3">
        <v>1.0</v>
      </c>
      <c r="D13368" s="3">
        <v>0.0</v>
      </c>
      <c r="E13368" s="3">
        <v>0.0</v>
      </c>
      <c r="F13368" s="3" t="s">
        <v>37911</v>
      </c>
      <c r="G13368" s="3">
        <v>0.3333333333333333</v>
      </c>
      <c r="H13368" s="3">
        <v>0.1666666666666667</v>
      </c>
      <c r="I13368" s="3" t="s">
        <v>48</v>
      </c>
      <c r="J13368" s="3" t="s">
        <v>37912</v>
      </c>
      <c r="K13368" s="3" t="s">
        <v>236</v>
      </c>
      <c r="L13368" s="3" t="str">
        <f>IFERROR(__xludf.DUMMYFUNCTION("GOOGLETRANSLATE(F13368,""id"",""en"")"),"Argentina Playing Tarkam Referees Play Flying Dah Kasi Trophy Kasiii")</f>
        <v>Argentina Playing Tarkam Referees Play Flying Dah Kasi Trophy Kasiii</v>
      </c>
    </row>
    <row r="13369" ht="15.75" customHeight="1">
      <c r="A13369" s="1">
        <v>14777.0</v>
      </c>
      <c r="B13369" s="3" t="s">
        <v>37913</v>
      </c>
      <c r="C13369" s="3">
        <v>0.0</v>
      </c>
      <c r="D13369" s="3">
        <v>0.0</v>
      </c>
      <c r="E13369" s="3">
        <v>1.0</v>
      </c>
      <c r="F13369" s="3" t="s">
        <v>37914</v>
      </c>
      <c r="G13369" s="3">
        <v>0.0</v>
      </c>
      <c r="H13369" s="3">
        <v>0.0</v>
      </c>
      <c r="I13369" s="3" t="s">
        <v>13</v>
      </c>
      <c r="J13369" s="3" t="s">
        <v>37915</v>
      </c>
      <c r="K13369" s="3" t="s">
        <v>644</v>
      </c>
      <c r="L13369" s="3" t="str">
        <f>IFERROR(__xludf.DUMMYFUNCTION("GOOGLETRANSLATE(F13369,""id"",""en"")"),"no referee helps Argentina")</f>
        <v>no referee helps Argentina</v>
      </c>
    </row>
    <row r="13370" ht="15.75" customHeight="1">
      <c r="A13370" s="1">
        <v>14778.0</v>
      </c>
      <c r="B13370" s="3" t="s">
        <v>37916</v>
      </c>
      <c r="C13370" s="3">
        <v>0.0</v>
      </c>
      <c r="D13370" s="3">
        <v>0.0</v>
      </c>
      <c r="E13370" s="3">
        <v>0.0</v>
      </c>
      <c r="F13370" s="3" t="s">
        <v>37917</v>
      </c>
      <c r="G13370" s="3">
        <v>0.0</v>
      </c>
      <c r="H13370" s="3">
        <v>0.0</v>
      </c>
      <c r="I13370" s="3" t="s">
        <v>13</v>
      </c>
      <c r="J13370" s="3" t="s">
        <v>37918</v>
      </c>
      <c r="K13370" s="3" t="s">
        <v>644</v>
      </c>
      <c r="L13370" s="3" t="str">
        <f>IFERROR(__xludf.DUMMYFUNCTION("GOOGLETRANSLATE(F13370,""id"",""en"")"),"Repeating Argentina was assisted by the referee")</f>
        <v>Repeating Argentina was assisted by the referee</v>
      </c>
    </row>
    <row r="13371" ht="15.75" customHeight="1">
      <c r="A13371" s="1">
        <v>14779.0</v>
      </c>
      <c r="B13371" s="3" t="s">
        <v>37919</v>
      </c>
      <c r="C13371" s="3">
        <v>0.0</v>
      </c>
      <c r="D13371" s="3">
        <v>0.0</v>
      </c>
      <c r="E13371" s="3">
        <v>0.0</v>
      </c>
      <c r="F13371" s="3" t="s">
        <v>37920</v>
      </c>
      <c r="G13371" s="3">
        <v>0.0</v>
      </c>
      <c r="H13371" s="3">
        <v>0.0</v>
      </c>
      <c r="I13371" s="3" t="s">
        <v>13</v>
      </c>
      <c r="J13371" s="3" t="s">
        <v>37921</v>
      </c>
      <c r="K13371" s="3" t="s">
        <v>31</v>
      </c>
      <c r="L13371" s="3" t="str">
        <f>IFERROR(__xludf.DUMMYFUNCTION("GOOGLETRANSLATE(F13371,""id"",""en"")"),"Happy Argentina Champion assisted by the referee")</f>
        <v>Happy Argentina Champion assisted by the referee</v>
      </c>
    </row>
    <row r="13372" ht="15.75" customHeight="1">
      <c r="A13372" s="1">
        <v>14780.0</v>
      </c>
      <c r="B13372" s="3" t="s">
        <v>37922</v>
      </c>
      <c r="C13372" s="3">
        <v>0.0</v>
      </c>
      <c r="D13372" s="3">
        <v>0.0</v>
      </c>
      <c r="E13372" s="3">
        <v>1.0</v>
      </c>
      <c r="F13372" s="3" t="s">
        <v>37923</v>
      </c>
      <c r="G13372" s="3">
        <v>0.0</v>
      </c>
      <c r="H13372" s="3">
        <v>0.0</v>
      </c>
      <c r="I13372" s="3" t="s">
        <v>13</v>
      </c>
      <c r="J13372" s="3" t="s">
        <v>37924</v>
      </c>
      <c r="K13372" s="3" t="s">
        <v>82</v>
      </c>
      <c r="L13372" s="3" t="str">
        <f>IFERROR(__xludf.DUMMYFUNCTION("GOOGLETRANSLATE(F13372,""id"",""en"")"),"dirty times the game Argentina is the referee.")</f>
        <v>dirty times the game Argentina is the referee.</v>
      </c>
    </row>
    <row r="13373" ht="15.75" customHeight="1">
      <c r="A13373" s="1">
        <v>14781.0</v>
      </c>
      <c r="B13373" s="3" t="s">
        <v>37925</v>
      </c>
      <c r="C13373" s="3">
        <v>1.0</v>
      </c>
      <c r="D13373" s="3">
        <v>0.0</v>
      </c>
      <c r="E13373" s="3">
        <v>0.0</v>
      </c>
      <c r="F13373" s="3" t="s">
        <v>37926</v>
      </c>
      <c r="G13373" s="3">
        <v>0.0</v>
      </c>
      <c r="H13373" s="3">
        <v>0.0</v>
      </c>
      <c r="I13373" s="3" t="s">
        <v>13</v>
      </c>
      <c r="J13373" s="3" t="s">
        <v>37927</v>
      </c>
      <c r="K13373" s="3" t="s">
        <v>477</v>
      </c>
      <c r="L13373" s="3" t="str">
        <f>IFERROR(__xludf.DUMMYFUNCTION("GOOGLETRANSLATE(F13373,""id"",""en"")"),"France is not afraid of Argentina but to the referee because he has paid Argentina")</f>
        <v>France is not afraid of Argentina but to the referee because he has paid Argentina</v>
      </c>
    </row>
    <row r="13374" ht="15.75" customHeight="1">
      <c r="A13374" s="1">
        <v>14782.0</v>
      </c>
      <c r="B13374" s="3" t="s">
        <v>37928</v>
      </c>
      <c r="C13374" s="3">
        <v>0.0</v>
      </c>
      <c r="D13374" s="3">
        <v>0.0</v>
      </c>
      <c r="E13374" s="3">
        <v>0.0</v>
      </c>
      <c r="F13374" s="3" t="s">
        <v>37929</v>
      </c>
      <c r="G13374" s="3">
        <v>0.0</v>
      </c>
      <c r="H13374" s="3">
        <v>0.0</v>
      </c>
      <c r="I13374" s="3" t="s">
        <v>13</v>
      </c>
      <c r="J13374" s="3" t="s">
        <v>37930</v>
      </c>
      <c r="K13374" s="3" t="s">
        <v>1293</v>
      </c>
      <c r="L13374" s="3" t="str">
        <f>IFERROR(__xludf.DUMMYFUNCTION("GOOGLETRANSLATE(F13374,""id"",""en"")"),"Argentina is always embarrassed to get a referee Penlty TNP Check Var first, the word Modric just gives AGAIN AGAIN")</f>
        <v>Argentina is always embarrassed to get a referee Penlty TNP Check Var first, the word Modric just gives AGAIN AGAIN</v>
      </c>
    </row>
    <row r="13375" ht="15.75" customHeight="1">
      <c r="A13375" s="1">
        <v>14783.0</v>
      </c>
      <c r="B13375" s="3" t="s">
        <v>37931</v>
      </c>
      <c r="C13375" s="3">
        <v>0.0</v>
      </c>
      <c r="D13375" s="3">
        <v>0.0</v>
      </c>
      <c r="E13375" s="3">
        <v>0.0</v>
      </c>
      <c r="F13375" s="3" t="s">
        <v>37932</v>
      </c>
      <c r="G13375" s="3">
        <v>0.4</v>
      </c>
      <c r="H13375" s="3">
        <v>-0.4</v>
      </c>
      <c r="I13375" s="3" t="s">
        <v>179</v>
      </c>
      <c r="J13375" s="3" t="s">
        <v>37933</v>
      </c>
      <c r="K13375" s="3" t="s">
        <v>41</v>
      </c>
      <c r="L13375" s="3" t="str">
        <f>IFERROR(__xludf.DUMMYFUNCTION("GOOGLETRANSLATE(F13375,""id"",""en"")"),"Argentina Control The referee game is rather heavy for this France")</f>
        <v>Argentina Control The referee game is rather heavy for this France</v>
      </c>
    </row>
    <row r="13376" ht="15.75" customHeight="1">
      <c r="A13376" s="1">
        <v>14784.0</v>
      </c>
      <c r="B13376" s="3" t="s">
        <v>37934</v>
      </c>
      <c r="C13376" s="3">
        <v>0.0</v>
      </c>
      <c r="D13376" s="3">
        <v>0.0</v>
      </c>
      <c r="E13376" s="3">
        <v>0.0</v>
      </c>
      <c r="F13376" s="3" t="s">
        <v>37935</v>
      </c>
      <c r="G13376" s="3">
        <v>1.0</v>
      </c>
      <c r="H13376" s="3">
        <v>-0.5</v>
      </c>
      <c r="I13376" s="3" t="s">
        <v>179</v>
      </c>
      <c r="J13376" s="3" t="s">
        <v>37936</v>
      </c>
      <c r="K13376" s="3" t="s">
        <v>41</v>
      </c>
      <c r="L13376" s="3" t="str">
        <f>IFERROR(__xludf.DUMMYFUNCTION("GOOGLETRANSLATE(F13376,""id"",""en"")"),"really boring this final added the referee's decision which is a bit inclined to Argentina")</f>
        <v>really boring this final added the referee's decision which is a bit inclined to Argentina</v>
      </c>
    </row>
    <row r="13377" ht="15.75" customHeight="1">
      <c r="A13377" s="1">
        <v>14785.0</v>
      </c>
      <c r="B13377" s="3" t="s">
        <v>37937</v>
      </c>
      <c r="C13377" s="3">
        <v>1.0</v>
      </c>
      <c r="D13377" s="3">
        <v>0.0</v>
      </c>
      <c r="E13377" s="3">
        <v>0.0</v>
      </c>
      <c r="F13377" s="3" t="s">
        <v>37938</v>
      </c>
      <c r="G13377" s="3">
        <v>1.0</v>
      </c>
      <c r="H13377" s="3">
        <v>0.0</v>
      </c>
      <c r="I13377" s="3" t="s">
        <v>13</v>
      </c>
      <c r="J13377" s="3" t="s">
        <v>37939</v>
      </c>
      <c r="K13377" s="3" t="s">
        <v>1970</v>
      </c>
      <c r="L13377" s="3" t="str">
        <f>IFERROR(__xludf.DUMMYFUNCTION("GOOGLETRANSLATE(F13377,""id"",""en"")"),"The final referee must think more about the decision of the var not check from the previous match already looks like how many times France got this Pilduun penalty how many times")</f>
        <v>The final referee must think more about the decision of the var not check from the previous match already looks like how many times France got this Pilduun penalty how many times</v>
      </c>
    </row>
    <row r="13378" ht="15.75" customHeight="1">
      <c r="A13378" s="1">
        <v>14786.0</v>
      </c>
      <c r="B13378" s="3" t="s">
        <v>37940</v>
      </c>
      <c r="C13378" s="3">
        <v>0.0</v>
      </c>
      <c r="D13378" s="3">
        <v>0.0</v>
      </c>
      <c r="E13378" s="3">
        <v>1.0</v>
      </c>
      <c r="F13378" s="3" t="s">
        <v>37941</v>
      </c>
      <c r="G13378" s="3">
        <v>0.4222222222222222</v>
      </c>
      <c r="H13378" s="3">
        <v>0.07777777777777777</v>
      </c>
      <c r="I13378" s="3" t="s">
        <v>48</v>
      </c>
      <c r="J13378" s="3" t="s">
        <v>37942</v>
      </c>
      <c r="K13378" s="3" t="s">
        <v>149</v>
      </c>
      <c r="L13378" s="3" t="str">
        <f>IFERROR(__xludf.DUMMYFUNCTION("GOOGLETRANSLATE(F13378,""id"",""en"")"),"I have given me for Messi every time I play, how come you can get a minimum touches directly priorly, the Argentina referee is playing the tournament Adidas and")</f>
        <v>I have given me for Messi every time I play, how come you can get a minimum touches directly priorly, the Argentina referee is playing the tournament Adidas and</v>
      </c>
    </row>
    <row r="13379" ht="15.75" customHeight="1">
      <c r="A13379" s="1">
        <v>14787.0</v>
      </c>
      <c r="B13379" s="3" t="s">
        <v>37943</v>
      </c>
      <c r="C13379" s="3">
        <v>0.0</v>
      </c>
      <c r="D13379" s="3">
        <v>0.0</v>
      </c>
      <c r="E13379" s="3">
        <v>0.0</v>
      </c>
      <c r="F13379" s="3" t="s">
        <v>37944</v>
      </c>
      <c r="G13379" s="3">
        <v>0.0</v>
      </c>
      <c r="H13379" s="3">
        <v>0.0</v>
      </c>
      <c r="I13379" s="3" t="s">
        <v>13</v>
      </c>
      <c r="J13379" s="3" t="s">
        <v>37945</v>
      </c>
      <c r="K13379" s="3" t="s">
        <v>603</v>
      </c>
      <c r="L13379" s="3" t="str">
        <f>IFERROR(__xludf.DUMMYFUNCTION("GOOGLETRANSLATE(F13379,""id"",""en"")"),"Argentina won clearly assisted by Argentina's controversial penalty from the group stage assisted by the referee's penalty not to see Var remain optimistic that holding France")</f>
        <v>Argentina won clearly assisted by Argentina's controversial penalty from the group stage assisted by the referee's penalty not to see Var remain optimistic that holding France</v>
      </c>
    </row>
    <row r="13380" ht="15.75" customHeight="1">
      <c r="A13380" s="1">
        <v>14788.0</v>
      </c>
      <c r="B13380" s="3" t="s">
        <v>37946</v>
      </c>
      <c r="C13380" s="3">
        <v>0.0</v>
      </c>
      <c r="D13380" s="3">
        <v>0.0</v>
      </c>
      <c r="E13380" s="3">
        <v>0.0</v>
      </c>
      <c r="F13380" s="3" t="s">
        <v>37947</v>
      </c>
      <c r="G13380" s="3">
        <v>1.0</v>
      </c>
      <c r="H13380" s="3">
        <v>0.0</v>
      </c>
      <c r="I13380" s="3" t="s">
        <v>13</v>
      </c>
      <c r="J13380" s="3" t="s">
        <v>37948</v>
      </c>
      <c r="K13380" s="3" t="s">
        <v>41</v>
      </c>
      <c r="L13380" s="3" t="str">
        <f>IFERROR(__xludf.DUMMYFUNCTION("GOOGLETRANSLATE(F13380,""id"",""en"")"),"The referee should be final like this, the referee must be firm and fair but if it is anxious about Argentina GPP")</f>
        <v>The referee should be final like this, the referee must be firm and fair but if it is anxious about Argentina GPP</v>
      </c>
    </row>
    <row r="13381" ht="15.75" customHeight="1">
      <c r="A13381" s="1">
        <v>14789.0</v>
      </c>
      <c r="B13381" s="3" t="s">
        <v>37949</v>
      </c>
      <c r="C13381" s="3">
        <v>0.0</v>
      </c>
      <c r="D13381" s="3">
        <v>0.0</v>
      </c>
      <c r="E13381" s="3">
        <v>0.0</v>
      </c>
      <c r="F13381" s="3" t="s">
        <v>37950</v>
      </c>
      <c r="G13381" s="3">
        <v>0.0</v>
      </c>
      <c r="H13381" s="3">
        <v>0.0</v>
      </c>
      <c r="I13381" s="3" t="s">
        <v>13</v>
      </c>
      <c r="J13381" s="3" t="s">
        <v>37951</v>
      </c>
      <c r="K13381" s="3" t="s">
        <v>127</v>
      </c>
      <c r="L13381" s="3" t="str">
        <f>IFERROR(__xludf.DUMMYFUNCTION("GOOGLETRANSLATE(F13381,""id"",""en"")"),"Anjirrr referees using VAR again as long as there is an Argentine Pemaen falling directly by the Geus Panon Ieu Mah penalty symboltt")</f>
        <v>Anjirrr referees using VAR again as long as there is an Argentine Pemaen falling directly by the Geus Panon Ieu Mah penalty symboltt</v>
      </c>
    </row>
    <row r="13382" ht="15.75" customHeight="1">
      <c r="A13382" s="1">
        <v>14790.0</v>
      </c>
      <c r="B13382" s="3" t="s">
        <v>37952</v>
      </c>
      <c r="C13382" s="3">
        <v>0.0</v>
      </c>
      <c r="D13382" s="3">
        <v>0.0</v>
      </c>
      <c r="E13382" s="3">
        <v>0.0</v>
      </c>
      <c r="F13382" s="3" t="s">
        <v>37953</v>
      </c>
      <c r="G13382" s="3">
        <v>0.0</v>
      </c>
      <c r="H13382" s="3">
        <v>0.0</v>
      </c>
      <c r="I13382" s="3" t="s">
        <v>13</v>
      </c>
      <c r="J13382" s="3" t="s">
        <v>37954</v>
      </c>
      <c r="K13382" s="3" t="s">
        <v>54</v>
      </c>
      <c r="L13382" s="3" t="str">
        <f>IFERROR(__xludf.DUMMYFUNCTION("GOOGLETRANSLATE(F13382,""id"",""en"")"),"Already Fix Argentina Referees are very sided")</f>
        <v>Already Fix Argentina Referees are very sided</v>
      </c>
    </row>
    <row r="13383" ht="15.75" customHeight="1">
      <c r="A13383" s="1">
        <v>14791.0</v>
      </c>
      <c r="B13383" s="3" t="s">
        <v>37955</v>
      </c>
      <c r="C13383" s="3">
        <v>0.0</v>
      </c>
      <c r="D13383" s="3">
        <v>0.0</v>
      </c>
      <c r="E13383" s="3">
        <v>0.0</v>
      </c>
      <c r="F13383" s="3" t="s">
        <v>37956</v>
      </c>
      <c r="G13383" s="3">
        <v>0.0</v>
      </c>
      <c r="H13383" s="3">
        <v>0.0</v>
      </c>
      <c r="I13383" s="3" t="s">
        <v>13</v>
      </c>
      <c r="J13383" s="3" t="s">
        <v>37957</v>
      </c>
      <c r="K13383" s="3" t="s">
        <v>15</v>
      </c>
      <c r="L13383" s="3" t="str">
        <f>IFERROR(__xludf.DUMMYFUNCTION("GOOGLETRANSLATE(F13383,""id"",""en"")"),"During the Qatar World Cup Argentina had got a penalty prize from the referee")</f>
        <v>During the Qatar World Cup Argentina had got a penalty prize from the referee</v>
      </c>
    </row>
    <row r="13384" ht="15.75" customHeight="1">
      <c r="A13384" s="1">
        <v>14792.0</v>
      </c>
      <c r="B13384" s="3" t="s">
        <v>37958</v>
      </c>
      <c r="C13384" s="3">
        <v>0.0</v>
      </c>
      <c r="D13384" s="3">
        <v>0.0</v>
      </c>
      <c r="E13384" s="3">
        <v>0.0</v>
      </c>
      <c r="F13384" s="3" t="s">
        <v>37959</v>
      </c>
      <c r="G13384" s="3">
        <v>0.0</v>
      </c>
      <c r="H13384" s="3">
        <v>0.0</v>
      </c>
      <c r="I13384" s="3" t="s">
        <v>13</v>
      </c>
      <c r="J13384" s="3" t="s">
        <v>37960</v>
      </c>
      <c r="K13384" s="3" t="s">
        <v>2117</v>
      </c>
      <c r="L13384" s="3" t="str">
        <f>IFERROR(__xludf.DUMMYFUNCTION("GOOGLETRANSLATE(F13384,""id"",""en"")"),"France Argentina Referee")</f>
        <v>France Argentina Referee</v>
      </c>
    </row>
    <row r="13385" ht="15.75" customHeight="1">
      <c r="A13385" s="1">
        <v>14793.0</v>
      </c>
      <c r="B13385" s="3" t="s">
        <v>37961</v>
      </c>
      <c r="C13385" s="3">
        <v>0.0</v>
      </c>
      <c r="D13385" s="3">
        <v>0.0</v>
      </c>
      <c r="E13385" s="3">
        <v>2.0</v>
      </c>
      <c r="F13385" s="3" t="s">
        <v>37962</v>
      </c>
      <c r="G13385" s="3">
        <v>0.0</v>
      </c>
      <c r="H13385" s="3">
        <v>0.0</v>
      </c>
      <c r="I13385" s="3" t="s">
        <v>13</v>
      </c>
      <c r="J13385" s="3" t="s">
        <v>37963</v>
      </c>
      <c r="K13385" s="3" t="s">
        <v>574</v>
      </c>
      <c r="L13385" s="3" t="str">
        <f>IFERROR(__xludf.DUMMYFUNCTION("GOOGLETRANSLATE(F13385,""id"",""en"")"),"Watching Argentina France lahhh every time you see the referee of this match, how come I immediately remember heheheh btw komeng coffee from you the other day is sold out tonight, heheheh")</f>
        <v>Watching Argentina France lahhh every time you see the referee of this match, how come I immediately remember heheheh btw komeng coffee from you the other day is sold out tonight, heheheh</v>
      </c>
    </row>
    <row r="13386" ht="15.75" customHeight="1">
      <c r="A13386" s="1">
        <v>14794.0</v>
      </c>
      <c r="B13386" s="3" t="s">
        <v>37964</v>
      </c>
      <c r="C13386" s="3">
        <v>0.0</v>
      </c>
      <c r="D13386" s="3">
        <v>0.0</v>
      </c>
      <c r="E13386" s="3">
        <v>0.0</v>
      </c>
      <c r="F13386" s="3" t="s">
        <v>37965</v>
      </c>
      <c r="G13386" s="3">
        <v>0.0</v>
      </c>
      <c r="H13386" s="3">
        <v>0.0</v>
      </c>
      <c r="I13386" s="3" t="s">
        <v>13</v>
      </c>
      <c r="J13386" s="3" t="s">
        <v>37966</v>
      </c>
      <c r="K13386" s="3" t="s">
        <v>31</v>
      </c>
      <c r="L13386" s="3" t="str">
        <f>IFERROR(__xludf.DUMMYFUNCTION("GOOGLETRANSLATE(F13386,""id"",""en"")"),"is really the direction of the Argentina referee wind")</f>
        <v>is really the direction of the Argentina referee wind</v>
      </c>
    </row>
    <row r="13387" ht="15.75" customHeight="1">
      <c r="A13387" s="1">
        <v>14795.0</v>
      </c>
      <c r="B13387" s="3" t="s">
        <v>37967</v>
      </c>
      <c r="C13387" s="3">
        <v>0.0</v>
      </c>
      <c r="D13387" s="3">
        <v>0.0</v>
      </c>
      <c r="E13387" s="3">
        <v>0.0</v>
      </c>
      <c r="F13387" s="3" t="s">
        <v>37968</v>
      </c>
      <c r="G13387" s="3">
        <v>0.0</v>
      </c>
      <c r="H13387" s="3">
        <v>0.0</v>
      </c>
      <c r="I13387" s="3" t="s">
        <v>13</v>
      </c>
      <c r="J13387" s="3" t="s">
        <v>37969</v>
      </c>
      <c r="K13387" s="3" t="s">
        <v>2117</v>
      </c>
      <c r="L13387" s="3" t="str">
        <f>IFERROR(__xludf.DUMMYFUNCTION("GOOGLETRANSLATE(F13387,""id"",""en"")"),"Argentina was sworn in by the referee")</f>
        <v>Argentina was sworn in by the referee</v>
      </c>
    </row>
    <row r="13388" ht="15.75" customHeight="1">
      <c r="A13388" s="1">
        <v>14796.0</v>
      </c>
      <c r="B13388" s="3" t="s">
        <v>37970</v>
      </c>
      <c r="C13388" s="3">
        <v>0.0</v>
      </c>
      <c r="D13388" s="3">
        <v>0.0</v>
      </c>
      <c r="E13388" s="3">
        <v>0.0</v>
      </c>
      <c r="F13388" s="3" t="s">
        <v>37971</v>
      </c>
      <c r="G13388" s="3">
        <v>0.9</v>
      </c>
      <c r="H13388" s="3">
        <v>0.7</v>
      </c>
      <c r="I13388" s="3" t="s">
        <v>48</v>
      </c>
      <c r="J13388" s="3" t="s">
        <v>37972</v>
      </c>
      <c r="K13388" s="3" t="s">
        <v>499</v>
      </c>
      <c r="L13388" s="3" t="str">
        <f>IFERROR(__xludf.DUMMYFUNCTION("GOOGLETRANSLATE(F13388,""id"",""en"")"),"I want Argentina to win because PGN sees Messi lifting the trophy but why is the referee like this, the piece is not very fair, Mary looks like a diving, French.")</f>
        <v>I want Argentina to win because PGN sees Messi lifting the trophy but why is the referee like this, the piece is not very fair, Mary looks like a diving, French.</v>
      </c>
    </row>
    <row r="13389" ht="15.75" customHeight="1">
      <c r="A13389" s="1">
        <v>14797.0</v>
      </c>
      <c r="B13389" s="3" t="s">
        <v>37973</v>
      </c>
      <c r="C13389" s="3">
        <v>0.0</v>
      </c>
      <c r="D13389" s="3">
        <v>0.0</v>
      </c>
      <c r="E13389" s="3">
        <v>0.0</v>
      </c>
      <c r="F13389" s="3" t="s">
        <v>37974</v>
      </c>
      <c r="G13389" s="3">
        <v>0.0</v>
      </c>
      <c r="H13389" s="3">
        <v>0.0</v>
      </c>
      <c r="I13389" s="3" t="s">
        <v>13</v>
      </c>
      <c r="J13389" s="3" t="s">
        <v>37975</v>
      </c>
      <c r="K13389" s="3" t="s">
        <v>657</v>
      </c>
      <c r="L13389" s="3" t="str">
        <f>IFERROR(__xludf.DUMMYFUNCTION("GOOGLETRANSLATE(F13389,""id"",""en"")"),"Yes, strange, Argentina's win is the help of a penalty referee when you lose to Arabic Bacotin Messi too")</f>
        <v>Yes, strange, Argentina's win is the help of a penalty referee when you lose to Arabic Bacotin Messi too</v>
      </c>
    </row>
    <row r="13390" ht="15.75" customHeight="1">
      <c r="A13390" s="1">
        <v>14798.0</v>
      </c>
      <c r="B13390" s="3" t="s">
        <v>37976</v>
      </c>
      <c r="C13390" s="3">
        <v>0.0</v>
      </c>
      <c r="D13390" s="3">
        <v>0.0</v>
      </c>
      <c r="E13390" s="3">
        <v>0.0</v>
      </c>
      <c r="F13390" s="3" t="s">
        <v>37977</v>
      </c>
      <c r="G13390" s="3">
        <v>0.0</v>
      </c>
      <c r="H13390" s="3">
        <v>0.0</v>
      </c>
      <c r="I13390" s="3" t="s">
        <v>13</v>
      </c>
      <c r="J13390" s="3" t="s">
        <v>37978</v>
      </c>
      <c r="K13390" s="3" t="s">
        <v>584</v>
      </c>
      <c r="L13390" s="3" t="str">
        <f>IFERROR(__xludf.DUMMYFUNCTION("GOOGLETRANSLATE(F13390,""id"",""en"")"),"Even though I was just France, but after seeing how easy Argentina, I always got my penalty to become heavy in France, hopefully they can reply with a more honorable goal than just a goal from the referee's compassion")</f>
        <v>Even though I was just France, but after seeing how easy Argentina, I always got my penalty to become heavy in France, hopefully they can reply with a more honorable goal than just a goal from the referee's compassion</v>
      </c>
    </row>
    <row r="13391" ht="15.75" customHeight="1">
      <c r="A13391" s="1">
        <v>14799.0</v>
      </c>
      <c r="B13391" s="3" t="s">
        <v>37979</v>
      </c>
      <c r="C13391" s="3">
        <v>0.0</v>
      </c>
      <c r="D13391" s="3">
        <v>0.0</v>
      </c>
      <c r="E13391" s="3">
        <v>0.0</v>
      </c>
      <c r="F13391" s="3" t="s">
        <v>37980</v>
      </c>
      <c r="G13391" s="3">
        <v>0.0</v>
      </c>
      <c r="H13391" s="3">
        <v>0.0</v>
      </c>
      <c r="I13391" s="3" t="s">
        <v>13</v>
      </c>
      <c r="J13391" s="3" t="s">
        <v>37981</v>
      </c>
      <c r="K13391" s="3" t="s">
        <v>1293</v>
      </c>
      <c r="L13391" s="3" t="str">
        <f>IFERROR(__xludf.DUMMYFUNCTION("GOOGLETRANSLATE(F13391,""id"",""en"")"),"After the defeat of Argentina to Saudi Arabia, the referee FIFA immediately Gercep the Argentine Penalty Love was very eager to win the World Cup Messi")</f>
        <v>After the defeat of Argentina to Saudi Arabia, the referee FIFA immediately Gercep the Argentine Penalty Love was very eager to win the World Cup Messi</v>
      </c>
    </row>
    <row r="13392" ht="15.75" customHeight="1">
      <c r="A13392" s="1">
        <v>14800.0</v>
      </c>
      <c r="B13392" s="3" t="s">
        <v>37982</v>
      </c>
      <c r="C13392" s="3">
        <v>0.0</v>
      </c>
      <c r="D13392" s="3">
        <v>0.0</v>
      </c>
      <c r="E13392" s="3">
        <v>0.0</v>
      </c>
      <c r="F13392" s="3" t="s">
        <v>37983</v>
      </c>
      <c r="G13392" s="3">
        <v>0.0</v>
      </c>
      <c r="H13392" s="3">
        <v>0.0</v>
      </c>
      <c r="I13392" s="3" t="s">
        <v>13</v>
      </c>
      <c r="J13392" s="3" t="s">
        <v>37984</v>
      </c>
      <c r="K13392" s="3" t="s">
        <v>15</v>
      </c>
      <c r="L13392" s="3" t="str">
        <f>IFERROR(__xludf.DUMMYFUNCTION("GOOGLETRANSLATE(F13392,""id"",""en"")"),"Let Messi be good retirement this France Argentina Referee Var FIFA")</f>
        <v>Let Messi be good retirement this France Argentina Referee Var FIFA</v>
      </c>
    </row>
    <row r="13393" ht="15.75" customHeight="1">
      <c r="A13393" s="1">
        <v>14801.0</v>
      </c>
      <c r="B13393" s="3" t="s">
        <v>37985</v>
      </c>
      <c r="C13393" s="3">
        <v>0.0</v>
      </c>
      <c r="D13393" s="3">
        <v>0.0</v>
      </c>
      <c r="E13393" s="3">
        <v>0.0</v>
      </c>
      <c r="F13393" s="3" t="s">
        <v>37985</v>
      </c>
      <c r="G13393" s="3">
        <v>0.0</v>
      </c>
      <c r="H13393" s="3">
        <v>0.0</v>
      </c>
      <c r="I13393" s="3" t="s">
        <v>13</v>
      </c>
      <c r="J13393" s="3" t="s">
        <v>37986</v>
      </c>
      <c r="K13393" s="3" t="s">
        <v>31</v>
      </c>
      <c r="L13393" s="3" t="str">
        <f>IFERROR(__xludf.DUMMYFUNCTION("GOOGLETRANSLATE(F13393,""id"",""en"")"),"Referee Protected Trs Argentina")</f>
        <v>Referee Protected Trs Argentina</v>
      </c>
    </row>
    <row r="13394" ht="15.75" customHeight="1">
      <c r="A13394" s="1">
        <v>14802.0</v>
      </c>
      <c r="B13394" s="3" t="s">
        <v>37987</v>
      </c>
      <c r="C13394" s="3">
        <v>0.0</v>
      </c>
      <c r="D13394" s="3">
        <v>0.0</v>
      </c>
      <c r="E13394" s="3">
        <v>0.0</v>
      </c>
      <c r="F13394" s="3" t="s">
        <v>37988</v>
      </c>
      <c r="G13394" s="3">
        <v>0.0</v>
      </c>
      <c r="H13394" s="3">
        <v>0.0</v>
      </c>
      <c r="I13394" s="3" t="s">
        <v>13</v>
      </c>
      <c r="J13394" s="3" t="s">
        <v>37989</v>
      </c>
      <c r="K13394" s="3" t="s">
        <v>2117</v>
      </c>
      <c r="L13394" s="3" t="str">
        <f>IFERROR(__xludf.DUMMYFUNCTION("GOOGLETRANSLATE(F13394,""id"",""en"")"),"Argentina referees")</f>
        <v>Argentina referees</v>
      </c>
    </row>
    <row r="13395" ht="15.75" customHeight="1">
      <c r="A13395" s="1">
        <v>14803.0</v>
      </c>
      <c r="B13395" s="3" t="s">
        <v>37990</v>
      </c>
      <c r="C13395" s="3">
        <v>0.0</v>
      </c>
      <c r="D13395" s="3">
        <v>0.0</v>
      </c>
      <c r="E13395" s="3">
        <v>1.0</v>
      </c>
      <c r="F13395" s="3" t="s">
        <v>37991</v>
      </c>
      <c r="G13395" s="3">
        <v>0.0</v>
      </c>
      <c r="H13395" s="3">
        <v>0.0</v>
      </c>
      <c r="I13395" s="3" t="s">
        <v>13</v>
      </c>
      <c r="J13395" s="3" t="s">
        <v>37992</v>
      </c>
      <c r="K13395" s="3" t="s">
        <v>123</v>
      </c>
      <c r="L13395" s="3" t="str">
        <f>IFERROR(__xludf.DUMMYFUNCTION("GOOGLETRANSLATE(F13395,""id"",""en"")"),"Original Referee One Heavy One Heavy Violation Given Card Card The word universe supports Messi and Argentina")</f>
        <v>Original Referee One Heavy One Heavy Violation Given Card Card The word universe supports Messi and Argentina</v>
      </c>
    </row>
    <row r="13396" ht="15.75" customHeight="1">
      <c r="A13396" s="1">
        <v>14804.0</v>
      </c>
      <c r="B13396" s="3" t="s">
        <v>37993</v>
      </c>
      <c r="C13396" s="3">
        <v>0.0</v>
      </c>
      <c r="D13396" s="3">
        <v>1.0</v>
      </c>
      <c r="E13396" s="3">
        <v>0.0</v>
      </c>
      <c r="F13396" s="3" t="s">
        <v>37994</v>
      </c>
      <c r="G13396" s="3">
        <v>0.2</v>
      </c>
      <c r="H13396" s="3">
        <v>-0.05</v>
      </c>
      <c r="I13396" s="3" t="s">
        <v>179</v>
      </c>
      <c r="J13396" s="3" t="s">
        <v>37995</v>
      </c>
      <c r="K13396" s="3" t="s">
        <v>184</v>
      </c>
      <c r="L13396" s="3" t="str">
        <f>IFERROR(__xludf.DUMMYFUNCTION("GOOGLETRANSLATE(F13396,""id"",""en"")"),"The Argentina stupid referee often can advantage from the referee through a minor violation of the penalty box, the worse is that the referee did not take the initiative to check the var")</f>
        <v>The Argentina stupid referee often can advantage from the referee through a minor violation of the penalty box, the worse is that the referee did not take the initiative to check the var</v>
      </c>
    </row>
    <row r="13397" ht="15.75" customHeight="1">
      <c r="A13397" s="1">
        <v>14805.0</v>
      </c>
      <c r="B13397" s="3" t="s">
        <v>37996</v>
      </c>
      <c r="C13397" s="3">
        <v>0.0</v>
      </c>
      <c r="D13397" s="3">
        <v>0.0</v>
      </c>
      <c r="E13397" s="3">
        <v>0.0</v>
      </c>
      <c r="F13397" s="3" t="s">
        <v>37997</v>
      </c>
      <c r="G13397" s="3">
        <v>0.0</v>
      </c>
      <c r="H13397" s="3">
        <v>0.0</v>
      </c>
      <c r="I13397" s="3" t="s">
        <v>13</v>
      </c>
      <c r="J13397" s="3" t="s">
        <v>37998</v>
      </c>
      <c r="K13397" s="3" t="s">
        <v>41</v>
      </c>
      <c r="L13397" s="3" t="str">
        <f>IFERROR(__xludf.DUMMYFUNCTION("GOOGLETRANSLATE(F13397,""id"",""en"")"),"except mexico with Australia only wkwk referees fetish giving Argentine penalties")</f>
        <v>except mexico with Australia only wkwk referees fetish giving Argentine penalties</v>
      </c>
    </row>
    <row r="13398" ht="15.75" customHeight="1">
      <c r="A13398" s="1">
        <v>14806.0</v>
      </c>
      <c r="B13398" s="3" t="s">
        <v>37999</v>
      </c>
      <c r="C13398" s="3">
        <v>0.0</v>
      </c>
      <c r="D13398" s="3">
        <v>0.0</v>
      </c>
      <c r="E13398" s="3">
        <v>0.0</v>
      </c>
      <c r="F13398" s="3" t="s">
        <v>38000</v>
      </c>
      <c r="G13398" s="3">
        <v>0.0</v>
      </c>
      <c r="H13398" s="3">
        <v>0.0</v>
      </c>
      <c r="I13398" s="3" t="s">
        <v>13</v>
      </c>
      <c r="J13398" s="3" t="s">
        <v>38001</v>
      </c>
      <c r="K13398" s="3" t="s">
        <v>41</v>
      </c>
      <c r="L13398" s="3" t="str">
        <f>IFERROR(__xludf.DUMMYFUNCTION("GOOGLETRANSLATE(F13398,""id"",""en"")"),"Argentina, if not assisted by the original referee and PSIS Semarang, lose")</f>
        <v>Argentina, if not assisted by the original referee and PSIS Semarang, lose</v>
      </c>
    </row>
    <row r="13399" ht="15.75" customHeight="1">
      <c r="A13399" s="1">
        <v>14807.0</v>
      </c>
      <c r="B13399" s="3" t="s">
        <v>38002</v>
      </c>
      <c r="C13399" s="3">
        <v>0.0</v>
      </c>
      <c r="D13399" s="3">
        <v>0.0</v>
      </c>
      <c r="E13399" s="3">
        <v>0.0</v>
      </c>
      <c r="F13399" s="3" t="s">
        <v>38003</v>
      </c>
      <c r="G13399" s="3">
        <v>0.0</v>
      </c>
      <c r="H13399" s="3">
        <v>0.0</v>
      </c>
      <c r="I13399" s="3" t="s">
        <v>13</v>
      </c>
      <c r="J13399" s="3" t="s">
        <v>38004</v>
      </c>
      <c r="K13399" s="3" t="s">
        <v>127</v>
      </c>
      <c r="L13399" s="3" t="str">
        <f>IFERROR(__xludf.DUMMYFUNCTION("GOOGLETRANSLATE(F13399,""id"",""en"")"),"Penalty for Argentina The goal of Messi French players can actually ask the referee to check the var because of the minimal touch of touch to Dimaria who then fell")</f>
        <v>Penalty for Argentina The goal of Messi French players can actually ask the referee to check the var because of the minimal touch of touch to Dimaria who then fell</v>
      </c>
    </row>
    <row r="13400" ht="15.75" customHeight="1">
      <c r="A13400" s="1">
        <v>14808.0</v>
      </c>
      <c r="B13400" s="3" t="s">
        <v>38005</v>
      </c>
      <c r="C13400" s="3">
        <v>0.0</v>
      </c>
      <c r="D13400" s="3">
        <v>0.0</v>
      </c>
      <c r="E13400" s="3">
        <v>0.0</v>
      </c>
      <c r="F13400" s="3" t="s">
        <v>38005</v>
      </c>
      <c r="G13400" s="3">
        <v>0.0</v>
      </c>
      <c r="H13400" s="3">
        <v>0.0</v>
      </c>
      <c r="I13400" s="3" t="s">
        <v>13</v>
      </c>
      <c r="J13400" s="3" t="s">
        <v>38006</v>
      </c>
      <c r="K13400" s="3" t="s">
        <v>15</v>
      </c>
      <c r="L13400" s="3" t="str">
        <f>IFERROR(__xludf.DUMMYFUNCTION("GOOGLETRANSLATE(F13400,""id"",""en"")"),"The referee is paid by Argentina Wuuuuuuuu, a media child")</f>
        <v>The referee is paid by Argentina Wuuuuuuuu, a media child</v>
      </c>
    </row>
    <row r="13401" ht="15.75" customHeight="1">
      <c r="A13401" s="1">
        <v>14809.0</v>
      </c>
      <c r="B13401" s="3" t="s">
        <v>38007</v>
      </c>
      <c r="C13401" s="3">
        <v>2.0</v>
      </c>
      <c r="D13401" s="3">
        <v>2.0</v>
      </c>
      <c r="E13401" s="3">
        <v>17.0</v>
      </c>
      <c r="F13401" s="3" t="s">
        <v>38008</v>
      </c>
      <c r="G13401" s="3">
        <v>0.0</v>
      </c>
      <c r="H13401" s="3">
        <v>0.0</v>
      </c>
      <c r="I13401" s="3" t="s">
        <v>13</v>
      </c>
      <c r="J13401" s="3" t="s">
        <v>38009</v>
      </c>
      <c r="K13401" s="3" t="s">
        <v>657</v>
      </c>
      <c r="L13401" s="3" t="str">
        <f>IFERROR(__xludf.DUMMYFUNCTION("GOOGLETRANSLATE(F13401,""id"",""en"")"),"yes diving is indeed Argentina the most good at the referee pellets so that they can get a penalty and ngandalin Lord Messi")</f>
        <v>yes diving is indeed Argentina the most good at the referee pellets so that they can get a penalty and ngandalin Lord Messi</v>
      </c>
    </row>
    <row r="13402" ht="15.75" customHeight="1">
      <c r="A13402" s="1">
        <v>14810.0</v>
      </c>
      <c r="B13402" s="3" t="s">
        <v>38010</v>
      </c>
      <c r="C13402" s="3">
        <v>0.0</v>
      </c>
      <c r="D13402" s="3">
        <v>0.0</v>
      </c>
      <c r="E13402" s="3">
        <v>0.0</v>
      </c>
      <c r="F13402" s="3" t="s">
        <v>38011</v>
      </c>
      <c r="G13402" s="3">
        <v>0.0</v>
      </c>
      <c r="H13402" s="3">
        <v>0.0</v>
      </c>
      <c r="I13402" s="3" t="s">
        <v>13</v>
      </c>
      <c r="J13402" s="3" t="s">
        <v>38012</v>
      </c>
      <c r="K13402" s="3" t="s">
        <v>149</v>
      </c>
      <c r="L13402" s="3" t="str">
        <f>IFERROR(__xludf.DUMMYFUNCTION("GOOGLETRANSLATE(F13402,""id"",""en"")"),"Support Argentina but Dembele's time touched Dimaria, Penalty Anjiiiing, a stupid referee, because Cooook Argentina could go golin without a falling drama")</f>
        <v>Support Argentina but Dembele's time touched Dimaria, Penalty Anjiiiing, a stupid referee, because Cooook Argentina could go golin without a falling drama</v>
      </c>
    </row>
    <row r="13403" ht="15.75" customHeight="1">
      <c r="A13403" s="1">
        <v>14811.0</v>
      </c>
      <c r="B13403" s="3" t="s">
        <v>38013</v>
      </c>
      <c r="C13403" s="3">
        <v>0.0</v>
      </c>
      <c r="D13403" s="3">
        <v>0.0</v>
      </c>
      <c r="E13403" s="3">
        <v>0.0</v>
      </c>
      <c r="F13403" s="3" t="s">
        <v>38014</v>
      </c>
      <c r="G13403" s="3">
        <v>0.0</v>
      </c>
      <c r="H13403" s="3">
        <v>0.0</v>
      </c>
      <c r="I13403" s="3" t="s">
        <v>13</v>
      </c>
      <c r="J13403" s="3" t="s">
        <v>38015</v>
      </c>
      <c r="K13403" s="3" t="s">
        <v>1097</v>
      </c>
      <c r="L13403" s="3" t="str">
        <f>IFERROR(__xludf.DUMMYFUNCTION("GOOGLETRANSLATE(F13403,""id"",""en"")"),"If the word TMN Argentina with French referees with Allah hahahahhaa")</f>
        <v>If the word TMN Argentina with French referees with Allah hahahahhaa</v>
      </c>
    </row>
    <row r="13404" ht="15.75" customHeight="1">
      <c r="A13404" s="1">
        <v>14812.0</v>
      </c>
      <c r="B13404" s="3" t="s">
        <v>38016</v>
      </c>
      <c r="C13404" s="3">
        <v>0.0</v>
      </c>
      <c r="D13404" s="3">
        <v>0.0</v>
      </c>
      <c r="E13404" s="3">
        <v>0.0</v>
      </c>
      <c r="F13404" s="3" t="s">
        <v>38017</v>
      </c>
      <c r="G13404" s="3">
        <v>0.0</v>
      </c>
      <c r="H13404" s="3">
        <v>0.0</v>
      </c>
      <c r="I13404" s="3" t="s">
        <v>13</v>
      </c>
      <c r="J13404" s="3" t="s">
        <v>38018</v>
      </c>
      <c r="K13404" s="3" t="s">
        <v>15</v>
      </c>
      <c r="L13404" s="3" t="str">
        <f>IFERROR(__xludf.DUMMYFUNCTION("GOOGLETRANSLATE(F13404,""id"",""en"")"),"Bruh brp Pinalti referee gave this Argentina World Cup")</f>
        <v>Bruh brp Pinalti referee gave this Argentina World Cup</v>
      </c>
    </row>
    <row r="13405" ht="15.75" customHeight="1">
      <c r="A13405" s="1">
        <v>14813.0</v>
      </c>
      <c r="B13405" s="3" t="s">
        <v>38019</v>
      </c>
      <c r="C13405" s="3">
        <v>1.0</v>
      </c>
      <c r="D13405" s="3">
        <v>5.0</v>
      </c>
      <c r="E13405" s="3">
        <v>0.0</v>
      </c>
      <c r="F13405" s="3" t="s">
        <v>38020</v>
      </c>
      <c r="G13405" s="3">
        <v>0.0</v>
      </c>
      <c r="H13405" s="3">
        <v>0.0</v>
      </c>
      <c r="I13405" s="3" t="s">
        <v>13</v>
      </c>
      <c r="J13405" s="3" t="s">
        <v>38021</v>
      </c>
      <c r="K13405" s="3" t="s">
        <v>495</v>
      </c>
      <c r="L13405" s="3" t="str">
        <f>IFERROR(__xludf.DUMMYFUNCTION("GOOGLETRANSLATE(F13405,""id"",""en"")"),"Various conspiracy about the Argentine bias referees must be recognized as the most inconsequential reasonable only Portugal claims after losing Moroccan")</f>
        <v>Various conspiracy about the Argentine bias referees must be recognized as the most inconsequential reasonable only Portugal claims after losing Moroccan</v>
      </c>
    </row>
    <row r="13406" ht="15.75" customHeight="1">
      <c r="A13406" s="1">
        <v>14814.0</v>
      </c>
      <c r="B13406" s="3" t="s">
        <v>38022</v>
      </c>
      <c r="C13406" s="3">
        <v>1.0</v>
      </c>
      <c r="D13406" s="3">
        <v>0.0</v>
      </c>
      <c r="E13406" s="3">
        <v>0.0</v>
      </c>
      <c r="F13406" s="3" t="s">
        <v>38023</v>
      </c>
      <c r="G13406" s="3">
        <v>0.0</v>
      </c>
      <c r="H13406" s="3">
        <v>0.0</v>
      </c>
      <c r="I13406" s="3" t="s">
        <v>13</v>
      </c>
      <c r="J13406" s="3" t="s">
        <v>38024</v>
      </c>
      <c r="K13406" s="3" t="s">
        <v>437</v>
      </c>
      <c r="L13406" s="3" t="str">
        <f>IFERROR(__xludf.DUMMYFUNCTION("GOOGLETRANSLATE(F13406,""id"",""en"")"),"Supporters of FIFA conspiracy theory want Argentina The champion will be even more annoyed to see again the penalty prize from the referee for Argentina Messi Hahhahaha")</f>
        <v>Supporters of FIFA conspiracy theory want Argentina The champion will be even more annoyed to see again the penalty prize from the referee for Argentina Messi Hahhahaha</v>
      </c>
    </row>
    <row r="13407" ht="15.75" customHeight="1">
      <c r="A13407" s="1">
        <v>14815.0</v>
      </c>
      <c r="B13407" s="3" t="s">
        <v>38025</v>
      </c>
      <c r="C13407" s="3">
        <v>0.0</v>
      </c>
      <c r="D13407" s="3">
        <v>0.0</v>
      </c>
      <c r="E13407" s="3">
        <v>0.0</v>
      </c>
      <c r="F13407" s="3" t="s">
        <v>38026</v>
      </c>
      <c r="G13407" s="3">
        <v>0.0</v>
      </c>
      <c r="H13407" s="3">
        <v>0.0</v>
      </c>
      <c r="I13407" s="3" t="s">
        <v>13</v>
      </c>
      <c r="J13407" s="3" t="s">
        <v>38027</v>
      </c>
      <c r="K13407" s="3" t="s">
        <v>75</v>
      </c>
      <c r="L13407" s="3" t="str">
        <f>IFERROR(__xludf.DUMMYFUNCTION("GOOGLETRANSLATE(F13407,""id"",""en"")"),"True said the MAFIA referee Mbah Argentina must always get a penalty prize")</f>
        <v>True said the MAFIA referee Mbah Argentina must always get a penalty prize</v>
      </c>
    </row>
    <row r="13408" ht="15.75" customHeight="1">
      <c r="A13408" s="1">
        <v>14816.0</v>
      </c>
      <c r="B13408" s="3" t="s">
        <v>38028</v>
      </c>
      <c r="C13408" s="3">
        <v>0.0</v>
      </c>
      <c r="D13408" s="3">
        <v>0.0</v>
      </c>
      <c r="E13408" s="3">
        <v>0.0</v>
      </c>
      <c r="F13408" s="3" t="s">
        <v>38029</v>
      </c>
      <c r="G13408" s="3">
        <v>0.0</v>
      </c>
      <c r="H13408" s="3">
        <v>0.0</v>
      </c>
      <c r="I13408" s="3" t="s">
        <v>13</v>
      </c>
      <c r="J13408" s="3" t="s">
        <v>38030</v>
      </c>
      <c r="K13408" s="3" t="s">
        <v>495</v>
      </c>
      <c r="L13408" s="3" t="str">
        <f>IFERROR(__xludf.DUMMYFUNCTION("GOOGLETRANSLATE(F13408,""id"",""en"")"),"wkwkwkwk all people of the world want Messi to lift the trophy before the referee's full referee, one of which has taken the opportunity to still be more common funds for Argentina")</f>
        <v>wkwkwkwk all people of the world want Messi to lift the trophy before the referee's full referee, one of which has taken the opportunity to still be more common funds for Argentina</v>
      </c>
    </row>
    <row r="13409" ht="15.75" customHeight="1">
      <c r="A13409" s="1">
        <v>14817.0</v>
      </c>
      <c r="B13409" s="3" t="s">
        <v>38031</v>
      </c>
      <c r="C13409" s="3">
        <v>1.0</v>
      </c>
      <c r="D13409" s="3">
        <v>0.0</v>
      </c>
      <c r="E13409" s="3">
        <v>0.0</v>
      </c>
      <c r="G13409" s="3">
        <v>0.0</v>
      </c>
      <c r="H13409" s="3">
        <v>0.0</v>
      </c>
      <c r="I13409" s="3" t="s">
        <v>13</v>
      </c>
      <c r="J13409" s="3" t="s">
        <v>16049</v>
      </c>
      <c r="K13409" s="3" t="s">
        <v>16050</v>
      </c>
      <c r="L13409" s="3" t="str">
        <f>IFERROR(__xludf.DUMMYFUNCTION("GOOGLETRANSLATE(F13409,""id"",""en"")"),"#VALUE!")</f>
        <v>#VALUE!</v>
      </c>
    </row>
    <row r="13410" ht="15.75" customHeight="1">
      <c r="A13410" s="1">
        <v>14818.0</v>
      </c>
      <c r="B13410" s="3" t="s">
        <v>38032</v>
      </c>
      <c r="C13410" s="3">
        <v>0.0</v>
      </c>
      <c r="D13410" s="3">
        <v>0.0</v>
      </c>
      <c r="E13410" s="3">
        <v>0.0</v>
      </c>
      <c r="F13410" s="3" t="s">
        <v>38033</v>
      </c>
      <c r="G13410" s="3">
        <v>0.0</v>
      </c>
      <c r="H13410" s="3">
        <v>0.0</v>
      </c>
      <c r="I13410" s="3" t="s">
        <v>13</v>
      </c>
      <c r="J13410" s="3" t="s">
        <v>38034</v>
      </c>
      <c r="K13410" s="3" t="s">
        <v>75</v>
      </c>
      <c r="L13410" s="3" t="str">
        <f>IFERROR(__xludf.DUMMYFUNCTION("GOOGLETRANSLATE(F13410,""id"",""en"")"),"Throughout the world cup, it's easy to referee to give a penalty for Argentina")</f>
        <v>Throughout the world cup, it's easy to referee to give a penalty for Argentina</v>
      </c>
    </row>
    <row r="13411" ht="15.75" customHeight="1">
      <c r="A13411" s="1">
        <v>14819.0</v>
      </c>
      <c r="B13411" s="3" t="s">
        <v>38035</v>
      </c>
      <c r="C13411" s="3">
        <v>0.0</v>
      </c>
      <c r="D13411" s="3">
        <v>0.0</v>
      </c>
      <c r="E13411" s="3">
        <v>0.0</v>
      </c>
      <c r="F13411" s="3" t="s">
        <v>38036</v>
      </c>
      <c r="G13411" s="3">
        <v>0.0</v>
      </c>
      <c r="H13411" s="3">
        <v>0.0</v>
      </c>
      <c r="I13411" s="3" t="s">
        <v>13</v>
      </c>
      <c r="J13411" s="3" t="s">
        <v>38037</v>
      </c>
      <c r="K13411" s="3" t="s">
        <v>644</v>
      </c>
      <c r="L13411" s="3" t="str">
        <f>IFERROR(__xludf.DUMMYFUNCTION("GOOGLETRANSLATE(F13411,""id"",""en"")"),"Argentina Min Referee Penalty")</f>
        <v>Argentina Min Referee Penalty</v>
      </c>
    </row>
    <row r="13412" ht="15.75" customHeight="1">
      <c r="A13412" s="1">
        <v>14820.0</v>
      </c>
      <c r="B13412" s="3" t="s">
        <v>38038</v>
      </c>
      <c r="C13412" s="3">
        <v>0.0</v>
      </c>
      <c r="D13412" s="3">
        <v>0.0</v>
      </c>
      <c r="E13412" s="3">
        <v>0.0</v>
      </c>
      <c r="F13412" s="3" t="s">
        <v>38039</v>
      </c>
      <c r="G13412" s="3">
        <v>0.0</v>
      </c>
      <c r="H13412" s="3">
        <v>0.0</v>
      </c>
      <c r="I13412" s="3" t="s">
        <v>13</v>
      </c>
      <c r="J13412" s="3" t="s">
        <v>38040</v>
      </c>
      <c r="K13412" s="3" t="s">
        <v>54</v>
      </c>
      <c r="L13412" s="3" t="str">
        <f>IFERROR(__xludf.DUMMYFUNCTION("GOOGLETRANSLATE(F13412,""id"",""en"")"),"NCEN Argentina Belo Referee Karo FIFA")</f>
        <v>NCEN Argentina Belo Referee Karo FIFA</v>
      </c>
    </row>
    <row r="13413" ht="15.75" customHeight="1">
      <c r="A13413" s="1">
        <v>14821.0</v>
      </c>
      <c r="B13413" s="3" t="s">
        <v>38041</v>
      </c>
      <c r="C13413" s="3">
        <v>0.0</v>
      </c>
      <c r="D13413" s="3">
        <v>0.0</v>
      </c>
      <c r="E13413" s="3">
        <v>0.0</v>
      </c>
      <c r="F13413" s="3" t="s">
        <v>38042</v>
      </c>
      <c r="G13413" s="3">
        <v>1.0</v>
      </c>
      <c r="H13413" s="3">
        <v>0.0</v>
      </c>
      <c r="I13413" s="3" t="s">
        <v>13</v>
      </c>
      <c r="J13413" s="3" t="s">
        <v>38043</v>
      </c>
      <c r="K13413" s="3" t="s">
        <v>510</v>
      </c>
      <c r="L13413" s="3" t="str">
        <f>IFERROR(__xludf.DUMMYFUNCTION("GOOGLETRANSLATE(F13413,""id"",""en"")"),"Nek did not win the Argentina Wes accompanied by the referee of the first match Kaet until the final of the Padal Final")</f>
        <v>Nek did not win the Argentina Wes accompanied by the referee of the first match Kaet until the final of the Padal Final</v>
      </c>
    </row>
    <row r="13414" ht="15.75" customHeight="1">
      <c r="A13414" s="1">
        <v>14822.0</v>
      </c>
      <c r="B13414" s="3" t="s">
        <v>38044</v>
      </c>
      <c r="C13414" s="3">
        <v>0.0</v>
      </c>
      <c r="D13414" s="3">
        <v>0.0</v>
      </c>
      <c r="E13414" s="3">
        <v>0.0</v>
      </c>
      <c r="F13414" s="3" t="s">
        <v>38045</v>
      </c>
      <c r="G13414" s="3">
        <v>0.4</v>
      </c>
      <c r="H13414" s="3">
        <v>0.2</v>
      </c>
      <c r="I13414" s="3" t="s">
        <v>48</v>
      </c>
      <c r="J13414" s="3" t="s">
        <v>38046</v>
      </c>
      <c r="K13414" s="3" t="s">
        <v>942</v>
      </c>
      <c r="L13414" s="3" t="str">
        <f>IFERROR(__xludf.DUMMYFUNCTION("GOOGLETRANSLATE(F13414,""id"",""en"")"),"hahaha it's already the universe and the referee leads to Argentina if you don't win, it's just stupid hahaha")</f>
        <v>hahaha it's already the universe and the referee leads to Argentina if you don't win, it's just stupid hahaha</v>
      </c>
    </row>
    <row r="13415" ht="15.75" customHeight="1">
      <c r="A13415" s="1">
        <v>14823.0</v>
      </c>
      <c r="B13415" s="3" t="s">
        <v>38047</v>
      </c>
      <c r="C13415" s="3">
        <v>0.0</v>
      </c>
      <c r="D13415" s="3">
        <v>0.0</v>
      </c>
      <c r="E13415" s="3">
        <v>0.0</v>
      </c>
      <c r="F13415" s="3" t="s">
        <v>38048</v>
      </c>
      <c r="G13415" s="3">
        <v>0.0</v>
      </c>
      <c r="H13415" s="3">
        <v>0.0</v>
      </c>
      <c r="I13415" s="3" t="s">
        <v>13</v>
      </c>
      <c r="J13415" s="3" t="s">
        <v>38049</v>
      </c>
      <c r="K13415" s="3" t="s">
        <v>31</v>
      </c>
      <c r="L13415" s="3" t="str">
        <f>IFERROR(__xludf.DUMMYFUNCTION("GOOGLETRANSLATE(F13415,""id"",""en"")"),"Gileee Argentina Help Referees wkwkk")</f>
        <v>Gileee Argentina Help Referees wkwkk</v>
      </c>
    </row>
    <row r="13416" ht="15.75" customHeight="1">
      <c r="A13416" s="1">
        <v>14824.0</v>
      </c>
      <c r="B13416" s="3" t="s">
        <v>38050</v>
      </c>
      <c r="C13416" s="3">
        <v>0.0</v>
      </c>
      <c r="D13416" s="3">
        <v>0.0</v>
      </c>
      <c r="E13416" s="3">
        <v>0.0</v>
      </c>
      <c r="F13416" s="3" t="s">
        <v>38051</v>
      </c>
      <c r="G13416" s="3">
        <v>0.0</v>
      </c>
      <c r="H13416" s="3">
        <v>0.0</v>
      </c>
      <c r="I13416" s="3" t="s">
        <v>13</v>
      </c>
      <c r="J13416" s="3" t="s">
        <v>38052</v>
      </c>
      <c r="K13416" s="3" t="s">
        <v>19</v>
      </c>
      <c r="L13416" s="3" t="str">
        <f>IFERROR(__xludf.DUMMYFUNCTION("GOOGLETRANSLATE(F13416,""id"",""en"")"),"Argentina coach brings the ball to the penalty box and then falls the referee automatically blowing Pluit")</f>
        <v>Argentina coach brings the ball to the penalty box and then falls the referee automatically blowing Pluit</v>
      </c>
    </row>
    <row r="13417" ht="15.75" customHeight="1">
      <c r="A13417" s="1">
        <v>14825.0</v>
      </c>
      <c r="B13417" s="3" t="s">
        <v>38053</v>
      </c>
      <c r="C13417" s="3">
        <v>2.0</v>
      </c>
      <c r="D13417" s="3">
        <v>3.0</v>
      </c>
      <c r="E13417" s="3">
        <v>3.0</v>
      </c>
      <c r="F13417" s="3" t="s">
        <v>38054</v>
      </c>
      <c r="G13417" s="3">
        <v>1.0</v>
      </c>
      <c r="H13417" s="3">
        <v>-0.5</v>
      </c>
      <c r="I13417" s="3" t="s">
        <v>179</v>
      </c>
      <c r="J13417" s="3" t="s">
        <v>38055</v>
      </c>
      <c r="K13417" s="3" t="s">
        <v>75</v>
      </c>
      <c r="L13417" s="3" t="str">
        <f>IFERROR(__xludf.DUMMYFUNCTION("GOOGLETRANSLATE(F13417,""id"",""en"")"),"Argentina Kali Kali Rough Dibabarin this referee France pushed a little wtf penalty")</f>
        <v>Argentina Kali Kali Rough Dibabarin this referee France pushed a little wtf penalty</v>
      </c>
    </row>
    <row r="13418" ht="15.75" customHeight="1">
      <c r="A13418" s="1">
        <v>14826.0</v>
      </c>
      <c r="B13418" s="3" t="s">
        <v>38056</v>
      </c>
      <c r="C13418" s="3">
        <v>0.0</v>
      </c>
      <c r="D13418" s="3">
        <v>0.0</v>
      </c>
      <c r="E13418" s="3">
        <v>0.0</v>
      </c>
      <c r="F13418" s="3" t="s">
        <v>38057</v>
      </c>
      <c r="G13418" s="3">
        <v>0.0</v>
      </c>
      <c r="H13418" s="3">
        <v>0.0</v>
      </c>
      <c r="I13418" s="3" t="s">
        <v>13</v>
      </c>
      <c r="J13418" s="3" t="s">
        <v>38058</v>
      </c>
      <c r="K13418" s="3" t="s">
        <v>54</v>
      </c>
      <c r="L13418" s="3" t="str">
        <f>IFERROR(__xludf.DUMMYFUNCTION("GOOGLETRANSLATE(F13418,""id"",""en"")"),"Argentina please referees many times through a penalty")</f>
        <v>Argentina please referees many times through a penalty</v>
      </c>
    </row>
    <row r="13419" ht="15.75" customHeight="1">
      <c r="A13419" s="1">
        <v>14827.0</v>
      </c>
      <c r="B13419" s="3" t="s">
        <v>38059</v>
      </c>
      <c r="C13419" s="3">
        <v>1.0</v>
      </c>
      <c r="D13419" s="3">
        <v>0.0</v>
      </c>
      <c r="E13419" s="3">
        <v>0.0</v>
      </c>
      <c r="F13419" s="3" t="s">
        <v>38060</v>
      </c>
      <c r="G13419" s="3">
        <v>0.0</v>
      </c>
      <c r="H13419" s="3">
        <v>0.0</v>
      </c>
      <c r="I13419" s="3" t="s">
        <v>13</v>
      </c>
      <c r="J13419" s="3" t="s">
        <v>38061</v>
      </c>
      <c r="K13419" s="3" t="s">
        <v>54</v>
      </c>
      <c r="L13419" s="3" t="str">
        <f>IFERROR(__xludf.DUMMYFUNCTION("GOOGLETRANSLATE(F13419,""id"",""en"")"),"Argentina supports referees kwwkw foul even though")</f>
        <v>Argentina supports referees kwwkw foul even though</v>
      </c>
    </row>
    <row r="13420" ht="15.75" customHeight="1">
      <c r="A13420" s="1">
        <v>14828.0</v>
      </c>
      <c r="B13420" s="3" t="s">
        <v>38062</v>
      </c>
      <c r="C13420" s="3">
        <v>0.0</v>
      </c>
      <c r="D13420" s="3">
        <v>0.0</v>
      </c>
      <c r="E13420" s="3">
        <v>0.0</v>
      </c>
      <c r="F13420" s="3" t="s">
        <v>38063</v>
      </c>
      <c r="G13420" s="3">
        <v>0.0</v>
      </c>
      <c r="H13420" s="3">
        <v>0.0</v>
      </c>
      <c r="I13420" s="3" t="s">
        <v>13</v>
      </c>
      <c r="J13420" s="3" t="s">
        <v>38064</v>
      </c>
      <c r="K13420" s="3" t="s">
        <v>236</v>
      </c>
      <c r="L13420" s="3" t="str">
        <f>IFERROR(__xludf.DUMMYFUNCTION("GOOGLETRANSLATE(F13420,""id"",""en"")"),"Damn You Argentina likes Tricky to affect the referee and rough")</f>
        <v>Damn You Argentina likes Tricky to affect the referee and rough</v>
      </c>
    </row>
    <row r="13421" ht="15.75" customHeight="1">
      <c r="A13421" s="1">
        <v>14829.0</v>
      </c>
      <c r="B13421" s="3" t="s">
        <v>38065</v>
      </c>
      <c r="C13421" s="3">
        <v>0.0</v>
      </c>
      <c r="D13421" s="3">
        <v>0.0</v>
      </c>
      <c r="E13421" s="3">
        <v>0.0</v>
      </c>
      <c r="F13421" s="3" t="s">
        <v>38066</v>
      </c>
      <c r="G13421" s="3">
        <v>0.0</v>
      </c>
      <c r="H13421" s="3">
        <v>0.0</v>
      </c>
      <c r="I13421" s="3" t="s">
        <v>13</v>
      </c>
      <c r="J13421" s="3" t="s">
        <v>38067</v>
      </c>
      <c r="K13421" s="3" t="s">
        <v>54</v>
      </c>
      <c r="L13421" s="3" t="str">
        <f>IFERROR(__xludf.DUMMYFUNCTION("GOOGLETRANSLATE(F13421,""id"",""en"")"),"already the referee gave Argentina Piangia Kodals")</f>
        <v>already the referee gave Argentina Piangia Kodals</v>
      </c>
    </row>
    <row r="13422" ht="15.75" customHeight="1">
      <c r="A13422" s="1">
        <v>14830.0</v>
      </c>
      <c r="B13422" s="3" t="s">
        <v>38068</v>
      </c>
      <c r="C13422" s="3">
        <v>0.0</v>
      </c>
      <c r="D13422" s="3">
        <v>0.0</v>
      </c>
      <c r="E13422" s="3">
        <v>0.0</v>
      </c>
      <c r="F13422" s="3" t="s">
        <v>38069</v>
      </c>
      <c r="G13422" s="3">
        <v>0.0</v>
      </c>
      <c r="H13422" s="3">
        <v>0.0</v>
      </c>
      <c r="I13422" s="3" t="s">
        <v>13</v>
      </c>
      <c r="J13422" s="3" t="s">
        <v>38070</v>
      </c>
      <c r="K13422" s="3" t="s">
        <v>510</v>
      </c>
      <c r="L13422" s="3" t="str">
        <f>IFERROR(__xludf.DUMMYFUNCTION("GOOGLETRANSLATE(F13422,""id"",""en"")"),"Come on, the referee is in favor of Argentina, please do not be like a referee for Morocco yesterday")</f>
        <v>Come on, the referee is in favor of Argentina, please do not be like a referee for Morocco yesterday</v>
      </c>
    </row>
    <row r="13423" ht="15.75" customHeight="1">
      <c r="A13423" s="1">
        <v>14831.0</v>
      </c>
      <c r="B13423" s="3" t="s">
        <v>38071</v>
      </c>
      <c r="C13423" s="3">
        <v>0.0</v>
      </c>
      <c r="D13423" s="3">
        <v>1.0</v>
      </c>
      <c r="E13423" s="3">
        <v>0.0</v>
      </c>
      <c r="F13423" s="3" t="s">
        <v>38072</v>
      </c>
      <c r="G13423" s="3">
        <v>0.0</v>
      </c>
      <c r="H13423" s="3">
        <v>0.0</v>
      </c>
      <c r="I13423" s="3" t="s">
        <v>13</v>
      </c>
      <c r="J13423" s="3" t="s">
        <v>38073</v>
      </c>
      <c r="K13423" s="3" t="s">
        <v>510</v>
      </c>
      <c r="L13423" s="3" t="str">
        <f>IFERROR(__xludf.DUMMYFUNCTION("GOOGLETRANSLATE(F13423,""id"",""en"")"),"Priiittt of whistle from the referee sign kick off the first half has begun predictions of the French Argentine bolaneters")</f>
        <v>Priiittt of whistle from the referee sign kick off the first half has begun predictions of the French Argentine bolaneters</v>
      </c>
    </row>
    <row r="13424" ht="15.75" customHeight="1">
      <c r="A13424" s="1">
        <v>14832.0</v>
      </c>
      <c r="B13424" s="3" t="s">
        <v>38074</v>
      </c>
      <c r="C13424" s="3">
        <v>1.0</v>
      </c>
      <c r="D13424" s="3">
        <v>0.0</v>
      </c>
      <c r="E13424" s="3">
        <v>0.0</v>
      </c>
      <c r="F13424" s="3" t="s">
        <v>38075</v>
      </c>
      <c r="G13424" s="3">
        <v>0.8</v>
      </c>
      <c r="H13424" s="3">
        <v>0.4</v>
      </c>
      <c r="I13424" s="3" t="s">
        <v>48</v>
      </c>
      <c r="J13424" s="3" t="s">
        <v>38076</v>
      </c>
      <c r="K13424" s="3" t="s">
        <v>584</v>
      </c>
      <c r="L13424" s="3" t="str">
        <f>IFERROR(__xludf.DUMMYFUNCTION("GOOGLETRANSLATE(F13424,""id"",""en"")"),"Gamblers will install Argentina, the city will certainly do various ways so that France wins, for example not giving free kicks less than the Argentina meter by bribing the referee, of course we can see how fair")</f>
        <v>Gamblers will install Argentina, the city will certainly do various ways so that France wins, for example not giving free kicks less than the Argentina meter by bribing the referee, of course we can see how fair</v>
      </c>
    </row>
    <row r="13425" ht="15.75" customHeight="1">
      <c r="A13425" s="1">
        <v>14833.0</v>
      </c>
      <c r="B13425" s="3" t="s">
        <v>38077</v>
      </c>
      <c r="C13425" s="3">
        <v>40.0</v>
      </c>
      <c r="D13425" s="3">
        <v>78.0</v>
      </c>
      <c r="E13425" s="3">
        <v>209.0</v>
      </c>
      <c r="F13425" s="3" t="s">
        <v>38078</v>
      </c>
      <c r="G13425" s="3">
        <v>1.0</v>
      </c>
      <c r="H13425" s="3">
        <v>0.0</v>
      </c>
      <c r="I13425" s="3" t="s">
        <v>13</v>
      </c>
      <c r="J13425" s="3" t="s">
        <v>38079</v>
      </c>
      <c r="K13425" s="3" t="s">
        <v>15</v>
      </c>
      <c r="L13425" s="3" t="str">
        <f>IFERROR(__xludf.DUMMYFUNCTION("GOOGLETRANSLATE(F13425,""id"",""en"")"),"okay we are ready to nobar Messi Final Argentina French")</f>
        <v>okay we are ready to nobar Messi Final Argentina French</v>
      </c>
    </row>
    <row r="13426" ht="15.75" customHeight="1">
      <c r="A13426" s="1">
        <v>14834.0</v>
      </c>
      <c r="B13426" s="3" t="s">
        <v>38080</v>
      </c>
      <c r="C13426" s="3">
        <v>1.0</v>
      </c>
      <c r="D13426" s="3">
        <v>0.0</v>
      </c>
      <c r="E13426" s="3">
        <v>0.0</v>
      </c>
      <c r="F13426" s="3" t="s">
        <v>38081</v>
      </c>
      <c r="G13426" s="3">
        <v>0.5</v>
      </c>
      <c r="H13426" s="3">
        <v>0.15</v>
      </c>
      <c r="I13426" s="3" t="s">
        <v>48</v>
      </c>
      <c r="J13426" s="3" t="s">
        <v>38082</v>
      </c>
      <c r="K13426" s="3" t="s">
        <v>1157</v>
      </c>
      <c r="L13426" s="3" t="str">
        <f>IFERROR(__xludf.DUMMYFUNCTION("GOOGLETRANSLATE(F13426,""id"",""en"")"),"In fact, the committee was frightened to see Portugal after matching their Swiss against Argentina when the final against Morocco Boom Success Portugal was successfully reinforced by another committee to try hard so that the FIFA Children's Team got a pro"&amp;"spective opponent's candidate")</f>
        <v>In fact, the committee was frightened to see Portugal after matching their Swiss against Argentina when the final against Morocco Boom Success Portugal was successfully reinforced by another committee to try hard so that the FIFA Children's Team got a prospective opponent's candidate</v>
      </c>
    </row>
    <row r="13427" ht="15.75" customHeight="1">
      <c r="A13427" s="1">
        <v>14835.0</v>
      </c>
      <c r="B13427" s="3" t="s">
        <v>38083</v>
      </c>
      <c r="C13427" s="3">
        <v>0.0</v>
      </c>
      <c r="D13427" s="3">
        <v>0.0</v>
      </c>
      <c r="E13427" s="3">
        <v>0.0</v>
      </c>
      <c r="F13427" s="3" t="s">
        <v>38084</v>
      </c>
      <c r="G13427" s="3">
        <v>0.0</v>
      </c>
      <c r="H13427" s="3">
        <v>0.0</v>
      </c>
      <c r="I13427" s="3" t="s">
        <v>13</v>
      </c>
      <c r="J13427" s="3" t="s">
        <v>38085</v>
      </c>
      <c r="K13427" s="3" t="s">
        <v>499</v>
      </c>
      <c r="L13427" s="3" t="str">
        <f>IFERROR(__xludf.DUMMYFUNCTION("GOOGLETRANSLATE(F13427,""id"",""en"")"),"The activist is suspected that the referee is controlled by Argentina France can lose this pildun bosok account, a Twitter account should be given a political name and this sentence money has emerged when Jokowi is a presidential")</f>
        <v>The activist is suspected that the referee is controlled by Argentina France can lose this pildun bosok account, a Twitter account should be given a political name and this sentence money has emerged when Jokowi is a presidential</v>
      </c>
    </row>
    <row r="13428" ht="15.75" customHeight="1">
      <c r="A13428" s="1">
        <v>14836.0</v>
      </c>
      <c r="B13428" s="3" t="s">
        <v>38086</v>
      </c>
      <c r="C13428" s="3">
        <v>36.0</v>
      </c>
      <c r="D13428" s="3">
        <v>40.0</v>
      </c>
      <c r="E13428" s="3">
        <v>486.0</v>
      </c>
      <c r="F13428" s="3" t="s">
        <v>38087</v>
      </c>
      <c r="G13428" s="3">
        <v>1.0</v>
      </c>
      <c r="H13428" s="3">
        <v>0.0</v>
      </c>
      <c r="I13428" s="3" t="s">
        <v>13</v>
      </c>
      <c r="J13428" s="3" t="s">
        <v>38088</v>
      </c>
      <c r="K13428" s="3" t="s">
        <v>8732</v>
      </c>
      <c r="L13428" s="3" t="str">
        <f>IFERROR(__xludf.DUMMYFUNCTION("GOOGLETRANSLATE(F13428,""id"",""en"")"),"The final match referee was Romaldo Arppi Filho who was born on January Argentina World Cup Champion Final match was Szymon Marciniak who was born on January Argentina World Cup champions")</f>
        <v>The final match referee was Romaldo Arppi Filho who was born on January Argentina World Cup Champion Final match was Szymon Marciniak who was born on January Argentina World Cup champions</v>
      </c>
    </row>
    <row r="13429" ht="15.75" customHeight="1">
      <c r="A13429" s="1">
        <v>14837.0</v>
      </c>
      <c r="B13429" s="3" t="s">
        <v>38089</v>
      </c>
      <c r="C13429" s="3">
        <v>0.0</v>
      </c>
      <c r="D13429" s="3">
        <v>0.0</v>
      </c>
      <c r="E13429" s="3">
        <v>0.0</v>
      </c>
      <c r="F13429" s="3" t="s">
        <v>38090</v>
      </c>
      <c r="G13429" s="3">
        <v>0.0</v>
      </c>
      <c r="H13429" s="3">
        <v>0.0</v>
      </c>
      <c r="I13429" s="3" t="s">
        <v>13</v>
      </c>
      <c r="J13429" s="3" t="s">
        <v>38091</v>
      </c>
      <c r="K13429" s="3" t="s">
        <v>1280</v>
      </c>
      <c r="L13429" s="3" t="str">
        <f>IFERROR(__xludf.DUMMYFUNCTION("GOOGLETRANSLATE(F13429,""id"",""en"")"),"For a moment we see France against Argentine players all graduates diving shccouin referees as their orchestration are the speed and accuracy of winning Bravo France if France Calmdown goals without reply if the referee orchestra goes goals for Argentina")</f>
        <v>For a moment we see France against Argentine players all graduates diving shccouin referees as their orchestration are the speed and accuracy of winning Bravo France if France Calmdown goals without reply if the referee orchestra goes goals for Argentina</v>
      </c>
    </row>
    <row r="13430" ht="15.75" customHeight="1">
      <c r="A13430" s="1">
        <v>14838.0</v>
      </c>
      <c r="B13430" s="3" t="s">
        <v>38092</v>
      </c>
      <c r="C13430" s="3">
        <v>0.0</v>
      </c>
      <c r="D13430" s="3">
        <v>0.0</v>
      </c>
      <c r="E13430" s="3">
        <v>1.0</v>
      </c>
      <c r="F13430" s="3" t="s">
        <v>38093</v>
      </c>
      <c r="G13430" s="3">
        <v>1.0</v>
      </c>
      <c r="H13430" s="3">
        <v>0.0</v>
      </c>
      <c r="I13430" s="3" t="s">
        <v>13</v>
      </c>
      <c r="J13430" s="3" t="s">
        <v>38094</v>
      </c>
      <c r="K13430" s="3" t="s">
        <v>2413</v>
      </c>
      <c r="L13430" s="3" t="str">
        <f>IFERROR(__xludf.DUMMYFUNCTION("GOOGLETRANSLATE(F13430,""id"",""en"")"),"The referee who led the final match Romaldo Arppi Filho was born in January Argentina champion referee who led the final match of Szymon Marciniak was born in January Argentina champions")</f>
        <v>The referee who led the final match Romaldo Arppi Filho was born in January Argentina champion referee who led the final match of Szymon Marciniak was born in January Argentina champions</v>
      </c>
    </row>
    <row r="13431" ht="15.75" customHeight="1">
      <c r="A13431" s="1">
        <v>14839.0</v>
      </c>
      <c r="B13431" s="3" t="s">
        <v>38095</v>
      </c>
      <c r="C13431" s="3">
        <v>0.0</v>
      </c>
      <c r="D13431" s="3">
        <v>0.0</v>
      </c>
      <c r="E13431" s="3">
        <v>0.0</v>
      </c>
      <c r="F13431" s="3" t="s">
        <v>38096</v>
      </c>
      <c r="G13431" s="3">
        <v>1.0</v>
      </c>
      <c r="H13431" s="3">
        <v>0.0</v>
      </c>
      <c r="I13431" s="3" t="s">
        <v>13</v>
      </c>
      <c r="J13431" s="3" t="s">
        <v>38097</v>
      </c>
      <c r="K13431" s="3" t="s">
        <v>15</v>
      </c>
      <c r="L13431" s="3" t="str">
        <f>IFERROR(__xludf.DUMMYFUNCTION("GOOGLETRANSLATE(F13431,""id"",""en"")"),"This is the profile of the referee who leads the French World Cup final Argentina")</f>
        <v>This is the profile of the referee who leads the French World Cup final Argentina</v>
      </c>
    </row>
    <row r="13432" ht="15.75" customHeight="1">
      <c r="A13432" s="1">
        <v>14840.0</v>
      </c>
      <c r="B13432" s="3" t="s">
        <v>38098</v>
      </c>
      <c r="C13432" s="3">
        <v>0.0</v>
      </c>
      <c r="D13432" s="3">
        <v>0.0</v>
      </c>
      <c r="E13432" s="3">
        <v>0.0</v>
      </c>
      <c r="F13432" s="3" t="s">
        <v>38099</v>
      </c>
      <c r="G13432" s="3">
        <v>0.0</v>
      </c>
      <c r="H13432" s="3">
        <v>0.0</v>
      </c>
      <c r="I13432" s="3" t="s">
        <v>13</v>
      </c>
      <c r="J13432" s="3" t="s">
        <v>38100</v>
      </c>
      <c r="K13432" s="3" t="s">
        <v>19</v>
      </c>
      <c r="L13432" s="3" t="str">
        <f>IFERROR(__xludf.DUMMYFUNCTION("GOOGLETRANSLATE(F13432,""id"",""en"")"),"sure France can dominate Argentina who is only afraid of the decision of this referee will be balanced with what later")</f>
        <v>sure France can dominate Argentina who is only afraid of the decision of this referee will be balanced with what later</v>
      </c>
    </row>
    <row r="13433" ht="15.75" customHeight="1">
      <c r="A13433" s="1">
        <v>14841.0</v>
      </c>
      <c r="B13433" s="3" t="s">
        <v>38101</v>
      </c>
      <c r="C13433" s="3">
        <v>0.0</v>
      </c>
      <c r="D13433" s="3">
        <v>0.0</v>
      </c>
      <c r="E13433" s="3">
        <v>0.0</v>
      </c>
      <c r="F13433" s="3" t="s">
        <v>38102</v>
      </c>
      <c r="G13433" s="3">
        <v>0.0</v>
      </c>
      <c r="H13433" s="3">
        <v>0.0</v>
      </c>
      <c r="I13433" s="3" t="s">
        <v>13</v>
      </c>
      <c r="J13433" s="3" t="s">
        <v>38103</v>
      </c>
      <c r="K13433" s="3" t="s">
        <v>135</v>
      </c>
      <c r="L13433" s="3" t="str">
        <f>IFERROR(__xludf.DUMMYFUNCTION("GOOGLETRANSLATE(F13433,""id"",""en"")"),"who won France as for the France Argentina score, the winning game loses already the law of a competition Enjoy the process of games with the excitement and entertainment of sports.")</f>
        <v>who won France as for the France Argentina score, the winning game loses already the law of a competition Enjoy the process of games with the excitement and entertainment of sports.</v>
      </c>
    </row>
    <row r="13434" ht="15.75" customHeight="1">
      <c r="A13434" s="1">
        <v>14842.0</v>
      </c>
      <c r="B13434" s="3" t="s">
        <v>38104</v>
      </c>
      <c r="C13434" s="3">
        <v>0.0</v>
      </c>
      <c r="D13434" s="3">
        <v>0.0</v>
      </c>
      <c r="E13434" s="3">
        <v>1.0</v>
      </c>
      <c r="F13434" s="3" t="s">
        <v>38105</v>
      </c>
      <c r="G13434" s="3">
        <v>0.0</v>
      </c>
      <c r="H13434" s="3">
        <v>0.0</v>
      </c>
      <c r="I13434" s="3" t="s">
        <v>13</v>
      </c>
      <c r="J13434" s="3" t="s">
        <v>38106</v>
      </c>
      <c r="K13434" s="3" t="s">
        <v>244</v>
      </c>
      <c r="L13434" s="3" t="str">
        <f>IFERROR(__xludf.DUMMYFUNCTION("GOOGLETRANSLATE(F13434,""id"",""en"")"),"I wonder I'm the same person who thinks that if Argentina pays the referee to lose, just lose")</f>
        <v>I wonder I'm the same person who thinks that if Argentina pays the referee to lose, just lose</v>
      </c>
    </row>
    <row r="13435" ht="15.75" customHeight="1">
      <c r="A13435" s="1">
        <v>14843.0</v>
      </c>
      <c r="B13435" s="3" t="s">
        <v>38107</v>
      </c>
      <c r="C13435" s="3">
        <v>0.0</v>
      </c>
      <c r="D13435" s="3">
        <v>0.0</v>
      </c>
      <c r="E13435" s="3">
        <v>1.0</v>
      </c>
      <c r="F13435" s="3" t="s">
        <v>38108</v>
      </c>
      <c r="G13435" s="3">
        <v>0.0</v>
      </c>
      <c r="H13435" s="3">
        <v>0.0</v>
      </c>
      <c r="I13435" s="3" t="s">
        <v>13</v>
      </c>
      <c r="J13435" s="3" t="s">
        <v>38109</v>
      </c>
      <c r="K13435" s="3" t="s">
        <v>903</v>
      </c>
      <c r="L13435" s="3" t="str">
        <f>IFERROR(__xludf.DUMMYFUNCTION("GOOGLETRANSLATE(F13435,""id"",""en"")"),"It seems that Argentina, this rich universe is very supportive of Messi to lift the trophy starting from the referee and the opposing players and friends installed gambling so Argentina younger siblings all")</f>
        <v>It seems that Argentina, this rich universe is very supportive of Messi to lift the trophy starting from the referee and the opposing players and friends installed gambling so Argentina younger siblings all</v>
      </c>
    </row>
    <row r="13436" ht="15.75" customHeight="1">
      <c r="A13436" s="1">
        <v>14844.0</v>
      </c>
      <c r="B13436" s="3" t="s">
        <v>38110</v>
      </c>
      <c r="C13436" s="3">
        <v>0.0</v>
      </c>
      <c r="D13436" s="3">
        <v>0.0</v>
      </c>
      <c r="E13436" s="3">
        <v>0.0</v>
      </c>
      <c r="F13436" s="3" t="s">
        <v>38111</v>
      </c>
      <c r="G13436" s="3">
        <v>0.0</v>
      </c>
      <c r="H13436" s="3">
        <v>0.0</v>
      </c>
      <c r="I13436" s="3" t="s">
        <v>13</v>
      </c>
      <c r="J13436" s="3" t="s">
        <v>38112</v>
      </c>
      <c r="K13436" s="3" t="s">
        <v>495</v>
      </c>
      <c r="L13436" s="3" t="str">
        <f>IFERROR(__xludf.DUMMYFUNCTION("GOOGLETRANSLATE(F13436,""id"",""en"")"),"The World Cup later the night is finished, it will not be a cry of the player, this will be Argentina and France, just shoot the penalty.")</f>
        <v>The World Cup later the night is finished, it will not be a cry of the player, this will be Argentina and France, just shoot the penalty.</v>
      </c>
    </row>
    <row r="13437" ht="15.75" customHeight="1">
      <c r="A13437" s="1">
        <v>14845.0</v>
      </c>
      <c r="B13437" s="3" t="s">
        <v>38113</v>
      </c>
      <c r="C13437" s="3">
        <v>0.0</v>
      </c>
      <c r="D13437" s="3">
        <v>0.0</v>
      </c>
      <c r="E13437" s="3">
        <v>0.0</v>
      </c>
      <c r="F13437" s="3" t="s">
        <v>38114</v>
      </c>
      <c r="G13437" s="3">
        <v>0.0</v>
      </c>
      <c r="H13437" s="3">
        <v>0.0</v>
      </c>
      <c r="I13437" s="3" t="s">
        <v>13</v>
      </c>
      <c r="J13437" s="3" t="s">
        <v>38115</v>
      </c>
      <c r="K13437" s="3" t="s">
        <v>54</v>
      </c>
      <c r="L13437" s="3" t="str">
        <f>IFERROR(__xludf.DUMMYFUNCTION("GOOGLETRANSLATE(F13437,""id"",""en"")"),"Argentina Help Referees Can Get Pinaled")</f>
        <v>Argentina Help Referees Can Get Pinaled</v>
      </c>
    </row>
    <row r="13438" ht="15.75" customHeight="1">
      <c r="A13438" s="1">
        <v>14846.0</v>
      </c>
      <c r="B13438" s="3" t="s">
        <v>38116</v>
      </c>
      <c r="C13438" s="3">
        <v>1.0</v>
      </c>
      <c r="D13438" s="3">
        <v>0.0</v>
      </c>
      <c r="E13438" s="3">
        <v>0.0</v>
      </c>
      <c r="F13438" s="3" t="s">
        <v>38117</v>
      </c>
      <c r="G13438" s="3">
        <v>0.0</v>
      </c>
      <c r="H13438" s="3">
        <v>0.0</v>
      </c>
      <c r="I13438" s="3" t="s">
        <v>13</v>
      </c>
      <c r="J13438" s="3" t="s">
        <v>38118</v>
      </c>
      <c r="K13438" s="3" t="s">
        <v>31</v>
      </c>
      <c r="L13438" s="3" t="str">
        <f>IFERROR(__xludf.DUMMYFUNCTION("GOOGLETRANSLATE(F13438,""id"",""en"")"),"I hope the referee is more miracle Argentina")</f>
        <v>I hope the referee is more miracle Argentina</v>
      </c>
    </row>
    <row r="13439" ht="15.75" customHeight="1">
      <c r="A13439" s="1">
        <v>14847.0</v>
      </c>
      <c r="B13439" s="3" t="s">
        <v>38119</v>
      </c>
      <c r="C13439" s="3">
        <v>1.0</v>
      </c>
      <c r="D13439" s="3">
        <v>1.0</v>
      </c>
      <c r="E13439" s="3">
        <v>3.0</v>
      </c>
      <c r="F13439" s="3" t="s">
        <v>38120</v>
      </c>
      <c r="G13439" s="3">
        <v>1.0</v>
      </c>
      <c r="H13439" s="3">
        <v>0.0</v>
      </c>
      <c r="I13439" s="3" t="s">
        <v>13</v>
      </c>
      <c r="J13439" s="3" t="s">
        <v>38121</v>
      </c>
      <c r="K13439" s="3" t="s">
        <v>50</v>
      </c>
      <c r="L13439" s="3" t="str">
        <f>IFERROR(__xludf.DUMMYFUNCTION("GOOGLETRANSLATE(F13439,""id"",""en"")"),"French Argentina Lionel Scaloni hopes that the referee will be fair to the World Cup Final")</f>
        <v>French Argentina Lionel Scaloni hopes that the referee will be fair to the World Cup Final</v>
      </c>
    </row>
    <row r="13440" ht="15.75" customHeight="1">
      <c r="A13440" s="1">
        <v>14848.0</v>
      </c>
      <c r="B13440" s="3" t="s">
        <v>38122</v>
      </c>
      <c r="C13440" s="3">
        <v>1.0</v>
      </c>
      <c r="D13440" s="3">
        <v>0.0</v>
      </c>
      <c r="E13440" s="3">
        <v>2.0</v>
      </c>
      <c r="F13440" s="3" t="s">
        <v>38123</v>
      </c>
      <c r="G13440" s="3">
        <v>0.0</v>
      </c>
      <c r="H13440" s="3">
        <v>0.0</v>
      </c>
      <c r="I13440" s="3" t="s">
        <v>13</v>
      </c>
      <c r="J13440" s="3" t="s">
        <v>38124</v>
      </c>
      <c r="K13440" s="3" t="s">
        <v>75</v>
      </c>
      <c r="L13440" s="3" t="str">
        <f>IFERROR(__xludf.DUMMYFUNCTION("GOOGLETRANSLATE(F13440,""id"",""en"")"),"Ali the referee sided with Argentina so that I could win this year I knew it was FIFA's strategy for Messi")</f>
        <v>Ali the referee sided with Argentina so that I could win this year I knew it was FIFA's strategy for Messi</v>
      </c>
    </row>
    <row r="13441" ht="15.75" customHeight="1">
      <c r="A13441" s="1">
        <v>14849.0</v>
      </c>
      <c r="B13441" s="3" t="s">
        <v>38125</v>
      </c>
      <c r="C13441" s="3">
        <v>1.0</v>
      </c>
      <c r="D13441" s="3">
        <v>0.0</v>
      </c>
      <c r="E13441" s="3">
        <v>0.0</v>
      </c>
      <c r="F13441" s="3" t="s">
        <v>38126</v>
      </c>
      <c r="G13441" s="3">
        <v>0.0</v>
      </c>
      <c r="H13441" s="3">
        <v>0.0</v>
      </c>
      <c r="I13441" s="3" t="s">
        <v>13</v>
      </c>
      <c r="J13441" s="3" t="s">
        <v>38127</v>
      </c>
      <c r="K13441" s="3" t="s">
        <v>15</v>
      </c>
      <c r="L13441" s="3" t="str">
        <f>IFERROR(__xludf.DUMMYFUNCTION("GOOGLETRANSLATE(F13441,""id"",""en"")"),"happy if Argentina lost from the beginning too many of the referees")</f>
        <v>happy if Argentina lost from the beginning too many of the referees</v>
      </c>
    </row>
    <row r="13442" ht="15.75" customHeight="1">
      <c r="A13442" s="1">
        <v>14850.0</v>
      </c>
      <c r="B13442" s="3" t="s">
        <v>38128</v>
      </c>
      <c r="C13442" s="3">
        <v>0.0</v>
      </c>
      <c r="D13442" s="3">
        <v>0.0</v>
      </c>
      <c r="E13442" s="3">
        <v>1.0</v>
      </c>
      <c r="F13442" s="3" t="s">
        <v>38129</v>
      </c>
      <c r="G13442" s="3">
        <v>1.0</v>
      </c>
      <c r="H13442" s="3">
        <v>0.0</v>
      </c>
      <c r="I13442" s="3" t="s">
        <v>13</v>
      </c>
      <c r="J13442" s="3" t="s">
        <v>38130</v>
      </c>
      <c r="K13442" s="3" t="s">
        <v>54</v>
      </c>
      <c r="L13442" s="3" t="str">
        <f>IFERROR(__xludf.DUMMYFUNCTION("GOOGLETRANSLATE(F13442,""id"",""en"")"),"France is Argentina assisted by the referee to enter the final")</f>
        <v>France is Argentina assisted by the referee to enter the final</v>
      </c>
    </row>
    <row r="13443" ht="15.75" customHeight="1">
      <c r="A13443" s="1">
        <v>14851.0</v>
      </c>
      <c r="B13443" s="3" t="s">
        <v>38131</v>
      </c>
      <c r="C13443" s="3">
        <v>0.0</v>
      </c>
      <c r="D13443" s="3">
        <v>0.0</v>
      </c>
      <c r="E13443" s="3">
        <v>0.0</v>
      </c>
      <c r="F13443" s="3" t="s">
        <v>38132</v>
      </c>
      <c r="G13443" s="3">
        <v>0.0</v>
      </c>
      <c r="H13443" s="3">
        <v>0.0</v>
      </c>
      <c r="I13443" s="3" t="s">
        <v>13</v>
      </c>
      <c r="J13443" s="3" t="s">
        <v>38133</v>
      </c>
      <c r="K13443" s="3" t="s">
        <v>510</v>
      </c>
      <c r="L13443" s="3" t="str">
        <f>IFERROR(__xludf.DUMMYFUNCTION("GOOGLETRANSLATE(F13443,""id"",""en"")"),"Argentina French Appointment of referee Szymon Marciniak aroused the bad memories of Messi All Kompas page")</f>
        <v>Argentina French Appointment of referee Szymon Marciniak aroused the bad memories of Messi All Kompas page</v>
      </c>
    </row>
    <row r="13444" ht="15.75" customHeight="1">
      <c r="A13444" s="1">
        <v>14852.0</v>
      </c>
      <c r="B13444" s="3" t="s">
        <v>38134</v>
      </c>
      <c r="C13444" s="3">
        <v>1.0</v>
      </c>
      <c r="D13444" s="3">
        <v>0.0</v>
      </c>
      <c r="E13444" s="3">
        <v>0.0</v>
      </c>
      <c r="F13444" s="3" t="s">
        <v>38135</v>
      </c>
      <c r="G13444" s="3">
        <v>0.2</v>
      </c>
      <c r="H13444" s="3">
        <v>-0.1</v>
      </c>
      <c r="I13444" s="3" t="s">
        <v>179</v>
      </c>
      <c r="J13444" s="3" t="s">
        <v>38136</v>
      </c>
      <c r="K13444" s="3" t="s">
        <v>5193</v>
      </c>
      <c r="L13444" s="3" t="str">
        <f>IFERROR(__xludf.DUMMYFUNCTION("GOOGLETRANSLATE(F13444,""id"",""en"")"),"In terms of mental French in terms of Argentine referees in terms of French game in terms of luck Argentina depends on Griezman if the playing is chaotic losing France")</f>
        <v>In terms of mental French in terms of Argentine referees in terms of French game in terms of luck Argentina depends on Griezman if the playing is chaotic losing France</v>
      </c>
    </row>
    <row r="13445" ht="15.75" customHeight="1">
      <c r="A13445" s="1">
        <v>14853.0</v>
      </c>
      <c r="B13445" s="3" t="s">
        <v>38137</v>
      </c>
      <c r="C13445" s="3">
        <v>0.0</v>
      </c>
      <c r="D13445" s="3">
        <v>0.0</v>
      </c>
      <c r="E13445" s="3">
        <v>0.0</v>
      </c>
      <c r="F13445" s="3" t="s">
        <v>38132</v>
      </c>
      <c r="G13445" s="3">
        <v>0.0</v>
      </c>
      <c r="H13445" s="3">
        <v>0.0</v>
      </c>
      <c r="I13445" s="3" t="s">
        <v>13</v>
      </c>
      <c r="J13445" s="3" t="s">
        <v>38133</v>
      </c>
      <c r="K13445" s="3" t="s">
        <v>510</v>
      </c>
      <c r="L13445" s="3" t="str">
        <f>IFERROR(__xludf.DUMMYFUNCTION("GOOGLETRANSLATE(F13445,""id"",""en"")"),"Argentina French Appointment of referee Szymon Marciniak aroused the bad memories of Messi All Kompas page")</f>
        <v>Argentina French Appointment of referee Szymon Marciniak aroused the bad memories of Messi All Kompas page</v>
      </c>
    </row>
    <row r="13446" ht="15.75" customHeight="1">
      <c r="A13446" s="1">
        <v>14854.0</v>
      </c>
      <c r="B13446" s="3" t="s">
        <v>38138</v>
      </c>
      <c r="C13446" s="3">
        <v>0.0</v>
      </c>
      <c r="D13446" s="3">
        <v>1.0</v>
      </c>
      <c r="E13446" s="3">
        <v>1.0</v>
      </c>
      <c r="F13446" s="3" t="s">
        <v>38139</v>
      </c>
      <c r="G13446" s="3">
        <v>1.0</v>
      </c>
      <c r="H13446" s="3">
        <v>0.0</v>
      </c>
      <c r="I13446" s="3" t="s">
        <v>13</v>
      </c>
      <c r="J13446" s="3" t="s">
        <v>38140</v>
      </c>
      <c r="K13446" s="3" t="s">
        <v>75</v>
      </c>
      <c r="L13446" s="3" t="str">
        <f>IFERROR(__xludf.DUMMYFUNCTION("GOOGLETRANSLATE(F13446,""id"",""en"")"),"Szymon Marciniak Argentina French World Cup Final Referee paid billion")</f>
        <v>Szymon Marciniak Argentina French World Cup Final Referee paid billion</v>
      </c>
    </row>
    <row r="13447" ht="15.75" customHeight="1">
      <c r="A13447" s="1">
        <v>14855.0</v>
      </c>
      <c r="B13447" s="3" t="s">
        <v>38141</v>
      </c>
      <c r="C13447" s="3">
        <v>2.0</v>
      </c>
      <c r="D13447" s="3">
        <v>1.0</v>
      </c>
      <c r="E13447" s="3">
        <v>3.0</v>
      </c>
      <c r="F13447" s="3" t="s">
        <v>38142</v>
      </c>
      <c r="G13447" s="3">
        <v>1.0</v>
      </c>
      <c r="H13447" s="3">
        <v>0.0</v>
      </c>
      <c r="I13447" s="3" t="s">
        <v>13</v>
      </c>
      <c r="J13447" s="3" t="s">
        <v>38143</v>
      </c>
      <c r="K13447" s="3" t="s">
        <v>22113</v>
      </c>
      <c r="L13447" s="3" t="str">
        <f>IFERROR(__xludf.DUMMYFUNCTION("GOOGLETRANSLATE(F13447,""id"",""en"")"),"The Unique Facts of the World Cup Final Led by a referee named Romaldo Arppi Filho who was born on January Argentina The World Cup Final Champion was led by a referee named Szymon Marciniak who was born on January")</f>
        <v>The Unique Facts of the World Cup Final Led by a referee named Romaldo Arppi Filho who was born on January Argentina The World Cup Final Champion was led by a referee named Szymon Marciniak who was born on January</v>
      </c>
    </row>
    <row r="13448" ht="15.75" customHeight="1">
      <c r="A13448" s="1">
        <v>14856.0</v>
      </c>
      <c r="B13448" s="3" t="s">
        <v>38144</v>
      </c>
      <c r="C13448" s="3">
        <v>1.0</v>
      </c>
      <c r="D13448" s="3">
        <v>0.0</v>
      </c>
      <c r="E13448" s="3">
        <v>0.0</v>
      </c>
      <c r="F13448" s="3" t="s">
        <v>37615</v>
      </c>
      <c r="G13448" s="3">
        <v>0.0</v>
      </c>
      <c r="H13448" s="3">
        <v>0.0</v>
      </c>
      <c r="I13448" s="3" t="s">
        <v>13</v>
      </c>
      <c r="J13448" s="3" t="s">
        <v>37616</v>
      </c>
      <c r="K13448" s="3" t="s">
        <v>2117</v>
      </c>
      <c r="L13448" s="3" t="str">
        <f>IFERROR(__xludf.DUMMYFUNCTION("GOOGLETRANSLATE(F13448,""id"",""en"")"),"Argentina is assisted by the referee")</f>
        <v>Argentina is assisted by the referee</v>
      </c>
    </row>
    <row r="13449" ht="15.75" customHeight="1">
      <c r="A13449" s="1">
        <v>14857.0</v>
      </c>
      <c r="B13449" s="3" t="s">
        <v>38145</v>
      </c>
      <c r="C13449" s="3">
        <v>0.0</v>
      </c>
      <c r="D13449" s="3">
        <v>0.0</v>
      </c>
      <c r="E13449" s="3">
        <v>0.0</v>
      </c>
      <c r="F13449" s="3" t="s">
        <v>38146</v>
      </c>
      <c r="G13449" s="3">
        <v>1.0</v>
      </c>
      <c r="H13449" s="3">
        <v>0.0</v>
      </c>
      <c r="I13449" s="3" t="s">
        <v>13</v>
      </c>
      <c r="J13449" s="3" t="s">
        <v>38147</v>
      </c>
      <c r="K13449" s="3" t="s">
        <v>50</v>
      </c>
      <c r="L13449" s="3" t="str">
        <f>IFERROR(__xludf.DUMMYFUNCTION("GOOGLETRANSLATE(F13449,""id"",""en"")"),"FIFA has officially announced the referee who will lead the World Cup final match, Szymon Marciniak")</f>
        <v>FIFA has officially announced the referee who will lead the World Cup final match, Szymon Marciniak</v>
      </c>
    </row>
    <row r="13450" ht="15.75" customHeight="1">
      <c r="A13450" s="1">
        <v>14858.0</v>
      </c>
      <c r="B13450" s="3" t="s">
        <v>38148</v>
      </c>
      <c r="C13450" s="3">
        <v>0.0</v>
      </c>
      <c r="D13450" s="3">
        <v>0.0</v>
      </c>
      <c r="E13450" s="3">
        <v>0.0</v>
      </c>
      <c r="F13450" s="3" t="s">
        <v>38149</v>
      </c>
      <c r="G13450" s="3">
        <v>0.0</v>
      </c>
      <c r="H13450" s="3">
        <v>0.0</v>
      </c>
      <c r="I13450" s="3" t="s">
        <v>13</v>
      </c>
      <c r="J13450" s="3" t="s">
        <v>38150</v>
      </c>
      <c r="K13450" s="3" t="s">
        <v>192</v>
      </c>
      <c r="L13450" s="3" t="str">
        <f>IFERROR(__xludf.DUMMYFUNCTION("GOOGLETRANSLATE(F13450,""id"",""en"")"),"Learning from the game last night the party fulfilled the controversial where the referee loved Croatia more than Morocco, just remembering that tonight would not be surprised if Argentina was right to win to win wkwkwk")</f>
        <v>Learning from the game last night the party fulfilled the controversial where the referee loved Croatia more than Morocco, just remembering that tonight would not be surprised if Argentina was right to win to win wkwkwk</v>
      </c>
    </row>
    <row r="13451" ht="15.75" customHeight="1">
      <c r="A13451" s="1">
        <v>14859.0</v>
      </c>
      <c r="B13451" s="3" t="s">
        <v>38151</v>
      </c>
      <c r="C13451" s="3">
        <v>1.0</v>
      </c>
      <c r="D13451" s="3">
        <v>1.0</v>
      </c>
      <c r="E13451" s="3">
        <v>13.0</v>
      </c>
      <c r="F13451" s="3" t="s">
        <v>38152</v>
      </c>
      <c r="G13451" s="3">
        <v>1.0</v>
      </c>
      <c r="H13451" s="3">
        <v>0.0</v>
      </c>
      <c r="I13451" s="3" t="s">
        <v>13</v>
      </c>
      <c r="J13451" s="3" t="s">
        <v>38153</v>
      </c>
      <c r="K13451" s="3" t="s">
        <v>41</v>
      </c>
      <c r="L13451" s="3" t="str">
        <f>IFERROR(__xludf.DUMMYFUNCTION("GOOGLETRANSLATE(F13451,""id"",""en"")"),"Tomasz Kwiatkowski Referee Var Final of the French Argentina World Cup")</f>
        <v>Tomasz Kwiatkowski Referee Var Final of the French Argentina World Cup</v>
      </c>
    </row>
    <row r="13452" ht="15.75" customHeight="1">
      <c r="A13452" s="1">
        <v>14860.0</v>
      </c>
      <c r="B13452" s="3" t="s">
        <v>38154</v>
      </c>
      <c r="C13452" s="3">
        <v>0.0</v>
      </c>
      <c r="D13452" s="3">
        <v>0.0</v>
      </c>
      <c r="E13452" s="3">
        <v>0.0</v>
      </c>
      <c r="F13452" s="3" t="s">
        <v>38155</v>
      </c>
      <c r="G13452" s="3">
        <v>1.0</v>
      </c>
      <c r="H13452" s="3">
        <v>0.0</v>
      </c>
      <c r="I13452" s="3" t="s">
        <v>13</v>
      </c>
      <c r="J13452" s="3" t="s">
        <v>38156</v>
      </c>
      <c r="K13452" s="3" t="s">
        <v>58</v>
      </c>
      <c r="L13452" s="3" t="str">
        <f>IFERROR(__xludf.DUMMYFUNCTION("GOOGLETRANSLATE(F13452,""id"",""en"")"),"The French Argentina Final tonight was led by the referee of nightmare Messi Scaloni was passing by")</f>
        <v>The French Argentina Final tonight was led by the referee of nightmare Messi Scaloni was passing by</v>
      </c>
    </row>
    <row r="13453" ht="15.75" customHeight="1">
      <c r="A13453" s="1">
        <v>14861.0</v>
      </c>
      <c r="B13453" s="3" t="s">
        <v>38157</v>
      </c>
      <c r="C13453" s="3">
        <v>0.0</v>
      </c>
      <c r="D13453" s="3">
        <v>0.0</v>
      </c>
      <c r="E13453" s="3">
        <v>0.0</v>
      </c>
      <c r="F13453" s="3" t="s">
        <v>38158</v>
      </c>
      <c r="G13453" s="3">
        <v>0.0</v>
      </c>
      <c r="H13453" s="3">
        <v>0.0</v>
      </c>
      <c r="I13453" s="3" t="s">
        <v>13</v>
      </c>
      <c r="J13453" s="3" t="s">
        <v>38159</v>
      </c>
      <c r="K13453" s="3" t="s">
        <v>50</v>
      </c>
      <c r="L13453" s="3" t="str">
        <f>IFERROR(__xludf.DUMMYFUNCTION("GOOGLETRANSLATE(F13453,""id"",""en"")"),"The champion of France won even if the referee and FIFA did not conspire to win Argentina")</f>
        <v>The champion of France won even if the referee and FIFA did not conspire to win Argentina</v>
      </c>
    </row>
    <row r="13454" ht="15.75" customHeight="1">
      <c r="A13454" s="1">
        <v>14862.0</v>
      </c>
      <c r="B13454" s="3" t="s">
        <v>38160</v>
      </c>
      <c r="C13454" s="3">
        <v>0.0</v>
      </c>
      <c r="D13454" s="3">
        <v>0.0</v>
      </c>
      <c r="E13454" s="3">
        <v>0.0</v>
      </c>
      <c r="F13454" s="3" t="s">
        <v>38161</v>
      </c>
      <c r="G13454" s="3">
        <v>0.0</v>
      </c>
      <c r="H13454" s="3">
        <v>0.0</v>
      </c>
      <c r="I13454" s="3" t="s">
        <v>13</v>
      </c>
      <c r="J13454" s="3" t="s">
        <v>38162</v>
      </c>
      <c r="K13454" s="3" t="s">
        <v>19</v>
      </c>
      <c r="L13454" s="3" t="str">
        <f>IFERROR(__xludf.DUMMYFUNCTION("GOOGLETRANSLATE(F13454,""id"",""en"")"),"com The winner has been arranged by FIFA, namely Argentina, if not assisted by my predictions, France wins wins")</f>
        <v>com The winner has been arranged by FIFA, namely Argentina, if not assisted by my predictions, France wins wins</v>
      </c>
    </row>
    <row r="13455" ht="15.75" customHeight="1">
      <c r="A13455" s="1">
        <v>14863.0</v>
      </c>
      <c r="B13455" s="3" t="s">
        <v>38163</v>
      </c>
      <c r="C13455" s="3">
        <v>1.0</v>
      </c>
      <c r="D13455" s="3">
        <v>0.0</v>
      </c>
      <c r="E13455" s="3">
        <v>0.0</v>
      </c>
      <c r="F13455" s="3" t="s">
        <v>38164</v>
      </c>
      <c r="G13455" s="3">
        <v>1.0</v>
      </c>
      <c r="H13455" s="3">
        <v>0.0</v>
      </c>
      <c r="I13455" s="3" t="s">
        <v>13</v>
      </c>
      <c r="J13455" s="3" t="s">
        <v>38165</v>
      </c>
      <c r="K13455" s="3" t="s">
        <v>433</v>
      </c>
      <c r="L13455" s="3" t="str">
        <f>IFERROR(__xludf.DUMMYFUNCTION("GOOGLETRANSLATE(F13455,""id"",""en"")"),"If necessary, all the referees for the final match came from Argentina so that the referee had the opportunity to score for his country")</f>
        <v>If necessary, all the referees for the final match came from Argentina so that the referee had the opportunity to score for his country</v>
      </c>
    </row>
    <row r="13456" ht="15.75" customHeight="1">
      <c r="A13456" s="1">
        <v>14864.0</v>
      </c>
      <c r="B13456" s="3" t="s">
        <v>38166</v>
      </c>
      <c r="C13456" s="3">
        <v>0.0</v>
      </c>
      <c r="D13456" s="3">
        <v>0.0</v>
      </c>
      <c r="E13456" s="3">
        <v>0.0</v>
      </c>
      <c r="F13456" s="3" t="s">
        <v>38167</v>
      </c>
      <c r="G13456" s="3">
        <v>0.0</v>
      </c>
      <c r="H13456" s="3">
        <v>0.0</v>
      </c>
      <c r="I13456" s="3" t="s">
        <v>13</v>
      </c>
      <c r="J13456" s="3" t="s">
        <v>38168</v>
      </c>
      <c r="K13456" s="3" t="s">
        <v>699</v>
      </c>
      <c r="L13456" s="3" t="str">
        <f>IFERROR(__xludf.DUMMYFUNCTION("GOOGLETRANSLATE(F13456,""id"",""en"")"),"The more bets for Argentina the city is, the more afraid of losing one of the ways the bookie Nyograk referees Spy France wins")</f>
        <v>The more bets for Argentina the city is, the more afraid of losing one of the ways the bookie Nyograk referees Spy France wins</v>
      </c>
    </row>
    <row r="13457" ht="15.75" customHeight="1">
      <c r="A13457" s="1">
        <v>14865.0</v>
      </c>
      <c r="B13457" s="3" t="s">
        <v>38169</v>
      </c>
      <c r="C13457" s="3">
        <v>22.0</v>
      </c>
      <c r="D13457" s="3">
        <v>46.0</v>
      </c>
      <c r="E13457" s="3">
        <v>303.0</v>
      </c>
      <c r="F13457" s="3" t="s">
        <v>38170</v>
      </c>
      <c r="G13457" s="3">
        <v>0.7999999999999999</v>
      </c>
      <c r="H13457" s="3">
        <v>0.1</v>
      </c>
      <c r="I13457" s="3" t="s">
        <v>48</v>
      </c>
      <c r="J13457" s="3" t="s">
        <v>38171</v>
      </c>
      <c r="K13457" s="3" t="s">
        <v>935</v>
      </c>
      <c r="L13457" s="3" t="str">
        <f>IFERROR(__xludf.DUMMYFUNCTION("GOOGLETRANSLATE(F13457,""id"",""en"")"),"Rapha Varane Main Final won only the last time Varane lost the final UEFA Super Cup Atletico Diego Simeone Referee at that time Szymon Marciniak Final Pildun Varane French Argentina team who was referee Szymon Marciniak")</f>
        <v>Rapha Varane Main Final won only the last time Varane lost the final UEFA Super Cup Atletico Diego Simeone Referee at that time Szymon Marciniak Final Pildun Varane French Argentina team who was referee Szymon Marciniak</v>
      </c>
    </row>
    <row r="13458" ht="15.75" customHeight="1">
      <c r="A13458" s="1">
        <v>14866.0</v>
      </c>
      <c r="B13458" s="3" t="s">
        <v>38172</v>
      </c>
      <c r="C13458" s="3">
        <v>0.0</v>
      </c>
      <c r="D13458" s="3">
        <v>0.0</v>
      </c>
      <c r="E13458" s="3">
        <v>0.0</v>
      </c>
      <c r="F13458" s="3" t="s">
        <v>38173</v>
      </c>
      <c r="G13458" s="3">
        <v>0.0</v>
      </c>
      <c r="H13458" s="3">
        <v>0.0</v>
      </c>
      <c r="I13458" s="3" t="s">
        <v>13</v>
      </c>
      <c r="J13458" s="3" t="s">
        <v>38174</v>
      </c>
      <c r="K13458" s="3" t="s">
        <v>1061</v>
      </c>
      <c r="L13458" s="3" t="str">
        <f>IFERROR(__xludf.DUMMYFUNCTION("GOOGLETRANSLATE(F13458,""id"",""en"")"),"Info on the Reported Tonight The referee will side with Argentina so that Messi can get the World Cup even if you need his own referee who scores a French goal goal gives a penalty when the player is violated by a penalty box already not level")</f>
        <v>Info on the Reported Tonight The referee will side with Argentina so that Messi can get the World Cup even if you need his own referee who scores a French goal goal gives a penalty when the player is violated by a penalty box already not level</v>
      </c>
    </row>
    <row r="13459" ht="15.75" customHeight="1">
      <c r="A13459" s="1">
        <v>14867.0</v>
      </c>
      <c r="B13459" s="3" t="s">
        <v>38175</v>
      </c>
      <c r="C13459" s="3">
        <v>2912.0</v>
      </c>
      <c r="D13459" s="3">
        <v>205.0</v>
      </c>
      <c r="E13459" s="3">
        <v>759.0</v>
      </c>
      <c r="F13459" s="3" t="s">
        <v>38176</v>
      </c>
      <c r="G13459" s="3">
        <v>1.0</v>
      </c>
      <c r="H13459" s="3">
        <v>0.0</v>
      </c>
      <c r="I13459" s="3" t="s">
        <v>13</v>
      </c>
      <c r="J13459" s="3" t="s">
        <v>38177</v>
      </c>
      <c r="K13459" s="3" t="s">
        <v>1870</v>
      </c>
      <c r="L13459" s="3" t="str">
        <f>IFERROR(__xludf.DUMMYFUNCTION("GOOGLETRANSLATE(F13459,""id"",""en"")"),"Let's credit for the account can guess the French Argentina Final Score, need to follow or mostly mention anyone, just write down your guess and give the hashtag to be closed together with the whistle sign of the kick off")</f>
        <v>Let's credit for the account can guess the French Argentina Final Score, need to follow or mostly mention anyone, just write down your guess and give the hashtag to be closed together with the whistle sign of the kick off</v>
      </c>
    </row>
    <row r="13460" ht="15.75" customHeight="1">
      <c r="A13460" s="1">
        <v>14868.0</v>
      </c>
      <c r="B13460" s="3" t="s">
        <v>38178</v>
      </c>
      <c r="C13460" s="3">
        <v>0.0</v>
      </c>
      <c r="D13460" s="3">
        <v>0.0</v>
      </c>
      <c r="E13460" s="3">
        <v>0.0</v>
      </c>
      <c r="F13460" s="3" t="s">
        <v>38179</v>
      </c>
      <c r="G13460" s="3">
        <v>1.0</v>
      </c>
      <c r="H13460" s="3">
        <v>0.0</v>
      </c>
      <c r="I13460" s="3" t="s">
        <v>13</v>
      </c>
      <c r="J13460" s="3" t="s">
        <v>38180</v>
      </c>
      <c r="K13460" s="3" t="s">
        <v>510</v>
      </c>
      <c r="L13460" s="3" t="str">
        <f>IFERROR(__xludf.DUMMYFUNCTION("GOOGLETRANSLATE(F13460,""id"",""en"")"),"WAW World Cup Final Referees can be a factor that can make Argentina defeat France check facts")</f>
        <v>WAW World Cup Final Referees can be a factor that can make Argentina defeat France check facts</v>
      </c>
    </row>
    <row r="13461" ht="15.75" customHeight="1">
      <c r="A13461" s="1">
        <v>14869.0</v>
      </c>
      <c r="B13461" s="3" t="s">
        <v>38181</v>
      </c>
      <c r="C13461" s="3">
        <v>0.0</v>
      </c>
      <c r="D13461" s="3">
        <v>0.0</v>
      </c>
      <c r="E13461" s="3">
        <v>0.0</v>
      </c>
      <c r="F13461" s="3" t="s">
        <v>38182</v>
      </c>
      <c r="G13461" s="3">
        <v>1.0</v>
      </c>
      <c r="H13461" s="3">
        <v>0.0</v>
      </c>
      <c r="I13461" s="3" t="s">
        <v>13</v>
      </c>
      <c r="J13461" s="3" t="s">
        <v>38183</v>
      </c>
      <c r="K13461" s="3" t="s">
        <v>75</v>
      </c>
      <c r="L13461" s="3" t="str">
        <f>IFERROR(__xludf.DUMMYFUNCTION("GOOGLETRANSLATE(F13461,""id"",""en"")"),"England referee Anthony Taylor was removed in the French Argentine final match")</f>
        <v>England referee Anthony Taylor was removed in the French Argentine final match</v>
      </c>
    </row>
    <row r="13462" ht="15.75" customHeight="1">
      <c r="A13462" s="1">
        <v>14870.0</v>
      </c>
      <c r="B13462" s="3" t="s">
        <v>38184</v>
      </c>
      <c r="C13462" s="3">
        <v>1.0</v>
      </c>
      <c r="D13462" s="3">
        <v>5.0</v>
      </c>
      <c r="E13462" s="3">
        <v>38.0</v>
      </c>
      <c r="F13462" s="3" t="s">
        <v>38185</v>
      </c>
      <c r="G13462" s="3">
        <v>1.0</v>
      </c>
      <c r="H13462" s="3">
        <v>0.0</v>
      </c>
      <c r="I13462" s="3" t="s">
        <v>13</v>
      </c>
      <c r="J13462" s="3" t="s">
        <v>38186</v>
      </c>
      <c r="K13462" s="3" t="s">
        <v>1493</v>
      </c>
      <c r="L13462" s="3" t="str">
        <f>IFERROR(__xludf.DUMMYFUNCTION("GOOGLETRANSLATE(F13462,""id"",""en"")"),"Michal Listkiewicz Assistant Final Referee of the West Argentine World Cup Germany The final result of Argentina lost his son Tomasz Listkiewicz to be the assistant referee of the French Argentine World Cup.")</f>
        <v>Michal Listkiewicz Assistant Final Referee of the West Argentine World Cup Germany The final result of Argentina lost his son Tomasz Listkiewicz to be the assistant referee of the French Argentine World Cup.</v>
      </c>
    </row>
    <row r="13463" ht="15.75" customHeight="1">
      <c r="A13463" s="1">
        <v>14871.0</v>
      </c>
      <c r="B13463" s="3" t="s">
        <v>38187</v>
      </c>
      <c r="C13463" s="3">
        <v>2.0</v>
      </c>
      <c r="D13463" s="3">
        <v>0.0</v>
      </c>
      <c r="E13463" s="3">
        <v>1.0</v>
      </c>
      <c r="F13463" s="3" t="s">
        <v>38188</v>
      </c>
      <c r="G13463" s="3">
        <v>1.0</v>
      </c>
      <c r="H13463" s="3">
        <v>0.0</v>
      </c>
      <c r="I13463" s="3" t="s">
        <v>13</v>
      </c>
      <c r="J13463" s="3" t="s">
        <v>38189</v>
      </c>
      <c r="K13463" s="3" t="s">
        <v>437</v>
      </c>
      <c r="L13463" s="3" t="str">
        <f>IFERROR(__xludf.DUMMYFUNCTION("GOOGLETRANSLATE(F13463,""id"",""en"")"),"The Argentine national team faces the French national team of the World Cup Final Albiceleste not worried about the performance of the referee of the struggle for the trophy")</f>
        <v>The Argentine national team faces the French national team of the World Cup Final Albiceleste not worried about the performance of the referee of the struggle for the trophy</v>
      </c>
    </row>
    <row r="13464" ht="15.75" customHeight="1">
      <c r="A13464" s="1">
        <v>14872.0</v>
      </c>
      <c r="B13464" s="3" t="s">
        <v>38190</v>
      </c>
      <c r="C13464" s="3">
        <v>1.0</v>
      </c>
      <c r="D13464" s="3">
        <v>1.0</v>
      </c>
      <c r="E13464" s="3">
        <v>18.0</v>
      </c>
      <c r="F13464" s="3" t="s">
        <v>38191</v>
      </c>
      <c r="G13464" s="3">
        <v>0.0</v>
      </c>
      <c r="H13464" s="3">
        <v>0.0</v>
      </c>
      <c r="I13464" s="3" t="s">
        <v>13</v>
      </c>
      <c r="J13464" s="3" t="s">
        <v>38192</v>
      </c>
      <c r="K13464" s="3" t="s">
        <v>644</v>
      </c>
      <c r="L13464" s="3" t="str">
        <f>IFERROR(__xludf.DUMMYFUNCTION("GOOGLETRANSLATE(F13464,""id"",""en"")"),"from the minute because of the referee Pro Argentina")</f>
        <v>from the minute because of the referee Pro Argentina</v>
      </c>
    </row>
    <row r="13465" ht="15.75" customHeight="1">
      <c r="A13465" s="1">
        <v>14873.0</v>
      </c>
      <c r="B13465" s="3" t="s">
        <v>38193</v>
      </c>
      <c r="C13465" s="3">
        <v>1.0</v>
      </c>
      <c r="D13465" s="3">
        <v>0.0</v>
      </c>
      <c r="E13465" s="3">
        <v>0.0</v>
      </c>
      <c r="F13465" s="3" t="s">
        <v>38194</v>
      </c>
      <c r="G13465" s="3">
        <v>0.0</v>
      </c>
      <c r="H13465" s="3">
        <v>0.0</v>
      </c>
      <c r="I13465" s="3" t="s">
        <v>13</v>
      </c>
      <c r="J13465" s="3" t="s">
        <v>38195</v>
      </c>
      <c r="K13465" s="3" t="s">
        <v>75</v>
      </c>
      <c r="L13465" s="3" t="str">
        <f>IFERROR(__xludf.DUMMYFUNCTION("GOOGLETRANSLATE(F13465,""id"",""en"")"),"wow poland yesterday was defeated by Argentina will be revenge for the referee")</f>
        <v>wow poland yesterday was defeated by Argentina will be revenge for the referee</v>
      </c>
    </row>
    <row r="13466" ht="15.75" customHeight="1">
      <c r="A13466" s="1">
        <v>14874.0</v>
      </c>
      <c r="B13466" s="3" t="s">
        <v>38196</v>
      </c>
      <c r="C13466" s="3">
        <v>3.0</v>
      </c>
      <c r="D13466" s="3">
        <v>0.0</v>
      </c>
      <c r="E13466" s="3">
        <v>0.0</v>
      </c>
      <c r="F13466" s="3" t="s">
        <v>38197</v>
      </c>
      <c r="G13466" s="3">
        <v>1.0</v>
      </c>
      <c r="H13466" s="3">
        <v>0.0</v>
      </c>
      <c r="I13466" s="3" t="s">
        <v>13</v>
      </c>
      <c r="J13466" s="3" t="s">
        <v>38198</v>
      </c>
      <c r="K13466" s="3" t="s">
        <v>15</v>
      </c>
      <c r="L13466" s="3" t="str">
        <f>IFERROR(__xludf.DUMMYFUNCTION("GOOGLETRANSLATE(F13466,""id"",""en"")"),"Lawas FYI is the final referee of Argentine Horacio Elizondo")</f>
        <v>Lawas FYI is the final referee of Argentine Horacio Elizondo</v>
      </c>
    </row>
    <row r="13467" ht="15.75" customHeight="1">
      <c r="A13467" s="1">
        <v>14875.0</v>
      </c>
      <c r="B13467" s="3" t="s">
        <v>38199</v>
      </c>
      <c r="C13467" s="3">
        <v>0.0</v>
      </c>
      <c r="D13467" s="3">
        <v>0.0</v>
      </c>
      <c r="E13467" s="3">
        <v>0.0</v>
      </c>
      <c r="F13467" s="3" t="s">
        <v>38200</v>
      </c>
      <c r="G13467" s="3">
        <v>1.0</v>
      </c>
      <c r="H13467" s="3">
        <v>0.0</v>
      </c>
      <c r="I13467" s="3" t="s">
        <v>13</v>
      </c>
      <c r="J13467" s="3" t="s">
        <v>38201</v>
      </c>
      <c r="K13467" s="3" t="s">
        <v>1656</v>
      </c>
      <c r="L13467" s="3" t="str">
        <f>IFERROR(__xludf.DUMMYFUNCTION("GOOGLETRANSLATE(F13467,""id"",""en"")"),"Polish referee Szymon Marciniak will lead the Qatar World Cup final match between Argentina French Sunday Szymon Mariniak does not carelessly this Polish referee must first defeat other referee candidates")</f>
        <v>Polish referee Szymon Marciniak will lead the Qatar World Cup final match between Argentina French Sunday Szymon Mariniak does not carelessly this Polish referee must first defeat other referee candidates</v>
      </c>
    </row>
    <row r="13468" ht="15.75" customHeight="1">
      <c r="A13468" s="1">
        <v>14876.0</v>
      </c>
      <c r="B13468" s="3" t="s">
        <v>38202</v>
      </c>
      <c r="C13468" s="3">
        <v>0.0</v>
      </c>
      <c r="D13468" s="3">
        <v>0.0</v>
      </c>
      <c r="E13468" s="3">
        <v>1.0</v>
      </c>
      <c r="F13468" s="3" t="s">
        <v>38203</v>
      </c>
      <c r="G13468" s="3">
        <v>1.0</v>
      </c>
      <c r="H13468" s="3">
        <v>0.0</v>
      </c>
      <c r="I13468" s="3" t="s">
        <v>13</v>
      </c>
      <c r="J13468" s="3" t="s">
        <v>38204</v>
      </c>
      <c r="K13468" s="3" t="s">
        <v>41</v>
      </c>
      <c r="L13468" s="3" t="str">
        <f>IFERROR(__xludf.DUMMYFUNCTION("GOOGLETRANSLATE(F13468,""id"",""en"")"),"Get to know Szymon Marciniak French French World Cup Final Referee")</f>
        <v>Get to know Szymon Marciniak French French World Cup Final Referee</v>
      </c>
    </row>
    <row r="13469" ht="15.75" customHeight="1">
      <c r="A13469" s="1">
        <v>14877.0</v>
      </c>
      <c r="B13469" s="3" t="s">
        <v>38205</v>
      </c>
      <c r="C13469" s="3">
        <v>0.0</v>
      </c>
      <c r="D13469" s="3">
        <v>0.0</v>
      </c>
      <c r="E13469" s="3">
        <v>0.0</v>
      </c>
      <c r="F13469" s="3" t="s">
        <v>38206</v>
      </c>
      <c r="G13469" s="3">
        <v>1.0</v>
      </c>
      <c r="H13469" s="3">
        <v>0.0</v>
      </c>
      <c r="I13469" s="3" t="s">
        <v>13</v>
      </c>
      <c r="J13469" s="3" t="s">
        <v>38207</v>
      </c>
      <c r="K13469" s="3" t="s">
        <v>50</v>
      </c>
      <c r="L13469" s="3" t="str">
        <f>IFERROR(__xludf.DUMMYFUNCTION("GOOGLETRANSLATE(F13469,""id"",""en"")"),"The World Cup final referee is Szymon Marciniak he will lead a duel between Argentina France tonight")</f>
        <v>The World Cup final referee is Szymon Marciniak he will lead a duel between Argentina France tonight</v>
      </c>
    </row>
    <row r="13470" ht="15.75" customHeight="1">
      <c r="A13470" s="1">
        <v>14878.0</v>
      </c>
      <c r="B13470" s="3" t="s">
        <v>38208</v>
      </c>
      <c r="C13470" s="3">
        <v>0.0</v>
      </c>
      <c r="D13470" s="3">
        <v>0.0</v>
      </c>
      <c r="E13470" s="3">
        <v>0.0</v>
      </c>
      <c r="F13470" s="3" t="s">
        <v>38206</v>
      </c>
      <c r="G13470" s="3">
        <v>1.0</v>
      </c>
      <c r="H13470" s="3">
        <v>0.0</v>
      </c>
      <c r="I13470" s="3" t="s">
        <v>13</v>
      </c>
      <c r="J13470" s="3" t="s">
        <v>38207</v>
      </c>
      <c r="K13470" s="3" t="s">
        <v>50</v>
      </c>
      <c r="L13470" s="3" t="str">
        <f>IFERROR(__xludf.DUMMYFUNCTION("GOOGLETRANSLATE(F13470,""id"",""en"")"),"The World Cup final referee is Szymon Marciniak he will lead a duel between Argentina France tonight")</f>
        <v>The World Cup final referee is Szymon Marciniak he will lead a duel between Argentina France tonight</v>
      </c>
    </row>
    <row r="13471" ht="15.75" customHeight="1">
      <c r="A13471" s="1">
        <v>14879.0</v>
      </c>
      <c r="B13471" s="3" t="s">
        <v>38209</v>
      </c>
      <c r="C13471" s="3">
        <v>0.0</v>
      </c>
      <c r="D13471" s="3">
        <v>0.0</v>
      </c>
      <c r="E13471" s="3">
        <v>1.0</v>
      </c>
      <c r="F13471" s="3" t="s">
        <v>38210</v>
      </c>
      <c r="G13471" s="3">
        <v>0.0</v>
      </c>
      <c r="H13471" s="3">
        <v>0.0</v>
      </c>
      <c r="I13471" s="3" t="s">
        <v>13</v>
      </c>
      <c r="J13471" s="3" t="s">
        <v>38211</v>
      </c>
      <c r="K13471" s="3" t="s">
        <v>3164</v>
      </c>
      <c r="L13471" s="3" t="str">
        <f>IFERROR(__xludf.DUMMYFUNCTION("GOOGLETRANSLATE(F13471,""id"",""en"")"),"Congratulations to Argentina, the World Cup champion we already know that the referee VAR's plan has leaked Argentina the World Cup championship")</f>
        <v>Congratulations to Argentina, the World Cup champion we already know that the referee VAR's plan has leaked Argentina the World Cup championship</v>
      </c>
    </row>
    <row r="13472" ht="15.75" customHeight="1">
      <c r="A13472" s="1">
        <v>14880.0</v>
      </c>
      <c r="B13472" s="3" t="s">
        <v>38212</v>
      </c>
      <c r="C13472" s="3">
        <v>1.0</v>
      </c>
      <c r="D13472" s="3">
        <v>1.0</v>
      </c>
      <c r="E13472" s="3">
        <v>9.0</v>
      </c>
      <c r="F13472" s="3" t="s">
        <v>38213</v>
      </c>
      <c r="G13472" s="3">
        <v>1.0</v>
      </c>
      <c r="H13472" s="3">
        <v>0.0</v>
      </c>
      <c r="I13472" s="3" t="s">
        <v>13</v>
      </c>
      <c r="J13472" s="3" t="s">
        <v>38214</v>
      </c>
      <c r="K13472" s="3" t="s">
        <v>15</v>
      </c>
      <c r="L13472" s="3" t="str">
        <f>IFERROR(__xludf.DUMMYFUNCTION("GOOGLETRANSLATE(F13472,""id"",""en"")"),"Analysis Regarding the Argentina France World Cup Final Referee")</f>
        <v>Analysis Regarding the Argentina France World Cup Final Referee</v>
      </c>
    </row>
    <row r="13473" ht="15.75" customHeight="1">
      <c r="A13473" s="1">
        <v>14881.0</v>
      </c>
      <c r="B13473" s="3" t="s">
        <v>38215</v>
      </c>
      <c r="C13473" s="3">
        <v>10.0</v>
      </c>
      <c r="D13473" s="3">
        <v>272.0</v>
      </c>
      <c r="E13473" s="3">
        <v>852.0</v>
      </c>
      <c r="F13473" s="3" t="s">
        <v>38216</v>
      </c>
      <c r="G13473" s="3">
        <v>1.0</v>
      </c>
      <c r="H13473" s="3">
        <v>0.0</v>
      </c>
      <c r="I13473" s="3" t="s">
        <v>13</v>
      </c>
      <c r="J13473" s="3" t="s">
        <v>38217</v>
      </c>
      <c r="K13473" s="3" t="s">
        <v>10085</v>
      </c>
      <c r="L13473" s="3" t="str">
        <f>IFERROR(__xludf.DUMMYFUNCTION("GOOGLETRANSLATE(F13473,""id"",""en"")"),"Michal Listkiewicz Assistant World Cup Final Referee between Argentina and Germany featuring Diego Maradona Tomasz Listkiewicz became the Assistant of the World Cup Final Referee between Argentina French featuring Lionel Messi Like Father Like Son")</f>
        <v>Michal Listkiewicz Assistant World Cup Final Referee between Argentina and Germany featuring Diego Maradona Tomasz Listkiewicz became the Assistant of the World Cup Final Referee between Argentina French featuring Lionel Messi Like Father Like Son</v>
      </c>
    </row>
    <row r="13474" ht="15.75" customHeight="1">
      <c r="A13474" s="1">
        <v>14882.0</v>
      </c>
      <c r="B13474" s="3" t="s">
        <v>38218</v>
      </c>
      <c r="C13474" s="3">
        <v>1.0</v>
      </c>
      <c r="D13474" s="3">
        <v>0.0</v>
      </c>
      <c r="E13474" s="3">
        <v>1.0</v>
      </c>
      <c r="F13474" s="3" t="s">
        <v>38219</v>
      </c>
      <c r="G13474" s="3">
        <v>0.0</v>
      </c>
      <c r="H13474" s="3">
        <v>0.0</v>
      </c>
      <c r="I13474" s="3" t="s">
        <v>13</v>
      </c>
      <c r="J13474" s="3" t="s">
        <v>38220</v>
      </c>
      <c r="K13474" s="3" t="s">
        <v>520</v>
      </c>
      <c r="L13474" s="3" t="str">
        <f>IFERROR(__xludf.DUMMYFUNCTION("GOOGLETRANSLATE(F13474,""id"",""en"")"),"Argentina France There is a team that has a yellow card until there could be a red card there is a player who is noisy with the referee there is a core player who is injured")</f>
        <v>Argentina France There is a team that has a yellow card until there could be a red card there is a player who is noisy with the referee there is a core player who is injured</v>
      </c>
    </row>
    <row r="13475" ht="15.75" customHeight="1">
      <c r="A13475" s="1">
        <v>14883.0</v>
      </c>
      <c r="B13475" s="3" t="s">
        <v>38221</v>
      </c>
      <c r="C13475" s="3">
        <v>0.0</v>
      </c>
      <c r="D13475" s="3">
        <v>0.0</v>
      </c>
      <c r="E13475" s="3">
        <v>1.0</v>
      </c>
      <c r="F13475" s="3" t="s">
        <v>38222</v>
      </c>
      <c r="G13475" s="3">
        <v>1.0</v>
      </c>
      <c r="H13475" s="3">
        <v>0.0</v>
      </c>
      <c r="I13475" s="3" t="s">
        <v>13</v>
      </c>
      <c r="J13475" s="3" t="s">
        <v>38223</v>
      </c>
      <c r="K13475" s="3" t="s">
        <v>510</v>
      </c>
      <c r="L13475" s="3" t="str">
        <f>IFERROR(__xludf.DUMMYFUNCTION("GOOGLETRANSLATE(F13475,""id"",""en"")"),"Argentine national team coach Lionel Scaloni is calm with the appointment of the World Cup Final referee Szymon Marciniak")</f>
        <v>Argentine national team coach Lionel Scaloni is calm with the appointment of the World Cup Final referee Szymon Marciniak</v>
      </c>
    </row>
    <row r="13476" ht="15.75" customHeight="1">
      <c r="A13476" s="1">
        <v>14884.0</v>
      </c>
      <c r="B13476" s="3" t="s">
        <v>38224</v>
      </c>
      <c r="C13476" s="3">
        <v>134.0</v>
      </c>
      <c r="D13476" s="3">
        <v>16.0</v>
      </c>
      <c r="E13476" s="3">
        <v>73.0</v>
      </c>
      <c r="F13476" s="3" t="s">
        <v>38225</v>
      </c>
      <c r="G13476" s="3">
        <v>1.0</v>
      </c>
      <c r="H13476" s="3">
        <v>0.0</v>
      </c>
      <c r="I13476" s="3" t="s">
        <v>13</v>
      </c>
      <c r="J13476" s="3" t="s">
        <v>38226</v>
      </c>
      <c r="K13476" s="3" t="s">
        <v>1293</v>
      </c>
      <c r="L13476" s="3" t="str">
        <f>IFERROR(__xludf.DUMMYFUNCTION("GOOGLETRANSLATE(F13476,""id"",""en"")"),"My friend has three special prizes from for three final scores, make sure the post ends when the referee prit starts mentioning hestek")</f>
        <v>My friend has three special prizes from for three final scores, make sure the post ends when the referee prit starts mentioning hestek</v>
      </c>
    </row>
    <row r="13477" ht="15.75" customHeight="1">
      <c r="A13477" s="1">
        <v>14885.0</v>
      </c>
      <c r="B13477" s="3" t="s">
        <v>38227</v>
      </c>
      <c r="C13477" s="3">
        <v>0.0</v>
      </c>
      <c r="D13477" s="3">
        <v>0.0</v>
      </c>
      <c r="E13477" s="3">
        <v>1.0</v>
      </c>
      <c r="F13477" s="3" t="s">
        <v>38228</v>
      </c>
      <c r="G13477" s="3">
        <v>0.0</v>
      </c>
      <c r="H13477" s="3">
        <v>0.0</v>
      </c>
      <c r="I13477" s="3" t="s">
        <v>13</v>
      </c>
      <c r="J13477" s="3" t="s">
        <v>38229</v>
      </c>
      <c r="K13477" s="3" t="s">
        <v>54</v>
      </c>
      <c r="L13477" s="3" t="str">
        <f>IFERROR(__xludf.DUMMYFUNCTION("GOOGLETRANSLATE(F13477,""id"",""en"")"),"French Argentina Lionel Scaloni Swed in Referee")</f>
        <v>French Argentina Lionel Scaloni Swed in Referee</v>
      </c>
    </row>
    <row r="13478" ht="15.75" customHeight="1">
      <c r="A13478" s="1">
        <v>14886.0</v>
      </c>
      <c r="B13478" s="3" t="s">
        <v>38230</v>
      </c>
      <c r="C13478" s="3">
        <v>0.0</v>
      </c>
      <c r="D13478" s="3">
        <v>0.0</v>
      </c>
      <c r="E13478" s="3">
        <v>0.0</v>
      </c>
      <c r="F13478" s="3" t="s">
        <v>38231</v>
      </c>
      <c r="G13478" s="3">
        <v>1.0</v>
      </c>
      <c r="H13478" s="3">
        <v>0.0</v>
      </c>
      <c r="I13478" s="3" t="s">
        <v>13</v>
      </c>
      <c r="J13478" s="3" t="s">
        <v>38232</v>
      </c>
      <c r="K13478" s="3" t="s">
        <v>657</v>
      </c>
      <c r="L13478" s="3" t="str">
        <f>IFERROR(__xludf.DUMMYFUNCTION("GOOGLETRANSLATE(F13478,""id"",""en"")"),"The biggest BREAKING NEWS Today the final referee tonight turns out to pay the transfer by FIFA PLUIT has been prepared by Argentina France")</f>
        <v>The biggest BREAKING NEWS Today the final referee tonight turns out to pay the transfer by FIFA PLUIT has been prepared by Argentina France</v>
      </c>
    </row>
    <row r="13479" ht="15.75" customHeight="1">
      <c r="A13479" s="1">
        <v>14887.0</v>
      </c>
      <c r="B13479" s="3" t="s">
        <v>38233</v>
      </c>
      <c r="C13479" s="3">
        <v>0.0</v>
      </c>
      <c r="D13479" s="3">
        <v>0.0</v>
      </c>
      <c r="E13479" s="3">
        <v>0.0</v>
      </c>
      <c r="F13479" s="3" t="s">
        <v>38234</v>
      </c>
      <c r="G13479" s="3">
        <v>0.0</v>
      </c>
      <c r="H13479" s="3">
        <v>0.0</v>
      </c>
      <c r="I13479" s="3" t="s">
        <v>13</v>
      </c>
      <c r="J13479" s="3" t="s">
        <v>38235</v>
      </c>
      <c r="K13479" s="3" t="s">
        <v>2117</v>
      </c>
      <c r="L13479" s="3" t="str">
        <f>IFERROR(__xludf.DUMMYFUNCTION("GOOGLETRANSLATE(F13479,""id"",""en"")"),"Pan Argentina France")</f>
        <v>Pan Argentina France</v>
      </c>
    </row>
    <row r="13480" ht="15.75" customHeight="1">
      <c r="A13480" s="1">
        <v>14888.0</v>
      </c>
      <c r="B13480" s="3" t="s">
        <v>38236</v>
      </c>
      <c r="C13480" s="3">
        <v>1.0</v>
      </c>
      <c r="D13480" s="3">
        <v>0.0</v>
      </c>
      <c r="E13480" s="3">
        <v>0.0</v>
      </c>
      <c r="F13480" s="3" t="s">
        <v>38237</v>
      </c>
      <c r="G13480" s="3">
        <v>0.0</v>
      </c>
      <c r="H13480" s="3">
        <v>0.0</v>
      </c>
      <c r="I13480" s="3" t="s">
        <v>13</v>
      </c>
      <c r="J13480" s="3" t="s">
        <v>38238</v>
      </c>
      <c r="K13480" s="3" t="s">
        <v>1518</v>
      </c>
      <c r="L13480" s="3" t="str">
        <f>IFERROR(__xludf.DUMMYFUNCTION("GOOGLETRANSLATE(F13480,""id"",""en"")"),"The FIFA Cup so the champion has been set in the Argentina of the German Belgian Belgian Team Brazil Dutch Spain Portugal Portugal just see MLM the referee will help the victory for Argentna")</f>
        <v>The FIFA Cup so the champion has been set in the Argentina of the German Belgian Belgian Team Brazil Dutch Spain Portugal Portugal just see MLM the referee will help the victory for Argentna</v>
      </c>
    </row>
    <row r="13481" ht="15.75" customHeight="1">
      <c r="A13481" s="1">
        <v>14889.0</v>
      </c>
      <c r="B13481" s="3" t="s">
        <v>38239</v>
      </c>
      <c r="C13481" s="3">
        <v>4.0</v>
      </c>
      <c r="D13481" s="3">
        <v>7.0</v>
      </c>
      <c r="E13481" s="3">
        <v>36.0</v>
      </c>
      <c r="F13481" s="3" t="s">
        <v>38240</v>
      </c>
      <c r="G13481" s="3">
        <v>1.0</v>
      </c>
      <c r="H13481" s="3">
        <v>0.0</v>
      </c>
      <c r="I13481" s="3" t="s">
        <v>13</v>
      </c>
      <c r="J13481" s="3" t="s">
        <v>38241</v>
      </c>
      <c r="K13481" s="3" t="s">
        <v>135</v>
      </c>
      <c r="L13481" s="3" t="str">
        <f>IFERROR(__xludf.DUMMYFUNCTION("GOOGLETRANSLATE(F13481,""id"",""en"")"),"FIFA appointed Szymon Marciniak as the referee in the World Cup Final next week throughout the World Cup Szymon Marciniak noted to have led two matches where both of them involved Argentina and France")</f>
        <v>FIFA appointed Szymon Marciniak as the referee in the World Cup Final next week throughout the World Cup Szymon Marciniak noted to have led two matches where both of them involved Argentina and France</v>
      </c>
    </row>
    <row r="13482" ht="15.75" customHeight="1">
      <c r="A13482" s="1">
        <v>14890.0</v>
      </c>
      <c r="B13482" s="3" t="s">
        <v>38242</v>
      </c>
      <c r="C13482" s="3">
        <v>0.0</v>
      </c>
      <c r="D13482" s="3">
        <v>0.0</v>
      </c>
      <c r="E13482" s="3">
        <v>0.0</v>
      </c>
      <c r="F13482" s="3" t="s">
        <v>38188</v>
      </c>
      <c r="G13482" s="3">
        <v>1.0</v>
      </c>
      <c r="H13482" s="3">
        <v>0.0</v>
      </c>
      <c r="I13482" s="3" t="s">
        <v>13</v>
      </c>
      <c r="J13482" s="3" t="s">
        <v>38189</v>
      </c>
      <c r="K13482" s="3" t="s">
        <v>437</v>
      </c>
      <c r="L13482" s="3" t="str">
        <f>IFERROR(__xludf.DUMMYFUNCTION("GOOGLETRANSLATE(F13482,""id"",""en"")"),"The Argentine national team faces the French national team of the World Cup Final Albiceleste not worried about the performance of the referee of the struggle for the trophy")</f>
        <v>The Argentine national team faces the French national team of the World Cup Final Albiceleste not worried about the performance of the referee of the struggle for the trophy</v>
      </c>
    </row>
    <row r="13483" ht="15.75" customHeight="1">
      <c r="A13483" s="1">
        <v>14891.0</v>
      </c>
      <c r="B13483" s="3" t="s">
        <v>38243</v>
      </c>
      <c r="C13483" s="3">
        <v>0.0</v>
      </c>
      <c r="D13483" s="3">
        <v>0.0</v>
      </c>
      <c r="E13483" s="3">
        <v>0.0</v>
      </c>
      <c r="F13483" s="3" t="s">
        <v>38188</v>
      </c>
      <c r="G13483" s="3">
        <v>1.0</v>
      </c>
      <c r="H13483" s="3">
        <v>0.0</v>
      </c>
      <c r="I13483" s="3" t="s">
        <v>13</v>
      </c>
      <c r="J13483" s="3" t="s">
        <v>38189</v>
      </c>
      <c r="K13483" s="3" t="s">
        <v>437</v>
      </c>
      <c r="L13483" s="3" t="str">
        <f>IFERROR(__xludf.DUMMYFUNCTION("GOOGLETRANSLATE(F13483,""id"",""en"")"),"The Argentine national team faces the French national team of the World Cup Final Albiceleste not worried about the performance of the referee of the struggle for the trophy")</f>
        <v>The Argentine national team faces the French national team of the World Cup Final Albiceleste not worried about the performance of the referee of the struggle for the trophy</v>
      </c>
    </row>
    <row r="13484" ht="15.75" customHeight="1">
      <c r="A13484" s="1">
        <v>14892.0</v>
      </c>
      <c r="B13484" s="3" t="s">
        <v>38244</v>
      </c>
      <c r="C13484" s="3">
        <v>4.0</v>
      </c>
      <c r="D13484" s="3">
        <v>0.0</v>
      </c>
      <c r="E13484" s="3">
        <v>3.0</v>
      </c>
      <c r="F13484" s="3" t="s">
        <v>38188</v>
      </c>
      <c r="G13484" s="3">
        <v>1.0</v>
      </c>
      <c r="H13484" s="3">
        <v>0.0</v>
      </c>
      <c r="I13484" s="3" t="s">
        <v>13</v>
      </c>
      <c r="J13484" s="3" t="s">
        <v>38189</v>
      </c>
      <c r="K13484" s="3" t="s">
        <v>437</v>
      </c>
      <c r="L13484" s="3" t="str">
        <f>IFERROR(__xludf.DUMMYFUNCTION("GOOGLETRANSLATE(F13484,""id"",""en"")"),"The Argentine national team faces the French national team of the World Cup Final Albiceleste not worried about the performance of the referee of the struggle for the trophy")</f>
        <v>The Argentine national team faces the French national team of the World Cup Final Albiceleste not worried about the performance of the referee of the struggle for the trophy</v>
      </c>
    </row>
    <row r="13485" ht="15.75" customHeight="1">
      <c r="A13485" s="1">
        <v>14893.0</v>
      </c>
      <c r="B13485" s="3" t="s">
        <v>38245</v>
      </c>
      <c r="C13485" s="3">
        <v>0.0</v>
      </c>
      <c r="D13485" s="3">
        <v>0.0</v>
      </c>
      <c r="E13485" s="3">
        <v>0.0</v>
      </c>
      <c r="F13485" s="3" t="s">
        <v>38246</v>
      </c>
      <c r="G13485" s="3">
        <v>0.0</v>
      </c>
      <c r="H13485" s="3">
        <v>0.0</v>
      </c>
      <c r="I13485" s="3" t="s">
        <v>13</v>
      </c>
      <c r="J13485" s="3" t="s">
        <v>38247</v>
      </c>
      <c r="K13485" s="3" t="s">
        <v>82</v>
      </c>
      <c r="L13485" s="3" t="str">
        <f>IFERROR(__xludf.DUMMYFUNCTION("GOOGLETRANSLATE(F13485,""id"",""en"")"),"Referee Szymon Marciniak can be an Argentine nightmare")</f>
        <v>Referee Szymon Marciniak can be an Argentine nightmare</v>
      </c>
    </row>
    <row r="13486" ht="15.75" customHeight="1">
      <c r="A13486" s="1">
        <v>14894.0</v>
      </c>
      <c r="B13486" s="3" t="s">
        <v>38248</v>
      </c>
      <c r="C13486" s="3">
        <v>0.0</v>
      </c>
      <c r="D13486" s="3">
        <v>0.0</v>
      </c>
      <c r="E13486" s="3">
        <v>0.0</v>
      </c>
      <c r="F13486" s="3" t="s">
        <v>38249</v>
      </c>
      <c r="G13486" s="3">
        <v>0.0</v>
      </c>
      <c r="H13486" s="3">
        <v>0.0</v>
      </c>
      <c r="I13486" s="3" t="s">
        <v>13</v>
      </c>
      <c r="J13486" s="3" t="s">
        <v>38250</v>
      </c>
      <c r="K13486" s="3" t="s">
        <v>82</v>
      </c>
      <c r="L13486" s="3" t="str">
        <f>IFERROR(__xludf.DUMMYFUNCTION("GOOGLETRANSLATE(F13486,""id"",""en"")"),"Argentina France Profile of the Referee Stadium and Player Predictions")</f>
        <v>Argentina France Profile of the Referee Stadium and Player Predictions</v>
      </c>
    </row>
    <row r="13487" ht="15.75" customHeight="1">
      <c r="A13487" s="1">
        <v>14895.0</v>
      </c>
      <c r="B13487" s="3" t="s">
        <v>38251</v>
      </c>
      <c r="C13487" s="3">
        <v>2.0</v>
      </c>
      <c r="D13487" s="3">
        <v>0.0</v>
      </c>
      <c r="E13487" s="3">
        <v>1.0</v>
      </c>
      <c r="F13487" s="3" t="s">
        <v>38252</v>
      </c>
      <c r="G13487" s="3">
        <v>1.0</v>
      </c>
      <c r="H13487" s="3">
        <v>0.0</v>
      </c>
      <c r="I13487" s="3" t="s">
        <v>13</v>
      </c>
      <c r="J13487" s="3" t="s">
        <v>38253</v>
      </c>
      <c r="K13487" s="3" t="s">
        <v>1045</v>
      </c>
      <c r="L13487" s="3" t="str">
        <f>IFERROR(__xludf.DUMMYFUNCTION("GOOGLETRANSLATE(F13487,""id"",""en"")"),"Prediction of the final match between France Argentina Score when kick off the number of players opposing the number of referees the number of judges of the winning line is to enter the less goal the winner will be the champion")</f>
        <v>Prediction of the final match between France Argentina Score when kick off the number of players opposing the number of referees the number of judges of the winning line is to enter the less goal the winner will be the champion</v>
      </c>
    </row>
    <row r="13488" ht="15.75" customHeight="1">
      <c r="A13488" s="1">
        <v>14896.0</v>
      </c>
      <c r="B13488" s="3" t="s">
        <v>38254</v>
      </c>
      <c r="C13488" s="3">
        <v>0.0</v>
      </c>
      <c r="D13488" s="3">
        <v>1.0</v>
      </c>
      <c r="E13488" s="3">
        <v>0.0</v>
      </c>
      <c r="F13488" s="3" t="s">
        <v>38255</v>
      </c>
      <c r="G13488" s="3">
        <v>0.0</v>
      </c>
      <c r="H13488" s="3">
        <v>0.0</v>
      </c>
      <c r="I13488" s="3" t="s">
        <v>13</v>
      </c>
      <c r="J13488" s="3" t="s">
        <v>38256</v>
      </c>
      <c r="K13488" s="3" t="s">
        <v>71</v>
      </c>
      <c r="L13488" s="3" t="str">
        <f>IFERROR(__xludf.DUMMYFUNCTION("GOOGLETRANSLATE(F13488,""id"",""en"")"),"Polish referee Szymon Marciniak will lead the top party of the Qatar World Cup between France Argentina")</f>
        <v>Polish referee Szymon Marciniak will lead the top party of the Qatar World Cup between France Argentina</v>
      </c>
    </row>
    <row r="13489" ht="15.75" customHeight="1">
      <c r="A13489" s="1">
        <v>14897.0</v>
      </c>
      <c r="B13489" s="3" t="s">
        <v>38257</v>
      </c>
      <c r="C13489" s="3">
        <v>0.0</v>
      </c>
      <c r="D13489" s="3">
        <v>0.0</v>
      </c>
      <c r="E13489" s="3">
        <v>0.0</v>
      </c>
      <c r="F13489" s="3" t="s">
        <v>38258</v>
      </c>
      <c r="G13489" s="3">
        <v>0.0</v>
      </c>
      <c r="H13489" s="3">
        <v>0.0</v>
      </c>
      <c r="I13489" s="3" t="s">
        <v>13</v>
      </c>
      <c r="J13489" s="3" t="s">
        <v>38259</v>
      </c>
      <c r="K13489" s="3" t="s">
        <v>499</v>
      </c>
      <c r="L13489" s="3" t="str">
        <f>IFERROR(__xludf.DUMMYFUNCTION("GOOGLETRANSLATE(F13489,""id"",""en"")"),"Try to imagine how the player feels France when the ball of the Argentina goalkeeper and the goal but instead the referee is because he checks cares about protecting the entrance of the sick stadium for sure")</f>
        <v>Try to imagine how the player feels France when the ball of the Argentina goalkeeper and the goal but instead the referee is because he checks cares about protecting the entrance of the sick stadium for sure</v>
      </c>
    </row>
    <row r="13490" ht="15.75" customHeight="1">
      <c r="A13490" s="1">
        <v>14898.0</v>
      </c>
      <c r="B13490" s="3" t="s">
        <v>38260</v>
      </c>
      <c r="C13490" s="3">
        <v>0.0</v>
      </c>
      <c r="D13490" s="3">
        <v>0.0</v>
      </c>
      <c r="E13490" s="3">
        <v>0.0</v>
      </c>
      <c r="F13490" s="3" t="s">
        <v>38261</v>
      </c>
      <c r="G13490" s="3">
        <v>1.0</v>
      </c>
      <c r="H13490" s="3">
        <v>0.0</v>
      </c>
      <c r="I13490" s="3" t="s">
        <v>13</v>
      </c>
      <c r="J13490" s="3" t="s">
        <v>38204</v>
      </c>
      <c r="K13490" s="3" t="s">
        <v>41</v>
      </c>
      <c r="L13490" s="3" t="str">
        <f>IFERROR(__xludf.DUMMYFUNCTION("GOOGLETRANSLATE(F13490,""id"",""en"")"),"Get to know Szymon Marciniak World Cup Final Referee between Argentina France")</f>
        <v>Get to know Szymon Marciniak World Cup Final Referee between Argentina France</v>
      </c>
    </row>
    <row r="13491" ht="15.75" customHeight="1">
      <c r="A13491" s="1">
        <v>14899.0</v>
      </c>
      <c r="B13491" s="3" t="s">
        <v>38262</v>
      </c>
      <c r="C13491" s="3">
        <v>1.0</v>
      </c>
      <c r="D13491" s="3">
        <v>0.0</v>
      </c>
      <c r="E13491" s="3">
        <v>2.0</v>
      </c>
      <c r="F13491" s="3" t="s">
        <v>38263</v>
      </c>
      <c r="G13491" s="3">
        <v>0.0</v>
      </c>
      <c r="H13491" s="3">
        <v>0.0</v>
      </c>
      <c r="I13491" s="3" t="s">
        <v>13</v>
      </c>
      <c r="J13491" s="3" t="s">
        <v>38264</v>
      </c>
      <c r="K13491" s="3" t="s">
        <v>675</v>
      </c>
      <c r="L13491" s="3" t="str">
        <f>IFERROR(__xludf.DUMMYFUNCTION("GOOGLETRANSLATE(F13491,""id"",""en"")"),"Indra just asked, bro, since Portugal KPN has rivalry with Argentina Argentina always considers Brazil as a rival besides trying to show the decision of the referee wrong when Match Portugal Morocco is already on the player's opponent")</f>
        <v>Indra just asked, bro, since Portugal KPN has rivalry with Argentina Argentina always considers Brazil as a rival besides trying to show the decision of the referee wrong when Match Portugal Morocco is already on the player's opponent</v>
      </c>
    </row>
    <row r="13492" ht="15.75" customHeight="1">
      <c r="A13492" s="1">
        <v>14935.0</v>
      </c>
      <c r="B13492" s="3" t="s">
        <v>10490</v>
      </c>
      <c r="C13492" s="3">
        <v>825.0</v>
      </c>
      <c r="D13492" s="3">
        <v>301.0</v>
      </c>
      <c r="E13492" s="3">
        <v>3631.0</v>
      </c>
      <c r="F13492" s="3" t="s">
        <v>10485</v>
      </c>
      <c r="G13492" s="3">
        <v>1.0</v>
      </c>
      <c r="H13492" s="3">
        <v>0.0</v>
      </c>
      <c r="I13492" s="3" t="s">
        <v>13</v>
      </c>
      <c r="J13492" s="3" t="s">
        <v>10486</v>
      </c>
      <c r="K13492" s="3" t="s">
        <v>574</v>
      </c>
      <c r="L13492" s="3" t="str">
        <f>IFERROR(__xludf.DUMMYFUNCTION("GOOGLETRANSLATE(F13492,""id"",""en"")"),"An online petition addressed to FIFA has just been made in contents want that the World Cup Final is repeated because it thinks that the first Argentina goal is invalid at this time the petition has been signed more than thousands of times")</f>
        <v>An online petition addressed to FIFA has just been made in contents want that the World Cup Final is repeated because it thinks that the first Argentina goal is invalid at this time the petition has been signed more than thousands of times</v>
      </c>
    </row>
    <row r="13493" ht="15.75" customHeight="1">
      <c r="A13493" s="1">
        <v>14938.0</v>
      </c>
      <c r="B13493" s="3" t="s">
        <v>38265</v>
      </c>
      <c r="C13493" s="3">
        <v>1.0</v>
      </c>
      <c r="D13493" s="3">
        <v>0.0</v>
      </c>
      <c r="E13493" s="3">
        <v>8.0</v>
      </c>
      <c r="F13493" s="3" t="s">
        <v>38266</v>
      </c>
      <c r="G13493" s="3">
        <v>0.0</v>
      </c>
      <c r="H13493" s="3">
        <v>0.0</v>
      </c>
      <c r="I13493" s="3" t="s">
        <v>13</v>
      </c>
      <c r="J13493" s="3" t="s">
        <v>38267</v>
      </c>
      <c r="K13493" s="3" t="s">
        <v>510</v>
      </c>
      <c r="L13493" s="3" t="str">
        <f>IFERROR(__xludf.DUMMYFUNCTION("GOOGLETRANSLATE(F13493,""id"",""en"")"),"Suitable logging can not be accounted for Ibra Neymar there is a matter of it, in essence, France and Argentina won the pildun already his destiny")</f>
        <v>Suitable logging can not be accounted for Ibra Neymar there is a matter of it, in essence, France and Argentina won the pildun already his destiny</v>
      </c>
    </row>
    <row r="13494" ht="15.75" customHeight="1">
      <c r="A13494" s="1">
        <v>14939.0</v>
      </c>
      <c r="B13494" s="3" t="s">
        <v>38268</v>
      </c>
      <c r="C13494" s="3">
        <v>0.0</v>
      </c>
      <c r="D13494" s="3">
        <v>0.0</v>
      </c>
      <c r="E13494" s="3">
        <v>0.0</v>
      </c>
      <c r="F13494" s="3" t="s">
        <v>38269</v>
      </c>
      <c r="G13494" s="3">
        <v>0.0</v>
      </c>
      <c r="H13494" s="3">
        <v>0.0</v>
      </c>
      <c r="I13494" s="3" t="s">
        <v>13</v>
      </c>
      <c r="J13494" s="3" t="s">
        <v>38270</v>
      </c>
      <c r="K13494" s="3" t="s">
        <v>348</v>
      </c>
      <c r="L13494" s="3" t="str">
        <f>IFERROR(__xludf.DUMMYFUNCTION("GOOGLETRANSLATE(F13494,""id"",""en"")"),"I am very grateful to Argentina for winning the pilder of my father, thank God, I like to give money more, then the change from buying cigarettes is always given")</f>
        <v>I am very grateful to Argentina for winning the pilder of my father, thank God, I like to give money more, then the change from buying cigarettes is always given</v>
      </c>
    </row>
    <row r="13495" ht="15.75" customHeight="1">
      <c r="A13495" s="1">
        <v>14940.0</v>
      </c>
      <c r="B13495" s="3" t="s">
        <v>38271</v>
      </c>
      <c r="C13495" s="3">
        <v>0.0</v>
      </c>
      <c r="D13495" s="3">
        <v>0.0</v>
      </c>
      <c r="E13495" s="3">
        <v>0.0</v>
      </c>
      <c r="F13495" s="3" t="s">
        <v>38272</v>
      </c>
      <c r="G13495" s="3">
        <v>0.0</v>
      </c>
      <c r="H13495" s="3">
        <v>0.0</v>
      </c>
      <c r="I13495" s="3" t="s">
        <v>13</v>
      </c>
      <c r="J13495" s="3" t="s">
        <v>38273</v>
      </c>
      <c r="K13495" s="3" t="s">
        <v>58</v>
      </c>
      <c r="L13495" s="3" t="str">
        <f>IFERROR(__xludf.DUMMYFUNCTION("GOOGLETRANSLATE(F13495,""id"",""en"")"),"The FIFA President was invited yesterday for what for Mr. Jokowi to lobby to win the Pildun Argentina")</f>
        <v>The FIFA President was invited yesterday for what for Mr. Jokowi to lobby to win the Pildun Argentina</v>
      </c>
    </row>
    <row r="13496" ht="15.75" customHeight="1">
      <c r="A13496" s="1">
        <v>14941.0</v>
      </c>
      <c r="B13496" s="3" t="s">
        <v>38274</v>
      </c>
      <c r="C13496" s="3">
        <v>1.0</v>
      </c>
      <c r="D13496" s="3">
        <v>0.0</v>
      </c>
      <c r="E13496" s="3">
        <v>0.0</v>
      </c>
      <c r="F13496" s="3" t="s">
        <v>38275</v>
      </c>
      <c r="G13496" s="3">
        <v>1.0</v>
      </c>
      <c r="H13496" s="3">
        <v>0.8</v>
      </c>
      <c r="I13496" s="3" t="s">
        <v>48</v>
      </c>
      <c r="J13496" s="3" t="s">
        <v>38276</v>
      </c>
      <c r="K13496" s="3" t="s">
        <v>3721</v>
      </c>
      <c r="L13496" s="3" t="str">
        <f>IFERROR(__xludf.DUMMYFUNCTION("GOOGLETRANSLATE(F13496,""id"",""en"")"),"happy birthday, bro, hopefully healthy, always launched the fortune, always congrats and the Argentina team wins the pildun huaaaa really exciting, hopefully I am on thank you very much sis, sis there is a giveaway")</f>
        <v>happy birthday, bro, hopefully healthy, always launched the fortune, always congrats and the Argentina team wins the pildun huaaaa really exciting, hopefully I am on thank you very much sis, sis there is a giveaway</v>
      </c>
    </row>
    <row r="13497" ht="15.75" customHeight="1">
      <c r="A13497" s="1">
        <v>14943.0</v>
      </c>
      <c r="B13497" s="3" t="s">
        <v>38277</v>
      </c>
      <c r="C13497" s="3">
        <v>0.0</v>
      </c>
      <c r="D13497" s="3">
        <v>0.0</v>
      </c>
      <c r="E13497" s="3">
        <v>0.0</v>
      </c>
      <c r="F13497" s="3" t="s">
        <v>38278</v>
      </c>
      <c r="G13497" s="3">
        <v>0.0</v>
      </c>
      <c r="H13497" s="3">
        <v>0.0</v>
      </c>
      <c r="I13497" s="3" t="s">
        <v>13</v>
      </c>
      <c r="J13497" s="3" t="s">
        <v>38279</v>
      </c>
      <c r="K13497" s="3" t="s">
        <v>903</v>
      </c>
      <c r="L13497" s="3" t="str">
        <f>IFERROR(__xludf.DUMMYFUNCTION("GOOGLETRANSLATE(F13497,""id"",""en"")"),"The boss made the office of the office that won millions of offices, all my friends said that I supported the French England, I sent an Argentina answer, but the basic gambler won the gambler")</f>
        <v>The boss made the office of the office that won millions of offices, all my friends said that I supported the French England, I sent an Argentina answer, but the basic gambler won the gambler</v>
      </c>
    </row>
    <row r="13498" ht="15.75" customHeight="1">
      <c r="A13498" s="1">
        <v>14944.0</v>
      </c>
      <c r="B13498" s="3" t="s">
        <v>38280</v>
      </c>
      <c r="C13498" s="3">
        <v>0.0</v>
      </c>
      <c r="D13498" s="3">
        <v>0.0</v>
      </c>
      <c r="E13498" s="3">
        <v>0.0</v>
      </c>
      <c r="F13498" s="3" t="s">
        <v>38281</v>
      </c>
      <c r="G13498" s="3">
        <v>0.0</v>
      </c>
      <c r="H13498" s="3">
        <v>0.0</v>
      </c>
      <c r="I13498" s="3" t="s">
        <v>13</v>
      </c>
      <c r="J13498" s="3" t="s">
        <v>38282</v>
      </c>
      <c r="K13498" s="3" t="s">
        <v>15</v>
      </c>
      <c r="L13498" s="3" t="str">
        <f>IFERROR(__xludf.DUMMYFUNCTION("GOOGLETRANSLATE(F13498,""id"",""en"")"),"The Argentina national team was appointed as a civil servant to win pildun")</f>
        <v>The Argentina national team was appointed as a civil servant to win pildun</v>
      </c>
    </row>
    <row r="13499" ht="15.75" customHeight="1">
      <c r="A13499" s="1">
        <v>14945.0</v>
      </c>
      <c r="B13499" s="3" t="s">
        <v>38283</v>
      </c>
      <c r="C13499" s="3">
        <v>0.0</v>
      </c>
      <c r="D13499" s="3">
        <v>0.0</v>
      </c>
      <c r="E13499" s="3">
        <v>0.0</v>
      </c>
      <c r="F13499" s="3" t="s">
        <v>38284</v>
      </c>
      <c r="G13499" s="3">
        <v>0.0</v>
      </c>
      <c r="H13499" s="3">
        <v>0.0</v>
      </c>
      <c r="I13499" s="3" t="s">
        <v>13</v>
      </c>
      <c r="J13499" s="3" t="s">
        <v>38285</v>
      </c>
      <c r="K13499" s="3" t="s">
        <v>75</v>
      </c>
      <c r="L13499" s="3" t="str">
        <f>IFERROR(__xludf.DUMMYFUNCTION("GOOGLETRANSLATE(F13499,""id"",""en"")"),"It turns out that many world football icons legends are Argentina")</f>
        <v>It turns out that many world football icons legends are Argentina</v>
      </c>
    </row>
    <row r="13500" ht="15.75" customHeight="1">
      <c r="A13500" s="1">
        <v>14946.0</v>
      </c>
      <c r="B13500" s="3" t="s">
        <v>38286</v>
      </c>
      <c r="C13500" s="3">
        <v>0.0</v>
      </c>
      <c r="D13500" s="3">
        <v>0.0</v>
      </c>
      <c r="E13500" s="3">
        <v>0.0</v>
      </c>
      <c r="F13500" s="3" t="s">
        <v>38287</v>
      </c>
      <c r="G13500" s="3">
        <v>0.0</v>
      </c>
      <c r="H13500" s="3">
        <v>0.0</v>
      </c>
      <c r="I13500" s="3" t="s">
        <v>13</v>
      </c>
      <c r="J13500" s="3" t="s">
        <v>38288</v>
      </c>
      <c r="K13500" s="3" t="s">
        <v>19</v>
      </c>
      <c r="L13500" s="3" t="str">
        <f>IFERROR(__xludf.DUMMYFUNCTION("GOOGLETRANSLATE(F13500,""id"",""en"")"),"I think Argentina wins the pildun will be fried until next year")</f>
        <v>I think Argentina wins the pildun will be fried until next year</v>
      </c>
    </row>
    <row r="13501" ht="15.75" customHeight="1">
      <c r="A13501" s="1">
        <v>14947.0</v>
      </c>
      <c r="B13501" s="3" t="s">
        <v>38289</v>
      </c>
      <c r="C13501" s="3">
        <v>0.0</v>
      </c>
      <c r="D13501" s="3">
        <v>0.0</v>
      </c>
      <c r="E13501" s="3">
        <v>0.0</v>
      </c>
      <c r="F13501" s="3" t="s">
        <v>38290</v>
      </c>
      <c r="G13501" s="3">
        <v>0.0</v>
      </c>
      <c r="H13501" s="3">
        <v>0.0</v>
      </c>
      <c r="I13501" s="3" t="s">
        <v>13</v>
      </c>
      <c r="J13501" s="3" t="s">
        <v>38291</v>
      </c>
      <c r="K13501" s="3" t="s">
        <v>2907</v>
      </c>
      <c r="L13501" s="3" t="str">
        <f>IFERROR(__xludf.DUMMYFUNCTION("GOOGLETRANSLATE(F13501,""id"",""en"")"),"Elgre is actually like that, it seems like a sign for Argentina to win the color of Argentina")</f>
        <v>Elgre is actually like that, it seems like a sign for Argentina to win the color of Argentina</v>
      </c>
    </row>
    <row r="13502" ht="15.75" customHeight="1">
      <c r="A13502" s="1">
        <v>14948.0</v>
      </c>
      <c r="B13502" s="3" t="s">
        <v>38292</v>
      </c>
      <c r="C13502" s="3">
        <v>0.0</v>
      </c>
      <c r="D13502" s="3">
        <v>0.0</v>
      </c>
      <c r="E13502" s="3">
        <v>0.0</v>
      </c>
      <c r="F13502" s="3" t="s">
        <v>38293</v>
      </c>
      <c r="G13502" s="3">
        <v>0.0</v>
      </c>
      <c r="H13502" s="3">
        <v>0.0</v>
      </c>
      <c r="I13502" s="3" t="s">
        <v>13</v>
      </c>
      <c r="J13502" s="3" t="s">
        <v>38294</v>
      </c>
      <c r="K13502" s="3" t="s">
        <v>942</v>
      </c>
      <c r="L13502" s="3" t="str">
        <f>IFERROR(__xludf.DUMMYFUNCTION("GOOGLETRANSLATE(F13502,""id"",""en"")"),"Sihite Saudi Arabia Argentina and Saudi Arabia won HMMMM or want to know the Gond of Moroccan")</f>
        <v>Sihite Saudi Arabia Argentina and Saudi Arabia won HMMMM or want to know the Gond of Moroccan</v>
      </c>
    </row>
    <row r="13503" ht="15.75" customHeight="1">
      <c r="A13503" s="1">
        <v>14949.0</v>
      </c>
      <c r="B13503" s="3" t="s">
        <v>38295</v>
      </c>
      <c r="C13503" s="3">
        <v>1.0</v>
      </c>
      <c r="D13503" s="3">
        <v>0.0</v>
      </c>
      <c r="E13503" s="3">
        <v>0.0</v>
      </c>
      <c r="F13503" s="3" t="s">
        <v>38296</v>
      </c>
      <c r="G13503" s="3">
        <v>0.0</v>
      </c>
      <c r="H13503" s="3">
        <v>0.0</v>
      </c>
      <c r="I13503" s="3" t="s">
        <v>13</v>
      </c>
      <c r="J13503" s="3" t="s">
        <v>38297</v>
      </c>
      <c r="K13503" s="3" t="s">
        <v>19</v>
      </c>
      <c r="L13503" s="3" t="str">
        <f>IFERROR(__xludf.DUMMYFUNCTION("GOOGLETRANSLATE(F13503,""id"",""en"")"),"until now I still think about the Argentina Pilduun win")</f>
        <v>until now I still think about the Argentina Pilduun win</v>
      </c>
    </row>
    <row r="13504" ht="15.75" customHeight="1">
      <c r="A13504" s="1">
        <v>14950.0</v>
      </c>
      <c r="B13504" s="3" t="s">
        <v>38298</v>
      </c>
      <c r="C13504" s="3">
        <v>0.0</v>
      </c>
      <c r="D13504" s="3">
        <v>0.0</v>
      </c>
      <c r="E13504" s="3">
        <v>0.0</v>
      </c>
      <c r="F13504" s="3" t="s">
        <v>38299</v>
      </c>
      <c r="G13504" s="3">
        <v>0.0</v>
      </c>
      <c r="H13504" s="3">
        <v>0.0</v>
      </c>
      <c r="I13504" s="3" t="s">
        <v>13</v>
      </c>
      <c r="J13504" s="3" t="s">
        <v>38300</v>
      </c>
      <c r="K13504" s="3" t="s">
        <v>41</v>
      </c>
      <c r="L13504" s="3" t="str">
        <f>IFERROR(__xludf.DUMMYFUNCTION("GOOGLETRANSLATE(F13504,""id"",""en"")"),"Mario Kempes and Maradona are hurt, they don't bring Argentina to win the pildun")</f>
        <v>Mario Kempes and Maradona are hurt, they don't bring Argentina to win the pildun</v>
      </c>
    </row>
    <row r="13505" ht="15.75" customHeight="1">
      <c r="A13505" s="1">
        <v>14951.0</v>
      </c>
      <c r="B13505" s="3" t="s">
        <v>38301</v>
      </c>
      <c r="C13505" s="3">
        <v>1.0</v>
      </c>
      <c r="D13505" s="3">
        <v>0.0</v>
      </c>
      <c r="E13505" s="3">
        <v>5.0</v>
      </c>
      <c r="F13505" s="3" t="s">
        <v>38302</v>
      </c>
      <c r="G13505" s="3">
        <v>0.0</v>
      </c>
      <c r="H13505" s="3">
        <v>0.0</v>
      </c>
      <c r="I13505" s="3" t="s">
        <v>13</v>
      </c>
      <c r="J13505" s="3" t="s">
        <v>38303</v>
      </c>
      <c r="K13505" s="3" t="s">
        <v>286</v>
      </c>
      <c r="L13505" s="3" t="str">
        <f>IFERROR(__xludf.DUMMYFUNCTION("GOOGLETRANSLATE(F13505,""id"",""en"")"),"I don't remember if Messi blasphemed a severe time when he failed the same Copa with the same Copa plus at that time Ronaldo won the euro until the Argentina was destroyed the statue and burn his clothes")</f>
        <v>I don't remember if Messi blasphemed a severe time when he failed the same Copa with the same Copa plus at that time Ronaldo won the euro until the Argentina was destroyed the statue and burn his clothes</v>
      </c>
    </row>
    <row r="13506" ht="15.75" customHeight="1">
      <c r="A13506" s="1">
        <v>14952.0</v>
      </c>
      <c r="B13506" s="3" t="s">
        <v>38304</v>
      </c>
      <c r="C13506" s="3">
        <v>0.0</v>
      </c>
      <c r="D13506" s="3">
        <v>0.0</v>
      </c>
      <c r="E13506" s="3">
        <v>0.0</v>
      </c>
      <c r="F13506" s="3" t="s">
        <v>38305</v>
      </c>
      <c r="G13506" s="3">
        <v>0.0</v>
      </c>
      <c r="H13506" s="3">
        <v>0.0</v>
      </c>
      <c r="I13506" s="3" t="s">
        <v>13</v>
      </c>
      <c r="J13506" s="3" t="s">
        <v>38306</v>
      </c>
      <c r="K13506" s="3" t="s">
        <v>82</v>
      </c>
      <c r="L13506" s="3" t="str">
        <f>IFERROR(__xludf.DUMMYFUNCTION("GOOGLETRANSLATE(F13506,""id"",""en"")"),"Discuss Argentina's Kongspiration to win Pilduun Dong Banh")</f>
        <v>Discuss Argentina's Kongspiration to win Pilduun Dong Banh</v>
      </c>
    </row>
    <row r="13507" ht="15.75" customHeight="1">
      <c r="A13507" s="1">
        <v>14953.0</v>
      </c>
      <c r="B13507" s="3" t="s">
        <v>38307</v>
      </c>
      <c r="C13507" s="3">
        <v>2.0</v>
      </c>
      <c r="D13507" s="3">
        <v>0.0</v>
      </c>
      <c r="E13507" s="3">
        <v>0.0</v>
      </c>
      <c r="F13507" s="3" t="s">
        <v>38308</v>
      </c>
      <c r="G13507" s="3">
        <v>0.0</v>
      </c>
      <c r="H13507" s="3">
        <v>0.0</v>
      </c>
      <c r="I13507" s="3" t="s">
        <v>13</v>
      </c>
      <c r="J13507" s="3" t="s">
        <v>38309</v>
      </c>
      <c r="K13507" s="3" t="s">
        <v>910</v>
      </c>
      <c r="L13507" s="3" t="str">
        <f>IFERROR(__xludf.DUMMYFUNCTION("GOOGLETRANSLATE(F13507,""id"",""en"")"),"Nyet I never know this he is right when Argentina wins showing off, let's just be very easy to call his friend showing off if finally Messi wins this time after the pilduun he is still enthusiastic cok to show off")</f>
        <v>Nyet I never know this he is right when Argentina wins showing off, let's just be very easy to call his friend showing off if finally Messi wins this time after the pilduun he is still enthusiastic cok to show off</v>
      </c>
    </row>
    <row r="13508" ht="15.75" customHeight="1">
      <c r="A13508" s="1">
        <v>14954.0</v>
      </c>
      <c r="B13508" s="3" t="s">
        <v>38310</v>
      </c>
      <c r="C13508" s="3">
        <v>4.0</v>
      </c>
      <c r="D13508" s="3">
        <v>0.0</v>
      </c>
      <c r="E13508" s="3">
        <v>4.0</v>
      </c>
      <c r="F13508" s="3" t="s">
        <v>38311</v>
      </c>
      <c r="G13508" s="3">
        <v>0.0</v>
      </c>
      <c r="H13508" s="3">
        <v>0.0</v>
      </c>
      <c r="I13508" s="3" t="s">
        <v>13</v>
      </c>
      <c r="J13508" s="3" t="s">
        <v>38312</v>
      </c>
      <c r="K13508" s="3" t="s">
        <v>82</v>
      </c>
      <c r="L13508" s="3" t="str">
        <f>IFERROR(__xludf.DUMMYFUNCTION("GOOGLETRANSLATE(F13508,""id"",""en"")"),"Intine Sing Wins Argentina")</f>
        <v>Intine Sing Wins Argentina</v>
      </c>
    </row>
    <row r="13509" ht="15.75" customHeight="1">
      <c r="A13509" s="1">
        <v>14956.0</v>
      </c>
      <c r="B13509" s="3" t="s">
        <v>38313</v>
      </c>
      <c r="C13509" s="3">
        <v>0.0</v>
      </c>
      <c r="D13509" s="3">
        <v>0.0</v>
      </c>
      <c r="E13509" s="3">
        <v>0.0</v>
      </c>
      <c r="F13509" s="3" t="s">
        <v>38314</v>
      </c>
      <c r="G13509" s="3">
        <v>0.0</v>
      </c>
      <c r="H13509" s="3">
        <v>0.0</v>
      </c>
      <c r="I13509" s="3" t="s">
        <v>13</v>
      </c>
      <c r="J13509" s="3" t="s">
        <v>38315</v>
      </c>
      <c r="K13509" s="3" t="s">
        <v>82</v>
      </c>
      <c r="L13509" s="3" t="str">
        <f>IFERROR(__xludf.DUMMYFUNCTION("GOOGLETRANSLATE(F13509,""id"",""en"")"),"the effect of heartache because Argentina wins Pilduun")</f>
        <v>the effect of heartache because Argentina wins Pilduun</v>
      </c>
    </row>
    <row r="13510" ht="15.75" customHeight="1">
      <c r="A13510" s="1">
        <v>14957.0</v>
      </c>
      <c r="B13510" s="3" t="s">
        <v>38316</v>
      </c>
      <c r="C13510" s="3">
        <v>4.0</v>
      </c>
      <c r="D13510" s="3">
        <v>0.0</v>
      </c>
      <c r="E13510" s="3">
        <v>3.0</v>
      </c>
      <c r="F13510" s="3" t="s">
        <v>38317</v>
      </c>
      <c r="G13510" s="3">
        <v>0.0</v>
      </c>
      <c r="H13510" s="3">
        <v>0.0</v>
      </c>
      <c r="I13510" s="3" t="s">
        <v>13</v>
      </c>
      <c r="J13510" s="3" t="s">
        <v>38318</v>
      </c>
      <c r="K13510" s="3" t="s">
        <v>1970</v>
      </c>
      <c r="L13510" s="3" t="str">
        <f>IFERROR(__xludf.DUMMYFUNCTION("GOOGLETRANSLATE(F13510,""id"",""en"")"),"For him, the problem is because their prestigious throphy is the same as a lot of Argentina events, they don't win the pildun, they go to go to their era, even though Messi")</f>
        <v>For him, the problem is because their prestigious throphy is the same as a lot of Argentina events, they don't win the pildun, they go to go to their era, even though Messi</v>
      </c>
    </row>
    <row r="13511" ht="15.75" customHeight="1">
      <c r="A13511" s="1">
        <v>14958.0</v>
      </c>
      <c r="B13511" s="3" t="s">
        <v>38319</v>
      </c>
      <c r="C13511" s="3">
        <v>1.0</v>
      </c>
      <c r="D13511" s="3">
        <v>0.0</v>
      </c>
      <c r="E13511" s="3">
        <v>0.0</v>
      </c>
      <c r="F13511" s="3" t="s">
        <v>38320</v>
      </c>
      <c r="G13511" s="3">
        <v>0.75</v>
      </c>
      <c r="H13511" s="3">
        <v>0.375</v>
      </c>
      <c r="I13511" s="3" t="s">
        <v>48</v>
      </c>
      <c r="J13511" s="3" t="s">
        <v>38321</v>
      </c>
      <c r="K13511" s="3" t="s">
        <v>860</v>
      </c>
      <c r="L13511" s="3" t="str">
        <f>IFERROR(__xludf.DUMMYFUNCTION("GOOGLETRANSLATE(F13511,""id"",""en"")"),"nerd wearing glasses like really like Lionel Messi yesterday when Pildun was very excited because Argentina won and liked to recommend a good movie")</f>
        <v>nerd wearing glasses like really like Lionel Messi yesterday when Pildun was very excited because Argentina won and liked to recommend a good movie</v>
      </c>
    </row>
    <row r="13512" ht="15.75" customHeight="1">
      <c r="A13512" s="1">
        <v>14959.0</v>
      </c>
      <c r="B13512" s="3" t="s">
        <v>38322</v>
      </c>
      <c r="C13512" s="3">
        <v>0.0</v>
      </c>
      <c r="D13512" s="3">
        <v>0.0</v>
      </c>
      <c r="E13512" s="3">
        <v>0.0</v>
      </c>
      <c r="F13512" s="3" t="s">
        <v>38323</v>
      </c>
      <c r="G13512" s="3">
        <v>0.0</v>
      </c>
      <c r="H13512" s="3">
        <v>0.0</v>
      </c>
      <c r="I13512" s="3" t="s">
        <v>13</v>
      </c>
      <c r="J13512" s="3" t="s">
        <v>38324</v>
      </c>
      <c r="K13512" s="3" t="s">
        <v>273</v>
      </c>
      <c r="L13512" s="3" t="str">
        <f>IFERROR(__xludf.DUMMYFUNCTION("GOOGLETRANSLATE(F13512,""id"",""en"")"),"becoz because of their fans from and when they are sick if they remember and when they followed the Pilduun, because the position of the dormitory was not wifi and even did not say he won but still believed Argentina won")</f>
        <v>becoz because of their fans from and when they are sick if they remember and when they followed the Pilduun, because the position of the dormitory was not wifi and even did not say he won but still believed Argentina won</v>
      </c>
    </row>
    <row r="13513" ht="15.75" customHeight="1">
      <c r="A13513" s="1">
        <v>14960.0</v>
      </c>
      <c r="B13513" s="3" t="s">
        <v>38325</v>
      </c>
      <c r="C13513" s="3">
        <v>0.0</v>
      </c>
      <c r="D13513" s="3">
        <v>0.0</v>
      </c>
      <c r="E13513" s="3">
        <v>0.0</v>
      </c>
      <c r="F13513" s="3" t="s">
        <v>38326</v>
      </c>
      <c r="G13513" s="3">
        <v>0.0</v>
      </c>
      <c r="H13513" s="3">
        <v>0.0</v>
      </c>
      <c r="I13513" s="3" t="s">
        <v>13</v>
      </c>
      <c r="J13513" s="3" t="s">
        <v>38327</v>
      </c>
      <c r="K13513" s="3" t="s">
        <v>41</v>
      </c>
      <c r="L13513" s="3" t="str">
        <f>IFERROR(__xludf.DUMMYFUNCTION("GOOGLETRANSLATE(F13513,""id"",""en"")"),"Argentina really won the pildun win my heart but Lionel Jeno")</f>
        <v>Argentina really won the pildun win my heart but Lionel Jeno</v>
      </c>
    </row>
    <row r="13514" ht="15.75" customHeight="1">
      <c r="A13514" s="1">
        <v>14962.0</v>
      </c>
      <c r="B13514" s="3" t="s">
        <v>38328</v>
      </c>
      <c r="C13514" s="3">
        <v>0.0</v>
      </c>
      <c r="D13514" s="3">
        <v>0.0</v>
      </c>
      <c r="E13514" s="3">
        <v>0.0</v>
      </c>
      <c r="F13514" s="3" t="s">
        <v>38329</v>
      </c>
      <c r="G13514" s="3">
        <v>0.0</v>
      </c>
      <c r="H13514" s="3">
        <v>0.0</v>
      </c>
      <c r="I13514" s="3" t="s">
        <v>13</v>
      </c>
      <c r="J13514" s="3" t="s">
        <v>38330</v>
      </c>
      <c r="K13514" s="3" t="s">
        <v>41</v>
      </c>
      <c r="L13514" s="3" t="str">
        <f>IFERROR(__xludf.DUMMYFUNCTION("GOOGLETRANSLATE(F13514,""id"",""en"")"),"The reason Argentina won the Pilduun because Messi likes commis here anyway")</f>
        <v>The reason Argentina won the Pilduun because Messi likes commis here anyway</v>
      </c>
    </row>
    <row r="13515" ht="15.75" customHeight="1">
      <c r="A13515" s="1">
        <v>14964.0</v>
      </c>
      <c r="B13515" s="3" t="s">
        <v>38331</v>
      </c>
      <c r="C13515" s="3">
        <v>1.0</v>
      </c>
      <c r="D13515" s="3">
        <v>0.0</v>
      </c>
      <c r="E13515" s="3">
        <v>3.0</v>
      </c>
      <c r="F13515" s="3" t="s">
        <v>38332</v>
      </c>
      <c r="G13515" s="3">
        <v>0.0</v>
      </c>
      <c r="H13515" s="3">
        <v>0.0</v>
      </c>
      <c r="I13515" s="3" t="s">
        <v>13</v>
      </c>
      <c r="J13515" s="3" t="s">
        <v>38333</v>
      </c>
      <c r="K13515" s="3" t="s">
        <v>31</v>
      </c>
      <c r="L13515" s="3" t="str">
        <f>IFERROR(__xludf.DUMMYFUNCTION("GOOGLETRANSLATE(F13515,""id"",""en"")"),"You know, Argentina wins and PILDUN is done")</f>
        <v>You know, Argentina wins and PILDUN is done</v>
      </c>
    </row>
    <row r="13516" ht="15.75" customHeight="1">
      <c r="A13516" s="1">
        <v>14965.0</v>
      </c>
      <c r="B13516" s="3" t="s">
        <v>38334</v>
      </c>
      <c r="C13516" s="3">
        <v>1.0</v>
      </c>
      <c r="D13516" s="3">
        <v>0.0</v>
      </c>
      <c r="E13516" s="3">
        <v>0.0</v>
      </c>
      <c r="F13516" s="3" t="s">
        <v>38335</v>
      </c>
      <c r="G13516" s="3">
        <v>0.0</v>
      </c>
      <c r="H13516" s="3">
        <v>0.0</v>
      </c>
      <c r="I13516" s="3" t="s">
        <v>13</v>
      </c>
      <c r="J13516" s="3" t="s">
        <v>38336</v>
      </c>
      <c r="K13516" s="3" t="s">
        <v>82</v>
      </c>
      <c r="L13516" s="3" t="str">
        <f>IFERROR(__xludf.DUMMYFUNCTION("GOOGLETRANSLATE(F13516,""id"",""en"")"),"Aamiin Makasi Sofiaa BTW Argentina Wins Pilduun")</f>
        <v>Aamiin Makasi Sofiaa BTW Argentina Wins Pilduun</v>
      </c>
    </row>
    <row r="13517" ht="15.75" customHeight="1">
      <c r="A13517" s="1">
        <v>14966.0</v>
      </c>
      <c r="B13517" s="3" t="s">
        <v>38337</v>
      </c>
      <c r="C13517" s="3">
        <v>0.0</v>
      </c>
      <c r="D13517" s="3">
        <v>0.0</v>
      </c>
      <c r="E13517" s="3">
        <v>0.0</v>
      </c>
      <c r="F13517" s="3" t="s">
        <v>38338</v>
      </c>
      <c r="G13517" s="3">
        <v>0.0</v>
      </c>
      <c r="H13517" s="3">
        <v>0.0</v>
      </c>
      <c r="I13517" s="3" t="s">
        <v>13</v>
      </c>
      <c r="J13517" s="3" t="s">
        <v>38339</v>
      </c>
      <c r="K13517" s="3" t="s">
        <v>127</v>
      </c>
      <c r="L13517" s="3" t="str">
        <f>IFERROR(__xludf.DUMMYFUNCTION("GOOGLETRANSLATE(F13517,""id"",""en"")"),"hrt to remember the pildun polls from the Indonesian ball account to beat Argentina Germany England and Spain Joss")</f>
        <v>hrt to remember the pildun polls from the Indonesian ball account to beat Argentina Germany England and Spain Joss</v>
      </c>
    </row>
    <row r="13518" ht="15.75" customHeight="1">
      <c r="A13518" s="1">
        <v>14967.0</v>
      </c>
      <c r="B13518" s="3" t="s">
        <v>38340</v>
      </c>
      <c r="C13518" s="3">
        <v>1.0</v>
      </c>
      <c r="D13518" s="3">
        <v>0.0</v>
      </c>
      <c r="E13518" s="3">
        <v>0.0</v>
      </c>
      <c r="F13518" s="3" t="s">
        <v>38341</v>
      </c>
      <c r="G13518" s="3">
        <v>0.0</v>
      </c>
      <c r="H13518" s="3">
        <v>0.0</v>
      </c>
      <c r="I13518" s="3" t="s">
        <v>13</v>
      </c>
      <c r="J13518" s="3" t="s">
        <v>38342</v>
      </c>
      <c r="K13518" s="3" t="s">
        <v>215</v>
      </c>
      <c r="L13518" s="3" t="str">
        <f>IFERROR(__xludf.DUMMYFUNCTION("GOOGLETRANSLATE(F13518,""id"",""en"")"),"I've been talking many times when this pildun if this Argentina will definitely reward everything to win really happen and just remember it turns out that this has become their heritage Simeone Beckham Maradona England there are those who can add")</f>
        <v>I've been talking many times when this pildun if this Argentina will definitely reward everything to win really happen and just remember it turns out that this has become their heritage Simeone Beckham Maradona England there are those who can add</v>
      </c>
    </row>
    <row r="13519" ht="15.75" customHeight="1">
      <c r="A13519" s="1">
        <v>14968.0</v>
      </c>
      <c r="B13519" s="3" t="s">
        <v>38343</v>
      </c>
      <c r="C13519" s="3">
        <v>0.0</v>
      </c>
      <c r="D13519" s="3">
        <v>0.0</v>
      </c>
      <c r="E13519" s="3">
        <v>1.0</v>
      </c>
      <c r="F13519" s="3" t="s">
        <v>38344</v>
      </c>
      <c r="G13519" s="3">
        <v>0.0</v>
      </c>
      <c r="H13519" s="3">
        <v>0.0</v>
      </c>
      <c r="I13519" s="3" t="s">
        <v>13</v>
      </c>
      <c r="J13519" s="3" t="s">
        <v>38345</v>
      </c>
      <c r="K13519" s="3" t="s">
        <v>71</v>
      </c>
      <c r="L13519" s="3" t="str">
        <f>IFERROR(__xludf.DUMMYFUNCTION("GOOGLETRANSLATE(F13519,""id"",""en"")"),"see a photo of the Argentine community welcomed the return of his team because he won the Pilduun like there was trauma, afraid of running out of breath")</f>
        <v>see a photo of the Argentine community welcomed the return of his team because he won the Pilduun like there was trauma, afraid of running out of breath</v>
      </c>
    </row>
    <row r="13520" ht="15.75" customHeight="1">
      <c r="A13520" s="1">
        <v>14970.0</v>
      </c>
      <c r="B13520" s="3" t="s">
        <v>38346</v>
      </c>
      <c r="C13520" s="3">
        <v>0.0</v>
      </c>
      <c r="D13520" s="3">
        <v>0.0</v>
      </c>
      <c r="E13520" s="3">
        <v>0.0</v>
      </c>
      <c r="F13520" s="3" t="s">
        <v>38347</v>
      </c>
      <c r="G13520" s="3">
        <v>0.0</v>
      </c>
      <c r="H13520" s="3">
        <v>0.0</v>
      </c>
      <c r="I13520" s="3" t="s">
        <v>13</v>
      </c>
      <c r="J13520" s="3" t="s">
        <v>38348</v>
      </c>
      <c r="K13520" s="3" t="s">
        <v>50</v>
      </c>
      <c r="L13520" s="3" t="str">
        <f>IFERROR(__xludf.DUMMYFUNCTION("GOOGLETRANSLATE(F13520,""id"",""en"")"),"pdhl folk Argentina and prayed for them to lose high inflation.")</f>
        <v>pdhl folk Argentina and prayed for them to lose high inflation.</v>
      </c>
    </row>
    <row r="13521" ht="15.75" customHeight="1">
      <c r="A13521" s="1">
        <v>14971.0</v>
      </c>
      <c r="B13521" s="3" t="s">
        <v>38349</v>
      </c>
      <c r="C13521" s="3">
        <v>1.0</v>
      </c>
      <c r="D13521" s="3">
        <v>0.0</v>
      </c>
      <c r="E13521" s="3">
        <v>1.0</v>
      </c>
      <c r="F13521" s="3" t="s">
        <v>38350</v>
      </c>
      <c r="G13521" s="3">
        <v>0.0</v>
      </c>
      <c r="H13521" s="3">
        <v>0.0</v>
      </c>
      <c r="I13521" s="3" t="s">
        <v>13</v>
      </c>
      <c r="J13521" s="3" t="s">
        <v>38351</v>
      </c>
      <c r="K13521" s="3" t="s">
        <v>463</v>
      </c>
      <c r="L13521" s="3" t="str">
        <f>IFERROR(__xludf.DUMMYFUNCTION("GOOGLETRANSLATE(F13521,""id"",""en"")"),"The older who passed the most Argentina Qatar goals who did make the failure failed to win the big penalties against the Dutch who created Argentina who")</f>
        <v>The older who passed the most Argentina Qatar goals who did make the failure failed to win the big penalties against the Dutch who created Argentina who</v>
      </c>
    </row>
    <row r="13522" ht="15.75" customHeight="1">
      <c r="A13522" s="1">
        <v>14972.0</v>
      </c>
      <c r="B13522" s="3" t="s">
        <v>38352</v>
      </c>
      <c r="C13522" s="3">
        <v>0.0</v>
      </c>
      <c r="D13522" s="3">
        <v>0.0</v>
      </c>
      <c r="E13522" s="3">
        <v>0.0</v>
      </c>
      <c r="F13522" s="3" t="s">
        <v>38353</v>
      </c>
      <c r="G13522" s="3">
        <v>0.0</v>
      </c>
      <c r="H13522" s="3">
        <v>0.0</v>
      </c>
      <c r="I13522" s="3" t="s">
        <v>13</v>
      </c>
      <c r="J13522" s="3" t="s">
        <v>38354</v>
      </c>
      <c r="K13522" s="3" t="s">
        <v>90</v>
      </c>
      <c r="L13522" s="3" t="str">
        <f>IFERROR(__xludf.DUMMYFUNCTION("GOOGLETRANSLATE(F13522,""id"",""en"")"),"Weh just found out that Argentina won Pilduun Selamattt Yuhuuu even though he first lost to Arab")</f>
        <v>Weh just found out that Argentina won Pilduun Selamattt Yuhuuu even though he first lost to Arab</v>
      </c>
    </row>
    <row r="13523" ht="15.75" customHeight="1">
      <c r="A13523" s="1">
        <v>14973.0</v>
      </c>
      <c r="B13523" s="3" t="s">
        <v>38355</v>
      </c>
      <c r="C13523" s="3">
        <v>1.0</v>
      </c>
      <c r="D13523" s="3">
        <v>0.0</v>
      </c>
      <c r="E13523" s="3">
        <v>0.0</v>
      </c>
      <c r="F13523" s="3" t="s">
        <v>38356</v>
      </c>
      <c r="G13523" s="3">
        <v>0.0</v>
      </c>
      <c r="H13523" s="3">
        <v>0.0</v>
      </c>
      <c r="I13523" s="3" t="s">
        <v>13</v>
      </c>
      <c r="J13523" s="3" t="s">
        <v>38357</v>
      </c>
      <c r="K13523" s="3" t="s">
        <v>322</v>
      </c>
      <c r="L13523" s="3" t="str">
        <f>IFERROR(__xludf.DUMMYFUNCTION("GOOGLETRANSLATE(F13523,""id"",""en"")"),"wake up Argentina just won Pilduun")</f>
        <v>wake up Argentina just won Pilduun</v>
      </c>
    </row>
    <row r="13524" ht="15.75" customHeight="1">
      <c r="A13524" s="1">
        <v>14975.0</v>
      </c>
      <c r="B13524" s="3" t="s">
        <v>38358</v>
      </c>
      <c r="C13524" s="3">
        <v>0.0</v>
      </c>
      <c r="D13524" s="3">
        <v>0.0</v>
      </c>
      <c r="E13524" s="3">
        <v>0.0</v>
      </c>
      <c r="F13524" s="3" t="s">
        <v>38359</v>
      </c>
      <c r="G13524" s="3">
        <v>0.0</v>
      </c>
      <c r="H13524" s="3">
        <v>0.0</v>
      </c>
      <c r="I13524" s="3" t="s">
        <v>13</v>
      </c>
      <c r="J13524" s="3" t="s">
        <v>38360</v>
      </c>
      <c r="K13524" s="3" t="s">
        <v>240</v>
      </c>
      <c r="L13524" s="3" t="str">
        <f>IFERROR(__xludf.DUMMYFUNCTION("GOOGLETRANSLATE(F13524,""id"",""en"")"),"Since Argentina won Pilduun how come I thought of the fate of Messi when Balek nang Parc Princes Stadium Yooo")</f>
        <v>Since Argentina won Pilduun how come I thought of the fate of Messi when Balek nang Parc Princes Stadium Yooo</v>
      </c>
    </row>
    <row r="13525" ht="15.75" customHeight="1">
      <c r="A13525" s="1">
        <v>14976.0</v>
      </c>
      <c r="B13525" s="3" t="s">
        <v>38361</v>
      </c>
      <c r="C13525" s="3">
        <v>0.0</v>
      </c>
      <c r="D13525" s="3">
        <v>0.0</v>
      </c>
      <c r="E13525" s="3">
        <v>6.0</v>
      </c>
      <c r="F13525" s="3" t="s">
        <v>38362</v>
      </c>
      <c r="G13525" s="3">
        <v>0.0</v>
      </c>
      <c r="H13525" s="3">
        <v>0.0</v>
      </c>
      <c r="I13525" s="3" t="s">
        <v>13</v>
      </c>
      <c r="J13525" s="3" t="s">
        <v>38363</v>
      </c>
      <c r="K13525" s="3" t="s">
        <v>50</v>
      </c>
      <c r="L13525" s="3" t="str">
        <f>IFERROR(__xludf.DUMMYFUNCTION("GOOGLETRANSLATE(F13525,""id"",""en"")"),"Blunder Reply using this photo Argentina has won the Copa America and Pildun")</f>
        <v>Blunder Reply using this photo Argentina has won the Copa America and Pildun</v>
      </c>
    </row>
    <row r="13526" ht="15.75" customHeight="1">
      <c r="A13526" s="1">
        <v>14977.0</v>
      </c>
      <c r="B13526" s="3" t="s">
        <v>38364</v>
      </c>
      <c r="C13526" s="3">
        <v>1.0</v>
      </c>
      <c r="D13526" s="3">
        <v>0.0</v>
      </c>
      <c r="E13526" s="3">
        <v>0.0</v>
      </c>
      <c r="F13526" s="3" t="s">
        <v>38365</v>
      </c>
      <c r="G13526" s="3">
        <v>0.3333333333333333</v>
      </c>
      <c r="H13526" s="3">
        <v>0.1666666666666667</v>
      </c>
      <c r="I13526" s="3" t="s">
        <v>48</v>
      </c>
      <c r="J13526" s="3" t="s">
        <v>38366</v>
      </c>
      <c r="K13526" s="3" t="s">
        <v>94</v>
      </c>
      <c r="L13526" s="3" t="str">
        <f>IFERROR(__xludf.DUMMYFUNCTION("GOOGLETRANSLATE(F13526,""id"",""en"")"),"Well the last pildun title, France won, this is the time for Argentina, Messi, the last to play pildun, especially if there is a back to attract the attention of wkwk, okay supporting Argentina until the penalty said, we said, please unite support")</f>
        <v>Well the last pildun title, France won, this is the time for Argentina, Messi, the last to play pildun, especially if there is a back to attract the attention of wkwk, okay supporting Argentina until the penalty said, we said, please unite support</v>
      </c>
    </row>
    <row r="13527" ht="15.75" customHeight="1">
      <c r="A13527" s="1">
        <v>14978.0</v>
      </c>
      <c r="B13527" s="3" t="s">
        <v>38367</v>
      </c>
      <c r="C13527" s="3">
        <v>0.0</v>
      </c>
      <c r="D13527" s="3">
        <v>0.0</v>
      </c>
      <c r="E13527" s="3">
        <v>0.0</v>
      </c>
      <c r="F13527" s="3" t="s">
        <v>38368</v>
      </c>
      <c r="G13527" s="3">
        <v>0.0</v>
      </c>
      <c r="H13527" s="3">
        <v>0.0</v>
      </c>
      <c r="I13527" s="3" t="s">
        <v>13</v>
      </c>
      <c r="J13527" s="3" t="s">
        <v>38369</v>
      </c>
      <c r="K13527" s="3" t="s">
        <v>54</v>
      </c>
      <c r="L13527" s="3" t="str">
        <f>IFERROR(__xludf.DUMMYFUNCTION("GOOGLETRANSLATE(F13527,""id"",""en"")"),"so this Argesan Argentina won the Pilduun KMRN")</f>
        <v>so this Argesan Argentina won the Pilduun KMRN</v>
      </c>
    </row>
    <row r="13528" ht="15.75" customHeight="1">
      <c r="A13528" s="1">
        <v>14979.0</v>
      </c>
      <c r="B13528" s="3" t="s">
        <v>38370</v>
      </c>
      <c r="C13528" s="3">
        <v>0.0</v>
      </c>
      <c r="D13528" s="3">
        <v>0.0</v>
      </c>
      <c r="E13528" s="3">
        <v>1.0</v>
      </c>
      <c r="F13528" s="3" t="s">
        <v>38371</v>
      </c>
      <c r="G13528" s="3">
        <v>0.3</v>
      </c>
      <c r="H13528" s="3">
        <v>0.2</v>
      </c>
      <c r="I13528" s="3" t="s">
        <v>48</v>
      </c>
      <c r="J13528" s="3" t="s">
        <v>38372</v>
      </c>
      <c r="K13528" s="3" t="s">
        <v>82</v>
      </c>
      <c r="L13528" s="3" t="str">
        <f>IFERROR(__xludf.DUMMYFUNCTION("GOOGLETRANSLATE(F13528,""id"",""en"")"),"Because of the strong offerings from Indonesia, Argentina wins haha")</f>
        <v>Because of the strong offerings from Indonesia, Argentina wins haha</v>
      </c>
    </row>
    <row r="13529" ht="15.75" customHeight="1">
      <c r="A13529" s="1">
        <v>14981.0</v>
      </c>
      <c r="B13529" s="3" t="s">
        <v>38373</v>
      </c>
      <c r="C13529" s="3">
        <v>1.0</v>
      </c>
      <c r="D13529" s="3">
        <v>9.0</v>
      </c>
      <c r="E13529" s="3">
        <v>122.0</v>
      </c>
      <c r="F13529" s="3" t="s">
        <v>38374</v>
      </c>
      <c r="G13529" s="3">
        <v>0.65</v>
      </c>
      <c r="H13529" s="3">
        <v>0.35</v>
      </c>
      <c r="I13529" s="3" t="s">
        <v>48</v>
      </c>
      <c r="J13529" s="3" t="s">
        <v>38375</v>
      </c>
      <c r="K13529" s="3" t="s">
        <v>8160</v>
      </c>
      <c r="L13529" s="3" t="str">
        <f>IFERROR(__xludf.DUMMYFUNCTION("GOOGLETRANSLATE(F13529,""id"",""en"")"),"At first I was still able to hold back the tears but when Paredes was breathing, I couldn't be held back to the cooral coach during the Pildun want Argentina or win, his expression would be while drinking water")</f>
        <v>At first I was still able to hold back the tears but when Paredes was breathing, I couldn't be held back to the cooral coach during the Pildun want Argentina or win, his expression would be while drinking water</v>
      </c>
    </row>
    <row r="13530" ht="15.75" customHeight="1">
      <c r="A13530" s="1">
        <v>14982.0</v>
      </c>
      <c r="B13530" s="3" t="s">
        <v>38376</v>
      </c>
      <c r="C13530" s="3">
        <v>0.0</v>
      </c>
      <c r="D13530" s="3">
        <v>0.0</v>
      </c>
      <c r="E13530" s="3">
        <v>0.0</v>
      </c>
      <c r="F13530" s="3" t="s">
        <v>38377</v>
      </c>
      <c r="G13530" s="3">
        <v>0.0</v>
      </c>
      <c r="H13530" s="3">
        <v>0.0</v>
      </c>
      <c r="I13530" s="3" t="s">
        <v>13</v>
      </c>
      <c r="J13530" s="3" t="s">
        <v>38378</v>
      </c>
      <c r="K13530" s="3" t="s">
        <v>9982</v>
      </c>
      <c r="L13530" s="3" t="str">
        <f>IFERROR(__xludf.DUMMYFUNCTION("GOOGLETRANSLATE(F13530,""id"",""en"")"),"I really like to see Citizen in Defending Aguero so the staff is already a legend not who is just a privilege fan who knows the same Argentina team, it's a legend.")</f>
        <v>I really like to see Citizen in Defending Aguero so the staff is already a legend not who is just a privilege fan who knows the same Argentina team, it's a legend.</v>
      </c>
    </row>
    <row r="13531" ht="15.75" customHeight="1">
      <c r="A13531" s="1">
        <v>14983.0</v>
      </c>
      <c r="B13531" s="3" t="s">
        <v>38379</v>
      </c>
      <c r="C13531" s="3">
        <v>1.0</v>
      </c>
      <c r="D13531" s="3">
        <v>0.0</v>
      </c>
      <c r="E13531" s="3">
        <v>0.0</v>
      </c>
      <c r="F13531" s="3" t="s">
        <v>38380</v>
      </c>
      <c r="G13531" s="3">
        <v>0.0</v>
      </c>
      <c r="H13531" s="3">
        <v>0.0</v>
      </c>
      <c r="I13531" s="3" t="s">
        <v>13</v>
      </c>
      <c r="J13531" s="3" t="s">
        <v>38381</v>
      </c>
      <c r="K13531" s="3" t="s">
        <v>614</v>
      </c>
      <c r="L13531" s="3" t="str">
        <f>IFERROR(__xludf.DUMMYFUNCTION("GOOGLETRANSLATE(F13531,""id"",""en"")"),"wkt when writing predictions who will win the brain of the brain there is only Germany or Argentina, but instead you just choose laen, don't do the two countries finally write Spanish")</f>
        <v>wkt when writing predictions who will win the brain of the brain there is only Germany or Argentina, but instead you just choose laen, don't do the two countries finally write Spanish</v>
      </c>
    </row>
    <row r="13532" ht="15.75" customHeight="1">
      <c r="A13532" s="1">
        <v>14984.0</v>
      </c>
      <c r="B13532" s="3" t="s">
        <v>38382</v>
      </c>
      <c r="C13532" s="3">
        <v>2.0</v>
      </c>
      <c r="D13532" s="3">
        <v>0.0</v>
      </c>
      <c r="E13532" s="3">
        <v>1.0</v>
      </c>
      <c r="F13532" s="3" t="s">
        <v>38383</v>
      </c>
      <c r="G13532" s="3">
        <v>0.0</v>
      </c>
      <c r="H13532" s="3">
        <v>0.0</v>
      </c>
      <c r="I13532" s="3" t="s">
        <v>13</v>
      </c>
      <c r="J13532" s="3" t="s">
        <v>38384</v>
      </c>
      <c r="K13532" s="3" t="s">
        <v>41</v>
      </c>
      <c r="L13532" s="3" t="str">
        <f>IFERROR(__xludf.DUMMYFUNCTION("GOOGLETRANSLATE(F13532,""id"",""en"")"),"December Achivement Judisium Graduation Bang Parent Argentina Wins Pilduun")</f>
        <v>December Achivement Judisium Graduation Bang Parent Argentina Wins Pilduun</v>
      </c>
    </row>
    <row r="13533" ht="15.75" customHeight="1">
      <c r="A13533" s="1">
        <v>14986.0</v>
      </c>
      <c r="B13533" s="3" t="s">
        <v>38385</v>
      </c>
      <c r="C13533" s="3">
        <v>0.0</v>
      </c>
      <c r="D13533" s="3">
        <v>0.0</v>
      </c>
      <c r="E13533" s="3">
        <v>0.0</v>
      </c>
      <c r="F13533" s="3" t="s">
        <v>38386</v>
      </c>
      <c r="G13533" s="3">
        <v>0.0</v>
      </c>
      <c r="H13533" s="3">
        <v>0.0</v>
      </c>
      <c r="I13533" s="3" t="s">
        <v>13</v>
      </c>
      <c r="J13533" s="3" t="s">
        <v>38387</v>
      </c>
      <c r="K13533" s="3" t="s">
        <v>437</v>
      </c>
      <c r="L13533" s="3" t="str">
        <f>IFERROR(__xludf.DUMMYFUNCTION("GOOGLETRANSLATE(F13533,""id"",""en"")"),"Crazy, this year's pildun, I can't guess who wins where it's really crowded, it's not really exciting, anyway, BTW Congrats Argentina")</f>
        <v>Crazy, this year's pildun, I can't guess who wins where it's really crowded, it's not really exciting, anyway, BTW Congrats Argentina</v>
      </c>
    </row>
    <row r="13534" ht="15.75" customHeight="1">
      <c r="A13534" s="1">
        <v>14987.0</v>
      </c>
      <c r="B13534" s="3" t="s">
        <v>38388</v>
      </c>
      <c r="C13534" s="3">
        <v>0.0</v>
      </c>
      <c r="D13534" s="3">
        <v>0.0</v>
      </c>
      <c r="E13534" s="3">
        <v>0.0</v>
      </c>
      <c r="F13534" s="3" t="s">
        <v>38389</v>
      </c>
      <c r="G13534" s="3">
        <v>0.3166666666666667</v>
      </c>
      <c r="H13534" s="3">
        <v>0.1833333333333333</v>
      </c>
      <c r="I13534" s="3" t="s">
        <v>48</v>
      </c>
      <c r="J13534" s="3" t="s">
        <v>38390</v>
      </c>
      <c r="K13534" s="3" t="s">
        <v>19184</v>
      </c>
      <c r="L13534" s="3" t="str">
        <f>IFERROR(__xludf.DUMMYFUNCTION("GOOGLETRANSLATE(F13534,""id"",""en"")"),"DiaryKaeruu Argentina Aaaa is just a day since Argentina won Pilduun Congrats, especially for Messi to be honest, I hope Messi is playing for the year of the year and you want to buy Argentine jersey but late but it's ok")</f>
        <v>DiaryKaeruu Argentina Aaaa is just a day since Argentina won Pilduun Congrats, especially for Messi to be honest, I hope Messi is playing for the year of the year and you want to buy Argentine jersey but late but it's ok</v>
      </c>
    </row>
    <row r="13535" ht="15.75" customHeight="1">
      <c r="A13535" s="1">
        <v>14988.0</v>
      </c>
      <c r="B13535" s="3" t="s">
        <v>38391</v>
      </c>
      <c r="C13535" s="3">
        <v>0.0</v>
      </c>
      <c r="D13535" s="3">
        <v>0.0</v>
      </c>
      <c r="E13535" s="3">
        <v>0.0</v>
      </c>
      <c r="F13535" s="3" t="s">
        <v>38392</v>
      </c>
      <c r="G13535" s="3">
        <v>0.0</v>
      </c>
      <c r="H13535" s="3">
        <v>0.0</v>
      </c>
      <c r="I13535" s="3" t="s">
        <v>13</v>
      </c>
      <c r="J13535" s="3" t="s">
        <v>38393</v>
      </c>
      <c r="K13535" s="3" t="s">
        <v>860</v>
      </c>
      <c r="L13535" s="3" t="str">
        <f>IFERROR(__xludf.DUMMYFUNCTION("GOOGLETRANSLATE(F13535,""id"",""en"")"),"I have invited me to bet on the pildun.")</f>
        <v>I have invited me to bet on the pildun.</v>
      </c>
    </row>
    <row r="13536" ht="15.75" customHeight="1">
      <c r="A13536" s="1">
        <v>14989.0</v>
      </c>
      <c r="B13536" s="3" t="s">
        <v>38394</v>
      </c>
      <c r="C13536" s="3">
        <v>0.0</v>
      </c>
      <c r="D13536" s="3">
        <v>0.0</v>
      </c>
      <c r="E13536" s="3">
        <v>0.0</v>
      </c>
      <c r="F13536" s="3" t="s">
        <v>38395</v>
      </c>
      <c r="G13536" s="3">
        <v>0.0</v>
      </c>
      <c r="H13536" s="3">
        <v>0.0</v>
      </c>
      <c r="I13536" s="3" t="s">
        <v>13</v>
      </c>
      <c r="J13536" s="3" t="s">
        <v>38396</v>
      </c>
      <c r="K13536" s="3" t="s">
        <v>184</v>
      </c>
      <c r="L13536" s="3" t="str">
        <f>IFERROR(__xludf.DUMMYFUNCTION("GOOGLETRANSLATE(F13536,""id"",""en"")"),"Pan Hasan Soeparno yesterday was a prediction of the score and Argentina's friend excelled from France.")</f>
        <v>Pan Hasan Soeparno yesterday was a prediction of the score and Argentina's friend excelled from France.</v>
      </c>
    </row>
    <row r="13537" ht="15.75" customHeight="1">
      <c r="A13537" s="1">
        <v>14990.0</v>
      </c>
      <c r="B13537" s="3" t="s">
        <v>38397</v>
      </c>
      <c r="C13537" s="3">
        <v>1.0</v>
      </c>
      <c r="D13537" s="3">
        <v>0.0</v>
      </c>
      <c r="E13537" s="3">
        <v>0.0</v>
      </c>
      <c r="F13537" s="3" t="s">
        <v>38398</v>
      </c>
      <c r="G13537" s="3">
        <v>0.0</v>
      </c>
      <c r="H13537" s="3">
        <v>0.0</v>
      </c>
      <c r="I13537" s="3" t="s">
        <v>13</v>
      </c>
      <c r="J13537" s="3" t="s">
        <v>38399</v>
      </c>
      <c r="K13537" s="3" t="s">
        <v>266</v>
      </c>
      <c r="L13537" s="3" t="str">
        <f>IFERROR(__xludf.DUMMYFUNCTION("GOOGLETRANSLATE(F13537,""id"",""en"")"),"And finally the continuation of Argentina that such as Argentina escaped, surely switching Portugal two, I just stapled and now Argentina finally won Hihi Happy Argentina Euphoria Pilduun this time also got again even though only watching the footage")</f>
        <v>And finally the continuation of Argentina that such as Argentina escaped, surely switching Portugal two, I just stapled and now Argentina finally won Hihi Happy Argentina Euphoria Pilduun this time also got again even though only watching the footage</v>
      </c>
    </row>
    <row r="13538" ht="15.75" customHeight="1">
      <c r="A13538" s="1">
        <v>14991.0</v>
      </c>
      <c r="B13538" s="3" t="s">
        <v>38400</v>
      </c>
      <c r="C13538" s="3">
        <v>0.0</v>
      </c>
      <c r="D13538" s="3">
        <v>0.0</v>
      </c>
      <c r="E13538" s="3">
        <v>0.0</v>
      </c>
      <c r="F13538" s="3" t="s">
        <v>38401</v>
      </c>
      <c r="G13538" s="3">
        <v>0.0</v>
      </c>
      <c r="H13538" s="3">
        <v>0.0</v>
      </c>
      <c r="I13538" s="3" t="s">
        <v>13</v>
      </c>
      <c r="J13538" s="3" t="s">
        <v>38402</v>
      </c>
      <c r="K13538" s="3" t="s">
        <v>574</v>
      </c>
      <c r="L13538" s="3" t="str">
        <f>IFERROR(__xludf.DUMMYFUNCTION("GOOGLETRANSLATE(F13538,""id"",""en"")"),"already million times it seems to play ohm videos in hugging when saying nanon's birthday and ohmnanon video trusting Argentina to win the Pilduun after the wholesome is really happy all day")</f>
        <v>already million times it seems to play ohm videos in hugging when saying nanon's birthday and ohmnanon video trusting Argentina to win the Pilduun after the wholesome is really happy all day</v>
      </c>
    </row>
    <row r="13539" ht="15.75" customHeight="1">
      <c r="A13539" s="1">
        <v>14992.0</v>
      </c>
      <c r="B13539" s="3" t="s">
        <v>38403</v>
      </c>
      <c r="C13539" s="3">
        <v>0.0</v>
      </c>
      <c r="D13539" s="3">
        <v>0.0</v>
      </c>
      <c r="E13539" s="3">
        <v>0.0</v>
      </c>
      <c r="F13539" s="3" t="s">
        <v>38404</v>
      </c>
      <c r="G13539" s="3">
        <v>0.0</v>
      </c>
      <c r="H13539" s="3">
        <v>0.0</v>
      </c>
      <c r="I13539" s="3" t="s">
        <v>13</v>
      </c>
      <c r="J13539" s="3" t="s">
        <v>38405</v>
      </c>
      <c r="K13539" s="3" t="s">
        <v>1041</v>
      </c>
      <c r="L13539" s="3" t="str">
        <f>IFERROR(__xludf.DUMMYFUNCTION("GOOGLETRANSLATE(F13539,""id"",""en"")"),"This is the last pildun for Messi, so it is natural that all Argentine players give sweet memories must be prepared by mentall, surely work will also die to win the spiritual still say the team settings and buying and selling hee attacks in the brain wher"&amp;"e you understand")</f>
        <v>This is the last pildun for Messi, so it is natural that all Argentine players give sweet memories must be prepared by mentall, surely work will also die to win the spiritual still say the team settings and buying and selling hee attacks in the brain where you understand</v>
      </c>
    </row>
    <row r="13540" ht="15.75" customHeight="1">
      <c r="A13540" s="1">
        <v>14993.0</v>
      </c>
      <c r="B13540" s="3" t="s">
        <v>38406</v>
      </c>
      <c r="C13540" s="3">
        <v>0.0</v>
      </c>
      <c r="D13540" s="3">
        <v>0.0</v>
      </c>
      <c r="E13540" s="3">
        <v>0.0</v>
      </c>
      <c r="F13540" s="3" t="s">
        <v>38407</v>
      </c>
      <c r="G13540" s="3">
        <v>0.0</v>
      </c>
      <c r="H13540" s="3">
        <v>0.0</v>
      </c>
      <c r="I13540" s="3" t="s">
        <v>13</v>
      </c>
      <c r="J13540" s="3" t="s">
        <v>38408</v>
      </c>
      <c r="K13540" s="3" t="s">
        <v>75</v>
      </c>
      <c r="L13540" s="3" t="str">
        <f>IFERROR(__xludf.DUMMYFUNCTION("GOOGLETRANSLATE(F13540,""id"",""en"")"),"December Argentina won the French Pilduun, the last happy age of Messi, Messi")</f>
        <v>December Argentina won the French Pilduun, the last happy age of Messi, Messi</v>
      </c>
    </row>
    <row r="13541" ht="15.75" customHeight="1">
      <c r="A13541" s="1">
        <v>14994.0</v>
      </c>
      <c r="B13541" s="3" t="s">
        <v>38409</v>
      </c>
      <c r="C13541" s="3">
        <v>0.0</v>
      </c>
      <c r="D13541" s="3">
        <v>0.0</v>
      </c>
      <c r="E13541" s="3">
        <v>0.0</v>
      </c>
      <c r="F13541" s="3" t="s">
        <v>38410</v>
      </c>
      <c r="G13541" s="3">
        <v>0.0</v>
      </c>
      <c r="H13541" s="3">
        <v>0.0</v>
      </c>
      <c r="I13541" s="3" t="s">
        <v>13</v>
      </c>
      <c r="J13541" s="3" t="s">
        <v>38411</v>
      </c>
      <c r="K13541" s="3" t="s">
        <v>75</v>
      </c>
      <c r="L13541" s="3" t="str">
        <f>IFERROR(__xludf.DUMMYFUNCTION("GOOGLETRANSLATE(F13541,""id"",""en"")"),"weh I'm late updating pildun it turns out that Argentina wins yaa wiwiwiwiwwww")</f>
        <v>weh I'm late updating pildun it turns out that Argentina wins yaa wiwiwiwiwwww</v>
      </c>
    </row>
    <row r="13542" ht="15.75" customHeight="1">
      <c r="A13542" s="1">
        <v>14995.0</v>
      </c>
      <c r="B13542" s="3" t="s">
        <v>38412</v>
      </c>
      <c r="C13542" s="3">
        <v>1.0</v>
      </c>
      <c r="D13542" s="3">
        <v>0.0</v>
      </c>
      <c r="E13542" s="3">
        <v>0.0</v>
      </c>
      <c r="F13542" s="3" t="s">
        <v>38413</v>
      </c>
      <c r="G13542" s="3">
        <v>0.0</v>
      </c>
      <c r="H13542" s="3">
        <v>0.0</v>
      </c>
      <c r="I13542" s="3" t="s">
        <v>13</v>
      </c>
      <c r="J13542" s="3" t="s">
        <v>38414</v>
      </c>
      <c r="K13542" s="3" t="s">
        <v>13682</v>
      </c>
      <c r="L13542" s="3" t="str">
        <f>IFERROR(__xludf.DUMMYFUNCTION("GOOGLETRANSLATE(F13542,""id"",""en"")"),"Yesterday I was really Sunday I saw the Argentina Jersey Slod Out writing I immediately said that my friend was after winning, the jersey was immediately finished with him, because I didn't know the ball, we were surprised")</f>
        <v>Yesterday I was really Sunday I saw the Argentina Jersey Slod Out writing I immediately said that my friend was after winning, the jersey was immediately finished with him, because I didn't know the ball, we were surprised</v>
      </c>
    </row>
    <row r="13543" ht="15.75" customHeight="1">
      <c r="A13543" s="1">
        <v>14996.0</v>
      </c>
      <c r="B13543" s="3" t="s">
        <v>38415</v>
      </c>
      <c r="C13543" s="3">
        <v>0.0</v>
      </c>
      <c r="D13543" s="3">
        <v>0.0</v>
      </c>
      <c r="E13543" s="3">
        <v>0.0</v>
      </c>
      <c r="F13543" s="3" t="s">
        <v>38416</v>
      </c>
      <c r="G13543" s="3">
        <v>0.55</v>
      </c>
      <c r="H13543" s="3">
        <v>0.35</v>
      </c>
      <c r="I13543" s="3" t="s">
        <v>48</v>
      </c>
      <c r="J13543" s="3" t="s">
        <v>38417</v>
      </c>
      <c r="K13543" s="3" t="s">
        <v>19</v>
      </c>
      <c r="L13543" s="3" t="str">
        <f>IFERROR(__xludf.DUMMYFUNCTION("GOOGLETRANSLATE(F13543,""id"",""en"")"),"Iki wants to go to school Crushteen TPP full smile Argentina wins Pildun")</f>
        <v>Iki wants to go to school Crushteen TPP full smile Argentina wins Pildun</v>
      </c>
    </row>
    <row r="13544" ht="15.75" customHeight="1">
      <c r="A13544" s="1">
        <v>14997.0</v>
      </c>
      <c r="B13544" s="3" t="s">
        <v>38418</v>
      </c>
      <c r="C13544" s="3">
        <v>0.0</v>
      </c>
      <c r="D13544" s="3">
        <v>0.0</v>
      </c>
      <c r="E13544" s="3">
        <v>1.0</v>
      </c>
      <c r="F13544" s="3" t="s">
        <v>38419</v>
      </c>
      <c r="G13544" s="3">
        <v>0.0</v>
      </c>
      <c r="H13544" s="3">
        <v>0.0</v>
      </c>
      <c r="I13544" s="3" t="s">
        <v>13</v>
      </c>
      <c r="J13544" s="3" t="s">
        <v>38420</v>
      </c>
      <c r="K13544" s="3" t="s">
        <v>236</v>
      </c>
      <c r="L13544" s="3" t="str">
        <f>IFERROR(__xludf.DUMMYFUNCTION("GOOGLETRANSLATE(F13544,""id"",""en"")"),"Mbappe Udh has won the Pilduun now for the turn of Messi Mbappe Argentina")</f>
        <v>Mbappe Udh has won the Pilduun now for the turn of Messi Mbappe Argentina</v>
      </c>
    </row>
    <row r="13545" ht="15.75" customHeight="1">
      <c r="A13545" s="1">
        <v>14998.0</v>
      </c>
      <c r="B13545" s="3" t="s">
        <v>38421</v>
      </c>
      <c r="C13545" s="3">
        <v>0.0</v>
      </c>
      <c r="D13545" s="3">
        <v>0.0</v>
      </c>
      <c r="E13545" s="3">
        <v>0.0</v>
      </c>
      <c r="F13545" s="3" t="s">
        <v>38422</v>
      </c>
      <c r="G13545" s="3">
        <v>0.0</v>
      </c>
      <c r="H13545" s="3">
        <v>0.0</v>
      </c>
      <c r="I13545" s="3" t="s">
        <v>13</v>
      </c>
      <c r="J13545" s="3" t="s">
        <v>38423</v>
      </c>
      <c r="K13545" s="3" t="s">
        <v>1097</v>
      </c>
      <c r="L13545" s="3" t="str">
        <f>IFERROR(__xludf.DUMMYFUNCTION("GOOGLETRANSLATE(F13545,""id"",""en"")"),"I said congratulations on my crush because Argentina won Pildun")</f>
        <v>I said congratulations on my crush because Argentina won Pildun</v>
      </c>
    </row>
    <row r="13546" ht="15.75" customHeight="1">
      <c r="A13546" s="1">
        <v>14999.0</v>
      </c>
      <c r="B13546" s="3" t="s">
        <v>38424</v>
      </c>
      <c r="C13546" s="3">
        <v>0.0</v>
      </c>
      <c r="D13546" s="3">
        <v>0.0</v>
      </c>
      <c r="E13546" s="3">
        <v>0.0</v>
      </c>
      <c r="F13546" s="3" t="s">
        <v>38425</v>
      </c>
      <c r="G13546" s="3">
        <v>0.0</v>
      </c>
      <c r="H13546" s="3">
        <v>0.0</v>
      </c>
      <c r="I13546" s="3" t="s">
        <v>13</v>
      </c>
      <c r="J13546" s="3" t="s">
        <v>38426</v>
      </c>
      <c r="K13546" s="3" t="s">
        <v>41</v>
      </c>
      <c r="L13546" s="3" t="str">
        <f>IFERROR(__xludf.DUMMYFUNCTION("GOOGLETRANSLATE(F13546,""id"",""en"")"),"Messi is his religion. But give a Sheik title after Argentina won pildun")</f>
        <v>Messi is his religion. But give a Sheik title after Argentina won pildun</v>
      </c>
    </row>
    <row r="13547" ht="15.75" customHeight="1">
      <c r="A13547" s="1">
        <v>15000.0</v>
      </c>
      <c r="B13547" s="3" t="s">
        <v>38427</v>
      </c>
      <c r="C13547" s="3">
        <v>0.0</v>
      </c>
      <c r="D13547" s="3">
        <v>0.0</v>
      </c>
      <c r="E13547" s="3">
        <v>0.0</v>
      </c>
      <c r="F13547" s="3" t="s">
        <v>38428</v>
      </c>
      <c r="G13547" s="3">
        <v>0.0</v>
      </c>
      <c r="H13547" s="3">
        <v>0.0</v>
      </c>
      <c r="I13547" s="3" t="s">
        <v>13</v>
      </c>
      <c r="J13547" s="3" t="s">
        <v>38429</v>
      </c>
      <c r="K13547" s="3" t="s">
        <v>54</v>
      </c>
      <c r="L13547" s="3" t="str">
        <f>IFERROR(__xludf.DUMMYFUNCTION("GOOGLETRANSLATE(F13547,""id"",""en"")"),"remains Brazil the Argentina era won the pildun")</f>
        <v>remains Brazil the Argentina era won the pildun</v>
      </c>
    </row>
    <row r="13548" ht="15.75" customHeight="1">
      <c r="A13548" s="1">
        <v>15001.0</v>
      </c>
      <c r="B13548" s="3" t="s">
        <v>38430</v>
      </c>
      <c r="C13548" s="3">
        <v>0.0</v>
      </c>
      <c r="D13548" s="3">
        <v>0.0</v>
      </c>
      <c r="E13548" s="3">
        <v>0.0</v>
      </c>
      <c r="F13548" s="3" t="s">
        <v>38431</v>
      </c>
      <c r="G13548" s="3">
        <v>0.0</v>
      </c>
      <c r="H13548" s="3">
        <v>0.0</v>
      </c>
      <c r="I13548" s="3" t="s">
        <v>13</v>
      </c>
      <c r="J13548" s="3" t="s">
        <v>38432</v>
      </c>
      <c r="K13548" s="3" t="s">
        <v>54</v>
      </c>
      <c r="L13548" s="3" t="str">
        <f>IFERROR(__xludf.DUMMYFUNCTION("GOOGLETRANSLATE(F13548,""id"",""en"")"),"Argentina won the Pilduun but lost his heart")</f>
        <v>Argentina won the Pilduun but lost his heart</v>
      </c>
    </row>
    <row r="13549" ht="15.75" customHeight="1">
      <c r="A13549" s="1">
        <v>15002.0</v>
      </c>
      <c r="B13549" s="3" t="s">
        <v>38433</v>
      </c>
      <c r="C13549" s="3">
        <v>4.0</v>
      </c>
      <c r="D13549" s="3">
        <v>0.0</v>
      </c>
      <c r="E13549" s="3">
        <v>6.0</v>
      </c>
      <c r="F13549" s="3" t="s">
        <v>38434</v>
      </c>
      <c r="G13549" s="3">
        <v>0.0</v>
      </c>
      <c r="H13549" s="3">
        <v>0.0</v>
      </c>
      <c r="I13549" s="3" t="s">
        <v>13</v>
      </c>
      <c r="J13549" s="3" t="s">
        <v>38435</v>
      </c>
      <c r="K13549" s="3" t="s">
        <v>2117</v>
      </c>
      <c r="L13549" s="3" t="str">
        <f>IFERROR(__xludf.DUMMYFUNCTION("GOOGLETRANSLATE(F13549,""id"",""en"")"),"Argentina won Pilduun")</f>
        <v>Argentina won Pilduun</v>
      </c>
    </row>
    <row r="13550" ht="15.75" customHeight="1">
      <c r="A13550" s="1">
        <v>15003.0</v>
      </c>
      <c r="B13550" s="3" t="s">
        <v>38436</v>
      </c>
      <c r="C13550" s="3">
        <v>4.0</v>
      </c>
      <c r="D13550" s="3">
        <v>0.0</v>
      </c>
      <c r="E13550" s="3">
        <v>4.0</v>
      </c>
      <c r="F13550" s="3" t="s">
        <v>38437</v>
      </c>
      <c r="G13550" s="3">
        <v>0.0</v>
      </c>
      <c r="H13550" s="3">
        <v>0.0</v>
      </c>
      <c r="I13550" s="3" t="s">
        <v>13</v>
      </c>
      <c r="J13550" s="3" t="s">
        <v>38438</v>
      </c>
      <c r="K13550" s="3" t="s">
        <v>23</v>
      </c>
      <c r="L13550" s="3" t="str">
        <f>IFERROR(__xludf.DUMMYFUNCTION("GOOGLETRANSLATE(F13550,""id"",""en"")"),"I should win, I am encouraging this losing, how come I just respond to Argentina, you want to win the pildun if you don't have the same attittude")</f>
        <v>I should win, I am encouraging this losing, how come I just respond to Argentina, you want to win the pildun if you don't have the same attittude</v>
      </c>
    </row>
    <row r="13551" ht="15.75" customHeight="1">
      <c r="A13551" s="1">
        <v>15004.0</v>
      </c>
      <c r="B13551" s="3" t="s">
        <v>38439</v>
      </c>
      <c r="C13551" s="3">
        <v>1.0</v>
      </c>
      <c r="D13551" s="3">
        <v>0.0</v>
      </c>
      <c r="E13551" s="3">
        <v>0.0</v>
      </c>
      <c r="F13551" s="3" t="s">
        <v>38440</v>
      </c>
      <c r="G13551" s="3">
        <v>0.0</v>
      </c>
      <c r="H13551" s="3">
        <v>0.0</v>
      </c>
      <c r="I13551" s="3" t="s">
        <v>13</v>
      </c>
      <c r="J13551" s="3" t="s">
        <v>38441</v>
      </c>
      <c r="K13551" s="3" t="s">
        <v>19410</v>
      </c>
      <c r="L13551" s="3" t="str">
        <f>IFERROR(__xludf.DUMMYFUNCTION("GOOGLETRANSLATE(F13551,""id"",""en"")"),"The time to support Argentina is sad when you lose your opponent with Germany and the pause watching Pilduun watching Pilduun again supporting Argentina is very grateful that Argentina wins")</f>
        <v>The time to support Argentina is sad when you lose your opponent with Germany and the pause watching Pilduun watching Pilduun again supporting Argentina is very grateful that Argentina wins</v>
      </c>
    </row>
    <row r="13552" ht="15.75" customHeight="1">
      <c r="A13552" s="1">
        <v>15005.0</v>
      </c>
      <c r="B13552" s="3" t="s">
        <v>38442</v>
      </c>
      <c r="C13552" s="3">
        <v>0.0</v>
      </c>
      <c r="D13552" s="3">
        <v>0.0</v>
      </c>
      <c r="E13552" s="3">
        <v>0.0</v>
      </c>
      <c r="F13552" s="3" t="s">
        <v>38443</v>
      </c>
      <c r="G13552" s="3">
        <v>0.0</v>
      </c>
      <c r="H13552" s="3">
        <v>0.0</v>
      </c>
      <c r="I13552" s="3" t="s">
        <v>13</v>
      </c>
      <c r="J13552" s="3" t="s">
        <v>38444</v>
      </c>
      <c r="K13552" s="3" t="s">
        <v>449</v>
      </c>
      <c r="L13552" s="3" t="str">
        <f>IFERROR(__xludf.DUMMYFUNCTION("GOOGLETRANSLATE(F13552,""id"",""en"")"),"Argentina, if Messi retires and does not continue to regenerate, the German fate is after winning the pildun immediately left the great player macem klose and podolski alvarez, hopefully the more gacor")</f>
        <v>Argentina, if Messi retires and does not continue to regenerate, the German fate is after winning the pildun immediately left the great player macem klose and podolski alvarez, hopefully the more gacor</v>
      </c>
    </row>
    <row r="13553" ht="15.75" customHeight="1">
      <c r="A13553" s="1">
        <v>15007.0</v>
      </c>
      <c r="B13553" s="3" t="s">
        <v>38445</v>
      </c>
      <c r="C13553" s="3">
        <v>0.0</v>
      </c>
      <c r="D13553" s="3">
        <v>0.0</v>
      </c>
      <c r="E13553" s="3">
        <v>0.0</v>
      </c>
      <c r="F13553" s="3" t="s">
        <v>38446</v>
      </c>
      <c r="G13553" s="3">
        <v>0.0</v>
      </c>
      <c r="H13553" s="3">
        <v>0.0</v>
      </c>
      <c r="I13553" s="3" t="s">
        <v>13</v>
      </c>
      <c r="J13553" s="3" t="s">
        <v>38447</v>
      </c>
      <c r="K13553" s="3" t="s">
        <v>942</v>
      </c>
      <c r="L13553" s="3" t="str">
        <f>IFERROR(__xludf.DUMMYFUNCTION("GOOGLETRANSLATE(F13553,""id"",""en"")"),"Alghozali mentang Mentang Team Support Pildun Winning his Argentine layer cake")</f>
        <v>Alghozali mentang Mentang Team Support Pildun Winning his Argentine layer cake</v>
      </c>
    </row>
    <row r="13554" ht="15.75" customHeight="1">
      <c r="A13554" s="1">
        <v>15008.0</v>
      </c>
      <c r="B13554" s="3" t="s">
        <v>38448</v>
      </c>
      <c r="C13554" s="3">
        <v>0.0</v>
      </c>
      <c r="D13554" s="3">
        <v>0.0</v>
      </c>
      <c r="E13554" s="3">
        <v>0.0</v>
      </c>
      <c r="F13554" s="3" t="s">
        <v>38449</v>
      </c>
      <c r="G13554" s="3">
        <v>0.0</v>
      </c>
      <c r="H13554" s="3">
        <v>0.0</v>
      </c>
      <c r="I13554" s="3" t="s">
        <v>13</v>
      </c>
      <c r="J13554" s="3" t="s">
        <v>38450</v>
      </c>
      <c r="K13554" s="3" t="s">
        <v>644</v>
      </c>
      <c r="L13554" s="3" t="str">
        <f>IFERROR(__xludf.DUMMYFUNCTION("GOOGLETRANSLATE(F13554,""id"",""en"")"),"Argentina because he won Pildun")</f>
        <v>Argentina because he won Pildun</v>
      </c>
    </row>
    <row r="13555" ht="15.75" customHeight="1">
      <c r="A13555" s="1">
        <v>15009.0</v>
      </c>
      <c r="B13555" s="3" t="s">
        <v>38451</v>
      </c>
      <c r="C13555" s="3">
        <v>3.0</v>
      </c>
      <c r="D13555" s="3">
        <v>0.0</v>
      </c>
      <c r="E13555" s="3">
        <v>0.0</v>
      </c>
      <c r="F13555" s="3" t="s">
        <v>38452</v>
      </c>
      <c r="G13555" s="3">
        <v>0.0</v>
      </c>
      <c r="H13555" s="3">
        <v>0.0</v>
      </c>
      <c r="I13555" s="3" t="s">
        <v>13</v>
      </c>
      <c r="J13555" s="3" t="s">
        <v>38453</v>
      </c>
      <c r="K13555" s="3" t="s">
        <v>205</v>
      </c>
      <c r="L13555" s="3" t="str">
        <f>IFERROR(__xludf.DUMMYFUNCTION("GOOGLETRANSLATE(F13555,""id"",""en"")"),"Gabatasa Pilduun Qatar was finished yesterday Ojeb Gajadi won million because Agegen lost his opponent's Arabic last night allin Argentina")</f>
        <v>Gabatasa Pilduun Qatar was finished yesterday Ojeb Gajadi won million because Agegen lost his opponent's Arabic last night allin Argentina</v>
      </c>
    </row>
    <row r="13556" ht="15.75" customHeight="1">
      <c r="A13556" s="1">
        <v>15010.0</v>
      </c>
      <c r="B13556" s="3" t="s">
        <v>38454</v>
      </c>
      <c r="C13556" s="3">
        <v>0.0</v>
      </c>
      <c r="D13556" s="3">
        <v>0.0</v>
      </c>
      <c r="E13556" s="3">
        <v>0.0</v>
      </c>
      <c r="F13556" s="3" t="s">
        <v>38455</v>
      </c>
      <c r="G13556" s="3">
        <v>0.0</v>
      </c>
      <c r="H13556" s="3">
        <v>0.0</v>
      </c>
      <c r="I13556" s="3" t="s">
        <v>13</v>
      </c>
      <c r="J13556" s="3" t="s">
        <v>38456</v>
      </c>
      <c r="K13556" s="3" t="s">
        <v>9982</v>
      </c>
      <c r="L13556" s="3" t="str">
        <f>IFERROR(__xludf.DUMMYFUNCTION("GOOGLETRANSLATE(F13556,""id"",""en"")"),"On Sunday the morning arrived when he was diwa resita asw gatel lop dog then I said goodbye, then he arrived, he asked to be accompanied again, he told me, he just told me, he had just visited the pildun together, finally Argentina won.")</f>
        <v>On Sunday the morning arrived when he was diwa resita asw gatel lop dog then I said goodbye, then he arrived, he asked to be accompanied again, he told me, he just told me, he had just visited the pildun together, finally Argentina won.</v>
      </c>
    </row>
    <row r="13557" ht="15.75" customHeight="1">
      <c r="A13557" s="1">
        <v>15011.0</v>
      </c>
      <c r="B13557" s="3" t="s">
        <v>38457</v>
      </c>
      <c r="C13557" s="3">
        <v>0.0</v>
      </c>
      <c r="D13557" s="3">
        <v>0.0</v>
      </c>
      <c r="E13557" s="3">
        <v>0.0</v>
      </c>
      <c r="F13557" s="3" t="s">
        <v>38458</v>
      </c>
      <c r="G13557" s="3">
        <v>0.0</v>
      </c>
      <c r="H13557" s="3">
        <v>0.0</v>
      </c>
      <c r="I13557" s="3" t="s">
        <v>13</v>
      </c>
      <c r="J13557" s="3" t="s">
        <v>38459</v>
      </c>
      <c r="K13557" s="3" t="s">
        <v>31</v>
      </c>
      <c r="L13557" s="3" t="str">
        <f>IFERROR(__xludf.DUMMYFUNCTION("GOOGLETRANSLATE(F13557,""id"",""en"")"),"moved to watch Argentina to win pildun")</f>
        <v>moved to watch Argentina to win pildun</v>
      </c>
    </row>
    <row r="13558" ht="15.75" customHeight="1">
      <c r="A13558" s="1">
        <v>15012.0</v>
      </c>
      <c r="B13558" s="3" t="s">
        <v>38460</v>
      </c>
      <c r="C13558" s="3">
        <v>0.0</v>
      </c>
      <c r="D13558" s="3">
        <v>0.0</v>
      </c>
      <c r="E13558" s="3">
        <v>1.0</v>
      </c>
      <c r="F13558" s="3" t="s">
        <v>38461</v>
      </c>
      <c r="G13558" s="3">
        <v>0.0</v>
      </c>
      <c r="H13558" s="3">
        <v>0.0</v>
      </c>
      <c r="I13558" s="3" t="s">
        <v>13</v>
      </c>
      <c r="J13558" s="3" t="s">
        <v>38462</v>
      </c>
      <c r="K13558" s="3" t="s">
        <v>1349</v>
      </c>
      <c r="L13558" s="3" t="str">
        <f>IFERROR(__xludf.DUMMYFUNCTION("GOOGLETRANSLATE(F13558,""id"",""en"")"),"I'm also a dodo fan still respecting Argentina to win Pilduun like Argentina to win is still less exciting if you bring Dodo")</f>
        <v>I'm also a dodo fan still respecting Argentina to win Pilduun like Argentina to win is still less exciting if you bring Dodo</v>
      </c>
    </row>
    <row r="13559" ht="15.75" customHeight="1">
      <c r="A13559" s="1">
        <v>15014.0</v>
      </c>
      <c r="B13559" s="3" t="s">
        <v>38463</v>
      </c>
      <c r="C13559" s="3">
        <v>0.0</v>
      </c>
      <c r="D13559" s="3">
        <v>0.0</v>
      </c>
      <c r="E13559" s="3">
        <v>0.0</v>
      </c>
      <c r="F13559" s="3" t="s">
        <v>38464</v>
      </c>
      <c r="G13559" s="3">
        <v>0.5</v>
      </c>
      <c r="H13559" s="3">
        <v>0.5</v>
      </c>
      <c r="I13559" s="3" t="s">
        <v>48</v>
      </c>
      <c r="J13559" s="3" t="s">
        <v>38465</v>
      </c>
      <c r="K13559" s="3" t="s">
        <v>374</v>
      </c>
      <c r="L13559" s="3" t="str">
        <f>IFERROR(__xludf.DUMMYFUNCTION("GOOGLETRANSLATE(F13559,""id"",""en"")"),"Every day I follow the Pildun of the State of Work, but there is time to ngehype until I often talk about my father, Messi or Ronaldo Top Score then when I am happy Argentina wins whether I can ngehype my idol")</f>
        <v>Every day I follow the Pildun of the State of Work, but there is time to ngehype until I often talk about my father, Messi or Ronaldo Top Score then when I am happy Argentina wins whether I can ngehype my idol</v>
      </c>
    </row>
    <row r="13560" ht="15.75" customHeight="1">
      <c r="A13560" s="1">
        <v>15015.0</v>
      </c>
      <c r="B13560" s="3" t="s">
        <v>38466</v>
      </c>
      <c r="C13560" s="3">
        <v>0.0</v>
      </c>
      <c r="D13560" s="3">
        <v>0.0</v>
      </c>
      <c r="E13560" s="3">
        <v>0.0</v>
      </c>
      <c r="F13560" s="3" t="s">
        <v>38467</v>
      </c>
      <c r="G13560" s="3">
        <v>0.0</v>
      </c>
      <c r="H13560" s="3">
        <v>0.0</v>
      </c>
      <c r="I13560" s="3" t="s">
        <v>13</v>
      </c>
      <c r="J13560" s="3" t="s">
        <v>38468</v>
      </c>
      <c r="K13560" s="3" t="s">
        <v>123</v>
      </c>
      <c r="L13560" s="3" t="str">
        <f>IFERROR(__xludf.DUMMYFUNCTION("GOOGLETRANSLATE(F13560,""id"",""en"")"),"On the tuh Argentina, it is said that the settings are so that Messi wins in both both of them")</f>
        <v>On the tuh Argentina, it is said that the settings are so that Messi wins in both both of them</v>
      </c>
    </row>
    <row r="13561" ht="15.75" customHeight="1">
      <c r="A13561" s="1">
        <v>15016.0</v>
      </c>
      <c r="B13561" s="3" t="s">
        <v>38469</v>
      </c>
      <c r="C13561" s="3">
        <v>1.0</v>
      </c>
      <c r="D13561" s="3">
        <v>0.0</v>
      </c>
      <c r="E13561" s="3">
        <v>0.0</v>
      </c>
      <c r="F13561" s="3" t="s">
        <v>38470</v>
      </c>
      <c r="G13561" s="3">
        <v>0.3333333333333333</v>
      </c>
      <c r="H13561" s="3">
        <v>0.1666666666666667</v>
      </c>
      <c r="I13561" s="3" t="s">
        <v>48</v>
      </c>
      <c r="J13561" s="3" t="s">
        <v>38471</v>
      </c>
      <c r="K13561" s="3" t="s">
        <v>503</v>
      </c>
      <c r="L13561" s="3" t="str">
        <f>IFERROR(__xludf.DUMMYFUNCTION("GOOGLETRANSLATE(F13561,""id"",""en"")"),"Is the only one who plays it always with CWO if I go gossip, I play cwo, talking about the fun, especially last night, nobar and Argentina won me Argentina team BTW I also like skincare")</f>
        <v>Is the only one who plays it always with CWO if I go gossip, I play cwo, talking about the fun, especially last night, nobar and Argentina won me Argentina team BTW I also like skincare</v>
      </c>
    </row>
    <row r="13562" ht="15.75" customHeight="1">
      <c r="A13562" s="1">
        <v>15017.0</v>
      </c>
      <c r="B13562" s="3" t="s">
        <v>38472</v>
      </c>
      <c r="C13562" s="3">
        <v>10.0</v>
      </c>
      <c r="D13562" s="3">
        <v>12.0</v>
      </c>
      <c r="E13562" s="3">
        <v>13.0</v>
      </c>
      <c r="F13562" s="3" t="s">
        <v>38473</v>
      </c>
      <c r="G13562" s="3">
        <v>0.4</v>
      </c>
      <c r="H13562" s="3">
        <v>0.1</v>
      </c>
      <c r="I13562" s="3" t="s">
        <v>48</v>
      </c>
      <c r="J13562" s="3" t="s">
        <v>38474</v>
      </c>
      <c r="K13562" s="3" t="s">
        <v>13921</v>
      </c>
      <c r="L13562" s="3" t="str">
        <f>IFERROR(__xludf.DUMMYFUNCTION("GOOGLETRANSLATE(F13562,""id"",""en"")"),"Yuhuuuu, since Argentina won the World Cup, I want to make my promise for the balance of funds for people, hehehe, the rules are obliged to be Argentina fans and the last like the last Mention Moment Pildun according to the epic tomorrow I am in public.")</f>
        <v>Yuhuuuu, since Argentina won the World Cup, I want to make my promise for the balance of funds for people, hehehe, the rules are obliged to be Argentina fans and the last like the last Mention Moment Pildun according to the epic tomorrow I am in public.</v>
      </c>
    </row>
    <row r="13563" ht="15.75" customHeight="1">
      <c r="A13563" s="1">
        <v>15019.0</v>
      </c>
      <c r="B13563" s="3" t="s">
        <v>38475</v>
      </c>
      <c r="C13563" s="3">
        <v>0.0</v>
      </c>
      <c r="D13563" s="3">
        <v>0.0</v>
      </c>
      <c r="E13563" s="3">
        <v>0.0</v>
      </c>
      <c r="F13563" s="3" t="s">
        <v>38476</v>
      </c>
      <c r="G13563" s="3">
        <v>0.0</v>
      </c>
      <c r="H13563" s="3">
        <v>0.0</v>
      </c>
      <c r="I13563" s="3" t="s">
        <v>13</v>
      </c>
      <c r="J13563" s="3" t="s">
        <v>38477</v>
      </c>
      <c r="K13563" s="3" t="s">
        <v>82</v>
      </c>
      <c r="L13563" s="3" t="str">
        <f>IFERROR(__xludf.DUMMYFUNCTION("GOOGLETRANSLATE(F13563,""id"",""en"")"),"Argentine officials how come there is no photo update to win pildun")</f>
        <v>Argentine officials how come there is no photo update to win pildun</v>
      </c>
    </row>
    <row r="13564" ht="15.75" customHeight="1">
      <c r="A13564" s="1">
        <v>15021.0</v>
      </c>
      <c r="B13564" s="3" t="s">
        <v>38478</v>
      </c>
      <c r="C13564" s="3">
        <v>0.0</v>
      </c>
      <c r="D13564" s="3">
        <v>0.0</v>
      </c>
      <c r="E13564" s="3">
        <v>0.0</v>
      </c>
      <c r="F13564" s="3" t="s">
        <v>38479</v>
      </c>
      <c r="G13564" s="3">
        <v>0.0</v>
      </c>
      <c r="H13564" s="3">
        <v>0.0</v>
      </c>
      <c r="I13564" s="3" t="s">
        <v>13</v>
      </c>
      <c r="J13564" s="3" t="s">
        <v>38480</v>
      </c>
      <c r="K13564" s="3" t="s">
        <v>205</v>
      </c>
      <c r="L13564" s="3" t="str">
        <f>IFERROR(__xludf.DUMMYFUNCTION("GOOGLETRANSLATE(F13564,""id"",""en"")"),"Exol Argentina is happy because Argentina wins so they put the song Power plus Kai's predictions are all the nickname of the Pilduun Kai Penboy Setia Messi nickname")</f>
        <v>Exol Argentina is happy because Argentina wins so they put the song Power plus Kai's predictions are all the nickname of the Pilduun Kai Penboy Setia Messi nickname</v>
      </c>
    </row>
    <row r="13565" ht="15.75" customHeight="1">
      <c r="A13565" s="1">
        <v>15022.0</v>
      </c>
      <c r="B13565" s="3" t="s">
        <v>38481</v>
      </c>
      <c r="C13565" s="3">
        <v>0.0</v>
      </c>
      <c r="D13565" s="3">
        <v>0.0</v>
      </c>
      <c r="E13565" s="3">
        <v>1.0</v>
      </c>
      <c r="F13565" s="3" t="s">
        <v>38482</v>
      </c>
      <c r="G13565" s="3">
        <v>0.3333333333333333</v>
      </c>
      <c r="H13565" s="3">
        <v>0.1666666666666667</v>
      </c>
      <c r="I13565" s="3" t="s">
        <v>48</v>
      </c>
      <c r="J13565" s="3" t="s">
        <v>38483</v>
      </c>
      <c r="K13565" s="3" t="s">
        <v>266</v>
      </c>
      <c r="L13565" s="3" t="str">
        <f>IFERROR(__xludf.DUMMYFUNCTION("GOOGLETRANSLATE(F13565,""id"",""en"")"),"Last night, I watched Pildun then I chose Argentina, he chose France at dawn, seeing the Argentina news, woning, I knew who was playing and watching it also installed Twitter again, then the tweet appeared, sis, sis, sis, sis")</f>
        <v>Last night, I watched Pildun then I chose Argentina, he chose France at dawn, seeing the Argentina news, woning, I knew who was playing and watching it also installed Twitter again, then the tweet appeared, sis, sis, sis, sis</v>
      </c>
    </row>
    <row r="13566" ht="15.75" customHeight="1">
      <c r="A13566" s="1">
        <v>15023.0</v>
      </c>
      <c r="B13566" s="3" t="s">
        <v>38484</v>
      </c>
      <c r="C13566" s="3">
        <v>0.0</v>
      </c>
      <c r="D13566" s="3">
        <v>1.0</v>
      </c>
      <c r="E13566" s="3">
        <v>0.0</v>
      </c>
      <c r="F13566" s="3" t="s">
        <v>38485</v>
      </c>
      <c r="G13566" s="3">
        <v>0.0</v>
      </c>
      <c r="H13566" s="3">
        <v>0.0</v>
      </c>
      <c r="I13566" s="3" t="s">
        <v>13</v>
      </c>
      <c r="J13566" s="3" t="s">
        <v>38486</v>
      </c>
      <c r="K13566" s="3" t="s">
        <v>510</v>
      </c>
      <c r="L13566" s="3" t="str">
        <f>IFERROR(__xludf.DUMMYFUNCTION("GOOGLETRANSLATE(F13566,""id"",""en"")"),"I just bet only twice when the same pildun is the same as this year to win hehe holding Italy Argentina")</f>
        <v>I just bet only twice when the same pildun is the same as this year to win hehe holding Italy Argentina</v>
      </c>
    </row>
    <row r="13567" ht="15.75" customHeight="1">
      <c r="A13567" s="1">
        <v>15024.0</v>
      </c>
      <c r="B13567" s="3" t="s">
        <v>38487</v>
      </c>
      <c r="C13567" s="3">
        <v>0.0</v>
      </c>
      <c r="D13567" s="3">
        <v>0.0</v>
      </c>
      <c r="E13567" s="3">
        <v>0.0</v>
      </c>
      <c r="F13567" s="3" t="s">
        <v>38488</v>
      </c>
      <c r="G13567" s="3">
        <v>0.0</v>
      </c>
      <c r="H13567" s="3">
        <v>0.0</v>
      </c>
      <c r="I13567" s="3" t="s">
        <v>13</v>
      </c>
      <c r="J13567" s="3" t="s">
        <v>38489</v>
      </c>
      <c r="K13567" s="3" t="s">
        <v>15</v>
      </c>
      <c r="L13567" s="3" t="str">
        <f>IFERROR(__xludf.DUMMYFUNCTION("GOOGLETRANSLATE(F13567,""id"",""en"")"),"Argentina if after winning the pildun like a holiday")</f>
        <v>Argentina if after winning the pildun like a holiday</v>
      </c>
    </row>
    <row r="13568" ht="15.75" customHeight="1">
      <c r="A13568" s="1">
        <v>15026.0</v>
      </c>
      <c r="B13568" s="3" t="s">
        <v>38490</v>
      </c>
      <c r="C13568" s="3">
        <v>0.0</v>
      </c>
      <c r="D13568" s="3">
        <v>0.0</v>
      </c>
      <c r="E13568" s="3">
        <v>0.0</v>
      </c>
      <c r="F13568" s="3" t="s">
        <v>38491</v>
      </c>
      <c r="G13568" s="3">
        <v>0.0</v>
      </c>
      <c r="H13568" s="3">
        <v>0.0</v>
      </c>
      <c r="I13568" s="3" t="s">
        <v>13</v>
      </c>
      <c r="J13568" s="3" t="s">
        <v>38492</v>
      </c>
      <c r="K13568" s="3" t="s">
        <v>31</v>
      </c>
      <c r="L13568" s="3" t="str">
        <f>IFERROR(__xludf.DUMMYFUNCTION("GOOGLETRANSLATE(F13568,""id"",""en"")"),"Argentina Wins France Pildun Still Mbape")</f>
        <v>Argentina Wins France Pildun Still Mbape</v>
      </c>
    </row>
    <row r="13569" ht="15.75" customHeight="1">
      <c r="A13569" s="1">
        <v>15027.0</v>
      </c>
      <c r="B13569" s="3" t="s">
        <v>38493</v>
      </c>
      <c r="C13569" s="3">
        <v>0.0</v>
      </c>
      <c r="D13569" s="3">
        <v>0.0</v>
      </c>
      <c r="E13569" s="3">
        <v>0.0</v>
      </c>
      <c r="F13569" s="3" t="s">
        <v>38494</v>
      </c>
      <c r="G13569" s="3">
        <v>0.0</v>
      </c>
      <c r="H13569" s="3">
        <v>0.0</v>
      </c>
      <c r="I13569" s="3" t="s">
        <v>13</v>
      </c>
      <c r="J13569" s="3" t="s">
        <v>38495</v>
      </c>
      <c r="K13569" s="3" t="s">
        <v>236</v>
      </c>
      <c r="L13569" s="3" t="str">
        <f>IFERROR(__xludf.DUMMYFUNCTION("GOOGLETRANSLATE(F13569,""id"",""en"")"),"sign of noon deui ieu pildun Argentina won the Democrats winning")</f>
        <v>sign of noon deui ieu pildun Argentina won the Democrats winning</v>
      </c>
    </row>
    <row r="13570" ht="15.75" customHeight="1">
      <c r="A13570" s="1">
        <v>15028.0</v>
      </c>
      <c r="B13570" s="3" t="s">
        <v>38496</v>
      </c>
      <c r="C13570" s="3">
        <v>0.0</v>
      </c>
      <c r="D13570" s="3">
        <v>0.0</v>
      </c>
      <c r="E13570" s="3">
        <v>0.0</v>
      </c>
      <c r="F13570" s="3" t="s">
        <v>38497</v>
      </c>
      <c r="G13570" s="3">
        <v>0.0</v>
      </c>
      <c r="H13570" s="3">
        <v>0.0</v>
      </c>
      <c r="I13570" s="3" t="s">
        <v>13</v>
      </c>
      <c r="J13570" s="3" t="s">
        <v>38498</v>
      </c>
      <c r="K13570" s="3" t="s">
        <v>657</v>
      </c>
      <c r="L13570" s="3" t="str">
        <f>IFERROR(__xludf.DUMMYFUNCTION("GOOGLETRANSLATE(F13570,""id"",""en"")"),"Honestly follow the Pildun since Argentina lost Alhamdulillah last night to win from Dri Messi still young")</f>
        <v>Honestly follow the Pildun since Argentina lost Alhamdulillah last night to win from Dri Messi still young</v>
      </c>
    </row>
    <row r="13571" ht="15.75" customHeight="1">
      <c r="A13571" s="1">
        <v>15029.0</v>
      </c>
      <c r="B13571" s="3" t="s">
        <v>38499</v>
      </c>
      <c r="C13571" s="3">
        <v>0.0</v>
      </c>
      <c r="D13571" s="3">
        <v>0.0</v>
      </c>
      <c r="E13571" s="3">
        <v>0.0</v>
      </c>
      <c r="F13571" s="3" t="s">
        <v>38500</v>
      </c>
      <c r="G13571" s="3">
        <v>0.0</v>
      </c>
      <c r="H13571" s="3">
        <v>0.0</v>
      </c>
      <c r="I13571" s="3" t="s">
        <v>13</v>
      </c>
      <c r="J13571" s="3" t="s">
        <v>38501</v>
      </c>
      <c r="K13571" s="3" t="s">
        <v>31</v>
      </c>
      <c r="L13571" s="3" t="str">
        <f>IFERROR(__xludf.DUMMYFUNCTION("GOOGLETRANSLATE(F13571,""id"",""en"")"),"The contents are Argentina to win the pilduun only")</f>
        <v>The contents are Argentina to win the pilduun only</v>
      </c>
    </row>
    <row r="13572" ht="15.75" customHeight="1">
      <c r="A13572" s="1">
        <v>15030.0</v>
      </c>
      <c r="B13572" s="3" t="s">
        <v>38502</v>
      </c>
      <c r="C13572" s="3">
        <v>0.0</v>
      </c>
      <c r="D13572" s="3">
        <v>0.0</v>
      </c>
      <c r="E13572" s="3">
        <v>0.0</v>
      </c>
      <c r="F13572" s="3" t="s">
        <v>38503</v>
      </c>
      <c r="G13572" s="3">
        <v>0.0</v>
      </c>
      <c r="H13572" s="3">
        <v>0.0</v>
      </c>
      <c r="I13572" s="3" t="s">
        <v>13</v>
      </c>
      <c r="J13572" s="3" t="s">
        <v>38504</v>
      </c>
      <c r="K13572" s="3" t="s">
        <v>19</v>
      </c>
      <c r="L13572" s="3" t="str">
        <f>IFERROR(__xludf.DUMMYFUNCTION("GOOGLETRANSLATE(F13572,""id"",""en"")"),"Very speechless finally Argentina can win the pionese again the third time is very proud to see Messi")</f>
        <v>Very speechless finally Argentina can win the pionese again the third time is very proud to see Messi</v>
      </c>
    </row>
    <row r="13573" ht="15.75" customHeight="1">
      <c r="A13573" s="1">
        <v>15031.0</v>
      </c>
      <c r="B13573" s="3" t="s">
        <v>38505</v>
      </c>
      <c r="C13573" s="3">
        <v>0.0</v>
      </c>
      <c r="D13573" s="3">
        <v>0.0</v>
      </c>
      <c r="E13573" s="3">
        <v>0.0</v>
      </c>
      <c r="F13573" s="3" t="s">
        <v>38506</v>
      </c>
      <c r="G13573" s="3">
        <v>1.0</v>
      </c>
      <c r="H13573" s="3">
        <v>0.8</v>
      </c>
      <c r="I13573" s="3" t="s">
        <v>48</v>
      </c>
      <c r="J13573" s="3" t="s">
        <v>38507</v>
      </c>
      <c r="K13573" s="3" t="s">
        <v>19</v>
      </c>
      <c r="L13573" s="3" t="str">
        <f>IFERROR(__xludf.DUMMYFUNCTION("GOOGLETRANSLATE(F13573,""id"",""en"")"),"overslept watching Pildun Build Argentina wins Another Level Happy for Today Anjass")</f>
        <v>overslept watching Pildun Build Argentina wins Another Level Happy for Today Anjass</v>
      </c>
    </row>
    <row r="13574" ht="15.75" customHeight="1">
      <c r="A13574" s="1">
        <v>15032.0</v>
      </c>
      <c r="B13574" s="3" t="s">
        <v>38508</v>
      </c>
      <c r="C13574" s="3">
        <v>0.0</v>
      </c>
      <c r="D13574" s="3">
        <v>0.0</v>
      </c>
      <c r="E13574" s="3">
        <v>1.0</v>
      </c>
      <c r="F13574" s="3" t="s">
        <v>38509</v>
      </c>
      <c r="G13574" s="3">
        <v>0.0</v>
      </c>
      <c r="H13574" s="3">
        <v>0.0</v>
      </c>
      <c r="I13574" s="3" t="s">
        <v>13</v>
      </c>
      <c r="J13574" s="3" t="s">
        <v>38510</v>
      </c>
      <c r="K13574" s="3" t="s">
        <v>188</v>
      </c>
      <c r="L13574" s="3" t="str">
        <f>IFERROR(__xludf.DUMMYFUNCTION("GOOGLETRANSLATE(F13574,""id"",""en"")"),"Cnth Argentina The economy of the crisis still wins the Pildun Conclusion.")</f>
        <v>Cnth Argentina The economy of the crisis still wins the Pildun Conclusion.</v>
      </c>
    </row>
    <row r="13575" ht="15.75" customHeight="1">
      <c r="A13575" s="1">
        <v>15034.0</v>
      </c>
      <c r="B13575" s="3" t="s">
        <v>38511</v>
      </c>
      <c r="C13575" s="3">
        <v>1.0</v>
      </c>
      <c r="D13575" s="3">
        <v>0.0</v>
      </c>
      <c r="E13575" s="3">
        <v>0.0</v>
      </c>
      <c r="F13575" s="3" t="s">
        <v>38512</v>
      </c>
      <c r="G13575" s="3">
        <v>0.0</v>
      </c>
      <c r="H13575" s="3">
        <v>0.0</v>
      </c>
      <c r="I13575" s="3" t="s">
        <v>13</v>
      </c>
      <c r="J13575" s="3" t="s">
        <v>38513</v>
      </c>
      <c r="K13575" s="3" t="s">
        <v>510</v>
      </c>
      <c r="L13575" s="3" t="str">
        <f>IFERROR(__xludf.DUMMYFUNCTION("GOOGLETRANSLATE(F13575,""id"",""en"")"),"wkwk the player in pride is proud of there is a contribution throughout the pildun playing Evan Dimas also Argentina TTP wins")</f>
        <v>wkwk the player in pride is proud of there is a contribution throughout the pildun playing Evan Dimas also Argentina TTP wins</v>
      </c>
    </row>
    <row r="13576" ht="15.75" customHeight="1">
      <c r="A13576" s="1">
        <v>15035.0</v>
      </c>
      <c r="B13576" s="3" t="s">
        <v>38514</v>
      </c>
      <c r="C13576" s="3">
        <v>0.0</v>
      </c>
      <c r="D13576" s="3">
        <v>0.0</v>
      </c>
      <c r="E13576" s="3">
        <v>0.0</v>
      </c>
      <c r="F13576" s="3" t="s">
        <v>38515</v>
      </c>
      <c r="G13576" s="3">
        <v>0.0</v>
      </c>
      <c r="H13576" s="3">
        <v>0.0</v>
      </c>
      <c r="I13576" s="3" t="s">
        <v>13</v>
      </c>
      <c r="J13576" s="3" t="s">
        <v>38516</v>
      </c>
      <c r="K13576" s="3" t="s">
        <v>41</v>
      </c>
      <c r="L13576" s="3" t="str">
        <f>IFERROR(__xludf.DUMMYFUNCTION("GOOGLETRANSLATE(F13576,""id"",""en"")"),"at the beginning of the husband of the husband said it was like Argentina won it right")</f>
        <v>at the beginning of the husband of the husband said it was like Argentina won it right</v>
      </c>
    </row>
    <row r="13577" ht="15.75" customHeight="1">
      <c r="A13577" s="1">
        <v>15036.0</v>
      </c>
      <c r="B13577" s="3" t="s">
        <v>38517</v>
      </c>
      <c r="C13577" s="3">
        <v>0.0</v>
      </c>
      <c r="D13577" s="3">
        <v>0.0</v>
      </c>
      <c r="E13577" s="3">
        <v>1.0</v>
      </c>
      <c r="F13577" s="3" t="s">
        <v>38518</v>
      </c>
      <c r="G13577" s="3">
        <v>0.0</v>
      </c>
      <c r="H13577" s="3">
        <v>0.0</v>
      </c>
      <c r="I13577" s="3" t="s">
        <v>13</v>
      </c>
      <c r="J13577" s="3" t="s">
        <v>38519</v>
      </c>
      <c r="K13577" s="3" t="s">
        <v>15</v>
      </c>
      <c r="L13577" s="3" t="str">
        <f>IFERROR(__xludf.DUMMYFUNCTION("GOOGLETRANSLATE(F13577,""id"",""en"")"),"deliberately watching pildun because daddy too bro, but Argentina won ndut")</f>
        <v>deliberately watching pildun because daddy too bro, but Argentina won ndut</v>
      </c>
    </row>
    <row r="13578" ht="15.75" customHeight="1">
      <c r="A13578" s="1">
        <v>15037.0</v>
      </c>
      <c r="B13578" s="3" t="s">
        <v>38520</v>
      </c>
      <c r="C13578" s="3">
        <v>1.0</v>
      </c>
      <c r="D13578" s="3">
        <v>0.0</v>
      </c>
      <c r="E13578" s="3">
        <v>0.0</v>
      </c>
      <c r="F13578" s="3" t="s">
        <v>38521</v>
      </c>
      <c r="G13578" s="3">
        <v>0.0</v>
      </c>
      <c r="H13578" s="3">
        <v>0.0</v>
      </c>
      <c r="I13578" s="3" t="s">
        <v>13</v>
      </c>
      <c r="J13578" s="3" t="s">
        <v>38522</v>
      </c>
      <c r="K13578" s="3" t="s">
        <v>50</v>
      </c>
      <c r="L13578" s="3" t="str">
        <f>IFERROR(__xludf.DUMMYFUNCTION("GOOGLETRANSLATE(F13578,""id"",""en"")"),"Look at the Argentina Euphoria when you win the Kinda Wonder Indonesia Pildun when you can join")</f>
        <v>Look at the Argentina Euphoria when you win the Kinda Wonder Indonesia Pildun when you can join</v>
      </c>
    </row>
    <row r="13579" ht="15.75" customHeight="1">
      <c r="A13579" s="1">
        <v>15038.0</v>
      </c>
      <c r="B13579" s="3" t="s">
        <v>38523</v>
      </c>
      <c r="C13579" s="3">
        <v>0.0</v>
      </c>
      <c r="D13579" s="3">
        <v>0.0</v>
      </c>
      <c r="E13579" s="3">
        <v>0.0</v>
      </c>
      <c r="F13579" s="3" t="s">
        <v>38524</v>
      </c>
      <c r="G13579" s="3">
        <v>0.0</v>
      </c>
      <c r="H13579" s="3">
        <v>0.0</v>
      </c>
      <c r="I13579" s="3" t="s">
        <v>13</v>
      </c>
      <c r="J13579" s="3" t="s">
        <v>38525</v>
      </c>
      <c r="K13579" s="3" t="s">
        <v>715</v>
      </c>
      <c r="L13579" s="3" t="str">
        <f>IFERROR(__xludf.DUMMYFUNCTION("GOOGLETRANSLATE(F13579,""id"",""en"")"),"sad really if Yedam can still update, definitely a stirring anjr watching Argentina Pilduun wins deliberately Mantau Argentina for the sake of Jedam his son is missing")</f>
        <v>sad really if Yedam can still update, definitely a stirring anjr watching Argentina Pilduun wins deliberately Mantau Argentina for the sake of Jedam his son is missing</v>
      </c>
    </row>
    <row r="13580" ht="15.75" customHeight="1">
      <c r="A13580" s="1">
        <v>15040.0</v>
      </c>
      <c r="B13580" s="3" t="s">
        <v>38526</v>
      </c>
      <c r="C13580" s="3">
        <v>0.0</v>
      </c>
      <c r="D13580" s="3">
        <v>0.0</v>
      </c>
      <c r="E13580" s="3">
        <v>1.0</v>
      </c>
      <c r="F13580" s="3" t="s">
        <v>38527</v>
      </c>
      <c r="G13580" s="3">
        <v>0.0</v>
      </c>
      <c r="H13580" s="3">
        <v>0.0</v>
      </c>
      <c r="I13580" s="3" t="s">
        <v>13</v>
      </c>
      <c r="J13580" s="3" t="s">
        <v>38528</v>
      </c>
      <c r="K13580" s="3" t="s">
        <v>1699</v>
      </c>
      <c r="L13580" s="3" t="str">
        <f>IFERROR(__xludf.DUMMYFUNCTION("GOOGLETRANSLATE(F13580,""id"",""en"")"),"In addition to understanding the skill of soccer gambling players also requires knowledge about other theories outside the field such as Argentina, it is likely to win because this is the last pile for Messi while MBAPE can still win the next pildun")</f>
        <v>In addition to understanding the skill of soccer gambling players also requires knowledge about other theories outside the field such as Argentina, it is likely to win because this is the last pile for Messi while MBAPE can still win the next pildun</v>
      </c>
    </row>
    <row r="13581" ht="15.75" customHeight="1">
      <c r="A13581" s="1">
        <v>15041.0</v>
      </c>
      <c r="B13581" s="3" t="s">
        <v>38529</v>
      </c>
      <c r="C13581" s="3">
        <v>0.0</v>
      </c>
      <c r="D13581" s="3">
        <v>0.0</v>
      </c>
      <c r="E13581" s="3">
        <v>0.0</v>
      </c>
      <c r="F13581" s="3" t="s">
        <v>38530</v>
      </c>
      <c r="G13581" s="3">
        <v>0.0</v>
      </c>
      <c r="H13581" s="3">
        <v>0.0</v>
      </c>
      <c r="I13581" s="3" t="s">
        <v>13</v>
      </c>
      <c r="J13581" s="3" t="s">
        <v>38531</v>
      </c>
      <c r="K13581" s="3" t="s">
        <v>433</v>
      </c>
      <c r="L13581" s="3" t="str">
        <f>IFERROR(__xludf.DUMMYFUNCTION("GOOGLETRANSLATE(F13581,""id"",""en"")"),"I understood the ball and followed the pildun but last night I said I held Argentina hehe really won heheheh")</f>
        <v>I understood the ball and followed the pildun but last night I said I held Argentina hehe really won heheheh</v>
      </c>
    </row>
    <row r="13582" ht="15.75" customHeight="1">
      <c r="A13582" s="1">
        <v>15042.0</v>
      </c>
      <c r="B13582" s="3" t="s">
        <v>38532</v>
      </c>
      <c r="C13582" s="3">
        <v>1.0</v>
      </c>
      <c r="D13582" s="3">
        <v>0.0</v>
      </c>
      <c r="E13582" s="3">
        <v>1.0</v>
      </c>
      <c r="F13582" s="3" t="s">
        <v>38533</v>
      </c>
      <c r="G13582" s="3">
        <v>0.0</v>
      </c>
      <c r="H13582" s="3">
        <v>0.0</v>
      </c>
      <c r="I13582" s="3" t="s">
        <v>13</v>
      </c>
      <c r="J13582" s="3" t="s">
        <v>38534</v>
      </c>
      <c r="K13582" s="3" t="s">
        <v>657</v>
      </c>
      <c r="L13582" s="3" t="str">
        <f>IFERROR(__xludf.DUMMYFUNCTION("GOOGLETRANSLATE(F13582,""id"",""en"")"),"I have to ask Pildun I hold what fun Argentina wins the feeling of girls always right")</f>
        <v>I have to ask Pildun I hold what fun Argentina wins the feeling of girls always right</v>
      </c>
    </row>
    <row r="13583" ht="15.75" customHeight="1">
      <c r="A13583" s="1">
        <v>15043.0</v>
      </c>
      <c r="B13583" s="3" t="s">
        <v>38535</v>
      </c>
      <c r="C13583" s="3">
        <v>0.0</v>
      </c>
      <c r="D13583" s="3">
        <v>0.0</v>
      </c>
      <c r="E13583" s="3">
        <v>0.0</v>
      </c>
      <c r="F13583" s="3" t="s">
        <v>38536</v>
      </c>
      <c r="G13583" s="3">
        <v>0.0</v>
      </c>
      <c r="H13583" s="3">
        <v>0.0</v>
      </c>
      <c r="I13583" s="3" t="s">
        <v>13</v>
      </c>
      <c r="J13583" s="3" t="s">
        <v>38537</v>
      </c>
      <c r="K13583" s="3" t="s">
        <v>4784</v>
      </c>
      <c r="L13583" s="3" t="str">
        <f>IFERROR(__xludf.DUMMYFUNCTION("GOOGLETRANSLATE(F13583,""id"",""en"")"),"Argentina won Pilduun try to imagine if Yedam TBTB checked HyunSuk Hyungggg it turned out that my prediction was really Argentina, the response of Vamos Argentina Argentina won Yedam still disappeared and just dam.")</f>
        <v>Argentina won Pilduun try to imagine if Yedam TBTB checked HyunSuk Hyungggg it turned out that my prediction was really Argentina, the response of Vamos Argentina Argentina won Yedam still disappeared and just dam.</v>
      </c>
    </row>
    <row r="13584" ht="15.75" customHeight="1">
      <c r="A13584" s="1">
        <v>15045.0</v>
      </c>
      <c r="B13584" s="3" t="s">
        <v>38538</v>
      </c>
      <c r="C13584" s="3">
        <v>0.0</v>
      </c>
      <c r="D13584" s="3">
        <v>0.0</v>
      </c>
      <c r="E13584" s="3">
        <v>0.0</v>
      </c>
      <c r="F13584" s="3" t="s">
        <v>38539</v>
      </c>
      <c r="G13584" s="3">
        <v>0.0</v>
      </c>
      <c r="H13584" s="3">
        <v>0.0</v>
      </c>
      <c r="I13584" s="3" t="s">
        <v>13</v>
      </c>
      <c r="J13584" s="3" t="s">
        <v>38540</v>
      </c>
      <c r="K13584" s="3" t="s">
        <v>510</v>
      </c>
      <c r="L13584" s="3" t="str">
        <f>IFERROR(__xludf.DUMMYFUNCTION("GOOGLETRANSLATE(F13584,""id"",""en"")"),"What is clear is that most of those who are not happy that Argentina wins pildun is Ronaldo's fan of hurt not a supporter of France")</f>
        <v>What is clear is that most of those who are not happy that Argentina wins pildun is Ronaldo's fan of hurt not a supporter of France</v>
      </c>
    </row>
    <row r="13585" ht="15.75" customHeight="1">
      <c r="A13585" s="1">
        <v>15046.0</v>
      </c>
      <c r="B13585" s="3" t="s">
        <v>38541</v>
      </c>
      <c r="C13585" s="3">
        <v>0.0</v>
      </c>
      <c r="D13585" s="3">
        <v>0.0</v>
      </c>
      <c r="E13585" s="3">
        <v>0.0</v>
      </c>
      <c r="F13585" s="3" t="s">
        <v>38542</v>
      </c>
      <c r="G13585" s="3">
        <v>0.0</v>
      </c>
      <c r="H13585" s="3">
        <v>0.0</v>
      </c>
      <c r="I13585" s="3" t="s">
        <v>13</v>
      </c>
      <c r="J13585" s="3" t="s">
        <v>38543</v>
      </c>
      <c r="K13585" s="3" t="s">
        <v>123</v>
      </c>
      <c r="L13585" s="3" t="str">
        <f>IFERROR(__xludf.DUMMYFUNCTION("GOOGLETRANSLATE(F13585,""id"",""en"")"),"From the beginning of the World Cup already had Argentina Feeling to win even though I followed Pilduun wkwk Luv and Argentina")</f>
        <v>From the beginning of the World Cup already had Argentina Feeling to win even though I followed Pilduun wkwk Luv and Argentina</v>
      </c>
    </row>
    <row r="13586" ht="15.75" customHeight="1">
      <c r="A13586" s="1">
        <v>15047.0</v>
      </c>
      <c r="B13586" s="3" t="s">
        <v>38544</v>
      </c>
      <c r="C13586" s="3">
        <v>1.0</v>
      </c>
      <c r="D13586" s="3">
        <v>0.0</v>
      </c>
      <c r="E13586" s="3">
        <v>0.0</v>
      </c>
      <c r="F13586" s="3" t="s">
        <v>38545</v>
      </c>
      <c r="G13586" s="3">
        <v>0.0</v>
      </c>
      <c r="H13586" s="3">
        <v>0.0</v>
      </c>
      <c r="I13586" s="3" t="s">
        <v>13</v>
      </c>
      <c r="J13586" s="3" t="s">
        <v>38546</v>
      </c>
      <c r="K13586" s="3" t="s">
        <v>2215</v>
      </c>
      <c r="L13586" s="3" t="str">
        <f>IFERROR(__xludf.DUMMYFUNCTION("GOOGLETRANSLATE(F13586,""id"",""en"")"),"I guess Argentina there is now grumbling nagging traffic jams.")</f>
        <v>I guess Argentina there is now grumbling nagging traffic jams.</v>
      </c>
    </row>
    <row r="13587" ht="15.75" customHeight="1">
      <c r="A13587" s="1">
        <v>15048.0</v>
      </c>
      <c r="B13587" s="3" t="s">
        <v>38547</v>
      </c>
      <c r="C13587" s="3">
        <v>0.0</v>
      </c>
      <c r="D13587" s="3">
        <v>0.0</v>
      </c>
      <c r="E13587" s="3">
        <v>0.0</v>
      </c>
      <c r="F13587" s="3" t="s">
        <v>38548</v>
      </c>
      <c r="G13587" s="3">
        <v>0.0</v>
      </c>
      <c r="H13587" s="3">
        <v>0.0</v>
      </c>
      <c r="I13587" s="3" t="s">
        <v>13</v>
      </c>
      <c r="J13587" s="3" t="s">
        <v>38549</v>
      </c>
      <c r="K13587" s="3" t="s">
        <v>58</v>
      </c>
      <c r="L13587" s="3" t="str">
        <f>IFERROR(__xludf.DUMMYFUNCTION("GOOGLETRANSLATE(F13587,""id"",""en"")"),"who won Argentina but the one I joined in the I feel like Indo won the Pildun Olympics of Kalik Yak")</f>
        <v>who won Argentina but the one I joined in the I feel like Indo won the Pildun Olympics of Kalik Yak</v>
      </c>
    </row>
    <row r="13588" ht="15.75" customHeight="1">
      <c r="A13588" s="1">
        <v>15049.0</v>
      </c>
      <c r="B13588" s="3" t="s">
        <v>38550</v>
      </c>
      <c r="C13588" s="3">
        <v>1.0</v>
      </c>
      <c r="D13588" s="3">
        <v>0.0</v>
      </c>
      <c r="E13588" s="3">
        <v>0.0</v>
      </c>
      <c r="F13588" s="3" t="s">
        <v>38551</v>
      </c>
      <c r="G13588" s="3">
        <v>0.0</v>
      </c>
      <c r="H13588" s="3">
        <v>0.0</v>
      </c>
      <c r="I13588" s="3" t="s">
        <v>13</v>
      </c>
      <c r="J13588" s="3" t="s">
        <v>38552</v>
      </c>
      <c r="K13588" s="3" t="s">
        <v>38553</v>
      </c>
      <c r="L13588" s="3" t="str">
        <f>IFERROR(__xludf.DUMMYFUNCTION("GOOGLETRANSLATE(F13588,""id"",""en"")"),"Brazil Pilduun Supports Argentina Winning Germany Russian Pilduun Supports Croatia Winning French Pilduun Qatar Supports France Winning Argentina")</f>
        <v>Brazil Pilduun Supports Argentina Winning Germany Russian Pilduun Supports Croatia Winning French Pilduun Qatar Supports France Winning Argentina</v>
      </c>
    </row>
    <row r="13589" ht="15.75" customHeight="1">
      <c r="A13589" s="1">
        <v>15051.0</v>
      </c>
      <c r="B13589" s="3" t="s">
        <v>38554</v>
      </c>
      <c r="C13589" s="3">
        <v>1.0</v>
      </c>
      <c r="D13589" s="3">
        <v>1.0</v>
      </c>
      <c r="E13589" s="3">
        <v>1.0</v>
      </c>
      <c r="F13589" s="3" t="s">
        <v>38555</v>
      </c>
      <c r="G13589" s="3">
        <v>0.0</v>
      </c>
      <c r="H13589" s="3">
        <v>0.0</v>
      </c>
      <c r="I13589" s="3" t="s">
        <v>13</v>
      </c>
      <c r="J13589" s="3" t="s">
        <v>38556</v>
      </c>
      <c r="K13589" s="3" t="s">
        <v>883</v>
      </c>
      <c r="L13589" s="3" t="str">
        <f>IFERROR(__xludf.DUMMYFUNCTION("GOOGLETRANSLATE(F13589,""id"",""en"")"),"Even though Argentina wins they have to go home to celebrate Christmas with the French team, only Qatar who did not go home, even though they did not pass the preliminary drama of the Pilduun full of engineering")</f>
        <v>Even though Argentina wins they have to go home to celebrate Christmas with the French team, only Qatar who did not go home, even though they did not pass the preliminary drama of the Pilduun full of engineering</v>
      </c>
    </row>
    <row r="13590" ht="15.75" customHeight="1">
      <c r="A13590" s="1">
        <v>15052.0</v>
      </c>
      <c r="B13590" s="3" t="s">
        <v>38557</v>
      </c>
      <c r="C13590" s="3">
        <v>0.0</v>
      </c>
      <c r="D13590" s="3">
        <v>0.0</v>
      </c>
      <c r="E13590" s="3">
        <v>0.0</v>
      </c>
      <c r="F13590" s="3" t="s">
        <v>38558</v>
      </c>
      <c r="G13590" s="3">
        <v>0.0</v>
      </c>
      <c r="H13590" s="3">
        <v>0.0</v>
      </c>
      <c r="I13590" s="3" t="s">
        <v>13</v>
      </c>
      <c r="J13590" s="3" t="s">
        <v>38559</v>
      </c>
      <c r="K13590" s="3" t="s">
        <v>54</v>
      </c>
      <c r="L13590" s="3" t="str">
        <f>IFERROR(__xludf.DUMMYFUNCTION("GOOGLETRANSLATE(F13590,""id"",""en"")"),"Argentina made the country's thanksgiving after win")</f>
        <v>Argentina made the country's thanksgiving after win</v>
      </c>
    </row>
    <row r="13591" ht="15.75" customHeight="1">
      <c r="A13591" s="1">
        <v>15053.0</v>
      </c>
      <c r="B13591" s="3" t="s">
        <v>38560</v>
      </c>
      <c r="C13591" s="3">
        <v>1.0</v>
      </c>
      <c r="D13591" s="3">
        <v>0.0</v>
      </c>
      <c r="E13591" s="3">
        <v>0.0</v>
      </c>
      <c r="F13591" s="3" t="s">
        <v>38561</v>
      </c>
      <c r="G13591" s="3">
        <v>1.0</v>
      </c>
      <c r="H13591" s="3">
        <v>0.1</v>
      </c>
      <c r="I13591" s="3" t="s">
        <v>48</v>
      </c>
      <c r="J13591" s="3" t="s">
        <v>38562</v>
      </c>
      <c r="K13591" s="3" t="s">
        <v>2735</v>
      </c>
      <c r="L13591" s="3" t="str">
        <f>IFERROR(__xludf.DUMMYFUNCTION("GOOGLETRANSLATE(F13591,""id"",""en"")"),"No wonder a lot of doubt Argentina last won the pildun last year and now won again wow the great team was doubtful of all people riding with Morocco for people to be surprised because the underdog team could reach the semi finals with the heroes")</f>
        <v>No wonder a lot of doubt Argentina last won the pildun last year and now won again wow the great team was doubtful of all people riding with Morocco for people to be surprised because the underdog team could reach the semi finals with the heroes</v>
      </c>
    </row>
    <row r="13592" ht="15.75" customHeight="1">
      <c r="A13592" s="1">
        <v>15054.0</v>
      </c>
      <c r="B13592" s="3" t="s">
        <v>38563</v>
      </c>
      <c r="C13592" s="3">
        <v>0.0</v>
      </c>
      <c r="D13592" s="3">
        <v>0.0</v>
      </c>
      <c r="E13592" s="3">
        <v>0.0</v>
      </c>
      <c r="F13592" s="3" t="s">
        <v>38564</v>
      </c>
      <c r="G13592" s="3">
        <v>0.0</v>
      </c>
      <c r="H13592" s="3">
        <v>0.0</v>
      </c>
      <c r="I13592" s="3" t="s">
        <v>13</v>
      </c>
      <c r="J13592" s="3" t="s">
        <v>38565</v>
      </c>
      <c r="K13592" s="3" t="s">
        <v>205</v>
      </c>
      <c r="L13592" s="3" t="str">
        <f>IFERROR(__xludf.DUMMYFUNCTION("GOOGLETRANSLATE(F13592,""id"",""en"")"),"This is if you still have a scene will be really excited because you know that Argentina wins wkwkwk first when you were watching the pildun until morning and continued to be nometed by mama because it was noisy")</f>
        <v>This is if you still have a scene will be really excited because you know that Argentina wins wkwkwk first when you were watching the pildun until morning and continued to be nometed by mama because it was noisy</v>
      </c>
    </row>
    <row r="13593" ht="15.75" customHeight="1">
      <c r="A13593" s="1">
        <v>15055.0</v>
      </c>
      <c r="B13593" s="3" t="s">
        <v>38566</v>
      </c>
      <c r="C13593" s="3">
        <v>0.0</v>
      </c>
      <c r="D13593" s="3">
        <v>0.0</v>
      </c>
      <c r="E13593" s="3">
        <v>0.0</v>
      </c>
      <c r="F13593" s="3" t="s">
        <v>38567</v>
      </c>
      <c r="G13593" s="3">
        <v>0.0</v>
      </c>
      <c r="H13593" s="3">
        <v>0.0</v>
      </c>
      <c r="I13593" s="3" t="s">
        <v>13</v>
      </c>
      <c r="J13593" s="3" t="s">
        <v>38568</v>
      </c>
      <c r="K13593" s="3" t="s">
        <v>184</v>
      </c>
      <c r="L13593" s="3" t="str">
        <f>IFERROR(__xludf.DUMMYFUNCTION("GOOGLETRANSLATE(F13593,""id"",""en"")"),"This Monday, I think the Argentina office is on holiday yesterday, just won the pildun or who knew there was a dispensation for its employees to celebrate the kerendananan")</f>
        <v>This Monday, I think the Argentina office is on holiday yesterday, just won the pildun or who knew there was a dispensation for its employees to celebrate the kerendananan</v>
      </c>
    </row>
    <row r="13594" ht="15.75" customHeight="1">
      <c r="A13594" s="1">
        <v>15056.0</v>
      </c>
      <c r="B13594" s="3" t="s">
        <v>38569</v>
      </c>
      <c r="C13594" s="3">
        <v>0.0</v>
      </c>
      <c r="D13594" s="3">
        <v>0.0</v>
      </c>
      <c r="E13594" s="3">
        <v>0.0</v>
      </c>
      <c r="F13594" s="3" t="s">
        <v>38570</v>
      </c>
      <c r="G13594" s="3">
        <v>0.06666666666666667</v>
      </c>
      <c r="H13594" s="3">
        <v>0.0</v>
      </c>
      <c r="I13594" s="3" t="s">
        <v>13</v>
      </c>
      <c r="J13594" s="3" t="s">
        <v>38571</v>
      </c>
      <c r="K13594" s="3" t="s">
        <v>71</v>
      </c>
      <c r="L13594" s="3" t="str">
        <f>IFERROR(__xludf.DUMMYFUNCTION("GOOGLETRANSLATE(F13594,""id"",""en"")"),"It turned out that Argentina won the Pilduun was still included in the appearance of the encore concert yesterday as well as the last show of Messi")</f>
        <v>It turned out that Argentina won the Pilduun was still included in the appearance of the encore concert yesterday as well as the last show of Messi</v>
      </c>
    </row>
    <row r="13595" ht="15.75" customHeight="1">
      <c r="A13595" s="1">
        <v>15057.0</v>
      </c>
      <c r="B13595" s="3" t="s">
        <v>38572</v>
      </c>
      <c r="C13595" s="3">
        <v>1.0</v>
      </c>
      <c r="D13595" s="3">
        <v>0.0</v>
      </c>
      <c r="E13595" s="3">
        <v>0.0</v>
      </c>
      <c r="F13595" s="3" t="s">
        <v>38573</v>
      </c>
      <c r="G13595" s="3">
        <v>0.0</v>
      </c>
      <c r="H13595" s="3">
        <v>0.0</v>
      </c>
      <c r="I13595" s="3" t="s">
        <v>13</v>
      </c>
      <c r="J13595" s="3" t="s">
        <v>38574</v>
      </c>
      <c r="K13595" s="3" t="s">
        <v>2610</v>
      </c>
      <c r="L13595" s="3" t="str">
        <f>IFERROR(__xludf.DUMMYFUNCTION("GOOGLETRANSLATE(F13595,""id"",""en"")"),"Yes, supporting Mbappe on the other hand, want Argentina to win because he said Pildun is the most accurate, yeah, yeah, the coolest is the most coolest, you can pursue it, you can pursue it.")</f>
        <v>Yes, supporting Mbappe on the other hand, want Argentina to win because he said Pildun is the most accurate, yeah, yeah, the coolest is the most coolest, you can pursue it, you can pursue it.</v>
      </c>
    </row>
    <row r="13596" ht="15.75" customHeight="1">
      <c r="A13596" s="1">
        <v>15059.0</v>
      </c>
      <c r="B13596" s="3" t="s">
        <v>38575</v>
      </c>
      <c r="C13596" s="3">
        <v>0.0</v>
      </c>
      <c r="D13596" s="3">
        <v>0.0</v>
      </c>
      <c r="E13596" s="3">
        <v>0.0</v>
      </c>
      <c r="F13596" s="3" t="s">
        <v>38576</v>
      </c>
      <c r="G13596" s="3">
        <v>0.0</v>
      </c>
      <c r="H13596" s="3">
        <v>0.0</v>
      </c>
      <c r="I13596" s="3" t="s">
        <v>13</v>
      </c>
      <c r="J13596" s="3" t="s">
        <v>38577</v>
      </c>
      <c r="K13596" s="3" t="s">
        <v>205</v>
      </c>
      <c r="L13596" s="3" t="str">
        <f>IFERROR(__xludf.DUMMYFUNCTION("GOOGLETRANSLATE(F13596,""id"",""en"")"),"Mother just listened to the pildun from the news that had passed the bucin with Ronaldo Luiz Nazario Lima, not Ronaldo had never won Pilduun hehehe Congrats Argentina")</f>
        <v>Mother just listened to the pildun from the news that had passed the bucin with Ronaldo Luiz Nazario Lima, not Ronaldo had never won Pilduun hehehe Congrats Argentina</v>
      </c>
    </row>
    <row r="13597" ht="15.75" customHeight="1">
      <c r="A13597" s="1">
        <v>15060.0</v>
      </c>
      <c r="B13597" s="3" t="s">
        <v>38578</v>
      </c>
      <c r="C13597" s="3">
        <v>0.0</v>
      </c>
      <c r="D13597" s="3">
        <v>0.0</v>
      </c>
      <c r="E13597" s="3">
        <v>0.0</v>
      </c>
      <c r="F13597" s="3" t="s">
        <v>38579</v>
      </c>
      <c r="G13597" s="3">
        <v>0.0</v>
      </c>
      <c r="H13597" s="3">
        <v>0.0</v>
      </c>
      <c r="I13597" s="3" t="s">
        <v>13</v>
      </c>
      <c r="J13597" s="3" t="s">
        <v>38580</v>
      </c>
      <c r="K13597" s="3" t="s">
        <v>308</v>
      </c>
      <c r="L13597" s="3" t="str">
        <f>IFERROR(__xludf.DUMMYFUNCTION("GOOGLETRANSLATE(F13597,""id"",""en"")"),"From the beginning of the Argentina Feeling, I won really, so I was afraid of my own feeling that the feeling was always true feeling that my matchmaking jungkook was me")</f>
        <v>From the beginning of the Argentina Feeling, I won really, so I was afraid of my own feeling that the feeling was always true feeling that my matchmaking jungkook was me</v>
      </c>
    </row>
    <row r="13598" ht="15.75" customHeight="1">
      <c r="A13598" s="1">
        <v>15062.0</v>
      </c>
      <c r="B13598" s="3" t="s">
        <v>38581</v>
      </c>
      <c r="C13598" s="3">
        <v>0.0</v>
      </c>
      <c r="D13598" s="3">
        <v>0.0</v>
      </c>
      <c r="E13598" s="3">
        <v>0.0</v>
      </c>
      <c r="F13598" s="3" t="s">
        <v>38582</v>
      </c>
      <c r="G13598" s="3">
        <v>0.0</v>
      </c>
      <c r="H13598" s="3">
        <v>0.0</v>
      </c>
      <c r="I13598" s="3" t="s">
        <v>13</v>
      </c>
      <c r="J13598" s="3" t="s">
        <v>38583</v>
      </c>
      <c r="K13598" s="3" t="s">
        <v>71</v>
      </c>
      <c r="L13598" s="3" t="str">
        <f>IFERROR(__xludf.DUMMYFUNCTION("GOOGLETRANSLATE(F13598,""id"",""en"")"),"Just mbappe, Argentina is overwhelmed by France not yet Pogba with friends still injured if they are complete")</f>
        <v>Just mbappe, Argentina is overwhelmed by France not yet Pogba with friends still injured if they are complete</v>
      </c>
    </row>
    <row r="13599" ht="15.75" customHeight="1">
      <c r="A13599" s="1">
        <v>15063.0</v>
      </c>
      <c r="B13599" s="3" t="s">
        <v>38584</v>
      </c>
      <c r="C13599" s="3">
        <v>1.0</v>
      </c>
      <c r="D13599" s="3">
        <v>0.0</v>
      </c>
      <c r="E13599" s="3">
        <v>0.0</v>
      </c>
      <c r="F13599" s="3" t="s">
        <v>38584</v>
      </c>
      <c r="G13599" s="3">
        <v>0.0</v>
      </c>
      <c r="H13599" s="3">
        <v>0.0</v>
      </c>
      <c r="I13599" s="3" t="s">
        <v>13</v>
      </c>
      <c r="J13599" s="3" t="s">
        <v>38585</v>
      </c>
      <c r="K13599" s="3" t="s">
        <v>50</v>
      </c>
      <c r="L13599" s="3" t="str">
        <f>IFERROR(__xludf.DUMMYFUNCTION("GOOGLETRANSLATE(F13599,""id"",""en"")"),"I can't watch pildun because he overslept is sure that Argentina wins until a dream")</f>
        <v>I can't watch pildun because he overslept is sure that Argentina wins until a dream</v>
      </c>
    </row>
    <row r="13600" ht="15.75" customHeight="1">
      <c r="A13600" s="1">
        <v>15064.0</v>
      </c>
      <c r="B13600" s="3" t="s">
        <v>38586</v>
      </c>
      <c r="C13600" s="3">
        <v>0.0</v>
      </c>
      <c r="D13600" s="3">
        <v>0.0</v>
      </c>
      <c r="E13600" s="3">
        <v>0.0</v>
      </c>
      <c r="F13600" s="3" t="s">
        <v>38587</v>
      </c>
      <c r="G13600" s="3">
        <v>0.0</v>
      </c>
      <c r="H13600" s="3">
        <v>0.0</v>
      </c>
      <c r="I13600" s="3" t="s">
        <v>13</v>
      </c>
      <c r="J13600" s="3" t="s">
        <v>38588</v>
      </c>
      <c r="K13600" s="3" t="s">
        <v>1335</v>
      </c>
      <c r="L13600" s="3" t="str">
        <f>IFERROR(__xludf.DUMMYFUNCTION("GOOGLETRANSLATE(F13600,""id"",""en"")"),"Argentina won Pilduun I won the Aminnn giveaway")</f>
        <v>Argentina won Pilduun I won the Aminnn giveaway</v>
      </c>
    </row>
    <row r="13601" ht="15.75" customHeight="1">
      <c r="A13601" s="1">
        <v>15065.0</v>
      </c>
      <c r="B13601" s="3" t="s">
        <v>38589</v>
      </c>
      <c r="C13601" s="3">
        <v>0.0</v>
      </c>
      <c r="D13601" s="3">
        <v>0.0</v>
      </c>
      <c r="E13601" s="3">
        <v>0.0</v>
      </c>
      <c r="F13601" s="3" t="s">
        <v>38590</v>
      </c>
      <c r="G13601" s="3">
        <v>0.55</v>
      </c>
      <c r="H13601" s="3">
        <v>0.35</v>
      </c>
      <c r="I13601" s="3" t="s">
        <v>48</v>
      </c>
      <c r="J13601" s="3" t="s">
        <v>38591</v>
      </c>
      <c r="K13601" s="3" t="s">
        <v>699</v>
      </c>
      <c r="L13601" s="3" t="str">
        <f>IFERROR(__xludf.DUMMYFUNCTION("GOOGLETRANSLATE(F13601,""id"",""en"")"),"Argentina won the pildun immediately wanted to interview Zee.")</f>
        <v>Argentina won the pildun immediately wanted to interview Zee.</v>
      </c>
    </row>
    <row r="13602" ht="15.75" customHeight="1">
      <c r="A13602" s="1">
        <v>15067.0</v>
      </c>
      <c r="B13602" s="3" t="s">
        <v>38592</v>
      </c>
      <c r="C13602" s="3">
        <v>0.0</v>
      </c>
      <c r="D13602" s="3">
        <v>0.0</v>
      </c>
      <c r="E13602" s="3">
        <v>0.0</v>
      </c>
      <c r="F13602" s="3" t="s">
        <v>38593</v>
      </c>
      <c r="G13602" s="3">
        <v>0.0</v>
      </c>
      <c r="H13602" s="3">
        <v>0.0</v>
      </c>
      <c r="I13602" s="3" t="s">
        <v>13</v>
      </c>
      <c r="J13602" s="3" t="s">
        <v>38594</v>
      </c>
      <c r="K13602" s="3" t="s">
        <v>644</v>
      </c>
      <c r="L13602" s="3" t="str">
        <f>IFERROR(__xludf.DUMMYFUNCTION("GOOGLETRANSLATE(F13602,""id"",""en"")"),"Argentina means the winner")</f>
        <v>Argentina means the winner</v>
      </c>
    </row>
    <row r="13603" ht="15.75" customHeight="1">
      <c r="A13603" s="1">
        <v>15069.0</v>
      </c>
      <c r="B13603" s="3" t="s">
        <v>38595</v>
      </c>
      <c r="C13603" s="3">
        <v>0.0</v>
      </c>
      <c r="D13603" s="3">
        <v>0.0</v>
      </c>
      <c r="E13603" s="3">
        <v>12.0</v>
      </c>
      <c r="F13603" s="3" t="s">
        <v>38596</v>
      </c>
      <c r="G13603" s="3">
        <v>1.0</v>
      </c>
      <c r="H13603" s="3">
        <v>0.1</v>
      </c>
      <c r="I13603" s="3" t="s">
        <v>48</v>
      </c>
      <c r="J13603" s="3" t="s">
        <v>38597</v>
      </c>
      <c r="K13603" s="3" t="s">
        <v>584</v>
      </c>
      <c r="L13603" s="3" t="str">
        <f>IFERROR(__xludf.DUMMYFUNCTION("GOOGLETRANSLATE(F13603,""id"",""en"")"),"Infinity because Argentina wins, but besides that, the match is very unexpected, the comments of the social media are also funny, the meme is bacotan, the tiktok is reasonable and very happy, because of this")</f>
        <v>Infinity because Argentina wins, but besides that, the match is very unexpected, the comments of the social media are also funny, the meme is bacotan, the tiktok is reasonable and very happy, because of this</v>
      </c>
    </row>
    <row r="13604" ht="15.75" customHeight="1">
      <c r="A13604" s="1">
        <v>15070.0</v>
      </c>
      <c r="B13604" s="3" t="s">
        <v>38598</v>
      </c>
      <c r="C13604" s="3">
        <v>1.0</v>
      </c>
      <c r="D13604" s="3">
        <v>0.0</v>
      </c>
      <c r="E13604" s="3">
        <v>0.0</v>
      </c>
      <c r="F13604" s="3" t="s">
        <v>38599</v>
      </c>
      <c r="G13604" s="3">
        <v>0.0</v>
      </c>
      <c r="H13604" s="3">
        <v>0.0</v>
      </c>
      <c r="I13604" s="3" t="s">
        <v>13</v>
      </c>
      <c r="J13604" s="3" t="s">
        <v>38600</v>
      </c>
      <c r="K13604" s="3" t="s">
        <v>510</v>
      </c>
      <c r="L13604" s="3" t="str">
        <f>IFERROR(__xludf.DUMMYFUNCTION("GOOGLETRANSLATE(F13604,""id"",""en"")"),"I cried just opening twt and gasempet saw the pildun last night it turned out that Argentina won")</f>
        <v>I cried just opening twt and gasempet saw the pildun last night it turned out that Argentina won</v>
      </c>
    </row>
    <row r="13605" ht="15.75" customHeight="1">
      <c r="A13605" s="1">
        <v>15071.0</v>
      </c>
      <c r="B13605" s="3" t="s">
        <v>38601</v>
      </c>
      <c r="C13605" s="3">
        <v>0.0</v>
      </c>
      <c r="D13605" s="3">
        <v>0.0</v>
      </c>
      <c r="E13605" s="3">
        <v>0.0</v>
      </c>
      <c r="F13605" s="3" t="s">
        <v>38602</v>
      </c>
      <c r="G13605" s="3">
        <v>0.0</v>
      </c>
      <c r="H13605" s="3">
        <v>0.0</v>
      </c>
      <c r="I13605" s="3" t="s">
        <v>13</v>
      </c>
      <c r="J13605" s="3" t="s">
        <v>38603</v>
      </c>
      <c r="K13605" s="3" t="s">
        <v>244</v>
      </c>
      <c r="L13605" s="3" t="str">
        <f>IFERROR(__xludf.DUMMYFUNCTION("GOOGLETRANSLATE(F13605,""id"",""en"")"),"Soon Argentine Acting Makes Billboards Congratulations Winning to Win Pilgo with their appearance dominating billboards")</f>
        <v>Soon Argentine Acting Makes Billboards Congratulations Winning to Win Pilgo with their appearance dominating billboards</v>
      </c>
    </row>
    <row r="13606" ht="15.75" customHeight="1">
      <c r="A13606" s="1">
        <v>15072.0</v>
      </c>
      <c r="B13606" s="3" t="s">
        <v>38604</v>
      </c>
      <c r="C13606" s="3">
        <v>0.0</v>
      </c>
      <c r="D13606" s="3">
        <v>0.0</v>
      </c>
      <c r="E13606" s="3">
        <v>2.0</v>
      </c>
      <c r="F13606" s="3" t="s">
        <v>38605</v>
      </c>
      <c r="G13606" s="3">
        <v>0.0</v>
      </c>
      <c r="H13606" s="3">
        <v>0.0</v>
      </c>
      <c r="I13606" s="3" t="s">
        <v>13</v>
      </c>
      <c r="J13606" s="3" t="s">
        <v>38606</v>
      </c>
      <c r="K13606" s="3" t="s">
        <v>82</v>
      </c>
      <c r="L13606" s="3" t="str">
        <f>IFERROR(__xludf.DUMMYFUNCTION("GOOGLETRANSLATE(F13606,""id"",""en"")"),"Minqu late but congratulations for Argentina who won the pildun")</f>
        <v>Minqu late but congratulations for Argentina who won the pildun</v>
      </c>
    </row>
    <row r="13607" ht="15.75" customHeight="1">
      <c r="A13607" s="1">
        <v>15073.0</v>
      </c>
      <c r="B13607" s="3" t="s">
        <v>38607</v>
      </c>
      <c r="C13607" s="3">
        <v>0.0</v>
      </c>
      <c r="D13607" s="3">
        <v>0.0</v>
      </c>
      <c r="E13607" s="3">
        <v>0.0</v>
      </c>
      <c r="F13607" s="3" t="s">
        <v>38608</v>
      </c>
      <c r="G13607" s="3">
        <v>0.0</v>
      </c>
      <c r="H13607" s="3">
        <v>0.0</v>
      </c>
      <c r="I13607" s="3" t="s">
        <v>13</v>
      </c>
      <c r="J13607" s="3" t="s">
        <v>38609</v>
      </c>
      <c r="K13607" s="3" t="s">
        <v>1335</v>
      </c>
      <c r="L13607" s="3" t="str">
        <f>IFERROR(__xludf.DUMMYFUNCTION("GOOGLETRANSLATE(F13607,""id"",""en"")"),"still mules because of the pildun even though Argentina won")</f>
        <v>still mules because of the pildun even though Argentina won</v>
      </c>
    </row>
    <row r="13608" ht="15.75" customHeight="1">
      <c r="A13608" s="1">
        <v>15074.0</v>
      </c>
      <c r="B13608" s="3" t="s">
        <v>38610</v>
      </c>
      <c r="C13608" s="3">
        <v>0.0</v>
      </c>
      <c r="D13608" s="3">
        <v>0.0</v>
      </c>
      <c r="E13608" s="3">
        <v>0.0</v>
      </c>
      <c r="F13608" s="3" t="s">
        <v>38611</v>
      </c>
      <c r="G13608" s="3">
        <v>0.0</v>
      </c>
      <c r="H13608" s="3">
        <v>0.0</v>
      </c>
      <c r="I13608" s="3" t="s">
        <v>13</v>
      </c>
      <c r="J13608" s="3" t="s">
        <v>38612</v>
      </c>
      <c r="K13608" s="3" t="s">
        <v>15</v>
      </c>
      <c r="L13608" s="3" t="str">
        <f>IFERROR(__xludf.DUMMYFUNCTION("GOOGLETRANSLATE(F13608,""id"",""en"")"),"Argentina Wins Yach Kongrets Italia Hardcore Watching Pildun")</f>
        <v>Argentina Wins Yach Kongrets Italia Hardcore Watching Pildun</v>
      </c>
    </row>
    <row r="13609" ht="15.75" customHeight="1">
      <c r="A13609" s="1">
        <v>15076.0</v>
      </c>
      <c r="B13609" s="3" t="s">
        <v>38613</v>
      </c>
      <c r="C13609" s="3">
        <v>0.0</v>
      </c>
      <c r="D13609" s="3">
        <v>0.0</v>
      </c>
      <c r="E13609" s="3">
        <v>0.0</v>
      </c>
      <c r="F13609" s="3" t="s">
        <v>38614</v>
      </c>
      <c r="G13609" s="3">
        <v>0.0</v>
      </c>
      <c r="H13609" s="3">
        <v>0.0</v>
      </c>
      <c r="I13609" s="3" t="s">
        <v>13</v>
      </c>
      <c r="J13609" s="3" t="s">
        <v>38615</v>
      </c>
      <c r="K13609" s="3" t="s">
        <v>2907</v>
      </c>
      <c r="L13609" s="3" t="str">
        <f>IFERROR(__xludf.DUMMYFUNCTION("GOOGLETRANSLATE(F13609,""id"",""en"")"),"Non -Non -Pildun did not fall asleep Argentina losing now the oversleep Argentina won the point of being left by Turu")</f>
        <v>Non -Non -Pildun did not fall asleep Argentina losing now the oversleep Argentina won the point of being left by Turu</v>
      </c>
    </row>
    <row r="13610" ht="15.75" customHeight="1">
      <c r="A13610" s="1">
        <v>15077.0</v>
      </c>
      <c r="B13610" s="3" t="s">
        <v>38616</v>
      </c>
      <c r="C13610" s="3">
        <v>0.0</v>
      </c>
      <c r="D13610" s="3">
        <v>0.0</v>
      </c>
      <c r="E13610" s="3">
        <v>0.0</v>
      </c>
      <c r="F13610" s="3" t="s">
        <v>38617</v>
      </c>
      <c r="G13610" s="3">
        <v>0.0</v>
      </c>
      <c r="H13610" s="3">
        <v>0.0</v>
      </c>
      <c r="I13610" s="3" t="s">
        <v>13</v>
      </c>
      <c r="J13610" s="3" t="s">
        <v>38618</v>
      </c>
      <c r="K13610" s="3" t="s">
        <v>54</v>
      </c>
      <c r="L13610" s="3" t="str">
        <f>IFERROR(__xludf.DUMMYFUNCTION("GOOGLETRANSLATE(F13610,""id"",""en"")"),"Dam Ayo Appears Argentina Winning Pildun")</f>
        <v>Dam Ayo Appears Argentina Winning Pildun</v>
      </c>
    </row>
    <row r="13611" ht="15.75" customHeight="1">
      <c r="A13611" s="1">
        <v>15078.0</v>
      </c>
      <c r="B13611" s="3" t="s">
        <v>38619</v>
      </c>
      <c r="C13611" s="3">
        <v>0.0</v>
      </c>
      <c r="D13611" s="3">
        <v>0.0</v>
      </c>
      <c r="E13611" s="3">
        <v>0.0</v>
      </c>
      <c r="F13611" s="3" t="s">
        <v>38620</v>
      </c>
      <c r="G13611" s="3">
        <v>0.0</v>
      </c>
      <c r="H13611" s="3">
        <v>0.0</v>
      </c>
      <c r="I13611" s="3" t="s">
        <v>13</v>
      </c>
      <c r="J13611" s="3" t="s">
        <v>38621</v>
      </c>
      <c r="K13611" s="3" t="s">
        <v>13740</v>
      </c>
      <c r="L13611" s="3" t="str">
        <f>IFERROR(__xludf.DUMMYFUNCTION("GOOGLETRANSLATE(F13611,""id"",""en"")"),"Morning Hearing Argentina News Winning Pildun Trs Look Comments on Mention Messi Entry to Get the title of Goat Initially I often see people who deserve to go just because I'm interested in that, then there are people, people think goat goat bearded")</f>
        <v>Morning Hearing Argentina News Winning Pildun Trs Look Comments on Mention Messi Entry to Get the title of Goat Initially I often see people who deserve to go just because I'm interested in that, then there are people, people think goat goat bearded</v>
      </c>
    </row>
    <row r="13612" ht="15.75" customHeight="1">
      <c r="A13612" s="1">
        <v>15079.0</v>
      </c>
      <c r="B13612" s="3" t="s">
        <v>38622</v>
      </c>
      <c r="C13612" s="3">
        <v>0.0</v>
      </c>
      <c r="D13612" s="3">
        <v>0.0</v>
      </c>
      <c r="E13612" s="3">
        <v>0.0</v>
      </c>
      <c r="F13612" s="3" t="s">
        <v>38623</v>
      </c>
      <c r="G13612" s="3">
        <v>0.6000000000000001</v>
      </c>
      <c r="H13612" s="3">
        <v>0.7</v>
      </c>
      <c r="I13612" s="3" t="s">
        <v>48</v>
      </c>
      <c r="J13612" s="3" t="s">
        <v>38624</v>
      </c>
      <c r="K13612" s="3" t="s">
        <v>1552</v>
      </c>
      <c r="L13612" s="3" t="str">
        <f>IFERROR(__xludf.DUMMYFUNCTION("GOOGLETRANSLATE(F13612,""id"",""en"")"),"Good morning listening to Argentina won Pilduun Congratulations Supporting Argentina")</f>
        <v>Good morning listening to Argentina won Pilduun Congratulations Supporting Argentina</v>
      </c>
    </row>
    <row r="13613" ht="15.75" customHeight="1">
      <c r="A13613" s="1">
        <v>15080.0</v>
      </c>
      <c r="B13613" s="3" t="s">
        <v>38625</v>
      </c>
      <c r="C13613" s="3">
        <v>0.0</v>
      </c>
      <c r="D13613" s="3">
        <v>0.0</v>
      </c>
      <c r="E13613" s="3">
        <v>0.0</v>
      </c>
      <c r="F13613" s="3" t="s">
        <v>38626</v>
      </c>
      <c r="G13613" s="3">
        <v>0.0</v>
      </c>
      <c r="H13613" s="3">
        <v>0.0</v>
      </c>
      <c r="I13613" s="3" t="s">
        <v>13</v>
      </c>
      <c r="J13613" s="3" t="s">
        <v>38627</v>
      </c>
      <c r="K13613" s="3" t="s">
        <v>1628</v>
      </c>
      <c r="L13613" s="3" t="str">
        <f>IFERROR(__xludf.DUMMYFUNCTION("GOOGLETRANSLATE(F13613,""id"",""en"")"),"I thought Argentina used to win the pildun because Messi was gatu Messi.")</f>
        <v>I thought Argentina used to win the pildun because Messi was gatu Messi.</v>
      </c>
    </row>
    <row r="13614" ht="15.75" customHeight="1">
      <c r="A13614" s="1">
        <v>15081.0</v>
      </c>
      <c r="B13614" s="3" t="s">
        <v>38628</v>
      </c>
      <c r="C13614" s="3">
        <v>1.0</v>
      </c>
      <c r="D13614" s="3">
        <v>0.0</v>
      </c>
      <c r="E13614" s="3">
        <v>0.0</v>
      </c>
      <c r="F13614" s="3" t="s">
        <v>38629</v>
      </c>
      <c r="G13614" s="3">
        <v>0.0</v>
      </c>
      <c r="H13614" s="3">
        <v>0.0</v>
      </c>
      <c r="I13614" s="3" t="s">
        <v>13</v>
      </c>
      <c r="J13614" s="3" t="s">
        <v>38630</v>
      </c>
      <c r="K13614" s="3" t="s">
        <v>75</v>
      </c>
      <c r="L13614" s="3" t="str">
        <f>IFERROR(__xludf.DUMMYFUNCTION("GOOGLETRANSLATE(F13614,""id"",""en"")"),"Pigs overslept watching WRWRWR PILDUN because I have guessed Argentina to win")</f>
        <v>Pigs overslept watching WRWRWR PILDUN because I have guessed Argentina to win</v>
      </c>
    </row>
    <row r="13615" ht="15.75" customHeight="1">
      <c r="A13615" s="1">
        <v>15083.0</v>
      </c>
      <c r="B13615" s="3" t="s">
        <v>38631</v>
      </c>
      <c r="C13615" s="3">
        <v>0.0</v>
      </c>
      <c r="D13615" s="3">
        <v>1.0</v>
      </c>
      <c r="E13615" s="3">
        <v>12.0</v>
      </c>
      <c r="F13615" s="3" t="s">
        <v>38632</v>
      </c>
      <c r="G13615" s="3">
        <v>1.0</v>
      </c>
      <c r="H13615" s="3">
        <v>0.0</v>
      </c>
      <c r="I13615" s="3" t="s">
        <v>13</v>
      </c>
      <c r="J13615" s="3" t="s">
        <v>38633</v>
      </c>
      <c r="K13615" s="3" t="s">
        <v>374</v>
      </c>
      <c r="L13615" s="3" t="str">
        <f>IFERROR(__xludf.DUMMYFUNCTION("GOOGLETRANSLATE(F13615,""id"",""en"")"),"ihh yedam, definitely definitely watched the final pildun before the final update story wants to pildun with hyunsuk even though the team hyunsuk entered the final then when argentina won the child would spam the excitement hrs like this if it came out wr"&amp;"wr")</f>
        <v>ihh yedam, definitely definitely watched the final pildun before the final update story wants to pildun with hyunsuk even though the team hyunsuk entered the final then when argentina won the child would spam the excitement hrs like this if it came out wrwr</v>
      </c>
    </row>
    <row r="13616" ht="15.75" customHeight="1">
      <c r="A13616" s="1">
        <v>15084.0</v>
      </c>
      <c r="B13616" s="3" t="s">
        <v>38634</v>
      </c>
      <c r="C13616" s="3">
        <v>0.0</v>
      </c>
      <c r="D13616" s="3">
        <v>0.0</v>
      </c>
      <c r="E13616" s="3">
        <v>1.0</v>
      </c>
      <c r="F13616" s="3" t="s">
        <v>38635</v>
      </c>
      <c r="G13616" s="3">
        <v>0.0</v>
      </c>
      <c r="H13616" s="3">
        <v>0.0</v>
      </c>
      <c r="I13616" s="3" t="s">
        <v>13</v>
      </c>
      <c r="J13616" s="3" t="s">
        <v>38636</v>
      </c>
      <c r="K13616" s="3" t="s">
        <v>520</v>
      </c>
      <c r="L13616" s="3" t="str">
        <f>IFERROR(__xludf.DUMMYFUNCTION("GOOGLETRANSLATE(F13616,""id"",""en"")"),"Build the contents of the pildun winning my bet with faka he chose France I Argentina wants anyone who wins but he must treat")</f>
        <v>Build the contents of the pildun winning my bet with faka he chose France I Argentina wants anyone who wins but he must treat</v>
      </c>
    </row>
    <row r="13617" ht="15.75" customHeight="1">
      <c r="A13617" s="1">
        <v>15086.0</v>
      </c>
      <c r="B13617" s="3" t="s">
        <v>38637</v>
      </c>
      <c r="C13617" s="3">
        <v>0.0</v>
      </c>
      <c r="D13617" s="3">
        <v>0.0</v>
      </c>
      <c r="E13617" s="3">
        <v>1.0</v>
      </c>
      <c r="F13617" s="3" t="s">
        <v>38638</v>
      </c>
      <c r="G13617" s="3">
        <v>0.0</v>
      </c>
      <c r="H13617" s="3">
        <v>0.0</v>
      </c>
      <c r="I13617" s="3" t="s">
        <v>13</v>
      </c>
      <c r="J13617" s="3" t="s">
        <v>38639</v>
      </c>
      <c r="K13617" s="3" t="s">
        <v>236</v>
      </c>
      <c r="L13617" s="3" t="str">
        <f>IFERROR(__xludf.DUMMYFUNCTION("GOOGLETRANSLATE(F13617,""id"",""en"")"),"Miho Nee always wins my heart BTW Argentina wins Pilduun wkwkwk")</f>
        <v>Miho Nee always wins my heart BTW Argentina wins Pilduun wkwkwk</v>
      </c>
    </row>
    <row r="13618" ht="15.75" customHeight="1">
      <c r="A13618" s="1">
        <v>15087.0</v>
      </c>
      <c r="B13618" s="3" t="s">
        <v>38640</v>
      </c>
      <c r="C13618" s="3">
        <v>0.0</v>
      </c>
      <c r="D13618" s="3">
        <v>0.0</v>
      </c>
      <c r="E13618" s="3">
        <v>0.0</v>
      </c>
      <c r="F13618" s="3" t="s">
        <v>38641</v>
      </c>
      <c r="G13618" s="3">
        <v>0.0</v>
      </c>
      <c r="H13618" s="3">
        <v>0.0</v>
      </c>
      <c r="I13618" s="3" t="s">
        <v>13</v>
      </c>
      <c r="J13618" s="3" t="s">
        <v>38642</v>
      </c>
      <c r="K13618" s="3" t="s">
        <v>123</v>
      </c>
      <c r="L13618" s="3" t="str">
        <f>IFERROR(__xludf.DUMMYFUNCTION("GOOGLETRANSLATE(F13618,""id"",""en"")"),"I followed the pildun from the beginning but how come they were excited")</f>
        <v>I followed the pildun from the beginning but how come they were excited</v>
      </c>
    </row>
    <row r="13619" ht="15.75" customHeight="1">
      <c r="A13619" s="1">
        <v>15088.0</v>
      </c>
      <c r="B13619" s="3" t="s">
        <v>38643</v>
      </c>
      <c r="C13619" s="3">
        <v>0.0</v>
      </c>
      <c r="D13619" s="3">
        <v>0.0</v>
      </c>
      <c r="E13619" s="3">
        <v>0.0</v>
      </c>
      <c r="F13619" s="3" t="s">
        <v>38644</v>
      </c>
      <c r="G13619" s="3">
        <v>0.5777777777777778</v>
      </c>
      <c r="H13619" s="3">
        <v>0.2888888888888889</v>
      </c>
      <c r="I13619" s="3" t="s">
        <v>48</v>
      </c>
      <c r="J13619" s="3" t="s">
        <v>38645</v>
      </c>
      <c r="K13619" s="3" t="s">
        <v>1942</v>
      </c>
      <c r="L13619" s="3" t="str">
        <f>IFERROR(__xludf.DUMMYFUNCTION("GOOGLETRANSLATE(F13619,""id"",""en"")"),"This Perfect Ending last time Messi played Pilduun since Argentina had never won the Pilduun Messi only lacking the World Cup for Namatin football Least before Messi retired he won his dream well Congrats for Argentina")</f>
        <v>This Perfect Ending last time Messi played Pilduun since Argentina had never won the Pilduun Messi only lacking the World Cup for Namatin football Least before Messi retired he won his dream well Congrats for Argentina</v>
      </c>
    </row>
    <row r="13620" ht="15.75" customHeight="1">
      <c r="A13620" s="1">
        <v>15089.0</v>
      </c>
      <c r="B13620" s="3" t="s">
        <v>38646</v>
      </c>
      <c r="C13620" s="3">
        <v>0.0</v>
      </c>
      <c r="D13620" s="3">
        <v>0.0</v>
      </c>
      <c r="E13620" s="3">
        <v>0.0</v>
      </c>
      <c r="F13620" s="3" t="s">
        <v>38434</v>
      </c>
      <c r="G13620" s="3">
        <v>0.0</v>
      </c>
      <c r="H13620" s="3">
        <v>0.0</v>
      </c>
      <c r="I13620" s="3" t="s">
        <v>13</v>
      </c>
      <c r="J13620" s="3" t="s">
        <v>38435</v>
      </c>
      <c r="K13620" s="3" t="s">
        <v>2117</v>
      </c>
      <c r="L13620" s="3" t="str">
        <f>IFERROR(__xludf.DUMMYFUNCTION("GOOGLETRANSLATE(F13620,""id"",""en"")"),"Argentina won Pilduun")</f>
        <v>Argentina won Pilduun</v>
      </c>
    </row>
    <row r="13621" ht="15.75" customHeight="1">
      <c r="A13621" s="1">
        <v>15090.0</v>
      </c>
      <c r="B13621" s="3" t="s">
        <v>38647</v>
      </c>
      <c r="C13621" s="3">
        <v>0.0</v>
      </c>
      <c r="D13621" s="3">
        <v>0.0</v>
      </c>
      <c r="E13621" s="3">
        <v>1.0</v>
      </c>
      <c r="F13621" s="3" t="s">
        <v>38648</v>
      </c>
      <c r="G13621" s="3">
        <v>0.0</v>
      </c>
      <c r="H13621" s="3">
        <v>0.0</v>
      </c>
      <c r="I13621" s="3" t="s">
        <v>13</v>
      </c>
      <c r="J13621" s="3" t="s">
        <v>38649</v>
      </c>
      <c r="K13621" s="3" t="s">
        <v>860</v>
      </c>
      <c r="L13621" s="3" t="str">
        <f>IFERROR(__xludf.DUMMYFUNCTION("GOOGLETRANSLATE(F13621,""id"",""en"")"),"When I see what this is what Yedam is watching Pildun, who knows, I watched Argentina, TDo MLM won if it's cool to sit next to Yedam")</f>
        <v>When I see what this is what Yedam is watching Pildun, who knows, I watched Argentina, TDo MLM won if it's cool to sit next to Yedam</v>
      </c>
    </row>
    <row r="13622" ht="15.75" customHeight="1">
      <c r="A13622" s="1">
        <v>15091.0</v>
      </c>
      <c r="B13622" s="3" t="s">
        <v>38650</v>
      </c>
      <c r="C13622" s="3">
        <v>1.0</v>
      </c>
      <c r="D13622" s="3">
        <v>0.0</v>
      </c>
      <c r="E13622" s="3">
        <v>1.0</v>
      </c>
      <c r="F13622" s="3" t="s">
        <v>38651</v>
      </c>
      <c r="G13622" s="3">
        <v>0.0</v>
      </c>
      <c r="H13622" s="3">
        <v>0.0</v>
      </c>
      <c r="I13622" s="3" t="s">
        <v>13</v>
      </c>
      <c r="J13622" s="3" t="s">
        <v>38652</v>
      </c>
      <c r="K13622" s="3" t="s">
        <v>348</v>
      </c>
      <c r="L13622" s="3" t="str">
        <f>IFERROR(__xludf.DUMMYFUNCTION("GOOGLETRANSLATE(F13622,""id"",""en"")"),"Wonder Argentina won, just smiled himself in remembering the long struggle of Masia children.")</f>
        <v>Wonder Argentina won, just smiled himself in remembering the long struggle of Masia children.</v>
      </c>
    </row>
    <row r="13623" ht="15.75" customHeight="1">
      <c r="A13623" s="1">
        <v>15092.0</v>
      </c>
      <c r="B13623" s="3" t="s">
        <v>38653</v>
      </c>
      <c r="C13623" s="3">
        <v>0.0</v>
      </c>
      <c r="D13623" s="3">
        <v>0.0</v>
      </c>
      <c r="E13623" s="3">
        <v>1.0</v>
      </c>
      <c r="F13623" s="3" t="s">
        <v>38654</v>
      </c>
      <c r="G13623" s="3">
        <v>0.0</v>
      </c>
      <c r="H13623" s="3">
        <v>0.0</v>
      </c>
      <c r="I13623" s="3" t="s">
        <v>13</v>
      </c>
      <c r="J13623" s="3" t="s">
        <v>38655</v>
      </c>
      <c r="K13623" s="3" t="s">
        <v>644</v>
      </c>
      <c r="L13623" s="3" t="str">
        <f>IFERROR(__xludf.DUMMYFUNCTION("GOOGLETRANSLATE(F13623,""id"",""en"")"),"Starting with Argentina won the pildun")</f>
        <v>Starting with Argentina won the pildun</v>
      </c>
    </row>
    <row r="13624" ht="15.75" customHeight="1">
      <c r="A13624" s="1">
        <v>15093.0</v>
      </c>
      <c r="B13624" s="3" t="s">
        <v>38656</v>
      </c>
      <c r="C13624" s="3">
        <v>1.0</v>
      </c>
      <c r="D13624" s="3">
        <v>0.0</v>
      </c>
      <c r="E13624" s="3">
        <v>20.0</v>
      </c>
      <c r="F13624" s="3" t="s">
        <v>38657</v>
      </c>
      <c r="G13624" s="3">
        <v>0.55</v>
      </c>
      <c r="H13624" s="3">
        <v>0.0</v>
      </c>
      <c r="I13624" s="3" t="s">
        <v>13</v>
      </c>
      <c r="J13624" s="3" t="s">
        <v>38658</v>
      </c>
      <c r="K13624" s="3" t="s">
        <v>1234</v>
      </c>
      <c r="L13624" s="3" t="str">
        <f>IFERROR(__xludf.DUMMYFUNCTION("GOOGLETRANSLATE(F13624,""id"",""en"")"),"Watching the final pildun you will fall asleep, it will definitely win Argentina to build extra time positions to wake up when Argentina wins in the morning, it turns out that Argentina wins through a penalty kick.")</f>
        <v>Watching the final pildun you will fall asleep, it will definitely win Argentina to build extra time positions to wake up when Argentina wins in the morning, it turns out that Argentina wins through a penalty kick.</v>
      </c>
    </row>
    <row r="13625" ht="15.75" customHeight="1">
      <c r="A13625" s="1">
        <v>15094.0</v>
      </c>
      <c r="B13625" s="3" t="s">
        <v>38659</v>
      </c>
      <c r="C13625" s="3">
        <v>0.0</v>
      </c>
      <c r="D13625" s="3">
        <v>0.0</v>
      </c>
      <c r="E13625" s="3">
        <v>0.0</v>
      </c>
      <c r="F13625" s="3" t="s">
        <v>38660</v>
      </c>
      <c r="G13625" s="3">
        <v>0.0</v>
      </c>
      <c r="H13625" s="3">
        <v>0.0</v>
      </c>
      <c r="I13625" s="3" t="s">
        <v>13</v>
      </c>
      <c r="J13625" s="3" t="s">
        <v>38661</v>
      </c>
      <c r="K13625" s="3" t="s">
        <v>50</v>
      </c>
      <c r="L13625" s="3" t="str">
        <f>IFERROR(__xludf.DUMMYFUNCTION("GOOGLETRANSLATE(F13625,""id"",""en"")"),"Imagine there is still Yedam Weverse about Pilduun all wkwkwk especially Argentina wins according to her predictions again")</f>
        <v>Imagine there is still Yedam Weverse about Pilduun all wkwkwk especially Argentina wins according to her predictions again</v>
      </c>
    </row>
    <row r="13626" ht="15.75" customHeight="1">
      <c r="A13626" s="1">
        <v>15095.0</v>
      </c>
      <c r="B13626" s="3" t="s">
        <v>38662</v>
      </c>
      <c r="C13626" s="3">
        <v>0.0</v>
      </c>
      <c r="D13626" s="3">
        <v>0.0</v>
      </c>
      <c r="E13626" s="3">
        <v>0.0</v>
      </c>
      <c r="F13626" s="3" t="s">
        <v>38663</v>
      </c>
      <c r="G13626" s="3">
        <v>0.0</v>
      </c>
      <c r="H13626" s="3">
        <v>0.0</v>
      </c>
      <c r="I13626" s="3" t="s">
        <v>13</v>
      </c>
      <c r="J13626" s="3" t="s">
        <v>38664</v>
      </c>
      <c r="K13626" s="3" t="s">
        <v>75</v>
      </c>
      <c r="L13626" s="3" t="str">
        <f>IFERROR(__xludf.DUMMYFUNCTION("GOOGLETRANSLATE(F13626,""id"",""en"")"),"Yesterday I watched Pildun Pas Unmood so he fell asleep but fortunately Argentina won")</f>
        <v>Yesterday I watched Pildun Pas Unmood so he fell asleep but fortunately Argentina won</v>
      </c>
    </row>
    <row r="13627" ht="15.75" customHeight="1">
      <c r="A13627" s="1">
        <v>15096.0</v>
      </c>
      <c r="B13627" s="3" t="s">
        <v>38665</v>
      </c>
      <c r="C13627" s="3">
        <v>1.0</v>
      </c>
      <c r="D13627" s="3">
        <v>0.0</v>
      </c>
      <c r="E13627" s="3">
        <v>2.0</v>
      </c>
      <c r="F13627" s="3" t="s">
        <v>38666</v>
      </c>
      <c r="G13627" s="3">
        <v>0.0</v>
      </c>
      <c r="H13627" s="3">
        <v>0.0</v>
      </c>
      <c r="I13627" s="3" t="s">
        <v>13</v>
      </c>
      <c r="J13627" s="3" t="s">
        <v>38667</v>
      </c>
      <c r="K13627" s="3" t="s">
        <v>94</v>
      </c>
      <c r="L13627" s="3" t="str">
        <f>IFERROR(__xludf.DUMMYFUNCTION("GOOGLETRANSLATE(F13627,""id"",""en"")"),"All suddenly the GPP Pildun might only be able to get the euphoria I still could not forget the pildun of South Africa and Brazil BTW congratulations to Argentina and win whether gambling social gambling or whatever the shape, hopefully the hot money for "&amp;"wretches, just remember")</f>
        <v>All suddenly the GPP Pildun might only be able to get the euphoria I still could not forget the pildun of South Africa and Brazil BTW congratulations to Argentina and win whether gambling social gambling or whatever the shape, hopefully the hot money for wretches, just remember</v>
      </c>
    </row>
    <row r="13628" ht="15.75" customHeight="1">
      <c r="A13628" s="1">
        <v>15097.0</v>
      </c>
      <c r="B13628" s="3" t="s">
        <v>38668</v>
      </c>
      <c r="C13628" s="3">
        <v>0.0</v>
      </c>
      <c r="D13628" s="3">
        <v>0.0</v>
      </c>
      <c r="E13628" s="3">
        <v>0.0</v>
      </c>
      <c r="F13628" s="3" t="s">
        <v>38669</v>
      </c>
      <c r="G13628" s="3">
        <v>0.0</v>
      </c>
      <c r="H13628" s="3">
        <v>0.0</v>
      </c>
      <c r="I13628" s="3" t="s">
        <v>13</v>
      </c>
      <c r="J13628" s="3" t="s">
        <v>38670</v>
      </c>
      <c r="K13628" s="3" t="s">
        <v>15</v>
      </c>
      <c r="L13628" s="3" t="str">
        <f>IFERROR(__xludf.DUMMYFUNCTION("GOOGLETRANSLATE(F13628,""id"",""en"")"),"only I am a celebration of Argentina to win Pilduun Relate")</f>
        <v>only I am a celebration of Argentina to win Pilduun Relate</v>
      </c>
    </row>
    <row r="13629" ht="15.75" customHeight="1">
      <c r="A13629" s="1">
        <v>15098.0</v>
      </c>
      <c r="B13629" s="3" t="s">
        <v>38671</v>
      </c>
      <c r="C13629" s="3">
        <v>0.0</v>
      </c>
      <c r="D13629" s="3">
        <v>0.0</v>
      </c>
      <c r="E13629" s="3">
        <v>0.0</v>
      </c>
      <c r="F13629" s="3" t="s">
        <v>38672</v>
      </c>
      <c r="G13629" s="3">
        <v>0.0</v>
      </c>
      <c r="H13629" s="3">
        <v>0.0</v>
      </c>
      <c r="I13629" s="3" t="s">
        <v>13</v>
      </c>
      <c r="J13629" s="3" t="s">
        <v>38673</v>
      </c>
      <c r="K13629" s="3" t="s">
        <v>50</v>
      </c>
      <c r="L13629" s="3" t="str">
        <f>IFERROR(__xludf.DUMMYFUNCTION("GOOGLETRANSLATE(F13629,""id"",""en"")"),"follow the pildun yesterday as long as you just talk the most Argentina ehh, right?")</f>
        <v>follow the pildun yesterday as long as you just talk the most Argentina ehh, right?</v>
      </c>
    </row>
    <row r="13630" ht="15.75" customHeight="1">
      <c r="A13630" s="1">
        <v>15099.0</v>
      </c>
      <c r="B13630" s="3" t="s">
        <v>38674</v>
      </c>
      <c r="C13630" s="3">
        <v>0.0</v>
      </c>
      <c r="D13630" s="3">
        <v>0.0</v>
      </c>
      <c r="E13630" s="3">
        <v>0.0</v>
      </c>
      <c r="F13630" s="3" t="s">
        <v>38675</v>
      </c>
      <c r="G13630" s="3">
        <v>0.0</v>
      </c>
      <c r="H13630" s="3">
        <v>0.0</v>
      </c>
      <c r="I13630" s="3" t="s">
        <v>13</v>
      </c>
      <c r="J13630" s="3" t="s">
        <v>38676</v>
      </c>
      <c r="K13630" s="3" t="s">
        <v>1912</v>
      </c>
      <c r="L13630" s="3" t="str">
        <f>IFERROR(__xludf.DUMMYFUNCTION("GOOGLETRANSLATE(F13630,""id"",""en"")"),"Besides the Argentina team, he won, very happy to see the story, I was honest, using this soundtrack, aka using the song Dreamers, Jungkook, the song was so cool.")</f>
        <v>Besides the Argentina team, he won, very happy to see the story, I was honest, using this soundtrack, aka using the song Dreamers, Jungkook, the song was so cool.</v>
      </c>
    </row>
    <row r="13631" ht="15.75" customHeight="1">
      <c r="A13631" s="1">
        <v>15100.0</v>
      </c>
      <c r="B13631" s="3" t="s">
        <v>38677</v>
      </c>
      <c r="C13631" s="3">
        <v>0.0</v>
      </c>
      <c r="D13631" s="3">
        <v>0.0</v>
      </c>
      <c r="E13631" s="3">
        <v>0.0</v>
      </c>
      <c r="F13631" s="3" t="s">
        <v>38678</v>
      </c>
      <c r="G13631" s="3">
        <v>0.0</v>
      </c>
      <c r="H13631" s="3">
        <v>0.0</v>
      </c>
      <c r="I13631" s="3" t="s">
        <v>13</v>
      </c>
      <c r="J13631" s="3" t="s">
        <v>38679</v>
      </c>
      <c r="K13631" s="3" t="s">
        <v>50</v>
      </c>
      <c r="L13631" s="3" t="str">
        <f>IFERROR(__xludf.DUMMYFUNCTION("GOOGLETRANSLATE(F13631,""id"",""en"")"),"Too following the ball but really like Messi from PILDUN yesterday also Argentina Hype Wins")</f>
        <v>Too following the ball but really like Messi from PILDUN yesterday also Argentina Hype Wins</v>
      </c>
    </row>
    <row r="13632" ht="15.75" customHeight="1">
      <c r="A13632" s="1">
        <v>15101.0</v>
      </c>
      <c r="B13632" s="3" t="s">
        <v>38680</v>
      </c>
      <c r="C13632" s="3">
        <v>0.0</v>
      </c>
      <c r="D13632" s="3">
        <v>0.0</v>
      </c>
      <c r="E13632" s="3">
        <v>1.0</v>
      </c>
      <c r="F13632" s="3" t="s">
        <v>38681</v>
      </c>
      <c r="G13632" s="3">
        <v>0.0</v>
      </c>
      <c r="H13632" s="3">
        <v>0.0</v>
      </c>
      <c r="I13632" s="3" t="s">
        <v>13</v>
      </c>
      <c r="J13632" s="3" t="s">
        <v>38682</v>
      </c>
      <c r="K13632" s="3" t="s">
        <v>58</v>
      </c>
      <c r="L13632" s="3" t="str">
        <f>IFERROR(__xludf.DUMMYFUNCTION("GOOGLETRANSLATE(F13632,""id"",""en"")"),"watching pildun but I guess before starting the match if Argentina will win and the result is really cuy winning")</f>
        <v>watching pildun but I guess before starting the match if Argentina will win and the result is really cuy winning</v>
      </c>
    </row>
    <row r="13633" ht="15.75" customHeight="1">
      <c r="A13633" s="1">
        <v>15102.0</v>
      </c>
      <c r="B13633" s="3" t="s">
        <v>38683</v>
      </c>
      <c r="C13633" s="3">
        <v>0.0</v>
      </c>
      <c r="D13633" s="3">
        <v>0.0</v>
      </c>
      <c r="E13633" s="3">
        <v>0.0</v>
      </c>
      <c r="F13633" s="3" t="s">
        <v>38684</v>
      </c>
      <c r="G13633" s="3">
        <v>0.0</v>
      </c>
      <c r="H13633" s="3">
        <v>0.0</v>
      </c>
      <c r="I13633" s="3" t="s">
        <v>13</v>
      </c>
      <c r="J13633" s="3" t="s">
        <v>38685</v>
      </c>
      <c r="K13633" s="3" t="s">
        <v>184</v>
      </c>
      <c r="L13633" s="3" t="str">
        <f>IFERROR(__xludf.DUMMYFUNCTION("GOOGLETRANSLATE(F13633,""id"",""en"")"),"Actually I want to watch Pildun accompanying my father, but how come I fell asleep when I open Twitter, how come it's already crowded with Argentina")</f>
        <v>Actually I want to watch Pildun accompanying my father, but how come I fell asleep when I open Twitter, how come it's already crowded with Argentina</v>
      </c>
    </row>
    <row r="13634" ht="15.75" customHeight="1">
      <c r="A13634" s="1">
        <v>15104.0</v>
      </c>
      <c r="B13634" s="3" t="s">
        <v>38686</v>
      </c>
      <c r="C13634" s="3">
        <v>0.0</v>
      </c>
      <c r="D13634" s="3">
        <v>0.0</v>
      </c>
      <c r="E13634" s="3">
        <v>0.0</v>
      </c>
      <c r="F13634" s="3" t="s">
        <v>38687</v>
      </c>
      <c r="G13634" s="3">
        <v>0.0</v>
      </c>
      <c r="H13634" s="3">
        <v>0.0</v>
      </c>
      <c r="I13634" s="3" t="s">
        <v>13</v>
      </c>
      <c r="J13634" s="3" t="s">
        <v>38688</v>
      </c>
      <c r="K13634" s="3" t="s">
        <v>2215</v>
      </c>
      <c r="L13634" s="3" t="str">
        <f>IFERROR(__xludf.DUMMYFUNCTION("GOOGLETRANSLATE(F13634,""id"",""en"")"),"Asked about Pildun Choose Who Answer France because it can be pranciw knowing winning Argentina wkwk knows choosing Argentina, it can be the language wkwk")</f>
        <v>Asked about Pildun Choose Who Answer France because it can be pranciw knowing winning Argentina wkwk knows choosing Argentina, it can be the language wkwk</v>
      </c>
    </row>
    <row r="13635" ht="15.75" customHeight="1">
      <c r="A13635" s="1">
        <v>15105.0</v>
      </c>
      <c r="B13635" s="3" t="s">
        <v>38689</v>
      </c>
      <c r="C13635" s="3">
        <v>0.0</v>
      </c>
      <c r="D13635" s="3">
        <v>0.0</v>
      </c>
      <c r="E13635" s="3">
        <v>0.0</v>
      </c>
      <c r="F13635" s="3" t="s">
        <v>38690</v>
      </c>
      <c r="G13635" s="3">
        <v>0.0</v>
      </c>
      <c r="H13635" s="3">
        <v>0.0</v>
      </c>
      <c r="I13635" s="3" t="s">
        <v>13</v>
      </c>
      <c r="J13635" s="3" t="s">
        <v>38691</v>
      </c>
      <c r="K13635" s="3" t="s">
        <v>8160</v>
      </c>
      <c r="L13635" s="3" t="str">
        <f>IFERROR(__xludf.DUMMYFUNCTION("GOOGLETRANSLATE(F13635,""id"",""en"")"),"This is just try to join the gambling soccer, it's okay, the beginning of the pildun hasn't played Adi, I guess who won, I answered Argentina wkwkwkw even though it was only that country that I understood wkwk")</f>
        <v>This is just try to join the gambling soccer, it's okay, the beginning of the pildun hasn't played Adi, I guess who won, I answered Argentina wkwkwkw even though it was only that country that I understood wkwk</v>
      </c>
    </row>
    <row r="13636" ht="15.75" customHeight="1">
      <c r="A13636" s="1">
        <v>15106.0</v>
      </c>
      <c r="B13636" s="3" t="s">
        <v>38692</v>
      </c>
      <c r="C13636" s="3">
        <v>0.0</v>
      </c>
      <c r="D13636" s="3">
        <v>0.0</v>
      </c>
      <c r="E13636" s="3">
        <v>1.0</v>
      </c>
      <c r="F13636" s="3" t="s">
        <v>38693</v>
      </c>
      <c r="G13636" s="3">
        <v>0.0</v>
      </c>
      <c r="H13636" s="3">
        <v>0.0</v>
      </c>
      <c r="I13636" s="3" t="s">
        <v>13</v>
      </c>
      <c r="J13636" s="3" t="s">
        <v>38694</v>
      </c>
      <c r="K13636" s="3" t="s">
        <v>441</v>
      </c>
      <c r="L13636" s="3" t="str">
        <f>IFERROR(__xludf.DUMMYFUNCTION("GOOGLETRANSLATE(F13636,""id"",""en"")"),"hehehehe Argentina won like the early prayers of the pildun and also tweet like this and like also a cipung prediction so Cipung asked who won Argentina or France and three times Cipung chose Argentina balls")</f>
        <v>hehehehe Argentina won like the early prayers of the pildun and also tweet like this and like also a cipung prediction so Cipung asked who won Argentina or France and three times Cipung chose Argentina balls</v>
      </c>
    </row>
    <row r="13637" ht="15.75" customHeight="1">
      <c r="A13637" s="1">
        <v>15107.0</v>
      </c>
      <c r="B13637" s="3" t="s">
        <v>38695</v>
      </c>
      <c r="C13637" s="3">
        <v>0.0</v>
      </c>
      <c r="D13637" s="3">
        <v>0.0</v>
      </c>
      <c r="E13637" s="3">
        <v>0.0</v>
      </c>
      <c r="F13637" s="3" t="s">
        <v>38696</v>
      </c>
      <c r="G13637" s="3">
        <v>0.0</v>
      </c>
      <c r="H13637" s="3">
        <v>0.0</v>
      </c>
      <c r="I13637" s="3" t="s">
        <v>13</v>
      </c>
      <c r="J13637" s="3" t="s">
        <v>38697</v>
      </c>
      <c r="K13637" s="3" t="s">
        <v>135</v>
      </c>
      <c r="L13637" s="3" t="str">
        <f>IFERROR(__xludf.DUMMYFUNCTION("GOOGLETRANSLATE(F13637,""id"",""en"")"),"Anjaayy Argentina won Cool Congrats for Argentina Ren last night but heard the sound from home and was very crowded because this Piludun was great, Argentina could win Congratss Congratss Fouxy")</f>
        <v>Anjaayy Argentina won Cool Congrats for Argentina Ren last night but heard the sound from home and was very crowded because this Piludun was great, Argentina could win Congratss Congratss Fouxy</v>
      </c>
    </row>
    <row r="13638" ht="15.75" customHeight="1">
      <c r="A13638" s="1">
        <v>15110.0</v>
      </c>
      <c r="B13638" s="3" t="s">
        <v>38698</v>
      </c>
      <c r="C13638" s="3">
        <v>0.0</v>
      </c>
      <c r="D13638" s="3">
        <v>0.0</v>
      </c>
      <c r="E13638" s="3">
        <v>0.0</v>
      </c>
      <c r="F13638" s="3" t="s">
        <v>38699</v>
      </c>
      <c r="G13638" s="3">
        <v>0.0</v>
      </c>
      <c r="H13638" s="3">
        <v>0.0</v>
      </c>
      <c r="I13638" s="3" t="s">
        <v>13</v>
      </c>
      <c r="J13638" s="3" t="s">
        <v>38700</v>
      </c>
      <c r="K13638" s="3" t="s">
        <v>1335</v>
      </c>
      <c r="L13638" s="3" t="str">
        <f>IFERROR(__xludf.DUMMYFUNCTION("GOOGLETRANSLATE(F13638,""id"",""en"")"),"Winning Cokkk Argentina I won the pildun cokkkk")</f>
        <v>Winning Cokkk Argentina I won the pildun cokkkk</v>
      </c>
    </row>
    <row r="13639" ht="15.75" customHeight="1">
      <c r="A13639" s="1">
        <v>15111.0</v>
      </c>
      <c r="B13639" s="3" t="s">
        <v>38701</v>
      </c>
      <c r="C13639" s="3">
        <v>0.0</v>
      </c>
      <c r="D13639" s="3">
        <v>0.0</v>
      </c>
      <c r="E13639" s="3">
        <v>0.0</v>
      </c>
      <c r="F13639" s="3" t="s">
        <v>38702</v>
      </c>
      <c r="G13639" s="3">
        <v>0.0</v>
      </c>
      <c r="H13639" s="3">
        <v>0.0</v>
      </c>
      <c r="I13639" s="3" t="s">
        <v>13</v>
      </c>
      <c r="J13639" s="3" t="s">
        <v>38703</v>
      </c>
      <c r="K13639" s="3" t="s">
        <v>41</v>
      </c>
      <c r="L13639" s="3" t="str">
        <f>IFERROR(__xludf.DUMMYFUNCTION("GOOGLETRANSLATE(F13639,""id"",""en"")"),"I thought that Argentina won even though I followed me")</f>
        <v>I thought that Argentina won even though I followed me</v>
      </c>
    </row>
    <row r="13640" ht="15.75" customHeight="1">
      <c r="A13640" s="1">
        <v>15112.0</v>
      </c>
      <c r="B13640" s="3" t="s">
        <v>38704</v>
      </c>
      <c r="C13640" s="3">
        <v>0.0</v>
      </c>
      <c r="D13640" s="3">
        <v>0.0</v>
      </c>
      <c r="E13640" s="3">
        <v>1.0</v>
      </c>
      <c r="F13640" s="3" t="s">
        <v>38705</v>
      </c>
      <c r="G13640" s="3">
        <v>0.0</v>
      </c>
      <c r="H13640" s="3">
        <v>0.0</v>
      </c>
      <c r="I13640" s="3" t="s">
        <v>13</v>
      </c>
      <c r="J13640" s="3" t="s">
        <v>38706</v>
      </c>
      <c r="K13640" s="3" t="s">
        <v>35</v>
      </c>
      <c r="L13640" s="3" t="str">
        <f>IFERROR(__xludf.DUMMYFUNCTION("GOOGLETRANSLATE(F13640,""id"",""en"")"),"Argentina wins my father if it's still alive, it will be very happy to win his favorite team to win pildun")</f>
        <v>Argentina wins my father if it's still alive, it will be very happy to win his favorite team to win pildun</v>
      </c>
    </row>
    <row r="13641" ht="15.75" customHeight="1">
      <c r="A13641" s="1">
        <v>15113.0</v>
      </c>
      <c r="B13641" s="3" t="s">
        <v>38707</v>
      </c>
      <c r="C13641" s="3">
        <v>0.0</v>
      </c>
      <c r="D13641" s="3">
        <v>0.0</v>
      </c>
      <c r="E13641" s="3">
        <v>0.0</v>
      </c>
      <c r="F13641" s="3" t="s">
        <v>38708</v>
      </c>
      <c r="G13641" s="3">
        <v>0.0</v>
      </c>
      <c r="H13641" s="3">
        <v>0.0</v>
      </c>
      <c r="I13641" s="3" t="s">
        <v>13</v>
      </c>
      <c r="J13641" s="3" t="s">
        <v>38709</v>
      </c>
      <c r="K13641" s="3" t="s">
        <v>82</v>
      </c>
      <c r="L13641" s="3" t="str">
        <f>IFERROR(__xludf.DUMMYFUNCTION("GOOGLETRANSLATE(F13641,""id"",""en"")"),"This Monday is very bright because Argentina wins Pildun")</f>
        <v>This Monday is very bright because Argentina wins Pildun</v>
      </c>
    </row>
    <row r="13642" ht="15.75" customHeight="1">
      <c r="A13642" s="1">
        <v>15114.0</v>
      </c>
      <c r="B13642" s="3" t="s">
        <v>38710</v>
      </c>
      <c r="C13642" s="3">
        <v>0.0</v>
      </c>
      <c r="D13642" s="3">
        <v>0.0</v>
      </c>
      <c r="E13642" s="3">
        <v>0.0</v>
      </c>
      <c r="F13642" s="3" t="s">
        <v>38711</v>
      </c>
      <c r="G13642" s="3">
        <v>0.0</v>
      </c>
      <c r="H13642" s="3">
        <v>0.0</v>
      </c>
      <c r="I13642" s="3" t="s">
        <v>13</v>
      </c>
      <c r="J13642" s="3" t="s">
        <v>38712</v>
      </c>
      <c r="K13642" s="3" t="s">
        <v>244</v>
      </c>
      <c r="L13642" s="3" t="str">
        <f>IFERROR(__xludf.DUMMYFUNCTION("GOOGLETRANSLATE(F13642,""id"",""en"")"),"Mother's PILDUN SUPPORT France I Argentina really won Argentina hehhehe")</f>
        <v>Mother's PILDUN SUPPORT France I Argentina really won Argentina hehhehe</v>
      </c>
    </row>
    <row r="13643" ht="15.75" customHeight="1">
      <c r="A13643" s="1">
        <v>15115.0</v>
      </c>
      <c r="B13643" s="3" t="s">
        <v>38713</v>
      </c>
      <c r="C13643" s="3">
        <v>1.0</v>
      </c>
      <c r="D13643" s="3">
        <v>0.0</v>
      </c>
      <c r="E13643" s="3">
        <v>0.0</v>
      </c>
      <c r="F13643" s="3" t="s">
        <v>38714</v>
      </c>
      <c r="G13643" s="3">
        <v>0.0</v>
      </c>
      <c r="H13643" s="3">
        <v>0.0</v>
      </c>
      <c r="I13643" s="3" t="s">
        <v>13</v>
      </c>
      <c r="J13643" s="3" t="s">
        <v>38715</v>
      </c>
      <c r="K13643" s="3" t="s">
        <v>236</v>
      </c>
      <c r="L13643" s="3" t="str">
        <f>IFERROR(__xludf.DUMMYFUNCTION("GOOGLETRANSLATE(F13643,""id"",""en"")"),"Even though I didn't watch pildun from the start, I knew that the ending was still Argentina")</f>
        <v>Even though I didn't watch pildun from the start, I knew that the ending was still Argentina</v>
      </c>
    </row>
    <row r="13644" ht="15.75" customHeight="1">
      <c r="A13644" s="1">
        <v>15116.0</v>
      </c>
      <c r="B13644" s="3" t="s">
        <v>38716</v>
      </c>
      <c r="C13644" s="3">
        <v>0.0</v>
      </c>
      <c r="D13644" s="3">
        <v>0.0</v>
      </c>
      <c r="E13644" s="3">
        <v>0.0</v>
      </c>
      <c r="F13644" s="3" t="s">
        <v>38717</v>
      </c>
      <c r="G13644" s="3">
        <v>0.0</v>
      </c>
      <c r="H13644" s="3">
        <v>0.0</v>
      </c>
      <c r="I13644" s="3" t="s">
        <v>13</v>
      </c>
      <c r="J13644" s="3" t="s">
        <v>38718</v>
      </c>
      <c r="K13644" s="3" t="s">
        <v>426</v>
      </c>
      <c r="L13644" s="3" t="str">
        <f>IFERROR(__xludf.DUMMYFUNCTION("GOOGLETRANSLATE(F13644,""id"",""en"")"),"Congratulations, Mas Gojek, who was in the middle of the night to take me, I told me to chat about the pildun so that I was sleepy on the road even though I understood he was confident in Argentina won, he wished me, I didn't bother overthinking and Bobo")</f>
        <v>Congratulations, Mas Gojek, who was in the middle of the night to take me, I told me to chat about the pildun so that I was sleepy on the road even though I understood he was confident in Argentina won, he wished me, I didn't bother overthinking and Bobo</v>
      </c>
    </row>
    <row r="13645" ht="15.75" customHeight="1">
      <c r="A13645" s="1">
        <v>15117.0</v>
      </c>
      <c r="B13645" s="3" t="s">
        <v>38719</v>
      </c>
      <c r="C13645" s="3">
        <v>1.0</v>
      </c>
      <c r="D13645" s="3">
        <v>0.0</v>
      </c>
      <c r="E13645" s="3">
        <v>0.0</v>
      </c>
      <c r="F13645" s="3" t="s">
        <v>38720</v>
      </c>
      <c r="G13645" s="3">
        <v>0.0</v>
      </c>
      <c r="H13645" s="3">
        <v>0.0</v>
      </c>
      <c r="I13645" s="3" t="s">
        <v>13</v>
      </c>
      <c r="J13645" s="3" t="s">
        <v>38721</v>
      </c>
      <c r="K13645" s="3" t="s">
        <v>1265</v>
      </c>
      <c r="L13645" s="3" t="str">
        <f>IFERROR(__xludf.DUMMYFUNCTION("GOOGLETRANSLATE(F13645,""id"",""en"")"),"Argentina's feeling again against France who wins Argentina continues the video who wins")</f>
        <v>Argentina's feeling again against France who wins Argentina continues the video who wins</v>
      </c>
    </row>
    <row r="13646" ht="15.75" customHeight="1">
      <c r="A13646" s="1">
        <v>15118.0</v>
      </c>
      <c r="B13646" s="3" t="s">
        <v>38722</v>
      </c>
      <c r="C13646" s="3">
        <v>0.0</v>
      </c>
      <c r="D13646" s="3">
        <v>0.0</v>
      </c>
      <c r="E13646" s="3">
        <v>0.0</v>
      </c>
      <c r="F13646" s="3" t="s">
        <v>38723</v>
      </c>
      <c r="G13646" s="3">
        <v>0.0</v>
      </c>
      <c r="H13646" s="3">
        <v>0.0</v>
      </c>
      <c r="I13646" s="3" t="s">
        <v>13</v>
      </c>
      <c r="J13646" s="3" t="s">
        <v>38724</v>
      </c>
      <c r="K13646" s="3" t="s">
        <v>127</v>
      </c>
      <c r="L13646" s="3" t="str">
        <f>IFERROR(__xludf.DUMMYFUNCTION("GOOGLETRANSLATE(F13646,""id"",""en"")"),"The clock woke up because the sound of a leaky leak on nobar check there is a notification of Argentina's pildun winning because the penalty shootout has continued to sleep again wkwk")</f>
        <v>The clock woke up because the sound of a leaky leak on nobar check there is a notification of Argentina's pildun winning because the penalty shootout has continued to sleep again wkwk</v>
      </c>
    </row>
    <row r="13647" ht="15.75" customHeight="1">
      <c r="A13647" s="1">
        <v>15119.0</v>
      </c>
      <c r="B13647" s="3" t="s">
        <v>38725</v>
      </c>
      <c r="C13647" s="3">
        <v>0.0</v>
      </c>
      <c r="D13647" s="3">
        <v>0.0</v>
      </c>
      <c r="E13647" s="3">
        <v>0.0</v>
      </c>
      <c r="F13647" s="3" t="s">
        <v>38726</v>
      </c>
      <c r="G13647" s="3">
        <v>0.0</v>
      </c>
      <c r="H13647" s="3">
        <v>0.0</v>
      </c>
      <c r="I13647" s="3" t="s">
        <v>13</v>
      </c>
      <c r="J13647" s="3" t="s">
        <v>38727</v>
      </c>
      <c r="K13647" s="3" t="s">
        <v>41</v>
      </c>
      <c r="L13647" s="3" t="str">
        <f>IFERROR(__xludf.DUMMYFUNCTION("GOOGLETRANSLATE(F13647,""id"",""en"")"),"From the beginning of the Pildun hoped that Argentina would win because he didn't want to see Mateo crying")</f>
        <v>From the beginning of the Pildun hoped that Argentina would win because he didn't want to see Mateo crying</v>
      </c>
    </row>
    <row r="13648" ht="15.75" customHeight="1">
      <c r="A13648" s="1">
        <v>15120.0</v>
      </c>
      <c r="B13648" s="3" t="s">
        <v>38728</v>
      </c>
      <c r="C13648" s="3">
        <v>0.0</v>
      </c>
      <c r="D13648" s="3">
        <v>0.0</v>
      </c>
      <c r="E13648" s="3">
        <v>0.0</v>
      </c>
      <c r="F13648" s="3" t="s">
        <v>38729</v>
      </c>
      <c r="G13648" s="3">
        <v>0.0</v>
      </c>
      <c r="H13648" s="3">
        <v>0.0</v>
      </c>
      <c r="I13648" s="3" t="s">
        <v>13</v>
      </c>
      <c r="J13648" s="3" t="s">
        <v>38730</v>
      </c>
      <c r="K13648" s="3" t="s">
        <v>644</v>
      </c>
      <c r="L13648" s="3" t="str">
        <f>IFERROR(__xludf.DUMMYFUNCTION("GOOGLETRANSLATE(F13648,""id"",""en"")"),"Argentina wins Pilduun right")</f>
        <v>Argentina wins Pilduun right</v>
      </c>
    </row>
    <row r="13649" ht="15.75" customHeight="1">
      <c r="A13649" s="1">
        <v>15121.0</v>
      </c>
      <c r="B13649" s="3" t="s">
        <v>38731</v>
      </c>
      <c r="C13649" s="3">
        <v>0.0</v>
      </c>
      <c r="D13649" s="3">
        <v>0.0</v>
      </c>
      <c r="E13649" s="3">
        <v>0.0</v>
      </c>
      <c r="F13649" s="3" t="s">
        <v>38732</v>
      </c>
      <c r="G13649" s="3">
        <v>0.0</v>
      </c>
      <c r="H13649" s="3">
        <v>0.0</v>
      </c>
      <c r="I13649" s="3" t="s">
        <v>13</v>
      </c>
      <c r="J13649" s="3" t="s">
        <v>38733</v>
      </c>
      <c r="K13649" s="3" t="s">
        <v>437</v>
      </c>
      <c r="L13649" s="3" t="str">
        <f>IFERROR(__xludf.DUMMYFUNCTION("GOOGLETRANSLATE(F13649,""id"",""en"")"),"Yesterday the debate with Bappe who won the pildun said it would be Argentina, said the French father, it turned out that my guess was right")</f>
        <v>Yesterday the debate with Bappe who won the pildun said it would be Argentina, said the French father, it turned out that my guess was right</v>
      </c>
    </row>
    <row r="13650" ht="15.75" customHeight="1">
      <c r="A13650" s="1">
        <v>15122.0</v>
      </c>
      <c r="B13650" s="3" t="s">
        <v>38734</v>
      </c>
      <c r="C13650" s="3">
        <v>1.0</v>
      </c>
      <c r="D13650" s="3">
        <v>0.0</v>
      </c>
      <c r="E13650" s="3">
        <v>0.0</v>
      </c>
      <c r="F13650" s="3" t="s">
        <v>38735</v>
      </c>
      <c r="G13650" s="3">
        <v>1.0</v>
      </c>
      <c r="H13650" s="3">
        <v>0.0</v>
      </c>
      <c r="I13650" s="3" t="s">
        <v>13</v>
      </c>
      <c r="J13650" s="3" t="s">
        <v>38736</v>
      </c>
      <c r="K13650" s="3" t="s">
        <v>503</v>
      </c>
      <c r="L13650" s="3" t="str">
        <f>IFERROR(__xludf.DUMMYFUNCTION("GOOGLETRANSLATE(F13650,""id"",""en"")"),"Argentina when they saw they passed the quarter -finals, I had never been in public and blg as if I would hope for them to win the pildun even though in the heart rather arrogant, I would have won even until the final I just wanted to look arrogant.")</f>
        <v>Argentina when they saw they passed the quarter -finals, I had never been in public and blg as if I would hope for them to win the pildun even though in the heart rather arrogant, I would have won even until the final I just wanted to look arrogant.</v>
      </c>
    </row>
    <row r="13651" ht="15.75" customHeight="1">
      <c r="A13651" s="1">
        <v>15125.0</v>
      </c>
      <c r="B13651" s="3" t="s">
        <v>38737</v>
      </c>
      <c r="C13651" s="3">
        <v>0.0</v>
      </c>
      <c r="D13651" s="3">
        <v>0.0</v>
      </c>
      <c r="E13651" s="3">
        <v>0.0</v>
      </c>
      <c r="F13651" s="3" t="s">
        <v>38738</v>
      </c>
      <c r="G13651" s="3">
        <v>0.525</v>
      </c>
      <c r="H13651" s="3">
        <v>-0.07500000000000001</v>
      </c>
      <c r="I13651" s="3" t="s">
        <v>179</v>
      </c>
      <c r="J13651" s="3" t="s">
        <v>38739</v>
      </c>
      <c r="K13651" s="3" t="s">
        <v>1293</v>
      </c>
      <c r="L13651" s="3" t="str">
        <f>IFERROR(__xludf.DUMMYFUNCTION("GOOGLETRANSLATE(F13651,""id"",""en"")"),"Full Smile My Friend's Day Random Randomized Alun Alun Can Wanderer Argentina Winning Pildun Beuh Basic Must Giveaway Keknya We got hit")</f>
        <v>Full Smile My Friend's Day Random Randomized Alun Alun Can Wanderer Argentina Winning Pildun Beuh Basic Must Giveaway Keknya We got hit</v>
      </c>
    </row>
    <row r="13652" ht="15.75" customHeight="1">
      <c r="A13652" s="1">
        <v>15126.0</v>
      </c>
      <c r="B13652" s="3" t="s">
        <v>38740</v>
      </c>
      <c r="C13652" s="3">
        <v>1.0</v>
      </c>
      <c r="D13652" s="3">
        <v>0.0</v>
      </c>
      <c r="E13652" s="3">
        <v>1.0</v>
      </c>
      <c r="F13652" s="3" t="s">
        <v>38741</v>
      </c>
      <c r="G13652" s="3">
        <v>0.0</v>
      </c>
      <c r="H13652" s="3">
        <v>0.0</v>
      </c>
      <c r="I13652" s="3" t="s">
        <v>13</v>
      </c>
      <c r="J13652" s="3" t="s">
        <v>38742</v>
      </c>
      <c r="K13652" s="3" t="s">
        <v>82</v>
      </c>
      <c r="L13652" s="3" t="str">
        <f>IFERROR(__xludf.DUMMYFUNCTION("GOOGLETRANSLATE(F13652,""id"",""en"")"),"It's not that Argentina won the pildun also by Mr. Mario Kempes")</f>
        <v>It's not that Argentina won the pildun also by Mr. Mario Kempes</v>
      </c>
    </row>
    <row r="13653" ht="15.75" customHeight="1">
      <c r="A13653" s="1">
        <v>15127.0</v>
      </c>
      <c r="B13653" s="3" t="s">
        <v>38743</v>
      </c>
      <c r="C13653" s="3">
        <v>0.0</v>
      </c>
      <c r="D13653" s="3">
        <v>0.0</v>
      </c>
      <c r="E13653" s="3">
        <v>0.0</v>
      </c>
      <c r="F13653" s="3" t="s">
        <v>38744</v>
      </c>
      <c r="G13653" s="3">
        <v>0.0</v>
      </c>
      <c r="H13653" s="3">
        <v>0.0</v>
      </c>
      <c r="I13653" s="3" t="s">
        <v>13</v>
      </c>
      <c r="J13653" s="3" t="s">
        <v>38745</v>
      </c>
      <c r="K13653" s="3" t="s">
        <v>31</v>
      </c>
      <c r="L13653" s="3" t="str">
        <f>IFERROR(__xludf.DUMMYFUNCTION("GOOGLETRANSLATE(F13653,""id"",""en"")"),"Argentina is very crowded")</f>
        <v>Argentina is very crowded</v>
      </c>
    </row>
    <row r="13654" ht="15.75" customHeight="1">
      <c r="A13654" s="1">
        <v>15128.0</v>
      </c>
      <c r="B13654" s="3" t="s">
        <v>38746</v>
      </c>
      <c r="C13654" s="3">
        <v>1.0</v>
      </c>
      <c r="D13654" s="3">
        <v>1.0</v>
      </c>
      <c r="E13654" s="3">
        <v>2.0</v>
      </c>
      <c r="F13654" s="3" t="s">
        <v>38747</v>
      </c>
      <c r="G13654" s="3">
        <v>0.0</v>
      </c>
      <c r="H13654" s="3">
        <v>0.0</v>
      </c>
      <c r="I13654" s="3" t="s">
        <v>13</v>
      </c>
      <c r="J13654" s="3" t="s">
        <v>38748</v>
      </c>
      <c r="K13654" s="3" t="s">
        <v>19</v>
      </c>
      <c r="L13654" s="3" t="str">
        <f>IFERROR(__xludf.DUMMYFUNCTION("GOOGLETRANSLATE(F13654,""id"",""en"")"),"Bangkeee Humor Only Sebats Argentina won the trending of Raul Lemos because it looks like Mbappe")</f>
        <v>Bangkeee Humor Only Sebats Argentina won the trending of Raul Lemos because it looks like Mbappe</v>
      </c>
    </row>
    <row r="13655" ht="15.75" customHeight="1">
      <c r="A13655" s="1">
        <v>15130.0</v>
      </c>
      <c r="B13655" s="3" t="s">
        <v>38749</v>
      </c>
      <c r="C13655" s="3">
        <v>0.0</v>
      </c>
      <c r="D13655" s="3">
        <v>0.0</v>
      </c>
      <c r="E13655" s="3">
        <v>1.0</v>
      </c>
      <c r="F13655" s="3" t="s">
        <v>38750</v>
      </c>
      <c r="G13655" s="3">
        <v>0.0</v>
      </c>
      <c r="H13655" s="3">
        <v>0.0</v>
      </c>
      <c r="I13655" s="3" t="s">
        <v>13</v>
      </c>
      <c r="J13655" s="3" t="s">
        <v>38751</v>
      </c>
      <c r="K13655" s="3" t="s">
        <v>123</v>
      </c>
      <c r="L13655" s="3" t="str">
        <f>IFERROR(__xludf.DUMMYFUNCTION("GOOGLETRANSLATE(F13655,""id"",""en"")"),"sorry for the gatega clay gpp kmren, the pildun has won the change of Argentina Boy this year")</f>
        <v>sorry for the gatega clay gpp kmren, the pildun has won the change of Argentina Boy this year</v>
      </c>
    </row>
    <row r="13656" ht="15.75" customHeight="1">
      <c r="A13656" s="1">
        <v>15131.0</v>
      </c>
      <c r="B13656" s="3" t="s">
        <v>38752</v>
      </c>
      <c r="C13656" s="3">
        <v>0.0</v>
      </c>
      <c r="D13656" s="3">
        <v>0.0</v>
      </c>
      <c r="E13656" s="3">
        <v>0.0</v>
      </c>
      <c r="F13656" s="3" t="s">
        <v>38753</v>
      </c>
      <c r="G13656" s="3">
        <v>1.0</v>
      </c>
      <c r="H13656" s="3">
        <v>0.0</v>
      </c>
      <c r="I13656" s="3" t="s">
        <v>13</v>
      </c>
      <c r="J13656" s="3" t="s">
        <v>38754</v>
      </c>
      <c r="K13656" s="3" t="s">
        <v>426</v>
      </c>
      <c r="L13656" s="3" t="str">
        <f>IFERROR(__xludf.DUMMYFUNCTION("GOOGLETRANSLATE(F13656,""id"",""en"")"),"DEG DEGA Very Watching the Final Pildun because of several times through the social media, he said he won the flag blue and red and thanks, Argentina has proven that the name of the fortune teller is bullshit")</f>
        <v>DEG DEGA Very Watching the Final Pildun because of several times through the social media, he said he won the flag blue and red and thanks, Argentina has proven that the name of the fortune teller is bullshit</v>
      </c>
    </row>
    <row r="13657" ht="15.75" customHeight="1">
      <c r="A13657" s="1">
        <v>15132.0</v>
      </c>
      <c r="B13657" s="3" t="s">
        <v>38755</v>
      </c>
      <c r="C13657" s="3">
        <v>1.0</v>
      </c>
      <c r="D13657" s="3">
        <v>0.0</v>
      </c>
      <c r="E13657" s="3">
        <v>0.0</v>
      </c>
      <c r="F13657" s="3" t="s">
        <v>38756</v>
      </c>
      <c r="G13657" s="3">
        <v>0.65</v>
      </c>
      <c r="H13657" s="3">
        <v>0.5</v>
      </c>
      <c r="I13657" s="3" t="s">
        <v>48</v>
      </c>
      <c r="J13657" s="3" t="s">
        <v>38757</v>
      </c>
      <c r="K13657" s="3" t="s">
        <v>510</v>
      </c>
      <c r="L13657" s="3" t="str">
        <f>IFERROR(__xludf.DUMMYFUNCTION("GOOGLETRANSLATE(F13657,""id"",""en"")"),"aaaaaaa Final Pildun Ter The Best Jingkrak Argentina won Congrats for Messi et al")</f>
        <v>aaaaaaa Final Pildun Ter The Best Jingkrak Argentina won Congrats for Messi et al</v>
      </c>
    </row>
    <row r="13658" ht="15.75" customHeight="1">
      <c r="A13658" s="1">
        <v>15133.0</v>
      </c>
      <c r="B13658" s="3" t="s">
        <v>38758</v>
      </c>
      <c r="C13658" s="3">
        <v>1.0</v>
      </c>
      <c r="D13658" s="3">
        <v>0.0</v>
      </c>
      <c r="E13658" s="3">
        <v>0.0</v>
      </c>
      <c r="F13658" s="3" t="s">
        <v>38759</v>
      </c>
      <c r="G13658" s="3">
        <v>0.0</v>
      </c>
      <c r="H13658" s="3">
        <v>0.0</v>
      </c>
      <c r="I13658" s="3" t="s">
        <v>13</v>
      </c>
      <c r="J13658" s="3" t="s">
        <v>38760</v>
      </c>
      <c r="K13658" s="3" t="s">
        <v>19</v>
      </c>
      <c r="L13658" s="3" t="str">
        <f>IFERROR(__xludf.DUMMYFUNCTION("GOOGLETRANSLATE(F13658,""id"",""en"")"),"Dad and brother are very happy to be busetttt Argentina winning to follow the pildun but join in")</f>
        <v>Dad and brother are very happy to be busetttt Argentina winning to follow the pildun but join in</v>
      </c>
    </row>
    <row r="13659" ht="15.75" customHeight="1">
      <c r="A13659" s="1">
        <v>15134.0</v>
      </c>
      <c r="B13659" s="3" t="s">
        <v>38761</v>
      </c>
      <c r="C13659" s="3">
        <v>0.0</v>
      </c>
      <c r="D13659" s="3">
        <v>1.0</v>
      </c>
      <c r="E13659" s="3">
        <v>8.0</v>
      </c>
      <c r="F13659" s="3" t="s">
        <v>38762</v>
      </c>
      <c r="G13659" s="3">
        <v>0.0</v>
      </c>
      <c r="H13659" s="3">
        <v>0.0</v>
      </c>
      <c r="I13659" s="3" t="s">
        <v>13</v>
      </c>
      <c r="J13659" s="3" t="s">
        <v>38763</v>
      </c>
      <c r="K13659" s="3" t="s">
        <v>205</v>
      </c>
      <c r="L13659" s="3" t="str">
        <f>IFERROR(__xludf.DUMMYFUNCTION("GOOGLETRANSLATE(F13659,""id"",""en"")"),"again, if the pildun or euro determine the success of the coach strategy team for the golden era of England Argentina even though many stars are famous")</f>
        <v>again, if the pildun or euro determine the success of the coach strategy team for the golden era of England Argentina even though many stars are famous</v>
      </c>
    </row>
    <row r="13660" ht="15.75" customHeight="1">
      <c r="A13660" s="1">
        <v>15135.0</v>
      </c>
      <c r="B13660" s="3" t="s">
        <v>38764</v>
      </c>
      <c r="C13660" s="3">
        <v>0.0</v>
      </c>
      <c r="D13660" s="3">
        <v>0.0</v>
      </c>
      <c r="E13660" s="3">
        <v>0.0</v>
      </c>
      <c r="F13660" s="3" t="s">
        <v>38765</v>
      </c>
      <c r="G13660" s="3">
        <v>0.0</v>
      </c>
      <c r="H13660" s="3">
        <v>0.0</v>
      </c>
      <c r="I13660" s="3" t="s">
        <v>13</v>
      </c>
      <c r="J13660" s="3" t="s">
        <v>38766</v>
      </c>
      <c r="K13660" s="3" t="s">
        <v>50</v>
      </c>
      <c r="L13660" s="3" t="str">
        <f>IFERROR(__xludf.DUMMYFUNCTION("GOOGLETRANSLATE(F13660,""id"",""en"")"),"Wis Genah Argentina Wingi won the beaters of Pilduun Taun Kie Koh on Ngeyel")</f>
        <v>Wis Genah Argentina Wingi won the beaters of Pilduun Taun Kie Koh on Ngeyel</v>
      </c>
    </row>
    <row r="13661" ht="15.75" customHeight="1">
      <c r="A13661" s="1">
        <v>15136.0</v>
      </c>
      <c r="B13661" s="3" t="s">
        <v>38767</v>
      </c>
      <c r="C13661" s="3">
        <v>0.0</v>
      </c>
      <c r="D13661" s="3">
        <v>0.0</v>
      </c>
      <c r="E13661" s="3">
        <v>1.0</v>
      </c>
      <c r="F13661" s="3" t="s">
        <v>38768</v>
      </c>
      <c r="G13661" s="3">
        <v>1.0</v>
      </c>
      <c r="H13661" s="3">
        <v>0.0</v>
      </c>
      <c r="I13661" s="3" t="s">
        <v>13</v>
      </c>
      <c r="J13661" s="3" t="s">
        <v>38769</v>
      </c>
      <c r="K13661" s="3" t="s">
        <v>484</v>
      </c>
      <c r="L13661" s="3" t="str">
        <f>IFERROR(__xludf.DUMMYFUNCTION("GOOGLETRANSLATE(F13661,""id"",""en"")"),"mmg has been following the ball for a long time but when the final pildun was sure Argentina won and Argentina won")</f>
        <v>mmg has been following the ball for a long time but when the final pildun was sure Argentina won and Argentina won</v>
      </c>
    </row>
    <row r="13662" ht="15.75" customHeight="1">
      <c r="A13662" s="1">
        <v>15137.0</v>
      </c>
      <c r="B13662" s="3" t="s">
        <v>38770</v>
      </c>
      <c r="C13662" s="3">
        <v>0.0</v>
      </c>
      <c r="D13662" s="3">
        <v>0.0</v>
      </c>
      <c r="E13662" s="3">
        <v>0.0</v>
      </c>
      <c r="F13662" s="3" t="s">
        <v>38771</v>
      </c>
      <c r="G13662" s="3">
        <v>0.3166666666666667</v>
      </c>
      <c r="H13662" s="3">
        <v>0.625</v>
      </c>
      <c r="I13662" s="3" t="s">
        <v>48</v>
      </c>
      <c r="J13662" s="3" t="s">
        <v>38772</v>
      </c>
      <c r="K13662" s="3" t="s">
        <v>11618</v>
      </c>
      <c r="L13662" s="3" t="str">
        <f>IFERROR(__xludf.DUMMYFUNCTION("GOOGLETRANSLATE(F13662,""id"",""en"")"),"Messi Emg The Best Bgt last year won this year to win even though EMG Argentina had previously been a world champion but First time he won the pildun this year holding the trial where he wanted to retire, his hard work paid off now now")</f>
        <v>Messi Emg The Best Bgt last year won this year to win even though EMG Argentina had previously been a world champion but First time he won the pildun this year holding the trial where he wanted to retire, his hard work paid off now now</v>
      </c>
    </row>
    <row r="13663" ht="15.75" customHeight="1">
      <c r="A13663" s="1">
        <v>15138.0</v>
      </c>
      <c r="B13663" s="3" t="s">
        <v>38773</v>
      </c>
      <c r="C13663" s="3">
        <v>0.0</v>
      </c>
      <c r="D13663" s="3">
        <v>0.0</v>
      </c>
      <c r="E13663" s="3">
        <v>0.0</v>
      </c>
      <c r="F13663" s="3" t="s">
        <v>38774</v>
      </c>
      <c r="G13663" s="3">
        <v>0.3166666666666667</v>
      </c>
      <c r="H13663" s="3">
        <v>0.1833333333333333</v>
      </c>
      <c r="I13663" s="3" t="s">
        <v>48</v>
      </c>
      <c r="J13663" s="3" t="s">
        <v>38775</v>
      </c>
      <c r="K13663" s="3" t="s">
        <v>1854</v>
      </c>
      <c r="L13663" s="3" t="str">
        <f>IFERROR(__xludf.DUMMYFUNCTION("GOOGLETRANSLATE(F13663,""id"",""en"")"),"Cool Playing Emg France Argentina made Dag Dug Dug Serr wkwk for the first time Argentina won haha ​​pdhl just followed this year Pilduun was immediately proud because the beginning of supporting it Argentina")</f>
        <v>Cool Playing Emg France Argentina made Dag Dug Dug Serr wkwk for the first time Argentina won haha ​​pdhl just followed this year Pilduun was immediately proud because the beginning of supporting it Argentina</v>
      </c>
    </row>
    <row r="13664" ht="15.75" customHeight="1">
      <c r="A13664" s="1">
        <v>15139.0</v>
      </c>
      <c r="B13664" s="3" t="s">
        <v>38776</v>
      </c>
      <c r="C13664" s="3">
        <v>10.0</v>
      </c>
      <c r="D13664" s="3">
        <v>0.0</v>
      </c>
      <c r="E13664" s="3">
        <v>41.0</v>
      </c>
      <c r="F13664" s="3" t="s">
        <v>38777</v>
      </c>
      <c r="G13664" s="3">
        <v>1.0</v>
      </c>
      <c r="H13664" s="3">
        <v>-0.5</v>
      </c>
      <c r="I13664" s="3" t="s">
        <v>179</v>
      </c>
      <c r="J13664" s="3" t="s">
        <v>38778</v>
      </c>
      <c r="K13664" s="3" t="s">
        <v>445</v>
      </c>
      <c r="L13664" s="3" t="str">
        <f>IFERROR(__xludf.DUMMYFUNCTION("GOOGLETRANSLATE(F13664,""id"",""en"")"),"Apasi, who was the match who was the opponent who I just came home, I don't know, I'm really sorry, I miss the news who won sorry, I didn't know what to do with Argentina")</f>
        <v>Apasi, who was the match who was the opponent who I just came home, I don't know, I'm really sorry, I miss the news who won sorry, I didn't know what to do with Argentina</v>
      </c>
    </row>
    <row r="13665" ht="15.75" customHeight="1">
      <c r="A13665" s="1">
        <v>15140.0</v>
      </c>
      <c r="B13665" s="3" t="s">
        <v>38779</v>
      </c>
      <c r="C13665" s="3">
        <v>0.0</v>
      </c>
      <c r="D13665" s="3">
        <v>0.0</v>
      </c>
      <c r="E13665" s="3">
        <v>0.0</v>
      </c>
      <c r="F13665" s="3" t="s">
        <v>38780</v>
      </c>
      <c r="G13665" s="3">
        <v>0.0</v>
      </c>
      <c r="H13665" s="3">
        <v>0.0</v>
      </c>
      <c r="I13665" s="3" t="s">
        <v>13</v>
      </c>
      <c r="J13665" s="3" t="s">
        <v>38781</v>
      </c>
      <c r="K13665" s="3" t="s">
        <v>236</v>
      </c>
      <c r="L13665" s="3" t="str">
        <f>IFERROR(__xludf.DUMMYFUNCTION("GOOGLETRANSLATE(F13665,""id"",""en"")"),"Argentina won the pildun jtek won the league.")</f>
        <v>Argentina won the pildun jtek won the league.</v>
      </c>
    </row>
    <row r="13666" ht="15.75" customHeight="1">
      <c r="A13666" s="1">
        <v>15141.0</v>
      </c>
      <c r="B13666" s="3" t="s">
        <v>38782</v>
      </c>
      <c r="C13666" s="3">
        <v>0.0</v>
      </c>
      <c r="D13666" s="3">
        <v>0.0</v>
      </c>
      <c r="E13666" s="3">
        <v>0.0</v>
      </c>
      <c r="F13666" s="3" t="s">
        <v>38783</v>
      </c>
      <c r="G13666" s="3">
        <v>0.4</v>
      </c>
      <c r="H13666" s="3">
        <v>0.2</v>
      </c>
      <c r="I13666" s="3" t="s">
        <v>48</v>
      </c>
      <c r="J13666" s="3" t="s">
        <v>38784</v>
      </c>
      <c r="K13666" s="3" t="s">
        <v>41</v>
      </c>
      <c r="L13666" s="3" t="str">
        <f>IFERROR(__xludf.DUMMYFUNCTION("GOOGLETRANSLATE(F13666,""id"",""en"")"),"From the beginning of the pildun, I was also optimistic that Argentina won Woooyy hahaha")</f>
        <v>From the beginning of the pildun, I was also optimistic that Argentina won Woooyy hahaha</v>
      </c>
    </row>
    <row r="13667" ht="15.75" customHeight="1">
      <c r="A13667" s="1">
        <v>15142.0</v>
      </c>
      <c r="B13667" s="3" t="s">
        <v>38785</v>
      </c>
      <c r="C13667" s="3">
        <v>0.0</v>
      </c>
      <c r="D13667" s="3">
        <v>0.0</v>
      </c>
      <c r="E13667" s="3">
        <v>0.0</v>
      </c>
      <c r="F13667" s="3" t="s">
        <v>38786</v>
      </c>
      <c r="G13667" s="3">
        <v>0.0</v>
      </c>
      <c r="H13667" s="3">
        <v>0.0</v>
      </c>
      <c r="I13667" s="3" t="s">
        <v>13</v>
      </c>
      <c r="J13667" s="3" t="s">
        <v>38787</v>
      </c>
      <c r="K13667" s="3" t="s">
        <v>205</v>
      </c>
      <c r="L13667" s="3" t="str">
        <f>IFERROR(__xludf.DUMMYFUNCTION("GOOGLETRANSLATE(F13667,""id"",""en"")"),"Really, I just sent this OTP code, I have already used the PILDUN, DAHHHH AGERTINA WINed FYI AJE I ALREADY KGK NEED ELU")</f>
        <v>Really, I just sent this OTP code, I have already used the PILDUN, DAHHHH AGERTINA WINed FYI AJE I ALREADY KGK NEED ELU</v>
      </c>
    </row>
    <row r="13668" ht="15.75" customHeight="1">
      <c r="A13668" s="1">
        <v>15143.0</v>
      </c>
      <c r="B13668" s="3" t="s">
        <v>38788</v>
      </c>
      <c r="C13668" s="3">
        <v>0.0</v>
      </c>
      <c r="D13668" s="3">
        <v>0.0</v>
      </c>
      <c r="E13668" s="3">
        <v>0.0</v>
      </c>
      <c r="F13668" s="3" t="s">
        <v>38789</v>
      </c>
      <c r="G13668" s="3">
        <v>0.0</v>
      </c>
      <c r="H13668" s="3">
        <v>0.0</v>
      </c>
      <c r="I13668" s="3" t="s">
        <v>13</v>
      </c>
      <c r="J13668" s="3" t="s">
        <v>38790</v>
      </c>
      <c r="K13668" s="3" t="s">
        <v>82</v>
      </c>
      <c r="L13668" s="3" t="str">
        <f>IFERROR(__xludf.DUMMYFUNCTION("GOOGLETRANSLATE(F13668,""id"",""en"")"),"Yedammmm Argentina won the Pilduun Dammm crying bgt")</f>
        <v>Yedammmm Argentina won the Pilduun Dammm crying bgt</v>
      </c>
    </row>
    <row r="13669" ht="15.75" customHeight="1">
      <c r="A13669" s="1">
        <v>15144.0</v>
      </c>
      <c r="B13669" s="3" t="s">
        <v>38791</v>
      </c>
      <c r="C13669" s="3">
        <v>0.0</v>
      </c>
      <c r="D13669" s="3">
        <v>0.0</v>
      </c>
      <c r="E13669" s="3">
        <v>1.0</v>
      </c>
      <c r="F13669" s="3" t="s">
        <v>38792</v>
      </c>
      <c r="G13669" s="3">
        <v>0.0</v>
      </c>
      <c r="H13669" s="3">
        <v>0.0</v>
      </c>
      <c r="I13669" s="3" t="s">
        <v>13</v>
      </c>
      <c r="J13669" s="3" t="s">
        <v>38793</v>
      </c>
      <c r="K13669" s="3" t="s">
        <v>41</v>
      </c>
      <c r="L13669" s="3" t="str">
        <f>IFERROR(__xludf.DUMMYFUNCTION("GOOGLETRANSLATE(F13669,""id"",""en"")"),"Still touched Messi managed to bring Argentina to win the Pilduun before he retired")</f>
        <v>Still touched Messi managed to bring Argentina to win the Pilduun before he retired</v>
      </c>
    </row>
    <row r="13670" ht="15.75" customHeight="1">
      <c r="A13670" s="1">
        <v>15145.0</v>
      </c>
      <c r="B13670" s="3" t="s">
        <v>38794</v>
      </c>
      <c r="C13670" s="3">
        <v>0.0</v>
      </c>
      <c r="D13670" s="3">
        <v>0.0</v>
      </c>
      <c r="E13670" s="3">
        <v>1.0</v>
      </c>
      <c r="F13670" s="3" t="s">
        <v>38795</v>
      </c>
      <c r="G13670" s="3">
        <v>0.0</v>
      </c>
      <c r="H13670" s="3">
        <v>0.0</v>
      </c>
      <c r="I13670" s="3" t="s">
        <v>13</v>
      </c>
      <c r="J13670" s="3" t="s">
        <v>38796</v>
      </c>
      <c r="K13670" s="3" t="s">
        <v>22524</v>
      </c>
      <c r="L13670" s="3" t="str">
        <f>IFERROR(__xludf.DUMMYFUNCTION("GOOGLETRANSLATE(F13670,""id"",""en"")"),"Argentina won Yedam again to believe in who Yedam watched Pilduun with who Yedam Kng Gasih watched the ball with Hyunsuk")</f>
        <v>Argentina won Yedam again to believe in who Yedam watched Pilduun with who Yedam Kng Gasih watched the ball with Hyunsuk</v>
      </c>
    </row>
    <row r="13671" ht="15.75" customHeight="1">
      <c r="A13671" s="1">
        <v>15146.0</v>
      </c>
      <c r="B13671" s="3" t="s">
        <v>38797</v>
      </c>
      <c r="C13671" s="3">
        <v>0.0</v>
      </c>
      <c r="D13671" s="3">
        <v>0.0</v>
      </c>
      <c r="E13671" s="3">
        <v>0.0</v>
      </c>
      <c r="F13671" s="3" t="s">
        <v>38798</v>
      </c>
      <c r="G13671" s="3">
        <v>0.0</v>
      </c>
      <c r="H13671" s="3">
        <v>0.0</v>
      </c>
      <c r="I13671" s="3" t="s">
        <v>13</v>
      </c>
      <c r="J13671" s="3" t="s">
        <v>38799</v>
      </c>
      <c r="K13671" s="3" t="s">
        <v>322</v>
      </c>
      <c r="L13671" s="3" t="str">
        <f>IFERROR(__xludf.DUMMYFUNCTION("GOOGLETRANSLATE(F13671,""id"",""en"")"),"Why does Argentina won Pilduun because Hitler died Argentina")</f>
        <v>Why does Argentina won Pilduun because Hitler died Argentina</v>
      </c>
    </row>
    <row r="13672" ht="15.75" customHeight="1">
      <c r="A13672" s="1">
        <v>15147.0</v>
      </c>
      <c r="B13672" s="3" t="s">
        <v>38800</v>
      </c>
      <c r="C13672" s="3">
        <v>0.0</v>
      </c>
      <c r="D13672" s="3">
        <v>0.0</v>
      </c>
      <c r="E13672" s="3">
        <v>0.0</v>
      </c>
      <c r="F13672" s="3" t="s">
        <v>38801</v>
      </c>
      <c r="G13672" s="3">
        <v>0.0</v>
      </c>
      <c r="H13672" s="3">
        <v>0.0</v>
      </c>
      <c r="I13672" s="3" t="s">
        <v>13</v>
      </c>
      <c r="J13672" s="3" t="s">
        <v>38802</v>
      </c>
      <c r="K13672" s="3" t="s">
        <v>75</v>
      </c>
      <c r="L13672" s="3" t="str">
        <f>IFERROR(__xludf.DUMMYFUNCTION("GOOGLETRANSLATE(F13672,""id"",""en"")"),"Years of Pilduun My father waiting for Argentina to win finally accomplished")</f>
        <v>Years of Pilduun My father waiting for Argentina to win finally accomplished</v>
      </c>
    </row>
    <row r="13673" ht="15.75" customHeight="1">
      <c r="A13673" s="1">
        <v>15148.0</v>
      </c>
      <c r="B13673" s="3" t="s">
        <v>38803</v>
      </c>
      <c r="C13673" s="3">
        <v>0.0</v>
      </c>
      <c r="D13673" s="3">
        <v>0.0</v>
      </c>
      <c r="E13673" s="3">
        <v>0.0</v>
      </c>
      <c r="F13673" s="3" t="s">
        <v>38804</v>
      </c>
      <c r="G13673" s="3">
        <v>0.0</v>
      </c>
      <c r="H13673" s="3">
        <v>0.0</v>
      </c>
      <c r="I13673" s="3" t="s">
        <v>13</v>
      </c>
      <c r="J13673" s="3" t="s">
        <v>38805</v>
      </c>
      <c r="K13673" s="3" t="s">
        <v>38806</v>
      </c>
      <c r="L13673" s="3" t="str">
        <f>IFERROR(__xludf.DUMMYFUNCTION("GOOGLETRANSLATE(F13673,""id"",""en"")"),"Alay really I cried to see Argen, how about the first time I saw the age of the age of Argentina and until now every league and every Pilduun I was absent to support them until now I am age and right today they won and today I have a birthday")</f>
        <v>Alay really I cried to see Argen, how about the first time I saw the age of the age of Argentina and until now every league and every Pilduun I was absent to support them until now I am age and right today they won and today I have a birthday</v>
      </c>
    </row>
    <row r="13674" ht="15.75" customHeight="1">
      <c r="A13674" s="1">
        <v>15149.0</v>
      </c>
      <c r="B13674" s="3" t="s">
        <v>38807</v>
      </c>
      <c r="C13674" s="3">
        <v>1.0</v>
      </c>
      <c r="D13674" s="3">
        <v>0.0</v>
      </c>
      <c r="E13674" s="3">
        <v>0.0</v>
      </c>
      <c r="F13674" s="3" t="s">
        <v>38808</v>
      </c>
      <c r="G13674" s="3">
        <v>0.0</v>
      </c>
      <c r="H13674" s="3">
        <v>0.0</v>
      </c>
      <c r="I13674" s="3" t="s">
        <v>13</v>
      </c>
      <c r="J13674" s="3" t="s">
        <v>38809</v>
      </c>
      <c r="K13674" s="3" t="s">
        <v>657</v>
      </c>
      <c r="L13674" s="3" t="str">
        <f>IFERROR(__xludf.DUMMYFUNCTION("GOOGLETRANSLATE(F13674,""id"",""en"")"),"Faaakkkkk remember the beginning of being bullied from Arabic and now won the Pilduun Anjg very proud of Vamos Argentina")</f>
        <v>Faaakkkkk remember the beginning of being bullied from Arabic and now won the Pilduun Anjg very proud of Vamos Argentina</v>
      </c>
    </row>
    <row r="13675" ht="15.75" customHeight="1">
      <c r="A13675" s="1">
        <v>15150.0</v>
      </c>
      <c r="B13675" s="3" t="s">
        <v>38810</v>
      </c>
      <c r="C13675" s="3">
        <v>0.0</v>
      </c>
      <c r="D13675" s="3">
        <v>0.0</v>
      </c>
      <c r="E13675" s="3">
        <v>1.0</v>
      </c>
      <c r="F13675" s="3" t="s">
        <v>38811</v>
      </c>
      <c r="G13675" s="3">
        <v>0.0</v>
      </c>
      <c r="H13675" s="3">
        <v>0.0</v>
      </c>
      <c r="I13675" s="3" t="s">
        <v>13</v>
      </c>
      <c r="J13675" s="3" t="s">
        <v>38812</v>
      </c>
      <c r="K13675" s="3" t="s">
        <v>58</v>
      </c>
      <c r="L13675" s="3" t="str">
        <f>IFERROR(__xludf.DUMMYFUNCTION("GOOGLETRANSLATE(F13675,""id"",""en"")"),"Winning Argentina Pilduun I even want the last concert Jin Argentina Huaaaa Kangen Seokjin")</f>
        <v>Winning Argentina Pilduun I even want the last concert Jin Argentina Huaaaa Kangen Seokjin</v>
      </c>
    </row>
    <row r="13676" ht="15.75" customHeight="1">
      <c r="A13676" s="1">
        <v>15151.0</v>
      </c>
      <c r="B13676" s="3" t="s">
        <v>38813</v>
      </c>
      <c r="C13676" s="3">
        <v>1.0</v>
      </c>
      <c r="D13676" s="3">
        <v>0.0</v>
      </c>
      <c r="E13676" s="3">
        <v>0.0</v>
      </c>
      <c r="F13676" s="3" t="s">
        <v>38814</v>
      </c>
      <c r="G13676" s="3">
        <v>1.0</v>
      </c>
      <c r="H13676" s="3">
        <v>0.0</v>
      </c>
      <c r="I13676" s="3" t="s">
        <v>13</v>
      </c>
      <c r="J13676" s="3" t="s">
        <v>38815</v>
      </c>
      <c r="K13676" s="3" t="s">
        <v>286</v>
      </c>
      <c r="L13676" s="3" t="str">
        <f>IFERROR(__xludf.DUMMYFUNCTION("GOOGLETRANSLATE(F13676,""id"",""en"")"),"not watching but I was happy to remember ever watching pildun forgot what year there was Argentina Final but was very sad because I used to like Messi Alhamdulillah now win")</f>
        <v>not watching but I was happy to remember ever watching pildun forgot what year there was Argentina Final but was very sad because I used to like Messi Alhamdulillah now win</v>
      </c>
    </row>
    <row r="13677" ht="15.75" customHeight="1">
      <c r="A13677" s="1">
        <v>15152.0</v>
      </c>
      <c r="B13677" s="3" t="s">
        <v>38816</v>
      </c>
      <c r="C13677" s="3">
        <v>0.0</v>
      </c>
      <c r="D13677" s="3">
        <v>0.0</v>
      </c>
      <c r="E13677" s="3">
        <v>0.0</v>
      </c>
      <c r="F13677" s="3" t="s">
        <v>38817</v>
      </c>
      <c r="G13677" s="3">
        <v>0.0</v>
      </c>
      <c r="H13677" s="3">
        <v>0.0</v>
      </c>
      <c r="I13677" s="3" t="s">
        <v>13</v>
      </c>
      <c r="J13677" s="3" t="s">
        <v>38818</v>
      </c>
      <c r="K13677" s="3" t="s">
        <v>266</v>
      </c>
      <c r="L13677" s="3" t="str">
        <f>IFERROR(__xludf.DUMMYFUNCTION("GOOGLETRANSLATE(F13677,""id"",""en"")"),"Finally Argentina guyssss finallyaaaaahhhhhhhhhhhhhhahahaha is very satisfied that the previous year's pilduun is Argentina failed to win from Germany and now Argentina managed")</f>
        <v>Finally Argentina guyssss finallyaaaaahhhhhhhhhhhhhhahahaha is very satisfied that the previous year's pilduun is Argentina failed to win from Germany and now Argentina managed</v>
      </c>
    </row>
    <row r="13678" ht="15.75" customHeight="1">
      <c r="A13678" s="1">
        <v>15153.0</v>
      </c>
      <c r="B13678" s="3" t="s">
        <v>38819</v>
      </c>
      <c r="C13678" s="3">
        <v>1.0</v>
      </c>
      <c r="D13678" s="3">
        <v>0.0</v>
      </c>
      <c r="E13678" s="3">
        <v>1.0</v>
      </c>
      <c r="F13678" s="3" t="s">
        <v>38820</v>
      </c>
      <c r="G13678" s="3">
        <v>0.0</v>
      </c>
      <c r="H13678" s="3">
        <v>0.0</v>
      </c>
      <c r="I13678" s="3" t="s">
        <v>13</v>
      </c>
      <c r="J13678" s="3" t="s">
        <v>38821</v>
      </c>
      <c r="K13678" s="3" t="s">
        <v>860</v>
      </c>
      <c r="L13678" s="3" t="str">
        <f>IFERROR(__xludf.DUMMYFUNCTION("GOOGLETRANSLATE(F13678,""id"",""en"")"),"Remember Rafathar said that Argentina will win and keep cipung taking the ball so at the beginning of the beginning of the Pildun to get France, what is Argentina.")</f>
        <v>Remember Rafathar said that Argentina will win and keep cipung taking the ball so at the beginning of the beginning of the Pildun to get France, what is Argentina.</v>
      </c>
    </row>
    <row r="13679" ht="15.75" customHeight="1">
      <c r="A13679" s="1">
        <v>15154.0</v>
      </c>
      <c r="B13679" s="3" t="s">
        <v>38822</v>
      </c>
      <c r="C13679" s="3">
        <v>1.0</v>
      </c>
      <c r="D13679" s="3">
        <v>0.0</v>
      </c>
      <c r="E13679" s="3">
        <v>1.0</v>
      </c>
      <c r="F13679" s="3" t="s">
        <v>38823</v>
      </c>
      <c r="G13679" s="3">
        <v>1.0</v>
      </c>
      <c r="H13679" s="3">
        <v>0.0</v>
      </c>
      <c r="I13679" s="3" t="s">
        <v>13</v>
      </c>
      <c r="J13679" s="3" t="s">
        <v>38824</v>
      </c>
      <c r="K13679" s="3" t="s">
        <v>71</v>
      </c>
      <c r="L13679" s="3" t="str">
        <f>IFERROR(__xludf.DUMMYFUNCTION("GOOGLETRANSLATE(F13679,""id"",""en"")"),"Thanks for accompanying watching pildun until the final same joined Argentina won loveyouuuuuuuuu httpxgae")</f>
        <v>Thanks for accompanying watching pildun until the final same joined Argentina won loveyouuuuuuuuu httpxgae</v>
      </c>
    </row>
    <row r="13680" ht="15.75" customHeight="1">
      <c r="A13680" s="1">
        <v>15155.0</v>
      </c>
      <c r="B13680" s="3" t="s">
        <v>38825</v>
      </c>
      <c r="C13680" s="3">
        <v>0.0</v>
      </c>
      <c r="D13680" s="3">
        <v>0.0</v>
      </c>
      <c r="E13680" s="3">
        <v>0.0</v>
      </c>
      <c r="F13680" s="3" t="s">
        <v>38826</v>
      </c>
      <c r="G13680" s="3">
        <v>0.0</v>
      </c>
      <c r="H13680" s="3">
        <v>0.0</v>
      </c>
      <c r="I13680" s="3" t="s">
        <v>13</v>
      </c>
      <c r="J13680" s="3" t="s">
        <v>38827</v>
      </c>
      <c r="K13680" s="3" t="s">
        <v>41</v>
      </c>
      <c r="L13680" s="3" t="str">
        <f>IFERROR(__xludf.DUMMYFUNCTION("GOOGLETRANSLATE(F13680,""id"",""en"")"),"Saudi Arabia should have won the pildun because I have defeated Argentina")</f>
        <v>Saudi Arabia should have won the pildun because I have defeated Argentina</v>
      </c>
    </row>
    <row r="13681" ht="15.75" customHeight="1">
      <c r="A13681" s="1">
        <v>15156.0</v>
      </c>
      <c r="B13681" s="3" t="s">
        <v>38828</v>
      </c>
      <c r="C13681" s="3">
        <v>0.0</v>
      </c>
      <c r="D13681" s="3">
        <v>0.0</v>
      </c>
      <c r="E13681" s="3">
        <v>0.0</v>
      </c>
      <c r="F13681" s="3" t="s">
        <v>38829</v>
      </c>
      <c r="G13681" s="3">
        <v>1.0</v>
      </c>
      <c r="H13681" s="3">
        <v>0.8</v>
      </c>
      <c r="I13681" s="3" t="s">
        <v>48</v>
      </c>
      <c r="J13681" s="3" t="s">
        <v>38830</v>
      </c>
      <c r="K13681" s="3" t="s">
        <v>1045</v>
      </c>
      <c r="L13681" s="3" t="str">
        <f>IFERROR(__xludf.DUMMYFUNCTION("GOOGLETRANSLATE(F13681,""id"",""en"")"),"From yesterday every day crying even before OTW watched Pildun earlier crying first but in the end it could be happy because Argentina won, hopefully Robby is always healthy and happy")</f>
        <v>From yesterday every day crying even before OTW watched Pildun earlier crying first but in the end it could be happy because Argentina won, hopefully Robby is always healthy and happy</v>
      </c>
    </row>
    <row r="13682" ht="15.75" customHeight="1">
      <c r="A13682" s="1">
        <v>15157.0</v>
      </c>
      <c r="B13682" s="3" t="s">
        <v>38831</v>
      </c>
      <c r="C13682" s="3">
        <v>1.0</v>
      </c>
      <c r="D13682" s="3">
        <v>0.0</v>
      </c>
      <c r="E13682" s="3">
        <v>0.0</v>
      </c>
      <c r="F13682" s="3" t="s">
        <v>38832</v>
      </c>
      <c r="G13682" s="3">
        <v>0.0</v>
      </c>
      <c r="H13682" s="3">
        <v>0.0</v>
      </c>
      <c r="I13682" s="3" t="s">
        <v>13</v>
      </c>
      <c r="J13682" s="3" t="s">
        <v>38833</v>
      </c>
      <c r="K13682" s="3" t="s">
        <v>139</v>
      </c>
      <c r="L13682" s="3" t="str">
        <f>IFERROR(__xludf.DUMMYFUNCTION("GOOGLETRANSLATE(F13682,""id"",""en"")"),"but can be this like that, the pildun is France, then I entered PSG when I was in PSG but forgot who and that country he won Pildun Trs Messi entered PSG now Argentina won Pilduun")</f>
        <v>but can be this like that, the pildun is France, then I entered PSG when I was in PSG but forgot who and that country he won Pildun Trs Messi entered PSG now Argentina won Pilduun</v>
      </c>
    </row>
    <row r="13683" ht="15.75" customHeight="1">
      <c r="A13683" s="1">
        <v>15158.0</v>
      </c>
      <c r="B13683" s="3" t="s">
        <v>38834</v>
      </c>
      <c r="C13683" s="3">
        <v>0.0</v>
      </c>
      <c r="D13683" s="3">
        <v>0.0</v>
      </c>
      <c r="E13683" s="3">
        <v>0.0</v>
      </c>
      <c r="F13683" s="3" t="s">
        <v>38835</v>
      </c>
      <c r="G13683" s="3">
        <v>0.3</v>
      </c>
      <c r="H13683" s="3">
        <v>0.2</v>
      </c>
      <c r="I13683" s="3" t="s">
        <v>48</v>
      </c>
      <c r="J13683" s="3" t="s">
        <v>38836</v>
      </c>
      <c r="K13683" s="3" t="s">
        <v>4784</v>
      </c>
      <c r="L13683" s="3" t="str">
        <f>IFERROR(__xludf.DUMMYFUNCTION("GOOGLETRANSLATE(F13683,""id"",""en"")"),"The first time I Pildun Argentina lost Arabic, I said my friend believed that this champion of this Pildun was Argentina, my friend said that I might have lost from the beginning, I wanted to win haha ​​and now the Argentina Champion")</f>
        <v>The first time I Pildun Argentina lost Arabic, I said my friend believed that this champion of this Pildun was Argentina, my friend said that I might have lost from the beginning, I wanted to win haha ​​and now the Argentina Champion</v>
      </c>
    </row>
    <row r="13684" ht="15.75" customHeight="1">
      <c r="A13684" s="1">
        <v>15159.0</v>
      </c>
      <c r="B13684" s="3" t="s">
        <v>38837</v>
      </c>
      <c r="C13684" s="3">
        <v>0.0</v>
      </c>
      <c r="D13684" s="3">
        <v>0.0</v>
      </c>
      <c r="E13684" s="3">
        <v>0.0</v>
      </c>
      <c r="F13684" s="3" t="s">
        <v>38838</v>
      </c>
      <c r="G13684" s="3">
        <v>0.0</v>
      </c>
      <c r="H13684" s="3">
        <v>0.0</v>
      </c>
      <c r="I13684" s="3" t="s">
        <v>13</v>
      </c>
      <c r="J13684" s="3" t="s">
        <v>38839</v>
      </c>
      <c r="K13684" s="3" t="s">
        <v>910</v>
      </c>
      <c r="L13684" s="3" t="str">
        <f>IFERROR(__xludf.DUMMYFUNCTION("GOOGLETRANSLATE(F13684,""id"",""en"")"),"Idly even though I asked a sister about who would win the Pilduun Said France but I was confident in answering Argentina Turns Out, I was really ready to be ready for me to be ready for me")</f>
        <v>Idly even though I asked a sister about who would win the Pilduun Said France but I was confident in answering Argentina Turns Out, I was really ready to be ready for me to be ready for me</v>
      </c>
    </row>
    <row r="13685" ht="15.75" customHeight="1">
      <c r="A13685" s="1">
        <v>15160.0</v>
      </c>
      <c r="B13685" s="3" t="s">
        <v>38840</v>
      </c>
      <c r="C13685" s="3">
        <v>0.0</v>
      </c>
      <c r="D13685" s="3">
        <v>0.0</v>
      </c>
      <c r="E13685" s="3">
        <v>0.0</v>
      </c>
      <c r="F13685" s="3" t="s">
        <v>38841</v>
      </c>
      <c r="G13685" s="3">
        <v>0.0</v>
      </c>
      <c r="H13685" s="3">
        <v>0.0</v>
      </c>
      <c r="I13685" s="3" t="s">
        <v>13</v>
      </c>
      <c r="J13685" s="3" t="s">
        <v>38842</v>
      </c>
      <c r="K13685" s="3" t="s">
        <v>273</v>
      </c>
      <c r="L13685" s="3" t="str">
        <f>IFERROR(__xludf.DUMMYFUNCTION("GOOGLETRANSLATE(F13685,""id"",""en"")"),"From after the evening, my head was really dizzy until I almost vomited the dizziness to do the latsol latsol, he was paid for the Argentina to win the ahahahah pildun very happy, thank you very much.")</f>
        <v>From after the evening, my head was really dizzy until I almost vomited the dizziness to do the latsol latsol, he was paid for the Argentina to win the ahahahah pildun very happy, thank you very much.</v>
      </c>
    </row>
    <row r="13686" ht="15.75" customHeight="1">
      <c r="A13686" s="1">
        <v>15161.0</v>
      </c>
      <c r="B13686" s="3" t="s">
        <v>38843</v>
      </c>
      <c r="C13686" s="3">
        <v>1.0</v>
      </c>
      <c r="D13686" s="3">
        <v>0.0</v>
      </c>
      <c r="E13686" s="3">
        <v>1.0</v>
      </c>
      <c r="F13686" s="3" t="s">
        <v>38844</v>
      </c>
      <c r="G13686" s="3">
        <v>0.0</v>
      </c>
      <c r="H13686" s="3">
        <v>0.0</v>
      </c>
      <c r="I13686" s="3" t="s">
        <v>13</v>
      </c>
      <c r="J13686" s="3" t="s">
        <v>38845</v>
      </c>
      <c r="K13686" s="3" t="s">
        <v>215</v>
      </c>
      <c r="L13686" s="3" t="str">
        <f>IFERROR(__xludf.DUMMYFUNCTION("GOOGLETRANSLATE(F13686,""id"",""en"")"),"Congrats Argentina, although the hero of Morocco lost to Croatia, still proudly MGKN France could win the superior player out of the injuries and looked superior to the great pildun this time held by France again")</f>
        <v>Congrats Argentina, although the hero of Morocco lost to Croatia, still proudly MGKN France could win the superior player out of the injuries and looked superior to the great pildun this time held by France again</v>
      </c>
    </row>
    <row r="13687" ht="15.75" customHeight="1">
      <c r="A13687" s="1">
        <v>15162.0</v>
      </c>
      <c r="B13687" s="3" t="s">
        <v>38846</v>
      </c>
      <c r="C13687" s="3">
        <v>0.0</v>
      </c>
      <c r="D13687" s="3">
        <v>0.0</v>
      </c>
      <c r="E13687" s="3">
        <v>0.0</v>
      </c>
      <c r="F13687" s="3" t="s">
        <v>38847</v>
      </c>
      <c r="G13687" s="3">
        <v>0.0</v>
      </c>
      <c r="H13687" s="3">
        <v>0.0</v>
      </c>
      <c r="I13687" s="3" t="s">
        <v>13</v>
      </c>
      <c r="J13687" s="3" t="s">
        <v>38848</v>
      </c>
      <c r="K13687" s="3" t="s">
        <v>41</v>
      </c>
      <c r="L13687" s="3" t="str">
        <f>IFERROR(__xludf.DUMMYFUNCTION("GOOGLETRANSLATE(F13687,""id"",""en"")"),"I see there is a tweet for the lame of Argentina to win which pildun")</f>
        <v>I see there is a tweet for the lame of Argentina to win which pildun</v>
      </c>
    </row>
    <row r="13688" ht="15.75" customHeight="1">
      <c r="A13688" s="1">
        <v>15163.0</v>
      </c>
      <c r="B13688" s="3" t="s">
        <v>38849</v>
      </c>
      <c r="C13688" s="3">
        <v>0.0</v>
      </c>
      <c r="D13688" s="3">
        <v>0.0</v>
      </c>
      <c r="E13688" s="3">
        <v>1.0</v>
      </c>
      <c r="F13688" s="3" t="s">
        <v>38850</v>
      </c>
      <c r="G13688" s="3">
        <v>0.75</v>
      </c>
      <c r="H13688" s="3">
        <v>0.0</v>
      </c>
      <c r="I13688" s="3" t="s">
        <v>13</v>
      </c>
      <c r="J13688" s="3" t="s">
        <v>38851</v>
      </c>
      <c r="K13688" s="3" t="s">
        <v>765</v>
      </c>
      <c r="L13688" s="3" t="str">
        <f>IFERROR(__xludf.DUMMYFUNCTION("GOOGLETRANSLATE(F13688,""id"",""en"")"),"The objective results I think with a penalty shootout is a conspiracy theory that FIFA helps Argentina Pildun Qatar Bravo Argentina Bravo Messi you deserve to win happily at this time as an observer you fail miserably")</f>
        <v>The objective results I think with a penalty shootout is a conspiracy theory that FIFA helps Argentina Pildun Qatar Bravo Argentina Bravo Messi you deserve to win happily at this time as an observer you fail miserably</v>
      </c>
    </row>
    <row r="13689" ht="15.75" customHeight="1">
      <c r="A13689" s="1">
        <v>15164.0</v>
      </c>
      <c r="B13689" s="3" t="s">
        <v>38852</v>
      </c>
      <c r="C13689" s="3">
        <v>0.0</v>
      </c>
      <c r="D13689" s="3">
        <v>0.0</v>
      </c>
      <c r="E13689" s="3">
        <v>0.0</v>
      </c>
      <c r="F13689" s="3" t="s">
        <v>38853</v>
      </c>
      <c r="G13689" s="3">
        <v>0.6</v>
      </c>
      <c r="H13689" s="3">
        <v>0.5</v>
      </c>
      <c r="I13689" s="3" t="s">
        <v>48</v>
      </c>
      <c r="J13689" s="3" t="s">
        <v>38854</v>
      </c>
      <c r="K13689" s="3" t="s">
        <v>495</v>
      </c>
      <c r="L13689" s="3" t="str">
        <f>IFERROR(__xludf.DUMMYFUNCTION("GOOGLETRANSLATE(F13689,""id"",""en"")"),"the effect of watching pildun night stomach dagg dug dug sia no wins guysss arrgentina love youu pull")</f>
        <v>the effect of watching pildun night stomach dagg dug dug sia no wins guysss arrgentina love youu pull</v>
      </c>
    </row>
    <row r="13690" ht="15.75" customHeight="1">
      <c r="A13690" s="1">
        <v>15165.0</v>
      </c>
      <c r="B13690" s="3" t="s">
        <v>38855</v>
      </c>
      <c r="C13690" s="3">
        <v>0.0</v>
      </c>
      <c r="D13690" s="3">
        <v>0.0</v>
      </c>
      <c r="E13690" s="3">
        <v>0.0</v>
      </c>
      <c r="F13690" s="3" t="s">
        <v>38856</v>
      </c>
      <c r="G13690" s="3">
        <v>0.0</v>
      </c>
      <c r="H13690" s="3">
        <v>0.0</v>
      </c>
      <c r="I13690" s="3" t="s">
        <v>13</v>
      </c>
      <c r="J13690" s="3" t="s">
        <v>38857</v>
      </c>
      <c r="K13690" s="3" t="s">
        <v>54</v>
      </c>
      <c r="L13690" s="3" t="str">
        <f>IFERROR(__xludf.DUMMYFUNCTION("GOOGLETRANSLATE(F13690,""id"",""en"")"),"Argentina won Pilduun and CPT back")</f>
        <v>Argentina won Pilduun and CPT back</v>
      </c>
    </row>
    <row r="13691" ht="15.75" customHeight="1">
      <c r="A13691" s="1">
        <v>15166.0</v>
      </c>
      <c r="B13691" s="3" t="s">
        <v>38858</v>
      </c>
      <c r="C13691" s="3">
        <v>0.0</v>
      </c>
      <c r="D13691" s="3">
        <v>0.0</v>
      </c>
      <c r="E13691" s="3">
        <v>0.0</v>
      </c>
      <c r="F13691" s="3" t="s">
        <v>38859</v>
      </c>
      <c r="G13691" s="3">
        <v>0.0</v>
      </c>
      <c r="H13691" s="3">
        <v>0.0</v>
      </c>
      <c r="I13691" s="3" t="s">
        <v>13</v>
      </c>
      <c r="J13691" s="3" t="s">
        <v>38860</v>
      </c>
      <c r="K13691" s="3" t="s">
        <v>322</v>
      </c>
      <c r="L13691" s="3" t="str">
        <f>IFERROR(__xludf.DUMMYFUNCTION("GOOGLETRANSLATE(F13691,""id"",""en"")"),"Argentina won my piledun who didn't watch pildun")</f>
        <v>Argentina won my piledun who didn't watch pildun</v>
      </c>
    </row>
    <row r="13692" ht="15.75" customHeight="1">
      <c r="A13692" s="1">
        <v>15167.0</v>
      </c>
      <c r="B13692" s="3" t="s">
        <v>38861</v>
      </c>
      <c r="C13692" s="3">
        <v>0.0</v>
      </c>
      <c r="D13692" s="3">
        <v>0.0</v>
      </c>
      <c r="E13692" s="3">
        <v>0.0</v>
      </c>
      <c r="F13692" s="3" t="s">
        <v>38862</v>
      </c>
      <c r="G13692" s="3">
        <v>1.0</v>
      </c>
      <c r="H13692" s="3">
        <v>0.0</v>
      </c>
      <c r="I13692" s="3" t="s">
        <v>13</v>
      </c>
      <c r="J13692" s="3" t="s">
        <v>38863</v>
      </c>
      <c r="K13692" s="3" t="s">
        <v>499</v>
      </c>
      <c r="L13692" s="3" t="str">
        <f>IFERROR(__xludf.DUMMYFUNCTION("GOOGLETRANSLATE(F13692,""id"",""en"")"),"Watching Pildun from Group Stags to Final Kek Crazy I am very proud I Argentina won finally after the last era of Legend The Hand God Maradona")</f>
        <v>Watching Pildun from Group Stags to Final Kek Crazy I am very proud I Argentina won finally after the last era of Legend The Hand God Maradona</v>
      </c>
    </row>
    <row r="13693" ht="15.75" customHeight="1">
      <c r="A13693" s="1">
        <v>15168.0</v>
      </c>
      <c r="B13693" s="3" t="s">
        <v>38864</v>
      </c>
      <c r="C13693" s="3">
        <v>0.0</v>
      </c>
      <c r="D13693" s="3">
        <v>0.0</v>
      </c>
      <c r="E13693" s="3">
        <v>0.0</v>
      </c>
      <c r="F13693" s="3" t="s">
        <v>38865</v>
      </c>
      <c r="G13693" s="3">
        <v>0.0</v>
      </c>
      <c r="H13693" s="3">
        <v>0.0</v>
      </c>
      <c r="I13693" s="3" t="s">
        <v>13</v>
      </c>
      <c r="J13693" s="3" t="s">
        <v>38866</v>
      </c>
      <c r="K13693" s="3" t="s">
        <v>82</v>
      </c>
      <c r="L13693" s="3" t="str">
        <f>IFERROR(__xludf.DUMMYFUNCTION("GOOGLETRANSLATE(F13693,""id"",""en"")"),"Dam Argentina won, after watching her child and her child")</f>
        <v>Dam Argentina won, after watching her child and her child</v>
      </c>
    </row>
    <row r="13694" ht="15.75" customHeight="1">
      <c r="A13694" s="1">
        <v>15169.0</v>
      </c>
      <c r="B13694" s="3" t="s">
        <v>38867</v>
      </c>
      <c r="C13694" s="3">
        <v>3.0</v>
      </c>
      <c r="D13694" s="3">
        <v>1.0</v>
      </c>
      <c r="E13694" s="3">
        <v>1.0</v>
      </c>
      <c r="F13694" s="3" t="s">
        <v>38867</v>
      </c>
      <c r="G13694" s="3">
        <v>0.0</v>
      </c>
      <c r="H13694" s="3">
        <v>0.0</v>
      </c>
      <c r="I13694" s="3" t="s">
        <v>13</v>
      </c>
      <c r="J13694" s="3" t="s">
        <v>38868</v>
      </c>
      <c r="K13694" s="3" t="s">
        <v>1265</v>
      </c>
      <c r="L13694" s="3" t="str">
        <f>IFERROR(__xludf.DUMMYFUNCTION("GOOGLETRANSLATE(F13694,""id"",""en"")"),"The Argentine version of Enzo has already won the Chinese version of Enzo's pildun")</f>
        <v>The Argentine version of Enzo has already won the Chinese version of Enzo's pildun</v>
      </c>
    </row>
    <row r="13695" ht="15.75" customHeight="1">
      <c r="A13695" s="1">
        <v>15170.0</v>
      </c>
      <c r="B13695" s="3" t="s">
        <v>38869</v>
      </c>
      <c r="C13695" s="3">
        <v>1.0</v>
      </c>
      <c r="D13695" s="3">
        <v>0.0</v>
      </c>
      <c r="E13695" s="3">
        <v>0.0</v>
      </c>
      <c r="F13695" s="3" t="s">
        <v>38870</v>
      </c>
      <c r="G13695" s="3">
        <v>0.575</v>
      </c>
      <c r="H13695" s="3">
        <v>0.45</v>
      </c>
      <c r="I13695" s="3" t="s">
        <v>48</v>
      </c>
      <c r="J13695" s="3" t="s">
        <v>38871</v>
      </c>
      <c r="K13695" s="3" t="s">
        <v>2610</v>
      </c>
      <c r="L13695" s="3" t="str">
        <f>IFERROR(__xludf.DUMMYFUNCTION("GOOGLETRANSLATE(F13695,""id"",""en"")"),"I know Messi really brought Argentina to win the Pilduun What Great Time Alive Bodo was very said to be a seasonal ball fan that was very important, that's all.")</f>
        <v>I know Messi really brought Argentina to win the Pilduun What Great Time Alive Bodo was very said to be a seasonal ball fan that was very important, that's all.</v>
      </c>
    </row>
    <row r="13696" ht="15.75" customHeight="1">
      <c r="A13696" s="1">
        <v>15171.0</v>
      </c>
      <c r="B13696" s="3" t="s">
        <v>38872</v>
      </c>
      <c r="C13696" s="3">
        <v>1.0</v>
      </c>
      <c r="D13696" s="3">
        <v>0.0</v>
      </c>
      <c r="E13696" s="3">
        <v>0.0</v>
      </c>
      <c r="F13696" s="3" t="s">
        <v>38873</v>
      </c>
      <c r="G13696" s="3">
        <v>0.4</v>
      </c>
      <c r="H13696" s="3">
        <v>0.1</v>
      </c>
      <c r="I13696" s="3" t="s">
        <v>48</v>
      </c>
      <c r="J13696" s="3" t="s">
        <v>38874</v>
      </c>
      <c r="K13696" s="3" t="s">
        <v>456</v>
      </c>
      <c r="L13696" s="3" t="str">
        <f>IFERROR(__xludf.DUMMYFUNCTION("GOOGLETRANSLATE(F13696,""id"",""en"")"),"Pilduun Qatar is just the most epic Argentina loses to KSA, the first half, they will be ashamed if they are lacklustering the first half of France wins and the penalty is still keukeuh mbappe goals respectively")</f>
        <v>Pilduun Qatar is just the most epic Argentina loses to KSA, the first half, they will be ashamed if they are lacklustering the first half of France wins and the penalty is still keukeuh mbappe goals respectively</v>
      </c>
    </row>
    <row r="13697" ht="15.75" customHeight="1">
      <c r="A13697" s="1">
        <v>15172.0</v>
      </c>
      <c r="B13697" s="3" t="s">
        <v>38875</v>
      </c>
      <c r="C13697" s="3">
        <v>0.0</v>
      </c>
      <c r="D13697" s="3">
        <v>0.0</v>
      </c>
      <c r="E13697" s="3">
        <v>0.0</v>
      </c>
      <c r="F13697" s="3" t="s">
        <v>38876</v>
      </c>
      <c r="G13697" s="3">
        <v>0.0</v>
      </c>
      <c r="H13697" s="3">
        <v>0.0</v>
      </c>
      <c r="I13697" s="3" t="s">
        <v>13</v>
      </c>
      <c r="J13697" s="3" t="s">
        <v>38877</v>
      </c>
      <c r="K13697" s="3" t="s">
        <v>477</v>
      </c>
      <c r="L13697" s="3" t="str">
        <f>IFERROR(__xludf.DUMMYFUNCTION("GOOGLETRANSLATE(F13697,""id"",""en"")"),"Argentina won Piludun but your heart was the winner because you were Nnattawin")</f>
        <v>Argentina won Piludun but your heart was the winner because you were Nnattawin</v>
      </c>
    </row>
    <row r="13698" ht="15.75" customHeight="1">
      <c r="A13698" s="1">
        <v>15173.0</v>
      </c>
      <c r="B13698" s="3" t="s">
        <v>38878</v>
      </c>
      <c r="C13698" s="3">
        <v>0.0</v>
      </c>
      <c r="D13698" s="3">
        <v>0.0</v>
      </c>
      <c r="E13698" s="3">
        <v>0.0</v>
      </c>
      <c r="F13698" s="3" t="s">
        <v>38879</v>
      </c>
      <c r="G13698" s="3">
        <v>0.0</v>
      </c>
      <c r="H13698" s="3">
        <v>0.0</v>
      </c>
      <c r="I13698" s="3" t="s">
        <v>13</v>
      </c>
      <c r="J13698" s="3" t="s">
        <v>38880</v>
      </c>
      <c r="K13698" s="3" t="s">
        <v>41</v>
      </c>
      <c r="L13698" s="3" t="str">
        <f>IFERROR(__xludf.DUMMYFUNCTION("GOOGLETRANSLATE(F13698,""id"",""en"")"),"faaaakkkk after it was hit but Argentina won the pildun confused about wanting to cry")</f>
        <v>faaaakkkk after it was hit but Argentina won the pildun confused about wanting to cry</v>
      </c>
    </row>
    <row r="13699" ht="15.75" customHeight="1">
      <c r="A13699" s="1">
        <v>15174.0</v>
      </c>
      <c r="B13699" s="3" t="s">
        <v>38881</v>
      </c>
      <c r="C13699" s="3">
        <v>0.0</v>
      </c>
      <c r="D13699" s="3">
        <v>0.0</v>
      </c>
      <c r="E13699" s="3">
        <v>0.0</v>
      </c>
      <c r="F13699" s="3" t="s">
        <v>38882</v>
      </c>
      <c r="G13699" s="3">
        <v>0.0</v>
      </c>
      <c r="H13699" s="3">
        <v>0.0</v>
      </c>
      <c r="I13699" s="3" t="s">
        <v>13</v>
      </c>
      <c r="J13699" s="3" t="s">
        <v>38883</v>
      </c>
      <c r="K13699" s="3" t="s">
        <v>50</v>
      </c>
      <c r="L13699" s="3" t="str">
        <f>IFERROR(__xludf.DUMMYFUNCTION("GOOGLETRANSLATE(F13699,""id"",""en"")"),"All this madness my father must be happy now now the Argentina's favorite team wins Pildun")</f>
        <v>All this madness my father must be happy now now the Argentina's favorite team wins Pildun</v>
      </c>
    </row>
    <row r="13700" ht="15.75" customHeight="1">
      <c r="A13700" s="1">
        <v>15175.0</v>
      </c>
      <c r="B13700" s="3" t="s">
        <v>38884</v>
      </c>
      <c r="C13700" s="3">
        <v>0.0</v>
      </c>
      <c r="D13700" s="3">
        <v>0.0</v>
      </c>
      <c r="E13700" s="3">
        <v>0.0</v>
      </c>
      <c r="F13700" s="3" t="s">
        <v>38885</v>
      </c>
      <c r="G13700" s="3">
        <v>0.0</v>
      </c>
      <c r="H13700" s="3">
        <v>0.0</v>
      </c>
      <c r="I13700" s="3" t="s">
        <v>13</v>
      </c>
      <c r="J13700" s="3" t="s">
        <v>38886</v>
      </c>
      <c r="K13700" s="3" t="s">
        <v>1699</v>
      </c>
      <c r="L13700" s="3" t="str">
        <f>IFERROR(__xludf.DUMMYFUNCTION("GOOGLETRANSLATE(F13700,""id"",""en"")"),"LIKA LIKU PILDUN Father Supports Brazil Mother Supports Argentina, surely there will be a sister supporting Portugal and loyal to Spain, it is really Argentina to win thanks to your prayer")</f>
        <v>LIKA LIKU PILDUN Father Supports Brazil Mother Supports Argentina, surely there will be a sister supporting Portugal and loyal to Spain, it is really Argentina to win thanks to your prayer</v>
      </c>
    </row>
    <row r="13701" ht="15.75" customHeight="1">
      <c r="A13701" s="1">
        <v>15176.0</v>
      </c>
      <c r="B13701" s="3" t="s">
        <v>38887</v>
      </c>
      <c r="C13701" s="3">
        <v>0.0</v>
      </c>
      <c r="D13701" s="3">
        <v>0.0</v>
      </c>
      <c r="E13701" s="3">
        <v>0.0</v>
      </c>
      <c r="F13701" s="3" t="s">
        <v>38888</v>
      </c>
      <c r="G13701" s="3">
        <v>0.0</v>
      </c>
      <c r="H13701" s="3">
        <v>0.0</v>
      </c>
      <c r="I13701" s="3" t="s">
        <v>13</v>
      </c>
      <c r="J13701" s="3" t="s">
        <v>38889</v>
      </c>
      <c r="K13701" s="3" t="s">
        <v>82</v>
      </c>
      <c r="L13701" s="3" t="str">
        <f>IFERROR(__xludf.DUMMYFUNCTION("GOOGLETRANSLATE(F13701,""id"",""en"")"),"Waiting Cave from finally seeing Argentina winning PILDUN")</f>
        <v>Waiting Cave from finally seeing Argentina winning PILDUN</v>
      </c>
    </row>
    <row r="13702" ht="15.75" customHeight="1">
      <c r="A13702" s="1">
        <v>15177.0</v>
      </c>
      <c r="B13702" s="3" t="s">
        <v>38890</v>
      </c>
      <c r="C13702" s="3">
        <v>0.0</v>
      </c>
      <c r="D13702" s="3">
        <v>0.0</v>
      </c>
      <c r="E13702" s="3">
        <v>0.0</v>
      </c>
      <c r="F13702" s="3" t="s">
        <v>38891</v>
      </c>
      <c r="G13702" s="3">
        <v>0.0</v>
      </c>
      <c r="H13702" s="3">
        <v>0.0</v>
      </c>
      <c r="I13702" s="3" t="s">
        <v>13</v>
      </c>
      <c r="J13702" s="3" t="s">
        <v>38892</v>
      </c>
      <c r="K13702" s="3" t="s">
        <v>50</v>
      </c>
      <c r="L13702" s="3" t="str">
        <f>IFERROR(__xludf.DUMMYFUNCTION("GOOGLETRANSLATE(F13702,""id"",""en"")"),"After Messi Argentina will have won the Pilduun again a racist country supports a lot of strange support")</f>
        <v>After Messi Argentina will have won the Pilduun again a racist country supports a lot of strange support</v>
      </c>
    </row>
    <row r="13703" ht="15.75" customHeight="1">
      <c r="A13703" s="1">
        <v>15178.0</v>
      </c>
      <c r="B13703" s="3" t="s">
        <v>38893</v>
      </c>
      <c r="C13703" s="3">
        <v>1.0</v>
      </c>
      <c r="D13703" s="3">
        <v>0.0</v>
      </c>
      <c r="E13703" s="3">
        <v>1.0</v>
      </c>
      <c r="F13703" s="3" t="s">
        <v>38894</v>
      </c>
      <c r="G13703" s="3">
        <v>0.0</v>
      </c>
      <c r="H13703" s="3">
        <v>0.0</v>
      </c>
      <c r="I13703" s="3" t="s">
        <v>13</v>
      </c>
      <c r="J13703" s="3" t="s">
        <v>38895</v>
      </c>
      <c r="K13703" s="3" t="s">
        <v>192</v>
      </c>
      <c r="L13703" s="3" t="str">
        <f>IFERROR(__xludf.DUMMYFUNCTION("GOOGLETRANSLATE(F13703,""id"",""en"")"),"It's not a gamau Messi to win the pildun, just trying to objectively according to Argentina, the game is very gabagus, if you talk, it worthy of me to close her career with the World Cup Once Again Congratulations Goat")</f>
        <v>It's not a gamau Messi to win the pildun, just trying to objectively according to Argentina, the game is very gabagus, if you talk, it worthy of me to close her career with the World Cup Once Again Congratulations Goat</v>
      </c>
    </row>
    <row r="13704" ht="15.75" customHeight="1">
      <c r="A13704" s="1">
        <v>15179.0</v>
      </c>
      <c r="B13704" s="3" t="s">
        <v>38896</v>
      </c>
      <c r="C13704" s="3">
        <v>0.0</v>
      </c>
      <c r="D13704" s="3">
        <v>0.0</v>
      </c>
      <c r="E13704" s="3">
        <v>0.0</v>
      </c>
      <c r="F13704" s="3" t="s">
        <v>38897</v>
      </c>
      <c r="G13704" s="3">
        <v>0.0</v>
      </c>
      <c r="H13704" s="3">
        <v>0.0</v>
      </c>
      <c r="I13704" s="3" t="s">
        <v>13</v>
      </c>
      <c r="J13704" s="3" t="s">
        <v>38898</v>
      </c>
      <c r="K13704" s="3" t="s">
        <v>215</v>
      </c>
      <c r="L13704" s="3" t="str">
        <f>IFERROR(__xludf.DUMMYFUNCTION("GOOGLETRANSLATE(F13704,""id"",""en"")"),"from the beginning of the pildun, I was invited to guess my college friends because Italy entered usually the jagoin Italy became a feeling of Feeling Argentina.")</f>
        <v>from the beginning of the pildun, I was invited to guess my college friends because Italy entered usually the jagoin Italy became a feeling of Feeling Argentina.</v>
      </c>
    </row>
    <row r="13705" ht="15.75" customHeight="1">
      <c r="A13705" s="1">
        <v>15180.0</v>
      </c>
      <c r="B13705" s="3" t="s">
        <v>38899</v>
      </c>
      <c r="C13705" s="3">
        <v>0.0</v>
      </c>
      <c r="D13705" s="3">
        <v>0.0</v>
      </c>
      <c r="E13705" s="3">
        <v>0.0</v>
      </c>
      <c r="F13705" s="3" t="s">
        <v>38900</v>
      </c>
      <c r="G13705" s="3">
        <v>0.0</v>
      </c>
      <c r="H13705" s="3">
        <v>0.0</v>
      </c>
      <c r="I13705" s="3" t="s">
        <v>13</v>
      </c>
      <c r="J13705" s="3" t="s">
        <v>38901</v>
      </c>
      <c r="K13705" s="3" t="s">
        <v>75</v>
      </c>
      <c r="L13705" s="3" t="str">
        <f>IFERROR(__xludf.DUMMYFUNCTION("GOOGLETRANSLATE(F13705,""id"",""en"")"),"Argentina Rejeki State Crisis Winning Piludun whether they celebrate or remain the president's demonstration wkwk")</f>
        <v>Argentina Rejeki State Crisis Winning Piludun whether they celebrate or remain the president's demonstration wkwk</v>
      </c>
    </row>
    <row r="13706" ht="15.75" customHeight="1">
      <c r="A13706" s="1">
        <v>15181.0</v>
      </c>
      <c r="B13706" s="3" t="s">
        <v>38902</v>
      </c>
      <c r="C13706" s="3">
        <v>0.0</v>
      </c>
      <c r="D13706" s="3">
        <v>0.0</v>
      </c>
      <c r="E13706" s="3">
        <v>0.0</v>
      </c>
      <c r="F13706" s="3" t="s">
        <v>38903</v>
      </c>
      <c r="G13706" s="3">
        <v>0.0</v>
      </c>
      <c r="H13706" s="3">
        <v>0.0</v>
      </c>
      <c r="I13706" s="3" t="s">
        <v>13</v>
      </c>
      <c r="J13706" s="3" t="s">
        <v>38904</v>
      </c>
      <c r="K13706" s="3" t="s">
        <v>1518</v>
      </c>
      <c r="L13706" s="3" t="str">
        <f>IFERROR(__xludf.DUMMYFUNCTION("GOOGLETRANSLATE(F13706,""id"",""en"")"),"For what sake Argentina won Pinalty Wohoo's shooting time was the time for Messi to retire GPP Mbappe Team you have already lifted the struggle trophy still long next pildun")</f>
        <v>For what sake Argentina won Pinalty Wohoo's shooting time was the time for Messi to retire GPP Mbappe Team you have already lifted the struggle trophy still long next pildun</v>
      </c>
    </row>
    <row r="13707" ht="15.75" customHeight="1">
      <c r="A13707" s="1">
        <v>15182.0</v>
      </c>
      <c r="B13707" s="3" t="s">
        <v>38905</v>
      </c>
      <c r="C13707" s="3">
        <v>0.0</v>
      </c>
      <c r="D13707" s="3">
        <v>0.0</v>
      </c>
      <c r="E13707" s="3">
        <v>0.0</v>
      </c>
      <c r="F13707" s="3" t="s">
        <v>38906</v>
      </c>
      <c r="G13707" s="3">
        <v>1.0</v>
      </c>
      <c r="H13707" s="3">
        <v>0.0</v>
      </c>
      <c r="I13707" s="3" t="s">
        <v>13</v>
      </c>
      <c r="J13707" s="3" t="s">
        <v>38907</v>
      </c>
      <c r="K13707" s="3" t="s">
        <v>437</v>
      </c>
      <c r="L13707" s="3" t="str">
        <f>IFERROR(__xludf.DUMMYFUNCTION("GOOGLETRANSLATE(F13707,""id"",""en"")"),"Because it's already predicted that Argentina wins so it is very bland Argentina's victory but this final is really exciting")</f>
        <v>Because it's already predicted that Argentina wins so it is very bland Argentina's victory but this final is really exciting</v>
      </c>
    </row>
    <row r="13708" ht="15.75" customHeight="1">
      <c r="A13708" s="1">
        <v>15183.0</v>
      </c>
      <c r="B13708" s="3" t="s">
        <v>38908</v>
      </c>
      <c r="C13708" s="3">
        <v>0.0</v>
      </c>
      <c r="D13708" s="3">
        <v>0.0</v>
      </c>
      <c r="E13708" s="3">
        <v>0.0</v>
      </c>
      <c r="F13708" s="3" t="s">
        <v>38909</v>
      </c>
      <c r="G13708" s="3">
        <v>0.0</v>
      </c>
      <c r="H13708" s="3">
        <v>0.0</v>
      </c>
      <c r="I13708" s="3" t="s">
        <v>13</v>
      </c>
      <c r="J13708" s="3" t="s">
        <v>38910</v>
      </c>
      <c r="K13708" s="3" t="s">
        <v>127</v>
      </c>
      <c r="L13708" s="3" t="str">
        <f>IFERROR(__xludf.DUMMYFUNCTION("GOOGLETRANSLATE(F13708,""id"",""en"")"),"Anjir I was that Argentina won because of the pildun then see Messi gloomy because I just got a runner it feels like it is really bad")</f>
        <v>Anjir I was that Argentina won because of the pildun then see Messi gloomy because I just got a runner it feels like it is really bad</v>
      </c>
    </row>
    <row r="13709" ht="15.75" customHeight="1">
      <c r="A13709" s="1">
        <v>15184.0</v>
      </c>
      <c r="B13709" s="3" t="s">
        <v>38911</v>
      </c>
      <c r="C13709" s="3">
        <v>1.0</v>
      </c>
      <c r="D13709" s="3">
        <v>0.0</v>
      </c>
      <c r="E13709" s="3">
        <v>0.0</v>
      </c>
      <c r="F13709" s="3" t="s">
        <v>38912</v>
      </c>
      <c r="G13709" s="3">
        <v>0.4166666666666666</v>
      </c>
      <c r="H13709" s="3">
        <v>0.2916666666666667</v>
      </c>
      <c r="I13709" s="3" t="s">
        <v>48</v>
      </c>
      <c r="J13709" s="3" t="s">
        <v>38913</v>
      </c>
      <c r="K13709" s="3" t="s">
        <v>1518</v>
      </c>
      <c r="L13709" s="3" t="str">
        <f>IFERROR(__xludf.DUMMYFUNCTION("GOOGLETRANSLATE(F13709,""id"",""en"")"),"Fine's name is also the match there is a win and losing France and lifted the Cup KMRN it's time for Argentina now anymore, you will not play PILDUN, so you're aokwkwkwk")</f>
        <v>Fine's name is also the match there is a win and losing France and lifted the Cup KMRN it's time for Argentina now anymore, you will not play PILDUN, so you're aokwkwkwk</v>
      </c>
    </row>
    <row r="13710" ht="15.75" customHeight="1">
      <c r="A13710" s="1">
        <v>15185.0</v>
      </c>
      <c r="B13710" s="3" t="s">
        <v>38914</v>
      </c>
      <c r="C13710" s="3">
        <v>0.0</v>
      </c>
      <c r="D13710" s="3">
        <v>1.0</v>
      </c>
      <c r="E13710" s="3">
        <v>1.0</v>
      </c>
      <c r="F13710" s="3" t="s">
        <v>38915</v>
      </c>
      <c r="G13710" s="3">
        <v>1.0</v>
      </c>
      <c r="H13710" s="3">
        <v>0.4</v>
      </c>
      <c r="I13710" s="3" t="s">
        <v>48</v>
      </c>
      <c r="J13710" s="3" t="s">
        <v>38916</v>
      </c>
      <c r="K13710" s="3" t="s">
        <v>495</v>
      </c>
      <c r="L13710" s="3" t="str">
        <f>IFERROR(__xludf.DUMMYFUNCTION("GOOGLETRANSLATE(F13710,""id"",""en"")"),"Proud Section of following the Pilduun of the State whose idolan win but it's okay to join in the Argentina Congrats Espatedly Fav Player Ever After Messi")</f>
        <v>Proud Section of following the Pilduun of the State whose idolan win but it's okay to join in the Argentina Congrats Espatedly Fav Player Ever After Messi</v>
      </c>
    </row>
    <row r="13711" ht="15.75" customHeight="1">
      <c r="A13711" s="1">
        <v>15186.0</v>
      </c>
      <c r="B13711" s="3" t="s">
        <v>38917</v>
      </c>
      <c r="C13711" s="3">
        <v>1.0</v>
      </c>
      <c r="D13711" s="3">
        <v>0.0</v>
      </c>
      <c r="E13711" s="3">
        <v>1.0</v>
      </c>
      <c r="F13711" s="3" t="s">
        <v>38918</v>
      </c>
      <c r="G13711" s="3">
        <v>0.0</v>
      </c>
      <c r="H13711" s="3">
        <v>0.0</v>
      </c>
      <c r="I13711" s="3" t="s">
        <v>13</v>
      </c>
      <c r="J13711" s="3" t="s">
        <v>38919</v>
      </c>
      <c r="K13711" s="3" t="s">
        <v>15</v>
      </c>
      <c r="L13711" s="3" t="str">
        <f>IFERROR(__xludf.DUMMYFUNCTION("GOOGLETRANSLATE(F13711,""id"",""en"")"),"Only the era of Iwan Bule as the PSSI Argentina Chairman won the pildun")</f>
        <v>Only the era of Iwan Bule as the PSSI Argentina Chairman won the pildun</v>
      </c>
    </row>
    <row r="13712" ht="15.75" customHeight="1">
      <c r="A13712" s="1">
        <v>15187.0</v>
      </c>
      <c r="B13712" s="3" t="s">
        <v>38920</v>
      </c>
      <c r="C13712" s="3">
        <v>0.0</v>
      </c>
      <c r="D13712" s="3">
        <v>0.0</v>
      </c>
      <c r="E13712" s="3">
        <v>0.0</v>
      </c>
      <c r="F13712" s="3" t="s">
        <v>38921</v>
      </c>
      <c r="G13712" s="3">
        <v>0.0</v>
      </c>
      <c r="H13712" s="3">
        <v>0.0</v>
      </c>
      <c r="I13712" s="3" t="s">
        <v>13</v>
      </c>
      <c r="J13712" s="3" t="s">
        <v>38922</v>
      </c>
      <c r="K13712" s="3" t="s">
        <v>15</v>
      </c>
      <c r="L13712" s="3" t="str">
        <f>IFERROR(__xludf.DUMMYFUNCTION("GOOGLETRANSLATE(F13712,""id"",""en"")"),"The Argentine period was the champion of the pildun there was still news of the hero and won")</f>
        <v>The Argentine period was the champion of the pildun there was still news of the hero and won</v>
      </c>
    </row>
    <row r="13713" ht="15.75" customHeight="1">
      <c r="A13713" s="1">
        <v>15188.0</v>
      </c>
      <c r="B13713" s="3" t="s">
        <v>38923</v>
      </c>
      <c r="C13713" s="3">
        <v>0.0</v>
      </c>
      <c r="D13713" s="3">
        <v>0.0</v>
      </c>
      <c r="E13713" s="3">
        <v>0.0</v>
      </c>
      <c r="F13713" s="3" t="s">
        <v>38924</v>
      </c>
      <c r="G13713" s="3">
        <v>0.0</v>
      </c>
      <c r="H13713" s="3">
        <v>0.0</v>
      </c>
      <c r="I13713" s="3" t="s">
        <v>13</v>
      </c>
      <c r="J13713" s="3" t="s">
        <v>38925</v>
      </c>
      <c r="K13713" s="3" t="s">
        <v>41</v>
      </c>
      <c r="L13713" s="3" t="str">
        <f>IFERROR(__xludf.DUMMYFUNCTION("GOOGLETRANSLATE(F13713,""id"",""en"")"),"from the beginning starting to pildun already sure that Argentina will win")</f>
        <v>from the beginning starting to pildun already sure that Argentina will win</v>
      </c>
    </row>
    <row r="13714" ht="15.75" customHeight="1">
      <c r="A13714" s="1">
        <v>15189.0</v>
      </c>
      <c r="B13714" s="3" t="s">
        <v>38926</v>
      </c>
      <c r="C13714" s="3">
        <v>0.0</v>
      </c>
      <c r="D13714" s="3">
        <v>0.0</v>
      </c>
      <c r="E13714" s="3">
        <v>0.0</v>
      </c>
      <c r="F13714" s="3" t="s">
        <v>38927</v>
      </c>
      <c r="G13714" s="3">
        <v>0.0</v>
      </c>
      <c r="H13714" s="3">
        <v>0.0</v>
      </c>
      <c r="I13714" s="3" t="s">
        <v>13</v>
      </c>
      <c r="J13714" s="3" t="s">
        <v>38928</v>
      </c>
      <c r="K13714" s="3" t="s">
        <v>244</v>
      </c>
      <c r="L13714" s="3" t="str">
        <f>IFERROR(__xludf.DUMMYFUNCTION("GOOGLETRANSLATE(F13714,""id"",""en"")"),"glad to see Argentina win because of her last pildun Messi but was sad to see Francis losing")</f>
        <v>glad to see Argentina win because of her last pildun Messi but was sad to see Francis losing</v>
      </c>
    </row>
    <row r="13715" ht="15.75" customHeight="1">
      <c r="A13715" s="1">
        <v>15190.0</v>
      </c>
      <c r="B13715" s="3" t="s">
        <v>38929</v>
      </c>
      <c r="C13715" s="3">
        <v>0.0</v>
      </c>
      <c r="D13715" s="3">
        <v>0.0</v>
      </c>
      <c r="E13715" s="3">
        <v>1.0</v>
      </c>
      <c r="F13715" s="3" t="s">
        <v>38930</v>
      </c>
      <c r="G13715" s="3">
        <v>1.0</v>
      </c>
      <c r="H13715" s="3">
        <v>0.8</v>
      </c>
      <c r="I13715" s="3" t="s">
        <v>48</v>
      </c>
      <c r="J13715" s="3" t="s">
        <v>38931</v>
      </c>
      <c r="K13715" s="3" t="s">
        <v>205</v>
      </c>
      <c r="L13715" s="3" t="str">
        <f>IFERROR(__xludf.DUMMYFUNCTION("GOOGLETRANSLATE(F13715,""id"",""en"")"),"This time I followed the Pilduun TPI Pildun Last Choice Messi Squarez Ozil Neymar Doang Proud also and Argentina could win congratulations Bang Messi et al")</f>
        <v>This time I followed the Pilduun TPI Pildun Last Choice Messi Squarez Ozil Neymar Doang Proud also and Argentina could win congratulations Bang Messi et al</v>
      </c>
    </row>
    <row r="13716" ht="15.75" customHeight="1">
      <c r="A13716" s="1">
        <v>15191.0</v>
      </c>
      <c r="B13716" s="3" t="s">
        <v>38932</v>
      </c>
      <c r="C13716" s="3">
        <v>0.0</v>
      </c>
      <c r="D13716" s="3">
        <v>0.0</v>
      </c>
      <c r="E13716" s="3">
        <v>1.0</v>
      </c>
      <c r="F13716" s="3" t="s">
        <v>38933</v>
      </c>
      <c r="G13716" s="3">
        <v>0.0</v>
      </c>
      <c r="H13716" s="3">
        <v>0.0</v>
      </c>
      <c r="I13716" s="3" t="s">
        <v>13</v>
      </c>
      <c r="J13716" s="3" t="s">
        <v>38934</v>
      </c>
      <c r="K13716" s="3" t="s">
        <v>1097</v>
      </c>
      <c r="L13716" s="3" t="str">
        <f>IFERROR(__xludf.DUMMYFUNCTION("GOOGLETRANSLATE(F13716,""id"",""en"")"),"the difference between the lanang argentina pilduun wins Wadon Messi wins")</f>
        <v>the difference between the lanang argentina pilduun wins Wadon Messi wins</v>
      </c>
    </row>
    <row r="13717" ht="15.75" customHeight="1">
      <c r="A13717" s="1">
        <v>15192.0</v>
      </c>
      <c r="B13717" s="3" t="s">
        <v>38935</v>
      </c>
      <c r="C13717" s="3">
        <v>0.0</v>
      </c>
      <c r="D13717" s="3">
        <v>0.0</v>
      </c>
      <c r="E13717" s="3">
        <v>0.0</v>
      </c>
      <c r="F13717" s="3" t="s">
        <v>38936</v>
      </c>
      <c r="G13717" s="3">
        <v>0.0</v>
      </c>
      <c r="H13717" s="3">
        <v>0.0</v>
      </c>
      <c r="I13717" s="3" t="s">
        <v>13</v>
      </c>
      <c r="J13717" s="3" t="s">
        <v>38937</v>
      </c>
      <c r="K13717" s="3" t="s">
        <v>75</v>
      </c>
      <c r="L13717" s="3" t="str">
        <f>IFERROR(__xludf.DUMMYFUNCTION("GOOGLETRANSLATE(F13717,""id"",""en"")"),"Alhamdulillah, from junior high school every pildun always holds Argentina finally wins Papa Thiago")</f>
        <v>Alhamdulillah, from junior high school every pildun always holds Argentina finally wins Papa Thiago</v>
      </c>
    </row>
    <row r="13718" ht="15.75" customHeight="1">
      <c r="A13718" s="1">
        <v>15193.0</v>
      </c>
      <c r="B13718" s="3" t="s">
        <v>38938</v>
      </c>
      <c r="C13718" s="3">
        <v>0.0</v>
      </c>
      <c r="D13718" s="3">
        <v>0.0</v>
      </c>
      <c r="E13718" s="3">
        <v>0.0</v>
      </c>
      <c r="F13718" s="3" t="s">
        <v>38938</v>
      </c>
      <c r="G13718" s="3">
        <v>0.4</v>
      </c>
      <c r="H13718" s="3">
        <v>0.2</v>
      </c>
      <c r="I13718" s="3" t="s">
        <v>48</v>
      </c>
      <c r="J13718" s="3" t="s">
        <v>38939</v>
      </c>
      <c r="K13718" s="3" t="s">
        <v>82</v>
      </c>
      <c r="L13718" s="3" t="str">
        <f>IFERROR(__xludf.DUMMYFUNCTION("GOOGLETRANSLATE(F13718,""id"",""en"")"),"Argentina won Piludun because there was my name at the end of hahaha")</f>
        <v>Argentina won Piludun because there was my name at the end of hahaha</v>
      </c>
    </row>
    <row r="13719" ht="15.75" customHeight="1">
      <c r="A13719" s="1">
        <v>15194.0</v>
      </c>
      <c r="B13719" s="3" t="s">
        <v>38940</v>
      </c>
      <c r="C13719" s="3">
        <v>0.0</v>
      </c>
      <c r="D13719" s="3">
        <v>0.0</v>
      </c>
      <c r="E13719" s="3">
        <v>0.0</v>
      </c>
      <c r="F13719" s="3" t="s">
        <v>38941</v>
      </c>
      <c r="G13719" s="3">
        <v>0.0</v>
      </c>
      <c r="H13719" s="3">
        <v>0.0</v>
      </c>
      <c r="I13719" s="3" t="s">
        <v>13</v>
      </c>
      <c r="J13719" s="3" t="s">
        <v>38942</v>
      </c>
      <c r="K13719" s="3" t="s">
        <v>644</v>
      </c>
      <c r="L13719" s="3" t="str">
        <f>IFERROR(__xludf.DUMMYFUNCTION("GOOGLETRANSLATE(F13719,""id"",""en"")"),"Argentina Abis won Pildun")</f>
        <v>Argentina Abis won Pildun</v>
      </c>
    </row>
    <row r="13720" ht="15.75" customHeight="1">
      <c r="A13720" s="1">
        <v>15195.0</v>
      </c>
      <c r="B13720" s="3" t="s">
        <v>38943</v>
      </c>
      <c r="C13720" s="3">
        <v>0.0</v>
      </c>
      <c r="D13720" s="3">
        <v>0.0</v>
      </c>
      <c r="E13720" s="3">
        <v>0.0</v>
      </c>
      <c r="F13720" s="3" t="s">
        <v>38944</v>
      </c>
      <c r="G13720" s="3">
        <v>1.0</v>
      </c>
      <c r="H13720" s="3">
        <v>0.1</v>
      </c>
      <c r="I13720" s="3" t="s">
        <v>48</v>
      </c>
      <c r="J13720" s="3" t="s">
        <v>38945</v>
      </c>
      <c r="K13720" s="3" t="s">
        <v>236</v>
      </c>
      <c r="L13720" s="3" t="str">
        <f>IFERROR(__xludf.DUMMYFUNCTION("GOOGLETRANSLATE(F13720,""id"",""en"")"),"Singing Argentina's Pildun Winning Wow is really unusually cool")</f>
        <v>Singing Argentina's Pildun Winning Wow is really unusually cool</v>
      </c>
    </row>
    <row r="13721" ht="15.75" customHeight="1">
      <c r="A13721" s="1">
        <v>15196.0</v>
      </c>
      <c r="B13721" s="3" t="s">
        <v>38946</v>
      </c>
      <c r="C13721" s="3">
        <v>0.0</v>
      </c>
      <c r="D13721" s="3">
        <v>0.0</v>
      </c>
      <c r="E13721" s="3">
        <v>1.0</v>
      </c>
      <c r="F13721" s="3" t="s">
        <v>38947</v>
      </c>
      <c r="G13721" s="3">
        <v>0.0</v>
      </c>
      <c r="H13721" s="3">
        <v>0.0</v>
      </c>
      <c r="I13721" s="3" t="s">
        <v>13</v>
      </c>
      <c r="J13721" s="3" t="s">
        <v>38948</v>
      </c>
      <c r="K13721" s="3" t="s">
        <v>19</v>
      </c>
      <c r="L13721" s="3" t="str">
        <f>IFERROR(__xludf.DUMMYFUNCTION("GOOGLETRANSLATE(F13721,""id"",""en"")"),"Fyi was very crying because tempe was finished with a sister before starting the dog's pistun was very angry")</f>
        <v>Fyi was very crying because tempe was finished with a sister before starting the dog's pistun was very angry</v>
      </c>
    </row>
    <row r="13722" ht="15.75" customHeight="1">
      <c r="A13722" s="1">
        <v>15197.0</v>
      </c>
      <c r="B13722" s="3" t="s">
        <v>38949</v>
      </c>
      <c r="C13722" s="3">
        <v>0.0</v>
      </c>
      <c r="D13722" s="3">
        <v>0.0</v>
      </c>
      <c r="E13722" s="3">
        <v>0.0</v>
      </c>
      <c r="F13722" s="3" t="s">
        <v>38950</v>
      </c>
      <c r="G13722" s="3">
        <v>0.0</v>
      </c>
      <c r="H13722" s="3">
        <v>0.0</v>
      </c>
      <c r="I13722" s="3" t="s">
        <v>13</v>
      </c>
      <c r="J13722" s="3" t="s">
        <v>38951</v>
      </c>
      <c r="K13722" s="3" t="s">
        <v>1335</v>
      </c>
      <c r="L13722" s="3" t="str">
        <f>IFERROR(__xludf.DUMMYFUNCTION("GOOGLETRANSLATE(F13722,""id"",""en"")"),"Finally, after the Pildun supports Argentina to win, the edition")</f>
        <v>Finally, after the Pildun supports Argentina to win, the edition</v>
      </c>
    </row>
    <row r="13723" ht="15.75" customHeight="1">
      <c r="A13723" s="1">
        <v>15198.0</v>
      </c>
      <c r="B13723" s="3" t="s">
        <v>38952</v>
      </c>
      <c r="C13723" s="3">
        <v>1.0</v>
      </c>
      <c r="D13723" s="3">
        <v>0.0</v>
      </c>
      <c r="E13723" s="3">
        <v>0.0</v>
      </c>
      <c r="F13723" s="3" t="s">
        <v>38953</v>
      </c>
      <c r="G13723" s="3">
        <v>0.65</v>
      </c>
      <c r="H13723" s="3">
        <v>0.5</v>
      </c>
      <c r="I13723" s="3" t="s">
        <v>48</v>
      </c>
      <c r="J13723" s="3" t="s">
        <v>38954</v>
      </c>
      <c r="K13723" s="3" t="s">
        <v>240</v>
      </c>
      <c r="L13723" s="3" t="str">
        <f>IFERROR(__xludf.DUMMYFUNCTION("GOOGLETRANSLATE(F13723,""id"",""en"")"),"The Best Match Final World Cup Sih Goksss Congrats Argentina Genuine")</f>
        <v>The Best Match Final World Cup Sih Goksss Congrats Argentina Genuine</v>
      </c>
    </row>
    <row r="13724" ht="15.75" customHeight="1">
      <c r="A13724" s="1">
        <v>15199.0</v>
      </c>
      <c r="B13724" s="3" t="s">
        <v>38955</v>
      </c>
      <c r="C13724" s="3">
        <v>0.0</v>
      </c>
      <c r="D13724" s="3">
        <v>0.0</v>
      </c>
      <c r="E13724" s="3">
        <v>0.0</v>
      </c>
      <c r="F13724" s="3" t="s">
        <v>38956</v>
      </c>
      <c r="G13724" s="3">
        <v>0.0</v>
      </c>
      <c r="H13724" s="3">
        <v>0.0</v>
      </c>
      <c r="I13724" s="3" t="s">
        <v>13</v>
      </c>
      <c r="J13724" s="3" t="s">
        <v>38957</v>
      </c>
      <c r="K13724" s="3" t="s">
        <v>41</v>
      </c>
      <c r="L13724" s="3" t="str">
        <f>IFERROR(__xludf.DUMMYFUNCTION("GOOGLETRANSLATE(F13724,""id"",""en"")"),"joined in for Argentina for a long time not winning pildun")</f>
        <v>joined in for Argentina for a long time not winning pildun</v>
      </c>
    </row>
    <row r="13725" ht="15.75" customHeight="1">
      <c r="A13725" s="1">
        <v>15200.0</v>
      </c>
      <c r="B13725" s="3" t="s">
        <v>38958</v>
      </c>
      <c r="C13725" s="3">
        <v>0.0</v>
      </c>
      <c r="D13725" s="3">
        <v>0.0</v>
      </c>
      <c r="E13725" s="3">
        <v>0.0</v>
      </c>
      <c r="F13725" s="3" t="s">
        <v>38959</v>
      </c>
      <c r="G13725" s="3">
        <v>0.03333333333333333</v>
      </c>
      <c r="H13725" s="3">
        <v>0.0</v>
      </c>
      <c r="I13725" s="3" t="s">
        <v>13</v>
      </c>
      <c r="J13725" s="3" t="s">
        <v>38960</v>
      </c>
      <c r="K13725" s="3" t="s">
        <v>657</v>
      </c>
      <c r="L13725" s="3" t="str">
        <f>IFERROR(__xludf.DUMMYFUNCTION("GOOGLETRANSLATE(F13725,""id"",""en"")"),"God Plan, France, has won the Russian Pildun, alternating Argentina and Last Present from Messi for his country")</f>
        <v>God Plan, France, has won the Russian Pildun, alternating Argentina and Last Present from Messi for his country</v>
      </c>
    </row>
    <row r="13726" ht="15.75" customHeight="1">
      <c r="A13726" s="1">
        <v>15201.0</v>
      </c>
      <c r="B13726" s="3" t="s">
        <v>38961</v>
      </c>
      <c r="C13726" s="3">
        <v>1.0</v>
      </c>
      <c r="D13726" s="3">
        <v>0.0</v>
      </c>
      <c r="E13726" s="3">
        <v>0.0</v>
      </c>
      <c r="F13726" s="3" t="s">
        <v>38962</v>
      </c>
      <c r="G13726" s="3">
        <v>0.0</v>
      </c>
      <c r="H13726" s="3">
        <v>0.0</v>
      </c>
      <c r="I13726" s="3" t="s">
        <v>13</v>
      </c>
      <c r="J13726" s="3" t="s">
        <v>38963</v>
      </c>
      <c r="K13726" s="3" t="s">
        <v>477</v>
      </c>
      <c r="L13726" s="3" t="str">
        <f>IFERROR(__xludf.DUMMYFUNCTION("GOOGLETRANSLATE(F13726,""id"",""en"")"),"Same Twitter and Rame on Watching Pildun Winning Argentina")</f>
        <v>Same Twitter and Rame on Watching Pildun Winning Argentina</v>
      </c>
    </row>
    <row r="13727" ht="15.75" customHeight="1">
      <c r="A13727" s="1">
        <v>15202.0</v>
      </c>
      <c r="B13727" s="3" t="s">
        <v>38964</v>
      </c>
      <c r="C13727" s="3">
        <v>0.0</v>
      </c>
      <c r="D13727" s="3">
        <v>0.0</v>
      </c>
      <c r="E13727" s="3">
        <v>1.0</v>
      </c>
      <c r="F13727" s="3" t="s">
        <v>38965</v>
      </c>
      <c r="G13727" s="3">
        <v>0.0</v>
      </c>
      <c r="H13727" s="3">
        <v>0.0</v>
      </c>
      <c r="I13727" s="3" t="s">
        <v>13</v>
      </c>
      <c r="J13727" s="3" t="s">
        <v>38966</v>
      </c>
      <c r="K13727" s="3" t="s">
        <v>322</v>
      </c>
      <c r="L13727" s="3" t="str">
        <f>IFERROR(__xludf.DUMMYFUNCTION("GOOGLETRANSLATE(F13727,""id"",""en"")"),"Argentina Wins French Pilduun Winning Oscar")</f>
        <v>Argentina Wins French Pilduun Winning Oscar</v>
      </c>
    </row>
    <row r="13728" ht="15.75" customHeight="1">
      <c r="A13728" s="1">
        <v>15203.0</v>
      </c>
      <c r="B13728" s="3" t="s">
        <v>38967</v>
      </c>
      <c r="C13728" s="3">
        <v>0.0</v>
      </c>
      <c r="D13728" s="3">
        <v>0.0</v>
      </c>
      <c r="E13728" s="3">
        <v>0.0</v>
      </c>
      <c r="F13728" s="3" t="s">
        <v>38968</v>
      </c>
      <c r="G13728" s="3">
        <v>0.0</v>
      </c>
      <c r="H13728" s="3">
        <v>0.0</v>
      </c>
      <c r="I13728" s="3" t="s">
        <v>13</v>
      </c>
      <c r="J13728" s="3" t="s">
        <v>38969</v>
      </c>
      <c r="K13728" s="3" t="s">
        <v>31</v>
      </c>
      <c r="L13728" s="3" t="str">
        <f>IFERROR(__xludf.DUMMYFUNCTION("GOOGLETRANSLATE(F13728,""id"",""en"")"),"Argentina is really Deserve to win Pilduun")</f>
        <v>Argentina is really Deserve to win Pilduun</v>
      </c>
    </row>
    <row r="13729" ht="15.75" customHeight="1">
      <c r="A13729" s="1">
        <v>15204.0</v>
      </c>
      <c r="B13729" s="3" t="s">
        <v>38970</v>
      </c>
      <c r="C13729" s="3">
        <v>0.0</v>
      </c>
      <c r="D13729" s="3">
        <v>0.0</v>
      </c>
      <c r="E13729" s="3">
        <v>0.0</v>
      </c>
      <c r="F13729" s="3" t="s">
        <v>38971</v>
      </c>
      <c r="G13729" s="3">
        <v>0.0</v>
      </c>
      <c r="H13729" s="3">
        <v>0.0</v>
      </c>
      <c r="I13729" s="3" t="s">
        <v>13</v>
      </c>
      <c r="J13729" s="3" t="s">
        <v>38972</v>
      </c>
      <c r="K13729" s="3" t="s">
        <v>1469</v>
      </c>
      <c r="L13729" s="3" t="str">
        <f>IFERROR(__xludf.DUMMYFUNCTION("GOOGLETRANSLATE(F13729,""id"",""en"")"),"From the beginning, I was feeling Argentina who won the pilduun seeing Messi's ambitions, I already wanted to win the pildun")</f>
        <v>From the beginning, I was feeling Argentina who won the pilduun seeing Messi's ambitions, I already wanted to win the pildun</v>
      </c>
    </row>
    <row r="13730" ht="15.75" customHeight="1">
      <c r="A13730" s="1">
        <v>15205.0</v>
      </c>
      <c r="B13730" s="3" t="s">
        <v>38973</v>
      </c>
      <c r="C13730" s="3">
        <v>0.0</v>
      </c>
      <c r="D13730" s="3">
        <v>0.0</v>
      </c>
      <c r="E13730" s="3">
        <v>0.0</v>
      </c>
      <c r="F13730" s="3" t="s">
        <v>38974</v>
      </c>
      <c r="G13730" s="3">
        <v>0.4</v>
      </c>
      <c r="H13730" s="3">
        <v>0.1</v>
      </c>
      <c r="I13730" s="3" t="s">
        <v>48</v>
      </c>
      <c r="J13730" s="3" t="s">
        <v>38975</v>
      </c>
      <c r="K13730" s="3" t="s">
        <v>633</v>
      </c>
      <c r="L13730" s="3" t="str">
        <f>IFERROR(__xludf.DUMMYFUNCTION("GOOGLETRANSLATE(F13730,""id"",""en"")"),"But honestly, the most epic moment Saudi can win against Argentina Early round and Morocco can be that extent that the Carrying of Africa you two is the most in my opinion throughout the Pildun")</f>
        <v>But honestly, the most epic moment Saudi can win against Argentina Early round and Morocco can be that extent that the Carrying of Africa you two is the most in my opinion throughout the Pildun</v>
      </c>
    </row>
    <row r="13731" ht="15.75" customHeight="1">
      <c r="A13731" s="1">
        <v>15206.0</v>
      </c>
      <c r="B13731" s="3" t="s">
        <v>38976</v>
      </c>
      <c r="C13731" s="3">
        <v>0.0</v>
      </c>
      <c r="D13731" s="3">
        <v>0.0</v>
      </c>
      <c r="E13731" s="3">
        <v>1.0</v>
      </c>
      <c r="F13731" s="3" t="s">
        <v>38977</v>
      </c>
      <c r="G13731" s="3">
        <v>1.0</v>
      </c>
      <c r="H13731" s="3">
        <v>0.1</v>
      </c>
      <c r="I13731" s="3" t="s">
        <v>48</v>
      </c>
      <c r="J13731" s="3" t="s">
        <v>38978</v>
      </c>
      <c r="K13731" s="3" t="s">
        <v>54</v>
      </c>
      <c r="L13731" s="3" t="str">
        <f>IFERROR(__xludf.DUMMYFUNCTION("GOOGLETRANSLATE(F13731,""id"",""en"")"),"wow wins Argentina's pildun right right")</f>
        <v>wow wins Argentina's pildun right right</v>
      </c>
    </row>
    <row r="13732" ht="15.75" customHeight="1">
      <c r="A13732" s="1">
        <v>15207.0</v>
      </c>
      <c r="B13732" s="3" t="s">
        <v>38979</v>
      </c>
      <c r="C13732" s="3">
        <v>0.0</v>
      </c>
      <c r="D13732" s="3">
        <v>0.0</v>
      </c>
      <c r="E13732" s="3">
        <v>0.0</v>
      </c>
      <c r="F13732" s="3" t="s">
        <v>38980</v>
      </c>
      <c r="G13732" s="3">
        <v>0.0</v>
      </c>
      <c r="H13732" s="3">
        <v>0.0</v>
      </c>
      <c r="I13732" s="3" t="s">
        <v>13</v>
      </c>
      <c r="J13732" s="3" t="s">
        <v>38981</v>
      </c>
      <c r="K13732" s="3" t="s">
        <v>437</v>
      </c>
      <c r="L13732" s="3" t="str">
        <f>IFERROR(__xludf.DUMMYFUNCTION("GOOGLETRANSLATE(F13732,""id"",""en"")"),"accompanying my brother watching pildun wake up in surprise tbtb dog he shouted France dick turned out to be Argentina winning wkkakwkakwka")</f>
        <v>accompanying my brother watching pildun wake up in surprise tbtb dog he shouted France dick turned out to be Argentina winning wkkakwkakwka</v>
      </c>
    </row>
    <row r="13733" ht="15.75" customHeight="1">
      <c r="A13733" s="1">
        <v>15208.0</v>
      </c>
      <c r="B13733" s="3" t="s">
        <v>38982</v>
      </c>
      <c r="C13733" s="3">
        <v>0.0</v>
      </c>
      <c r="D13733" s="3">
        <v>0.0</v>
      </c>
      <c r="E13733" s="3">
        <v>0.0</v>
      </c>
      <c r="F13733" s="3" t="s">
        <v>38983</v>
      </c>
      <c r="G13733" s="3">
        <v>0.675</v>
      </c>
      <c r="H13733" s="3">
        <v>0.325</v>
      </c>
      <c r="I13733" s="3" t="s">
        <v>48</v>
      </c>
      <c r="J13733" s="3" t="s">
        <v>38984</v>
      </c>
      <c r="K13733" s="3" t="s">
        <v>1061</v>
      </c>
      <c r="L13733" s="3" t="str">
        <f>IFERROR(__xludf.DUMMYFUNCTION("GOOGLETRANSLATE(F13733,""id"",""en"")"),"Congrats Argentina What Game Messi Sweet Victory Sweet Ending Wonderful Career, there is a win, there is a losing pioneer of Qatar, after Anjeer is much different from last year")</f>
        <v>Congrats Argentina What Game Messi Sweet Victory Sweet Ending Wonderful Career, there is a win, there is a losing pioneer of Qatar, after Anjeer is much different from last year</v>
      </c>
    </row>
    <row r="13734" ht="15.75" customHeight="1">
      <c r="A13734" s="1">
        <v>15209.0</v>
      </c>
      <c r="B13734" s="3" t="s">
        <v>38985</v>
      </c>
      <c r="C13734" s="3">
        <v>0.0</v>
      </c>
      <c r="D13734" s="3">
        <v>0.0</v>
      </c>
      <c r="E13734" s="3">
        <v>0.0</v>
      </c>
      <c r="F13734" s="3" t="s">
        <v>38986</v>
      </c>
      <c r="G13734" s="3">
        <v>0.0</v>
      </c>
      <c r="H13734" s="3">
        <v>0.0</v>
      </c>
      <c r="I13734" s="3" t="s">
        <v>13</v>
      </c>
      <c r="J13734" s="3" t="s">
        <v>38987</v>
      </c>
      <c r="K13734" s="3" t="s">
        <v>41</v>
      </c>
      <c r="L13734" s="3" t="str">
        <f>IFERROR(__xludf.DUMMYFUNCTION("GOOGLETRANSLATE(F13734,""id"",""en"")"),"Argentina wins Pilduun going to play the song Winner Baby Gak Gak")</f>
        <v>Argentina wins Pilduun going to play the song Winner Baby Gak Gak</v>
      </c>
    </row>
    <row r="13735" ht="15.75" customHeight="1">
      <c r="A13735" s="1">
        <v>15210.0</v>
      </c>
      <c r="B13735" s="3" t="s">
        <v>38988</v>
      </c>
      <c r="C13735" s="3">
        <v>0.0</v>
      </c>
      <c r="D13735" s="3">
        <v>0.0</v>
      </c>
      <c r="E13735" s="3">
        <v>0.0</v>
      </c>
      <c r="F13735" s="3" t="s">
        <v>38989</v>
      </c>
      <c r="G13735" s="3">
        <v>0.0</v>
      </c>
      <c r="H13735" s="3">
        <v>0.0</v>
      </c>
      <c r="I13735" s="3" t="s">
        <v>13</v>
      </c>
      <c r="J13735" s="3" t="s">
        <v>38990</v>
      </c>
      <c r="K13735" s="3" t="s">
        <v>54</v>
      </c>
      <c r="L13735" s="3" t="str">
        <f>IFERROR(__xludf.DUMMYFUNCTION("GOOGLETRANSLATE(F13735,""id"",""en"")"),"Behind Argentina Wins Messi Retirement")</f>
        <v>Behind Argentina Wins Messi Retirement</v>
      </c>
    </row>
    <row r="13736" ht="15.75" customHeight="1">
      <c r="A13736" s="1">
        <v>15211.0</v>
      </c>
      <c r="B13736" s="3" t="s">
        <v>38991</v>
      </c>
      <c r="C13736" s="3">
        <v>0.0</v>
      </c>
      <c r="D13736" s="3">
        <v>0.0</v>
      </c>
      <c r="E13736" s="3">
        <v>0.0</v>
      </c>
      <c r="F13736" s="3" t="s">
        <v>38992</v>
      </c>
      <c r="G13736" s="3">
        <v>0.3</v>
      </c>
      <c r="H13736" s="3">
        <v>-0.09999999999999999</v>
      </c>
      <c r="I13736" s="3" t="s">
        <v>179</v>
      </c>
      <c r="J13736" s="3" t="s">
        <v>38993</v>
      </c>
      <c r="K13736" s="3" t="s">
        <v>71</v>
      </c>
      <c r="L13736" s="3" t="str">
        <f>IFERROR(__xludf.DUMMYFUNCTION("GOOGLETRANSLATE(F13736,""id"",""en"")"),"Fixed Argentina Wins Sipp Least I look like a ball when tomorrow at the office at the office")</f>
        <v>Fixed Argentina Wins Sipp Least I look like a ball when tomorrow at the office at the office</v>
      </c>
    </row>
    <row r="13737" ht="15.75" customHeight="1">
      <c r="A13737" s="1">
        <v>15212.0</v>
      </c>
      <c r="B13737" s="3" t="s">
        <v>38994</v>
      </c>
      <c r="C13737" s="3">
        <v>0.0</v>
      </c>
      <c r="D13737" s="3">
        <v>0.0</v>
      </c>
      <c r="E13737" s="3">
        <v>0.0</v>
      </c>
      <c r="F13737" s="3" t="s">
        <v>38995</v>
      </c>
      <c r="G13737" s="3">
        <v>0.0</v>
      </c>
      <c r="H13737" s="3">
        <v>0.0</v>
      </c>
      <c r="I13737" s="3" t="s">
        <v>13</v>
      </c>
      <c r="J13737" s="3" t="s">
        <v>38996</v>
      </c>
      <c r="K13737" s="3" t="s">
        <v>23</v>
      </c>
      <c r="L13737" s="3" t="str">
        <f>IFERROR(__xludf.DUMMYFUNCTION("GOOGLETRANSLATE(F13737,""id"",""en"")"),"right Argentina wins Congratulations Romi Rafael's guess is right when Congrats Bang Messi Pildun last wins euy is required to shoot penalty")</f>
        <v>right Argentina wins Congratulations Romi Rafael's guess is right when Congrats Bang Messi Pildun last wins euy is required to shoot penalty</v>
      </c>
    </row>
    <row r="13738" ht="15.75" customHeight="1">
      <c r="A13738" s="1">
        <v>15213.0</v>
      </c>
      <c r="B13738" s="3" t="s">
        <v>38997</v>
      </c>
      <c r="C13738" s="3">
        <v>1.0</v>
      </c>
      <c r="D13738" s="3">
        <v>0.0</v>
      </c>
      <c r="E13738" s="3">
        <v>0.0</v>
      </c>
      <c r="F13738" s="3" t="s">
        <v>38998</v>
      </c>
      <c r="G13738" s="3">
        <v>0.0</v>
      </c>
      <c r="H13738" s="3">
        <v>0.0</v>
      </c>
      <c r="I13738" s="3" t="s">
        <v>13</v>
      </c>
      <c r="J13738" s="3" t="s">
        <v>38999</v>
      </c>
      <c r="K13738" s="3" t="s">
        <v>31</v>
      </c>
      <c r="L13738" s="3" t="str">
        <f>IFERROR(__xludf.DUMMYFUNCTION("GOOGLETRANSLATE(F13738,""id"",""en"")"),"Watching Pildun Understanding But Win Argentina")</f>
        <v>Watching Pildun Understanding But Win Argentina</v>
      </c>
    </row>
    <row r="13739" ht="15.75" customHeight="1">
      <c r="A13739" s="1">
        <v>15214.0</v>
      </c>
      <c r="B13739" s="3" t="s">
        <v>39000</v>
      </c>
      <c r="C13739" s="3">
        <v>0.0</v>
      </c>
      <c r="D13739" s="3">
        <v>0.0</v>
      </c>
      <c r="E13739" s="3">
        <v>0.0</v>
      </c>
      <c r="F13739" s="3" t="s">
        <v>39001</v>
      </c>
      <c r="G13739" s="3">
        <v>0.0</v>
      </c>
      <c r="H13739" s="3">
        <v>0.0</v>
      </c>
      <c r="I13739" s="3" t="s">
        <v>13</v>
      </c>
      <c r="J13739" s="3" t="s">
        <v>39002</v>
      </c>
      <c r="K13739" s="3" t="s">
        <v>240</v>
      </c>
      <c r="L13739" s="3" t="str">
        <f>IFERROR(__xludf.DUMMYFUNCTION("GOOGLETRANSLATE(F13739,""id"",""en"")"),"Finally, Argentina won the pildun when he was born like a story from his mom, he wanted to name Diego Gara Maradona")</f>
        <v>Finally, Argentina won the pildun when he was born like a story from his mom, he wanted to name Diego Gara Maradona</v>
      </c>
    </row>
    <row r="13740" ht="15.75" customHeight="1">
      <c r="A13740" s="1">
        <v>15215.0</v>
      </c>
      <c r="B13740" s="3" t="s">
        <v>39003</v>
      </c>
      <c r="C13740" s="3">
        <v>0.0</v>
      </c>
      <c r="D13740" s="3">
        <v>0.0</v>
      </c>
      <c r="E13740" s="3">
        <v>0.0</v>
      </c>
      <c r="F13740" s="3" t="s">
        <v>39004</v>
      </c>
      <c r="G13740" s="3">
        <v>0.0</v>
      </c>
      <c r="H13740" s="3">
        <v>0.0</v>
      </c>
      <c r="I13740" s="3" t="s">
        <v>13</v>
      </c>
      <c r="J13740" s="3" t="s">
        <v>39005</v>
      </c>
      <c r="K13740" s="3" t="s">
        <v>50</v>
      </c>
      <c r="L13740" s="3" t="str">
        <f>IFERROR(__xludf.DUMMYFUNCTION("GOOGLETRANSLATE(F13740,""id"",""en"")"),"France lost, Mbappe Cool Congratulations to Argentina finally won the pildun")</f>
        <v>France lost, Mbappe Cool Congratulations to Argentina finally won the pildun</v>
      </c>
    </row>
    <row r="13741" ht="15.75" customHeight="1">
      <c r="A13741" s="1">
        <v>15216.0</v>
      </c>
      <c r="B13741" s="3" t="s">
        <v>39006</v>
      </c>
      <c r="C13741" s="3">
        <v>1.0</v>
      </c>
      <c r="D13741" s="3">
        <v>0.0</v>
      </c>
      <c r="E13741" s="3">
        <v>0.0</v>
      </c>
      <c r="F13741" s="3" t="s">
        <v>39007</v>
      </c>
      <c r="G13741" s="3">
        <v>0.0</v>
      </c>
      <c r="H13741" s="3">
        <v>0.0</v>
      </c>
      <c r="I13741" s="3" t="s">
        <v>13</v>
      </c>
      <c r="J13741" s="3" t="s">
        <v>39008</v>
      </c>
      <c r="K13741" s="3" t="s">
        <v>437</v>
      </c>
      <c r="L13741" s="3" t="str">
        <f>IFERROR(__xludf.DUMMYFUNCTION("GOOGLETRANSLATE(F13741,""id"",""en"")"),"woylahhh coyyy can finally see Argentina winning the pildun after the previous pildun only was just big, father")</f>
        <v>woylahhh coyyy can finally see Argentina winning the pildun after the previous pildun only was just big, father</v>
      </c>
    </row>
    <row r="13742" ht="15.75" customHeight="1">
      <c r="A13742" s="1">
        <v>15217.0</v>
      </c>
      <c r="B13742" s="3" t="s">
        <v>39009</v>
      </c>
      <c r="C13742" s="3">
        <v>0.0</v>
      </c>
      <c r="D13742" s="3">
        <v>0.0</v>
      </c>
      <c r="E13742" s="3">
        <v>0.0</v>
      </c>
      <c r="F13742" s="3" t="s">
        <v>39010</v>
      </c>
      <c r="G13742" s="3">
        <v>0.0</v>
      </c>
      <c r="H13742" s="3">
        <v>0.0</v>
      </c>
      <c r="I13742" s="3" t="s">
        <v>13</v>
      </c>
      <c r="J13742" s="3" t="s">
        <v>39011</v>
      </c>
      <c r="K13742" s="3" t="s">
        <v>437</v>
      </c>
      <c r="L13742" s="3" t="str">
        <f>IFERROR(__xludf.DUMMYFUNCTION("GOOGLETRANSLATE(F13742,""id"",""en"")"),"I was so touched from the first time that Nobar Dirmh always supported Argentina to win the pildun now finally won aaaaaak")</f>
        <v>I was so touched from the first time that Nobar Dirmh always supported Argentina to win the pildun now finally won aaaaaak</v>
      </c>
    </row>
    <row r="13743" ht="15.75" customHeight="1">
      <c r="A13743" s="1">
        <v>15218.0</v>
      </c>
      <c r="B13743" s="3" t="s">
        <v>39012</v>
      </c>
      <c r="C13743" s="3">
        <v>0.0</v>
      </c>
      <c r="D13743" s="3">
        <v>0.0</v>
      </c>
      <c r="E13743" s="3">
        <v>0.0</v>
      </c>
      <c r="F13743" s="3" t="s">
        <v>39013</v>
      </c>
      <c r="G13743" s="3">
        <v>0.0</v>
      </c>
      <c r="H13743" s="3">
        <v>0.0</v>
      </c>
      <c r="I13743" s="3" t="s">
        <v>13</v>
      </c>
      <c r="J13743" s="3" t="s">
        <v>39014</v>
      </c>
      <c r="K13743" s="3" t="s">
        <v>15</v>
      </c>
      <c r="L13743" s="3" t="str">
        <f>IFERROR(__xludf.DUMMYFUNCTION("GOOGLETRANSLATE(F13743,""id"",""en"")"),"champion pildun winning penalty to have a lot of Messi's style")</f>
        <v>champion pildun winning penalty to have a lot of Messi's style</v>
      </c>
    </row>
    <row r="13744" ht="15.75" customHeight="1">
      <c r="A13744" s="1">
        <v>15219.0</v>
      </c>
      <c r="B13744" s="3" t="s">
        <v>39015</v>
      </c>
      <c r="C13744" s="3">
        <v>0.0</v>
      </c>
      <c r="D13744" s="3">
        <v>0.0</v>
      </c>
      <c r="E13744" s="3">
        <v>0.0</v>
      </c>
      <c r="F13744" s="3" t="s">
        <v>39016</v>
      </c>
      <c r="G13744" s="3">
        <v>0.0</v>
      </c>
      <c r="H13744" s="3">
        <v>0.0</v>
      </c>
      <c r="I13744" s="3" t="s">
        <v>13</v>
      </c>
      <c r="J13744" s="3" t="s">
        <v>39017</v>
      </c>
      <c r="K13744" s="3" t="s">
        <v>54</v>
      </c>
      <c r="L13744" s="3" t="str">
        <f>IFERROR(__xludf.DUMMYFUNCTION("GOOGLETRANSLATE(F13744,""id"",""en"")"),"Udh said this year's prediction of Pilduun that won Argentina")</f>
        <v>Udh said this year's prediction of Pilduun that won Argentina</v>
      </c>
    </row>
    <row r="13745" ht="15.75" customHeight="1">
      <c r="A13745" s="1">
        <v>15220.0</v>
      </c>
      <c r="B13745" s="3" t="s">
        <v>39018</v>
      </c>
      <c r="C13745" s="3">
        <v>0.0</v>
      </c>
      <c r="D13745" s="3">
        <v>0.0</v>
      </c>
      <c r="E13745" s="3">
        <v>0.0</v>
      </c>
      <c r="F13745" s="3" t="s">
        <v>39019</v>
      </c>
      <c r="G13745" s="3">
        <v>0.3</v>
      </c>
      <c r="H13745" s="3">
        <v>0.2</v>
      </c>
      <c r="I13745" s="3" t="s">
        <v>48</v>
      </c>
      <c r="J13745" s="3" t="s">
        <v>39020</v>
      </c>
      <c r="K13745" s="3" t="s">
        <v>71</v>
      </c>
      <c r="L13745" s="3" t="str">
        <f>IFERROR(__xludf.DUMMYFUNCTION("GOOGLETRANSLATE(F13745,""id"",""en"")"),"Real Drama Original World Cup Cover Perfectly Congrats Argentina Messi finally won Pilduun")</f>
        <v>Real Drama Original World Cup Cover Perfectly Congrats Argentina Messi finally won Pilduun</v>
      </c>
    </row>
    <row r="13746" ht="15.75" customHeight="1">
      <c r="A13746" s="1">
        <v>15221.0</v>
      </c>
      <c r="B13746" s="3" t="s">
        <v>39021</v>
      </c>
      <c r="C13746" s="3">
        <v>0.0</v>
      </c>
      <c r="D13746" s="3">
        <v>0.0</v>
      </c>
      <c r="E13746" s="3">
        <v>0.0</v>
      </c>
      <c r="F13746" s="3" t="s">
        <v>39022</v>
      </c>
      <c r="G13746" s="3">
        <v>0.0</v>
      </c>
      <c r="H13746" s="3">
        <v>0.0</v>
      </c>
      <c r="I13746" s="3" t="s">
        <v>13</v>
      </c>
      <c r="J13746" s="3" t="s">
        <v>39023</v>
      </c>
      <c r="K13746" s="3" t="s">
        <v>54</v>
      </c>
      <c r="L13746" s="3" t="str">
        <f>IFERROR(__xludf.DUMMYFUNCTION("GOOGLETRANSLATE(F13746,""id"",""en"")"),"The last PILDUN Messi and Argentina won cool")</f>
        <v>The last PILDUN Messi and Argentina won cool</v>
      </c>
    </row>
    <row r="13747" ht="15.75" customHeight="1">
      <c r="A13747" s="1">
        <v>15222.0</v>
      </c>
      <c r="B13747" s="3" t="s">
        <v>39024</v>
      </c>
      <c r="C13747" s="3">
        <v>0.0</v>
      </c>
      <c r="D13747" s="3">
        <v>0.0</v>
      </c>
      <c r="E13747" s="3">
        <v>2.0</v>
      </c>
      <c r="F13747" s="3" t="s">
        <v>39025</v>
      </c>
      <c r="G13747" s="3">
        <v>0.0</v>
      </c>
      <c r="H13747" s="3">
        <v>0.0</v>
      </c>
      <c r="I13747" s="3" t="s">
        <v>13</v>
      </c>
      <c r="J13747" s="3" t="s">
        <v>39026</v>
      </c>
      <c r="K13747" s="3" t="s">
        <v>54</v>
      </c>
      <c r="L13747" s="3" t="str">
        <f>IFERROR(__xludf.DUMMYFUNCTION("GOOGLETRANSLATE(F13747,""id"",""en"")"),"already worthy of Argentina to win pildun")</f>
        <v>already worthy of Argentina to win pildun</v>
      </c>
    </row>
    <row r="13748" ht="15.75" customHeight="1">
      <c r="A13748" s="1">
        <v>15223.0</v>
      </c>
      <c r="B13748" s="3" t="s">
        <v>39027</v>
      </c>
      <c r="C13748" s="3">
        <v>1.0</v>
      </c>
      <c r="D13748" s="3">
        <v>0.0</v>
      </c>
      <c r="E13748" s="3">
        <v>0.0</v>
      </c>
      <c r="F13748" s="3" t="s">
        <v>39028</v>
      </c>
      <c r="G13748" s="3">
        <v>1.0</v>
      </c>
      <c r="H13748" s="3">
        <v>0.0</v>
      </c>
      <c r="I13748" s="3" t="s">
        <v>13</v>
      </c>
      <c r="J13748" s="3" t="s">
        <v>39029</v>
      </c>
      <c r="K13748" s="3" t="s">
        <v>633</v>
      </c>
      <c r="L13748" s="3" t="str">
        <f>IFERROR(__xludf.DUMMYFUNCTION("GOOGLETRANSLATE(F13748,""id"",""en"")"),"Gokil Winning Argentina Pinalty This is the most shocked and most satisfied final Mardona is proud of you Messi Complete Gold Copa American Olympics")</f>
        <v>Gokil Winning Argentina Pinalty This is the most shocked and most satisfied final Mardona is proud of you Messi Complete Gold Copa American Olympics</v>
      </c>
    </row>
    <row r="13749" ht="15.75" customHeight="1">
      <c r="A13749" s="1">
        <v>15224.0</v>
      </c>
      <c r="B13749" s="3" t="s">
        <v>39030</v>
      </c>
      <c r="C13749" s="3">
        <v>0.0</v>
      </c>
      <c r="D13749" s="3">
        <v>0.0</v>
      </c>
      <c r="E13749" s="3">
        <v>0.0</v>
      </c>
      <c r="F13749" s="3" t="s">
        <v>39031</v>
      </c>
      <c r="G13749" s="3">
        <v>0.0</v>
      </c>
      <c r="H13749" s="3">
        <v>0.0</v>
      </c>
      <c r="I13749" s="3" t="s">
        <v>13</v>
      </c>
      <c r="J13749" s="3" t="s">
        <v>39032</v>
      </c>
      <c r="K13749" s="3" t="s">
        <v>82</v>
      </c>
      <c r="L13749" s="3" t="str">
        <f>IFERROR(__xludf.DUMMYFUNCTION("GOOGLETRANSLATE(F13749,""id"",""en"")"),"Already Argentina won the mesi can retire Pilduun calmly")</f>
        <v>Already Argentina won the mesi can retire Pilduun calmly</v>
      </c>
    </row>
    <row r="13750" ht="15.75" customHeight="1">
      <c r="A13750" s="1">
        <v>15225.0</v>
      </c>
      <c r="B13750" s="3" t="s">
        <v>39033</v>
      </c>
      <c r="C13750" s="3">
        <v>1.0</v>
      </c>
      <c r="D13750" s="3">
        <v>3.0</v>
      </c>
      <c r="E13750" s="3">
        <v>32.0</v>
      </c>
      <c r="F13750" s="3" t="s">
        <v>39034</v>
      </c>
      <c r="G13750" s="3">
        <v>0.0</v>
      </c>
      <c r="H13750" s="3">
        <v>0.0</v>
      </c>
      <c r="I13750" s="3" t="s">
        <v>13</v>
      </c>
      <c r="J13750" s="3" t="s">
        <v>39035</v>
      </c>
      <c r="K13750" s="3" t="s">
        <v>54</v>
      </c>
      <c r="L13750" s="3" t="str">
        <f>IFERROR(__xludf.DUMMYFUNCTION("GOOGLETRANSLATE(F13750,""id"",""en"")"),"Happy Argentina Bangun Argentina Winning Pildun")</f>
        <v>Happy Argentina Bangun Argentina Winning Pildun</v>
      </c>
    </row>
    <row r="13751" ht="15.75" customHeight="1">
      <c r="A13751" s="1">
        <v>15226.0</v>
      </c>
      <c r="B13751" s="3" t="s">
        <v>39036</v>
      </c>
      <c r="C13751" s="3">
        <v>0.0</v>
      </c>
      <c r="D13751" s="3">
        <v>0.0</v>
      </c>
      <c r="E13751" s="3">
        <v>0.0</v>
      </c>
      <c r="F13751" s="3" t="s">
        <v>39037</v>
      </c>
      <c r="G13751" s="3">
        <v>0.0</v>
      </c>
      <c r="H13751" s="3">
        <v>0.0</v>
      </c>
      <c r="I13751" s="3" t="s">
        <v>13</v>
      </c>
      <c r="J13751" s="3" t="s">
        <v>39038</v>
      </c>
      <c r="K13751" s="3" t="s">
        <v>75</v>
      </c>
      <c r="L13751" s="3" t="str">
        <f>IFERROR(__xludf.DUMMYFUNCTION("GOOGLETRANSLATE(F13751,""id"",""en"")"),"Sabeb Argentina or France won them, the team whose performance was consistent")</f>
        <v>Sabeb Argentina or France won them, the team whose performance was consistent</v>
      </c>
    </row>
    <row r="13752" ht="15.75" customHeight="1">
      <c r="A13752" s="1">
        <v>15227.0</v>
      </c>
      <c r="B13752" s="3" t="s">
        <v>39039</v>
      </c>
      <c r="C13752" s="3">
        <v>0.0</v>
      </c>
      <c r="D13752" s="3">
        <v>0.0</v>
      </c>
      <c r="E13752" s="3">
        <v>0.0</v>
      </c>
      <c r="F13752" s="3" t="s">
        <v>39040</v>
      </c>
      <c r="G13752" s="3">
        <v>0.0</v>
      </c>
      <c r="H13752" s="3">
        <v>0.0</v>
      </c>
      <c r="I13752" s="3" t="s">
        <v>13</v>
      </c>
      <c r="J13752" s="3" t="s">
        <v>39041</v>
      </c>
      <c r="K13752" s="3" t="s">
        <v>82</v>
      </c>
      <c r="L13752" s="3" t="str">
        <f>IFERROR(__xludf.DUMMYFUNCTION("GOOGLETRANSLATE(F13752,""id"",""en"")"),"Argentina wins Qatar Prayer Complete Details")</f>
        <v>Argentina wins Qatar Prayer Complete Details</v>
      </c>
    </row>
    <row r="13753" ht="15.75" customHeight="1">
      <c r="A13753" s="1">
        <v>15228.0</v>
      </c>
      <c r="B13753" s="3" t="s">
        <v>39042</v>
      </c>
      <c r="C13753" s="3">
        <v>0.0</v>
      </c>
      <c r="D13753" s="3">
        <v>0.0</v>
      </c>
      <c r="E13753" s="3">
        <v>0.0</v>
      </c>
      <c r="F13753" s="3" t="s">
        <v>39043</v>
      </c>
      <c r="G13753" s="3">
        <v>0.0</v>
      </c>
      <c r="H13753" s="3">
        <v>0.0</v>
      </c>
      <c r="I13753" s="3" t="s">
        <v>13</v>
      </c>
      <c r="J13753" s="3" t="s">
        <v>39044</v>
      </c>
      <c r="K13753" s="3" t="s">
        <v>19</v>
      </c>
      <c r="L13753" s="3" t="str">
        <f>IFERROR(__xludf.DUMMYFUNCTION("GOOGLETRANSLATE(F13753,""id"",""en"")"),"I want Argentina to win because this is Messi Kampret Mbappe's last pildun, I'm still young")</f>
        <v>I want Argentina to win because this is Messi Kampret Mbappe's last pildun, I'm still young</v>
      </c>
    </row>
    <row r="13754" ht="15.75" customHeight="1">
      <c r="A13754" s="1">
        <v>15229.0</v>
      </c>
      <c r="B13754" s="3" t="s">
        <v>39045</v>
      </c>
      <c r="C13754" s="3">
        <v>0.0</v>
      </c>
      <c r="D13754" s="3">
        <v>0.0</v>
      </c>
      <c r="E13754" s="3">
        <v>0.0</v>
      </c>
      <c r="F13754" s="3" t="s">
        <v>39046</v>
      </c>
      <c r="G13754" s="3">
        <v>1.0</v>
      </c>
      <c r="H13754" s="3">
        <v>0.0</v>
      </c>
      <c r="I13754" s="3" t="s">
        <v>13</v>
      </c>
      <c r="J13754" s="3" t="s">
        <v>39047</v>
      </c>
      <c r="K13754" s="3" t="s">
        <v>510</v>
      </c>
      <c r="L13754" s="3" t="str">
        <f>IFERROR(__xludf.DUMMYFUNCTION("GOOGLETRANSLATE(F13754,""id"",""en"")"),"more favored Argentina about the penalty but if France won it, it will be lacked this year")</f>
        <v>more favored Argentina about the penalty but if France won it, it will be lacked this year</v>
      </c>
    </row>
    <row r="13755" ht="15.75" customHeight="1">
      <c r="A13755" s="1">
        <v>15230.0</v>
      </c>
      <c r="B13755" s="3" t="s">
        <v>39048</v>
      </c>
      <c r="C13755" s="3">
        <v>0.0</v>
      </c>
      <c r="D13755" s="3">
        <v>0.0</v>
      </c>
      <c r="E13755" s="3">
        <v>0.0</v>
      </c>
      <c r="F13755" s="3" t="s">
        <v>39049</v>
      </c>
      <c r="G13755" s="3">
        <v>0.0</v>
      </c>
      <c r="H13755" s="3">
        <v>0.0</v>
      </c>
      <c r="I13755" s="3" t="s">
        <v>13</v>
      </c>
      <c r="J13755" s="3" t="s">
        <v>39050</v>
      </c>
      <c r="K13755" s="3" t="s">
        <v>1345</v>
      </c>
      <c r="L13755" s="3" t="str">
        <f>IFERROR(__xludf.DUMMYFUNCTION("GOOGLETRANSLATE(F13755,""id"",""en"")"),"Martinez, let's bring Argentina to win Messi to win the last pildun")</f>
        <v>Martinez, let's bring Argentina to win Messi to win the last pildun</v>
      </c>
    </row>
    <row r="13756" ht="15.75" customHeight="1">
      <c r="A13756" s="1">
        <v>15231.0</v>
      </c>
      <c r="B13756" s="3" t="s">
        <v>39051</v>
      </c>
      <c r="C13756" s="3">
        <v>0.0</v>
      </c>
      <c r="D13756" s="3">
        <v>0.0</v>
      </c>
      <c r="E13756" s="3">
        <v>0.0</v>
      </c>
      <c r="F13756" s="3" t="s">
        <v>39052</v>
      </c>
      <c r="G13756" s="3">
        <v>0.0</v>
      </c>
      <c r="H13756" s="3">
        <v>0.0</v>
      </c>
      <c r="I13756" s="3" t="s">
        <v>13</v>
      </c>
      <c r="J13756" s="3" t="s">
        <v>39053</v>
      </c>
      <c r="K13756" s="3" t="s">
        <v>1097</v>
      </c>
      <c r="L13756" s="3" t="str">
        <f>IFERROR(__xludf.DUMMYFUNCTION("GOOGLETRANSLATE(F13756,""id"",""en"")"),"okay penalty bismillah can be Argentina winning bismillah juala pildun")</f>
        <v>okay penalty bismillah can be Argentina winning bismillah juala pildun</v>
      </c>
    </row>
    <row r="13757" ht="15.75" customHeight="1">
      <c r="A13757" s="1">
        <v>15232.0</v>
      </c>
      <c r="B13757" s="3" t="s">
        <v>39054</v>
      </c>
      <c r="C13757" s="3">
        <v>0.0</v>
      </c>
      <c r="D13757" s="3">
        <v>0.0</v>
      </c>
      <c r="E13757" s="3">
        <v>0.0</v>
      </c>
      <c r="F13757" s="3" t="s">
        <v>39055</v>
      </c>
      <c r="G13757" s="3">
        <v>1.0</v>
      </c>
      <c r="H13757" s="3">
        <v>0.0</v>
      </c>
      <c r="I13757" s="3" t="s">
        <v>13</v>
      </c>
      <c r="J13757" s="3" t="s">
        <v>39056</v>
      </c>
      <c r="K13757" s="3" t="s">
        <v>433</v>
      </c>
      <c r="L13757" s="3" t="str">
        <f>IFERROR(__xludf.DUMMYFUNCTION("GOOGLETRANSLATE(F13757,""id"",""en"")"),"This Pilduun final is crazy, anyone who wins, but still hopes that Argentina will win Messi Champion")</f>
        <v>This Pilduun final is crazy, anyone who wins, but still hopes that Argentina will win Messi Champion</v>
      </c>
    </row>
    <row r="13758" ht="15.75" customHeight="1">
      <c r="A13758" s="1">
        <v>15233.0</v>
      </c>
      <c r="B13758" s="3" t="s">
        <v>39057</v>
      </c>
      <c r="C13758" s="3">
        <v>0.0</v>
      </c>
      <c r="D13758" s="3">
        <v>0.0</v>
      </c>
      <c r="E13758" s="3">
        <v>0.0</v>
      </c>
      <c r="F13758" s="3" t="s">
        <v>39058</v>
      </c>
      <c r="G13758" s="3">
        <v>0.0</v>
      </c>
      <c r="H13758" s="3">
        <v>0.0</v>
      </c>
      <c r="I13758" s="3" t="s">
        <v>13</v>
      </c>
      <c r="J13758" s="3" t="s">
        <v>39059</v>
      </c>
      <c r="K13758" s="3" t="s">
        <v>71</v>
      </c>
      <c r="L13758" s="3" t="str">
        <f>IFERROR(__xludf.DUMMYFUNCTION("GOOGLETRANSLATE(F13758,""id"",""en"")"),"Already so well, yeah, the Argentina Husband Husband at the beginning")</f>
        <v>Already so well, yeah, the Argentina Husband Husband at the beginning</v>
      </c>
    </row>
    <row r="13759" ht="15.75" customHeight="1">
      <c r="A13759" s="1">
        <v>15234.0</v>
      </c>
      <c r="B13759" s="3" t="s">
        <v>39060</v>
      </c>
      <c r="C13759" s="3">
        <v>1.0</v>
      </c>
      <c r="D13759" s="3">
        <v>0.0</v>
      </c>
      <c r="E13759" s="3">
        <v>0.0</v>
      </c>
      <c r="F13759" s="3" t="s">
        <v>39061</v>
      </c>
      <c r="G13759" s="3">
        <v>1.0</v>
      </c>
      <c r="H13759" s="3">
        <v>0.0</v>
      </c>
      <c r="I13759" s="3" t="s">
        <v>13</v>
      </c>
      <c r="J13759" s="3" t="s">
        <v>39062</v>
      </c>
      <c r="K13759" s="3" t="s">
        <v>633</v>
      </c>
      <c r="L13759" s="3" t="str">
        <f>IFERROR(__xludf.DUMMYFUNCTION("GOOGLETRANSLATE(F13759,""id"",""en"")"),"If from the beginning before starting the Pilduun choosing Argentina, but when the preliminary elimination supports the final Morocco, I want Argentina to win and vote but this heart is more French")</f>
        <v>If from the beginning before starting the Pilduun choosing Argentina, but when the preliminary elimination supports the final Morocco, I want Argentina to win and vote but this heart is more French</v>
      </c>
    </row>
    <row r="13760" ht="15.75" customHeight="1">
      <c r="A13760" s="1">
        <v>15235.0</v>
      </c>
      <c r="B13760" s="3" t="s">
        <v>39063</v>
      </c>
      <c r="C13760" s="3">
        <v>0.0</v>
      </c>
      <c r="D13760" s="3">
        <v>0.0</v>
      </c>
      <c r="E13760" s="3">
        <v>0.0</v>
      </c>
      <c r="F13760" s="3" t="s">
        <v>39064</v>
      </c>
      <c r="G13760" s="3">
        <v>0.0</v>
      </c>
      <c r="H13760" s="3">
        <v>0.0</v>
      </c>
      <c r="I13760" s="3" t="s">
        <v>13</v>
      </c>
      <c r="J13760" s="3" t="s">
        <v>39065</v>
      </c>
      <c r="K13760" s="3" t="s">
        <v>19</v>
      </c>
      <c r="L13760" s="3" t="str">
        <f>IFERROR(__xludf.DUMMYFUNCTION("GOOGLETRANSLATE(F13760,""id"",""en"")"),"Anjrr Bismillah Manifesting This Agentina will win this time for Pilduun this time for Messi and Argentina Aamiin")</f>
        <v>Anjrr Bismillah Manifesting This Agentina will win this time for Pilduun this time for Messi and Argentina Aamiin</v>
      </c>
    </row>
    <row r="13761" ht="15.75" customHeight="1">
      <c r="A13761" s="1">
        <v>15236.0</v>
      </c>
      <c r="B13761" s="3" t="s">
        <v>39066</v>
      </c>
      <c r="C13761" s="3">
        <v>1.0</v>
      </c>
      <c r="D13761" s="3">
        <v>0.0</v>
      </c>
      <c r="E13761" s="3">
        <v>0.0</v>
      </c>
      <c r="F13761" s="3" t="s">
        <v>39067</v>
      </c>
      <c r="G13761" s="3">
        <v>0.55</v>
      </c>
      <c r="H13761" s="3">
        <v>0.35</v>
      </c>
      <c r="I13761" s="3" t="s">
        <v>48</v>
      </c>
      <c r="J13761" s="3" t="s">
        <v>39068</v>
      </c>
      <c r="K13761" s="3" t="s">
        <v>433</v>
      </c>
      <c r="L13761" s="3" t="str">
        <f>IFERROR(__xludf.DUMMYFUNCTION("GOOGLETRANSLATE(F13761,""id"",""en"")"),"This time it didn't attract this time to win Argentina, Kasian Bang Dodo Francee won full smile.")</f>
        <v>This time it didn't attract this time to win Argentina, Kasian Bang Dodo Francee won full smile.</v>
      </c>
    </row>
    <row r="13762" ht="15.75" customHeight="1">
      <c r="A13762" s="1">
        <v>15237.0</v>
      </c>
      <c r="B13762" s="3" t="s">
        <v>39069</v>
      </c>
      <c r="C13762" s="3">
        <v>0.0</v>
      </c>
      <c r="D13762" s="3">
        <v>0.0</v>
      </c>
      <c r="E13762" s="3">
        <v>0.0</v>
      </c>
      <c r="F13762" s="3" t="s">
        <v>39070</v>
      </c>
      <c r="G13762" s="3">
        <v>0.0</v>
      </c>
      <c r="H13762" s="3">
        <v>0.0</v>
      </c>
      <c r="I13762" s="3" t="s">
        <v>13</v>
      </c>
      <c r="J13762" s="3" t="s">
        <v>39071</v>
      </c>
      <c r="K13762" s="3" t="s">
        <v>644</v>
      </c>
      <c r="L13762" s="3" t="str">
        <f>IFERROR(__xludf.DUMMYFUNCTION("GOOGLETRANSLATE(F13762,""id"",""en"")"),"This year Argentina wins Pildun")</f>
        <v>This year Argentina wins Pildun</v>
      </c>
    </row>
    <row r="13763" ht="15.75" customHeight="1">
      <c r="A13763" s="1">
        <v>15238.0</v>
      </c>
      <c r="B13763" s="3" t="s">
        <v>39072</v>
      </c>
      <c r="C13763" s="3">
        <v>1.0</v>
      </c>
      <c r="D13763" s="3">
        <v>0.0</v>
      </c>
      <c r="E13763" s="3">
        <v>0.0</v>
      </c>
      <c r="F13763" s="3" t="s">
        <v>39073</v>
      </c>
      <c r="G13763" s="3">
        <v>0.0</v>
      </c>
      <c r="H13763" s="3">
        <v>0.0</v>
      </c>
      <c r="I13763" s="3" t="s">
        <v>13</v>
      </c>
      <c r="J13763" s="3" t="s">
        <v>39074</v>
      </c>
      <c r="K13763" s="3" t="s">
        <v>441</v>
      </c>
      <c r="L13763" s="3" t="str">
        <f>IFERROR(__xludf.DUMMYFUNCTION("GOOGLETRANSLATE(F13763,""id"",""en"")"),"Argentina has already been a penalty of this pildun almost every game that gets a penalty because France gets a penalty time will argue this settings if mbappe goalin Antina has won.")</f>
        <v>Argentina has already been a penalty of this pildun almost every game that gets a penalty because France gets a penalty time will argue this settings if mbappe goalin Antina has won.</v>
      </c>
    </row>
    <row r="13764" ht="15.75" customHeight="1">
      <c r="A13764" s="1">
        <v>15239.0</v>
      </c>
      <c r="B13764" s="3" t="s">
        <v>39075</v>
      </c>
      <c r="C13764" s="3">
        <v>0.0</v>
      </c>
      <c r="D13764" s="3">
        <v>0.0</v>
      </c>
      <c r="E13764" s="3">
        <v>0.0</v>
      </c>
      <c r="F13764" s="3" t="s">
        <v>39076</v>
      </c>
      <c r="G13764" s="3">
        <v>0.0</v>
      </c>
      <c r="H13764" s="3">
        <v>0.0</v>
      </c>
      <c r="I13764" s="3" t="s">
        <v>13</v>
      </c>
      <c r="J13764" s="3" t="s">
        <v>39077</v>
      </c>
      <c r="K13764" s="3" t="s">
        <v>240</v>
      </c>
      <c r="L13764" s="3" t="str">
        <f>IFERROR(__xludf.DUMMYFUNCTION("GOOGLETRANSLATE(F13764,""id"",""en"")"),"Next, hopefully don't wake up because of a strange voice watching Pildun want France to win then Argentina is okay")</f>
        <v>Next, hopefully don't wake up because of a strange voice watching Pildun want France to win then Argentina is okay</v>
      </c>
    </row>
    <row r="13765" ht="15.75" customHeight="1">
      <c r="A13765" s="1">
        <v>15240.0</v>
      </c>
      <c r="B13765" s="3" t="s">
        <v>39078</v>
      </c>
      <c r="C13765" s="3">
        <v>1.0</v>
      </c>
      <c r="D13765" s="3">
        <v>0.0</v>
      </c>
      <c r="E13765" s="3">
        <v>0.0</v>
      </c>
      <c r="F13765" s="3" t="s">
        <v>39079</v>
      </c>
      <c r="G13765" s="3">
        <v>0.0</v>
      </c>
      <c r="H13765" s="3">
        <v>0.0</v>
      </c>
      <c r="I13765" s="3" t="s">
        <v>13</v>
      </c>
      <c r="J13765" s="3" t="s">
        <v>39080</v>
      </c>
      <c r="K13765" s="3" t="s">
        <v>15</v>
      </c>
      <c r="L13765" s="3" t="str">
        <f>IFERROR(__xludf.DUMMYFUNCTION("GOOGLETRANSLATE(F13765,""id"",""en"")"),"I pray that Argentina wins PILDUN Will my prayer be heard and Ijabah")</f>
        <v>I pray that Argentina wins PILDUN Will my prayer be heard and Ijabah</v>
      </c>
    </row>
    <row r="13766" ht="15.75" customHeight="1">
      <c r="A13766" s="1">
        <v>15241.0</v>
      </c>
      <c r="B13766" s="3" t="s">
        <v>39081</v>
      </c>
      <c r="C13766" s="3">
        <v>0.0</v>
      </c>
      <c r="D13766" s="3">
        <v>0.0</v>
      </c>
      <c r="E13766" s="3">
        <v>0.0</v>
      </c>
      <c r="F13766" s="3" t="s">
        <v>39082</v>
      </c>
      <c r="G13766" s="3">
        <v>0.0</v>
      </c>
      <c r="H13766" s="3">
        <v>0.0</v>
      </c>
      <c r="I13766" s="3" t="s">
        <v>13</v>
      </c>
      <c r="J13766" s="3" t="s">
        <v>39083</v>
      </c>
      <c r="K13766" s="3" t="s">
        <v>31</v>
      </c>
      <c r="L13766" s="3" t="str">
        <f>IFERROR(__xludf.DUMMYFUNCTION("GOOGLETRANSLATE(F13766,""id"",""en"")"),"This year's prediction Argentina wins Pildun")</f>
        <v>This year's prediction Argentina wins Pildun</v>
      </c>
    </row>
    <row r="13767" ht="15.75" customHeight="1">
      <c r="A13767" s="1">
        <v>15242.0</v>
      </c>
      <c r="B13767" s="3" t="s">
        <v>39084</v>
      </c>
      <c r="C13767" s="3">
        <v>0.0</v>
      </c>
      <c r="D13767" s="3">
        <v>0.0</v>
      </c>
      <c r="E13767" s="3">
        <v>0.0</v>
      </c>
      <c r="F13767" s="3" t="s">
        <v>39085</v>
      </c>
      <c r="G13767" s="3">
        <v>1.0</v>
      </c>
      <c r="H13767" s="3">
        <v>0.0</v>
      </c>
      <c r="I13767" s="3" t="s">
        <v>13</v>
      </c>
      <c r="J13767" s="3" t="s">
        <v>39086</v>
      </c>
      <c r="K13767" s="3" t="s">
        <v>82</v>
      </c>
      <c r="L13767" s="3" t="str">
        <f>IFERROR(__xludf.DUMMYFUNCTION("GOOGLETRANSLATE(F13767,""id"",""en"")"),"This Pildun final is very epics if Pinlati and Argentina wins")</f>
        <v>This Pildun final is very epics if Pinlati and Argentina wins</v>
      </c>
    </row>
    <row r="13768" ht="15.75" customHeight="1">
      <c r="A13768" s="1">
        <v>15243.0</v>
      </c>
      <c r="B13768" s="3" t="s">
        <v>39087</v>
      </c>
      <c r="C13768" s="3">
        <v>0.0</v>
      </c>
      <c r="D13768" s="3">
        <v>0.0</v>
      </c>
      <c r="E13768" s="3">
        <v>0.0</v>
      </c>
      <c r="F13768" s="3" t="s">
        <v>39087</v>
      </c>
      <c r="G13768" s="3">
        <v>0.0</v>
      </c>
      <c r="H13768" s="3">
        <v>0.0</v>
      </c>
      <c r="I13768" s="3" t="s">
        <v>13</v>
      </c>
      <c r="J13768" s="3" t="s">
        <v>39088</v>
      </c>
      <c r="K13768" s="3" t="s">
        <v>41</v>
      </c>
      <c r="L13768" s="3" t="str">
        <f>IFERROR(__xludf.DUMMYFUNCTION("GOOGLETRANSLATE(F13768,""id"",""en"")"),"Argentina just won the final offering PLS Messi participated")</f>
        <v>Argentina just won the final offering PLS Messi participated</v>
      </c>
    </row>
    <row r="13769" ht="15.75" customHeight="1">
      <c r="A13769" s="1">
        <v>15244.0</v>
      </c>
      <c r="B13769" s="3" t="s">
        <v>39089</v>
      </c>
      <c r="C13769" s="3">
        <v>0.0</v>
      </c>
      <c r="D13769" s="3">
        <v>0.0</v>
      </c>
      <c r="E13769" s="3">
        <v>1.0</v>
      </c>
      <c r="F13769" s="3" t="s">
        <v>39090</v>
      </c>
      <c r="G13769" s="3">
        <v>0.5</v>
      </c>
      <c r="H13769" s="3">
        <v>0.7</v>
      </c>
      <c r="I13769" s="3" t="s">
        <v>48</v>
      </c>
      <c r="J13769" s="3" t="s">
        <v>39091</v>
      </c>
      <c r="K13769" s="3" t="s">
        <v>437</v>
      </c>
      <c r="L13769" s="3" t="str">
        <f>IFERROR(__xludf.DUMMYFUNCTION("GOOGLETRANSLATE(F13769,""id"",""en"")"),"I submit the monitoring of mama's pildun with my father, just surprisingly still strong watching me waiting for the room hoping that Argentina wins")</f>
        <v>I submit the monitoring of mama's pildun with my father, just surprisingly still strong watching me waiting for the room hoping that Argentina wins</v>
      </c>
    </row>
    <row r="13770" ht="15.75" customHeight="1">
      <c r="A13770" s="1">
        <v>15245.0</v>
      </c>
      <c r="B13770" s="3" t="s">
        <v>39092</v>
      </c>
      <c r="C13770" s="3">
        <v>0.0</v>
      </c>
      <c r="D13770" s="3">
        <v>0.0</v>
      </c>
      <c r="E13770" s="3">
        <v>0.0</v>
      </c>
      <c r="F13770" s="3" t="s">
        <v>39093</v>
      </c>
      <c r="G13770" s="3">
        <v>1.0</v>
      </c>
      <c r="H13770" s="3">
        <v>0.0</v>
      </c>
      <c r="I13770" s="3" t="s">
        <v>13</v>
      </c>
      <c r="J13770" s="3" t="s">
        <v>39094</v>
      </c>
      <c r="K13770" s="3" t="s">
        <v>123</v>
      </c>
      <c r="L13770" s="3" t="str">
        <f>IFERROR(__xludf.DUMMYFUNCTION("GOOGLETRANSLATE(F13770,""id"",""en"")"),"Final Pildun Exciting Euy if Argentina immediately won Messi Perfect as a player already won the level of competition")</f>
        <v>Final Pildun Exciting Euy if Argentina immediately won Messi Perfect as a player already won the level of competition</v>
      </c>
    </row>
    <row r="13771" ht="15.75" customHeight="1">
      <c r="A13771" s="1">
        <v>15246.0</v>
      </c>
      <c r="B13771" s="3" t="s">
        <v>39095</v>
      </c>
      <c r="C13771" s="3">
        <v>0.0</v>
      </c>
      <c r="D13771" s="3">
        <v>0.0</v>
      </c>
      <c r="E13771" s="3">
        <v>0.0</v>
      </c>
      <c r="F13771" s="3" t="s">
        <v>39096</v>
      </c>
      <c r="G13771" s="3">
        <v>0.0</v>
      </c>
      <c r="H13771" s="3">
        <v>0.0</v>
      </c>
      <c r="I13771" s="3" t="s">
        <v>13</v>
      </c>
      <c r="J13771" s="3" t="s">
        <v>39097</v>
      </c>
      <c r="K13771" s="3" t="s">
        <v>50</v>
      </c>
      <c r="L13771" s="3" t="str">
        <f>IFERROR(__xludf.DUMMYFUNCTION("GOOGLETRANSLATE(F13771,""id"",""en"")"),"Forgive the servant of Allah already talking about Asdos when Pilduun SMG Argentina wins")</f>
        <v>Forgive the servant of Allah already talking about Asdos when Pilduun SMG Argentina wins</v>
      </c>
    </row>
    <row r="13772" ht="15.75" customHeight="1">
      <c r="A13772" s="1">
        <v>15247.0</v>
      </c>
      <c r="B13772" s="3" t="s">
        <v>39098</v>
      </c>
      <c r="C13772" s="3">
        <v>1.0</v>
      </c>
      <c r="D13772" s="3">
        <v>0.0</v>
      </c>
      <c r="E13772" s="3">
        <v>0.0</v>
      </c>
      <c r="F13772" s="3" t="s">
        <v>39099</v>
      </c>
      <c r="G13772" s="3">
        <v>0.0</v>
      </c>
      <c r="H13772" s="3">
        <v>0.0</v>
      </c>
      <c r="I13772" s="3" t="s">
        <v>13</v>
      </c>
      <c r="J13772" s="3" t="s">
        <v>39100</v>
      </c>
      <c r="K13772" s="3" t="s">
        <v>4236</v>
      </c>
      <c r="L13772" s="3" t="str">
        <f>IFERROR(__xludf.DUMMYFUNCTION("GOOGLETRANSLATE(F13772,""id"",""en"")"),"What fans of the ball desired were me, including me, there were many who wanted Argentina to win the speculation that my desired flow of many ball fans would be damaged again this time by France and France would win the pildun back back")</f>
        <v>What fans of the ball desired were me, including me, there were many who wanted Argentina to win the speculation that my desired flow of many ball fans would be damaged again this time by France and France would win the pildun back back</v>
      </c>
    </row>
    <row r="13773" ht="15.75" customHeight="1">
      <c r="A13773" s="1">
        <v>15248.0</v>
      </c>
      <c r="B13773" s="3" t="s">
        <v>39101</v>
      </c>
      <c r="C13773" s="3">
        <v>1.0</v>
      </c>
      <c r="D13773" s="3">
        <v>0.0</v>
      </c>
      <c r="E13773" s="3">
        <v>0.0</v>
      </c>
      <c r="F13773" s="3" t="s">
        <v>39102</v>
      </c>
      <c r="G13773" s="3">
        <v>1.0</v>
      </c>
      <c r="H13773" s="3">
        <v>0.0</v>
      </c>
      <c r="I13773" s="3" t="s">
        <v>13</v>
      </c>
      <c r="J13773" s="3" t="s">
        <v>39103</v>
      </c>
      <c r="K13773" s="3" t="s">
        <v>426</v>
      </c>
      <c r="L13773" s="3" t="str">
        <f>IFERROR(__xludf.DUMMYFUNCTION("GOOGLETRANSLATE(F13773,""id"",""en"")"),"Even though but I feel and really sure I will fight for a penalty if not France comeback why I say France is comeback even though many people speculate Messi won because this is the last pildun remembering Morocco damaged the Argentine Final Final Flow")</f>
        <v>Even though but I feel and really sure I will fight for a penalty if not France comeback why I say France is comeback even though many people speculate Messi won because this is the last pildun remembering Morocco damaged the Argentine Final Final Flow</v>
      </c>
    </row>
    <row r="13774" ht="15.75" customHeight="1">
      <c r="A13774" s="1">
        <v>15249.0</v>
      </c>
      <c r="B13774" s="3" t="s">
        <v>39104</v>
      </c>
      <c r="C13774" s="3">
        <v>1.0</v>
      </c>
      <c r="D13774" s="3">
        <v>0.0</v>
      </c>
      <c r="E13774" s="3">
        <v>1.0</v>
      </c>
      <c r="F13774" s="3" t="s">
        <v>39105</v>
      </c>
      <c r="G13774" s="3">
        <v>0.0</v>
      </c>
      <c r="H13774" s="3">
        <v>0.0</v>
      </c>
      <c r="I13774" s="3" t="s">
        <v>13</v>
      </c>
      <c r="J13774" s="3" t="s">
        <v>39106</v>
      </c>
      <c r="K13774" s="3" t="s">
        <v>2215</v>
      </c>
      <c r="L13774" s="3" t="str">
        <f>IFERROR(__xludf.DUMMYFUNCTION("GOOGLETRANSLATE(F13774,""id"",""en"")"),"It's fun, if France wins my theory, it takes effect if Argentina wins the curse")</f>
        <v>It's fun, if France wins my theory, it takes effect if Argentina wins the curse</v>
      </c>
    </row>
    <row r="13775" ht="15.75" customHeight="1">
      <c r="A13775" s="1">
        <v>15250.0</v>
      </c>
      <c r="B13775" s="3" t="s">
        <v>39107</v>
      </c>
      <c r="C13775" s="3">
        <v>0.0</v>
      </c>
      <c r="D13775" s="3">
        <v>0.0</v>
      </c>
      <c r="E13775" s="3">
        <v>0.0</v>
      </c>
      <c r="F13775" s="3" t="s">
        <v>39108</v>
      </c>
      <c r="G13775" s="3">
        <v>0.9166666666666667</v>
      </c>
      <c r="H13775" s="3">
        <v>-0.2833333333333333</v>
      </c>
      <c r="I13775" s="3" t="s">
        <v>179</v>
      </c>
      <c r="J13775" s="3" t="s">
        <v>39109</v>
      </c>
      <c r="K13775" s="3" t="s">
        <v>286</v>
      </c>
      <c r="L13775" s="3" t="str">
        <f>IFERROR(__xludf.DUMMYFUNCTION("GOOGLETRANSLATE(F13775,""id"",""en"")"),"Jancuk overslept, just a minute, because the game was boring already confident, Argentina would win Easy, I woke up, I was levy.")</f>
        <v>Jancuk overslept, just a minute, because the game was boring already confident, Argentina would win Easy, I woke up, I was levy.</v>
      </c>
    </row>
    <row r="13776" ht="15.75" customHeight="1">
      <c r="A13776" s="1">
        <v>15251.0</v>
      </c>
      <c r="B13776" s="3" t="s">
        <v>39110</v>
      </c>
      <c r="C13776" s="3">
        <v>0.0</v>
      </c>
      <c r="D13776" s="3">
        <v>0.0</v>
      </c>
      <c r="E13776" s="3">
        <v>0.0</v>
      </c>
      <c r="F13776" s="3" t="s">
        <v>39111</v>
      </c>
      <c r="G13776" s="3">
        <v>0.0</v>
      </c>
      <c r="H13776" s="3">
        <v>0.0</v>
      </c>
      <c r="I13776" s="3" t="s">
        <v>13</v>
      </c>
      <c r="J13776" s="3" t="s">
        <v>39112</v>
      </c>
      <c r="K13776" s="3" t="s">
        <v>2215</v>
      </c>
      <c r="L13776" s="3" t="str">
        <f>IFERROR(__xludf.DUMMYFUNCTION("GOOGLETRANSLATE(F13776,""id"",""en"")"),"nobar pildun with father both of them are Argentina's father I FRANCE WHO RUCK WIND")</f>
        <v>nobar pildun with father both of them are Argentina's father I FRANCE WHO RUCK WIND</v>
      </c>
    </row>
    <row r="13777" ht="15.75" customHeight="1">
      <c r="A13777" s="1">
        <v>15252.0</v>
      </c>
      <c r="B13777" s="3" t="s">
        <v>39113</v>
      </c>
      <c r="C13777" s="3">
        <v>0.0</v>
      </c>
      <c r="D13777" s="3">
        <v>0.0</v>
      </c>
      <c r="E13777" s="3">
        <v>0.0</v>
      </c>
      <c r="F13777" s="3" t="s">
        <v>39114</v>
      </c>
      <c r="G13777" s="3">
        <v>0.5</v>
      </c>
      <c r="H13777" s="3">
        <v>0.1363636363636364</v>
      </c>
      <c r="I13777" s="3" t="s">
        <v>48</v>
      </c>
      <c r="J13777" s="3" t="s">
        <v>39115</v>
      </c>
      <c r="K13777" s="3" t="s">
        <v>699</v>
      </c>
      <c r="L13777" s="3" t="str">
        <f>IFERROR(__xludf.DUMMYFUNCTION("GOOGLETRANSLATE(F13777,""id"",""en"")"),"Watching this Pildun there is Live Reports All from Google Trs Daritadi Winning Argentina Trs Keppe Bgt France Oui Baguette")</f>
        <v>Watching this Pildun there is Live Reports All from Google Trs Daritadi Winning Argentina Trs Keppe Bgt France Oui Baguette</v>
      </c>
    </row>
    <row r="13778" ht="15.75" customHeight="1">
      <c r="A13778" s="1">
        <v>15253.0</v>
      </c>
      <c r="B13778" s="3" t="s">
        <v>39116</v>
      </c>
      <c r="C13778" s="3">
        <v>0.0</v>
      </c>
      <c r="D13778" s="3">
        <v>0.0</v>
      </c>
      <c r="E13778" s="3">
        <v>0.0</v>
      </c>
      <c r="F13778" s="3" t="s">
        <v>39117</v>
      </c>
      <c r="G13778" s="3">
        <v>0.0</v>
      </c>
      <c r="H13778" s="3">
        <v>0.0</v>
      </c>
      <c r="I13778" s="3" t="s">
        <v>13</v>
      </c>
      <c r="J13778" s="3" t="s">
        <v>39118</v>
      </c>
      <c r="K13778" s="3" t="s">
        <v>308</v>
      </c>
      <c r="L13778" s="3" t="str">
        <f>IFERROR(__xludf.DUMMYFUNCTION("GOOGLETRANSLATE(F13778,""id"",""en"")"),"France has no desire for champions because I have won Argentina playing more because of the last pile of Messi PGN gave the last trophy for Messi")</f>
        <v>France has no desire for champions because I have won Argentina playing more because of the last pile of Messi PGN gave the last trophy for Messi</v>
      </c>
    </row>
    <row r="13779" ht="15.75" customHeight="1">
      <c r="A13779" s="1">
        <v>15254.0</v>
      </c>
      <c r="B13779" s="3" t="s">
        <v>39119</v>
      </c>
      <c r="C13779" s="3">
        <v>1.0</v>
      </c>
      <c r="D13779" s="3">
        <v>0.0</v>
      </c>
      <c r="E13779" s="3">
        <v>0.0</v>
      </c>
      <c r="F13779" s="3" t="s">
        <v>39120</v>
      </c>
      <c r="G13779" s="3">
        <v>0.0</v>
      </c>
      <c r="H13779" s="3">
        <v>0.0</v>
      </c>
      <c r="I13779" s="3" t="s">
        <v>13</v>
      </c>
      <c r="J13779" s="3" t="s">
        <v>39121</v>
      </c>
      <c r="K13779" s="3" t="s">
        <v>495</v>
      </c>
      <c r="L13779" s="3" t="str">
        <f>IFERROR(__xludf.DUMMYFUNCTION("GOOGLETRANSLATE(F13779,""id"",""en"")"),"Min, and this is already a prediction of people all over the world of public, if Argentina will get a penalty and win Pilduun Aje crazy")</f>
        <v>Min, and this is already a prediction of people all over the world of public, if Argentina will get a penalty and win Pilduun Aje crazy</v>
      </c>
    </row>
    <row r="13780" ht="15.75" customHeight="1">
      <c r="A13780" s="1">
        <v>15255.0</v>
      </c>
      <c r="B13780" s="3" t="s">
        <v>39122</v>
      </c>
      <c r="C13780" s="3">
        <v>0.0</v>
      </c>
      <c r="D13780" s="3">
        <v>0.0</v>
      </c>
      <c r="E13780" s="3">
        <v>0.0</v>
      </c>
      <c r="F13780" s="3" t="s">
        <v>39123</v>
      </c>
      <c r="G13780" s="3">
        <v>0.0</v>
      </c>
      <c r="H13780" s="3">
        <v>0.0</v>
      </c>
      <c r="I13780" s="3" t="s">
        <v>13</v>
      </c>
      <c r="J13780" s="3" t="s">
        <v>39124</v>
      </c>
      <c r="K13780" s="3" t="s">
        <v>510</v>
      </c>
      <c r="L13780" s="3" t="str">
        <f>IFERROR(__xludf.DUMMYFUNCTION("GOOGLETRANSLATE(F13780,""id"",""en"")"),"I am dizzy, see my friend who is a guy who is pilingun, hopefully Argentina wins")</f>
        <v>I am dizzy, see my friend who is a guy who is pilingun, hopefully Argentina wins</v>
      </c>
    </row>
    <row r="13781" ht="15.75" customHeight="1">
      <c r="A13781" s="1">
        <v>15256.0</v>
      </c>
      <c r="B13781" s="3" t="s">
        <v>39125</v>
      </c>
      <c r="C13781" s="3">
        <v>0.0</v>
      </c>
      <c r="D13781" s="3">
        <v>0.0</v>
      </c>
      <c r="E13781" s="3">
        <v>0.0</v>
      </c>
      <c r="F13781" s="3" t="s">
        <v>39126</v>
      </c>
      <c r="G13781" s="3">
        <v>0.6</v>
      </c>
      <c r="H13781" s="3">
        <v>-0.1</v>
      </c>
      <c r="I13781" s="3" t="s">
        <v>179</v>
      </c>
      <c r="J13781" s="3" t="s">
        <v>39127</v>
      </c>
      <c r="K13781" s="3" t="s">
        <v>2087</v>
      </c>
      <c r="L13781" s="3" t="str">
        <f>IFERROR(__xludf.DUMMYFUNCTION("GOOGLETRANSLATE(F13781,""id"",""en"")"),"Brazil is severe, at least Argentina can let me be sincere dogs if not Agen who won the pildun this year is sad Neymar, already a kick Ronaldo too yes, let's Messi, you can definitely muke nye red if you play the ball btw now the score is still AGGAN PRAN")</f>
        <v>Brazil is severe, at least Argentina can let me be sincere dogs if not Agen who won the pildun this year is sad Neymar, already a kick Ronaldo too yes, let's Messi, you can definitely muke nye red if you play the ball btw now the score is still AGGAN PRAN</v>
      </c>
    </row>
    <row r="13782" ht="15.75" customHeight="1">
      <c r="A13782" s="1">
        <v>15257.0</v>
      </c>
      <c r="B13782" s="3" t="s">
        <v>39128</v>
      </c>
      <c r="C13782" s="3">
        <v>0.0</v>
      </c>
      <c r="D13782" s="3">
        <v>0.0</v>
      </c>
      <c r="E13782" s="3">
        <v>0.0</v>
      </c>
      <c r="F13782" s="3" t="s">
        <v>39129</v>
      </c>
      <c r="G13782" s="3">
        <v>0.0</v>
      </c>
      <c r="H13782" s="3">
        <v>0.0</v>
      </c>
      <c r="I13782" s="3" t="s">
        <v>13</v>
      </c>
      <c r="J13782" s="3" t="s">
        <v>39130</v>
      </c>
      <c r="K13782" s="3" t="s">
        <v>41</v>
      </c>
      <c r="L13782" s="3" t="str">
        <f>IFERROR(__xludf.DUMMYFUNCTION("GOOGLETRANSLATE(F13782,""id"",""en"")"),"If Argentina wins Pilduun Fix Messi's skill is above Ronaldo")</f>
        <v>If Argentina wins Pilduun Fix Messi's skill is above Ronaldo</v>
      </c>
    </row>
    <row r="13783" ht="15.75" customHeight="1">
      <c r="A13783" s="1">
        <v>15258.0</v>
      </c>
      <c r="B13783" s="3" t="s">
        <v>39131</v>
      </c>
      <c r="C13783" s="3">
        <v>0.0</v>
      </c>
      <c r="D13783" s="3">
        <v>0.0</v>
      </c>
      <c r="E13783" s="3">
        <v>0.0</v>
      </c>
      <c r="F13783" s="3" t="s">
        <v>39131</v>
      </c>
      <c r="G13783" s="3">
        <v>0.0</v>
      </c>
      <c r="H13783" s="3">
        <v>0.0</v>
      </c>
      <c r="I13783" s="3" t="s">
        <v>13</v>
      </c>
      <c r="J13783" s="3" t="s">
        <v>39132</v>
      </c>
      <c r="K13783" s="3" t="s">
        <v>644</v>
      </c>
      <c r="L13783" s="3" t="str">
        <f>IFERROR(__xludf.DUMMYFUNCTION("GOOGLETRANSLATE(F13783,""id"",""en"")"),"No Babibu Argentina Wins Pildun")</f>
        <v>No Babibu Argentina Wins Pildun</v>
      </c>
    </row>
    <row r="13784" ht="15.75" customHeight="1">
      <c r="A13784" s="1">
        <v>15259.0</v>
      </c>
      <c r="B13784" s="3" t="s">
        <v>39133</v>
      </c>
      <c r="C13784" s="3">
        <v>0.0</v>
      </c>
      <c r="D13784" s="3">
        <v>0.0</v>
      </c>
      <c r="E13784" s="3">
        <v>0.0</v>
      </c>
      <c r="F13784" s="3" t="s">
        <v>39134</v>
      </c>
      <c r="G13784" s="3">
        <v>0.0</v>
      </c>
      <c r="H13784" s="3">
        <v>0.0</v>
      </c>
      <c r="I13784" s="3" t="s">
        <v>13</v>
      </c>
      <c r="J13784" s="3" t="s">
        <v>39135</v>
      </c>
      <c r="K13784" s="3" t="s">
        <v>437</v>
      </c>
      <c r="L13784" s="3" t="str">
        <f>IFERROR(__xludf.DUMMYFUNCTION("GOOGLETRANSLATE(F13784,""id"",""en"")"),"If Argentina champions become a flashback when Spain wins the pildun and losing the first match of the group phase")</f>
        <v>If Argentina champions become a flashback when Spain wins the pildun and losing the first match of the group phase</v>
      </c>
    </row>
    <row r="13785" ht="15.75" customHeight="1">
      <c r="A13785" s="1">
        <v>15260.0</v>
      </c>
      <c r="B13785" s="3" t="s">
        <v>39136</v>
      </c>
      <c r="C13785" s="3">
        <v>1.0</v>
      </c>
      <c r="D13785" s="3">
        <v>0.0</v>
      </c>
      <c r="E13785" s="3">
        <v>1.0</v>
      </c>
      <c r="F13785" s="3" t="s">
        <v>39137</v>
      </c>
      <c r="G13785" s="3">
        <v>0.3916666666666667</v>
      </c>
      <c r="H13785" s="3">
        <v>-0.4166666666666667</v>
      </c>
      <c r="I13785" s="3" t="s">
        <v>179</v>
      </c>
      <c r="J13785" s="3" t="s">
        <v>39138</v>
      </c>
      <c r="K13785" s="3" t="s">
        <v>1086</v>
      </c>
      <c r="L13785" s="3" t="str">
        <f>IFERROR(__xludf.DUMMYFUNCTION("GOOGLETRANSLATE(F13785,""id"",""en"")"),"STAGES GRIEF FINAL PILDUN VERSION DENIAL DIVING GAMG GAME THERE Anger TAIIIII GOIND GOPE BARGGG BARGAINING HMMM GPP MAS HALF TIME Depression remaining minutes Masi Acceptance")</f>
        <v>STAGES GRIEF FINAL PILDUN VERSION DENIAL DIVING GAMG GAME THERE Anger TAIIIII GOIND GOPE BARGGG BARGAINING HMMM GPP MAS HALF TIME Depression remaining minutes Masi Acceptance</v>
      </c>
    </row>
    <row r="13786" ht="15.75" customHeight="1">
      <c r="A13786" s="1">
        <v>15261.0</v>
      </c>
      <c r="B13786" s="3" t="s">
        <v>39139</v>
      </c>
      <c r="C13786" s="3">
        <v>0.0</v>
      </c>
      <c r="D13786" s="3">
        <v>0.0</v>
      </c>
      <c r="E13786" s="3">
        <v>0.0</v>
      </c>
      <c r="F13786" s="3" t="s">
        <v>39140</v>
      </c>
      <c r="G13786" s="3">
        <v>0.0</v>
      </c>
      <c r="H13786" s="3">
        <v>0.0</v>
      </c>
      <c r="I13786" s="3" t="s">
        <v>13</v>
      </c>
      <c r="J13786" s="3" t="s">
        <v>39141</v>
      </c>
      <c r="K13786" s="3" t="s">
        <v>10801</v>
      </c>
      <c r="L13786" s="3" t="str">
        <f>IFERROR(__xludf.DUMMYFUNCTION("GOOGLETRANSLATE(F13786,""id"",""en"")"),"Buy Hophop, I was told to guess the champion of the ball pilduun, but I followed the development by being lured by the Xbox prize, I finally asked for the SPG, you chose what he was, the France, Sis Baikla Kuiisi Jawapan Argentina, I entered the lottery b"&amp;"ox.")</f>
        <v>Buy Hophop, I was told to guess the champion of the ball pilduun, but I followed the development by being lured by the Xbox prize, I finally asked for the SPG, you chose what he was, the France, Sis Baikla Kuiisi Jawapan Argentina, I entered the lottery box.</v>
      </c>
    </row>
    <row r="13787" ht="15.75" customHeight="1">
      <c r="A13787" s="1">
        <v>15262.0</v>
      </c>
      <c r="B13787" s="3" t="s">
        <v>39142</v>
      </c>
      <c r="C13787" s="3">
        <v>1.0</v>
      </c>
      <c r="D13787" s="3">
        <v>0.0</v>
      </c>
      <c r="E13787" s="3">
        <v>0.0</v>
      </c>
      <c r="F13787" s="3" t="s">
        <v>39143</v>
      </c>
      <c r="G13787" s="3">
        <v>0.4</v>
      </c>
      <c r="H13787" s="3">
        <v>0.2</v>
      </c>
      <c r="I13787" s="3" t="s">
        <v>48</v>
      </c>
      <c r="J13787" s="3" t="s">
        <v>39144</v>
      </c>
      <c r="K13787" s="3" t="s">
        <v>75</v>
      </c>
      <c r="L13787" s="3" t="str">
        <f>IFERROR(__xludf.DUMMYFUNCTION("GOOGLETRANSLATE(F13787,""id"",""en"")"),"hahaha Griezman, the most interesting person is just a pioneer but still Argentina must win")</f>
        <v>hahaha Griezman, the most interesting person is just a pioneer but still Argentina must win</v>
      </c>
    </row>
    <row r="13788" ht="15.75" customHeight="1">
      <c r="A13788" s="1">
        <v>15263.0</v>
      </c>
      <c r="B13788" s="3" t="s">
        <v>39145</v>
      </c>
      <c r="C13788" s="3">
        <v>1.0</v>
      </c>
      <c r="D13788" s="3">
        <v>0.0</v>
      </c>
      <c r="E13788" s="3">
        <v>0.0</v>
      </c>
      <c r="F13788" s="3" t="s">
        <v>39146</v>
      </c>
      <c r="G13788" s="3">
        <v>0.0</v>
      </c>
      <c r="H13788" s="3">
        <v>0.0</v>
      </c>
      <c r="I13788" s="3" t="s">
        <v>13</v>
      </c>
      <c r="J13788" s="3" t="s">
        <v>39147</v>
      </c>
      <c r="K13788" s="3" t="s">
        <v>90</v>
      </c>
      <c r="L13788" s="3" t="str">
        <f>IFERROR(__xludf.DUMMYFUNCTION("GOOGLETRANSLATE(F13788,""id"",""en"")"),"It turned out that I had followed Griezman from the era of Pilduun, when I memorized him, he was ouch now, I just realized that France was sorry, Argentina had to win this time")</f>
        <v>It turned out that I had followed Griezman from the era of Pilduun, when I memorized him, he was ouch now, I just realized that France was sorry, Argentina had to win this time</v>
      </c>
    </row>
    <row r="13789" ht="15.75" customHeight="1">
      <c r="A13789" s="1">
        <v>15264.0</v>
      </c>
      <c r="B13789" s="3" t="s">
        <v>39148</v>
      </c>
      <c r="C13789" s="3">
        <v>1.0</v>
      </c>
      <c r="D13789" s="3">
        <v>0.0</v>
      </c>
      <c r="E13789" s="3">
        <v>0.0</v>
      </c>
      <c r="F13789" s="3" t="s">
        <v>39149</v>
      </c>
      <c r="G13789" s="3">
        <v>1.0</v>
      </c>
      <c r="H13789" s="3">
        <v>0.0</v>
      </c>
      <c r="I13789" s="3" t="s">
        <v>13</v>
      </c>
      <c r="J13789" s="3" t="s">
        <v>39150</v>
      </c>
      <c r="K13789" s="3" t="s">
        <v>90</v>
      </c>
      <c r="L13789" s="3" t="str">
        <f>IFERROR(__xludf.DUMMYFUNCTION("GOOGLETRANSLATE(F13789,""id"",""en"")"),"This is Argentina, the Burik Squad like this can win the pildun I was surprised that I used to be Riquelme Zanetti Ayala Cambiasso.")</f>
        <v>This is Argentina, the Burik Squad like this can win the pildun I was surprised that I used to be Riquelme Zanetti Ayala Cambiasso.</v>
      </c>
    </row>
    <row r="13790" ht="15.75" customHeight="1">
      <c r="A13790" s="1">
        <v>15265.0</v>
      </c>
      <c r="B13790" s="3" t="s">
        <v>39151</v>
      </c>
      <c r="C13790" s="3">
        <v>0.0</v>
      </c>
      <c r="D13790" s="3">
        <v>0.0</v>
      </c>
      <c r="E13790" s="3">
        <v>0.0</v>
      </c>
      <c r="F13790" s="3" t="s">
        <v>39152</v>
      </c>
      <c r="G13790" s="3">
        <v>0.0</v>
      </c>
      <c r="H13790" s="3">
        <v>0.0</v>
      </c>
      <c r="I13790" s="3" t="s">
        <v>13</v>
      </c>
      <c r="J13790" s="3" t="s">
        <v>39153</v>
      </c>
      <c r="K13790" s="3" t="s">
        <v>15</v>
      </c>
      <c r="L13790" s="3" t="str">
        <f>IFERROR(__xludf.DUMMYFUNCTION("GOOGLETRANSLATE(F13790,""id"",""en"")"),"I hope Argentina wins so Messi can end his career pildun calmly")</f>
        <v>I hope Argentina wins so Messi can end his career pildun calmly</v>
      </c>
    </row>
    <row r="13791" ht="15.75" customHeight="1">
      <c r="A13791" s="1">
        <v>15266.0</v>
      </c>
      <c r="B13791" s="3" t="s">
        <v>39154</v>
      </c>
      <c r="C13791" s="3">
        <v>0.0</v>
      </c>
      <c r="D13791" s="3">
        <v>0.0</v>
      </c>
      <c r="E13791" s="3">
        <v>1.0</v>
      </c>
      <c r="F13791" s="3" t="s">
        <v>39155</v>
      </c>
      <c r="G13791" s="3">
        <v>0.0</v>
      </c>
      <c r="H13791" s="3">
        <v>0.0</v>
      </c>
      <c r="I13791" s="3" t="s">
        <v>13</v>
      </c>
      <c r="J13791" s="3" t="s">
        <v>39156</v>
      </c>
      <c r="K13791" s="3" t="s">
        <v>50</v>
      </c>
      <c r="L13791" s="3" t="str">
        <f>IFERROR(__xludf.DUMMYFUNCTION("GOOGLETRANSLATE(F13791,""id"",""en"")"),"pigs forbidden betting bets on their own contents btw argentina and definitely win wkkwwk")</f>
        <v>pigs forbidden betting bets on their own contents btw argentina and definitely win wkkwwk</v>
      </c>
    </row>
    <row r="13792" ht="15.75" customHeight="1">
      <c r="A13792" s="1">
        <v>15268.0</v>
      </c>
      <c r="B13792" s="3" t="s">
        <v>39157</v>
      </c>
      <c r="C13792" s="3">
        <v>0.0</v>
      </c>
      <c r="D13792" s="3">
        <v>0.0</v>
      </c>
      <c r="E13792" s="3">
        <v>0.0</v>
      </c>
      <c r="F13792" s="3" t="s">
        <v>39158</v>
      </c>
      <c r="G13792" s="3">
        <v>0.0</v>
      </c>
      <c r="H13792" s="3">
        <v>0.0</v>
      </c>
      <c r="I13792" s="3" t="s">
        <v>13</v>
      </c>
      <c r="J13792" s="3" t="s">
        <v>39159</v>
      </c>
      <c r="K13792" s="3" t="s">
        <v>82</v>
      </c>
      <c r="L13792" s="3" t="str">
        <f>IFERROR(__xludf.DUMMYFUNCTION("GOOGLETRANSLATE(F13792,""id"",""en"")"),"Drill if Argentina wins updates about pildun")</f>
        <v>Drill if Argentina wins updates about pildun</v>
      </c>
    </row>
    <row r="13793" ht="15.75" customHeight="1">
      <c r="A13793" s="1">
        <v>15269.0</v>
      </c>
      <c r="B13793" s="3" t="s">
        <v>39160</v>
      </c>
      <c r="C13793" s="3">
        <v>0.0</v>
      </c>
      <c r="D13793" s="3">
        <v>0.0</v>
      </c>
      <c r="E13793" s="3">
        <v>0.0</v>
      </c>
      <c r="F13793" s="3" t="s">
        <v>39161</v>
      </c>
      <c r="G13793" s="3">
        <v>1.0</v>
      </c>
      <c r="H13793" s="3">
        <v>0.0</v>
      </c>
      <c r="I13793" s="3" t="s">
        <v>13</v>
      </c>
      <c r="J13793" s="3" t="s">
        <v>39162</v>
      </c>
      <c r="K13793" s="3" t="s">
        <v>1428</v>
      </c>
      <c r="L13793" s="3" t="str">
        <f>IFERROR(__xludf.DUMMYFUNCTION("GOOGLETRANSLATE(F13793,""id"",""en"")"),"Udaah Argentina just won already France, the previous period was already cool, this was just cool, the round had won, fortunately there was a wifi subscribe to the video, I could follow the pildun until the final")</f>
        <v>Udaah Argentina just won already France, the previous period was already cool, this was just cool, the round had won, fortunately there was a wifi subscribe to the video, I could follow the pildun until the final</v>
      </c>
    </row>
    <row r="13794" ht="15.75" customHeight="1">
      <c r="A13794" s="1">
        <v>15270.0</v>
      </c>
      <c r="B13794" s="3" t="s">
        <v>39163</v>
      </c>
      <c r="C13794" s="3">
        <v>0.0</v>
      </c>
      <c r="D13794" s="3">
        <v>0.0</v>
      </c>
      <c r="E13794" s="3">
        <v>0.0</v>
      </c>
      <c r="F13794" s="3" t="s">
        <v>39164</v>
      </c>
      <c r="G13794" s="3">
        <v>0.0</v>
      </c>
      <c r="H13794" s="3">
        <v>0.0</v>
      </c>
      <c r="I13794" s="3" t="s">
        <v>13</v>
      </c>
      <c r="J13794" s="3" t="s">
        <v>39165</v>
      </c>
      <c r="K13794" s="3" t="s">
        <v>657</v>
      </c>
      <c r="L13794" s="3" t="str">
        <f>IFERROR(__xludf.DUMMYFUNCTION("GOOGLETRANSLATE(F13794,""id"",""en"")"),"Budi was fired by PSG, it seems like Messi cares about it, it is important to bring Argentina to win whatever the way and consequences")</f>
        <v>Budi was fired by PSG, it seems like Messi cares about it, it is important to bring Argentina to win whatever the way and consequences</v>
      </c>
    </row>
    <row r="13795" ht="15.75" customHeight="1">
      <c r="A13795" s="1">
        <v>15271.0</v>
      </c>
      <c r="B13795" s="3" t="s">
        <v>39166</v>
      </c>
      <c r="C13795" s="3">
        <v>0.0</v>
      </c>
      <c r="D13795" s="3">
        <v>0.0</v>
      </c>
      <c r="E13795" s="3">
        <v>0.0</v>
      </c>
      <c r="F13795" s="3" t="s">
        <v>39167</v>
      </c>
      <c r="G13795" s="3">
        <v>0.0</v>
      </c>
      <c r="H13795" s="3">
        <v>0.0</v>
      </c>
      <c r="I13795" s="3" t="s">
        <v>13</v>
      </c>
      <c r="J13795" s="3" t="s">
        <v>39168</v>
      </c>
      <c r="K13795" s="3" t="s">
        <v>244</v>
      </c>
      <c r="L13795" s="3" t="str">
        <f>IFERROR(__xludf.DUMMYFUNCTION("GOOGLETRANSLATE(F13795,""id"",""en"")"),"Udh changed Argentina won the pildun yesterday France has so that it is fair to turn it out")</f>
        <v>Udh changed Argentina won the pildun yesterday France has so that it is fair to turn it out</v>
      </c>
    </row>
    <row r="13796" ht="15.75" customHeight="1">
      <c r="A13796" s="1">
        <v>15272.0</v>
      </c>
      <c r="B13796" s="3" t="s">
        <v>39169</v>
      </c>
      <c r="C13796" s="3">
        <v>0.0</v>
      </c>
      <c r="D13796" s="3">
        <v>0.0</v>
      </c>
      <c r="E13796" s="3">
        <v>0.0</v>
      </c>
      <c r="F13796" s="3" t="s">
        <v>39170</v>
      </c>
      <c r="G13796" s="3">
        <v>0.06666666666666667</v>
      </c>
      <c r="H13796" s="3">
        <v>0.0</v>
      </c>
      <c r="I13796" s="3" t="s">
        <v>13</v>
      </c>
      <c r="J13796" s="3" t="s">
        <v>39171</v>
      </c>
      <c r="K13796" s="3" t="s">
        <v>19</v>
      </c>
      <c r="L13796" s="3" t="str">
        <f>IFERROR(__xludf.DUMMYFUNCTION("GOOGLETRANSLATE(F13796,""id"",""en"")"),"WOII GWEHJ Gasalah, just choose Argentina, just a messi last pildun winning")</f>
        <v>WOII GWEHJ Gasalah, just choose Argentina, just a messi last pildun winning</v>
      </c>
    </row>
    <row r="13797" ht="15.75" customHeight="1">
      <c r="A13797" s="1">
        <v>15273.0</v>
      </c>
      <c r="B13797" s="3" t="s">
        <v>39172</v>
      </c>
      <c r="C13797" s="3">
        <v>1.0</v>
      </c>
      <c r="D13797" s="3">
        <v>0.0</v>
      </c>
      <c r="E13797" s="3">
        <v>2.0</v>
      </c>
      <c r="F13797" s="3" t="s">
        <v>39173</v>
      </c>
      <c r="G13797" s="3">
        <v>0.0</v>
      </c>
      <c r="H13797" s="3">
        <v>0.0</v>
      </c>
      <c r="I13797" s="3" t="s">
        <v>13</v>
      </c>
      <c r="J13797" s="3" t="s">
        <v>39174</v>
      </c>
      <c r="K13797" s="3" t="s">
        <v>75</v>
      </c>
      <c r="L13797" s="3" t="str">
        <f>IFERROR(__xludf.DUMMYFUNCTION("GOOGLETRANSLATE(F13797,""id"",""en"")"),"sure I did from the beginning of the Argentina Pildun won his will, it was really high")</f>
        <v>sure I did from the beginning of the Argentina Pildun won his will, it was really high</v>
      </c>
    </row>
    <row r="13798" ht="15.75" customHeight="1">
      <c r="A13798" s="1">
        <v>15274.0</v>
      </c>
      <c r="B13798" s="3" t="s">
        <v>39175</v>
      </c>
      <c r="C13798" s="3">
        <v>0.0</v>
      </c>
      <c r="D13798" s="3">
        <v>0.0</v>
      </c>
      <c r="E13798" s="3">
        <v>0.0</v>
      </c>
      <c r="F13798" s="3" t="s">
        <v>39176</v>
      </c>
      <c r="G13798" s="3">
        <v>0.0</v>
      </c>
      <c r="H13798" s="3">
        <v>0.0</v>
      </c>
      <c r="I13798" s="3" t="s">
        <v>13</v>
      </c>
      <c r="J13798" s="3" t="s">
        <v>39177</v>
      </c>
      <c r="K13798" s="3" t="s">
        <v>15</v>
      </c>
      <c r="L13798" s="3" t="str">
        <f>IFERROR(__xludf.DUMMYFUNCTION("GOOGLETRANSLATE(F13798,""id"",""en"")"),"Argentina wins Haram asu, give him a direct pildun")</f>
        <v>Argentina wins Haram asu, give him a direct pildun</v>
      </c>
    </row>
    <row r="13799" ht="15.75" customHeight="1">
      <c r="A13799" s="1">
        <v>15275.0</v>
      </c>
      <c r="B13799" s="3" t="s">
        <v>38434</v>
      </c>
      <c r="C13799" s="3">
        <v>0.0</v>
      </c>
      <c r="D13799" s="3">
        <v>0.0</v>
      </c>
      <c r="E13799" s="3">
        <v>0.0</v>
      </c>
      <c r="F13799" s="3" t="s">
        <v>38434</v>
      </c>
      <c r="G13799" s="3">
        <v>0.0</v>
      </c>
      <c r="H13799" s="3">
        <v>0.0</v>
      </c>
      <c r="I13799" s="3" t="s">
        <v>13</v>
      </c>
      <c r="J13799" s="3" t="s">
        <v>38435</v>
      </c>
      <c r="K13799" s="3" t="s">
        <v>2117</v>
      </c>
      <c r="L13799" s="3" t="str">
        <f>IFERROR(__xludf.DUMMYFUNCTION("GOOGLETRANSLATE(F13799,""id"",""en"")"),"Argentina won Pilduun")</f>
        <v>Argentina won Pilduun</v>
      </c>
    </row>
    <row r="13800" ht="15.75" customHeight="1">
      <c r="A13800" s="1">
        <v>15276.0</v>
      </c>
      <c r="B13800" s="3" t="s">
        <v>39178</v>
      </c>
      <c r="C13800" s="3">
        <v>0.0</v>
      </c>
      <c r="D13800" s="3">
        <v>0.0</v>
      </c>
      <c r="E13800" s="3">
        <v>0.0</v>
      </c>
      <c r="F13800" s="3" t="s">
        <v>39179</v>
      </c>
      <c r="G13800" s="3">
        <v>0.0</v>
      </c>
      <c r="H13800" s="3">
        <v>0.0</v>
      </c>
      <c r="I13800" s="3" t="s">
        <v>13</v>
      </c>
      <c r="J13800" s="3" t="s">
        <v>39180</v>
      </c>
      <c r="K13800" s="3" t="s">
        <v>510</v>
      </c>
      <c r="L13800" s="3" t="str">
        <f>IFERROR(__xludf.DUMMYFUNCTION("GOOGLETRANSLATE(F13800,""id"",""en"")"),"But even if Argentina wins, I'm fine, especially since Messi is important, it's not mostly in the United Kingdom.")</f>
        <v>But even if Argentina wins, I'm fine, especially since Messi is important, it's not mostly in the United Kingdom.</v>
      </c>
    </row>
    <row r="13801" ht="15.75" customHeight="1">
      <c r="A13801" s="1">
        <v>15277.0</v>
      </c>
      <c r="B13801" s="3" t="s">
        <v>39181</v>
      </c>
      <c r="C13801" s="3">
        <v>0.0</v>
      </c>
      <c r="D13801" s="3">
        <v>0.0</v>
      </c>
      <c r="E13801" s="3">
        <v>0.0</v>
      </c>
      <c r="F13801" s="3" t="s">
        <v>39182</v>
      </c>
      <c r="G13801" s="3">
        <v>0.0</v>
      </c>
      <c r="H13801" s="3">
        <v>0.0</v>
      </c>
      <c r="I13801" s="3" t="s">
        <v>13</v>
      </c>
      <c r="J13801" s="3" t="s">
        <v>39183</v>
      </c>
      <c r="K13801" s="3" t="s">
        <v>699</v>
      </c>
      <c r="L13801" s="3" t="str">
        <f>IFERROR(__xludf.DUMMYFUNCTION("GOOGLETRANSLATE(F13801,""id"",""en"")"),"Prediction is indeed this year Latin America because I last won the pildun was Brazil whether after this year the World Cup Argentina won, just awaited hopefully")</f>
        <v>Prediction is indeed this year Latin America because I last won the pildun was Brazil whether after this year the World Cup Argentina won, just awaited hopefully</v>
      </c>
    </row>
    <row r="13802" ht="15.75" customHeight="1">
      <c r="A13802" s="1">
        <v>15278.0</v>
      </c>
      <c r="B13802" s="3" t="s">
        <v>39184</v>
      </c>
      <c r="C13802" s="3">
        <v>0.0</v>
      </c>
      <c r="D13802" s="3">
        <v>0.0</v>
      </c>
      <c r="E13802" s="3">
        <v>0.0</v>
      </c>
      <c r="F13802" s="3" t="s">
        <v>39185</v>
      </c>
      <c r="G13802" s="3">
        <v>0.06666666666666667</v>
      </c>
      <c r="H13802" s="3">
        <v>0.0</v>
      </c>
      <c r="I13802" s="3" t="s">
        <v>13</v>
      </c>
      <c r="J13802" s="3" t="s">
        <v>39186</v>
      </c>
      <c r="K13802" s="3" t="s">
        <v>19</v>
      </c>
      <c r="L13802" s="3" t="str">
        <f>IFERROR(__xludf.DUMMYFUNCTION("GOOGLETRANSLATE(F13802,""id"",""en"")"),"Pilduun France won now Fix Argentina The Last Messi League before retiring, especially")</f>
        <v>Pilduun France won now Fix Argentina The Last Messi League before retiring, especially</v>
      </c>
    </row>
    <row r="13803" ht="15.75" customHeight="1">
      <c r="A13803" s="1">
        <v>15279.0</v>
      </c>
      <c r="B13803" s="3" t="s">
        <v>39187</v>
      </c>
      <c r="C13803" s="3">
        <v>1.0</v>
      </c>
      <c r="D13803" s="3">
        <v>0.0</v>
      </c>
      <c r="E13803" s="3">
        <v>1.0</v>
      </c>
      <c r="F13803" s="3" t="s">
        <v>39188</v>
      </c>
      <c r="G13803" s="3">
        <v>0.6</v>
      </c>
      <c r="H13803" s="3">
        <v>-0.1</v>
      </c>
      <c r="I13803" s="3" t="s">
        <v>179</v>
      </c>
      <c r="J13803" s="3" t="s">
        <v>39189</v>
      </c>
      <c r="K13803" s="3" t="s">
        <v>348</v>
      </c>
      <c r="L13803" s="3" t="str">
        <f>IFERROR(__xludf.DUMMYFUNCTION("GOOGLETRANSLATE(F13803,""id"",""en"")"),"at least the champion of the pildun is not Argentinaaaa Vamos Argentinaaaa I have been waiting for the winning year, hopefully this is the day of the messi love my love")</f>
        <v>at least the champion of the pildun is not Argentinaaaa Vamos Argentinaaaa I have been waiting for the winning year, hopefully this is the day of the messi love my love</v>
      </c>
    </row>
    <row r="13804" ht="15.75" customHeight="1">
      <c r="A13804" s="1">
        <v>15280.0</v>
      </c>
      <c r="B13804" s="3" t="s">
        <v>39190</v>
      </c>
      <c r="C13804" s="3">
        <v>0.0</v>
      </c>
      <c r="D13804" s="3">
        <v>0.0</v>
      </c>
      <c r="E13804" s="3">
        <v>0.0</v>
      </c>
      <c r="F13804" s="3" t="s">
        <v>39191</v>
      </c>
      <c r="G13804" s="3">
        <v>0.0</v>
      </c>
      <c r="H13804" s="3">
        <v>0.0</v>
      </c>
      <c r="I13804" s="3" t="s">
        <v>13</v>
      </c>
      <c r="J13804" s="3" t="s">
        <v>39192</v>
      </c>
      <c r="K13804" s="3" t="s">
        <v>82</v>
      </c>
      <c r="L13804" s="3" t="str">
        <f>IFERROR(__xludf.DUMMYFUNCTION("GOOGLETRANSLATE(F13804,""id"",""en"")"),"heyyy who watched pildun let's hype together")</f>
        <v>heyyy who watched pildun let's hype together</v>
      </c>
    </row>
    <row r="13805" ht="15.75" customHeight="1">
      <c r="A13805" s="1">
        <v>15281.0</v>
      </c>
      <c r="B13805" s="3" t="s">
        <v>39193</v>
      </c>
      <c r="C13805" s="3">
        <v>0.0</v>
      </c>
      <c r="D13805" s="3">
        <v>0.0</v>
      </c>
      <c r="E13805" s="3">
        <v>0.0</v>
      </c>
      <c r="F13805" s="3" t="s">
        <v>39194</v>
      </c>
      <c r="G13805" s="3">
        <v>0.0</v>
      </c>
      <c r="H13805" s="3">
        <v>0.0</v>
      </c>
      <c r="I13805" s="3" t="s">
        <v>13</v>
      </c>
      <c r="J13805" s="3" t="s">
        <v>39195</v>
      </c>
      <c r="K13805" s="3" t="s">
        <v>15</v>
      </c>
      <c r="L13805" s="3" t="str">
        <f>IFERROR(__xludf.DUMMYFUNCTION("GOOGLETRANSLATE(F13805,""id"",""en"")"),"watching the initial pildun my feel, why is Argentina winning")</f>
        <v>watching the initial pildun my feel, why is Argentina winning</v>
      </c>
    </row>
    <row r="13806" ht="15.75" customHeight="1">
      <c r="A13806" s="1">
        <v>15282.0</v>
      </c>
      <c r="B13806" s="3" t="s">
        <v>39196</v>
      </c>
      <c r="C13806" s="3">
        <v>5.0</v>
      </c>
      <c r="D13806" s="3">
        <v>0.0</v>
      </c>
      <c r="E13806" s="3">
        <v>3.0</v>
      </c>
      <c r="F13806" s="3" t="s">
        <v>39196</v>
      </c>
      <c r="G13806" s="3">
        <v>0.0</v>
      </c>
      <c r="H13806" s="3">
        <v>0.0</v>
      </c>
      <c r="I13806" s="3" t="s">
        <v>13</v>
      </c>
      <c r="J13806" s="3" t="s">
        <v>39197</v>
      </c>
      <c r="K13806" s="3" t="s">
        <v>54</v>
      </c>
      <c r="L13806" s="3" t="str">
        <f>IFERROR(__xludf.DUMMYFUNCTION("GOOGLETRANSLATE(F13806,""id"",""en"")"),"already said to be Argentina Fix won Pildun")</f>
        <v>already said to be Argentina Fix won Pildun</v>
      </c>
    </row>
    <row r="13807" ht="15.75" customHeight="1">
      <c r="A13807" s="1">
        <v>15283.0</v>
      </c>
      <c r="B13807" s="3" t="s">
        <v>39198</v>
      </c>
      <c r="C13807" s="3">
        <v>0.0</v>
      </c>
      <c r="D13807" s="3">
        <v>0.0</v>
      </c>
      <c r="E13807" s="3">
        <v>0.0</v>
      </c>
      <c r="F13807" s="3" t="s">
        <v>39199</v>
      </c>
      <c r="G13807" s="3">
        <v>0.0</v>
      </c>
      <c r="H13807" s="3">
        <v>0.0</v>
      </c>
      <c r="I13807" s="3" t="s">
        <v>13</v>
      </c>
      <c r="J13807" s="3" t="s">
        <v>39200</v>
      </c>
      <c r="K13807" s="3" t="s">
        <v>54</v>
      </c>
      <c r="L13807" s="3" t="str">
        <f>IFERROR(__xludf.DUMMYFUNCTION("GOOGLETRANSLATE(F13807,""id"",""en"")"),"Many say Francis wins but I say Argentina is champion")</f>
        <v>Many say Francis wins but I say Argentina is champion</v>
      </c>
    </row>
    <row r="13808" ht="15.75" customHeight="1">
      <c r="A13808" s="1">
        <v>15284.0</v>
      </c>
      <c r="B13808" s="3" t="s">
        <v>39201</v>
      </c>
      <c r="C13808" s="3">
        <v>0.0</v>
      </c>
      <c r="D13808" s="3">
        <v>0.0</v>
      </c>
      <c r="E13808" s="3">
        <v>0.0</v>
      </c>
      <c r="F13808" s="3" t="s">
        <v>39202</v>
      </c>
      <c r="G13808" s="3">
        <v>0.0</v>
      </c>
      <c r="H13808" s="3">
        <v>0.0</v>
      </c>
      <c r="I13808" s="3" t="s">
        <v>13</v>
      </c>
      <c r="J13808" s="3" t="s">
        <v>39203</v>
      </c>
      <c r="K13808" s="3" t="s">
        <v>495</v>
      </c>
      <c r="L13808" s="3" t="str">
        <f>IFERROR(__xludf.DUMMYFUNCTION("GOOGLETRANSLATE(F13808,""id"",""en"")"),"The more fast this narrative settings are already so that Argentina is champion and PAG wins UCL to end the drama Goat Goat Kambingan")</f>
        <v>The more fast this narrative settings are already so that Argentina is champion and PAG wins UCL to end the drama Goat Goat Kambingan</v>
      </c>
    </row>
    <row r="13809" ht="15.75" customHeight="1">
      <c r="A13809" s="1">
        <v>15285.0</v>
      </c>
      <c r="B13809" s="3" t="s">
        <v>39204</v>
      </c>
      <c r="C13809" s="3">
        <v>0.0</v>
      </c>
      <c r="D13809" s="3">
        <v>0.0</v>
      </c>
      <c r="E13809" s="3">
        <v>0.0</v>
      </c>
      <c r="F13809" s="3" t="s">
        <v>39205</v>
      </c>
      <c r="G13809" s="3">
        <v>0.0</v>
      </c>
      <c r="H13809" s="3">
        <v>0.0</v>
      </c>
      <c r="I13809" s="3" t="s">
        <v>13</v>
      </c>
      <c r="J13809" s="3" t="s">
        <v>39206</v>
      </c>
      <c r="K13809" s="3" t="s">
        <v>19</v>
      </c>
      <c r="L13809" s="3" t="str">
        <f>IFERROR(__xludf.DUMMYFUNCTION("GOOGLETRANSLATE(F13809,""id"",""en"")"),"at least love to see var anjingg ber Sakjiw really pile this time if Argentina wins")</f>
        <v>at least love to see var anjingg ber Sakjiw really pile this time if Argentina wins</v>
      </c>
    </row>
    <row r="13810" ht="15.75" customHeight="1">
      <c r="A13810" s="1">
        <v>15286.0</v>
      </c>
      <c r="B13810" s="3" t="s">
        <v>39207</v>
      </c>
      <c r="C13810" s="3">
        <v>0.0</v>
      </c>
      <c r="D13810" s="3">
        <v>0.0</v>
      </c>
      <c r="E13810" s="3">
        <v>0.0</v>
      </c>
      <c r="F13810" s="3" t="s">
        <v>39208</v>
      </c>
      <c r="G13810" s="3">
        <v>0.0</v>
      </c>
      <c r="H13810" s="3">
        <v>0.0</v>
      </c>
      <c r="I13810" s="3" t="s">
        <v>13</v>
      </c>
      <c r="J13810" s="3" t="s">
        <v>39209</v>
      </c>
      <c r="K13810" s="3" t="s">
        <v>273</v>
      </c>
      <c r="L13810" s="3" t="str">
        <f>IFERROR(__xludf.DUMMYFUNCTION("GOOGLETRANSLATE(F13810,""id"",""en"")"),"cousin on the coki bet tomorrow the last time of work hiks sad first pending first let's rah hura pildun nobar pildun friend bacot latto latto has a nephew and trumpet Argentina wins Hayukkk udh udh")</f>
        <v>cousin on the coki bet tomorrow the last time of work hiks sad first pending first let's rah hura pildun nobar pildun friend bacot latto latto has a nephew and trumpet Argentina wins Hayukkk udh udh</v>
      </c>
    </row>
    <row r="13811" ht="15.75" customHeight="1">
      <c r="A13811" s="1">
        <v>15287.0</v>
      </c>
      <c r="B13811" s="3" t="s">
        <v>39210</v>
      </c>
      <c r="C13811" s="3">
        <v>1.0</v>
      </c>
      <c r="D13811" s="3">
        <v>0.0</v>
      </c>
      <c r="E13811" s="3">
        <v>0.0</v>
      </c>
      <c r="F13811" s="3" t="s">
        <v>39211</v>
      </c>
      <c r="G13811" s="3">
        <v>0.0</v>
      </c>
      <c r="H13811" s="3">
        <v>0.0</v>
      </c>
      <c r="I13811" s="3" t="s">
        <v>13</v>
      </c>
      <c r="J13811" s="3" t="s">
        <v>39212</v>
      </c>
      <c r="K13811" s="3" t="s">
        <v>495</v>
      </c>
      <c r="L13811" s="3" t="str">
        <f>IFERROR(__xludf.DUMMYFUNCTION("GOOGLETRANSLATE(F13811,""id"",""en"")"),"Hayo France Argentina won who is the original Pilduun plot twist bgt wkwkwk even though he never followed it immediately just saw the news")</f>
        <v>Hayo France Argentina won who is the original Pilduun plot twist bgt wkwkwk even though he never followed it immediately just saw the news</v>
      </c>
    </row>
    <row r="13812" ht="15.75" customHeight="1">
      <c r="A13812" s="1">
        <v>15288.0</v>
      </c>
      <c r="B13812" s="3" t="s">
        <v>39213</v>
      </c>
      <c r="C13812" s="3">
        <v>0.0</v>
      </c>
      <c r="D13812" s="3">
        <v>0.0</v>
      </c>
      <c r="E13812" s="3">
        <v>0.0</v>
      </c>
      <c r="F13812" s="3" t="s">
        <v>39214</v>
      </c>
      <c r="G13812" s="3">
        <v>0.65</v>
      </c>
      <c r="H13812" s="3">
        <v>0.1</v>
      </c>
      <c r="I13812" s="3" t="s">
        <v>48</v>
      </c>
      <c r="J13812" s="3" t="s">
        <v>39215</v>
      </c>
      <c r="K13812" s="3" t="s">
        <v>35</v>
      </c>
      <c r="L13812" s="3" t="str">
        <f>IFERROR(__xludf.DUMMYFUNCTION("GOOGLETRANSLATE(F13812,""id"",""en"")"),"Nnton Final Pildun Because Is France Winning Argentina Wins Because Real Madrid Players")</f>
        <v>Nnton Final Pildun Because Is France Winning Argentina Wins Because Real Madrid Players</v>
      </c>
    </row>
    <row r="13813" ht="15.75" customHeight="1">
      <c r="A13813" s="1">
        <v>15289.0</v>
      </c>
      <c r="B13813" s="3" t="s">
        <v>39216</v>
      </c>
      <c r="C13813" s="3">
        <v>1.0</v>
      </c>
      <c r="D13813" s="3">
        <v>0.0</v>
      </c>
      <c r="E13813" s="3">
        <v>0.0</v>
      </c>
      <c r="F13813" s="3" t="s">
        <v>39217</v>
      </c>
      <c r="G13813" s="3">
        <v>0.0</v>
      </c>
      <c r="H13813" s="3">
        <v>0.0</v>
      </c>
      <c r="I13813" s="3" t="s">
        <v>13</v>
      </c>
      <c r="J13813" s="3" t="s">
        <v>39218</v>
      </c>
      <c r="K13813" s="3" t="s">
        <v>657</v>
      </c>
      <c r="L13813" s="3" t="str">
        <f>IFERROR(__xludf.DUMMYFUNCTION("GOOGLETRANSLATE(F13813,""id"",""en"")"),"Argentina has to win this because the stadium is very full of their supporters plus one world also supports Messi to win Pildun")</f>
        <v>Argentina has to win this because the stadium is very full of their supporters plus one world also supports Messi to win Pildun</v>
      </c>
    </row>
    <row r="13814" ht="15.75" customHeight="1">
      <c r="A13814" s="1">
        <v>15290.0</v>
      </c>
      <c r="B13814" s="3" t="s">
        <v>39219</v>
      </c>
      <c r="C13814" s="3">
        <v>0.0</v>
      </c>
      <c r="D13814" s="3">
        <v>0.0</v>
      </c>
      <c r="E13814" s="3">
        <v>0.0</v>
      </c>
      <c r="F13814" s="3" t="s">
        <v>39220</v>
      </c>
      <c r="G13814" s="3">
        <v>0.0</v>
      </c>
      <c r="H13814" s="3">
        <v>0.0</v>
      </c>
      <c r="I13814" s="3" t="s">
        <v>13</v>
      </c>
      <c r="J13814" s="3" t="s">
        <v>39221</v>
      </c>
      <c r="K13814" s="3" t="s">
        <v>644</v>
      </c>
      <c r="L13814" s="3" t="str">
        <f>IFERROR(__xludf.DUMMYFUNCTION("GOOGLETRANSLATE(F13814,""id"",""en"")"),"PILDUN WHO WINDING Argentina")</f>
        <v>PILDUN WHO WINDING Argentina</v>
      </c>
    </row>
    <row r="13815" ht="15.75" customHeight="1">
      <c r="A13815" s="1">
        <v>15291.0</v>
      </c>
      <c r="B13815" s="3" t="s">
        <v>39222</v>
      </c>
      <c r="C13815" s="3">
        <v>0.0</v>
      </c>
      <c r="D13815" s="3">
        <v>0.0</v>
      </c>
      <c r="E13815" s="3">
        <v>0.0</v>
      </c>
      <c r="F13815" s="3" t="s">
        <v>39223</v>
      </c>
      <c r="G13815" s="3">
        <v>0.4</v>
      </c>
      <c r="H13815" s="3">
        <v>0.2</v>
      </c>
      <c r="I13815" s="3" t="s">
        <v>48</v>
      </c>
      <c r="J13815" s="3" t="s">
        <v>39224</v>
      </c>
      <c r="K13815" s="3" t="s">
        <v>50</v>
      </c>
      <c r="L13815" s="3" t="str">
        <f>IFERROR(__xludf.DUMMYFUNCTION("GOOGLETRANSLATE(F13815,""id"",""en"")"),"ahahaha follow the pildun just waiting for the info, just know later to win France or Argentina, hahaha")</f>
        <v>ahahaha follow the pildun just waiting for the info, just know later to win France or Argentina, hahaha</v>
      </c>
    </row>
    <row r="13816" ht="15.75" customHeight="1">
      <c r="A13816" s="1">
        <v>15292.0</v>
      </c>
      <c r="B13816" s="3" t="s">
        <v>39225</v>
      </c>
      <c r="C13816" s="3">
        <v>0.0</v>
      </c>
      <c r="D13816" s="3">
        <v>0.0</v>
      </c>
      <c r="E13816" s="3">
        <v>0.0</v>
      </c>
      <c r="F13816" s="3" t="s">
        <v>39226</v>
      </c>
      <c r="G13816" s="3">
        <v>1.0</v>
      </c>
      <c r="H13816" s="3">
        <v>0.0</v>
      </c>
      <c r="I13816" s="3" t="s">
        <v>13</v>
      </c>
      <c r="J13816" s="3" t="s">
        <v>39227</v>
      </c>
      <c r="K13816" s="3" t="s">
        <v>15</v>
      </c>
      <c r="L13816" s="3" t="str">
        <f>IFERROR(__xludf.DUMMYFUNCTION("GOOGLETRANSLATE(F13816,""id"",""en"")"),"This year's final pildun who Sek won Argentina or France")</f>
        <v>This year's final pildun who Sek won Argentina or France</v>
      </c>
    </row>
    <row r="13817" ht="15.75" customHeight="1">
      <c r="A13817" s="1">
        <v>15293.0</v>
      </c>
      <c r="B13817" s="3" t="s">
        <v>39228</v>
      </c>
      <c r="C13817" s="3">
        <v>13.0</v>
      </c>
      <c r="D13817" s="3">
        <v>0.0</v>
      </c>
      <c r="E13817" s="3">
        <v>5.0</v>
      </c>
      <c r="F13817" s="3" t="s">
        <v>39229</v>
      </c>
      <c r="G13817" s="3">
        <v>1.0</v>
      </c>
      <c r="H13817" s="3">
        <v>0.0</v>
      </c>
      <c r="I13817" s="3" t="s">
        <v>13</v>
      </c>
      <c r="J13817" s="3" t="s">
        <v>39230</v>
      </c>
      <c r="K13817" s="3" t="s">
        <v>4609</v>
      </c>
      <c r="L13817" s="3" t="str">
        <f>IFERROR(__xludf.DUMMYFUNCTION("GOOGLETRANSLATE(F13817,""id"",""en"")"),"Let's bet on the final pildun if Argentina wins you my boyfriend if France wins me my girlfriend")</f>
        <v>Let's bet on the final pildun if Argentina wins you my boyfriend if France wins me my girlfriend</v>
      </c>
    </row>
    <row r="13818" ht="15.75" customHeight="1">
      <c r="A13818" s="1">
        <v>15294.0</v>
      </c>
      <c r="B13818" s="3" t="s">
        <v>39231</v>
      </c>
      <c r="C13818" s="3">
        <v>1.0</v>
      </c>
      <c r="D13818" s="3">
        <v>0.0</v>
      </c>
      <c r="E13818" s="3">
        <v>0.0</v>
      </c>
      <c r="F13818" s="3" t="s">
        <v>39232</v>
      </c>
      <c r="G13818" s="3">
        <v>0.0</v>
      </c>
      <c r="H13818" s="3">
        <v>0.0</v>
      </c>
      <c r="I13818" s="3" t="s">
        <v>13</v>
      </c>
      <c r="J13818" s="3" t="s">
        <v>39233</v>
      </c>
      <c r="K13818" s="3" t="s">
        <v>1097</v>
      </c>
      <c r="L13818" s="3" t="str">
        <f>IFERROR(__xludf.DUMMYFUNCTION("GOOGLETRANSLATE(F13818,""id"",""en"")"),"yuukk can be argentina yuukk already bored")</f>
        <v>yuukk can be argentina yuukk already bored</v>
      </c>
    </row>
    <row r="13819" ht="15.75" customHeight="1">
      <c r="A13819" s="1">
        <v>15295.0</v>
      </c>
      <c r="B13819" s="3" t="s">
        <v>39234</v>
      </c>
      <c r="C13819" s="3">
        <v>0.0</v>
      </c>
      <c r="D13819" s="3">
        <v>0.0</v>
      </c>
      <c r="E13819" s="3">
        <v>0.0</v>
      </c>
      <c r="F13819" s="3" t="s">
        <v>39235</v>
      </c>
      <c r="G13819" s="3">
        <v>0.4</v>
      </c>
      <c r="H13819" s="3">
        <v>-0.4</v>
      </c>
      <c r="I13819" s="3" t="s">
        <v>179</v>
      </c>
      <c r="J13819" s="3" t="s">
        <v>39236</v>
      </c>
      <c r="K13819" s="3" t="s">
        <v>1912</v>
      </c>
      <c r="L13819" s="3" t="str">
        <f>IFERROR(__xludf.DUMMYFUNCTION("GOOGLETRANSLATE(F13819,""id"",""en"")"),"If Argentina wins it means that Sport FIFA Game can guess the champion of the pildun from until the prediction is cool or maybe know the info from the mafia but hopefully France wins if you can win the penalty more exciting but if")</f>
        <v>If Argentina wins it means that Sport FIFA Game can guess the champion of the pildun from until the prediction is cool or maybe know the info from the mafia but hopefully France wins if you can win the penalty more exciting but if</v>
      </c>
    </row>
    <row r="13820" ht="15.75" customHeight="1">
      <c r="A13820" s="1">
        <v>15296.0</v>
      </c>
      <c r="B13820" s="3" t="s">
        <v>39237</v>
      </c>
      <c r="C13820" s="3">
        <v>4.0</v>
      </c>
      <c r="D13820" s="3">
        <v>4.0</v>
      </c>
      <c r="E13820" s="3">
        <v>0.0</v>
      </c>
      <c r="F13820" s="3" t="s">
        <v>39238</v>
      </c>
      <c r="G13820" s="3">
        <v>0.0</v>
      </c>
      <c r="H13820" s="3">
        <v>0.0</v>
      </c>
      <c r="I13820" s="3" t="s">
        <v>13</v>
      </c>
      <c r="J13820" s="3" t="s">
        <v>39239</v>
      </c>
      <c r="K13820" s="3" t="s">
        <v>3803</v>
      </c>
      <c r="L13820" s="3" t="str">
        <f>IFERROR(__xludf.DUMMYFUNCTION("GOOGLETRANSLATE(F13820,""id"",""en"")"),"Betting Pildun if Argentina wins you boyfriend me but if France wins me my boyfriend")</f>
        <v>Betting Pildun if Argentina wins you boyfriend me but if France wins me my boyfriend</v>
      </c>
    </row>
    <row r="13821" ht="15.75" customHeight="1">
      <c r="A13821" s="1">
        <v>15297.0</v>
      </c>
      <c r="B13821" s="3" t="s">
        <v>39240</v>
      </c>
      <c r="C13821" s="3">
        <v>0.0</v>
      </c>
      <c r="D13821" s="3">
        <v>0.0</v>
      </c>
      <c r="E13821" s="3">
        <v>1.0</v>
      </c>
      <c r="F13821" s="3" t="s">
        <v>39241</v>
      </c>
      <c r="G13821" s="3">
        <v>0.3333333333333333</v>
      </c>
      <c r="H13821" s="3">
        <v>0.1666666666666667</v>
      </c>
      <c r="I13821" s="3" t="s">
        <v>48</v>
      </c>
      <c r="J13821" s="3" t="s">
        <v>39242</v>
      </c>
      <c r="K13821" s="3" t="s">
        <v>23</v>
      </c>
      <c r="L13821" s="3" t="str">
        <f>IFERROR(__xludf.DUMMYFUNCTION("GOOGLETRANSLATE(F13821,""id"",""en"")"),"Playing PES for pildun ramal using Argentina com France com with the status of Fire players all earlier Argentina wins but I don't know")</f>
        <v>Playing PES for pildun ramal using Argentina com France com with the status of Fire players all earlier Argentina wins but I don't know</v>
      </c>
    </row>
    <row r="13822" ht="15.75" customHeight="1">
      <c r="A13822" s="1">
        <v>15298.0</v>
      </c>
      <c r="B13822" s="3" t="s">
        <v>39243</v>
      </c>
      <c r="C13822" s="3">
        <v>0.0</v>
      </c>
      <c r="D13822" s="3">
        <v>0.0</v>
      </c>
      <c r="E13822" s="3">
        <v>0.0</v>
      </c>
      <c r="F13822" s="3" t="s">
        <v>39243</v>
      </c>
      <c r="G13822" s="3">
        <v>0.0</v>
      </c>
      <c r="H13822" s="3">
        <v>0.0</v>
      </c>
      <c r="I13822" s="3" t="s">
        <v>13</v>
      </c>
      <c r="J13822" s="3" t="s">
        <v>39244</v>
      </c>
      <c r="K13822" s="3" t="s">
        <v>54</v>
      </c>
      <c r="L13822" s="3" t="str">
        <f>IFERROR(__xludf.DUMMYFUNCTION("GOOGLETRANSLATE(F13822,""id"",""en"")"),"It is said that this night Argentina won Pilduun")</f>
        <v>It is said that this night Argentina won Pilduun</v>
      </c>
    </row>
    <row r="13823" ht="15.75" customHeight="1">
      <c r="A13823" s="1">
        <v>15299.0</v>
      </c>
      <c r="B13823" s="3" t="s">
        <v>39245</v>
      </c>
      <c r="C13823" s="3">
        <v>1.0</v>
      </c>
      <c r="D13823" s="3">
        <v>0.0</v>
      </c>
      <c r="E13823" s="3">
        <v>0.0</v>
      </c>
      <c r="F13823" s="3" t="s">
        <v>39246</v>
      </c>
      <c r="G13823" s="3">
        <v>1.0</v>
      </c>
      <c r="H13823" s="3">
        <v>0.0</v>
      </c>
      <c r="I13823" s="3" t="s">
        <v>13</v>
      </c>
      <c r="J13823" s="3" t="s">
        <v>39247</v>
      </c>
      <c r="K13823" s="3" t="s">
        <v>15</v>
      </c>
      <c r="L13823" s="3" t="str">
        <f>IFERROR(__xludf.DUMMYFUNCTION("GOOGLETRANSLATE(F13823,""id"",""en"")"),"Especially for Nobar Final Pildun so that I can hug if Argentina wins")</f>
        <v>Especially for Nobar Final Pildun so that I can hug if Argentina wins</v>
      </c>
    </row>
    <row r="13824" ht="15.75" customHeight="1">
      <c r="A13824" s="1">
        <v>15300.0</v>
      </c>
      <c r="B13824" s="3" t="s">
        <v>39248</v>
      </c>
      <c r="C13824" s="3">
        <v>1.0</v>
      </c>
      <c r="D13824" s="3">
        <v>0.0</v>
      </c>
      <c r="E13824" s="3">
        <v>0.0</v>
      </c>
      <c r="F13824" s="3" t="s">
        <v>39249</v>
      </c>
      <c r="G13824" s="3">
        <v>0.0</v>
      </c>
      <c r="H13824" s="3">
        <v>0.0</v>
      </c>
      <c r="I13824" s="3" t="s">
        <v>13</v>
      </c>
      <c r="J13824" s="3" t="s">
        <v>39250</v>
      </c>
      <c r="K13824" s="3" t="s">
        <v>15</v>
      </c>
      <c r="L13824" s="3" t="str">
        <f>IFERROR(__xludf.DUMMYFUNCTION("GOOGLETRANSLATE(F13824,""id"",""en"")"),"Early Pildun Supports France Feeling Argentina wins wkwk how")</f>
        <v>Early Pildun Supports France Feeling Argentina wins wkwk how</v>
      </c>
    </row>
    <row r="13825" ht="15.75" customHeight="1">
      <c r="A13825" s="1">
        <v>15301.0</v>
      </c>
      <c r="B13825" s="3" t="s">
        <v>39251</v>
      </c>
      <c r="C13825" s="3">
        <v>1.0</v>
      </c>
      <c r="D13825" s="3">
        <v>1.0</v>
      </c>
      <c r="E13825" s="3">
        <v>0.0</v>
      </c>
      <c r="F13825" s="3" t="s">
        <v>39251</v>
      </c>
      <c r="G13825" s="3">
        <v>0.0</v>
      </c>
      <c r="H13825" s="3">
        <v>0.0</v>
      </c>
      <c r="I13825" s="3" t="s">
        <v>13</v>
      </c>
      <c r="J13825" s="3" t="s">
        <v>39252</v>
      </c>
      <c r="K13825" s="3" t="s">
        <v>31</v>
      </c>
      <c r="L13825" s="3" t="str">
        <f>IFERROR(__xludf.DUMMYFUNCTION("GOOGLETRANSLATE(F13825,""id"",""en"")"),"Argentina won Pilduun Yedam appearing")</f>
        <v>Argentina won Pilduun Yedam appearing</v>
      </c>
    </row>
    <row r="13826" ht="15.75" customHeight="1">
      <c r="A13826" s="1">
        <v>15302.0</v>
      </c>
      <c r="B13826" s="3" t="s">
        <v>39253</v>
      </c>
      <c r="C13826" s="3">
        <v>0.0</v>
      </c>
      <c r="D13826" s="3">
        <v>0.0</v>
      </c>
      <c r="E13826" s="3">
        <v>0.0</v>
      </c>
      <c r="F13826" s="3" t="s">
        <v>39254</v>
      </c>
      <c r="G13826" s="3">
        <v>1.0</v>
      </c>
      <c r="H13826" s="3">
        <v>0.0</v>
      </c>
      <c r="I13826" s="3" t="s">
        <v>13</v>
      </c>
      <c r="J13826" s="3" t="s">
        <v>39255</v>
      </c>
      <c r="K13826" s="3" t="s">
        <v>41</v>
      </c>
      <c r="L13826" s="3" t="str">
        <f>IFERROR(__xludf.DUMMYFUNCTION("GOOGLETRANSLATE(F13826,""id"",""en"")"),"Waahhh Final Pilduun I was sleepy, hopefully winning Argentina yha")</f>
        <v>Waahhh Final Pilduun I was sleepy, hopefully winning Argentina yha</v>
      </c>
    </row>
    <row r="13827" ht="15.75" customHeight="1">
      <c r="A13827" s="1">
        <v>15303.0</v>
      </c>
      <c r="B13827" s="3" t="s">
        <v>39256</v>
      </c>
      <c r="C13827" s="3">
        <v>1.0</v>
      </c>
      <c r="D13827" s="3">
        <v>0.0</v>
      </c>
      <c r="E13827" s="3">
        <v>0.0</v>
      </c>
      <c r="F13827" s="3" t="s">
        <v>39257</v>
      </c>
      <c r="G13827" s="3">
        <v>0.0</v>
      </c>
      <c r="H13827" s="3">
        <v>0.0</v>
      </c>
      <c r="I13827" s="3" t="s">
        <v>13</v>
      </c>
      <c r="J13827" s="3" t="s">
        <v>39258</v>
      </c>
      <c r="K13827" s="3" t="s">
        <v>1045</v>
      </c>
      <c r="L13827" s="3" t="str">
        <f>IFERROR(__xludf.DUMMYFUNCTION("GOOGLETRANSLATE(F13827,""id"",""en"")"),"The original I watched the news also said that many want Argentina to win, not because they support the Argentina because they want to see Messi win with the Pilduun Cup before Blio retires")</f>
        <v>The original I watched the news also said that many want Argentina to win, not because they support the Argentina because they want to see Messi win with the Pilduun Cup before Blio retires</v>
      </c>
    </row>
    <row r="13828" ht="15.75" customHeight="1">
      <c r="A13828" s="1">
        <v>15304.0</v>
      </c>
      <c r="B13828" s="3" t="s">
        <v>39259</v>
      </c>
      <c r="C13828" s="3">
        <v>0.0</v>
      </c>
      <c r="D13828" s="3">
        <v>0.0</v>
      </c>
      <c r="E13828" s="3">
        <v>0.0</v>
      </c>
      <c r="F13828" s="3" t="s">
        <v>39260</v>
      </c>
      <c r="G13828" s="3">
        <v>0.4</v>
      </c>
      <c r="H13828" s="3">
        <v>0.2</v>
      </c>
      <c r="I13828" s="3" t="s">
        <v>48</v>
      </c>
      <c r="J13828" s="3" t="s">
        <v>39261</v>
      </c>
      <c r="K13828" s="3" t="s">
        <v>1628</v>
      </c>
      <c r="L13828" s="3" t="str">
        <f>IFERROR(__xludf.DUMMYFUNCTION("GOOGLETRANSLATE(F13828,""id"",""en"")"),"betting husband who wins pilduun is not betting money then I follow it once from the beginning as long as I hold Argentina really my choice hahaha")</f>
        <v>betting husband who wins pilduun is not betting money then I follow it once from the beginning as long as I hold Argentina really my choice hahaha</v>
      </c>
    </row>
    <row r="13829" ht="15.75" customHeight="1">
      <c r="A13829" s="1">
        <v>15305.0</v>
      </c>
      <c r="B13829" s="3" t="s">
        <v>39262</v>
      </c>
      <c r="C13829" s="3">
        <v>1.0</v>
      </c>
      <c r="D13829" s="3">
        <v>0.0</v>
      </c>
      <c r="E13829" s="3">
        <v>0.0</v>
      </c>
      <c r="F13829" s="3" t="s">
        <v>39263</v>
      </c>
      <c r="G13829" s="3">
        <v>0.0</v>
      </c>
      <c r="H13829" s="3">
        <v>0.0</v>
      </c>
      <c r="I13829" s="3" t="s">
        <v>13</v>
      </c>
      <c r="J13829" s="3" t="s">
        <v>39264</v>
      </c>
      <c r="K13829" s="3" t="s">
        <v>41</v>
      </c>
      <c r="L13829" s="3" t="str">
        <f>IFERROR(__xludf.DUMMYFUNCTION("GOOGLETRANSLATE(F13829,""id"",""en"")"),"Guess Saha Winning Pilduun Aing Argentina is really treating Ayce")</f>
        <v>Guess Saha Winning Pilduun Aing Argentina is really treating Ayce</v>
      </c>
    </row>
    <row r="13830" ht="15.75" customHeight="1">
      <c r="A13830" s="1">
        <v>15306.0</v>
      </c>
      <c r="B13830" s="3" t="s">
        <v>39265</v>
      </c>
      <c r="C13830" s="3">
        <v>2.0</v>
      </c>
      <c r="D13830" s="3">
        <v>1.0</v>
      </c>
      <c r="E13830" s="3">
        <v>66.0</v>
      </c>
      <c r="F13830" s="3" t="s">
        <v>39266</v>
      </c>
      <c r="G13830" s="3">
        <v>0.75</v>
      </c>
      <c r="H13830" s="3">
        <v>0.5</v>
      </c>
      <c r="I13830" s="3" t="s">
        <v>48</v>
      </c>
      <c r="J13830" s="3" t="s">
        <v>39267</v>
      </c>
      <c r="K13830" s="3" t="s">
        <v>149</v>
      </c>
      <c r="L13830" s="3" t="str">
        <f>IFERROR(__xludf.DUMMYFUNCTION("GOOGLETRANSLATE(F13830,""id"",""en"")"),"Mantab holding Persib Aing or for Pilduun Winning Elepen confused euy want to hold France whether Argentina should just hold the win so that it is wrong")</f>
        <v>Mantab holding Persib Aing or for Pilduun Winning Elepen confused euy want to hold France whether Argentina should just hold the win so that it is wrong</v>
      </c>
    </row>
    <row r="13831" ht="15.75" customHeight="1">
      <c r="A13831" s="1">
        <v>15307.0</v>
      </c>
      <c r="B13831" s="3" t="s">
        <v>39268</v>
      </c>
      <c r="C13831" s="3">
        <v>0.0</v>
      </c>
      <c r="D13831" s="3">
        <v>0.0</v>
      </c>
      <c r="E13831" s="3">
        <v>0.0</v>
      </c>
      <c r="F13831" s="3" t="s">
        <v>39269</v>
      </c>
      <c r="G13831" s="3">
        <v>0.0</v>
      </c>
      <c r="H13831" s="3">
        <v>0.0</v>
      </c>
      <c r="I13831" s="3" t="s">
        <v>13</v>
      </c>
      <c r="J13831" s="3" t="s">
        <v>39270</v>
      </c>
      <c r="K13831" s="3" t="s">
        <v>644</v>
      </c>
      <c r="L13831" s="3" t="str">
        <f>IFERROR(__xludf.DUMMYFUNCTION("GOOGLETRANSLATE(F13831,""id"",""en"")"),"Argentina must win this time")</f>
        <v>Argentina must win this time</v>
      </c>
    </row>
    <row r="13832" ht="15.75" customHeight="1">
      <c r="A13832" s="1">
        <v>15308.0</v>
      </c>
      <c r="B13832" s="3" t="s">
        <v>39271</v>
      </c>
      <c r="C13832" s="3">
        <v>0.0</v>
      </c>
      <c r="D13832" s="3">
        <v>0.0</v>
      </c>
      <c r="E13832" s="3">
        <v>0.0</v>
      </c>
      <c r="F13832" s="3" t="s">
        <v>39272</v>
      </c>
      <c r="G13832" s="3">
        <v>0.0</v>
      </c>
      <c r="H13832" s="3">
        <v>0.0</v>
      </c>
      <c r="I13832" s="3" t="s">
        <v>13</v>
      </c>
      <c r="J13832" s="3" t="s">
        <v>39273</v>
      </c>
      <c r="K13832" s="3" t="s">
        <v>520</v>
      </c>
      <c r="L13832" s="3" t="str">
        <f>IFERROR(__xludf.DUMMYFUNCTION("GOOGLETRANSLATE(F13832,""id"",""en"")"),"Jayy, later you want to watch PILDUN, you hold it if Argentina wins you who should be my girlfriend but if France wins me the one who should be your girlfriend")</f>
        <v>Jayy, later you want to watch PILDUN, you hold it if Argentina wins you who should be my girlfriend but if France wins me the one who should be your girlfriend</v>
      </c>
    </row>
    <row r="13833" ht="15.75" customHeight="1">
      <c r="A13833" s="1">
        <v>15309.0</v>
      </c>
      <c r="B13833" s="3" t="s">
        <v>39274</v>
      </c>
      <c r="C13833" s="3">
        <v>0.0</v>
      </c>
      <c r="D13833" s="3">
        <v>0.0</v>
      </c>
      <c r="E13833" s="3">
        <v>0.0</v>
      </c>
      <c r="F13833" s="3" t="s">
        <v>39275</v>
      </c>
      <c r="G13833" s="3">
        <v>0.09999999999999999</v>
      </c>
      <c r="H13833" s="3">
        <v>0.06666666666666667</v>
      </c>
      <c r="I13833" s="3" t="s">
        <v>48</v>
      </c>
      <c r="J13833" s="3" t="s">
        <v>39276</v>
      </c>
      <c r="K13833" s="3" t="s">
        <v>1699</v>
      </c>
      <c r="L13833" s="3" t="str">
        <f>IFERROR(__xludf.DUMMYFUNCTION("GOOGLETRANSLATE(F13833,""id"",""en"")"),"The era of modern football has not yet won back back pildun is a bit doubtful France can win but it's not willing also if Argentina wins but the ball is a round bismillah bang jirut obrak abrik martinez")</f>
        <v>The era of modern football has not yet won back back pildun is a bit doubtful France can win but it's not willing also if Argentina wins but the ball is a round bismillah bang jirut obrak abrik martinez</v>
      </c>
    </row>
    <row r="13834" ht="15.75" customHeight="1">
      <c r="A13834" s="1">
        <v>15310.0</v>
      </c>
      <c r="B13834" s="3" t="s">
        <v>39277</v>
      </c>
      <c r="C13834" s="3">
        <v>0.0</v>
      </c>
      <c r="D13834" s="3">
        <v>0.0</v>
      </c>
      <c r="E13834" s="3">
        <v>1.0</v>
      </c>
      <c r="F13834" s="3" t="s">
        <v>39278</v>
      </c>
      <c r="G13834" s="3">
        <v>0.0</v>
      </c>
      <c r="H13834" s="3">
        <v>0.0</v>
      </c>
      <c r="I13834" s="3" t="s">
        <v>13</v>
      </c>
      <c r="J13834" s="3" t="s">
        <v>39279</v>
      </c>
      <c r="K13834" s="3" t="s">
        <v>266</v>
      </c>
      <c r="L13834" s="3" t="str">
        <f>IFERROR(__xludf.DUMMYFUNCTION("GOOGLETRANSLATE(F13834,""id"",""en"")"),"Argentina's toughest opponent is not France but those who echo the FIFA conspiracy to smooth Argentina won the end of the Argentine national team's messi dedication like to justify the existence of a conspiracy.")</f>
        <v>Argentina's toughest opponent is not France but those who echo the FIFA conspiracy to smooth Argentina won the end of the Argentine national team's messi dedication like to justify the existence of a conspiracy.</v>
      </c>
    </row>
    <row r="13835" ht="15.75" customHeight="1">
      <c r="A13835" s="1">
        <v>15311.0</v>
      </c>
      <c r="B13835" s="3" t="s">
        <v>39280</v>
      </c>
      <c r="C13835" s="3">
        <v>0.0</v>
      </c>
      <c r="D13835" s="3">
        <v>0.0</v>
      </c>
      <c r="E13835" s="3">
        <v>0.0</v>
      </c>
      <c r="F13835" s="3" t="s">
        <v>39281</v>
      </c>
      <c r="G13835" s="3">
        <v>0.0</v>
      </c>
      <c r="H13835" s="3">
        <v>0.0</v>
      </c>
      <c r="I13835" s="3" t="s">
        <v>13</v>
      </c>
      <c r="J13835" s="3" t="s">
        <v>39282</v>
      </c>
      <c r="K13835" s="3" t="s">
        <v>1097</v>
      </c>
      <c r="L13835" s="3" t="str">
        <f>IFERROR(__xludf.DUMMYFUNCTION("GOOGLETRANSLATE(F13835,""id"",""en"")"),"Invited to bet with Gemini Pildun Argentina can win to win")</f>
        <v>Invited to bet with Gemini Pildun Argentina can win to win</v>
      </c>
    </row>
    <row r="13836" ht="15.75" customHeight="1">
      <c r="A13836" s="1">
        <v>15312.0</v>
      </c>
      <c r="B13836" s="3" t="s">
        <v>39283</v>
      </c>
      <c r="C13836" s="3">
        <v>0.0</v>
      </c>
      <c r="D13836" s="3">
        <v>0.0</v>
      </c>
      <c r="E13836" s="3">
        <v>0.0</v>
      </c>
      <c r="F13836" s="3" t="s">
        <v>39284</v>
      </c>
      <c r="G13836" s="3">
        <v>0.0</v>
      </c>
      <c r="H13836" s="3">
        <v>0.0</v>
      </c>
      <c r="I13836" s="3" t="s">
        <v>13</v>
      </c>
      <c r="J13836" s="3" t="s">
        <v>39285</v>
      </c>
      <c r="K13836" s="3" t="s">
        <v>54</v>
      </c>
      <c r="L13836" s="3" t="str">
        <f>IFERROR(__xludf.DUMMYFUNCTION("GOOGLETRANSLATE(F13836,""id"",""en"")"),"the heart wants to watch pildun but the brain wants Argentina to win")</f>
        <v>the heart wants to watch pildun but the brain wants Argentina to win</v>
      </c>
    </row>
    <row r="13837" ht="15.75" customHeight="1">
      <c r="A13837" s="1">
        <v>15313.0</v>
      </c>
      <c r="B13837" s="3" t="s">
        <v>39286</v>
      </c>
      <c r="C13837" s="3">
        <v>0.0</v>
      </c>
      <c r="D13837" s="3">
        <v>0.0</v>
      </c>
      <c r="E13837" s="3">
        <v>0.0</v>
      </c>
      <c r="F13837" s="3" t="s">
        <v>39287</v>
      </c>
      <c r="G13837" s="3">
        <v>0.0</v>
      </c>
      <c r="H13837" s="3">
        <v>0.0</v>
      </c>
      <c r="I13837" s="3" t="s">
        <v>13</v>
      </c>
      <c r="J13837" s="3" t="s">
        <v>39288</v>
      </c>
      <c r="K13837" s="3" t="s">
        <v>1097</v>
      </c>
      <c r="L13837" s="3" t="str">
        <f>IFERROR(__xludf.DUMMYFUNCTION("GOOGLETRANSLATE(F13837,""id"",""en"")"),"Bismillah Ing Pildun Winning Okeh Argentina Wins Yok Gaske")</f>
        <v>Bismillah Ing Pildun Winning Okeh Argentina Wins Yok Gaske</v>
      </c>
    </row>
    <row r="13838" ht="15.75" customHeight="1">
      <c r="A13838" s="1">
        <v>15314.0</v>
      </c>
      <c r="B13838" s="3" t="s">
        <v>39289</v>
      </c>
      <c r="C13838" s="3">
        <v>0.0</v>
      </c>
      <c r="D13838" s="3">
        <v>0.0</v>
      </c>
      <c r="E13838" s="3">
        <v>0.0</v>
      </c>
      <c r="F13838" s="3" t="s">
        <v>39290</v>
      </c>
      <c r="G13838" s="3">
        <v>0.0</v>
      </c>
      <c r="H13838" s="3">
        <v>0.0</v>
      </c>
      <c r="I13838" s="3" t="s">
        <v>13</v>
      </c>
      <c r="J13838" s="3" t="s">
        <v>39291</v>
      </c>
      <c r="K13838" s="3" t="s">
        <v>2907</v>
      </c>
      <c r="L13838" s="3" t="str">
        <f>IFERROR(__xludf.DUMMYFUNCTION("GOOGLETRANSLATE(F13838,""id"",""en"")"),"Friends say I wake up me if Argentina wins the Pildun the person wakes up because the Argentinya doesn't win")</f>
        <v>Friends say I wake up me if Argentina wins the Pildun the person wakes up because the Argentinya doesn't win</v>
      </c>
    </row>
    <row r="13839" ht="15.75" customHeight="1">
      <c r="A13839" s="1">
        <v>15315.0</v>
      </c>
      <c r="B13839" s="3" t="s">
        <v>39292</v>
      </c>
      <c r="C13839" s="3">
        <v>0.0</v>
      </c>
      <c r="D13839" s="3">
        <v>0.0</v>
      </c>
      <c r="E13839" s="3">
        <v>0.0</v>
      </c>
      <c r="F13839" s="3" t="s">
        <v>39293</v>
      </c>
      <c r="G13839" s="3">
        <v>1.0</v>
      </c>
      <c r="H13839" s="3">
        <v>0.0</v>
      </c>
      <c r="I13839" s="3" t="s">
        <v>13</v>
      </c>
      <c r="J13839" s="3" t="s">
        <v>39294</v>
      </c>
      <c r="K13839" s="3" t="s">
        <v>633</v>
      </c>
      <c r="L13839" s="3" t="str">
        <f>IFERROR(__xludf.DUMMYFUNCTION("GOOGLETRANSLATE(F13839,""id"",""en"")"),"From the beginning of my student's pildun, I asked according to mother who was the champion I said Argentina, without knowing the reason, Argentina turned out to be the finals, still hoping to win the wkwkwk")</f>
        <v>From the beginning of my student's pildun, I asked according to mother who was the champion I said Argentina, without knowing the reason, Argentina turned out to be the finals, still hoping to win the wkwkwk</v>
      </c>
    </row>
    <row r="13840" ht="15.75" customHeight="1">
      <c r="A13840" s="1">
        <v>15316.0</v>
      </c>
      <c r="B13840" s="3" t="s">
        <v>39295</v>
      </c>
      <c r="C13840" s="3">
        <v>1.0</v>
      </c>
      <c r="D13840" s="3">
        <v>0.0</v>
      </c>
      <c r="E13840" s="3">
        <v>0.0</v>
      </c>
      <c r="F13840" s="3" t="s">
        <v>39296</v>
      </c>
      <c r="G13840" s="3">
        <v>0.0</v>
      </c>
      <c r="H13840" s="3">
        <v>0.0</v>
      </c>
      <c r="I13840" s="3" t="s">
        <v>13</v>
      </c>
      <c r="J13840" s="3" t="s">
        <v>39297</v>
      </c>
      <c r="K13840" s="3" t="s">
        <v>2375</v>
      </c>
      <c r="L13840" s="3" t="str">
        <f>IFERROR(__xludf.DUMMYFUNCTION("GOOGLETRANSLATE(F13840,""id"",""en"")"),"Let's bet on Pildun if Argentina wins I sleep with you if France wins you sleep with me ytta")</f>
        <v>Let's bet on Pildun if Argentina wins I sleep with you if France wins you sleep with me ytta</v>
      </c>
    </row>
    <row r="13841" ht="15.75" customHeight="1">
      <c r="A13841" s="1">
        <v>15317.0</v>
      </c>
      <c r="B13841" s="3" t="s">
        <v>39298</v>
      </c>
      <c r="C13841" s="3">
        <v>0.0</v>
      </c>
      <c r="D13841" s="3">
        <v>0.0</v>
      </c>
      <c r="E13841" s="3">
        <v>0.0</v>
      </c>
      <c r="F13841" s="3" t="s">
        <v>39299</v>
      </c>
      <c r="G13841" s="3">
        <v>0.0</v>
      </c>
      <c r="H13841" s="3">
        <v>0.0</v>
      </c>
      <c r="I13841" s="3" t="s">
        <v>13</v>
      </c>
      <c r="J13841" s="3" t="s">
        <v>39300</v>
      </c>
      <c r="K13841" s="3" t="s">
        <v>3671</v>
      </c>
      <c r="L13841" s="3" t="str">
        <f>IFERROR(__xludf.DUMMYFUNCTION("GOOGLETRANSLATE(F13841,""id"",""en"")"),"Want to see Argentina win so Messi can retire calmly but want to see France winning too long ago not to see the country winning in a row")</f>
        <v>Want to see Argentina win so Messi can retire calmly but want to see France winning too long ago not to see the country winning in a row</v>
      </c>
    </row>
    <row r="13842" ht="15.75" customHeight="1">
      <c r="A13842" s="1">
        <v>15318.0</v>
      </c>
      <c r="B13842" s="3" t="s">
        <v>39301</v>
      </c>
      <c r="C13842" s="3">
        <v>0.0</v>
      </c>
      <c r="D13842" s="3">
        <v>0.0</v>
      </c>
      <c r="E13842" s="3">
        <v>0.0</v>
      </c>
      <c r="F13842" s="3" t="s">
        <v>39302</v>
      </c>
      <c r="G13842" s="3">
        <v>1.0</v>
      </c>
      <c r="H13842" s="3">
        <v>0.0</v>
      </c>
      <c r="I13842" s="3" t="s">
        <v>13</v>
      </c>
      <c r="J13842" s="3" t="s">
        <v>39303</v>
      </c>
      <c r="K13842" s="3" t="s">
        <v>86</v>
      </c>
      <c r="L13842" s="3" t="str">
        <f>IFERROR(__xludf.DUMMYFUNCTION("GOOGLETRANSLATE(F13842,""id"",""en"")"),"Arisan Pildun got France entering the final meeting Argentina.")</f>
        <v>Arisan Pildun got France entering the final meeting Argentina.</v>
      </c>
    </row>
    <row r="13843" ht="15.75" customHeight="1">
      <c r="A13843" s="1">
        <v>15319.0</v>
      </c>
      <c r="B13843" s="3" t="s">
        <v>39304</v>
      </c>
      <c r="C13843" s="3">
        <v>0.0</v>
      </c>
      <c r="D13843" s="3">
        <v>0.0</v>
      </c>
      <c r="E13843" s="3">
        <v>0.0</v>
      </c>
      <c r="F13843" s="3" t="s">
        <v>38434</v>
      </c>
      <c r="G13843" s="3">
        <v>0.0</v>
      </c>
      <c r="H13843" s="3">
        <v>0.0</v>
      </c>
      <c r="I13843" s="3" t="s">
        <v>13</v>
      </c>
      <c r="J13843" s="3" t="s">
        <v>38435</v>
      </c>
      <c r="K13843" s="3" t="s">
        <v>2117</v>
      </c>
      <c r="L13843" s="3" t="str">
        <f>IFERROR(__xludf.DUMMYFUNCTION("GOOGLETRANSLATE(F13843,""id"",""en"")"),"Argentina won Pilduun")</f>
        <v>Argentina won Pilduun</v>
      </c>
    </row>
    <row r="13844" ht="15.75" customHeight="1">
      <c r="A13844" s="1">
        <v>15320.0</v>
      </c>
      <c r="B13844" s="3" t="s">
        <v>39305</v>
      </c>
      <c r="C13844" s="3">
        <v>0.0</v>
      </c>
      <c r="D13844" s="3">
        <v>1.0</v>
      </c>
      <c r="E13844" s="3">
        <v>0.0</v>
      </c>
      <c r="F13844" s="3" t="s">
        <v>39306</v>
      </c>
      <c r="G13844" s="3">
        <v>1.0</v>
      </c>
      <c r="H13844" s="3">
        <v>0.0</v>
      </c>
      <c r="I13844" s="3" t="s">
        <v>13</v>
      </c>
      <c r="J13844" s="3" t="s">
        <v>39307</v>
      </c>
      <c r="K13844" s="3" t="s">
        <v>1349</v>
      </c>
      <c r="L13844" s="3" t="str">
        <f>IFERROR(__xludf.DUMMYFUNCTION("GOOGLETRANSLATE(F13844,""id"",""en"")"),"Sok Sokan analyzed the final of Argentina French Pildun French could also be Argentina that France won or vice versa but most likely one of them won")</f>
        <v>Sok Sokan analyzed the final of Argentina French Pildun French could also be Argentina that France won or vice versa but most likely one of them won</v>
      </c>
    </row>
    <row r="13845" ht="15.75" customHeight="1">
      <c r="A13845" s="1">
        <v>15321.0</v>
      </c>
      <c r="B13845" s="3" t="s">
        <v>39308</v>
      </c>
      <c r="C13845" s="3">
        <v>0.0</v>
      </c>
      <c r="D13845" s="3">
        <v>0.0</v>
      </c>
      <c r="E13845" s="3">
        <v>0.0</v>
      </c>
      <c r="F13845" s="3" t="s">
        <v>39309</v>
      </c>
      <c r="G13845" s="3">
        <v>0.0</v>
      </c>
      <c r="H13845" s="3">
        <v>0.0</v>
      </c>
      <c r="I13845" s="3" t="s">
        <v>13</v>
      </c>
      <c r="J13845" s="3" t="s">
        <v>39310</v>
      </c>
      <c r="K13845" s="3" t="s">
        <v>477</v>
      </c>
      <c r="L13845" s="3" t="str">
        <f>IFERROR(__xludf.DUMMYFUNCTION("GOOGLETRANSLATE(F13845,""id"",""en"")"),"Info Nobar Sing Sing Argentina Sing Win")</f>
        <v>Info Nobar Sing Sing Argentina Sing Win</v>
      </c>
    </row>
    <row r="13846" ht="15.75" customHeight="1">
      <c r="A13846" s="1">
        <v>15322.0</v>
      </c>
      <c r="B13846" s="3" t="s">
        <v>39311</v>
      </c>
      <c r="C13846" s="3">
        <v>0.0</v>
      </c>
      <c r="D13846" s="3">
        <v>0.0</v>
      </c>
      <c r="E13846" s="3">
        <v>0.0</v>
      </c>
      <c r="F13846" s="3" t="s">
        <v>39312</v>
      </c>
      <c r="G13846" s="3">
        <v>0.0</v>
      </c>
      <c r="H13846" s="3">
        <v>0.0</v>
      </c>
      <c r="I13846" s="3" t="s">
        <v>13</v>
      </c>
      <c r="J13846" s="3" t="s">
        <v>39313</v>
      </c>
      <c r="K13846" s="3" t="s">
        <v>31</v>
      </c>
      <c r="L13846" s="3" t="str">
        <f>IFERROR(__xludf.DUMMYFUNCTION("GOOGLETRANSLATE(F13846,""id"",""en"")"),"Argentina won Pilduun Cave Kayang")</f>
        <v>Argentina won Pilduun Cave Kayang</v>
      </c>
    </row>
    <row r="13847" ht="15.75" customHeight="1">
      <c r="A13847" s="1">
        <v>15323.0</v>
      </c>
      <c r="B13847" s="3" t="s">
        <v>39314</v>
      </c>
      <c r="C13847" s="3">
        <v>1.0</v>
      </c>
      <c r="D13847" s="3">
        <v>1.0</v>
      </c>
      <c r="E13847" s="3">
        <v>1.0</v>
      </c>
      <c r="F13847" s="3" t="s">
        <v>39315</v>
      </c>
      <c r="G13847" s="3">
        <v>0.0</v>
      </c>
      <c r="H13847" s="3">
        <v>0.0</v>
      </c>
      <c r="I13847" s="3" t="s">
        <v>13</v>
      </c>
      <c r="J13847" s="3" t="s">
        <v>39316</v>
      </c>
      <c r="K13847" s="3" t="s">
        <v>883</v>
      </c>
      <c r="L13847" s="3" t="str">
        <f>IFERROR(__xludf.DUMMYFUNCTION("GOOGLETRANSLATE(F13847,""id"",""en"")"),"Sumuk Bgt Ges Opo Iki Mergo Account Sng Rung Adus Telong Dina Opo Iki Signs of Argentina Meh Win")</f>
        <v>Sumuk Bgt Ges Opo Iki Mergo Account Sng Rung Adus Telong Dina Opo Iki Signs of Argentina Meh Win</v>
      </c>
    </row>
    <row r="13848" ht="15.75" customHeight="1">
      <c r="A13848" s="1">
        <v>15324.0</v>
      </c>
      <c r="B13848" s="3" t="s">
        <v>39317</v>
      </c>
      <c r="C13848" s="3">
        <v>0.0</v>
      </c>
      <c r="D13848" s="3">
        <v>0.0</v>
      </c>
      <c r="E13848" s="3">
        <v>0.0</v>
      </c>
      <c r="F13848" s="3" t="s">
        <v>39318</v>
      </c>
      <c r="G13848" s="3">
        <v>1.0</v>
      </c>
      <c r="H13848" s="3">
        <v>0.0</v>
      </c>
      <c r="I13848" s="3" t="s">
        <v>13</v>
      </c>
      <c r="J13848" s="3" t="s">
        <v>39319</v>
      </c>
      <c r="K13848" s="3" t="s">
        <v>449</v>
      </c>
      <c r="L13848" s="3" t="str">
        <f>IFERROR(__xludf.DUMMYFUNCTION("GOOGLETRANSLATE(F13848,""id"",""en"")"),"Final Pildun later holds Argentina even though France is still very good and maybe win again to defer the champion only hopes if you lose hopefully it will be slaughtered wkwk because betting the goal scoring")</f>
        <v>Final Pildun later holds Argentina even though France is still very good and maybe win again to defer the champion only hopes if you lose hopefully it will be slaughtered wkwk because betting the goal scoring</v>
      </c>
    </row>
    <row r="13849" ht="15.75" customHeight="1">
      <c r="A13849" s="1">
        <v>15325.0</v>
      </c>
      <c r="B13849" s="3" t="s">
        <v>39320</v>
      </c>
      <c r="C13849" s="3">
        <v>0.0</v>
      </c>
      <c r="D13849" s="3">
        <v>1.0</v>
      </c>
      <c r="E13849" s="3">
        <v>6.0</v>
      </c>
      <c r="F13849" s="3" t="s">
        <v>39321</v>
      </c>
      <c r="G13849" s="3">
        <v>0.0</v>
      </c>
      <c r="H13849" s="3">
        <v>0.0</v>
      </c>
      <c r="I13849" s="3" t="s">
        <v>13</v>
      </c>
      <c r="J13849" s="3" t="s">
        <v>39322</v>
      </c>
      <c r="K13849" s="3" t="s">
        <v>15</v>
      </c>
      <c r="L13849" s="3" t="str">
        <f>IFERROR(__xludf.DUMMYFUNCTION("GOOGLETRANSLATE(F13849,""id"",""en"")"),"betting who will win today holds Argentina today")</f>
        <v>betting who will win today holds Argentina today</v>
      </c>
    </row>
    <row r="13850" ht="15.75" customHeight="1">
      <c r="A13850" s="1">
        <v>15326.0</v>
      </c>
      <c r="B13850" s="3" t="s">
        <v>39323</v>
      </c>
      <c r="C13850" s="3">
        <v>0.0</v>
      </c>
      <c r="D13850" s="3">
        <v>0.0</v>
      </c>
      <c r="E13850" s="3">
        <v>0.0</v>
      </c>
      <c r="F13850" s="3" t="s">
        <v>39324</v>
      </c>
      <c r="G13850" s="3">
        <v>0.0</v>
      </c>
      <c r="H13850" s="3">
        <v>0.0</v>
      </c>
      <c r="I13850" s="3" t="s">
        <v>13</v>
      </c>
      <c r="J13850" s="3" t="s">
        <v>39325</v>
      </c>
      <c r="K13850" s="3" t="s">
        <v>41</v>
      </c>
      <c r="L13850" s="3" t="str">
        <f>IFERROR(__xludf.DUMMYFUNCTION("GOOGLETRANSLATE(F13850,""id"",""en"")"),"Electricity is on Dong Nobar Pildun as well as seeing Argentina winning")</f>
        <v>Electricity is on Dong Nobar Pildun as well as seeing Argentina winning</v>
      </c>
    </row>
    <row r="13851" ht="15.75" customHeight="1">
      <c r="A13851" s="1">
        <v>15327.0</v>
      </c>
      <c r="B13851" s="3" t="s">
        <v>39326</v>
      </c>
      <c r="C13851" s="3">
        <v>0.0</v>
      </c>
      <c r="D13851" s="3">
        <v>0.0</v>
      </c>
      <c r="E13851" s="3">
        <v>8.0</v>
      </c>
      <c r="F13851" s="3" t="s">
        <v>39327</v>
      </c>
      <c r="G13851" s="3">
        <v>0.0</v>
      </c>
      <c r="H13851" s="3">
        <v>0.0</v>
      </c>
      <c r="I13851" s="3" t="s">
        <v>13</v>
      </c>
      <c r="J13851" s="3" t="s">
        <v>39328</v>
      </c>
      <c r="K13851" s="3" t="s">
        <v>50</v>
      </c>
      <c r="L13851" s="3" t="str">
        <f>IFERROR(__xludf.DUMMYFUNCTION("GOOGLETRANSLATE(F13851,""id"",""en"")"),"Want France or Argentina who wins still Qatar who will be the full champion watching pildun")</f>
        <v>Want France or Argentina who wins still Qatar who will be the full champion watching pildun</v>
      </c>
    </row>
    <row r="13852" ht="15.75" customHeight="1">
      <c r="A13852" s="1">
        <v>15328.0</v>
      </c>
      <c r="B13852" s="3" t="s">
        <v>39329</v>
      </c>
      <c r="C13852" s="3">
        <v>1.0</v>
      </c>
      <c r="D13852" s="3">
        <v>8.0</v>
      </c>
      <c r="E13852" s="3">
        <v>14.0</v>
      </c>
      <c r="F13852" s="3" t="s">
        <v>39330</v>
      </c>
      <c r="G13852" s="3">
        <v>0.3333333333333333</v>
      </c>
      <c r="H13852" s="3">
        <v>0.1666666666666667</v>
      </c>
      <c r="I13852" s="3" t="s">
        <v>48</v>
      </c>
      <c r="J13852" s="3" t="s">
        <v>39331</v>
      </c>
      <c r="K13852" s="3" t="s">
        <v>3819</v>
      </c>
      <c r="L13852" s="3" t="str">
        <f>IFERROR(__xludf.DUMMYFUNCTION("GOOGLETRANSLATE(F13852,""id"",""en"")"),"Argentina French Pildun who won Qatar Messi and Mbapp Star Argentina and France played for PSG which incidentally owned by Qatar so whatever the results are still Qatar who won together watching Spotify")</f>
        <v>Argentina French Pildun who won Qatar Messi and Mbapp Star Argentina and France played for PSG which incidentally owned by Qatar so whatever the results are still Qatar who won together watching Spotify</v>
      </c>
    </row>
    <row r="13853" ht="15.75" customHeight="1">
      <c r="A13853" s="1">
        <v>15329.0</v>
      </c>
      <c r="B13853" s="3" t="s">
        <v>39332</v>
      </c>
      <c r="C13853" s="3">
        <v>0.0</v>
      </c>
      <c r="D13853" s="3">
        <v>0.0</v>
      </c>
      <c r="E13853" s="3">
        <v>1.0</v>
      </c>
      <c r="F13853" s="3" t="s">
        <v>39333</v>
      </c>
      <c r="G13853" s="3">
        <v>0.0</v>
      </c>
      <c r="H13853" s="3">
        <v>0.0</v>
      </c>
      <c r="I13853" s="3" t="s">
        <v>13</v>
      </c>
      <c r="J13853" s="3" t="s">
        <v>39334</v>
      </c>
      <c r="K13853" s="3" t="s">
        <v>236</v>
      </c>
      <c r="L13853" s="3" t="str">
        <f>IFERROR(__xludf.DUMMYFUNCTION("GOOGLETRANSLATE(F13853,""id"",""en"")"),"Wow, I rented with Papa for Pildun, please Argentina to win, so I fortunate")</f>
        <v>Wow, I rented with Papa for Pildun, please Argentina to win, so I fortunate</v>
      </c>
    </row>
    <row r="13854" ht="15.75" customHeight="1">
      <c r="A13854" s="1">
        <v>15330.0</v>
      </c>
      <c r="B13854" s="3" t="s">
        <v>39335</v>
      </c>
      <c r="C13854" s="3">
        <v>0.0</v>
      </c>
      <c r="D13854" s="3">
        <v>0.0</v>
      </c>
      <c r="E13854" s="3">
        <v>0.0</v>
      </c>
      <c r="F13854" s="3" t="s">
        <v>39336</v>
      </c>
      <c r="G13854" s="3">
        <v>0.0</v>
      </c>
      <c r="H13854" s="3">
        <v>0.0</v>
      </c>
      <c r="I13854" s="3" t="s">
        <v>13</v>
      </c>
      <c r="J13854" s="3" t="s">
        <v>39337</v>
      </c>
      <c r="K13854" s="3" t="s">
        <v>31</v>
      </c>
      <c r="L13854" s="3" t="str">
        <f>IFERROR(__xludf.DUMMYFUNCTION("GOOGLETRANSLATE(F13854,""id"",""en"")"),"Argentina won for this pildun")</f>
        <v>Argentina won for this pildun</v>
      </c>
    </row>
    <row r="13855" ht="15.75" customHeight="1">
      <c r="A13855" s="1">
        <v>15331.0</v>
      </c>
      <c r="B13855" s="3" t="s">
        <v>39338</v>
      </c>
      <c r="C13855" s="3">
        <v>0.0</v>
      </c>
      <c r="D13855" s="3">
        <v>0.0</v>
      </c>
      <c r="E13855" s="3">
        <v>0.0</v>
      </c>
      <c r="F13855" s="3" t="s">
        <v>39339</v>
      </c>
      <c r="G13855" s="3">
        <v>0.0</v>
      </c>
      <c r="H13855" s="3">
        <v>0.0</v>
      </c>
      <c r="I13855" s="3" t="s">
        <v>13</v>
      </c>
      <c r="J13855" s="3" t="s">
        <v>39340</v>
      </c>
      <c r="K13855" s="3" t="s">
        <v>477</v>
      </c>
      <c r="L13855" s="3" t="str">
        <f>IFERROR(__xludf.DUMMYFUNCTION("GOOGLETRANSLATE(F13855,""id"",""en"")"),"France Argentina Adu Pinalty Argentina won the championship")</f>
        <v>France Argentina Adu Pinalty Argentina won the championship</v>
      </c>
    </row>
    <row r="13856" ht="15.75" customHeight="1">
      <c r="A13856" s="1">
        <v>15333.0</v>
      </c>
      <c r="B13856" s="3" t="s">
        <v>39341</v>
      </c>
      <c r="C13856" s="3">
        <v>0.0</v>
      </c>
      <c r="D13856" s="3">
        <v>0.0</v>
      </c>
      <c r="E13856" s="3">
        <v>2.0</v>
      </c>
      <c r="F13856" s="3" t="s">
        <v>39342</v>
      </c>
      <c r="G13856" s="3">
        <v>1.0</v>
      </c>
      <c r="H13856" s="3">
        <v>0.5</v>
      </c>
      <c r="I13856" s="3" t="s">
        <v>48</v>
      </c>
      <c r="J13856" s="3" t="s">
        <v>39343</v>
      </c>
      <c r="K13856" s="3" t="s">
        <v>433</v>
      </c>
      <c r="L13856" s="3" t="str">
        <f>IFERROR(__xludf.DUMMYFUNCTION("GOOGLETRANSLATE(F13856,""id"",""en"")"),"I am not a pildun enjoying but hopefully Argentina will win so that my favorite authorites want to post updates")</f>
        <v>I am not a pildun enjoying but hopefully Argentina will win so that my favorite authorites want to post updates</v>
      </c>
    </row>
    <row r="13857" ht="15.75" customHeight="1">
      <c r="A13857" s="1">
        <v>15334.0</v>
      </c>
      <c r="B13857" s="3" t="s">
        <v>39344</v>
      </c>
      <c r="C13857" s="3">
        <v>1.0</v>
      </c>
      <c r="D13857" s="3">
        <v>0.0</v>
      </c>
      <c r="E13857" s="3">
        <v>0.0</v>
      </c>
      <c r="F13857" s="3" t="s">
        <v>39345</v>
      </c>
      <c r="G13857" s="3">
        <v>0.0</v>
      </c>
      <c r="H13857" s="3">
        <v>0.0</v>
      </c>
      <c r="I13857" s="3" t="s">
        <v>13</v>
      </c>
      <c r="J13857" s="3" t="s">
        <v>39346</v>
      </c>
      <c r="K13857" s="3" t="s">
        <v>3346</v>
      </c>
      <c r="L13857" s="3" t="str">
        <f>IFERROR(__xludf.DUMMYFUNCTION("GOOGLETRANSLATE(F13857,""id"",""en"")"),"I once was the Pilduun Jagoin Argentina who won Germany, I thought Argentina won")</f>
        <v>I once was the Pilduun Jagoin Argentina who won Germany, I thought Argentina won</v>
      </c>
    </row>
    <row r="13858" ht="15.75" customHeight="1">
      <c r="A13858" s="1">
        <v>15335.0</v>
      </c>
      <c r="B13858" s="3" t="s">
        <v>39347</v>
      </c>
      <c r="C13858" s="3">
        <v>0.0</v>
      </c>
      <c r="D13858" s="3">
        <v>0.0</v>
      </c>
      <c r="E13858" s="3">
        <v>0.0</v>
      </c>
      <c r="F13858" s="3" t="s">
        <v>39348</v>
      </c>
      <c r="G13858" s="3">
        <v>0.0</v>
      </c>
      <c r="H13858" s="3">
        <v>0.0</v>
      </c>
      <c r="I13858" s="3" t="s">
        <v>13</v>
      </c>
      <c r="J13858" s="3" t="s">
        <v>39349</v>
      </c>
      <c r="K13858" s="3" t="s">
        <v>82</v>
      </c>
      <c r="L13858" s="3" t="str">
        <f>IFERROR(__xludf.DUMMYFUNCTION("GOOGLETRANSLATE(F13858,""id"",""en"")"),"Argentina won Pilduun Min, I'm already happy")</f>
        <v>Argentina won Pilduun Min, I'm already happy</v>
      </c>
    </row>
    <row r="13859" ht="15.75" customHeight="1">
      <c r="A13859" s="1">
        <v>15336.0</v>
      </c>
      <c r="B13859" s="3" t="s">
        <v>39350</v>
      </c>
      <c r="C13859" s="3">
        <v>0.0</v>
      </c>
      <c r="D13859" s="3">
        <v>0.0</v>
      </c>
      <c r="E13859" s="3">
        <v>0.0</v>
      </c>
      <c r="F13859" s="3" t="s">
        <v>39351</v>
      </c>
      <c r="G13859" s="3">
        <v>0.0</v>
      </c>
      <c r="H13859" s="3">
        <v>0.0</v>
      </c>
      <c r="I13859" s="3" t="s">
        <v>13</v>
      </c>
      <c r="J13859" s="3" t="s">
        <v>39352</v>
      </c>
      <c r="K13859" s="3" t="s">
        <v>15</v>
      </c>
      <c r="L13859" s="3" t="str">
        <f>IFERROR(__xludf.DUMMYFUNCTION("GOOGLETRANSLATE(F13859,""id"",""en"")"),"I used to win that first Argentina and the pildun")</f>
        <v>I used to win that first Argentina and the pildun</v>
      </c>
    </row>
    <row r="13860" ht="15.75" customHeight="1">
      <c r="A13860" s="1">
        <v>15337.0</v>
      </c>
      <c r="B13860" s="3" t="s">
        <v>39353</v>
      </c>
      <c r="C13860" s="3">
        <v>2.0</v>
      </c>
      <c r="D13860" s="3">
        <v>0.0</v>
      </c>
      <c r="E13860" s="3">
        <v>0.0</v>
      </c>
      <c r="F13860" s="3" t="s">
        <v>39354</v>
      </c>
      <c r="G13860" s="3">
        <v>0.0</v>
      </c>
      <c r="H13860" s="3">
        <v>0.0</v>
      </c>
      <c r="I13860" s="3" t="s">
        <v>13</v>
      </c>
      <c r="J13860" s="3" t="s">
        <v>39355</v>
      </c>
      <c r="K13860" s="3" t="s">
        <v>82</v>
      </c>
      <c r="L13860" s="3" t="str">
        <f>IFERROR(__xludf.DUMMYFUNCTION("GOOGLETRANSLATE(F13860,""id"",""en"")"),"Argentina because he joined the gathering of the pildun won kek")</f>
        <v>Argentina because he joined the gathering of the pildun won kek</v>
      </c>
    </row>
    <row r="13861" ht="15.75" customHeight="1">
      <c r="A13861" s="1">
        <v>15338.0</v>
      </c>
      <c r="B13861" s="3" t="s">
        <v>39356</v>
      </c>
      <c r="C13861" s="3">
        <v>1.0</v>
      </c>
      <c r="D13861" s="3">
        <v>0.0</v>
      </c>
      <c r="E13861" s="3">
        <v>1.0</v>
      </c>
      <c r="F13861" s="3" t="s">
        <v>39357</v>
      </c>
      <c r="G13861" s="3">
        <v>0.0</v>
      </c>
      <c r="H13861" s="3">
        <v>0.0</v>
      </c>
      <c r="I13861" s="3" t="s">
        <v>13</v>
      </c>
      <c r="J13861" s="3" t="s">
        <v>39358</v>
      </c>
      <c r="K13861" s="3" t="s">
        <v>449</v>
      </c>
      <c r="L13861" s="3" t="str">
        <f>IFERROR(__xludf.DUMMYFUNCTION("GOOGLETRANSLATE(F13861,""id"",""en"")"),"Arabs may be underestimated what Argentina is just a MEXOKO POLAND MEXOKA, it's easy, Ochoa is a specialist goalkeeper, bro, Szczesny, Sring, if the team is not yet another player, Lewy, it will win Balloon")</f>
        <v>Arabs may be underestimated what Argentina is just a MEXOKO POLAND MEXOKA, it's easy, Ochoa is a specialist goalkeeper, bro, Szczesny, Sring, if the team is not yet another player, Lewy, it will win Balloon</v>
      </c>
    </row>
    <row r="13862" ht="15.75" customHeight="1">
      <c r="A13862" s="1">
        <v>15339.0</v>
      </c>
      <c r="B13862" s="3" t="s">
        <v>39359</v>
      </c>
      <c r="C13862" s="3">
        <v>1.0</v>
      </c>
      <c r="D13862" s="3">
        <v>0.0</v>
      </c>
      <c r="E13862" s="3">
        <v>0.0</v>
      </c>
      <c r="F13862" s="3" t="s">
        <v>39360</v>
      </c>
      <c r="G13862" s="3">
        <v>0.0</v>
      </c>
      <c r="H13862" s="3">
        <v>0.0</v>
      </c>
      <c r="I13862" s="3" t="s">
        <v>13</v>
      </c>
      <c r="J13862" s="3" t="s">
        <v>39361</v>
      </c>
      <c r="K13862" s="3" t="s">
        <v>15</v>
      </c>
      <c r="L13862" s="3" t="str">
        <f>IFERROR(__xludf.DUMMYFUNCTION("GOOGLETRANSLATE(F13862,""id"",""en"")"),"the all Agen is also Rungkad, how come you won the bookie")</f>
        <v>the all Agen is also Rungkad, how come you won the bookie</v>
      </c>
    </row>
    <row r="13863" ht="15.75" customHeight="1">
      <c r="A13863" s="1">
        <v>15340.0</v>
      </c>
      <c r="B13863" s="3" t="s">
        <v>39362</v>
      </c>
      <c r="C13863" s="3">
        <v>1.0</v>
      </c>
      <c r="D13863" s="3">
        <v>0.0</v>
      </c>
      <c r="E13863" s="3">
        <v>0.0</v>
      </c>
      <c r="F13863" s="3" t="s">
        <v>39363</v>
      </c>
      <c r="G13863" s="3">
        <v>0.0</v>
      </c>
      <c r="H13863" s="3">
        <v>0.0</v>
      </c>
      <c r="I13863" s="3" t="s">
        <v>13</v>
      </c>
      <c r="J13863" s="3" t="s">
        <v>39364</v>
      </c>
      <c r="K13863" s="3" t="s">
        <v>495</v>
      </c>
      <c r="L13863" s="3" t="str">
        <f>IFERROR(__xludf.DUMMYFUNCTION("GOOGLETRANSLATE(F13863,""id"",""en"")"),"Maygadd means that when Argen wins, Sis, Sis celebrates yak yedam, if you're going back to Messi and leave kpop")</f>
        <v>Maygadd means that when Argen wins, Sis, Sis celebrates yak yedam, if you're going back to Messi and leave kpop</v>
      </c>
    </row>
    <row r="13864" ht="15.75" customHeight="1">
      <c r="A13864" s="1">
        <v>15341.0</v>
      </c>
      <c r="B13864" s="3" t="s">
        <v>39365</v>
      </c>
      <c r="C13864" s="3">
        <v>0.0</v>
      </c>
      <c r="D13864" s="3">
        <v>0.0</v>
      </c>
      <c r="E13864" s="3">
        <v>0.0</v>
      </c>
      <c r="F13864" s="3" t="s">
        <v>39366</v>
      </c>
      <c r="G13864" s="3">
        <v>0.0</v>
      </c>
      <c r="H13864" s="3">
        <v>0.0</v>
      </c>
      <c r="I13864" s="3" t="s">
        <v>13</v>
      </c>
      <c r="J13864" s="3" t="s">
        <v>39367</v>
      </c>
      <c r="K13864" s="3" t="s">
        <v>3519</v>
      </c>
      <c r="L13864" s="3" t="str">
        <f>IFERROR(__xludf.DUMMYFUNCTION("GOOGLETRANSLATE(F13864,""id"",""en"")"),"Indeed, his fate is just getting a Qatar goal even though it can be just right when I am Saudi, but at least you will help bring Agegen through the qualifier so AGGA can enter and the world cup is all happy all wins all wins")</f>
        <v>Indeed, his fate is just getting a Qatar goal even though it can be just right when I am Saudi, but at least you will help bring Agegen through the qualifier so AGGA can enter and the world cup is all happy all wins all wins</v>
      </c>
    </row>
    <row r="13865" ht="15.75" customHeight="1">
      <c r="A13865" s="1">
        <v>15342.0</v>
      </c>
      <c r="B13865" s="3" t="s">
        <v>39368</v>
      </c>
      <c r="C13865" s="3">
        <v>0.0</v>
      </c>
      <c r="D13865" s="3">
        <v>0.0</v>
      </c>
      <c r="E13865" s="3">
        <v>0.0</v>
      </c>
      <c r="F13865" s="3" t="s">
        <v>39369</v>
      </c>
      <c r="G13865" s="3">
        <v>0.0</v>
      </c>
      <c r="H13865" s="3">
        <v>0.0</v>
      </c>
      <c r="I13865" s="3" t="s">
        <v>13</v>
      </c>
      <c r="J13865" s="3" t="s">
        <v>39370</v>
      </c>
      <c r="K13865" s="3" t="s">
        <v>149</v>
      </c>
      <c r="L13865" s="3" t="str">
        <f>IFERROR(__xludf.DUMMYFUNCTION("GOOGLETRANSLATE(F13865,""id"",""en"")"),"It was not impressed, the one who was purely stupid at the beginning of the same time as the fans of Messi since Agen won the two AMA fans who were rather many appeared.")</f>
        <v>It was not impressed, the one who was purely stupid at the beginning of the same time as the fans of Messi since Agen won the two AMA fans who were rather many appeared.</v>
      </c>
    </row>
    <row r="13866" ht="15.75" customHeight="1">
      <c r="A13866" s="1">
        <v>15343.0</v>
      </c>
      <c r="B13866" s="3" t="s">
        <v>39371</v>
      </c>
      <c r="C13866" s="3">
        <v>0.0</v>
      </c>
      <c r="D13866" s="3">
        <v>0.0</v>
      </c>
      <c r="E13866" s="3">
        <v>0.0</v>
      </c>
      <c r="F13866" s="3" t="s">
        <v>39372</v>
      </c>
      <c r="G13866" s="3">
        <v>0.0</v>
      </c>
      <c r="H13866" s="3">
        <v>0.0</v>
      </c>
      <c r="I13866" s="3" t="s">
        <v>13</v>
      </c>
      <c r="J13866" s="3" t="s">
        <v>39373</v>
      </c>
      <c r="K13866" s="3" t="s">
        <v>437</v>
      </c>
      <c r="L13866" s="3" t="str">
        <f>IFERROR(__xludf.DUMMYFUNCTION("GOOGLETRANSLATE(F13866,""id"",""en"")"),"Jir my brain turned around the songu Kylian Mbape Ngolo Kante Maestro Kipembe Kipembe from ARGEN won PILDUN")</f>
        <v>Jir my brain turned around the songu Kylian Mbape Ngolo Kante Maestro Kipembe Kipembe from ARGEN won PILDUN</v>
      </c>
    </row>
    <row r="13867" ht="15.75" customHeight="1">
      <c r="A13867" s="1">
        <v>15344.0</v>
      </c>
      <c r="B13867" s="3" t="s">
        <v>39374</v>
      </c>
      <c r="C13867" s="3">
        <v>1.0</v>
      </c>
      <c r="D13867" s="3">
        <v>0.0</v>
      </c>
      <c r="E13867" s="3">
        <v>0.0</v>
      </c>
      <c r="F13867" s="3" t="s">
        <v>39375</v>
      </c>
      <c r="G13867" s="3">
        <v>0.0</v>
      </c>
      <c r="H13867" s="3">
        <v>0.0</v>
      </c>
      <c r="I13867" s="3" t="s">
        <v>13</v>
      </c>
      <c r="J13867" s="3" t="s">
        <v>39376</v>
      </c>
      <c r="K13867" s="3" t="s">
        <v>75</v>
      </c>
      <c r="L13867" s="3" t="str">
        <f>IFERROR(__xludf.DUMMYFUNCTION("GOOGLETRANSLATE(F13867,""id"",""en"")"),"Lynx BKAN MKSD Proof of Guess What For Agen Can Win")</f>
        <v>Lynx BKAN MKSD Proof of Guess What For Agen Can Win</v>
      </c>
    </row>
    <row r="13868" ht="15.75" customHeight="1">
      <c r="A13868" s="1">
        <v>15345.0</v>
      </c>
      <c r="B13868" s="3" t="s">
        <v>39377</v>
      </c>
      <c r="C13868" s="3">
        <v>0.0</v>
      </c>
      <c r="D13868" s="3">
        <v>0.0</v>
      </c>
      <c r="E13868" s="3">
        <v>0.0</v>
      </c>
      <c r="F13868" s="3" t="s">
        <v>39378</v>
      </c>
      <c r="G13868" s="3">
        <v>0.0</v>
      </c>
      <c r="H13868" s="3">
        <v>0.0</v>
      </c>
      <c r="I13868" s="3" t="s">
        <v>13</v>
      </c>
      <c r="J13868" s="3" t="s">
        <v>39379</v>
      </c>
      <c r="K13868" s="3" t="s">
        <v>41</v>
      </c>
      <c r="L13868" s="3" t="str">
        <f>IFERROR(__xludf.DUMMYFUNCTION("GOOGLETRANSLATE(F13868,""id"",""en"")"),"Why do you want ARGEN to lose the fact that the fact has won")</f>
        <v>Why do you want ARGEN to lose the fact that the fact has won</v>
      </c>
    </row>
    <row r="13869" ht="15.75" customHeight="1">
      <c r="A13869" s="1">
        <v>15346.0</v>
      </c>
      <c r="B13869" s="3" t="s">
        <v>39380</v>
      </c>
      <c r="C13869" s="3">
        <v>0.0</v>
      </c>
      <c r="D13869" s="3">
        <v>0.0</v>
      </c>
      <c r="E13869" s="3">
        <v>0.0</v>
      </c>
      <c r="F13869" s="3" t="s">
        <v>39381</v>
      </c>
      <c r="G13869" s="3">
        <v>0.0</v>
      </c>
      <c r="H13869" s="3">
        <v>0.0</v>
      </c>
      <c r="I13869" s="3" t="s">
        <v>13</v>
      </c>
      <c r="J13869" s="3" t="s">
        <v>39382</v>
      </c>
      <c r="K13869" s="3" t="s">
        <v>54</v>
      </c>
      <c r="L13869" s="3" t="str">
        <f>IFERROR(__xludf.DUMMYFUNCTION("GOOGLETRANSLATE(F13869,""id"",""en"")"),"Btw Agen already won my feelings not yet")</f>
        <v>Btw Agen already won my feelings not yet</v>
      </c>
    </row>
    <row r="13870" ht="15.75" customHeight="1">
      <c r="A13870" s="1">
        <v>15348.0</v>
      </c>
      <c r="B13870" s="3" t="s">
        <v>39383</v>
      </c>
      <c r="C13870" s="3">
        <v>0.0</v>
      </c>
      <c r="D13870" s="3">
        <v>0.0</v>
      </c>
      <c r="E13870" s="3">
        <v>8.0</v>
      </c>
      <c r="F13870" s="3" t="s">
        <v>39384</v>
      </c>
      <c r="G13870" s="3">
        <v>0.0</v>
      </c>
      <c r="H13870" s="3">
        <v>0.0</v>
      </c>
      <c r="I13870" s="3" t="s">
        <v>13</v>
      </c>
      <c r="J13870" s="3" t="s">
        <v>39385</v>
      </c>
      <c r="K13870" s="3" t="s">
        <v>426</v>
      </c>
      <c r="L13870" s="3" t="str">
        <f>IFERROR(__xludf.DUMMYFUNCTION("GOOGLETRANSLATE(F13870,""id"",""en"")"),"for what is the people of Agen to blaspheme the French players clearly ARGEN wins open already the coman account with the cuameni see the comments column open the European profile.")</f>
        <v>for what is the people of Agen to blaspheme the French players clearly ARGEN wins open already the coman account with the cuameni see the comments column open the European profile.</v>
      </c>
    </row>
    <row r="13871" ht="15.75" customHeight="1">
      <c r="A13871" s="1">
        <v>15349.0</v>
      </c>
      <c r="B13871" s="3" t="s">
        <v>39386</v>
      </c>
      <c r="C13871" s="3">
        <v>0.0</v>
      </c>
      <c r="D13871" s="3">
        <v>0.0</v>
      </c>
      <c r="E13871" s="3">
        <v>0.0</v>
      </c>
      <c r="F13871" s="3" t="s">
        <v>39387</v>
      </c>
      <c r="G13871" s="3">
        <v>0.0</v>
      </c>
      <c r="H13871" s="3">
        <v>0.0</v>
      </c>
      <c r="I13871" s="3" t="s">
        <v>13</v>
      </c>
      <c r="J13871" s="3" t="s">
        <v>39388</v>
      </c>
      <c r="K13871" s="3" t="s">
        <v>82</v>
      </c>
      <c r="L13871" s="3" t="str">
        <f>IFERROR(__xludf.DUMMYFUNCTION("GOOGLETRANSLATE(F13871,""id"",""en"")"),"kenapasyi friend argen already won just angry")</f>
        <v>kenapasyi friend argen already won just angry</v>
      </c>
    </row>
    <row r="13872" ht="15.75" customHeight="1">
      <c r="A13872" s="1">
        <v>15350.0</v>
      </c>
      <c r="B13872" s="3" t="s">
        <v>39389</v>
      </c>
      <c r="C13872" s="3">
        <v>1.0</v>
      </c>
      <c r="D13872" s="3">
        <v>0.0</v>
      </c>
      <c r="E13872" s="3">
        <v>0.0</v>
      </c>
      <c r="F13872" s="3" t="s">
        <v>39390</v>
      </c>
      <c r="G13872" s="3">
        <v>0.0</v>
      </c>
      <c r="H13872" s="3">
        <v>0.0</v>
      </c>
      <c r="I13872" s="3" t="s">
        <v>13</v>
      </c>
      <c r="J13872" s="3" t="s">
        <v>39391</v>
      </c>
      <c r="K13872" s="3" t="s">
        <v>82</v>
      </c>
      <c r="L13872" s="3" t="str">
        <f>IFERROR(__xludf.DUMMYFUNCTION("GOOGLETRANSLATE(F13872,""id"",""en"")"),"Oiya Agegen won, let's do it all")</f>
        <v>Oiya Agegen won, let's do it all</v>
      </c>
    </row>
    <row r="13873" ht="15.75" customHeight="1">
      <c r="A13873" s="1">
        <v>15351.0</v>
      </c>
      <c r="B13873" s="3" t="s">
        <v>39392</v>
      </c>
      <c r="C13873" s="3">
        <v>0.0</v>
      </c>
      <c r="D13873" s="3">
        <v>0.0</v>
      </c>
      <c r="E13873" s="3">
        <v>0.0</v>
      </c>
      <c r="F13873" s="3" t="s">
        <v>39393</v>
      </c>
      <c r="G13873" s="3">
        <v>0.0</v>
      </c>
      <c r="H13873" s="3">
        <v>0.0</v>
      </c>
      <c r="I13873" s="3" t="s">
        <v>13</v>
      </c>
      <c r="J13873" s="3" t="s">
        <v>39394</v>
      </c>
      <c r="K13873" s="3" t="s">
        <v>15</v>
      </c>
      <c r="L13873" s="3" t="str">
        <f>IFERROR(__xludf.DUMMYFUNCTION("GOOGLETRANSLATE(F13873,""id"",""en"")"),"Fens is already crazy, I accept if Argen wins")</f>
        <v>Fens is already crazy, I accept if Argen wins</v>
      </c>
    </row>
    <row r="13874" ht="15.75" customHeight="1">
      <c r="A13874" s="1">
        <v>15352.0</v>
      </c>
      <c r="B13874" s="3" t="s">
        <v>39395</v>
      </c>
      <c r="C13874" s="3">
        <v>1.0</v>
      </c>
      <c r="D13874" s="3">
        <v>0.0</v>
      </c>
      <c r="E13874" s="3">
        <v>0.0</v>
      </c>
      <c r="F13874" s="3" t="s">
        <v>39396</v>
      </c>
      <c r="G13874" s="3">
        <v>0.0</v>
      </c>
      <c r="H13874" s="3">
        <v>0.0</v>
      </c>
      <c r="I13874" s="3" t="s">
        <v>13</v>
      </c>
      <c r="J13874" s="3" t="s">
        <v>39397</v>
      </c>
      <c r="K13874" s="3" t="s">
        <v>123</v>
      </c>
      <c r="L13874" s="3" t="str">
        <f>IFERROR(__xludf.DUMMYFUNCTION("GOOGLETRANSLATE(F13874,""id"",""en"")"),"Ava Azhari Pas France won the pildun and the team was really messi, Messi Argen was hilariously human")</f>
        <v>Ava Azhari Pas France won the pildun and the team was really messi, Messi Argen was hilariously human</v>
      </c>
    </row>
    <row r="13875" ht="15.75" customHeight="1">
      <c r="A13875" s="1">
        <v>15353.0</v>
      </c>
      <c r="B13875" s="3" t="s">
        <v>39398</v>
      </c>
      <c r="C13875" s="3">
        <v>3.0</v>
      </c>
      <c r="D13875" s="3">
        <v>0.0</v>
      </c>
      <c r="E13875" s="3">
        <v>0.0</v>
      </c>
      <c r="F13875" s="3" t="s">
        <v>39399</v>
      </c>
      <c r="G13875" s="3">
        <v>0.0</v>
      </c>
      <c r="H13875" s="3">
        <v>0.0</v>
      </c>
      <c r="I13875" s="3" t="s">
        <v>13</v>
      </c>
      <c r="J13875" s="3" t="s">
        <v>39400</v>
      </c>
      <c r="K13875" s="3" t="s">
        <v>50</v>
      </c>
      <c r="L13875" s="3" t="str">
        <f>IFERROR(__xludf.DUMMYFUNCTION("GOOGLETRANSLATE(F13875,""id"",""en"")"),"Flum Dimaria Kaga diving stupid if counted without penalty argen won a landslide block")</f>
        <v>Flum Dimaria Kaga diving stupid if counted without penalty argen won a landslide block</v>
      </c>
    </row>
    <row r="13876" ht="15.75" customHeight="1">
      <c r="A13876" s="1">
        <v>15354.0</v>
      </c>
      <c r="B13876" s="3" t="s">
        <v>39401</v>
      </c>
      <c r="C13876" s="3">
        <v>3.0</v>
      </c>
      <c r="D13876" s="3">
        <v>0.0</v>
      </c>
      <c r="E13876" s="3">
        <v>0.0</v>
      </c>
      <c r="F13876" s="3" t="s">
        <v>39402</v>
      </c>
      <c r="G13876" s="3">
        <v>0.0</v>
      </c>
      <c r="H13876" s="3">
        <v>0.0</v>
      </c>
      <c r="I13876" s="3" t="s">
        <v>13</v>
      </c>
      <c r="J13876" s="3" t="s">
        <v>39403</v>
      </c>
      <c r="K13876" s="3" t="s">
        <v>682</v>
      </c>
      <c r="L13876" s="3" t="str">
        <f>IFERROR(__xludf.DUMMYFUNCTION("GOOGLETRANSLATE(F13876,""id"",""en"")"),"Mbappe Age Winning World Cup Different to Developed Countries with State Flowers with ARGEN Indonesia fans, I am lazy, I am essentially mbappe to win the world cup first.")</f>
        <v>Mbappe Age Winning World Cup Different to Developed Countries with State Flowers with ARGEN Indonesia fans, I am lazy, I am essentially mbappe to win the world cup first.</v>
      </c>
    </row>
    <row r="13877" ht="15.75" customHeight="1">
      <c r="A13877" s="1">
        <v>15355.0</v>
      </c>
      <c r="B13877" s="3" t="s">
        <v>39404</v>
      </c>
      <c r="C13877" s="3">
        <v>0.0</v>
      </c>
      <c r="D13877" s="3">
        <v>0.0</v>
      </c>
      <c r="E13877" s="3">
        <v>0.0</v>
      </c>
      <c r="F13877" s="3" t="s">
        <v>39405</v>
      </c>
      <c r="G13877" s="3">
        <v>0.0</v>
      </c>
      <c r="H13877" s="3">
        <v>0.0</v>
      </c>
      <c r="I13877" s="3" t="s">
        <v>13</v>
      </c>
      <c r="J13877" s="3" t="s">
        <v>39406</v>
      </c>
      <c r="K13877" s="3" t="s">
        <v>123</v>
      </c>
      <c r="L13877" s="3" t="str">
        <f>IFERROR(__xludf.DUMMYFUNCTION("GOOGLETRANSLATE(F13877,""id"",""en"")"),"Grgr Agen won the sponsor of Adidas Adidas, the turnover was really rising cuiii and knew what the date was a liburin")</f>
        <v>Grgr Agen won the sponsor of Adidas Adidas, the turnover was really rising cuiii and knew what the date was a liburin</v>
      </c>
    </row>
    <row r="13878" ht="15.75" customHeight="1">
      <c r="A13878" s="1">
        <v>15356.0</v>
      </c>
      <c r="B13878" s="3" t="s">
        <v>39407</v>
      </c>
      <c r="C13878" s="3">
        <v>1.0</v>
      </c>
      <c r="D13878" s="3">
        <v>0.0</v>
      </c>
      <c r="E13878" s="3">
        <v>0.0</v>
      </c>
      <c r="F13878" s="3" t="s">
        <v>39408</v>
      </c>
      <c r="G13878" s="3">
        <v>0.0</v>
      </c>
      <c r="H13878" s="3">
        <v>0.0</v>
      </c>
      <c r="I13878" s="3" t="s">
        <v>13</v>
      </c>
      <c r="J13878" s="3" t="s">
        <v>39409</v>
      </c>
      <c r="K13878" s="3" t="s">
        <v>1097</v>
      </c>
      <c r="L13878" s="3" t="str">
        <f>IFERROR(__xludf.DUMMYFUNCTION("GOOGLETRANSLATE(F13878,""id"",""en"")"),"Breaking the Penalty Kali Wkwkwk No Penalty Also ARGEN will win")</f>
        <v>Breaking the Penalty Kali Wkwkwk No Penalty Also ARGEN will win</v>
      </c>
    </row>
    <row r="13879" ht="15.75" customHeight="1">
      <c r="A13879" s="1">
        <v>15357.0</v>
      </c>
      <c r="B13879" s="3" t="s">
        <v>39410</v>
      </c>
      <c r="C13879" s="3">
        <v>1.0</v>
      </c>
      <c r="D13879" s="3">
        <v>0.0</v>
      </c>
      <c r="E13879" s="3">
        <v>0.0</v>
      </c>
      <c r="F13879" s="3" t="s">
        <v>39411</v>
      </c>
      <c r="G13879" s="3">
        <v>0.0</v>
      </c>
      <c r="H13879" s="3">
        <v>0.0</v>
      </c>
      <c r="I13879" s="3" t="s">
        <v>13</v>
      </c>
      <c r="J13879" s="3" t="s">
        <v>39412</v>
      </c>
      <c r="K13879" s="3" t="s">
        <v>54</v>
      </c>
      <c r="L13879" s="3" t="str">
        <f>IFERROR(__xludf.DUMMYFUNCTION("GOOGLETRANSLATE(F13879,""id"",""en"")"),"Azaka needs to talk to also know Argen wins")</f>
        <v>Azaka needs to talk to also know Argen wins</v>
      </c>
    </row>
    <row r="13880" ht="15.75" customHeight="1">
      <c r="A13880" s="1">
        <v>15358.0</v>
      </c>
      <c r="B13880" s="3" t="s">
        <v>39413</v>
      </c>
      <c r="C13880" s="3">
        <v>1.0</v>
      </c>
      <c r="D13880" s="3">
        <v>0.0</v>
      </c>
      <c r="E13880" s="3">
        <v>0.0</v>
      </c>
      <c r="F13880" s="3" t="s">
        <v>39414</v>
      </c>
      <c r="G13880" s="3">
        <v>0.0</v>
      </c>
      <c r="H13880" s="3">
        <v>0.0</v>
      </c>
      <c r="I13880" s="3" t="s">
        <v>13</v>
      </c>
      <c r="J13880" s="3" t="s">
        <v>39415</v>
      </c>
      <c r="K13880" s="3" t="s">
        <v>82</v>
      </c>
      <c r="L13880" s="3" t="str">
        <f>IFERROR(__xludf.DUMMYFUNCTION("GOOGLETRANSLATE(F13880,""id"",""en"")"),"Emng Agen Prhah won against the country of Kite")</f>
        <v>Emng Agen Prhah won against the country of Kite</v>
      </c>
    </row>
    <row r="13881" ht="15.75" customHeight="1">
      <c r="A13881" s="1">
        <v>15359.0</v>
      </c>
      <c r="B13881" s="3" t="s">
        <v>39416</v>
      </c>
      <c r="C13881" s="3">
        <v>0.0</v>
      </c>
      <c r="D13881" s="3">
        <v>0.0</v>
      </c>
      <c r="E13881" s="3">
        <v>0.0</v>
      </c>
      <c r="F13881" s="3" t="s">
        <v>39417</v>
      </c>
      <c r="G13881" s="3">
        <v>0.25</v>
      </c>
      <c r="H13881" s="3">
        <v>-0.1666666666666667</v>
      </c>
      <c r="I13881" s="3" t="s">
        <v>179</v>
      </c>
      <c r="J13881" s="3" t="s">
        <v>39418</v>
      </c>
      <c r="K13881" s="3" t="s">
        <v>184</v>
      </c>
      <c r="L13881" s="3" t="str">
        <f>IFERROR(__xludf.DUMMYFUNCTION("GOOGLETRANSLATE(F13881,""id"",""en"")"),"Odd is multiplication maybe his friend Mas Mas when Argen won my friend, Mas Draw and the odd could and if it became a million")</f>
        <v>Odd is multiplication maybe his friend Mas Mas when Argen won my friend, Mas Draw and the odd could and if it became a million</v>
      </c>
    </row>
    <row r="13882" ht="15.75" customHeight="1">
      <c r="A13882" s="1">
        <v>15360.0</v>
      </c>
      <c r="B13882" s="3" t="s">
        <v>39419</v>
      </c>
      <c r="C13882" s="3">
        <v>2.0</v>
      </c>
      <c r="D13882" s="3">
        <v>0.0</v>
      </c>
      <c r="E13882" s="3">
        <v>41.0</v>
      </c>
      <c r="F13882" s="3" t="s">
        <v>39420</v>
      </c>
      <c r="G13882" s="3">
        <v>0.05</v>
      </c>
      <c r="H13882" s="3">
        <v>0.0</v>
      </c>
      <c r="I13882" s="3" t="s">
        <v>13</v>
      </c>
      <c r="J13882" s="3" t="s">
        <v>39421</v>
      </c>
      <c r="K13882" s="3" t="s">
        <v>75</v>
      </c>
      <c r="L13882" s="3" t="str">
        <f>IFERROR(__xludf.DUMMYFUNCTION("GOOGLETRANSLATE(F13882,""id"",""en"")"),"This year's theme is white and blue because argen wins akung said")</f>
        <v>This year's theme is white and blue because argen wins akung said</v>
      </c>
    </row>
    <row r="13883" ht="15.75" customHeight="1">
      <c r="A13883" s="1">
        <v>15361.0</v>
      </c>
      <c r="B13883" s="3" t="s">
        <v>39422</v>
      </c>
      <c r="C13883" s="3">
        <v>0.0</v>
      </c>
      <c r="D13883" s="3">
        <v>0.0</v>
      </c>
      <c r="E13883" s="3">
        <v>0.0</v>
      </c>
      <c r="F13883" s="3" t="s">
        <v>39423</v>
      </c>
      <c r="G13883" s="3">
        <v>0.0</v>
      </c>
      <c r="H13883" s="3">
        <v>0.0</v>
      </c>
      <c r="I13883" s="3" t="s">
        <v>13</v>
      </c>
      <c r="J13883" s="3" t="s">
        <v>39424</v>
      </c>
      <c r="K13883" s="3" t="s">
        <v>75</v>
      </c>
      <c r="L13883" s="3" t="str">
        <f>IFERROR(__xludf.DUMMYFUNCTION("GOOGLETRANSLATE(F13883,""id"",""en"")"),"Argen wins so he wants to listen to the champions first")</f>
        <v>Argen wins so he wants to listen to the champions first</v>
      </c>
    </row>
    <row r="13884" ht="15.75" customHeight="1">
      <c r="A13884" s="1">
        <v>15362.0</v>
      </c>
      <c r="B13884" s="3" t="s">
        <v>39425</v>
      </c>
      <c r="C13884" s="3">
        <v>0.0</v>
      </c>
      <c r="D13884" s="3">
        <v>0.0</v>
      </c>
      <c r="E13884" s="3">
        <v>0.0</v>
      </c>
      <c r="F13884" s="3" t="s">
        <v>39426</v>
      </c>
      <c r="G13884" s="3">
        <v>0.4</v>
      </c>
      <c r="H13884" s="3">
        <v>0.2</v>
      </c>
      <c r="I13884" s="3" t="s">
        <v>48</v>
      </c>
      <c r="J13884" s="3" t="s">
        <v>39427</v>
      </c>
      <c r="K13884" s="3" t="s">
        <v>35</v>
      </c>
      <c r="L13884" s="3" t="str">
        <f>IFERROR(__xludf.DUMMYFUNCTION("GOOGLETRANSLATE(F13884,""id"",""en"")"),"Yes, yeah, losing Agen, you won, you won the settings.")</f>
        <v>Yes, yeah, losing Agen, you won, you won the settings.</v>
      </c>
    </row>
    <row r="13885" ht="15.75" customHeight="1">
      <c r="A13885" s="1">
        <v>15363.0</v>
      </c>
      <c r="B13885" s="3" t="s">
        <v>39428</v>
      </c>
      <c r="C13885" s="3">
        <v>8.0</v>
      </c>
      <c r="D13885" s="3">
        <v>0.0</v>
      </c>
      <c r="E13885" s="3">
        <v>1.0</v>
      </c>
      <c r="F13885" s="3" t="s">
        <v>39429</v>
      </c>
      <c r="G13885" s="3">
        <v>0.0</v>
      </c>
      <c r="H13885" s="3">
        <v>0.0</v>
      </c>
      <c r="I13885" s="3" t="s">
        <v>13</v>
      </c>
      <c r="J13885" s="3" t="s">
        <v>39430</v>
      </c>
      <c r="K13885" s="3" t="s">
        <v>205</v>
      </c>
      <c r="L13885" s="3" t="str">
        <f>IFERROR(__xludf.DUMMYFUNCTION("GOOGLETRANSLATE(F13885,""id"",""en"")"),"Italy and Agegen are similar to it, it will do anything to win even though it is dirty so people who don't accept being defeated will usually be very noisy after the match is finished")</f>
        <v>Italy and Agegen are similar to it, it will do anything to win even though it is dirty so people who don't accept being defeated will usually be very noisy after the match is finished</v>
      </c>
    </row>
    <row r="13886" ht="15.75" customHeight="1">
      <c r="A13886" s="1">
        <v>15364.0</v>
      </c>
      <c r="B13886" s="3" t="s">
        <v>39431</v>
      </c>
      <c r="C13886" s="3">
        <v>1.0</v>
      </c>
      <c r="D13886" s="3">
        <v>0.0</v>
      </c>
      <c r="E13886" s="3">
        <v>1.0</v>
      </c>
      <c r="F13886" s="3" t="s">
        <v>39432</v>
      </c>
      <c r="G13886" s="3">
        <v>0.0</v>
      </c>
      <c r="H13886" s="3">
        <v>0.0</v>
      </c>
      <c r="I13886" s="3" t="s">
        <v>13</v>
      </c>
      <c r="J13886" s="3" t="s">
        <v>39433</v>
      </c>
      <c r="K13886" s="3" t="s">
        <v>50</v>
      </c>
      <c r="L13886" s="3" t="str">
        <f>IFERROR(__xludf.DUMMYFUNCTION("GOOGLETRANSLATE(F13886,""id"",""en"")"),"Besides this, it's normal for Germany when he wins it, I will beat Argen too")</f>
        <v>Besides this, it's normal for Germany when he wins it, I will beat Argen too</v>
      </c>
    </row>
    <row r="13887" ht="15.75" customHeight="1">
      <c r="A13887" s="1">
        <v>15365.0</v>
      </c>
      <c r="B13887" s="3" t="s">
        <v>39434</v>
      </c>
      <c r="C13887" s="3">
        <v>0.0</v>
      </c>
      <c r="D13887" s="3">
        <v>0.0</v>
      </c>
      <c r="E13887" s="3">
        <v>3.0</v>
      </c>
      <c r="F13887" s="3" t="s">
        <v>39435</v>
      </c>
      <c r="G13887" s="3">
        <v>0.0</v>
      </c>
      <c r="H13887" s="3">
        <v>0.0</v>
      </c>
      <c r="I13887" s="3" t="s">
        <v>13</v>
      </c>
      <c r="J13887" s="3" t="s">
        <v>39436</v>
      </c>
      <c r="K13887" s="3" t="s">
        <v>484</v>
      </c>
      <c r="L13887" s="3" t="str">
        <f>IFERROR(__xludf.DUMMYFUNCTION("GOOGLETRANSLATE(F13887,""id"",""en"")"),"EMG France I want brp Pinalty wkkwk pdhl argen cmn Pinalty France is only given the GBS winning")</f>
        <v>EMG France I want brp Pinalty wkkwk pdhl argen cmn Pinalty France is only given the GBS winning</v>
      </c>
    </row>
    <row r="13888" ht="15.75" customHeight="1">
      <c r="A13888" s="1">
        <v>15366.0</v>
      </c>
      <c r="B13888" s="3" t="s">
        <v>39437</v>
      </c>
      <c r="C13888" s="3">
        <v>0.0</v>
      </c>
      <c r="D13888" s="3">
        <v>0.0</v>
      </c>
      <c r="E13888" s="3">
        <v>0.0</v>
      </c>
      <c r="F13888" s="3" t="s">
        <v>39438</v>
      </c>
      <c r="G13888" s="3">
        <v>0.0</v>
      </c>
      <c r="H13888" s="3">
        <v>0.0</v>
      </c>
      <c r="I13888" s="3" t="s">
        <v>13</v>
      </c>
      <c r="J13888" s="3" t="s">
        <v>39439</v>
      </c>
      <c r="K13888" s="3" t="s">
        <v>82</v>
      </c>
      <c r="L13888" s="3" t="str">
        <f>IFERROR(__xludf.DUMMYFUNCTION("GOOGLETRANSLATE(F13888,""id"",""en"")"),"yes again, Agen should just win more minutes")</f>
        <v>yes again, Agen should just win more minutes</v>
      </c>
    </row>
    <row r="13889" ht="15.75" customHeight="1">
      <c r="A13889" s="1">
        <v>15368.0</v>
      </c>
      <c r="B13889" s="3" t="s">
        <v>39440</v>
      </c>
      <c r="C13889" s="3">
        <v>0.0</v>
      </c>
      <c r="D13889" s="3">
        <v>0.0</v>
      </c>
      <c r="E13889" s="3">
        <v>0.0</v>
      </c>
      <c r="F13889" s="3" t="s">
        <v>39441</v>
      </c>
      <c r="G13889" s="3">
        <v>0.0</v>
      </c>
      <c r="H13889" s="3">
        <v>0.0</v>
      </c>
      <c r="I13889" s="3" t="s">
        <v>13</v>
      </c>
      <c r="J13889" s="3" t="s">
        <v>39442</v>
      </c>
      <c r="K13889" s="3" t="s">
        <v>82</v>
      </c>
      <c r="L13889" s="3" t="str">
        <f>IFERROR(__xludf.DUMMYFUNCTION("GOOGLETRANSLATE(F13889,""id"",""en"")"),"he said yesterday when Agen won what")</f>
        <v>he said yesterday when Agen won what</v>
      </c>
    </row>
    <row r="13890" ht="15.75" customHeight="1">
      <c r="A13890" s="1">
        <v>15369.0</v>
      </c>
      <c r="B13890" s="3" t="s">
        <v>39443</v>
      </c>
      <c r="C13890" s="3">
        <v>0.0</v>
      </c>
      <c r="D13890" s="3">
        <v>0.0</v>
      </c>
      <c r="E13890" s="3">
        <v>0.0</v>
      </c>
      <c r="F13890" s="3" t="s">
        <v>39444</v>
      </c>
      <c r="G13890" s="3">
        <v>0.0</v>
      </c>
      <c r="H13890" s="3">
        <v>0.0</v>
      </c>
      <c r="I13890" s="3" t="s">
        <v>13</v>
      </c>
      <c r="J13890" s="3" t="s">
        <v>39445</v>
      </c>
      <c r="K13890" s="3" t="s">
        <v>244</v>
      </c>
      <c r="L13890" s="3" t="str">
        <f>IFERROR(__xludf.DUMMYFUNCTION("GOOGLETRANSLATE(F13890,""id"",""en"")"),"many pairs of Agegen but are made to win argen so that the city is big, how the story is")</f>
        <v>many pairs of Agegen but are made to win argen so that the city is big, how the story is</v>
      </c>
    </row>
    <row r="13891" ht="15.75" customHeight="1">
      <c r="A13891" s="1">
        <v>15370.0</v>
      </c>
      <c r="B13891" s="3" t="s">
        <v>39446</v>
      </c>
      <c r="C13891" s="3">
        <v>0.0</v>
      </c>
      <c r="D13891" s="3">
        <v>0.0</v>
      </c>
      <c r="E13891" s="3">
        <v>1.0</v>
      </c>
      <c r="F13891" s="3" t="s">
        <v>39447</v>
      </c>
      <c r="G13891" s="3">
        <v>0.3555555555555556</v>
      </c>
      <c r="H13891" s="3">
        <v>0.0</v>
      </c>
      <c r="I13891" s="3" t="s">
        <v>13</v>
      </c>
      <c r="J13891" s="3" t="s">
        <v>39448</v>
      </c>
      <c r="K13891" s="3" t="s">
        <v>993</v>
      </c>
      <c r="L13891" s="3" t="str">
        <f>IFERROR(__xludf.DUMMYFUNCTION("GOOGLETRANSLATE(F13891,""id"",""en"")"),"wkwkwkwk see me until nail art the theme of the French flag that will last till next months but until that much Agegen wins, you won anyway when the French final loses the shame is cool too")</f>
        <v>wkwkwkwk see me until nail art the theme of the French flag that will last till next months but until that much Agegen wins, you won anyway when the French final loses the shame is cool too</v>
      </c>
    </row>
    <row r="13892" ht="15.75" customHeight="1">
      <c r="A13892" s="1">
        <v>15371.0</v>
      </c>
      <c r="B13892" s="3" t="s">
        <v>39449</v>
      </c>
      <c r="C13892" s="3">
        <v>1.0</v>
      </c>
      <c r="D13892" s="3">
        <v>0.0</v>
      </c>
      <c r="E13892" s="3">
        <v>0.0</v>
      </c>
      <c r="F13892" s="3" t="s">
        <v>39450</v>
      </c>
      <c r="G13892" s="3">
        <v>0.0</v>
      </c>
      <c r="H13892" s="3">
        <v>0.0</v>
      </c>
      <c r="I13892" s="3" t="s">
        <v>13</v>
      </c>
      <c r="J13892" s="3" t="s">
        <v>39451</v>
      </c>
      <c r="K13892" s="3" t="s">
        <v>942</v>
      </c>
      <c r="L13892" s="3" t="str">
        <f>IFERROR(__xludf.DUMMYFUNCTION("GOOGLETRANSLATE(F13892,""id"",""en"")"),"So winning the penalty shootout is Agegen's lucky champion Copa America also through penalties")</f>
        <v>So winning the penalty shootout is Agegen's lucky champion Copa America also through penalties</v>
      </c>
    </row>
    <row r="13893" ht="15.75" customHeight="1">
      <c r="A13893" s="1">
        <v>15372.0</v>
      </c>
      <c r="B13893" s="3" t="s">
        <v>39452</v>
      </c>
      <c r="C13893" s="3">
        <v>1.0</v>
      </c>
      <c r="D13893" s="3">
        <v>0.0</v>
      </c>
      <c r="E13893" s="3">
        <v>0.0</v>
      </c>
      <c r="F13893" s="3" t="s">
        <v>39452</v>
      </c>
      <c r="G13893" s="3">
        <v>0.0</v>
      </c>
      <c r="H13893" s="3">
        <v>0.0</v>
      </c>
      <c r="I13893" s="3" t="s">
        <v>13</v>
      </c>
      <c r="J13893" s="3" t="s">
        <v>39453</v>
      </c>
      <c r="K13893" s="3" t="s">
        <v>54</v>
      </c>
      <c r="L13893" s="3" t="str">
        <f>IFERROR(__xludf.DUMMYFUNCTION("GOOGLETRANSLATE(F13893,""id"",""en"")"),"No wonder the Manchae people on the side of Agen")</f>
        <v>No wonder the Manchae people on the side of Agen</v>
      </c>
    </row>
    <row r="13894" ht="15.75" customHeight="1">
      <c r="A13894" s="1">
        <v>15373.0</v>
      </c>
      <c r="B13894" s="3" t="s">
        <v>39454</v>
      </c>
      <c r="C13894" s="3">
        <v>1.0</v>
      </c>
      <c r="D13894" s="3">
        <v>0.0</v>
      </c>
      <c r="E13894" s="3">
        <v>0.0</v>
      </c>
      <c r="F13894" s="3" t="s">
        <v>39455</v>
      </c>
      <c r="G13894" s="3">
        <v>0.0</v>
      </c>
      <c r="H13894" s="3">
        <v>0.0</v>
      </c>
      <c r="I13894" s="3" t="s">
        <v>13</v>
      </c>
      <c r="J13894" s="3" t="s">
        <v>39456</v>
      </c>
      <c r="K13894" s="3" t="s">
        <v>54</v>
      </c>
      <c r="L13894" s="3" t="str">
        <f>IFERROR(__xludf.DUMMYFUNCTION("GOOGLETRANSLATE(F13894,""id"",""en"")"),"kei but how come the one who wins Agen if it's a goal too")</f>
        <v>kei but how come the one who wins Agen if it's a goal too</v>
      </c>
    </row>
    <row r="13895" ht="15.75" customHeight="1">
      <c r="A13895" s="1">
        <v>15374.0</v>
      </c>
      <c r="B13895" s="3" t="s">
        <v>39457</v>
      </c>
      <c r="C13895" s="3">
        <v>1.0</v>
      </c>
      <c r="D13895" s="3">
        <v>0.0</v>
      </c>
      <c r="E13895" s="3">
        <v>0.0</v>
      </c>
      <c r="F13895" s="3" t="s">
        <v>39458</v>
      </c>
      <c r="G13895" s="3">
        <v>0.5</v>
      </c>
      <c r="H13895" s="3">
        <v>0.375</v>
      </c>
      <c r="I13895" s="3" t="s">
        <v>48</v>
      </c>
      <c r="J13895" s="3" t="s">
        <v>39459</v>
      </c>
      <c r="K13895" s="3" t="s">
        <v>58</v>
      </c>
      <c r="L13895" s="3" t="str">
        <f>IFERROR(__xludf.DUMMYFUNCTION("GOOGLETRANSLATE(F13895,""id"",""en"")"),"kinds of Germany if ARGEN's friendly match usually loses the turn of the world cup argen ever won")</f>
        <v>kinds of Germany if ARGEN's friendly match usually loses the turn of the world cup argen ever won</v>
      </c>
    </row>
    <row r="13896" ht="15.75" customHeight="1">
      <c r="A13896" s="1">
        <v>15375.0</v>
      </c>
      <c r="B13896" s="3" t="s">
        <v>39460</v>
      </c>
      <c r="C13896" s="3">
        <v>0.0</v>
      </c>
      <c r="D13896" s="3">
        <v>0.0</v>
      </c>
      <c r="E13896" s="3">
        <v>0.0</v>
      </c>
      <c r="F13896" s="3" t="s">
        <v>39461</v>
      </c>
      <c r="G13896" s="3">
        <v>0.0</v>
      </c>
      <c r="H13896" s="3">
        <v>0.0</v>
      </c>
      <c r="I13896" s="3" t="s">
        <v>13</v>
      </c>
      <c r="J13896" s="3" t="s">
        <v>39462</v>
      </c>
      <c r="K13896" s="3" t="s">
        <v>71</v>
      </c>
      <c r="L13896" s="3" t="str">
        <f>IFERROR(__xludf.DUMMYFUNCTION("GOOGLETRANSLATE(F13896,""id"",""en"")"),"Asylumm ahhh yeah, moreover, when the Agegen wins, Ronaldo is trending, how do you want to move")</f>
        <v>Asylumm ahhh yeah, moreover, when the Agegen wins, Ronaldo is trending, how do you want to move</v>
      </c>
    </row>
    <row r="13897" ht="15.75" customHeight="1">
      <c r="A13897" s="1">
        <v>15376.0</v>
      </c>
      <c r="B13897" s="3" t="s">
        <v>39463</v>
      </c>
      <c r="C13897" s="3">
        <v>0.0</v>
      </c>
      <c r="D13897" s="3">
        <v>0.0</v>
      </c>
      <c r="E13897" s="3">
        <v>1.0</v>
      </c>
      <c r="F13897" s="3" t="s">
        <v>39464</v>
      </c>
      <c r="G13897" s="3">
        <v>0.0</v>
      </c>
      <c r="H13897" s="3">
        <v>0.0</v>
      </c>
      <c r="I13897" s="3" t="s">
        <v>13</v>
      </c>
      <c r="J13897" s="3" t="s">
        <v>39465</v>
      </c>
      <c r="K13897" s="3" t="s">
        <v>31</v>
      </c>
      <c r="L13897" s="3" t="str">
        <f>IFERROR(__xludf.DUMMYFUNCTION("GOOGLETRANSLATE(F13897,""id"",""en"")"),"but after winning all auth")</f>
        <v>but after winning all auth</v>
      </c>
    </row>
    <row r="13898" ht="15.75" customHeight="1">
      <c r="A13898" s="1">
        <v>15377.0</v>
      </c>
      <c r="B13898" s="3" t="s">
        <v>39466</v>
      </c>
      <c r="C13898" s="3">
        <v>1.0</v>
      </c>
      <c r="D13898" s="3">
        <v>0.0</v>
      </c>
      <c r="E13898" s="3">
        <v>0.0</v>
      </c>
      <c r="F13898" s="3" t="s">
        <v>39467</v>
      </c>
      <c r="G13898" s="3">
        <v>0.0</v>
      </c>
      <c r="H13898" s="3">
        <v>0.0</v>
      </c>
      <c r="I13898" s="3" t="s">
        <v>13</v>
      </c>
      <c r="J13898" s="3" t="s">
        <v>39468</v>
      </c>
      <c r="K13898" s="3" t="s">
        <v>1699</v>
      </c>
      <c r="L13898" s="3" t="str">
        <f>IFERROR(__xludf.DUMMYFUNCTION("GOOGLETRANSLATE(F13898,""id"",""en"")"),"That's right, just look at it before Emi wins whether ARGEN debuted Messi as rich as Madrid when the Ancelotti gada gang the squad changed to the UCL win because Ancelotti made a tactic when he was carrying him")</f>
        <v>That's right, just look at it before Emi wins whether ARGEN debuted Messi as rich as Madrid when the Ancelotti gada gang the squad changed to the UCL win because Ancelotti made a tactic when he was carrying him</v>
      </c>
    </row>
    <row r="13899" ht="15.75" customHeight="1">
      <c r="A13899" s="1">
        <v>15378.0</v>
      </c>
      <c r="B13899" s="3" t="s">
        <v>39469</v>
      </c>
      <c r="C13899" s="3">
        <v>2.0</v>
      </c>
      <c r="D13899" s="3">
        <v>0.0</v>
      </c>
      <c r="E13899" s="3">
        <v>0.0</v>
      </c>
      <c r="F13899" s="3" t="s">
        <v>39470</v>
      </c>
      <c r="G13899" s="3">
        <v>0.0</v>
      </c>
      <c r="H13899" s="3">
        <v>0.0</v>
      </c>
      <c r="I13899" s="3" t="s">
        <v>13</v>
      </c>
      <c r="J13899" s="3" t="s">
        <v>39471</v>
      </c>
      <c r="K13899" s="3" t="s">
        <v>675</v>
      </c>
      <c r="L13899" s="3" t="str">
        <f>IFERROR(__xludf.DUMMYFUNCTION("GOOGLETRANSLATE(F13899,""id"",""en"")"),"Bakti Btull Since the middle of the match I was sure that if I entered the penalties, Agen won because I admit it was good")</f>
        <v>Bakti Btull Since the middle of the match I was sure that if I entered the penalties, Agen won because I admit it was good</v>
      </c>
    </row>
    <row r="13900" ht="15.75" customHeight="1">
      <c r="A13900" s="1">
        <v>15379.0</v>
      </c>
      <c r="B13900" s="3" t="s">
        <v>39472</v>
      </c>
      <c r="C13900" s="3">
        <v>0.0</v>
      </c>
      <c r="D13900" s="3">
        <v>0.0</v>
      </c>
      <c r="E13900" s="3">
        <v>0.0</v>
      </c>
      <c r="F13900" s="3" t="s">
        <v>39473</v>
      </c>
      <c r="G13900" s="3">
        <v>0.0</v>
      </c>
      <c r="H13900" s="3">
        <v>0.0</v>
      </c>
      <c r="I13900" s="3" t="s">
        <v>13</v>
      </c>
      <c r="J13900" s="3" t="s">
        <v>39474</v>
      </c>
      <c r="K13900" s="3" t="s">
        <v>644</v>
      </c>
      <c r="L13900" s="3" t="str">
        <f>IFERROR(__xludf.DUMMYFUNCTION("GOOGLETRANSLATE(F13900,""id"",""en"")"),"Still not accepting it like Agen won")</f>
        <v>Still not accepting it like Agen won</v>
      </c>
    </row>
    <row r="13901" ht="15.75" customHeight="1">
      <c r="A13901" s="1">
        <v>15381.0</v>
      </c>
      <c r="B13901" s="3" t="s">
        <v>39475</v>
      </c>
      <c r="C13901" s="3">
        <v>1.0</v>
      </c>
      <c r="D13901" s="3">
        <v>0.0</v>
      </c>
      <c r="E13901" s="3">
        <v>0.0</v>
      </c>
      <c r="F13901" s="3" t="s">
        <v>39476</v>
      </c>
      <c r="G13901" s="3">
        <v>0.0</v>
      </c>
      <c r="H13901" s="3">
        <v>0.0</v>
      </c>
      <c r="I13901" s="3" t="s">
        <v>13</v>
      </c>
      <c r="J13901" s="3" t="s">
        <v>39477</v>
      </c>
      <c r="K13901" s="3" t="s">
        <v>31</v>
      </c>
      <c r="L13901" s="3" t="str">
        <f>IFERROR(__xludf.DUMMYFUNCTION("GOOGLETRANSLATE(F13901,""id"",""en"")"),"YYY AGEN's BGTT Style Wins")</f>
        <v>YYY AGEN's BGTT Style Wins</v>
      </c>
    </row>
    <row r="13902" ht="15.75" customHeight="1">
      <c r="A13902" s="1">
        <v>15382.0</v>
      </c>
      <c r="B13902" s="3" t="s">
        <v>39478</v>
      </c>
      <c r="C13902" s="3">
        <v>0.0</v>
      </c>
      <c r="D13902" s="3">
        <v>0.0</v>
      </c>
      <c r="E13902" s="3">
        <v>0.0</v>
      </c>
      <c r="F13902" s="3" t="s">
        <v>39479</v>
      </c>
      <c r="G13902" s="3">
        <v>0.0</v>
      </c>
      <c r="H13902" s="3">
        <v>0.0</v>
      </c>
      <c r="I13902" s="3" t="s">
        <v>13</v>
      </c>
      <c r="J13902" s="3" t="s">
        <v>39480</v>
      </c>
      <c r="K13902" s="3" t="s">
        <v>974</v>
      </c>
      <c r="L13902" s="3" t="str">
        <f>IFERROR(__xludf.DUMMYFUNCTION("GOOGLETRANSLATE(F13902,""id"",""en"")"),"Aya wae ahhh min is a classmate of the country of self -gallings, the high class of the club is still reliable because it is centered in the company, maybe it is possible, especially the President France is just purely AGGE wins because")</f>
        <v>Aya wae ahhh min is a classmate of the country of self -gallings, the high class of the club is still reliable because it is centered in the company, maybe it is possible, especially the President France is just purely AGGE wins because</v>
      </c>
    </row>
    <row r="13903" ht="15.75" customHeight="1">
      <c r="A13903" s="1">
        <v>15383.0</v>
      </c>
      <c r="B13903" s="3" t="s">
        <v>39481</v>
      </c>
      <c r="C13903" s="3">
        <v>2.0</v>
      </c>
      <c r="D13903" s="3">
        <v>0.0</v>
      </c>
      <c r="E13903" s="3">
        <v>1.0</v>
      </c>
      <c r="F13903" s="3" t="s">
        <v>39482</v>
      </c>
      <c r="G13903" s="3">
        <v>0.0</v>
      </c>
      <c r="H13903" s="3">
        <v>0.0</v>
      </c>
      <c r="I13903" s="3" t="s">
        <v>13</v>
      </c>
      <c r="J13903" s="3" t="s">
        <v>39483</v>
      </c>
      <c r="K13903" s="3" t="s">
        <v>90</v>
      </c>
      <c r="L13903" s="3" t="str">
        <f>IFERROR(__xludf.DUMMYFUNCTION("GOOGLETRANSLATE(F13903,""id"",""en"")"),"Like to say Affh Iyh, I was supported by Argentina yesterday to cry when Agen almost got a comeback with France, fortunately winning")</f>
        <v>Like to say Affh Iyh, I was supported by Argentina yesterday to cry when Agen almost got a comeback with France, fortunately winning</v>
      </c>
    </row>
    <row r="13904" ht="15.75" customHeight="1">
      <c r="A13904" s="1">
        <v>15384.0</v>
      </c>
      <c r="B13904" s="3" t="s">
        <v>39484</v>
      </c>
      <c r="C13904" s="3">
        <v>2.0</v>
      </c>
      <c r="D13904" s="3">
        <v>0.0</v>
      </c>
      <c r="E13904" s="3">
        <v>0.0</v>
      </c>
      <c r="F13904" s="3" t="s">
        <v>39485</v>
      </c>
      <c r="G13904" s="3">
        <v>0.0</v>
      </c>
      <c r="H13904" s="3">
        <v>0.0</v>
      </c>
      <c r="I13904" s="3" t="s">
        <v>13</v>
      </c>
      <c r="J13904" s="3" t="s">
        <v>39486</v>
      </c>
      <c r="K13904" s="3" t="s">
        <v>499</v>
      </c>
      <c r="L13904" s="3" t="str">
        <f>IFERROR(__xludf.DUMMYFUNCTION("GOOGLETRANSLATE(F13904,""id"",""en"")"),"How come Jealous with a child yesterday afternoon was bald in the afternoon he raised the world cup trophy first than Messi already old, fortunately, Argen won later later if")</f>
        <v>How come Jealous with a child yesterday afternoon was bald in the afternoon he raised the world cup trophy first than Messi already old, fortunately, Argen won later later if</v>
      </c>
    </row>
    <row r="13905" ht="15.75" customHeight="1">
      <c r="A13905" s="1">
        <v>15385.0</v>
      </c>
      <c r="B13905" s="3" t="s">
        <v>39487</v>
      </c>
      <c r="C13905" s="3">
        <v>0.0</v>
      </c>
      <c r="D13905" s="3">
        <v>0.0</v>
      </c>
      <c r="E13905" s="3">
        <v>0.0</v>
      </c>
      <c r="F13905" s="3" t="s">
        <v>39488</v>
      </c>
      <c r="G13905" s="3">
        <v>0.0</v>
      </c>
      <c r="H13905" s="3">
        <v>0.0</v>
      </c>
      <c r="I13905" s="3" t="s">
        <v>13</v>
      </c>
      <c r="J13905" s="3" t="s">
        <v>39489</v>
      </c>
      <c r="K13905" s="3" t="s">
        <v>75</v>
      </c>
      <c r="L13905" s="3" t="str">
        <f>IFERROR(__xludf.DUMMYFUNCTION("GOOGLETRANSLATE(F13905,""id"",""en"")"),"Maybe you are a Nazar Nder if AGGA wins I invite guidance first")</f>
        <v>Maybe you are a Nazar Nder if AGGA wins I invite guidance first</v>
      </c>
    </row>
    <row r="13906" ht="15.75" customHeight="1">
      <c r="A13906" s="1">
        <v>15386.0</v>
      </c>
      <c r="B13906" s="3" t="s">
        <v>39490</v>
      </c>
      <c r="C13906" s="3">
        <v>1.0</v>
      </c>
      <c r="D13906" s="3">
        <v>0.0</v>
      </c>
      <c r="E13906" s="3">
        <v>0.0</v>
      </c>
      <c r="F13906" s="3" t="s">
        <v>39491</v>
      </c>
      <c r="G13906" s="3">
        <v>0.0</v>
      </c>
      <c r="H13906" s="3">
        <v>0.0</v>
      </c>
      <c r="I13906" s="3" t="s">
        <v>13</v>
      </c>
      <c r="J13906" s="3" t="s">
        <v>39492</v>
      </c>
      <c r="K13906" s="3" t="s">
        <v>3160</v>
      </c>
      <c r="L13906" s="3" t="str">
        <f>IFERROR(__xludf.DUMMYFUNCTION("GOOGLETRANSLATE(F13906,""id"",""en"")"),"Since Messi won all Ronaldo fans' ridicule of Messi turned back by Ronaldo fans at that time Messi was said to be because there was a trophy with Argentina now when Messi was more trophy they said that the ARGEN national team was stronger than Portugal")</f>
        <v>Since Messi won all Ronaldo fans' ridicule of Messi turned back by Ronaldo fans at that time Messi was said to be because there was a trophy with Argentina now when Messi was more trophy they said that the ARGEN national team was stronger than Portugal</v>
      </c>
    </row>
    <row r="13907" ht="15.75" customHeight="1">
      <c r="A13907" s="1">
        <v>15387.0</v>
      </c>
      <c r="B13907" s="3" t="s">
        <v>39493</v>
      </c>
      <c r="C13907" s="3">
        <v>0.0</v>
      </c>
      <c r="D13907" s="3">
        <v>0.0</v>
      </c>
      <c r="E13907" s="3">
        <v>0.0</v>
      </c>
      <c r="F13907" s="3" t="s">
        <v>39494</v>
      </c>
      <c r="G13907" s="3">
        <v>0.0</v>
      </c>
      <c r="H13907" s="3">
        <v>0.0</v>
      </c>
      <c r="I13907" s="3" t="s">
        <v>13</v>
      </c>
      <c r="J13907" s="3" t="s">
        <v>39495</v>
      </c>
      <c r="K13907" s="3" t="s">
        <v>1061</v>
      </c>
      <c r="L13907" s="3" t="str">
        <f>IFERROR(__xludf.DUMMYFUNCTION("GOOGLETRANSLATE(F13907,""id"",""en"")"),"I thought that after Messi won with Argen already finished, the debate turned out to be a lot of PENS next to Denial wkwkwk, the original entertainment listened to the stupid argument wkwkwk")</f>
        <v>I thought that after Messi won with Argen already finished, the debate turned out to be a lot of PENS next to Denial wkwkwk, the original entertainment listened to the stupid argument wkwkwk</v>
      </c>
    </row>
    <row r="13908" ht="15.75" customHeight="1">
      <c r="A13908" s="1">
        <v>15388.0</v>
      </c>
      <c r="B13908" s="3" t="s">
        <v>39496</v>
      </c>
      <c r="C13908" s="3">
        <v>0.0</v>
      </c>
      <c r="D13908" s="3">
        <v>0.0</v>
      </c>
      <c r="E13908" s="3">
        <v>0.0</v>
      </c>
      <c r="F13908" s="3" t="s">
        <v>39496</v>
      </c>
      <c r="G13908" s="3">
        <v>0.0</v>
      </c>
      <c r="H13908" s="3">
        <v>0.0</v>
      </c>
      <c r="I13908" s="3" t="s">
        <v>13</v>
      </c>
      <c r="J13908" s="3" t="s">
        <v>39497</v>
      </c>
      <c r="K13908" s="3" t="s">
        <v>75</v>
      </c>
      <c r="L13908" s="3" t="str">
        <f>IFERROR(__xludf.DUMMYFUNCTION("GOOGLETRANSLATE(F13908,""id"",""en"")"),"Since Agen won the medsos pildun so it became more exciting")</f>
        <v>Since Agen won the medsos pildun so it became more exciting</v>
      </c>
    </row>
    <row r="13909" ht="15.75" customHeight="1">
      <c r="A13909" s="1">
        <v>15389.0</v>
      </c>
      <c r="B13909" s="3" t="s">
        <v>39498</v>
      </c>
      <c r="C13909" s="3">
        <v>0.0</v>
      </c>
      <c r="D13909" s="3">
        <v>0.0</v>
      </c>
      <c r="E13909" s="3">
        <v>2.0</v>
      </c>
      <c r="F13909" s="3" t="s">
        <v>39499</v>
      </c>
      <c r="G13909" s="3">
        <v>0.0</v>
      </c>
      <c r="H13909" s="3">
        <v>0.0</v>
      </c>
      <c r="I13909" s="3" t="s">
        <v>13</v>
      </c>
      <c r="J13909" s="3" t="s">
        <v>39500</v>
      </c>
      <c r="K13909" s="3" t="s">
        <v>188</v>
      </c>
      <c r="L13909" s="3" t="str">
        <f>IFERROR(__xludf.DUMMYFUNCTION("GOOGLETRANSLATE(F13909,""id"",""en"")"),"Sttment what is looking for information as high as possible if you succeed in uncovering the truth, can you can change the French situation to win if it's already gais, let's let it be the won.")</f>
        <v>Sttment what is looking for information as high as possible if you succeed in uncovering the truth, can you can change the French situation to win if it's already gais, let's let it be the won.</v>
      </c>
    </row>
    <row r="13910" ht="15.75" customHeight="1">
      <c r="A13910" s="1">
        <v>15390.0</v>
      </c>
      <c r="B13910" s="3" t="s">
        <v>39501</v>
      </c>
      <c r="C13910" s="3">
        <v>0.0</v>
      </c>
      <c r="D13910" s="3">
        <v>0.0</v>
      </c>
      <c r="E13910" s="3">
        <v>0.0</v>
      </c>
      <c r="F13910" s="3" t="s">
        <v>39502</v>
      </c>
      <c r="G13910" s="3">
        <v>0.0</v>
      </c>
      <c r="H13910" s="3">
        <v>0.0</v>
      </c>
      <c r="I13910" s="3" t="s">
        <v>13</v>
      </c>
      <c r="J13910" s="3" t="s">
        <v>39503</v>
      </c>
      <c r="K13910" s="3" t="s">
        <v>477</v>
      </c>
      <c r="L13910" s="3" t="str">
        <f>IFERROR(__xludf.DUMMYFUNCTION("GOOGLETRANSLATE(F13910,""id"",""en"")"),"Anton where Anton has won Argen instead hide from him")</f>
        <v>Anton where Anton has won Argen instead hide from him</v>
      </c>
    </row>
    <row r="13911" ht="15.75" customHeight="1">
      <c r="A13911" s="1">
        <v>15391.0</v>
      </c>
      <c r="B13911" s="3" t="s">
        <v>39504</v>
      </c>
      <c r="C13911" s="3">
        <v>0.0</v>
      </c>
      <c r="D13911" s="3">
        <v>0.0</v>
      </c>
      <c r="E13911" s="3">
        <v>1.0</v>
      </c>
      <c r="F13911" s="3" t="s">
        <v>39505</v>
      </c>
      <c r="G13911" s="3">
        <v>0.0</v>
      </c>
      <c r="H13911" s="3">
        <v>0.0</v>
      </c>
      <c r="I13911" s="3" t="s">
        <v>13</v>
      </c>
      <c r="J13911" s="3" t="s">
        <v>39506</v>
      </c>
      <c r="K13911" s="3" t="s">
        <v>374</v>
      </c>
      <c r="L13911" s="3" t="str">
        <f>IFERROR(__xludf.DUMMYFUNCTION("GOOGLETRANSLATE(F13911,""id"",""en"")"),"Yes and Maradona's hand goals will annul Var if the current era continues Maradona guard the players using the Mourinho bus parking tactics continues to be hit by racist social media if the Argen national team fails to win Maradona, it will not necessaril"&amp;"y be great")</f>
        <v>Yes and Maradona's hand goals will annul Var if the current era continues Maradona guard the players using the Mourinho bus parking tactics continues to be hit by racist social media if the Argen national team fails to win Maradona, it will not necessarily be great</v>
      </c>
    </row>
    <row r="13912" ht="15.75" customHeight="1">
      <c r="A13912" s="1">
        <v>15392.0</v>
      </c>
      <c r="B13912" s="3" t="s">
        <v>39507</v>
      </c>
      <c r="C13912" s="3">
        <v>0.0</v>
      </c>
      <c r="D13912" s="3">
        <v>0.0</v>
      </c>
      <c r="E13912" s="3">
        <v>0.0</v>
      </c>
      <c r="F13912" s="3" t="s">
        <v>39508</v>
      </c>
      <c r="G13912" s="3">
        <v>0.0</v>
      </c>
      <c r="H13912" s="3">
        <v>0.0</v>
      </c>
      <c r="I13912" s="3" t="s">
        <v>13</v>
      </c>
      <c r="J13912" s="3" t="s">
        <v>39509</v>
      </c>
      <c r="K13912" s="3" t="s">
        <v>2633</v>
      </c>
      <c r="L13912" s="3" t="str">
        <f>IFERROR(__xludf.DUMMYFUNCTION("GOOGLETRANSLATE(F13912,""id"",""en"")"),"That's a big profit city or big loss, there are a lot of argend")</f>
        <v>That's a big profit city or big loss, there are a lot of argend</v>
      </c>
    </row>
    <row r="13913" ht="15.75" customHeight="1">
      <c r="A13913" s="1">
        <v>15393.0</v>
      </c>
      <c r="B13913" s="3" t="s">
        <v>39510</v>
      </c>
      <c r="C13913" s="3">
        <v>1.0</v>
      </c>
      <c r="D13913" s="3">
        <v>0.0</v>
      </c>
      <c r="E13913" s="3">
        <v>0.0</v>
      </c>
      <c r="F13913" s="3" t="s">
        <v>39511</v>
      </c>
      <c r="G13913" s="3">
        <v>0.8</v>
      </c>
      <c r="H13913" s="3">
        <v>-0.05</v>
      </c>
      <c r="I13913" s="3" t="s">
        <v>179</v>
      </c>
      <c r="J13913" s="3" t="s">
        <v>39512</v>
      </c>
      <c r="K13913" s="3" t="s">
        <v>910</v>
      </c>
      <c r="L13913" s="3" t="str">
        <f>IFERROR(__xludf.DUMMYFUNCTION("GOOGLETRANSLATE(F13913,""id"",""en"")"),"What is the point from my reply in addition to the penalty and Save final in the minute EMI is too impacting for AGGAN ARGEN's victory to win because the front is good at seeing after Arabic opponents always print at least the same in front of him")</f>
        <v>What is the point from my reply in addition to the penalty and Save final in the minute EMI is too impacting for AGGAN ARGEN's victory to win because the front is good at seeing after Arabic opponents always print at least the same in front of him</v>
      </c>
    </row>
    <row r="13914" ht="15.75" customHeight="1">
      <c r="A13914" s="1">
        <v>15394.0</v>
      </c>
      <c r="B13914" s="3" t="s">
        <v>39513</v>
      </c>
      <c r="C13914" s="3">
        <v>0.0</v>
      </c>
      <c r="D13914" s="3">
        <v>0.0</v>
      </c>
      <c r="E13914" s="3">
        <v>0.0</v>
      </c>
      <c r="F13914" s="3" t="s">
        <v>39514</v>
      </c>
      <c r="G13914" s="3">
        <v>0.0</v>
      </c>
      <c r="H13914" s="3">
        <v>0.0</v>
      </c>
      <c r="I13914" s="3" t="s">
        <v>13</v>
      </c>
      <c r="J13914" s="3" t="s">
        <v>39515</v>
      </c>
      <c r="K13914" s="3" t="s">
        <v>104</v>
      </c>
      <c r="L13914" s="3" t="str">
        <f>IFERROR(__xludf.DUMMYFUNCTION("GOOGLETRANSLATE(F13914,""id"",""en"")"),"Since Argen won, I was even more relaxed like Post Agen, but even the most fams next time I came out of the banks of the banks, I was able to brake about it if I could brake about")</f>
        <v>Since Argen won, I was even more relaxed like Post Agen, but even the most fams next time I came out of the banks of the banks, I was able to brake about it if I could brake about</v>
      </c>
    </row>
    <row r="13915" ht="15.75" customHeight="1">
      <c r="A13915" s="1">
        <v>15395.0</v>
      </c>
      <c r="B13915" s="3" t="s">
        <v>39516</v>
      </c>
      <c r="C13915" s="3">
        <v>0.0</v>
      </c>
      <c r="D13915" s="3">
        <v>0.0</v>
      </c>
      <c r="E13915" s="3">
        <v>0.0</v>
      </c>
      <c r="F13915" s="3" t="s">
        <v>39517</v>
      </c>
      <c r="G13915" s="3">
        <v>0.0</v>
      </c>
      <c r="H13915" s="3">
        <v>0.0</v>
      </c>
      <c r="I13915" s="3" t="s">
        <v>13</v>
      </c>
      <c r="J13915" s="3" t="s">
        <v>39518</v>
      </c>
      <c r="K13915" s="3" t="s">
        <v>2117</v>
      </c>
      <c r="L13915" s="3" t="str">
        <f>IFERROR(__xludf.DUMMYFUNCTION("GOOGLETRANSLATE(F13915,""id"",""en"")"),"Argen won but really")</f>
        <v>Argen won but really</v>
      </c>
    </row>
    <row r="13916" ht="15.75" customHeight="1">
      <c r="A13916" s="1">
        <v>15396.0</v>
      </c>
      <c r="B13916" s="3" t="s">
        <v>39519</v>
      </c>
      <c r="C13916" s="3">
        <v>0.0</v>
      </c>
      <c r="D13916" s="3">
        <v>0.0</v>
      </c>
      <c r="E13916" s="3">
        <v>0.0</v>
      </c>
      <c r="F13916" s="3" t="s">
        <v>39520</v>
      </c>
      <c r="G13916" s="3">
        <v>0.0</v>
      </c>
      <c r="H13916" s="3">
        <v>0.0</v>
      </c>
      <c r="I13916" s="3" t="s">
        <v>13</v>
      </c>
      <c r="J13916" s="3" t="s">
        <v>39521</v>
      </c>
      <c r="K13916" s="3" t="s">
        <v>15</v>
      </c>
      <c r="L13916" s="3" t="str">
        <f>IFERROR(__xludf.DUMMYFUNCTION("GOOGLETRANSLATE(F13916,""id"",""en"")"),"If the ARGEN Jagoin Bandar is automatically a little, you can get it if you win")</f>
        <v>If the ARGEN Jagoin Bandar is automatically a little, you can get it if you win</v>
      </c>
    </row>
    <row r="13917" ht="15.75" customHeight="1">
      <c r="A13917" s="1">
        <v>15397.0</v>
      </c>
      <c r="B13917" s="3" t="s">
        <v>39522</v>
      </c>
      <c r="C13917" s="3">
        <v>0.0</v>
      </c>
      <c r="D13917" s="3">
        <v>0.0</v>
      </c>
      <c r="E13917" s="3">
        <v>0.0</v>
      </c>
      <c r="F13917" s="3" t="s">
        <v>39523</v>
      </c>
      <c r="G13917" s="3">
        <v>0.0</v>
      </c>
      <c r="H13917" s="3">
        <v>0.0</v>
      </c>
      <c r="I13917" s="3" t="s">
        <v>13</v>
      </c>
      <c r="J13917" s="3" t="s">
        <v>39524</v>
      </c>
      <c r="K13917" s="3" t="s">
        <v>35</v>
      </c>
      <c r="L13917" s="3" t="str">
        <f>IFERROR(__xludf.DUMMYFUNCTION("GOOGLETRANSLATE(F13917,""id"",""en"")"),"Besides, there are many ARGEN, the city will lose ARGEN's crazy loss to win")</f>
        <v>Besides, there are many ARGEN, the city will lose ARGEN's crazy loss to win</v>
      </c>
    </row>
    <row r="13918" ht="15.75" customHeight="1">
      <c r="A13918" s="1">
        <v>15398.0</v>
      </c>
      <c r="B13918" s="3" t="s">
        <v>39525</v>
      </c>
      <c r="C13918" s="3">
        <v>3.0</v>
      </c>
      <c r="D13918" s="3">
        <v>0.0</v>
      </c>
      <c r="E13918" s="3">
        <v>0.0</v>
      </c>
      <c r="F13918" s="3" t="s">
        <v>39526</v>
      </c>
      <c r="G13918" s="3">
        <v>0.0</v>
      </c>
      <c r="H13918" s="3">
        <v>0.0</v>
      </c>
      <c r="I13918" s="3" t="s">
        <v>13</v>
      </c>
      <c r="J13918" s="3" t="s">
        <v>39527</v>
      </c>
      <c r="K13918" s="3" t="s">
        <v>75</v>
      </c>
      <c r="L13918" s="3" t="str">
        <f>IFERROR(__xludf.DUMMYFUNCTION("GOOGLETRANSLATE(F13918,""id"",""en"")"),"What method can make a bookies profit if many people hold Agegen and Argentin win")</f>
        <v>What method can make a bookies profit if many people hold Agegen and Argentin win</v>
      </c>
    </row>
    <row r="13919" ht="15.75" customHeight="1">
      <c r="A13919" s="1">
        <v>15399.0</v>
      </c>
      <c r="B13919" s="3" t="s">
        <v>39528</v>
      </c>
      <c r="C13919" s="3">
        <v>0.0</v>
      </c>
      <c r="D13919" s="3">
        <v>0.0</v>
      </c>
      <c r="E13919" s="3">
        <v>0.0</v>
      </c>
      <c r="F13919" s="3" t="s">
        <v>39529</v>
      </c>
      <c r="G13919" s="3">
        <v>0.0</v>
      </c>
      <c r="H13919" s="3">
        <v>0.0</v>
      </c>
      <c r="I13919" s="3" t="s">
        <v>13</v>
      </c>
      <c r="J13919" s="3" t="s">
        <v>39530</v>
      </c>
      <c r="K13919" s="3" t="s">
        <v>437</v>
      </c>
      <c r="L13919" s="3" t="str">
        <f>IFERROR(__xludf.DUMMYFUNCTION("GOOGLETRANSLATE(F13919,""id"",""en"")"),"Some words at the end are very very good, many pairs of argen argen wins then the city is fortunate")</f>
        <v>Some words at the end are very very good, many pairs of argen argen wins then the city is fortunate</v>
      </c>
    </row>
    <row r="13920" ht="15.75" customHeight="1">
      <c r="A13920" s="1">
        <v>15400.0</v>
      </c>
      <c r="B13920" s="3" t="s">
        <v>39531</v>
      </c>
      <c r="C13920" s="3">
        <v>0.0</v>
      </c>
      <c r="D13920" s="3">
        <v>0.0</v>
      </c>
      <c r="E13920" s="3">
        <v>0.0</v>
      </c>
      <c r="F13920" s="3" t="s">
        <v>39532</v>
      </c>
      <c r="G13920" s="3">
        <v>0.0</v>
      </c>
      <c r="H13920" s="3">
        <v>0.0</v>
      </c>
      <c r="I13920" s="3" t="s">
        <v>13</v>
      </c>
      <c r="J13920" s="3" t="s">
        <v>39533</v>
      </c>
      <c r="K13920" s="3" t="s">
        <v>123</v>
      </c>
      <c r="L13920" s="3" t="str">
        <f>IFERROR(__xludf.DUMMYFUNCTION("GOOGLETRANSLATE(F13920,""id"",""en"")"),"Pep, Messi Fanboy, any year if Mesi Agen is still the same chance of winning Pep Mah")</f>
        <v>Pep, Messi Fanboy, any year if Mesi Agen is still the same chance of winning Pep Mah</v>
      </c>
    </row>
    <row r="13921" ht="15.75" customHeight="1">
      <c r="A13921" s="1">
        <v>15402.0</v>
      </c>
      <c r="B13921" s="3" t="s">
        <v>39534</v>
      </c>
      <c r="C13921" s="3">
        <v>0.0</v>
      </c>
      <c r="D13921" s="3">
        <v>0.0</v>
      </c>
      <c r="E13921" s="3">
        <v>0.0</v>
      </c>
      <c r="F13921" s="3" t="s">
        <v>39535</v>
      </c>
      <c r="G13921" s="3">
        <v>0.0</v>
      </c>
      <c r="H13921" s="3">
        <v>0.0</v>
      </c>
      <c r="I13921" s="3" t="s">
        <v>13</v>
      </c>
      <c r="J13921" s="3" t="s">
        <v>39536</v>
      </c>
      <c r="K13921" s="3" t="s">
        <v>27669</v>
      </c>
      <c r="L13921" s="3" t="str">
        <f>IFERROR(__xludf.DUMMYFUNCTION("GOOGLETRANSLATE(F13921,""id"",""en"")"),"here people have watched the film today, surely win where there is a market of argen dealer supporting argen loss, the city of the market")</f>
        <v>here people have watched the film today, surely win where there is a market of argen dealer supporting argen loss, the city of the market</v>
      </c>
    </row>
    <row r="13922" ht="15.75" customHeight="1">
      <c r="A13922" s="1">
        <v>15403.0</v>
      </c>
      <c r="B13922" s="3" t="s">
        <v>39537</v>
      </c>
      <c r="C13922" s="3">
        <v>0.0</v>
      </c>
      <c r="D13922" s="3">
        <v>0.0</v>
      </c>
      <c r="E13922" s="3">
        <v>0.0</v>
      </c>
      <c r="F13922" s="3" t="s">
        <v>39538</v>
      </c>
      <c r="G13922" s="3">
        <v>0.0</v>
      </c>
      <c r="H13922" s="3">
        <v>0.0</v>
      </c>
      <c r="I13922" s="3" t="s">
        <v>13</v>
      </c>
      <c r="J13922" s="3" t="s">
        <v>39539</v>
      </c>
      <c r="K13922" s="3" t="s">
        <v>433</v>
      </c>
      <c r="L13922" s="3" t="str">
        <f>IFERROR(__xludf.DUMMYFUNCTION("GOOGLETRANSLATE(F13922,""id"",""en"")"),"Many markets are holding Agegen but the one who wins AGGA is stupid wkwk dealer gambling laughing seeing this opinion like this")</f>
        <v>Many markets are holding Agegen but the one who wins AGGA is stupid wkwk dealer gambling laughing seeing this opinion like this</v>
      </c>
    </row>
    <row r="13923" ht="15.75" customHeight="1">
      <c r="A13923" s="1">
        <v>15404.0</v>
      </c>
      <c r="B13923" s="3" t="s">
        <v>39540</v>
      </c>
      <c r="C13923" s="3">
        <v>16.0</v>
      </c>
      <c r="D13923" s="3">
        <v>2.0</v>
      </c>
      <c r="E13923" s="3">
        <v>88.0</v>
      </c>
      <c r="F13923" s="3" t="s">
        <v>39541</v>
      </c>
      <c r="G13923" s="3">
        <v>0.0</v>
      </c>
      <c r="H13923" s="3">
        <v>0.0</v>
      </c>
      <c r="I13923" s="3" t="s">
        <v>13</v>
      </c>
      <c r="J13923" s="3" t="s">
        <v>39542</v>
      </c>
      <c r="K13923" s="3" t="s">
        <v>426</v>
      </c>
      <c r="L13923" s="3" t="str">
        <f>IFERROR(__xludf.DUMMYFUNCTION("GOOGLETRANSLATE(F13923,""id"",""en"")"),"The fact is that the betting market is a lot of sizors favoring Argentina, so Argentina is made to win the fixs he doesn't understand the world of gambling, many Argentine installations are made to lose.")</f>
        <v>The fact is that the betting market is a lot of sizors favoring Argentina, so Argentina is made to win the fixs he doesn't understand the world of gambling, many Argentine installations are made to lose.</v>
      </c>
    </row>
    <row r="13924" ht="15.75" customHeight="1">
      <c r="A13924" s="1">
        <v>15405.0</v>
      </c>
      <c r="B13924" s="3" t="s">
        <v>39543</v>
      </c>
      <c r="C13924" s="3">
        <v>0.0</v>
      </c>
      <c r="D13924" s="3">
        <v>0.0</v>
      </c>
      <c r="E13924" s="3">
        <v>0.0</v>
      </c>
      <c r="F13924" s="3" t="s">
        <v>39544</v>
      </c>
      <c r="G13924" s="3">
        <v>0.0</v>
      </c>
      <c r="H13924" s="3">
        <v>0.0</v>
      </c>
      <c r="I13924" s="3" t="s">
        <v>13</v>
      </c>
      <c r="J13924" s="3" t="s">
        <v>39545</v>
      </c>
      <c r="K13924" s="3" t="s">
        <v>236</v>
      </c>
      <c r="L13924" s="3" t="str">
        <f>IFERROR(__xludf.DUMMYFUNCTION("GOOGLETRANSLATE(F13924,""id"",""en"")"),"if there are many who put Agegen argen wins instead of the dealer who loses")</f>
        <v>if there are many who put Agegen argen wins instead of the dealer who loses</v>
      </c>
    </row>
    <row r="13925" ht="15.75" customHeight="1">
      <c r="A13925" s="1">
        <v>15406.0</v>
      </c>
      <c r="B13925" s="3" t="s">
        <v>39546</v>
      </c>
      <c r="C13925" s="3">
        <v>1.0</v>
      </c>
      <c r="D13925" s="3">
        <v>0.0</v>
      </c>
      <c r="E13925" s="3">
        <v>0.0</v>
      </c>
      <c r="F13925" s="3" t="s">
        <v>39547</v>
      </c>
      <c r="G13925" s="3">
        <v>0.0</v>
      </c>
      <c r="H13925" s="3">
        <v>0.0</v>
      </c>
      <c r="I13925" s="3" t="s">
        <v>13</v>
      </c>
      <c r="J13925" s="3" t="s">
        <v>39548</v>
      </c>
      <c r="K13925" s="3" t="s">
        <v>54</v>
      </c>
      <c r="L13925" s="3" t="str">
        <f>IFERROR(__xludf.DUMMYFUNCTION("GOOGLETRANSLATE(F13925,""id"",""en"")"),"I don't just like ARGAN ARGEN WIN")</f>
        <v>I don't just like ARGAN ARGEN WIN</v>
      </c>
    </row>
    <row r="13926" ht="15.75" customHeight="1">
      <c r="A13926" s="1">
        <v>15407.0</v>
      </c>
      <c r="B13926" s="3" t="s">
        <v>39549</v>
      </c>
      <c r="C13926" s="3">
        <v>1.0</v>
      </c>
      <c r="D13926" s="3">
        <v>0.0</v>
      </c>
      <c r="E13926" s="3">
        <v>0.0</v>
      </c>
      <c r="F13926" s="3" t="s">
        <v>39550</v>
      </c>
      <c r="G13926" s="3">
        <v>0.0</v>
      </c>
      <c r="H13926" s="3">
        <v>0.0</v>
      </c>
      <c r="I13926" s="3" t="s">
        <v>13</v>
      </c>
      <c r="J13926" s="3" t="s">
        <v>39551</v>
      </c>
      <c r="K13926" s="3" t="s">
        <v>2215</v>
      </c>
      <c r="L13926" s="3" t="str">
        <f>IFERROR(__xludf.DUMMYFUNCTION("GOOGLETRANSLATE(F13926,""id"",""en"")"),"Why become Ronaldo who won ARGEN who was a lot of Emil's behavior that was bacotin Mbappe who was hit by Ronaldo had an effect on Ronaldo")</f>
        <v>Why become Ronaldo who won ARGEN who was a lot of Emil's behavior that was bacotin Mbappe who was hit by Ronaldo had an effect on Ronaldo</v>
      </c>
    </row>
    <row r="13927" ht="15.75" customHeight="1">
      <c r="A13927" s="1">
        <v>15408.0</v>
      </c>
      <c r="B13927" s="3" t="s">
        <v>39552</v>
      </c>
      <c r="C13927" s="3">
        <v>1.0</v>
      </c>
      <c r="D13927" s="3">
        <v>0.0</v>
      </c>
      <c r="E13927" s="3">
        <v>1.0</v>
      </c>
      <c r="F13927" s="3" t="s">
        <v>39553</v>
      </c>
      <c r="G13927" s="3">
        <v>0.0</v>
      </c>
      <c r="H13927" s="3">
        <v>0.0</v>
      </c>
      <c r="I13927" s="3" t="s">
        <v>13</v>
      </c>
      <c r="J13927" s="3" t="s">
        <v>39554</v>
      </c>
      <c r="K13927" s="3" t="s">
        <v>54</v>
      </c>
      <c r="L13927" s="3" t="str">
        <f>IFERROR(__xludf.DUMMYFUNCTION("GOOGLETRANSLATE(F13927,""id"",""en"")"),"Ask to be treated by ThiranoSoasajidjsijdsiIRS to win ARGEN ZEL WKWK")</f>
        <v>Ask to be treated by ThiranoSoasajidjsijdsiIRS to win ARGEN ZEL WKWK</v>
      </c>
    </row>
    <row r="13928" ht="15.75" customHeight="1">
      <c r="A13928" s="1">
        <v>15409.0</v>
      </c>
      <c r="B13928" s="3" t="s">
        <v>39555</v>
      </c>
      <c r="C13928" s="3">
        <v>1.0</v>
      </c>
      <c r="D13928" s="3">
        <v>0.0</v>
      </c>
      <c r="E13928" s="3">
        <v>0.0</v>
      </c>
      <c r="F13928" s="3" t="s">
        <v>39556</v>
      </c>
      <c r="G13928" s="3">
        <v>0.0</v>
      </c>
      <c r="H13928" s="3">
        <v>0.0</v>
      </c>
      <c r="I13928" s="3" t="s">
        <v>13</v>
      </c>
      <c r="J13928" s="3" t="s">
        <v>39557</v>
      </c>
      <c r="K13928" s="3" t="s">
        <v>31</v>
      </c>
      <c r="L13928" s="3" t="str">
        <f>IFERROR(__xludf.DUMMYFUNCTION("GOOGLETRANSLATE(F13928,""id"",""en"")"),"AMANDAJKT ARGEN yesterday won brp")</f>
        <v>AMANDAJKT ARGEN yesterday won brp</v>
      </c>
    </row>
    <row r="13929" ht="15.75" customHeight="1">
      <c r="A13929" s="1">
        <v>15410.0</v>
      </c>
      <c r="B13929" s="3" t="s">
        <v>39558</v>
      </c>
      <c r="C13929" s="3">
        <v>0.0</v>
      </c>
      <c r="D13929" s="3">
        <v>0.0</v>
      </c>
      <c r="E13929" s="3">
        <v>0.0</v>
      </c>
      <c r="F13929" s="3" t="s">
        <v>39559</v>
      </c>
      <c r="G13929" s="3">
        <v>0.0</v>
      </c>
      <c r="H13929" s="3">
        <v>0.0</v>
      </c>
      <c r="I13929" s="3" t="s">
        <v>13</v>
      </c>
      <c r="J13929" s="3" t="s">
        <v>39560</v>
      </c>
      <c r="K13929" s="3" t="s">
        <v>14571</v>
      </c>
      <c r="L13929" s="3" t="str">
        <f>IFERROR(__xludf.DUMMYFUNCTION("GOOGLETRANSLATE(F13929,""id"",""en"")"),"Argen won")</f>
        <v>Argen won</v>
      </c>
    </row>
    <row r="13930" ht="15.75" customHeight="1">
      <c r="A13930" s="1">
        <v>15411.0</v>
      </c>
      <c r="B13930" s="3" t="s">
        <v>39561</v>
      </c>
      <c r="C13930" s="3">
        <v>1.0</v>
      </c>
      <c r="D13930" s="3">
        <v>0.0</v>
      </c>
      <c r="E13930" s="3">
        <v>1.0</v>
      </c>
      <c r="F13930" s="3" t="s">
        <v>39562</v>
      </c>
      <c r="G13930" s="3">
        <v>0.0</v>
      </c>
      <c r="H13930" s="3">
        <v>0.0</v>
      </c>
      <c r="I13930" s="3" t="s">
        <v>13</v>
      </c>
      <c r="J13930" s="3" t="s">
        <v>39563</v>
      </c>
      <c r="K13930" s="3" t="s">
        <v>41</v>
      </c>
      <c r="L13930" s="3" t="str">
        <f>IFERROR(__xludf.DUMMYFUNCTION("GOOGLETRANSLATE(F13930,""id"",""en"")"),"Ipulll Mas already won Agen against Italy before Pilduun wkwkwk")</f>
        <v>Ipulll Mas already won Agen against Italy before Pilduun wkwkwk</v>
      </c>
    </row>
    <row r="13931" ht="15.75" customHeight="1">
      <c r="A13931" s="1">
        <v>15412.0</v>
      </c>
      <c r="B13931" s="3" t="s">
        <v>39564</v>
      </c>
      <c r="C13931" s="3">
        <v>1.0</v>
      </c>
      <c r="D13931" s="3">
        <v>0.0</v>
      </c>
      <c r="E13931" s="3">
        <v>2.0</v>
      </c>
      <c r="F13931" s="3" t="s">
        <v>39565</v>
      </c>
      <c r="G13931" s="3">
        <v>0.0</v>
      </c>
      <c r="H13931" s="3">
        <v>0.0</v>
      </c>
      <c r="I13931" s="3" t="s">
        <v>13</v>
      </c>
      <c r="J13931" s="3" t="s">
        <v>39566</v>
      </c>
      <c r="K13931" s="3" t="s">
        <v>75</v>
      </c>
      <c r="L13931" s="3" t="str">
        <f>IFERROR(__xludf.DUMMYFUNCTION("GOOGLETRANSLATE(F13931,""id"",""en"")"),"This house is very funny, this is all when ALGEN wins at the friendship")</f>
        <v>This house is very funny, this is all when ALGEN wins at the friendship</v>
      </c>
    </row>
    <row r="13932" ht="15.75" customHeight="1">
      <c r="A13932" s="1">
        <v>15413.0</v>
      </c>
      <c r="B13932" s="3" t="s">
        <v>39567</v>
      </c>
      <c r="C13932" s="3">
        <v>0.0</v>
      </c>
      <c r="D13932" s="3">
        <v>0.0</v>
      </c>
      <c r="E13932" s="3">
        <v>0.0</v>
      </c>
      <c r="F13932" s="3" t="s">
        <v>39568</v>
      </c>
      <c r="G13932" s="3">
        <v>0.3</v>
      </c>
      <c r="H13932" s="3">
        <v>0.2</v>
      </c>
      <c r="I13932" s="3" t="s">
        <v>48</v>
      </c>
      <c r="J13932" s="3" t="s">
        <v>39569</v>
      </c>
      <c r="K13932" s="3" t="s">
        <v>41</v>
      </c>
      <c r="L13932" s="3" t="str">
        <f>IFERROR(__xludf.DUMMYFUNCTION("GOOGLETRANSLATE(F13932,""id"",""en"")"),"Original so Aing wants ARGEN or Portugal to win like this haha")</f>
        <v>Original so Aing wants ARGEN or Portugal to win like this haha</v>
      </c>
    </row>
    <row r="13933" ht="15.75" customHeight="1">
      <c r="A13933" s="1">
        <v>15414.0</v>
      </c>
      <c r="B13933" s="3" t="s">
        <v>39570</v>
      </c>
      <c r="C13933" s="3">
        <v>1.0</v>
      </c>
      <c r="D13933" s="3">
        <v>0.0</v>
      </c>
      <c r="E13933" s="3">
        <v>0.0</v>
      </c>
      <c r="F13933" s="3" t="s">
        <v>39571</v>
      </c>
      <c r="G13933" s="3">
        <v>0.6666666666666666</v>
      </c>
      <c r="H13933" s="3">
        <v>0.3333333333333333</v>
      </c>
      <c r="I13933" s="3" t="s">
        <v>48</v>
      </c>
      <c r="J13933" s="3" t="s">
        <v>39572</v>
      </c>
      <c r="K13933" s="3" t="s">
        <v>240</v>
      </c>
      <c r="L13933" s="3" t="str">
        <f>IFERROR(__xludf.DUMMYFUNCTION("GOOGLETRANSLATE(F13933,""id"",""en"")"),"Awiakwoakwok more like afraid of his team's qualities lost to the final incident kmrn mostly at France won ARGEN")</f>
        <v>Awiakwoakwok more like afraid of his team's qualities lost to the final incident kmrn mostly at France won ARGEN</v>
      </c>
    </row>
    <row r="13934" ht="15.75" customHeight="1">
      <c r="A13934" s="1">
        <v>15415.0</v>
      </c>
      <c r="B13934" s="3" t="s">
        <v>39573</v>
      </c>
      <c r="C13934" s="3">
        <v>0.0</v>
      </c>
      <c r="D13934" s="3">
        <v>0.0</v>
      </c>
      <c r="E13934" s="3">
        <v>1.0</v>
      </c>
      <c r="F13934" s="3" t="s">
        <v>39574</v>
      </c>
      <c r="G13934" s="3">
        <v>0.2</v>
      </c>
      <c r="H13934" s="3">
        <v>0.2</v>
      </c>
      <c r="I13934" s="3" t="s">
        <v>48</v>
      </c>
      <c r="J13934" s="3" t="s">
        <v>39575</v>
      </c>
      <c r="K13934" s="3" t="s">
        <v>54</v>
      </c>
      <c r="L13934" s="3" t="str">
        <f>IFERROR(__xludf.DUMMYFUNCTION("GOOGLETRANSLATE(F13934,""id"",""en"")"),"thanks brother yehe the treating argen wins")</f>
        <v>thanks brother yehe the treating argen wins</v>
      </c>
    </row>
    <row r="13935" ht="15.75" customHeight="1">
      <c r="A13935" s="1">
        <v>15416.0</v>
      </c>
      <c r="B13935" s="3" t="s">
        <v>39576</v>
      </c>
      <c r="C13935" s="3">
        <v>1.0</v>
      </c>
      <c r="D13935" s="3">
        <v>0.0</v>
      </c>
      <c r="E13935" s="3">
        <v>0.0</v>
      </c>
      <c r="F13935" s="3" t="s">
        <v>39577</v>
      </c>
      <c r="G13935" s="3">
        <v>0.8</v>
      </c>
      <c r="H13935" s="3">
        <v>0.4</v>
      </c>
      <c r="I13935" s="3" t="s">
        <v>48</v>
      </c>
      <c r="J13935" s="3" t="s">
        <v>39578</v>
      </c>
      <c r="K13935" s="3" t="s">
        <v>1854</v>
      </c>
      <c r="L13935" s="3" t="str">
        <f>IFERROR(__xludf.DUMMYFUNCTION("GOOGLETRANSLATE(F13935,""id"",""en"")"),"When I was a penalty, I was sure that Argentina won his goalkeeper, the penalty of his penalties was experienced and free kick taker all of the French players even kick a fairly grogging penalty")</f>
        <v>When I was a penalty, I was sure that Argentina won his goalkeeper, the penalty of his penalties was experienced and free kick taker all of the French players even kick a fairly grogging penalty</v>
      </c>
    </row>
    <row r="13936" ht="15.75" customHeight="1">
      <c r="A13936" s="1">
        <v>15417.0</v>
      </c>
      <c r="B13936" s="3" t="s">
        <v>39579</v>
      </c>
      <c r="C13936" s="3">
        <v>1.0</v>
      </c>
      <c r="D13936" s="3">
        <v>0.0</v>
      </c>
      <c r="E13936" s="3">
        <v>0.0</v>
      </c>
      <c r="F13936" s="3" t="s">
        <v>39580</v>
      </c>
      <c r="G13936" s="3">
        <v>1.0</v>
      </c>
      <c r="H13936" s="3">
        <v>0.0</v>
      </c>
      <c r="I13936" s="3" t="s">
        <v>13</v>
      </c>
      <c r="J13936" s="3" t="s">
        <v>39581</v>
      </c>
      <c r="K13936" s="3" t="s">
        <v>2215</v>
      </c>
      <c r="L13936" s="3" t="str">
        <f>IFERROR(__xludf.DUMMYFUNCTION("GOOGLETRANSLATE(F13936,""id"",""en"")"),"Weve people repeatedly won the bet on the final argen too if the parlay wins I hold France")</f>
        <v>Weve people repeatedly won the bet on the final argen too if the parlay wins I hold France</v>
      </c>
    </row>
    <row r="13937" ht="15.75" customHeight="1">
      <c r="A13937" s="1">
        <v>15418.0</v>
      </c>
      <c r="B13937" s="3" t="s">
        <v>39582</v>
      </c>
      <c r="C13937" s="3">
        <v>0.0</v>
      </c>
      <c r="D13937" s="3">
        <v>0.0</v>
      </c>
      <c r="E13937" s="3">
        <v>0.0</v>
      </c>
      <c r="F13937" s="3" t="s">
        <v>39583</v>
      </c>
      <c r="G13937" s="3">
        <v>0.0</v>
      </c>
      <c r="H13937" s="3">
        <v>0.0</v>
      </c>
      <c r="I13937" s="3" t="s">
        <v>13</v>
      </c>
      <c r="J13937" s="3" t="s">
        <v>39584</v>
      </c>
      <c r="K13937" s="3" t="s">
        <v>1157</v>
      </c>
      <c r="L13937" s="3" t="str">
        <f>IFERROR(__xludf.DUMMYFUNCTION("GOOGLETRANSLATE(F13937,""id"",""en"")"),"see this tweet makes me resentful of other tweets about ARGEN won happy Messi won and but the football was frustrated by ARGEN fans, what other opinions were said")</f>
        <v>see this tweet makes me resentful of other tweets about ARGEN won happy Messi won and but the football was frustrated by ARGEN fans, what other opinions were said</v>
      </c>
    </row>
    <row r="13938" ht="15.75" customHeight="1">
      <c r="A13938" s="1">
        <v>15419.0</v>
      </c>
      <c r="B13938" s="3" t="s">
        <v>39585</v>
      </c>
      <c r="C13938" s="3">
        <v>1.0</v>
      </c>
      <c r="D13938" s="3">
        <v>0.0</v>
      </c>
      <c r="E13938" s="3">
        <v>0.0</v>
      </c>
      <c r="F13938" s="3" t="s">
        <v>39586</v>
      </c>
      <c r="G13938" s="3">
        <v>0.3</v>
      </c>
      <c r="H13938" s="3">
        <v>0.2</v>
      </c>
      <c r="I13938" s="3" t="s">
        <v>48</v>
      </c>
      <c r="J13938" s="3" t="s">
        <v>39587</v>
      </c>
      <c r="K13938" s="3" t="s">
        <v>2735</v>
      </c>
      <c r="L13938" s="3" t="str">
        <f>IFERROR(__xludf.DUMMYFUNCTION("GOOGLETRANSLATE(F13938,""id"",""en"")"),"Duarrr Messi and Argen won the world cup ehhh alesan fans next door saying already set it up, there are what to say what they are, the two of them are from dlu anywhere mass.")</f>
        <v>Duarrr Messi and Argen won the world cup ehhh alesan fans next door saying already set it up, there are what to say what they are, the two of them are from dlu anywhere mass.</v>
      </c>
    </row>
    <row r="13939" ht="15.75" customHeight="1">
      <c r="A13939" s="1">
        <v>15420.0</v>
      </c>
      <c r="B13939" s="3" t="s">
        <v>39588</v>
      </c>
      <c r="C13939" s="3">
        <v>1.0</v>
      </c>
      <c r="D13939" s="3">
        <v>0.0</v>
      </c>
      <c r="E13939" s="3">
        <v>0.0</v>
      </c>
      <c r="F13939" s="3" t="s">
        <v>39589</v>
      </c>
      <c r="G13939" s="3">
        <v>0.0</v>
      </c>
      <c r="H13939" s="3">
        <v>0.0</v>
      </c>
      <c r="I13939" s="3" t="s">
        <v>13</v>
      </c>
      <c r="J13939" s="3" t="s">
        <v>39590</v>
      </c>
      <c r="K13939" s="3" t="s">
        <v>11608</v>
      </c>
      <c r="L13939" s="3" t="str">
        <f>IFERROR(__xludf.DUMMYFUNCTION("GOOGLETRANSLATE(F13939,""id"",""en"")"),"Then Messi won the finalistima against the Euro champion who was said to be Euro Copa America Euro champion who was said to be a more prestigious trophy was defeated by ARGEN ehhhh the next fan said the BOONG Cup made by FIFA Cup that just made okay I jus"&amp;"t monitored by KSL")</f>
        <v>Then Messi won the finalistima against the Euro champion who was said to be Euro Copa America Euro champion who was said to be a more prestigious trophy was defeated by ARGEN ehhhh the next fan said the BOONG Cup made by FIFA Cup that just made okay I just monitored by KSL</v>
      </c>
    </row>
    <row r="13940" ht="15.75" customHeight="1">
      <c r="A13940" s="1">
        <v>15421.0</v>
      </c>
      <c r="B13940" s="3" t="s">
        <v>39591</v>
      </c>
      <c r="C13940" s="3">
        <v>0.0</v>
      </c>
      <c r="D13940" s="3">
        <v>0.0</v>
      </c>
      <c r="E13940" s="3">
        <v>0.0</v>
      </c>
      <c r="F13940" s="3" t="s">
        <v>39592</v>
      </c>
      <c r="G13940" s="3">
        <v>0.0</v>
      </c>
      <c r="H13940" s="3">
        <v>0.0</v>
      </c>
      <c r="I13940" s="3" t="s">
        <v>13</v>
      </c>
      <c r="J13940" s="3" t="s">
        <v>39593</v>
      </c>
      <c r="K13940" s="3" t="s">
        <v>58</v>
      </c>
      <c r="L13940" s="3" t="str">
        <f>IFERROR(__xludf.DUMMYFUNCTION("GOOGLETRANSLATE(F13940,""id"",""en"")"),"Yes, France won, the champion was happy ARGAN, but only the champion in history for WKSWKS")</f>
        <v>Yes, France won, the champion was happy ARGAN, but only the champion in history for WKSWKS</v>
      </c>
    </row>
    <row r="13941" ht="15.75" customHeight="1">
      <c r="A13941" s="1">
        <v>15422.0</v>
      </c>
      <c r="B13941" s="3" t="s">
        <v>39594</v>
      </c>
      <c r="C13941" s="3">
        <v>1.0</v>
      </c>
      <c r="D13941" s="3">
        <v>0.0</v>
      </c>
      <c r="E13941" s="3">
        <v>0.0</v>
      </c>
      <c r="F13941" s="3" t="s">
        <v>39595</v>
      </c>
      <c r="G13941" s="3">
        <v>0.0</v>
      </c>
      <c r="H13941" s="3">
        <v>0.0</v>
      </c>
      <c r="I13941" s="3" t="s">
        <v>13</v>
      </c>
      <c r="J13941" s="3" t="s">
        <v>39596</v>
      </c>
      <c r="K13941" s="3" t="s">
        <v>358</v>
      </c>
      <c r="L13941" s="3" t="str">
        <f>IFERROR(__xludf.DUMMYFUNCTION("GOOGLETRANSLATE(F13941,""id"",""en"")"),"the same fan France is upset because his country failed to win because ARGEN was so ARGEN's jersey was a different story again if France won what was the same thing")</f>
        <v>the same fan France is upset because his country failed to win because ARGEN was so ARGEN's jersey was a different story again if France won what was the same thing</v>
      </c>
    </row>
    <row r="13942" ht="15.75" customHeight="1">
      <c r="A13942" s="1">
        <v>15423.0</v>
      </c>
      <c r="B13942" s="3" t="s">
        <v>39597</v>
      </c>
      <c r="C13942" s="3">
        <v>0.0</v>
      </c>
      <c r="D13942" s="3">
        <v>0.0</v>
      </c>
      <c r="E13942" s="3">
        <v>0.0</v>
      </c>
      <c r="F13942" s="3" t="s">
        <v>39598</v>
      </c>
      <c r="G13942" s="3">
        <v>0.0</v>
      </c>
      <c r="H13942" s="3">
        <v>0.0</v>
      </c>
      <c r="I13942" s="3" t="s">
        <v>13</v>
      </c>
      <c r="J13942" s="3" t="s">
        <v>39599</v>
      </c>
      <c r="K13942" s="3" t="s">
        <v>123</v>
      </c>
      <c r="L13942" s="3" t="str">
        <f>IFERROR(__xludf.DUMMYFUNCTION("GOOGLETRANSLATE(F13942,""id"",""en"")"),"Albiceleste is the crazy atmosphere of the ball is enthusiastic about ARGAN or Brazil DLU when Korea Japan Brazil wins this busy")</f>
        <v>Albiceleste is the crazy atmosphere of the ball is enthusiastic about ARGAN or Brazil DLU when Korea Japan Brazil wins this busy</v>
      </c>
    </row>
    <row r="13943" ht="15.75" customHeight="1">
      <c r="A13943" s="1">
        <v>15424.0</v>
      </c>
      <c r="B13943" s="3" t="s">
        <v>39600</v>
      </c>
      <c r="C13943" s="3">
        <v>1.0</v>
      </c>
      <c r="D13943" s="3">
        <v>0.0</v>
      </c>
      <c r="E13943" s="3">
        <v>1.0</v>
      </c>
      <c r="F13943" s="3" t="s">
        <v>39601</v>
      </c>
      <c r="G13943" s="3">
        <v>0.0</v>
      </c>
      <c r="H13943" s="3">
        <v>0.0</v>
      </c>
      <c r="I13943" s="3" t="s">
        <v>13</v>
      </c>
      <c r="J13943" s="3" t="s">
        <v>39602</v>
      </c>
      <c r="K13943" s="3" t="s">
        <v>795</v>
      </c>
      <c r="L13943" s="3" t="str">
        <f>IFERROR(__xludf.DUMMYFUNCTION("GOOGLETRANSLATE(F13943,""id"",""en"")"),"Try to check the social media of French players or how is the French person's treatment ARGEN wins or all the French people are racist")</f>
        <v>Try to check the social media of French players or how is the French person's treatment ARGEN wins or all the French people are racist</v>
      </c>
    </row>
    <row r="13944" ht="15.75" customHeight="1">
      <c r="A13944" s="1">
        <v>15425.0</v>
      </c>
      <c r="B13944" s="3" t="s">
        <v>39603</v>
      </c>
      <c r="C13944" s="3">
        <v>0.0</v>
      </c>
      <c r="D13944" s="3">
        <v>0.0</v>
      </c>
      <c r="E13944" s="3">
        <v>0.0</v>
      </c>
      <c r="F13944" s="3" t="s">
        <v>39604</v>
      </c>
      <c r="G13944" s="3">
        <v>0.0</v>
      </c>
      <c r="H13944" s="3">
        <v>0.0</v>
      </c>
      <c r="I13944" s="3" t="s">
        <v>13</v>
      </c>
      <c r="J13944" s="3" t="s">
        <v>39605</v>
      </c>
      <c r="K13944" s="3" t="s">
        <v>614</v>
      </c>
      <c r="L13944" s="3" t="str">
        <f>IFERROR(__xludf.DUMMYFUNCTION("GOOGLETRANSLATE(F13944,""id"",""en"")"),"The choice is difficult because the three are really feasible but I just accept it if Emi Martinez wins because the contribution of the crazy saven")</f>
        <v>The choice is difficult because the three are really feasible but I just accept it if Emi Martinez wins because the contribution of the crazy saven</v>
      </c>
    </row>
    <row r="13945" ht="15.75" customHeight="1">
      <c r="A13945" s="1">
        <v>15426.0</v>
      </c>
      <c r="B13945" s="3" t="s">
        <v>39606</v>
      </c>
      <c r="C13945" s="3">
        <v>2.0</v>
      </c>
      <c r="D13945" s="3">
        <v>0.0</v>
      </c>
      <c r="E13945" s="3">
        <v>2.0</v>
      </c>
      <c r="F13945" s="3" t="s">
        <v>39607</v>
      </c>
      <c r="G13945" s="3">
        <v>0.0</v>
      </c>
      <c r="H13945" s="3">
        <v>0.0</v>
      </c>
      <c r="I13945" s="3" t="s">
        <v>13</v>
      </c>
      <c r="J13945" s="3" t="s">
        <v>39608</v>
      </c>
      <c r="K13945" s="3" t="s">
        <v>31</v>
      </c>
      <c r="L13945" s="3" t="str">
        <f>IFERROR(__xludf.DUMMYFUNCTION("GOOGLETRANSLATE(F13945,""id"",""en"")"),"ARGEN has won")</f>
        <v>ARGEN has won</v>
      </c>
    </row>
    <row r="13946" ht="15.75" customHeight="1">
      <c r="A13946" s="1">
        <v>15427.0</v>
      </c>
      <c r="B13946" s="3" t="s">
        <v>39609</v>
      </c>
      <c r="C13946" s="3">
        <v>1.0</v>
      </c>
      <c r="D13946" s="3">
        <v>0.0</v>
      </c>
      <c r="E13946" s="3">
        <v>0.0</v>
      </c>
      <c r="F13946" s="3" t="s">
        <v>39610</v>
      </c>
      <c r="G13946" s="3">
        <v>0.0</v>
      </c>
      <c r="H13946" s="3">
        <v>0.0</v>
      </c>
      <c r="I13946" s="3" t="s">
        <v>13</v>
      </c>
      <c r="J13946" s="3" t="s">
        <v>39611</v>
      </c>
      <c r="K13946" s="3" t="s">
        <v>2117</v>
      </c>
      <c r="L13946" s="3" t="str">
        <f>IFERROR(__xludf.DUMMYFUNCTION("GOOGLETRANSLATE(F13946,""id"",""en"")"),"Argen won the penalty")</f>
        <v>Argen won the penalty</v>
      </c>
    </row>
    <row r="13947" ht="15.75" customHeight="1">
      <c r="A13947" s="1">
        <v>15428.0</v>
      </c>
      <c r="B13947" s="3" t="s">
        <v>39612</v>
      </c>
      <c r="C13947" s="3">
        <v>0.0</v>
      </c>
      <c r="D13947" s="3">
        <v>0.0</v>
      </c>
      <c r="E13947" s="3">
        <v>0.0</v>
      </c>
      <c r="F13947" s="3" t="s">
        <v>39613</v>
      </c>
      <c r="G13947" s="3">
        <v>0.0</v>
      </c>
      <c r="H13947" s="3">
        <v>0.0</v>
      </c>
      <c r="I13947" s="3" t="s">
        <v>13</v>
      </c>
      <c r="J13947" s="3" t="s">
        <v>39614</v>
      </c>
      <c r="K13947" s="3" t="s">
        <v>31</v>
      </c>
      <c r="L13947" s="3" t="str">
        <f>IFERROR(__xludf.DUMMYFUNCTION("GOOGLETRANSLATE(F13947,""id"",""en"")"),"The feeling yesterday held Agen to win")</f>
        <v>The feeling yesterday held Agen to win</v>
      </c>
    </row>
    <row r="13948" ht="15.75" customHeight="1">
      <c r="A13948" s="1">
        <v>15429.0</v>
      </c>
      <c r="B13948" s="3" t="s">
        <v>39615</v>
      </c>
      <c r="C13948" s="3">
        <v>1.0</v>
      </c>
      <c r="D13948" s="3">
        <v>0.0</v>
      </c>
      <c r="E13948" s="3">
        <v>0.0</v>
      </c>
      <c r="F13948" s="3" t="s">
        <v>39616</v>
      </c>
      <c r="G13948" s="3">
        <v>0.0</v>
      </c>
      <c r="H13948" s="3">
        <v>0.0</v>
      </c>
      <c r="I13948" s="3" t="s">
        <v>13</v>
      </c>
      <c r="J13948" s="3" t="s">
        <v>39617</v>
      </c>
      <c r="K13948" s="3" t="s">
        <v>23</v>
      </c>
      <c r="L13948" s="3" t="str">
        <f>IFERROR(__xludf.DUMMYFUNCTION("GOOGLETRANSLATE(F13948,""id"",""en"")"),"Tai Bener Martinez Mbappe Udh won when I was still Mbappe printed his goal goal why other AGGE players agreed Martinez celebrated like this")</f>
        <v>Tai Bener Martinez Mbappe Udh won when I was still Mbappe printed his goal goal why other AGGE players agreed Martinez celebrated like this</v>
      </c>
    </row>
    <row r="13949" ht="15.75" customHeight="1">
      <c r="A13949" s="1">
        <v>15430.0</v>
      </c>
      <c r="B13949" s="3" t="s">
        <v>39618</v>
      </c>
      <c r="C13949" s="3">
        <v>0.0</v>
      </c>
      <c r="D13949" s="3">
        <v>0.0</v>
      </c>
      <c r="E13949" s="3">
        <v>35.0</v>
      </c>
      <c r="F13949" s="3" t="s">
        <v>39619</v>
      </c>
      <c r="G13949" s="3">
        <v>0.0</v>
      </c>
      <c r="H13949" s="3">
        <v>0.0</v>
      </c>
      <c r="I13949" s="3" t="s">
        <v>13</v>
      </c>
      <c r="J13949" s="3" t="s">
        <v>39620</v>
      </c>
      <c r="K13949" s="3" t="s">
        <v>433</v>
      </c>
      <c r="L13949" s="3" t="str">
        <f>IFERROR(__xludf.DUMMYFUNCTION("GOOGLETRANSLATE(F13949,""id"",""en"")"),"I am Agegen's fans also think Livakovic who will get a large amount of save")</f>
        <v>I am Agegen's fans also think Livakovic who will get a large amount of save</v>
      </c>
    </row>
    <row r="13950" ht="15.75" customHeight="1">
      <c r="A13950" s="1">
        <v>15431.0</v>
      </c>
      <c r="B13950" s="3" t="s">
        <v>39621</v>
      </c>
      <c r="C13950" s="3">
        <v>0.0</v>
      </c>
      <c r="D13950" s="3">
        <v>0.0</v>
      </c>
      <c r="E13950" s="3">
        <v>0.0</v>
      </c>
      <c r="F13950" s="3" t="s">
        <v>39622</v>
      </c>
      <c r="G13950" s="3">
        <v>1.0</v>
      </c>
      <c r="H13950" s="3">
        <v>0.0</v>
      </c>
      <c r="I13950" s="3" t="s">
        <v>13</v>
      </c>
      <c r="J13950" s="3" t="s">
        <v>39623</v>
      </c>
      <c r="K13950" s="3" t="s">
        <v>903</v>
      </c>
      <c r="L13950" s="3" t="str">
        <f>IFERROR(__xludf.DUMMYFUNCTION("GOOGLETRANSLATE(F13950,""id"",""en"")"),"This is talking about Euro, I agree that the career of the Babang Range after that is normal again outside, I got it, I got it, if the Babang was still like the Portuguese squad like now it would be in the final yesterday")</f>
        <v>This is talking about Euro, I agree that the career of the Babang Range after that is normal again outside, I got it, I got it, if the Babang was still like the Portuguese squad like now it would be in the final yesterday</v>
      </c>
    </row>
    <row r="13951" ht="15.75" customHeight="1">
      <c r="A13951" s="1">
        <v>15432.0</v>
      </c>
      <c r="B13951" s="3" t="s">
        <v>39624</v>
      </c>
      <c r="C13951" s="3">
        <v>0.0</v>
      </c>
      <c r="D13951" s="3">
        <v>0.0</v>
      </c>
      <c r="E13951" s="3">
        <v>1.0</v>
      </c>
      <c r="F13951" s="3" t="s">
        <v>39625</v>
      </c>
      <c r="G13951" s="3">
        <v>0.0</v>
      </c>
      <c r="H13951" s="3">
        <v>0.0</v>
      </c>
      <c r="I13951" s="3" t="s">
        <v>13</v>
      </c>
      <c r="J13951" s="3" t="s">
        <v>39626</v>
      </c>
      <c r="K13951" s="3" t="s">
        <v>1293</v>
      </c>
      <c r="L13951" s="3" t="str">
        <f>IFERROR(__xludf.DUMMYFUNCTION("GOOGLETRANSLATE(F13951,""id"",""en"")"),"I told me as a SBOBET PEMAEN who according to this is competitive and it looks competitive is the bookie, so for example ARGEN PUR SURINAME turns out to win only")</f>
        <v>I told me as a SBOBET PEMAEN who according to this is competitive and it looks competitive is the bookie, so for example ARGEN PUR SURINAME turns out to win only</v>
      </c>
    </row>
    <row r="13952" ht="15.75" customHeight="1">
      <c r="A13952" s="1">
        <v>15433.0</v>
      </c>
      <c r="B13952" s="3" t="s">
        <v>39627</v>
      </c>
      <c r="C13952" s="3">
        <v>1.0</v>
      </c>
      <c r="D13952" s="3">
        <v>0.0</v>
      </c>
      <c r="E13952" s="3">
        <v>0.0</v>
      </c>
      <c r="F13952" s="3" t="s">
        <v>39628</v>
      </c>
      <c r="G13952" s="3">
        <v>0.0</v>
      </c>
      <c r="H13952" s="3">
        <v>0.0</v>
      </c>
      <c r="I13952" s="3" t="s">
        <v>13</v>
      </c>
      <c r="J13952" s="3" t="s">
        <v>39629</v>
      </c>
      <c r="K13952" s="3" t="s">
        <v>463</v>
      </c>
      <c r="L13952" s="3" t="str">
        <f>IFERROR(__xludf.DUMMYFUNCTION("GOOGLETRANSLATE(F13952,""id"",""en"")"),"hiiragii if you are stressful because argen wins don't open social media later, add stress, don't do it double standard, if it's noisy, gausa tbtb woman support women mah woman support among fans")</f>
        <v>hiiragii if you are stressful because argen wins don't open social media later, add stress, don't do it double standard, if it's noisy, gausa tbtb woman support women mah woman support among fans</v>
      </c>
    </row>
    <row r="13953" ht="15.75" customHeight="1">
      <c r="A13953" s="1">
        <v>15434.0</v>
      </c>
      <c r="B13953" s="3" t="s">
        <v>39630</v>
      </c>
      <c r="C13953" s="3">
        <v>0.0</v>
      </c>
      <c r="D13953" s="3">
        <v>0.0</v>
      </c>
      <c r="E13953" s="3">
        <v>0.0</v>
      </c>
      <c r="F13953" s="3" t="s">
        <v>39631</v>
      </c>
      <c r="G13953" s="3">
        <v>0.0</v>
      </c>
      <c r="H13953" s="3">
        <v>0.0</v>
      </c>
      <c r="I13953" s="3" t="s">
        <v>13</v>
      </c>
      <c r="J13953" s="3" t="s">
        <v>39632</v>
      </c>
      <c r="K13953" s="3" t="s">
        <v>477</v>
      </c>
      <c r="L13953" s="3" t="str">
        <f>IFERROR(__xludf.DUMMYFUNCTION("GOOGLETRANSLATE(F13953,""id"",""en"")"),"If you are stressed because AGGA wins, don't open social media, then more stress")</f>
        <v>If you are stressed because AGGA wins, don't open social media, then more stress</v>
      </c>
    </row>
    <row r="13954" ht="15.75" customHeight="1">
      <c r="A13954" s="1">
        <v>15435.0</v>
      </c>
      <c r="B13954" s="3" t="s">
        <v>39633</v>
      </c>
      <c r="C13954" s="3">
        <v>0.0</v>
      </c>
      <c r="D13954" s="3">
        <v>0.0</v>
      </c>
      <c r="E13954" s="3">
        <v>0.0</v>
      </c>
      <c r="F13954" s="3" t="s">
        <v>39634</v>
      </c>
      <c r="G13954" s="3">
        <v>0.0</v>
      </c>
      <c r="H13954" s="3">
        <v>0.0</v>
      </c>
      <c r="I13954" s="3" t="s">
        <v>13</v>
      </c>
      <c r="J13954" s="3" t="s">
        <v>39635</v>
      </c>
      <c r="K13954" s="3" t="s">
        <v>149</v>
      </c>
      <c r="L13954" s="3" t="str">
        <f>IFERROR(__xludf.DUMMYFUNCTION("GOOGLETRANSLATE(F13954,""id"",""en"")"),"famous halu wkwkwk already bang school lessons taught by teachers are about accepting defeats or losing gambling gausa bring other matters.")</f>
        <v>famous halu wkwkwk already bang school lessons taught by teachers are about accepting defeats or losing gambling gausa bring other matters.</v>
      </c>
    </row>
    <row r="13955" ht="15.75" customHeight="1">
      <c r="A13955" s="1">
        <v>15436.0</v>
      </c>
      <c r="B13955" s="3" t="s">
        <v>39636</v>
      </c>
      <c r="C13955" s="3">
        <v>0.0</v>
      </c>
      <c r="D13955" s="3">
        <v>0.0</v>
      </c>
      <c r="E13955" s="3">
        <v>0.0</v>
      </c>
      <c r="F13955" s="3" t="s">
        <v>39637</v>
      </c>
      <c r="G13955" s="3">
        <v>0.0</v>
      </c>
      <c r="H13955" s="3">
        <v>0.0</v>
      </c>
      <c r="I13955" s="3" t="s">
        <v>13</v>
      </c>
      <c r="J13955" s="3" t="s">
        <v>39638</v>
      </c>
      <c r="K13955" s="3" t="s">
        <v>127</v>
      </c>
      <c r="L13955" s="3" t="str">
        <f>IFERROR(__xludf.DUMMYFUNCTION("GOOGLETRANSLATE(F13955,""id"",""en"")"),"MBAPE broke down Bosss's goal forgot yes ARGEN is free to win how come Messi retires after your pulp is only his pulp")</f>
        <v>MBAPE broke down Bosss's goal forgot yes ARGEN is free to win how come Messi retires after your pulp is only his pulp</v>
      </c>
    </row>
    <row r="13956" ht="15.75" customHeight="1">
      <c r="A13956" s="1">
        <v>15437.0</v>
      </c>
      <c r="B13956" s="3" t="s">
        <v>39639</v>
      </c>
      <c r="C13956" s="3">
        <v>0.0</v>
      </c>
      <c r="D13956" s="3">
        <v>0.0</v>
      </c>
      <c r="E13956" s="3">
        <v>0.0</v>
      </c>
      <c r="F13956" s="3" t="s">
        <v>39640</v>
      </c>
      <c r="G13956" s="3">
        <v>0.0</v>
      </c>
      <c r="H13956" s="3">
        <v>0.0</v>
      </c>
      <c r="I13956" s="3" t="s">
        <v>13</v>
      </c>
      <c r="J13956" s="3" t="s">
        <v>39641</v>
      </c>
      <c r="K13956" s="3" t="s">
        <v>1335</v>
      </c>
      <c r="L13956" s="3" t="str">
        <f>IFERROR(__xludf.DUMMYFUNCTION("GOOGLETRANSLATE(F13956,""id"",""en"")"),"may France also not get a penalty still winning argen if the penalty is deleted")</f>
        <v>may France also not get a penalty still winning argen if the penalty is deleted</v>
      </c>
    </row>
    <row r="13957" ht="15.75" customHeight="1">
      <c r="A13957" s="1">
        <v>15438.0</v>
      </c>
      <c r="B13957" s="3" t="s">
        <v>39642</v>
      </c>
      <c r="C13957" s="3">
        <v>0.0</v>
      </c>
      <c r="D13957" s="3">
        <v>0.0</v>
      </c>
      <c r="E13957" s="3">
        <v>0.0</v>
      </c>
      <c r="F13957" s="3" t="s">
        <v>39643</v>
      </c>
      <c r="G13957" s="3">
        <v>0.0</v>
      </c>
      <c r="H13957" s="3">
        <v>0.0</v>
      </c>
      <c r="I13957" s="3" t="s">
        <v>13</v>
      </c>
      <c r="J13957" s="3" t="s">
        <v>39644</v>
      </c>
      <c r="K13957" s="3" t="s">
        <v>54</v>
      </c>
      <c r="L13957" s="3" t="str">
        <f>IFERROR(__xludf.DUMMYFUNCTION("GOOGLETRANSLATE(F13957,""id"",""en"")"),"Gabakal stops ARGEN WINING PILDUN A WEEK")</f>
        <v>Gabakal stops ARGEN WINING PILDUN A WEEK</v>
      </c>
    </row>
    <row r="13958" ht="15.75" customHeight="1">
      <c r="A13958" s="1">
        <v>15439.0</v>
      </c>
      <c r="B13958" s="3" t="s">
        <v>39645</v>
      </c>
      <c r="C13958" s="3">
        <v>0.0</v>
      </c>
      <c r="D13958" s="3">
        <v>0.0</v>
      </c>
      <c r="E13958" s="3">
        <v>0.0</v>
      </c>
      <c r="F13958" s="3" t="s">
        <v>39646</v>
      </c>
      <c r="G13958" s="3">
        <v>0.0</v>
      </c>
      <c r="H13958" s="3">
        <v>0.0</v>
      </c>
      <c r="I13958" s="3" t="s">
        <v>13</v>
      </c>
      <c r="J13958" s="3" t="s">
        <v>39647</v>
      </c>
      <c r="K13958" s="3" t="s">
        <v>35</v>
      </c>
      <c r="L13958" s="3" t="str">
        <f>IFERROR(__xludf.DUMMYFUNCTION("GOOGLETRANSLATE(F13958,""id"",""en"")"),"I have won the time now, the party is just this party.")</f>
        <v>I have won the time now, the party is just this party.</v>
      </c>
    </row>
    <row r="13959" ht="15.75" customHeight="1">
      <c r="A13959" s="1">
        <v>15440.0</v>
      </c>
      <c r="B13959" s="3" t="s">
        <v>39648</v>
      </c>
      <c r="C13959" s="3">
        <v>0.0</v>
      </c>
      <c r="D13959" s="3">
        <v>0.0</v>
      </c>
      <c r="E13959" s="3">
        <v>0.0</v>
      </c>
      <c r="F13959" s="3" t="s">
        <v>39649</v>
      </c>
      <c r="G13959" s="3">
        <v>0.0</v>
      </c>
      <c r="H13959" s="3">
        <v>0.0</v>
      </c>
      <c r="I13959" s="3" t="s">
        <v>13</v>
      </c>
      <c r="J13959" s="3" t="s">
        <v>39650</v>
      </c>
      <c r="K13959" s="3" t="s">
        <v>2117</v>
      </c>
      <c r="L13959" s="3" t="str">
        <f>IFERROR(__xludf.DUMMYFUNCTION("GOOGLETRANSLATE(F13959,""id"",""en"")"),"the important thing is to win argen")</f>
        <v>the important thing is to win argen</v>
      </c>
    </row>
    <row r="13960" ht="15.75" customHeight="1">
      <c r="A13960" s="1">
        <v>15441.0</v>
      </c>
      <c r="B13960" s="3" t="s">
        <v>39651</v>
      </c>
      <c r="C13960" s="3">
        <v>0.0</v>
      </c>
      <c r="D13960" s="3">
        <v>0.0</v>
      </c>
      <c r="E13960" s="3">
        <v>0.0</v>
      </c>
      <c r="F13960" s="3" t="s">
        <v>39651</v>
      </c>
      <c r="G13960" s="3">
        <v>0.0</v>
      </c>
      <c r="H13960" s="3">
        <v>0.0</v>
      </c>
      <c r="I13960" s="3" t="s">
        <v>13</v>
      </c>
      <c r="J13960" s="3" t="s">
        <v>39652</v>
      </c>
      <c r="K13960" s="3" t="s">
        <v>31</v>
      </c>
      <c r="L13960" s="3" t="str">
        <f>IFERROR(__xludf.DUMMYFUNCTION("GOOGLETRANSLATE(F13960,""id"",""en"")"),"I think there's no way Agen will win")</f>
        <v>I think there's no way Agen will win</v>
      </c>
    </row>
    <row r="13961" ht="15.75" customHeight="1">
      <c r="A13961" s="1">
        <v>15442.0</v>
      </c>
      <c r="B13961" s="3" t="s">
        <v>39653</v>
      </c>
      <c r="C13961" s="3">
        <v>1.0</v>
      </c>
      <c r="D13961" s="3">
        <v>0.0</v>
      </c>
      <c r="E13961" s="3">
        <v>0.0</v>
      </c>
      <c r="F13961" s="3" t="s">
        <v>39654</v>
      </c>
      <c r="G13961" s="3">
        <v>0.0</v>
      </c>
      <c r="H13961" s="3">
        <v>0.0</v>
      </c>
      <c r="I13961" s="3" t="s">
        <v>13</v>
      </c>
      <c r="J13961" s="3" t="s">
        <v>39655</v>
      </c>
      <c r="K13961" s="3" t="s">
        <v>19</v>
      </c>
      <c r="L13961" s="3" t="str">
        <f>IFERROR(__xludf.DUMMYFUNCTION("GOOGLETRANSLATE(F13961,""id"",""en"")"),"once won wkwkwk when Barca Messi brought ARgen champion World Cup MBA")</f>
        <v>once won wkwkwk when Barca Messi brought ARgen champion World Cup MBA</v>
      </c>
    </row>
    <row r="13962" ht="15.75" customHeight="1">
      <c r="A13962" s="1">
        <v>15443.0</v>
      </c>
      <c r="B13962" s="3" t="s">
        <v>39656</v>
      </c>
      <c r="C13962" s="3">
        <v>0.0</v>
      </c>
      <c r="D13962" s="3">
        <v>0.0</v>
      </c>
      <c r="E13962" s="3">
        <v>0.0</v>
      </c>
      <c r="F13962" s="3" t="s">
        <v>39657</v>
      </c>
      <c r="G13962" s="3">
        <v>0.0</v>
      </c>
      <c r="H13962" s="3">
        <v>0.0</v>
      </c>
      <c r="I13962" s="3" t="s">
        <v>13</v>
      </c>
      <c r="J13962" s="3" t="s">
        <v>39658</v>
      </c>
      <c r="K13962" s="3" t="s">
        <v>1335</v>
      </c>
      <c r="L13962" s="3" t="str">
        <f>IFERROR(__xludf.DUMMYFUNCTION("GOOGLETRANSLATE(F13962,""id"",""en"")"),"Argen won the winning millions of Monas people")</f>
        <v>Argen won the winning millions of Monas people</v>
      </c>
    </row>
    <row r="13963" ht="15.75" customHeight="1">
      <c r="A13963" s="1">
        <v>15444.0</v>
      </c>
      <c r="B13963" s="3" t="s">
        <v>39659</v>
      </c>
      <c r="C13963" s="3">
        <v>1.0</v>
      </c>
      <c r="D13963" s="3">
        <v>0.0</v>
      </c>
      <c r="E13963" s="3">
        <v>0.0</v>
      </c>
      <c r="F13963" s="3" t="s">
        <v>39660</v>
      </c>
      <c r="G13963" s="3">
        <v>0.0</v>
      </c>
      <c r="H13963" s="3">
        <v>0.0</v>
      </c>
      <c r="I13963" s="3" t="s">
        <v>13</v>
      </c>
      <c r="J13963" s="3" t="s">
        <v>39661</v>
      </c>
      <c r="K13963" s="3" t="s">
        <v>3401</v>
      </c>
      <c r="L13963" s="3" t="str">
        <f>IFERROR(__xludf.DUMMYFUNCTION("GOOGLETRANSLATE(F13963,""id"",""en"")"),"The player brought the Agegen goal from the French goal when the defender was a favorite team player when Konate came in, replacing the player, Konate gave a good bait, Kolo Muani minutes, unfortunately the goal should be France to win")</f>
        <v>The player brought the Agegen goal from the French goal when the defender was a favorite team player when Konate came in, replacing the player, Konate gave a good bait, Kolo Muani minutes, unfortunately the goal should be France to win</v>
      </c>
    </row>
    <row r="13964" ht="15.75" customHeight="1">
      <c r="A13964" s="1">
        <v>15445.0</v>
      </c>
      <c r="B13964" s="3" t="s">
        <v>39662</v>
      </c>
      <c r="C13964" s="3">
        <v>0.0</v>
      </c>
      <c r="D13964" s="3">
        <v>0.0</v>
      </c>
      <c r="E13964" s="3">
        <v>0.0</v>
      </c>
      <c r="F13964" s="3" t="s">
        <v>39559</v>
      </c>
      <c r="G13964" s="3">
        <v>0.0</v>
      </c>
      <c r="H13964" s="3">
        <v>0.0</v>
      </c>
      <c r="I13964" s="3" t="s">
        <v>13</v>
      </c>
      <c r="J13964" s="3" t="s">
        <v>39560</v>
      </c>
      <c r="K13964" s="3" t="s">
        <v>14571</v>
      </c>
      <c r="L13964" s="3" t="str">
        <f>IFERROR(__xludf.DUMMYFUNCTION("GOOGLETRANSLATE(F13964,""id"",""en"")"),"Argen won")</f>
        <v>Argen won</v>
      </c>
    </row>
    <row r="13965" ht="15.75" customHeight="1">
      <c r="A13965" s="1">
        <v>15446.0</v>
      </c>
      <c r="B13965" s="3" t="s">
        <v>39663</v>
      </c>
      <c r="C13965" s="3">
        <v>1.0</v>
      </c>
      <c r="D13965" s="3">
        <v>0.0</v>
      </c>
      <c r="E13965" s="3">
        <v>0.0</v>
      </c>
      <c r="F13965" s="3" t="s">
        <v>39664</v>
      </c>
      <c r="G13965" s="3">
        <v>0.3333333333333333</v>
      </c>
      <c r="H13965" s="3">
        <v>0.1666666666666667</v>
      </c>
      <c r="I13965" s="3" t="s">
        <v>48</v>
      </c>
      <c r="J13965" s="3" t="s">
        <v>39665</v>
      </c>
      <c r="K13965" s="3" t="s">
        <v>860</v>
      </c>
      <c r="L13965" s="3" t="str">
        <f>IFERROR(__xludf.DUMMYFUNCTION("GOOGLETRANSLATE(F13965,""id"",""en"")"),"Ronaldo UCL is really playing Madrid to win UCL, he is also a penalty contribution to this Penalty Messi, Messi Gamain is like an ARGEN reserve goalkeeper.")</f>
        <v>Ronaldo UCL is really playing Madrid to win UCL, he is also a penalty contribution to this Penalty Messi, Messi Gamain is like an ARGEN reserve goalkeeper.</v>
      </c>
    </row>
    <row r="13966" ht="15.75" customHeight="1">
      <c r="A13966" s="1">
        <v>15447.0</v>
      </c>
      <c r="B13966" s="3" t="s">
        <v>39666</v>
      </c>
      <c r="C13966" s="3">
        <v>0.0</v>
      </c>
      <c r="D13966" s="3">
        <v>0.0</v>
      </c>
      <c r="E13966" s="3">
        <v>0.0</v>
      </c>
      <c r="F13966" s="3" t="s">
        <v>39667</v>
      </c>
      <c r="G13966" s="3">
        <v>1.0</v>
      </c>
      <c r="H13966" s="3">
        <v>0.0</v>
      </c>
      <c r="I13966" s="3" t="s">
        <v>13</v>
      </c>
      <c r="J13966" s="3" t="s">
        <v>39668</v>
      </c>
      <c r="K13966" s="3" t="s">
        <v>19</v>
      </c>
      <c r="L13966" s="3" t="str">
        <f>IFERROR(__xludf.DUMMYFUNCTION("GOOGLETRANSLATE(F13966,""id"",""en"")"),"If yesterday the Final World Cup Final might be very frustrated by AGEN to win and act like this")</f>
        <v>If yesterday the Final World Cup Final might be very frustrated by AGEN to win and act like this</v>
      </c>
    </row>
    <row r="13967" ht="15.75" customHeight="1">
      <c r="A13967" s="1">
        <v>15448.0</v>
      </c>
      <c r="B13967" s="3" t="s">
        <v>39669</v>
      </c>
      <c r="C13967" s="3">
        <v>0.0</v>
      </c>
      <c r="D13967" s="3">
        <v>0.0</v>
      </c>
      <c r="E13967" s="3">
        <v>0.0</v>
      </c>
      <c r="F13967" s="3" t="s">
        <v>39670</v>
      </c>
      <c r="G13967" s="3">
        <v>1.0</v>
      </c>
      <c r="H13967" s="3">
        <v>0.0</v>
      </c>
      <c r="I13967" s="3" t="s">
        <v>13</v>
      </c>
      <c r="J13967" s="3" t="s">
        <v>39671</v>
      </c>
      <c r="K13967" s="3" t="s">
        <v>33738</v>
      </c>
      <c r="L13967" s="3" t="str">
        <f>IFERROR(__xludf.DUMMYFUNCTION("GOOGLETRANSLATE(F13967,""id"",""en"")"),"I made the stupidity of Din when I gambling, I took ARGEN when I was final because I was balld by the French ball, he finally took off the ARGEN, ARGEN won if you won, Din, if you won, I could buy a lot of drinks, a lot of huft bodo time")</f>
        <v>I made the stupidity of Din when I gambling, I took ARGEN when I was final because I was balld by the French ball, he finally took off the ARGEN, ARGEN won if you won, Din, if you won, I could buy a lot of drinks, a lot of huft bodo time</v>
      </c>
    </row>
    <row r="13968" ht="15.75" customHeight="1">
      <c r="A13968" s="1">
        <v>15449.0</v>
      </c>
      <c r="B13968" s="3" t="s">
        <v>39672</v>
      </c>
      <c r="C13968" s="3">
        <v>0.0</v>
      </c>
      <c r="D13968" s="3">
        <v>0.0</v>
      </c>
      <c r="E13968" s="3">
        <v>0.0</v>
      </c>
      <c r="F13968" s="3" t="s">
        <v>39673</v>
      </c>
      <c r="G13968" s="3">
        <v>0.0</v>
      </c>
      <c r="H13968" s="3">
        <v>0.0</v>
      </c>
      <c r="I13968" s="3" t="s">
        <v>13</v>
      </c>
      <c r="J13968" s="3" t="s">
        <v>39674</v>
      </c>
      <c r="K13968" s="3" t="s">
        <v>41</v>
      </c>
      <c r="L13968" s="3" t="str">
        <f>IFERROR(__xludf.DUMMYFUNCTION("GOOGLETRANSLATE(F13968,""id"",""en"")"),"Dam Gamau Opens the Giveaway or Trejo Back because Agegen wins")</f>
        <v>Dam Gamau Opens the Giveaway or Trejo Back because Agegen wins</v>
      </c>
    </row>
    <row r="13969" ht="15.75" customHeight="1">
      <c r="A13969" s="1">
        <v>15450.0</v>
      </c>
      <c r="B13969" s="3" t="s">
        <v>39675</v>
      </c>
      <c r="C13969" s="3">
        <v>0.0</v>
      </c>
      <c r="D13969" s="3">
        <v>0.0</v>
      </c>
      <c r="E13969" s="3">
        <v>0.0</v>
      </c>
      <c r="F13969" s="3" t="s">
        <v>39676</v>
      </c>
      <c r="G13969" s="3">
        <v>1.0</v>
      </c>
      <c r="H13969" s="3">
        <v>0.8</v>
      </c>
      <c r="I13969" s="3" t="s">
        <v>48</v>
      </c>
      <c r="J13969" s="3" t="s">
        <v>39677</v>
      </c>
      <c r="K13969" s="3" t="s">
        <v>644</v>
      </c>
      <c r="L13969" s="3" t="str">
        <f>IFERROR(__xludf.DUMMYFUNCTION("GOOGLETRANSLATE(F13969,""id"",""en"")"),"Happy Agegen Wins Hyung")</f>
        <v>Happy Agegen Wins Hyung</v>
      </c>
    </row>
    <row r="13970" ht="15.75" customHeight="1">
      <c r="A13970" s="1">
        <v>15452.0</v>
      </c>
      <c r="B13970" s="3" t="s">
        <v>39678</v>
      </c>
      <c r="C13970" s="3">
        <v>0.0</v>
      </c>
      <c r="D13970" s="3">
        <v>0.0</v>
      </c>
      <c r="E13970" s="3">
        <v>1.0</v>
      </c>
      <c r="F13970" s="3" t="s">
        <v>39679</v>
      </c>
      <c r="G13970" s="3">
        <v>0.0</v>
      </c>
      <c r="H13970" s="3">
        <v>0.0</v>
      </c>
      <c r="I13970" s="3" t="s">
        <v>13</v>
      </c>
      <c r="J13970" s="3" t="s">
        <v>39560</v>
      </c>
      <c r="K13970" s="3" t="s">
        <v>14571</v>
      </c>
      <c r="L13970" s="3" t="str">
        <f>IFERROR(__xludf.DUMMYFUNCTION("GOOGLETRANSLATE(F13970,""id"",""en"")"),"Argen won")</f>
        <v>Argen won</v>
      </c>
    </row>
    <row r="13971" ht="15.75" customHeight="1">
      <c r="A13971" s="1">
        <v>15453.0</v>
      </c>
      <c r="B13971" s="3" t="s">
        <v>39680</v>
      </c>
      <c r="C13971" s="3">
        <v>1.0</v>
      </c>
      <c r="D13971" s="3">
        <v>0.0</v>
      </c>
      <c r="E13971" s="3">
        <v>45.0</v>
      </c>
      <c r="F13971" s="3" t="s">
        <v>39681</v>
      </c>
      <c r="G13971" s="3">
        <v>0.0</v>
      </c>
      <c r="H13971" s="3">
        <v>0.0</v>
      </c>
      <c r="I13971" s="3" t="s">
        <v>13</v>
      </c>
      <c r="J13971" s="3" t="s">
        <v>39682</v>
      </c>
      <c r="K13971" s="3" t="s">
        <v>1293</v>
      </c>
      <c r="L13971" s="3" t="str">
        <f>IFERROR(__xludf.DUMMYFUNCTION("GOOGLETRANSLATE(F13971,""id"",""en"")"),"Stupid, like seeing Agen winning, they won, so I don't bother to be disturbed, just let them")</f>
        <v>Stupid, like seeing Agen winning, they won, so I don't bother to be disturbed, just let them</v>
      </c>
    </row>
    <row r="13972" ht="15.75" customHeight="1">
      <c r="A13972" s="1">
        <v>15454.0</v>
      </c>
      <c r="B13972" s="3" t="s">
        <v>39683</v>
      </c>
      <c r="C13972" s="3">
        <v>1.0</v>
      </c>
      <c r="D13972" s="3">
        <v>0.0</v>
      </c>
      <c r="E13972" s="3">
        <v>0.0</v>
      </c>
      <c r="F13972" s="3" t="s">
        <v>39684</v>
      </c>
      <c r="G13972" s="3">
        <v>0.0</v>
      </c>
      <c r="H13972" s="3">
        <v>0.0</v>
      </c>
      <c r="I13972" s="3" t="s">
        <v>13</v>
      </c>
      <c r="J13972" s="3" t="s">
        <v>39685</v>
      </c>
      <c r="K13972" s="3" t="s">
        <v>910</v>
      </c>
      <c r="L13972" s="3" t="str">
        <f>IFERROR(__xludf.DUMMYFUNCTION("GOOGLETRANSLATE(F13972,""id"",""en"")"),"When Agen won, the boil broke out because all this time Messi had already pressed my eyes in every dance.")</f>
        <v>When Agen won, the boil broke out because all this time Messi had already pressed my eyes in every dance.</v>
      </c>
    </row>
    <row r="13973" ht="15.75" customHeight="1">
      <c r="A13973" s="1">
        <v>15455.0</v>
      </c>
      <c r="B13973" s="3" t="s">
        <v>39686</v>
      </c>
      <c r="C13973" s="3">
        <v>1.0</v>
      </c>
      <c r="D13973" s="3">
        <v>0.0</v>
      </c>
      <c r="E13973" s="3">
        <v>1.0</v>
      </c>
      <c r="F13973" s="3" t="s">
        <v>39687</v>
      </c>
      <c r="G13973" s="3">
        <v>0.0</v>
      </c>
      <c r="H13973" s="3">
        <v>0.0</v>
      </c>
      <c r="I13973" s="3" t="s">
        <v>13</v>
      </c>
      <c r="J13973" s="3" t="s">
        <v>39688</v>
      </c>
      <c r="K13973" s="3" t="s">
        <v>82</v>
      </c>
      <c r="L13973" s="3" t="str">
        <f>IFERROR(__xludf.DUMMYFUNCTION("GOOGLETRANSLATE(F13973,""id"",""en"")"),"Luckily, Agen won if I was America like this")</f>
        <v>Luckily, Agen won if I was America like this</v>
      </c>
    </row>
    <row r="13974" ht="15.75" customHeight="1">
      <c r="A13974" s="1">
        <v>15456.0</v>
      </c>
      <c r="B13974" s="3" t="s">
        <v>39689</v>
      </c>
      <c r="C13974" s="3">
        <v>0.0</v>
      </c>
      <c r="D13974" s="3">
        <v>0.0</v>
      </c>
      <c r="E13974" s="3">
        <v>0.0</v>
      </c>
      <c r="F13974" s="3" t="s">
        <v>39690</v>
      </c>
      <c r="G13974" s="3">
        <v>0.0</v>
      </c>
      <c r="H13974" s="3">
        <v>0.0</v>
      </c>
      <c r="I13974" s="3" t="s">
        <v>13</v>
      </c>
      <c r="J13974" s="3" t="s">
        <v>39691</v>
      </c>
      <c r="K13974" s="3" t="s">
        <v>54</v>
      </c>
      <c r="L13974" s="3" t="str">
        <f>IFERROR(__xludf.DUMMYFUNCTION("GOOGLETRANSLATE(F13974,""id"",""en"")"),"After Agegen won the Panjangg Holiday Publication")</f>
        <v>After Agegen won the Panjangg Holiday Publication</v>
      </c>
    </row>
    <row r="13975" ht="15.75" customHeight="1">
      <c r="A13975" s="1">
        <v>15457.0</v>
      </c>
      <c r="B13975" s="3" t="s">
        <v>39692</v>
      </c>
      <c r="C13975" s="3">
        <v>1.0</v>
      </c>
      <c r="D13975" s="3">
        <v>0.0</v>
      </c>
      <c r="E13975" s="3">
        <v>0.0</v>
      </c>
      <c r="F13975" s="3" t="s">
        <v>39693</v>
      </c>
      <c r="G13975" s="3">
        <v>0.0</v>
      </c>
      <c r="H13975" s="3">
        <v>0.0</v>
      </c>
      <c r="I13975" s="3" t="s">
        <v>13</v>
      </c>
      <c r="J13975" s="3" t="s">
        <v>39694</v>
      </c>
      <c r="K13975" s="3" t="s">
        <v>942</v>
      </c>
      <c r="L13975" s="3" t="str">
        <f>IFERROR(__xludf.DUMMYFUNCTION("GOOGLETRANSLATE(F13975,""id"",""en"")"),"Madrid lost what UCL Champion LeBron champion Madrid met Agegen won far away")</f>
        <v>Madrid lost what UCL Champion LeBron champion Madrid met Agegen won far away</v>
      </c>
    </row>
    <row r="13976" ht="15.75" customHeight="1">
      <c r="A13976" s="1">
        <v>15458.0</v>
      </c>
      <c r="B13976" s="3" t="s">
        <v>39695</v>
      </c>
      <c r="C13976" s="3">
        <v>1.0</v>
      </c>
      <c r="D13976" s="3">
        <v>0.0</v>
      </c>
      <c r="E13976" s="3">
        <v>0.0</v>
      </c>
      <c r="F13976" s="3" t="s">
        <v>39696</v>
      </c>
      <c r="G13976" s="3">
        <v>0.0</v>
      </c>
      <c r="H13976" s="3">
        <v>0.0</v>
      </c>
      <c r="I13976" s="3" t="s">
        <v>13</v>
      </c>
      <c r="J13976" s="3" t="s">
        <v>39697</v>
      </c>
      <c r="K13976" s="3" t="s">
        <v>6592</v>
      </c>
      <c r="L13976" s="3" t="str">
        <f>IFERROR(__xludf.DUMMYFUNCTION("GOOGLETRANSLATE(F13976,""id"",""en"")"),"AGGA Wins Winning to Wins Dybala Winning Champion in My Arms")</f>
        <v>AGGA Wins Winning to Wins Dybala Winning Champion in My Arms</v>
      </c>
    </row>
    <row r="13977" ht="15.75" customHeight="1">
      <c r="A13977" s="1">
        <v>15459.0</v>
      </c>
      <c r="B13977" s="3" t="s">
        <v>39698</v>
      </c>
      <c r="C13977" s="3">
        <v>0.0</v>
      </c>
      <c r="D13977" s="3">
        <v>0.0</v>
      </c>
      <c r="E13977" s="3">
        <v>0.0</v>
      </c>
      <c r="F13977" s="3" t="s">
        <v>39699</v>
      </c>
      <c r="G13977" s="3">
        <v>0.0</v>
      </c>
      <c r="H13977" s="3">
        <v>0.0</v>
      </c>
      <c r="I13977" s="3" t="s">
        <v>13</v>
      </c>
      <c r="J13977" s="3" t="s">
        <v>39700</v>
      </c>
      <c r="K13977" s="3" t="s">
        <v>50</v>
      </c>
      <c r="L13977" s="3" t="str">
        <f>IFERROR(__xludf.DUMMYFUNCTION("GOOGLETRANSLATE(F13977,""id"",""en"")"),"well, bro, hopefully you can win already, AGN from the date")</f>
        <v>well, bro, hopefully you can win already, AGN from the date</v>
      </c>
    </row>
    <row r="13978" ht="15.75" customHeight="1">
      <c r="A13978" s="1">
        <v>15460.0</v>
      </c>
      <c r="B13978" s="3" t="s">
        <v>39701</v>
      </c>
      <c r="C13978" s="3">
        <v>0.0</v>
      </c>
      <c r="D13978" s="3">
        <v>0.0</v>
      </c>
      <c r="E13978" s="3">
        <v>1.0</v>
      </c>
      <c r="F13978" s="3" t="s">
        <v>39702</v>
      </c>
      <c r="G13978" s="3">
        <v>0.0</v>
      </c>
      <c r="H13978" s="3">
        <v>0.0</v>
      </c>
      <c r="I13978" s="3" t="s">
        <v>13</v>
      </c>
      <c r="J13978" s="3" t="s">
        <v>39703</v>
      </c>
      <c r="K13978" s="3" t="s">
        <v>644</v>
      </c>
      <c r="L13978" s="3" t="str">
        <f>IFERROR(__xludf.DUMMYFUNCTION("GOOGLETRANSLATE(F13978,""id"",""en"")"),"Gratitude, Agegen won")</f>
        <v>Gratitude, Agegen won</v>
      </c>
    </row>
    <row r="13979" ht="15.75" customHeight="1">
      <c r="A13979" s="1">
        <v>15461.0</v>
      </c>
      <c r="B13979" s="3" t="s">
        <v>39704</v>
      </c>
      <c r="C13979" s="3">
        <v>0.0</v>
      </c>
      <c r="D13979" s="3">
        <v>0.0</v>
      </c>
      <c r="E13979" s="3">
        <v>0.0</v>
      </c>
      <c r="F13979" s="3" t="s">
        <v>39705</v>
      </c>
      <c r="G13979" s="3">
        <v>0.0</v>
      </c>
      <c r="H13979" s="3">
        <v>0.0</v>
      </c>
      <c r="I13979" s="3" t="s">
        <v>13</v>
      </c>
      <c r="J13979" s="3" t="s">
        <v>39706</v>
      </c>
      <c r="K13979" s="3" t="s">
        <v>644</v>
      </c>
      <c r="L13979" s="3" t="str">
        <f>IFERROR(__xludf.DUMMYFUNCTION("GOOGLETRANSLATE(F13979,""id"",""en"")"),"Praise God Agegen Wins")</f>
        <v>Praise God Agegen Wins</v>
      </c>
    </row>
    <row r="13980" ht="15.75" customHeight="1">
      <c r="A13980" s="1">
        <v>15462.0</v>
      </c>
      <c r="B13980" s="3" t="s">
        <v>39707</v>
      </c>
      <c r="C13980" s="3">
        <v>0.0</v>
      </c>
      <c r="D13980" s="3">
        <v>0.0</v>
      </c>
      <c r="E13980" s="3">
        <v>1.0</v>
      </c>
      <c r="F13980" s="3" t="s">
        <v>39708</v>
      </c>
      <c r="G13980" s="3">
        <v>0.0</v>
      </c>
      <c r="H13980" s="3">
        <v>0.0</v>
      </c>
      <c r="I13980" s="3" t="s">
        <v>13</v>
      </c>
      <c r="J13980" s="3" t="s">
        <v>39709</v>
      </c>
      <c r="K13980" s="3" t="s">
        <v>2117</v>
      </c>
      <c r="L13980" s="3" t="str">
        <f>IFERROR(__xludf.DUMMYFUNCTION("GOOGLETRANSLATE(F13980,""id"",""en"")"),"Alhamdulillah Agegen won")</f>
        <v>Alhamdulillah Agegen won</v>
      </c>
    </row>
    <row r="13981" ht="15.75" customHeight="1">
      <c r="A13981" s="1">
        <v>15463.0</v>
      </c>
      <c r="B13981" s="3" t="s">
        <v>39710</v>
      </c>
      <c r="C13981" s="3">
        <v>1.0</v>
      </c>
      <c r="D13981" s="3">
        <v>0.0</v>
      </c>
      <c r="E13981" s="3">
        <v>11.0</v>
      </c>
      <c r="F13981" s="3" t="s">
        <v>39711</v>
      </c>
      <c r="G13981" s="3">
        <v>0.0</v>
      </c>
      <c r="H13981" s="3">
        <v>0.0</v>
      </c>
      <c r="I13981" s="3" t="s">
        <v>13</v>
      </c>
      <c r="J13981" s="3" t="s">
        <v>39712</v>
      </c>
      <c r="K13981" s="3" t="s">
        <v>675</v>
      </c>
      <c r="L13981" s="3" t="str">
        <f>IFERROR(__xludf.DUMMYFUNCTION("GOOGLETRANSLATE(F13981,""id"",""en"")"),"The fact is that the champion wins the trophy penalty is handed over by ARGEN, not France, the referee's controversy decision is the opinion of people, including you, except that there is an appeal and FIFA comes out the statement if the referee is wrong")</f>
        <v>The fact is that the champion wins the trophy penalty is handed over by ARGEN, not France, the referee's controversy decision is the opinion of people, including you, except that there is an appeal and FIFA comes out the statement if the referee is wrong</v>
      </c>
    </row>
    <row r="13982" ht="15.75" customHeight="1">
      <c r="A13982" s="1">
        <v>15464.0</v>
      </c>
      <c r="B13982" s="3" t="s">
        <v>39713</v>
      </c>
      <c r="C13982" s="3">
        <v>0.0</v>
      </c>
      <c r="D13982" s="3">
        <v>0.0</v>
      </c>
      <c r="E13982" s="3">
        <v>1.0</v>
      </c>
      <c r="F13982" s="3" t="s">
        <v>39714</v>
      </c>
      <c r="G13982" s="3">
        <v>0.0</v>
      </c>
      <c r="H13982" s="3">
        <v>0.0</v>
      </c>
      <c r="I13982" s="3" t="s">
        <v>13</v>
      </c>
      <c r="J13982" s="3" t="s">
        <v>39715</v>
      </c>
      <c r="K13982" s="3" t="s">
        <v>695</v>
      </c>
      <c r="L13982" s="3" t="str">
        <f>IFERROR(__xludf.DUMMYFUNCTION("GOOGLETRANSLATE(F13982,""id"",""en"")"),"This is if there is a Mei clear incident that is Kayany Damie yesterday when Agen won, she took a photo with Hyunsuk again watching the ball while wearing a jersey like that")</f>
        <v>This is if there is a Mei clear incident that is Kayany Damie yesterday when Agen won, she took a photo with Hyunsuk again watching the ball while wearing a jersey like that</v>
      </c>
    </row>
    <row r="13983" ht="15.75" customHeight="1">
      <c r="A13983" s="1">
        <v>15465.0</v>
      </c>
      <c r="B13983" s="3" t="s">
        <v>39716</v>
      </c>
      <c r="C13983" s="3">
        <v>0.0</v>
      </c>
      <c r="D13983" s="3">
        <v>0.0</v>
      </c>
      <c r="E13983" s="3">
        <v>0.0</v>
      </c>
      <c r="F13983" s="3" t="s">
        <v>39717</v>
      </c>
      <c r="G13983" s="3">
        <v>0.0</v>
      </c>
      <c r="H13983" s="3">
        <v>0.0</v>
      </c>
      <c r="I13983" s="3" t="s">
        <v>13</v>
      </c>
      <c r="J13983" s="3" t="s">
        <v>39718</v>
      </c>
      <c r="K13983" s="3" t="s">
        <v>90</v>
      </c>
      <c r="L13983" s="3" t="str">
        <f>IFERROR(__xludf.DUMMYFUNCTION("GOOGLETRANSLATE(F13983,""id"",""en"")"),"French fans offense also Maren hopes that you will win the TBH so that it is a big head, but how about the settings, it has been mourned by pran and survived ARGEN")</f>
        <v>French fans offense also Maren hopes that you will win the TBH so that it is a big head, but how about the settings, it has been mourned by pran and survived ARGEN</v>
      </c>
    </row>
    <row r="13984" ht="15.75" customHeight="1">
      <c r="A13984" s="1">
        <v>15466.0</v>
      </c>
      <c r="B13984" s="3" t="s">
        <v>39719</v>
      </c>
      <c r="C13984" s="3">
        <v>2.0</v>
      </c>
      <c r="D13984" s="3">
        <v>0.0</v>
      </c>
      <c r="E13984" s="3">
        <v>0.0</v>
      </c>
      <c r="F13984" s="3" t="s">
        <v>39720</v>
      </c>
      <c r="G13984" s="3">
        <v>0.0</v>
      </c>
      <c r="H13984" s="3">
        <v>0.0</v>
      </c>
      <c r="I13984" s="3" t="s">
        <v>13</v>
      </c>
      <c r="J13984" s="3" t="s">
        <v>39721</v>
      </c>
      <c r="K13984" s="3" t="s">
        <v>1854</v>
      </c>
      <c r="L13984" s="3" t="str">
        <f>IFERROR(__xludf.DUMMYFUNCTION("GOOGLETRANSLATE(F13984,""id"",""en"")"),"Babekoe maen aluss your eyes think penalties already have a warranty of winning definite argen galiat spanish brazil team big teams only through penalties can lose the same instead")</f>
        <v>Babekoe maen aluss your eyes think penalties already have a warranty of winning definite argen galiat spanish brazil team big teams only through penalties can lose the same instead</v>
      </c>
    </row>
    <row r="13985" ht="15.75" customHeight="1">
      <c r="A13985" s="1">
        <v>15467.0</v>
      </c>
      <c r="B13985" s="3" t="s">
        <v>39722</v>
      </c>
      <c r="C13985" s="3">
        <v>0.0</v>
      </c>
      <c r="D13985" s="3">
        <v>0.0</v>
      </c>
      <c r="E13985" s="3">
        <v>0.0</v>
      </c>
      <c r="F13985" s="3" t="s">
        <v>39723</v>
      </c>
      <c r="G13985" s="3">
        <v>0.0</v>
      </c>
      <c r="H13985" s="3">
        <v>0.0</v>
      </c>
      <c r="I13985" s="3" t="s">
        <v>13</v>
      </c>
      <c r="J13985" s="3" t="s">
        <v>39724</v>
      </c>
      <c r="K13985" s="3" t="s">
        <v>82</v>
      </c>
      <c r="L13985" s="3" t="str">
        <f>IFERROR(__xludf.DUMMYFUNCTION("GOOGLETRANSLATE(F13985,""id"",""en"")"),"Losing bullied after abisan won thought to be set a setting")</f>
        <v>Losing bullied after abisan won thought to be set a setting</v>
      </c>
    </row>
    <row r="13986" ht="15.75" customHeight="1">
      <c r="A13986" s="1">
        <v>15468.0</v>
      </c>
      <c r="B13986" s="3" t="s">
        <v>39725</v>
      </c>
      <c r="C13986" s="3">
        <v>1.0</v>
      </c>
      <c r="D13986" s="3">
        <v>0.0</v>
      </c>
      <c r="E13986" s="3">
        <v>0.0</v>
      </c>
      <c r="F13986" s="3" t="s">
        <v>39726</v>
      </c>
      <c r="G13986" s="3">
        <v>0.3333333333333333</v>
      </c>
      <c r="H13986" s="3">
        <v>0.1666666666666667</v>
      </c>
      <c r="I13986" s="3" t="s">
        <v>48</v>
      </c>
      <c r="J13986" s="3" t="s">
        <v>39727</v>
      </c>
      <c r="K13986" s="3" t="s">
        <v>41</v>
      </c>
      <c r="L13986" s="3" t="str">
        <f>IFERROR(__xludf.DUMMYFUNCTION("GOOGLETRANSLATE(F13986,""id"",""en"")"),"Babekoe plays alus there is a warranty ARGEN win")</f>
        <v>Babekoe plays alus there is a warranty ARGEN win</v>
      </c>
    </row>
    <row r="13987" ht="15.75" customHeight="1">
      <c r="A13987" s="1">
        <v>15469.0</v>
      </c>
      <c r="B13987" s="3" t="s">
        <v>39728</v>
      </c>
      <c r="C13987" s="3">
        <v>0.0</v>
      </c>
      <c r="D13987" s="3">
        <v>0.0</v>
      </c>
      <c r="E13987" s="3">
        <v>0.0</v>
      </c>
      <c r="F13987" s="3" t="s">
        <v>39729</v>
      </c>
      <c r="G13987" s="3">
        <v>0.0</v>
      </c>
      <c r="H13987" s="3">
        <v>0.0</v>
      </c>
      <c r="I13987" s="3" t="s">
        <v>13</v>
      </c>
      <c r="J13987" s="3" t="s">
        <v>39730</v>
      </c>
      <c r="K13987" s="3" t="s">
        <v>477</v>
      </c>
      <c r="L13987" s="3" t="str">
        <f>IFERROR(__xludf.DUMMYFUNCTION("GOOGLETRANSLATE(F13987,""id"",""en"")"),"TBTB forgot the disease of Gra Argen's GRA Grand")</f>
        <v>TBTB forgot the disease of Gra Argen's GRA Grand</v>
      </c>
    </row>
    <row r="13988" ht="15.75" customHeight="1">
      <c r="A13988" s="1">
        <v>15470.0</v>
      </c>
      <c r="B13988" s="3" t="s">
        <v>39731</v>
      </c>
      <c r="C13988" s="3">
        <v>1.0</v>
      </c>
      <c r="D13988" s="3">
        <v>0.0</v>
      </c>
      <c r="E13988" s="3">
        <v>1.0</v>
      </c>
      <c r="F13988" s="3" t="s">
        <v>39732</v>
      </c>
      <c r="G13988" s="3">
        <v>1.0</v>
      </c>
      <c r="H13988" s="3">
        <v>0.0</v>
      </c>
      <c r="I13988" s="3" t="s">
        <v>13</v>
      </c>
      <c r="J13988" s="3" t="s">
        <v>39733</v>
      </c>
      <c r="K13988" s="3" t="s">
        <v>1489</v>
      </c>
      <c r="L13988" s="3" t="str">
        <f>IFERROR(__xludf.DUMMYFUNCTION("GOOGLETRANSLATE(F13988,""id"",""en"")"),"That's really already prepared for the team to enter the final so that the question is why the stadium is almost full of Argentine supporters and Francia supporters only a little more thinking supporters already know that Francia will lose and Argen")</f>
        <v>That's really already prepared for the team to enter the final so that the question is why the stadium is almost full of Argentine supporters and Francia supporters only a little more thinking supporters already know that Francia will lose and Argen</v>
      </c>
    </row>
    <row r="13989" ht="15.75" customHeight="1">
      <c r="A13989" s="1">
        <v>15471.0</v>
      </c>
      <c r="B13989" s="3" t="s">
        <v>39734</v>
      </c>
      <c r="C13989" s="3">
        <v>1.0</v>
      </c>
      <c r="D13989" s="3">
        <v>0.0</v>
      </c>
      <c r="E13989" s="3">
        <v>0.0</v>
      </c>
      <c r="F13989" s="3" t="s">
        <v>39735</v>
      </c>
      <c r="G13989" s="3">
        <v>0.1</v>
      </c>
      <c r="H13989" s="3">
        <v>0.0</v>
      </c>
      <c r="I13989" s="3" t="s">
        <v>13</v>
      </c>
      <c r="J13989" s="3" t="s">
        <v>39736</v>
      </c>
      <c r="K13989" s="3" t="s">
        <v>9802</v>
      </c>
      <c r="L13989" s="3" t="str">
        <f>IFERROR(__xludf.DUMMYFUNCTION("GOOGLETRANSLATE(F13989,""id"",""en"")"),"If it's clear what is the setting to use until the penalty shootout all the blocks, what are you doing, you will be given an extra penalty, just won, if you win, you don't bother to make the penalty of all the hilarious fans of Dodo")</f>
        <v>If it's clear what is the setting to use until the penalty shootout all the blocks, what are you doing, you will be given an extra penalty, just won, if you win, you don't bother to make the penalty of all the hilarious fans of Dodo</v>
      </c>
    </row>
    <row r="13990" ht="15.75" customHeight="1">
      <c r="A13990" s="1">
        <v>15472.0</v>
      </c>
      <c r="B13990" s="3" t="s">
        <v>39737</v>
      </c>
      <c r="C13990" s="3">
        <v>0.0</v>
      </c>
      <c r="D13990" s="3">
        <v>0.0</v>
      </c>
      <c r="E13990" s="3">
        <v>0.0</v>
      </c>
      <c r="F13990" s="3" t="s">
        <v>39738</v>
      </c>
      <c r="G13990" s="3">
        <v>0.0</v>
      </c>
      <c r="H13990" s="3">
        <v>0.0</v>
      </c>
      <c r="I13990" s="3" t="s">
        <v>13</v>
      </c>
      <c r="J13990" s="3" t="s">
        <v>39739</v>
      </c>
      <c r="K13990" s="3" t="s">
        <v>1394</v>
      </c>
      <c r="L13990" s="3" t="str">
        <f>IFERROR(__xludf.DUMMYFUNCTION("GOOGLETRANSLATE(F13990,""id"",""en"")"),"Already showing off the same score, not losing the skill less fortunate, you can just now now, even though it used to support Agegen, the new scenag won, at least I was proud of it from the beginning to the end for Les Bleus France instead of appearing wh"&amp;"en it appeared just when it appeared at the championship")</f>
        <v>Already showing off the same score, not losing the skill less fortunate, you can just now now, even though it used to support Agegen, the new scenag won, at least I was proud of it from the beginning to the end for Les Bleus France instead of appearing when it appeared just when it appeared at the championship</v>
      </c>
    </row>
    <row r="13991" ht="15.75" customHeight="1">
      <c r="A13991" s="1">
        <v>15473.0</v>
      </c>
      <c r="B13991" s="3" t="s">
        <v>39740</v>
      </c>
      <c r="C13991" s="3">
        <v>0.0</v>
      </c>
      <c r="D13991" s="3">
        <v>0.0</v>
      </c>
      <c r="E13991" s="3">
        <v>0.0</v>
      </c>
      <c r="F13991" s="3" t="s">
        <v>39741</v>
      </c>
      <c r="G13991" s="3">
        <v>0.0</v>
      </c>
      <c r="H13991" s="3">
        <v>0.0</v>
      </c>
      <c r="I13991" s="3" t="s">
        <v>13</v>
      </c>
      <c r="J13991" s="3" t="s">
        <v>39742</v>
      </c>
      <c r="K13991" s="3" t="s">
        <v>82</v>
      </c>
      <c r="L13991" s="3" t="str">
        <f>IFERROR(__xludf.DUMMYFUNCTION("GOOGLETRANSLATE(F13991,""id"",""en"")"),"because I won when Bet Agen Japan")</f>
        <v>because I won when Bet Agen Japan</v>
      </c>
    </row>
    <row r="13992" ht="15.75" customHeight="1">
      <c r="A13992" s="1">
        <v>15474.0</v>
      </c>
      <c r="B13992" s="3" t="s">
        <v>39743</v>
      </c>
      <c r="C13992" s="3">
        <v>0.0</v>
      </c>
      <c r="D13992" s="3">
        <v>0.0</v>
      </c>
      <c r="E13992" s="3">
        <v>0.0</v>
      </c>
      <c r="F13992" s="3" t="s">
        <v>39744</v>
      </c>
      <c r="G13992" s="3">
        <v>1.0</v>
      </c>
      <c r="H13992" s="3">
        <v>0.0</v>
      </c>
      <c r="I13992" s="3" t="s">
        <v>13</v>
      </c>
      <c r="J13992" s="3" t="s">
        <v>39745</v>
      </c>
      <c r="K13992" s="3" t="s">
        <v>2454</v>
      </c>
      <c r="L13992" s="3" t="str">
        <f>IFERROR(__xludf.DUMMYFUNCTION("GOOGLETRANSLATE(F13992,""id"",""en"")"),"Redsindo Why don't you ask Giovani Loceslo and all the Squad Squad continues to take part in lifting the trophy, it might be an AGGE way for the price of the performance before retirement loses the final, for example, Bepe took part in lifting the AFF Cup"&amp;" if Indonesia won too")</f>
        <v>Redsindo Why don't you ask Giovani Loceslo and all the Squad Squad continues to take part in lifting the trophy, it might be an AGGE way for the price of the performance before retirement loses the final, for example, Bepe took part in lifting the AFF Cup if Indonesia won too</v>
      </c>
    </row>
    <row r="13993" ht="15.75" customHeight="1">
      <c r="A13993" s="1">
        <v>15475.0</v>
      </c>
      <c r="B13993" s="3" t="s">
        <v>39746</v>
      </c>
      <c r="C13993" s="3">
        <v>0.0</v>
      </c>
      <c r="D13993" s="3">
        <v>1.0</v>
      </c>
      <c r="E13993" s="3">
        <v>6.0</v>
      </c>
      <c r="F13993" s="3" t="s">
        <v>39747</v>
      </c>
      <c r="G13993" s="3">
        <v>0.0</v>
      </c>
      <c r="H13993" s="3">
        <v>0.0</v>
      </c>
      <c r="I13993" s="3" t="s">
        <v>13</v>
      </c>
      <c r="J13993" s="3" t="s">
        <v>39748</v>
      </c>
      <c r="K13993" s="3" t="s">
        <v>1061</v>
      </c>
      <c r="L13993" s="3" t="str">
        <f>IFERROR(__xludf.DUMMYFUNCTION("GOOGLETRANSLATE(F13993,""id"",""en"")"),"It was precisely because they understood the capacity of how then they won it so it was a pride especially yesterday that the status of ARGEN UNBEATEN was broken by Saudi, maybe they felt proud of the achievement and paint")</f>
        <v>It was precisely because they understood the capacity of how then they won it so it was a pride especially yesterday that the status of ARGEN UNBEATEN was broken by Saudi, maybe they felt proud of the achievement and paint</v>
      </c>
    </row>
    <row r="13994" ht="15.75" customHeight="1">
      <c r="A13994" s="1">
        <v>15476.0</v>
      </c>
      <c r="B13994" s="3" t="s">
        <v>39749</v>
      </c>
      <c r="C13994" s="3">
        <v>0.0</v>
      </c>
      <c r="D13994" s="3">
        <v>0.0</v>
      </c>
      <c r="E13994" s="3">
        <v>0.0</v>
      </c>
      <c r="F13994" s="3" t="s">
        <v>39750</v>
      </c>
      <c r="G13994" s="3">
        <v>0.55</v>
      </c>
      <c r="H13994" s="3">
        <v>0.35</v>
      </c>
      <c r="I13994" s="3" t="s">
        <v>48</v>
      </c>
      <c r="J13994" s="3" t="s">
        <v>39751</v>
      </c>
      <c r="K13994" s="3" t="s">
        <v>54</v>
      </c>
      <c r="L13994" s="3" t="str">
        <f>IFERROR(__xludf.DUMMYFUNCTION("GOOGLETRANSLATE(F13994,""id"",""en"")"),"GWEJH QOR YG FULL SHYTH ARGEN WIN")</f>
        <v>GWEJH QOR YG FULL SHYTH ARGEN WIN</v>
      </c>
    </row>
    <row r="13995" ht="15.75" customHeight="1">
      <c r="A13995" s="1">
        <v>15477.0</v>
      </c>
      <c r="B13995" s="3" t="s">
        <v>39752</v>
      </c>
      <c r="C13995" s="3">
        <v>0.0</v>
      </c>
      <c r="D13995" s="3">
        <v>1.0</v>
      </c>
      <c r="E13995" s="3">
        <v>0.0</v>
      </c>
      <c r="F13995" s="3" t="s">
        <v>39753</v>
      </c>
      <c r="G13995" s="3">
        <v>0.125</v>
      </c>
      <c r="H13995" s="3">
        <v>-0.025</v>
      </c>
      <c r="I13995" s="3" t="s">
        <v>179</v>
      </c>
      <c r="J13995" s="3" t="s">
        <v>39754</v>
      </c>
      <c r="K13995" s="3" t="s">
        <v>15</v>
      </c>
      <c r="L13995" s="3" t="str">
        <f>IFERROR(__xludf.DUMMYFUNCTION("GOOGLETRANSLATE(F13995,""id"",""en"")"),"The coach whose face is always flat when Argen wins underrateed coach")</f>
        <v>The coach whose face is always flat when Argen wins underrateed coach</v>
      </c>
    </row>
    <row r="13996" ht="15.75" customHeight="1">
      <c r="A13996" s="1">
        <v>15478.0</v>
      </c>
      <c r="B13996" s="3" t="s">
        <v>39755</v>
      </c>
      <c r="C13996" s="3">
        <v>0.0</v>
      </c>
      <c r="D13996" s="3">
        <v>0.0</v>
      </c>
      <c r="E13996" s="3">
        <v>0.0</v>
      </c>
      <c r="F13996" s="3" t="s">
        <v>39756</v>
      </c>
      <c r="G13996" s="3">
        <v>0.0</v>
      </c>
      <c r="H13996" s="3">
        <v>0.0</v>
      </c>
      <c r="I13996" s="3" t="s">
        <v>13</v>
      </c>
      <c r="J13996" s="3" t="s">
        <v>39757</v>
      </c>
      <c r="K13996" s="3" t="s">
        <v>644</v>
      </c>
      <c r="L13996" s="3" t="str">
        <f>IFERROR(__xludf.DUMMYFUNCTION("GOOGLETRANSLATE(F13996,""id"",""en"")"),"ALLAH ARGEN MOAL Wins")</f>
        <v>ALLAH ARGEN MOAL Wins</v>
      </c>
    </row>
    <row r="13997" ht="15.75" customHeight="1">
      <c r="A13997" s="1">
        <v>15479.0</v>
      </c>
      <c r="B13997" s="3" t="s">
        <v>39758</v>
      </c>
      <c r="C13997" s="3">
        <v>1.0</v>
      </c>
      <c r="D13997" s="3">
        <v>0.0</v>
      </c>
      <c r="E13997" s="3">
        <v>0.0</v>
      </c>
      <c r="F13997" s="3" t="s">
        <v>39759</v>
      </c>
      <c r="G13997" s="3">
        <v>0.0</v>
      </c>
      <c r="H13997" s="3">
        <v>0.0</v>
      </c>
      <c r="I13997" s="3" t="s">
        <v>13</v>
      </c>
      <c r="J13997" s="3" t="s">
        <v>39760</v>
      </c>
      <c r="K13997" s="3" t="s">
        <v>15</v>
      </c>
      <c r="L13997" s="3" t="str">
        <f>IFERROR(__xludf.DUMMYFUNCTION("GOOGLETRANSLATE(F13997,""id"",""en"")"),"I hold France even though I know AGGA will win wkwkw")</f>
        <v>I hold France even though I know AGGA will win wkwkw</v>
      </c>
    </row>
    <row r="13998" ht="15.75" customHeight="1">
      <c r="A13998" s="1">
        <v>15480.0</v>
      </c>
      <c r="B13998" s="3" t="s">
        <v>39761</v>
      </c>
      <c r="C13998" s="3">
        <v>3.0</v>
      </c>
      <c r="D13998" s="3">
        <v>0.0</v>
      </c>
      <c r="E13998" s="3">
        <v>1.0</v>
      </c>
      <c r="F13998" s="3" t="s">
        <v>39762</v>
      </c>
      <c r="G13998" s="3">
        <v>0.0</v>
      </c>
      <c r="H13998" s="3">
        <v>0.0</v>
      </c>
      <c r="I13998" s="3" t="s">
        <v>13</v>
      </c>
      <c r="J13998" s="3" t="s">
        <v>39763</v>
      </c>
      <c r="K13998" s="3" t="s">
        <v>1293</v>
      </c>
      <c r="L13998" s="3" t="str">
        <f>IFERROR(__xludf.DUMMYFUNCTION("GOOGLETRANSLATE(F13998,""id"",""en"")"),"Indonesian people just reuforiated a lot of Songong when Argen won when he was gabole photos even though the original Agen person")</f>
        <v>Indonesian people just reuforiated a lot of Songong when Argen won when he was gabole photos even though the original Agen person</v>
      </c>
    </row>
    <row r="13999" ht="15.75" customHeight="1">
      <c r="A13999" s="1">
        <v>15481.0</v>
      </c>
      <c r="B13999" s="3" t="s">
        <v>39764</v>
      </c>
      <c r="C13999" s="3">
        <v>0.0</v>
      </c>
      <c r="D13999" s="3">
        <v>0.0</v>
      </c>
      <c r="E13999" s="3">
        <v>0.0</v>
      </c>
      <c r="F13999" s="3" t="s">
        <v>39765</v>
      </c>
      <c r="G13999" s="3">
        <v>0.0</v>
      </c>
      <c r="H13999" s="3">
        <v>0.0</v>
      </c>
      <c r="I13999" s="3" t="s">
        <v>13</v>
      </c>
      <c r="J13999" s="3" t="s">
        <v>39766</v>
      </c>
      <c r="K13999" s="3" t="s">
        <v>644</v>
      </c>
      <c r="L13999" s="3" t="str">
        <f>IFERROR(__xludf.DUMMYFUNCTION("GOOGLETRANSLATE(F13999,""id"",""en"")"),"Yedam Pemyayang Agen Wins")</f>
        <v>Yedam Pemyayang Agen Wins</v>
      </c>
    </row>
    <row r="14000" ht="15.75" customHeight="1">
      <c r="A14000" s="1">
        <v>15482.0</v>
      </c>
      <c r="B14000" s="3" t="s">
        <v>39767</v>
      </c>
      <c r="C14000" s="3">
        <v>0.0</v>
      </c>
      <c r="D14000" s="3">
        <v>0.0</v>
      </c>
      <c r="E14000" s="3">
        <v>0.0</v>
      </c>
      <c r="F14000" s="3" t="s">
        <v>39768</v>
      </c>
      <c r="G14000" s="3">
        <v>0.4</v>
      </c>
      <c r="H14000" s="3">
        <v>0.2</v>
      </c>
      <c r="I14000" s="3" t="s">
        <v>48</v>
      </c>
      <c r="J14000" s="3" t="s">
        <v>39769</v>
      </c>
      <c r="K14000" s="3" t="s">
        <v>644</v>
      </c>
      <c r="L14000" s="3" t="str">
        <f>IFERROR(__xludf.DUMMYFUNCTION("GOOGLETRANSLATE(F14000,""id"",""en"")"),"hahaha Agen won Vishnu")</f>
        <v>hahaha Agen won Vishnu</v>
      </c>
    </row>
    <row r="14001" ht="15.75" customHeight="1">
      <c r="A14001" s="1">
        <v>15483.0</v>
      </c>
      <c r="B14001" s="3" t="s">
        <v>39770</v>
      </c>
      <c r="C14001" s="3">
        <v>0.0</v>
      </c>
      <c r="D14001" s="3">
        <v>0.0</v>
      </c>
      <c r="E14001" s="3">
        <v>0.0</v>
      </c>
      <c r="F14001" s="3" t="s">
        <v>39771</v>
      </c>
      <c r="G14001" s="3">
        <v>0.3333333333333333</v>
      </c>
      <c r="H14001" s="3">
        <v>0.1666666666666667</v>
      </c>
      <c r="I14001" s="3" t="s">
        <v>48</v>
      </c>
      <c r="J14001" s="3" t="s">
        <v>39772</v>
      </c>
      <c r="K14001" s="3" t="s">
        <v>127</v>
      </c>
      <c r="L14001" s="3" t="str">
        <f>IFERROR(__xludf.DUMMYFUNCTION("GOOGLETRANSLATE(F14001,""id"",""en"")"),"I miss Giroud and Theo play until after you can win the minute AGGAN using France can be pursued.")</f>
        <v>I miss Giroud and Theo play until after you can win the minute AGGAN using France can be pursued.</v>
      </c>
    </row>
    <row r="14002" ht="15.75" customHeight="1">
      <c r="A14002" s="1">
        <v>15484.0</v>
      </c>
      <c r="B14002" s="3" t="s">
        <v>39773</v>
      </c>
      <c r="C14002" s="3">
        <v>0.0</v>
      </c>
      <c r="D14002" s="3">
        <v>0.0</v>
      </c>
      <c r="E14002" s="3">
        <v>0.0</v>
      </c>
      <c r="F14002" s="3" t="s">
        <v>39774</v>
      </c>
      <c r="G14002" s="3">
        <v>0.0</v>
      </c>
      <c r="H14002" s="3">
        <v>0.0</v>
      </c>
      <c r="I14002" s="3" t="s">
        <v>13</v>
      </c>
      <c r="J14002" s="3" t="s">
        <v>39560</v>
      </c>
      <c r="K14002" s="3" t="s">
        <v>14571</v>
      </c>
      <c r="L14002" s="3" t="str">
        <f>IFERROR(__xludf.DUMMYFUNCTION("GOOGLETRANSLATE(F14002,""id"",""en"")"),"Argen won cuy")</f>
        <v>Argen won cuy</v>
      </c>
    </row>
    <row r="14003" ht="15.75" customHeight="1">
      <c r="A14003" s="1">
        <v>15485.0</v>
      </c>
      <c r="B14003" s="3" t="s">
        <v>39775</v>
      </c>
      <c r="C14003" s="3">
        <v>0.0</v>
      </c>
      <c r="D14003" s="3">
        <v>0.0</v>
      </c>
      <c r="E14003" s="3">
        <v>0.0</v>
      </c>
      <c r="F14003" s="3" t="s">
        <v>39776</v>
      </c>
      <c r="G14003" s="3">
        <v>0.0</v>
      </c>
      <c r="H14003" s="3">
        <v>0.0</v>
      </c>
      <c r="I14003" s="3" t="s">
        <v>13</v>
      </c>
      <c r="J14003" s="3" t="s">
        <v>39777</v>
      </c>
      <c r="K14003" s="3" t="s">
        <v>2117</v>
      </c>
      <c r="L14003" s="3" t="str">
        <f>IFERROR(__xludf.DUMMYFUNCTION("GOOGLETRANSLATE(F14003,""id"",""en"")"),"Because of winning Messi Agen")</f>
        <v>Because of winning Messi Agen</v>
      </c>
    </row>
    <row r="14004" ht="15.75" customHeight="1">
      <c r="A14004" s="1">
        <v>15486.0</v>
      </c>
      <c r="B14004" s="3" t="s">
        <v>39778</v>
      </c>
      <c r="C14004" s="3">
        <v>0.0</v>
      </c>
      <c r="D14004" s="3">
        <v>0.0</v>
      </c>
      <c r="E14004" s="3">
        <v>0.0</v>
      </c>
      <c r="F14004" s="3" t="s">
        <v>39779</v>
      </c>
      <c r="G14004" s="3">
        <v>0.0</v>
      </c>
      <c r="H14004" s="3">
        <v>0.0</v>
      </c>
      <c r="I14004" s="3" t="s">
        <v>13</v>
      </c>
      <c r="J14004" s="3" t="s">
        <v>39780</v>
      </c>
      <c r="K14004" s="3" t="s">
        <v>41</v>
      </c>
      <c r="L14004" s="3" t="str">
        <f>IFERROR(__xludf.DUMMYFUNCTION("GOOGLETRANSLATE(F14004,""id"",""en"")"),"It's okay France to lose to ARGEN, the important thing is later to win against Barca")</f>
        <v>It's okay France to lose to ARGEN, the important thing is later to win against Barca</v>
      </c>
    </row>
    <row r="14005" ht="15.75" customHeight="1">
      <c r="A14005" s="1">
        <v>15487.0</v>
      </c>
      <c r="B14005" s="3" t="s">
        <v>39781</v>
      </c>
      <c r="C14005" s="3">
        <v>1.0</v>
      </c>
      <c r="D14005" s="3">
        <v>0.0</v>
      </c>
      <c r="E14005" s="3">
        <v>0.0</v>
      </c>
      <c r="F14005" s="3" t="s">
        <v>39782</v>
      </c>
      <c r="G14005" s="3">
        <v>0.0</v>
      </c>
      <c r="H14005" s="3">
        <v>0.0</v>
      </c>
      <c r="I14005" s="3" t="s">
        <v>13</v>
      </c>
      <c r="J14005" s="3" t="s">
        <v>39709</v>
      </c>
      <c r="K14005" s="3" t="s">
        <v>2117</v>
      </c>
      <c r="L14005" s="3" t="str">
        <f>IFERROR(__xludf.DUMMYFUNCTION("GOOGLETRANSLATE(F14005,""id"",""en"")"),"But Alhamdulillah Agegen won")</f>
        <v>But Alhamdulillah Agegen won</v>
      </c>
    </row>
    <row r="14006" ht="15.75" customHeight="1">
      <c r="A14006" s="1">
        <v>15488.0</v>
      </c>
      <c r="B14006" s="3" t="s">
        <v>39783</v>
      </c>
      <c r="C14006" s="3">
        <v>0.0</v>
      </c>
      <c r="D14006" s="3">
        <v>0.0</v>
      </c>
      <c r="E14006" s="3">
        <v>0.0</v>
      </c>
      <c r="F14006" s="3" t="s">
        <v>39784</v>
      </c>
      <c r="G14006" s="3">
        <v>0.0</v>
      </c>
      <c r="H14006" s="3">
        <v>0.0</v>
      </c>
      <c r="I14006" s="3" t="s">
        <v>13</v>
      </c>
      <c r="J14006" s="3" t="s">
        <v>39785</v>
      </c>
      <c r="K14006" s="3" t="s">
        <v>54</v>
      </c>
      <c r="L14006" s="3" t="str">
        <f>IFERROR(__xludf.DUMMYFUNCTION("GOOGLETRANSLATE(F14006,""id"",""en"")"),"when after this is the news of AGGA winning pildun")</f>
        <v>when after this is the news of AGGA winning pildun</v>
      </c>
    </row>
    <row r="14007" ht="15.75" customHeight="1">
      <c r="A14007" s="1">
        <v>15489.0</v>
      </c>
      <c r="B14007" s="3" t="s">
        <v>39786</v>
      </c>
      <c r="C14007" s="3">
        <v>1.0</v>
      </c>
      <c r="D14007" s="3">
        <v>0.0</v>
      </c>
      <c r="E14007" s="3">
        <v>0.0</v>
      </c>
      <c r="F14007" s="3" t="s">
        <v>39787</v>
      </c>
      <c r="G14007" s="3">
        <v>0.0</v>
      </c>
      <c r="H14007" s="3">
        <v>0.0</v>
      </c>
      <c r="I14007" s="3" t="s">
        <v>13</v>
      </c>
      <c r="J14007" s="3" t="s">
        <v>39788</v>
      </c>
      <c r="K14007" s="3" t="s">
        <v>75</v>
      </c>
      <c r="L14007" s="3" t="str">
        <f>IFERROR(__xludf.DUMMYFUNCTION("GOOGLETRANSLATE(F14007,""id"",""en"")"),"we are manifest, hopefully AGGE wins after that it's asleep")</f>
        <v>we are manifest, hopefully AGGE wins after that it's asleep</v>
      </c>
    </row>
    <row r="14008" ht="15.75" customHeight="1">
      <c r="A14008" s="1">
        <v>15490.0</v>
      </c>
      <c r="B14008" s="3" t="s">
        <v>39789</v>
      </c>
      <c r="C14008" s="3">
        <v>0.0</v>
      </c>
      <c r="D14008" s="3">
        <v>0.0</v>
      </c>
      <c r="E14008" s="3">
        <v>0.0</v>
      </c>
      <c r="F14008" s="3" t="s">
        <v>39790</v>
      </c>
      <c r="G14008" s="3">
        <v>0.0</v>
      </c>
      <c r="H14008" s="3">
        <v>0.0</v>
      </c>
      <c r="I14008" s="3" t="s">
        <v>13</v>
      </c>
      <c r="J14008" s="3" t="s">
        <v>39791</v>
      </c>
      <c r="K14008" s="3" t="s">
        <v>682</v>
      </c>
      <c r="L14008" s="3" t="str">
        <f>IFERROR(__xludf.DUMMYFUNCTION("GOOGLETRANSLATE(F14008,""id"",""en"")"),"The keknya is true that Argentina wins from Pure France from the referee, always winning ARGEN from the violation in the head, it's clear that it is very easy to get a penalty while France is difficult")</f>
        <v>The keknya is true that Argentina wins from Pure France from the referee, always winning ARGEN from the violation in the head, it's clear that it is very easy to get a penalty while France is difficult</v>
      </c>
    </row>
    <row r="14009" ht="15.75" customHeight="1">
      <c r="A14009" s="1">
        <v>15491.0</v>
      </c>
      <c r="B14009" s="3" t="s">
        <v>39792</v>
      </c>
      <c r="C14009" s="3">
        <v>0.0</v>
      </c>
      <c r="D14009" s="3">
        <v>0.0</v>
      </c>
      <c r="E14009" s="3">
        <v>0.0</v>
      </c>
      <c r="F14009" s="3" t="s">
        <v>39793</v>
      </c>
      <c r="G14009" s="3">
        <v>0.0</v>
      </c>
      <c r="H14009" s="3">
        <v>0.0</v>
      </c>
      <c r="I14009" s="3" t="s">
        <v>13</v>
      </c>
      <c r="J14009" s="3" t="s">
        <v>39794</v>
      </c>
      <c r="K14009" s="3" t="s">
        <v>75</v>
      </c>
      <c r="L14009" s="3" t="str">
        <f>IFERROR(__xludf.DUMMYFUNCTION("GOOGLETRANSLATE(F14009,""id"",""en"")"),"I'm happy to win even though before it was time to get tanned mbappe")</f>
        <v>I'm happy to win even though before it was time to get tanned mbappe</v>
      </c>
    </row>
    <row r="14010" ht="15.75" customHeight="1">
      <c r="A14010" s="1">
        <v>15492.0</v>
      </c>
      <c r="B14010" s="3" t="s">
        <v>39795</v>
      </c>
      <c r="C14010" s="3">
        <v>0.0</v>
      </c>
      <c r="D14010" s="3">
        <v>0.0</v>
      </c>
      <c r="E14010" s="3">
        <v>0.0</v>
      </c>
      <c r="F14010" s="3" t="s">
        <v>39796</v>
      </c>
      <c r="G14010" s="3">
        <v>0.0</v>
      </c>
      <c r="H14010" s="3">
        <v>0.0</v>
      </c>
      <c r="I14010" s="3" t="s">
        <v>13</v>
      </c>
      <c r="J14010" s="3" t="s">
        <v>39797</v>
      </c>
      <c r="K14010" s="3" t="s">
        <v>90</v>
      </c>
      <c r="L14010" s="3" t="str">
        <f>IFERROR(__xludf.DUMMYFUNCTION("GOOGLETRANSLATE(F14010,""id"",""en"")"),"Yes, you can go home, you can't force the situation too much, but if it's already fanatical, the AGGA national team will win, you will definitely cover the inflation news.")</f>
        <v>Yes, you can go home, you can't force the situation too much, but if it's already fanatical, the AGGA national team will win, you will definitely cover the inflation news.</v>
      </c>
    </row>
    <row r="14011" ht="15.75" customHeight="1">
      <c r="A14011" s="1">
        <v>15493.0</v>
      </c>
      <c r="B14011" s="3" t="s">
        <v>39798</v>
      </c>
      <c r="C14011" s="3">
        <v>1.0</v>
      </c>
      <c r="D14011" s="3">
        <v>0.0</v>
      </c>
      <c r="E14011" s="3">
        <v>5.0</v>
      </c>
      <c r="F14011" s="3" t="s">
        <v>39799</v>
      </c>
      <c r="G14011" s="3">
        <v>0.55</v>
      </c>
      <c r="H14011" s="3">
        <v>0.2166666666666666</v>
      </c>
      <c r="I14011" s="3" t="s">
        <v>48</v>
      </c>
      <c r="J14011" s="3" t="s">
        <v>39800</v>
      </c>
      <c r="K14011" s="3" t="s">
        <v>50</v>
      </c>
      <c r="L14011" s="3" t="str">
        <f>IFERROR(__xludf.DUMMYFUNCTION("GOOGLETRANSLATE(F14011,""id"",""en"")"),"Tome already smile dik thanks to argen won the final wallet full smile")</f>
        <v>Tome already smile dik thanks to argen won the final wallet full smile</v>
      </c>
    </row>
    <row r="14012" ht="15.75" customHeight="1">
      <c r="A14012" s="1">
        <v>15494.0</v>
      </c>
      <c r="B14012" s="3" t="s">
        <v>39801</v>
      </c>
      <c r="C14012" s="3">
        <v>0.0</v>
      </c>
      <c r="D14012" s="3">
        <v>0.0</v>
      </c>
      <c r="E14012" s="3">
        <v>0.0</v>
      </c>
      <c r="F14012" s="3" t="s">
        <v>39802</v>
      </c>
      <c r="G14012" s="3">
        <v>0.0</v>
      </c>
      <c r="H14012" s="3">
        <v>0.0</v>
      </c>
      <c r="I14012" s="3" t="s">
        <v>13</v>
      </c>
      <c r="J14012" s="3" t="s">
        <v>39803</v>
      </c>
      <c r="K14012" s="3" t="s">
        <v>3497</v>
      </c>
      <c r="L14012" s="3" t="str">
        <f>IFERROR(__xludf.DUMMYFUNCTION("GOOGLETRANSLATE(F14012,""id"",""en"")"),"Winning like Argen, about")</f>
        <v>Winning like Argen, about</v>
      </c>
    </row>
    <row r="14013" ht="15.75" customHeight="1">
      <c r="A14013" s="1">
        <v>15495.0</v>
      </c>
      <c r="B14013" s="3" t="s">
        <v>39804</v>
      </c>
      <c r="C14013" s="3">
        <v>0.0</v>
      </c>
      <c r="D14013" s="3">
        <v>0.0</v>
      </c>
      <c r="E14013" s="3">
        <v>0.0</v>
      </c>
      <c r="F14013" s="3" t="s">
        <v>39805</v>
      </c>
      <c r="G14013" s="3">
        <v>0.0</v>
      </c>
      <c r="H14013" s="3">
        <v>0.0</v>
      </c>
      <c r="I14013" s="3" t="s">
        <v>13</v>
      </c>
      <c r="J14013" s="3" t="s">
        <v>39806</v>
      </c>
      <c r="K14013" s="3" t="s">
        <v>358</v>
      </c>
      <c r="L14013" s="3" t="str">
        <f>IFERROR(__xludf.DUMMYFUNCTION("GOOGLETRANSLATE(F14013,""id"",""en"")"),"High School Rungkad Lah minute ending the Klopun Psang Bola Jalan Wktu series except the Psang Outright ARGEN just won")</f>
        <v>High School Rungkad Lah minute ending the Klopun Psang Bola Jalan Wktu series except the Psang Outright ARGEN just won</v>
      </c>
    </row>
    <row r="14014" ht="15.75" customHeight="1">
      <c r="A14014" s="1">
        <v>15496.0</v>
      </c>
      <c r="B14014" s="3" t="s">
        <v>39807</v>
      </c>
      <c r="C14014" s="3">
        <v>1.0</v>
      </c>
      <c r="D14014" s="3">
        <v>0.0</v>
      </c>
      <c r="E14014" s="3">
        <v>0.0</v>
      </c>
      <c r="F14014" s="3" t="s">
        <v>39808</v>
      </c>
      <c r="G14014" s="3">
        <v>0.0</v>
      </c>
      <c r="H14014" s="3">
        <v>0.0</v>
      </c>
      <c r="I14014" s="3" t="s">
        <v>13</v>
      </c>
      <c r="J14014" s="3" t="s">
        <v>39809</v>
      </c>
      <c r="K14014" s="3" t="s">
        <v>15</v>
      </c>
      <c r="L14014" s="3" t="str">
        <f>IFERROR(__xludf.DUMMYFUNCTION("GOOGLETRANSLATE(F14014,""id"",""en"")"),"ASLINAA KUN TENGIL SEVEL")</f>
        <v>ASLINAA KUN TENGIL SEVEL</v>
      </c>
    </row>
    <row r="14015" ht="15.75" customHeight="1">
      <c r="A14015" s="1">
        <v>15497.0</v>
      </c>
      <c r="B14015" s="3" t="s">
        <v>39810</v>
      </c>
      <c r="C14015" s="3">
        <v>0.0</v>
      </c>
      <c r="D14015" s="3">
        <v>0.0</v>
      </c>
      <c r="E14015" s="3">
        <v>0.0</v>
      </c>
      <c r="F14015" s="3" t="s">
        <v>39811</v>
      </c>
      <c r="G14015" s="3">
        <v>0.55</v>
      </c>
      <c r="H14015" s="3">
        <v>0.35</v>
      </c>
      <c r="I14015" s="3" t="s">
        <v>48</v>
      </c>
      <c r="J14015" s="3" t="s">
        <v>39812</v>
      </c>
      <c r="K14015" s="3" t="s">
        <v>75</v>
      </c>
      <c r="L14015" s="3" t="str">
        <f>IFERROR(__xludf.DUMMYFUNCTION("GOOGLETRANSLATE(F14015,""id"",""en"")"),"Amico if you win loses if you guess the champion who holds Agegen full smile")</f>
        <v>Amico if you win loses if you guess the champion who holds Agegen full smile</v>
      </c>
    </row>
    <row r="14016" ht="15.75" customHeight="1">
      <c r="A14016" s="1">
        <v>15498.0</v>
      </c>
      <c r="B14016" s="3" t="s">
        <v>39813</v>
      </c>
      <c r="C14016" s="3">
        <v>1.0</v>
      </c>
      <c r="D14016" s="3">
        <v>0.0</v>
      </c>
      <c r="E14016" s="3">
        <v>0.0</v>
      </c>
      <c r="F14016" s="3" t="s">
        <v>39814</v>
      </c>
      <c r="G14016" s="3">
        <v>0.0</v>
      </c>
      <c r="H14016" s="3">
        <v>0.0</v>
      </c>
      <c r="I14016" s="3" t="s">
        <v>13</v>
      </c>
      <c r="J14016" s="3" t="s">
        <v>39815</v>
      </c>
      <c r="K14016" s="3" t="s">
        <v>41</v>
      </c>
      <c r="L14016" s="3" t="str">
        <f>IFERROR(__xludf.DUMMYFUNCTION("GOOGLETRANSLATE(F14016,""id"",""en"")"),"dream you give karma money to win argen wkwkwk hilarious")</f>
        <v>dream you give karma money to win argen wkwkwk hilarious</v>
      </c>
    </row>
    <row r="14017" ht="15.75" customHeight="1">
      <c r="A14017" s="1">
        <v>15499.0</v>
      </c>
      <c r="B14017" s="3" t="s">
        <v>39816</v>
      </c>
      <c r="C14017" s="3">
        <v>0.0</v>
      </c>
      <c r="D14017" s="3">
        <v>0.0</v>
      </c>
      <c r="E14017" s="3">
        <v>0.0</v>
      </c>
      <c r="F14017" s="3" t="s">
        <v>39816</v>
      </c>
      <c r="G14017" s="3">
        <v>0.0</v>
      </c>
      <c r="H14017" s="3">
        <v>0.0</v>
      </c>
      <c r="I14017" s="3" t="s">
        <v>13</v>
      </c>
      <c r="J14017" s="3" t="s">
        <v>39817</v>
      </c>
      <c r="K14017" s="3" t="s">
        <v>14571</v>
      </c>
      <c r="L14017" s="3" t="str">
        <f>IFERROR(__xludf.DUMMYFUNCTION("GOOGLETRANSLATE(F14017,""id"",""en"")"),"win argen anyway")</f>
        <v>win argen anyway</v>
      </c>
    </row>
    <row r="14018" ht="15.75" customHeight="1">
      <c r="A14018" s="1">
        <v>15500.0</v>
      </c>
      <c r="B14018" s="3" t="s">
        <v>39818</v>
      </c>
      <c r="C14018" s="3">
        <v>0.0</v>
      </c>
      <c r="D14018" s="3">
        <v>0.0</v>
      </c>
      <c r="E14018" s="3">
        <v>0.0</v>
      </c>
      <c r="F14018" s="3" t="s">
        <v>39819</v>
      </c>
      <c r="G14018" s="3">
        <v>0.0</v>
      </c>
      <c r="H14018" s="3">
        <v>0.0</v>
      </c>
      <c r="I14018" s="3" t="s">
        <v>13</v>
      </c>
      <c r="J14018" s="3" t="s">
        <v>39820</v>
      </c>
      <c r="K14018" s="3" t="s">
        <v>75</v>
      </c>
      <c r="L14018" s="3" t="str">
        <f>IFERROR(__xludf.DUMMYFUNCTION("GOOGLETRANSLATE(F14018,""id"",""en"")"),"wkwkwkwk hilariously want France or Agegen to win what")</f>
        <v>wkwkwkwk hilariously want France or Agegen to win what</v>
      </c>
    </row>
    <row r="14019" ht="15.75" customHeight="1">
      <c r="A14019" s="1">
        <v>15501.0</v>
      </c>
      <c r="B14019" s="3" t="s">
        <v>39821</v>
      </c>
      <c r="C14019" s="3">
        <v>0.0</v>
      </c>
      <c r="D14019" s="3">
        <v>0.0</v>
      </c>
      <c r="E14019" s="3">
        <v>1.0</v>
      </c>
      <c r="F14019" s="3" t="s">
        <v>39822</v>
      </c>
      <c r="G14019" s="3">
        <v>0.0</v>
      </c>
      <c r="H14019" s="3">
        <v>0.0</v>
      </c>
      <c r="I14019" s="3" t="s">
        <v>13</v>
      </c>
      <c r="J14019" s="3" t="s">
        <v>39823</v>
      </c>
      <c r="K14019" s="3" t="s">
        <v>2454</v>
      </c>
      <c r="L14019" s="3" t="str">
        <f>IFERROR(__xludf.DUMMYFUNCTION("GOOGLETRANSLATE(F14019,""id"",""en"")"),"From the heroes, the cage can not give the country of the hero of Chile Prank retirement of failed penalty all on the teasing when Messi fails to continue to carry Agen champion and finally can silence haters in an elegant way of winning the Copa America "&amp;"Finallisima and")</f>
        <v>From the heroes, the cage can not give the country of the hero of Chile Prank retirement of failed penalty all on the teasing when Messi fails to continue to carry Agen champion and finally can silence haters in an elegant way of winning the Copa America Finallisima and</v>
      </c>
    </row>
    <row r="14020" ht="15.75" customHeight="1">
      <c r="A14020" s="1">
        <v>15502.0</v>
      </c>
      <c r="B14020" s="3" t="s">
        <v>39824</v>
      </c>
      <c r="C14020" s="3">
        <v>1.0</v>
      </c>
      <c r="D14020" s="3">
        <v>0.0</v>
      </c>
      <c r="E14020" s="3">
        <v>0.0</v>
      </c>
      <c r="F14020" s="3" t="s">
        <v>39825</v>
      </c>
      <c r="G14020" s="3">
        <v>0.0</v>
      </c>
      <c r="H14020" s="3">
        <v>0.0</v>
      </c>
      <c r="I14020" s="3" t="s">
        <v>13</v>
      </c>
      <c r="J14020" s="3" t="s">
        <v>39826</v>
      </c>
      <c r="K14020" s="3" t="s">
        <v>1854</v>
      </c>
      <c r="L14020" s="3" t="str">
        <f>IFERROR(__xludf.DUMMYFUNCTION("GOOGLETRANSLATE(F14020,""id"",""en"")"),"In the first time I thought that ARGEN's game dominated by seeing Maria's starter at the beginning of my friend's goal on the time I said winning the nobar people around me too, I don't know why I just like that, this is France")</f>
        <v>In the first time I thought that ARGEN's game dominated by seeing Maria's starter at the beginning of my friend's goal on the time I said winning the nobar people around me too, I don't know why I just like that, this is France</v>
      </c>
    </row>
    <row r="14021" ht="15.75" customHeight="1">
      <c r="A14021" s="1">
        <v>15503.0</v>
      </c>
      <c r="B14021" s="3" t="s">
        <v>39827</v>
      </c>
      <c r="C14021" s="3">
        <v>1.0</v>
      </c>
      <c r="D14021" s="3">
        <v>0.0</v>
      </c>
      <c r="E14021" s="3">
        <v>0.0</v>
      </c>
      <c r="F14021" s="3" t="s">
        <v>39828</v>
      </c>
      <c r="G14021" s="3">
        <v>0.0</v>
      </c>
      <c r="H14021" s="3">
        <v>0.0</v>
      </c>
      <c r="I14021" s="3" t="s">
        <v>13</v>
      </c>
      <c r="J14021" s="3" t="s">
        <v>39829</v>
      </c>
      <c r="K14021" s="3" t="s">
        <v>1628</v>
      </c>
      <c r="L14021" s="3" t="str">
        <f>IFERROR(__xludf.DUMMYFUNCTION("GOOGLETRANSLATE(F14021,""id"",""en"")"),"The semifinals against Croatia I fell asleep even though I haven't been alarm, I am so confident that AGGA wins because Croatia is a bit lacking this year and finally wins")</f>
        <v>The semifinals against Croatia I fell asleep even though I haven't been alarm, I am so confident that AGGA wins because Croatia is a bit lacking this year and finally wins</v>
      </c>
    </row>
    <row r="14022" ht="15.75" customHeight="1">
      <c r="A14022" s="1">
        <v>15504.0</v>
      </c>
      <c r="B14022" s="3" t="s">
        <v>39830</v>
      </c>
      <c r="C14022" s="3">
        <v>1.0</v>
      </c>
      <c r="D14022" s="3">
        <v>0.0</v>
      </c>
      <c r="E14022" s="3">
        <v>0.0</v>
      </c>
      <c r="F14022" s="3" t="s">
        <v>39831</v>
      </c>
      <c r="G14022" s="3">
        <v>0.0</v>
      </c>
      <c r="H14022" s="3">
        <v>0.0</v>
      </c>
      <c r="I14022" s="3" t="s">
        <v>13</v>
      </c>
      <c r="J14022" s="3" t="s">
        <v>39832</v>
      </c>
      <c r="K14022" s="3" t="s">
        <v>1699</v>
      </c>
      <c r="L14022" s="3" t="str">
        <f>IFERROR(__xludf.DUMMYFUNCTION("GOOGLETRANSLATE(F14022,""id"",""en"")"),"I just slept, I just thought that he thought, I woke up to check the penalties from there, I was so confident")</f>
        <v>I just slept, I just thought that he thought, I woke up to check the penalties from there, I was so confident</v>
      </c>
    </row>
    <row r="14023" ht="15.75" customHeight="1">
      <c r="A14023" s="1">
        <v>15505.0</v>
      </c>
      <c r="B14023" s="3" t="s">
        <v>39833</v>
      </c>
      <c r="C14023" s="3">
        <v>1.0</v>
      </c>
      <c r="D14023" s="3">
        <v>1.0</v>
      </c>
      <c r="E14023" s="3">
        <v>0.0</v>
      </c>
      <c r="F14023" s="3" t="s">
        <v>39834</v>
      </c>
      <c r="G14023" s="3">
        <v>0.3333333333333333</v>
      </c>
      <c r="H14023" s="3">
        <v>0.1666666666666667</v>
      </c>
      <c r="I14023" s="3" t="s">
        <v>48</v>
      </c>
      <c r="J14023" s="3" t="s">
        <v>39835</v>
      </c>
      <c r="K14023" s="3" t="s">
        <v>3721</v>
      </c>
      <c r="L14023" s="3" t="str">
        <f>IFERROR(__xludf.DUMMYFUNCTION("GOOGLETRANSLATE(F14023,""id"",""en"")"),"Emg is very dramatic, the Dutch Argentina plus before the Dutch coach there is a comment to make the heat of ARGEN players a lot of noisy when playing kek tarkam njir until the yellow card is worth the winning")</f>
        <v>Emg is very dramatic, the Dutch Argentina plus before the Dutch coach there is a comment to make the heat of ARGEN players a lot of noisy when playing kek tarkam njir until the yellow card is worth the winning</v>
      </c>
    </row>
    <row r="14024" ht="15.75" customHeight="1">
      <c r="A14024" s="1">
        <v>15506.0</v>
      </c>
      <c r="B14024" s="3" t="s">
        <v>39836</v>
      </c>
      <c r="C14024" s="3">
        <v>1.0</v>
      </c>
      <c r="D14024" s="3">
        <v>0.0</v>
      </c>
      <c r="E14024" s="3">
        <v>0.0</v>
      </c>
      <c r="F14024" s="3" t="s">
        <v>39837</v>
      </c>
      <c r="G14024" s="3">
        <v>0.5</v>
      </c>
      <c r="H14024" s="3">
        <v>0.1363636363636364</v>
      </c>
      <c r="I14024" s="3" t="s">
        <v>48</v>
      </c>
      <c r="J14024" s="3" t="s">
        <v>39838</v>
      </c>
      <c r="K14024" s="3" t="s">
        <v>9733</v>
      </c>
      <c r="L14024" s="3" t="str">
        <f>IFERROR(__xludf.DUMMYFUNCTION("GOOGLETRANSLATE(F14024,""id"",""en"")"),"When I was added, my time, bro, I watched, I didn't watch my own heart, I finally preferred to sleep so that if I woke up, I would lose to lower than watching live sleep, so I thought of waking up, I woke up to win whether to win whether he was lost")</f>
        <v>When I was added, my time, bro, I watched, I didn't watch my own heart, I finally preferred to sleep so that if I woke up, I would lose to lower than watching live sleep, so I thought of waking up, I woke up to win whether to win whether he was lost</v>
      </c>
    </row>
    <row r="14025" ht="15.75" customHeight="1">
      <c r="A14025" s="1">
        <v>15507.0</v>
      </c>
      <c r="B14025" s="3" t="s">
        <v>39839</v>
      </c>
      <c r="C14025" s="3">
        <v>1.0</v>
      </c>
      <c r="D14025" s="3">
        <v>0.0</v>
      </c>
      <c r="E14025" s="3">
        <v>0.0</v>
      </c>
      <c r="F14025" s="3" t="s">
        <v>39840</v>
      </c>
      <c r="G14025" s="3">
        <v>0.8</v>
      </c>
      <c r="H14025" s="3">
        <v>-0.3</v>
      </c>
      <c r="I14025" s="3" t="s">
        <v>179</v>
      </c>
      <c r="J14025" s="3" t="s">
        <v>39841</v>
      </c>
      <c r="K14025" s="3" t="s">
        <v>127</v>
      </c>
      <c r="L14025" s="3" t="str">
        <f>IFERROR(__xludf.DUMMYFUNCTION("GOOGLETRANSLATE(F14025,""id"",""en"")"),"aaaaaaaakkk, you can imagine that if it isn't Agen, you can get back in the back of the nopung supporter and some them fanatic is scary")</f>
        <v>aaaaaaaakkk, you can imagine that if it isn't Agen, you can get back in the back of the nopung supporter and some them fanatic is scary</v>
      </c>
    </row>
    <row r="14026" ht="15.75" customHeight="1">
      <c r="A14026" s="1">
        <v>15508.0</v>
      </c>
      <c r="B14026" s="3" t="s">
        <v>39842</v>
      </c>
      <c r="C14026" s="3">
        <v>0.0</v>
      </c>
      <c r="D14026" s="3">
        <v>0.0</v>
      </c>
      <c r="E14026" s="3">
        <v>0.0</v>
      </c>
      <c r="F14026" s="3" t="s">
        <v>39843</v>
      </c>
      <c r="G14026" s="3">
        <v>0.0</v>
      </c>
      <c r="H14026" s="3">
        <v>0.0</v>
      </c>
      <c r="I14026" s="3" t="s">
        <v>13</v>
      </c>
      <c r="J14026" s="3" t="s">
        <v>39844</v>
      </c>
      <c r="K14026" s="3" t="s">
        <v>31</v>
      </c>
      <c r="L14026" s="3" t="str">
        <f>IFERROR(__xludf.DUMMYFUNCTION("GOOGLETRANSLATE(F14026,""id"",""en"")"),"Ahem Agen won the poke awaited")</f>
        <v>Ahem Agen won the poke awaited</v>
      </c>
    </row>
    <row r="14027" ht="15.75" customHeight="1">
      <c r="A14027" s="1">
        <v>15509.0</v>
      </c>
      <c r="B14027" s="3" t="s">
        <v>39845</v>
      </c>
      <c r="C14027" s="3">
        <v>1.0</v>
      </c>
      <c r="D14027" s="3">
        <v>0.0</v>
      </c>
      <c r="E14027" s="3">
        <v>0.0</v>
      </c>
      <c r="F14027" s="3" t="s">
        <v>39846</v>
      </c>
      <c r="G14027" s="3">
        <v>0.0</v>
      </c>
      <c r="H14027" s="3">
        <v>0.0</v>
      </c>
      <c r="I14027" s="3" t="s">
        <v>13</v>
      </c>
      <c r="J14027" s="3" t="s">
        <v>39847</v>
      </c>
      <c r="K14027" s="3" t="s">
        <v>244</v>
      </c>
      <c r="L14027" s="3" t="str">
        <f>IFERROR(__xludf.DUMMYFUNCTION("GOOGLETRANSLATE(F14027,""id"",""en"")"),"FYI I am not a Messi fan I am happy to win Yuhuu Jackpot")</f>
        <v>FYI I am not a Messi fan I am happy to win Yuhuu Jackpot</v>
      </c>
    </row>
    <row r="14028" ht="15.75" customHeight="1">
      <c r="A14028" s="1">
        <v>15510.0</v>
      </c>
      <c r="B14028" s="3" t="s">
        <v>39848</v>
      </c>
      <c r="C14028" s="3">
        <v>63.0</v>
      </c>
      <c r="D14028" s="3">
        <v>151.0</v>
      </c>
      <c r="E14028" s="3">
        <v>150.0</v>
      </c>
      <c r="F14028" s="3" t="s">
        <v>39849</v>
      </c>
      <c r="G14028" s="3">
        <v>1.0</v>
      </c>
      <c r="H14028" s="3">
        <v>0.0</v>
      </c>
      <c r="I14028" s="3" t="s">
        <v>13</v>
      </c>
      <c r="J14028" s="3" t="s">
        <v>39850</v>
      </c>
      <c r="K14028" s="3" t="s">
        <v>273</v>
      </c>
      <c r="L14028" s="3" t="str">
        <f>IFERROR(__xludf.DUMMYFUNCTION("GOOGLETRANSLATE(F14028,""id"",""en"")"),"Giveaway Help Retweet Everyone because Agen wins I want this Poca giveaway Jaehyun universe haechan glimo seungmin oddinary conditions only like retweet and perhaps moots sbt acc only I am responsible")</f>
        <v>Giveaway Help Retweet Everyone because Agen wins I want this Poca giveaway Jaehyun universe haechan glimo seungmin oddinary conditions only like retweet and perhaps moots sbt acc only I am responsible</v>
      </c>
    </row>
    <row r="14029" ht="15.75" customHeight="1">
      <c r="A14029" s="1">
        <v>15511.0</v>
      </c>
      <c r="B14029" s="3" t="s">
        <v>39851</v>
      </c>
      <c r="C14029" s="3">
        <v>0.0</v>
      </c>
      <c r="D14029" s="3">
        <v>0.0</v>
      </c>
      <c r="E14029" s="3">
        <v>0.0</v>
      </c>
      <c r="F14029" s="3" t="s">
        <v>39852</v>
      </c>
      <c r="G14029" s="3">
        <v>0.0</v>
      </c>
      <c r="H14029" s="3">
        <v>0.0</v>
      </c>
      <c r="I14029" s="3" t="s">
        <v>13</v>
      </c>
      <c r="J14029" s="3" t="s">
        <v>39853</v>
      </c>
      <c r="K14029" s="3" t="s">
        <v>2117</v>
      </c>
      <c r="L14029" s="3" t="str">
        <f>IFERROR(__xludf.DUMMYFUNCTION("GOOGLETRANSLATE(F14029,""id"",""en"")"),"Still Receiving Agen Winning")</f>
        <v>Still Receiving Agen Winning</v>
      </c>
    </row>
    <row r="14030" ht="15.75" customHeight="1">
      <c r="A14030" s="1">
        <v>15512.0</v>
      </c>
      <c r="B14030" s="3" t="s">
        <v>39854</v>
      </c>
      <c r="C14030" s="3">
        <v>0.0</v>
      </c>
      <c r="D14030" s="3">
        <v>0.0</v>
      </c>
      <c r="E14030" s="3">
        <v>0.0</v>
      </c>
      <c r="F14030" s="3" t="s">
        <v>39855</v>
      </c>
      <c r="G14030" s="3">
        <v>0.0</v>
      </c>
      <c r="H14030" s="3">
        <v>0.0</v>
      </c>
      <c r="I14030" s="3" t="s">
        <v>13</v>
      </c>
      <c r="J14030" s="3" t="s">
        <v>39856</v>
      </c>
      <c r="K14030" s="3" t="s">
        <v>50</v>
      </c>
      <c r="L14030" s="3" t="str">
        <f>IFERROR(__xludf.DUMMYFUNCTION("GOOGLETRANSLATE(F14030,""id"",""en"")"),"if this is the way to be willing to Anying Argen, winning the bastard of the Minister of Sports")</f>
        <v>if this is the way to be willing to Anying Argen, winning the bastard of the Minister of Sports</v>
      </c>
    </row>
    <row r="14031" ht="15.75" customHeight="1">
      <c r="A14031" s="1">
        <v>15513.0</v>
      </c>
      <c r="B14031" s="3" t="s">
        <v>39857</v>
      </c>
      <c r="C14031" s="3">
        <v>1.0</v>
      </c>
      <c r="D14031" s="3">
        <v>0.0</v>
      </c>
      <c r="E14031" s="3">
        <v>0.0</v>
      </c>
      <c r="F14031" s="3" t="s">
        <v>39858</v>
      </c>
      <c r="G14031" s="3">
        <v>0.0</v>
      </c>
      <c r="H14031" s="3">
        <v>0.0</v>
      </c>
      <c r="I14031" s="3" t="s">
        <v>13</v>
      </c>
      <c r="J14031" s="3" t="s">
        <v>39859</v>
      </c>
      <c r="K14031" s="3" t="s">
        <v>31</v>
      </c>
      <c r="L14031" s="3" t="str">
        <f>IFERROR(__xludf.DUMMYFUNCTION("GOOGLETRANSLATE(F14031,""id"",""en"")"),"win bege doi ngebid ARGEN")</f>
        <v>win bege doi ngebid ARGEN</v>
      </c>
    </row>
    <row r="14032" ht="15.75" customHeight="1">
      <c r="A14032" s="1">
        <v>15514.0</v>
      </c>
      <c r="B14032" s="3" t="s">
        <v>39860</v>
      </c>
      <c r="C14032" s="3">
        <v>0.0</v>
      </c>
      <c r="D14032" s="3">
        <v>0.0</v>
      </c>
      <c r="E14032" s="3">
        <v>0.0</v>
      </c>
      <c r="F14032" s="3" t="s">
        <v>39861</v>
      </c>
      <c r="G14032" s="3">
        <v>0.0</v>
      </c>
      <c r="H14032" s="3">
        <v>0.0</v>
      </c>
      <c r="I14032" s="3" t="s">
        <v>13</v>
      </c>
      <c r="J14032" s="3" t="s">
        <v>39862</v>
      </c>
      <c r="K14032" s="3" t="s">
        <v>1335</v>
      </c>
      <c r="L14032" s="3" t="str">
        <f>IFERROR(__xludf.DUMMYFUNCTION("GOOGLETRANSLATE(F14032,""id"",""en"")"),"Because I was satisfied with winning if the winning France won the most also nganggengong")</f>
        <v>Because I was satisfied with winning if the winning France won the most also nganggengong</v>
      </c>
    </row>
    <row r="14033" ht="15.75" customHeight="1">
      <c r="A14033" s="1">
        <v>15515.0</v>
      </c>
      <c r="B14033" s="3" t="s">
        <v>39863</v>
      </c>
      <c r="C14033" s="3">
        <v>0.0</v>
      </c>
      <c r="D14033" s="3">
        <v>0.0</v>
      </c>
      <c r="E14033" s="3">
        <v>0.0</v>
      </c>
      <c r="F14033" s="3" t="s">
        <v>39864</v>
      </c>
      <c r="G14033" s="3">
        <v>0.0</v>
      </c>
      <c r="H14033" s="3">
        <v>0.0</v>
      </c>
      <c r="I14033" s="3" t="s">
        <v>13</v>
      </c>
      <c r="J14033" s="3" t="s">
        <v>39865</v>
      </c>
      <c r="K14033" s="3" t="s">
        <v>131</v>
      </c>
      <c r="L14033" s="3" t="str">
        <f>IFERROR(__xludf.DUMMYFUNCTION("GOOGLETRANSLATE(F14033,""id"",""en"")"),"I qor bodoamat and argen's pildun won French loses my intention is the same as my life like this, there is a different difference")</f>
        <v>I qor bodoamat and argen's pildun won French loses my intention is the same as my life like this, there is a different difference</v>
      </c>
    </row>
    <row r="14034" ht="15.75" customHeight="1">
      <c r="A14034" s="1">
        <v>15516.0</v>
      </c>
      <c r="B14034" s="3" t="s">
        <v>39866</v>
      </c>
      <c r="C14034" s="3">
        <v>0.0</v>
      </c>
      <c r="D14034" s="3">
        <v>0.0</v>
      </c>
      <c r="E14034" s="3">
        <v>0.0</v>
      </c>
      <c r="F14034" s="3" t="s">
        <v>39867</v>
      </c>
      <c r="G14034" s="3">
        <v>0.0</v>
      </c>
      <c r="H14034" s="3">
        <v>0.0</v>
      </c>
      <c r="I14034" s="3" t="s">
        <v>13</v>
      </c>
      <c r="J14034" s="3" t="s">
        <v>39868</v>
      </c>
      <c r="K14034" s="3" t="s">
        <v>2117</v>
      </c>
      <c r="L14034" s="3" t="str">
        <f>IFERROR(__xludf.DUMMYFUNCTION("GOOGLETRANSLATE(F14034,""id"",""en"")"),"Cieee Agen won")</f>
        <v>Cieee Agen won</v>
      </c>
    </row>
    <row r="14035" ht="15.75" customHeight="1">
      <c r="A14035" s="1">
        <v>15517.0</v>
      </c>
      <c r="B14035" s="3" t="s">
        <v>39869</v>
      </c>
      <c r="C14035" s="3">
        <v>0.0</v>
      </c>
      <c r="D14035" s="3">
        <v>0.0</v>
      </c>
      <c r="E14035" s="3">
        <v>0.0</v>
      </c>
      <c r="F14035" s="3" t="s">
        <v>39870</v>
      </c>
      <c r="G14035" s="3">
        <v>0.0</v>
      </c>
      <c r="H14035" s="3">
        <v>0.0</v>
      </c>
      <c r="I14035" s="3" t="s">
        <v>13</v>
      </c>
      <c r="J14035" s="3" t="s">
        <v>39871</v>
      </c>
      <c r="K14035" s="3" t="s">
        <v>54</v>
      </c>
      <c r="L14035" s="3" t="str">
        <f>IFERROR(__xludf.DUMMYFUNCTION("GOOGLETRANSLATE(F14035,""id"",""en"")"),"if I win, I will get a million peb wkwk")</f>
        <v>if I win, I will get a million peb wkwk</v>
      </c>
    </row>
    <row r="14036" ht="15.75" customHeight="1">
      <c r="A14036" s="1">
        <v>15518.0</v>
      </c>
      <c r="B14036" s="3" t="s">
        <v>39872</v>
      </c>
      <c r="C14036" s="3">
        <v>1.0</v>
      </c>
      <c r="D14036" s="3">
        <v>0.0</v>
      </c>
      <c r="E14036" s="3">
        <v>0.0</v>
      </c>
      <c r="F14036" s="3" t="s">
        <v>39873</v>
      </c>
      <c r="G14036" s="3">
        <v>0.0</v>
      </c>
      <c r="H14036" s="3">
        <v>0.0</v>
      </c>
      <c r="I14036" s="3" t="s">
        <v>13</v>
      </c>
      <c r="J14036" s="3" t="s">
        <v>39874</v>
      </c>
      <c r="K14036" s="3" t="s">
        <v>19</v>
      </c>
      <c r="L14036" s="3" t="str">
        <f>IFERROR(__xludf.DUMMYFUNCTION("GOOGLETRANSLATE(F14036,""id"",""en"")"),"Must Nganggo Coro Wingi Pairing ARGEN YEN France lost at the same time as winning a betting bet wkwk")</f>
        <v>Must Nganggo Coro Wingi Pairing ARGEN YEN France lost at the same time as winning a betting bet wkwk</v>
      </c>
    </row>
    <row r="14037" ht="15.75" customHeight="1">
      <c r="A14037" s="1">
        <v>15519.0</v>
      </c>
      <c r="B14037" s="3" t="s">
        <v>39875</v>
      </c>
      <c r="C14037" s="3">
        <v>0.0</v>
      </c>
      <c r="D14037" s="3">
        <v>0.0</v>
      </c>
      <c r="E14037" s="3">
        <v>0.0</v>
      </c>
      <c r="F14037" s="3" t="s">
        <v>39876</v>
      </c>
      <c r="G14037" s="3">
        <v>0.0</v>
      </c>
      <c r="H14037" s="3">
        <v>0.0</v>
      </c>
      <c r="I14037" s="3" t="s">
        <v>13</v>
      </c>
      <c r="J14037" s="3" t="s">
        <v>39877</v>
      </c>
      <c r="K14037" s="3" t="s">
        <v>2117</v>
      </c>
      <c r="L14037" s="3" t="str">
        <f>IFERROR(__xludf.DUMMYFUNCTION("GOOGLETRANSLATE(F14037,""id"",""en"")"),"happy because Agen won")</f>
        <v>happy because Agen won</v>
      </c>
    </row>
    <row r="14038" ht="15.75" customHeight="1">
      <c r="A14038" s="1">
        <v>15520.0</v>
      </c>
      <c r="B14038" s="3" t="s">
        <v>39878</v>
      </c>
      <c r="C14038" s="3">
        <v>0.0</v>
      </c>
      <c r="D14038" s="3">
        <v>0.0</v>
      </c>
      <c r="E14038" s="3">
        <v>0.0</v>
      </c>
      <c r="F14038" s="3" t="s">
        <v>39879</v>
      </c>
      <c r="G14038" s="3">
        <v>0.0</v>
      </c>
      <c r="H14038" s="3">
        <v>0.0</v>
      </c>
      <c r="I14038" s="3" t="s">
        <v>13</v>
      </c>
      <c r="J14038" s="3" t="s">
        <v>39880</v>
      </c>
      <c r="K14038" s="3" t="s">
        <v>19</v>
      </c>
      <c r="L14038" s="3" t="str">
        <f>IFERROR(__xludf.DUMMYFUNCTION("GOOGLETRANSLATE(F14038,""id"",""en"")"),"I imagine yedam ngersi won smlm already want to cry, dogs")</f>
        <v>I imagine yedam ngersi won smlm already want to cry, dogs</v>
      </c>
    </row>
    <row r="14039" ht="15.75" customHeight="1">
      <c r="A14039" s="1">
        <v>15521.0</v>
      </c>
      <c r="B14039" s="3" t="s">
        <v>39881</v>
      </c>
      <c r="C14039" s="3">
        <v>0.0</v>
      </c>
      <c r="D14039" s="3">
        <v>0.0</v>
      </c>
      <c r="E14039" s="3">
        <v>0.0</v>
      </c>
      <c r="F14039" s="3" t="s">
        <v>39882</v>
      </c>
      <c r="G14039" s="3">
        <v>0.0</v>
      </c>
      <c r="H14039" s="3">
        <v>0.0</v>
      </c>
      <c r="I14039" s="3" t="s">
        <v>13</v>
      </c>
      <c r="J14039" s="3" t="s">
        <v>39883</v>
      </c>
      <c r="K14039" s="3" t="s">
        <v>41</v>
      </c>
      <c r="L14039" s="3" t="str">
        <f>IFERROR(__xludf.DUMMYFUNCTION("GOOGLETRANSLATE(F14039,""id"",""en"")"),"Open the social media of his argen wins pilduun I am frustrated")</f>
        <v>Open the social media of his argen wins pilduun I am frustrated</v>
      </c>
    </row>
    <row r="14040" ht="15.75" customHeight="1">
      <c r="A14040" s="1">
        <v>15522.0</v>
      </c>
      <c r="B14040" s="3" t="s">
        <v>39884</v>
      </c>
      <c r="C14040" s="3">
        <v>1.0</v>
      </c>
      <c r="D14040" s="3">
        <v>0.0</v>
      </c>
      <c r="E14040" s="3">
        <v>0.0</v>
      </c>
      <c r="F14040" s="3" t="s">
        <v>39885</v>
      </c>
      <c r="G14040" s="3">
        <v>0.0</v>
      </c>
      <c r="H14040" s="3">
        <v>0.0</v>
      </c>
      <c r="I14040" s="3" t="s">
        <v>13</v>
      </c>
      <c r="J14040" s="3" t="s">
        <v>39886</v>
      </c>
      <c r="K14040" s="3" t="s">
        <v>82</v>
      </c>
      <c r="L14040" s="3" t="str">
        <f>IFERROR(__xludf.DUMMYFUNCTION("GOOGLETRANSLATE(F14040,""id"",""en"")"),"Cuan Argentina won Kelazzz Sia All Argen")</f>
        <v>Cuan Argentina won Kelazzz Sia All Argen</v>
      </c>
    </row>
    <row r="14041" ht="15.75" customHeight="1">
      <c r="A14041" s="1">
        <v>15523.0</v>
      </c>
      <c r="B14041" s="3" t="s">
        <v>39887</v>
      </c>
      <c r="C14041" s="3">
        <v>0.0</v>
      </c>
      <c r="D14041" s="3">
        <v>0.0</v>
      </c>
      <c r="E14041" s="3">
        <v>0.0</v>
      </c>
      <c r="F14041" s="3" t="s">
        <v>39888</v>
      </c>
      <c r="G14041" s="3">
        <v>0.9</v>
      </c>
      <c r="H14041" s="3">
        <v>0.7</v>
      </c>
      <c r="I14041" s="3" t="s">
        <v>48</v>
      </c>
      <c r="J14041" s="3" t="s">
        <v>39889</v>
      </c>
      <c r="K14041" s="3" t="s">
        <v>54</v>
      </c>
      <c r="L14041" s="3" t="str">
        <f>IFERROR(__xludf.DUMMYFUNCTION("GOOGLETRANSLATE(F14041,""id"",""en"")"),"fair gmn sat utg argen won")</f>
        <v>fair gmn sat utg argen won</v>
      </c>
    </row>
    <row r="14042" ht="15.75" customHeight="1">
      <c r="A14042" s="1">
        <v>15524.0</v>
      </c>
      <c r="B14042" s="3" t="s">
        <v>39890</v>
      </c>
      <c r="C14042" s="3">
        <v>0.0</v>
      </c>
      <c r="D14042" s="3">
        <v>0.0</v>
      </c>
      <c r="E14042" s="3">
        <v>0.0</v>
      </c>
      <c r="F14042" s="3" t="s">
        <v>39891</v>
      </c>
      <c r="G14042" s="3">
        <v>1.0</v>
      </c>
      <c r="H14042" s="3">
        <v>0.0</v>
      </c>
      <c r="I14042" s="3" t="s">
        <v>13</v>
      </c>
      <c r="J14042" s="3" t="s">
        <v>39892</v>
      </c>
      <c r="K14042" s="3" t="s">
        <v>899</v>
      </c>
      <c r="L14042" s="3" t="str">
        <f>IFERROR(__xludf.DUMMYFUNCTION("GOOGLETRANSLATE(F14042,""id"",""en"")"),"Argen and France deserve to win the match yesterday after halftime is the final match of Mbappe ARGEN France lost because of the beginning of the fraudulent of the width of the right field where Maria was always behind the shadow of the defense line of th"&amp;"e chaotic players")</f>
        <v>Argen and France deserve to win the match yesterday after halftime is the final match of Mbappe ARGEN France lost because of the beginning of the fraudulent of the width of the right field where Maria was always behind the shadow of the defense line of the chaotic players</v>
      </c>
    </row>
    <row r="14043" ht="15.75" customHeight="1">
      <c r="A14043" s="1">
        <v>15526.0</v>
      </c>
      <c r="B14043" s="3" t="s">
        <v>39893</v>
      </c>
      <c r="C14043" s="3">
        <v>0.0</v>
      </c>
      <c r="D14043" s="3">
        <v>0.0</v>
      </c>
      <c r="E14043" s="3">
        <v>0.0</v>
      </c>
      <c r="F14043" s="3" t="s">
        <v>39894</v>
      </c>
      <c r="G14043" s="3">
        <v>0.0</v>
      </c>
      <c r="H14043" s="3">
        <v>0.0</v>
      </c>
      <c r="I14043" s="3" t="s">
        <v>13</v>
      </c>
      <c r="J14043" s="3" t="s">
        <v>39895</v>
      </c>
      <c r="K14043" s="3" t="s">
        <v>3882</v>
      </c>
      <c r="L14043" s="3" t="str">
        <f>IFERROR(__xludf.DUMMYFUNCTION("GOOGLETRANSLATE(F14043,""id"",""en"")"),"if the song is usually shut up, singing grgr stress nutmeg joins the tone, rocking left and right, down and left, back and left, backward and stop it, hehe now rides the parking fee of Grgr ARGEN, winning")</f>
        <v>if the song is usually shut up, singing grgr stress nutmeg joins the tone, rocking left and right, down and left, back and left, backward and stop it, hehe now rides the parking fee of Grgr ARGEN, winning</v>
      </c>
    </row>
    <row r="14044" ht="15.75" customHeight="1">
      <c r="A14044" s="1">
        <v>15527.0</v>
      </c>
      <c r="B14044" s="3" t="s">
        <v>39896</v>
      </c>
      <c r="C14044" s="3">
        <v>0.0</v>
      </c>
      <c r="D14044" s="3">
        <v>0.0</v>
      </c>
      <c r="E14044" s="3">
        <v>0.0</v>
      </c>
      <c r="F14044" s="3" t="s">
        <v>39897</v>
      </c>
      <c r="G14044" s="3">
        <v>0.0</v>
      </c>
      <c r="H14044" s="3">
        <v>0.0</v>
      </c>
      <c r="I14044" s="3" t="s">
        <v>13</v>
      </c>
      <c r="J14044" s="3" t="s">
        <v>39898</v>
      </c>
      <c r="K14044" s="3" t="s">
        <v>31</v>
      </c>
      <c r="L14044" s="3" t="str">
        <f>IFERROR(__xludf.DUMMYFUNCTION("GOOGLETRANSLATE(F14044,""id"",""en"")"),"Really, ARGEN's analysis of winning")</f>
        <v>Really, ARGEN's analysis of winning</v>
      </c>
    </row>
    <row r="14045" ht="15.75" customHeight="1">
      <c r="A14045" s="1">
        <v>15528.0</v>
      </c>
      <c r="B14045" s="3" t="s">
        <v>39899</v>
      </c>
      <c r="C14045" s="3">
        <v>0.0</v>
      </c>
      <c r="D14045" s="3">
        <v>0.0</v>
      </c>
      <c r="E14045" s="3">
        <v>0.0</v>
      </c>
      <c r="F14045" s="3" t="s">
        <v>39900</v>
      </c>
      <c r="G14045" s="3">
        <v>0.0</v>
      </c>
      <c r="H14045" s="3">
        <v>0.0</v>
      </c>
      <c r="I14045" s="3" t="s">
        <v>13</v>
      </c>
      <c r="J14045" s="3" t="s">
        <v>39901</v>
      </c>
      <c r="K14045" s="3" t="s">
        <v>31</v>
      </c>
      <c r="L14045" s="3" t="str">
        <f>IFERROR(__xludf.DUMMYFUNCTION("GOOGLETRANSLATE(F14045,""id"",""en"")"),"ARGEN wins so the pulkam")</f>
        <v>ARGEN wins so the pulkam</v>
      </c>
    </row>
    <row r="14046" ht="15.75" customHeight="1">
      <c r="A14046" s="1">
        <v>15529.0</v>
      </c>
      <c r="B14046" s="3" t="s">
        <v>39902</v>
      </c>
      <c r="C14046" s="3">
        <v>0.0</v>
      </c>
      <c r="D14046" s="3">
        <v>0.0</v>
      </c>
      <c r="E14046" s="3">
        <v>0.0</v>
      </c>
      <c r="F14046" s="3" t="s">
        <v>39903</v>
      </c>
      <c r="G14046" s="3">
        <v>0.0</v>
      </c>
      <c r="H14046" s="3">
        <v>0.0</v>
      </c>
      <c r="I14046" s="3" t="s">
        <v>13</v>
      </c>
      <c r="J14046" s="3" t="s">
        <v>39904</v>
      </c>
      <c r="K14046" s="3" t="s">
        <v>75</v>
      </c>
      <c r="L14046" s="3" t="str">
        <f>IFERROR(__xludf.DUMMYFUNCTION("GOOGLETRANSLATE(F14046,""id"",""en"")"),"Hepi times my father Hariini Sekan ARGEN WINed Sintipir Continue Mbappe")</f>
        <v>Hepi times my father Hariini Sekan ARGEN WINed Sintipir Continue Mbappe</v>
      </c>
    </row>
    <row r="14047" ht="15.75" customHeight="1">
      <c r="A14047" s="1">
        <v>15530.0</v>
      </c>
      <c r="B14047" s="3" t="s">
        <v>39905</v>
      </c>
      <c r="C14047" s="3">
        <v>0.0</v>
      </c>
      <c r="D14047" s="3">
        <v>0.0</v>
      </c>
      <c r="E14047" s="3">
        <v>0.0</v>
      </c>
      <c r="F14047" s="3" t="s">
        <v>39906</v>
      </c>
      <c r="G14047" s="3">
        <v>0.0</v>
      </c>
      <c r="H14047" s="3">
        <v>0.0</v>
      </c>
      <c r="I14047" s="3" t="s">
        <v>13</v>
      </c>
      <c r="J14047" s="3" t="s">
        <v>39907</v>
      </c>
      <c r="K14047" s="3" t="s">
        <v>725</v>
      </c>
      <c r="L14047" s="3" t="str">
        <f>IFERROR(__xludf.DUMMYFUNCTION("GOOGLETRANSLATE(F14047,""id"",""en"")"),"Allahhh type is very cute zoy zegangatkiee morning activity besookk wkwkwkwk definitely sushi betting ARgen won yesterday Monday my capeekk earlier I was a martial arts hapkido home directly elderly wkwkkwkw")</f>
        <v>Allahhh type is very cute zoy zegangatkiee morning activity besookk wkwkwkwk definitely sushi betting ARgen won yesterday Monday my capeekk earlier I was a martial arts hapkido home directly elderly wkwkkwkw</v>
      </c>
    </row>
    <row r="14048" ht="15.75" customHeight="1">
      <c r="A14048" s="1">
        <v>15531.0</v>
      </c>
      <c r="B14048" s="3" t="s">
        <v>39908</v>
      </c>
      <c r="C14048" s="3">
        <v>1.0</v>
      </c>
      <c r="D14048" s="3">
        <v>0.0</v>
      </c>
      <c r="E14048" s="3">
        <v>0.0</v>
      </c>
      <c r="F14048" s="3" t="s">
        <v>39559</v>
      </c>
      <c r="G14048" s="3">
        <v>0.0</v>
      </c>
      <c r="H14048" s="3">
        <v>0.0</v>
      </c>
      <c r="I14048" s="3" t="s">
        <v>13</v>
      </c>
      <c r="J14048" s="3" t="s">
        <v>39560</v>
      </c>
      <c r="K14048" s="3" t="s">
        <v>14571</v>
      </c>
      <c r="L14048" s="3" t="str">
        <f>IFERROR(__xludf.DUMMYFUNCTION("GOOGLETRANSLATE(F14048,""id"",""en"")"),"Argen won")</f>
        <v>Argen won</v>
      </c>
    </row>
    <row r="14049" ht="15.75" customHeight="1">
      <c r="A14049" s="1">
        <v>15532.0</v>
      </c>
      <c r="B14049" s="3" t="s">
        <v>39909</v>
      </c>
      <c r="C14049" s="3">
        <v>0.0</v>
      </c>
      <c r="D14049" s="3">
        <v>0.0</v>
      </c>
      <c r="E14049" s="3">
        <v>1.0</v>
      </c>
      <c r="F14049" s="3" t="s">
        <v>39910</v>
      </c>
      <c r="G14049" s="3">
        <v>0.0</v>
      </c>
      <c r="H14049" s="3">
        <v>0.0</v>
      </c>
      <c r="I14049" s="3" t="s">
        <v>13</v>
      </c>
      <c r="J14049" s="3" t="s">
        <v>39911</v>
      </c>
      <c r="K14049" s="3" t="s">
        <v>348</v>
      </c>
      <c r="L14049" s="3" t="str">
        <f>IFERROR(__xludf.DUMMYFUNCTION("GOOGLETRANSLATE(F14049,""id"",""en"")"),"if Yedam still is the group yesterday he was with Hyunsuk, he would have been very happy, he would win, I won, hopefully they were still ngehype the ball together even though it was different from the country")</f>
        <v>if Yedam still is the group yesterday he was with Hyunsuk, he would have been very happy, he would win, I won, hopefully they were still ngehype the ball together even though it was different from the country</v>
      </c>
    </row>
    <row r="14050" ht="15.75" customHeight="1">
      <c r="A14050" s="1">
        <v>15533.0</v>
      </c>
      <c r="B14050" s="3" t="s">
        <v>39912</v>
      </c>
      <c r="C14050" s="3">
        <v>0.0</v>
      </c>
      <c r="D14050" s="3">
        <v>0.0</v>
      </c>
      <c r="E14050" s="3">
        <v>0.0</v>
      </c>
      <c r="F14050" s="3" t="s">
        <v>39913</v>
      </c>
      <c r="G14050" s="3">
        <v>0.0</v>
      </c>
      <c r="H14050" s="3">
        <v>0.0</v>
      </c>
      <c r="I14050" s="3" t="s">
        <v>13</v>
      </c>
      <c r="J14050" s="3" t="s">
        <v>39914</v>
      </c>
      <c r="K14050" s="3" t="s">
        <v>31</v>
      </c>
      <c r="L14050" s="3" t="str">
        <f>IFERROR(__xludf.DUMMYFUNCTION("GOOGLETRANSLATE(F14050,""id"",""en"")"),"Happy APLG ARGEN Wins")</f>
        <v>Happy APLG ARGEN Wins</v>
      </c>
    </row>
    <row r="14051" ht="15.75" customHeight="1">
      <c r="A14051" s="1">
        <v>15534.0</v>
      </c>
      <c r="B14051" s="3" t="s">
        <v>39915</v>
      </c>
      <c r="C14051" s="3">
        <v>1.0</v>
      </c>
      <c r="D14051" s="3">
        <v>0.0</v>
      </c>
      <c r="E14051" s="3">
        <v>0.0</v>
      </c>
      <c r="F14051" s="3" t="s">
        <v>39916</v>
      </c>
      <c r="G14051" s="3">
        <v>0.0</v>
      </c>
      <c r="H14051" s="3">
        <v>0.0</v>
      </c>
      <c r="I14051" s="3" t="s">
        <v>13</v>
      </c>
      <c r="J14051" s="3" t="s">
        <v>39917</v>
      </c>
      <c r="K14051" s="3" t="s">
        <v>54</v>
      </c>
      <c r="L14051" s="3" t="str">
        <f>IFERROR(__xludf.DUMMYFUNCTION("GOOGLETRANSLATE(F14051,""id"",""en"")"),"Dong Dong Ngab Agen won AVV")</f>
        <v>Dong Dong Ngab Agen won AVV</v>
      </c>
    </row>
    <row r="14052" ht="15.75" customHeight="1">
      <c r="A14052" s="1">
        <v>15535.0</v>
      </c>
      <c r="B14052" s="3" t="s">
        <v>39918</v>
      </c>
      <c r="C14052" s="3">
        <v>0.0</v>
      </c>
      <c r="D14052" s="3">
        <v>0.0</v>
      </c>
      <c r="E14052" s="3">
        <v>0.0</v>
      </c>
      <c r="F14052" s="3" t="s">
        <v>39919</v>
      </c>
      <c r="G14052" s="3">
        <v>0.0</v>
      </c>
      <c r="H14052" s="3">
        <v>0.0</v>
      </c>
      <c r="I14052" s="3" t="s">
        <v>13</v>
      </c>
      <c r="J14052" s="3" t="s">
        <v>39920</v>
      </c>
      <c r="K14052" s="3" t="s">
        <v>27</v>
      </c>
      <c r="L14052" s="3" t="str">
        <f>IFERROR(__xludf.DUMMYFUNCTION("GOOGLETRANSLATE(F14052,""id"",""en"")"),"TDI MLM, I cry, France wins, not GRA fans ARGEN CMN because of betting fear of Hangussss money, but thankful for Argentina")</f>
        <v>TDI MLM, I cry, France wins, not GRA fans ARGEN CMN because of betting fear of Hangussss money, but thankful for Argentina</v>
      </c>
    </row>
    <row r="14053" ht="15.75" customHeight="1">
      <c r="A14053" s="1">
        <v>15536.0</v>
      </c>
      <c r="B14053" s="3" t="s">
        <v>39921</v>
      </c>
      <c r="C14053" s="3">
        <v>0.0</v>
      </c>
      <c r="D14053" s="3">
        <v>0.0</v>
      </c>
      <c r="E14053" s="3">
        <v>0.0</v>
      </c>
      <c r="F14053" s="3" t="s">
        <v>39922</v>
      </c>
      <c r="G14053" s="3">
        <v>0.0</v>
      </c>
      <c r="H14053" s="3">
        <v>0.0</v>
      </c>
      <c r="I14053" s="3" t="s">
        <v>13</v>
      </c>
      <c r="J14053" s="3" t="s">
        <v>39923</v>
      </c>
      <c r="K14053" s="3" t="s">
        <v>240</v>
      </c>
      <c r="L14053" s="3" t="str">
        <f>IFERROR(__xludf.DUMMYFUNCTION("GOOGLETRANSLATE(F14053,""id"",""en"")"),"The funny moment when Agen won, I almost accidentally pulled and hugged ABG beside me Pekara was happy")</f>
        <v>The funny moment when Agen won, I almost accidentally pulled and hugged ABG beside me Pekara was happy</v>
      </c>
    </row>
    <row r="14054" ht="15.75" customHeight="1">
      <c r="A14054" s="1">
        <v>15537.0</v>
      </c>
      <c r="B14054" s="3" t="s">
        <v>39924</v>
      </c>
      <c r="C14054" s="3">
        <v>0.0</v>
      </c>
      <c r="D14054" s="3">
        <v>0.0</v>
      </c>
      <c r="E14054" s="3">
        <v>8.0</v>
      </c>
      <c r="F14054" s="3" t="s">
        <v>39925</v>
      </c>
      <c r="G14054" s="3">
        <v>0.0</v>
      </c>
      <c r="H14054" s="3">
        <v>0.0</v>
      </c>
      <c r="I14054" s="3" t="s">
        <v>13</v>
      </c>
      <c r="J14054" s="3" t="s">
        <v>39926</v>
      </c>
      <c r="K14054" s="3" t="s">
        <v>75</v>
      </c>
      <c r="L14054" s="3" t="str">
        <f>IFERROR(__xludf.DUMMYFUNCTION("GOOGLETRANSLATE(F14054,""id"",""en"")"),"Argen won really exciting but mbappe me to you mksdddddddddddddddddddddddddd")</f>
        <v>Argen won really exciting but mbappe me to you mksdddddddddddddddddddddddddd</v>
      </c>
    </row>
    <row r="14055" ht="15.75" customHeight="1">
      <c r="A14055" s="1">
        <v>15538.0</v>
      </c>
      <c r="B14055" s="3" t="s">
        <v>39927</v>
      </c>
      <c r="C14055" s="3">
        <v>1.0</v>
      </c>
      <c r="D14055" s="3">
        <v>0.0</v>
      </c>
      <c r="E14055" s="3">
        <v>0.0</v>
      </c>
      <c r="F14055" s="3" t="s">
        <v>39928</v>
      </c>
      <c r="G14055" s="3">
        <v>0.0</v>
      </c>
      <c r="H14055" s="3">
        <v>0.0</v>
      </c>
      <c r="I14055" s="3" t="s">
        <v>13</v>
      </c>
      <c r="J14055" s="3" t="s">
        <v>39929</v>
      </c>
      <c r="K14055" s="3" t="s">
        <v>644</v>
      </c>
      <c r="L14055" s="3" t="str">
        <f>IFERROR(__xludf.DUMMYFUNCTION("GOOGLETRANSLATE(F14055,""id"",""en"")"),"wise since Agen won")</f>
        <v>wise since Agen won</v>
      </c>
    </row>
    <row r="14056" ht="15.75" customHeight="1">
      <c r="A14056" s="1">
        <v>15539.0</v>
      </c>
      <c r="B14056" s="3" t="s">
        <v>39930</v>
      </c>
      <c r="C14056" s="3">
        <v>1.0</v>
      </c>
      <c r="D14056" s="3">
        <v>1.0</v>
      </c>
      <c r="E14056" s="3">
        <v>1.0</v>
      </c>
      <c r="F14056" s="3" t="s">
        <v>39930</v>
      </c>
      <c r="G14056" s="3">
        <v>0.0</v>
      </c>
      <c r="H14056" s="3">
        <v>0.0</v>
      </c>
      <c r="I14056" s="3" t="s">
        <v>13</v>
      </c>
      <c r="J14056" s="3" t="s">
        <v>39931</v>
      </c>
      <c r="K14056" s="3" t="s">
        <v>19</v>
      </c>
      <c r="L14056" s="3" t="str">
        <f>IFERROR(__xludf.DUMMYFUNCTION("GOOGLETRANSLATE(F14056,""id"",""en"")"),"This seems to be one of the reasons Agen won because Jino forced Jisa to watch wkwkwk")</f>
        <v>This seems to be one of the reasons Agen won because Jino forced Jisa to watch wkwkwk</v>
      </c>
    </row>
    <row r="14057" ht="15.75" customHeight="1">
      <c r="A14057" s="1">
        <v>15540.0</v>
      </c>
      <c r="B14057" s="3" t="s">
        <v>39932</v>
      </c>
      <c r="C14057" s="3">
        <v>0.0</v>
      </c>
      <c r="D14057" s="3">
        <v>0.0</v>
      </c>
      <c r="E14057" s="3">
        <v>4.0</v>
      </c>
      <c r="F14057" s="3" t="s">
        <v>39933</v>
      </c>
      <c r="G14057" s="3">
        <v>0.2</v>
      </c>
      <c r="H14057" s="3">
        <v>0.2</v>
      </c>
      <c r="I14057" s="3" t="s">
        <v>48</v>
      </c>
      <c r="J14057" s="3" t="s">
        <v>39934</v>
      </c>
      <c r="K14057" s="3" t="s">
        <v>584</v>
      </c>
      <c r="L14057" s="3" t="str">
        <f>IFERROR(__xludf.DUMMYFUNCTION("GOOGLETRANSLATE(F14057,""id"",""en"")"),"yesterday I supported Argen because you and you were gauda but when I won, duhh, really happy, Gustiii had never seen a soccer match like this but it turned out to be fun, thanks Damm")</f>
        <v>yesterday I supported Argen because you and you were gauda but when I won, duhh, really happy, Gustiii had never seen a soccer match like this but it turned out to be fun, thanks Damm</v>
      </c>
    </row>
    <row r="14058" ht="15.75" customHeight="1">
      <c r="A14058" s="1">
        <v>15541.0</v>
      </c>
      <c r="B14058" s="3" t="s">
        <v>39935</v>
      </c>
      <c r="C14058" s="3">
        <v>0.0</v>
      </c>
      <c r="D14058" s="3">
        <v>0.0</v>
      </c>
      <c r="E14058" s="3">
        <v>0.0</v>
      </c>
      <c r="F14058" s="3" t="s">
        <v>39936</v>
      </c>
      <c r="G14058" s="3">
        <v>0.0</v>
      </c>
      <c r="H14058" s="3">
        <v>0.0</v>
      </c>
      <c r="I14058" s="3" t="s">
        <v>13</v>
      </c>
      <c r="J14058" s="3" t="s">
        <v>39937</v>
      </c>
      <c r="K14058" s="3" t="s">
        <v>3803</v>
      </c>
      <c r="L14058" s="3" t="str">
        <f>IFERROR(__xludf.DUMMYFUNCTION("GOOGLETRANSLATE(F14058,""id"",""en"")"),"This morning crying me because Agen won onon crying too so I will cry again")</f>
        <v>This morning crying me because Agen won onon crying too so I will cry again</v>
      </c>
    </row>
    <row r="14059" ht="15.75" customHeight="1">
      <c r="A14059" s="1">
        <v>15542.0</v>
      </c>
      <c r="B14059" s="3" t="s">
        <v>39938</v>
      </c>
      <c r="C14059" s="3">
        <v>0.0</v>
      </c>
      <c r="D14059" s="3">
        <v>0.0</v>
      </c>
      <c r="E14059" s="3">
        <v>0.0</v>
      </c>
      <c r="F14059" s="3" t="s">
        <v>39939</v>
      </c>
      <c r="G14059" s="3">
        <v>0.0</v>
      </c>
      <c r="H14059" s="3">
        <v>0.0</v>
      </c>
      <c r="I14059" s="3" t="s">
        <v>13</v>
      </c>
      <c r="J14059" s="3" t="s">
        <v>39940</v>
      </c>
      <c r="K14059" s="3" t="s">
        <v>15</v>
      </c>
      <c r="L14059" s="3" t="str">
        <f>IFERROR(__xludf.DUMMYFUNCTION("GOOGLETRANSLATE(F14059,""id"",""en"")"),"already tlat I am fake moved argen when you win")</f>
        <v>already tlat I am fake moved argen when you win</v>
      </c>
    </row>
    <row r="14060" ht="15.75" customHeight="1">
      <c r="A14060" s="1">
        <v>15543.0</v>
      </c>
      <c r="B14060" s="3" t="s">
        <v>39941</v>
      </c>
      <c r="C14060" s="3">
        <v>1.0</v>
      </c>
      <c r="D14060" s="3">
        <v>0.0</v>
      </c>
      <c r="E14060" s="3">
        <v>0.0</v>
      </c>
      <c r="F14060" s="3" t="s">
        <v>39942</v>
      </c>
      <c r="G14060" s="3">
        <v>0.0</v>
      </c>
      <c r="H14060" s="3">
        <v>0.0</v>
      </c>
      <c r="I14060" s="3" t="s">
        <v>13</v>
      </c>
      <c r="J14060" s="3" t="s">
        <v>39943</v>
      </c>
      <c r="K14060" s="3" t="s">
        <v>244</v>
      </c>
      <c r="L14060" s="3" t="str">
        <f>IFERROR(__xludf.DUMMYFUNCTION("GOOGLETRANSLATE(F14060,""id"",""en"")"),"So how are you late, bwade hear hear he said AGGE won")</f>
        <v>So how are you late, bwade hear hear he said AGGE won</v>
      </c>
    </row>
    <row r="14061" ht="15.75" customHeight="1">
      <c r="A14061" s="1">
        <v>15544.0</v>
      </c>
      <c r="B14061" s="3" t="s">
        <v>39944</v>
      </c>
      <c r="C14061" s="3">
        <v>0.0</v>
      </c>
      <c r="D14061" s="3">
        <v>0.0</v>
      </c>
      <c r="E14061" s="3">
        <v>1.0</v>
      </c>
      <c r="F14061" s="3" t="s">
        <v>39945</v>
      </c>
      <c r="G14061" s="3">
        <v>0.0</v>
      </c>
      <c r="H14061" s="3">
        <v>0.0</v>
      </c>
      <c r="I14061" s="3" t="s">
        <v>13</v>
      </c>
      <c r="J14061" s="3" t="s">
        <v>39946</v>
      </c>
      <c r="K14061" s="3" t="s">
        <v>31</v>
      </c>
      <c r="L14061" s="3" t="str">
        <f>IFERROR(__xludf.DUMMYFUNCTION("GOOGLETRANSLATE(F14061,""id"",""en"")"),"bang but gpp because argen wins")</f>
        <v>bang but gpp because argen wins</v>
      </c>
    </row>
    <row r="14062" ht="15.75" customHeight="1">
      <c r="A14062" s="1">
        <v>15545.0</v>
      </c>
      <c r="B14062" s="3" t="s">
        <v>39947</v>
      </c>
      <c r="C14062" s="3">
        <v>3.0</v>
      </c>
      <c r="D14062" s="3">
        <v>0.0</v>
      </c>
      <c r="E14062" s="3">
        <v>0.0</v>
      </c>
      <c r="F14062" s="3" t="s">
        <v>39948</v>
      </c>
      <c r="G14062" s="3">
        <v>0.0</v>
      </c>
      <c r="H14062" s="3">
        <v>0.0</v>
      </c>
      <c r="I14062" s="3" t="s">
        <v>13</v>
      </c>
      <c r="J14062" s="3" t="s">
        <v>39949</v>
      </c>
      <c r="K14062" s="3" t="s">
        <v>41</v>
      </c>
      <c r="L14062" s="3" t="str">
        <f>IFERROR(__xludf.DUMMYFUNCTION("GOOGLETRANSLATE(F14062,""id"",""en"")"),"Bogor wkwkwkw Sokin pays Satrio to win gambling holding argen")</f>
        <v>Bogor wkwkwkw Sokin pays Satrio to win gambling holding argen</v>
      </c>
    </row>
    <row r="14063" ht="15.75" customHeight="1">
      <c r="A14063" s="1">
        <v>15546.0</v>
      </c>
      <c r="B14063" s="3" t="s">
        <v>39950</v>
      </c>
      <c r="C14063" s="3">
        <v>1.0</v>
      </c>
      <c r="D14063" s="3">
        <v>0.0</v>
      </c>
      <c r="E14063" s="3">
        <v>0.0</v>
      </c>
      <c r="F14063" s="3" t="s">
        <v>39951</v>
      </c>
      <c r="G14063" s="3">
        <v>0.0</v>
      </c>
      <c r="H14063" s="3">
        <v>0.0</v>
      </c>
      <c r="I14063" s="3" t="s">
        <v>13</v>
      </c>
      <c r="J14063" s="3" t="s">
        <v>39952</v>
      </c>
      <c r="K14063" s="3" t="s">
        <v>54</v>
      </c>
      <c r="L14063" s="3" t="str">
        <f>IFERROR(__xludf.DUMMYFUNCTION("GOOGLETRANSLATE(F14063,""id"",""en"")"),"GPP BIY important ARGEN won last night")</f>
        <v>GPP BIY important ARGEN won last night</v>
      </c>
    </row>
    <row r="14064" ht="15.75" customHeight="1">
      <c r="A14064" s="1">
        <v>15547.0</v>
      </c>
      <c r="B14064" s="3" t="s">
        <v>39953</v>
      </c>
      <c r="C14064" s="3">
        <v>0.0</v>
      </c>
      <c r="D14064" s="3">
        <v>0.0</v>
      </c>
      <c r="E14064" s="3">
        <v>0.0</v>
      </c>
      <c r="F14064" s="3" t="s">
        <v>39954</v>
      </c>
      <c r="G14064" s="3">
        <v>0.0</v>
      </c>
      <c r="H14064" s="3">
        <v>0.0</v>
      </c>
      <c r="I14064" s="3" t="s">
        <v>13</v>
      </c>
      <c r="J14064" s="3" t="s">
        <v>39955</v>
      </c>
      <c r="K14064" s="3" t="s">
        <v>644</v>
      </c>
      <c r="L14064" s="3" t="str">
        <f>IFERROR(__xludf.DUMMYFUNCTION("GOOGLETRANSLATE(F14064,""id"",""en"")"),"Gadulu Agen last night won")</f>
        <v>Gadulu Agen last night won</v>
      </c>
    </row>
    <row r="14065" ht="15.75" customHeight="1">
      <c r="A14065" s="1">
        <v>15548.0</v>
      </c>
      <c r="B14065" s="3" t="s">
        <v>39956</v>
      </c>
      <c r="C14065" s="3">
        <v>0.0</v>
      </c>
      <c r="D14065" s="3">
        <v>0.0</v>
      </c>
      <c r="E14065" s="3">
        <v>0.0</v>
      </c>
      <c r="F14065" s="3" t="s">
        <v>39957</v>
      </c>
      <c r="G14065" s="3">
        <v>0.0</v>
      </c>
      <c r="H14065" s="3">
        <v>0.0</v>
      </c>
      <c r="I14065" s="3" t="s">
        <v>13</v>
      </c>
      <c r="J14065" s="3" t="s">
        <v>39958</v>
      </c>
      <c r="K14065" s="3" t="s">
        <v>15</v>
      </c>
      <c r="L14065" s="3" t="str">
        <f>IFERROR(__xludf.DUMMYFUNCTION("GOOGLETRANSLATE(F14065,""id"",""en"")"),"The rules I bet Bjir Echan Agen won our invented")</f>
        <v>The rules I bet Bjir Echan Agen won our invented</v>
      </c>
    </row>
    <row r="14066" ht="15.75" customHeight="1">
      <c r="A14066" s="1">
        <v>15549.0</v>
      </c>
      <c r="B14066" s="3" t="s">
        <v>39959</v>
      </c>
      <c r="C14066" s="3">
        <v>0.0</v>
      </c>
      <c r="D14066" s="3">
        <v>0.0</v>
      </c>
      <c r="E14066" s="3">
        <v>0.0</v>
      </c>
      <c r="F14066" s="3" t="s">
        <v>39960</v>
      </c>
      <c r="G14066" s="3">
        <v>0.0</v>
      </c>
      <c r="H14066" s="3">
        <v>0.0</v>
      </c>
      <c r="I14066" s="3" t="s">
        <v>13</v>
      </c>
      <c r="J14066" s="3" t="s">
        <v>39961</v>
      </c>
      <c r="K14066" s="3" t="s">
        <v>883</v>
      </c>
      <c r="L14066" s="3" t="str">
        <f>IFERROR(__xludf.DUMMYFUNCTION("GOOGLETRANSLATE(F14066,""id"",""en"")"),"Receive Agen to win, not because of the good French performance this end can say they deliberately regulated the eyes of this loo that won already ARGEN too")</f>
        <v>Receive Agen to win, not because of the good French performance this end can say they deliberately regulated the eyes of this loo that won already ARGEN too</v>
      </c>
    </row>
    <row r="14067" ht="15.75" customHeight="1">
      <c r="A14067" s="1">
        <v>15550.0</v>
      </c>
      <c r="B14067" s="3" t="s">
        <v>39962</v>
      </c>
      <c r="C14067" s="3">
        <v>0.0</v>
      </c>
      <c r="D14067" s="3">
        <v>0.0</v>
      </c>
      <c r="E14067" s="3">
        <v>9.0</v>
      </c>
      <c r="F14067" s="3" t="s">
        <v>39963</v>
      </c>
      <c r="G14067" s="3">
        <v>0.0</v>
      </c>
      <c r="H14067" s="3">
        <v>0.0</v>
      </c>
      <c r="I14067" s="3" t="s">
        <v>13</v>
      </c>
      <c r="J14067" s="3" t="s">
        <v>39964</v>
      </c>
      <c r="K14067" s="3" t="s">
        <v>240</v>
      </c>
      <c r="L14067" s="3" t="str">
        <f>IFERROR(__xludf.DUMMYFUNCTION("GOOGLETRANSLATE(F14067,""id"",""en"")"),"Guys Haechan Supports France or Gmn because when I sent you about pildun after Agegen won he just shut up")</f>
        <v>Guys Haechan Supports France or Gmn because when I sent you about pildun after Agegen won he just shut up</v>
      </c>
    </row>
    <row r="14068" ht="15.75" customHeight="1">
      <c r="A14068" s="1">
        <v>15551.0</v>
      </c>
      <c r="B14068" s="3" t="s">
        <v>39965</v>
      </c>
      <c r="C14068" s="3">
        <v>0.0</v>
      </c>
      <c r="D14068" s="3">
        <v>0.0</v>
      </c>
      <c r="E14068" s="3">
        <v>0.0</v>
      </c>
      <c r="F14068" s="3" t="s">
        <v>39966</v>
      </c>
      <c r="G14068" s="3">
        <v>0.0</v>
      </c>
      <c r="H14068" s="3">
        <v>0.0</v>
      </c>
      <c r="I14068" s="3" t="s">
        <v>13</v>
      </c>
      <c r="J14068" s="3" t="s">
        <v>39967</v>
      </c>
      <c r="K14068" s="3" t="s">
        <v>644</v>
      </c>
      <c r="L14068" s="3" t="str">
        <f>IFERROR(__xludf.DUMMYFUNCTION("GOOGLETRANSLATE(F14068,""id"",""en"")"),"bang joni argen won wkwk")</f>
        <v>bang joni argen won wkwk</v>
      </c>
    </row>
    <row r="14069" ht="15.75" customHeight="1">
      <c r="A14069" s="1">
        <v>15552.0</v>
      </c>
      <c r="B14069" s="3" t="s">
        <v>39968</v>
      </c>
      <c r="C14069" s="3">
        <v>2.0</v>
      </c>
      <c r="D14069" s="3">
        <v>0.0</v>
      </c>
      <c r="E14069" s="3">
        <v>7.0</v>
      </c>
      <c r="F14069" s="3" t="s">
        <v>39969</v>
      </c>
      <c r="G14069" s="3">
        <v>0.0</v>
      </c>
      <c r="H14069" s="3">
        <v>0.0</v>
      </c>
      <c r="I14069" s="3" t="s">
        <v>13</v>
      </c>
      <c r="J14069" s="3" t="s">
        <v>39970</v>
      </c>
      <c r="K14069" s="3" t="s">
        <v>41</v>
      </c>
      <c r="L14069" s="3" t="str">
        <f>IFERROR(__xludf.DUMMYFUNCTION("GOOGLETRANSLATE(F14069,""id"",""en"")"),"Incidentally, Argen won yesterday Gonna Watch this Documentary")</f>
        <v>Incidentally, Argen won yesterday Gonna Watch this Documentary</v>
      </c>
    </row>
    <row r="14070" ht="15.75" customHeight="1">
      <c r="A14070" s="1">
        <v>15553.0</v>
      </c>
      <c r="B14070" s="3" t="s">
        <v>39971</v>
      </c>
      <c r="C14070" s="3">
        <v>0.0</v>
      </c>
      <c r="D14070" s="3">
        <v>0.0</v>
      </c>
      <c r="E14070" s="3">
        <v>2.0</v>
      </c>
      <c r="F14070" s="3" t="s">
        <v>39972</v>
      </c>
      <c r="G14070" s="3">
        <v>0.0</v>
      </c>
      <c r="H14070" s="3">
        <v>0.0</v>
      </c>
      <c r="I14070" s="3" t="s">
        <v>13</v>
      </c>
      <c r="J14070" s="3" t="s">
        <v>39973</v>
      </c>
      <c r="K14070" s="3" t="s">
        <v>123</v>
      </c>
      <c r="L14070" s="3" t="str">
        <f>IFERROR(__xludf.DUMMYFUNCTION("GOOGLETRANSLATE(F14070,""id"",""en"")"),"surely there are other arguments, how come the settings have loses destiny for Agen to win pildun but accused of settings")</f>
        <v>surely there are other arguments, how come the settings have loses destiny for Agen to win pildun but accused of settings</v>
      </c>
    </row>
    <row r="14071" ht="15.75" customHeight="1">
      <c r="A14071" s="1">
        <v>15554.0</v>
      </c>
      <c r="B14071" s="3" t="s">
        <v>39974</v>
      </c>
      <c r="C14071" s="3">
        <v>1.0</v>
      </c>
      <c r="D14071" s="3">
        <v>0.0</v>
      </c>
      <c r="E14071" s="3">
        <v>0.0</v>
      </c>
      <c r="F14071" s="3" t="s">
        <v>39975</v>
      </c>
      <c r="G14071" s="3">
        <v>0.0</v>
      </c>
      <c r="H14071" s="3">
        <v>0.0</v>
      </c>
      <c r="I14071" s="3" t="s">
        <v>13</v>
      </c>
      <c r="J14071" s="3" t="s">
        <v>39976</v>
      </c>
      <c r="K14071" s="3" t="s">
        <v>2117</v>
      </c>
      <c r="L14071" s="3" t="str">
        <f>IFERROR(__xludf.DUMMYFUNCTION("GOOGLETRANSLATE(F14071,""id"",""en"")"),"AGGE HOLIDAYS WINE AGAIN")</f>
        <v>AGGE HOLIDAYS WINE AGAIN</v>
      </c>
    </row>
    <row r="14072" ht="15.75" customHeight="1">
      <c r="A14072" s="1">
        <v>15555.0</v>
      </c>
      <c r="B14072" s="3" t="s">
        <v>39977</v>
      </c>
      <c r="C14072" s="3">
        <v>0.0</v>
      </c>
      <c r="D14072" s="3">
        <v>0.0</v>
      </c>
      <c r="E14072" s="3">
        <v>0.0</v>
      </c>
      <c r="F14072" s="3" t="s">
        <v>39978</v>
      </c>
      <c r="G14072" s="3">
        <v>0.0</v>
      </c>
      <c r="H14072" s="3">
        <v>0.0</v>
      </c>
      <c r="I14072" s="3" t="s">
        <v>13</v>
      </c>
      <c r="J14072" s="3" t="s">
        <v>39979</v>
      </c>
      <c r="K14072" s="3" t="s">
        <v>27</v>
      </c>
      <c r="L14072" s="3" t="str">
        <f>IFERROR(__xludf.DUMMYFUNCTION("GOOGLETRANSLATE(F14072,""id"",""en"")"),"Wahh the AGGE effect wins then continues to be very good for me, I am cute, this is still a mainstay of the zeejkt kenape, cpt twit cil twit")</f>
        <v>Wahh the AGGE effect wins then continues to be very good for me, I am cute, this is still a mainstay of the zeejkt kenape, cpt twit cil twit</v>
      </c>
    </row>
    <row r="14073" ht="15.75" customHeight="1">
      <c r="A14073" s="1">
        <v>15556.0</v>
      </c>
      <c r="B14073" s="3" t="s">
        <v>39980</v>
      </c>
      <c r="C14073" s="3">
        <v>1.0</v>
      </c>
      <c r="D14073" s="3">
        <v>0.0</v>
      </c>
      <c r="E14073" s="3">
        <v>0.0</v>
      </c>
      <c r="F14073" s="3" t="s">
        <v>39981</v>
      </c>
      <c r="G14073" s="3">
        <v>0.0</v>
      </c>
      <c r="H14073" s="3">
        <v>0.0</v>
      </c>
      <c r="I14073" s="3" t="s">
        <v>13</v>
      </c>
      <c r="J14073" s="3" t="s">
        <v>39982</v>
      </c>
      <c r="K14073" s="3" t="s">
        <v>322</v>
      </c>
      <c r="L14073" s="3" t="str">
        <f>IFERROR(__xludf.DUMMYFUNCTION("GOOGLETRANSLATE(F14073,""id"",""en"")"),"Biy Agen wins the betting either")</f>
        <v>Biy Agen wins the betting either</v>
      </c>
    </row>
    <row r="14074" ht="15.75" customHeight="1">
      <c r="A14074" s="1">
        <v>15557.0</v>
      </c>
      <c r="B14074" s="3" t="s">
        <v>39983</v>
      </c>
      <c r="C14074" s="3">
        <v>0.0</v>
      </c>
      <c r="D14074" s="3">
        <v>0.0</v>
      </c>
      <c r="E14074" s="3">
        <v>0.0</v>
      </c>
      <c r="F14074" s="3" t="s">
        <v>39984</v>
      </c>
      <c r="G14074" s="3">
        <v>1.0</v>
      </c>
      <c r="H14074" s="3">
        <v>0.0</v>
      </c>
      <c r="I14074" s="3" t="s">
        <v>13</v>
      </c>
      <c r="J14074" s="3" t="s">
        <v>39985</v>
      </c>
      <c r="K14074" s="3" t="s">
        <v>75</v>
      </c>
      <c r="L14074" s="3" t="str">
        <f>IFERROR(__xludf.DUMMYFUNCTION("GOOGLETRANSLATE(F14074,""id"",""en"")"),"staying up late just to see the final but sleep because he was sure that Agen won")</f>
        <v>staying up late just to see the final but sleep because he was sure that Agen won</v>
      </c>
    </row>
    <row r="14075" ht="15.75" customHeight="1">
      <c r="A14075" s="1">
        <v>15558.0</v>
      </c>
      <c r="B14075" s="3" t="s">
        <v>39986</v>
      </c>
      <c r="C14075" s="3">
        <v>1.0</v>
      </c>
      <c r="D14075" s="3">
        <v>0.0</v>
      </c>
      <c r="E14075" s="3">
        <v>0.0</v>
      </c>
      <c r="F14075" s="3" t="s">
        <v>39987</v>
      </c>
      <c r="G14075" s="3">
        <v>0.0</v>
      </c>
      <c r="H14075" s="3">
        <v>0.0</v>
      </c>
      <c r="I14075" s="3" t="s">
        <v>13</v>
      </c>
      <c r="J14075" s="3" t="s">
        <v>39988</v>
      </c>
      <c r="K14075" s="3" t="s">
        <v>71</v>
      </c>
      <c r="L14075" s="3" t="str">
        <f>IFERROR(__xludf.DUMMYFUNCTION("GOOGLETRANSLATE(F14075,""id"",""en"")"),"Dateng Office Udh Banyk Food I thought Gift Christmas turned out to be after winning the Agegen Bangsat jeti")</f>
        <v>Dateng Office Udh Banyk Food I thought Gift Christmas turned out to be after winning the Agegen Bangsat jeti</v>
      </c>
    </row>
    <row r="14076" ht="15.75" customHeight="1">
      <c r="A14076" s="1">
        <v>15559.0</v>
      </c>
      <c r="B14076" s="3" t="s">
        <v>39989</v>
      </c>
      <c r="C14076" s="3">
        <v>0.0</v>
      </c>
      <c r="D14076" s="3">
        <v>0.0</v>
      </c>
      <c r="E14076" s="3">
        <v>0.0</v>
      </c>
      <c r="F14076" s="3" t="s">
        <v>39990</v>
      </c>
      <c r="G14076" s="3">
        <v>0.0</v>
      </c>
      <c r="H14076" s="3">
        <v>0.0</v>
      </c>
      <c r="I14076" s="3" t="s">
        <v>13</v>
      </c>
      <c r="J14076" s="3" t="s">
        <v>39991</v>
      </c>
      <c r="K14076" s="3" t="s">
        <v>54</v>
      </c>
      <c r="L14076" s="3" t="str">
        <f>IFERROR(__xludf.DUMMYFUNCTION("GOOGLETRANSLATE(F14076,""id"",""en"")"),"Right ARGEN SPORT RAME WATUE WKWKWK")</f>
        <v>Right ARGEN SPORT RAME WATUE WKWKWK</v>
      </c>
    </row>
    <row r="14077" ht="15.75" customHeight="1">
      <c r="A14077" s="1">
        <v>15560.0</v>
      </c>
      <c r="B14077" s="3" t="s">
        <v>39992</v>
      </c>
      <c r="C14077" s="3">
        <v>1.0</v>
      </c>
      <c r="D14077" s="3">
        <v>0.0</v>
      </c>
      <c r="E14077" s="3">
        <v>0.0</v>
      </c>
      <c r="F14077" s="3" t="s">
        <v>39993</v>
      </c>
      <c r="G14077" s="3">
        <v>1.0</v>
      </c>
      <c r="H14077" s="3">
        <v>0.8</v>
      </c>
      <c r="I14077" s="3" t="s">
        <v>48</v>
      </c>
      <c r="J14077" s="3" t="s">
        <v>39994</v>
      </c>
      <c r="K14077" s="3" t="s">
        <v>50</v>
      </c>
      <c r="L14077" s="3" t="str">
        <f>IFERROR(__xludf.DUMMYFUNCTION("GOOGLETRANSLATE(F14077,""id"",""en"")"),"why do you often smile alone after Argen wins iki vibes happy")</f>
        <v>why do you often smile alone after Argen wins iki vibes happy</v>
      </c>
    </row>
    <row r="14078" ht="15.75" customHeight="1">
      <c r="A14078" s="1">
        <v>15561.0</v>
      </c>
      <c r="B14078" s="3" t="s">
        <v>39995</v>
      </c>
      <c r="C14078" s="3">
        <v>2.0</v>
      </c>
      <c r="D14078" s="3">
        <v>0.0</v>
      </c>
      <c r="E14078" s="3">
        <v>0.0</v>
      </c>
      <c r="F14078" s="3" t="s">
        <v>39996</v>
      </c>
      <c r="G14078" s="3">
        <v>0.0</v>
      </c>
      <c r="H14078" s="3">
        <v>0.0</v>
      </c>
      <c r="I14078" s="3" t="s">
        <v>13</v>
      </c>
      <c r="J14078" s="3" t="s">
        <v>39997</v>
      </c>
      <c r="K14078" s="3" t="s">
        <v>41</v>
      </c>
      <c r="L14078" s="3" t="str">
        <f>IFERROR(__xludf.DUMMYFUNCTION("GOOGLETRANSLATE(F14078,""id"",""en"")"),"after Agen won my tiktok I contents Messi and Mulu")</f>
        <v>after Agen won my tiktok I contents Messi and Mulu</v>
      </c>
    </row>
    <row r="14079" ht="15.75" customHeight="1">
      <c r="A14079" s="1">
        <v>15562.0</v>
      </c>
      <c r="B14079" s="3" t="s">
        <v>39998</v>
      </c>
      <c r="C14079" s="3">
        <v>1.0</v>
      </c>
      <c r="D14079" s="3">
        <v>0.0</v>
      </c>
      <c r="E14079" s="3">
        <v>0.0</v>
      </c>
      <c r="F14079" s="3" t="s">
        <v>39999</v>
      </c>
      <c r="G14079" s="3">
        <v>0.0</v>
      </c>
      <c r="H14079" s="3">
        <v>0.0</v>
      </c>
      <c r="I14079" s="3" t="s">
        <v>13</v>
      </c>
      <c r="J14079" s="3" t="s">
        <v>40000</v>
      </c>
      <c r="K14079" s="3" t="s">
        <v>41</v>
      </c>
      <c r="L14079" s="3" t="str">
        <f>IFERROR(__xludf.DUMMYFUNCTION("GOOGLETRANSLATE(F14079,""id"",""en"")"),"not blio not enthu but says argen wins my cheating directly")</f>
        <v>not blio not enthu but says argen wins my cheating directly</v>
      </c>
    </row>
    <row r="14080" ht="15.75" customHeight="1">
      <c r="A14080" s="1">
        <v>15563.0</v>
      </c>
      <c r="B14080" s="3" t="s">
        <v>40001</v>
      </c>
      <c r="C14080" s="3">
        <v>1.0</v>
      </c>
      <c r="D14080" s="3">
        <v>0.0</v>
      </c>
      <c r="E14080" s="3">
        <v>0.0</v>
      </c>
      <c r="F14080" s="3" t="s">
        <v>40002</v>
      </c>
      <c r="G14080" s="3">
        <v>0.0</v>
      </c>
      <c r="H14080" s="3">
        <v>0.0</v>
      </c>
      <c r="I14080" s="3" t="s">
        <v>13</v>
      </c>
      <c r="J14080" s="3" t="s">
        <v>40003</v>
      </c>
      <c r="K14080" s="3" t="s">
        <v>2117</v>
      </c>
      <c r="L14080" s="3" t="str">
        <f>IFERROR(__xludf.DUMMYFUNCTION("GOOGLETRANSLATE(F14080,""id"",""en"")"),"Agegen won OMMMM")</f>
        <v>Agegen won OMMMM</v>
      </c>
    </row>
    <row r="14081" ht="15.75" customHeight="1">
      <c r="A14081" s="1">
        <v>15564.0</v>
      </c>
      <c r="B14081" s="3" t="s">
        <v>40004</v>
      </c>
      <c r="C14081" s="3">
        <v>0.0</v>
      </c>
      <c r="D14081" s="3">
        <v>0.0</v>
      </c>
      <c r="E14081" s="3">
        <v>0.0</v>
      </c>
      <c r="F14081" s="3" t="s">
        <v>40005</v>
      </c>
      <c r="G14081" s="3">
        <v>0.0</v>
      </c>
      <c r="H14081" s="3">
        <v>0.0</v>
      </c>
      <c r="I14081" s="3" t="s">
        <v>13</v>
      </c>
      <c r="J14081" s="3" t="s">
        <v>40006</v>
      </c>
      <c r="K14081" s="3" t="s">
        <v>31</v>
      </c>
      <c r="L14081" s="3" t="str">
        <f>IFERROR(__xludf.DUMMYFUNCTION("GOOGLETRANSLATE(F14081,""id"",""en"")"),"Aman Agegen won anjay")</f>
        <v>Aman Agegen won anjay</v>
      </c>
    </row>
    <row r="14082" ht="15.75" customHeight="1">
      <c r="A14082" s="1">
        <v>15565.0</v>
      </c>
      <c r="B14082" s="3" t="s">
        <v>40007</v>
      </c>
      <c r="C14082" s="3">
        <v>0.0</v>
      </c>
      <c r="D14082" s="3">
        <v>0.0</v>
      </c>
      <c r="E14082" s="3">
        <v>0.0</v>
      </c>
      <c r="F14082" s="3" t="s">
        <v>40008</v>
      </c>
      <c r="G14082" s="3">
        <v>0.0</v>
      </c>
      <c r="H14082" s="3">
        <v>0.0</v>
      </c>
      <c r="I14082" s="3" t="s">
        <v>13</v>
      </c>
      <c r="J14082" s="3" t="s">
        <v>40009</v>
      </c>
      <c r="K14082" s="3" t="s">
        <v>715</v>
      </c>
      <c r="L14082" s="3" t="str">
        <f>IFERROR(__xludf.DUMMYFUNCTION("GOOGLETRANSLATE(F14082,""id"",""en"")"),"Want Agen to win want Messi to lift the trophy to want Martinez Naro Cup dick if he is not equally defeated")</f>
        <v>Want Agen to win want Messi to lift the trophy to want Martinez Naro Cup dick if he is not equally defeated</v>
      </c>
    </row>
    <row r="14083" ht="15.75" customHeight="1">
      <c r="A14083" s="1">
        <v>15566.0</v>
      </c>
      <c r="B14083" s="3" t="s">
        <v>40010</v>
      </c>
      <c r="C14083" s="3">
        <v>0.0</v>
      </c>
      <c r="D14083" s="3">
        <v>0.0</v>
      </c>
      <c r="E14083" s="3">
        <v>1.0</v>
      </c>
      <c r="F14083" s="3" t="s">
        <v>40011</v>
      </c>
      <c r="G14083" s="3">
        <v>0.75</v>
      </c>
      <c r="H14083" s="3">
        <v>0.3</v>
      </c>
      <c r="I14083" s="3" t="s">
        <v>48</v>
      </c>
      <c r="J14083" s="3" t="s">
        <v>40012</v>
      </c>
      <c r="K14083" s="3" t="s">
        <v>71</v>
      </c>
      <c r="L14083" s="3" t="str">
        <f>IFERROR(__xludf.DUMMYFUNCTION("GOOGLETRANSLATE(F14083,""id"",""en"")"),"If only Handball French players Waro Agen will win and Messi will be top scorer with Mbappe Wow")</f>
        <v>If only Handball French players Waro Agen will win and Messi will be top scorer with Mbappe Wow</v>
      </c>
    </row>
    <row r="14084" ht="15.75" customHeight="1">
      <c r="A14084" s="1">
        <v>15567.0</v>
      </c>
      <c r="B14084" s="3" t="s">
        <v>40013</v>
      </c>
      <c r="C14084" s="3">
        <v>0.0</v>
      </c>
      <c r="D14084" s="3">
        <v>0.0</v>
      </c>
      <c r="E14084" s="3">
        <v>0.0</v>
      </c>
      <c r="F14084" s="3" t="s">
        <v>40014</v>
      </c>
      <c r="G14084" s="3">
        <v>0.0</v>
      </c>
      <c r="H14084" s="3">
        <v>0.0</v>
      </c>
      <c r="I14084" s="3" t="s">
        <v>13</v>
      </c>
      <c r="J14084" s="3" t="s">
        <v>40015</v>
      </c>
      <c r="K14084" s="3" t="s">
        <v>31</v>
      </c>
      <c r="L14084" s="3" t="str">
        <f>IFERROR(__xludf.DUMMYFUNCTION("GOOGLETRANSLATE(F14084,""id"",""en"")"),"earlier it came in because the one who won argen")</f>
        <v>earlier it came in because the one who won argen</v>
      </c>
    </row>
    <row r="14085" ht="15.75" customHeight="1">
      <c r="A14085" s="1">
        <v>15568.0</v>
      </c>
      <c r="B14085" s="3" t="s">
        <v>40016</v>
      </c>
      <c r="C14085" s="3">
        <v>0.0</v>
      </c>
      <c r="D14085" s="3">
        <v>0.0</v>
      </c>
      <c r="E14085" s="3">
        <v>0.0</v>
      </c>
      <c r="F14085" s="3" t="s">
        <v>40017</v>
      </c>
      <c r="G14085" s="3">
        <v>0.0</v>
      </c>
      <c r="H14085" s="3">
        <v>0.0</v>
      </c>
      <c r="I14085" s="3" t="s">
        <v>13</v>
      </c>
      <c r="J14085" s="3" t="s">
        <v>40018</v>
      </c>
      <c r="K14085" s="3" t="s">
        <v>75</v>
      </c>
      <c r="L14085" s="3" t="str">
        <f>IFERROR(__xludf.DUMMYFUNCTION("GOOGLETRANSLATE(F14085,""id"",""en"")"),"Agegen's bastard won, the dream turned out to be really yesterday")</f>
        <v>Agegen's bastard won, the dream turned out to be really yesterday</v>
      </c>
    </row>
    <row r="14086" ht="15.75" customHeight="1">
      <c r="A14086" s="1">
        <v>15570.0</v>
      </c>
      <c r="B14086" s="3" t="s">
        <v>40019</v>
      </c>
      <c r="C14086" s="3">
        <v>0.0</v>
      </c>
      <c r="D14086" s="3">
        <v>0.0</v>
      </c>
      <c r="E14086" s="3">
        <v>0.0</v>
      </c>
      <c r="F14086" s="3" t="s">
        <v>40020</v>
      </c>
      <c r="G14086" s="3">
        <v>0.0</v>
      </c>
      <c r="H14086" s="3">
        <v>0.0</v>
      </c>
      <c r="I14086" s="3" t="s">
        <v>13</v>
      </c>
      <c r="J14086" s="3" t="s">
        <v>40021</v>
      </c>
      <c r="K14086" s="3" t="s">
        <v>54</v>
      </c>
      <c r="L14086" s="3" t="str">
        <f>IFERROR(__xludf.DUMMYFUNCTION("GOOGLETRANSLATE(F14086,""id"",""en"")"),"weh argen won because of the penalty")</f>
        <v>weh argen won because of the penalty</v>
      </c>
    </row>
    <row r="14087" ht="15.75" customHeight="1">
      <c r="A14087" s="1">
        <v>15571.0</v>
      </c>
      <c r="B14087" s="3" t="s">
        <v>40022</v>
      </c>
      <c r="C14087" s="3">
        <v>1.0</v>
      </c>
      <c r="D14087" s="3">
        <v>0.0</v>
      </c>
      <c r="E14087" s="3">
        <v>0.0</v>
      </c>
      <c r="F14087" s="3" t="s">
        <v>40023</v>
      </c>
      <c r="G14087" s="3">
        <v>1.0</v>
      </c>
      <c r="H14087" s="3">
        <v>0.0</v>
      </c>
      <c r="I14087" s="3" t="s">
        <v>13</v>
      </c>
      <c r="J14087" s="3" t="s">
        <v>40024</v>
      </c>
      <c r="K14087" s="3" t="s">
        <v>675</v>
      </c>
      <c r="L14087" s="3" t="str">
        <f>IFERROR(__xludf.DUMMYFUNCTION("GOOGLETRANSLATE(F14087,""id"",""en"")"),"Final Night TDI is among the best final but the most exciting match is still when fighting Dutch exciting Psywar is a fighting ARGEN player, really to win the celebration, still teasing the opponent")</f>
        <v>Final Night TDI is among the best final but the most exciting match is still when fighting Dutch exciting Psywar is a fighting ARGEN player, really to win the celebration, still teasing the opponent</v>
      </c>
    </row>
    <row r="14088" ht="15.75" customHeight="1">
      <c r="A14088" s="1">
        <v>15572.0</v>
      </c>
      <c r="B14088" s="3" t="s">
        <v>40025</v>
      </c>
      <c r="C14088" s="3">
        <v>0.0</v>
      </c>
      <c r="D14088" s="3">
        <v>0.0</v>
      </c>
      <c r="E14088" s="3">
        <v>0.0</v>
      </c>
      <c r="F14088" s="3" t="s">
        <v>40026</v>
      </c>
      <c r="G14088" s="3">
        <v>0.3333333333333333</v>
      </c>
      <c r="H14088" s="3">
        <v>0.1666666666666667</v>
      </c>
      <c r="I14088" s="3" t="s">
        <v>48</v>
      </c>
      <c r="J14088" s="3" t="s">
        <v>40027</v>
      </c>
      <c r="K14088" s="3" t="s">
        <v>149</v>
      </c>
      <c r="L14088" s="3" t="str">
        <f>IFERROR(__xludf.DUMMYFUNCTION("GOOGLETRANSLATE(F14088,""id"",""en"")"),"wkwk yes argen must win sii because the last Messi plays pildun and will be fully supported to win with other players so the playing is rather grasak grusukk")</f>
        <v>wkwk yes argen must win sii because the last Messi plays pildun and will be fully supported to win with other players so the playing is rather grasak grusukk</v>
      </c>
    </row>
    <row r="14089" ht="15.75" customHeight="1">
      <c r="A14089" s="1">
        <v>15573.0</v>
      </c>
      <c r="B14089" s="3" t="s">
        <v>40028</v>
      </c>
      <c r="C14089" s="3">
        <v>0.0</v>
      </c>
      <c r="D14089" s="3">
        <v>0.0</v>
      </c>
      <c r="E14089" s="3">
        <v>0.0</v>
      </c>
      <c r="F14089" s="3" t="s">
        <v>40029</v>
      </c>
      <c r="G14089" s="3">
        <v>0.0</v>
      </c>
      <c r="H14089" s="3">
        <v>0.0</v>
      </c>
      <c r="I14089" s="3" t="s">
        <v>13</v>
      </c>
      <c r="J14089" s="3" t="s">
        <v>40030</v>
      </c>
      <c r="K14089" s="3" t="s">
        <v>6752</v>
      </c>
      <c r="L14089" s="3" t="str">
        <f>IFERROR(__xludf.DUMMYFUNCTION("GOOGLETRANSLATE(F14089,""id"",""en"")"),"Support France Winning Supports ARGEN WIN")</f>
        <v>Support France Winning Supports ARGEN WIN</v>
      </c>
    </row>
    <row r="14090" ht="15.75" customHeight="1">
      <c r="A14090" s="1">
        <v>15574.0</v>
      </c>
      <c r="B14090" s="3" t="s">
        <v>40031</v>
      </c>
      <c r="C14090" s="3">
        <v>0.0</v>
      </c>
      <c r="D14090" s="3">
        <v>0.0</v>
      </c>
      <c r="E14090" s="3">
        <v>0.0</v>
      </c>
      <c r="F14090" s="3" t="s">
        <v>40032</v>
      </c>
      <c r="G14090" s="3">
        <v>0.0</v>
      </c>
      <c r="H14090" s="3">
        <v>0.0</v>
      </c>
      <c r="I14090" s="3" t="s">
        <v>13</v>
      </c>
      <c r="J14090" s="3" t="s">
        <v>40033</v>
      </c>
      <c r="K14090" s="3" t="s">
        <v>82</v>
      </c>
      <c r="L14090" s="3" t="str">
        <f>IFERROR(__xludf.DUMMYFUNCTION("GOOGLETRANSLATE(F14090,""id"",""en"")"),"Bang Ronaldo the reaction was how when Argen won")</f>
        <v>Bang Ronaldo the reaction was how when Argen won</v>
      </c>
    </row>
    <row r="14091" ht="15.75" customHeight="1">
      <c r="A14091" s="1">
        <v>15576.0</v>
      </c>
      <c r="B14091" s="3" t="s">
        <v>40034</v>
      </c>
      <c r="C14091" s="3">
        <v>0.0</v>
      </c>
      <c r="D14091" s="3">
        <v>0.0</v>
      </c>
      <c r="E14091" s="3">
        <v>0.0</v>
      </c>
      <c r="F14091" s="3" t="s">
        <v>40035</v>
      </c>
      <c r="G14091" s="3">
        <v>0.0</v>
      </c>
      <c r="H14091" s="3">
        <v>0.0</v>
      </c>
      <c r="I14091" s="3" t="s">
        <v>13</v>
      </c>
      <c r="J14091" s="3" t="s">
        <v>40036</v>
      </c>
      <c r="K14091" s="3" t="s">
        <v>657</v>
      </c>
      <c r="L14091" s="3" t="str">
        <f>IFERROR(__xludf.DUMMYFUNCTION("GOOGLETRANSLATE(F14091,""id"",""en"")"),"observed French players log out social media first soale a little bit of a fanfare argen won pilduun")</f>
        <v>observed French players log out social media first soale a little bit of a fanfare argen won pilduun</v>
      </c>
    </row>
    <row r="14092" ht="15.75" customHeight="1">
      <c r="A14092" s="1">
        <v>15577.0</v>
      </c>
      <c r="B14092" s="3" t="s">
        <v>40037</v>
      </c>
      <c r="C14092" s="3">
        <v>1.0</v>
      </c>
      <c r="D14092" s="3">
        <v>0.0</v>
      </c>
      <c r="E14092" s="3">
        <v>0.0</v>
      </c>
      <c r="F14092" s="3" t="s">
        <v>40038</v>
      </c>
      <c r="G14092" s="3">
        <v>0.0</v>
      </c>
      <c r="H14092" s="3">
        <v>0.0</v>
      </c>
      <c r="I14092" s="3" t="s">
        <v>13</v>
      </c>
      <c r="J14092" s="3" t="s">
        <v>40039</v>
      </c>
      <c r="K14092" s="3" t="s">
        <v>165</v>
      </c>
      <c r="L14092" s="3" t="str">
        <f>IFERROR(__xludf.DUMMYFUNCTION("GOOGLETRANSLATE(F14092,""id"",""en"")"),"Cheating, sir, try to see below that FRANCE, FRANE, KWKWKW REFERENCES CLEAR FRANCE FINALTI KWKWKW WHAT LGI finally won the final shooting where the cheating Cuq was wrong, who else was the clear audience that was clear")</f>
        <v>Cheating, sir, try to see below that FRANCE, FRANE, KWKWKW REFERENCES CLEAR FRANCE FINALTI KWKWKW WHAT LGI finally won the final shooting where the cheating Cuq was wrong, who else was the clear audience that was clear</v>
      </c>
    </row>
    <row r="14093" ht="15.75" customHeight="1">
      <c r="A14093" s="1">
        <v>15578.0</v>
      </c>
      <c r="B14093" s="3" t="s">
        <v>40040</v>
      </c>
      <c r="C14093" s="3">
        <v>0.0</v>
      </c>
      <c r="D14093" s="3">
        <v>0.0</v>
      </c>
      <c r="E14093" s="3">
        <v>0.0</v>
      </c>
      <c r="F14093" s="3" t="s">
        <v>40041</v>
      </c>
      <c r="G14093" s="3">
        <v>0.0</v>
      </c>
      <c r="H14093" s="3">
        <v>0.0</v>
      </c>
      <c r="I14093" s="3" t="s">
        <v>13</v>
      </c>
      <c r="J14093" s="3" t="s">
        <v>40042</v>
      </c>
      <c r="K14093" s="3" t="s">
        <v>3497</v>
      </c>
      <c r="L14093" s="3" t="str">
        <f>IFERROR(__xludf.DUMMYFUNCTION("GOOGLETRANSLATE(F14093,""id"",""en"")"),"because Agen won yowess argen lahh")</f>
        <v>because Agen won yowess argen lahh</v>
      </c>
    </row>
    <row r="14094" ht="15.75" customHeight="1">
      <c r="A14094" s="1">
        <v>15579.0</v>
      </c>
      <c r="B14094" s="3" t="s">
        <v>40043</v>
      </c>
      <c r="C14094" s="3">
        <v>1.0</v>
      </c>
      <c r="D14094" s="3">
        <v>0.0</v>
      </c>
      <c r="E14094" s="3">
        <v>0.0</v>
      </c>
      <c r="F14094" s="3" t="s">
        <v>40044</v>
      </c>
      <c r="G14094" s="3">
        <v>0.0</v>
      </c>
      <c r="H14094" s="3">
        <v>0.0</v>
      </c>
      <c r="I14094" s="3" t="s">
        <v>13</v>
      </c>
      <c r="J14094" s="3" t="s">
        <v>40045</v>
      </c>
      <c r="K14094" s="3" t="s">
        <v>31</v>
      </c>
      <c r="L14094" s="3" t="str">
        <f>IFERROR(__xludf.DUMMYFUNCTION("GOOGLETRANSLATE(F14094,""id"",""en"")"),"in frustration maybe bro agen won wkwk")</f>
        <v>in frustration maybe bro agen won wkwk</v>
      </c>
    </row>
    <row r="14095" ht="15.75" customHeight="1">
      <c r="A14095" s="1">
        <v>15580.0</v>
      </c>
      <c r="B14095" s="3" t="s">
        <v>40046</v>
      </c>
      <c r="C14095" s="3">
        <v>0.0</v>
      </c>
      <c r="D14095" s="3">
        <v>0.0</v>
      </c>
      <c r="E14095" s="3">
        <v>0.0</v>
      </c>
      <c r="F14095" s="3" t="s">
        <v>40047</v>
      </c>
      <c r="G14095" s="3">
        <v>0.0</v>
      </c>
      <c r="H14095" s="3">
        <v>0.0</v>
      </c>
      <c r="I14095" s="3" t="s">
        <v>13</v>
      </c>
      <c r="J14095" s="3" t="s">
        <v>40048</v>
      </c>
      <c r="K14095" s="3" t="s">
        <v>41</v>
      </c>
      <c r="L14095" s="3" t="str">
        <f>IFERROR(__xludf.DUMMYFUNCTION("GOOGLETRANSLATE(F14095,""id"",""en"")"),"I say what AGGA wins because it matches the cool time")</f>
        <v>I say what AGGA wins because it matches the cool time</v>
      </c>
    </row>
    <row r="14096" ht="15.75" customHeight="1">
      <c r="A14096" s="1">
        <v>15581.0</v>
      </c>
      <c r="B14096" s="3" t="s">
        <v>40049</v>
      </c>
      <c r="C14096" s="3">
        <v>0.0</v>
      </c>
      <c r="D14096" s="3">
        <v>0.0</v>
      </c>
      <c r="E14096" s="3">
        <v>1.0</v>
      </c>
      <c r="F14096" s="3" t="s">
        <v>40050</v>
      </c>
      <c r="G14096" s="3">
        <v>0.0</v>
      </c>
      <c r="H14096" s="3">
        <v>0.0</v>
      </c>
      <c r="I14096" s="3" t="s">
        <v>13</v>
      </c>
      <c r="J14096" s="3" t="s">
        <v>40051</v>
      </c>
      <c r="K14096" s="3" t="s">
        <v>15</v>
      </c>
      <c r="L14096" s="3" t="str">
        <f>IFERROR(__xludf.DUMMYFUNCTION("GOOGLETRANSLATE(F14096,""id"",""en"")"),"The all ARGEN France must have lost a lot of BANDAR won a lot")</f>
        <v>The all ARGEN France must have lost a lot of BANDAR won a lot</v>
      </c>
    </row>
    <row r="14097" ht="15.75" customHeight="1">
      <c r="A14097" s="1">
        <v>15582.0</v>
      </c>
      <c r="B14097" s="3" t="s">
        <v>40052</v>
      </c>
      <c r="C14097" s="3">
        <v>0.0</v>
      </c>
      <c r="D14097" s="3">
        <v>0.0</v>
      </c>
      <c r="E14097" s="3">
        <v>0.0</v>
      </c>
      <c r="F14097" s="3" t="s">
        <v>40053</v>
      </c>
      <c r="G14097" s="3">
        <v>0.4</v>
      </c>
      <c r="H14097" s="3">
        <v>0.2</v>
      </c>
      <c r="I14097" s="3" t="s">
        <v>48</v>
      </c>
      <c r="J14097" s="3" t="s">
        <v>40054</v>
      </c>
      <c r="K14097" s="3" t="s">
        <v>644</v>
      </c>
      <c r="L14097" s="3" t="str">
        <f>IFERROR(__xludf.DUMMYFUNCTION("GOOGLETRANSLATE(F14097,""id"",""en"")"),"Argen won all hahaha")</f>
        <v>Argen won all hahaha</v>
      </c>
    </row>
    <row r="14098" ht="15.75" customHeight="1">
      <c r="A14098" s="1">
        <v>15583.0</v>
      </c>
      <c r="B14098" s="3" t="s">
        <v>40055</v>
      </c>
      <c r="C14098" s="3">
        <v>0.0</v>
      </c>
      <c r="D14098" s="3">
        <v>0.0</v>
      </c>
      <c r="E14098" s="3">
        <v>0.0</v>
      </c>
      <c r="F14098" s="3" t="s">
        <v>40056</v>
      </c>
      <c r="G14098" s="3">
        <v>0.0</v>
      </c>
      <c r="H14098" s="3">
        <v>0.0</v>
      </c>
      <c r="I14098" s="3" t="s">
        <v>13</v>
      </c>
      <c r="J14098" s="3" t="s">
        <v>40057</v>
      </c>
      <c r="K14098" s="3" t="s">
        <v>41</v>
      </c>
      <c r="L14098" s="3" t="str">
        <f>IFERROR(__xludf.DUMMYFUNCTION("GOOGLETRANSLATE(F14098,""id"",""en"")"),"How do you want Agen or France who win still old people")</f>
        <v>How do you want Agen or France who win still old people</v>
      </c>
    </row>
    <row r="14099" ht="15.75" customHeight="1">
      <c r="A14099" s="1">
        <v>15584.0</v>
      </c>
      <c r="B14099" s="3" t="s">
        <v>40058</v>
      </c>
      <c r="C14099" s="3">
        <v>1.0</v>
      </c>
      <c r="D14099" s="3">
        <v>0.0</v>
      </c>
      <c r="E14099" s="3">
        <v>0.0</v>
      </c>
      <c r="F14099" s="3" t="s">
        <v>40059</v>
      </c>
      <c r="G14099" s="3">
        <v>0.0</v>
      </c>
      <c r="H14099" s="3">
        <v>0.0</v>
      </c>
      <c r="I14099" s="3" t="s">
        <v>13</v>
      </c>
      <c r="J14099" s="3" t="s">
        <v>40060</v>
      </c>
      <c r="K14099" s="3" t="s">
        <v>644</v>
      </c>
      <c r="L14099" s="3" t="str">
        <f>IFERROR(__xludf.DUMMYFUNCTION("GOOGLETRANSLATE(F14099,""id"",""en"")"),"Adh smiled because Agen won or")</f>
        <v>Adh smiled because Agen won or</v>
      </c>
    </row>
    <row r="14100" ht="15.75" customHeight="1">
      <c r="A14100" s="1">
        <v>15585.0</v>
      </c>
      <c r="B14100" s="3" t="s">
        <v>40061</v>
      </c>
      <c r="C14100" s="3">
        <v>4.0</v>
      </c>
      <c r="D14100" s="3">
        <v>0.0</v>
      </c>
      <c r="E14100" s="3">
        <v>0.0</v>
      </c>
      <c r="F14100" s="3" t="s">
        <v>40062</v>
      </c>
      <c r="G14100" s="3">
        <v>0.55</v>
      </c>
      <c r="H14100" s="3">
        <v>0.35</v>
      </c>
      <c r="I14100" s="3" t="s">
        <v>48</v>
      </c>
      <c r="J14100" s="3" t="s">
        <v>40063</v>
      </c>
      <c r="K14100" s="3" t="s">
        <v>236</v>
      </c>
      <c r="L14100" s="3" t="str">
        <f>IFERROR(__xludf.DUMMYFUNCTION("GOOGLETRANSLATE(F14100,""id"",""en"")"),"Liquid Trading Liquid Persib Gambling Wins Argen Full Smile Champion")</f>
        <v>Liquid Trading Liquid Persib Gambling Wins Argen Full Smile Champion</v>
      </c>
    </row>
    <row r="14101" ht="15.75" customHeight="1">
      <c r="A14101" s="1">
        <v>15586.0</v>
      </c>
      <c r="B14101" s="3" t="s">
        <v>40064</v>
      </c>
      <c r="C14101" s="3">
        <v>0.0</v>
      </c>
      <c r="D14101" s="3">
        <v>0.0</v>
      </c>
      <c r="E14101" s="3">
        <v>0.0</v>
      </c>
      <c r="F14101" s="3" t="s">
        <v>40065</v>
      </c>
      <c r="G14101" s="3">
        <v>0.0</v>
      </c>
      <c r="H14101" s="3">
        <v>0.0</v>
      </c>
      <c r="I14101" s="3" t="s">
        <v>13</v>
      </c>
      <c r="J14101" s="3" t="s">
        <v>40066</v>
      </c>
      <c r="K14101" s="3" t="s">
        <v>644</v>
      </c>
      <c r="L14101" s="3" t="str">
        <f>IFERROR(__xludf.DUMMYFUNCTION("GOOGLETRANSLATE(F14101,""id"",""en"")"),"Winning Argen Self Reward")</f>
        <v>Winning Argen Self Reward</v>
      </c>
    </row>
    <row r="14102" ht="15.75" customHeight="1">
      <c r="A14102" s="1">
        <v>15587.0</v>
      </c>
      <c r="B14102" s="3" t="s">
        <v>40067</v>
      </c>
      <c r="C14102" s="3">
        <v>0.0</v>
      </c>
      <c r="D14102" s="3">
        <v>0.0</v>
      </c>
      <c r="E14102" s="3">
        <v>0.0</v>
      </c>
      <c r="F14102" s="3" t="s">
        <v>40068</v>
      </c>
      <c r="G14102" s="3">
        <v>0.0</v>
      </c>
      <c r="H14102" s="3">
        <v>0.0</v>
      </c>
      <c r="I14102" s="3" t="s">
        <v>13</v>
      </c>
      <c r="J14102" s="3" t="s">
        <v>40069</v>
      </c>
      <c r="K14102" s="3" t="s">
        <v>510</v>
      </c>
      <c r="L14102" s="3" t="str">
        <f>IFERROR(__xludf.DUMMYFUNCTION("GOOGLETRANSLATE(F14102,""id"",""en"")"),"at dawn, seeing argen won in the afternoon, he got an arctic ticket hahay Monday, I am waiting for me")</f>
        <v>at dawn, seeing argen won in the afternoon, he got an arctic ticket hahay Monday, I am waiting for me</v>
      </c>
    </row>
    <row r="14103" ht="15.75" customHeight="1">
      <c r="A14103" s="1">
        <v>15588.0</v>
      </c>
      <c r="B14103" s="3" t="s">
        <v>40070</v>
      </c>
      <c r="C14103" s="3">
        <v>0.0</v>
      </c>
      <c r="D14103" s="3">
        <v>0.0</v>
      </c>
      <c r="E14103" s="3">
        <v>0.0</v>
      </c>
      <c r="F14103" s="3" t="s">
        <v>40071</v>
      </c>
      <c r="G14103" s="3">
        <v>0.0</v>
      </c>
      <c r="H14103" s="3">
        <v>0.0</v>
      </c>
      <c r="I14103" s="3" t="s">
        <v>13</v>
      </c>
      <c r="J14103" s="3" t="s">
        <v>40072</v>
      </c>
      <c r="K14103" s="3" t="s">
        <v>510</v>
      </c>
      <c r="L14103" s="3" t="str">
        <f>IFERROR(__xludf.DUMMYFUNCTION("GOOGLETRANSLATE(F14103,""id"",""en"")"),"Gak Sido Cuan Big Problem ARGEN WINDING ADU PENALTY WURUNG NJALUK TRACKER DRAKE WES")</f>
        <v>Gak Sido Cuan Big Problem ARGEN WINDING ADU PENALTY WURUNG NJALUK TRACKER DRAKE WES</v>
      </c>
    </row>
    <row r="14104" ht="15.75" customHeight="1">
      <c r="A14104" s="1">
        <v>15589.0</v>
      </c>
      <c r="B14104" s="3" t="s">
        <v>40073</v>
      </c>
      <c r="C14104" s="3">
        <v>0.0</v>
      </c>
      <c r="D14104" s="3">
        <v>0.0</v>
      </c>
      <c r="E14104" s="3">
        <v>1.0</v>
      </c>
      <c r="F14104" s="3" t="s">
        <v>40074</v>
      </c>
      <c r="G14104" s="3">
        <v>0.0</v>
      </c>
      <c r="H14104" s="3">
        <v>0.0</v>
      </c>
      <c r="I14104" s="3" t="s">
        <v>13</v>
      </c>
      <c r="J14104" s="3" t="s">
        <v>40075</v>
      </c>
      <c r="K14104" s="3" t="s">
        <v>15</v>
      </c>
      <c r="L14104" s="3" t="str">
        <f>IFERROR(__xludf.DUMMYFUNCTION("GOOGLETRANSLATE(F14104,""id"",""en"")"),"Walah Anjir happy today Argen won Jenrina Moment")</f>
        <v>Walah Anjir happy today Argen won Jenrina Moment</v>
      </c>
    </row>
    <row r="14105" ht="15.75" customHeight="1">
      <c r="A14105" s="1">
        <v>15590.0</v>
      </c>
      <c r="B14105" s="3" t="s">
        <v>40076</v>
      </c>
      <c r="C14105" s="3">
        <v>0.0</v>
      </c>
      <c r="D14105" s="3">
        <v>0.0</v>
      </c>
      <c r="E14105" s="3">
        <v>0.0</v>
      </c>
      <c r="F14105" s="3" t="s">
        <v>40077</v>
      </c>
      <c r="G14105" s="3">
        <v>0.0</v>
      </c>
      <c r="H14105" s="3">
        <v>0.0</v>
      </c>
      <c r="I14105" s="3" t="s">
        <v>13</v>
      </c>
      <c r="J14105" s="3" t="s">
        <v>40078</v>
      </c>
      <c r="K14105" s="3" t="s">
        <v>123</v>
      </c>
      <c r="L14105" s="3" t="str">
        <f>IFERROR(__xludf.DUMMYFUNCTION("GOOGLETRANSLATE(F14105,""id"",""en"")"),"I want to show me if I wins it so that I will support the France Penas Hold MSH MSH")</f>
        <v>I want to show me if I wins it so that I will support the France Penas Hold MSH MSH</v>
      </c>
    </row>
    <row r="14106" ht="15.75" customHeight="1">
      <c r="A14106" s="1">
        <v>15591.0</v>
      </c>
      <c r="B14106" s="3" t="s">
        <v>40079</v>
      </c>
      <c r="C14106" s="3">
        <v>0.0</v>
      </c>
      <c r="D14106" s="3">
        <v>0.0</v>
      </c>
      <c r="E14106" s="3">
        <v>0.0</v>
      </c>
      <c r="F14106" s="3" t="s">
        <v>39559</v>
      </c>
      <c r="G14106" s="3">
        <v>0.0</v>
      </c>
      <c r="H14106" s="3">
        <v>0.0</v>
      </c>
      <c r="I14106" s="3" t="s">
        <v>13</v>
      </c>
      <c r="J14106" s="3" t="s">
        <v>39560</v>
      </c>
      <c r="K14106" s="3" t="s">
        <v>14571</v>
      </c>
      <c r="L14106" s="3" t="str">
        <f>IFERROR(__xludf.DUMMYFUNCTION("GOOGLETRANSLATE(F14106,""id"",""en"")"),"Argen won")</f>
        <v>Argen won</v>
      </c>
    </row>
    <row r="14107" ht="15.75" customHeight="1">
      <c r="A14107" s="1">
        <v>15592.0</v>
      </c>
      <c r="B14107" s="3" t="s">
        <v>40080</v>
      </c>
      <c r="C14107" s="3">
        <v>0.0</v>
      </c>
      <c r="D14107" s="3">
        <v>0.0</v>
      </c>
      <c r="E14107" s="3">
        <v>0.0</v>
      </c>
      <c r="F14107" s="3" t="s">
        <v>40081</v>
      </c>
      <c r="G14107" s="3">
        <v>0.0</v>
      </c>
      <c r="H14107" s="3">
        <v>0.0</v>
      </c>
      <c r="I14107" s="3" t="s">
        <v>13</v>
      </c>
      <c r="J14107" s="3" t="s">
        <v>40082</v>
      </c>
      <c r="K14107" s="3" t="s">
        <v>54</v>
      </c>
      <c r="L14107" s="3" t="str">
        <f>IFERROR(__xludf.DUMMYFUNCTION("GOOGLETRANSLATE(F14107,""id"",""en"")"),"Photo of three wins AGEN FEDERATION Australia")</f>
        <v>Photo of three wins AGEN FEDERATION Australia</v>
      </c>
    </row>
    <row r="14108" ht="15.75" customHeight="1">
      <c r="A14108" s="1">
        <v>15593.0</v>
      </c>
      <c r="B14108" s="3" t="s">
        <v>40083</v>
      </c>
      <c r="C14108" s="3">
        <v>0.0</v>
      </c>
      <c r="D14108" s="3">
        <v>0.0</v>
      </c>
      <c r="E14108" s="3">
        <v>0.0</v>
      </c>
      <c r="F14108" s="3" t="s">
        <v>40084</v>
      </c>
      <c r="G14108" s="3">
        <v>0.0</v>
      </c>
      <c r="H14108" s="3">
        <v>0.0</v>
      </c>
      <c r="I14108" s="3" t="s">
        <v>13</v>
      </c>
      <c r="J14108" s="3" t="s">
        <v>40085</v>
      </c>
      <c r="K14108" s="3" t="s">
        <v>644</v>
      </c>
      <c r="L14108" s="3" t="str">
        <f>IFERROR(__xludf.DUMMYFUNCTION("GOOGLETRANSLATE(F14108,""id"",""en"")"),"It's up to winning AGG")</f>
        <v>It's up to winning AGG</v>
      </c>
    </row>
    <row r="14109" ht="15.75" customHeight="1">
      <c r="A14109" s="1">
        <v>15594.0</v>
      </c>
      <c r="B14109" s="3" t="s">
        <v>40086</v>
      </c>
      <c r="C14109" s="3">
        <v>1.0</v>
      </c>
      <c r="D14109" s="3">
        <v>0.0</v>
      </c>
      <c r="E14109" s="3">
        <v>0.0</v>
      </c>
      <c r="F14109" s="3" t="s">
        <v>40087</v>
      </c>
      <c r="G14109" s="3">
        <v>0.0</v>
      </c>
      <c r="H14109" s="3">
        <v>0.0</v>
      </c>
      <c r="I14109" s="3" t="s">
        <v>13</v>
      </c>
      <c r="J14109" s="3" t="s">
        <v>40088</v>
      </c>
      <c r="K14109" s="3" t="s">
        <v>228</v>
      </c>
      <c r="L14109" s="3" t="str">
        <f>IFERROR(__xludf.DUMMYFUNCTION("GOOGLETRANSLATE(F14109,""id"",""en"")"),"Oops Maradona is known for his impact alone being able to lift a team of lifting Lazio from a small club to a big club's finger yaa Maradona alone continues to be identical with his tournament.")</f>
        <v>Oops Maradona is known for his impact alone being able to lift a team of lifting Lazio from a small club to a big club's finger yaa Maradona alone continues to be identical with his tournament.</v>
      </c>
    </row>
    <row r="14110" ht="15.75" customHeight="1">
      <c r="A14110" s="1">
        <v>15595.0</v>
      </c>
      <c r="B14110" s="3" t="s">
        <v>40089</v>
      </c>
      <c r="C14110" s="3">
        <v>0.0</v>
      </c>
      <c r="D14110" s="3">
        <v>0.0</v>
      </c>
      <c r="E14110" s="3">
        <v>0.0</v>
      </c>
      <c r="F14110" s="3" t="s">
        <v>40090</v>
      </c>
      <c r="G14110" s="3">
        <v>0.0</v>
      </c>
      <c r="H14110" s="3">
        <v>0.0</v>
      </c>
      <c r="I14110" s="3" t="s">
        <v>13</v>
      </c>
      <c r="J14110" s="3" t="s">
        <v>40091</v>
      </c>
      <c r="K14110" s="3" t="s">
        <v>15</v>
      </c>
      <c r="L14110" s="3" t="str">
        <f>IFERROR(__xludf.DUMMYFUNCTION("GOOGLETRANSLATE(F14110,""id"",""en"")"),"LGI HEPI because AGGA won the motorbike cihuy")</f>
        <v>LGI HEPI because AGGA won the motorbike cihuy</v>
      </c>
    </row>
    <row r="14111" ht="15.75" customHeight="1">
      <c r="A14111" s="1">
        <v>15596.0</v>
      </c>
      <c r="B14111" s="3" t="s">
        <v>40092</v>
      </c>
      <c r="C14111" s="3">
        <v>0.0</v>
      </c>
      <c r="D14111" s="3">
        <v>0.0</v>
      </c>
      <c r="E14111" s="3">
        <v>0.0</v>
      </c>
      <c r="F14111" s="3" t="s">
        <v>40093</v>
      </c>
      <c r="G14111" s="3">
        <v>0.0</v>
      </c>
      <c r="H14111" s="3">
        <v>0.0</v>
      </c>
      <c r="I14111" s="3" t="s">
        <v>13</v>
      </c>
      <c r="J14111" s="3" t="s">
        <v>40094</v>
      </c>
      <c r="K14111" s="3" t="s">
        <v>15</v>
      </c>
      <c r="L14111" s="3" t="str">
        <f>IFERROR(__xludf.DUMMYFUNCTION("GOOGLETRANSLATE(F14111,""id"",""en"")"),"Valid is just because Argen won so Enzo got")</f>
        <v>Valid is just because Argen won so Enzo got</v>
      </c>
    </row>
    <row r="14112" ht="15.75" customHeight="1">
      <c r="A14112" s="1">
        <v>15597.0</v>
      </c>
      <c r="B14112" s="3" t="s">
        <v>40095</v>
      </c>
      <c r="C14112" s="3">
        <v>0.0</v>
      </c>
      <c r="D14112" s="3">
        <v>0.0</v>
      </c>
      <c r="E14112" s="3">
        <v>0.0</v>
      </c>
      <c r="F14112" s="3" t="s">
        <v>40096</v>
      </c>
      <c r="G14112" s="3">
        <v>0.0</v>
      </c>
      <c r="H14112" s="3">
        <v>0.0</v>
      </c>
      <c r="I14112" s="3" t="s">
        <v>13</v>
      </c>
      <c r="J14112" s="3" t="s">
        <v>40097</v>
      </c>
      <c r="K14112" s="3" t="s">
        <v>54</v>
      </c>
      <c r="L14112" s="3" t="str">
        <f>IFERROR(__xludf.DUMMYFUNCTION("GOOGLETRANSLATE(F14112,""id"",""en"")"),"Argen Dong Feeling MRKA Wins Sie")</f>
        <v>Argen Dong Feeling MRKA Wins Sie</v>
      </c>
    </row>
    <row r="14113" ht="15.75" customHeight="1">
      <c r="A14113" s="1">
        <v>15598.0</v>
      </c>
      <c r="B14113" s="3" t="s">
        <v>40098</v>
      </c>
      <c r="C14113" s="3">
        <v>0.0</v>
      </c>
      <c r="D14113" s="3">
        <v>0.0</v>
      </c>
      <c r="E14113" s="3">
        <v>4.0</v>
      </c>
      <c r="F14113" s="3" t="s">
        <v>40099</v>
      </c>
      <c r="G14113" s="3">
        <v>0.0</v>
      </c>
      <c r="H14113" s="3">
        <v>0.0</v>
      </c>
      <c r="I14113" s="3" t="s">
        <v>13</v>
      </c>
      <c r="J14113" s="3" t="s">
        <v>40100</v>
      </c>
      <c r="K14113" s="3" t="s">
        <v>71</v>
      </c>
      <c r="L14113" s="3" t="str">
        <f>IFERROR(__xludf.DUMMYFUNCTION("GOOGLETRANSLATE(F14113,""id"",""en"")"),"The effect of Agen won last night was still ongoing, it turned out that YGY MasyaAllah was often the excess of sugar bro Zeejkt")</f>
        <v>The effect of Agen won last night was still ongoing, it turned out that YGY MasyaAllah was often the excess of sugar bro Zeejkt</v>
      </c>
    </row>
    <row r="14114" ht="15.75" customHeight="1">
      <c r="A14114" s="1">
        <v>15599.0</v>
      </c>
      <c r="B14114" s="3" t="s">
        <v>40101</v>
      </c>
      <c r="C14114" s="3">
        <v>1.0</v>
      </c>
      <c r="D14114" s="3">
        <v>0.0</v>
      </c>
      <c r="E14114" s="3">
        <v>0.0</v>
      </c>
      <c r="F14114" s="3" t="s">
        <v>40102</v>
      </c>
      <c r="G14114" s="3">
        <v>0.0</v>
      </c>
      <c r="H14114" s="3">
        <v>0.0</v>
      </c>
      <c r="I14114" s="3" t="s">
        <v>13</v>
      </c>
      <c r="J14114" s="3" t="s">
        <v>40103</v>
      </c>
      <c r="K14114" s="3" t="s">
        <v>127</v>
      </c>
      <c r="L14114" s="3" t="str">
        <f>IFERROR(__xludf.DUMMYFUNCTION("GOOGLETRANSLATE(F14114,""id"",""en"")"),"When Argentina against Mexico the game is getting better Messi still has the magic to be able to win but it's not enough to make Agen pass the group phase")</f>
        <v>When Argentina against Mexico the game is getting better Messi still has the magic to be able to win but it's not enough to make Agen pass the group phase</v>
      </c>
    </row>
    <row r="14115" ht="15.75" customHeight="1">
      <c r="A14115" s="1">
        <v>15600.0</v>
      </c>
      <c r="B14115" s="3" t="s">
        <v>40104</v>
      </c>
      <c r="C14115" s="3">
        <v>0.0</v>
      </c>
      <c r="D14115" s="3">
        <v>0.0</v>
      </c>
      <c r="E14115" s="3">
        <v>0.0</v>
      </c>
      <c r="F14115" s="3" t="s">
        <v>40105</v>
      </c>
      <c r="G14115" s="3">
        <v>0.0</v>
      </c>
      <c r="H14115" s="3">
        <v>0.0</v>
      </c>
      <c r="I14115" s="3" t="s">
        <v>13</v>
      </c>
      <c r="J14115" s="3" t="s">
        <v>40106</v>
      </c>
      <c r="K14115" s="3" t="s">
        <v>2117</v>
      </c>
      <c r="L14115" s="3" t="str">
        <f>IFERROR(__xludf.DUMMYFUNCTION("GOOGLETRANSLATE(F14115,""id"",""en"")"),"Argen won wkwkw")</f>
        <v>Argen won wkwkw</v>
      </c>
    </row>
    <row r="14116" ht="15.75" customHeight="1">
      <c r="A14116" s="1">
        <v>15601.0</v>
      </c>
      <c r="B14116" s="3" t="s">
        <v>40107</v>
      </c>
      <c r="C14116" s="3">
        <v>0.0</v>
      </c>
      <c r="D14116" s="3">
        <v>0.0</v>
      </c>
      <c r="E14116" s="3">
        <v>0.0</v>
      </c>
      <c r="F14116" s="3" t="s">
        <v>40108</v>
      </c>
      <c r="G14116" s="3">
        <v>0.0</v>
      </c>
      <c r="H14116" s="3">
        <v>0.0</v>
      </c>
      <c r="I14116" s="3" t="s">
        <v>13</v>
      </c>
      <c r="J14116" s="3" t="s">
        <v>40109</v>
      </c>
      <c r="K14116" s="3" t="s">
        <v>82</v>
      </c>
      <c r="L14116" s="3" t="str">
        <f>IFERROR(__xludf.DUMMYFUNCTION("GOOGLETRANSLATE(F14116,""id"",""en"")"),"yeah the choice is really ARGEN won but still Rungkad")</f>
        <v>yeah the choice is really ARGEN won but still Rungkad</v>
      </c>
    </row>
    <row r="14117" ht="15.75" customHeight="1">
      <c r="A14117" s="1">
        <v>15602.0</v>
      </c>
      <c r="B14117" s="3" t="s">
        <v>40110</v>
      </c>
      <c r="C14117" s="3">
        <v>0.0</v>
      </c>
      <c r="D14117" s="3">
        <v>0.0</v>
      </c>
      <c r="E14117" s="3">
        <v>0.0</v>
      </c>
      <c r="F14117" s="3" t="s">
        <v>40111</v>
      </c>
      <c r="G14117" s="3">
        <v>0.0</v>
      </c>
      <c r="H14117" s="3">
        <v>0.0</v>
      </c>
      <c r="I14117" s="3" t="s">
        <v>13</v>
      </c>
      <c r="J14117" s="3" t="s">
        <v>40112</v>
      </c>
      <c r="K14117" s="3" t="s">
        <v>31</v>
      </c>
      <c r="L14117" s="3" t="str">
        <f>IFERROR(__xludf.DUMMYFUNCTION("GOOGLETRANSLATE(F14117,""id"",""en"")"),"hot grgr argen wins")</f>
        <v>hot grgr argen wins</v>
      </c>
    </row>
    <row r="14118" ht="15.75" customHeight="1">
      <c r="A14118" s="1">
        <v>15603.0</v>
      </c>
      <c r="B14118" s="3" t="s">
        <v>40113</v>
      </c>
      <c r="C14118" s="3">
        <v>0.0</v>
      </c>
      <c r="D14118" s="3">
        <v>0.0</v>
      </c>
      <c r="E14118" s="3">
        <v>1.0</v>
      </c>
      <c r="F14118" s="3" t="s">
        <v>40114</v>
      </c>
      <c r="G14118" s="3">
        <v>0.0</v>
      </c>
      <c r="H14118" s="3">
        <v>0.0</v>
      </c>
      <c r="I14118" s="3" t="s">
        <v>13</v>
      </c>
      <c r="J14118" s="3" t="s">
        <v>40115</v>
      </c>
      <c r="K14118" s="3" t="s">
        <v>184</v>
      </c>
      <c r="L14118" s="3" t="str">
        <f>IFERROR(__xludf.DUMMYFUNCTION("GOOGLETRANSLATE(F14118,""id"",""en"")"),"Nobar, the majority of the extended family supports Argentina, supports France when he is screaming Ancrit's mutual cooperation")</f>
        <v>Nobar, the majority of the extended family supports Argentina, supports France when he is screaming Ancrit's mutual cooperation</v>
      </c>
    </row>
    <row r="14119" ht="15.75" customHeight="1">
      <c r="A14119" s="1">
        <v>15604.0</v>
      </c>
      <c r="B14119" s="3" t="s">
        <v>40116</v>
      </c>
      <c r="C14119" s="3">
        <v>1.0</v>
      </c>
      <c r="D14119" s="3">
        <v>0.0</v>
      </c>
      <c r="E14119" s="3">
        <v>0.0</v>
      </c>
      <c r="F14119" s="3" t="s">
        <v>40117</v>
      </c>
      <c r="G14119" s="3">
        <v>0.0</v>
      </c>
      <c r="H14119" s="3">
        <v>0.0</v>
      </c>
      <c r="I14119" s="3" t="s">
        <v>13</v>
      </c>
      <c r="J14119" s="3" t="s">
        <v>40118</v>
      </c>
      <c r="K14119" s="3" t="s">
        <v>82</v>
      </c>
      <c r="L14119" s="3" t="str">
        <f>IFERROR(__xludf.DUMMYFUNCTION("GOOGLETRANSLATE(F14119,""id"",""en"")"),"This is Nobar Nyambi Dating, it's important to win")</f>
        <v>This is Nobar Nyambi Dating, it's important to win</v>
      </c>
    </row>
    <row r="14120" ht="15.75" customHeight="1">
      <c r="A14120" s="1">
        <v>15605.0</v>
      </c>
      <c r="B14120" s="3" t="s">
        <v>40119</v>
      </c>
      <c r="C14120" s="3">
        <v>0.0</v>
      </c>
      <c r="D14120" s="3">
        <v>0.0</v>
      </c>
      <c r="E14120" s="3">
        <v>0.0</v>
      </c>
      <c r="F14120" s="3" t="s">
        <v>40120</v>
      </c>
      <c r="G14120" s="3">
        <v>0.0</v>
      </c>
      <c r="H14120" s="3">
        <v>0.0</v>
      </c>
      <c r="I14120" s="3" t="s">
        <v>13</v>
      </c>
      <c r="J14120" s="3" t="s">
        <v>40121</v>
      </c>
      <c r="K14120" s="3" t="s">
        <v>58</v>
      </c>
      <c r="L14120" s="3" t="str">
        <f>IFERROR(__xludf.DUMMYFUNCTION("GOOGLETRANSLATE(F14120,""id"",""en"")"),"well, tomorrow, it's a birthday tomorrow, but if Agegen wins, I'm saddened")</f>
        <v>well, tomorrow, it's a birthday tomorrow, but if Agegen wins, I'm saddened</v>
      </c>
    </row>
    <row r="14121" ht="15.75" customHeight="1">
      <c r="A14121" s="1">
        <v>15606.0</v>
      </c>
      <c r="B14121" s="3" t="s">
        <v>40122</v>
      </c>
      <c r="C14121" s="3">
        <v>1.0</v>
      </c>
      <c r="D14121" s="3">
        <v>0.0</v>
      </c>
      <c r="E14121" s="3">
        <v>0.0</v>
      </c>
      <c r="F14121" s="3" t="s">
        <v>40123</v>
      </c>
      <c r="G14121" s="3">
        <v>0.6499999999999999</v>
      </c>
      <c r="H14121" s="3">
        <v>0.15</v>
      </c>
      <c r="I14121" s="3" t="s">
        <v>48</v>
      </c>
      <c r="J14121" s="3" t="s">
        <v>40124</v>
      </c>
      <c r="K14121" s="3" t="s">
        <v>75</v>
      </c>
      <c r="L14121" s="3" t="str">
        <f>IFERROR(__xludf.DUMMYFUNCTION("GOOGLETRANSLATE(F14121,""id"",""en"")"),"still lost because Drake guess ARGEN won normal minutes")</f>
        <v>still lost because Drake guess ARGEN won normal minutes</v>
      </c>
    </row>
    <row r="14122" ht="15.75" customHeight="1">
      <c r="A14122" s="1">
        <v>15607.0</v>
      </c>
      <c r="B14122" s="3" t="s">
        <v>40125</v>
      </c>
      <c r="C14122" s="3">
        <v>0.0</v>
      </c>
      <c r="D14122" s="3">
        <v>0.0</v>
      </c>
      <c r="E14122" s="3">
        <v>0.0</v>
      </c>
      <c r="F14122" s="3" t="s">
        <v>40126</v>
      </c>
      <c r="G14122" s="3">
        <v>1.0</v>
      </c>
      <c r="H14122" s="3">
        <v>0.0</v>
      </c>
      <c r="I14122" s="3" t="s">
        <v>13</v>
      </c>
      <c r="J14122" s="3" t="s">
        <v>40127</v>
      </c>
      <c r="K14122" s="3" t="s">
        <v>240</v>
      </c>
      <c r="L14122" s="3" t="str">
        <f>IFERROR(__xludf.DUMMYFUNCTION("GOOGLETRANSLATE(F14122,""id"",""en"")"),"The best final of the terminal of the sale and purchase of the attack until the penalty fighting series but praise the ARGEN wins")</f>
        <v>The best final of the terminal of the sale and purchase of the attack until the penalty fighting series but praise the ARGEN wins</v>
      </c>
    </row>
    <row r="14123" ht="15.75" customHeight="1">
      <c r="A14123" s="1">
        <v>15608.0</v>
      </c>
      <c r="B14123" s="3" t="s">
        <v>40128</v>
      </c>
      <c r="C14123" s="3">
        <v>0.0</v>
      </c>
      <c r="D14123" s="3">
        <v>0.0</v>
      </c>
      <c r="E14123" s="3">
        <v>1.0</v>
      </c>
      <c r="F14123" s="3" t="s">
        <v>40129</v>
      </c>
      <c r="G14123" s="3">
        <v>0.0</v>
      </c>
      <c r="H14123" s="3">
        <v>0.0</v>
      </c>
      <c r="I14123" s="3" t="s">
        <v>13</v>
      </c>
      <c r="J14123" s="3" t="s">
        <v>40130</v>
      </c>
      <c r="K14123" s="3" t="s">
        <v>2117</v>
      </c>
      <c r="L14123" s="3" t="str">
        <f>IFERROR(__xludf.DUMMYFUNCTION("GOOGLETRANSLATE(F14123,""id"",""en"")"),"Damn Agen won too")</f>
        <v>Damn Agen won too</v>
      </c>
    </row>
    <row r="14124" ht="15.75" customHeight="1">
      <c r="A14124" s="1">
        <v>15609.0</v>
      </c>
      <c r="B14124" s="3" t="s">
        <v>40131</v>
      </c>
      <c r="C14124" s="3">
        <v>1.0</v>
      </c>
      <c r="D14124" s="3">
        <v>0.0</v>
      </c>
      <c r="E14124" s="3">
        <v>0.0</v>
      </c>
      <c r="F14124" s="3" t="s">
        <v>40132</v>
      </c>
      <c r="G14124" s="3">
        <v>0.0</v>
      </c>
      <c r="H14124" s="3">
        <v>0.0</v>
      </c>
      <c r="I14124" s="3" t="s">
        <v>13</v>
      </c>
      <c r="J14124" s="3" t="s">
        <v>40133</v>
      </c>
      <c r="K14124" s="3" t="s">
        <v>1335</v>
      </c>
      <c r="L14124" s="3" t="str">
        <f>IFERROR(__xludf.DUMMYFUNCTION("GOOGLETRANSLATE(F14124,""id"",""en"")"),"Drake's bankrupt")</f>
        <v>Drake's bankrupt</v>
      </c>
    </row>
    <row r="14125" ht="15.75" customHeight="1">
      <c r="A14125" s="1">
        <v>15610.0</v>
      </c>
      <c r="B14125" s="3" t="s">
        <v>40134</v>
      </c>
      <c r="C14125" s="3">
        <v>0.0</v>
      </c>
      <c r="D14125" s="3">
        <v>0.0</v>
      </c>
      <c r="E14125" s="3">
        <v>0.0</v>
      </c>
      <c r="F14125" s="3" t="s">
        <v>40135</v>
      </c>
      <c r="G14125" s="3">
        <v>0.0</v>
      </c>
      <c r="H14125" s="3">
        <v>0.0</v>
      </c>
      <c r="I14125" s="3" t="s">
        <v>13</v>
      </c>
      <c r="J14125" s="3" t="s">
        <v>40136</v>
      </c>
      <c r="K14125" s="3" t="s">
        <v>54</v>
      </c>
      <c r="L14125" s="3" t="str">
        <f>IFERROR(__xludf.DUMMYFUNCTION("GOOGLETRANSLATE(F14125,""id"",""en"")"),"Mang, why do you win the ARGEN PENS")</f>
        <v>Mang, why do you win the ARGEN PENS</v>
      </c>
    </row>
    <row r="14126" ht="15.75" customHeight="1">
      <c r="A14126" s="1">
        <v>15611.0</v>
      </c>
      <c r="B14126" s="3" t="s">
        <v>40137</v>
      </c>
      <c r="C14126" s="3">
        <v>0.0</v>
      </c>
      <c r="D14126" s="3">
        <v>0.0</v>
      </c>
      <c r="E14126" s="3">
        <v>0.0</v>
      </c>
      <c r="F14126" s="3" t="s">
        <v>40138</v>
      </c>
      <c r="G14126" s="3">
        <v>0.0</v>
      </c>
      <c r="H14126" s="3">
        <v>0.0</v>
      </c>
      <c r="I14126" s="3" t="s">
        <v>13</v>
      </c>
      <c r="J14126" s="3" t="s">
        <v>40139</v>
      </c>
      <c r="K14126" s="3" t="s">
        <v>3948</v>
      </c>
      <c r="L14126" s="3" t="str">
        <f>IFERROR(__xludf.DUMMYFUNCTION("GOOGLETRANSLATE(F14126,""id"",""en"")"),"It turned out that the team's theory was used by Eva Elfie, surely the team won the month of October, the photo of the tundra jersey finally won the dota competition yesterday supporting the argen using the ARGEN jersey finally ARGEN championed the pildun"&amp;" champion")</f>
        <v>It turned out that the team's theory was used by Eva Elfie, surely the team won the month of October, the photo of the tundra jersey finally won the dota competition yesterday supporting the argen using the ARGEN jersey finally ARGEN championed the pildun champion</v>
      </c>
    </row>
    <row r="14127" ht="15.75" customHeight="1">
      <c r="A14127" s="1">
        <v>15612.0</v>
      </c>
      <c r="B14127" s="3" t="s">
        <v>40140</v>
      </c>
      <c r="C14127" s="3">
        <v>5.0</v>
      </c>
      <c r="D14127" s="3">
        <v>0.0</v>
      </c>
      <c r="E14127" s="3">
        <v>8.0</v>
      </c>
      <c r="F14127" s="3" t="s">
        <v>40141</v>
      </c>
      <c r="G14127" s="3">
        <v>0.0</v>
      </c>
      <c r="H14127" s="3">
        <v>0.0</v>
      </c>
      <c r="I14127" s="3" t="s">
        <v>13</v>
      </c>
      <c r="J14127" s="3" t="s">
        <v>40142</v>
      </c>
      <c r="K14127" s="3" t="s">
        <v>50</v>
      </c>
      <c r="L14127" s="3" t="str">
        <f>IFERROR(__xludf.DUMMYFUNCTION("GOOGLETRANSLATE(F14127,""id"",""en"")"),"Already Mah Agen won Messi DPT Trophy is now dibales Amanda Zahra")</f>
        <v>Already Mah Agen won Messi DPT Trophy is now dibales Amanda Zahra</v>
      </c>
    </row>
    <row r="14128" ht="15.75" customHeight="1">
      <c r="A14128" s="1">
        <v>15613.0</v>
      </c>
      <c r="B14128" s="3" t="s">
        <v>40143</v>
      </c>
      <c r="C14128" s="3">
        <v>1.0</v>
      </c>
      <c r="D14128" s="3">
        <v>0.0</v>
      </c>
      <c r="E14128" s="3">
        <v>0.0</v>
      </c>
      <c r="F14128" s="3" t="s">
        <v>40144</v>
      </c>
      <c r="G14128" s="3">
        <v>0.0</v>
      </c>
      <c r="H14128" s="3">
        <v>0.0</v>
      </c>
      <c r="I14128" s="3" t="s">
        <v>13</v>
      </c>
      <c r="J14128" s="3" t="s">
        <v>40145</v>
      </c>
      <c r="K14128" s="3" t="s">
        <v>236</v>
      </c>
      <c r="L14128" s="3" t="str">
        <f>IFERROR(__xludf.DUMMYFUNCTION("GOOGLETRANSLATE(F14128,""id"",""en"")"),"It is clear that Gaksi Agen won because of the birthday prayer of The Pope Gaksi")</f>
        <v>It is clear that Gaksi Agen won because of the birthday prayer of The Pope Gaksi</v>
      </c>
    </row>
    <row r="14129" ht="15.75" customHeight="1">
      <c r="A14129" s="1">
        <v>15614.0</v>
      </c>
      <c r="B14129" s="3" t="s">
        <v>40146</v>
      </c>
      <c r="C14129" s="3">
        <v>0.0</v>
      </c>
      <c r="D14129" s="3">
        <v>0.0</v>
      </c>
      <c r="E14129" s="3">
        <v>0.0</v>
      </c>
      <c r="F14129" s="3" t="s">
        <v>40147</v>
      </c>
      <c r="G14129" s="3">
        <v>0.0</v>
      </c>
      <c r="H14129" s="3">
        <v>0.0</v>
      </c>
      <c r="I14129" s="3" t="s">
        <v>13</v>
      </c>
      <c r="J14129" s="3" t="s">
        <v>40148</v>
      </c>
      <c r="K14129" s="3" t="s">
        <v>35</v>
      </c>
      <c r="L14129" s="3" t="str">
        <f>IFERROR(__xludf.DUMMYFUNCTION("GOOGLETRANSLATE(F14129,""id"",""en"")"),"I guess Ney will post photos of mbape if for example last night the winning is not AGGE")</f>
        <v>I guess Ney will post photos of mbape if for example last night the winning is not AGGE</v>
      </c>
    </row>
    <row r="14130" ht="15.75" customHeight="1">
      <c r="A14130" s="1">
        <v>15615.0</v>
      </c>
      <c r="B14130" s="3" t="s">
        <v>40149</v>
      </c>
      <c r="C14130" s="3">
        <v>1.0</v>
      </c>
      <c r="D14130" s="3">
        <v>0.0</v>
      </c>
      <c r="E14130" s="3">
        <v>0.0</v>
      </c>
      <c r="F14130" s="3" t="s">
        <v>40150</v>
      </c>
      <c r="G14130" s="3">
        <v>0.0</v>
      </c>
      <c r="H14130" s="3">
        <v>0.0</v>
      </c>
      <c r="I14130" s="3" t="s">
        <v>13</v>
      </c>
      <c r="J14130" s="3" t="s">
        <v>40151</v>
      </c>
      <c r="K14130" s="3" t="s">
        <v>644</v>
      </c>
      <c r="L14130" s="3" t="str">
        <f>IFERROR(__xludf.DUMMYFUNCTION("GOOGLETRANSLATE(F14130,""id"",""en"")"),"ARGEN won Mbappe MVP")</f>
        <v>ARGEN won Mbappe MVP</v>
      </c>
    </row>
    <row r="14131" ht="15.75" customHeight="1">
      <c r="A14131" s="1">
        <v>15616.0</v>
      </c>
      <c r="B14131" s="3" t="s">
        <v>40152</v>
      </c>
      <c r="C14131" s="3">
        <v>1.0</v>
      </c>
      <c r="D14131" s="3">
        <v>0.0</v>
      </c>
      <c r="E14131" s="3">
        <v>0.0</v>
      </c>
      <c r="F14131" s="3" t="s">
        <v>40153</v>
      </c>
      <c r="G14131" s="3">
        <v>0.0</v>
      </c>
      <c r="H14131" s="3">
        <v>0.0</v>
      </c>
      <c r="I14131" s="3" t="s">
        <v>13</v>
      </c>
      <c r="J14131" s="3" t="s">
        <v>40154</v>
      </c>
      <c r="K14131" s="3" t="s">
        <v>15</v>
      </c>
      <c r="L14131" s="3" t="str">
        <f>IFERROR(__xludf.DUMMYFUNCTION("GOOGLETRANSLATE(F14131,""id"",""en"")"),"Agen won the gambling boi, I have to be like this")</f>
        <v>Agen won the gambling boi, I have to be like this</v>
      </c>
    </row>
    <row r="14132" ht="15.75" customHeight="1">
      <c r="A14132" s="1">
        <v>15617.0</v>
      </c>
      <c r="B14132" s="3" t="s">
        <v>40155</v>
      </c>
      <c r="C14132" s="3">
        <v>1.0</v>
      </c>
      <c r="D14132" s="3">
        <v>1.0</v>
      </c>
      <c r="E14132" s="3">
        <v>1.0</v>
      </c>
      <c r="F14132" s="3" t="s">
        <v>40155</v>
      </c>
      <c r="G14132" s="3">
        <v>0.0</v>
      </c>
      <c r="H14132" s="3">
        <v>0.0</v>
      </c>
      <c r="I14132" s="3" t="s">
        <v>13</v>
      </c>
      <c r="J14132" s="3" t="s">
        <v>40156</v>
      </c>
      <c r="K14132" s="3" t="s">
        <v>50</v>
      </c>
      <c r="L14132" s="3" t="str">
        <f>IFERROR(__xludf.DUMMYFUNCTION("GOOGLETRANSLATE(F14132,""id"",""en"")"),"I am very happy to see Agen winning the pildun feels so I want to hug you")</f>
        <v>I am very happy to see Agen winning the pildun feels so I want to hug you</v>
      </c>
    </row>
    <row r="14133" ht="15.75" customHeight="1">
      <c r="A14133" s="1">
        <v>15618.0</v>
      </c>
      <c r="B14133" s="3" t="s">
        <v>40157</v>
      </c>
      <c r="C14133" s="3">
        <v>9.0</v>
      </c>
      <c r="D14133" s="3">
        <v>0.0</v>
      </c>
      <c r="E14133" s="3">
        <v>0.0</v>
      </c>
      <c r="F14133" s="3" t="s">
        <v>40158</v>
      </c>
      <c r="G14133" s="3">
        <v>0.0</v>
      </c>
      <c r="H14133" s="3">
        <v>0.0</v>
      </c>
      <c r="I14133" s="3" t="s">
        <v>13</v>
      </c>
      <c r="J14133" s="3" t="s">
        <v>40159</v>
      </c>
      <c r="K14133" s="3" t="s">
        <v>54</v>
      </c>
      <c r="L14133" s="3" t="str">
        <f>IFERROR(__xludf.DUMMYFUNCTION("GOOGLETRANSLATE(F14133,""id"",""en"")"),"Assalamu alaikum argen won cuyyyy")</f>
        <v>Assalamu alaikum argen won cuyyyy</v>
      </c>
    </row>
    <row r="14134" ht="15.75" customHeight="1">
      <c r="A14134" s="1">
        <v>15619.0</v>
      </c>
      <c r="B14134" s="3" t="s">
        <v>40160</v>
      </c>
      <c r="C14134" s="3">
        <v>1.0</v>
      </c>
      <c r="D14134" s="3">
        <v>0.0</v>
      </c>
      <c r="E14134" s="3">
        <v>0.0</v>
      </c>
      <c r="F14134" s="3" t="s">
        <v>40161</v>
      </c>
      <c r="G14134" s="3">
        <v>0.0</v>
      </c>
      <c r="H14134" s="3">
        <v>0.0</v>
      </c>
      <c r="I14134" s="3" t="s">
        <v>13</v>
      </c>
      <c r="J14134" s="3" t="s">
        <v>40162</v>
      </c>
      <c r="K14134" s="3" t="s">
        <v>1824</v>
      </c>
      <c r="L14134" s="3" t="str">
        <f>IFERROR(__xludf.DUMMYFUNCTION("GOOGLETRANSLATE(F14134,""id"",""en"")"),"The average friend of me to install the France Notes flag when I want to start match last night when I won in the update again Messi The Goat Agen deserve wkwkwkw even though if you lose it will be blasphemed again throughout the country")</f>
        <v>The average friend of me to install the France Notes flag when I want to start match last night when I won in the update again Messi The Goat Agen deserve wkwkwkw even though if you lose it will be blasphemed again throughout the country</v>
      </c>
    </row>
    <row r="14135" ht="15.75" customHeight="1">
      <c r="A14135" s="1">
        <v>15620.0</v>
      </c>
      <c r="B14135" s="3" t="s">
        <v>40163</v>
      </c>
      <c r="C14135" s="3">
        <v>6.0</v>
      </c>
      <c r="D14135" s="3">
        <v>0.0</v>
      </c>
      <c r="E14135" s="3">
        <v>4.0</v>
      </c>
      <c r="F14135" s="3" t="s">
        <v>40164</v>
      </c>
      <c r="G14135" s="3">
        <v>0.0</v>
      </c>
      <c r="H14135" s="3">
        <v>0.0</v>
      </c>
      <c r="I14135" s="3" t="s">
        <v>13</v>
      </c>
      <c r="J14135" s="3" t="s">
        <v>40165</v>
      </c>
      <c r="K14135" s="3" t="s">
        <v>1656</v>
      </c>
      <c r="L14135" s="3" t="str">
        <f>IFERROR(__xludf.DUMMYFUNCTION("GOOGLETRANSLATE(F14135,""id"",""en"")"),"It is set so that Agen wins to complete the achievement of Messi as a Goat for what so that there is regeneration of young Argentine players if Messi does not get the title of Argentina Goat is still under the shadow of Maradona Messi, a golden child")</f>
        <v>It is set so that Agen wins to complete the achievement of Messi as a Goat for what so that there is regeneration of young Argentine players if Messi does not get the title of Argentina Goat is still under the shadow of Maradona Messi, a golden child</v>
      </c>
    </row>
    <row r="14136" ht="15.75" customHeight="1">
      <c r="A14136" s="1">
        <v>15621.0</v>
      </c>
      <c r="B14136" s="3" t="s">
        <v>40166</v>
      </c>
      <c r="C14136" s="3">
        <v>0.0</v>
      </c>
      <c r="D14136" s="3">
        <v>0.0</v>
      </c>
      <c r="E14136" s="3">
        <v>0.0</v>
      </c>
      <c r="F14136" s="3" t="s">
        <v>40167</v>
      </c>
      <c r="G14136" s="3">
        <v>0.0</v>
      </c>
      <c r="H14136" s="3">
        <v>0.0</v>
      </c>
      <c r="I14136" s="3" t="s">
        <v>13</v>
      </c>
      <c r="J14136" s="3" t="s">
        <v>40168</v>
      </c>
      <c r="K14136" s="3" t="s">
        <v>90</v>
      </c>
      <c r="L14136" s="3" t="str">
        <f>IFERROR(__xludf.DUMMYFUNCTION("GOOGLETRANSLATE(F14136,""id"",""en"")"),"Legend of the Oil Team has many EMG styles for life his career only won the domestic trophy even though AGGE RUNGKAD Mulu CKCK")</f>
        <v>Legend of the Oil Team has many EMG styles for life his career only won the domestic trophy even though AGGE RUNGKAD Mulu CKCK</v>
      </c>
    </row>
    <row r="14137" ht="15.75" customHeight="1">
      <c r="A14137" s="1">
        <v>15622.0</v>
      </c>
      <c r="B14137" s="3" t="s">
        <v>40169</v>
      </c>
      <c r="C14137" s="3">
        <v>0.0</v>
      </c>
      <c r="D14137" s="3">
        <v>0.0</v>
      </c>
      <c r="E14137" s="3">
        <v>0.0</v>
      </c>
      <c r="F14137" s="3" t="s">
        <v>40170</v>
      </c>
      <c r="G14137" s="3">
        <v>0.0</v>
      </c>
      <c r="H14137" s="3">
        <v>0.0</v>
      </c>
      <c r="I14137" s="3" t="s">
        <v>13</v>
      </c>
      <c r="J14137" s="3" t="s">
        <v>40171</v>
      </c>
      <c r="K14137" s="3" t="s">
        <v>2117</v>
      </c>
      <c r="L14137" s="3" t="str">
        <f>IFERROR(__xludf.DUMMYFUNCTION("GOOGLETRANSLATE(F14137,""id"",""en"")"),"Congrats Agen won")</f>
        <v>Congrats Agen won</v>
      </c>
    </row>
    <row r="14138" ht="15.75" customHeight="1">
      <c r="A14138" s="1">
        <v>15623.0</v>
      </c>
      <c r="B14138" s="3" t="s">
        <v>40172</v>
      </c>
      <c r="C14138" s="3">
        <v>1.0</v>
      </c>
      <c r="D14138" s="3">
        <v>0.0</v>
      </c>
      <c r="E14138" s="3">
        <v>0.0</v>
      </c>
      <c r="F14138" s="3" t="s">
        <v>40173</v>
      </c>
      <c r="G14138" s="3">
        <v>0.0</v>
      </c>
      <c r="H14138" s="3">
        <v>0.0</v>
      </c>
      <c r="I14138" s="3" t="s">
        <v>13</v>
      </c>
      <c r="J14138" s="3" t="s">
        <v>40174</v>
      </c>
      <c r="K14138" s="3" t="s">
        <v>2117</v>
      </c>
      <c r="L14138" s="3" t="str">
        <f>IFERROR(__xludf.DUMMYFUNCTION("GOOGLETRANSLATE(F14138,""id"",""en"")"),"Argen won Ngab")</f>
        <v>Argen won Ngab</v>
      </c>
    </row>
    <row r="14139" ht="15.75" customHeight="1">
      <c r="A14139" s="1">
        <v>15624.0</v>
      </c>
      <c r="B14139" s="3" t="s">
        <v>40175</v>
      </c>
      <c r="C14139" s="3">
        <v>1.0</v>
      </c>
      <c r="D14139" s="3">
        <v>0.0</v>
      </c>
      <c r="E14139" s="3">
        <v>0.0</v>
      </c>
      <c r="F14139" s="3" t="s">
        <v>40176</v>
      </c>
      <c r="G14139" s="3">
        <v>0.0</v>
      </c>
      <c r="H14139" s="3">
        <v>0.0</v>
      </c>
      <c r="I14139" s="3" t="s">
        <v>13</v>
      </c>
      <c r="J14139" s="3" t="s">
        <v>40177</v>
      </c>
      <c r="K14139" s="3" t="s">
        <v>31</v>
      </c>
      <c r="L14139" s="3" t="str">
        <f>IFERROR(__xludf.DUMMYFUNCTION("GOOGLETRANSLATE(F14139,""id"",""en"")"),"AGGE WINed how come you lost")</f>
        <v>AGGE WINed how come you lost</v>
      </c>
    </row>
    <row r="14140" ht="15.75" customHeight="1">
      <c r="A14140" s="1">
        <v>15625.0</v>
      </c>
      <c r="B14140" s="3" t="s">
        <v>40178</v>
      </c>
      <c r="C14140" s="3">
        <v>1.0</v>
      </c>
      <c r="D14140" s="3">
        <v>3.0</v>
      </c>
      <c r="E14140" s="3">
        <v>107.0</v>
      </c>
      <c r="F14140" s="3" t="s">
        <v>40179</v>
      </c>
      <c r="G14140" s="3">
        <v>0.55</v>
      </c>
      <c r="H14140" s="3">
        <v>0.35</v>
      </c>
      <c r="I14140" s="3" t="s">
        <v>48</v>
      </c>
      <c r="J14140" s="3" t="s">
        <v>40180</v>
      </c>
      <c r="K14140" s="3" t="s">
        <v>71</v>
      </c>
      <c r="L14140" s="3" t="str">
        <f>IFERROR(__xludf.DUMMYFUNCTION("GOOGLETRANSLATE(F14140,""id"",""en"")"),"The point is today full smile supports argen winning plus Jenrina makes the challenge udhlah ambyar me")</f>
        <v>The point is today full smile supports argen winning plus Jenrina makes the challenge udhlah ambyar me</v>
      </c>
    </row>
    <row r="14141" ht="15.75" customHeight="1">
      <c r="A14141" s="1">
        <v>15626.0</v>
      </c>
      <c r="B14141" s="3" t="s">
        <v>40181</v>
      </c>
      <c r="C14141" s="3">
        <v>0.0</v>
      </c>
      <c r="D14141" s="3">
        <v>0.0</v>
      </c>
      <c r="E14141" s="3">
        <v>0.0</v>
      </c>
      <c r="F14141" s="3" t="s">
        <v>40182</v>
      </c>
      <c r="G14141" s="3">
        <v>0.0</v>
      </c>
      <c r="H14141" s="3">
        <v>0.0</v>
      </c>
      <c r="I14141" s="3" t="s">
        <v>13</v>
      </c>
      <c r="J14141" s="3" t="s">
        <v>40183</v>
      </c>
      <c r="K14141" s="3" t="s">
        <v>6674</v>
      </c>
      <c r="L14141" s="3" t="str">
        <f>IFERROR(__xludf.DUMMYFUNCTION("GOOGLETRANSLATE(F14141,""id"",""en"")"),"glad that I was AGGE winning everyone must know I'm happy")</f>
        <v>glad that I was AGGE winning everyone must know I'm happy</v>
      </c>
    </row>
    <row r="14142" ht="15.75" customHeight="1">
      <c r="A14142" s="1">
        <v>15627.0</v>
      </c>
      <c r="B14142" s="3" t="s">
        <v>40184</v>
      </c>
      <c r="C14142" s="3">
        <v>4.0</v>
      </c>
      <c r="D14142" s="3">
        <v>6.0</v>
      </c>
      <c r="E14142" s="3">
        <v>4.0</v>
      </c>
      <c r="F14142" s="3" t="s">
        <v>40185</v>
      </c>
      <c r="G14142" s="3">
        <v>0.0</v>
      </c>
      <c r="H14142" s="3">
        <v>0.0</v>
      </c>
      <c r="I14142" s="3" t="s">
        <v>13</v>
      </c>
      <c r="J14142" s="3" t="s">
        <v>40186</v>
      </c>
      <c r="K14142" s="3" t="s">
        <v>644</v>
      </c>
      <c r="L14142" s="3" t="str">
        <f>IFERROR(__xludf.DUMMYFUNCTION("GOOGLETRANSLATE(F14142,""id"",""en"")"),"Mabok in the framework of Agegen Wins")</f>
        <v>Mabok in the framework of Agegen Wins</v>
      </c>
    </row>
    <row r="14143" ht="15.75" customHeight="1">
      <c r="A14143" s="1">
        <v>15628.0</v>
      </c>
      <c r="B14143" s="3" t="s">
        <v>40187</v>
      </c>
      <c r="C14143" s="3">
        <v>1.0</v>
      </c>
      <c r="D14143" s="3">
        <v>0.0</v>
      </c>
      <c r="E14143" s="3">
        <v>0.0</v>
      </c>
      <c r="F14143" s="3" t="s">
        <v>40188</v>
      </c>
      <c r="G14143" s="3">
        <v>0.0</v>
      </c>
      <c r="H14143" s="3">
        <v>0.0</v>
      </c>
      <c r="I14143" s="3" t="s">
        <v>13</v>
      </c>
      <c r="J14143" s="3" t="s">
        <v>40189</v>
      </c>
      <c r="K14143" s="3" t="s">
        <v>491</v>
      </c>
      <c r="L14143" s="3" t="str">
        <f>IFERROR(__xludf.DUMMYFUNCTION("GOOGLETRANSLATE(F14143,""id"",""en"")"),"Wow, it's really big, fortunately, I am million")</f>
        <v>Wow, it's really big, fortunately, I am million</v>
      </c>
    </row>
    <row r="14144" ht="15.75" customHeight="1">
      <c r="A14144" s="1">
        <v>15629.0</v>
      </c>
      <c r="B14144" s="3" t="s">
        <v>40190</v>
      </c>
      <c r="C14144" s="3">
        <v>0.0</v>
      </c>
      <c r="D14144" s="3">
        <v>0.0</v>
      </c>
      <c r="E14144" s="3">
        <v>0.0</v>
      </c>
      <c r="F14144" s="3" t="s">
        <v>40191</v>
      </c>
      <c r="G14144" s="3">
        <v>0.0</v>
      </c>
      <c r="H14144" s="3">
        <v>0.0</v>
      </c>
      <c r="I14144" s="3" t="s">
        <v>13</v>
      </c>
      <c r="J14144" s="3" t="s">
        <v>40192</v>
      </c>
      <c r="K14144" s="3" t="s">
        <v>75</v>
      </c>
      <c r="L14144" s="3" t="str">
        <f>IFERROR(__xludf.DUMMYFUNCTION("GOOGLETRANSLATE(F14144,""id"",""en"")"),"Kaga to the trima if Argen won wkwkwk maybe you were losing judin hahahahah")</f>
        <v>Kaga to the trima if Argen won wkwkwk maybe you were losing judin hahahahah</v>
      </c>
    </row>
    <row r="14145" ht="15.75" customHeight="1">
      <c r="A14145" s="1">
        <v>15630.0</v>
      </c>
      <c r="B14145" s="3" t="s">
        <v>40193</v>
      </c>
      <c r="C14145" s="3">
        <v>0.0</v>
      </c>
      <c r="D14145" s="3">
        <v>0.0</v>
      </c>
      <c r="E14145" s="3">
        <v>0.0</v>
      </c>
      <c r="F14145" s="3" t="s">
        <v>40194</v>
      </c>
      <c r="G14145" s="3">
        <v>0.0</v>
      </c>
      <c r="H14145" s="3">
        <v>0.0</v>
      </c>
      <c r="I14145" s="3" t="s">
        <v>13</v>
      </c>
      <c r="J14145" s="3" t="s">
        <v>40195</v>
      </c>
      <c r="K14145" s="3" t="s">
        <v>1045</v>
      </c>
      <c r="L14145" s="3" t="str">
        <f>IFERROR(__xludf.DUMMYFUNCTION("GOOGLETRANSLATE(F14145,""id"",""en"")"),"see Agen National Holidays and Participate in Pora Case Winning Pildun Well I think if Indo wins pildun on Monday, so it's a working day, right?")</f>
        <v>see Agen National Holidays and Participate in Pora Case Winning Pildun Well I think if Indo wins pildun on Monday, so it's a working day, right?</v>
      </c>
    </row>
    <row r="14146" ht="15.75" customHeight="1">
      <c r="A14146" s="1">
        <v>15631.0</v>
      </c>
      <c r="B14146" s="3" t="s">
        <v>40196</v>
      </c>
      <c r="C14146" s="3">
        <v>0.0</v>
      </c>
      <c r="D14146" s="3">
        <v>0.0</v>
      </c>
      <c r="E14146" s="3">
        <v>0.0</v>
      </c>
      <c r="F14146" s="3" t="s">
        <v>40197</v>
      </c>
      <c r="G14146" s="3">
        <v>0.0</v>
      </c>
      <c r="H14146" s="3">
        <v>0.0</v>
      </c>
      <c r="I14146" s="3" t="s">
        <v>13</v>
      </c>
      <c r="J14146" s="3" t="s">
        <v>40198</v>
      </c>
      <c r="K14146" s="3" t="s">
        <v>31</v>
      </c>
      <c r="L14146" s="3" t="str">
        <f>IFERROR(__xludf.DUMMYFUNCTION("GOOGLETRANSLATE(F14146,""id"",""en"")"),"Again a sweet dream he is because Agen won")</f>
        <v>Again a sweet dream he is because Agen won</v>
      </c>
    </row>
    <row r="14147" ht="15.75" customHeight="1">
      <c r="A14147" s="1">
        <v>15632.0</v>
      </c>
      <c r="B14147" s="3" t="s">
        <v>40199</v>
      </c>
      <c r="C14147" s="3">
        <v>1.0</v>
      </c>
      <c r="D14147" s="3">
        <v>0.0</v>
      </c>
      <c r="E14147" s="3">
        <v>0.0</v>
      </c>
      <c r="F14147" s="3" t="s">
        <v>40200</v>
      </c>
      <c r="G14147" s="3">
        <v>0.0</v>
      </c>
      <c r="H14147" s="3">
        <v>0.0</v>
      </c>
      <c r="I14147" s="3" t="s">
        <v>13</v>
      </c>
      <c r="J14147" s="3" t="s">
        <v>40201</v>
      </c>
      <c r="K14147" s="3" t="s">
        <v>82</v>
      </c>
      <c r="L14147" s="3" t="str">
        <f>IFERROR(__xludf.DUMMYFUNCTION("GOOGLETRANSLATE(F14147,""id"",""en"")"),"if you see me a lot of money is because argen wins")</f>
        <v>if you see me a lot of money is because argen wins</v>
      </c>
    </row>
    <row r="14148" ht="15.75" customHeight="1">
      <c r="A14148" s="1">
        <v>15633.0</v>
      </c>
      <c r="B14148" s="3" t="s">
        <v>40202</v>
      </c>
      <c r="C14148" s="3">
        <v>0.0</v>
      </c>
      <c r="D14148" s="3">
        <v>0.0</v>
      </c>
      <c r="E14148" s="3">
        <v>1.0</v>
      </c>
      <c r="F14148" s="3" t="s">
        <v>40203</v>
      </c>
      <c r="G14148" s="3">
        <v>0.0</v>
      </c>
      <c r="H14148" s="3">
        <v>0.0</v>
      </c>
      <c r="I14148" s="3" t="s">
        <v>13</v>
      </c>
      <c r="J14148" s="3" t="s">
        <v>40204</v>
      </c>
      <c r="K14148" s="3" t="s">
        <v>50</v>
      </c>
      <c r="L14148" s="3" t="str">
        <f>IFERROR(__xludf.DUMMYFUNCTION("GOOGLETRANSLATE(F14148,""id"",""en"")"),"Want Agen or France who wins you still in your heart how come you calm down dogs")</f>
        <v>Want Agen or France who wins you still in your heart how come you calm down dogs</v>
      </c>
    </row>
    <row r="14149" ht="15.75" customHeight="1">
      <c r="A14149" s="1">
        <v>15634.0</v>
      </c>
      <c r="B14149" s="3" t="s">
        <v>40205</v>
      </c>
      <c r="C14149" s="3">
        <v>12.0</v>
      </c>
      <c r="D14149" s="3">
        <v>8.0</v>
      </c>
      <c r="E14149" s="3">
        <v>123.0</v>
      </c>
      <c r="F14149" s="3" t="s">
        <v>40206</v>
      </c>
      <c r="G14149" s="3">
        <v>0.0</v>
      </c>
      <c r="H14149" s="3">
        <v>0.0</v>
      </c>
      <c r="I14149" s="3" t="s">
        <v>13</v>
      </c>
      <c r="J14149" s="3" t="s">
        <v>40207</v>
      </c>
      <c r="K14149" s="3" t="s">
        <v>499</v>
      </c>
      <c r="L14149" s="3" t="str">
        <f>IFERROR(__xludf.DUMMYFUNCTION("GOOGLETRANSLATE(F14149,""id"",""en"")"),"I swear if I just a girl who was watching last night before starting middle school finally ARGEN won an exciting exciting mbappe me to youuuu")</f>
        <v>I swear if I just a girl who was watching last night before starting middle school finally ARGEN won an exciting exciting mbappe me to youuuu</v>
      </c>
    </row>
    <row r="14150" ht="15.75" customHeight="1">
      <c r="A14150" s="1">
        <v>15635.0</v>
      </c>
      <c r="B14150" s="3" t="s">
        <v>40208</v>
      </c>
      <c r="C14150" s="3">
        <v>1.0</v>
      </c>
      <c r="D14150" s="3">
        <v>0.0</v>
      </c>
      <c r="E14150" s="3">
        <v>0.0</v>
      </c>
      <c r="F14150" s="3" t="s">
        <v>40209</v>
      </c>
      <c r="G14150" s="3">
        <v>1.0</v>
      </c>
      <c r="H14150" s="3">
        <v>0.0</v>
      </c>
      <c r="I14150" s="3" t="s">
        <v>13</v>
      </c>
      <c r="J14150" s="3" t="s">
        <v>40210</v>
      </c>
      <c r="K14150" s="3" t="s">
        <v>139</v>
      </c>
      <c r="L14150" s="3" t="str">
        <f>IFERROR(__xludf.DUMMYFUNCTION("GOOGLETRANSLATE(F14150,""id"",""en"")"),"Closing the year with a very happy heart, my little idol I cried Messi lost to the final and I cried happily because Messi won the final, thanks for me, I was happy to all for Agen")</f>
        <v>Closing the year with a very happy heart, my little idol I cried Messi lost to the final and I cried happily because Messi won the final, thanks for me, I was happy to all for Agen</v>
      </c>
    </row>
    <row r="14151" ht="15.75" customHeight="1">
      <c r="A14151" s="1">
        <v>15636.0</v>
      </c>
      <c r="B14151" s="3" t="s">
        <v>40211</v>
      </c>
      <c r="C14151" s="3">
        <v>1.0</v>
      </c>
      <c r="D14151" s="3">
        <v>0.0</v>
      </c>
      <c r="E14151" s="3">
        <v>5.0</v>
      </c>
      <c r="F14151" s="3" t="s">
        <v>40212</v>
      </c>
      <c r="G14151" s="3">
        <v>0.6666666666666666</v>
      </c>
      <c r="H14151" s="3">
        <v>0.08333333333333333</v>
      </c>
      <c r="I14151" s="3" t="s">
        <v>48</v>
      </c>
      <c r="J14151" s="3" t="s">
        <v>40213</v>
      </c>
      <c r="K14151" s="3" t="s">
        <v>765</v>
      </c>
      <c r="L14151" s="3" t="str">
        <f>IFERROR(__xludf.DUMMYFUNCTION("GOOGLETRANSLATE(F14151,""id"",""en"")"),"well at least like this there is a reply to the debate of sane, but it's already tired of typing like this, according to the main part of ARgen in France and they deserve to win only throughout the tournament")</f>
        <v>well at least like this there is a reply to the debate of sane, but it's already tired of typing like this, according to the main part of ARgen in France and they deserve to win only throughout the tournament</v>
      </c>
    </row>
    <row r="14152" ht="15.75" customHeight="1">
      <c r="A14152" s="1">
        <v>15637.0</v>
      </c>
      <c r="B14152" s="3" t="s">
        <v>40214</v>
      </c>
      <c r="C14152" s="3">
        <v>0.0</v>
      </c>
      <c r="D14152" s="3">
        <v>0.0</v>
      </c>
      <c r="E14152" s="3">
        <v>0.0</v>
      </c>
      <c r="F14152" s="3" t="s">
        <v>40215</v>
      </c>
      <c r="G14152" s="3">
        <v>0.0</v>
      </c>
      <c r="H14152" s="3">
        <v>0.0</v>
      </c>
      <c r="I14152" s="3" t="s">
        <v>13</v>
      </c>
      <c r="J14152" s="3" t="s">
        <v>40216</v>
      </c>
      <c r="K14152" s="3" t="s">
        <v>644</v>
      </c>
      <c r="L14152" s="3" t="str">
        <f>IFERROR(__xludf.DUMMYFUNCTION("GOOGLETRANSLATE(F14152,""id"",""en"")"),"yes argen also won pinalty")</f>
        <v>yes argen also won pinalty</v>
      </c>
    </row>
    <row r="14153" ht="15.75" customHeight="1">
      <c r="A14153" s="1">
        <v>15639.0</v>
      </c>
      <c r="B14153" s="3" t="s">
        <v>40217</v>
      </c>
      <c r="C14153" s="3">
        <v>2.0</v>
      </c>
      <c r="D14153" s="3">
        <v>0.0</v>
      </c>
      <c r="E14153" s="3">
        <v>1.0</v>
      </c>
      <c r="F14153" s="3" t="s">
        <v>40218</v>
      </c>
      <c r="G14153" s="3">
        <v>0.0</v>
      </c>
      <c r="H14153" s="3">
        <v>0.0</v>
      </c>
      <c r="I14153" s="3" t="s">
        <v>13</v>
      </c>
      <c r="J14153" s="3" t="s">
        <v>40219</v>
      </c>
      <c r="K14153" s="3" t="s">
        <v>75</v>
      </c>
      <c r="L14153" s="3" t="str">
        <f>IFERROR(__xludf.DUMMYFUNCTION("GOOGLETRANSLATE(F14153,""id"",""en"")"),"Bang, I want to share the results of the winning results, while the AGG fans")</f>
        <v>Bang, I want to share the results of the winning results, while the AGG fans</v>
      </c>
    </row>
    <row r="14154" ht="15.75" customHeight="1">
      <c r="A14154" s="1">
        <v>15640.0</v>
      </c>
      <c r="B14154" s="3" t="s">
        <v>40220</v>
      </c>
      <c r="C14154" s="3">
        <v>0.0</v>
      </c>
      <c r="D14154" s="3">
        <v>0.0</v>
      </c>
      <c r="E14154" s="3">
        <v>0.0</v>
      </c>
      <c r="F14154" s="3" t="s">
        <v>40221</v>
      </c>
      <c r="G14154" s="3">
        <v>0.0</v>
      </c>
      <c r="H14154" s="3">
        <v>0.0</v>
      </c>
      <c r="I14154" s="3" t="s">
        <v>13</v>
      </c>
      <c r="J14154" s="3" t="s">
        <v>40222</v>
      </c>
      <c r="K14154" s="3" t="s">
        <v>644</v>
      </c>
      <c r="L14154" s="3" t="str">
        <f>IFERROR(__xludf.DUMMYFUNCTION("GOOGLETRANSLATE(F14154,""id"",""en"")"),"Argen won because of Jesi's prayer")</f>
        <v>Argen won because of Jesi's prayer</v>
      </c>
    </row>
    <row r="14155" ht="15.75" customHeight="1">
      <c r="A14155" s="1">
        <v>15641.0</v>
      </c>
      <c r="B14155" s="3" t="s">
        <v>40223</v>
      </c>
      <c r="C14155" s="3">
        <v>1.0</v>
      </c>
      <c r="D14155" s="3">
        <v>0.0</v>
      </c>
      <c r="E14155" s="3">
        <v>0.0</v>
      </c>
      <c r="F14155" s="3" t="s">
        <v>40224</v>
      </c>
      <c r="G14155" s="3">
        <v>0.0</v>
      </c>
      <c r="H14155" s="3">
        <v>0.0</v>
      </c>
      <c r="I14155" s="3" t="s">
        <v>13</v>
      </c>
      <c r="J14155" s="3" t="s">
        <v>40225</v>
      </c>
      <c r="K14155" s="3" t="s">
        <v>644</v>
      </c>
      <c r="L14155" s="3" t="str">
        <f>IFERROR(__xludf.DUMMYFUNCTION("GOOGLETRANSLATE(F14155,""id"",""en"")"),"It's not AGGE after winning")</f>
        <v>It's not AGGE after winning</v>
      </c>
    </row>
    <row r="14156" ht="15.75" customHeight="1">
      <c r="A14156" s="1">
        <v>15642.0</v>
      </c>
      <c r="B14156" s="3" t="s">
        <v>40226</v>
      </c>
      <c r="C14156" s="3">
        <v>0.0</v>
      </c>
      <c r="D14156" s="3">
        <v>0.0</v>
      </c>
      <c r="E14156" s="3">
        <v>1.0</v>
      </c>
      <c r="F14156" s="3" t="s">
        <v>40227</v>
      </c>
      <c r="G14156" s="3">
        <v>0.0</v>
      </c>
      <c r="H14156" s="3">
        <v>0.0</v>
      </c>
      <c r="I14156" s="3" t="s">
        <v>13</v>
      </c>
      <c r="J14156" s="3" t="s">
        <v>40228</v>
      </c>
      <c r="K14156" s="3" t="s">
        <v>41</v>
      </c>
      <c r="L14156" s="3" t="str">
        <f>IFERROR(__xludf.DUMMYFUNCTION("GOOGLETRANSLATE(F14156,""id"",""en"")"),"wkwkwkkwkwkwkwk this I want to win the ARGEN yesterday but Mbape asked to be supported")</f>
        <v>wkwkwkkwkwkwkwk this I want to win the ARGEN yesterday but Mbape asked to be supported</v>
      </c>
    </row>
    <row r="14157" ht="15.75" customHeight="1">
      <c r="A14157" s="1">
        <v>15643.0</v>
      </c>
      <c r="B14157" s="3" t="s">
        <v>40229</v>
      </c>
      <c r="C14157" s="3">
        <v>0.0</v>
      </c>
      <c r="D14157" s="3">
        <v>0.0</v>
      </c>
      <c r="E14157" s="3">
        <v>0.0</v>
      </c>
      <c r="F14157" s="3" t="s">
        <v>40230</v>
      </c>
      <c r="G14157" s="3">
        <v>0.0</v>
      </c>
      <c r="H14157" s="3">
        <v>0.0</v>
      </c>
      <c r="I14157" s="3" t="s">
        <v>13</v>
      </c>
      <c r="J14157" s="3" t="s">
        <v>40231</v>
      </c>
      <c r="K14157" s="3" t="s">
        <v>19</v>
      </c>
      <c r="L14157" s="3" t="str">
        <f>IFERROR(__xludf.DUMMYFUNCTION("GOOGLETRANSLATE(F14157,""id"",""en"")"),"miss the notif notif again, CIO DAMIE ARGEN WIND YOUR Party Party wkwkkw")</f>
        <v>miss the notif notif again, CIO DAMIE ARGEN WIND YOUR Party Party wkwkkw</v>
      </c>
    </row>
    <row r="14158" ht="15.75" customHeight="1">
      <c r="A14158" s="1">
        <v>15644.0</v>
      </c>
      <c r="B14158" s="3" t="s">
        <v>40232</v>
      </c>
      <c r="C14158" s="3">
        <v>0.0</v>
      </c>
      <c r="D14158" s="3">
        <v>0.0</v>
      </c>
      <c r="E14158" s="3">
        <v>0.0</v>
      </c>
      <c r="F14158" s="3" t="s">
        <v>40233</v>
      </c>
      <c r="G14158" s="3">
        <v>0.0</v>
      </c>
      <c r="H14158" s="3">
        <v>0.0</v>
      </c>
      <c r="I14158" s="3" t="s">
        <v>13</v>
      </c>
      <c r="J14158" s="3" t="s">
        <v>40234</v>
      </c>
      <c r="K14158" s="3" t="s">
        <v>236</v>
      </c>
      <c r="L14158" s="3" t="str">
        <f>IFERROR(__xludf.DUMMYFUNCTION("GOOGLETRANSLATE(F14158,""id"",""en"")"),"there is a girl friend because Agegen won so Japanese spec ani ani anyway")</f>
        <v>there is a girl friend because Agegen won so Japanese spec ani ani anyway</v>
      </c>
    </row>
    <row r="14159" ht="15.75" customHeight="1">
      <c r="A14159" s="1">
        <v>15645.0</v>
      </c>
      <c r="B14159" s="3" t="s">
        <v>40235</v>
      </c>
      <c r="C14159" s="3">
        <v>0.0</v>
      </c>
      <c r="D14159" s="3">
        <v>0.0</v>
      </c>
      <c r="E14159" s="3">
        <v>0.0</v>
      </c>
      <c r="F14159" s="3" t="s">
        <v>40235</v>
      </c>
      <c r="G14159" s="3">
        <v>0.0</v>
      </c>
      <c r="H14159" s="3">
        <v>0.0</v>
      </c>
      <c r="I14159" s="3" t="s">
        <v>13</v>
      </c>
      <c r="J14159" s="3" t="s">
        <v>40236</v>
      </c>
      <c r="K14159" s="3" t="s">
        <v>2117</v>
      </c>
      <c r="L14159" s="3" t="str">
        <f>IFERROR(__xludf.DUMMYFUNCTION("GOOGLETRANSLATE(F14159,""id"",""en"")"),"Fortunately, Agen won")</f>
        <v>Fortunately, Agen won</v>
      </c>
    </row>
    <row r="14160" ht="15.75" customHeight="1">
      <c r="A14160" s="1">
        <v>15646.0</v>
      </c>
      <c r="B14160" s="3" t="s">
        <v>40237</v>
      </c>
      <c r="C14160" s="3">
        <v>1.0</v>
      </c>
      <c r="D14160" s="3">
        <v>15.0</v>
      </c>
      <c r="E14160" s="3">
        <v>180.0</v>
      </c>
      <c r="F14160" s="3" t="s">
        <v>40238</v>
      </c>
      <c r="G14160" s="3">
        <v>0.0</v>
      </c>
      <c r="H14160" s="3">
        <v>0.0</v>
      </c>
      <c r="I14160" s="3" t="s">
        <v>13</v>
      </c>
      <c r="J14160" s="3" t="s">
        <v>40239</v>
      </c>
      <c r="K14160" s="3" t="s">
        <v>31</v>
      </c>
      <c r="L14160" s="3" t="str">
        <f>IFERROR(__xludf.DUMMYFUNCTION("GOOGLETRANSLATE(F14160,""id"",""en"")"),"Asheljkt ingpo argen won penalty")</f>
        <v>Asheljkt ingpo argen won penalty</v>
      </c>
    </row>
    <row r="14161" ht="15.75" customHeight="1">
      <c r="A14161" s="1">
        <v>15647.0</v>
      </c>
      <c r="B14161" s="3" t="s">
        <v>40240</v>
      </c>
      <c r="C14161" s="3">
        <v>0.0</v>
      </c>
      <c r="D14161" s="3">
        <v>0.0</v>
      </c>
      <c r="E14161" s="3">
        <v>0.0</v>
      </c>
      <c r="F14161" s="3" t="s">
        <v>40241</v>
      </c>
      <c r="G14161" s="3">
        <v>0.0</v>
      </c>
      <c r="H14161" s="3">
        <v>0.0</v>
      </c>
      <c r="I14161" s="3" t="s">
        <v>13</v>
      </c>
      <c r="J14161" s="3" t="s">
        <v>40242</v>
      </c>
      <c r="K14161" s="3" t="s">
        <v>477</v>
      </c>
      <c r="L14161" s="3" t="str">
        <f>IFERROR(__xludf.DUMMYFUNCTION("GOOGLETRANSLATE(F14161,""id"",""en"")"),"var varrrrrrr hayo you say Agegen wins give away")</f>
        <v>var varrrrrrr hayo you say Agegen wins give away</v>
      </c>
    </row>
    <row r="14162" ht="15.75" customHeight="1">
      <c r="A14162" s="1">
        <v>15648.0</v>
      </c>
      <c r="B14162" s="3" t="s">
        <v>40243</v>
      </c>
      <c r="C14162" s="3">
        <v>0.0</v>
      </c>
      <c r="D14162" s="3">
        <v>0.0</v>
      </c>
      <c r="E14162" s="3">
        <v>0.0</v>
      </c>
      <c r="F14162" s="3" t="s">
        <v>40244</v>
      </c>
      <c r="G14162" s="3">
        <v>0.0</v>
      </c>
      <c r="H14162" s="3">
        <v>0.0</v>
      </c>
      <c r="I14162" s="3" t="s">
        <v>13</v>
      </c>
      <c r="J14162" s="3" t="s">
        <v>40245</v>
      </c>
      <c r="K14162" s="3" t="s">
        <v>2117</v>
      </c>
      <c r="L14162" s="3" t="str">
        <f>IFERROR(__xludf.DUMMYFUNCTION("GOOGLETRANSLATE(F14162,""id"",""en"")"),"arguably the winner must be ARGEN")</f>
        <v>arguably the winner must be ARGEN</v>
      </c>
    </row>
    <row r="14163" ht="15.75" customHeight="1">
      <c r="A14163" s="1">
        <v>15649.0</v>
      </c>
      <c r="B14163" s="3" t="s">
        <v>40246</v>
      </c>
      <c r="C14163" s="3">
        <v>0.0</v>
      </c>
      <c r="D14163" s="3">
        <v>0.0</v>
      </c>
      <c r="E14163" s="3">
        <v>0.0</v>
      </c>
      <c r="F14163" s="3" t="s">
        <v>40247</v>
      </c>
      <c r="G14163" s="3">
        <v>0.55</v>
      </c>
      <c r="H14163" s="3">
        <v>0.35</v>
      </c>
      <c r="I14163" s="3" t="s">
        <v>48</v>
      </c>
      <c r="J14163" s="3" t="s">
        <v>40248</v>
      </c>
      <c r="K14163" s="3" t="s">
        <v>31</v>
      </c>
      <c r="L14163" s="3" t="str">
        <f>IFERROR(__xludf.DUMMYFUNCTION("GOOGLETRANSLATE(F14163,""id"",""en"")"),"Allhamdulilah ARgen won full smile")</f>
        <v>Allhamdulilah ARgen won full smile</v>
      </c>
    </row>
    <row r="14164" ht="15.75" customHeight="1">
      <c r="A14164" s="1">
        <v>15650.0</v>
      </c>
      <c r="B14164" s="3" t="s">
        <v>40249</v>
      </c>
      <c r="C14164" s="3">
        <v>1.0</v>
      </c>
      <c r="D14164" s="3">
        <v>0.0</v>
      </c>
      <c r="E14164" s="3">
        <v>0.0</v>
      </c>
      <c r="F14164" s="3" t="s">
        <v>39559</v>
      </c>
      <c r="G14164" s="3">
        <v>0.0</v>
      </c>
      <c r="H14164" s="3">
        <v>0.0</v>
      </c>
      <c r="I14164" s="3" t="s">
        <v>13</v>
      </c>
      <c r="J14164" s="3" t="s">
        <v>39560</v>
      </c>
      <c r="K14164" s="3" t="s">
        <v>14571</v>
      </c>
      <c r="L14164" s="3" t="str">
        <f>IFERROR(__xludf.DUMMYFUNCTION("GOOGLETRANSLATE(F14164,""id"",""en"")"),"Argen won")</f>
        <v>Argen won</v>
      </c>
    </row>
    <row r="14165" ht="15.75" customHeight="1">
      <c r="A14165" s="1">
        <v>15651.0</v>
      </c>
      <c r="B14165" s="3" t="s">
        <v>40250</v>
      </c>
      <c r="C14165" s="3">
        <v>0.0</v>
      </c>
      <c r="D14165" s="3">
        <v>0.0</v>
      </c>
      <c r="E14165" s="3">
        <v>0.0</v>
      </c>
      <c r="F14165" s="3" t="s">
        <v>40251</v>
      </c>
      <c r="G14165" s="3">
        <v>0.0</v>
      </c>
      <c r="H14165" s="3">
        <v>0.0</v>
      </c>
      <c r="I14165" s="3" t="s">
        <v>13</v>
      </c>
      <c r="J14165" s="3" t="s">
        <v>40252</v>
      </c>
      <c r="K14165" s="3" t="s">
        <v>1469</v>
      </c>
      <c r="L14165" s="3" t="str">
        <f>IFERROR(__xludf.DUMMYFUNCTION("GOOGLETRANSLATE(F14165,""id"",""en"")"),"I was very happy to win, I won, I was suspicious that I would win until I won until I forgot to be treated")</f>
        <v>I was very happy to win, I won, I was suspicious that I would win until I won until I forgot to be treated</v>
      </c>
    </row>
    <row r="14166" ht="15.75" customHeight="1">
      <c r="A14166" s="1">
        <v>15652.0</v>
      </c>
      <c r="B14166" s="3" t="s">
        <v>40253</v>
      </c>
      <c r="C14166" s="3">
        <v>1.0</v>
      </c>
      <c r="D14166" s="3">
        <v>0.0</v>
      </c>
      <c r="E14166" s="3">
        <v>0.0</v>
      </c>
      <c r="F14166" s="3" t="s">
        <v>40254</v>
      </c>
      <c r="G14166" s="3">
        <v>0.0</v>
      </c>
      <c r="H14166" s="3">
        <v>0.0</v>
      </c>
      <c r="I14166" s="3" t="s">
        <v>13</v>
      </c>
      <c r="J14166" s="3" t="s">
        <v>40255</v>
      </c>
      <c r="K14166" s="3" t="s">
        <v>82</v>
      </c>
      <c r="L14166" s="3" t="str">
        <f>IFERROR(__xludf.DUMMYFUNCTION("GOOGLETRANSLATE(F14166,""id"",""en"")"),"I have to bikiin I immediately remember us when Agen won")</f>
        <v>I have to bikiin I immediately remember us when Agen won</v>
      </c>
    </row>
    <row r="14167" ht="15.75" customHeight="1">
      <c r="A14167" s="1">
        <v>15653.0</v>
      </c>
      <c r="B14167" s="3" t="s">
        <v>40256</v>
      </c>
      <c r="C14167" s="3">
        <v>0.0</v>
      </c>
      <c r="D14167" s="3">
        <v>0.0</v>
      </c>
      <c r="E14167" s="3">
        <v>0.0</v>
      </c>
      <c r="F14167" s="3" t="s">
        <v>40257</v>
      </c>
      <c r="G14167" s="3">
        <v>0.0</v>
      </c>
      <c r="H14167" s="3">
        <v>0.0</v>
      </c>
      <c r="I14167" s="3" t="s">
        <v>13</v>
      </c>
      <c r="J14167" s="3" t="s">
        <v>40258</v>
      </c>
      <c r="K14167" s="3" t="s">
        <v>54</v>
      </c>
      <c r="L14167" s="3" t="str">
        <f>IFERROR(__xludf.DUMMYFUNCTION("GOOGLETRANSLATE(F14167,""id"",""en"")"),"I keep discussing this week AGGE wins")</f>
        <v>I keep discussing this week AGGE wins</v>
      </c>
    </row>
    <row r="14168" ht="15.75" customHeight="1">
      <c r="A14168" s="1">
        <v>15654.0</v>
      </c>
      <c r="B14168" s="3" t="s">
        <v>40259</v>
      </c>
      <c r="C14168" s="3">
        <v>1.0</v>
      </c>
      <c r="D14168" s="3">
        <v>0.0</v>
      </c>
      <c r="E14168" s="3">
        <v>0.0</v>
      </c>
      <c r="F14168" s="3" t="s">
        <v>40259</v>
      </c>
      <c r="G14168" s="3">
        <v>0.0</v>
      </c>
      <c r="H14168" s="3">
        <v>0.0</v>
      </c>
      <c r="I14168" s="3" t="s">
        <v>13</v>
      </c>
      <c r="J14168" s="3" t="s">
        <v>40260</v>
      </c>
      <c r="K14168" s="3" t="s">
        <v>15</v>
      </c>
      <c r="L14168" s="3" t="str">
        <f>IFERROR(__xludf.DUMMYFUNCTION("GOOGLETRANSLATE(F14168,""id"",""en"")"),"Argen seems like he is very happy when Messi wins")</f>
        <v>Argen seems like he is very happy when Messi wins</v>
      </c>
    </row>
    <row r="14169" ht="15.75" customHeight="1">
      <c r="A14169" s="1">
        <v>15655.0</v>
      </c>
      <c r="B14169" s="3" t="s">
        <v>40261</v>
      </c>
      <c r="C14169" s="3">
        <v>0.0</v>
      </c>
      <c r="D14169" s="3">
        <v>0.0</v>
      </c>
      <c r="E14169" s="3">
        <v>1.0</v>
      </c>
      <c r="F14169" s="3" t="s">
        <v>40262</v>
      </c>
      <c r="G14169" s="3">
        <v>0.0</v>
      </c>
      <c r="H14169" s="3">
        <v>0.0</v>
      </c>
      <c r="I14169" s="3" t="s">
        <v>13</v>
      </c>
      <c r="J14169" s="3" t="s">
        <v>40263</v>
      </c>
      <c r="K14169" s="3" t="s">
        <v>31</v>
      </c>
      <c r="L14169" s="3" t="str">
        <f>IFERROR(__xludf.DUMMYFUNCTION("GOOGLETRANSLATE(F14169,""id"",""en"")"),"AFF Aduin Winning with ARGEN")</f>
        <v>AFF Aduin Winning with ARGEN</v>
      </c>
    </row>
    <row r="14170" ht="15.75" customHeight="1">
      <c r="A14170" s="1">
        <v>15656.0</v>
      </c>
      <c r="B14170" s="3" t="s">
        <v>40264</v>
      </c>
      <c r="C14170" s="3">
        <v>1.0</v>
      </c>
      <c r="D14170" s="3">
        <v>0.0</v>
      </c>
      <c r="E14170" s="3">
        <v>0.0</v>
      </c>
      <c r="F14170" s="3" t="s">
        <v>40265</v>
      </c>
      <c r="G14170" s="3">
        <v>0.0</v>
      </c>
      <c r="H14170" s="3">
        <v>0.0</v>
      </c>
      <c r="I14170" s="3" t="s">
        <v>13</v>
      </c>
      <c r="J14170" s="3" t="s">
        <v>40266</v>
      </c>
      <c r="K14170" s="3" t="s">
        <v>71</v>
      </c>
      <c r="L14170" s="3" t="str">
        <f>IFERROR(__xludf.DUMMYFUNCTION("GOOGLETRANSLATE(F14170,""id"",""en"")"),"said that Agen won because of fifa holding FIFA and Camel Flu, there was still one statement of Apadah, why the fans of Messi were so wow")</f>
        <v>said that Agen won because of fifa holding FIFA and Camel Flu, there was still one statement of Apadah, why the fans of Messi were so wow</v>
      </c>
    </row>
    <row r="14171" ht="15.75" customHeight="1">
      <c r="A14171" s="1">
        <v>15657.0</v>
      </c>
      <c r="B14171" s="3" t="s">
        <v>40267</v>
      </c>
      <c r="C14171" s="3">
        <v>1.0</v>
      </c>
      <c r="D14171" s="3">
        <v>0.0</v>
      </c>
      <c r="E14171" s="3">
        <v>0.0</v>
      </c>
      <c r="F14171" s="3" t="s">
        <v>40268</v>
      </c>
      <c r="G14171" s="3">
        <v>0.0</v>
      </c>
      <c r="H14171" s="3">
        <v>0.0</v>
      </c>
      <c r="I14171" s="3" t="s">
        <v>13</v>
      </c>
      <c r="J14171" s="3" t="s">
        <v>40269</v>
      </c>
      <c r="K14171" s="3" t="s">
        <v>31</v>
      </c>
      <c r="L14171" s="3" t="str">
        <f>IFERROR(__xludf.DUMMYFUNCTION("GOOGLETRANSLATE(F14171,""id"",""en"")"),"Loey because Agen won boss")</f>
        <v>Loey because Agen won boss</v>
      </c>
    </row>
    <row r="14172" ht="15.75" customHeight="1">
      <c r="A14172" s="1">
        <v>15658.0</v>
      </c>
      <c r="B14172" s="3" t="s">
        <v>40270</v>
      </c>
      <c r="C14172" s="3">
        <v>0.0</v>
      </c>
      <c r="D14172" s="3">
        <v>0.0</v>
      </c>
      <c r="E14172" s="3">
        <v>0.0</v>
      </c>
      <c r="F14172" s="3" t="s">
        <v>40271</v>
      </c>
      <c r="G14172" s="3">
        <v>0.0</v>
      </c>
      <c r="H14172" s="3">
        <v>0.0</v>
      </c>
      <c r="I14172" s="3" t="s">
        <v>13</v>
      </c>
      <c r="J14172" s="3" t="s">
        <v>40272</v>
      </c>
      <c r="K14172" s="3" t="s">
        <v>15</v>
      </c>
      <c r="L14172" s="3" t="str">
        <f>IFERROR(__xludf.DUMMYFUNCTION("GOOGLETRANSLATE(F14172,""id"",""en"")"),"Want France or ARGEN just win new people")</f>
        <v>Want France or ARGEN just win new people</v>
      </c>
    </row>
    <row r="14173" ht="15.75" customHeight="1">
      <c r="A14173" s="1">
        <v>15659.0</v>
      </c>
      <c r="B14173" s="3" t="s">
        <v>40273</v>
      </c>
      <c r="C14173" s="3">
        <v>0.0</v>
      </c>
      <c r="D14173" s="3">
        <v>0.0</v>
      </c>
      <c r="E14173" s="3">
        <v>0.0</v>
      </c>
      <c r="F14173" s="3" t="s">
        <v>40274</v>
      </c>
      <c r="G14173" s="3">
        <v>0.0</v>
      </c>
      <c r="H14173" s="3">
        <v>0.0</v>
      </c>
      <c r="I14173" s="3" t="s">
        <v>13</v>
      </c>
      <c r="J14173" s="3" t="s">
        <v>40275</v>
      </c>
      <c r="K14173" s="3" t="s">
        <v>2907</v>
      </c>
      <c r="L14173" s="3" t="str">
        <f>IFERROR(__xludf.DUMMYFUNCTION("GOOGLETRANSLATE(F14173,""id"",""en"")"),"I held Agen to win a lot because I knew ARGEN would win not because I support Messi what can I get wkwkwk")</f>
        <v>I held Agen to win a lot because I knew ARGEN would win not because I support Messi what can I get wkwkwk</v>
      </c>
    </row>
    <row r="14174" ht="15.75" customHeight="1">
      <c r="A14174" s="1">
        <v>15660.0</v>
      </c>
      <c r="B14174" s="3" t="s">
        <v>40276</v>
      </c>
      <c r="C14174" s="3">
        <v>0.0</v>
      </c>
      <c r="D14174" s="3">
        <v>0.0</v>
      </c>
      <c r="E14174" s="3">
        <v>0.0</v>
      </c>
      <c r="F14174" s="3" t="s">
        <v>40277</v>
      </c>
      <c r="G14174" s="3">
        <v>0.0</v>
      </c>
      <c r="H14174" s="3">
        <v>0.0</v>
      </c>
      <c r="I14174" s="3" t="s">
        <v>13</v>
      </c>
      <c r="J14174" s="3" t="s">
        <v>40278</v>
      </c>
      <c r="K14174" s="3" t="s">
        <v>15</v>
      </c>
      <c r="L14174" s="3" t="str">
        <f>IFERROR(__xludf.DUMMYFUNCTION("GOOGLETRANSLATE(F14174,""id"",""en"")"),"Want France or Agegen to win the old person Chuakz")</f>
        <v>Want France or Agegen to win the old person Chuakz</v>
      </c>
    </row>
    <row r="14175" ht="15.75" customHeight="1">
      <c r="A14175" s="1">
        <v>15661.0</v>
      </c>
      <c r="B14175" s="3" t="s">
        <v>40279</v>
      </c>
      <c r="C14175" s="3">
        <v>0.0</v>
      </c>
      <c r="D14175" s="3">
        <v>0.0</v>
      </c>
      <c r="E14175" s="3">
        <v>0.0</v>
      </c>
      <c r="F14175" s="3" t="s">
        <v>40280</v>
      </c>
      <c r="G14175" s="3">
        <v>0.0</v>
      </c>
      <c r="H14175" s="3">
        <v>0.0</v>
      </c>
      <c r="I14175" s="3" t="s">
        <v>13</v>
      </c>
      <c r="J14175" s="3" t="s">
        <v>40281</v>
      </c>
      <c r="K14175" s="3" t="s">
        <v>82</v>
      </c>
      <c r="L14175" s="3" t="str">
        <f>IFERROR(__xludf.DUMMYFUNCTION("GOOGLETRANSLATE(F14175,""id"",""en"")"),"Angry Argen won the gambling brp wkwkwkwk")</f>
        <v>Angry Argen won the gambling brp wkwkwkwk</v>
      </c>
    </row>
    <row r="14176" ht="15.75" customHeight="1">
      <c r="A14176" s="1">
        <v>15662.0</v>
      </c>
      <c r="B14176" s="3" t="s">
        <v>40282</v>
      </c>
      <c r="C14176" s="3">
        <v>0.0</v>
      </c>
      <c r="D14176" s="3">
        <v>0.0</v>
      </c>
      <c r="E14176" s="3">
        <v>0.0</v>
      </c>
      <c r="F14176" s="3" t="s">
        <v>40283</v>
      </c>
      <c r="G14176" s="3">
        <v>0.4</v>
      </c>
      <c r="H14176" s="3">
        <v>0.2</v>
      </c>
      <c r="I14176" s="3" t="s">
        <v>48</v>
      </c>
      <c r="J14176" s="3" t="s">
        <v>40284</v>
      </c>
      <c r="K14176" s="3" t="s">
        <v>71</v>
      </c>
      <c r="L14176" s="3" t="str">
        <f>IFERROR(__xludf.DUMMYFUNCTION("GOOGLETRANSLATE(F14176,""id"",""en"")"),"wkwkwk nyong among ambon Ambon fans argen excited beta pung team wins anyway hahaha kimak")</f>
        <v>wkwkwk nyong among ambon Ambon fans argen excited beta pung team wins anyway hahaha kimak</v>
      </c>
    </row>
    <row r="14177" ht="15.75" customHeight="1">
      <c r="A14177" s="1">
        <v>15663.0</v>
      </c>
      <c r="B14177" s="3" t="s">
        <v>40285</v>
      </c>
      <c r="C14177" s="3">
        <v>1.0</v>
      </c>
      <c r="D14177" s="3">
        <v>0.0</v>
      </c>
      <c r="E14177" s="3">
        <v>0.0</v>
      </c>
      <c r="F14177" s="3" t="s">
        <v>40286</v>
      </c>
      <c r="G14177" s="3">
        <v>0.0</v>
      </c>
      <c r="H14177" s="3">
        <v>0.0</v>
      </c>
      <c r="I14177" s="3" t="s">
        <v>13</v>
      </c>
      <c r="J14177" s="3" t="s">
        <v>40287</v>
      </c>
      <c r="K14177" s="3" t="s">
        <v>82</v>
      </c>
      <c r="L14177" s="3" t="str">
        <f>IFERROR(__xludf.DUMMYFUNCTION("GOOGLETRANSLATE(F14177,""id"",""en"")"),"if Agen doesn't win the rule of Livakovic that you get")</f>
        <v>if Agen doesn't win the rule of Livakovic that you get</v>
      </c>
    </row>
    <row r="14178" ht="15.75" customHeight="1">
      <c r="A14178" s="1">
        <v>15664.0</v>
      </c>
      <c r="B14178" s="3" t="s">
        <v>40288</v>
      </c>
      <c r="C14178" s="3">
        <v>1.0</v>
      </c>
      <c r="D14178" s="3">
        <v>0.0</v>
      </c>
      <c r="E14178" s="3">
        <v>1.0</v>
      </c>
      <c r="F14178" s="3" t="s">
        <v>40289</v>
      </c>
      <c r="G14178" s="3">
        <v>0.0</v>
      </c>
      <c r="H14178" s="3">
        <v>0.0</v>
      </c>
      <c r="I14178" s="3" t="s">
        <v>13</v>
      </c>
      <c r="J14178" s="3" t="s">
        <v>40290</v>
      </c>
      <c r="K14178" s="3" t="s">
        <v>54</v>
      </c>
      <c r="L14178" s="3" t="str">
        <f>IFERROR(__xludf.DUMMYFUNCTION("GOOGLETRANSLATE(F14178,""id"",""en"")"),"Ouch, your guess is the wrong beb who wins ARGEN")</f>
        <v>Ouch, your guess is the wrong beb who wins ARGEN</v>
      </c>
    </row>
    <row r="14179" ht="15.75" customHeight="1">
      <c r="A14179" s="1">
        <v>15665.0</v>
      </c>
      <c r="B14179" s="3" t="s">
        <v>40291</v>
      </c>
      <c r="C14179" s="3">
        <v>0.0</v>
      </c>
      <c r="D14179" s="3">
        <v>0.0</v>
      </c>
      <c r="E14179" s="3">
        <v>0.0</v>
      </c>
      <c r="F14179" s="3" t="s">
        <v>40292</v>
      </c>
      <c r="G14179" s="3">
        <v>0.0</v>
      </c>
      <c r="H14179" s="3">
        <v>0.0</v>
      </c>
      <c r="I14179" s="3" t="s">
        <v>13</v>
      </c>
      <c r="J14179" s="3" t="s">
        <v>40293</v>
      </c>
      <c r="K14179" s="3" t="s">
        <v>633</v>
      </c>
      <c r="L14179" s="3" t="str">
        <f>IFERROR(__xludf.DUMMYFUNCTION("GOOGLETRANSLATE(F14179,""id"",""en"")"),"Already happy Agen won his intention to add to buying artic monkeys tickets and even puppies bought monkey drinks monkeys")</f>
        <v>Already happy Agen won his intention to add to buying artic monkeys tickets and even puppies bought monkey drinks monkeys</v>
      </c>
    </row>
    <row r="14180" ht="15.75" customHeight="1">
      <c r="A14180" s="1">
        <v>15666.0</v>
      </c>
      <c r="B14180" s="3" t="s">
        <v>40294</v>
      </c>
      <c r="C14180" s="3">
        <v>0.0</v>
      </c>
      <c r="D14180" s="3">
        <v>0.0</v>
      </c>
      <c r="E14180" s="3">
        <v>0.0</v>
      </c>
      <c r="F14180" s="3" t="s">
        <v>40295</v>
      </c>
      <c r="G14180" s="3">
        <v>0.0</v>
      </c>
      <c r="H14180" s="3">
        <v>0.0</v>
      </c>
      <c r="I14180" s="3" t="s">
        <v>13</v>
      </c>
      <c r="J14180" s="3" t="s">
        <v>40296</v>
      </c>
      <c r="K14180" s="3" t="s">
        <v>54</v>
      </c>
      <c r="L14180" s="3" t="str">
        <f>IFERROR(__xludf.DUMMYFUNCTION("GOOGLETRANSLATE(F14180,""id"",""en"")"),"happy bet argen won anj wwkw")</f>
        <v>happy bet argen won anj wwkw</v>
      </c>
    </row>
    <row r="14181" ht="15.75" customHeight="1">
      <c r="A14181" s="1">
        <v>15667.0</v>
      </c>
      <c r="B14181" s="3" t="s">
        <v>40297</v>
      </c>
      <c r="C14181" s="3">
        <v>1.0</v>
      </c>
      <c r="D14181" s="3">
        <v>0.0</v>
      </c>
      <c r="E14181" s="3">
        <v>0.0</v>
      </c>
      <c r="F14181" s="3" t="s">
        <v>40298</v>
      </c>
      <c r="G14181" s="3">
        <v>0.0</v>
      </c>
      <c r="H14181" s="3">
        <v>0.0</v>
      </c>
      <c r="I14181" s="3" t="s">
        <v>13</v>
      </c>
      <c r="J14181" s="3" t="s">
        <v>39560</v>
      </c>
      <c r="K14181" s="3" t="s">
        <v>14571</v>
      </c>
      <c r="L14181" s="3" t="str">
        <f>IFERROR(__xludf.DUMMYFUNCTION("GOOGLETRANSLATE(F14181,""id"",""en"")"),"said he was ARGEN won")</f>
        <v>said he was ARGEN won</v>
      </c>
    </row>
    <row r="14182" ht="15.75" customHeight="1">
      <c r="A14182" s="1">
        <v>15668.0</v>
      </c>
      <c r="B14182" s="3" t="s">
        <v>40299</v>
      </c>
      <c r="C14182" s="3">
        <v>1.0</v>
      </c>
      <c r="D14182" s="3">
        <v>0.0</v>
      </c>
      <c r="E14182" s="3">
        <v>0.0</v>
      </c>
      <c r="F14182" s="3" t="s">
        <v>40300</v>
      </c>
      <c r="G14182" s="3">
        <v>0.0</v>
      </c>
      <c r="H14182" s="3">
        <v>0.0</v>
      </c>
      <c r="I14182" s="3" t="s">
        <v>13</v>
      </c>
      <c r="J14182" s="3" t="s">
        <v>40301</v>
      </c>
      <c r="K14182" s="3" t="s">
        <v>15</v>
      </c>
      <c r="L14182" s="3" t="str">
        <f>IFERROR(__xludf.DUMMYFUNCTION("GOOGLETRANSLATE(F14182,""id"",""en"")"),"overslept continue to wake up at the sosmed sosmed watching hours of winning")</f>
        <v>overslept continue to wake up at the sosmed sosmed watching hours of winning</v>
      </c>
    </row>
    <row r="14183" ht="15.75" customHeight="1">
      <c r="A14183" s="1">
        <v>15669.0</v>
      </c>
      <c r="B14183" s="3" t="s">
        <v>40302</v>
      </c>
      <c r="C14183" s="3">
        <v>2.0</v>
      </c>
      <c r="D14183" s="3">
        <v>0.0</v>
      </c>
      <c r="E14183" s="3">
        <v>0.0</v>
      </c>
      <c r="F14183" s="3" t="s">
        <v>40303</v>
      </c>
      <c r="G14183" s="3">
        <v>0.0</v>
      </c>
      <c r="H14183" s="3">
        <v>0.0</v>
      </c>
      <c r="I14183" s="3" t="s">
        <v>13</v>
      </c>
      <c r="J14183" s="3" t="s">
        <v>40304</v>
      </c>
      <c r="K14183" s="3" t="s">
        <v>15</v>
      </c>
      <c r="L14183" s="3" t="str">
        <f>IFERROR(__xludf.DUMMYFUNCTION("GOOGLETRANSLATE(F14183,""id"",""en"")"),"Hadehh ate a lot of bang to win bets holding argen")</f>
        <v>Hadehh ate a lot of bang to win bets holding argen</v>
      </c>
    </row>
    <row r="14184" ht="15.75" customHeight="1">
      <c r="A14184" s="1">
        <v>15670.0</v>
      </c>
      <c r="B14184" s="3" t="s">
        <v>40305</v>
      </c>
      <c r="C14184" s="3">
        <v>1.0</v>
      </c>
      <c r="D14184" s="3">
        <v>0.0</v>
      </c>
      <c r="E14184" s="3">
        <v>0.0</v>
      </c>
      <c r="F14184" s="3" t="s">
        <v>40306</v>
      </c>
      <c r="G14184" s="3">
        <v>0.0</v>
      </c>
      <c r="H14184" s="3">
        <v>0.0</v>
      </c>
      <c r="I14184" s="3" t="s">
        <v>13</v>
      </c>
      <c r="J14184" s="3" t="s">
        <v>40307</v>
      </c>
      <c r="K14184" s="3" t="s">
        <v>15</v>
      </c>
      <c r="L14184" s="3" t="str">
        <f>IFERROR(__xludf.DUMMYFUNCTION("GOOGLETRANSLATE(F14184,""id"",""en"")"),"I Cuy Filing ARgen Wins KDD HDK Pay Wkk")</f>
        <v>I Cuy Filing ARgen Wins KDD HDK Pay Wkk</v>
      </c>
    </row>
    <row r="14185" ht="15.75" customHeight="1">
      <c r="A14185" s="1">
        <v>15671.0</v>
      </c>
      <c r="B14185" s="3" t="s">
        <v>40308</v>
      </c>
      <c r="C14185" s="3">
        <v>0.0</v>
      </c>
      <c r="D14185" s="3">
        <v>0.0</v>
      </c>
      <c r="E14185" s="3">
        <v>0.0</v>
      </c>
      <c r="F14185" s="3" t="s">
        <v>40309</v>
      </c>
      <c r="G14185" s="3">
        <v>0.5</v>
      </c>
      <c r="H14185" s="3">
        <v>0.1363636363636364</v>
      </c>
      <c r="I14185" s="3" t="s">
        <v>48</v>
      </c>
      <c r="J14185" s="3" t="s">
        <v>40310</v>
      </c>
      <c r="K14185" s="3" t="s">
        <v>50</v>
      </c>
      <c r="L14185" s="3" t="str">
        <f>IFERROR(__xludf.DUMMYFUNCTION("GOOGLETRANSLATE(F14185,""id"",""en"")"),"this is the tumben world cup there is mba faker who if argen France wins I live naked")</f>
        <v>this is the tumben world cup there is mba faker who if argen France wins I live naked</v>
      </c>
    </row>
    <row r="14186" ht="15.75" customHeight="1">
      <c r="A14186" s="1">
        <v>15672.0</v>
      </c>
      <c r="B14186" s="3" t="s">
        <v>40311</v>
      </c>
      <c r="C14186" s="3">
        <v>0.0</v>
      </c>
      <c r="D14186" s="3">
        <v>0.0</v>
      </c>
      <c r="E14186" s="3">
        <v>0.0</v>
      </c>
      <c r="F14186" s="3" t="s">
        <v>40311</v>
      </c>
      <c r="G14186" s="3">
        <v>0.0</v>
      </c>
      <c r="H14186" s="3">
        <v>0.0</v>
      </c>
      <c r="I14186" s="3" t="s">
        <v>13</v>
      </c>
      <c r="J14186" s="3" t="s">
        <v>40312</v>
      </c>
      <c r="K14186" s="3" t="s">
        <v>6752</v>
      </c>
      <c r="L14186" s="3" t="str">
        <f>IFERROR(__xludf.DUMMYFUNCTION("GOOGLETRANSLATE(F14186,""id"",""en"")"),"Dam back and Agen won Dam")</f>
        <v>Dam back and Agen won Dam</v>
      </c>
    </row>
    <row r="14187" ht="15.75" customHeight="1">
      <c r="A14187" s="1">
        <v>15673.0</v>
      </c>
      <c r="B14187" s="3" t="s">
        <v>40313</v>
      </c>
      <c r="C14187" s="3">
        <v>0.0</v>
      </c>
      <c r="D14187" s="3">
        <v>0.0</v>
      </c>
      <c r="E14187" s="3">
        <v>0.0</v>
      </c>
      <c r="F14187" s="3" t="s">
        <v>40314</v>
      </c>
      <c r="G14187" s="3">
        <v>0.0</v>
      </c>
      <c r="H14187" s="3">
        <v>0.0</v>
      </c>
      <c r="I14187" s="3" t="s">
        <v>13</v>
      </c>
      <c r="J14187" s="3" t="s">
        <v>40315</v>
      </c>
      <c r="K14187" s="3" t="s">
        <v>31</v>
      </c>
      <c r="L14187" s="3" t="str">
        <f>IFERROR(__xludf.DUMMYFUNCTION("GOOGLETRANSLATE(F14187,""id"",""en"")"),"the one who wins Agen trending is still Ronaldo")</f>
        <v>the one who wins Agen trending is still Ronaldo</v>
      </c>
    </row>
    <row r="14188" ht="15.75" customHeight="1">
      <c r="A14188" s="1">
        <v>15674.0</v>
      </c>
      <c r="B14188" s="3" t="s">
        <v>40316</v>
      </c>
      <c r="C14188" s="3">
        <v>0.0</v>
      </c>
      <c r="D14188" s="3">
        <v>0.0</v>
      </c>
      <c r="E14188" s="3">
        <v>0.0</v>
      </c>
      <c r="F14188" s="3" t="s">
        <v>40317</v>
      </c>
      <c r="G14188" s="3">
        <v>0.0</v>
      </c>
      <c r="H14188" s="3">
        <v>0.0</v>
      </c>
      <c r="I14188" s="3" t="s">
        <v>13</v>
      </c>
      <c r="J14188" s="3" t="s">
        <v>40318</v>
      </c>
      <c r="K14188" s="3" t="s">
        <v>699</v>
      </c>
      <c r="L14188" s="3" t="str">
        <f>IFERROR(__xludf.DUMMYFUNCTION("GOOGLETRANSLATE(F14188,""id"",""en"")"),"again exciting exciting argen to win even there was a fishing fishing about haram matters or not to say Christmas Goblok Sia Anying")</f>
        <v>again exciting exciting argen to win even there was a fishing fishing about haram matters or not to say Christmas Goblok Sia Anying</v>
      </c>
    </row>
    <row r="14189" ht="15.75" customHeight="1">
      <c r="A14189" s="1">
        <v>15675.0</v>
      </c>
      <c r="B14189" s="3" t="s">
        <v>40319</v>
      </c>
      <c r="C14189" s="3">
        <v>0.0</v>
      </c>
      <c r="D14189" s="3">
        <v>0.0</v>
      </c>
      <c r="E14189" s="3">
        <v>0.0</v>
      </c>
      <c r="F14189" s="3" t="s">
        <v>40320</v>
      </c>
      <c r="G14189" s="3">
        <v>0.0</v>
      </c>
      <c r="H14189" s="3">
        <v>0.0</v>
      </c>
      <c r="I14189" s="3" t="s">
        <v>13</v>
      </c>
      <c r="J14189" s="3" t="s">
        <v>40321</v>
      </c>
      <c r="K14189" s="3" t="s">
        <v>7160</v>
      </c>
      <c r="L14189" s="3" t="str">
        <f>IFERROR(__xludf.DUMMYFUNCTION("GOOGLETRANSLATE(F14189,""id"",""en"")"),"bang argen won bang")</f>
        <v>bang argen won bang</v>
      </c>
    </row>
    <row r="14190" ht="15.75" customHeight="1">
      <c r="A14190" s="1">
        <v>15676.0</v>
      </c>
      <c r="B14190" s="3" t="s">
        <v>40322</v>
      </c>
      <c r="C14190" s="3">
        <v>1.0</v>
      </c>
      <c r="D14190" s="3">
        <v>0.0</v>
      </c>
      <c r="E14190" s="3">
        <v>0.0</v>
      </c>
      <c r="F14190" s="3" t="s">
        <v>40323</v>
      </c>
      <c r="G14190" s="3">
        <v>0.0</v>
      </c>
      <c r="H14190" s="3">
        <v>0.0</v>
      </c>
      <c r="I14190" s="3" t="s">
        <v>13</v>
      </c>
      <c r="J14190" s="3" t="s">
        <v>40324</v>
      </c>
      <c r="K14190" s="3" t="s">
        <v>31</v>
      </c>
      <c r="L14190" s="3" t="str">
        <f>IFERROR(__xludf.DUMMYFUNCTION("GOOGLETRANSLATE(F14190,""id"",""en"")"),"There are still many Gaterima Agen won crazy")</f>
        <v>There are still many Gaterima Agen won crazy</v>
      </c>
    </row>
    <row r="14191" ht="15.75" customHeight="1">
      <c r="A14191" s="1">
        <v>15677.0</v>
      </c>
      <c r="B14191" s="3" t="s">
        <v>40325</v>
      </c>
      <c r="C14191" s="3">
        <v>1.0</v>
      </c>
      <c r="D14191" s="3">
        <v>0.0</v>
      </c>
      <c r="E14191" s="3">
        <v>2.0</v>
      </c>
      <c r="F14191" s="3" t="s">
        <v>40326</v>
      </c>
      <c r="G14191" s="3">
        <v>0.0</v>
      </c>
      <c r="H14191" s="3">
        <v>0.0</v>
      </c>
      <c r="I14191" s="3" t="s">
        <v>13</v>
      </c>
      <c r="J14191" s="3" t="s">
        <v>40327</v>
      </c>
      <c r="K14191" s="3" t="s">
        <v>584</v>
      </c>
      <c r="L14191" s="3" t="str">
        <f>IFERROR(__xludf.DUMMYFUNCTION("GOOGLETRANSLATE(F14191,""id"",""en"")"),"Happiness Interesting Happiness Starting from Argen's happy to win then listen to LGU again fall in love while sweeping the yard when he wants to buy breakfast to find a campus friend and he pays a pleasure snack so double")</f>
        <v>Happiness Interesting Happiness Starting from Argen's happy to win then listen to LGU again fall in love while sweeping the yard when he wants to buy breakfast to find a campus friend and he pays a pleasure snack so double</v>
      </c>
    </row>
    <row r="14192" ht="15.75" customHeight="1">
      <c r="A14192" s="1">
        <v>15678.0</v>
      </c>
      <c r="B14192" s="3" t="s">
        <v>40328</v>
      </c>
      <c r="C14192" s="3">
        <v>0.0</v>
      </c>
      <c r="D14192" s="3">
        <v>0.0</v>
      </c>
      <c r="E14192" s="3">
        <v>0.0</v>
      </c>
      <c r="F14192" s="3" t="s">
        <v>40329</v>
      </c>
      <c r="G14192" s="3">
        <v>0.0</v>
      </c>
      <c r="H14192" s="3">
        <v>0.0</v>
      </c>
      <c r="I14192" s="3" t="s">
        <v>13</v>
      </c>
      <c r="J14192" s="3" t="s">
        <v>40330</v>
      </c>
      <c r="K14192" s="3" t="s">
        <v>477</v>
      </c>
      <c r="L14192" s="3" t="str">
        <f>IFERROR(__xludf.DUMMYFUNCTION("GOOGLETRANSLATE(F14192,""id"",""en"")"),"Comments have already looked at the beginning of winning argen")</f>
        <v>Comments have already looked at the beginning of winning argen</v>
      </c>
    </row>
    <row r="14193" ht="15.75" customHeight="1">
      <c r="A14193" s="1">
        <v>15679.0</v>
      </c>
      <c r="B14193" s="3" t="s">
        <v>40331</v>
      </c>
      <c r="C14193" s="3">
        <v>0.0</v>
      </c>
      <c r="D14193" s="3">
        <v>0.0</v>
      </c>
      <c r="E14193" s="3">
        <v>0.0</v>
      </c>
      <c r="F14193" s="3" t="s">
        <v>40332</v>
      </c>
      <c r="G14193" s="3">
        <v>0.0</v>
      </c>
      <c r="H14193" s="3">
        <v>0.0</v>
      </c>
      <c r="I14193" s="3" t="s">
        <v>13</v>
      </c>
      <c r="J14193" s="3" t="s">
        <v>40333</v>
      </c>
      <c r="K14193" s="3" t="s">
        <v>90</v>
      </c>
      <c r="L14193" s="3" t="str">
        <f>IFERROR(__xludf.DUMMYFUNCTION("GOOGLETRANSLATE(F14193,""id"",""en"")"),"Oath seeing Agegen won overnight, I was very moved to say you could say goosebumps like like holyshitt can breathhhh tears suddenly broke out")</f>
        <v>Oath seeing Agegen won overnight, I was very moved to say you could say goosebumps like like holyshitt can breathhhh tears suddenly broke out</v>
      </c>
    </row>
    <row r="14194" ht="15.75" customHeight="1">
      <c r="A14194" s="1">
        <v>15680.0</v>
      </c>
      <c r="B14194" s="3" t="s">
        <v>40334</v>
      </c>
      <c r="C14194" s="3">
        <v>1.0</v>
      </c>
      <c r="D14194" s="3">
        <v>0.0</v>
      </c>
      <c r="E14194" s="3">
        <v>0.0</v>
      </c>
      <c r="F14194" s="3" t="s">
        <v>40335</v>
      </c>
      <c r="G14194" s="3">
        <v>0.0</v>
      </c>
      <c r="H14194" s="3">
        <v>0.0</v>
      </c>
      <c r="I14194" s="3" t="s">
        <v>13</v>
      </c>
      <c r="J14194" s="3" t="s">
        <v>40336</v>
      </c>
      <c r="K14194" s="3" t="s">
        <v>41</v>
      </c>
      <c r="L14194" s="3" t="str">
        <f>IFERROR(__xludf.DUMMYFUNCTION("GOOGLETRANSLATE(F14194,""id"",""en"")"),"It's not ARGEN to win Wok, not sleeping, still morale")</f>
        <v>It's not ARGEN to win Wok, not sleeping, still morale</v>
      </c>
    </row>
    <row r="14195" ht="15.75" customHeight="1">
      <c r="A14195" s="1">
        <v>15681.0</v>
      </c>
      <c r="B14195" s="3" t="s">
        <v>40337</v>
      </c>
      <c r="C14195" s="3">
        <v>0.0</v>
      </c>
      <c r="D14195" s="3">
        <v>0.0</v>
      </c>
      <c r="E14195" s="3">
        <v>0.0</v>
      </c>
      <c r="F14195" s="3" t="s">
        <v>40338</v>
      </c>
      <c r="G14195" s="3">
        <v>0.0</v>
      </c>
      <c r="H14195" s="3">
        <v>0.0</v>
      </c>
      <c r="I14195" s="3" t="s">
        <v>13</v>
      </c>
      <c r="J14195" s="3" t="s">
        <v>40339</v>
      </c>
      <c r="K14195" s="3" t="s">
        <v>644</v>
      </c>
      <c r="L14195" s="3" t="str">
        <f>IFERROR(__xludf.DUMMYFUNCTION("GOOGLETRANSLATE(F14195,""id"",""en"")"),"PLS ARGEN WIN MUST MOVEONN")</f>
        <v>PLS ARGEN WIN MUST MOVEONN</v>
      </c>
    </row>
    <row r="14196" ht="15.75" customHeight="1">
      <c r="A14196" s="1">
        <v>15682.0</v>
      </c>
      <c r="B14196" s="3" t="s">
        <v>40340</v>
      </c>
      <c r="C14196" s="3">
        <v>0.0</v>
      </c>
      <c r="D14196" s="3">
        <v>0.0</v>
      </c>
      <c r="E14196" s="3">
        <v>0.0</v>
      </c>
      <c r="F14196" s="3" t="s">
        <v>40341</v>
      </c>
      <c r="G14196" s="3">
        <v>0.0</v>
      </c>
      <c r="H14196" s="3">
        <v>0.0</v>
      </c>
      <c r="I14196" s="3" t="s">
        <v>13</v>
      </c>
      <c r="J14196" s="3" t="s">
        <v>40342</v>
      </c>
      <c r="K14196" s="3" t="s">
        <v>2117</v>
      </c>
      <c r="L14196" s="3" t="str">
        <f>IFERROR(__xludf.DUMMYFUNCTION("GOOGLETRANSLATE(F14196,""id"",""en"")"),"Akhie won Agen")</f>
        <v>Akhie won Agen</v>
      </c>
    </row>
    <row r="14197" ht="15.75" customHeight="1">
      <c r="A14197" s="1">
        <v>15683.0</v>
      </c>
      <c r="B14197" s="3" t="s">
        <v>40343</v>
      </c>
      <c r="C14197" s="3">
        <v>0.0</v>
      </c>
      <c r="D14197" s="3">
        <v>0.0</v>
      </c>
      <c r="E14197" s="3">
        <v>0.0</v>
      </c>
      <c r="F14197" s="3" t="s">
        <v>40344</v>
      </c>
      <c r="G14197" s="3">
        <v>0.0</v>
      </c>
      <c r="H14197" s="3">
        <v>0.0</v>
      </c>
      <c r="I14197" s="3" t="s">
        <v>13</v>
      </c>
      <c r="J14197" s="3" t="s">
        <v>40345</v>
      </c>
      <c r="K14197" s="3" t="s">
        <v>54</v>
      </c>
      <c r="L14197" s="3" t="str">
        <f>IFERROR(__xludf.DUMMYFUNCTION("GOOGLETRANSLATE(F14197,""id"",""en"")"),"yedam back Agegen won the city")</f>
        <v>yedam back Agegen won the city</v>
      </c>
    </row>
    <row r="14198" ht="15.75" customHeight="1">
      <c r="A14198" s="1">
        <v>15684.0</v>
      </c>
      <c r="B14198" s="3" t="s">
        <v>40346</v>
      </c>
      <c r="C14198" s="3">
        <v>0.0</v>
      </c>
      <c r="D14198" s="3">
        <v>0.0</v>
      </c>
      <c r="E14198" s="3">
        <v>0.0</v>
      </c>
      <c r="F14198" s="3" t="s">
        <v>40347</v>
      </c>
      <c r="G14198" s="3">
        <v>0.0</v>
      </c>
      <c r="H14198" s="3">
        <v>0.0</v>
      </c>
      <c r="I14198" s="3" t="s">
        <v>13</v>
      </c>
      <c r="J14198" s="3" t="s">
        <v>40348</v>
      </c>
      <c r="K14198" s="3" t="s">
        <v>54</v>
      </c>
      <c r="L14198" s="3" t="str">
        <f>IFERROR(__xludf.DUMMYFUNCTION("GOOGLETRANSLATE(F14198,""id"",""en"")"),"It's okay, Sis, it's important that AGGA wins today")</f>
        <v>It's okay, Sis, it's important that AGGA wins today</v>
      </c>
    </row>
    <row r="14199" ht="15.75" customHeight="1">
      <c r="A14199" s="1">
        <v>15685.0</v>
      </c>
      <c r="B14199" s="3" t="s">
        <v>40349</v>
      </c>
      <c r="C14199" s="3">
        <v>0.0</v>
      </c>
      <c r="D14199" s="3">
        <v>0.0</v>
      </c>
      <c r="E14199" s="3">
        <v>2.0</v>
      </c>
      <c r="F14199" s="3" t="s">
        <v>40350</v>
      </c>
      <c r="G14199" s="3">
        <v>0.0</v>
      </c>
      <c r="H14199" s="3">
        <v>0.0</v>
      </c>
      <c r="I14199" s="3" t="s">
        <v>13</v>
      </c>
      <c r="J14199" s="3" t="s">
        <v>40351</v>
      </c>
      <c r="K14199" s="3" t="s">
        <v>41</v>
      </c>
      <c r="L14199" s="3" t="str">
        <f>IFERROR(__xludf.DUMMYFUNCTION("GOOGLETRANSLATE(F14199,""id"",""en"")"),"Ronaldo fucks the most bacot before Agen wins pigs")</f>
        <v>Ronaldo fucks the most bacot before Agen wins pigs</v>
      </c>
    </row>
    <row r="14200" ht="15.75" customHeight="1">
      <c r="A14200" s="1">
        <v>15686.0</v>
      </c>
      <c r="B14200" s="3" t="s">
        <v>40352</v>
      </c>
      <c r="C14200" s="3">
        <v>0.0</v>
      </c>
      <c r="D14200" s="3">
        <v>0.0</v>
      </c>
      <c r="E14200" s="3">
        <v>0.0</v>
      </c>
      <c r="F14200" s="3" t="s">
        <v>40353</v>
      </c>
      <c r="G14200" s="3">
        <v>0.0</v>
      </c>
      <c r="H14200" s="3">
        <v>0.0</v>
      </c>
      <c r="I14200" s="3" t="s">
        <v>13</v>
      </c>
      <c r="J14200" s="3" t="s">
        <v>40354</v>
      </c>
      <c r="K14200" s="3" t="s">
        <v>54</v>
      </c>
      <c r="L14200" s="3" t="str">
        <f>IFERROR(__xludf.DUMMYFUNCTION("GOOGLETRANSLATE(F14200,""id"",""en"")"),"Want Agegen who wins remains Forza Azzuri")</f>
        <v>Want Agegen who wins remains Forza Azzuri</v>
      </c>
    </row>
    <row r="14201" ht="15.75" customHeight="1">
      <c r="A14201" s="1">
        <v>15687.0</v>
      </c>
      <c r="B14201" s="3" t="s">
        <v>40355</v>
      </c>
      <c r="C14201" s="3">
        <v>0.0</v>
      </c>
      <c r="D14201" s="3">
        <v>0.0</v>
      </c>
      <c r="E14201" s="3">
        <v>0.0</v>
      </c>
      <c r="F14201" s="3" t="s">
        <v>40356</v>
      </c>
      <c r="G14201" s="3">
        <v>0.3333333333333333</v>
      </c>
      <c r="H14201" s="3">
        <v>0.1666666666666667</v>
      </c>
      <c r="I14201" s="3" t="s">
        <v>48</v>
      </c>
      <c r="J14201" s="3" t="s">
        <v>40357</v>
      </c>
      <c r="K14201" s="3" t="s">
        <v>682</v>
      </c>
      <c r="L14201" s="3" t="str">
        <f>IFERROR(__xludf.DUMMYFUNCTION("GOOGLETRANSLATE(F14201,""id"",""en"")"),"I swear not in vica to watch Vica until late late because Agegen wins huhu dy")</f>
        <v>I swear not in vica to watch Vica until late late because Agegen wins huhu dy</v>
      </c>
    </row>
    <row r="14202" ht="15.75" customHeight="1">
      <c r="A14202" s="1">
        <v>15688.0</v>
      </c>
      <c r="B14202" s="3" t="s">
        <v>40358</v>
      </c>
      <c r="C14202" s="3">
        <v>0.0</v>
      </c>
      <c r="D14202" s="3">
        <v>0.0</v>
      </c>
      <c r="E14202" s="3">
        <v>0.0</v>
      </c>
      <c r="F14202" s="3" t="s">
        <v>40359</v>
      </c>
      <c r="G14202" s="3">
        <v>0.0</v>
      </c>
      <c r="H14202" s="3">
        <v>0.0</v>
      </c>
      <c r="I14202" s="3" t="s">
        <v>13</v>
      </c>
      <c r="J14202" s="3" t="s">
        <v>40360</v>
      </c>
      <c r="K14202" s="3" t="s">
        <v>2117</v>
      </c>
      <c r="L14202" s="3" t="str">
        <f>IFERROR(__xludf.DUMMYFUNCTION("GOOGLETRANSLATE(F14202,""id"",""en"")"),"Wayvbubble won Argen")</f>
        <v>Wayvbubble won Argen</v>
      </c>
    </row>
    <row r="14203" ht="15.75" customHeight="1">
      <c r="A14203" s="1">
        <v>15689.0</v>
      </c>
      <c r="B14203" s="3" t="s">
        <v>40361</v>
      </c>
      <c r="C14203" s="3">
        <v>0.0</v>
      </c>
      <c r="D14203" s="3">
        <v>0.0</v>
      </c>
      <c r="E14203" s="3">
        <v>0.0</v>
      </c>
      <c r="F14203" s="3" t="s">
        <v>40362</v>
      </c>
      <c r="G14203" s="3">
        <v>0.0</v>
      </c>
      <c r="H14203" s="3">
        <v>0.0</v>
      </c>
      <c r="I14203" s="3" t="s">
        <v>13</v>
      </c>
      <c r="J14203" s="3" t="s">
        <v>40363</v>
      </c>
      <c r="K14203" s="3" t="s">
        <v>31</v>
      </c>
      <c r="L14203" s="3" t="str">
        <f>IFERROR(__xludf.DUMMYFUNCTION("GOOGLETRANSLATE(F14203,""id"",""en"")"),"ALLENGE PIRO PIRO MUASS")</f>
        <v>ALLENGE PIRO PIRO MUASS</v>
      </c>
    </row>
    <row r="14204" ht="15.75" customHeight="1">
      <c r="A14204" s="1">
        <v>15690.0</v>
      </c>
      <c r="B14204" s="3" t="s">
        <v>40364</v>
      </c>
      <c r="C14204" s="3">
        <v>0.0</v>
      </c>
      <c r="D14204" s="3">
        <v>0.0</v>
      </c>
      <c r="E14204" s="3">
        <v>2.0</v>
      </c>
      <c r="F14204" s="3" t="s">
        <v>40365</v>
      </c>
      <c r="G14204" s="3">
        <v>0.0</v>
      </c>
      <c r="H14204" s="3">
        <v>0.0</v>
      </c>
      <c r="I14204" s="3" t="s">
        <v>13</v>
      </c>
      <c r="J14204" s="3" t="s">
        <v>40366</v>
      </c>
      <c r="K14204" s="3" t="s">
        <v>244</v>
      </c>
      <c r="L14204" s="3" t="str">
        <f>IFERROR(__xludf.DUMMYFUNCTION("GOOGLETRANSLATE(F14204,""id"",""en"")"),"Celebration Otamendi when Agegen won a penalty against Dutch was a favorite celebration of this pildun")</f>
        <v>Celebration Otamendi when Agegen won a penalty against Dutch was a favorite celebration of this pildun</v>
      </c>
    </row>
    <row r="14205" ht="15.75" customHeight="1">
      <c r="A14205" s="1">
        <v>15691.0</v>
      </c>
      <c r="B14205" s="3" t="s">
        <v>40367</v>
      </c>
      <c r="C14205" s="3">
        <v>1.0</v>
      </c>
      <c r="D14205" s="3">
        <v>1.0</v>
      </c>
      <c r="E14205" s="3">
        <v>1.0</v>
      </c>
      <c r="F14205" s="3" t="s">
        <v>40368</v>
      </c>
      <c r="G14205" s="3">
        <v>0.0</v>
      </c>
      <c r="H14205" s="3">
        <v>0.0</v>
      </c>
      <c r="I14205" s="3" t="s">
        <v>13</v>
      </c>
      <c r="J14205" s="3" t="s">
        <v>40369</v>
      </c>
      <c r="K14205" s="3" t="s">
        <v>54</v>
      </c>
      <c r="L14205" s="3" t="str">
        <f>IFERROR(__xludf.DUMMYFUNCTION("GOOGLETRANSLATE(F14205,""id"",""en"")"),"In fact, I didn't watch many of the status of ARGEN to win")</f>
        <v>In fact, I didn't watch many of the status of ARGEN to win</v>
      </c>
    </row>
    <row r="14206" ht="15.75" customHeight="1">
      <c r="A14206" s="1">
        <v>15692.0</v>
      </c>
      <c r="B14206" s="3" t="s">
        <v>40370</v>
      </c>
      <c r="C14206" s="3">
        <v>3.0</v>
      </c>
      <c r="D14206" s="3">
        <v>0.0</v>
      </c>
      <c r="E14206" s="3">
        <v>0.0</v>
      </c>
      <c r="F14206" s="3" t="s">
        <v>40371</v>
      </c>
      <c r="G14206" s="3">
        <v>0.3333333333333333</v>
      </c>
      <c r="H14206" s="3">
        <v>0.1666666666666667</v>
      </c>
      <c r="I14206" s="3" t="s">
        <v>48</v>
      </c>
      <c r="J14206" s="3" t="s">
        <v>40372</v>
      </c>
      <c r="K14206" s="3" t="s">
        <v>1394</v>
      </c>
      <c r="L14206" s="3" t="str">
        <f>IFERROR(__xludf.DUMMYFUNCTION("GOOGLETRANSLATE(F14206,""id"",""en"")"),"Messi Playing Good Def Agegen Lebi Rapet is indeed worth winning even though the quality is still under France, if you look at the referee, depending on the perspective, I see the outside")</f>
        <v>Messi Playing Good Def Agegen Lebi Rapet is indeed worth winning even though the quality is still under France, if you look at the referee, depending on the perspective, I see the outside</v>
      </c>
    </row>
    <row r="14207" ht="15.75" customHeight="1">
      <c r="A14207" s="1">
        <v>15693.0</v>
      </c>
      <c r="B14207" s="3" t="s">
        <v>40373</v>
      </c>
      <c r="C14207" s="3">
        <v>0.0</v>
      </c>
      <c r="D14207" s="3">
        <v>0.0</v>
      </c>
      <c r="E14207" s="3">
        <v>0.0</v>
      </c>
      <c r="F14207" s="3" t="s">
        <v>40374</v>
      </c>
      <c r="G14207" s="3">
        <v>0.0</v>
      </c>
      <c r="H14207" s="3">
        <v>0.0</v>
      </c>
      <c r="I14207" s="3" t="s">
        <v>13</v>
      </c>
      <c r="J14207" s="3" t="s">
        <v>40375</v>
      </c>
      <c r="K14207" s="3" t="s">
        <v>644</v>
      </c>
      <c r="L14207" s="3" t="str">
        <f>IFERROR(__xludf.DUMMYFUNCTION("GOOGLETRANSLATE(F14207,""id"",""en"")"),"The bright side of Agen won")</f>
        <v>The bright side of Agen won</v>
      </c>
    </row>
    <row r="14208" ht="15.75" customHeight="1">
      <c r="A14208" s="1">
        <v>15694.0</v>
      </c>
      <c r="B14208" s="3" t="s">
        <v>40376</v>
      </c>
      <c r="C14208" s="3">
        <v>0.0</v>
      </c>
      <c r="D14208" s="3">
        <v>2.0</v>
      </c>
      <c r="E14208" s="3">
        <v>62.0</v>
      </c>
      <c r="F14208" s="3" t="s">
        <v>40377</v>
      </c>
      <c r="G14208" s="3">
        <v>0.0</v>
      </c>
      <c r="H14208" s="3">
        <v>0.0</v>
      </c>
      <c r="I14208" s="3" t="s">
        <v>13</v>
      </c>
      <c r="J14208" s="3" t="s">
        <v>40378</v>
      </c>
      <c r="K14208" s="3" t="s">
        <v>10085</v>
      </c>
      <c r="L14208" s="3" t="str">
        <f>IFERROR(__xludf.DUMMYFUNCTION("GOOGLETRANSLATE(F14208,""id"",""en"")"),"Imagine Yedam still really exciting, surely Yedam and Sukkie Nobar Finalll Sukkie French Yedam ARGEN then when AGEN won Yedam immediately pointed out the face of his julid Sukkie Heem would be fun to see their moment nobar")</f>
        <v>Imagine Yedam still really exciting, surely Yedam and Sukkie Nobar Finalll Sukkie French Yedam ARGEN then when AGEN won Yedam immediately pointed out the face of his julid Sukkie Heem would be fun to see their moment nobar</v>
      </c>
    </row>
    <row r="14209" ht="15.75" customHeight="1">
      <c r="A14209" s="1">
        <v>15696.0</v>
      </c>
      <c r="B14209" s="3" t="s">
        <v>40379</v>
      </c>
      <c r="C14209" s="3">
        <v>0.0</v>
      </c>
      <c r="D14209" s="3">
        <v>0.0</v>
      </c>
      <c r="E14209" s="3">
        <v>0.0</v>
      </c>
      <c r="F14209" s="3" t="s">
        <v>40380</v>
      </c>
      <c r="G14209" s="3">
        <v>0.0</v>
      </c>
      <c r="H14209" s="3">
        <v>0.0</v>
      </c>
      <c r="I14209" s="3" t="s">
        <v>13</v>
      </c>
      <c r="J14209" s="3" t="s">
        <v>40381</v>
      </c>
      <c r="K14209" s="3" t="s">
        <v>2117</v>
      </c>
      <c r="L14209" s="3" t="str">
        <f>IFERROR(__xludf.DUMMYFUNCTION("GOOGLETRANSLATE(F14209,""id"",""en"")"),"Calm Agegen won")</f>
        <v>Calm Agegen won</v>
      </c>
    </row>
    <row r="14210" ht="15.75" customHeight="1">
      <c r="A14210" s="1">
        <v>15697.0</v>
      </c>
      <c r="B14210" s="3" t="s">
        <v>40382</v>
      </c>
      <c r="C14210" s="3">
        <v>1.0</v>
      </c>
      <c r="D14210" s="3">
        <v>0.0</v>
      </c>
      <c r="E14210" s="3">
        <v>0.0</v>
      </c>
      <c r="F14210" s="3" t="s">
        <v>40383</v>
      </c>
      <c r="G14210" s="3">
        <v>1.0</v>
      </c>
      <c r="H14210" s="3">
        <v>0.0</v>
      </c>
      <c r="I14210" s="3" t="s">
        <v>13</v>
      </c>
      <c r="J14210" s="3" t="s">
        <v>40384</v>
      </c>
      <c r="K14210" s="3" t="s">
        <v>860</v>
      </c>
      <c r="L14210" s="3" t="str">
        <f>IFERROR(__xludf.DUMMYFUNCTION("GOOGLETRANSLATE(F14210,""id"",""en"")"),"It's useless to stay up late, watching the final mid -middle, I started sleepy, the last second of the second seconds was fresh with deg annn and paid off after Agen won")</f>
        <v>It's useless to stay up late, watching the final mid -middle, I started sleepy, the last second of the second seconds was fresh with deg annn and paid off after Agen won</v>
      </c>
    </row>
    <row r="14211" ht="15.75" customHeight="1">
      <c r="A14211" s="1">
        <v>15698.0</v>
      </c>
      <c r="B14211" s="3" t="s">
        <v>40385</v>
      </c>
      <c r="C14211" s="3">
        <v>0.0</v>
      </c>
      <c r="D14211" s="3">
        <v>0.0</v>
      </c>
      <c r="E14211" s="3">
        <v>0.0</v>
      </c>
      <c r="F14211" s="3" t="s">
        <v>40386</v>
      </c>
      <c r="G14211" s="3">
        <v>0.0</v>
      </c>
      <c r="H14211" s="3">
        <v>0.0</v>
      </c>
      <c r="I14211" s="3" t="s">
        <v>13</v>
      </c>
      <c r="J14211" s="3" t="s">
        <v>40387</v>
      </c>
      <c r="K14211" s="3" t="s">
        <v>31</v>
      </c>
      <c r="L14211" s="3" t="str">
        <f>IFERROR(__xludf.DUMMYFUNCTION("GOOGLETRANSLATE(F14211,""id"",""en"")"),"after making the AGEN story winning wkwkwkwk")</f>
        <v>after making the AGEN story winning wkwkwkwk</v>
      </c>
    </row>
    <row r="14212" ht="15.75" customHeight="1">
      <c r="A14212" s="1">
        <v>15699.0</v>
      </c>
      <c r="B14212" s="3" t="s">
        <v>40388</v>
      </c>
      <c r="C14212" s="3">
        <v>0.0</v>
      </c>
      <c r="D14212" s="3">
        <v>0.0</v>
      </c>
      <c r="E14212" s="3">
        <v>0.0</v>
      </c>
      <c r="F14212" s="3" t="s">
        <v>40388</v>
      </c>
      <c r="G14212" s="3">
        <v>0.0</v>
      </c>
      <c r="H14212" s="3">
        <v>0.0</v>
      </c>
      <c r="I14212" s="3" t="s">
        <v>13</v>
      </c>
      <c r="J14212" s="3" t="s">
        <v>40389</v>
      </c>
      <c r="K14212" s="3" t="s">
        <v>82</v>
      </c>
      <c r="L14212" s="3" t="str">
        <f>IFERROR(__xludf.DUMMYFUNCTION("GOOGLETRANSLATE(F14212,""id"",""en"")"),"Argen wins it's time for me to start my new life")</f>
        <v>Argen wins it's time for me to start my new life</v>
      </c>
    </row>
    <row r="14213" ht="15.75" customHeight="1">
      <c r="A14213" s="1">
        <v>15700.0</v>
      </c>
      <c r="B14213" s="3" t="s">
        <v>40390</v>
      </c>
      <c r="C14213" s="3">
        <v>0.0</v>
      </c>
      <c r="D14213" s="3">
        <v>0.0</v>
      </c>
      <c r="E14213" s="3">
        <v>0.0</v>
      </c>
      <c r="F14213" s="3" t="s">
        <v>40391</v>
      </c>
      <c r="G14213" s="3">
        <v>0.0</v>
      </c>
      <c r="H14213" s="3">
        <v>0.0</v>
      </c>
      <c r="I14213" s="3" t="s">
        <v>13</v>
      </c>
      <c r="J14213" s="3" t="s">
        <v>40392</v>
      </c>
      <c r="K14213" s="3" t="s">
        <v>3497</v>
      </c>
      <c r="L14213" s="3" t="str">
        <f>IFERROR(__xludf.DUMMYFUNCTION("GOOGLETRANSLATE(F14213,""id"",""en"")"),"Argen won cuyyy asek asek")</f>
        <v>Argen won cuyyy asek asek</v>
      </c>
    </row>
    <row r="14214" ht="15.75" customHeight="1">
      <c r="A14214" s="1">
        <v>15701.0</v>
      </c>
      <c r="B14214" s="3" t="s">
        <v>40393</v>
      </c>
      <c r="C14214" s="3">
        <v>1.0</v>
      </c>
      <c r="D14214" s="3">
        <v>0.0</v>
      </c>
      <c r="E14214" s="3">
        <v>1.0</v>
      </c>
      <c r="F14214" s="3" t="s">
        <v>40394</v>
      </c>
      <c r="G14214" s="3">
        <v>0.1416666666666667</v>
      </c>
      <c r="H14214" s="3">
        <v>-0.02083333333333333</v>
      </c>
      <c r="I14214" s="3" t="s">
        <v>179</v>
      </c>
      <c r="J14214" s="3" t="s">
        <v>40395</v>
      </c>
      <c r="K14214" s="3" t="s">
        <v>1157</v>
      </c>
      <c r="L14214" s="3" t="str">
        <f>IFERROR(__xludf.DUMMYFUNCTION("GOOGLETRANSLATE(F14214,""id"",""en"")"),"When Agen First Half, I'm already like a relaxing Fix, this wins, but but ninja turtle fights back and starting from there, I have been worried because he has made less than minutes")</f>
        <v>When Agen First Half, I'm already like a relaxing Fix, this wins, but but ninja turtle fights back and starting from there, I have been worried because he has made less than minutes</v>
      </c>
    </row>
    <row r="14215" ht="15.75" customHeight="1">
      <c r="A14215" s="1">
        <v>15702.0</v>
      </c>
      <c r="B14215" s="3" t="s">
        <v>40396</v>
      </c>
      <c r="C14215" s="3">
        <v>0.0</v>
      </c>
      <c r="D14215" s="3">
        <v>0.0</v>
      </c>
      <c r="E14215" s="3">
        <v>0.0</v>
      </c>
      <c r="F14215" s="3" t="s">
        <v>40397</v>
      </c>
      <c r="G14215" s="3">
        <v>0.0</v>
      </c>
      <c r="H14215" s="3">
        <v>0.0</v>
      </c>
      <c r="I14215" s="3" t="s">
        <v>13</v>
      </c>
      <c r="J14215" s="3" t="s">
        <v>40398</v>
      </c>
      <c r="K14215" s="3" t="s">
        <v>3671</v>
      </c>
      <c r="L14215" s="3" t="str">
        <f>IFERROR(__xludf.DUMMYFUNCTION("GOOGLETRANSLATE(F14215,""id"",""en"")"),"When my grandmother's house I came home crying because Agen lost his German opponent's penalty now I cried happily because Argen won. I didn't expect it")</f>
        <v>When my grandmother's house I came home crying because Agen lost his German opponent's penalty now I cried happily because Argen won. I didn't expect it</v>
      </c>
    </row>
    <row r="14216" ht="15.75" customHeight="1">
      <c r="A14216" s="1">
        <v>15703.0</v>
      </c>
      <c r="B14216" s="3" t="s">
        <v>40399</v>
      </c>
      <c r="C14216" s="3">
        <v>5.0</v>
      </c>
      <c r="D14216" s="3">
        <v>0.0</v>
      </c>
      <c r="E14216" s="3">
        <v>30.0</v>
      </c>
      <c r="F14216" s="3" t="s">
        <v>40400</v>
      </c>
      <c r="G14216" s="3">
        <v>0.0</v>
      </c>
      <c r="H14216" s="3">
        <v>0.0</v>
      </c>
      <c r="I14216" s="3" t="s">
        <v>13</v>
      </c>
      <c r="J14216" s="3" t="s">
        <v>40401</v>
      </c>
      <c r="K14216" s="3" t="s">
        <v>31</v>
      </c>
      <c r="L14216" s="3" t="str">
        <f>IFERROR(__xludf.DUMMYFUNCTION("GOOGLETRANSLATE(F14216,""id"",""en"")"),"Support Argen Bang to win bets too")</f>
        <v>Support Argen Bang to win bets too</v>
      </c>
    </row>
    <row r="14217" ht="15.75" customHeight="1">
      <c r="A14217" s="1">
        <v>15704.0</v>
      </c>
      <c r="B14217" s="3" t="s">
        <v>40402</v>
      </c>
      <c r="C14217" s="3">
        <v>0.0</v>
      </c>
      <c r="D14217" s="3">
        <v>0.0</v>
      </c>
      <c r="E14217" s="3">
        <v>0.0</v>
      </c>
      <c r="F14217" s="3" t="s">
        <v>40403</v>
      </c>
      <c r="G14217" s="3">
        <v>0.0</v>
      </c>
      <c r="H14217" s="3">
        <v>0.0</v>
      </c>
      <c r="I14217" s="3" t="s">
        <v>13</v>
      </c>
      <c r="J14217" s="3" t="s">
        <v>40404</v>
      </c>
      <c r="K14217" s="3" t="s">
        <v>2117</v>
      </c>
      <c r="L14217" s="3" t="str">
        <f>IFERROR(__xludf.DUMMYFUNCTION("GOOGLETRANSLATE(F14217,""id"",""en"")"),"The question is Agegen won")</f>
        <v>The question is Agegen won</v>
      </c>
    </row>
    <row r="14218" ht="15.75" customHeight="1">
      <c r="A14218" s="1">
        <v>15705.0</v>
      </c>
      <c r="B14218" s="3" t="s">
        <v>40405</v>
      </c>
      <c r="C14218" s="3">
        <v>0.0</v>
      </c>
      <c r="D14218" s="3">
        <v>0.0</v>
      </c>
      <c r="E14218" s="3">
        <v>0.0</v>
      </c>
      <c r="F14218" s="3" t="s">
        <v>40406</v>
      </c>
      <c r="G14218" s="3">
        <v>0.0</v>
      </c>
      <c r="H14218" s="3">
        <v>0.0</v>
      </c>
      <c r="I14218" s="3" t="s">
        <v>13</v>
      </c>
      <c r="J14218" s="3" t="s">
        <v>40407</v>
      </c>
      <c r="K14218" s="3" t="s">
        <v>2117</v>
      </c>
      <c r="L14218" s="3" t="str">
        <f>IFERROR(__xludf.DUMMYFUNCTION("GOOGLETRANSLATE(F14218,""id"",""en"")"),"Sheesh Agen won")</f>
        <v>Sheesh Agen won</v>
      </c>
    </row>
    <row r="14219" ht="15.75" customHeight="1">
      <c r="A14219" s="1">
        <v>15706.0</v>
      </c>
      <c r="B14219" s="3" t="s">
        <v>40408</v>
      </c>
      <c r="C14219" s="3">
        <v>0.0</v>
      </c>
      <c r="D14219" s="3">
        <v>0.0</v>
      </c>
      <c r="E14219" s="3">
        <v>0.0</v>
      </c>
      <c r="F14219" s="3" t="s">
        <v>40409</v>
      </c>
      <c r="G14219" s="3">
        <v>0.525</v>
      </c>
      <c r="H14219" s="3">
        <v>0.425</v>
      </c>
      <c r="I14219" s="3" t="s">
        <v>48</v>
      </c>
      <c r="J14219" s="3" t="s">
        <v>40410</v>
      </c>
      <c r="K14219" s="3" t="s">
        <v>510</v>
      </c>
      <c r="L14219" s="3" t="str">
        <f>IFERROR(__xludf.DUMMYFUNCTION("GOOGLETRANSLATE(F14219,""id"",""en"")"),"The hoarse voice shouting the semlm its okay argen won yuhu neymar full smile")</f>
        <v>The hoarse voice shouting the semlm its okay argen won yuhu neymar full smile</v>
      </c>
    </row>
    <row r="14220" ht="15.75" customHeight="1">
      <c r="A14220" s="1">
        <v>15707.0</v>
      </c>
      <c r="B14220" s="3" t="s">
        <v>40411</v>
      </c>
      <c r="C14220" s="3">
        <v>0.0</v>
      </c>
      <c r="D14220" s="3">
        <v>0.0</v>
      </c>
      <c r="E14220" s="3">
        <v>4.0</v>
      </c>
      <c r="F14220" s="3" t="s">
        <v>40412</v>
      </c>
      <c r="G14220" s="3">
        <v>0.0</v>
      </c>
      <c r="H14220" s="3">
        <v>0.0</v>
      </c>
      <c r="I14220" s="3" t="s">
        <v>13</v>
      </c>
      <c r="J14220" s="3" t="s">
        <v>40413</v>
      </c>
      <c r="K14220" s="3" t="s">
        <v>244</v>
      </c>
      <c r="L14220" s="3" t="str">
        <f>IFERROR(__xludf.DUMMYFUNCTION("GOOGLETRANSLATE(F14220,""id"",""en"")"),"Imagine Yedam Post Selfie Again Nyanga because of the happy Agen wins wkwk and keeps saying Argentina to win")</f>
        <v>Imagine Yedam Post Selfie Again Nyanga because of the happy Agen wins wkwk and keeps saying Argentina to win</v>
      </c>
    </row>
    <row r="14221" ht="15.75" customHeight="1">
      <c r="A14221" s="1">
        <v>15708.0</v>
      </c>
      <c r="B14221" s="3" t="s">
        <v>40414</v>
      </c>
      <c r="C14221" s="3">
        <v>0.0</v>
      </c>
      <c r="D14221" s="3">
        <v>0.0</v>
      </c>
      <c r="E14221" s="3">
        <v>0.0</v>
      </c>
      <c r="F14221" s="3" t="s">
        <v>40415</v>
      </c>
      <c r="G14221" s="3">
        <v>0.0</v>
      </c>
      <c r="H14221" s="3">
        <v>0.0</v>
      </c>
      <c r="I14221" s="3" t="s">
        <v>13</v>
      </c>
      <c r="J14221" s="3" t="s">
        <v>40416</v>
      </c>
      <c r="K14221" s="3" t="s">
        <v>71</v>
      </c>
      <c r="L14221" s="3" t="str">
        <f>IFERROR(__xludf.DUMMYFUNCTION("GOOGLETRANSLATE(F14221,""id"",""en"")"),"PST if there is still some of them, seeing ARGEN, winning weverse, we are so talking about the ball")</f>
        <v>PST if there is still some of them, seeing ARGEN, winning weverse, we are so talking about the ball</v>
      </c>
    </row>
    <row r="14222" ht="15.75" customHeight="1">
      <c r="A14222" s="1">
        <v>15709.0</v>
      </c>
      <c r="B14222" s="3" t="s">
        <v>40417</v>
      </c>
      <c r="C14222" s="3">
        <v>1.0</v>
      </c>
      <c r="D14222" s="3">
        <v>0.0</v>
      </c>
      <c r="E14222" s="3">
        <v>0.0</v>
      </c>
      <c r="F14222" s="3" t="s">
        <v>40418</v>
      </c>
      <c r="G14222" s="3">
        <v>0.0</v>
      </c>
      <c r="H14222" s="3">
        <v>0.0</v>
      </c>
      <c r="I14222" s="3" t="s">
        <v>13</v>
      </c>
      <c r="J14222" s="3" t="s">
        <v>40419</v>
      </c>
      <c r="K14222" s="3" t="s">
        <v>644</v>
      </c>
      <c r="L14222" s="3" t="str">
        <f>IFERROR(__xludf.DUMMYFUNCTION("GOOGLETRANSLATE(F14222,""id"",""en"")"),"but prefer if Agen wins")</f>
        <v>but prefer if Agen wins</v>
      </c>
    </row>
    <row r="14223" ht="15.75" customHeight="1">
      <c r="A14223" s="1">
        <v>15710.0</v>
      </c>
      <c r="B14223" s="3" t="s">
        <v>40420</v>
      </c>
      <c r="C14223" s="3">
        <v>1.0</v>
      </c>
      <c r="D14223" s="3">
        <v>0.0</v>
      </c>
      <c r="E14223" s="3">
        <v>0.0</v>
      </c>
      <c r="F14223" s="3" t="s">
        <v>40421</v>
      </c>
      <c r="G14223" s="3">
        <v>0.0</v>
      </c>
      <c r="H14223" s="3">
        <v>0.0</v>
      </c>
      <c r="I14223" s="3" t="s">
        <v>13</v>
      </c>
      <c r="J14223" s="3" t="s">
        <v>40422</v>
      </c>
      <c r="K14223" s="3" t="s">
        <v>2117</v>
      </c>
      <c r="L14223" s="3" t="str">
        <f>IFERROR(__xludf.DUMMYFUNCTION("GOOGLETRANSLATE(F14223,""id"",""en"")"),"Argen won WKKSKKSN")</f>
        <v>Argen won WKKSKKSN</v>
      </c>
    </row>
    <row r="14224" ht="15.75" customHeight="1">
      <c r="A14224" s="1">
        <v>15711.0</v>
      </c>
      <c r="B14224" s="3" t="s">
        <v>40423</v>
      </c>
      <c r="C14224" s="3">
        <v>2.0</v>
      </c>
      <c r="D14224" s="3">
        <v>0.0</v>
      </c>
      <c r="E14224" s="3">
        <v>0.0</v>
      </c>
      <c r="F14224" s="3" t="s">
        <v>40423</v>
      </c>
      <c r="G14224" s="3">
        <v>0.0</v>
      </c>
      <c r="H14224" s="3">
        <v>0.0</v>
      </c>
      <c r="I14224" s="3" t="s">
        <v>13</v>
      </c>
      <c r="J14224" s="3" t="s">
        <v>40424</v>
      </c>
      <c r="K14224" s="3" t="s">
        <v>54</v>
      </c>
      <c r="L14224" s="3" t="str">
        <f>IFERROR(__xludf.DUMMYFUNCTION("GOOGLETRANSLATE(F14224,""id"",""en"")"),"wake up in the morning fresh because argen won")</f>
        <v>wake up in the morning fresh because argen won</v>
      </c>
    </row>
    <row r="14225" ht="15.75" customHeight="1">
      <c r="A14225" s="1">
        <v>15712.0</v>
      </c>
      <c r="B14225" s="3" t="s">
        <v>40425</v>
      </c>
      <c r="C14225" s="3">
        <v>0.0</v>
      </c>
      <c r="D14225" s="3">
        <v>0.0</v>
      </c>
      <c r="E14225" s="3">
        <v>0.0</v>
      </c>
      <c r="F14225" s="3" t="s">
        <v>40426</v>
      </c>
      <c r="G14225" s="3">
        <v>0.0</v>
      </c>
      <c r="H14225" s="3">
        <v>0.0</v>
      </c>
      <c r="I14225" s="3" t="s">
        <v>13</v>
      </c>
      <c r="J14225" s="3" t="s">
        <v>40427</v>
      </c>
      <c r="K14225" s="3" t="s">
        <v>54</v>
      </c>
      <c r="L14225" s="3" t="str">
        <f>IFERROR(__xludf.DUMMYFUNCTION("GOOGLETRANSLATE(F14225,""id"",""en"")"),"let it be taken important world know if argen wins")</f>
        <v>let it be taken important world know if argen wins</v>
      </c>
    </row>
    <row r="14226" ht="15.75" customHeight="1">
      <c r="A14226" s="1">
        <v>15713.0</v>
      </c>
      <c r="B14226" s="3" t="s">
        <v>40428</v>
      </c>
      <c r="C14226" s="3">
        <v>0.0</v>
      </c>
      <c r="D14226" s="3">
        <v>14.0</v>
      </c>
      <c r="E14226" s="3">
        <v>158.0</v>
      </c>
      <c r="F14226" s="3" t="s">
        <v>40429</v>
      </c>
      <c r="G14226" s="3">
        <v>0.0</v>
      </c>
      <c r="H14226" s="3">
        <v>0.0</v>
      </c>
      <c r="I14226" s="3" t="s">
        <v>13</v>
      </c>
      <c r="J14226" s="3" t="s">
        <v>40430</v>
      </c>
      <c r="K14226" s="3" t="s">
        <v>1265</v>
      </c>
      <c r="L14226" s="3" t="str">
        <f>IFERROR(__xludf.DUMMYFUNCTION("GOOGLETRANSLATE(F14226,""id"",""en"")"),"ONETWEET ARGEN France ARGEN France still Denji Wins Yoshi Jiakh's Heart")</f>
        <v>ONETWEET ARGEN France ARGEN France still Denji Wins Yoshi Jiakh's Heart</v>
      </c>
    </row>
    <row r="14227" ht="15.75" customHeight="1">
      <c r="A14227" s="1">
        <v>15714.0</v>
      </c>
      <c r="B14227" s="3" t="s">
        <v>40431</v>
      </c>
      <c r="C14227" s="3">
        <v>1.0</v>
      </c>
      <c r="D14227" s="3">
        <v>0.0</v>
      </c>
      <c r="E14227" s="3">
        <v>0.0</v>
      </c>
      <c r="F14227" s="3" t="s">
        <v>40432</v>
      </c>
      <c r="G14227" s="3">
        <v>0.0</v>
      </c>
      <c r="H14227" s="3">
        <v>0.0</v>
      </c>
      <c r="I14227" s="3" t="s">
        <v>13</v>
      </c>
      <c r="J14227" s="3" t="s">
        <v>40433</v>
      </c>
      <c r="K14227" s="3" t="s">
        <v>644</v>
      </c>
      <c r="L14227" s="3" t="str">
        <f>IFERROR(__xludf.DUMMYFUNCTION("GOOGLETRANSLATE(F14227,""id"",""en"")"),"Win he is Argen he is holding")</f>
        <v>Win he is Argen he is holding</v>
      </c>
    </row>
    <row r="14228" ht="15.75" customHeight="1">
      <c r="A14228" s="1">
        <v>15715.0</v>
      </c>
      <c r="B14228" s="3" t="s">
        <v>40434</v>
      </c>
      <c r="C14228" s="3">
        <v>0.0</v>
      </c>
      <c r="D14228" s="3">
        <v>0.0</v>
      </c>
      <c r="E14228" s="3">
        <v>0.0</v>
      </c>
      <c r="F14228" s="3" t="s">
        <v>40435</v>
      </c>
      <c r="G14228" s="3">
        <v>0.0</v>
      </c>
      <c r="H14228" s="3">
        <v>0.0</v>
      </c>
      <c r="I14228" s="3" t="s">
        <v>13</v>
      </c>
      <c r="J14228" s="3" t="s">
        <v>40436</v>
      </c>
      <c r="K14228" s="3" t="s">
        <v>19</v>
      </c>
      <c r="L14228" s="3" t="str">
        <f>IFERROR(__xludf.DUMMYFUNCTION("GOOGLETRANSLATE(F14228,""id"",""en"")"),"Dam Gamau made Instagram only to talk about Anjirr Agegen, I won the cokk")</f>
        <v>Dam Gamau made Instagram only to talk about Anjirr Agegen, I won the cokk</v>
      </c>
    </row>
    <row r="14229" ht="15.75" customHeight="1">
      <c r="A14229" s="1">
        <v>15716.0</v>
      </c>
      <c r="B14229" s="3" t="s">
        <v>40437</v>
      </c>
      <c r="C14229" s="3">
        <v>1.0</v>
      </c>
      <c r="D14229" s="3">
        <v>0.0</v>
      </c>
      <c r="E14229" s="3">
        <v>0.0</v>
      </c>
      <c r="F14229" s="3" t="s">
        <v>40438</v>
      </c>
      <c r="G14229" s="3">
        <v>0.0</v>
      </c>
      <c r="H14229" s="3">
        <v>0.0</v>
      </c>
      <c r="I14229" s="3" t="s">
        <v>13</v>
      </c>
      <c r="J14229" s="3" t="s">
        <v>40439</v>
      </c>
      <c r="K14229" s="3" t="s">
        <v>644</v>
      </c>
      <c r="L14229" s="3" t="str">
        <f>IFERROR(__xludf.DUMMYFUNCTION("GOOGLETRANSLATE(F14229,""id"",""en"")"),"Morning After Agen Wins")</f>
        <v>Morning After Agen Wins</v>
      </c>
    </row>
    <row r="14230" ht="15.75" customHeight="1">
      <c r="A14230" s="1">
        <v>15717.0</v>
      </c>
      <c r="B14230" s="3" t="s">
        <v>40440</v>
      </c>
      <c r="C14230" s="3">
        <v>0.0</v>
      </c>
      <c r="D14230" s="3">
        <v>0.0</v>
      </c>
      <c r="E14230" s="3">
        <v>1.0</v>
      </c>
      <c r="F14230" s="3" t="s">
        <v>40441</v>
      </c>
      <c r="G14230" s="3">
        <v>0.3333333333333333</v>
      </c>
      <c r="H14230" s="3">
        <v>0.1666666666666667</v>
      </c>
      <c r="I14230" s="3" t="s">
        <v>48</v>
      </c>
      <c r="J14230" s="3" t="s">
        <v>40442</v>
      </c>
      <c r="K14230" s="3" t="s">
        <v>1518</v>
      </c>
      <c r="L14230" s="3" t="str">
        <f>IFERROR(__xludf.DUMMYFUNCTION("GOOGLETRANSLATE(F14230,""id"",""en"")"),"Aaaa is very happy to be able to win at least between Ronaldo and Neymar home Messi can raise the World Cup about the word people in the future they play again")</f>
        <v>Aaaa is very happy to be able to win at least between Ronaldo and Neymar home Messi can raise the World Cup about the word people in the future they play again</v>
      </c>
    </row>
    <row r="14231" ht="15.75" customHeight="1">
      <c r="A14231" s="1">
        <v>15718.0</v>
      </c>
      <c r="B14231" s="3" t="s">
        <v>40443</v>
      </c>
      <c r="C14231" s="3">
        <v>0.0</v>
      </c>
      <c r="D14231" s="3">
        <v>0.0</v>
      </c>
      <c r="E14231" s="3">
        <v>0.0</v>
      </c>
      <c r="F14231" s="3" t="s">
        <v>40444</v>
      </c>
      <c r="G14231" s="3">
        <v>0.0</v>
      </c>
      <c r="H14231" s="3">
        <v>0.0</v>
      </c>
      <c r="I14231" s="3" t="s">
        <v>13</v>
      </c>
      <c r="J14231" s="3" t="s">
        <v>40445</v>
      </c>
      <c r="K14231" s="3" t="s">
        <v>2117</v>
      </c>
      <c r="L14231" s="3" t="str">
        <f>IFERROR(__xludf.DUMMYFUNCTION("GOOGLETRANSLATE(F14231,""id"",""en"")"),"Yehee Agen won")</f>
        <v>Yehee Agen won</v>
      </c>
    </row>
    <row r="14232" ht="15.75" customHeight="1">
      <c r="A14232" s="1">
        <v>15719.0</v>
      </c>
      <c r="B14232" s="3" t="s">
        <v>40446</v>
      </c>
      <c r="C14232" s="3">
        <v>0.0</v>
      </c>
      <c r="D14232" s="3">
        <v>0.0</v>
      </c>
      <c r="E14232" s="3">
        <v>0.0</v>
      </c>
      <c r="F14232" s="3" t="s">
        <v>40447</v>
      </c>
      <c r="G14232" s="3">
        <v>0.0</v>
      </c>
      <c r="H14232" s="3">
        <v>0.0</v>
      </c>
      <c r="I14232" s="3" t="s">
        <v>13</v>
      </c>
      <c r="J14232" s="3" t="s">
        <v>40448</v>
      </c>
      <c r="K14232" s="3" t="s">
        <v>123</v>
      </c>
      <c r="L14232" s="3" t="str">
        <f>IFERROR(__xludf.DUMMYFUNCTION("GOOGLETRANSLATE(F14232,""id"",""en"")"),"wake up, Agen wins win too, even if you just need to win your heart when")</f>
        <v>wake up, Agen wins win too, even if you just need to win your heart when</v>
      </c>
    </row>
    <row r="14233" ht="15.75" customHeight="1">
      <c r="A14233" s="1">
        <v>15720.0</v>
      </c>
      <c r="B14233" s="3" t="s">
        <v>40449</v>
      </c>
      <c r="C14233" s="3">
        <v>1.0</v>
      </c>
      <c r="D14233" s="3">
        <v>0.0</v>
      </c>
      <c r="E14233" s="3">
        <v>0.0</v>
      </c>
      <c r="F14233" s="3" t="s">
        <v>40450</v>
      </c>
      <c r="G14233" s="3">
        <v>0.0</v>
      </c>
      <c r="H14233" s="3">
        <v>0.0</v>
      </c>
      <c r="I14233" s="3" t="s">
        <v>13</v>
      </c>
      <c r="J14233" s="3" t="s">
        <v>40451</v>
      </c>
      <c r="K14233" s="3" t="s">
        <v>2117</v>
      </c>
      <c r="L14233" s="3" t="str">
        <f>IFERROR(__xludf.DUMMYFUNCTION("GOOGLETRANSLATE(F14233,""id"",""en"")"),"The atmosphere of Agen won")</f>
        <v>The atmosphere of Agen won</v>
      </c>
    </row>
    <row r="14234" ht="15.75" customHeight="1">
      <c r="A14234" s="1">
        <v>15721.0</v>
      </c>
      <c r="B14234" s="3" t="s">
        <v>40452</v>
      </c>
      <c r="C14234" s="3">
        <v>0.0</v>
      </c>
      <c r="D14234" s="3">
        <v>0.0</v>
      </c>
      <c r="E14234" s="3">
        <v>0.0</v>
      </c>
      <c r="F14234" s="3" t="s">
        <v>40453</v>
      </c>
      <c r="G14234" s="3">
        <v>0.0</v>
      </c>
      <c r="H14234" s="3">
        <v>0.0</v>
      </c>
      <c r="I14234" s="3" t="s">
        <v>13</v>
      </c>
      <c r="J14234" s="3" t="s">
        <v>40454</v>
      </c>
      <c r="K14234" s="3" t="s">
        <v>433</v>
      </c>
      <c r="L14234" s="3" t="str">
        <f>IFERROR(__xludf.DUMMYFUNCTION("GOOGLETRANSLATE(F14234,""id"",""en"")"),"France lost the state of the Barca player Bapuk Fix intentional because Messi was still the legend of Barca so that Agegen won")</f>
        <v>France lost the state of the Barca player Bapuk Fix intentional because Messi was still the legend of Barca so that Agegen won</v>
      </c>
    </row>
    <row r="14235" ht="15.75" customHeight="1">
      <c r="A14235" s="1">
        <v>15722.0</v>
      </c>
      <c r="B14235" s="3" t="s">
        <v>40455</v>
      </c>
      <c r="C14235" s="3">
        <v>1.0</v>
      </c>
      <c r="D14235" s="3">
        <v>0.0</v>
      </c>
      <c r="E14235" s="3">
        <v>0.0</v>
      </c>
      <c r="F14235" s="3" t="s">
        <v>40456</v>
      </c>
      <c r="G14235" s="3">
        <v>0.0</v>
      </c>
      <c r="H14235" s="3">
        <v>0.0</v>
      </c>
      <c r="I14235" s="3" t="s">
        <v>13</v>
      </c>
      <c r="J14235" s="3" t="s">
        <v>40457</v>
      </c>
      <c r="K14235" s="3" t="s">
        <v>614</v>
      </c>
      <c r="L14235" s="3" t="str">
        <f>IFERROR(__xludf.DUMMYFUNCTION("GOOGLETRANSLATE(F14235,""id"",""en"")"),"Agen Iki is a good team in the Kabeh but when you win, you have to go, you have to be nagging.")</f>
        <v>Agen Iki is a good team in the Kabeh but when you win, you have to go, you have to be nagging.</v>
      </c>
    </row>
    <row r="14236" ht="15.75" customHeight="1">
      <c r="A14236" s="1">
        <v>15723.0</v>
      </c>
      <c r="B14236" s="3" t="s">
        <v>40458</v>
      </c>
      <c r="C14236" s="3">
        <v>0.0</v>
      </c>
      <c r="D14236" s="3">
        <v>0.0</v>
      </c>
      <c r="E14236" s="3">
        <v>0.0</v>
      </c>
      <c r="F14236" s="3" t="s">
        <v>40459</v>
      </c>
      <c r="G14236" s="3">
        <v>0.0</v>
      </c>
      <c r="H14236" s="3">
        <v>0.0</v>
      </c>
      <c r="I14236" s="3" t="s">
        <v>13</v>
      </c>
      <c r="J14236" s="3" t="s">
        <v>40460</v>
      </c>
      <c r="K14236" s="3" t="s">
        <v>2117</v>
      </c>
      <c r="L14236" s="3" t="str">
        <f>IFERROR(__xludf.DUMMYFUNCTION("GOOGLETRANSLATE(F14236,""id"",""en"")"),"Argen won this")</f>
        <v>Argen won this</v>
      </c>
    </row>
    <row r="14237" ht="15.75" customHeight="1">
      <c r="A14237" s="1">
        <v>15724.0</v>
      </c>
      <c r="B14237" s="3" t="s">
        <v>40461</v>
      </c>
      <c r="C14237" s="3">
        <v>0.0</v>
      </c>
      <c r="D14237" s="3">
        <v>0.0</v>
      </c>
      <c r="E14237" s="3">
        <v>0.0</v>
      </c>
      <c r="F14237" s="3" t="s">
        <v>40462</v>
      </c>
      <c r="G14237" s="3">
        <v>0.0</v>
      </c>
      <c r="H14237" s="3">
        <v>0.0</v>
      </c>
      <c r="I14237" s="3" t="s">
        <v>13</v>
      </c>
      <c r="J14237" s="3" t="s">
        <v>40463</v>
      </c>
      <c r="K14237" s="3" t="s">
        <v>71</v>
      </c>
      <c r="L14237" s="3" t="str">
        <f>IFERROR(__xludf.DUMMYFUNCTION("GOOGLETRANSLATE(F14237,""id"",""en"")"),"Oh yes, I just remember Yedam, I really like Argentina Dam AGGA won Dammmm")</f>
        <v>Oh yes, I just remember Yedam, I really like Argentina Dam AGGA won Dammmm</v>
      </c>
    </row>
    <row r="14238" ht="15.75" customHeight="1">
      <c r="A14238" s="1">
        <v>15725.0</v>
      </c>
      <c r="B14238" s="3" t="s">
        <v>40464</v>
      </c>
      <c r="C14238" s="3">
        <v>1.0</v>
      </c>
      <c r="D14238" s="3">
        <v>0.0</v>
      </c>
      <c r="E14238" s="3">
        <v>0.0</v>
      </c>
      <c r="F14238" s="3" t="s">
        <v>40465</v>
      </c>
      <c r="G14238" s="3">
        <v>0.0</v>
      </c>
      <c r="H14238" s="3">
        <v>0.0</v>
      </c>
      <c r="I14238" s="3" t="s">
        <v>13</v>
      </c>
      <c r="J14238" s="3" t="s">
        <v>40466</v>
      </c>
      <c r="K14238" s="3" t="s">
        <v>644</v>
      </c>
      <c r="L14238" s="3" t="str">
        <f>IFERROR(__xludf.DUMMYFUNCTION("GOOGLETRANSLATE(F14238,""id"",""en"")"),"ARGEN's beautiful dream wins")</f>
        <v>ARGEN's beautiful dream wins</v>
      </c>
    </row>
    <row r="14239" ht="15.75" customHeight="1">
      <c r="A14239" s="1">
        <v>15726.0</v>
      </c>
      <c r="B14239" s="3" t="s">
        <v>40467</v>
      </c>
      <c r="C14239" s="3">
        <v>0.0</v>
      </c>
      <c r="D14239" s="3">
        <v>0.0</v>
      </c>
      <c r="E14239" s="3">
        <v>0.0</v>
      </c>
      <c r="F14239" s="3" t="s">
        <v>40468</v>
      </c>
      <c r="G14239" s="3">
        <v>0.0</v>
      </c>
      <c r="H14239" s="3">
        <v>0.0</v>
      </c>
      <c r="I14239" s="3" t="s">
        <v>13</v>
      </c>
      <c r="J14239" s="3" t="s">
        <v>40469</v>
      </c>
      <c r="K14239" s="3" t="s">
        <v>15</v>
      </c>
      <c r="L14239" s="3" t="str">
        <f>IFERROR(__xludf.DUMMYFUNCTION("GOOGLETRANSLATE(F14239,""id"",""en"")"),"Whathand the people supporting France so that Argen won't win being hurt by me")</f>
        <v>Whathand the people supporting France so that Argen won't win being hurt by me</v>
      </c>
    </row>
    <row r="14240" ht="15.75" customHeight="1">
      <c r="A14240" s="1">
        <v>15727.0</v>
      </c>
      <c r="B14240" s="3" t="s">
        <v>40470</v>
      </c>
      <c r="C14240" s="3">
        <v>0.0</v>
      </c>
      <c r="D14240" s="3">
        <v>0.0</v>
      </c>
      <c r="E14240" s="3">
        <v>0.0</v>
      </c>
      <c r="F14240" s="3" t="s">
        <v>40471</v>
      </c>
      <c r="G14240" s="3">
        <v>0.0</v>
      </c>
      <c r="H14240" s="3">
        <v>0.0</v>
      </c>
      <c r="I14240" s="3" t="s">
        <v>13</v>
      </c>
      <c r="J14240" s="3" t="s">
        <v>40472</v>
      </c>
      <c r="K14240" s="3" t="s">
        <v>2117</v>
      </c>
      <c r="L14240" s="3" t="str">
        <f>IFERROR(__xludf.DUMMYFUNCTION("GOOGLETRANSLATE(F14240,""id"",""en"")"),"Win ARGEN BANG")</f>
        <v>Win ARGEN BANG</v>
      </c>
    </row>
    <row r="14241" ht="15.75" customHeight="1">
      <c r="A14241" s="1">
        <v>15728.0</v>
      </c>
      <c r="B14241" s="3" t="s">
        <v>40473</v>
      </c>
      <c r="C14241" s="3">
        <v>0.0</v>
      </c>
      <c r="D14241" s="3">
        <v>0.0</v>
      </c>
      <c r="E14241" s="3">
        <v>0.0</v>
      </c>
      <c r="F14241" s="3" t="s">
        <v>40474</v>
      </c>
      <c r="G14241" s="3">
        <v>0.0</v>
      </c>
      <c r="H14241" s="3">
        <v>0.0</v>
      </c>
      <c r="I14241" s="3" t="s">
        <v>13</v>
      </c>
      <c r="J14241" s="3" t="s">
        <v>40475</v>
      </c>
      <c r="K14241" s="3" t="s">
        <v>477</v>
      </c>
      <c r="L14241" s="3" t="str">
        <f>IFERROR(__xludf.DUMMYFUNCTION("GOOGLETRANSLATE(F14241,""id"",""en"")"),"I know that I know ARGEN is winning but I support France Anjir")</f>
        <v>I know that I know ARGEN is winning but I support France Anjir</v>
      </c>
    </row>
    <row r="14242" ht="15.75" customHeight="1">
      <c r="A14242" s="1">
        <v>15729.0</v>
      </c>
      <c r="B14242" s="3" t="s">
        <v>40476</v>
      </c>
      <c r="C14242" s="3">
        <v>0.0</v>
      </c>
      <c r="D14242" s="3">
        <v>0.0</v>
      </c>
      <c r="E14242" s="3">
        <v>0.0</v>
      </c>
      <c r="F14242" s="3" t="s">
        <v>40477</v>
      </c>
      <c r="G14242" s="3">
        <v>0.0</v>
      </c>
      <c r="H14242" s="3">
        <v>0.0</v>
      </c>
      <c r="I14242" s="3" t="s">
        <v>13</v>
      </c>
      <c r="J14242" s="3" t="s">
        <v>40478</v>
      </c>
      <c r="K14242" s="3" t="s">
        <v>2117</v>
      </c>
      <c r="L14242" s="3" t="str">
        <f>IFERROR(__xludf.DUMMYFUNCTION("GOOGLETRANSLATE(F14242,""id"",""en"")"),"win argen sis")</f>
        <v>win argen sis</v>
      </c>
    </row>
    <row r="14243" ht="15.75" customHeight="1">
      <c r="A14243" s="1">
        <v>15730.0</v>
      </c>
      <c r="B14243" s="3" t="s">
        <v>40479</v>
      </c>
      <c r="C14243" s="3">
        <v>0.0</v>
      </c>
      <c r="D14243" s="3">
        <v>0.0</v>
      </c>
      <c r="E14243" s="3">
        <v>0.0</v>
      </c>
      <c r="F14243" s="3" t="s">
        <v>40480</v>
      </c>
      <c r="G14243" s="3">
        <v>0.0</v>
      </c>
      <c r="H14243" s="3">
        <v>0.0</v>
      </c>
      <c r="I14243" s="3" t="s">
        <v>13</v>
      </c>
      <c r="J14243" s="3" t="s">
        <v>40481</v>
      </c>
      <c r="K14243" s="3" t="s">
        <v>54</v>
      </c>
      <c r="L14243" s="3" t="str">
        <f>IFERROR(__xludf.DUMMYFUNCTION("GOOGLETRANSLATE(F14243,""id"",""en"")"),"aowkowkwowwko is not sob")</f>
        <v>aowkowkwowwko is not sob</v>
      </c>
    </row>
    <row r="14244" ht="15.75" customHeight="1">
      <c r="A14244" s="1">
        <v>15731.0</v>
      </c>
      <c r="B14244" s="3" t="s">
        <v>40482</v>
      </c>
      <c r="C14244" s="3">
        <v>0.0</v>
      </c>
      <c r="D14244" s="3">
        <v>0.0</v>
      </c>
      <c r="E14244" s="3">
        <v>0.0</v>
      </c>
      <c r="F14244" s="3" t="s">
        <v>40483</v>
      </c>
      <c r="G14244" s="3">
        <v>0.0</v>
      </c>
      <c r="H14244" s="3">
        <v>0.0</v>
      </c>
      <c r="I14244" s="3" t="s">
        <v>13</v>
      </c>
      <c r="J14244" s="3" t="s">
        <v>40484</v>
      </c>
      <c r="K14244" s="3" t="s">
        <v>1097</v>
      </c>
      <c r="L14244" s="3" t="str">
        <f>IFERROR(__xludf.DUMMYFUNCTION("GOOGLETRANSLATE(F14244,""id"",""en"")"),"Today is beautiful, Messi won Argen, he won, but")</f>
        <v>Today is beautiful, Messi won Argen, he won, but</v>
      </c>
    </row>
    <row r="14245" ht="15.75" customHeight="1">
      <c r="A14245" s="1">
        <v>15732.0</v>
      </c>
      <c r="B14245" s="3" t="s">
        <v>40485</v>
      </c>
      <c r="C14245" s="3">
        <v>0.0</v>
      </c>
      <c r="D14245" s="3">
        <v>0.0</v>
      </c>
      <c r="E14245" s="3">
        <v>0.0</v>
      </c>
      <c r="F14245" s="3" t="s">
        <v>40486</v>
      </c>
      <c r="G14245" s="3">
        <v>0.0</v>
      </c>
      <c r="H14245" s="3">
        <v>0.0</v>
      </c>
      <c r="I14245" s="3" t="s">
        <v>13</v>
      </c>
      <c r="J14245" s="3" t="s">
        <v>40487</v>
      </c>
      <c r="K14245" s="3" t="s">
        <v>165</v>
      </c>
      <c r="L14245" s="3" t="str">
        <f>IFERROR(__xludf.DUMMYFUNCTION("GOOGLETRANSLATE(F14245,""id"",""en"")"),"after almost yr Agen never won the World Cup finally won too, I felt until now I always ARGEN often scorn here and there often underestimated org friends what are you doing")</f>
        <v>after almost yr Agen never won the World Cup finally won too, I felt until now I always ARGEN often scorn here and there often underestimated org friends what are you doing</v>
      </c>
    </row>
    <row r="14246" ht="15.75" customHeight="1">
      <c r="A14246" s="1">
        <v>15733.0</v>
      </c>
      <c r="B14246" s="3" t="s">
        <v>40488</v>
      </c>
      <c r="C14246" s="3">
        <v>0.0</v>
      </c>
      <c r="D14246" s="3">
        <v>0.0</v>
      </c>
      <c r="E14246" s="3">
        <v>0.0</v>
      </c>
      <c r="F14246" s="3" t="s">
        <v>40489</v>
      </c>
      <c r="G14246" s="3">
        <v>0.55</v>
      </c>
      <c r="H14246" s="3">
        <v>0.35</v>
      </c>
      <c r="I14246" s="3" t="s">
        <v>48</v>
      </c>
      <c r="J14246" s="3" t="s">
        <v>40490</v>
      </c>
      <c r="K14246" s="3" t="s">
        <v>15</v>
      </c>
      <c r="L14246" s="3" t="str">
        <f>IFERROR(__xludf.DUMMYFUNCTION("GOOGLETRANSLATE(F14246,""id"",""en"")"),"Today is full smile Agen wins in a big class")</f>
        <v>Today is full smile Agen wins in a big class</v>
      </c>
    </row>
    <row r="14247" ht="15.75" customHeight="1">
      <c r="A14247" s="1">
        <v>15734.0</v>
      </c>
      <c r="B14247" s="3" t="s">
        <v>40491</v>
      </c>
      <c r="C14247" s="3">
        <v>0.0</v>
      </c>
      <c r="D14247" s="3">
        <v>0.0</v>
      </c>
      <c r="E14247" s="3">
        <v>0.0</v>
      </c>
      <c r="F14247" s="3" t="s">
        <v>40492</v>
      </c>
      <c r="G14247" s="3">
        <v>0.0</v>
      </c>
      <c r="H14247" s="3">
        <v>0.0</v>
      </c>
      <c r="I14247" s="3" t="s">
        <v>13</v>
      </c>
      <c r="J14247" s="3" t="s">
        <v>40493</v>
      </c>
      <c r="K14247" s="3" t="s">
        <v>135</v>
      </c>
      <c r="L14247" s="3" t="str">
        <f>IFERROR(__xludf.DUMMYFUNCTION("GOOGLETRANSLATE(F14247,""id"",""en"")"),"exclaimed Jirrr I think ARGEN will win immediately it turns out that the last minute of Mbappe directly sat set Sat set where use to chase the pursuit of exciting scores")</f>
        <v>exclaimed Jirrr I think ARGEN will win immediately it turns out that the last minute of Mbappe directly sat set Sat set where use to chase the pursuit of exciting scores</v>
      </c>
    </row>
    <row r="14248" ht="15.75" customHeight="1">
      <c r="A14248" s="1">
        <v>15735.0</v>
      </c>
      <c r="B14248" s="3" t="s">
        <v>40494</v>
      </c>
      <c r="C14248" s="3">
        <v>0.0</v>
      </c>
      <c r="D14248" s="3">
        <v>0.0</v>
      </c>
      <c r="E14248" s="3">
        <v>0.0</v>
      </c>
      <c r="F14248" s="3" t="s">
        <v>40495</v>
      </c>
      <c r="G14248" s="3">
        <v>0.0</v>
      </c>
      <c r="H14248" s="3">
        <v>0.0</v>
      </c>
      <c r="I14248" s="3" t="s">
        <v>13</v>
      </c>
      <c r="J14248" s="3" t="s">
        <v>40496</v>
      </c>
      <c r="K14248" s="3" t="s">
        <v>54</v>
      </c>
      <c r="L14248" s="3" t="str">
        <f>IFERROR(__xludf.DUMMYFUNCTION("GOOGLETRANSLATE(F14248,""id"",""en"")"),"It's happy that Agen won but sorry for the same Pance")</f>
        <v>It's happy that Agen won but sorry for the same Pance</v>
      </c>
    </row>
    <row r="14249" ht="15.75" customHeight="1">
      <c r="A14249" s="1">
        <v>15736.0</v>
      </c>
      <c r="B14249" s="3" t="s">
        <v>40497</v>
      </c>
      <c r="C14249" s="3">
        <v>0.0</v>
      </c>
      <c r="D14249" s="3">
        <v>0.0</v>
      </c>
      <c r="E14249" s="3">
        <v>0.0</v>
      </c>
      <c r="F14249" s="3" t="s">
        <v>40498</v>
      </c>
      <c r="G14249" s="3">
        <v>0.0</v>
      </c>
      <c r="H14249" s="3">
        <v>0.0</v>
      </c>
      <c r="I14249" s="3" t="s">
        <v>13</v>
      </c>
      <c r="J14249" s="3" t="s">
        <v>40499</v>
      </c>
      <c r="K14249" s="3" t="s">
        <v>7160</v>
      </c>
      <c r="L14249" s="3" t="str">
        <f>IFERROR(__xludf.DUMMYFUNCTION("GOOGLETRANSLATE(F14249,""id"",""en"")"),"Persib Wins ARGEN WIN")</f>
        <v>Persib Wins ARGEN WIN</v>
      </c>
    </row>
    <row r="14250" ht="15.75" customHeight="1">
      <c r="A14250" s="1">
        <v>15737.0</v>
      </c>
      <c r="B14250" s="3" t="s">
        <v>40500</v>
      </c>
      <c r="C14250" s="3">
        <v>1.0</v>
      </c>
      <c r="D14250" s="3">
        <v>0.0</v>
      </c>
      <c r="E14250" s="3">
        <v>0.0</v>
      </c>
      <c r="F14250" s="3" t="s">
        <v>40501</v>
      </c>
      <c r="G14250" s="3">
        <v>0.0</v>
      </c>
      <c r="H14250" s="3">
        <v>0.0</v>
      </c>
      <c r="I14250" s="3" t="s">
        <v>13</v>
      </c>
      <c r="J14250" s="3" t="s">
        <v>40502</v>
      </c>
      <c r="K14250" s="3" t="s">
        <v>54</v>
      </c>
      <c r="L14250" s="3" t="str">
        <f>IFERROR(__xludf.DUMMYFUNCTION("GOOGLETRANSLATE(F14250,""id"",""en"")"),"The spirit of Kackk Gratitude Agen won XIXI")</f>
        <v>The spirit of Kackk Gratitude Agen won XIXI</v>
      </c>
    </row>
    <row r="14251" ht="15.75" customHeight="1">
      <c r="A14251" s="1">
        <v>15738.0</v>
      </c>
      <c r="B14251" s="3" t="s">
        <v>40503</v>
      </c>
      <c r="C14251" s="3">
        <v>0.0</v>
      </c>
      <c r="D14251" s="3">
        <v>0.0</v>
      </c>
      <c r="E14251" s="3">
        <v>0.0</v>
      </c>
      <c r="F14251" s="3" t="s">
        <v>40504</v>
      </c>
      <c r="G14251" s="3">
        <v>0.0</v>
      </c>
      <c r="H14251" s="3">
        <v>0.0</v>
      </c>
      <c r="I14251" s="3" t="s">
        <v>13</v>
      </c>
      <c r="J14251" s="3" t="s">
        <v>40505</v>
      </c>
      <c r="K14251" s="3" t="s">
        <v>75</v>
      </c>
      <c r="L14251" s="3" t="str">
        <f>IFERROR(__xludf.DUMMYFUNCTION("GOOGLETRANSLATE(F14251,""id"",""en"")"),"if you know that Agen wins joining the new guy, he really gets a fortune")</f>
        <v>if you know that Agen wins joining the new guy, he really gets a fortune</v>
      </c>
    </row>
    <row r="14252" ht="15.75" customHeight="1">
      <c r="A14252" s="1">
        <v>15739.0</v>
      </c>
      <c r="B14252" s="3" t="s">
        <v>40506</v>
      </c>
      <c r="C14252" s="3">
        <v>0.0</v>
      </c>
      <c r="D14252" s="3">
        <v>0.0</v>
      </c>
      <c r="E14252" s="3">
        <v>1.0</v>
      </c>
      <c r="F14252" s="3" t="s">
        <v>40507</v>
      </c>
      <c r="G14252" s="3">
        <v>0.0</v>
      </c>
      <c r="H14252" s="3">
        <v>0.0</v>
      </c>
      <c r="I14252" s="3" t="s">
        <v>13</v>
      </c>
      <c r="J14252" s="3" t="s">
        <v>40508</v>
      </c>
      <c r="K14252" s="3" t="s">
        <v>41</v>
      </c>
      <c r="L14252" s="3" t="str">
        <f>IFERROR(__xludf.DUMMYFUNCTION("GOOGLETRANSLATE(F14252,""id"",""en"")"),"Mr. Smenjak Agen won sending a video of Messi Mluu Anjir")</f>
        <v>Mr. Smenjak Agen won sending a video of Messi Mluu Anjir</v>
      </c>
    </row>
    <row r="14253" ht="15.75" customHeight="1">
      <c r="A14253" s="1">
        <v>15740.0</v>
      </c>
      <c r="B14253" s="3" t="s">
        <v>40509</v>
      </c>
      <c r="C14253" s="3">
        <v>1.0</v>
      </c>
      <c r="D14253" s="3">
        <v>0.0</v>
      </c>
      <c r="E14253" s="3">
        <v>0.0</v>
      </c>
      <c r="F14253" s="3" t="s">
        <v>40510</v>
      </c>
      <c r="G14253" s="3">
        <v>0.0</v>
      </c>
      <c r="H14253" s="3">
        <v>0.0</v>
      </c>
      <c r="I14253" s="3" t="s">
        <v>13</v>
      </c>
      <c r="J14253" s="3" t="s">
        <v>40511</v>
      </c>
      <c r="K14253" s="3" t="s">
        <v>35</v>
      </c>
      <c r="L14253" s="3" t="str">
        <f>IFERROR(__xludf.DUMMYFUNCTION("GOOGLETRANSLATE(F14253,""id"",""en"")"),"Akskskakka I already said if Zayn wears Agegen's clothes, it will definitely win the invitation")</f>
        <v>Akskskakka I already said if Zayn wears Agegen's clothes, it will definitely win the invitation</v>
      </c>
    </row>
    <row r="14254" ht="15.75" customHeight="1">
      <c r="A14254" s="1">
        <v>15741.0</v>
      </c>
      <c r="B14254" s="3" t="s">
        <v>40512</v>
      </c>
      <c r="C14254" s="3">
        <v>0.0</v>
      </c>
      <c r="D14254" s="3">
        <v>0.0</v>
      </c>
      <c r="E14254" s="3">
        <v>0.0</v>
      </c>
      <c r="F14254" s="3" t="s">
        <v>40513</v>
      </c>
      <c r="G14254" s="3">
        <v>0.0</v>
      </c>
      <c r="H14254" s="3">
        <v>0.0</v>
      </c>
      <c r="I14254" s="3" t="s">
        <v>13</v>
      </c>
      <c r="J14254" s="3" t="s">
        <v>40514</v>
      </c>
      <c r="K14254" s="3" t="s">
        <v>15</v>
      </c>
      <c r="L14254" s="3" t="str">
        <f>IFERROR(__xludf.DUMMYFUNCTION("GOOGLETRANSLATE(F14254,""id"",""en"")"),"Iwan Caucasian said he joined in helping AGGA win the bell")</f>
        <v>Iwan Caucasian said he joined in helping AGGA win the bell</v>
      </c>
    </row>
    <row r="14255" ht="15.75" customHeight="1">
      <c r="A14255" s="1">
        <v>15742.0</v>
      </c>
      <c r="B14255" s="3" t="s">
        <v>40515</v>
      </c>
      <c r="C14255" s="3">
        <v>0.0</v>
      </c>
      <c r="D14255" s="3">
        <v>0.0</v>
      </c>
      <c r="E14255" s="3">
        <v>0.0</v>
      </c>
      <c r="F14255" s="3" t="s">
        <v>40515</v>
      </c>
      <c r="G14255" s="3">
        <v>0.0</v>
      </c>
      <c r="H14255" s="3">
        <v>0.0</v>
      </c>
      <c r="I14255" s="3" t="s">
        <v>13</v>
      </c>
      <c r="J14255" s="3" t="s">
        <v>40516</v>
      </c>
      <c r="K14255" s="3" t="s">
        <v>2117</v>
      </c>
      <c r="L14255" s="3" t="str">
        <f>IFERROR(__xludf.DUMMYFUNCTION("GOOGLETRANSLATE(F14255,""id"",""en"")"),"FYI just AGGE won")</f>
        <v>FYI just AGGE won</v>
      </c>
    </row>
    <row r="14256" ht="15.75" customHeight="1">
      <c r="A14256" s="1">
        <v>15743.0</v>
      </c>
      <c r="B14256" s="3" t="s">
        <v>40517</v>
      </c>
      <c r="C14256" s="3">
        <v>0.0</v>
      </c>
      <c r="D14256" s="3">
        <v>0.0</v>
      </c>
      <c r="E14256" s="3">
        <v>0.0</v>
      </c>
      <c r="F14256" s="3" t="s">
        <v>40518</v>
      </c>
      <c r="G14256" s="3">
        <v>0.0</v>
      </c>
      <c r="H14256" s="3">
        <v>0.0</v>
      </c>
      <c r="I14256" s="3" t="s">
        <v>13</v>
      </c>
      <c r="J14256" s="3" t="s">
        <v>40519</v>
      </c>
      <c r="K14256" s="3" t="s">
        <v>31</v>
      </c>
      <c r="L14256" s="3" t="str">
        <f>IFERROR(__xludf.DUMMYFUNCTION("GOOGLETRANSLATE(F14256,""id"",""en"")"),"still can gtw ball win argen")</f>
        <v>still can gtw ball win argen</v>
      </c>
    </row>
    <row r="14257" ht="15.75" customHeight="1">
      <c r="A14257" s="1">
        <v>15744.0</v>
      </c>
      <c r="B14257" s="3" t="s">
        <v>40520</v>
      </c>
      <c r="C14257" s="3">
        <v>0.0</v>
      </c>
      <c r="D14257" s="3">
        <v>0.0</v>
      </c>
      <c r="E14257" s="3">
        <v>0.0</v>
      </c>
      <c r="F14257" s="3" t="s">
        <v>40521</v>
      </c>
      <c r="G14257" s="3">
        <v>0.7</v>
      </c>
      <c r="H14257" s="3">
        <v>0.09999999999999998</v>
      </c>
      <c r="I14257" s="3" t="s">
        <v>48</v>
      </c>
      <c r="J14257" s="3" t="s">
        <v>40522</v>
      </c>
      <c r="K14257" s="3" t="s">
        <v>31</v>
      </c>
      <c r="L14257" s="3" t="str">
        <f>IFERROR(__xludf.DUMMYFUNCTION("GOOGLETRANSLATE(F14257,""id"",""en"")"),"AGEN WINDING NICE GAME French")</f>
        <v>AGEN WINDING NICE GAME French</v>
      </c>
    </row>
    <row r="14258" ht="15.75" customHeight="1">
      <c r="A14258" s="1">
        <v>15745.0</v>
      </c>
      <c r="B14258" s="3" t="s">
        <v>40523</v>
      </c>
      <c r="C14258" s="3">
        <v>0.0</v>
      </c>
      <c r="D14258" s="3">
        <v>0.0</v>
      </c>
      <c r="E14258" s="3">
        <v>2.0</v>
      </c>
      <c r="F14258" s="3" t="s">
        <v>40524</v>
      </c>
      <c r="G14258" s="3">
        <v>0.0</v>
      </c>
      <c r="H14258" s="3">
        <v>0.0</v>
      </c>
      <c r="I14258" s="3" t="s">
        <v>13</v>
      </c>
      <c r="J14258" s="3" t="s">
        <v>40525</v>
      </c>
      <c r="K14258" s="3" t="s">
        <v>90</v>
      </c>
      <c r="L14258" s="3" t="str">
        <f>IFERROR(__xludf.DUMMYFUNCTION("GOOGLETRANSLATE(F14258,""id"",""en"")"),"Info on Noodle Chicken Meatballs Seng Penak Bess Adoh Rapopo is ready")</f>
        <v>Info on Noodle Chicken Meatballs Seng Penak Bess Adoh Rapopo is ready</v>
      </c>
    </row>
    <row r="14259" ht="15.75" customHeight="1">
      <c r="A14259" s="1">
        <v>15746.0</v>
      </c>
      <c r="B14259" s="3" t="s">
        <v>40526</v>
      </c>
      <c r="C14259" s="3">
        <v>1.0</v>
      </c>
      <c r="D14259" s="3">
        <v>0.0</v>
      </c>
      <c r="E14259" s="3">
        <v>0.0</v>
      </c>
      <c r="F14259" s="3" t="s">
        <v>40527</v>
      </c>
      <c r="G14259" s="3">
        <v>0.0</v>
      </c>
      <c r="H14259" s="3">
        <v>0.0</v>
      </c>
      <c r="I14259" s="3" t="s">
        <v>13</v>
      </c>
      <c r="J14259" s="3" t="s">
        <v>40528</v>
      </c>
      <c r="K14259" s="3" t="s">
        <v>477</v>
      </c>
      <c r="L14259" s="3" t="str">
        <f>IFERROR(__xludf.DUMMYFUNCTION("GOOGLETRANSLATE(F14259,""id"",""en"")"),"there are new people want to install when you want to win argen")</f>
        <v>there are new people want to install when you want to win argen</v>
      </c>
    </row>
    <row r="14260" ht="15.75" customHeight="1">
      <c r="A14260" s="1">
        <v>15747.0</v>
      </c>
      <c r="B14260" s="3" t="s">
        <v>40529</v>
      </c>
      <c r="C14260" s="3">
        <v>0.0</v>
      </c>
      <c r="D14260" s="3">
        <v>0.0</v>
      </c>
      <c r="E14260" s="3">
        <v>0.0</v>
      </c>
      <c r="F14260" s="3" t="s">
        <v>40530</v>
      </c>
      <c r="G14260" s="3">
        <v>0.0</v>
      </c>
      <c r="H14260" s="3">
        <v>0.0</v>
      </c>
      <c r="I14260" s="3" t="s">
        <v>13</v>
      </c>
      <c r="J14260" s="3" t="s">
        <v>40531</v>
      </c>
      <c r="K14260" s="3" t="s">
        <v>2117</v>
      </c>
      <c r="L14260" s="3" t="str">
        <f>IFERROR(__xludf.DUMMYFUNCTION("GOOGLETRANSLATE(F14260,""id"",""en"")"),"Yey Agen won")</f>
        <v>Yey Agen won</v>
      </c>
    </row>
    <row r="14261" ht="15.75" customHeight="1">
      <c r="A14261" s="1">
        <v>15748.0</v>
      </c>
      <c r="B14261" s="3" t="s">
        <v>40532</v>
      </c>
      <c r="C14261" s="3">
        <v>0.0</v>
      </c>
      <c r="D14261" s="3">
        <v>0.0</v>
      </c>
      <c r="E14261" s="3">
        <v>0.0</v>
      </c>
      <c r="F14261" s="3" t="s">
        <v>40533</v>
      </c>
      <c r="G14261" s="3">
        <v>0.0</v>
      </c>
      <c r="H14261" s="3">
        <v>0.0</v>
      </c>
      <c r="I14261" s="3" t="s">
        <v>13</v>
      </c>
      <c r="J14261" s="3" t="s">
        <v>40534</v>
      </c>
      <c r="K14261" s="3" t="s">
        <v>1335</v>
      </c>
      <c r="L14261" s="3" t="str">
        <f>IFERROR(__xludf.DUMMYFUNCTION("GOOGLETRANSLATE(F14261,""id"",""en"")"),"boss party boss argen party wins french trivial")</f>
        <v>boss party boss argen party wins french trivial</v>
      </c>
    </row>
    <row r="14262" ht="15.75" customHeight="1">
      <c r="A14262" s="1">
        <v>15749.0</v>
      </c>
      <c r="B14262" s="3" t="s">
        <v>40535</v>
      </c>
      <c r="C14262" s="3">
        <v>2.0</v>
      </c>
      <c r="D14262" s="3">
        <v>0.0</v>
      </c>
      <c r="E14262" s="3">
        <v>0.0</v>
      </c>
      <c r="F14262" s="3" t="s">
        <v>40536</v>
      </c>
      <c r="G14262" s="3">
        <v>0.0</v>
      </c>
      <c r="H14262" s="3">
        <v>0.0</v>
      </c>
      <c r="I14262" s="3" t="s">
        <v>13</v>
      </c>
      <c r="J14262" s="3" t="s">
        <v>40537</v>
      </c>
      <c r="K14262" s="3" t="s">
        <v>75</v>
      </c>
      <c r="L14262" s="3" t="str">
        <f>IFERROR(__xludf.DUMMYFUNCTION("GOOGLETRANSLATE(F14262,""id"",""en"")"),"ITB residents AGGA won how happy I was in good luck")</f>
        <v>ITB residents AGGA won how happy I was in good luck</v>
      </c>
    </row>
    <row r="14263" ht="15.75" customHeight="1">
      <c r="A14263" s="1">
        <v>15750.0</v>
      </c>
      <c r="B14263" s="3" t="s">
        <v>40538</v>
      </c>
      <c r="C14263" s="3">
        <v>0.0</v>
      </c>
      <c r="D14263" s="3">
        <v>0.0</v>
      </c>
      <c r="E14263" s="3">
        <v>0.0</v>
      </c>
      <c r="F14263" s="3" t="s">
        <v>40311</v>
      </c>
      <c r="G14263" s="3">
        <v>0.0</v>
      </c>
      <c r="H14263" s="3">
        <v>0.0</v>
      </c>
      <c r="I14263" s="3" t="s">
        <v>13</v>
      </c>
      <c r="J14263" s="3" t="s">
        <v>40312</v>
      </c>
      <c r="K14263" s="3" t="s">
        <v>6752</v>
      </c>
      <c r="L14263" s="3" t="str">
        <f>IFERROR(__xludf.DUMMYFUNCTION("GOOGLETRANSLATE(F14263,""id"",""en"")"),"Dam back and Agen won Dam")</f>
        <v>Dam back and Agen won Dam</v>
      </c>
    </row>
    <row r="14264" ht="15.75" customHeight="1">
      <c r="A14264" s="1">
        <v>15751.0</v>
      </c>
      <c r="B14264" s="3" t="s">
        <v>40539</v>
      </c>
      <c r="C14264" s="3">
        <v>0.0</v>
      </c>
      <c r="D14264" s="3">
        <v>0.0</v>
      </c>
      <c r="E14264" s="3">
        <v>0.0</v>
      </c>
      <c r="F14264" s="3" t="s">
        <v>40540</v>
      </c>
      <c r="G14264" s="3">
        <v>0.0</v>
      </c>
      <c r="H14264" s="3">
        <v>0.0</v>
      </c>
      <c r="I14264" s="3" t="s">
        <v>13</v>
      </c>
      <c r="J14264" s="3" t="s">
        <v>40541</v>
      </c>
      <c r="K14264" s="3" t="s">
        <v>2117</v>
      </c>
      <c r="L14264" s="3" t="str">
        <f>IFERROR(__xludf.DUMMYFUNCTION("GOOGLETRANSLATE(F14264,""id"",""en"")"),"Win Cuk Agen")</f>
        <v>Win Cuk Agen</v>
      </c>
    </row>
    <row r="14265" ht="15.75" customHeight="1">
      <c r="A14265" s="1">
        <v>15752.0</v>
      </c>
      <c r="B14265" s="3" t="s">
        <v>40542</v>
      </c>
      <c r="C14265" s="3">
        <v>0.0</v>
      </c>
      <c r="D14265" s="3">
        <v>0.0</v>
      </c>
      <c r="E14265" s="3">
        <v>0.0</v>
      </c>
      <c r="F14265" s="3" t="s">
        <v>40543</v>
      </c>
      <c r="G14265" s="3">
        <v>0.0</v>
      </c>
      <c r="H14265" s="3">
        <v>0.0</v>
      </c>
      <c r="I14265" s="3" t="s">
        <v>13</v>
      </c>
      <c r="J14265" s="3" t="s">
        <v>40544</v>
      </c>
      <c r="K14265" s="3" t="s">
        <v>75</v>
      </c>
      <c r="L14265" s="3" t="str">
        <f>IFERROR(__xludf.DUMMYFUNCTION("GOOGLETRANSLATE(F14265,""id"",""en"")"),"Bang Yedam when Yach Argen appeared, you won, beb")</f>
        <v>Bang Yedam when Yach Argen appeared, you won, beb</v>
      </c>
    </row>
    <row r="14266" ht="15.75" customHeight="1">
      <c r="A14266" s="1">
        <v>15753.0</v>
      </c>
      <c r="B14266" s="3" t="s">
        <v>40545</v>
      </c>
      <c r="C14266" s="3">
        <v>0.0</v>
      </c>
      <c r="D14266" s="3">
        <v>0.0</v>
      </c>
      <c r="E14266" s="3">
        <v>0.0</v>
      </c>
      <c r="F14266" s="3" t="s">
        <v>40546</v>
      </c>
      <c r="G14266" s="3">
        <v>0.0</v>
      </c>
      <c r="H14266" s="3">
        <v>0.0</v>
      </c>
      <c r="I14266" s="3" t="s">
        <v>13</v>
      </c>
      <c r="J14266" s="3" t="s">
        <v>39560</v>
      </c>
      <c r="K14266" s="3" t="s">
        <v>14571</v>
      </c>
      <c r="L14266" s="3" t="str">
        <f>IFERROR(__xludf.DUMMYFUNCTION("GOOGLETRANSLATE(F14266,""id"",""en"")"),"Argen won")</f>
        <v>Argen won</v>
      </c>
    </row>
    <row r="14267" ht="15.75" customHeight="1">
      <c r="A14267" s="1">
        <v>15754.0</v>
      </c>
      <c r="B14267" s="3" t="s">
        <v>40547</v>
      </c>
      <c r="C14267" s="3">
        <v>1.0</v>
      </c>
      <c r="D14267" s="3">
        <v>0.0</v>
      </c>
      <c r="E14267" s="3">
        <v>1.0</v>
      </c>
      <c r="F14267" s="3" t="s">
        <v>40548</v>
      </c>
      <c r="G14267" s="3">
        <v>0.0</v>
      </c>
      <c r="H14267" s="3">
        <v>0.0</v>
      </c>
      <c r="I14267" s="3" t="s">
        <v>13</v>
      </c>
      <c r="J14267" s="3" t="s">
        <v>40549</v>
      </c>
      <c r="K14267" s="3" t="s">
        <v>82</v>
      </c>
      <c r="L14267" s="3" t="str">
        <f>IFERROR(__xludf.DUMMYFUNCTION("GOOGLETRANSLATE(F14267,""id"",""en"")"),"This is the feeling of Mada Dijdiin sacrifice so that AGGA wins")</f>
        <v>This is the feeling of Mada Dijdiin sacrifice so that AGGA wins</v>
      </c>
    </row>
    <row r="14268" ht="15.75" customHeight="1">
      <c r="A14268" s="1">
        <v>15755.0</v>
      </c>
      <c r="B14268" s="3" t="s">
        <v>40550</v>
      </c>
      <c r="C14268" s="3">
        <v>1.0</v>
      </c>
      <c r="D14268" s="3">
        <v>0.0</v>
      </c>
      <c r="E14268" s="3">
        <v>0.0</v>
      </c>
      <c r="F14268" s="3" t="s">
        <v>40550</v>
      </c>
      <c r="G14268" s="3">
        <v>0.0</v>
      </c>
      <c r="H14268" s="3">
        <v>0.0</v>
      </c>
      <c r="I14268" s="3" t="s">
        <v>13</v>
      </c>
      <c r="J14268" s="3" t="s">
        <v>40551</v>
      </c>
      <c r="K14268" s="3" t="s">
        <v>54</v>
      </c>
      <c r="L14268" s="3" t="str">
        <f>IFERROR(__xludf.DUMMYFUNCTION("GOOGLETRANSLATE(F14268,""id"",""en"")"),"Wei I still smile, Agen's smile won")</f>
        <v>Wei I still smile, Agen's smile won</v>
      </c>
    </row>
    <row r="14269" ht="15.75" customHeight="1">
      <c r="A14269" s="1">
        <v>15756.0</v>
      </c>
      <c r="B14269" s="3" t="s">
        <v>40552</v>
      </c>
      <c r="C14269" s="3">
        <v>0.0</v>
      </c>
      <c r="D14269" s="3">
        <v>0.0</v>
      </c>
      <c r="E14269" s="3">
        <v>1.0</v>
      </c>
      <c r="F14269" s="3" t="s">
        <v>40553</v>
      </c>
      <c r="G14269" s="3">
        <v>0.0</v>
      </c>
      <c r="H14269" s="3">
        <v>0.0</v>
      </c>
      <c r="I14269" s="3" t="s">
        <v>13</v>
      </c>
      <c r="J14269" s="3" t="s">
        <v>40554</v>
      </c>
      <c r="K14269" s="3" t="s">
        <v>495</v>
      </c>
      <c r="L14269" s="3" t="str">
        <f>IFERROR(__xludf.DUMMYFUNCTION("GOOGLETRANSLATE(F14269,""id"",""en"")"),"Before Agegen is indeed the best in high school records they won losing who the king of the penalties in the history of the World Cup")</f>
        <v>Before Agegen is indeed the best in high school records they won losing who the king of the penalties in the history of the World Cup</v>
      </c>
    </row>
    <row r="14270" ht="15.75" customHeight="1">
      <c r="A14270" s="1">
        <v>15757.0</v>
      </c>
      <c r="B14270" s="3" t="s">
        <v>40555</v>
      </c>
      <c r="C14270" s="3">
        <v>0.0</v>
      </c>
      <c r="D14270" s="3">
        <v>0.0</v>
      </c>
      <c r="E14270" s="3">
        <v>0.0</v>
      </c>
      <c r="F14270" s="3" t="s">
        <v>40555</v>
      </c>
      <c r="G14270" s="3">
        <v>0.55</v>
      </c>
      <c r="H14270" s="3">
        <v>0.35</v>
      </c>
      <c r="I14270" s="3" t="s">
        <v>48</v>
      </c>
      <c r="J14270" s="3" t="s">
        <v>40556</v>
      </c>
      <c r="K14270" s="3" t="s">
        <v>322</v>
      </c>
      <c r="L14270" s="3" t="str">
        <f>IFERROR(__xludf.DUMMYFUNCTION("GOOGLETRANSLATE(F14270,""id"",""en"")"),"wake up full smile argen wins")</f>
        <v>wake up full smile argen wins</v>
      </c>
    </row>
    <row r="14271" ht="15.75" customHeight="1">
      <c r="A14271" s="1">
        <v>15758.0</v>
      </c>
      <c r="B14271" s="3" t="s">
        <v>40557</v>
      </c>
      <c r="C14271" s="3">
        <v>1.0</v>
      </c>
      <c r="D14271" s="3">
        <v>0.0</v>
      </c>
      <c r="E14271" s="3">
        <v>0.0</v>
      </c>
      <c r="F14271" s="3" t="s">
        <v>40558</v>
      </c>
      <c r="G14271" s="3">
        <v>0.0</v>
      </c>
      <c r="H14271" s="3">
        <v>0.0</v>
      </c>
      <c r="I14271" s="3" t="s">
        <v>13</v>
      </c>
      <c r="J14271" s="3" t="s">
        <v>40559</v>
      </c>
      <c r="K14271" s="3" t="s">
        <v>15</v>
      </c>
      <c r="L14271" s="3" t="str">
        <f>IFERROR(__xludf.DUMMYFUNCTION("GOOGLETRANSLATE(F14271,""id"",""en"")"),"Dodo Pride person already knows Argen wins still pairs of France")</f>
        <v>Dodo Pride person already knows Argen wins still pairs of France</v>
      </c>
    </row>
    <row r="14272" ht="15.75" customHeight="1">
      <c r="A14272" s="1">
        <v>15759.0</v>
      </c>
      <c r="B14272" s="3" t="s">
        <v>40560</v>
      </c>
      <c r="C14272" s="3">
        <v>1.0</v>
      </c>
      <c r="D14272" s="3">
        <v>0.0</v>
      </c>
      <c r="E14272" s="3">
        <v>0.0</v>
      </c>
      <c r="F14272" s="3" t="s">
        <v>40561</v>
      </c>
      <c r="G14272" s="3">
        <v>0.0</v>
      </c>
      <c r="H14272" s="3">
        <v>0.0</v>
      </c>
      <c r="I14272" s="3" t="s">
        <v>13</v>
      </c>
      <c r="J14272" s="3" t="s">
        <v>40562</v>
      </c>
      <c r="K14272" s="3" t="s">
        <v>41</v>
      </c>
      <c r="L14272" s="3" t="str">
        <f>IFERROR(__xludf.DUMMYFUNCTION("GOOGLETRANSLATE(F14272,""id"",""en"")"),"Hayo already feeling ARGEN won even though the original supports France")</f>
        <v>Hayo already feeling ARGEN won even though the original supports France</v>
      </c>
    </row>
    <row r="14273" ht="15.75" customHeight="1">
      <c r="A14273" s="1">
        <v>15760.0</v>
      </c>
      <c r="B14273" s="3" t="s">
        <v>40563</v>
      </c>
      <c r="C14273" s="3">
        <v>0.0</v>
      </c>
      <c r="D14273" s="3">
        <v>0.0</v>
      </c>
      <c r="E14273" s="3">
        <v>0.0</v>
      </c>
      <c r="F14273" s="3" t="s">
        <v>40564</v>
      </c>
      <c r="G14273" s="3">
        <v>0.0</v>
      </c>
      <c r="H14273" s="3">
        <v>0.0</v>
      </c>
      <c r="I14273" s="3" t="s">
        <v>13</v>
      </c>
      <c r="J14273" s="3" t="s">
        <v>40565</v>
      </c>
      <c r="K14273" s="3" t="s">
        <v>477</v>
      </c>
      <c r="L14273" s="3" t="str">
        <f>IFERROR(__xludf.DUMMYFUNCTION("GOOGLETRANSLATE(F14273,""id"",""en"")"),"I won Mom Agen want gopay mom")</f>
        <v>I won Mom Agen want gopay mom</v>
      </c>
    </row>
    <row r="14274" ht="15.75" customHeight="1">
      <c r="A14274" s="1">
        <v>15761.0</v>
      </c>
      <c r="B14274" s="3" t="s">
        <v>40566</v>
      </c>
      <c r="C14274" s="3">
        <v>1.0</v>
      </c>
      <c r="D14274" s="3">
        <v>0.0</v>
      </c>
      <c r="E14274" s="3">
        <v>0.0</v>
      </c>
      <c r="F14274" s="3" t="s">
        <v>40567</v>
      </c>
      <c r="G14274" s="3">
        <v>0.0</v>
      </c>
      <c r="H14274" s="3">
        <v>0.0</v>
      </c>
      <c r="I14274" s="3" t="s">
        <v>13</v>
      </c>
      <c r="J14274" s="3" t="s">
        <v>40568</v>
      </c>
      <c r="K14274" s="3" t="s">
        <v>41</v>
      </c>
      <c r="L14274" s="3" t="str">
        <f>IFERROR(__xludf.DUMMYFUNCTION("GOOGLETRANSLATE(F14274,""id"",""en"")"),"Doi cheerful, how come Agen won, I cries")</f>
        <v>Doi cheerful, how come Agen won, I cries</v>
      </c>
    </row>
    <row r="14275" ht="15.75" customHeight="1">
      <c r="A14275" s="1">
        <v>15762.0</v>
      </c>
      <c r="B14275" s="3" t="s">
        <v>40569</v>
      </c>
      <c r="C14275" s="3">
        <v>0.0</v>
      </c>
      <c r="D14275" s="3">
        <v>0.0</v>
      </c>
      <c r="E14275" s="3">
        <v>0.0</v>
      </c>
      <c r="F14275" s="3" t="s">
        <v>40570</v>
      </c>
      <c r="G14275" s="3">
        <v>0.0</v>
      </c>
      <c r="H14275" s="3">
        <v>0.0</v>
      </c>
      <c r="I14275" s="3" t="s">
        <v>13</v>
      </c>
      <c r="J14275" s="3" t="s">
        <v>40571</v>
      </c>
      <c r="K14275" s="3" t="s">
        <v>82</v>
      </c>
      <c r="L14275" s="3" t="str">
        <f>IFERROR(__xludf.DUMMYFUNCTION("GOOGLETRANSLATE(F14275,""id"",""en"")"),"Argen Champion plus Warriors won the beautiful Monday")</f>
        <v>Argen Champion plus Warriors won the beautiful Monday</v>
      </c>
    </row>
    <row r="14276" ht="15.75" customHeight="1">
      <c r="A14276" s="1">
        <v>15763.0</v>
      </c>
      <c r="B14276" s="3" t="s">
        <v>40572</v>
      </c>
      <c r="C14276" s="3">
        <v>0.0</v>
      </c>
      <c r="D14276" s="3">
        <v>0.0</v>
      </c>
      <c r="E14276" s="3">
        <v>1.0</v>
      </c>
      <c r="F14276" s="3" t="s">
        <v>40573</v>
      </c>
      <c r="G14276" s="3">
        <v>0.0</v>
      </c>
      <c r="H14276" s="3">
        <v>0.0</v>
      </c>
      <c r="I14276" s="3" t="s">
        <v>13</v>
      </c>
      <c r="J14276" s="3" t="s">
        <v>40574</v>
      </c>
      <c r="K14276" s="3" t="s">
        <v>15</v>
      </c>
      <c r="L14276" s="3" t="str">
        <f>IFERROR(__xludf.DUMMYFUNCTION("GOOGLETRANSLATE(F14276,""id"",""en"")"),"There is already a feeling if Agen's penalty will win because there is Daddy Martinez")</f>
        <v>There is already a feeling if Agen's penalty will win because there is Daddy Martinez</v>
      </c>
    </row>
    <row r="14277" ht="15.75" customHeight="1">
      <c r="A14277" s="1">
        <v>15764.0</v>
      </c>
      <c r="B14277" s="3" t="s">
        <v>40575</v>
      </c>
      <c r="C14277" s="3">
        <v>1.0</v>
      </c>
      <c r="D14277" s="3">
        <v>0.0</v>
      </c>
      <c r="E14277" s="3">
        <v>0.0</v>
      </c>
      <c r="F14277" s="3" t="s">
        <v>40576</v>
      </c>
      <c r="G14277" s="3">
        <v>0.0</v>
      </c>
      <c r="H14277" s="3">
        <v>0.0</v>
      </c>
      <c r="I14277" s="3" t="s">
        <v>13</v>
      </c>
      <c r="J14277" s="3" t="s">
        <v>40577</v>
      </c>
      <c r="K14277" s="3" t="s">
        <v>71</v>
      </c>
      <c r="L14277" s="3" t="str">
        <f>IFERROR(__xludf.DUMMYFUNCTION("GOOGLETRANSLATE(F14277,""id"",""en"")"),"bankrupt after betting and buying tissue wkwkwk argen won thanks to the prayer and prayer of mamak Messi")</f>
        <v>bankrupt after betting and buying tissue wkwkwk argen won thanks to the prayer and prayer of mamak Messi</v>
      </c>
    </row>
    <row r="14278" ht="15.75" customHeight="1">
      <c r="A14278" s="1">
        <v>15765.0</v>
      </c>
      <c r="B14278" s="3" t="s">
        <v>40578</v>
      </c>
      <c r="C14278" s="3">
        <v>0.0</v>
      </c>
      <c r="D14278" s="3">
        <v>0.0</v>
      </c>
      <c r="E14278" s="3">
        <v>0.0</v>
      </c>
      <c r="F14278" s="3" t="s">
        <v>40579</v>
      </c>
      <c r="G14278" s="3">
        <v>0.0</v>
      </c>
      <c r="H14278" s="3">
        <v>0.0</v>
      </c>
      <c r="I14278" s="3" t="s">
        <v>13</v>
      </c>
      <c r="J14278" s="3" t="s">
        <v>40580</v>
      </c>
      <c r="K14278" s="3" t="s">
        <v>644</v>
      </c>
      <c r="L14278" s="3" t="str">
        <f>IFERROR(__xludf.DUMMYFUNCTION("GOOGLETRANSLATE(F14278,""id"",""en"")"),"ARGEN has won this")</f>
        <v>ARGEN has won this</v>
      </c>
    </row>
    <row r="14279" ht="15.75" customHeight="1">
      <c r="A14279" s="1">
        <v>15766.0</v>
      </c>
      <c r="B14279" s="3" t="s">
        <v>40581</v>
      </c>
      <c r="C14279" s="3">
        <v>1.0</v>
      </c>
      <c r="D14279" s="3">
        <v>0.0</v>
      </c>
      <c r="E14279" s="3">
        <v>0.0</v>
      </c>
      <c r="F14279" s="3" t="s">
        <v>40582</v>
      </c>
      <c r="G14279" s="3">
        <v>0.0</v>
      </c>
      <c r="H14279" s="3">
        <v>0.0</v>
      </c>
      <c r="I14279" s="3" t="s">
        <v>13</v>
      </c>
      <c r="J14279" s="3" t="s">
        <v>40583</v>
      </c>
      <c r="K14279" s="3" t="s">
        <v>644</v>
      </c>
      <c r="L14279" s="3" t="str">
        <f>IFERROR(__xludf.DUMMYFUNCTION("GOOGLETRANSLATE(F14279,""id"",""en"")"),"last night because Agen won wow")</f>
        <v>last night because Agen won wow</v>
      </c>
    </row>
    <row r="14280" ht="15.75" customHeight="1">
      <c r="A14280" s="1">
        <v>15767.0</v>
      </c>
      <c r="B14280" s="3" t="s">
        <v>40584</v>
      </c>
      <c r="C14280" s="3">
        <v>0.0</v>
      </c>
      <c r="D14280" s="3">
        <v>0.0</v>
      </c>
      <c r="E14280" s="3">
        <v>0.0</v>
      </c>
      <c r="F14280" s="3" t="s">
        <v>40585</v>
      </c>
      <c r="G14280" s="3">
        <v>0.0</v>
      </c>
      <c r="H14280" s="3">
        <v>0.0</v>
      </c>
      <c r="I14280" s="3" t="s">
        <v>13</v>
      </c>
      <c r="J14280" s="3" t="s">
        <v>40586</v>
      </c>
      <c r="K14280" s="3" t="s">
        <v>348</v>
      </c>
      <c r="L14280" s="3" t="str">
        <f>IFERROR(__xludf.DUMMYFUNCTION("GOOGLETRANSLATE(F14280,""id"",""en"")"),"remember remembering again funny too last night the younger sibling when Agegen already Fix won Aing and shouted he was still busy waiting for Next Pinal of")</f>
        <v>remember remembering again funny too last night the younger sibling when Agegen already Fix won Aing and shouted he was still busy waiting for Next Pinal of</v>
      </c>
    </row>
    <row r="14281" ht="15.75" customHeight="1">
      <c r="A14281" s="1">
        <v>15768.0</v>
      </c>
      <c r="B14281" s="3" t="s">
        <v>40587</v>
      </c>
      <c r="C14281" s="3">
        <v>1.0</v>
      </c>
      <c r="D14281" s="3">
        <v>0.0</v>
      </c>
      <c r="E14281" s="3">
        <v>0.0</v>
      </c>
      <c r="F14281" s="3" t="s">
        <v>40588</v>
      </c>
      <c r="G14281" s="3">
        <v>0.0</v>
      </c>
      <c r="H14281" s="3">
        <v>0.0</v>
      </c>
      <c r="I14281" s="3" t="s">
        <v>13</v>
      </c>
      <c r="J14281" s="3" t="s">
        <v>40589</v>
      </c>
      <c r="K14281" s="3" t="s">
        <v>54</v>
      </c>
      <c r="L14281" s="3" t="str">
        <f>IFERROR(__xludf.DUMMYFUNCTION("GOOGLETRANSLATE(F14281,""id"",""en"")"),"I have already guessed ARGEN to win")</f>
        <v>I have already guessed ARGEN to win</v>
      </c>
    </row>
    <row r="14282" ht="15.75" customHeight="1">
      <c r="A14282" s="1">
        <v>15769.0</v>
      </c>
      <c r="B14282" s="3" t="s">
        <v>40590</v>
      </c>
      <c r="C14282" s="3">
        <v>1.0</v>
      </c>
      <c r="D14282" s="3">
        <v>0.0</v>
      </c>
      <c r="E14282" s="3">
        <v>0.0</v>
      </c>
      <c r="F14282" s="3" t="s">
        <v>40591</v>
      </c>
      <c r="G14282" s="3">
        <v>0.0</v>
      </c>
      <c r="H14282" s="3">
        <v>0.0</v>
      </c>
      <c r="I14282" s="3" t="s">
        <v>13</v>
      </c>
      <c r="J14282" s="3" t="s">
        <v>40592</v>
      </c>
      <c r="K14282" s="3" t="s">
        <v>54</v>
      </c>
      <c r="L14282" s="3" t="str">
        <f>IFERROR(__xludf.DUMMYFUNCTION("GOOGLETRANSLATE(F14282,""id"",""en"")"),"entered the penalty udh feeling argen won")</f>
        <v>entered the penalty udh feeling argen won</v>
      </c>
    </row>
    <row r="14283" ht="15.75" customHeight="1">
      <c r="A14283" s="1">
        <v>15770.0</v>
      </c>
      <c r="B14283" s="3" t="s">
        <v>40593</v>
      </c>
      <c r="C14283" s="3">
        <v>0.0</v>
      </c>
      <c r="D14283" s="3">
        <v>0.0</v>
      </c>
      <c r="E14283" s="3">
        <v>2.0</v>
      </c>
      <c r="F14283" s="3" t="s">
        <v>40594</v>
      </c>
      <c r="G14283" s="3">
        <v>0.7</v>
      </c>
      <c r="H14283" s="3">
        <v>-0.5</v>
      </c>
      <c r="I14283" s="3" t="s">
        <v>179</v>
      </c>
      <c r="J14283" s="3" t="s">
        <v>40595</v>
      </c>
      <c r="K14283" s="3" t="s">
        <v>883</v>
      </c>
      <c r="L14283" s="3" t="str">
        <f>IFERROR(__xludf.DUMMYFUNCTION("GOOGLETRANSLATE(F14283,""id"",""en"")"),"He supports the person and I support it, I was asked if Agen won what I wanted to ask for, I answered Lylia Expensive Skin next year")</f>
        <v>He supports the person and I support it, I was asked if Agen won what I wanted to ask for, I answered Lylia Expensive Skin next year</v>
      </c>
    </row>
    <row r="14284" ht="15.75" customHeight="1">
      <c r="A14284" s="1">
        <v>15771.0</v>
      </c>
      <c r="B14284" s="3" t="s">
        <v>40596</v>
      </c>
      <c r="C14284" s="3">
        <v>0.0</v>
      </c>
      <c r="D14284" s="3">
        <v>0.0</v>
      </c>
      <c r="E14284" s="3">
        <v>0.0</v>
      </c>
      <c r="F14284" s="3" t="s">
        <v>40597</v>
      </c>
      <c r="G14284" s="3">
        <v>0.0</v>
      </c>
      <c r="H14284" s="3">
        <v>0.0</v>
      </c>
      <c r="I14284" s="3" t="s">
        <v>13</v>
      </c>
      <c r="J14284" s="3" t="s">
        <v>40598</v>
      </c>
      <c r="K14284" s="3" t="s">
        <v>2117</v>
      </c>
      <c r="L14284" s="3" t="str">
        <f>IFERROR(__xludf.DUMMYFUNCTION("GOOGLETRANSLATE(F14284,""id"",""en"")"),"Argen won WLE")</f>
        <v>Argen won WLE</v>
      </c>
    </row>
    <row r="14285" ht="15.75" customHeight="1">
      <c r="A14285" s="1">
        <v>15772.0</v>
      </c>
      <c r="B14285" s="3" t="s">
        <v>40599</v>
      </c>
      <c r="C14285" s="3">
        <v>0.0</v>
      </c>
      <c r="D14285" s="3">
        <v>0.0</v>
      </c>
      <c r="E14285" s="3">
        <v>0.0</v>
      </c>
      <c r="F14285" s="3" t="s">
        <v>40600</v>
      </c>
      <c r="G14285" s="3">
        <v>0.0</v>
      </c>
      <c r="H14285" s="3">
        <v>0.0</v>
      </c>
      <c r="I14285" s="3" t="s">
        <v>13</v>
      </c>
      <c r="J14285" s="3" t="s">
        <v>40601</v>
      </c>
      <c r="K14285" s="3" t="s">
        <v>644</v>
      </c>
      <c r="L14285" s="3" t="str">
        <f>IFERROR(__xludf.DUMMYFUNCTION("GOOGLETRANSLATE(F14285,""id"",""en"")"),"ARGEN WINDING MONEY ENTERING")</f>
        <v>ARGEN WINDING MONEY ENTERING</v>
      </c>
    </row>
    <row r="14286" ht="15.75" customHeight="1">
      <c r="A14286" s="1">
        <v>15773.0</v>
      </c>
      <c r="B14286" s="3" t="s">
        <v>40602</v>
      </c>
      <c r="C14286" s="3">
        <v>0.0</v>
      </c>
      <c r="D14286" s="3">
        <v>0.0</v>
      </c>
      <c r="E14286" s="3">
        <v>0.0</v>
      </c>
      <c r="F14286" s="3" t="s">
        <v>40603</v>
      </c>
      <c r="G14286" s="3">
        <v>0.0</v>
      </c>
      <c r="H14286" s="3">
        <v>0.0</v>
      </c>
      <c r="I14286" s="3" t="s">
        <v>13</v>
      </c>
      <c r="J14286" s="3" t="s">
        <v>40604</v>
      </c>
      <c r="K14286" s="3" t="s">
        <v>2117</v>
      </c>
      <c r="L14286" s="3" t="str">
        <f>IFERROR(__xludf.DUMMYFUNCTION("GOOGLETRANSLATE(F14286,""id"",""en"")"),"Argen won Woy")</f>
        <v>Argen won Woy</v>
      </c>
    </row>
    <row r="14287" ht="15.75" customHeight="1">
      <c r="A14287" s="1">
        <v>15774.0</v>
      </c>
      <c r="B14287" s="3" t="s">
        <v>40605</v>
      </c>
      <c r="C14287" s="3">
        <v>1.0</v>
      </c>
      <c r="D14287" s="3">
        <v>0.0</v>
      </c>
      <c r="E14287" s="3">
        <v>0.0</v>
      </c>
      <c r="F14287" s="3" t="s">
        <v>40606</v>
      </c>
      <c r="G14287" s="3">
        <v>0.0</v>
      </c>
      <c r="H14287" s="3">
        <v>0.0</v>
      </c>
      <c r="I14287" s="3" t="s">
        <v>13</v>
      </c>
      <c r="J14287" s="3" t="s">
        <v>40607</v>
      </c>
      <c r="K14287" s="3" t="s">
        <v>31</v>
      </c>
      <c r="L14287" s="3" t="str">
        <f>IFERROR(__xludf.DUMMYFUNCTION("GOOGLETRANSLATE(F14287,""id"",""en"")"),"pgang smlm argen wuhu wins")</f>
        <v>pgang smlm argen wuhu wins</v>
      </c>
    </row>
    <row r="14288" ht="15.75" customHeight="1">
      <c r="A14288" s="1">
        <v>15775.0</v>
      </c>
      <c r="B14288" s="3" t="s">
        <v>40608</v>
      </c>
      <c r="C14288" s="3">
        <v>0.0</v>
      </c>
      <c r="D14288" s="3">
        <v>0.0</v>
      </c>
      <c r="E14288" s="3">
        <v>0.0</v>
      </c>
      <c r="F14288" s="3" t="s">
        <v>40609</v>
      </c>
      <c r="G14288" s="3">
        <v>0.0</v>
      </c>
      <c r="H14288" s="3">
        <v>0.0</v>
      </c>
      <c r="I14288" s="3" t="s">
        <v>13</v>
      </c>
      <c r="J14288" s="3" t="s">
        <v>40610</v>
      </c>
      <c r="K14288" s="3" t="s">
        <v>131</v>
      </c>
      <c r="L14288" s="3" t="str">
        <f>IFERROR(__xludf.DUMMYFUNCTION("GOOGLETRANSLATE(F14288,""id"",""en"")"),"I already from the beginning of the ARGEN PILDUN will be the champion because FIFA also predicts that ARGEN will be champions so just when you win the bet too Awokwok")</f>
        <v>I already from the beginning of the ARGEN PILDUN will be the champion because FIFA also predicts that ARGEN will be champions so just when you win the bet too Awokwok</v>
      </c>
    </row>
    <row r="14289" ht="15.75" customHeight="1">
      <c r="A14289" s="1">
        <v>15776.0</v>
      </c>
      <c r="B14289" s="3" t="s">
        <v>40611</v>
      </c>
      <c r="C14289" s="3">
        <v>0.0</v>
      </c>
      <c r="D14289" s="3">
        <v>0.0</v>
      </c>
      <c r="E14289" s="3">
        <v>0.0</v>
      </c>
      <c r="F14289" s="3" t="s">
        <v>40611</v>
      </c>
      <c r="G14289" s="3">
        <v>0.0</v>
      </c>
      <c r="H14289" s="3">
        <v>0.0</v>
      </c>
      <c r="I14289" s="3" t="s">
        <v>13</v>
      </c>
      <c r="J14289" s="3" t="s">
        <v>40612</v>
      </c>
      <c r="K14289" s="3" t="s">
        <v>2117</v>
      </c>
      <c r="L14289" s="3" t="str">
        <f>IFERROR(__xludf.DUMMYFUNCTION("GOOGLETRANSLATE(F14289,""id"",""en"")"),"Argen won dick")</f>
        <v>Argen won dick</v>
      </c>
    </row>
    <row r="14290" ht="15.75" customHeight="1">
      <c r="A14290" s="1">
        <v>15777.0</v>
      </c>
      <c r="B14290" s="3" t="s">
        <v>40613</v>
      </c>
      <c r="C14290" s="3">
        <v>0.0</v>
      </c>
      <c r="D14290" s="3">
        <v>0.0</v>
      </c>
      <c r="E14290" s="3">
        <v>0.0</v>
      </c>
      <c r="F14290" s="3" t="s">
        <v>40614</v>
      </c>
      <c r="G14290" s="3">
        <v>0.0</v>
      </c>
      <c r="H14290" s="3">
        <v>0.0</v>
      </c>
      <c r="I14290" s="3" t="s">
        <v>13</v>
      </c>
      <c r="J14290" s="3" t="s">
        <v>40615</v>
      </c>
      <c r="K14290" s="3" t="s">
        <v>31</v>
      </c>
      <c r="L14290" s="3" t="str">
        <f>IFERROR(__xludf.DUMMYFUNCTION("GOOGLETRANSLATE(F14290,""id"",""en"")"),"Gabakalan because you won Agen hehehe")</f>
        <v>Gabakalan because you won Agen hehehe</v>
      </c>
    </row>
    <row r="14291" ht="15.75" customHeight="1">
      <c r="A14291" s="1">
        <v>15778.0</v>
      </c>
      <c r="B14291" s="3" t="s">
        <v>40616</v>
      </c>
      <c r="C14291" s="3">
        <v>0.0</v>
      </c>
      <c r="D14291" s="3">
        <v>0.0</v>
      </c>
      <c r="E14291" s="3">
        <v>1.0</v>
      </c>
      <c r="F14291" s="3" t="s">
        <v>40617</v>
      </c>
      <c r="G14291" s="3">
        <v>0.0</v>
      </c>
      <c r="H14291" s="3">
        <v>0.0</v>
      </c>
      <c r="I14291" s="3" t="s">
        <v>13</v>
      </c>
      <c r="J14291" s="3" t="s">
        <v>40618</v>
      </c>
      <c r="K14291" s="3" t="s">
        <v>695</v>
      </c>
      <c r="L14291" s="3" t="str">
        <f>IFERROR(__xludf.DUMMYFUNCTION("GOOGLETRANSLATE(F14291,""id"",""en"")"),"I support Agen so that France wins sis yeayy goal Messi yeeee crazy mbappe crazy and think of his words last night manteman")</f>
        <v>I support Agen so that France wins sis yeayy goal Messi yeeee crazy mbappe crazy and think of his words last night manteman</v>
      </c>
    </row>
    <row r="14292" ht="15.75" customHeight="1">
      <c r="A14292" s="1">
        <v>15779.0</v>
      </c>
      <c r="B14292" s="3" t="s">
        <v>40619</v>
      </c>
      <c r="C14292" s="3">
        <v>1.0</v>
      </c>
      <c r="D14292" s="3">
        <v>0.0</v>
      </c>
      <c r="E14292" s="3">
        <v>0.0</v>
      </c>
      <c r="F14292" s="3" t="s">
        <v>40620</v>
      </c>
      <c r="G14292" s="3">
        <v>1.0</v>
      </c>
      <c r="H14292" s="3">
        <v>0.8</v>
      </c>
      <c r="I14292" s="3" t="s">
        <v>48</v>
      </c>
      <c r="J14292" s="3" t="s">
        <v>40621</v>
      </c>
      <c r="K14292" s="3" t="s">
        <v>31</v>
      </c>
      <c r="L14292" s="3" t="str">
        <f>IFERROR(__xludf.DUMMYFUNCTION("GOOGLETRANSLATE(F14292,""id"",""en"")"),"Anw Happy Cuz Argen Wins")</f>
        <v>Anw Happy Cuz Argen Wins</v>
      </c>
    </row>
    <row r="14293" ht="15.75" customHeight="1">
      <c r="A14293" s="1">
        <v>15780.0</v>
      </c>
      <c r="B14293" s="3" t="s">
        <v>40622</v>
      </c>
      <c r="C14293" s="3">
        <v>0.0</v>
      </c>
      <c r="D14293" s="3">
        <v>0.0</v>
      </c>
      <c r="E14293" s="3">
        <v>6.0</v>
      </c>
      <c r="F14293" s="3" t="s">
        <v>40623</v>
      </c>
      <c r="G14293" s="3">
        <v>0.0</v>
      </c>
      <c r="H14293" s="3">
        <v>0.0</v>
      </c>
      <c r="I14293" s="3" t="s">
        <v>13</v>
      </c>
      <c r="J14293" s="3" t="s">
        <v>40624</v>
      </c>
      <c r="K14293" s="3" t="s">
        <v>1469</v>
      </c>
      <c r="L14293" s="3" t="str">
        <f>IFERROR(__xludf.DUMMYFUNCTION("GOOGLETRANSLATE(F14293,""id"",""en"")"),"the problem is for Aguero's heart, more and more help, AGGA wins if France wins can die Aguero")</f>
        <v>the problem is for Aguero's heart, more and more help, AGGA wins if France wins can die Aguero</v>
      </c>
    </row>
    <row r="14294" ht="15.75" customHeight="1">
      <c r="A14294" s="1">
        <v>15781.0</v>
      </c>
      <c r="B14294" s="3" t="s">
        <v>40625</v>
      </c>
      <c r="C14294" s="3">
        <v>0.0</v>
      </c>
      <c r="D14294" s="3">
        <v>0.0</v>
      </c>
      <c r="E14294" s="3">
        <v>0.0</v>
      </c>
      <c r="F14294" s="3" t="s">
        <v>40626</v>
      </c>
      <c r="G14294" s="3">
        <v>0.0</v>
      </c>
      <c r="H14294" s="3">
        <v>0.0</v>
      </c>
      <c r="I14294" s="3" t="s">
        <v>13</v>
      </c>
      <c r="J14294" s="3" t="s">
        <v>40627</v>
      </c>
      <c r="K14294" s="3" t="s">
        <v>2907</v>
      </c>
      <c r="L14294" s="3" t="str">
        <f>IFERROR(__xludf.DUMMYFUNCTION("GOOGLETRANSLATE(F14294,""id"",""en"")"),"Win, wkwkwkkwk, sir and sister and hold France himself holding argen wins cuyyyy")</f>
        <v>Win, wkwkwkkwk, sir and sister and hold France himself holding argen wins cuyyyy</v>
      </c>
    </row>
    <row r="14295" ht="15.75" customHeight="1">
      <c r="A14295" s="1">
        <v>15782.0</v>
      </c>
      <c r="B14295" s="3" t="s">
        <v>40628</v>
      </c>
      <c r="C14295" s="3">
        <v>0.0</v>
      </c>
      <c r="D14295" s="3">
        <v>0.0</v>
      </c>
      <c r="E14295" s="3">
        <v>0.0</v>
      </c>
      <c r="F14295" s="3" t="s">
        <v>40629</v>
      </c>
      <c r="G14295" s="3">
        <v>0.0</v>
      </c>
      <c r="H14295" s="3">
        <v>0.0</v>
      </c>
      <c r="I14295" s="3" t="s">
        <v>13</v>
      </c>
      <c r="J14295" s="3" t="s">
        <v>40630</v>
      </c>
      <c r="K14295" s="3" t="s">
        <v>40631</v>
      </c>
      <c r="L14295" s="3" t="str">
        <f>IFERROR(__xludf.DUMMYFUNCTION("GOOGLETRANSLATE(F14295,""id"",""en"")"),"The story is that I and Rama Kek Kekan like that, where is the French Argen, he holds Argentina, I hold France, ARGEN wins, I say he's France lost Ram, he said, he said, he said hehe was just very happy")</f>
        <v>The story is that I and Rama Kek Kekan like that, where is the French Argen, he holds Argentina, I hold France, ARGEN wins, I say he's France lost Ram, he said, he said, he said hehe was just very happy</v>
      </c>
    </row>
    <row r="14296" ht="15.75" customHeight="1">
      <c r="A14296" s="1">
        <v>15783.0</v>
      </c>
      <c r="B14296" s="3" t="s">
        <v>40632</v>
      </c>
      <c r="C14296" s="3">
        <v>0.0</v>
      </c>
      <c r="D14296" s="3">
        <v>0.0</v>
      </c>
      <c r="E14296" s="3">
        <v>0.0</v>
      </c>
      <c r="F14296" s="3" t="s">
        <v>40633</v>
      </c>
      <c r="G14296" s="3">
        <v>0.0</v>
      </c>
      <c r="H14296" s="3">
        <v>0.0</v>
      </c>
      <c r="I14296" s="3" t="s">
        <v>13</v>
      </c>
      <c r="J14296" s="3" t="s">
        <v>40634</v>
      </c>
      <c r="K14296" s="3" t="s">
        <v>2117</v>
      </c>
      <c r="L14296" s="3" t="str">
        <f>IFERROR(__xludf.DUMMYFUNCTION("GOOGLETRANSLATE(F14296,""id"",""en"")"),"menting argen won cuy")</f>
        <v>menting argen won cuy</v>
      </c>
    </row>
    <row r="14297" ht="15.75" customHeight="1">
      <c r="A14297" s="1">
        <v>15784.0</v>
      </c>
      <c r="B14297" s="3" t="s">
        <v>40635</v>
      </c>
      <c r="C14297" s="3">
        <v>0.0</v>
      </c>
      <c r="D14297" s="3">
        <v>0.0</v>
      </c>
      <c r="E14297" s="3">
        <v>0.0</v>
      </c>
      <c r="F14297" s="3" t="s">
        <v>40636</v>
      </c>
      <c r="G14297" s="3">
        <v>0.8833333333333333</v>
      </c>
      <c r="H14297" s="3">
        <v>0.0</v>
      </c>
      <c r="I14297" s="3" t="s">
        <v>13</v>
      </c>
      <c r="J14297" s="3" t="s">
        <v>40637</v>
      </c>
      <c r="K14297" s="3" t="s">
        <v>50</v>
      </c>
      <c r="L14297" s="3" t="str">
        <f>IFERROR(__xludf.DUMMYFUNCTION("GOOGLETRANSLATE(F14297,""id"",""en"")"),"I am Emotional BGT ARGEN RICH RICHED Finally Winning Final Runner")</f>
        <v>I am Emotional BGT ARGEN RICH RICHED Finally Winning Final Runner</v>
      </c>
    </row>
    <row r="14298" ht="15.75" customHeight="1">
      <c r="A14298" s="1">
        <v>15785.0</v>
      </c>
      <c r="B14298" s="3" t="s">
        <v>40638</v>
      </c>
      <c r="C14298" s="3">
        <v>0.0</v>
      </c>
      <c r="D14298" s="3">
        <v>0.0</v>
      </c>
      <c r="E14298" s="3">
        <v>0.0</v>
      </c>
      <c r="F14298" s="3" t="s">
        <v>40639</v>
      </c>
      <c r="G14298" s="3">
        <v>0.0</v>
      </c>
      <c r="H14298" s="3">
        <v>0.0</v>
      </c>
      <c r="I14298" s="3" t="s">
        <v>13</v>
      </c>
      <c r="J14298" s="3" t="s">
        <v>40640</v>
      </c>
      <c r="K14298" s="3" t="s">
        <v>82</v>
      </c>
      <c r="L14298" s="3" t="str">
        <f>IFERROR(__xludf.DUMMYFUNCTION("GOOGLETRANSLATE(F14298,""id"",""en"")"),"Emg already Feeling, I won from the beginning")</f>
        <v>Emg already Feeling, I won from the beginning</v>
      </c>
    </row>
    <row r="14299" ht="15.75" customHeight="1">
      <c r="A14299" s="1">
        <v>15786.0</v>
      </c>
      <c r="B14299" s="3" t="s">
        <v>40641</v>
      </c>
      <c r="C14299" s="3">
        <v>0.0</v>
      </c>
      <c r="D14299" s="3">
        <v>0.0</v>
      </c>
      <c r="E14299" s="3">
        <v>0.0</v>
      </c>
      <c r="F14299" s="3" t="s">
        <v>40642</v>
      </c>
      <c r="G14299" s="3">
        <v>0.0</v>
      </c>
      <c r="H14299" s="3">
        <v>0.0</v>
      </c>
      <c r="I14299" s="3" t="s">
        <v>13</v>
      </c>
      <c r="J14299" s="3" t="s">
        <v>40643</v>
      </c>
      <c r="K14299" s="3" t="s">
        <v>41</v>
      </c>
      <c r="L14299" s="3" t="str">
        <f>IFERROR(__xludf.DUMMYFUNCTION("GOOGLETRANSLATE(F14299,""id"",""en"")"),"order bio kakk nii discount today argen wins hehehee")</f>
        <v>order bio kakk nii discount today argen wins hehehee</v>
      </c>
    </row>
    <row r="14300" ht="15.75" customHeight="1">
      <c r="A14300" s="1">
        <v>15787.0</v>
      </c>
      <c r="B14300" s="3" t="s">
        <v>40644</v>
      </c>
      <c r="C14300" s="3">
        <v>1.0</v>
      </c>
      <c r="D14300" s="3">
        <v>0.0</v>
      </c>
      <c r="E14300" s="3">
        <v>0.0</v>
      </c>
      <c r="F14300" s="3" t="s">
        <v>40645</v>
      </c>
      <c r="G14300" s="3">
        <v>0.0</v>
      </c>
      <c r="H14300" s="3">
        <v>0.0</v>
      </c>
      <c r="I14300" s="3" t="s">
        <v>13</v>
      </c>
      <c r="J14300" s="3" t="s">
        <v>40646</v>
      </c>
      <c r="K14300" s="3" t="s">
        <v>31</v>
      </c>
      <c r="L14300" s="3" t="str">
        <f>IFERROR(__xludf.DUMMYFUNCTION("GOOGLETRANSLATE(F14300,""id"",""en"")"),"Argen won, but the French was sad")</f>
        <v>Argen won, but the French was sad</v>
      </c>
    </row>
    <row r="14301" ht="15.75" customHeight="1">
      <c r="A14301" s="1">
        <v>15788.0</v>
      </c>
      <c r="B14301" s="3" t="s">
        <v>40647</v>
      </c>
      <c r="C14301" s="3">
        <v>0.0</v>
      </c>
      <c r="D14301" s="3">
        <v>0.0</v>
      </c>
      <c r="E14301" s="3">
        <v>0.0</v>
      </c>
      <c r="F14301" s="3" t="s">
        <v>40648</v>
      </c>
      <c r="G14301" s="3">
        <v>0.0</v>
      </c>
      <c r="H14301" s="3">
        <v>0.0</v>
      </c>
      <c r="I14301" s="3" t="s">
        <v>13</v>
      </c>
      <c r="J14301" s="3" t="s">
        <v>40649</v>
      </c>
      <c r="K14301" s="3" t="s">
        <v>1097</v>
      </c>
      <c r="L14301" s="3" t="str">
        <f>IFERROR(__xludf.DUMMYFUNCTION("GOOGLETRANSLATE(F14301,""id"",""en"")"),"Wes won a lot anyway KMRN ARGEN won the greedy infidel")</f>
        <v>Wes won a lot anyway KMRN ARGEN won the greedy infidel</v>
      </c>
    </row>
    <row r="14302" ht="15.75" customHeight="1">
      <c r="A14302" s="1">
        <v>15789.0</v>
      </c>
      <c r="B14302" s="3" t="s">
        <v>40650</v>
      </c>
      <c r="C14302" s="3">
        <v>1.0</v>
      </c>
      <c r="D14302" s="3">
        <v>0.0</v>
      </c>
      <c r="E14302" s="3">
        <v>0.0</v>
      </c>
      <c r="F14302" s="3" t="s">
        <v>40651</v>
      </c>
      <c r="G14302" s="3">
        <v>0.0</v>
      </c>
      <c r="H14302" s="3">
        <v>0.0</v>
      </c>
      <c r="I14302" s="3" t="s">
        <v>13</v>
      </c>
      <c r="J14302" s="3" t="s">
        <v>39560</v>
      </c>
      <c r="K14302" s="3" t="s">
        <v>14571</v>
      </c>
      <c r="L14302" s="3" t="str">
        <f>IFERROR(__xludf.DUMMYFUNCTION("GOOGLETRANSLATE(F14302,""id"",""en"")"),"Argen won")</f>
        <v>Argen won</v>
      </c>
    </row>
    <row r="14303" ht="15.75" customHeight="1">
      <c r="A14303" s="1">
        <v>15790.0</v>
      </c>
      <c r="B14303" s="3" t="s">
        <v>40652</v>
      </c>
      <c r="C14303" s="3">
        <v>0.0</v>
      </c>
      <c r="D14303" s="3">
        <v>0.0</v>
      </c>
      <c r="E14303" s="3">
        <v>0.0</v>
      </c>
      <c r="F14303" s="3" t="s">
        <v>40653</v>
      </c>
      <c r="G14303" s="3">
        <v>0.2</v>
      </c>
      <c r="H14303" s="3">
        <v>-0.1</v>
      </c>
      <c r="I14303" s="3" t="s">
        <v>179</v>
      </c>
      <c r="J14303" s="3" t="s">
        <v>40654</v>
      </c>
      <c r="K14303" s="3" t="s">
        <v>19184</v>
      </c>
      <c r="L14303" s="3" t="str">
        <f>IFERROR(__xludf.DUMMYFUNCTION("GOOGLETRANSLATE(F14303,""id"",""en"")"),"Gimna is proud to try me at home at the support of France all I am Argentina alone mentally already hit by the country mbappe ngegollin in the last minute I ttep keukeuh supporting argen because sure I will win and thank God when Pinalty wins I am alone a"&amp;"lone")</f>
        <v>Gimna is proud to try me at home at the support of France all I am Argentina alone mentally already hit by the country mbappe ngegollin in the last minute I ttep keukeuh supporting argen because sure I will win and thank God when Pinalty wins I am alone alone</v>
      </c>
    </row>
    <row r="14304" ht="15.75" customHeight="1">
      <c r="A14304" s="1">
        <v>15791.0</v>
      </c>
      <c r="B14304" s="3" t="s">
        <v>40655</v>
      </c>
      <c r="C14304" s="3">
        <v>0.0</v>
      </c>
      <c r="D14304" s="3">
        <v>0.0</v>
      </c>
      <c r="E14304" s="3">
        <v>0.0</v>
      </c>
      <c r="F14304" s="3" t="s">
        <v>40656</v>
      </c>
      <c r="G14304" s="3">
        <v>0.0</v>
      </c>
      <c r="H14304" s="3">
        <v>0.0</v>
      </c>
      <c r="I14304" s="3" t="s">
        <v>13</v>
      </c>
      <c r="J14304" s="3" t="s">
        <v>40657</v>
      </c>
      <c r="K14304" s="3" t="s">
        <v>2117</v>
      </c>
      <c r="L14304" s="3" t="str">
        <f>IFERROR(__xludf.DUMMYFUNCTION("GOOGLETRANSLATE(F14304,""id"",""en"")"),"Argen won the penalty")</f>
        <v>Argen won the penalty</v>
      </c>
    </row>
    <row r="14305" ht="15.75" customHeight="1">
      <c r="A14305" s="1">
        <v>15792.0</v>
      </c>
      <c r="B14305" s="3" t="s">
        <v>40658</v>
      </c>
      <c r="C14305" s="3">
        <v>0.0</v>
      </c>
      <c r="D14305" s="3">
        <v>0.0</v>
      </c>
      <c r="E14305" s="3">
        <v>0.0</v>
      </c>
      <c r="F14305" s="3" t="s">
        <v>40659</v>
      </c>
      <c r="G14305" s="3">
        <v>0.0</v>
      </c>
      <c r="H14305" s="3">
        <v>0.0</v>
      </c>
      <c r="I14305" s="3" t="s">
        <v>13</v>
      </c>
      <c r="J14305" s="3" t="s">
        <v>40660</v>
      </c>
      <c r="K14305" s="3" t="s">
        <v>2117</v>
      </c>
      <c r="L14305" s="3" t="str">
        <f>IFERROR(__xludf.DUMMYFUNCTION("GOOGLETRANSLATE(F14305,""id"",""en"")"),"Makk Agen won")</f>
        <v>Makk Agen won</v>
      </c>
    </row>
    <row r="14306" ht="15.75" customHeight="1">
      <c r="A14306" s="1">
        <v>15793.0</v>
      </c>
      <c r="B14306" s="3" t="s">
        <v>40661</v>
      </c>
      <c r="C14306" s="3">
        <v>0.0</v>
      </c>
      <c r="D14306" s="3">
        <v>0.0</v>
      </c>
      <c r="E14306" s="3">
        <v>11.0</v>
      </c>
      <c r="F14306" s="3" t="s">
        <v>40662</v>
      </c>
      <c r="G14306" s="3">
        <v>0.0</v>
      </c>
      <c r="H14306" s="3">
        <v>0.0</v>
      </c>
      <c r="I14306" s="3" t="s">
        <v>13</v>
      </c>
      <c r="J14306" s="3" t="s">
        <v>40663</v>
      </c>
      <c r="K14306" s="3" t="s">
        <v>2375</v>
      </c>
      <c r="L14306" s="3" t="str">
        <f>IFERROR(__xludf.DUMMYFUNCTION("GOOGLETRANSLATE(F14306,""id"",""en"")"),"Thank you Messi Agen won a lot I also won a lot because many Kai updated after Messi won")</f>
        <v>Thank you Messi Agen won a lot I also won a lot because many Kai updated after Messi won</v>
      </c>
    </row>
    <row r="14307" ht="15.75" customHeight="1">
      <c r="A14307" s="1">
        <v>15794.0</v>
      </c>
      <c r="B14307" s="3" t="s">
        <v>40664</v>
      </c>
      <c r="C14307" s="3">
        <v>0.0</v>
      </c>
      <c r="D14307" s="3">
        <v>0.0</v>
      </c>
      <c r="E14307" s="3">
        <v>0.0</v>
      </c>
      <c r="F14307" s="3" t="s">
        <v>40665</v>
      </c>
      <c r="G14307" s="3">
        <v>0.0</v>
      </c>
      <c r="H14307" s="3">
        <v>0.0</v>
      </c>
      <c r="I14307" s="3" t="s">
        <v>13</v>
      </c>
      <c r="J14307" s="3" t="s">
        <v>40666</v>
      </c>
      <c r="K14307" s="3" t="s">
        <v>31</v>
      </c>
      <c r="L14307" s="3" t="str">
        <f>IFERROR(__xludf.DUMMYFUNCTION("GOOGLETRANSLATE(F14307,""id"",""en"")"),"Betting Udh Feeling Argen Wins")</f>
        <v>Betting Udh Feeling Argen Wins</v>
      </c>
    </row>
    <row r="14308" ht="15.75" customHeight="1">
      <c r="A14308" s="1">
        <v>15795.0</v>
      </c>
      <c r="B14308" s="3" t="s">
        <v>40667</v>
      </c>
      <c r="C14308" s="3">
        <v>1.0</v>
      </c>
      <c r="D14308" s="3">
        <v>0.0</v>
      </c>
      <c r="E14308" s="3">
        <v>0.0</v>
      </c>
      <c r="F14308" s="3" t="s">
        <v>40668</v>
      </c>
      <c r="G14308" s="3">
        <v>0.0</v>
      </c>
      <c r="H14308" s="3">
        <v>0.0</v>
      </c>
      <c r="I14308" s="3" t="s">
        <v>13</v>
      </c>
      <c r="J14308" s="3" t="s">
        <v>40669</v>
      </c>
      <c r="K14308" s="3" t="s">
        <v>1335</v>
      </c>
      <c r="L14308" s="3" t="str">
        <f>IFERROR(__xludf.DUMMYFUNCTION("GOOGLETRANSLATE(F14308,""id"",""en"")"),"Agen Opponently IPS Still Winning IPS OSS")</f>
        <v>Agen Opponently IPS Still Winning IPS OSS</v>
      </c>
    </row>
    <row r="14309" ht="15.75" customHeight="1">
      <c r="A14309" s="1">
        <v>15796.0</v>
      </c>
      <c r="B14309" s="3" t="s">
        <v>40670</v>
      </c>
      <c r="C14309" s="3">
        <v>0.0</v>
      </c>
      <c r="D14309" s="3">
        <v>0.0</v>
      </c>
      <c r="E14309" s="3">
        <v>0.0</v>
      </c>
      <c r="F14309" s="3" t="s">
        <v>40671</v>
      </c>
      <c r="G14309" s="3">
        <v>0.0</v>
      </c>
      <c r="H14309" s="3">
        <v>0.0</v>
      </c>
      <c r="I14309" s="3" t="s">
        <v>13</v>
      </c>
      <c r="J14309" s="3" t="s">
        <v>40672</v>
      </c>
      <c r="K14309" s="3" t="s">
        <v>75</v>
      </c>
      <c r="L14309" s="3" t="str">
        <f>IFERROR(__xludf.DUMMYFUNCTION("GOOGLETRANSLATE(F14309,""id"",""en"")"),"aka exciting severe degdegan mules panic happily because Agen wins wkwk")</f>
        <v>aka exciting severe degdegan mules panic happily because Agen wins wkwk</v>
      </c>
    </row>
    <row r="14310" ht="15.75" customHeight="1">
      <c r="A14310" s="1">
        <v>15797.0</v>
      </c>
      <c r="B14310" s="3" t="s">
        <v>40673</v>
      </c>
      <c r="C14310" s="3">
        <v>1.0</v>
      </c>
      <c r="D14310" s="3">
        <v>0.0</v>
      </c>
      <c r="E14310" s="3">
        <v>0.0</v>
      </c>
      <c r="F14310" s="3" t="s">
        <v>40674</v>
      </c>
      <c r="G14310" s="3">
        <v>0.6749999999999999</v>
      </c>
      <c r="H14310" s="3">
        <v>0.325</v>
      </c>
      <c r="I14310" s="3" t="s">
        <v>48</v>
      </c>
      <c r="J14310" s="3" t="s">
        <v>40675</v>
      </c>
      <c r="K14310" s="3" t="s">
        <v>205</v>
      </c>
      <c r="L14310" s="3" t="str">
        <f>IFERROR(__xludf.DUMMYFUNCTION("GOOGLETRANSLATE(F14310,""id"",""en"")"),"How to believe in winning is never normal, I saw it, I didn't care, but one them racist cama innocent boy, how could I not care")</f>
        <v>How to believe in winning is never normal, I saw it, I didn't care, but one them racist cama innocent boy, how could I not care</v>
      </c>
    </row>
    <row r="14311" ht="15.75" customHeight="1">
      <c r="A14311" s="1">
        <v>15798.0</v>
      </c>
      <c r="B14311" s="3" t="s">
        <v>40676</v>
      </c>
      <c r="C14311" s="3">
        <v>0.0</v>
      </c>
      <c r="D14311" s="3">
        <v>0.0</v>
      </c>
      <c r="E14311" s="3">
        <v>0.0</v>
      </c>
      <c r="F14311" s="3" t="s">
        <v>40677</v>
      </c>
      <c r="G14311" s="3">
        <v>0.0</v>
      </c>
      <c r="H14311" s="3">
        <v>0.0</v>
      </c>
      <c r="I14311" s="3" t="s">
        <v>13</v>
      </c>
      <c r="J14311" s="3" t="s">
        <v>40678</v>
      </c>
      <c r="K14311" s="3" t="s">
        <v>1518</v>
      </c>
      <c r="L14311" s="3" t="str">
        <f>IFERROR(__xludf.DUMMYFUNCTION("GOOGLETRANSLATE(F14311,""id"",""en"")"),"advantage coman not play with the referee the opportunity for kolo muani even though the ARGEN player has been in the style of celebration before winning if destiny has said what he wants to say what")</f>
        <v>advantage coman not play with the referee the opportunity for kolo muani even though the ARGEN player has been in the style of celebration before winning if destiny has said what he wants to say what</v>
      </c>
    </row>
    <row r="14312" ht="15.75" customHeight="1">
      <c r="A14312" s="1">
        <v>15799.0</v>
      </c>
      <c r="B14312" s="3" t="s">
        <v>40679</v>
      </c>
      <c r="C14312" s="3">
        <v>17.0</v>
      </c>
      <c r="D14312" s="3">
        <v>0.0</v>
      </c>
      <c r="E14312" s="3">
        <v>1.0</v>
      </c>
      <c r="F14312" s="3" t="s">
        <v>40680</v>
      </c>
      <c r="G14312" s="3">
        <v>0.0</v>
      </c>
      <c r="H14312" s="3">
        <v>0.0</v>
      </c>
      <c r="I14312" s="3" t="s">
        <v>13</v>
      </c>
      <c r="J14312" s="3" t="s">
        <v>40681</v>
      </c>
      <c r="K14312" s="3" t="s">
        <v>127</v>
      </c>
      <c r="L14312" s="3" t="str">
        <f>IFERROR(__xludf.DUMMYFUNCTION("GOOGLETRANSLATE(F14312,""id"",""en"")"),"according to the promise if Agen wins want to give a little fortune Rep uses fav food there is gopay for people who are lucky goodluck")</f>
        <v>according to the promise if Agen wins want to give a little fortune Rep uses fav food there is gopay for people who are lucky goodluck</v>
      </c>
    </row>
    <row r="14313" ht="15.75" customHeight="1">
      <c r="A14313" s="1">
        <v>15800.0</v>
      </c>
      <c r="B14313" s="3" t="s">
        <v>40682</v>
      </c>
      <c r="C14313" s="3">
        <v>1.0</v>
      </c>
      <c r="D14313" s="3">
        <v>0.0</v>
      </c>
      <c r="E14313" s="3">
        <v>0.0</v>
      </c>
      <c r="F14313" s="3" t="s">
        <v>40683</v>
      </c>
      <c r="G14313" s="3">
        <v>0.0</v>
      </c>
      <c r="H14313" s="3">
        <v>0.0</v>
      </c>
      <c r="I14313" s="3" t="s">
        <v>13</v>
      </c>
      <c r="J14313" s="3" t="s">
        <v>40684</v>
      </c>
      <c r="K14313" s="3" t="s">
        <v>54</v>
      </c>
      <c r="L14313" s="3" t="str">
        <f>IFERROR(__xludf.DUMMYFUNCTION("GOOGLETRANSLATE(F14313,""id"",""en"")"),"Morning All Morning Spirit Because Argen Wins")</f>
        <v>Morning All Morning Spirit Because Argen Wins</v>
      </c>
    </row>
    <row r="14314" ht="15.75" customHeight="1">
      <c r="A14314" s="1">
        <v>15801.0</v>
      </c>
      <c r="B14314" s="3" t="s">
        <v>40685</v>
      </c>
      <c r="C14314" s="3">
        <v>1.0</v>
      </c>
      <c r="D14314" s="3">
        <v>0.0</v>
      </c>
      <c r="E14314" s="3">
        <v>0.0</v>
      </c>
      <c r="F14314" s="3" t="s">
        <v>40686</v>
      </c>
      <c r="G14314" s="3">
        <v>0.6</v>
      </c>
      <c r="H14314" s="3">
        <v>-0.3</v>
      </c>
      <c r="I14314" s="3" t="s">
        <v>179</v>
      </c>
      <c r="J14314" s="3" t="s">
        <v>40687</v>
      </c>
      <c r="K14314" s="3" t="s">
        <v>41</v>
      </c>
      <c r="L14314" s="3" t="str">
        <f>IFERROR(__xludf.DUMMYFUNCTION("GOOGLETRANSLATE(F14314,""id"",""en"")"),"duh work while sleepy but it's important")</f>
        <v>duh work while sleepy but it's important</v>
      </c>
    </row>
    <row r="14315" ht="15.75" customHeight="1">
      <c r="A14315" s="1">
        <v>15802.0</v>
      </c>
      <c r="B14315" s="3" t="s">
        <v>40688</v>
      </c>
      <c r="C14315" s="3">
        <v>1.0</v>
      </c>
      <c r="D14315" s="3">
        <v>0.0</v>
      </c>
      <c r="E14315" s="3">
        <v>0.0</v>
      </c>
      <c r="F14315" s="3" t="s">
        <v>40689</v>
      </c>
      <c r="G14315" s="3">
        <v>0.0</v>
      </c>
      <c r="H14315" s="3">
        <v>0.0</v>
      </c>
      <c r="I14315" s="3" t="s">
        <v>13</v>
      </c>
      <c r="J14315" s="3" t="s">
        <v>40690</v>
      </c>
      <c r="K14315" s="3" t="s">
        <v>54</v>
      </c>
      <c r="L14315" s="3" t="str">
        <f>IFERROR(__xludf.DUMMYFUNCTION("GOOGLETRANSLATE(F14315,""id"",""en"")"),"he only nii argen won even sad")</f>
        <v>he only nii argen won even sad</v>
      </c>
    </row>
    <row r="14316" ht="15.75" customHeight="1">
      <c r="A14316" s="1">
        <v>15803.0</v>
      </c>
      <c r="B14316" s="3" t="s">
        <v>40691</v>
      </c>
      <c r="C14316" s="3">
        <v>0.0</v>
      </c>
      <c r="D14316" s="3">
        <v>0.0</v>
      </c>
      <c r="E14316" s="3">
        <v>0.0</v>
      </c>
      <c r="F14316" s="3" t="s">
        <v>40692</v>
      </c>
      <c r="G14316" s="3">
        <v>0.0</v>
      </c>
      <c r="H14316" s="3">
        <v>0.0</v>
      </c>
      <c r="I14316" s="3" t="s">
        <v>13</v>
      </c>
      <c r="J14316" s="3" t="s">
        <v>40693</v>
      </c>
      <c r="K14316" s="3" t="s">
        <v>31</v>
      </c>
      <c r="L14316" s="3" t="str">
        <f>IFERROR(__xludf.DUMMYFUNCTION("GOOGLETRANSLATE(F14316,""id"",""en"")"),"yes the dream of Agen won really")</f>
        <v>yes the dream of Agen won really</v>
      </c>
    </row>
    <row r="14317" ht="15.75" customHeight="1">
      <c r="A14317" s="1">
        <v>15804.0</v>
      </c>
      <c r="B14317" s="3" t="s">
        <v>40694</v>
      </c>
      <c r="C14317" s="3">
        <v>1.0</v>
      </c>
      <c r="D14317" s="3">
        <v>0.0</v>
      </c>
      <c r="E14317" s="3">
        <v>0.0</v>
      </c>
      <c r="F14317" s="3" t="s">
        <v>40695</v>
      </c>
      <c r="G14317" s="3">
        <v>0.0</v>
      </c>
      <c r="H14317" s="3">
        <v>0.0</v>
      </c>
      <c r="I14317" s="3" t="s">
        <v>13</v>
      </c>
      <c r="J14317" s="3" t="s">
        <v>40696</v>
      </c>
      <c r="K14317" s="3" t="s">
        <v>15</v>
      </c>
      <c r="L14317" s="3" t="str">
        <f>IFERROR(__xludf.DUMMYFUNCTION("GOOGLETRANSLATE(F14317,""id"",""en"")"),"my father this morning the mood is good, surely Grgr Agen wins")</f>
        <v>my father this morning the mood is good, surely Grgr Agen wins</v>
      </c>
    </row>
    <row r="14318" ht="15.75" customHeight="1">
      <c r="A14318" s="1">
        <v>15805.0</v>
      </c>
      <c r="B14318" s="3" t="s">
        <v>40697</v>
      </c>
      <c r="C14318" s="3">
        <v>0.0</v>
      </c>
      <c r="D14318" s="3">
        <v>0.0</v>
      </c>
      <c r="E14318" s="3">
        <v>0.0</v>
      </c>
      <c r="F14318" s="3" t="s">
        <v>40698</v>
      </c>
      <c r="G14318" s="3">
        <v>0.0</v>
      </c>
      <c r="H14318" s="3">
        <v>0.0</v>
      </c>
      <c r="I14318" s="3" t="s">
        <v>13</v>
      </c>
      <c r="J14318" s="3" t="s">
        <v>40699</v>
      </c>
      <c r="K14318" s="3" t="s">
        <v>2907</v>
      </c>
      <c r="L14318" s="3" t="str">
        <f>IFERROR(__xludf.DUMMYFUNCTION("GOOGLETRANSLATE(F14318,""id"",""en"")"),"It was thought that the penalty was that easy, if the penalty was easy, why did Agegen win the penalty shootout")</f>
        <v>It was thought that the penalty was that easy, if the penalty was easy, why did Agegen win the penalty shootout</v>
      </c>
    </row>
    <row r="14319" ht="15.75" customHeight="1">
      <c r="A14319" s="1">
        <v>15806.0</v>
      </c>
      <c r="B14319" s="3" t="s">
        <v>40700</v>
      </c>
      <c r="C14319" s="3">
        <v>0.0</v>
      </c>
      <c r="D14319" s="3">
        <v>0.0</v>
      </c>
      <c r="E14319" s="3">
        <v>0.0</v>
      </c>
      <c r="F14319" s="3" t="s">
        <v>40701</v>
      </c>
      <c r="G14319" s="3">
        <v>0.0</v>
      </c>
      <c r="H14319" s="3">
        <v>0.0</v>
      </c>
      <c r="I14319" s="3" t="s">
        <v>13</v>
      </c>
      <c r="J14319" s="3" t="s">
        <v>40472</v>
      </c>
      <c r="K14319" s="3" t="s">
        <v>2117</v>
      </c>
      <c r="L14319" s="3" t="str">
        <f>IFERROR(__xludf.DUMMYFUNCTION("GOOGLETRANSLATE(F14319,""id"",""en"")"),"Winning ARGEN BANG")</f>
        <v>Winning ARGEN BANG</v>
      </c>
    </row>
    <row r="14320" ht="15.75" customHeight="1">
      <c r="A14320" s="1">
        <v>15807.0</v>
      </c>
      <c r="B14320" s="3" t="s">
        <v>40702</v>
      </c>
      <c r="C14320" s="3">
        <v>1.0</v>
      </c>
      <c r="D14320" s="3">
        <v>0.0</v>
      </c>
      <c r="E14320" s="3">
        <v>0.0</v>
      </c>
      <c r="F14320" s="3" t="s">
        <v>40703</v>
      </c>
      <c r="G14320" s="3">
        <v>0.06666666666666667</v>
      </c>
      <c r="H14320" s="3">
        <v>0.0</v>
      </c>
      <c r="I14320" s="3" t="s">
        <v>13</v>
      </c>
      <c r="J14320" s="3" t="s">
        <v>40704</v>
      </c>
      <c r="K14320" s="3" t="s">
        <v>19</v>
      </c>
      <c r="L14320" s="3" t="str">
        <f>IFERROR(__xludf.DUMMYFUNCTION("GOOGLETRANSLATE(F14320,""id"",""en"")"),"and the last minute so even though it's just a playtime to win, AGG")</f>
        <v>and the last minute so even though it's just a playtime to win, AGG</v>
      </c>
    </row>
    <row r="14321" ht="15.75" customHeight="1">
      <c r="A14321" s="1">
        <v>15808.0</v>
      </c>
      <c r="B14321" s="3" t="s">
        <v>40705</v>
      </c>
      <c r="C14321" s="3">
        <v>0.0</v>
      </c>
      <c r="D14321" s="3">
        <v>0.0</v>
      </c>
      <c r="E14321" s="3">
        <v>0.0</v>
      </c>
      <c r="F14321" s="3" t="s">
        <v>40705</v>
      </c>
      <c r="G14321" s="3">
        <v>0.0</v>
      </c>
      <c r="H14321" s="3">
        <v>0.0</v>
      </c>
      <c r="I14321" s="3" t="s">
        <v>13</v>
      </c>
      <c r="J14321" s="3" t="s">
        <v>40706</v>
      </c>
      <c r="K14321" s="3" t="s">
        <v>644</v>
      </c>
      <c r="L14321" s="3" t="str">
        <f>IFERROR(__xludf.DUMMYFUNCTION("GOOGLETRANSLATE(F14321,""id"",""en"")"),"woohooo argen won bray")</f>
        <v>woohooo argen won bray</v>
      </c>
    </row>
    <row r="14322" ht="15.75" customHeight="1">
      <c r="A14322" s="1">
        <v>15809.0</v>
      </c>
      <c r="B14322" s="3" t="s">
        <v>40438</v>
      </c>
      <c r="C14322" s="3">
        <v>7.0</v>
      </c>
      <c r="D14322" s="3">
        <v>0.0</v>
      </c>
      <c r="E14322" s="3">
        <v>0.0</v>
      </c>
      <c r="F14322" s="3" t="s">
        <v>40438</v>
      </c>
      <c r="G14322" s="3">
        <v>0.0</v>
      </c>
      <c r="H14322" s="3">
        <v>0.0</v>
      </c>
      <c r="I14322" s="3" t="s">
        <v>13</v>
      </c>
      <c r="J14322" s="3" t="s">
        <v>40439</v>
      </c>
      <c r="K14322" s="3" t="s">
        <v>644</v>
      </c>
      <c r="L14322" s="3" t="str">
        <f>IFERROR(__xludf.DUMMYFUNCTION("GOOGLETRANSLATE(F14322,""id"",""en"")"),"Morning After Agen Wins")</f>
        <v>Morning After Agen Wins</v>
      </c>
    </row>
    <row r="14323" ht="15.75" customHeight="1">
      <c r="A14323" s="1">
        <v>15810.0</v>
      </c>
      <c r="B14323" s="3" t="s">
        <v>40707</v>
      </c>
      <c r="C14323" s="3">
        <v>16.0</v>
      </c>
      <c r="D14323" s="3">
        <v>0.0</v>
      </c>
      <c r="E14323" s="3">
        <v>0.0</v>
      </c>
      <c r="F14323" s="3" t="s">
        <v>40708</v>
      </c>
      <c r="G14323" s="3">
        <v>0.55</v>
      </c>
      <c r="H14323" s="3">
        <v>0.35</v>
      </c>
      <c r="I14323" s="3" t="s">
        <v>48</v>
      </c>
      <c r="J14323" s="3" t="s">
        <v>40709</v>
      </c>
      <c r="K14323" s="3" t="s">
        <v>644</v>
      </c>
      <c r="L14323" s="3" t="str">
        <f>IFERROR(__xludf.DUMMYFUNCTION("GOOGLETRANSLATE(F14323,""id"",""en"")"),"ARGEN won full smile")</f>
        <v>ARGEN won full smile</v>
      </c>
    </row>
    <row r="14324" ht="15.75" customHeight="1">
      <c r="A14324" s="1">
        <v>15811.0</v>
      </c>
      <c r="B14324" s="3" t="s">
        <v>40710</v>
      </c>
      <c r="C14324" s="3">
        <v>0.0</v>
      </c>
      <c r="D14324" s="3">
        <v>0.0</v>
      </c>
      <c r="E14324" s="3">
        <v>1.0</v>
      </c>
      <c r="F14324" s="3" t="s">
        <v>40711</v>
      </c>
      <c r="G14324" s="3">
        <v>1.0</v>
      </c>
      <c r="H14324" s="3">
        <v>0.0</v>
      </c>
      <c r="I14324" s="3" t="s">
        <v>13</v>
      </c>
      <c r="J14324" s="3" t="s">
        <v>40712</v>
      </c>
      <c r="K14324" s="3" t="s">
        <v>31</v>
      </c>
      <c r="L14324" s="3" t="str">
        <f>IFERROR(__xludf.DUMMYFUNCTION("GOOGLETRANSLATE(F14324,""id"",""en"")"),"Finally Sis Raaaa Agen won")</f>
        <v>Finally Sis Raaaa Agen won</v>
      </c>
    </row>
    <row r="14325" ht="15.75" customHeight="1">
      <c r="A14325" s="1">
        <v>15812.0</v>
      </c>
      <c r="B14325" s="3" t="s">
        <v>40713</v>
      </c>
      <c r="C14325" s="3">
        <v>1.0</v>
      </c>
      <c r="D14325" s="3">
        <v>0.0</v>
      </c>
      <c r="E14325" s="3">
        <v>0.0</v>
      </c>
      <c r="F14325" s="3" t="s">
        <v>40714</v>
      </c>
      <c r="G14325" s="3">
        <v>0.4</v>
      </c>
      <c r="H14325" s="3">
        <v>-0.4</v>
      </c>
      <c r="I14325" s="3" t="s">
        <v>179</v>
      </c>
      <c r="J14325" s="3" t="s">
        <v>40715</v>
      </c>
      <c r="K14325" s="3" t="s">
        <v>495</v>
      </c>
      <c r="L14325" s="3" t="str">
        <f>IFERROR(__xludf.DUMMYFUNCTION("GOOGLETRANSLATE(F14325,""id"",""en"")"),"The new game starts in the second half of the jelly whether you are tururing because you think Agen has won what because Giroud Dembele has been pulled out first")</f>
        <v>The new game starts in the second half of the jelly whether you are tururing because you think Agen has won what because Giroud Dembele has been pulled out first</v>
      </c>
    </row>
    <row r="14326" ht="15.75" customHeight="1">
      <c r="A14326" s="1">
        <v>15813.0</v>
      </c>
      <c r="B14326" s="3" t="s">
        <v>40716</v>
      </c>
      <c r="C14326" s="3">
        <v>0.0</v>
      </c>
      <c r="D14326" s="3">
        <v>0.0</v>
      </c>
      <c r="E14326" s="3">
        <v>0.0</v>
      </c>
      <c r="F14326" s="3" t="s">
        <v>40717</v>
      </c>
      <c r="G14326" s="3">
        <v>0.0</v>
      </c>
      <c r="H14326" s="3">
        <v>0.0</v>
      </c>
      <c r="I14326" s="3" t="s">
        <v>13</v>
      </c>
      <c r="J14326" s="3" t="s">
        <v>40718</v>
      </c>
      <c r="K14326" s="3" t="s">
        <v>31</v>
      </c>
      <c r="L14326" s="3" t="str">
        <f>IFERROR(__xludf.DUMMYFUNCTION("GOOGLETRANSLATE(F14326,""id"",""en"")"),"Udh said that ARGEN won Dikkk")</f>
        <v>Udh said that ARGEN won Dikkk</v>
      </c>
    </row>
    <row r="14327" ht="15.75" customHeight="1">
      <c r="A14327" s="1">
        <v>15814.0</v>
      </c>
      <c r="B14327" s="3" t="s">
        <v>40719</v>
      </c>
      <c r="C14327" s="3">
        <v>0.0</v>
      </c>
      <c r="D14327" s="3">
        <v>0.0</v>
      </c>
      <c r="E14327" s="3">
        <v>0.0</v>
      </c>
      <c r="F14327" s="3" t="s">
        <v>40720</v>
      </c>
      <c r="G14327" s="3">
        <v>0.0</v>
      </c>
      <c r="H14327" s="3">
        <v>0.0</v>
      </c>
      <c r="I14327" s="3" t="s">
        <v>13</v>
      </c>
      <c r="J14327" s="3" t="s">
        <v>40721</v>
      </c>
      <c r="K14327" s="3" t="s">
        <v>82</v>
      </c>
      <c r="L14327" s="3" t="str">
        <f>IFERROR(__xludf.DUMMYFUNCTION("GOOGLETRANSLATE(F14327,""id"",""en"")"),"Crying You ARGEN WIND PAP NYO MANO")</f>
        <v>Crying You ARGEN WIND PAP NYO MANO</v>
      </c>
    </row>
    <row r="14328" ht="15.75" customHeight="1">
      <c r="A14328" s="1">
        <v>15815.0</v>
      </c>
      <c r="B14328" s="3" t="s">
        <v>40722</v>
      </c>
      <c r="C14328" s="3">
        <v>0.0</v>
      </c>
      <c r="D14328" s="3">
        <v>0.0</v>
      </c>
      <c r="E14328" s="3">
        <v>1.0</v>
      </c>
      <c r="F14328" s="3" t="s">
        <v>40723</v>
      </c>
      <c r="G14328" s="3">
        <v>0.0</v>
      </c>
      <c r="H14328" s="3">
        <v>0.0</v>
      </c>
      <c r="I14328" s="3" t="s">
        <v>13</v>
      </c>
      <c r="J14328" s="3" t="s">
        <v>40724</v>
      </c>
      <c r="K14328" s="3" t="s">
        <v>644</v>
      </c>
      <c r="L14328" s="3" t="str">
        <f>IFERROR(__xludf.DUMMYFUNCTION("GOOGLETRANSLATE(F14328,""id"",""en"")"),"Agegen won the trending Ronaldo")</f>
        <v>Agegen won the trending Ronaldo</v>
      </c>
    </row>
    <row r="14329" ht="15.75" customHeight="1">
      <c r="A14329" s="1">
        <v>15816.0</v>
      </c>
      <c r="B14329" s="3" t="s">
        <v>40725</v>
      </c>
      <c r="C14329" s="3">
        <v>0.0</v>
      </c>
      <c r="D14329" s="3">
        <v>0.0</v>
      </c>
      <c r="E14329" s="3">
        <v>0.0</v>
      </c>
      <c r="F14329" s="3" t="s">
        <v>40726</v>
      </c>
      <c r="G14329" s="3">
        <v>0.0</v>
      </c>
      <c r="H14329" s="3">
        <v>0.0</v>
      </c>
      <c r="I14329" s="3" t="s">
        <v>13</v>
      </c>
      <c r="J14329" s="3" t="s">
        <v>40727</v>
      </c>
      <c r="K14329" s="3" t="s">
        <v>2117</v>
      </c>
      <c r="L14329" s="3" t="str">
        <f>IFERROR(__xludf.DUMMYFUNCTION("GOOGLETRANSLATE(F14329,""id"",""en"")"),"But Agen won")</f>
        <v>But Agen won</v>
      </c>
    </row>
    <row r="14330" ht="15.75" customHeight="1">
      <c r="A14330" s="1">
        <v>15817.0</v>
      </c>
      <c r="B14330" s="3" t="s">
        <v>40728</v>
      </c>
      <c r="C14330" s="3">
        <v>0.0</v>
      </c>
      <c r="D14330" s="3">
        <v>0.0</v>
      </c>
      <c r="E14330" s="3">
        <v>2.0</v>
      </c>
      <c r="F14330" s="3" t="s">
        <v>40729</v>
      </c>
      <c r="G14330" s="3">
        <v>0.0</v>
      </c>
      <c r="H14330" s="3">
        <v>0.0</v>
      </c>
      <c r="I14330" s="3" t="s">
        <v>13</v>
      </c>
      <c r="J14330" s="3" t="s">
        <v>40730</v>
      </c>
      <c r="K14330" s="3" t="s">
        <v>31</v>
      </c>
      <c r="L14330" s="3" t="str">
        <f>IFERROR(__xludf.DUMMYFUNCTION("GOOGLETRANSLATE(F14330,""id"",""en"")"),"Lyy Watching Argen's Pildun Win")</f>
        <v>Lyy Watching Argen's Pildun Win</v>
      </c>
    </row>
    <row r="14331" ht="15.75" customHeight="1">
      <c r="A14331" s="1">
        <v>15818.0</v>
      </c>
      <c r="B14331" s="3" t="s">
        <v>40731</v>
      </c>
      <c r="C14331" s="3">
        <v>1.0</v>
      </c>
      <c r="D14331" s="3">
        <v>0.0</v>
      </c>
      <c r="E14331" s="3">
        <v>0.0</v>
      </c>
      <c r="F14331" s="3" t="s">
        <v>40732</v>
      </c>
      <c r="G14331" s="3">
        <v>0.0</v>
      </c>
      <c r="H14331" s="3">
        <v>0.0</v>
      </c>
      <c r="I14331" s="3" t="s">
        <v>13</v>
      </c>
      <c r="J14331" s="3" t="s">
        <v>40733</v>
      </c>
      <c r="K14331" s="3" t="s">
        <v>50</v>
      </c>
      <c r="L14331" s="3" t="str">
        <f>IFERROR(__xludf.DUMMYFUNCTION("GOOGLETRANSLATE(F14331,""id"",""en"")"),"Morning see his friend smiling broadly ask how much winning it last night or ARGEN supporters")</f>
        <v>Morning see his friend smiling broadly ask how much winning it last night or ARGEN supporters</v>
      </c>
    </row>
    <row r="14332" ht="15.75" customHeight="1">
      <c r="A14332" s="1">
        <v>15819.0</v>
      </c>
      <c r="B14332" s="3" t="s">
        <v>40734</v>
      </c>
      <c r="C14332" s="3">
        <v>0.0</v>
      </c>
      <c r="D14332" s="3">
        <v>0.0</v>
      </c>
      <c r="E14332" s="3">
        <v>0.0</v>
      </c>
      <c r="F14332" s="3" t="s">
        <v>40735</v>
      </c>
      <c r="G14332" s="3">
        <v>0.0</v>
      </c>
      <c r="H14332" s="3">
        <v>0.0</v>
      </c>
      <c r="I14332" s="3" t="s">
        <v>13</v>
      </c>
      <c r="J14332" s="3" t="s">
        <v>40736</v>
      </c>
      <c r="K14332" s="3" t="s">
        <v>883</v>
      </c>
      <c r="L14332" s="3" t="str">
        <f>IFERROR(__xludf.DUMMYFUNCTION("GOOGLETRANSLATE(F14332,""id"",""en"")"),"Before going to sleep, Agegen will win even though I don't know the samsek track record, how to wake up, you wake up, you really won")</f>
        <v>Before going to sleep, Agegen will win even though I don't know the samsek track record, how to wake up, you wake up, you really won</v>
      </c>
    </row>
    <row r="14333" ht="15.75" customHeight="1">
      <c r="A14333" s="1">
        <v>15820.0</v>
      </c>
      <c r="B14333" s="3" t="s">
        <v>40737</v>
      </c>
      <c r="C14333" s="3">
        <v>0.0</v>
      </c>
      <c r="D14333" s="3">
        <v>0.0</v>
      </c>
      <c r="E14333" s="3">
        <v>0.0</v>
      </c>
      <c r="F14333" s="3" t="s">
        <v>40738</v>
      </c>
      <c r="G14333" s="3">
        <v>1.0</v>
      </c>
      <c r="H14333" s="3">
        <v>0.0</v>
      </c>
      <c r="I14333" s="3" t="s">
        <v>13</v>
      </c>
      <c r="J14333" s="3" t="s">
        <v>40739</v>
      </c>
      <c r="K14333" s="3" t="s">
        <v>13588</v>
      </c>
      <c r="L14333" s="3" t="str">
        <f>IFERROR(__xludf.DUMMYFUNCTION("GOOGLETRANSLATE(F14333,""id"",""en"")"),"It was true that last night sports heart watching the final pildunn huaa exciting this time it was said that the world cup final was the most exciting and both were indeed worth winning because the playing France was cool after Allah and finally Messi ret"&amp;"ired calmly hahahah")</f>
        <v>It was true that last night sports heart watching the final pildunn huaa exciting this time it was said that the world cup final was the most exciting and both were indeed worth winning because the playing France was cool after Allah and finally Messi retired calmly hahahah</v>
      </c>
    </row>
    <row r="14334" ht="15.75" customHeight="1">
      <c r="A14334" s="1">
        <v>15821.0</v>
      </c>
      <c r="B14334" s="3" t="s">
        <v>40740</v>
      </c>
      <c r="C14334" s="3">
        <v>0.0</v>
      </c>
      <c r="D14334" s="3">
        <v>0.0</v>
      </c>
      <c r="E14334" s="3">
        <v>0.0</v>
      </c>
      <c r="F14334" s="3" t="s">
        <v>40741</v>
      </c>
      <c r="G14334" s="3">
        <v>0.0</v>
      </c>
      <c r="H14334" s="3">
        <v>0.0</v>
      </c>
      <c r="I14334" s="3" t="s">
        <v>13</v>
      </c>
      <c r="J14334" s="3" t="s">
        <v>40742</v>
      </c>
      <c r="K14334" s="3" t="s">
        <v>1345</v>
      </c>
      <c r="L14334" s="3" t="str">
        <f>IFERROR(__xludf.DUMMYFUNCTION("GOOGLETRANSLATE(F14334,""id"",""en"")"),"happy argen won also won gambling but sorry for this team to hold this team mbape argen")</f>
        <v>happy argen won also won gambling but sorry for this team to hold this team mbape argen</v>
      </c>
    </row>
    <row r="14335" ht="15.75" customHeight="1">
      <c r="A14335" s="1">
        <v>15822.0</v>
      </c>
      <c r="B14335" s="3" t="s">
        <v>40743</v>
      </c>
      <c r="C14335" s="3">
        <v>0.0</v>
      </c>
      <c r="D14335" s="3">
        <v>0.0</v>
      </c>
      <c r="E14335" s="3">
        <v>1.0</v>
      </c>
      <c r="F14335" s="3" t="s">
        <v>40744</v>
      </c>
      <c r="G14335" s="3">
        <v>0.0</v>
      </c>
      <c r="H14335" s="3">
        <v>0.0</v>
      </c>
      <c r="I14335" s="3" t="s">
        <v>13</v>
      </c>
      <c r="J14335" s="3" t="s">
        <v>40745</v>
      </c>
      <c r="K14335" s="3" t="s">
        <v>15</v>
      </c>
      <c r="L14335" s="3" t="str">
        <f>IFERROR(__xludf.DUMMYFUNCTION("GOOGLETRANSLATE(F14335,""id"",""en"")"),"Kay Min, because the rgentina won him, right?")</f>
        <v>Kay Min, because the rgentina won him, right?</v>
      </c>
    </row>
    <row r="14336" ht="15.75" customHeight="1">
      <c r="A14336" s="1">
        <v>15823.0</v>
      </c>
      <c r="B14336" s="3" t="s">
        <v>40746</v>
      </c>
      <c r="C14336" s="3">
        <v>0.0</v>
      </c>
      <c r="D14336" s="3">
        <v>0.0</v>
      </c>
      <c r="E14336" s="3">
        <v>0.0</v>
      </c>
      <c r="F14336" s="3" t="s">
        <v>40747</v>
      </c>
      <c r="G14336" s="3">
        <v>0.0</v>
      </c>
      <c r="H14336" s="3">
        <v>0.0</v>
      </c>
      <c r="I14336" s="3" t="s">
        <v>13</v>
      </c>
      <c r="J14336" s="3" t="s">
        <v>40748</v>
      </c>
      <c r="K14336" s="3" t="s">
        <v>644</v>
      </c>
      <c r="L14336" s="3" t="str">
        <f>IFERROR(__xludf.DUMMYFUNCTION("GOOGLETRANSLATE(F14336,""id"",""en"")"),"sip has won argen")</f>
        <v>sip has won argen</v>
      </c>
    </row>
    <row r="14337" ht="15.75" customHeight="1">
      <c r="A14337" s="1">
        <v>15824.0</v>
      </c>
      <c r="B14337" s="3" t="s">
        <v>40749</v>
      </c>
      <c r="C14337" s="3">
        <v>1.0</v>
      </c>
      <c r="D14337" s="3">
        <v>0.0</v>
      </c>
      <c r="E14337" s="3">
        <v>0.0</v>
      </c>
      <c r="F14337" s="3" t="s">
        <v>40750</v>
      </c>
      <c r="G14337" s="3">
        <v>0.0</v>
      </c>
      <c r="H14337" s="3">
        <v>0.0</v>
      </c>
      <c r="I14337" s="3" t="s">
        <v>13</v>
      </c>
      <c r="J14337" s="3" t="s">
        <v>40751</v>
      </c>
      <c r="K14337" s="3" t="s">
        <v>54</v>
      </c>
      <c r="L14337" s="3" t="str">
        <f>IFERROR(__xludf.DUMMYFUNCTION("GOOGLETRANSLATE(F14337,""id"",""en"")"),"amazingly because Agen won")</f>
        <v>amazingly because Agen won</v>
      </c>
    </row>
    <row r="14338" ht="15.75" customHeight="1">
      <c r="A14338" s="1">
        <v>15825.0</v>
      </c>
      <c r="B14338" s="3" t="s">
        <v>40752</v>
      </c>
      <c r="C14338" s="3">
        <v>0.0</v>
      </c>
      <c r="D14338" s="3">
        <v>0.0</v>
      </c>
      <c r="E14338" s="3">
        <v>0.0</v>
      </c>
      <c r="F14338" s="3" t="s">
        <v>40752</v>
      </c>
      <c r="G14338" s="3">
        <v>0.0</v>
      </c>
      <c r="H14338" s="3">
        <v>0.0</v>
      </c>
      <c r="I14338" s="3" t="s">
        <v>13</v>
      </c>
      <c r="J14338" s="3" t="s">
        <v>40753</v>
      </c>
      <c r="K14338" s="3" t="s">
        <v>41</v>
      </c>
      <c r="L14338" s="3" t="str">
        <f>IFERROR(__xludf.DUMMYFUNCTION("GOOGLETRANSLATE(F14338,""id"",""en"")"),"Okeh Met Morning Saia Tdr soundly because AGGAN won WRWRWR")</f>
        <v>Okeh Met Morning Saia Tdr soundly because AGGAN won WRWRWR</v>
      </c>
    </row>
    <row r="14339" ht="15.75" customHeight="1">
      <c r="A14339" s="1">
        <v>15826.0</v>
      </c>
      <c r="B14339" s="3" t="s">
        <v>40754</v>
      </c>
      <c r="C14339" s="3">
        <v>0.0</v>
      </c>
      <c r="D14339" s="3">
        <v>0.0</v>
      </c>
      <c r="E14339" s="3">
        <v>0.0</v>
      </c>
      <c r="F14339" s="3" t="s">
        <v>40755</v>
      </c>
      <c r="G14339" s="3">
        <v>0.0</v>
      </c>
      <c r="H14339" s="3">
        <v>0.0</v>
      </c>
      <c r="I14339" s="3" t="s">
        <v>13</v>
      </c>
      <c r="J14339" s="3" t="s">
        <v>40756</v>
      </c>
      <c r="K14339" s="3" t="s">
        <v>644</v>
      </c>
      <c r="L14339" s="3" t="str">
        <f>IFERROR(__xludf.DUMMYFUNCTION("GOOGLETRANSLATE(F14339,""id"",""en"")"),"You know from the beginning, Agegen will win")</f>
        <v>You know from the beginning, Agegen will win</v>
      </c>
    </row>
    <row r="14340" ht="15.75" customHeight="1">
      <c r="A14340" s="1">
        <v>15827.0</v>
      </c>
      <c r="B14340" s="3" t="s">
        <v>40757</v>
      </c>
      <c r="C14340" s="3">
        <v>0.0</v>
      </c>
      <c r="D14340" s="3">
        <v>0.0</v>
      </c>
      <c r="E14340" s="3">
        <v>0.0</v>
      </c>
      <c r="F14340" s="3" t="s">
        <v>40758</v>
      </c>
      <c r="G14340" s="3">
        <v>0.0</v>
      </c>
      <c r="H14340" s="3">
        <v>0.0</v>
      </c>
      <c r="I14340" s="3" t="s">
        <v>13</v>
      </c>
      <c r="J14340" s="3" t="s">
        <v>40759</v>
      </c>
      <c r="K14340" s="3" t="s">
        <v>2117</v>
      </c>
      <c r="L14340" s="3" t="str">
        <f>IFERROR(__xludf.DUMMYFUNCTION("GOOGLETRANSLATE(F14340,""id"",""en"")"),"wake up Agen win")</f>
        <v>wake up Agen win</v>
      </c>
    </row>
    <row r="14341" ht="15.75" customHeight="1">
      <c r="A14341" s="1">
        <v>15828.0</v>
      </c>
      <c r="B14341" s="3" t="s">
        <v>40760</v>
      </c>
      <c r="C14341" s="3">
        <v>0.0</v>
      </c>
      <c r="D14341" s="3">
        <v>0.0</v>
      </c>
      <c r="E14341" s="3">
        <v>0.0</v>
      </c>
      <c r="F14341" s="3" t="s">
        <v>40761</v>
      </c>
      <c r="G14341" s="3">
        <v>0.0</v>
      </c>
      <c r="H14341" s="3">
        <v>0.0</v>
      </c>
      <c r="I14341" s="3" t="s">
        <v>13</v>
      </c>
      <c r="J14341" s="3" t="s">
        <v>40762</v>
      </c>
      <c r="K14341" s="3" t="s">
        <v>82</v>
      </c>
      <c r="L14341" s="3" t="str">
        <f>IFERROR(__xludf.DUMMYFUNCTION("GOOGLETRANSLATE(F14341,""id"",""en"")"),"Apart from Agegen, there were many surprises, Jugo's surprise")</f>
        <v>Apart from Agegen, there were many surprises, Jugo's surprise</v>
      </c>
    </row>
    <row r="14342" ht="15.75" customHeight="1">
      <c r="A14342" s="1">
        <v>15829.0</v>
      </c>
      <c r="B14342" s="3" t="s">
        <v>40763</v>
      </c>
      <c r="C14342" s="3">
        <v>0.0</v>
      </c>
      <c r="D14342" s="3">
        <v>0.0</v>
      </c>
      <c r="E14342" s="3">
        <v>0.0</v>
      </c>
      <c r="F14342" s="3" t="s">
        <v>40764</v>
      </c>
      <c r="G14342" s="3">
        <v>0.0</v>
      </c>
      <c r="H14342" s="3">
        <v>0.0</v>
      </c>
      <c r="I14342" s="3" t="s">
        <v>13</v>
      </c>
      <c r="J14342" s="3" t="s">
        <v>40765</v>
      </c>
      <c r="K14342" s="3" t="s">
        <v>2117</v>
      </c>
      <c r="L14342" s="3" t="str">
        <f>IFERROR(__xludf.DUMMYFUNCTION("GOOGLETRANSLATE(F14342,""id"",""en"")"),"Argen won njinggggg")</f>
        <v>Argen won njinggggg</v>
      </c>
    </row>
    <row r="14343" ht="15.75" customHeight="1">
      <c r="A14343" s="1">
        <v>15830.0</v>
      </c>
      <c r="B14343" s="3" t="s">
        <v>40766</v>
      </c>
      <c r="C14343" s="3">
        <v>1.0</v>
      </c>
      <c r="D14343" s="3">
        <v>0.0</v>
      </c>
      <c r="E14343" s="3">
        <v>0.0</v>
      </c>
      <c r="F14343" s="3" t="s">
        <v>40767</v>
      </c>
      <c r="G14343" s="3">
        <v>0.0</v>
      </c>
      <c r="H14343" s="3">
        <v>0.0</v>
      </c>
      <c r="I14343" s="3" t="s">
        <v>13</v>
      </c>
      <c r="J14343" s="3" t="s">
        <v>40768</v>
      </c>
      <c r="K14343" s="3" t="s">
        <v>31</v>
      </c>
      <c r="L14343" s="3" t="str">
        <f>IFERROR(__xludf.DUMMYFUNCTION("GOOGLETRANSLATE(F14343,""id"",""en"")"),"ARGEN Wins Promise Hrus Keep")</f>
        <v>ARGEN Wins Promise Hrus Keep</v>
      </c>
    </row>
    <row r="14344" ht="15.75" customHeight="1">
      <c r="A14344" s="1">
        <v>15831.0</v>
      </c>
      <c r="B14344" s="3" t="s">
        <v>40769</v>
      </c>
      <c r="C14344" s="3">
        <v>0.0</v>
      </c>
      <c r="D14344" s="3">
        <v>0.0</v>
      </c>
      <c r="E14344" s="3">
        <v>0.0</v>
      </c>
      <c r="F14344" s="3" t="s">
        <v>40770</v>
      </c>
      <c r="G14344" s="3">
        <v>0.0</v>
      </c>
      <c r="H14344" s="3">
        <v>0.0</v>
      </c>
      <c r="I14344" s="3" t="s">
        <v>13</v>
      </c>
      <c r="J14344" s="3" t="s">
        <v>40771</v>
      </c>
      <c r="K14344" s="3" t="s">
        <v>82</v>
      </c>
      <c r="L14344" s="3" t="str">
        <f>IFERROR(__xludf.DUMMYFUNCTION("GOOGLETRANSLATE(F14344,""id"",""en"")"),"I am really ARGEN won the Planga Plongo")</f>
        <v>I am really ARGEN won the Planga Plongo</v>
      </c>
    </row>
    <row r="14345" ht="15.75" customHeight="1">
      <c r="A14345" s="1">
        <v>15832.0</v>
      </c>
      <c r="B14345" s="3" t="s">
        <v>40772</v>
      </c>
      <c r="C14345" s="3">
        <v>0.0</v>
      </c>
      <c r="D14345" s="3">
        <v>0.0</v>
      </c>
      <c r="E14345" s="3">
        <v>0.0</v>
      </c>
      <c r="F14345" s="3" t="s">
        <v>40773</v>
      </c>
      <c r="G14345" s="3">
        <v>0.0</v>
      </c>
      <c r="H14345" s="3">
        <v>0.0</v>
      </c>
      <c r="I14345" s="3" t="s">
        <v>13</v>
      </c>
      <c r="J14345" s="3" t="s">
        <v>40774</v>
      </c>
      <c r="K14345" s="3" t="s">
        <v>3497</v>
      </c>
      <c r="L14345" s="3" t="str">
        <f>IFERROR(__xludf.DUMMYFUNCTION("GOOGLETRANSLATE(F14345,""id"",""en"")"),"Cieee Hbis won Agee Cieee")</f>
        <v>Cieee Hbis won Agee Cieee</v>
      </c>
    </row>
    <row r="14346" ht="15.75" customHeight="1">
      <c r="A14346" s="1">
        <v>15833.0</v>
      </c>
      <c r="B14346" s="3" t="s">
        <v>40775</v>
      </c>
      <c r="C14346" s="3">
        <v>1.0</v>
      </c>
      <c r="D14346" s="3">
        <v>0.0</v>
      </c>
      <c r="E14346" s="3">
        <v>0.0</v>
      </c>
      <c r="F14346" s="3" t="s">
        <v>40776</v>
      </c>
      <c r="G14346" s="3">
        <v>0.0</v>
      </c>
      <c r="H14346" s="3">
        <v>0.0</v>
      </c>
      <c r="I14346" s="3" t="s">
        <v>13</v>
      </c>
      <c r="J14346" s="3" t="s">
        <v>40777</v>
      </c>
      <c r="K14346" s="3" t="s">
        <v>2117</v>
      </c>
      <c r="L14346" s="3" t="str">
        <f>IFERROR(__xludf.DUMMYFUNCTION("GOOGLETRANSLATE(F14346,""id"",""en"")"),"Argen won bang")</f>
        <v>Argen won bang</v>
      </c>
    </row>
    <row r="14347" ht="15.75" customHeight="1">
      <c r="A14347" s="1">
        <v>15834.0</v>
      </c>
      <c r="B14347" s="3" t="s">
        <v>40778</v>
      </c>
      <c r="C14347" s="3">
        <v>0.0</v>
      </c>
      <c r="D14347" s="3">
        <v>0.0</v>
      </c>
      <c r="E14347" s="3">
        <v>0.0</v>
      </c>
      <c r="F14347" s="3" t="s">
        <v>40778</v>
      </c>
      <c r="G14347" s="3">
        <v>0.0</v>
      </c>
      <c r="H14347" s="3">
        <v>0.0</v>
      </c>
      <c r="I14347" s="3" t="s">
        <v>13</v>
      </c>
      <c r="J14347" s="3" t="s">
        <v>40779</v>
      </c>
      <c r="K14347" s="3" t="s">
        <v>477</v>
      </c>
      <c r="L14347" s="3" t="str">
        <f>IFERROR(__xludf.DUMMYFUNCTION("GOOGLETRANSLATE(F14347,""id"",""en"")"),"wake up there is a notif argen winning so I am happy")</f>
        <v>wake up there is a notif argen winning so I am happy</v>
      </c>
    </row>
    <row r="14348" ht="15.75" customHeight="1">
      <c r="A14348" s="1">
        <v>15835.0</v>
      </c>
      <c r="B14348" s="3" t="s">
        <v>40780</v>
      </c>
      <c r="C14348" s="3">
        <v>0.0</v>
      </c>
      <c r="D14348" s="3">
        <v>0.0</v>
      </c>
      <c r="E14348" s="3">
        <v>6.0</v>
      </c>
      <c r="F14348" s="3" t="s">
        <v>40781</v>
      </c>
      <c r="G14348" s="3">
        <v>0.0</v>
      </c>
      <c r="H14348" s="3">
        <v>0.0</v>
      </c>
      <c r="I14348" s="3" t="s">
        <v>13</v>
      </c>
      <c r="J14348" s="3" t="s">
        <v>40782</v>
      </c>
      <c r="K14348" s="3" t="s">
        <v>82</v>
      </c>
      <c r="L14348" s="3" t="str">
        <f>IFERROR(__xludf.DUMMYFUNCTION("GOOGLETRANSLATE(F14348,""id"",""en"")"),"The handsome is very happy Zoy Argen won Zeejkt")</f>
        <v>The handsome is very happy Zoy Argen won Zeejkt</v>
      </c>
    </row>
    <row r="14349" ht="15.75" customHeight="1">
      <c r="A14349" s="1">
        <v>15836.0</v>
      </c>
      <c r="B14349" s="3" t="s">
        <v>40783</v>
      </c>
      <c r="C14349" s="3">
        <v>0.0</v>
      </c>
      <c r="D14349" s="3">
        <v>0.0</v>
      </c>
      <c r="E14349" s="3">
        <v>0.0</v>
      </c>
      <c r="F14349" s="3" t="s">
        <v>40784</v>
      </c>
      <c r="G14349" s="3">
        <v>0.0</v>
      </c>
      <c r="H14349" s="3">
        <v>0.0</v>
      </c>
      <c r="I14349" s="3" t="s">
        <v>13</v>
      </c>
      <c r="J14349" s="3" t="s">
        <v>40785</v>
      </c>
      <c r="K14349" s="3" t="s">
        <v>82</v>
      </c>
      <c r="L14349" s="3" t="str">
        <f>IFERROR(__xludf.DUMMYFUNCTION("GOOGLETRANSLATE(F14349,""id"",""en"")"),"hahahahha, right?")</f>
        <v>hahahahha, right?</v>
      </c>
    </row>
    <row r="14350" ht="15.75" customHeight="1">
      <c r="A14350" s="1">
        <v>15837.0</v>
      </c>
      <c r="B14350" s="3" t="s">
        <v>40786</v>
      </c>
      <c r="C14350" s="3">
        <v>0.0</v>
      </c>
      <c r="D14350" s="3">
        <v>0.0</v>
      </c>
      <c r="E14350" s="3">
        <v>0.0</v>
      </c>
      <c r="F14350" s="3" t="s">
        <v>40787</v>
      </c>
      <c r="G14350" s="3">
        <v>0.0</v>
      </c>
      <c r="H14350" s="3">
        <v>0.0</v>
      </c>
      <c r="I14350" s="3" t="s">
        <v>13</v>
      </c>
      <c r="J14350" s="3" t="s">
        <v>40788</v>
      </c>
      <c r="K14350" s="3" t="s">
        <v>82</v>
      </c>
      <c r="L14350" s="3" t="str">
        <f>IFERROR(__xludf.DUMMYFUNCTION("GOOGLETRANSLATE(F14350,""id"",""en"")"),"Fortunately, supporting France Sirr so the one won ARGEN")</f>
        <v>Fortunately, supporting France Sirr so the one won ARGEN</v>
      </c>
    </row>
    <row r="14351" ht="15.75" customHeight="1">
      <c r="A14351" s="1">
        <v>15838.0</v>
      </c>
      <c r="B14351" s="3" t="s">
        <v>40789</v>
      </c>
      <c r="C14351" s="3">
        <v>0.0</v>
      </c>
      <c r="D14351" s="3">
        <v>0.0</v>
      </c>
      <c r="E14351" s="3">
        <v>0.0</v>
      </c>
      <c r="F14351" s="3" t="s">
        <v>40789</v>
      </c>
      <c r="G14351" s="3">
        <v>0.0</v>
      </c>
      <c r="H14351" s="3">
        <v>0.0</v>
      </c>
      <c r="I14351" s="3" t="s">
        <v>13</v>
      </c>
      <c r="J14351" s="3" t="s">
        <v>40724</v>
      </c>
      <c r="K14351" s="3" t="s">
        <v>644</v>
      </c>
      <c r="L14351" s="3" t="str">
        <f>IFERROR(__xludf.DUMMYFUNCTION("GOOGLETRANSLATE(F14351,""id"",""en"")"),"Agegen who wins Ronaldo who is trending")</f>
        <v>Agegen who wins Ronaldo who is trending</v>
      </c>
    </row>
    <row r="14352" ht="15.75" customHeight="1">
      <c r="A14352" s="1">
        <v>15839.0</v>
      </c>
      <c r="B14352" s="3" t="s">
        <v>40790</v>
      </c>
      <c r="C14352" s="3">
        <v>1.0</v>
      </c>
      <c r="D14352" s="3">
        <v>0.0</v>
      </c>
      <c r="E14352" s="3">
        <v>0.0</v>
      </c>
      <c r="F14352" s="3" t="s">
        <v>40791</v>
      </c>
      <c r="G14352" s="3">
        <v>0.0</v>
      </c>
      <c r="H14352" s="3">
        <v>0.0</v>
      </c>
      <c r="I14352" s="3" t="s">
        <v>13</v>
      </c>
      <c r="J14352" s="3" t="s">
        <v>40792</v>
      </c>
      <c r="K14352" s="3" t="s">
        <v>2117</v>
      </c>
      <c r="L14352" s="3" t="str">
        <f>IFERROR(__xludf.DUMMYFUNCTION("GOOGLETRANSLATE(F14352,""id"",""en"")"),"Kaaa Agen won")</f>
        <v>Kaaa Agen won</v>
      </c>
    </row>
    <row r="14353" ht="15.75" customHeight="1">
      <c r="A14353" s="1">
        <v>15840.0</v>
      </c>
      <c r="B14353" s="3" t="s">
        <v>40793</v>
      </c>
      <c r="C14353" s="3">
        <v>0.0</v>
      </c>
      <c r="D14353" s="3">
        <v>0.0</v>
      </c>
      <c r="E14353" s="3">
        <v>0.0</v>
      </c>
      <c r="F14353" s="3" t="s">
        <v>40794</v>
      </c>
      <c r="G14353" s="3">
        <v>0.0</v>
      </c>
      <c r="H14353" s="3">
        <v>0.0</v>
      </c>
      <c r="I14353" s="3" t="s">
        <v>13</v>
      </c>
      <c r="J14353" s="3" t="s">
        <v>40795</v>
      </c>
      <c r="K14353" s="3" t="s">
        <v>31</v>
      </c>
      <c r="L14353" s="3" t="str">
        <f>IFERROR(__xludf.DUMMYFUNCTION("GOOGLETRANSLATE(F14353,""id"",""en"")"),"Shaka's opinion if you receive AGGA win")</f>
        <v>Shaka's opinion if you receive AGGA win</v>
      </c>
    </row>
    <row r="14354" ht="15.75" customHeight="1">
      <c r="A14354" s="1">
        <v>15841.0</v>
      </c>
      <c r="B14354" s="3" t="s">
        <v>39559</v>
      </c>
      <c r="C14354" s="3">
        <v>0.0</v>
      </c>
      <c r="D14354" s="3">
        <v>0.0</v>
      </c>
      <c r="E14354" s="3">
        <v>0.0</v>
      </c>
      <c r="F14354" s="3" t="s">
        <v>39559</v>
      </c>
      <c r="G14354" s="3">
        <v>0.0</v>
      </c>
      <c r="H14354" s="3">
        <v>0.0</v>
      </c>
      <c r="I14354" s="3" t="s">
        <v>13</v>
      </c>
      <c r="J14354" s="3" t="s">
        <v>39560</v>
      </c>
      <c r="K14354" s="3" t="s">
        <v>14571</v>
      </c>
      <c r="L14354" s="3" t="str">
        <f>IFERROR(__xludf.DUMMYFUNCTION("GOOGLETRANSLATE(F14354,""id"",""en"")"),"Argen won")</f>
        <v>Argen won</v>
      </c>
    </row>
    <row r="14355" ht="15.75" customHeight="1">
      <c r="A14355" s="1">
        <v>15842.0</v>
      </c>
      <c r="B14355" s="3" t="s">
        <v>40796</v>
      </c>
      <c r="C14355" s="3">
        <v>0.0</v>
      </c>
      <c r="D14355" s="3">
        <v>0.0</v>
      </c>
      <c r="E14355" s="3">
        <v>0.0</v>
      </c>
      <c r="F14355" s="3" t="s">
        <v>40796</v>
      </c>
      <c r="G14355" s="3">
        <v>0.0</v>
      </c>
      <c r="H14355" s="3">
        <v>0.0</v>
      </c>
      <c r="I14355" s="3" t="s">
        <v>13</v>
      </c>
      <c r="J14355" s="3" t="s">
        <v>40797</v>
      </c>
      <c r="K14355" s="3" t="s">
        <v>15</v>
      </c>
      <c r="L14355" s="3" t="str">
        <f>IFERROR(__xludf.DUMMYFUNCTION("GOOGLETRANSLATE(F14355,""id"",""en"")"),"My rules are just betting with ARGEN, winning")</f>
        <v>My rules are just betting with ARGEN, winning</v>
      </c>
    </row>
    <row r="14356" ht="15.75" customHeight="1">
      <c r="A14356" s="1">
        <v>15843.0</v>
      </c>
      <c r="B14356" s="3" t="s">
        <v>40798</v>
      </c>
      <c r="C14356" s="3">
        <v>1.0</v>
      </c>
      <c r="D14356" s="3">
        <v>0.0</v>
      </c>
      <c r="E14356" s="3">
        <v>0.0</v>
      </c>
      <c r="F14356" s="3" t="s">
        <v>40799</v>
      </c>
      <c r="G14356" s="3">
        <v>0.0</v>
      </c>
      <c r="H14356" s="3">
        <v>0.0</v>
      </c>
      <c r="I14356" s="3" t="s">
        <v>13</v>
      </c>
      <c r="J14356" s="3" t="s">
        <v>40800</v>
      </c>
      <c r="K14356" s="3" t="s">
        <v>2117</v>
      </c>
      <c r="L14356" s="3" t="str">
        <f>IFERROR(__xludf.DUMMYFUNCTION("GOOGLETRANSLATE(F14356,""id"",""en"")"),"Argen won Pep")</f>
        <v>Argen won Pep</v>
      </c>
    </row>
    <row r="14357" ht="15.75" customHeight="1">
      <c r="A14357" s="1">
        <v>15844.0</v>
      </c>
      <c r="B14357" s="3" t="s">
        <v>40801</v>
      </c>
      <c r="C14357" s="3">
        <v>1.0</v>
      </c>
      <c r="D14357" s="3">
        <v>0.0</v>
      </c>
      <c r="E14357" s="3">
        <v>0.0</v>
      </c>
      <c r="F14357" s="3" t="s">
        <v>39559</v>
      </c>
      <c r="G14357" s="3">
        <v>0.0</v>
      </c>
      <c r="H14357" s="3">
        <v>0.0</v>
      </c>
      <c r="I14357" s="3" t="s">
        <v>13</v>
      </c>
      <c r="J14357" s="3" t="s">
        <v>39560</v>
      </c>
      <c r="K14357" s="3" t="s">
        <v>14571</v>
      </c>
      <c r="L14357" s="3" t="str">
        <f>IFERROR(__xludf.DUMMYFUNCTION("GOOGLETRANSLATE(F14357,""id"",""en"")"),"Argen won")</f>
        <v>Argen won</v>
      </c>
    </row>
    <row r="14358" ht="15.75" customHeight="1">
      <c r="A14358" s="1">
        <v>15845.0</v>
      </c>
      <c r="B14358" s="3" t="s">
        <v>40802</v>
      </c>
      <c r="C14358" s="3">
        <v>0.0</v>
      </c>
      <c r="D14358" s="3">
        <v>0.0</v>
      </c>
      <c r="E14358" s="3">
        <v>0.0</v>
      </c>
      <c r="F14358" s="3" t="s">
        <v>40803</v>
      </c>
      <c r="G14358" s="3">
        <v>0.0</v>
      </c>
      <c r="H14358" s="3">
        <v>0.0</v>
      </c>
      <c r="I14358" s="3" t="s">
        <v>13</v>
      </c>
      <c r="J14358" s="3" t="s">
        <v>40804</v>
      </c>
      <c r="K14358" s="3" t="s">
        <v>54</v>
      </c>
      <c r="L14358" s="3" t="str">
        <f>IFERROR(__xludf.DUMMYFUNCTION("GOOGLETRANSLATE(F14358,""id"",""en"")"),"Yedam Agen won not wanting to show off")</f>
        <v>Yedam Agen won not wanting to show off</v>
      </c>
    </row>
    <row r="14359" ht="15.75" customHeight="1">
      <c r="A14359" s="1">
        <v>15846.0</v>
      </c>
      <c r="B14359" s="3" t="s">
        <v>40805</v>
      </c>
      <c r="C14359" s="3">
        <v>0.0</v>
      </c>
      <c r="D14359" s="3">
        <v>0.0</v>
      </c>
      <c r="E14359" s="3">
        <v>0.0</v>
      </c>
      <c r="F14359" s="3" t="s">
        <v>40806</v>
      </c>
      <c r="G14359" s="3">
        <v>0.0</v>
      </c>
      <c r="H14359" s="3">
        <v>0.0</v>
      </c>
      <c r="I14359" s="3" t="s">
        <v>13</v>
      </c>
      <c r="J14359" s="3" t="s">
        <v>40807</v>
      </c>
      <c r="K14359" s="3" t="s">
        <v>35</v>
      </c>
      <c r="L14359" s="3" t="str">
        <f>IFERROR(__xludf.DUMMYFUNCTION("GOOGLETRANSLATE(F14359,""id"",""en"")"),"Last night after Argen won, I immediately bobed Congrats AGGE now again Muskab Dik")</f>
        <v>Last night after Argen won, I immediately bobed Congrats AGGE now again Muskab Dik</v>
      </c>
    </row>
    <row r="14360" ht="15.75" customHeight="1">
      <c r="A14360" s="1">
        <v>15847.0</v>
      </c>
      <c r="B14360" s="3" t="s">
        <v>40808</v>
      </c>
      <c r="C14360" s="3">
        <v>1.0</v>
      </c>
      <c r="D14360" s="3">
        <v>0.0</v>
      </c>
      <c r="E14360" s="3">
        <v>0.0</v>
      </c>
      <c r="F14360" s="3" t="s">
        <v>40809</v>
      </c>
      <c r="G14360" s="3">
        <v>0.0</v>
      </c>
      <c r="H14360" s="3">
        <v>0.0</v>
      </c>
      <c r="I14360" s="3" t="s">
        <v>13</v>
      </c>
      <c r="J14360" s="3" t="s">
        <v>40810</v>
      </c>
      <c r="K14360" s="3" t="s">
        <v>2117</v>
      </c>
      <c r="L14360" s="3" t="str">
        <f>IFERROR(__xludf.DUMMYFUNCTION("GOOGLETRANSLATE(F14360,""id"",""en"")"),"Sihiyy Agen won")</f>
        <v>Sihiyy Agen won</v>
      </c>
    </row>
    <row r="14361" ht="15.75" customHeight="1">
      <c r="A14361" s="1">
        <v>15848.0</v>
      </c>
      <c r="B14361" s="3" t="s">
        <v>40811</v>
      </c>
      <c r="C14361" s="3">
        <v>0.0</v>
      </c>
      <c r="D14361" s="3">
        <v>0.0</v>
      </c>
      <c r="E14361" s="3">
        <v>0.0</v>
      </c>
      <c r="F14361" s="3" t="s">
        <v>40812</v>
      </c>
      <c r="G14361" s="3">
        <v>0.0</v>
      </c>
      <c r="H14361" s="3">
        <v>0.0</v>
      </c>
      <c r="I14361" s="3" t="s">
        <v>13</v>
      </c>
      <c r="J14361" s="3" t="s">
        <v>40813</v>
      </c>
      <c r="K14361" s="3" t="s">
        <v>82</v>
      </c>
      <c r="L14361" s="3" t="str">
        <f>IFERROR(__xludf.DUMMYFUNCTION("GOOGLETRANSLATE(F14361,""id"",""en"")"),"Murce Polll especially ARGEN WATUE BIOOOO ORDER")</f>
        <v>Murce Polll especially ARGEN WATUE BIOOOO ORDER</v>
      </c>
    </row>
    <row r="14362" ht="15.75" customHeight="1">
      <c r="A14362" s="1">
        <v>15849.0</v>
      </c>
      <c r="B14362" s="3" t="s">
        <v>40814</v>
      </c>
      <c r="C14362" s="3">
        <v>0.0</v>
      </c>
      <c r="D14362" s="3">
        <v>0.0</v>
      </c>
      <c r="E14362" s="3">
        <v>0.0</v>
      </c>
      <c r="F14362" s="3" t="s">
        <v>40815</v>
      </c>
      <c r="G14362" s="3">
        <v>0.0</v>
      </c>
      <c r="H14362" s="3">
        <v>0.0</v>
      </c>
      <c r="I14362" s="3" t="s">
        <v>13</v>
      </c>
      <c r="J14362" s="3" t="s">
        <v>40816</v>
      </c>
      <c r="K14362" s="3" t="s">
        <v>433</v>
      </c>
      <c r="L14362" s="3" t="str">
        <f>IFERROR(__xludf.DUMMYFUNCTION("GOOGLETRANSLATE(F14362,""id"",""en"")"),"Grgr Agen won not picket kitchen a week again org smlm ARGEN the opponent SSB Ciputat")</f>
        <v>Grgr Agen won not picket kitchen a week again org smlm ARGEN the opponent SSB Ciputat</v>
      </c>
    </row>
    <row r="14363" ht="15.75" customHeight="1">
      <c r="A14363" s="1">
        <v>15850.0</v>
      </c>
      <c r="B14363" s="3" t="s">
        <v>40817</v>
      </c>
      <c r="C14363" s="3">
        <v>0.0</v>
      </c>
      <c r="D14363" s="3">
        <v>0.0</v>
      </c>
      <c r="E14363" s="3">
        <v>0.0</v>
      </c>
      <c r="F14363" s="3" t="s">
        <v>40818</v>
      </c>
      <c r="G14363" s="3">
        <v>0.0</v>
      </c>
      <c r="H14363" s="3">
        <v>0.0</v>
      </c>
      <c r="I14363" s="3" t="s">
        <v>13</v>
      </c>
      <c r="J14363" s="3" t="s">
        <v>40819</v>
      </c>
      <c r="K14363" s="3" t="s">
        <v>82</v>
      </c>
      <c r="L14363" s="3" t="str">
        <f>IFERROR(__xludf.DUMMYFUNCTION("GOOGLETRANSLATE(F14363,""id"",""en"")"),"my sleep is really good because argen wins")</f>
        <v>my sleep is really good because argen wins</v>
      </c>
    </row>
    <row r="14364" ht="15.75" customHeight="1">
      <c r="A14364" s="1">
        <v>15851.0</v>
      </c>
      <c r="B14364" s="3" t="s">
        <v>40820</v>
      </c>
      <c r="C14364" s="3">
        <v>0.0</v>
      </c>
      <c r="D14364" s="3">
        <v>0.0</v>
      </c>
      <c r="E14364" s="3">
        <v>0.0</v>
      </c>
      <c r="F14364" s="3" t="s">
        <v>40821</v>
      </c>
      <c r="G14364" s="3">
        <v>0.0</v>
      </c>
      <c r="H14364" s="3">
        <v>0.0</v>
      </c>
      <c r="I14364" s="3" t="s">
        <v>13</v>
      </c>
      <c r="J14364" s="3" t="s">
        <v>39560</v>
      </c>
      <c r="K14364" s="3" t="s">
        <v>14571</v>
      </c>
      <c r="L14364" s="3" t="str">
        <f>IFERROR(__xludf.DUMMYFUNCTION("GOOGLETRANSLATE(F14364,""id"",""en"")"),"Woi Woi Woi Agen Wins")</f>
        <v>Woi Woi Woi Agen Wins</v>
      </c>
    </row>
    <row r="14365" ht="15.75" customHeight="1">
      <c r="A14365" s="1">
        <v>15852.0</v>
      </c>
      <c r="B14365" s="3" t="s">
        <v>40822</v>
      </c>
      <c r="C14365" s="3">
        <v>0.0</v>
      </c>
      <c r="D14365" s="3">
        <v>0.0</v>
      </c>
      <c r="E14365" s="3">
        <v>0.0</v>
      </c>
      <c r="F14365" s="3" t="s">
        <v>40823</v>
      </c>
      <c r="G14365" s="3">
        <v>0.0</v>
      </c>
      <c r="H14365" s="3">
        <v>0.0</v>
      </c>
      <c r="I14365" s="3" t="s">
        <v>13</v>
      </c>
      <c r="J14365" s="3" t="s">
        <v>40824</v>
      </c>
      <c r="K14365" s="3" t="s">
        <v>31</v>
      </c>
      <c r="L14365" s="3" t="str">
        <f>IFERROR(__xludf.DUMMYFUNCTION("GOOGLETRANSLATE(F14365,""id"",""en"")"),"wkwkwk is really Kannn Agen won")</f>
        <v>wkwkwk is really Kannn Agen won</v>
      </c>
    </row>
    <row r="14366" ht="15.75" customHeight="1">
      <c r="A14366" s="1">
        <v>15853.0</v>
      </c>
      <c r="B14366" s="3" t="s">
        <v>40825</v>
      </c>
      <c r="C14366" s="3">
        <v>0.0</v>
      </c>
      <c r="D14366" s="3">
        <v>0.0</v>
      </c>
      <c r="E14366" s="3">
        <v>0.0</v>
      </c>
      <c r="F14366" s="3" t="s">
        <v>40826</v>
      </c>
      <c r="G14366" s="3">
        <v>0.0</v>
      </c>
      <c r="H14366" s="3">
        <v>0.0</v>
      </c>
      <c r="I14366" s="3" t="s">
        <v>13</v>
      </c>
      <c r="J14366" s="3" t="s">
        <v>40827</v>
      </c>
      <c r="K14366" s="3" t="s">
        <v>2117</v>
      </c>
      <c r="L14366" s="3" t="str">
        <f>IFERROR(__xludf.DUMMYFUNCTION("GOOGLETRANSLATE(F14366,""id"",""en"")"),"Argen won Kaaa")</f>
        <v>Argen won Kaaa</v>
      </c>
    </row>
    <row r="14367" ht="15.75" customHeight="1">
      <c r="A14367" s="1">
        <v>15854.0</v>
      </c>
      <c r="B14367" s="3" t="s">
        <v>40828</v>
      </c>
      <c r="C14367" s="3">
        <v>0.0</v>
      </c>
      <c r="D14367" s="3">
        <v>0.0</v>
      </c>
      <c r="E14367" s="3">
        <v>0.0</v>
      </c>
      <c r="F14367" s="3" t="s">
        <v>40829</v>
      </c>
      <c r="G14367" s="3">
        <v>0.0</v>
      </c>
      <c r="H14367" s="3">
        <v>0.0</v>
      </c>
      <c r="I14367" s="3" t="s">
        <v>13</v>
      </c>
      <c r="J14367" s="3" t="s">
        <v>40830</v>
      </c>
      <c r="K14367" s="3" t="s">
        <v>82</v>
      </c>
      <c r="L14367" s="3" t="str">
        <f>IFERROR(__xludf.DUMMYFUNCTION("GOOGLETRANSLATE(F14367,""id"",""en"")"),"want an ugly rate because Agen wins")</f>
        <v>want an ugly rate because Agen wins</v>
      </c>
    </row>
    <row r="14368" ht="15.75" customHeight="1">
      <c r="A14368" s="1">
        <v>15855.0</v>
      </c>
      <c r="B14368" s="3" t="s">
        <v>40831</v>
      </c>
      <c r="C14368" s="3">
        <v>0.0</v>
      </c>
      <c r="D14368" s="3">
        <v>0.0</v>
      </c>
      <c r="E14368" s="3">
        <v>0.0</v>
      </c>
      <c r="F14368" s="3" t="s">
        <v>40832</v>
      </c>
      <c r="G14368" s="3">
        <v>0.0</v>
      </c>
      <c r="H14368" s="3">
        <v>0.0</v>
      </c>
      <c r="I14368" s="3" t="s">
        <v>13</v>
      </c>
      <c r="J14368" s="3" t="s">
        <v>40833</v>
      </c>
      <c r="K14368" s="3" t="s">
        <v>644</v>
      </c>
      <c r="L14368" s="3" t="str">
        <f>IFERROR(__xludf.DUMMYFUNCTION("GOOGLETRANSLATE(F14368,""id"",""en"")"),"asikk nehh argen won")</f>
        <v>asikk nehh argen won</v>
      </c>
    </row>
    <row r="14369" ht="15.75" customHeight="1">
      <c r="A14369" s="1">
        <v>15856.0</v>
      </c>
      <c r="B14369" s="3" t="s">
        <v>40834</v>
      </c>
      <c r="C14369" s="3">
        <v>1.0</v>
      </c>
      <c r="D14369" s="3">
        <v>0.0</v>
      </c>
      <c r="E14369" s="3">
        <v>0.0</v>
      </c>
      <c r="F14369" s="3" t="s">
        <v>40835</v>
      </c>
      <c r="G14369" s="3">
        <v>0.0</v>
      </c>
      <c r="H14369" s="3">
        <v>0.0</v>
      </c>
      <c r="I14369" s="3" t="s">
        <v>13</v>
      </c>
      <c r="J14369" s="3" t="s">
        <v>40836</v>
      </c>
      <c r="K14369" s="3" t="s">
        <v>82</v>
      </c>
      <c r="L14369" s="3" t="str">
        <f>IFERROR(__xludf.DUMMYFUNCTION("GOOGLETRANSLATE(F14369,""id"",""en"")"),"Nepi Prayer I Created ARGEN WINed NEP")</f>
        <v>Nepi Prayer I Created ARGEN WINed NEP</v>
      </c>
    </row>
    <row r="14370" ht="15.75" customHeight="1">
      <c r="A14370" s="1">
        <v>15857.0</v>
      </c>
      <c r="B14370" s="3" t="s">
        <v>40837</v>
      </c>
      <c r="C14370" s="3">
        <v>1.0</v>
      </c>
      <c r="D14370" s="3">
        <v>0.0</v>
      </c>
      <c r="E14370" s="3">
        <v>0.0</v>
      </c>
      <c r="F14370" s="3" t="s">
        <v>40838</v>
      </c>
      <c r="G14370" s="3">
        <v>0.0</v>
      </c>
      <c r="H14370" s="3">
        <v>0.0</v>
      </c>
      <c r="I14370" s="3" t="s">
        <v>13</v>
      </c>
      <c r="J14370" s="3" t="s">
        <v>40839</v>
      </c>
      <c r="K14370" s="3" t="s">
        <v>1293</v>
      </c>
      <c r="L14370" s="3" t="str">
        <f>IFERROR(__xludf.DUMMYFUNCTION("GOOGLETRANSLATE(F14370,""id"",""en"")"),"Argentina won the penalty only mat hockey just saw the play they were in shamble")</f>
        <v>Argentina won the penalty only mat hockey just saw the play they were in shamble</v>
      </c>
    </row>
    <row r="14371" ht="15.75" customHeight="1">
      <c r="A14371" s="1">
        <v>15858.0</v>
      </c>
      <c r="B14371" s="3" t="s">
        <v>40840</v>
      </c>
      <c r="C14371" s="3">
        <v>0.0</v>
      </c>
      <c r="D14371" s="3">
        <v>0.0</v>
      </c>
      <c r="E14371" s="3">
        <v>0.0</v>
      </c>
      <c r="F14371" s="3" t="s">
        <v>40841</v>
      </c>
      <c r="G14371" s="3">
        <v>0.0</v>
      </c>
      <c r="H14371" s="3">
        <v>0.0</v>
      </c>
      <c r="I14371" s="3" t="s">
        <v>13</v>
      </c>
      <c r="J14371" s="3" t="s">
        <v>40842</v>
      </c>
      <c r="K14371" s="3" t="s">
        <v>50</v>
      </c>
      <c r="L14371" s="3" t="str">
        <f>IFERROR(__xludf.DUMMYFUNCTION("GOOGLETRANSLATE(F14371,""id"",""en"")"),"This is funny, this BGT Dino is cool, Zoy Agen wins Zeejkt")</f>
        <v>This is funny, this BGT Dino is cool, Zoy Agen wins Zeejkt</v>
      </c>
    </row>
    <row r="14372" ht="15.75" customHeight="1">
      <c r="A14372" s="1">
        <v>15859.0</v>
      </c>
      <c r="B14372" s="3" t="s">
        <v>40843</v>
      </c>
      <c r="C14372" s="3">
        <v>1.0</v>
      </c>
      <c r="D14372" s="3">
        <v>0.0</v>
      </c>
      <c r="E14372" s="3">
        <v>2.0</v>
      </c>
      <c r="F14372" s="3" t="s">
        <v>40844</v>
      </c>
      <c r="G14372" s="3">
        <v>0.0</v>
      </c>
      <c r="H14372" s="3">
        <v>0.0</v>
      </c>
      <c r="I14372" s="3" t="s">
        <v>13</v>
      </c>
      <c r="J14372" s="3" t="s">
        <v>40845</v>
      </c>
      <c r="K14372" s="3" t="s">
        <v>71</v>
      </c>
      <c r="L14372" s="3" t="str">
        <f>IFERROR(__xludf.DUMMYFUNCTION("GOOGLETRANSLATE(F14372,""id"",""en"")"),"good morning for the fighter cuan today smile what is sad btw btw winning argen yak")</f>
        <v>good morning for the fighter cuan today smile what is sad btw btw winning argen yak</v>
      </c>
    </row>
    <row r="14373" ht="15.75" customHeight="1">
      <c r="A14373" s="1">
        <v>15860.0</v>
      </c>
      <c r="B14373" s="3" t="s">
        <v>40846</v>
      </c>
      <c r="C14373" s="3">
        <v>0.0</v>
      </c>
      <c r="D14373" s="3">
        <v>0.0</v>
      </c>
      <c r="E14373" s="3">
        <v>0.0</v>
      </c>
      <c r="F14373" s="3" t="s">
        <v>40847</v>
      </c>
      <c r="G14373" s="3">
        <v>0.2</v>
      </c>
      <c r="H14373" s="3">
        <v>-0.1</v>
      </c>
      <c r="I14373" s="3" t="s">
        <v>179</v>
      </c>
      <c r="J14373" s="3" t="s">
        <v>40848</v>
      </c>
      <c r="K14373" s="3" t="s">
        <v>1349</v>
      </c>
      <c r="L14373" s="3" t="str">
        <f>IFERROR(__xludf.DUMMYFUNCTION("GOOGLETRANSLATE(F14373,""id"",""en"")"),"well this is if it's already a penalty that has been guessed who won mental fighting really because the problem is that it is really hati")</f>
        <v>well this is if it's already a penalty that has been guessed who won mental fighting really because the problem is that it is really hati</v>
      </c>
    </row>
    <row r="14374" ht="15.75" customHeight="1">
      <c r="A14374" s="1">
        <v>15861.0</v>
      </c>
      <c r="B14374" s="3" t="s">
        <v>40849</v>
      </c>
      <c r="C14374" s="3">
        <v>0.0</v>
      </c>
      <c r="D14374" s="3">
        <v>0.0</v>
      </c>
      <c r="E14374" s="3">
        <v>0.0</v>
      </c>
      <c r="F14374" s="3" t="s">
        <v>40850</v>
      </c>
      <c r="G14374" s="3">
        <v>0.0</v>
      </c>
      <c r="H14374" s="3">
        <v>0.0</v>
      </c>
      <c r="I14374" s="3" t="s">
        <v>13</v>
      </c>
      <c r="J14374" s="3" t="s">
        <v>40851</v>
      </c>
      <c r="K14374" s="3" t="s">
        <v>41</v>
      </c>
      <c r="L14374" s="3" t="str">
        <f>IFERROR(__xludf.DUMMYFUNCTION("GOOGLETRANSLATE(F14374,""id"",""en"")"),"my dear huhuhuhu argen won the favorite nieee Muuu Messieee Yedam")</f>
        <v>my dear huhuhuhu argen won the favorite nieee Muuu Messieee Yedam</v>
      </c>
    </row>
    <row r="14375" ht="15.75" customHeight="1">
      <c r="A14375" s="1">
        <v>15862.0</v>
      </c>
      <c r="B14375" s="3" t="s">
        <v>40852</v>
      </c>
      <c r="C14375" s="3">
        <v>0.0</v>
      </c>
      <c r="D14375" s="3">
        <v>0.0</v>
      </c>
      <c r="E14375" s="3">
        <v>0.0</v>
      </c>
      <c r="F14375" s="3" t="s">
        <v>40853</v>
      </c>
      <c r="G14375" s="3">
        <v>0.0</v>
      </c>
      <c r="H14375" s="3">
        <v>0.0</v>
      </c>
      <c r="I14375" s="3" t="s">
        <v>13</v>
      </c>
      <c r="J14375" s="3" t="s">
        <v>40854</v>
      </c>
      <c r="K14375" s="3" t="s">
        <v>2117</v>
      </c>
      <c r="L14375" s="3" t="str">
        <f>IFERROR(__xludf.DUMMYFUNCTION("GOOGLETRANSLATE(F14375,""id"",""en"")"),"Ohh Agegen won")</f>
        <v>Ohh Agegen won</v>
      </c>
    </row>
    <row r="14376" ht="15.75" customHeight="1">
      <c r="A14376" s="1">
        <v>15863.0</v>
      </c>
      <c r="B14376" s="3" t="s">
        <v>40855</v>
      </c>
      <c r="C14376" s="3">
        <v>1.0</v>
      </c>
      <c r="D14376" s="3">
        <v>0.0</v>
      </c>
      <c r="E14376" s="3">
        <v>0.0</v>
      </c>
      <c r="F14376" s="3" t="s">
        <v>40856</v>
      </c>
      <c r="G14376" s="3">
        <v>0.0</v>
      </c>
      <c r="H14376" s="3">
        <v>0.0</v>
      </c>
      <c r="I14376" s="3" t="s">
        <v>13</v>
      </c>
      <c r="J14376" s="3" t="s">
        <v>40857</v>
      </c>
      <c r="K14376" s="3" t="s">
        <v>31</v>
      </c>
      <c r="L14376" s="3" t="str">
        <f>IFERROR(__xludf.DUMMYFUNCTION("GOOGLETRANSLATE(F14376,""id"",""en"")"),"happy argen won but also resolved")</f>
        <v>happy argen won but also resolved</v>
      </c>
    </row>
    <row r="14377" ht="15.75" customHeight="1">
      <c r="A14377" s="1">
        <v>15864.0</v>
      </c>
      <c r="B14377" s="3" t="s">
        <v>40858</v>
      </c>
      <c r="C14377" s="3">
        <v>0.0</v>
      </c>
      <c r="D14377" s="3">
        <v>0.0</v>
      </c>
      <c r="E14377" s="3">
        <v>0.0</v>
      </c>
      <c r="F14377" s="3" t="s">
        <v>40859</v>
      </c>
      <c r="G14377" s="3">
        <v>0.6666666666666666</v>
      </c>
      <c r="H14377" s="3">
        <v>-0.275</v>
      </c>
      <c r="I14377" s="3" t="s">
        <v>179</v>
      </c>
      <c r="J14377" s="3" t="s">
        <v>40860</v>
      </c>
      <c r="K14377" s="3" t="s">
        <v>240</v>
      </c>
      <c r="L14377" s="3" t="str">
        <f>IFERROR(__xludf.DUMMYFUNCTION("GOOGLETRANSLATE(F14377,""id"",""en"")"),"first off all just bgun chatting my affair then then ngeepoin base turns out that argen won anjayyyyy")</f>
        <v>first off all just bgun chatting my affair then then ngeepoin base turns out that argen won anjayyyyy</v>
      </c>
    </row>
    <row r="14378" ht="15.75" customHeight="1">
      <c r="A14378" s="1">
        <v>15865.0</v>
      </c>
      <c r="B14378" s="3" t="s">
        <v>40861</v>
      </c>
      <c r="C14378" s="3">
        <v>0.0</v>
      </c>
      <c r="D14378" s="3">
        <v>0.0</v>
      </c>
      <c r="E14378" s="3">
        <v>0.0</v>
      </c>
      <c r="F14378" s="3" t="s">
        <v>40862</v>
      </c>
      <c r="G14378" s="3">
        <v>0.0</v>
      </c>
      <c r="H14378" s="3">
        <v>0.0</v>
      </c>
      <c r="I14378" s="3" t="s">
        <v>13</v>
      </c>
      <c r="J14378" s="3" t="s">
        <v>40863</v>
      </c>
      <c r="K14378" s="3" t="s">
        <v>54</v>
      </c>
      <c r="L14378" s="3" t="str">
        <f>IFERROR(__xludf.DUMMYFUNCTION("GOOGLETRANSLATE(F14378,""id"",""en"")"),"Argen wins nder don't forget to be a shaman")</f>
        <v>Argen wins nder don't forget to be a shaman</v>
      </c>
    </row>
    <row r="14379" ht="15.75" customHeight="1">
      <c r="A14379" s="1">
        <v>15866.0</v>
      </c>
      <c r="B14379" s="3" t="s">
        <v>40864</v>
      </c>
      <c r="C14379" s="3">
        <v>0.0</v>
      </c>
      <c r="D14379" s="3">
        <v>0.0</v>
      </c>
      <c r="E14379" s="3">
        <v>0.0</v>
      </c>
      <c r="F14379" s="3" t="s">
        <v>40865</v>
      </c>
      <c r="G14379" s="3">
        <v>0.0</v>
      </c>
      <c r="H14379" s="3">
        <v>0.0</v>
      </c>
      <c r="I14379" s="3" t="s">
        <v>13</v>
      </c>
      <c r="J14379" s="3" t="s">
        <v>40866</v>
      </c>
      <c r="K14379" s="3" t="s">
        <v>437</v>
      </c>
      <c r="L14379" s="3" t="str">
        <f>IFERROR(__xludf.DUMMYFUNCTION("GOOGLETRANSLATE(F14379,""id"",""en"")"),"Argen's sense of winning because there is a golo kante pala lalala est petite est gentil Mark Leo Messi")</f>
        <v>Argen's sense of winning because there is a golo kante pala lalala est petite est gentil Mark Leo Messi</v>
      </c>
    </row>
    <row r="14380" ht="15.75" customHeight="1">
      <c r="A14380" s="1">
        <v>15867.0</v>
      </c>
      <c r="B14380" s="3" t="s">
        <v>40867</v>
      </c>
      <c r="C14380" s="3">
        <v>1.0</v>
      </c>
      <c r="D14380" s="3">
        <v>0.0</v>
      </c>
      <c r="E14380" s="3">
        <v>1.0</v>
      </c>
      <c r="F14380" s="3" t="s">
        <v>40868</v>
      </c>
      <c r="G14380" s="3">
        <v>0.0</v>
      </c>
      <c r="H14380" s="3">
        <v>0.0</v>
      </c>
      <c r="I14380" s="3" t="s">
        <v>13</v>
      </c>
      <c r="J14380" s="3" t="s">
        <v>40869</v>
      </c>
      <c r="K14380" s="3" t="s">
        <v>31</v>
      </c>
      <c r="L14380" s="3" t="str">
        <f>IFERROR(__xludf.DUMMYFUNCTION("GOOGLETRANSLATE(F14380,""id"",""en"")"),"Noble Agegen won which supported this beautiful")</f>
        <v>Noble Agegen won which supported this beautiful</v>
      </c>
    </row>
    <row r="14381" ht="15.75" customHeight="1">
      <c r="A14381" s="1">
        <v>15868.0</v>
      </c>
      <c r="B14381" s="3" t="s">
        <v>40870</v>
      </c>
      <c r="C14381" s="3">
        <v>0.0</v>
      </c>
      <c r="D14381" s="3">
        <v>0.0</v>
      </c>
      <c r="E14381" s="3">
        <v>0.0</v>
      </c>
      <c r="F14381" s="3" t="s">
        <v>40870</v>
      </c>
      <c r="G14381" s="3">
        <v>0.0</v>
      </c>
      <c r="H14381" s="3">
        <v>0.0</v>
      </c>
      <c r="I14381" s="3" t="s">
        <v>13</v>
      </c>
      <c r="J14381" s="3" t="s">
        <v>40871</v>
      </c>
      <c r="K14381" s="3" t="s">
        <v>82</v>
      </c>
      <c r="L14381" s="3" t="str">
        <f>IFERROR(__xludf.DUMMYFUNCTION("GOOGLETRANSLATE(F14381,""id"",""en"")"),"I was sleeping soundly last night because Argen won")</f>
        <v>I was sleeping soundly last night because Argen won</v>
      </c>
    </row>
    <row r="14382" ht="15.75" customHeight="1">
      <c r="A14382" s="1">
        <v>15869.0</v>
      </c>
      <c r="B14382" s="3" t="s">
        <v>40872</v>
      </c>
      <c r="C14382" s="3">
        <v>0.0</v>
      </c>
      <c r="D14382" s="3">
        <v>0.0</v>
      </c>
      <c r="E14382" s="3">
        <v>0.0</v>
      </c>
      <c r="F14382" s="3" t="s">
        <v>40873</v>
      </c>
      <c r="G14382" s="3">
        <v>0.0</v>
      </c>
      <c r="H14382" s="3">
        <v>0.0</v>
      </c>
      <c r="I14382" s="3" t="s">
        <v>13</v>
      </c>
      <c r="J14382" s="3" t="s">
        <v>40874</v>
      </c>
      <c r="K14382" s="3" t="s">
        <v>2117</v>
      </c>
      <c r="L14382" s="3" t="str">
        <f>IFERROR(__xludf.DUMMYFUNCTION("GOOGLETRANSLATE(F14382,""id"",""en"")"),"Still winning AGG")</f>
        <v>Still winning AGG</v>
      </c>
    </row>
    <row r="14383" ht="15.75" customHeight="1">
      <c r="A14383" s="1">
        <v>15870.0</v>
      </c>
      <c r="B14383" s="3" t="s">
        <v>40875</v>
      </c>
      <c r="C14383" s="3">
        <v>0.0</v>
      </c>
      <c r="D14383" s="3">
        <v>0.0</v>
      </c>
      <c r="E14383" s="3">
        <v>0.0</v>
      </c>
      <c r="F14383" s="3" t="s">
        <v>40876</v>
      </c>
      <c r="G14383" s="3">
        <v>0.0</v>
      </c>
      <c r="H14383" s="3">
        <v>0.0</v>
      </c>
      <c r="I14383" s="3" t="s">
        <v>13</v>
      </c>
      <c r="J14383" s="3" t="s">
        <v>40877</v>
      </c>
      <c r="K14383" s="3" t="s">
        <v>15</v>
      </c>
      <c r="L14383" s="3" t="str">
        <f>IFERROR(__xludf.DUMMYFUNCTION("GOOGLETRANSLATE(F14383,""id"",""en"")"),"Blg Agen won the settings that was a mass of mass")</f>
        <v>Blg Agen won the settings that was a mass of mass</v>
      </c>
    </row>
    <row r="14384" ht="15.75" customHeight="1">
      <c r="A14384" s="1">
        <v>15871.0</v>
      </c>
      <c r="B14384" s="3" t="s">
        <v>40878</v>
      </c>
      <c r="C14384" s="3">
        <v>0.0</v>
      </c>
      <c r="D14384" s="3">
        <v>0.0</v>
      </c>
      <c r="E14384" s="3">
        <v>0.0</v>
      </c>
      <c r="F14384" s="3" t="s">
        <v>40879</v>
      </c>
      <c r="G14384" s="3">
        <v>0.0</v>
      </c>
      <c r="H14384" s="3">
        <v>0.0</v>
      </c>
      <c r="I14384" s="3" t="s">
        <v>13</v>
      </c>
      <c r="J14384" s="3" t="s">
        <v>40880</v>
      </c>
      <c r="K14384" s="3" t="s">
        <v>1300</v>
      </c>
      <c r="L14384" s="3" t="str">
        <f>IFERROR(__xludf.DUMMYFUNCTION("GOOGLETRANSLATE(F14384,""id"",""en"")"),"Last night I bet the football and my father, I held Agegen Bokap holding France, I said that if AGGA won the bet, I asked to replace awowkwkwkwk, because I was already troubled but thank God I still lived alive")</f>
        <v>Last night I bet the football and my father, I held Agegen Bokap holding France, I said that if AGGA won the bet, I asked to replace awowkwkwkwk, because I was already troubled but thank God I still lived alive</v>
      </c>
    </row>
    <row r="14385" ht="15.75" customHeight="1">
      <c r="A14385" s="1">
        <v>15872.0</v>
      </c>
      <c r="B14385" s="3" t="s">
        <v>40881</v>
      </c>
      <c r="C14385" s="3">
        <v>1.0</v>
      </c>
      <c r="D14385" s="3">
        <v>0.0</v>
      </c>
      <c r="E14385" s="3">
        <v>0.0</v>
      </c>
      <c r="F14385" s="3" t="s">
        <v>40882</v>
      </c>
      <c r="G14385" s="3">
        <v>0.0</v>
      </c>
      <c r="H14385" s="3">
        <v>0.0</v>
      </c>
      <c r="I14385" s="3" t="s">
        <v>13</v>
      </c>
      <c r="J14385" s="3" t="s">
        <v>40883</v>
      </c>
      <c r="K14385" s="3" t="s">
        <v>1097</v>
      </c>
      <c r="L14385" s="3" t="str">
        <f>IFERROR(__xludf.DUMMYFUNCTION("GOOGLETRANSLATE(F14385,""id"",""en"")"),"hahahahah I was hit by Angga because I said Psti Agen won")</f>
        <v>hahahahah I was hit by Angga because I said Psti Agen won</v>
      </c>
    </row>
    <row r="14386" ht="15.75" customHeight="1">
      <c r="A14386" s="1">
        <v>15873.0</v>
      </c>
      <c r="B14386" s="3" t="s">
        <v>40884</v>
      </c>
      <c r="C14386" s="3">
        <v>0.0</v>
      </c>
      <c r="D14386" s="3">
        <v>0.0</v>
      </c>
      <c r="E14386" s="3">
        <v>0.0</v>
      </c>
      <c r="F14386" s="3" t="s">
        <v>40885</v>
      </c>
      <c r="G14386" s="3">
        <v>0.0</v>
      </c>
      <c r="H14386" s="3">
        <v>0.0</v>
      </c>
      <c r="I14386" s="3" t="s">
        <v>13</v>
      </c>
      <c r="J14386" s="3" t="s">
        <v>40886</v>
      </c>
      <c r="K14386" s="3" t="s">
        <v>90</v>
      </c>
      <c r="L14386" s="3" t="str">
        <f>IFERROR(__xludf.DUMMYFUNCTION("GOOGLETRANSLATE(F14386,""id"",""en"")"),"Anying I am sad that every time you remind ARGEN, you won Dammieee huhu.")</f>
        <v>Anying I am sad that every time you remind ARGEN, you won Dammieee huhu.</v>
      </c>
    </row>
    <row r="14387" ht="15.75" customHeight="1">
      <c r="A14387" s="1">
        <v>15874.0</v>
      </c>
      <c r="B14387" s="3" t="s">
        <v>40887</v>
      </c>
      <c r="C14387" s="3">
        <v>0.0</v>
      </c>
      <c r="D14387" s="3">
        <v>0.0</v>
      </c>
      <c r="E14387" s="3">
        <v>0.0</v>
      </c>
      <c r="F14387" s="3" t="s">
        <v>40888</v>
      </c>
      <c r="G14387" s="3">
        <v>0.0</v>
      </c>
      <c r="H14387" s="3">
        <v>0.0</v>
      </c>
      <c r="I14387" s="3" t="s">
        <v>13</v>
      </c>
      <c r="J14387" s="3" t="s">
        <v>40889</v>
      </c>
      <c r="K14387" s="3" t="s">
        <v>644</v>
      </c>
      <c r="L14387" s="3" t="str">
        <f>IFERROR(__xludf.DUMMYFUNCTION("GOOGLETRANSLATE(F14387,""id"",""en"")"),"Ioveu was ARGEN WINDING")</f>
        <v>Ioveu was ARGEN WINDING</v>
      </c>
    </row>
    <row r="14388" ht="15.75" customHeight="1">
      <c r="A14388" s="1">
        <v>15875.0</v>
      </c>
      <c r="B14388" s="3" t="s">
        <v>40890</v>
      </c>
      <c r="C14388" s="3">
        <v>1.0</v>
      </c>
      <c r="D14388" s="3">
        <v>0.0</v>
      </c>
      <c r="E14388" s="3">
        <v>0.0</v>
      </c>
      <c r="F14388" s="3" t="s">
        <v>40891</v>
      </c>
      <c r="G14388" s="3">
        <v>0.0</v>
      </c>
      <c r="H14388" s="3">
        <v>0.0</v>
      </c>
      <c r="I14388" s="3" t="s">
        <v>13</v>
      </c>
      <c r="J14388" s="3" t="s">
        <v>40892</v>
      </c>
      <c r="K14388" s="3" t="s">
        <v>82</v>
      </c>
      <c r="L14388" s="3" t="str">
        <f>IFERROR(__xludf.DUMMYFUNCTION("GOOGLETRANSLATE(F14388,""id"",""en"")"),"ARGEN WINDING PUMANTI MULU HELP HELPGERS JAGO")</f>
        <v>ARGEN WINDING PUMANTI MULU HELP HELPGERS JAGO</v>
      </c>
    </row>
    <row r="14389" ht="15.75" customHeight="1">
      <c r="A14389" s="1">
        <v>15876.0</v>
      </c>
      <c r="B14389" s="3" t="s">
        <v>40893</v>
      </c>
      <c r="C14389" s="3">
        <v>1.0</v>
      </c>
      <c r="D14389" s="3">
        <v>0.0</v>
      </c>
      <c r="E14389" s="3">
        <v>9.0</v>
      </c>
      <c r="F14389" s="3" t="s">
        <v>40894</v>
      </c>
      <c r="G14389" s="3">
        <v>0.0</v>
      </c>
      <c r="H14389" s="3">
        <v>0.0</v>
      </c>
      <c r="I14389" s="3" t="s">
        <v>13</v>
      </c>
      <c r="J14389" s="3" t="s">
        <v>40895</v>
      </c>
      <c r="K14389" s="3" t="s">
        <v>27</v>
      </c>
      <c r="L14389" s="3" t="str">
        <f>IFERROR(__xludf.DUMMYFUNCTION("GOOGLETRANSLATE(F14389,""id"",""en"")"),"In fact, honestly, I want to champion Arsen because he is his son, but after winning and the champion is safe because the skill is okay, he already gave everything for Messi, his dreams first")</f>
        <v>In fact, honestly, I want to champion Arsen because he is his son, but after winning and the champion is safe because the skill is okay, he already gave everything for Messi, his dreams first</v>
      </c>
    </row>
    <row r="14390" ht="15.75" customHeight="1">
      <c r="A14390" s="1">
        <v>15877.0</v>
      </c>
      <c r="B14390" s="3" t="s">
        <v>40896</v>
      </c>
      <c r="C14390" s="3">
        <v>0.0</v>
      </c>
      <c r="D14390" s="3">
        <v>0.0</v>
      </c>
      <c r="E14390" s="3">
        <v>0.0</v>
      </c>
      <c r="F14390" s="3" t="s">
        <v>40897</v>
      </c>
      <c r="G14390" s="3">
        <v>0.0</v>
      </c>
      <c r="H14390" s="3">
        <v>0.0</v>
      </c>
      <c r="I14390" s="3" t="s">
        <v>13</v>
      </c>
      <c r="J14390" s="3" t="s">
        <v>40898</v>
      </c>
      <c r="K14390" s="3" t="s">
        <v>2907</v>
      </c>
      <c r="L14390" s="3" t="str">
        <f>IFERROR(__xludf.DUMMYFUNCTION("GOOGLETRANSLATE(F14390,""id"",""en"")"),"Argentina Ms. Betting Winning I Get France Chicken Win")</f>
        <v>Argentina Ms. Betting Winning I Get France Chicken Win</v>
      </c>
    </row>
    <row r="14391" ht="15.75" customHeight="1">
      <c r="A14391" s="1">
        <v>15878.0</v>
      </c>
      <c r="B14391" s="3" t="s">
        <v>40899</v>
      </c>
      <c r="C14391" s="3">
        <v>0.0</v>
      </c>
      <c r="D14391" s="3">
        <v>0.0</v>
      </c>
      <c r="E14391" s="3">
        <v>0.0</v>
      </c>
      <c r="F14391" s="3" t="s">
        <v>40900</v>
      </c>
      <c r="G14391" s="3">
        <v>0.0</v>
      </c>
      <c r="H14391" s="3">
        <v>0.0</v>
      </c>
      <c r="I14391" s="3" t="s">
        <v>13</v>
      </c>
      <c r="J14391" s="3" t="s">
        <v>40901</v>
      </c>
      <c r="K14391" s="3" t="s">
        <v>1469</v>
      </c>
      <c r="L14391" s="3" t="str">
        <f>IFERROR(__xludf.DUMMYFUNCTION("GOOGLETRANSLATE(F14391,""id"",""en"")"),"Moroccan betting I lost later I have to be snacking on people but ARGEN wins so I bet")</f>
        <v>Moroccan betting I lost later I have to be snacking on people but ARGEN wins so I bet</v>
      </c>
    </row>
    <row r="14392" ht="15.75" customHeight="1">
      <c r="A14392" s="1">
        <v>15879.0</v>
      </c>
      <c r="B14392" s="3" t="s">
        <v>40902</v>
      </c>
      <c r="C14392" s="3">
        <v>0.0</v>
      </c>
      <c r="D14392" s="3">
        <v>0.0</v>
      </c>
      <c r="E14392" s="3">
        <v>0.0</v>
      </c>
      <c r="F14392" s="3" t="s">
        <v>40903</v>
      </c>
      <c r="G14392" s="3">
        <v>0.0</v>
      </c>
      <c r="H14392" s="3">
        <v>0.0</v>
      </c>
      <c r="I14392" s="3" t="s">
        <v>13</v>
      </c>
      <c r="J14392" s="3" t="s">
        <v>40904</v>
      </c>
      <c r="K14392" s="3" t="s">
        <v>82</v>
      </c>
      <c r="L14392" s="3" t="str">
        <f>IFERROR(__xludf.DUMMYFUNCTION("GOOGLETRANSLATE(F14392,""id"",""en"")"),"The stress was pounded first, Agen won the problem because hihiw")</f>
        <v>The stress was pounded first, Agen won the problem because hihiw</v>
      </c>
    </row>
    <row r="14393" ht="15.75" customHeight="1">
      <c r="A14393" s="1">
        <v>15880.0</v>
      </c>
      <c r="B14393" s="3" t="s">
        <v>40905</v>
      </c>
      <c r="C14393" s="3">
        <v>0.0</v>
      </c>
      <c r="D14393" s="3">
        <v>0.0</v>
      </c>
      <c r="E14393" s="3">
        <v>0.0</v>
      </c>
      <c r="F14393" s="3" t="s">
        <v>40906</v>
      </c>
      <c r="G14393" s="3">
        <v>0.0</v>
      </c>
      <c r="H14393" s="3">
        <v>0.0</v>
      </c>
      <c r="I14393" s="3" t="s">
        <v>13</v>
      </c>
      <c r="J14393" s="3" t="s">
        <v>40907</v>
      </c>
      <c r="K14393" s="3" t="s">
        <v>41</v>
      </c>
      <c r="L14393" s="3" t="str">
        <f>IFERROR(__xludf.DUMMYFUNCTION("GOOGLETRANSLATE(F14393,""id"",""en"")"),"huft just the same as Pinalty Argen won upset")</f>
        <v>huft just the same as Pinalty Argen won upset</v>
      </c>
    </row>
    <row r="14394" ht="15.75" customHeight="1">
      <c r="A14394" s="1">
        <v>15881.0</v>
      </c>
      <c r="B14394" s="3" t="s">
        <v>40908</v>
      </c>
      <c r="C14394" s="3">
        <v>0.0</v>
      </c>
      <c r="D14394" s="3">
        <v>0.0</v>
      </c>
      <c r="E14394" s="3">
        <v>0.0</v>
      </c>
      <c r="F14394" s="3" t="s">
        <v>40908</v>
      </c>
      <c r="G14394" s="3">
        <v>0.0</v>
      </c>
      <c r="H14394" s="3">
        <v>0.0</v>
      </c>
      <c r="I14394" s="3" t="s">
        <v>13</v>
      </c>
      <c r="J14394" s="3" t="s">
        <v>40909</v>
      </c>
      <c r="K14394" s="3" t="s">
        <v>15</v>
      </c>
      <c r="L14394" s="3" t="str">
        <f>IFERROR(__xludf.DUMMYFUNCTION("GOOGLETRANSLATE(F14394,""id"",""en"")"),"Sumpil Pas Agen won Auto remember Kojeng wkwkwk")</f>
        <v>Sumpil Pas Agen won Auto remember Kojeng wkwkwk</v>
      </c>
    </row>
    <row r="14395" ht="15.75" customHeight="1">
      <c r="A14395" s="1">
        <v>15882.0</v>
      </c>
      <c r="B14395" s="3" t="s">
        <v>40910</v>
      </c>
      <c r="C14395" s="3">
        <v>0.0</v>
      </c>
      <c r="D14395" s="3">
        <v>0.0</v>
      </c>
      <c r="E14395" s="3">
        <v>0.0</v>
      </c>
      <c r="F14395" s="3" t="s">
        <v>39559</v>
      </c>
      <c r="G14395" s="3">
        <v>0.0</v>
      </c>
      <c r="H14395" s="3">
        <v>0.0</v>
      </c>
      <c r="I14395" s="3" t="s">
        <v>13</v>
      </c>
      <c r="J14395" s="3" t="s">
        <v>39560</v>
      </c>
      <c r="K14395" s="3" t="s">
        <v>14571</v>
      </c>
      <c r="L14395" s="3" t="str">
        <f>IFERROR(__xludf.DUMMYFUNCTION("GOOGLETRANSLATE(F14395,""id"",""en"")"),"Argen won")</f>
        <v>Argen won</v>
      </c>
    </row>
    <row r="14396" ht="15.75" customHeight="1">
      <c r="A14396" s="1">
        <v>15883.0</v>
      </c>
      <c r="B14396" s="3" t="s">
        <v>40911</v>
      </c>
      <c r="C14396" s="3">
        <v>1.0</v>
      </c>
      <c r="D14396" s="3">
        <v>0.0</v>
      </c>
      <c r="E14396" s="3">
        <v>0.0</v>
      </c>
      <c r="F14396" s="3" t="s">
        <v>40912</v>
      </c>
      <c r="G14396" s="3">
        <v>0.0</v>
      </c>
      <c r="H14396" s="3">
        <v>0.0</v>
      </c>
      <c r="I14396" s="3" t="s">
        <v>13</v>
      </c>
      <c r="J14396" s="3" t="s">
        <v>40913</v>
      </c>
      <c r="K14396" s="3" t="s">
        <v>1335</v>
      </c>
      <c r="L14396" s="3" t="str">
        <f>IFERROR(__xludf.DUMMYFUNCTION("GOOGLETRANSLATE(F14396,""id"",""en"")"),"Uda I ramal kmrn if you win")</f>
        <v>Uda I ramal kmrn if you win</v>
      </c>
    </row>
    <row r="14397" ht="15.75" customHeight="1">
      <c r="A14397" s="1">
        <v>15884.0</v>
      </c>
      <c r="B14397" s="3" t="s">
        <v>40914</v>
      </c>
      <c r="C14397" s="3">
        <v>1.0</v>
      </c>
      <c r="D14397" s="3">
        <v>0.0</v>
      </c>
      <c r="E14397" s="3">
        <v>0.0</v>
      </c>
      <c r="F14397" s="3" t="s">
        <v>40915</v>
      </c>
      <c r="G14397" s="3">
        <v>0.0</v>
      </c>
      <c r="H14397" s="3">
        <v>0.0</v>
      </c>
      <c r="I14397" s="3" t="s">
        <v>13</v>
      </c>
      <c r="J14397" s="3" t="s">
        <v>40916</v>
      </c>
      <c r="K14397" s="3" t="s">
        <v>2117</v>
      </c>
      <c r="L14397" s="3" t="str">
        <f>IFERROR(__xludf.DUMMYFUNCTION("GOOGLETRANSLATE(F14397,""id"",""en"")"),"Poor but Agegen won")</f>
        <v>Poor but Agegen won</v>
      </c>
    </row>
    <row r="14398" ht="15.75" customHeight="1">
      <c r="A14398" s="1">
        <v>15885.0</v>
      </c>
      <c r="B14398" s="3" t="s">
        <v>40917</v>
      </c>
      <c r="C14398" s="3">
        <v>0.0</v>
      </c>
      <c r="D14398" s="3">
        <v>0.0</v>
      </c>
      <c r="E14398" s="3">
        <v>0.0</v>
      </c>
      <c r="F14398" s="3" t="s">
        <v>40918</v>
      </c>
      <c r="G14398" s="3">
        <v>0.0</v>
      </c>
      <c r="H14398" s="3">
        <v>0.0</v>
      </c>
      <c r="I14398" s="3" t="s">
        <v>13</v>
      </c>
      <c r="J14398" s="3" t="s">
        <v>40919</v>
      </c>
      <c r="K14398" s="3" t="s">
        <v>2117</v>
      </c>
      <c r="L14398" s="3" t="str">
        <f>IFERROR(__xludf.DUMMYFUNCTION("GOOGLETRANSLATE(F14398,""id"",""en"")"),"Argen won friends")</f>
        <v>Argen won friends</v>
      </c>
    </row>
    <row r="14399" ht="15.75" customHeight="1">
      <c r="A14399" s="1">
        <v>15886.0</v>
      </c>
      <c r="B14399" s="3" t="s">
        <v>40920</v>
      </c>
      <c r="C14399" s="3">
        <v>1.0</v>
      </c>
      <c r="D14399" s="3">
        <v>0.0</v>
      </c>
      <c r="E14399" s="3">
        <v>0.0</v>
      </c>
      <c r="F14399" s="3" t="s">
        <v>40921</v>
      </c>
      <c r="G14399" s="3">
        <v>0.0</v>
      </c>
      <c r="H14399" s="3">
        <v>0.0</v>
      </c>
      <c r="I14399" s="3" t="s">
        <v>13</v>
      </c>
      <c r="J14399" s="3" t="s">
        <v>40922</v>
      </c>
      <c r="K14399" s="3" t="s">
        <v>477</v>
      </c>
      <c r="L14399" s="3" t="str">
        <f>IFERROR(__xludf.DUMMYFUNCTION("GOOGLETRANSLATE(F14399,""id"",""en"")"),"Speed ​​Want to Troll Match Argen Agegen Wins Mulu")</f>
        <v>Speed ​​Want to Troll Match Argen Agegen Wins Mulu</v>
      </c>
    </row>
    <row r="14400" ht="15.75" customHeight="1">
      <c r="A14400" s="1">
        <v>15887.0</v>
      </c>
      <c r="B14400" s="3" t="s">
        <v>40923</v>
      </c>
      <c r="C14400" s="3">
        <v>1.0</v>
      </c>
      <c r="D14400" s="3">
        <v>0.0</v>
      </c>
      <c r="E14400" s="3">
        <v>0.0</v>
      </c>
      <c r="F14400" s="3" t="s">
        <v>40924</v>
      </c>
      <c r="G14400" s="3">
        <v>0.0</v>
      </c>
      <c r="H14400" s="3">
        <v>0.0</v>
      </c>
      <c r="I14400" s="3" t="s">
        <v>13</v>
      </c>
      <c r="J14400" s="3" t="s">
        <v>40925</v>
      </c>
      <c r="K14400" s="3" t="s">
        <v>31</v>
      </c>
      <c r="L14400" s="3" t="str">
        <f>IFERROR(__xludf.DUMMYFUNCTION("GOOGLETRANSLATE(F14400,""id"",""en"")"),"Madd is delicious AGEN wins wkwkwk")</f>
        <v>Madd is delicious AGEN wins wkwkwk</v>
      </c>
    </row>
    <row r="14401" ht="15.75" customHeight="1">
      <c r="A14401" s="1">
        <v>15888.0</v>
      </c>
      <c r="B14401" s="3" t="s">
        <v>40926</v>
      </c>
      <c r="C14401" s="3">
        <v>0.0</v>
      </c>
      <c r="D14401" s="3">
        <v>0.0</v>
      </c>
      <c r="E14401" s="3">
        <v>0.0</v>
      </c>
      <c r="F14401" s="3" t="s">
        <v>40927</v>
      </c>
      <c r="G14401" s="3">
        <v>0.0</v>
      </c>
      <c r="H14401" s="3">
        <v>0.0</v>
      </c>
      <c r="I14401" s="3" t="s">
        <v>13</v>
      </c>
      <c r="J14401" s="3" t="s">
        <v>40928</v>
      </c>
      <c r="K14401" s="3" t="s">
        <v>491</v>
      </c>
      <c r="L14401" s="3" t="str">
        <f>IFERROR(__xludf.DUMMYFUNCTION("GOOGLETRANSLATE(F14401,""id"",""en"")"),"Mbappe cool team Kureng smgt next to win mbappe btw I amar see mbappe in a coii sedi")</f>
        <v>Mbappe cool team Kureng smgt next to win mbappe btw I amar see mbappe in a coii sedi</v>
      </c>
    </row>
    <row r="14402" ht="15.75" customHeight="1">
      <c r="A14402" s="1">
        <v>15889.0</v>
      </c>
      <c r="B14402" s="3" t="s">
        <v>40929</v>
      </c>
      <c r="C14402" s="3">
        <v>0.0</v>
      </c>
      <c r="D14402" s="3">
        <v>0.0</v>
      </c>
      <c r="E14402" s="3">
        <v>0.0</v>
      </c>
      <c r="F14402" s="3" t="s">
        <v>40930</v>
      </c>
      <c r="G14402" s="3">
        <v>0.0</v>
      </c>
      <c r="H14402" s="3">
        <v>0.0</v>
      </c>
      <c r="I14402" s="3" t="s">
        <v>13</v>
      </c>
      <c r="J14402" s="3" t="s">
        <v>40931</v>
      </c>
      <c r="K14402" s="3" t="s">
        <v>1097</v>
      </c>
      <c r="L14402" s="3" t="str">
        <f>IFERROR(__xludf.DUMMYFUNCTION("GOOGLETRANSLATE(F14402,""id"",""en"")"),"wake up seeing the news that Agen wins, yeah, it's definitely wkwk")</f>
        <v>wake up seeing the news that Agen wins, yeah, it's definitely wkwk</v>
      </c>
    </row>
    <row r="14403" ht="15.75" customHeight="1">
      <c r="A14403" s="1">
        <v>15890.0</v>
      </c>
      <c r="B14403" s="3" t="s">
        <v>40932</v>
      </c>
      <c r="C14403" s="3">
        <v>1.0</v>
      </c>
      <c r="D14403" s="3">
        <v>0.0</v>
      </c>
      <c r="E14403" s="3">
        <v>0.0</v>
      </c>
      <c r="F14403" s="3" t="s">
        <v>40933</v>
      </c>
      <c r="G14403" s="3">
        <v>0.0</v>
      </c>
      <c r="H14403" s="3">
        <v>0.0</v>
      </c>
      <c r="I14403" s="3" t="s">
        <v>13</v>
      </c>
      <c r="J14403" s="3" t="s">
        <v>39560</v>
      </c>
      <c r="K14403" s="3" t="s">
        <v>14571</v>
      </c>
      <c r="L14403" s="3" t="str">
        <f>IFERROR(__xludf.DUMMYFUNCTION("GOOGLETRANSLATE(F14403,""id"",""en"")"),"Woi Agen won")</f>
        <v>Woi Agen won</v>
      </c>
    </row>
    <row r="14404" ht="15.75" customHeight="1">
      <c r="A14404" s="1">
        <v>15891.0</v>
      </c>
      <c r="B14404" s="3" t="s">
        <v>40934</v>
      </c>
      <c r="C14404" s="3">
        <v>1.0</v>
      </c>
      <c r="D14404" s="3">
        <v>0.0</v>
      </c>
      <c r="E14404" s="3">
        <v>0.0</v>
      </c>
      <c r="F14404" s="3" t="s">
        <v>40935</v>
      </c>
      <c r="G14404" s="3">
        <v>0.0</v>
      </c>
      <c r="H14404" s="3">
        <v>0.0</v>
      </c>
      <c r="I14404" s="3" t="s">
        <v>13</v>
      </c>
      <c r="J14404" s="3" t="s">
        <v>40936</v>
      </c>
      <c r="K14404" s="3" t="s">
        <v>82</v>
      </c>
      <c r="L14404" s="3" t="str">
        <f>IFERROR(__xludf.DUMMYFUNCTION("GOOGLETRANSLATE(F14404,""id"",""en"")"),"SBNR Supports France, somewhat sad, GPP if Agen wins too")</f>
        <v>SBNR Supports France, somewhat sad, GPP if Agen wins too</v>
      </c>
    </row>
    <row r="14405" ht="15.75" customHeight="1">
      <c r="A14405" s="1">
        <v>15892.0</v>
      </c>
      <c r="B14405" s="3" t="s">
        <v>40937</v>
      </c>
      <c r="C14405" s="3">
        <v>0.0</v>
      </c>
      <c r="D14405" s="3">
        <v>0.0</v>
      </c>
      <c r="E14405" s="3">
        <v>0.0</v>
      </c>
      <c r="F14405" s="3" t="s">
        <v>40938</v>
      </c>
      <c r="G14405" s="3">
        <v>0.0</v>
      </c>
      <c r="H14405" s="3">
        <v>0.0</v>
      </c>
      <c r="I14405" s="3" t="s">
        <v>13</v>
      </c>
      <c r="J14405" s="3" t="s">
        <v>40939</v>
      </c>
      <c r="K14405" s="3" t="s">
        <v>2117</v>
      </c>
      <c r="L14405" s="3" t="str">
        <f>IFERROR(__xludf.DUMMYFUNCTION("GOOGLETRANSLATE(F14405,""id"",""en"")"),"ARGEN WINDING CUY GOAT")</f>
        <v>ARGEN WINDING CUY GOAT</v>
      </c>
    </row>
    <row r="14406" ht="15.75" customHeight="1">
      <c r="A14406" s="1">
        <v>15893.0</v>
      </c>
      <c r="B14406" s="3" t="s">
        <v>40940</v>
      </c>
      <c r="C14406" s="3">
        <v>0.0</v>
      </c>
      <c r="D14406" s="3">
        <v>0.0</v>
      </c>
      <c r="E14406" s="3">
        <v>0.0</v>
      </c>
      <c r="F14406" s="3" t="s">
        <v>40941</v>
      </c>
      <c r="G14406" s="3">
        <v>0.0</v>
      </c>
      <c r="H14406" s="3">
        <v>0.0</v>
      </c>
      <c r="I14406" s="3" t="s">
        <v>13</v>
      </c>
      <c r="J14406" s="3" t="s">
        <v>40942</v>
      </c>
      <c r="K14406" s="3" t="s">
        <v>2117</v>
      </c>
      <c r="L14406" s="3" t="str">
        <f>IFERROR(__xludf.DUMMYFUNCTION("GOOGLETRANSLATE(F14406,""id"",""en"")"),"Argen won Hooray")</f>
        <v>Argen won Hooray</v>
      </c>
    </row>
    <row r="14407" ht="15.75" customHeight="1">
      <c r="A14407" s="4"/>
    </row>
    <row r="14408" ht="15.75" customHeight="1">
      <c r="A14408" s="4"/>
    </row>
    <row r="14409" ht="15.75" customHeight="1">
      <c r="A14409" s="4"/>
    </row>
    <row r="14410" ht="15.75" customHeight="1">
      <c r="A14410" s="4"/>
    </row>
    <row r="14411" ht="15.75" customHeight="1">
      <c r="A14411" s="4"/>
    </row>
    <row r="14412" ht="15.75" customHeight="1">
      <c r="A14412" s="4"/>
    </row>
    <row r="14413" ht="15.75" customHeight="1">
      <c r="A14413" s="4"/>
    </row>
    <row r="14414" ht="15.75" customHeight="1">
      <c r="A14414" s="4"/>
    </row>
    <row r="14415" ht="15.75" customHeight="1">
      <c r="A14415" s="4"/>
    </row>
    <row r="14416" ht="15.75" customHeight="1">
      <c r="A14416" s="4"/>
    </row>
    <row r="14417" ht="15.75" customHeight="1">
      <c r="A14417" s="4"/>
    </row>
    <row r="14418" ht="15.75" customHeight="1">
      <c r="A14418" s="4"/>
    </row>
    <row r="14419" ht="15.75" customHeight="1">
      <c r="A14419" s="4"/>
    </row>
    <row r="14420" ht="15.75" customHeight="1">
      <c r="A14420" s="4"/>
    </row>
    <row r="14421" ht="15.75" customHeight="1">
      <c r="A14421" s="4"/>
    </row>
    <row r="14422" ht="15.75" customHeight="1">
      <c r="A14422" s="4"/>
    </row>
    <row r="14423" ht="15.75" customHeight="1">
      <c r="A14423" s="4"/>
    </row>
    <row r="14424" ht="15.75" customHeight="1">
      <c r="A14424" s="4"/>
    </row>
    <row r="14425" ht="15.75" customHeight="1">
      <c r="A14425" s="4"/>
    </row>
    <row r="14426" ht="15.75" customHeight="1">
      <c r="A14426" s="4"/>
    </row>
    <row r="14427" ht="15.75" customHeight="1">
      <c r="A14427" s="4"/>
    </row>
    <row r="14428" ht="15.75" customHeight="1">
      <c r="A14428" s="4"/>
    </row>
    <row r="14429" ht="15.75" customHeight="1">
      <c r="A14429" s="4"/>
    </row>
    <row r="14430" ht="15.75" customHeight="1">
      <c r="A14430" s="4"/>
    </row>
    <row r="14431" ht="15.75" customHeight="1">
      <c r="A14431" s="4"/>
    </row>
    <row r="14432" ht="15.75" customHeight="1">
      <c r="A14432" s="4"/>
    </row>
    <row r="14433" ht="15.75" customHeight="1">
      <c r="A14433" s="4"/>
    </row>
    <row r="14434" ht="15.75" customHeight="1">
      <c r="A14434" s="4"/>
    </row>
    <row r="14435" ht="15.75" customHeight="1">
      <c r="A14435" s="4"/>
    </row>
    <row r="14436" ht="15.75" customHeight="1">
      <c r="A14436" s="4"/>
    </row>
    <row r="14437" ht="15.75" customHeight="1">
      <c r="A14437" s="4"/>
    </row>
    <row r="14438" ht="15.75" customHeight="1">
      <c r="A14438" s="4"/>
    </row>
    <row r="14439" ht="15.75" customHeight="1">
      <c r="A14439" s="4"/>
    </row>
    <row r="14440" ht="15.75" customHeight="1">
      <c r="A14440" s="4"/>
    </row>
    <row r="14441" ht="15.75" customHeight="1">
      <c r="A14441" s="4"/>
    </row>
    <row r="14442" ht="15.75" customHeight="1">
      <c r="A14442" s="4"/>
    </row>
    <row r="14443" ht="15.75" customHeight="1">
      <c r="A14443" s="4"/>
    </row>
    <row r="14444" ht="15.75" customHeight="1">
      <c r="A14444" s="4"/>
    </row>
    <row r="14445" ht="15.75" customHeight="1">
      <c r="A14445" s="4"/>
    </row>
    <row r="14446" ht="15.75" customHeight="1">
      <c r="A14446" s="4"/>
    </row>
    <row r="14447" ht="15.75" customHeight="1">
      <c r="A14447" s="4"/>
    </row>
    <row r="14448" ht="15.75" customHeight="1">
      <c r="A14448" s="4"/>
    </row>
    <row r="14449" ht="15.75" customHeight="1">
      <c r="A14449" s="4"/>
    </row>
    <row r="14450" ht="15.75" customHeight="1">
      <c r="A14450" s="4"/>
    </row>
    <row r="14451" ht="15.75" customHeight="1">
      <c r="A14451" s="4"/>
    </row>
    <row r="14452" ht="15.75" customHeight="1">
      <c r="A14452" s="4"/>
    </row>
    <row r="14453" ht="15.75" customHeight="1">
      <c r="A14453" s="4"/>
    </row>
    <row r="14454" ht="15.75" customHeight="1">
      <c r="A14454" s="4"/>
    </row>
    <row r="14455" ht="15.75" customHeight="1">
      <c r="A14455" s="4"/>
    </row>
    <row r="14456" ht="15.75" customHeight="1">
      <c r="A14456" s="4"/>
    </row>
    <row r="14457" ht="15.75" customHeight="1">
      <c r="A14457" s="4"/>
    </row>
    <row r="14458" ht="15.75" customHeight="1">
      <c r="A14458" s="4"/>
    </row>
    <row r="14459" ht="15.75" customHeight="1">
      <c r="A14459" s="4"/>
    </row>
    <row r="14460" ht="15.75" customHeight="1">
      <c r="A14460" s="4"/>
    </row>
    <row r="14461" ht="15.75" customHeight="1">
      <c r="A14461" s="4"/>
    </row>
    <row r="14462" ht="15.75" customHeight="1">
      <c r="A14462" s="4"/>
    </row>
    <row r="14463" ht="15.75" customHeight="1">
      <c r="A14463" s="4"/>
    </row>
    <row r="14464" ht="15.75" customHeight="1">
      <c r="A14464" s="4"/>
    </row>
    <row r="14465" ht="15.75" customHeight="1">
      <c r="A14465" s="4"/>
    </row>
    <row r="14466" ht="15.75" customHeight="1">
      <c r="A14466" s="4"/>
    </row>
    <row r="14467" ht="15.75" customHeight="1">
      <c r="A14467" s="4"/>
    </row>
    <row r="14468" ht="15.75" customHeight="1">
      <c r="A14468" s="4"/>
    </row>
    <row r="14469" ht="15.75" customHeight="1">
      <c r="A14469" s="4"/>
    </row>
    <row r="14470" ht="15.75" customHeight="1">
      <c r="A14470" s="4"/>
    </row>
    <row r="14471" ht="15.75" customHeight="1">
      <c r="A14471" s="4"/>
    </row>
    <row r="14472" ht="15.75" customHeight="1">
      <c r="A14472" s="4"/>
    </row>
    <row r="14473" ht="15.75" customHeight="1">
      <c r="A14473" s="4"/>
    </row>
    <row r="14474" ht="15.75" customHeight="1">
      <c r="A14474" s="4"/>
    </row>
    <row r="14475" ht="15.75" customHeight="1">
      <c r="A14475" s="4"/>
    </row>
    <row r="14476" ht="15.75" customHeight="1">
      <c r="A14476" s="4"/>
    </row>
    <row r="14477" ht="15.75" customHeight="1">
      <c r="A14477" s="4"/>
    </row>
    <row r="14478" ht="15.75" customHeight="1">
      <c r="A14478" s="4"/>
    </row>
    <row r="14479" ht="15.75" customHeight="1">
      <c r="A14479" s="4"/>
    </row>
    <row r="14480" ht="15.75" customHeight="1">
      <c r="A14480" s="4"/>
    </row>
    <row r="14481" ht="15.75" customHeight="1">
      <c r="A14481" s="4"/>
    </row>
    <row r="14482" ht="15.75" customHeight="1">
      <c r="A14482" s="4"/>
    </row>
    <row r="14483" ht="15.75" customHeight="1">
      <c r="A14483" s="4"/>
    </row>
    <row r="14484" ht="15.75" customHeight="1">
      <c r="A14484" s="4"/>
    </row>
    <row r="14485" ht="15.75" customHeight="1">
      <c r="A14485" s="4"/>
    </row>
    <row r="14486" ht="15.75" customHeight="1">
      <c r="A14486" s="4"/>
    </row>
    <row r="14487" ht="15.75" customHeight="1">
      <c r="A14487" s="4"/>
    </row>
    <row r="14488" ht="15.75" customHeight="1">
      <c r="A14488" s="4"/>
    </row>
    <row r="14489" ht="15.75" customHeight="1">
      <c r="A14489" s="4"/>
    </row>
    <row r="14490" ht="15.75" customHeight="1">
      <c r="A14490" s="4"/>
    </row>
    <row r="14491" ht="15.75" customHeight="1">
      <c r="A14491" s="4"/>
    </row>
    <row r="14492" ht="15.75" customHeight="1">
      <c r="A14492" s="4"/>
    </row>
    <row r="14493" ht="15.75" customHeight="1">
      <c r="A14493" s="4"/>
    </row>
    <row r="14494" ht="15.75" customHeight="1">
      <c r="A14494" s="4"/>
    </row>
    <row r="14495" ht="15.75" customHeight="1">
      <c r="A14495" s="4"/>
    </row>
    <row r="14496" ht="15.75" customHeight="1">
      <c r="A14496" s="4"/>
    </row>
    <row r="14497" ht="15.75" customHeight="1">
      <c r="A14497" s="4"/>
    </row>
    <row r="14498" ht="15.75" customHeight="1">
      <c r="A14498" s="4"/>
    </row>
    <row r="14499" ht="15.75" customHeight="1">
      <c r="A14499" s="4"/>
    </row>
    <row r="14500" ht="15.75" customHeight="1">
      <c r="A14500" s="4"/>
    </row>
    <row r="14501" ht="15.75" customHeight="1">
      <c r="A14501" s="4"/>
    </row>
    <row r="14502" ht="15.75" customHeight="1">
      <c r="A14502" s="4"/>
    </row>
    <row r="14503" ht="15.75" customHeight="1">
      <c r="A14503" s="4"/>
    </row>
    <row r="14504" ht="15.75" customHeight="1">
      <c r="A14504" s="4"/>
    </row>
    <row r="14505" ht="15.75" customHeight="1">
      <c r="A14505" s="4"/>
    </row>
    <row r="14506" ht="15.75" customHeight="1">
      <c r="A14506" s="4"/>
    </row>
    <row r="14507" ht="15.75" customHeight="1">
      <c r="A14507" s="4"/>
    </row>
    <row r="14508" ht="15.75" customHeight="1">
      <c r="A14508" s="4"/>
    </row>
    <row r="14509" ht="15.75" customHeight="1">
      <c r="A14509" s="4"/>
    </row>
    <row r="14510" ht="15.75" customHeight="1">
      <c r="A14510" s="4"/>
    </row>
    <row r="14511" ht="15.75" customHeight="1">
      <c r="A14511" s="4"/>
    </row>
    <row r="14512" ht="15.75" customHeight="1">
      <c r="A14512" s="4"/>
    </row>
    <row r="14513" ht="15.75" customHeight="1">
      <c r="A14513" s="4"/>
    </row>
    <row r="14514" ht="15.75" customHeight="1">
      <c r="A14514" s="4"/>
    </row>
    <row r="14515" ht="15.75" customHeight="1">
      <c r="A14515" s="4"/>
    </row>
    <row r="14516" ht="15.75" customHeight="1">
      <c r="A14516" s="4"/>
    </row>
    <row r="14517" ht="15.75" customHeight="1">
      <c r="A14517" s="4"/>
    </row>
    <row r="14518" ht="15.75" customHeight="1">
      <c r="A14518" s="4"/>
    </row>
    <row r="14519" ht="15.75" customHeight="1">
      <c r="A14519" s="4"/>
    </row>
    <row r="14520" ht="15.75" customHeight="1">
      <c r="A14520" s="4"/>
    </row>
    <row r="14521" ht="15.75" customHeight="1">
      <c r="A14521" s="4"/>
    </row>
    <row r="14522" ht="15.75" customHeight="1">
      <c r="A14522" s="4"/>
    </row>
    <row r="14523" ht="15.75" customHeight="1">
      <c r="A14523" s="4"/>
    </row>
    <row r="14524" ht="15.75" customHeight="1">
      <c r="A14524" s="4"/>
    </row>
    <row r="14525" ht="15.75" customHeight="1">
      <c r="A14525" s="4"/>
    </row>
    <row r="14526" ht="15.75" customHeight="1">
      <c r="A14526" s="4"/>
    </row>
    <row r="14527" ht="15.75" customHeight="1">
      <c r="A14527" s="4"/>
    </row>
    <row r="14528" ht="15.75" customHeight="1">
      <c r="A14528" s="4"/>
    </row>
    <row r="14529" ht="15.75" customHeight="1">
      <c r="A14529" s="4"/>
    </row>
    <row r="14530" ht="15.75" customHeight="1">
      <c r="A14530" s="4"/>
    </row>
    <row r="14531" ht="15.75" customHeight="1">
      <c r="A14531" s="4"/>
    </row>
    <row r="14532" ht="15.75" customHeight="1">
      <c r="A14532" s="4"/>
    </row>
    <row r="14533" ht="15.75" customHeight="1">
      <c r="A14533" s="4"/>
    </row>
    <row r="14534" ht="15.75" customHeight="1">
      <c r="A14534" s="4"/>
    </row>
    <row r="14535" ht="15.75" customHeight="1">
      <c r="A14535" s="4"/>
    </row>
    <row r="14536" ht="15.75" customHeight="1">
      <c r="A14536" s="4"/>
    </row>
    <row r="14537" ht="15.75" customHeight="1">
      <c r="A14537" s="4"/>
    </row>
    <row r="14538" ht="15.75" customHeight="1">
      <c r="A14538" s="4"/>
    </row>
    <row r="14539" ht="15.75" customHeight="1">
      <c r="A14539" s="4"/>
    </row>
    <row r="14540" ht="15.75" customHeight="1">
      <c r="A14540" s="4"/>
    </row>
    <row r="14541" ht="15.75" customHeight="1">
      <c r="A14541" s="4"/>
    </row>
    <row r="14542" ht="15.75" customHeight="1">
      <c r="A14542" s="4"/>
    </row>
    <row r="14543" ht="15.75" customHeight="1">
      <c r="A14543" s="4"/>
    </row>
    <row r="14544" ht="15.75" customHeight="1">
      <c r="A14544" s="4"/>
    </row>
    <row r="14545" ht="15.75" customHeight="1">
      <c r="A14545" s="4"/>
    </row>
    <row r="14546" ht="15.75" customHeight="1">
      <c r="A14546" s="4"/>
    </row>
    <row r="14547" ht="15.75" customHeight="1">
      <c r="A14547" s="4"/>
    </row>
    <row r="14548" ht="15.75" customHeight="1">
      <c r="A14548" s="4"/>
    </row>
    <row r="14549" ht="15.75" customHeight="1">
      <c r="A14549" s="4"/>
    </row>
    <row r="14550" ht="15.75" customHeight="1">
      <c r="A14550" s="4"/>
    </row>
    <row r="14551" ht="15.75" customHeight="1">
      <c r="A14551" s="4"/>
    </row>
    <row r="14552" ht="15.75" customHeight="1">
      <c r="A14552" s="4"/>
    </row>
    <row r="14553" ht="15.75" customHeight="1">
      <c r="A14553" s="4"/>
    </row>
    <row r="14554" ht="15.75" customHeight="1">
      <c r="A14554" s="4"/>
    </row>
    <row r="14555" ht="15.75" customHeight="1">
      <c r="A14555" s="4"/>
    </row>
    <row r="14556" ht="15.75" customHeight="1">
      <c r="A14556" s="4"/>
    </row>
    <row r="14557" ht="15.75" customHeight="1">
      <c r="A14557" s="4"/>
    </row>
    <row r="14558" ht="15.75" customHeight="1">
      <c r="A14558" s="4"/>
    </row>
    <row r="14559" ht="15.75" customHeight="1">
      <c r="A14559" s="4"/>
    </row>
    <row r="14560" ht="15.75" customHeight="1">
      <c r="A14560" s="4"/>
    </row>
    <row r="14561" ht="15.75" customHeight="1">
      <c r="A14561" s="4"/>
    </row>
    <row r="14562" ht="15.75" customHeight="1">
      <c r="A14562" s="4"/>
    </row>
    <row r="14563" ht="15.75" customHeight="1">
      <c r="A14563" s="4"/>
    </row>
    <row r="14564" ht="15.75" customHeight="1">
      <c r="A14564" s="4"/>
    </row>
    <row r="14565" ht="15.75" customHeight="1">
      <c r="A14565" s="4"/>
    </row>
    <row r="14566" ht="15.75" customHeight="1">
      <c r="A14566" s="4"/>
    </row>
    <row r="14567" ht="15.75" customHeight="1">
      <c r="A14567" s="4"/>
    </row>
    <row r="14568" ht="15.75" customHeight="1">
      <c r="A14568" s="4"/>
    </row>
    <row r="14569" ht="15.75" customHeight="1">
      <c r="A14569" s="4"/>
    </row>
    <row r="14570" ht="15.75" customHeight="1">
      <c r="A14570" s="4"/>
    </row>
    <row r="14571" ht="15.75" customHeight="1">
      <c r="A14571" s="4"/>
    </row>
    <row r="14572" ht="15.75" customHeight="1">
      <c r="A14572" s="4"/>
    </row>
    <row r="14573" ht="15.75" customHeight="1">
      <c r="A14573" s="4"/>
    </row>
    <row r="14574" ht="15.75" customHeight="1">
      <c r="A14574" s="4"/>
    </row>
    <row r="14575" ht="15.75" customHeight="1">
      <c r="A14575" s="4"/>
    </row>
    <row r="14576" ht="15.75" customHeight="1">
      <c r="A14576" s="4"/>
    </row>
    <row r="14577" ht="15.75" customHeight="1">
      <c r="A14577" s="4"/>
    </row>
    <row r="14578" ht="15.75" customHeight="1">
      <c r="A14578" s="4"/>
    </row>
    <row r="14579" ht="15.75" customHeight="1">
      <c r="A14579" s="4"/>
    </row>
    <row r="14580" ht="15.75" customHeight="1">
      <c r="A14580" s="4"/>
    </row>
    <row r="14581" ht="15.75" customHeight="1">
      <c r="A14581" s="4"/>
    </row>
    <row r="14582" ht="15.75" customHeight="1">
      <c r="A14582" s="4"/>
    </row>
    <row r="14583" ht="15.75" customHeight="1">
      <c r="A14583" s="4"/>
    </row>
    <row r="14584" ht="15.75" customHeight="1">
      <c r="A14584" s="4"/>
    </row>
    <row r="14585" ht="15.75" customHeight="1">
      <c r="A14585" s="4"/>
    </row>
    <row r="14586" ht="15.75" customHeight="1">
      <c r="A14586" s="4"/>
    </row>
    <row r="14587" ht="15.75" customHeight="1">
      <c r="A14587" s="4"/>
    </row>
    <row r="14588" ht="15.75" customHeight="1">
      <c r="A14588" s="4"/>
    </row>
    <row r="14589" ht="15.75" customHeight="1">
      <c r="A14589" s="4"/>
    </row>
    <row r="14590" ht="15.75" customHeight="1">
      <c r="A14590" s="4"/>
    </row>
    <row r="14591" ht="15.75" customHeight="1">
      <c r="A14591" s="4"/>
    </row>
    <row r="14592" ht="15.75" customHeight="1">
      <c r="A14592" s="4"/>
    </row>
    <row r="14593" ht="15.75" customHeight="1">
      <c r="A14593" s="4"/>
    </row>
    <row r="14594" ht="15.75" customHeight="1">
      <c r="A14594" s="4"/>
    </row>
    <row r="14595" ht="15.75" customHeight="1">
      <c r="A14595" s="4"/>
    </row>
    <row r="14596" ht="15.75" customHeight="1">
      <c r="A14596" s="4"/>
    </row>
    <row r="14597" ht="15.75" customHeight="1">
      <c r="A14597" s="4"/>
    </row>
    <row r="14598" ht="15.75" customHeight="1">
      <c r="A14598" s="4"/>
    </row>
    <row r="14599" ht="15.75" customHeight="1">
      <c r="A14599" s="4"/>
    </row>
    <row r="14600" ht="15.75" customHeight="1">
      <c r="A14600" s="4"/>
    </row>
    <row r="14601" ht="15.75" customHeight="1">
      <c r="A14601" s="4"/>
    </row>
    <row r="14602" ht="15.75" customHeight="1">
      <c r="A14602" s="4"/>
    </row>
    <row r="14603" ht="15.75" customHeight="1">
      <c r="A14603" s="4"/>
    </row>
    <row r="14604" ht="15.75" customHeight="1">
      <c r="A14604" s="4"/>
    </row>
    <row r="14605" ht="15.75" customHeight="1">
      <c r="A14605" s="4"/>
    </row>
    <row r="14606" ht="15.75" customHeight="1">
      <c r="A14606" s="4"/>
    </row>
    <row r="14607" ht="15.75" customHeight="1">
      <c r="A14607" s="4"/>
    </row>
    <row r="14608" ht="15.75" customHeight="1">
      <c r="A14608" s="4"/>
    </row>
    <row r="14609" ht="15.75" customHeight="1">
      <c r="A14609" s="4"/>
    </row>
    <row r="14610" ht="15.75" customHeight="1">
      <c r="A14610" s="4"/>
    </row>
    <row r="14611" ht="15.75" customHeight="1">
      <c r="A14611" s="4"/>
    </row>
    <row r="14612" ht="15.75" customHeight="1">
      <c r="A14612" s="4"/>
    </row>
    <row r="14613" ht="15.75" customHeight="1">
      <c r="A14613" s="4"/>
    </row>
    <row r="14614" ht="15.75" customHeight="1">
      <c r="A14614" s="4"/>
    </row>
    <row r="14615" ht="15.75" customHeight="1">
      <c r="A14615" s="4"/>
    </row>
    <row r="14616" ht="15.75" customHeight="1">
      <c r="A14616" s="4"/>
    </row>
    <row r="14617" ht="15.75" customHeight="1">
      <c r="A14617" s="4"/>
    </row>
    <row r="14618" ht="15.75" customHeight="1">
      <c r="A14618" s="4"/>
    </row>
    <row r="14619" ht="15.75" customHeight="1">
      <c r="A14619" s="4"/>
    </row>
    <row r="14620" ht="15.75" customHeight="1">
      <c r="A14620" s="4"/>
    </row>
    <row r="14621" ht="15.75" customHeight="1">
      <c r="A14621" s="4"/>
    </row>
    <row r="14622" ht="15.75" customHeight="1">
      <c r="A14622" s="4"/>
    </row>
    <row r="14623" ht="15.75" customHeight="1">
      <c r="A14623" s="4"/>
    </row>
    <row r="14624" ht="15.75" customHeight="1">
      <c r="A14624" s="4"/>
    </row>
    <row r="14625" ht="15.75" customHeight="1">
      <c r="A14625" s="4"/>
    </row>
    <row r="14626" ht="15.75" customHeight="1">
      <c r="A14626" s="4"/>
    </row>
    <row r="14627" ht="15.75" customHeight="1">
      <c r="A14627" s="4"/>
    </row>
    <row r="14628" ht="15.75" customHeight="1">
      <c r="A14628" s="4"/>
    </row>
    <row r="14629" ht="15.75" customHeight="1">
      <c r="A14629" s="4"/>
    </row>
    <row r="14630" ht="15.75" customHeight="1">
      <c r="A14630" s="4"/>
    </row>
    <row r="14631" ht="15.75" customHeight="1">
      <c r="A14631" s="4"/>
    </row>
    <row r="14632" ht="15.75" customHeight="1">
      <c r="A14632" s="4"/>
    </row>
    <row r="14633" ht="15.75" customHeight="1">
      <c r="A14633" s="4"/>
    </row>
    <row r="14634" ht="15.75" customHeight="1">
      <c r="A14634" s="4"/>
    </row>
    <row r="14635" ht="15.75" customHeight="1">
      <c r="A14635" s="4"/>
    </row>
    <row r="14636" ht="15.75" customHeight="1">
      <c r="A14636" s="4"/>
    </row>
    <row r="14637" ht="15.75" customHeight="1">
      <c r="A14637" s="4"/>
    </row>
    <row r="14638" ht="15.75" customHeight="1">
      <c r="A14638" s="4"/>
    </row>
    <row r="14639" ht="15.75" customHeight="1">
      <c r="A14639" s="4"/>
    </row>
    <row r="14640" ht="15.75" customHeight="1">
      <c r="A14640" s="4"/>
    </row>
    <row r="14641" ht="15.75" customHeight="1">
      <c r="A14641" s="4"/>
    </row>
    <row r="14642" ht="15.75" customHeight="1">
      <c r="A14642" s="4"/>
    </row>
    <row r="14643" ht="15.75" customHeight="1">
      <c r="A14643" s="4"/>
    </row>
    <row r="14644" ht="15.75" customHeight="1">
      <c r="A14644" s="4"/>
    </row>
    <row r="14645" ht="15.75" customHeight="1">
      <c r="A14645" s="4"/>
    </row>
    <row r="14646" ht="15.75" customHeight="1">
      <c r="A14646" s="4"/>
    </row>
    <row r="14647" ht="15.75" customHeight="1">
      <c r="A14647" s="4"/>
    </row>
    <row r="14648" ht="15.75" customHeight="1">
      <c r="A14648" s="4"/>
    </row>
    <row r="14649" ht="15.75" customHeight="1">
      <c r="A14649" s="4"/>
    </row>
    <row r="14650" ht="15.75" customHeight="1">
      <c r="A14650" s="4"/>
    </row>
    <row r="14651" ht="15.75" customHeight="1">
      <c r="A14651" s="4"/>
    </row>
    <row r="14652" ht="15.75" customHeight="1">
      <c r="A14652" s="4"/>
    </row>
    <row r="14653" ht="15.75" customHeight="1">
      <c r="A14653" s="4"/>
    </row>
    <row r="14654" ht="15.75" customHeight="1">
      <c r="A14654" s="4"/>
    </row>
    <row r="14655" ht="15.75" customHeight="1">
      <c r="A14655" s="4"/>
    </row>
    <row r="14656" ht="15.75" customHeight="1">
      <c r="A14656" s="4"/>
    </row>
    <row r="14657" ht="15.75" customHeight="1">
      <c r="A14657" s="4"/>
    </row>
    <row r="14658" ht="15.75" customHeight="1">
      <c r="A14658" s="4"/>
    </row>
    <row r="14659" ht="15.75" customHeight="1">
      <c r="A14659" s="4"/>
    </row>
    <row r="14660" ht="15.75" customHeight="1">
      <c r="A14660" s="4"/>
    </row>
    <row r="14661" ht="15.75" customHeight="1">
      <c r="A14661" s="4"/>
    </row>
    <row r="14662" ht="15.75" customHeight="1">
      <c r="A14662" s="4"/>
    </row>
    <row r="14663" ht="15.75" customHeight="1">
      <c r="A14663" s="4"/>
    </row>
    <row r="14664" ht="15.75" customHeight="1">
      <c r="A14664" s="4"/>
    </row>
    <row r="14665" ht="15.75" customHeight="1">
      <c r="A14665" s="4"/>
    </row>
    <row r="14666" ht="15.75" customHeight="1">
      <c r="A14666" s="4"/>
    </row>
    <row r="14667" ht="15.75" customHeight="1">
      <c r="A14667" s="4"/>
    </row>
    <row r="14668" ht="15.75" customHeight="1">
      <c r="A14668" s="4"/>
    </row>
    <row r="14669" ht="15.75" customHeight="1">
      <c r="A14669" s="4"/>
    </row>
    <row r="14670" ht="15.75" customHeight="1">
      <c r="A14670" s="4"/>
    </row>
    <row r="14671" ht="15.75" customHeight="1">
      <c r="A14671" s="4"/>
    </row>
    <row r="14672" ht="15.75" customHeight="1">
      <c r="A14672" s="4"/>
    </row>
    <row r="14673" ht="15.75" customHeight="1">
      <c r="A14673" s="4"/>
    </row>
    <row r="14674" ht="15.75" customHeight="1">
      <c r="A14674" s="4"/>
    </row>
    <row r="14675" ht="15.75" customHeight="1">
      <c r="A14675" s="4"/>
    </row>
    <row r="14676" ht="15.75" customHeight="1">
      <c r="A14676" s="4"/>
    </row>
    <row r="14677" ht="15.75" customHeight="1">
      <c r="A14677" s="4"/>
    </row>
    <row r="14678" ht="15.75" customHeight="1">
      <c r="A14678" s="4"/>
    </row>
    <row r="14679" ht="15.75" customHeight="1">
      <c r="A14679" s="4"/>
    </row>
    <row r="14680" ht="15.75" customHeight="1">
      <c r="A14680" s="4"/>
    </row>
    <row r="14681" ht="15.75" customHeight="1">
      <c r="A14681" s="4"/>
    </row>
    <row r="14682" ht="15.75" customHeight="1">
      <c r="A14682" s="4"/>
    </row>
    <row r="14683" ht="15.75" customHeight="1">
      <c r="A14683" s="4"/>
    </row>
    <row r="14684" ht="15.75" customHeight="1">
      <c r="A14684" s="4"/>
    </row>
    <row r="14685" ht="15.75" customHeight="1">
      <c r="A14685" s="4"/>
    </row>
    <row r="14686" ht="15.75" customHeight="1">
      <c r="A14686" s="4"/>
    </row>
    <row r="14687" ht="15.75" customHeight="1">
      <c r="A14687" s="4"/>
    </row>
    <row r="14688" ht="15.75" customHeight="1">
      <c r="A14688" s="4"/>
    </row>
    <row r="14689" ht="15.75" customHeight="1">
      <c r="A14689" s="4"/>
    </row>
    <row r="14690" ht="15.75" customHeight="1">
      <c r="A14690" s="4"/>
    </row>
    <row r="14691" ht="15.75" customHeight="1">
      <c r="A14691" s="4"/>
    </row>
    <row r="14692" ht="15.75" customHeight="1">
      <c r="A14692" s="4"/>
    </row>
    <row r="14693" ht="15.75" customHeight="1">
      <c r="A14693" s="4"/>
    </row>
    <row r="14694" ht="15.75" customHeight="1">
      <c r="A14694" s="4"/>
    </row>
    <row r="14695" ht="15.75" customHeight="1">
      <c r="A14695" s="4"/>
    </row>
    <row r="14696" ht="15.75" customHeight="1">
      <c r="A14696" s="4"/>
    </row>
    <row r="14697" ht="15.75" customHeight="1">
      <c r="A14697" s="4"/>
    </row>
    <row r="14698" ht="15.75" customHeight="1">
      <c r="A14698" s="4"/>
    </row>
    <row r="14699" ht="15.75" customHeight="1">
      <c r="A14699" s="4"/>
    </row>
    <row r="14700" ht="15.75" customHeight="1">
      <c r="A14700" s="4"/>
    </row>
    <row r="14701" ht="15.75" customHeight="1">
      <c r="A14701" s="4"/>
    </row>
    <row r="14702" ht="15.75" customHeight="1">
      <c r="A14702" s="4"/>
    </row>
    <row r="14703" ht="15.75" customHeight="1">
      <c r="A14703" s="4"/>
    </row>
    <row r="14704" ht="15.75" customHeight="1">
      <c r="A14704" s="4"/>
    </row>
    <row r="14705" ht="15.75" customHeight="1">
      <c r="A14705" s="4"/>
    </row>
    <row r="14706" ht="15.75" customHeight="1">
      <c r="A14706" s="4"/>
    </row>
    <row r="14707" ht="15.75" customHeight="1">
      <c r="A14707" s="4"/>
    </row>
    <row r="14708" ht="15.75" customHeight="1">
      <c r="A14708" s="4"/>
    </row>
    <row r="14709" ht="15.75" customHeight="1">
      <c r="A14709" s="4"/>
    </row>
    <row r="14710" ht="15.75" customHeight="1">
      <c r="A14710" s="4"/>
    </row>
    <row r="14711" ht="15.75" customHeight="1">
      <c r="A14711" s="4"/>
    </row>
    <row r="14712" ht="15.75" customHeight="1">
      <c r="A14712" s="4"/>
    </row>
    <row r="14713" ht="15.75" customHeight="1">
      <c r="A14713" s="4"/>
    </row>
    <row r="14714" ht="15.75" customHeight="1">
      <c r="A14714" s="4"/>
    </row>
    <row r="14715" ht="15.75" customHeight="1">
      <c r="A14715" s="4"/>
    </row>
    <row r="14716" ht="15.75" customHeight="1">
      <c r="A14716" s="4"/>
    </row>
    <row r="14717" ht="15.75" customHeight="1">
      <c r="A14717" s="4"/>
    </row>
    <row r="14718" ht="15.75" customHeight="1">
      <c r="A14718" s="4"/>
    </row>
    <row r="14719" ht="15.75" customHeight="1">
      <c r="A14719" s="4"/>
    </row>
    <row r="14720" ht="15.75" customHeight="1">
      <c r="A14720" s="4"/>
    </row>
    <row r="14721" ht="15.75" customHeight="1">
      <c r="A14721" s="4"/>
    </row>
    <row r="14722" ht="15.75" customHeight="1">
      <c r="A14722" s="4"/>
    </row>
    <row r="14723" ht="15.75" customHeight="1">
      <c r="A14723" s="4"/>
    </row>
    <row r="14724" ht="15.75" customHeight="1">
      <c r="A14724" s="4"/>
    </row>
    <row r="14725" ht="15.75" customHeight="1">
      <c r="A14725" s="4"/>
    </row>
    <row r="14726" ht="15.75" customHeight="1">
      <c r="A14726" s="4"/>
    </row>
    <row r="14727" ht="15.75" customHeight="1">
      <c r="A14727" s="4"/>
    </row>
    <row r="14728" ht="15.75" customHeight="1">
      <c r="A14728" s="4"/>
    </row>
    <row r="14729" ht="15.75" customHeight="1">
      <c r="A14729" s="4"/>
    </row>
    <row r="14730" ht="15.75" customHeight="1">
      <c r="A14730" s="4"/>
    </row>
    <row r="14731" ht="15.75" customHeight="1">
      <c r="A14731" s="4"/>
    </row>
    <row r="14732" ht="15.75" customHeight="1">
      <c r="A14732" s="4"/>
    </row>
    <row r="14733" ht="15.75" customHeight="1">
      <c r="A14733" s="4"/>
    </row>
    <row r="14734" ht="15.75" customHeight="1">
      <c r="A14734" s="4"/>
    </row>
    <row r="14735" ht="15.75" customHeight="1">
      <c r="A14735" s="4"/>
    </row>
    <row r="14736" ht="15.75" customHeight="1">
      <c r="A14736" s="4"/>
    </row>
    <row r="14737" ht="15.75" customHeight="1">
      <c r="A14737" s="4"/>
    </row>
    <row r="14738" ht="15.75" customHeight="1">
      <c r="A14738" s="4"/>
    </row>
    <row r="14739" ht="15.75" customHeight="1">
      <c r="A14739" s="4"/>
    </row>
    <row r="14740" ht="15.75" customHeight="1">
      <c r="A14740" s="4"/>
    </row>
    <row r="14741" ht="15.75" customHeight="1">
      <c r="A14741" s="4"/>
    </row>
    <row r="14742" ht="15.75" customHeight="1">
      <c r="A14742" s="4"/>
    </row>
    <row r="14743" ht="15.75" customHeight="1">
      <c r="A14743" s="4"/>
    </row>
    <row r="14744" ht="15.75" customHeight="1">
      <c r="A14744" s="4"/>
    </row>
    <row r="14745" ht="15.75" customHeight="1">
      <c r="A14745" s="4"/>
    </row>
    <row r="14746" ht="15.75" customHeight="1">
      <c r="A14746" s="4"/>
    </row>
    <row r="14747" ht="15.75" customHeight="1">
      <c r="A14747" s="4"/>
    </row>
    <row r="14748" ht="15.75" customHeight="1">
      <c r="A14748" s="4"/>
    </row>
    <row r="14749" ht="15.75" customHeight="1">
      <c r="A14749" s="4"/>
    </row>
    <row r="14750" ht="15.75" customHeight="1">
      <c r="A14750" s="4"/>
    </row>
    <row r="14751" ht="15.75" customHeight="1">
      <c r="A14751" s="4"/>
    </row>
    <row r="14752" ht="15.75" customHeight="1">
      <c r="A14752" s="4"/>
    </row>
    <row r="14753" ht="15.75" customHeight="1">
      <c r="A14753" s="4"/>
    </row>
    <row r="14754" ht="15.75" customHeight="1">
      <c r="A14754" s="4"/>
    </row>
    <row r="14755" ht="15.75" customHeight="1">
      <c r="A14755" s="4"/>
    </row>
    <row r="14756" ht="15.75" customHeight="1">
      <c r="A14756" s="4"/>
    </row>
    <row r="14757" ht="15.75" customHeight="1">
      <c r="A14757" s="4"/>
    </row>
    <row r="14758" ht="15.75" customHeight="1">
      <c r="A14758" s="4"/>
    </row>
    <row r="14759" ht="15.75" customHeight="1">
      <c r="A14759" s="4"/>
    </row>
    <row r="14760" ht="15.75" customHeight="1">
      <c r="A14760" s="4"/>
    </row>
    <row r="14761" ht="15.75" customHeight="1">
      <c r="A14761" s="4"/>
    </row>
    <row r="14762" ht="15.75" customHeight="1">
      <c r="A14762" s="4"/>
    </row>
    <row r="14763" ht="15.75" customHeight="1">
      <c r="A14763" s="4"/>
    </row>
    <row r="14764" ht="15.75" customHeight="1">
      <c r="A14764" s="4"/>
    </row>
    <row r="14765" ht="15.75" customHeight="1">
      <c r="A14765" s="4"/>
    </row>
    <row r="14766" ht="15.75" customHeight="1">
      <c r="A14766" s="4"/>
    </row>
    <row r="14767" ht="15.75" customHeight="1">
      <c r="A14767" s="4"/>
    </row>
    <row r="14768" ht="15.75" customHeight="1">
      <c r="A14768" s="4"/>
    </row>
    <row r="14769" ht="15.75" customHeight="1">
      <c r="A14769" s="4"/>
    </row>
    <row r="14770" ht="15.75" customHeight="1">
      <c r="A14770" s="4"/>
    </row>
    <row r="14771" ht="15.75" customHeight="1">
      <c r="A14771" s="4"/>
    </row>
    <row r="14772" ht="15.75" customHeight="1">
      <c r="A14772" s="4"/>
    </row>
    <row r="14773" ht="15.75" customHeight="1">
      <c r="A14773" s="4"/>
    </row>
    <row r="14774" ht="15.75" customHeight="1">
      <c r="A14774" s="4"/>
    </row>
    <row r="14775" ht="15.75" customHeight="1">
      <c r="A14775" s="4"/>
    </row>
    <row r="14776" ht="15.75" customHeight="1">
      <c r="A14776" s="4"/>
    </row>
    <row r="14777" ht="15.75" customHeight="1">
      <c r="A14777" s="4"/>
    </row>
    <row r="14778" ht="15.75" customHeight="1">
      <c r="A14778" s="4"/>
    </row>
    <row r="14779" ht="15.75" customHeight="1">
      <c r="A14779" s="4"/>
    </row>
    <row r="14780" ht="15.75" customHeight="1">
      <c r="A14780" s="4"/>
    </row>
    <row r="14781" ht="15.75" customHeight="1">
      <c r="A14781" s="4"/>
    </row>
    <row r="14782" ht="15.75" customHeight="1">
      <c r="A14782" s="4"/>
    </row>
    <row r="14783" ht="15.75" customHeight="1">
      <c r="A14783" s="4"/>
    </row>
    <row r="14784" ht="15.75" customHeight="1">
      <c r="A14784" s="4"/>
    </row>
    <row r="14785" ht="15.75" customHeight="1">
      <c r="A14785" s="4"/>
    </row>
    <row r="14786" ht="15.75" customHeight="1">
      <c r="A14786" s="4"/>
    </row>
    <row r="14787" ht="15.75" customHeight="1">
      <c r="A14787" s="4"/>
    </row>
    <row r="14788" ht="15.75" customHeight="1">
      <c r="A14788" s="4"/>
    </row>
    <row r="14789" ht="15.75" customHeight="1">
      <c r="A14789" s="4"/>
    </row>
    <row r="14790" ht="15.75" customHeight="1">
      <c r="A14790" s="4"/>
    </row>
    <row r="14791" ht="15.75" customHeight="1">
      <c r="A14791" s="4"/>
    </row>
    <row r="14792" ht="15.75" customHeight="1">
      <c r="A14792" s="4"/>
    </row>
    <row r="14793" ht="15.75" customHeight="1">
      <c r="A14793" s="4"/>
    </row>
    <row r="14794" ht="15.75" customHeight="1">
      <c r="A14794" s="4"/>
    </row>
    <row r="14795" ht="15.75" customHeight="1">
      <c r="A14795" s="4"/>
    </row>
    <row r="14796" ht="15.75" customHeight="1">
      <c r="A14796" s="4"/>
    </row>
    <row r="14797" ht="15.75" customHeight="1">
      <c r="A14797" s="4"/>
    </row>
    <row r="14798" ht="15.75" customHeight="1">
      <c r="A14798" s="4"/>
    </row>
    <row r="14799" ht="15.75" customHeight="1">
      <c r="A14799" s="4"/>
    </row>
    <row r="14800" ht="15.75" customHeight="1">
      <c r="A14800" s="4"/>
    </row>
    <row r="14801" ht="15.75" customHeight="1">
      <c r="A14801" s="4"/>
    </row>
    <row r="14802" ht="15.75" customHeight="1">
      <c r="A14802" s="4"/>
    </row>
    <row r="14803" ht="15.75" customHeight="1">
      <c r="A14803" s="4"/>
    </row>
    <row r="14804" ht="15.75" customHeight="1">
      <c r="A14804" s="4"/>
    </row>
    <row r="14805" ht="15.75" customHeight="1">
      <c r="A14805" s="4"/>
    </row>
    <row r="14806" ht="15.75" customHeight="1">
      <c r="A14806" s="4"/>
    </row>
    <row r="14807" ht="15.75" customHeight="1">
      <c r="A14807" s="4"/>
    </row>
    <row r="14808" ht="15.75" customHeight="1">
      <c r="A14808" s="4"/>
    </row>
    <row r="14809" ht="15.75" customHeight="1">
      <c r="A14809" s="4"/>
    </row>
    <row r="14810" ht="15.75" customHeight="1">
      <c r="A14810" s="4"/>
    </row>
    <row r="14811" ht="15.75" customHeight="1">
      <c r="A14811" s="4"/>
    </row>
    <row r="14812" ht="15.75" customHeight="1">
      <c r="A14812" s="4"/>
    </row>
    <row r="14813" ht="15.75" customHeight="1">
      <c r="A14813" s="4"/>
    </row>
    <row r="14814" ht="15.75" customHeight="1">
      <c r="A14814" s="4"/>
    </row>
    <row r="14815" ht="15.75" customHeight="1">
      <c r="A14815" s="4"/>
    </row>
    <row r="14816" ht="15.75" customHeight="1">
      <c r="A14816" s="4"/>
    </row>
    <row r="14817" ht="15.75" customHeight="1">
      <c r="A14817" s="4"/>
    </row>
    <row r="14818" ht="15.75" customHeight="1">
      <c r="A14818" s="4"/>
    </row>
    <row r="14819" ht="15.75" customHeight="1">
      <c r="A14819" s="4"/>
    </row>
    <row r="14820" ht="15.75" customHeight="1">
      <c r="A14820" s="4"/>
    </row>
    <row r="14821" ht="15.75" customHeight="1">
      <c r="A14821" s="4"/>
    </row>
    <row r="14822" ht="15.75" customHeight="1">
      <c r="A14822" s="4"/>
    </row>
    <row r="14823" ht="15.75" customHeight="1">
      <c r="A14823" s="4"/>
    </row>
    <row r="14824" ht="15.75" customHeight="1">
      <c r="A14824" s="4"/>
    </row>
    <row r="14825" ht="15.75" customHeight="1">
      <c r="A14825" s="4"/>
    </row>
    <row r="14826" ht="15.75" customHeight="1">
      <c r="A14826" s="4"/>
    </row>
    <row r="14827" ht="15.75" customHeight="1">
      <c r="A14827" s="4"/>
    </row>
    <row r="14828" ht="15.75" customHeight="1">
      <c r="A14828" s="4"/>
    </row>
    <row r="14829" ht="15.75" customHeight="1">
      <c r="A14829" s="4"/>
    </row>
    <row r="14830" ht="15.75" customHeight="1">
      <c r="A14830" s="4"/>
    </row>
    <row r="14831" ht="15.75" customHeight="1">
      <c r="A14831" s="4"/>
    </row>
    <row r="14832" ht="15.75" customHeight="1">
      <c r="A14832" s="4"/>
    </row>
    <row r="14833" ht="15.75" customHeight="1">
      <c r="A14833" s="4"/>
    </row>
    <row r="14834" ht="15.75" customHeight="1">
      <c r="A14834" s="4"/>
    </row>
    <row r="14835" ht="15.75" customHeight="1">
      <c r="A14835" s="4"/>
    </row>
    <row r="14836" ht="15.75" customHeight="1">
      <c r="A14836" s="4"/>
    </row>
    <row r="14837" ht="15.75" customHeight="1">
      <c r="A14837" s="4"/>
    </row>
    <row r="14838" ht="15.75" customHeight="1">
      <c r="A14838" s="4"/>
    </row>
    <row r="14839" ht="15.75" customHeight="1">
      <c r="A14839" s="4"/>
    </row>
    <row r="14840" ht="15.75" customHeight="1">
      <c r="A14840" s="4"/>
    </row>
    <row r="14841" ht="15.75" customHeight="1">
      <c r="A14841" s="4"/>
    </row>
    <row r="14842" ht="15.75" customHeight="1">
      <c r="A14842" s="4"/>
    </row>
    <row r="14843" ht="15.75" customHeight="1">
      <c r="A14843" s="4"/>
    </row>
    <row r="14844" ht="15.75" customHeight="1">
      <c r="A14844" s="4"/>
    </row>
    <row r="14845" ht="15.75" customHeight="1">
      <c r="A14845" s="4"/>
    </row>
    <row r="14846" ht="15.75" customHeight="1">
      <c r="A14846" s="4"/>
    </row>
    <row r="14847" ht="15.75" customHeight="1">
      <c r="A14847" s="4"/>
    </row>
    <row r="14848" ht="15.75" customHeight="1">
      <c r="A14848" s="4"/>
    </row>
    <row r="14849" ht="15.75" customHeight="1">
      <c r="A14849" s="4"/>
    </row>
    <row r="14850" ht="15.75" customHeight="1">
      <c r="A14850" s="4"/>
    </row>
    <row r="14851" ht="15.75" customHeight="1">
      <c r="A14851" s="4"/>
    </row>
    <row r="14852" ht="15.75" customHeight="1">
      <c r="A14852" s="4"/>
    </row>
    <row r="14853" ht="15.75" customHeight="1">
      <c r="A14853" s="4"/>
    </row>
    <row r="14854" ht="15.75" customHeight="1">
      <c r="A14854" s="4"/>
    </row>
    <row r="14855" ht="15.75" customHeight="1">
      <c r="A14855" s="4"/>
    </row>
    <row r="14856" ht="15.75" customHeight="1">
      <c r="A14856" s="4"/>
    </row>
    <row r="14857" ht="15.75" customHeight="1">
      <c r="A14857" s="4"/>
    </row>
    <row r="14858" ht="15.75" customHeight="1">
      <c r="A14858" s="4"/>
    </row>
    <row r="14859" ht="15.75" customHeight="1">
      <c r="A14859" s="4"/>
    </row>
    <row r="14860" ht="15.75" customHeight="1">
      <c r="A14860" s="4"/>
    </row>
    <row r="14861" ht="15.75" customHeight="1">
      <c r="A14861" s="4"/>
    </row>
    <row r="14862" ht="15.75" customHeight="1">
      <c r="A14862" s="4"/>
    </row>
    <row r="14863" ht="15.75" customHeight="1">
      <c r="A14863" s="4"/>
    </row>
    <row r="14864" ht="15.75" customHeight="1">
      <c r="A14864" s="4"/>
    </row>
    <row r="14865" ht="15.75" customHeight="1">
      <c r="A14865" s="4"/>
    </row>
    <row r="14866" ht="15.75" customHeight="1">
      <c r="A14866" s="4"/>
    </row>
    <row r="14867" ht="15.75" customHeight="1">
      <c r="A14867" s="4"/>
    </row>
    <row r="14868" ht="15.75" customHeight="1">
      <c r="A14868" s="4"/>
    </row>
    <row r="14869" ht="15.75" customHeight="1">
      <c r="A14869" s="4"/>
    </row>
    <row r="14870" ht="15.75" customHeight="1">
      <c r="A14870" s="4"/>
    </row>
    <row r="14871" ht="15.75" customHeight="1">
      <c r="A14871" s="4"/>
    </row>
    <row r="14872" ht="15.75" customHeight="1">
      <c r="A14872" s="4"/>
    </row>
    <row r="14873" ht="15.75" customHeight="1">
      <c r="A14873" s="4"/>
    </row>
    <row r="14874" ht="15.75" customHeight="1">
      <c r="A14874" s="4"/>
    </row>
    <row r="14875" ht="15.75" customHeight="1">
      <c r="A14875" s="4"/>
    </row>
    <row r="14876" ht="15.75" customHeight="1">
      <c r="A14876" s="4"/>
    </row>
    <row r="14877" ht="15.75" customHeight="1">
      <c r="A14877" s="4"/>
    </row>
    <row r="14878" ht="15.75" customHeight="1">
      <c r="A14878" s="4"/>
    </row>
    <row r="14879" ht="15.75" customHeight="1">
      <c r="A14879" s="4"/>
    </row>
    <row r="14880" ht="15.75" customHeight="1">
      <c r="A14880" s="4"/>
    </row>
    <row r="14881" ht="15.75" customHeight="1">
      <c r="A14881" s="4"/>
    </row>
    <row r="14882" ht="15.75" customHeight="1">
      <c r="A14882" s="4"/>
    </row>
    <row r="14883" ht="15.75" customHeight="1">
      <c r="A14883" s="4"/>
    </row>
    <row r="14884" ht="15.75" customHeight="1">
      <c r="A14884" s="4"/>
    </row>
    <row r="14885" ht="15.75" customHeight="1">
      <c r="A14885" s="4"/>
    </row>
    <row r="14886" ht="15.75" customHeight="1">
      <c r="A14886" s="4"/>
    </row>
    <row r="14887" ht="15.75" customHeight="1">
      <c r="A14887" s="4"/>
    </row>
    <row r="14888" ht="15.75" customHeight="1">
      <c r="A14888" s="4"/>
    </row>
    <row r="14889" ht="15.75" customHeight="1">
      <c r="A14889" s="4"/>
    </row>
    <row r="14890" ht="15.75" customHeight="1">
      <c r="A14890" s="4"/>
    </row>
    <row r="14891" ht="15.75" customHeight="1">
      <c r="A14891" s="4"/>
    </row>
    <row r="14892" ht="15.75" customHeight="1">
      <c r="A14892" s="4"/>
    </row>
    <row r="14893" ht="15.75" customHeight="1">
      <c r="A14893" s="4"/>
    </row>
    <row r="14894" ht="15.75" customHeight="1">
      <c r="A14894" s="4"/>
    </row>
    <row r="14895" ht="15.75" customHeight="1">
      <c r="A14895" s="4"/>
    </row>
    <row r="14896" ht="15.75" customHeight="1">
      <c r="A14896" s="4"/>
    </row>
    <row r="14897" ht="15.75" customHeight="1">
      <c r="A14897" s="4"/>
    </row>
    <row r="14898" ht="15.75" customHeight="1">
      <c r="A14898" s="4"/>
    </row>
    <row r="14899" ht="15.75" customHeight="1">
      <c r="A14899" s="4"/>
    </row>
    <row r="14900" ht="15.75" customHeight="1">
      <c r="A14900" s="4"/>
    </row>
    <row r="14901" ht="15.75" customHeight="1">
      <c r="A14901" s="4"/>
    </row>
    <row r="14902" ht="15.75" customHeight="1">
      <c r="A14902" s="4"/>
    </row>
    <row r="14903" ht="15.75" customHeight="1">
      <c r="A14903" s="4"/>
    </row>
    <row r="14904" ht="15.75" customHeight="1">
      <c r="A14904" s="4"/>
    </row>
    <row r="14905" ht="15.75" customHeight="1">
      <c r="A14905" s="4"/>
    </row>
    <row r="14906" ht="15.75" customHeight="1">
      <c r="A14906" s="4"/>
    </row>
    <row r="14907" ht="15.75" customHeight="1">
      <c r="A14907" s="4"/>
    </row>
    <row r="14908" ht="15.75" customHeight="1">
      <c r="A14908" s="4"/>
    </row>
    <row r="14909" ht="15.75" customHeight="1">
      <c r="A14909" s="4"/>
    </row>
    <row r="14910" ht="15.75" customHeight="1">
      <c r="A14910" s="4"/>
    </row>
    <row r="14911" ht="15.75" customHeight="1">
      <c r="A14911" s="4"/>
    </row>
    <row r="14912" ht="15.75" customHeight="1">
      <c r="A14912" s="4"/>
    </row>
    <row r="14913" ht="15.75" customHeight="1">
      <c r="A14913" s="4"/>
    </row>
    <row r="14914" ht="15.75" customHeight="1">
      <c r="A14914" s="4"/>
    </row>
    <row r="14915" ht="15.75" customHeight="1">
      <c r="A14915" s="4"/>
    </row>
    <row r="14916" ht="15.75" customHeight="1">
      <c r="A14916" s="4"/>
    </row>
    <row r="14917" ht="15.75" customHeight="1">
      <c r="A14917" s="4"/>
    </row>
    <row r="14918" ht="15.75" customHeight="1">
      <c r="A14918" s="4"/>
    </row>
    <row r="14919" ht="15.75" customHeight="1">
      <c r="A14919" s="4"/>
    </row>
    <row r="14920" ht="15.75" customHeight="1">
      <c r="A14920" s="4"/>
    </row>
    <row r="14921" ht="15.75" customHeight="1">
      <c r="A14921" s="4"/>
    </row>
    <row r="14922" ht="15.75" customHeight="1">
      <c r="A14922" s="4"/>
    </row>
    <row r="14923" ht="15.75" customHeight="1">
      <c r="A14923" s="4"/>
    </row>
    <row r="14924" ht="15.75" customHeight="1">
      <c r="A14924" s="4"/>
    </row>
    <row r="14925" ht="15.75" customHeight="1">
      <c r="A14925" s="4"/>
    </row>
    <row r="14926" ht="15.75" customHeight="1">
      <c r="A14926" s="4"/>
    </row>
    <row r="14927" ht="15.75" customHeight="1">
      <c r="A14927" s="4"/>
    </row>
    <row r="14928" ht="15.75" customHeight="1">
      <c r="A14928" s="4"/>
    </row>
    <row r="14929" ht="15.75" customHeight="1">
      <c r="A14929" s="4"/>
    </row>
    <row r="14930" ht="15.75" customHeight="1">
      <c r="A14930" s="4"/>
    </row>
    <row r="14931" ht="15.75" customHeight="1">
      <c r="A14931" s="4"/>
    </row>
    <row r="14932" ht="15.75" customHeight="1">
      <c r="A14932" s="4"/>
    </row>
    <row r="14933" ht="15.75" customHeight="1">
      <c r="A14933" s="4"/>
    </row>
    <row r="14934" ht="15.75" customHeight="1">
      <c r="A14934" s="4"/>
    </row>
    <row r="14935" ht="15.75" customHeight="1">
      <c r="A14935" s="4"/>
    </row>
    <row r="14936" ht="15.75" customHeight="1">
      <c r="A14936" s="4"/>
    </row>
    <row r="14937" ht="15.75" customHeight="1">
      <c r="A14937" s="4"/>
    </row>
    <row r="14938" ht="15.75" customHeight="1">
      <c r="A14938" s="4"/>
    </row>
    <row r="14939" ht="15.75" customHeight="1">
      <c r="A14939" s="4"/>
    </row>
    <row r="14940" ht="15.75" customHeight="1">
      <c r="A14940" s="4"/>
    </row>
    <row r="14941" ht="15.75" customHeight="1">
      <c r="A14941" s="4"/>
    </row>
    <row r="14942" ht="15.75" customHeight="1">
      <c r="A14942" s="4"/>
    </row>
    <row r="14943" ht="15.75" customHeight="1">
      <c r="A14943" s="4"/>
    </row>
    <row r="14944" ht="15.75" customHeight="1">
      <c r="A14944" s="4"/>
    </row>
    <row r="14945" ht="15.75" customHeight="1">
      <c r="A14945" s="4"/>
    </row>
    <row r="14946" ht="15.75" customHeight="1">
      <c r="A14946" s="4"/>
    </row>
    <row r="14947" ht="15.75" customHeight="1">
      <c r="A14947" s="4"/>
    </row>
    <row r="14948" ht="15.75" customHeight="1">
      <c r="A14948" s="4"/>
    </row>
    <row r="14949" ht="15.75" customHeight="1">
      <c r="A14949" s="4"/>
    </row>
    <row r="14950" ht="15.75" customHeight="1">
      <c r="A14950" s="4"/>
    </row>
    <row r="14951" ht="15.75" customHeight="1">
      <c r="A14951" s="4"/>
    </row>
    <row r="14952" ht="15.75" customHeight="1">
      <c r="A14952" s="4"/>
    </row>
    <row r="14953" ht="15.75" customHeight="1">
      <c r="A14953" s="4"/>
    </row>
    <row r="14954" ht="15.75" customHeight="1">
      <c r="A14954" s="4"/>
    </row>
    <row r="14955" ht="15.75" customHeight="1">
      <c r="A14955" s="4"/>
    </row>
    <row r="14956" ht="15.75" customHeight="1">
      <c r="A14956" s="4"/>
    </row>
    <row r="14957" ht="15.75" customHeight="1">
      <c r="A14957" s="4"/>
    </row>
    <row r="14958" ht="15.75" customHeight="1">
      <c r="A14958" s="4"/>
    </row>
    <row r="14959" ht="15.75" customHeight="1">
      <c r="A14959" s="4"/>
    </row>
    <row r="14960" ht="15.75" customHeight="1">
      <c r="A14960" s="4"/>
    </row>
    <row r="14961" ht="15.75" customHeight="1">
      <c r="A14961" s="4"/>
    </row>
    <row r="14962" ht="15.75" customHeight="1">
      <c r="A14962" s="4"/>
    </row>
    <row r="14963" ht="15.75" customHeight="1">
      <c r="A14963" s="4"/>
    </row>
    <row r="14964" ht="15.75" customHeight="1">
      <c r="A14964" s="4"/>
    </row>
    <row r="14965" ht="15.75" customHeight="1">
      <c r="A14965" s="4"/>
    </row>
    <row r="14966" ht="15.75" customHeight="1">
      <c r="A14966" s="4"/>
    </row>
    <row r="14967" ht="15.75" customHeight="1">
      <c r="A14967" s="4"/>
    </row>
    <row r="14968" ht="15.75" customHeight="1">
      <c r="A14968" s="4"/>
    </row>
    <row r="14969" ht="15.75" customHeight="1">
      <c r="A14969" s="4"/>
    </row>
    <row r="14970" ht="15.75" customHeight="1">
      <c r="A14970" s="4"/>
    </row>
    <row r="14971" ht="15.75" customHeight="1">
      <c r="A14971" s="4"/>
    </row>
    <row r="14972" ht="15.75" customHeight="1">
      <c r="A14972" s="4"/>
    </row>
    <row r="14973" ht="15.75" customHeight="1">
      <c r="A14973" s="4"/>
    </row>
    <row r="14974" ht="15.75" customHeight="1">
      <c r="A14974" s="4"/>
    </row>
    <row r="14975" ht="15.75" customHeight="1">
      <c r="A14975" s="4"/>
    </row>
    <row r="14976" ht="15.75" customHeight="1">
      <c r="A14976" s="4"/>
    </row>
    <row r="14977" ht="15.75" customHeight="1">
      <c r="A14977" s="4"/>
    </row>
    <row r="14978" ht="15.75" customHeight="1">
      <c r="A14978" s="4"/>
    </row>
    <row r="14979" ht="15.75" customHeight="1">
      <c r="A14979" s="4"/>
    </row>
    <row r="14980" ht="15.75" customHeight="1">
      <c r="A14980" s="4"/>
    </row>
    <row r="14981" ht="15.75" customHeight="1">
      <c r="A14981" s="4"/>
    </row>
    <row r="14982" ht="15.75" customHeight="1">
      <c r="A14982" s="4"/>
    </row>
    <row r="14983" ht="15.75" customHeight="1">
      <c r="A14983" s="4"/>
    </row>
    <row r="14984" ht="15.75" customHeight="1">
      <c r="A14984" s="4"/>
    </row>
    <row r="14985" ht="15.75" customHeight="1">
      <c r="A14985" s="4"/>
    </row>
    <row r="14986" ht="15.75" customHeight="1">
      <c r="A14986" s="4"/>
    </row>
    <row r="14987" ht="15.75" customHeight="1">
      <c r="A14987" s="4"/>
    </row>
    <row r="14988" ht="15.75" customHeight="1">
      <c r="A14988" s="4"/>
    </row>
    <row r="14989" ht="15.75" customHeight="1">
      <c r="A14989" s="4"/>
    </row>
    <row r="14990" ht="15.75" customHeight="1">
      <c r="A14990" s="4"/>
    </row>
    <row r="14991" ht="15.75" customHeight="1">
      <c r="A14991" s="4"/>
    </row>
    <row r="14992" ht="15.75" customHeight="1">
      <c r="A14992" s="4"/>
    </row>
    <row r="14993" ht="15.75" customHeight="1">
      <c r="A14993" s="4"/>
    </row>
    <row r="14994" ht="15.75" customHeight="1">
      <c r="A14994" s="4"/>
    </row>
    <row r="14995" ht="15.75" customHeight="1">
      <c r="A14995" s="4"/>
    </row>
    <row r="14996" ht="15.75" customHeight="1">
      <c r="A14996" s="4"/>
    </row>
    <row r="14997" ht="15.75" customHeight="1">
      <c r="A14997" s="4"/>
    </row>
    <row r="14998" ht="15.75" customHeight="1">
      <c r="A14998" s="4"/>
    </row>
    <row r="14999" ht="15.75" customHeight="1">
      <c r="A14999" s="4"/>
    </row>
    <row r="15000" ht="15.75" customHeight="1">
      <c r="A15000" s="4"/>
    </row>
    <row r="15001" ht="15.75" customHeight="1">
      <c r="A15001" s="4"/>
    </row>
    <row r="15002" ht="15.75" customHeight="1">
      <c r="A15002" s="4"/>
    </row>
    <row r="15003" ht="15.75" customHeight="1">
      <c r="A15003" s="4"/>
    </row>
    <row r="15004" ht="15.75" customHeight="1">
      <c r="A15004" s="4"/>
    </row>
    <row r="15005" ht="15.75" customHeight="1">
      <c r="A15005" s="4"/>
    </row>
    <row r="15006" ht="15.75" customHeight="1">
      <c r="A15006" s="4"/>
    </row>
    <row r="15007" ht="15.75" customHeight="1">
      <c r="A15007" s="4"/>
    </row>
    <row r="15008" ht="15.75" customHeight="1">
      <c r="A15008" s="4"/>
    </row>
    <row r="15009" ht="15.75" customHeight="1">
      <c r="A15009" s="4"/>
    </row>
    <row r="15010" ht="15.75" customHeight="1">
      <c r="A15010" s="4"/>
    </row>
    <row r="15011" ht="15.75" customHeight="1">
      <c r="A15011" s="4"/>
    </row>
    <row r="15012" ht="15.75" customHeight="1">
      <c r="A15012" s="4"/>
    </row>
    <row r="15013" ht="15.75" customHeight="1">
      <c r="A15013" s="4"/>
    </row>
    <row r="15014" ht="15.75" customHeight="1">
      <c r="A15014" s="4"/>
    </row>
    <row r="15015" ht="15.75" customHeight="1">
      <c r="A15015" s="4"/>
    </row>
    <row r="15016" ht="15.75" customHeight="1">
      <c r="A15016" s="4"/>
    </row>
    <row r="15017" ht="15.75" customHeight="1">
      <c r="A15017" s="4"/>
    </row>
    <row r="15018" ht="15.75" customHeight="1">
      <c r="A15018" s="4"/>
    </row>
    <row r="15019" ht="15.75" customHeight="1">
      <c r="A15019" s="4"/>
    </row>
    <row r="15020" ht="15.75" customHeight="1">
      <c r="A15020" s="4"/>
    </row>
    <row r="15021" ht="15.75" customHeight="1">
      <c r="A15021" s="4"/>
    </row>
    <row r="15022" ht="15.75" customHeight="1">
      <c r="A15022" s="4"/>
    </row>
    <row r="15023" ht="15.75" customHeight="1">
      <c r="A15023" s="4"/>
    </row>
    <row r="15024" ht="15.75" customHeight="1">
      <c r="A15024" s="4"/>
    </row>
    <row r="15025" ht="15.75" customHeight="1">
      <c r="A15025" s="4"/>
    </row>
    <row r="15026" ht="15.75" customHeight="1">
      <c r="A15026" s="4"/>
    </row>
    <row r="15027" ht="15.75" customHeight="1">
      <c r="A15027" s="4"/>
    </row>
    <row r="15028" ht="15.75" customHeight="1">
      <c r="A15028" s="4"/>
    </row>
    <row r="15029" ht="15.75" customHeight="1">
      <c r="A15029" s="4"/>
    </row>
    <row r="15030" ht="15.75" customHeight="1">
      <c r="A15030" s="4"/>
    </row>
    <row r="15031" ht="15.75" customHeight="1">
      <c r="A15031" s="4"/>
    </row>
    <row r="15032" ht="15.75" customHeight="1">
      <c r="A15032" s="4"/>
    </row>
    <row r="15033" ht="15.75" customHeight="1">
      <c r="A15033" s="4"/>
    </row>
    <row r="15034" ht="15.75" customHeight="1">
      <c r="A15034" s="4"/>
    </row>
    <row r="15035" ht="15.75" customHeight="1">
      <c r="A15035" s="4"/>
    </row>
    <row r="15036" ht="15.75" customHeight="1">
      <c r="A15036" s="4"/>
    </row>
    <row r="15037" ht="15.75" customHeight="1">
      <c r="A15037" s="4"/>
    </row>
    <row r="15038" ht="15.75" customHeight="1">
      <c r="A15038" s="4"/>
    </row>
    <row r="15039" ht="15.75" customHeight="1">
      <c r="A15039" s="4"/>
    </row>
    <row r="15040" ht="15.75" customHeight="1">
      <c r="A15040" s="4"/>
    </row>
    <row r="15041" ht="15.75" customHeight="1">
      <c r="A15041" s="4"/>
    </row>
    <row r="15042" ht="15.75" customHeight="1">
      <c r="A15042" s="4"/>
    </row>
    <row r="15043" ht="15.75" customHeight="1">
      <c r="A15043" s="4"/>
    </row>
    <row r="15044" ht="15.75" customHeight="1">
      <c r="A15044" s="4"/>
    </row>
    <row r="15045" ht="15.75" customHeight="1">
      <c r="A15045" s="4"/>
    </row>
    <row r="15046" ht="15.75" customHeight="1">
      <c r="A15046" s="4"/>
    </row>
    <row r="15047" ht="15.75" customHeight="1">
      <c r="A15047" s="4"/>
    </row>
    <row r="15048" ht="15.75" customHeight="1">
      <c r="A15048" s="4"/>
    </row>
    <row r="15049" ht="15.75" customHeight="1">
      <c r="A15049" s="4"/>
    </row>
    <row r="15050" ht="15.75" customHeight="1">
      <c r="A15050" s="4"/>
    </row>
    <row r="15051" ht="15.75" customHeight="1">
      <c r="A15051" s="4"/>
    </row>
    <row r="15052" ht="15.75" customHeight="1">
      <c r="A15052" s="4"/>
    </row>
    <row r="15053" ht="15.75" customHeight="1">
      <c r="A15053" s="4"/>
    </row>
    <row r="15054" ht="15.75" customHeight="1">
      <c r="A15054" s="4"/>
    </row>
    <row r="15055" ht="15.75" customHeight="1">
      <c r="A15055" s="4"/>
    </row>
    <row r="15056" ht="15.75" customHeight="1">
      <c r="A15056" s="4"/>
    </row>
    <row r="15057" ht="15.75" customHeight="1">
      <c r="A15057" s="4"/>
    </row>
    <row r="15058" ht="15.75" customHeight="1">
      <c r="A15058" s="4"/>
    </row>
    <row r="15059" ht="15.75" customHeight="1">
      <c r="A15059" s="4"/>
    </row>
    <row r="15060" ht="15.75" customHeight="1">
      <c r="A15060" s="4"/>
    </row>
    <row r="15061" ht="15.75" customHeight="1">
      <c r="A15061" s="4"/>
    </row>
    <row r="15062" ht="15.75" customHeight="1">
      <c r="A15062" s="4"/>
    </row>
    <row r="15063" ht="15.75" customHeight="1">
      <c r="A15063" s="4"/>
    </row>
    <row r="15064" ht="15.75" customHeight="1">
      <c r="A15064" s="4"/>
    </row>
    <row r="15065" ht="15.75" customHeight="1">
      <c r="A15065" s="4"/>
    </row>
    <row r="15066" ht="15.75" customHeight="1">
      <c r="A15066" s="4"/>
    </row>
    <row r="15067" ht="15.75" customHeight="1">
      <c r="A15067" s="4"/>
    </row>
    <row r="15068" ht="15.75" customHeight="1">
      <c r="A15068" s="4"/>
    </row>
    <row r="15069" ht="15.75" customHeight="1">
      <c r="A15069" s="4"/>
    </row>
    <row r="15070" ht="15.75" customHeight="1">
      <c r="A15070" s="4"/>
    </row>
    <row r="15071" ht="15.75" customHeight="1">
      <c r="A15071" s="4"/>
    </row>
    <row r="15072" ht="15.75" customHeight="1">
      <c r="A15072" s="4"/>
    </row>
    <row r="15073" ht="15.75" customHeight="1">
      <c r="A15073" s="4"/>
    </row>
    <row r="15074" ht="15.75" customHeight="1">
      <c r="A15074" s="4"/>
    </row>
    <row r="15075" ht="15.75" customHeight="1">
      <c r="A15075" s="4"/>
    </row>
    <row r="15076" ht="15.75" customHeight="1">
      <c r="A15076" s="4"/>
    </row>
    <row r="15077" ht="15.75" customHeight="1">
      <c r="A15077" s="4"/>
    </row>
    <row r="15078" ht="15.75" customHeight="1">
      <c r="A15078" s="4"/>
    </row>
    <row r="15079" ht="15.75" customHeight="1">
      <c r="A15079" s="4"/>
    </row>
    <row r="15080" ht="15.75" customHeight="1">
      <c r="A15080" s="4"/>
    </row>
    <row r="15081" ht="15.75" customHeight="1">
      <c r="A15081" s="4"/>
    </row>
    <row r="15082" ht="15.75" customHeight="1">
      <c r="A15082" s="4"/>
    </row>
    <row r="15083" ht="15.75" customHeight="1">
      <c r="A15083" s="4"/>
    </row>
    <row r="15084" ht="15.75" customHeight="1">
      <c r="A15084" s="4"/>
    </row>
    <row r="15085" ht="15.75" customHeight="1">
      <c r="A15085" s="4"/>
    </row>
    <row r="15086" ht="15.75" customHeight="1">
      <c r="A15086" s="4"/>
    </row>
    <row r="15087" ht="15.75" customHeight="1">
      <c r="A15087" s="4"/>
    </row>
    <row r="15088" ht="15.75" customHeight="1">
      <c r="A15088" s="4"/>
    </row>
    <row r="15089" ht="15.75" customHeight="1">
      <c r="A15089" s="4"/>
    </row>
    <row r="15090" ht="15.75" customHeight="1">
      <c r="A15090" s="4"/>
    </row>
    <row r="15091" ht="15.75" customHeight="1">
      <c r="A15091" s="4"/>
    </row>
    <row r="15092" ht="15.75" customHeight="1">
      <c r="A15092" s="4"/>
    </row>
    <row r="15093" ht="15.75" customHeight="1">
      <c r="A15093" s="4"/>
    </row>
    <row r="15094" ht="15.75" customHeight="1">
      <c r="A15094" s="4"/>
    </row>
    <row r="15095" ht="15.75" customHeight="1">
      <c r="A15095" s="4"/>
    </row>
    <row r="15096" ht="15.75" customHeight="1">
      <c r="A15096" s="4"/>
    </row>
    <row r="15097" ht="15.75" customHeight="1">
      <c r="A15097" s="4"/>
    </row>
    <row r="15098" ht="15.75" customHeight="1">
      <c r="A15098" s="4"/>
    </row>
    <row r="15099" ht="15.75" customHeight="1">
      <c r="A15099" s="4"/>
    </row>
    <row r="15100" ht="15.75" customHeight="1">
      <c r="A15100" s="4"/>
    </row>
    <row r="15101" ht="15.75" customHeight="1">
      <c r="A15101" s="4"/>
    </row>
    <row r="15102" ht="15.75" customHeight="1">
      <c r="A15102" s="4"/>
    </row>
    <row r="15103" ht="15.75" customHeight="1">
      <c r="A15103" s="4"/>
    </row>
    <row r="15104" ht="15.75" customHeight="1">
      <c r="A15104" s="4"/>
    </row>
    <row r="15105" ht="15.75" customHeight="1">
      <c r="A15105" s="4"/>
    </row>
    <row r="15106" ht="15.75" customHeight="1">
      <c r="A15106" s="4"/>
    </row>
    <row r="15107" ht="15.75" customHeight="1">
      <c r="A15107" s="4"/>
    </row>
    <row r="15108" ht="15.75" customHeight="1">
      <c r="A15108" s="4"/>
    </row>
    <row r="15109" ht="15.75" customHeight="1">
      <c r="A15109" s="4"/>
    </row>
    <row r="15110" ht="15.75" customHeight="1">
      <c r="A15110" s="4"/>
    </row>
    <row r="15111" ht="15.75" customHeight="1">
      <c r="A15111" s="4"/>
    </row>
    <row r="15112" ht="15.75" customHeight="1">
      <c r="A15112" s="4"/>
    </row>
    <row r="15113" ht="15.75" customHeight="1">
      <c r="A15113" s="4"/>
    </row>
    <row r="15114" ht="15.75" customHeight="1">
      <c r="A15114" s="4"/>
    </row>
    <row r="15115" ht="15.75" customHeight="1">
      <c r="A15115" s="4"/>
    </row>
    <row r="15116" ht="15.75" customHeight="1">
      <c r="A15116" s="4"/>
    </row>
    <row r="15117" ht="15.75" customHeight="1">
      <c r="A15117" s="4"/>
    </row>
    <row r="15118" ht="15.75" customHeight="1">
      <c r="A15118" s="4"/>
    </row>
    <row r="15119" ht="15.75" customHeight="1">
      <c r="A15119" s="4"/>
    </row>
    <row r="15120" ht="15.75" customHeight="1">
      <c r="A15120" s="4"/>
    </row>
    <row r="15121" ht="15.75" customHeight="1">
      <c r="A15121" s="4"/>
    </row>
    <row r="15122" ht="15.75" customHeight="1">
      <c r="A15122" s="4"/>
    </row>
    <row r="15123" ht="15.75" customHeight="1">
      <c r="A15123" s="4"/>
    </row>
    <row r="15124" ht="15.75" customHeight="1">
      <c r="A15124" s="4"/>
    </row>
    <row r="15125" ht="15.75" customHeight="1">
      <c r="A15125" s="4"/>
    </row>
    <row r="15126" ht="15.75" customHeight="1">
      <c r="A15126" s="4"/>
    </row>
    <row r="15127" ht="15.75" customHeight="1">
      <c r="A15127" s="4"/>
    </row>
    <row r="15128" ht="15.75" customHeight="1">
      <c r="A15128" s="4"/>
    </row>
    <row r="15129" ht="15.75" customHeight="1">
      <c r="A15129" s="4"/>
    </row>
    <row r="15130" ht="15.75" customHeight="1">
      <c r="A15130" s="4"/>
    </row>
    <row r="15131" ht="15.75" customHeight="1">
      <c r="A15131" s="4"/>
    </row>
    <row r="15132" ht="15.75" customHeight="1">
      <c r="A15132" s="4"/>
    </row>
    <row r="15133" ht="15.75" customHeight="1">
      <c r="A15133" s="4"/>
    </row>
    <row r="15134" ht="15.75" customHeight="1">
      <c r="A15134" s="4"/>
    </row>
    <row r="15135" ht="15.75" customHeight="1">
      <c r="A15135" s="4"/>
    </row>
    <row r="15136" ht="15.75" customHeight="1">
      <c r="A15136" s="4"/>
    </row>
    <row r="15137" ht="15.75" customHeight="1">
      <c r="A15137" s="4"/>
    </row>
    <row r="15138" ht="15.75" customHeight="1">
      <c r="A15138" s="4"/>
    </row>
    <row r="15139" ht="15.75" customHeight="1">
      <c r="A15139" s="4"/>
    </row>
    <row r="15140" ht="15.75" customHeight="1">
      <c r="A15140" s="4"/>
    </row>
    <row r="15141" ht="15.75" customHeight="1">
      <c r="A15141" s="4"/>
    </row>
    <row r="15142" ht="15.75" customHeight="1">
      <c r="A15142" s="4"/>
    </row>
    <row r="15143" ht="15.75" customHeight="1">
      <c r="A15143" s="4"/>
    </row>
    <row r="15144" ht="15.75" customHeight="1">
      <c r="A15144" s="4"/>
    </row>
    <row r="15145" ht="15.75" customHeight="1">
      <c r="A15145" s="4"/>
    </row>
    <row r="15146" ht="15.75" customHeight="1">
      <c r="A15146" s="4"/>
    </row>
    <row r="15147" ht="15.75" customHeight="1">
      <c r="A15147" s="4"/>
    </row>
    <row r="15148" ht="15.75" customHeight="1">
      <c r="A15148" s="4"/>
    </row>
    <row r="15149" ht="15.75" customHeight="1">
      <c r="A15149" s="4"/>
    </row>
    <row r="15150" ht="15.75" customHeight="1">
      <c r="A15150" s="4"/>
    </row>
    <row r="15151" ht="15.75" customHeight="1">
      <c r="A15151" s="4"/>
    </row>
    <row r="15152" ht="15.75" customHeight="1">
      <c r="A15152" s="4"/>
    </row>
    <row r="15153" ht="15.75" customHeight="1">
      <c r="A15153" s="4"/>
    </row>
    <row r="15154" ht="15.75" customHeight="1">
      <c r="A15154" s="4"/>
    </row>
    <row r="15155" ht="15.75" customHeight="1">
      <c r="A15155" s="4"/>
    </row>
    <row r="15156" ht="15.75" customHeight="1">
      <c r="A15156" s="4"/>
    </row>
    <row r="15157" ht="15.75" customHeight="1">
      <c r="A15157" s="4"/>
    </row>
    <row r="15158" ht="15.75" customHeight="1">
      <c r="A15158" s="4"/>
    </row>
    <row r="15159" ht="15.75" customHeight="1">
      <c r="A15159" s="4"/>
    </row>
    <row r="15160" ht="15.75" customHeight="1">
      <c r="A15160" s="4"/>
    </row>
    <row r="15161" ht="15.75" customHeight="1">
      <c r="A15161" s="4"/>
    </row>
    <row r="15162" ht="15.75" customHeight="1">
      <c r="A15162" s="4"/>
    </row>
    <row r="15163" ht="15.75" customHeight="1">
      <c r="A15163" s="4"/>
    </row>
    <row r="15164" ht="15.75" customHeight="1">
      <c r="A15164" s="4"/>
    </row>
    <row r="15165" ht="15.75" customHeight="1">
      <c r="A15165" s="4"/>
    </row>
    <row r="15166" ht="15.75" customHeight="1">
      <c r="A15166" s="4"/>
    </row>
    <row r="15167" ht="15.75" customHeight="1">
      <c r="A15167" s="4"/>
    </row>
    <row r="15168" ht="15.75" customHeight="1">
      <c r="A15168" s="4"/>
    </row>
    <row r="15169" ht="15.75" customHeight="1">
      <c r="A15169" s="4"/>
    </row>
    <row r="15170" ht="15.75" customHeight="1">
      <c r="A15170" s="4"/>
    </row>
    <row r="15171" ht="15.75" customHeight="1">
      <c r="A15171" s="4"/>
    </row>
    <row r="15172" ht="15.75" customHeight="1">
      <c r="A15172" s="4"/>
    </row>
    <row r="15173" ht="15.75" customHeight="1">
      <c r="A15173" s="4"/>
    </row>
    <row r="15174" ht="15.75" customHeight="1">
      <c r="A15174" s="4"/>
    </row>
    <row r="15175" ht="15.75" customHeight="1">
      <c r="A15175" s="4"/>
    </row>
    <row r="15176" ht="15.75" customHeight="1">
      <c r="A15176" s="4"/>
    </row>
    <row r="15177" ht="15.75" customHeight="1">
      <c r="A15177" s="4"/>
    </row>
    <row r="15178" ht="15.75" customHeight="1">
      <c r="A15178" s="4"/>
    </row>
    <row r="15179" ht="15.75" customHeight="1">
      <c r="A15179" s="4"/>
    </row>
    <row r="15180" ht="15.75" customHeight="1">
      <c r="A15180" s="4"/>
    </row>
    <row r="15181" ht="15.75" customHeight="1">
      <c r="A15181" s="4"/>
    </row>
    <row r="15182" ht="15.75" customHeight="1">
      <c r="A15182" s="4"/>
    </row>
    <row r="15183" ht="15.75" customHeight="1">
      <c r="A15183" s="4"/>
    </row>
    <row r="15184" ht="15.75" customHeight="1">
      <c r="A15184" s="4"/>
    </row>
    <row r="15185" ht="15.75" customHeight="1">
      <c r="A15185" s="4"/>
    </row>
    <row r="15186" ht="15.75" customHeight="1">
      <c r="A15186" s="4"/>
    </row>
    <row r="15187" ht="15.75" customHeight="1">
      <c r="A15187" s="4"/>
    </row>
    <row r="15188" ht="15.75" customHeight="1">
      <c r="A15188" s="4"/>
    </row>
    <row r="15189" ht="15.75" customHeight="1">
      <c r="A15189" s="4"/>
    </row>
    <row r="15190" ht="15.75" customHeight="1">
      <c r="A15190" s="4"/>
    </row>
    <row r="15191" ht="15.75" customHeight="1">
      <c r="A15191" s="4"/>
    </row>
    <row r="15192" ht="15.75" customHeight="1">
      <c r="A15192" s="4"/>
    </row>
    <row r="15193" ht="15.75" customHeight="1">
      <c r="A15193" s="4"/>
    </row>
    <row r="15194" ht="15.75" customHeight="1">
      <c r="A15194" s="4"/>
    </row>
    <row r="15195" ht="15.75" customHeight="1">
      <c r="A15195" s="4"/>
    </row>
    <row r="15196" ht="15.75" customHeight="1">
      <c r="A15196" s="4"/>
    </row>
    <row r="15197" ht="15.75" customHeight="1">
      <c r="A15197" s="4"/>
    </row>
    <row r="15198" ht="15.75" customHeight="1">
      <c r="A15198" s="4"/>
    </row>
    <row r="15199" ht="15.75" customHeight="1">
      <c r="A15199" s="4"/>
    </row>
    <row r="15200" ht="15.75" customHeight="1">
      <c r="A15200" s="4"/>
    </row>
    <row r="15201" ht="15.75" customHeight="1">
      <c r="A15201" s="4"/>
    </row>
    <row r="15202" ht="15.75" customHeight="1">
      <c r="A15202" s="4"/>
    </row>
    <row r="15203" ht="15.75" customHeight="1">
      <c r="A15203" s="4"/>
    </row>
    <row r="15204" ht="15.75" customHeight="1">
      <c r="A15204" s="4"/>
    </row>
    <row r="15205" ht="15.75" customHeight="1">
      <c r="A15205" s="4"/>
    </row>
    <row r="15206" ht="15.75" customHeight="1">
      <c r="A15206" s="4"/>
    </row>
    <row r="15207" ht="15.75" customHeight="1">
      <c r="A15207" s="4"/>
    </row>
    <row r="15208" ht="15.75" customHeight="1">
      <c r="A15208" s="4"/>
    </row>
    <row r="15209" ht="15.75" customHeight="1">
      <c r="A15209" s="4"/>
    </row>
    <row r="15210" ht="15.75" customHeight="1">
      <c r="A15210" s="4"/>
    </row>
    <row r="15211" ht="15.75" customHeight="1">
      <c r="A15211" s="4"/>
    </row>
    <row r="15212" ht="15.75" customHeight="1">
      <c r="A15212" s="4"/>
    </row>
    <row r="15213" ht="15.75" customHeight="1">
      <c r="A15213" s="4"/>
    </row>
    <row r="15214" ht="15.75" customHeight="1">
      <c r="A15214" s="4"/>
    </row>
    <row r="15215" ht="15.75" customHeight="1">
      <c r="A15215" s="4"/>
    </row>
    <row r="15216" ht="15.75" customHeight="1">
      <c r="A15216" s="4"/>
    </row>
    <row r="15217" ht="15.75" customHeight="1">
      <c r="A15217" s="4"/>
    </row>
    <row r="15218" ht="15.75" customHeight="1">
      <c r="A15218" s="4"/>
    </row>
    <row r="15219" ht="15.75" customHeight="1">
      <c r="A15219" s="4"/>
    </row>
    <row r="15220" ht="15.75" customHeight="1">
      <c r="A15220" s="4"/>
    </row>
    <row r="15221" ht="15.75" customHeight="1">
      <c r="A15221" s="4"/>
    </row>
    <row r="15222" ht="15.75" customHeight="1">
      <c r="A15222" s="4"/>
    </row>
    <row r="15223" ht="15.75" customHeight="1">
      <c r="A15223" s="4"/>
    </row>
    <row r="15224" ht="15.75" customHeight="1">
      <c r="A15224" s="4"/>
    </row>
    <row r="15225" ht="15.75" customHeight="1">
      <c r="A15225" s="4"/>
    </row>
    <row r="15226" ht="15.75" customHeight="1">
      <c r="A15226" s="4"/>
    </row>
    <row r="15227" ht="15.75" customHeight="1">
      <c r="A15227" s="4"/>
    </row>
    <row r="15228" ht="15.75" customHeight="1">
      <c r="A15228" s="4"/>
    </row>
    <row r="15229" ht="15.75" customHeight="1">
      <c r="A15229" s="4"/>
    </row>
    <row r="15230" ht="15.75" customHeight="1">
      <c r="A15230" s="4"/>
    </row>
    <row r="15231" ht="15.75" customHeight="1">
      <c r="A15231" s="4"/>
    </row>
    <row r="15232" ht="15.75" customHeight="1">
      <c r="A15232" s="4"/>
    </row>
    <row r="15233" ht="15.75" customHeight="1">
      <c r="A15233" s="4"/>
    </row>
    <row r="15234" ht="15.75" customHeight="1">
      <c r="A15234" s="4"/>
    </row>
    <row r="15235" ht="15.75" customHeight="1">
      <c r="A15235" s="4"/>
    </row>
    <row r="15236" ht="15.75" customHeight="1">
      <c r="A15236" s="4"/>
    </row>
    <row r="15237" ht="15.75" customHeight="1">
      <c r="A15237" s="4"/>
    </row>
    <row r="15238" ht="15.75" customHeight="1">
      <c r="A15238" s="4"/>
    </row>
    <row r="15239" ht="15.75" customHeight="1">
      <c r="A15239" s="4"/>
    </row>
    <row r="15240" ht="15.75" customHeight="1">
      <c r="A15240" s="4"/>
    </row>
    <row r="15241" ht="15.75" customHeight="1">
      <c r="A15241" s="4"/>
    </row>
    <row r="15242" ht="15.75" customHeight="1">
      <c r="A15242" s="4"/>
    </row>
    <row r="15243" ht="15.75" customHeight="1">
      <c r="A15243" s="4"/>
    </row>
    <row r="15244" ht="15.75" customHeight="1">
      <c r="A15244" s="4"/>
    </row>
    <row r="15245" ht="15.75" customHeight="1">
      <c r="A15245" s="4"/>
    </row>
    <row r="15246" ht="15.75" customHeight="1">
      <c r="A15246" s="4"/>
    </row>
    <row r="15247" ht="15.75" customHeight="1">
      <c r="A15247" s="4"/>
    </row>
    <row r="15248" ht="15.75" customHeight="1">
      <c r="A15248" s="4"/>
    </row>
    <row r="15249" ht="15.75" customHeight="1">
      <c r="A15249" s="4"/>
    </row>
    <row r="15250" ht="15.75" customHeight="1">
      <c r="A15250" s="4"/>
    </row>
    <row r="15251" ht="15.75" customHeight="1">
      <c r="A15251" s="4"/>
    </row>
    <row r="15252" ht="15.75" customHeight="1">
      <c r="A15252" s="4"/>
    </row>
    <row r="15253" ht="15.75" customHeight="1">
      <c r="A15253" s="4"/>
    </row>
    <row r="15254" ht="15.75" customHeight="1">
      <c r="A15254" s="4"/>
    </row>
    <row r="15255" ht="15.75" customHeight="1">
      <c r="A15255" s="4"/>
    </row>
    <row r="15256" ht="15.75" customHeight="1">
      <c r="A15256" s="4"/>
    </row>
    <row r="15257" ht="15.75" customHeight="1">
      <c r="A15257" s="4"/>
    </row>
    <row r="15258" ht="15.75" customHeight="1">
      <c r="A15258" s="4"/>
    </row>
    <row r="15259" ht="15.75" customHeight="1">
      <c r="A15259" s="4"/>
    </row>
    <row r="15260" ht="15.75" customHeight="1">
      <c r="A15260" s="4"/>
    </row>
    <row r="15261" ht="15.75" customHeight="1">
      <c r="A15261" s="4"/>
    </row>
    <row r="15262" ht="15.75" customHeight="1">
      <c r="A15262" s="4"/>
    </row>
    <row r="15263" ht="15.75" customHeight="1">
      <c r="A15263" s="4"/>
    </row>
    <row r="15264" ht="15.75" customHeight="1">
      <c r="A15264" s="4"/>
    </row>
    <row r="15265" ht="15.75" customHeight="1">
      <c r="A15265" s="4"/>
    </row>
    <row r="15266" ht="15.75" customHeight="1">
      <c r="A15266" s="4"/>
    </row>
    <row r="15267" ht="15.75" customHeight="1">
      <c r="A15267" s="4"/>
    </row>
    <row r="15268" ht="15.75" customHeight="1">
      <c r="A15268" s="4"/>
    </row>
    <row r="15269" ht="15.75" customHeight="1">
      <c r="A15269" s="4"/>
    </row>
    <row r="15270" ht="15.75" customHeight="1">
      <c r="A15270" s="4"/>
    </row>
    <row r="15271" ht="15.75" customHeight="1">
      <c r="A15271" s="4"/>
    </row>
    <row r="15272" ht="15.75" customHeight="1">
      <c r="A15272" s="4"/>
    </row>
    <row r="15273" ht="15.75" customHeight="1">
      <c r="A15273" s="4"/>
    </row>
    <row r="15274" ht="15.75" customHeight="1">
      <c r="A15274" s="4"/>
    </row>
    <row r="15275" ht="15.75" customHeight="1">
      <c r="A15275" s="4"/>
    </row>
    <row r="15276" ht="15.75" customHeight="1">
      <c r="A15276" s="4"/>
    </row>
    <row r="15277" ht="15.75" customHeight="1">
      <c r="A15277" s="4"/>
    </row>
    <row r="15278" ht="15.75" customHeight="1">
      <c r="A15278" s="4"/>
    </row>
    <row r="15279" ht="15.75" customHeight="1">
      <c r="A15279" s="4"/>
    </row>
    <row r="15280" ht="15.75" customHeight="1">
      <c r="A15280" s="4"/>
    </row>
    <row r="15281" ht="15.75" customHeight="1">
      <c r="A15281" s="4"/>
    </row>
    <row r="15282" ht="15.75" customHeight="1">
      <c r="A15282" s="4"/>
    </row>
    <row r="15283" ht="15.75" customHeight="1">
      <c r="A15283" s="4"/>
    </row>
    <row r="15284" ht="15.75" customHeight="1">
      <c r="A15284" s="4"/>
    </row>
    <row r="15285" ht="15.75" customHeight="1">
      <c r="A15285" s="4"/>
    </row>
    <row r="15286" ht="15.75" customHeight="1">
      <c r="A15286" s="4"/>
    </row>
    <row r="15287" ht="15.75" customHeight="1">
      <c r="A15287" s="4"/>
    </row>
    <row r="15288" ht="15.75" customHeight="1">
      <c r="A15288" s="4"/>
    </row>
    <row r="15289" ht="15.75" customHeight="1">
      <c r="A15289" s="4"/>
    </row>
    <row r="15290" ht="15.75" customHeight="1">
      <c r="A15290" s="4"/>
    </row>
    <row r="15291" ht="15.75" customHeight="1">
      <c r="A15291" s="4"/>
    </row>
    <row r="15292" ht="15.75" customHeight="1">
      <c r="A15292" s="4"/>
    </row>
    <row r="15293" ht="15.75" customHeight="1">
      <c r="A15293" s="4"/>
    </row>
    <row r="15294" ht="15.75" customHeight="1">
      <c r="A15294" s="4"/>
    </row>
    <row r="15295" ht="15.75" customHeight="1">
      <c r="A15295" s="4"/>
    </row>
    <row r="15296" ht="15.75" customHeight="1">
      <c r="A15296" s="4"/>
    </row>
    <row r="15297" ht="15.75" customHeight="1">
      <c r="A15297" s="4"/>
    </row>
    <row r="15298" ht="15.75" customHeight="1">
      <c r="A15298" s="4"/>
    </row>
    <row r="15299" ht="15.75" customHeight="1">
      <c r="A15299" s="4"/>
    </row>
    <row r="15300" ht="15.75" customHeight="1">
      <c r="A15300" s="4"/>
    </row>
    <row r="15301" ht="15.75" customHeight="1">
      <c r="A15301" s="4"/>
    </row>
    <row r="15302" ht="15.75" customHeight="1">
      <c r="A15302" s="4"/>
    </row>
    <row r="15303" ht="15.75" customHeight="1">
      <c r="A15303" s="4"/>
    </row>
    <row r="15304" ht="15.75" customHeight="1">
      <c r="A15304" s="4"/>
    </row>
    <row r="15305" ht="15.75" customHeight="1">
      <c r="A15305" s="4"/>
    </row>
    <row r="15306" ht="15.75" customHeight="1">
      <c r="A15306" s="4"/>
    </row>
    <row r="15307" ht="15.75" customHeight="1">
      <c r="A15307" s="4"/>
    </row>
    <row r="15308" ht="15.75" customHeight="1">
      <c r="A15308" s="4"/>
    </row>
    <row r="15309" ht="15.75" customHeight="1">
      <c r="A15309" s="4"/>
    </row>
    <row r="15310" ht="15.75" customHeight="1">
      <c r="A15310" s="4"/>
    </row>
    <row r="15311" ht="15.75" customHeight="1">
      <c r="A15311" s="4"/>
    </row>
    <row r="15312" ht="15.75" customHeight="1">
      <c r="A15312" s="4"/>
    </row>
    <row r="15313" ht="15.75" customHeight="1">
      <c r="A15313" s="4"/>
    </row>
    <row r="15314" ht="15.75" customHeight="1">
      <c r="A15314" s="4"/>
    </row>
    <row r="15315" ht="15.75" customHeight="1">
      <c r="A15315" s="4"/>
    </row>
    <row r="15316" ht="15.75" customHeight="1">
      <c r="A15316" s="4"/>
    </row>
    <row r="15317" ht="15.75" customHeight="1">
      <c r="A15317" s="4"/>
    </row>
    <row r="15318" ht="15.75" customHeight="1">
      <c r="A15318" s="4"/>
    </row>
    <row r="15319" ht="15.75" customHeight="1">
      <c r="A15319" s="4"/>
    </row>
    <row r="15320" ht="15.75" customHeight="1">
      <c r="A15320" s="4"/>
    </row>
    <row r="15321" ht="15.75" customHeight="1">
      <c r="A15321" s="4"/>
    </row>
    <row r="15322" ht="15.75" customHeight="1">
      <c r="A15322" s="4"/>
    </row>
    <row r="15323" ht="15.75" customHeight="1">
      <c r="A15323" s="4"/>
    </row>
    <row r="15324" ht="15.75" customHeight="1">
      <c r="A15324" s="4"/>
    </row>
    <row r="15325" ht="15.75" customHeight="1">
      <c r="A15325" s="4"/>
    </row>
    <row r="15326" ht="15.75" customHeight="1">
      <c r="A15326" s="4"/>
    </row>
    <row r="15327" ht="15.75" customHeight="1">
      <c r="A15327" s="4"/>
    </row>
    <row r="15328" ht="15.75" customHeight="1">
      <c r="A15328" s="4"/>
    </row>
    <row r="15329" ht="15.75" customHeight="1">
      <c r="A15329" s="4"/>
    </row>
    <row r="15330" ht="15.75" customHeight="1">
      <c r="A15330" s="4"/>
    </row>
    <row r="15331" ht="15.75" customHeight="1">
      <c r="A15331" s="4"/>
    </row>
    <row r="15332" ht="15.75" customHeight="1">
      <c r="A15332" s="4"/>
    </row>
    <row r="15333" ht="15.75" customHeight="1">
      <c r="A15333" s="4"/>
    </row>
    <row r="15334" ht="15.75" customHeight="1">
      <c r="A15334" s="4"/>
    </row>
    <row r="15335" ht="15.75" customHeight="1">
      <c r="A15335" s="4"/>
    </row>
    <row r="15336" ht="15.75" customHeight="1">
      <c r="A15336" s="4"/>
    </row>
    <row r="15337" ht="15.75" customHeight="1">
      <c r="A15337" s="4"/>
    </row>
    <row r="15338" ht="15.75" customHeight="1">
      <c r="A15338" s="4"/>
    </row>
    <row r="15339" ht="15.75" customHeight="1">
      <c r="A15339" s="4"/>
    </row>
    <row r="15340" ht="15.75" customHeight="1">
      <c r="A15340" s="4"/>
    </row>
    <row r="15341" ht="15.75" customHeight="1">
      <c r="A15341" s="4"/>
    </row>
    <row r="15342" ht="15.75" customHeight="1">
      <c r="A15342" s="4"/>
    </row>
    <row r="15343" ht="15.75" customHeight="1">
      <c r="A15343" s="4"/>
    </row>
    <row r="15344" ht="15.75" customHeight="1">
      <c r="A15344" s="4"/>
    </row>
    <row r="15345" ht="15.75" customHeight="1">
      <c r="A15345" s="4"/>
    </row>
    <row r="15346" ht="15.75" customHeight="1">
      <c r="A15346" s="4"/>
    </row>
    <row r="15347" ht="15.75" customHeight="1">
      <c r="A15347" s="4"/>
    </row>
    <row r="15348" ht="15.75" customHeight="1">
      <c r="A15348" s="4"/>
    </row>
    <row r="15349" ht="15.75" customHeight="1">
      <c r="A15349" s="4"/>
    </row>
    <row r="15350" ht="15.75" customHeight="1">
      <c r="A15350" s="4"/>
    </row>
    <row r="15351" ht="15.75" customHeight="1">
      <c r="A15351" s="4"/>
    </row>
    <row r="15352" ht="15.75" customHeight="1">
      <c r="A15352" s="4"/>
    </row>
    <row r="15353" ht="15.75" customHeight="1">
      <c r="A15353" s="4"/>
    </row>
    <row r="15354" ht="15.75" customHeight="1">
      <c r="A15354" s="4"/>
    </row>
    <row r="15355" ht="15.75" customHeight="1">
      <c r="A15355" s="4"/>
    </row>
    <row r="15356" ht="15.75" customHeight="1">
      <c r="A15356" s="4"/>
    </row>
    <row r="15357" ht="15.75" customHeight="1">
      <c r="A15357" s="4"/>
    </row>
    <row r="15358" ht="15.75" customHeight="1">
      <c r="A15358" s="4"/>
    </row>
    <row r="15359" ht="15.75" customHeight="1">
      <c r="A15359" s="4"/>
    </row>
    <row r="15360" ht="15.75" customHeight="1">
      <c r="A15360" s="4"/>
    </row>
    <row r="15361" ht="15.75" customHeight="1">
      <c r="A15361" s="4"/>
    </row>
    <row r="15362" ht="15.75" customHeight="1">
      <c r="A15362" s="4"/>
    </row>
    <row r="15363" ht="15.75" customHeight="1">
      <c r="A15363" s="4"/>
    </row>
    <row r="15364" ht="15.75" customHeight="1">
      <c r="A15364" s="4"/>
    </row>
    <row r="15365" ht="15.75" customHeight="1">
      <c r="A15365" s="4"/>
    </row>
    <row r="15366" ht="15.75" customHeight="1">
      <c r="A15366" s="4"/>
    </row>
    <row r="15367" ht="15.75" customHeight="1">
      <c r="A15367" s="4"/>
    </row>
    <row r="15368" ht="15.75" customHeight="1">
      <c r="A15368" s="4"/>
    </row>
    <row r="15369" ht="15.75" customHeight="1">
      <c r="A15369" s="4"/>
    </row>
    <row r="15370" ht="15.75" customHeight="1">
      <c r="A15370" s="4"/>
    </row>
    <row r="15371" ht="15.75" customHeight="1">
      <c r="A15371" s="4"/>
    </row>
    <row r="15372" ht="15.75" customHeight="1">
      <c r="A15372" s="4"/>
    </row>
    <row r="15373" ht="15.75" customHeight="1">
      <c r="A15373" s="4"/>
    </row>
    <row r="15374" ht="15.75" customHeight="1">
      <c r="A15374" s="4"/>
    </row>
    <row r="15375" ht="15.75" customHeight="1">
      <c r="A15375" s="4"/>
    </row>
    <row r="15376" ht="15.75" customHeight="1">
      <c r="A15376" s="4"/>
    </row>
    <row r="15377" ht="15.75" customHeight="1">
      <c r="A15377" s="4"/>
    </row>
    <row r="15378" ht="15.75" customHeight="1">
      <c r="A15378" s="4"/>
    </row>
    <row r="15379" ht="15.75" customHeight="1">
      <c r="A15379" s="4"/>
    </row>
    <row r="15380" ht="15.75" customHeight="1">
      <c r="A15380" s="4"/>
    </row>
    <row r="15381" ht="15.75" customHeight="1">
      <c r="A15381" s="4"/>
    </row>
    <row r="15382" ht="15.75" customHeight="1">
      <c r="A15382" s="4"/>
    </row>
    <row r="15383" ht="15.75" customHeight="1">
      <c r="A15383" s="4"/>
    </row>
    <row r="15384" ht="15.75" customHeight="1">
      <c r="A15384" s="4"/>
    </row>
    <row r="15385" ht="15.75" customHeight="1">
      <c r="A15385" s="4"/>
    </row>
    <row r="15386" ht="15.75" customHeight="1">
      <c r="A15386" s="4"/>
    </row>
    <row r="15387" ht="15.75" customHeight="1">
      <c r="A15387" s="4"/>
    </row>
    <row r="15388" ht="15.75" customHeight="1">
      <c r="A15388" s="4"/>
    </row>
    <row r="15389" ht="15.75" customHeight="1">
      <c r="A15389" s="4"/>
    </row>
    <row r="15390" ht="15.75" customHeight="1">
      <c r="A15390" s="4"/>
    </row>
    <row r="15391" ht="15.75" customHeight="1">
      <c r="A15391" s="4"/>
    </row>
    <row r="15392" ht="15.75" customHeight="1">
      <c r="A15392" s="4"/>
    </row>
    <row r="15393" ht="15.75" customHeight="1">
      <c r="A15393" s="4"/>
    </row>
    <row r="15394" ht="15.75" customHeight="1">
      <c r="A15394" s="4"/>
    </row>
    <row r="15395" ht="15.75" customHeight="1">
      <c r="A15395" s="4"/>
    </row>
    <row r="15396" ht="15.75" customHeight="1">
      <c r="A15396" s="4"/>
    </row>
    <row r="15397" ht="15.75" customHeight="1">
      <c r="A15397" s="4"/>
    </row>
    <row r="15398" ht="15.75" customHeight="1">
      <c r="A15398" s="4"/>
    </row>
    <row r="15399" ht="15.75" customHeight="1">
      <c r="A15399" s="4"/>
    </row>
    <row r="15400" ht="15.75" customHeight="1">
      <c r="A15400" s="4"/>
    </row>
    <row r="15401" ht="15.75" customHeight="1">
      <c r="A15401" s="4"/>
    </row>
    <row r="15402" ht="15.75" customHeight="1">
      <c r="A15402" s="4"/>
    </row>
    <row r="15403" ht="15.75" customHeight="1">
      <c r="A15403" s="4"/>
    </row>
    <row r="15404" ht="15.75" customHeight="1">
      <c r="A15404" s="4"/>
    </row>
    <row r="15405" ht="15.75" customHeight="1">
      <c r="A15405" s="4"/>
    </row>
    <row r="15406" ht="15.75" customHeight="1">
      <c r="A15406" s="4"/>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2022-12-27T12:26:15Z</dcterms:created>
  <dc:creator>openpyxl</dc:creator>
</cp:coreProperties>
</file>